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_Dictionary" sheetId="2" state="visible" r:id="rId4"/>
    <sheet name="Map_Tables" sheetId="3" state="visible" r:id="rId5"/>
    <sheet name="Raw_Data" sheetId="4" state="visible" r:id="rId6"/>
    <sheet name="Cleaned_Data" sheetId="5" state="visible" r:id="rId7"/>
    <sheet name="Cleaning_Log" sheetId="6" state="visible" r:id="rId8"/>
    <sheet name="Outlier_Check" sheetId="7" state="visible" r:id="rId9"/>
    <sheet name="Summary" sheetId="8" state="visible" r:id="rId10"/>
    <sheet name="Formula_Lab" sheetId="9" state="visible" r:id="rId11"/>
  </sheets>
  <definedNames>
    <definedName function="false" hidden="true" localSheetId="4" name="_xlnm._FilterDatabase" vbProcedure="false">Cleaned_Data!$A$1:$O$2938</definedName>
    <definedName function="false" hidden="true" localSheetId="3" name="_xlnm._FilterDatabase" vbProcedure="false">Raw_Data!$A$1:$AH$3058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<sst xmlns="http://schemas.openxmlformats.org/spreadsheetml/2006/main" count="51492" uniqueCount="6312">
  <si>
    <t xml:space="preserve">Food Delivery Data Cleaning Workbook</t>
  </si>
  <si>
    <t xml:space="preserve">SYNTHETIC practice data (generated for learning) - modelled on Indian food-delivery apps like Swiggy / Zomato. Not real company data.</t>
  </si>
  <si>
    <t xml:space="preserve">Sheet</t>
  </si>
  <si>
    <t xml:space="preserve">What it contains / what you do there</t>
  </si>
  <si>
    <t xml:space="preserve">Data_Dictionary</t>
  </si>
  <si>
    <t xml:space="preserve">Meaning of every column in simple English.</t>
  </si>
  <si>
    <t xml:space="preserve">Raw_Data</t>
  </si>
  <si>
    <t xml:space="preserve">Columns A-N = the messy raw data exactly as received (never edit these). Green columns O-AH = helper formulas that FLAG problems and show the CLEAN version of each field.</t>
  </si>
  <si>
    <t xml:space="preserve">Map_Tables</t>
  </si>
  <si>
    <t xml:space="preserve">Lookup tables used to standardise city, payment method and restaurant names (like a "translation dictionary").</t>
  </si>
  <si>
    <t xml:space="preserve">Cleaned_Data</t>
  </si>
  <si>
    <t xml:space="preserve">The final cleaned dataset (values only, except Net_Amount which is a formula). This is what you import into MySQL and Power BI.</t>
  </si>
  <si>
    <t xml:space="preserve">Cleaning_Log</t>
  </si>
  <si>
    <t xml:space="preserve">Rows before/after, why rows were removed, missing-value report and decisions. All numbers are live formulas.</t>
  </si>
  <si>
    <t xml:space="preserve">Outlier_Check</t>
  </si>
  <si>
    <t xml:space="preserve">IQR (box-plot) method to find unusual order values and delivery times.</t>
  </si>
  <si>
    <t xml:space="preserve">Summary</t>
  </si>
  <si>
    <t xml:space="preserve">Formula-based summary tables (same result a PivotTable gives). Build the real PivotTable yourself using the steps in the Excel guide.</t>
  </si>
  <si>
    <t xml:space="preserve">Formula_Lab</t>
  </si>
  <si>
    <t xml:space="preserve">One working example of each formula you were asked to learn: IF, IFERROR, COUNTIF(S), SUMIF(S), lookup, TRIM.</t>
  </si>
  <si>
    <t xml:space="preserve">Colour legend</t>
  </si>
  <si>
    <t xml:space="preserve">Dark blue header</t>
  </si>
  <si>
    <t xml:space="preserve">Original raw / final data columns</t>
  </si>
  <si>
    <t xml:space="preserve">Green header</t>
  </si>
  <si>
    <t xml:space="preserve">Helper formula columns (flags and cleaned values)</t>
  </si>
  <si>
    <t xml:space="preserve">Yellow cell</t>
  </si>
  <si>
    <t xml:space="preserve">An input cell you can change and watch the formula react</t>
  </si>
  <si>
    <t xml:space="preserve">Red / orange cell (Raw_Data)</t>
  </si>
  <si>
    <t xml:space="preserve">Conditional formatting: red = missing/duplicate/drop, orange = missing delivery time or rating on a delivered order, yellow = invalid value</t>
  </si>
  <si>
    <t xml:space="preserve">Business rule for sales</t>
  </si>
  <si>
    <t xml:space="preserve">Net_Amount = Quantity x Unit_Price - Discount_Amount.  SALES count only orders with Order_Status = Delivered. Cancelled orders are never counted as sales.</t>
  </si>
  <si>
    <t xml:space="preserve">Date note</t>
  </si>
  <si>
    <t xml:space="preserve">Slash dates in raw data are DD/MM/YYYY (Indian format).</t>
  </si>
  <si>
    <t xml:space="preserve">Data Dictionary</t>
  </si>
  <si>
    <t xml:space="preserve">What each column means (simple English)</t>
  </si>
  <si>
    <t xml:space="preserve">Column</t>
  </si>
  <si>
    <t xml:space="preserve">Data type</t>
  </si>
  <si>
    <t xml:space="preserve">Meaning</t>
  </si>
  <si>
    <t xml:space="preserve">order_id</t>
  </si>
  <si>
    <t xml:space="preserve">Text</t>
  </si>
  <si>
    <t xml:space="preserve">Unique ID of one order, e.g. ORD10001. Every order must appear only once.</t>
  </si>
  <si>
    <t xml:space="preserve">order_date</t>
  </si>
  <si>
    <t xml:space="preserve">Date</t>
  </si>
  <si>
    <t xml:space="preserve">Day the customer placed the order (2025). Raw file has 3 different date styles.</t>
  </si>
  <si>
    <t xml:space="preserve">order_time</t>
  </si>
  <si>
    <t xml:space="preserve">Text HH:MM</t>
  </si>
  <si>
    <t xml:space="preserve">Time of day the order was placed (24-hour clock). Used for peak-hour analysis.</t>
  </si>
  <si>
    <t xml:space="preserve">customer_id</t>
  </si>
  <si>
    <t xml:space="preserve">Unique ID of the customer, e.g. C0123. Used to find repeat customers.</t>
  </si>
  <si>
    <t xml:space="preserve">restaurant_name</t>
  </si>
  <si>
    <t xml:space="preserve">Restaurant that cooked the food (fictional names).</t>
  </si>
  <si>
    <t xml:space="preserve">city</t>
  </si>
  <si>
    <t xml:space="preserve">City where the order was delivered (8 Indian cities).</t>
  </si>
  <si>
    <t xml:space="preserve">cuisine</t>
  </si>
  <si>
    <t xml:space="preserve">Type of food: North Indian, South Indian, Biryani, Chinese, Pizza, Burgers, Street Food, Desserts, Healthy Food.</t>
  </si>
  <si>
    <t xml:space="preserve">quantity</t>
  </si>
  <si>
    <t xml:space="preserve">Whole number</t>
  </si>
  <si>
    <t xml:space="preserve">Number of items in the order. Valid range used here: 1 to 10.</t>
  </si>
  <si>
    <t xml:space="preserve">unit_price</t>
  </si>
  <si>
    <t xml:space="preserve">Number (Rs)</t>
  </si>
  <si>
    <t xml:space="preserve">Price of one item in Indian Rupees. Valid range used here: Rs 1 to Rs 1,500.</t>
  </si>
  <si>
    <t xml:space="preserve">discount_amount</t>
  </si>
  <si>
    <t xml:space="preserve">Total discount (coupon/offer) on the whole order in Rs. Cannot be more than Quantity x Unit Price.</t>
  </si>
  <si>
    <t xml:space="preserve">net_amount</t>
  </si>
  <si>
    <t xml:space="preserve">Cleaned file only. What the customer pays for food = Quantity x Unit Price - Discount. Delivery/tax fees are not included.</t>
  </si>
  <si>
    <t xml:space="preserve">payment_method</t>
  </si>
  <si>
    <t xml:space="preserve">How the customer paid: UPI, Credit Card, Debit Card, Cash on Delivery, Wallet, Net Banking (Unknown = not recorded).</t>
  </si>
  <si>
    <t xml:space="preserve">order_status</t>
  </si>
  <si>
    <t xml:space="preserve">Delivered or Cancelled.</t>
  </si>
  <si>
    <t xml:space="preserve">delivery_time_min</t>
  </si>
  <si>
    <t xml:space="preserve">Number (minutes)</t>
  </si>
  <si>
    <t xml:space="preserve">Minutes from order to doorstep. Blank for Cancelled orders (nothing was delivered). Valid range used here: 5 to 180.</t>
  </si>
  <si>
    <t xml:space="preserve">customer_rating</t>
  </si>
  <si>
    <t xml:space="preserve">Whole number 1-5</t>
  </si>
  <si>
    <t xml:space="preserve">Star rating given after delivery. Blank if cancelled or customer did not rate.</t>
  </si>
  <si>
    <t xml:space="preserve">Lookup (mapping) tables</t>
  </si>
  <si>
    <t xml:space="preserve">Key = any spelling found in raw data. Lookup is NOT case sensitive, and TRIM removes extra spaces first.</t>
  </si>
  <si>
    <t xml:space="preserve">City (raw spelling)</t>
  </si>
  <si>
    <t xml:space="preserve">City (standard)</t>
  </si>
  <si>
    <t xml:space="preserve">Payment (raw spelling)</t>
  </si>
  <si>
    <t xml:space="preserve">Payment (standard)</t>
  </si>
  <si>
    <t xml:space="preserve">Restaurant (raw spelling)</t>
  </si>
  <si>
    <t xml:space="preserve">Restaurant (standard)</t>
  </si>
  <si>
    <t xml:space="preserve">Restaurant city</t>
  </si>
  <si>
    <t xml:space="preserve">Cuisine</t>
  </si>
  <si>
    <t xml:space="preserve">bangalore</t>
  </si>
  <si>
    <t xml:space="preserve">Bengaluru</t>
  </si>
  <si>
    <t xml:space="preserve">upi</t>
  </si>
  <si>
    <t xml:space="preserve">UPI</t>
  </si>
  <si>
    <t xml:space="preserve">Spice Junction</t>
  </si>
  <si>
    <t xml:space="preserve">North Indian</t>
  </si>
  <si>
    <t xml:space="preserve">bengaluru</t>
  </si>
  <si>
    <t xml:space="preserve">credit card</t>
  </si>
  <si>
    <t xml:space="preserve">Credit Card</t>
  </si>
  <si>
    <t xml:space="preserve">Dosa Darbar</t>
  </si>
  <si>
    <t xml:space="preserve">South Indian</t>
  </si>
  <si>
    <t xml:space="preserve">blr</t>
  </si>
  <si>
    <t xml:space="preserve">cc</t>
  </si>
  <si>
    <t xml:space="preserve">Nawabi Biryani House</t>
  </si>
  <si>
    <t xml:space="preserve">Biryani</t>
  </si>
  <si>
    <t xml:space="preserve">mumbai</t>
  </si>
  <si>
    <t xml:space="preserve">Mumbai</t>
  </si>
  <si>
    <t xml:space="preserve">debit card</t>
  </si>
  <si>
    <t xml:space="preserve">Debit Card</t>
  </si>
  <si>
    <t xml:space="preserve">Wok &amp; Roll</t>
  </si>
  <si>
    <t xml:space="preserve">Chinese</t>
  </si>
  <si>
    <t xml:space="preserve">bombay</t>
  </si>
  <si>
    <t xml:space="preserve">dc</t>
  </si>
  <si>
    <t xml:space="preserve">Wok and Roll</t>
  </si>
  <si>
    <t xml:space="preserve">delhi</t>
  </si>
  <si>
    <t xml:space="preserve">Delhi</t>
  </si>
  <si>
    <t xml:space="preserve">cod</t>
  </si>
  <si>
    <t xml:space="preserve">Cash on Delivery</t>
  </si>
  <si>
    <t xml:space="preserve">Curry Leaf Kitchen</t>
  </si>
  <si>
    <t xml:space="preserve">new delhi</t>
  </si>
  <si>
    <t xml:space="preserve">cash on delivery</t>
  </si>
  <si>
    <t xml:space="preserve">Pav Bhaji Point</t>
  </si>
  <si>
    <t xml:space="preserve">Street Food</t>
  </si>
  <si>
    <t xml:space="preserve">hyderabad</t>
  </si>
  <si>
    <t xml:space="preserve">Hyderabad</t>
  </si>
  <si>
    <t xml:space="preserve">wallet</t>
  </si>
  <si>
    <t xml:space="preserve">Wallet</t>
  </si>
  <si>
    <t xml:space="preserve">Mumbai Pizza Co</t>
  </si>
  <si>
    <t xml:space="preserve">Pizza</t>
  </si>
  <si>
    <t xml:space="preserve">hyd</t>
  </si>
  <si>
    <t xml:space="preserve">paytm wallet</t>
  </si>
  <si>
    <t xml:space="preserve">Dragon Express</t>
  </si>
  <si>
    <t xml:space="preserve">chennai</t>
  </si>
  <si>
    <t xml:space="preserve">Chennai</t>
  </si>
  <si>
    <t xml:space="preserve">e-wallet</t>
  </si>
  <si>
    <t xml:space="preserve">Tandoor Tales</t>
  </si>
  <si>
    <t xml:space="preserve">madras</t>
  </si>
  <si>
    <t xml:space="preserve">net banking</t>
  </si>
  <si>
    <t xml:space="preserve">Net Banking</t>
  </si>
  <si>
    <t xml:space="preserve">Chaat Corner</t>
  </si>
  <si>
    <t xml:space="preserve">pune</t>
  </si>
  <si>
    <t xml:space="preserve">Pune</t>
  </si>
  <si>
    <t xml:space="preserve">netbanking</t>
  </si>
  <si>
    <t xml:space="preserve">Burger Barn</t>
  </si>
  <si>
    <t xml:space="preserve">Burgers</t>
  </si>
  <si>
    <t xml:space="preserve">kolkata</t>
  </si>
  <si>
    <t xml:space="preserve">Kolkata</t>
  </si>
  <si>
    <t xml:space="preserve">Momo Magic</t>
  </si>
  <si>
    <t xml:space="preserve">calcutta</t>
  </si>
  <si>
    <t xml:space="preserve">Hyderabad Dum Biryani</t>
  </si>
  <si>
    <t xml:space="preserve">ahmedabad</t>
  </si>
  <si>
    <t xml:space="preserve">Ahmedabad</t>
  </si>
  <si>
    <t xml:space="preserve">Andhra Meals Mess</t>
  </si>
  <si>
    <t xml:space="preserve">Pizza Palace</t>
  </si>
  <si>
    <t xml:space="preserve">Sweet Tooth Studio</t>
  </si>
  <si>
    <t xml:space="preserve">Desserts</t>
  </si>
  <si>
    <t xml:space="preserve">Chettinad House</t>
  </si>
  <si>
    <t xml:space="preserve">Filter Coffee &amp; Tiffin</t>
  </si>
  <si>
    <t xml:space="preserve">Filter Coffee and Tiffin</t>
  </si>
  <si>
    <t xml:space="preserve">Madras Biryani Co</t>
  </si>
  <si>
    <t xml:space="preserve">Green Bowl Kitchen</t>
  </si>
  <si>
    <t xml:space="preserve">Healthy Food</t>
  </si>
  <si>
    <t xml:space="preserve">Misal Mantra</t>
  </si>
  <si>
    <t xml:space="preserve">Pune Burger Hub</t>
  </si>
  <si>
    <t xml:space="preserve">Maratha Thali House</t>
  </si>
  <si>
    <t xml:space="preserve">Cake Walk</t>
  </si>
  <si>
    <t xml:space="preserve">Bengal Bites</t>
  </si>
  <si>
    <t xml:space="preserve">Kolkata Roll Centre</t>
  </si>
  <si>
    <t xml:space="preserve">Biryani Baadshah</t>
  </si>
  <si>
    <t xml:space="preserve">Mishti Mandir</t>
  </si>
  <si>
    <t xml:space="preserve">Gujarati Thali Ghar</t>
  </si>
  <si>
    <t xml:space="preserve">Dhokla Delight</t>
  </si>
  <si>
    <t xml:space="preserve">Fit Fuel Kitchen</t>
  </si>
  <si>
    <t xml:space="preserve">Cheesy Slice</t>
  </si>
  <si>
    <t xml:space="preserve">row_key</t>
  </si>
  <si>
    <t xml:space="preserve">exact_dup_check</t>
  </si>
  <si>
    <t xml:space="preserve">blank_count</t>
  </si>
  <si>
    <t xml:space="preserve">rows_with_same_order_id</t>
  </si>
  <si>
    <t xml:space="preserve">order_id_action</t>
  </si>
  <si>
    <t xml:space="preserve">missing_order_id</t>
  </si>
  <si>
    <t xml:space="preserve">missing_customer_id</t>
  </si>
  <si>
    <t xml:space="preserve">missing_restaurant</t>
  </si>
  <si>
    <t xml:space="preserve">invalid_quantity</t>
  </si>
  <si>
    <t xml:space="preserve">invalid_price</t>
  </si>
  <si>
    <t xml:space="preserve">discount_gt_order_value</t>
  </si>
  <si>
    <t xml:space="preserve">invalid_rating</t>
  </si>
  <si>
    <t xml:space="preserve">invalid_delivery_time</t>
  </si>
  <si>
    <t xml:space="preserve">drop_reason</t>
  </si>
  <si>
    <t xml:space="preserve">keep_or_drop</t>
  </si>
  <si>
    <t xml:space="preserve">city_clean</t>
  </si>
  <si>
    <t xml:space="preserve">restaurant_clean</t>
  </si>
  <si>
    <t xml:space="preserve">payment_clean</t>
  </si>
  <si>
    <t xml:space="preserve">status_clean</t>
  </si>
  <si>
    <t xml:space="preserve">date_clean</t>
  </si>
  <si>
    <t xml:space="preserve">ORD10675</t>
  </si>
  <si>
    <t xml:space="preserve">2025-03-27</t>
  </si>
  <si>
    <t xml:space="preserve">12:57</t>
  </si>
  <si>
    <t xml:space="preserve">C0623</t>
  </si>
  <si>
    <t xml:space="preserve">Sweet Tooth Studio </t>
  </si>
  <si>
    <t xml:space="preserve">Delivered</t>
  </si>
  <si>
    <t xml:space="preserve">ORD12670</t>
  </si>
  <si>
    <t xml:space="preserve">2025-11-24</t>
  </si>
  <si>
    <t xml:space="preserve">22:08</t>
  </si>
  <si>
    <t xml:space="preserve">C0449</t>
  </si>
  <si>
    <t xml:space="preserve">ORD10378</t>
  </si>
  <si>
    <t xml:space="preserve">2025-02-19</t>
  </si>
  <si>
    <t xml:space="preserve">20:46</t>
  </si>
  <si>
    <t xml:space="preserve">C0376</t>
  </si>
  <si>
    <t xml:space="preserve">ORD10803</t>
  </si>
  <si>
    <t xml:space="preserve">2025-04-12</t>
  </si>
  <si>
    <t xml:space="preserve">00:02</t>
  </si>
  <si>
    <t xml:space="preserve">C0164</t>
  </si>
  <si>
    <t xml:space="preserve">ORD11209</t>
  </si>
  <si>
    <t xml:space="preserve">02/06/2025</t>
  </si>
  <si>
    <t xml:space="preserve">21:40</t>
  </si>
  <si>
    <t xml:space="preserve">C1083</t>
  </si>
  <si>
    <t xml:space="preserve">ORD12737</t>
  </si>
  <si>
    <t xml:space="preserve">2025-12-01</t>
  </si>
  <si>
    <t xml:space="preserve">20:37</t>
  </si>
  <si>
    <t xml:space="preserve">C0481</t>
  </si>
  <si>
    <t xml:space="preserve">MUMBAI</t>
  </si>
  <si>
    <t xml:space="preserve">ORD10853</t>
  </si>
  <si>
    <t xml:space="preserve">2025-04-18</t>
  </si>
  <si>
    <t xml:space="preserve">12:48</t>
  </si>
  <si>
    <t xml:space="preserve">C1006</t>
  </si>
  <si>
    <t xml:space="preserve">DELIVERED</t>
  </si>
  <si>
    <t xml:space="preserve">ORD12786</t>
  </si>
  <si>
    <t xml:space="preserve">2025-12-07</t>
  </si>
  <si>
    <t xml:space="preserve">10:20</t>
  </si>
  <si>
    <t xml:space="preserve">C1030</t>
  </si>
  <si>
    <t xml:space="preserve">ORD12001</t>
  </si>
  <si>
    <t xml:space="preserve">2025-09-16</t>
  </si>
  <si>
    <t xml:space="preserve">21:36</t>
  </si>
  <si>
    <t xml:space="preserve">C1488</t>
  </si>
  <si>
    <t xml:space="preserve">Upi</t>
  </si>
  <si>
    <t xml:space="preserve">ORD12725</t>
  </si>
  <si>
    <t xml:space="preserve">2025-11-30</t>
  </si>
  <si>
    <t xml:space="preserve">21:09</t>
  </si>
  <si>
    <t xml:space="preserve">C0193</t>
  </si>
  <si>
    <t xml:space="preserve">ORD10430</t>
  </si>
  <si>
    <t xml:space="preserve">2025-02-27</t>
  </si>
  <si>
    <t xml:space="preserve">19:26</t>
  </si>
  <si>
    <t xml:space="preserve">C1390</t>
  </si>
  <si>
    <t xml:space="preserve">Cancelled</t>
  </si>
  <si>
    <t xml:space="preserve">ORD12148</t>
  </si>
  <si>
    <t xml:space="preserve">2025-10-02</t>
  </si>
  <si>
    <t xml:space="preserve">11:59</t>
  </si>
  <si>
    <t xml:space="preserve">C1117</t>
  </si>
  <si>
    <t xml:space="preserve">ORD10728</t>
  </si>
  <si>
    <t xml:space="preserve">2025-04-03</t>
  </si>
  <si>
    <t xml:space="preserve">13:09</t>
  </si>
  <si>
    <t xml:space="preserve">C1478</t>
  </si>
  <si>
    <t xml:space="preserve">ORD10455</t>
  </si>
  <si>
    <t xml:space="preserve">2025-03-02</t>
  </si>
  <si>
    <t xml:space="preserve">14:00</t>
  </si>
  <si>
    <t xml:space="preserve">C0969</t>
  </si>
  <si>
    <t xml:space="preserve">burgers</t>
  </si>
  <si>
    <t xml:space="preserve">ORD10741</t>
  </si>
  <si>
    <t xml:space="preserve">2025-04-04</t>
  </si>
  <si>
    <t xml:space="preserve">20:58</t>
  </si>
  <si>
    <t xml:space="preserve">C0821</t>
  </si>
  <si>
    <t xml:space="preserve">ORD10363</t>
  </si>
  <si>
    <t xml:space="preserve">2025-02-17</t>
  </si>
  <si>
    <t xml:space="preserve">20:24</t>
  </si>
  <si>
    <t xml:space="preserve">C0392</t>
  </si>
  <si>
    <t xml:space="preserve"> Burger Barn</t>
  </si>
  <si>
    <t xml:space="preserve">ORD11338</t>
  </si>
  <si>
    <t xml:space="preserve">2025-06-22</t>
  </si>
  <si>
    <t xml:space="preserve">11:22</t>
  </si>
  <si>
    <t xml:space="preserve">C1445</t>
  </si>
  <si>
    <t xml:space="preserve"> Pune Burger Hub</t>
  </si>
  <si>
    <t xml:space="preserve">ORD11217</t>
  </si>
  <si>
    <t xml:space="preserve">2025-06-03</t>
  </si>
  <si>
    <t xml:space="preserve">19:16</t>
  </si>
  <si>
    <t xml:space="preserve">C1418</t>
  </si>
  <si>
    <t xml:space="preserve">ORD10581</t>
  </si>
  <si>
    <t xml:space="preserve">2025-03-15</t>
  </si>
  <si>
    <t xml:space="preserve">14:01</t>
  </si>
  <si>
    <t xml:space="preserve">C1344</t>
  </si>
  <si>
    <t xml:space="preserve">ORD10126</t>
  </si>
  <si>
    <t xml:space="preserve">2025-01-16</t>
  </si>
  <si>
    <t xml:space="preserve">20:51</t>
  </si>
  <si>
    <t xml:space="preserve">C0365</t>
  </si>
  <si>
    <t xml:space="preserve">ORD12702</t>
  </si>
  <si>
    <t xml:space="preserve">28/11/2025</t>
  </si>
  <si>
    <t xml:space="preserve">20:39</t>
  </si>
  <si>
    <t xml:space="preserve">C0984</t>
  </si>
  <si>
    <t xml:space="preserve">ORD12440</t>
  </si>
  <si>
    <t xml:space="preserve">2025-11-03</t>
  </si>
  <si>
    <t xml:space="preserve">11:51</t>
  </si>
  <si>
    <t xml:space="preserve">C1140</t>
  </si>
  <si>
    <t xml:space="preserve">ORD10503</t>
  </si>
  <si>
    <t xml:space="preserve">07/03/2025</t>
  </si>
  <si>
    <t xml:space="preserve">14:58</t>
  </si>
  <si>
    <t xml:space="preserve">C1262</t>
  </si>
  <si>
    <t xml:space="preserve">ORD11228</t>
  </si>
  <si>
    <t xml:space="preserve">2025-06-05</t>
  </si>
  <si>
    <t xml:space="preserve">18:02</t>
  </si>
  <si>
    <t xml:space="preserve">C1451</t>
  </si>
  <si>
    <t xml:space="preserve">New Delhi</t>
  </si>
  <si>
    <t xml:space="preserve">ORD10808</t>
  </si>
  <si>
    <t xml:space="preserve">21:06</t>
  </si>
  <si>
    <t xml:space="preserve">C0573</t>
  </si>
  <si>
    <t xml:space="preserve">Cash On Delivery</t>
  </si>
  <si>
    <t xml:space="preserve">ORD11496</t>
  </si>
  <si>
    <t xml:space="preserve">2025-07-13</t>
  </si>
  <si>
    <t xml:space="preserve">21:58</t>
  </si>
  <si>
    <t xml:space="preserve">C0169</t>
  </si>
  <si>
    <t xml:space="preserve">PUNE</t>
  </si>
  <si>
    <t xml:space="preserve">ORD11903</t>
  </si>
  <si>
    <t xml:space="preserve">04-Sep-2025</t>
  </si>
  <si>
    <t xml:space="preserve">20:06</t>
  </si>
  <si>
    <t xml:space="preserve">C1425</t>
  </si>
  <si>
    <t xml:space="preserve">ORD12820</t>
  </si>
  <si>
    <t xml:space="preserve">2025-12-11</t>
  </si>
  <si>
    <t xml:space="preserve">19:09</t>
  </si>
  <si>
    <t xml:space="preserve">C1118</t>
  </si>
  <si>
    <t xml:space="preserve">Hyd</t>
  </si>
  <si>
    <t xml:space="preserve">ORD11313</t>
  </si>
  <si>
    <t xml:space="preserve">19/06/2025</t>
  </si>
  <si>
    <t xml:space="preserve">14:20</t>
  </si>
  <si>
    <t xml:space="preserve">C0468</t>
  </si>
  <si>
    <t xml:space="preserve">ORD10753</t>
  </si>
  <si>
    <t xml:space="preserve">2025-04-05</t>
  </si>
  <si>
    <t xml:space="preserve">21:52</t>
  </si>
  <si>
    <t xml:space="preserve">C0094</t>
  </si>
  <si>
    <t xml:space="preserve">ORD11052</t>
  </si>
  <si>
    <t xml:space="preserve">2025-05-13</t>
  </si>
  <si>
    <t xml:space="preserve">08:25</t>
  </si>
  <si>
    <t xml:space="preserve">C1126</t>
  </si>
  <si>
    <t xml:space="preserve">ORD12433</t>
  </si>
  <si>
    <t xml:space="preserve">2025-11-02</t>
  </si>
  <si>
    <t xml:space="preserve">19:10</t>
  </si>
  <si>
    <t xml:space="preserve">C0516</t>
  </si>
  <si>
    <t xml:space="preserve">ORD12841</t>
  </si>
  <si>
    <t xml:space="preserve">2025-12-13</t>
  </si>
  <si>
    <t xml:space="preserve">22:04</t>
  </si>
  <si>
    <t xml:space="preserve">C1296</t>
  </si>
  <si>
    <t xml:space="preserve">ORD10297</t>
  </si>
  <si>
    <t xml:space="preserve">2025-02-09</t>
  </si>
  <si>
    <t xml:space="preserve">20:16</t>
  </si>
  <si>
    <t xml:space="preserve">C1223</t>
  </si>
  <si>
    <t xml:space="preserve">ORD12146</t>
  </si>
  <si>
    <t xml:space="preserve">09:42</t>
  </si>
  <si>
    <t xml:space="preserve">C0245</t>
  </si>
  <si>
    <t xml:space="preserve">ORD10319</t>
  </si>
  <si>
    <t xml:space="preserve">2025-02-12</t>
  </si>
  <si>
    <t xml:space="preserve">09:57</t>
  </si>
  <si>
    <t xml:space="preserve">C0999</t>
  </si>
  <si>
    <t xml:space="preserve">ORD10890</t>
  </si>
  <si>
    <t xml:space="preserve">2025-04-22</t>
  </si>
  <si>
    <t xml:space="preserve">19:18</t>
  </si>
  <si>
    <t xml:space="preserve">C1497</t>
  </si>
  <si>
    <t xml:space="preserve">CAKE WALK</t>
  </si>
  <si>
    <t xml:space="preserve">ORD10700</t>
  </si>
  <si>
    <t xml:space="preserve">2025-03-29</t>
  </si>
  <si>
    <t xml:space="preserve">18:14</t>
  </si>
  <si>
    <t xml:space="preserve">C1259</t>
  </si>
  <si>
    <t xml:space="preserve">Dosa Darbar </t>
  </si>
  <si>
    <t xml:space="preserve">ORD11152</t>
  </si>
  <si>
    <t xml:space="preserve">2025-05-27</t>
  </si>
  <si>
    <t xml:space="preserve">14:47</t>
  </si>
  <si>
    <t xml:space="preserve">C0088</t>
  </si>
  <si>
    <t xml:space="preserve">maratha thali house</t>
  </si>
  <si>
    <t xml:space="preserve">ORD10721</t>
  </si>
  <si>
    <t xml:space="preserve">2025-04-02</t>
  </si>
  <si>
    <t xml:space="preserve">11:08</t>
  </si>
  <si>
    <t xml:space="preserve">C0387</t>
  </si>
  <si>
    <t xml:space="preserve">ORD11418</t>
  </si>
  <si>
    <t xml:space="preserve">2025-07-03</t>
  </si>
  <si>
    <t xml:space="preserve">20:55</t>
  </si>
  <si>
    <t xml:space="preserve">C0187</t>
  </si>
  <si>
    <t xml:space="preserve">ORD10181</t>
  </si>
  <si>
    <t xml:space="preserve">2025-01-24</t>
  </si>
  <si>
    <t xml:space="preserve">19:29</t>
  </si>
  <si>
    <t xml:space="preserve">C0092</t>
  </si>
  <si>
    <t xml:space="preserve">ORD10639</t>
  </si>
  <si>
    <t xml:space="preserve">2025-03-22</t>
  </si>
  <si>
    <t xml:space="preserve">17:46</t>
  </si>
  <si>
    <t xml:space="preserve">C0254</t>
  </si>
  <si>
    <t xml:space="preserve">ORD11497</t>
  </si>
  <si>
    <t xml:space="preserve">2025-07-14</t>
  </si>
  <si>
    <t xml:space="preserve">12:00</t>
  </si>
  <si>
    <t xml:space="preserve">C0854</t>
  </si>
  <si>
    <t xml:space="preserve">Credit card</t>
  </si>
  <si>
    <t xml:space="preserve">ORD10207</t>
  </si>
  <si>
    <t xml:space="preserve">2025-01-28</t>
  </si>
  <si>
    <t xml:space="preserve">18:26</t>
  </si>
  <si>
    <t xml:space="preserve">C1082</t>
  </si>
  <si>
    <t xml:space="preserve">ORD11534</t>
  </si>
  <si>
    <t xml:space="preserve">2025-07-18</t>
  </si>
  <si>
    <t xml:space="preserve">11:53</t>
  </si>
  <si>
    <t xml:space="preserve">C0754</t>
  </si>
  <si>
    <t xml:space="preserve">Maratha Thali House </t>
  </si>
  <si>
    <t xml:space="preserve">ORD11237</t>
  </si>
  <si>
    <t xml:space="preserve">2025-06-06</t>
  </si>
  <si>
    <t xml:space="preserve">19:50</t>
  </si>
  <si>
    <t xml:space="preserve">C1106</t>
  </si>
  <si>
    <t xml:space="preserve">ORD11464</t>
  </si>
  <si>
    <t xml:space="preserve">09/07/2025</t>
  </si>
  <si>
    <t xml:space="preserve">22:13</t>
  </si>
  <si>
    <t xml:space="preserve">C0312</t>
  </si>
  <si>
    <t xml:space="preserve">ORD12411</t>
  </si>
  <si>
    <t xml:space="preserve">31/10/2025</t>
  </si>
  <si>
    <t xml:space="preserve">12:43</t>
  </si>
  <si>
    <t xml:space="preserve">C1305</t>
  </si>
  <si>
    <t xml:space="preserve">ORD12101</t>
  </si>
  <si>
    <t xml:space="preserve">2025-09-28</t>
  </si>
  <si>
    <t xml:space="preserve">11:13</t>
  </si>
  <si>
    <t xml:space="preserve">C0885</t>
  </si>
  <si>
    <t xml:space="preserve">ORD10718</t>
  </si>
  <si>
    <t xml:space="preserve">2025-04-01</t>
  </si>
  <si>
    <t xml:space="preserve">22:42</t>
  </si>
  <si>
    <t xml:space="preserve">C0166</t>
  </si>
  <si>
    <t xml:space="preserve">ORD10276</t>
  </si>
  <si>
    <t xml:space="preserve">2025-02-07</t>
  </si>
  <si>
    <t xml:space="preserve">18:00</t>
  </si>
  <si>
    <t xml:space="preserve">C1426</t>
  </si>
  <si>
    <t xml:space="preserve">ORD10416</t>
  </si>
  <si>
    <t xml:space="preserve">2025-02-25</t>
  </si>
  <si>
    <t xml:space="preserve">18:58</t>
  </si>
  <si>
    <t xml:space="preserve">C0410</t>
  </si>
  <si>
    <t xml:space="preserve">ORD12262</t>
  </si>
  <si>
    <t xml:space="preserve">2025-10-14</t>
  </si>
  <si>
    <t xml:space="preserve">10:45</t>
  </si>
  <si>
    <t xml:space="preserve">C1122</t>
  </si>
  <si>
    <t xml:space="preserve">UPI </t>
  </si>
  <si>
    <t xml:space="preserve">ORD12920</t>
  </si>
  <si>
    <t xml:space="preserve">23-Dec-2025</t>
  </si>
  <si>
    <t xml:space="preserve">00:41</t>
  </si>
  <si>
    <t xml:space="preserve">C1386</t>
  </si>
  <si>
    <t xml:space="preserve">ORD11814</t>
  </si>
  <si>
    <t xml:space="preserve">2025-08-25</t>
  </si>
  <si>
    <t xml:space="preserve">10:24</t>
  </si>
  <si>
    <t xml:space="preserve">C1150</t>
  </si>
  <si>
    <t xml:space="preserve"> Pav Bhaji Point</t>
  </si>
  <si>
    <t xml:space="preserve">ORD11808</t>
  </si>
  <si>
    <t xml:space="preserve">2025-08-24</t>
  </si>
  <si>
    <t xml:space="preserve">19:43</t>
  </si>
  <si>
    <t xml:space="preserve">C0418</t>
  </si>
  <si>
    <t xml:space="preserve">ORD10096</t>
  </si>
  <si>
    <t xml:space="preserve">2025-01-12</t>
  </si>
  <si>
    <t xml:space="preserve">22:59</t>
  </si>
  <si>
    <t xml:space="preserve">C0640</t>
  </si>
  <si>
    <t xml:space="preserve">ORD11492</t>
  </si>
  <si>
    <t xml:space="preserve">11:17</t>
  </si>
  <si>
    <t xml:space="preserve">ORD10604</t>
  </si>
  <si>
    <t xml:space="preserve">2025-03-17</t>
  </si>
  <si>
    <t xml:space="preserve">22:51</t>
  </si>
  <si>
    <t xml:space="preserve">C0480</t>
  </si>
  <si>
    <t xml:space="preserve">ORD10528</t>
  </si>
  <si>
    <t xml:space="preserve">2025-03-09</t>
  </si>
  <si>
    <t xml:space="preserve">20:28</t>
  </si>
  <si>
    <t xml:space="preserve">C1284</t>
  </si>
  <si>
    <t xml:space="preserve">BLR</t>
  </si>
  <si>
    <t xml:space="preserve">ORD11527</t>
  </si>
  <si>
    <t xml:space="preserve">2025-07-17</t>
  </si>
  <si>
    <t xml:space="preserve">19:34</t>
  </si>
  <si>
    <t xml:space="preserve">C0965</t>
  </si>
  <si>
    <t xml:space="preserve">ORD12104</t>
  </si>
  <si>
    <t xml:space="preserve">13:24</t>
  </si>
  <si>
    <t xml:space="preserve">C0750</t>
  </si>
  <si>
    <t xml:space="preserve">Delivered </t>
  </si>
  <si>
    <t xml:space="preserve">ORD11546</t>
  </si>
  <si>
    <t xml:space="preserve">2025-07-20</t>
  </si>
  <si>
    <t xml:space="preserve">22:40</t>
  </si>
  <si>
    <t xml:space="preserve">C0542</t>
  </si>
  <si>
    <t xml:space="preserve">ORD10743</t>
  </si>
  <si>
    <t xml:space="preserve">23:54</t>
  </si>
  <si>
    <t xml:space="preserve">C1013</t>
  </si>
  <si>
    <t xml:space="preserve">ORD12487</t>
  </si>
  <si>
    <t xml:space="preserve">2025-11-08</t>
  </si>
  <si>
    <t xml:space="preserve">C0021</t>
  </si>
  <si>
    <t xml:space="preserve">ORD11683</t>
  </si>
  <si>
    <t xml:space="preserve">2025-08-08</t>
  </si>
  <si>
    <t xml:space="preserve">11:29</t>
  </si>
  <si>
    <t xml:space="preserve">C0728</t>
  </si>
  <si>
    <t xml:space="preserve">ORD10820</t>
  </si>
  <si>
    <t xml:space="preserve">2025-04-14</t>
  </si>
  <si>
    <t xml:space="preserve">16:40</t>
  </si>
  <si>
    <t xml:space="preserve">C0757</t>
  </si>
  <si>
    <t xml:space="preserve">ORD10839</t>
  </si>
  <si>
    <t xml:space="preserve">2025-04-16</t>
  </si>
  <si>
    <t xml:space="preserve">20:03</t>
  </si>
  <si>
    <t xml:space="preserve">C0989</t>
  </si>
  <si>
    <t xml:space="preserve">ORD10738</t>
  </si>
  <si>
    <t xml:space="preserve">16:53</t>
  </si>
  <si>
    <t xml:space="preserve">C0476</t>
  </si>
  <si>
    <t xml:space="preserve"> Misal Mantra</t>
  </si>
  <si>
    <t xml:space="preserve">ORD12526</t>
  </si>
  <si>
    <t xml:space="preserve">12/11/2025</t>
  </si>
  <si>
    <t xml:space="preserve">12:46</t>
  </si>
  <si>
    <t xml:space="preserve">C0170</t>
  </si>
  <si>
    <t xml:space="preserve">ORD10122</t>
  </si>
  <si>
    <t xml:space="preserve">16/01/2025</t>
  </si>
  <si>
    <t xml:space="preserve">19:03</t>
  </si>
  <si>
    <t xml:space="preserve">C0822</t>
  </si>
  <si>
    <t xml:space="preserve">ORD10225</t>
  </si>
  <si>
    <t xml:space="preserve">2025-01-31</t>
  </si>
  <si>
    <t xml:space="preserve">14:54</t>
  </si>
  <si>
    <t xml:space="preserve">C1419</t>
  </si>
  <si>
    <t xml:space="preserve">ORD10805</t>
  </si>
  <si>
    <t xml:space="preserve">C0413</t>
  </si>
  <si>
    <t xml:space="preserve">Bombay</t>
  </si>
  <si>
    <t xml:space="preserve">ORD11366</t>
  </si>
  <si>
    <t xml:space="preserve">2025-06-24</t>
  </si>
  <si>
    <t xml:space="preserve">C1331</t>
  </si>
  <si>
    <t xml:space="preserve">ORD11550</t>
  </si>
  <si>
    <t xml:space="preserve">2025-07-21</t>
  </si>
  <si>
    <t xml:space="preserve">13:56</t>
  </si>
  <si>
    <t xml:space="preserve">C0856</t>
  </si>
  <si>
    <t xml:space="preserve">ORD11620</t>
  </si>
  <si>
    <t xml:space="preserve">2025-07-30</t>
  </si>
  <si>
    <t xml:space="preserve">11:56</t>
  </si>
  <si>
    <t xml:space="preserve">C0087</t>
  </si>
  <si>
    <t xml:space="preserve">ORD12845</t>
  </si>
  <si>
    <t xml:space="preserve">14/12/2025</t>
  </si>
  <si>
    <t xml:space="preserve">13:20</t>
  </si>
  <si>
    <t xml:space="preserve">C0140</t>
  </si>
  <si>
    <t xml:space="preserve">ORD10260</t>
  </si>
  <si>
    <t xml:space="preserve">2025-02-04</t>
  </si>
  <si>
    <t xml:space="preserve">C0028</t>
  </si>
  <si>
    <t xml:space="preserve">ORD11459</t>
  </si>
  <si>
    <t xml:space="preserve">2025-07-09</t>
  </si>
  <si>
    <t xml:space="preserve">19:06</t>
  </si>
  <si>
    <t xml:space="preserve">C1338</t>
  </si>
  <si>
    <t xml:space="preserve">DELHI</t>
  </si>
  <si>
    <t xml:space="preserve">ORD11831</t>
  </si>
  <si>
    <t xml:space="preserve">2025-08-27</t>
  </si>
  <si>
    <t xml:space="preserve">15:32</t>
  </si>
  <si>
    <t xml:space="preserve">C0747</t>
  </si>
  <si>
    <t xml:space="preserve">DC</t>
  </si>
  <si>
    <t xml:space="preserve">ORD12117</t>
  </si>
  <si>
    <t xml:space="preserve">2025-09-29</t>
  </si>
  <si>
    <t xml:space="preserve">18:36</t>
  </si>
  <si>
    <t xml:space="preserve">C0383</t>
  </si>
  <si>
    <t xml:space="preserve">CHINESE</t>
  </si>
  <si>
    <t xml:space="preserve">ORD11383</t>
  </si>
  <si>
    <t xml:space="preserve">2025-06-28</t>
  </si>
  <si>
    <t xml:space="preserve">11:02</t>
  </si>
  <si>
    <t xml:space="preserve">C0459</t>
  </si>
  <si>
    <t xml:space="preserve">ORD12038</t>
  </si>
  <si>
    <t xml:space="preserve">2025-09-20</t>
  </si>
  <si>
    <t xml:space="preserve">C1155</t>
  </si>
  <si>
    <t xml:space="preserve">ORD12102</t>
  </si>
  <si>
    <t xml:space="preserve">C0110</t>
  </si>
  <si>
    <t xml:space="preserve">ORD12333</t>
  </si>
  <si>
    <t xml:space="preserve">2025-10-21</t>
  </si>
  <si>
    <t xml:space="preserve">19:40</t>
  </si>
  <si>
    <t xml:space="preserve">C0530</t>
  </si>
  <si>
    <t xml:space="preserve">ORD12600</t>
  </si>
  <si>
    <t xml:space="preserve">2025-11-18</t>
  </si>
  <si>
    <t xml:space="preserve">11:20</t>
  </si>
  <si>
    <t xml:space="preserve">C0901</t>
  </si>
  <si>
    <t xml:space="preserve">ORD11817</t>
  </si>
  <si>
    <t xml:space="preserve">25/08/2025</t>
  </si>
  <si>
    <t xml:space="preserve">17:41</t>
  </si>
  <si>
    <t xml:space="preserve">C0631</t>
  </si>
  <si>
    <t xml:space="preserve">ORD12305</t>
  </si>
  <si>
    <t xml:space="preserve">2025-10-18</t>
  </si>
  <si>
    <t xml:space="preserve">18:12</t>
  </si>
  <si>
    <t xml:space="preserve">C0282</t>
  </si>
  <si>
    <t xml:space="preserve">ORD12415</t>
  </si>
  <si>
    <t xml:space="preserve">2025-10-31</t>
  </si>
  <si>
    <t xml:space="preserve">20:25</t>
  </si>
  <si>
    <t xml:space="preserve">C0667</t>
  </si>
  <si>
    <t xml:space="preserve">mumbai pizza co</t>
  </si>
  <si>
    <t xml:space="preserve">ORD11778</t>
  </si>
  <si>
    <t xml:space="preserve">2025-08-20</t>
  </si>
  <si>
    <t xml:space="preserve">16:18</t>
  </si>
  <si>
    <t xml:space="preserve">C1051</t>
  </si>
  <si>
    <t xml:space="preserve">NetBanking</t>
  </si>
  <si>
    <t xml:space="preserve">ORD11784</t>
  </si>
  <si>
    <t xml:space="preserve">20:19</t>
  </si>
  <si>
    <t xml:space="preserve">C0668</t>
  </si>
  <si>
    <t xml:space="preserve">MUMBAI PIZZA CO</t>
  </si>
  <si>
    <t xml:space="preserve">ORD11883</t>
  </si>
  <si>
    <t xml:space="preserve">02-Sep-2025</t>
  </si>
  <si>
    <t xml:space="preserve">21:43</t>
  </si>
  <si>
    <t xml:space="preserve">C1245</t>
  </si>
  <si>
    <t xml:space="preserve">ORD12273</t>
  </si>
  <si>
    <t xml:space="preserve">2025-10-15</t>
  </si>
  <si>
    <t xml:space="preserve">12:20</t>
  </si>
  <si>
    <t xml:space="preserve">C0317</t>
  </si>
  <si>
    <t xml:space="preserve">ORD10749</t>
  </si>
  <si>
    <t xml:space="preserve">05/04/2025</t>
  </si>
  <si>
    <t xml:space="preserve">20:04</t>
  </si>
  <si>
    <t xml:space="preserve">C0293</t>
  </si>
  <si>
    <t xml:space="preserve">ORD11923</t>
  </si>
  <si>
    <t xml:space="preserve">2025-09-06</t>
  </si>
  <si>
    <t xml:space="preserve">21:34</t>
  </si>
  <si>
    <t xml:space="preserve">C0236</t>
  </si>
  <si>
    <t xml:space="preserve">ORD12660</t>
  </si>
  <si>
    <t xml:space="preserve">12:31</t>
  </si>
  <si>
    <t xml:space="preserve">C0703</t>
  </si>
  <si>
    <t xml:space="preserve">ORD11777</t>
  </si>
  <si>
    <t xml:space="preserve">14:31</t>
  </si>
  <si>
    <t xml:space="preserve">C0228</t>
  </si>
  <si>
    <t xml:space="preserve">ORD11325</t>
  </si>
  <si>
    <t xml:space="preserve">2025-06-20</t>
  </si>
  <si>
    <t xml:space="preserve">12:30</t>
  </si>
  <si>
    <t xml:space="preserve">C0491</t>
  </si>
  <si>
    <t xml:space="preserve">ORD12900</t>
  </si>
  <si>
    <t xml:space="preserve">21/12/2025</t>
  </si>
  <si>
    <t xml:space="preserve">C0004</t>
  </si>
  <si>
    <t xml:space="preserve">ORD11594</t>
  </si>
  <si>
    <t xml:space="preserve">27-Jul-2025</t>
  </si>
  <si>
    <t xml:space="preserve">17:17</t>
  </si>
  <si>
    <t xml:space="preserve">C0743</t>
  </si>
  <si>
    <t xml:space="preserve">ORD10659</t>
  </si>
  <si>
    <t xml:space="preserve">25/03/2025</t>
  </si>
  <si>
    <t xml:space="preserve">11:12</t>
  </si>
  <si>
    <t xml:space="preserve">C0745</t>
  </si>
  <si>
    <t xml:space="preserve">ORD11969</t>
  </si>
  <si>
    <t xml:space="preserve">12-Sep-2025</t>
  </si>
  <si>
    <t xml:space="preserve">C0892</t>
  </si>
  <si>
    <t xml:space="preserve">ORD11707</t>
  </si>
  <si>
    <t xml:space="preserve">2025-08-12</t>
  </si>
  <si>
    <t xml:space="preserve">C1433</t>
  </si>
  <si>
    <t xml:space="preserve">ORD11983</t>
  </si>
  <si>
    <t xml:space="preserve">2025-09-14</t>
  </si>
  <si>
    <t xml:space="preserve">00:54</t>
  </si>
  <si>
    <t xml:space="preserve">C1240</t>
  </si>
  <si>
    <t xml:space="preserve">ORD10281</t>
  </si>
  <si>
    <t xml:space="preserve">21:59</t>
  </si>
  <si>
    <t xml:space="preserve">C0255</t>
  </si>
  <si>
    <t xml:space="preserve">ORD12531</t>
  </si>
  <si>
    <t xml:space="preserve">19:04</t>
  </si>
  <si>
    <t xml:space="preserve">C1385</t>
  </si>
  <si>
    <t xml:space="preserve">ORD11746</t>
  </si>
  <si>
    <t xml:space="preserve">2025-08-16</t>
  </si>
  <si>
    <t xml:space="preserve">23:03</t>
  </si>
  <si>
    <t xml:space="preserve">C1320</t>
  </si>
  <si>
    <t xml:space="preserve">ORD12093</t>
  </si>
  <si>
    <t xml:space="preserve">2025-09-26</t>
  </si>
  <si>
    <t xml:space="preserve">20:09</t>
  </si>
  <si>
    <t xml:space="preserve">C1189</t>
  </si>
  <si>
    <t xml:space="preserve">ORD11538</t>
  </si>
  <si>
    <t xml:space="preserve">2025-07-19</t>
  </si>
  <si>
    <t xml:space="preserve">12:59</t>
  </si>
  <si>
    <t xml:space="preserve">C0054</t>
  </si>
  <si>
    <t xml:space="preserve">ORD12753</t>
  </si>
  <si>
    <t xml:space="preserve">2025-12-02</t>
  </si>
  <si>
    <t xml:space="preserve">20:38</t>
  </si>
  <si>
    <t xml:space="preserve">C0327</t>
  </si>
  <si>
    <t xml:space="preserve">ORD10841</t>
  </si>
  <si>
    <t xml:space="preserve">C0324</t>
  </si>
  <si>
    <t xml:space="preserve">ORD12865</t>
  </si>
  <si>
    <t xml:space="preserve">2025-12-17</t>
  </si>
  <si>
    <t xml:space="preserve">13:27</t>
  </si>
  <si>
    <t xml:space="preserve">C1199</t>
  </si>
  <si>
    <t xml:space="preserve"> Sweet Tooth Studio</t>
  </si>
  <si>
    <t xml:space="preserve">ORD11210</t>
  </si>
  <si>
    <t xml:space="preserve">2025-06-02</t>
  </si>
  <si>
    <t xml:space="preserve">21:56</t>
  </si>
  <si>
    <t xml:space="preserve">ORD12441</t>
  </si>
  <si>
    <t xml:space="preserve">12:53</t>
  </si>
  <si>
    <t xml:space="preserve">C1467</t>
  </si>
  <si>
    <t xml:space="preserve">ORD11145</t>
  </si>
  <si>
    <t xml:space="preserve">2025-05-26</t>
  </si>
  <si>
    <t xml:space="preserve">19:22</t>
  </si>
  <si>
    <t xml:space="preserve">ORD11309</t>
  </si>
  <si>
    <t xml:space="preserve">18-Jun-2025</t>
  </si>
  <si>
    <t xml:space="preserve">C0610</t>
  </si>
  <si>
    <t xml:space="preserve">ORD12978</t>
  </si>
  <si>
    <t xml:space="preserve">2025-12-29</t>
  </si>
  <si>
    <t xml:space="preserve">12:35</t>
  </si>
  <si>
    <t xml:space="preserve">C0894</t>
  </si>
  <si>
    <t xml:space="preserve">ORD10865</t>
  </si>
  <si>
    <t xml:space="preserve">19/04/2025</t>
  </si>
  <si>
    <t xml:space="preserve">C1010</t>
  </si>
  <si>
    <t xml:space="preserve">ORD10420</t>
  </si>
  <si>
    <t xml:space="preserve">2025-02-26</t>
  </si>
  <si>
    <t xml:space="preserve">13:33</t>
  </si>
  <si>
    <t xml:space="preserve">C0765</t>
  </si>
  <si>
    <t xml:space="preserve">ORD12548</t>
  </si>
  <si>
    <t xml:space="preserve">2025-11-14</t>
  </si>
  <si>
    <t xml:space="preserve">10:47</t>
  </si>
  <si>
    <t xml:space="preserve">C1316</t>
  </si>
  <si>
    <t xml:space="preserve">ORD10695</t>
  </si>
  <si>
    <t xml:space="preserve">12:32</t>
  </si>
  <si>
    <t xml:space="preserve">C0671</t>
  </si>
  <si>
    <t xml:space="preserve">ORD10663</t>
  </si>
  <si>
    <t xml:space="preserve">2025-03-26</t>
  </si>
  <si>
    <t xml:space="preserve">11:00</t>
  </si>
  <si>
    <t xml:space="preserve">C1369</t>
  </si>
  <si>
    <t xml:space="preserve">chaat corner</t>
  </si>
  <si>
    <t xml:space="preserve">ORD11806</t>
  </si>
  <si>
    <t xml:space="preserve">10:57</t>
  </si>
  <si>
    <t xml:space="preserve">C1475</t>
  </si>
  <si>
    <t xml:space="preserve">ORD12751</t>
  </si>
  <si>
    <t xml:space="preserve">19:57</t>
  </si>
  <si>
    <t xml:space="preserve">C0213</t>
  </si>
  <si>
    <t xml:space="preserve">ORD10524</t>
  </si>
  <si>
    <t xml:space="preserve">18:16</t>
  </si>
  <si>
    <t xml:space="preserve">C0311</t>
  </si>
  <si>
    <t xml:space="preserve">ORD12902</t>
  </si>
  <si>
    <t xml:space="preserve">21-Dec-2025</t>
  </si>
  <si>
    <t xml:space="preserve">11:10</t>
  </si>
  <si>
    <t xml:space="preserve">C0188</t>
  </si>
  <si>
    <t xml:space="preserve">ORD11785</t>
  </si>
  <si>
    <t xml:space="preserve">2025-08-21</t>
  </si>
  <si>
    <t xml:space="preserve">11:46</t>
  </si>
  <si>
    <t xml:space="preserve">C1028</t>
  </si>
  <si>
    <t xml:space="preserve">ORD10770</t>
  </si>
  <si>
    <t xml:space="preserve">2025-04-07</t>
  </si>
  <si>
    <t xml:space="preserve">C0431</t>
  </si>
  <si>
    <t xml:space="preserve">CHENNAI </t>
  </si>
  <si>
    <t xml:space="preserve">ORD10283</t>
  </si>
  <si>
    <t xml:space="preserve">2025-02-08</t>
  </si>
  <si>
    <t xml:space="preserve">00:53</t>
  </si>
  <si>
    <t xml:space="preserve">C0874</t>
  </si>
  <si>
    <t xml:space="preserve">Momo Magic </t>
  </si>
  <si>
    <t xml:space="preserve">ORD10667</t>
  </si>
  <si>
    <t xml:space="preserve">18:48</t>
  </si>
  <si>
    <t xml:space="preserve">C1224</t>
  </si>
  <si>
    <t xml:space="preserve">Curry  Leaf Kitchen</t>
  </si>
  <si>
    <t xml:space="preserve">ORD10670</t>
  </si>
  <si>
    <t xml:space="preserve">C0834</t>
  </si>
  <si>
    <t xml:space="preserve">ORD11276</t>
  </si>
  <si>
    <t xml:space="preserve">2025-06-11</t>
  </si>
  <si>
    <t xml:space="preserve">22:30</t>
  </si>
  <si>
    <t xml:space="preserve">Cake  Walk</t>
  </si>
  <si>
    <t xml:space="preserve">ORD12135</t>
  </si>
  <si>
    <t xml:space="preserve">01/10/2025</t>
  </si>
  <si>
    <t xml:space="preserve">12:26</t>
  </si>
  <si>
    <t xml:space="preserve">C1430</t>
  </si>
  <si>
    <t xml:space="preserve">ORD10613</t>
  </si>
  <si>
    <t xml:space="preserve">2025-03-18</t>
  </si>
  <si>
    <t xml:space="preserve">19:01</t>
  </si>
  <si>
    <t xml:space="preserve">C0330</t>
  </si>
  <si>
    <t xml:space="preserve">ORD10632</t>
  </si>
  <si>
    <t xml:space="preserve">2025-03-21</t>
  </si>
  <si>
    <t xml:space="preserve">C1293</t>
  </si>
  <si>
    <t xml:space="preserve">BENGALURU</t>
  </si>
  <si>
    <t xml:space="preserve">ORD12222</t>
  </si>
  <si>
    <t xml:space="preserve">2025-10-09</t>
  </si>
  <si>
    <t xml:space="preserve">19:07</t>
  </si>
  <si>
    <t xml:space="preserve">C0325</t>
  </si>
  <si>
    <t xml:space="preserve">ORD10864</t>
  </si>
  <si>
    <t xml:space="preserve">2025-04-19</t>
  </si>
  <si>
    <t xml:space="preserve">11:14</t>
  </si>
  <si>
    <t xml:space="preserve">C0519</t>
  </si>
  <si>
    <t xml:space="preserve">ORD10796</t>
  </si>
  <si>
    <t xml:space="preserve">2025-04-11</t>
  </si>
  <si>
    <t xml:space="preserve">C1277</t>
  </si>
  <si>
    <t xml:space="preserve">ORD10445</t>
  </si>
  <si>
    <t xml:space="preserve">01/03/2025</t>
  </si>
  <si>
    <t xml:space="preserve">11:09</t>
  </si>
  <si>
    <t xml:space="preserve">C1096</t>
  </si>
  <si>
    <t xml:space="preserve">ORD12188</t>
  </si>
  <si>
    <t xml:space="preserve">05/10/2025</t>
  </si>
  <si>
    <t xml:space="preserve">22:03</t>
  </si>
  <si>
    <t xml:space="preserve">ORD10733</t>
  </si>
  <si>
    <t xml:space="preserve">11:16</t>
  </si>
  <si>
    <t xml:space="preserve">ORD12229</t>
  </si>
  <si>
    <t xml:space="preserve">10/10/2025</t>
  </si>
  <si>
    <t xml:space="preserve">C0685</t>
  </si>
  <si>
    <t xml:space="preserve">ORD12078</t>
  </si>
  <si>
    <t xml:space="preserve">2025-09-25</t>
  </si>
  <si>
    <t xml:space="preserve">11:24</t>
  </si>
  <si>
    <t xml:space="preserve">Delhi </t>
  </si>
  <si>
    <t xml:space="preserve">ORD12810</t>
  </si>
  <si>
    <t xml:space="preserve">2025-12-10</t>
  </si>
  <si>
    <t xml:space="preserve">11:50</t>
  </si>
  <si>
    <t xml:space="preserve">C0609</t>
  </si>
  <si>
    <t xml:space="preserve">ORD10428</t>
  </si>
  <si>
    <t xml:space="preserve">13:50</t>
  </si>
  <si>
    <t xml:space="preserve">C0167</t>
  </si>
  <si>
    <t xml:space="preserve">pizza</t>
  </si>
  <si>
    <t xml:space="preserve">ORD10413</t>
  </si>
  <si>
    <t xml:space="preserve">C1437</t>
  </si>
  <si>
    <t xml:space="preserve">ORD12576</t>
  </si>
  <si>
    <t xml:space="preserve">2025-11-15</t>
  </si>
  <si>
    <t xml:space="preserve">20:43</t>
  </si>
  <si>
    <t xml:space="preserve">C1024</t>
  </si>
  <si>
    <t xml:space="preserve">ORD11415</t>
  </si>
  <si>
    <t xml:space="preserve">15:53</t>
  </si>
  <si>
    <t xml:space="preserve">C0285</t>
  </si>
  <si>
    <t xml:space="preserve">ORD12424</t>
  </si>
  <si>
    <t xml:space="preserve">01-Nov-2025</t>
  </si>
  <si>
    <t xml:space="preserve">16:13</t>
  </si>
  <si>
    <t xml:space="preserve">C0816</t>
  </si>
  <si>
    <t xml:space="preserve">ORD11782</t>
  </si>
  <si>
    <t xml:space="preserve">18:28</t>
  </si>
  <si>
    <t xml:space="preserve">C0374</t>
  </si>
  <si>
    <t xml:space="preserve">ORD10046</t>
  </si>
  <si>
    <t xml:space="preserve">2025-01-07</t>
  </si>
  <si>
    <t xml:space="preserve">15:33</t>
  </si>
  <si>
    <t xml:space="preserve">C0674</t>
  </si>
  <si>
    <t xml:space="preserve">Bengaluru </t>
  </si>
  <si>
    <t xml:space="preserve">ORD12867</t>
  </si>
  <si>
    <t xml:space="preserve">17/12/2025</t>
  </si>
  <si>
    <t xml:space="preserve">19:35</t>
  </si>
  <si>
    <t xml:space="preserve">C0060</t>
  </si>
  <si>
    <t xml:space="preserve">ORD12501</t>
  </si>
  <si>
    <t xml:space="preserve">2025-11-10</t>
  </si>
  <si>
    <t xml:space="preserve">11:38</t>
  </si>
  <si>
    <t xml:space="preserve">C1040</t>
  </si>
  <si>
    <t xml:space="preserve">ORD11484</t>
  </si>
  <si>
    <t xml:space="preserve">2025-07-12</t>
  </si>
  <si>
    <t xml:space="preserve">13:38</t>
  </si>
  <si>
    <t xml:space="preserve">C0944</t>
  </si>
  <si>
    <t xml:space="preserve">Pune  Burger Hub</t>
  </si>
  <si>
    <t xml:space="preserve">ORD11135</t>
  </si>
  <si>
    <t xml:space="preserve">2025-05-24</t>
  </si>
  <si>
    <t xml:space="preserve">21:24</t>
  </si>
  <si>
    <t xml:space="preserve">ORD11967</t>
  </si>
  <si>
    <t xml:space="preserve">2025-09-12</t>
  </si>
  <si>
    <t xml:space="preserve">14:12</t>
  </si>
  <si>
    <t xml:space="preserve">C1035</t>
  </si>
  <si>
    <t xml:space="preserve">Madras</t>
  </si>
  <si>
    <t xml:space="preserve">ORD12586</t>
  </si>
  <si>
    <t xml:space="preserve">2025-11-16</t>
  </si>
  <si>
    <t xml:space="preserve">19:49</t>
  </si>
  <si>
    <t xml:space="preserve">C0647</t>
  </si>
  <si>
    <t xml:space="preserve">Dragon Express </t>
  </si>
  <si>
    <t xml:space="preserve">ORD10641</t>
  </si>
  <si>
    <t xml:space="preserve">2025-03-23</t>
  </si>
  <si>
    <t xml:space="preserve">C1336</t>
  </si>
  <si>
    <t xml:space="preserve">ORD12356</t>
  </si>
  <si>
    <t xml:space="preserve">23/10/2025</t>
  </si>
  <si>
    <t xml:space="preserve">20:53</t>
  </si>
  <si>
    <t xml:space="preserve">C0355</t>
  </si>
  <si>
    <t xml:space="preserve">ORD11525</t>
  </si>
  <si>
    <t xml:space="preserve">17/07/2025</t>
  </si>
  <si>
    <t xml:space="preserve">17:15</t>
  </si>
  <si>
    <t xml:space="preserve">C0602</t>
  </si>
  <si>
    <t xml:space="preserve">ORD12773</t>
  </si>
  <si>
    <t xml:space="preserve">2025-12-05</t>
  </si>
  <si>
    <t xml:space="preserve">15:36</t>
  </si>
  <si>
    <t xml:space="preserve">C0650</t>
  </si>
  <si>
    <t xml:space="preserve">ORD12545</t>
  </si>
  <si>
    <t xml:space="preserve">2025-11-13</t>
  </si>
  <si>
    <t xml:space="preserve">22:06</t>
  </si>
  <si>
    <t xml:space="preserve">C1148</t>
  </si>
  <si>
    <t xml:space="preserve">ORD12711</t>
  </si>
  <si>
    <t xml:space="preserve">08:40</t>
  </si>
  <si>
    <t xml:space="preserve">C0406</t>
  </si>
  <si>
    <t xml:space="preserve">ORD12966</t>
  </si>
  <si>
    <t xml:space="preserve">2025-12-28</t>
  </si>
  <si>
    <t xml:space="preserve">C0412</t>
  </si>
  <si>
    <t xml:space="preserve">ORD10441</t>
  </si>
  <si>
    <t xml:space="preserve">2025-02-28</t>
  </si>
  <si>
    <t xml:space="preserve">19:46</t>
  </si>
  <si>
    <t xml:space="preserve">C0393</t>
  </si>
  <si>
    <t xml:space="preserve">ORD10415</t>
  </si>
  <si>
    <t xml:space="preserve">17:57</t>
  </si>
  <si>
    <t xml:space="preserve">C0923</t>
  </si>
  <si>
    <t xml:space="preserve">STREET FOOD</t>
  </si>
  <si>
    <t xml:space="preserve">ORD12730</t>
  </si>
  <si>
    <t xml:space="preserve">11:27</t>
  </si>
  <si>
    <t xml:space="preserve">C0672</t>
  </si>
  <si>
    <t xml:space="preserve">ORD12846</t>
  </si>
  <si>
    <t xml:space="preserve">2025-12-14</t>
  </si>
  <si>
    <t xml:space="preserve">16:06</t>
  </si>
  <si>
    <t xml:space="preserve">C0264</t>
  </si>
  <si>
    <t xml:space="preserve">ORD12486</t>
  </si>
  <si>
    <t xml:space="preserve">15:19</t>
  </si>
  <si>
    <t xml:space="preserve">ORD10946</t>
  </si>
  <si>
    <t xml:space="preserve">2025-04-29</t>
  </si>
  <si>
    <t xml:space="preserve">21:04</t>
  </si>
  <si>
    <t xml:space="preserve">C0802</t>
  </si>
  <si>
    <t xml:space="preserve">ORD11875</t>
  </si>
  <si>
    <t xml:space="preserve">2025-09-01</t>
  </si>
  <si>
    <t xml:space="preserve">C1476</t>
  </si>
  <si>
    <t xml:space="preserve">ORD10090</t>
  </si>
  <si>
    <t xml:space="preserve">19:00</t>
  </si>
  <si>
    <t xml:space="preserve">C0648</t>
  </si>
  <si>
    <t xml:space="preserve">ORD12634</t>
  </si>
  <si>
    <t xml:space="preserve">2025-11-22</t>
  </si>
  <si>
    <t xml:space="preserve">10:06</t>
  </si>
  <si>
    <t xml:space="preserve">C1014</t>
  </si>
  <si>
    <t xml:space="preserve">ORD11322</t>
  </si>
  <si>
    <t xml:space="preserve">2025-06-19</t>
  </si>
  <si>
    <t xml:space="preserve">22:14</t>
  </si>
  <si>
    <t xml:space="preserve">ORD12497</t>
  </si>
  <si>
    <t xml:space="preserve">09-Nov-2025</t>
  </si>
  <si>
    <t xml:space="preserve">C0128</t>
  </si>
  <si>
    <t xml:space="preserve">ORD12921</t>
  </si>
  <si>
    <t xml:space="preserve">2025-12-23</t>
  </si>
  <si>
    <t xml:space="preserve">00:43</t>
  </si>
  <si>
    <t xml:space="preserve">C0069</t>
  </si>
  <si>
    <t xml:space="preserve">ORD11934</t>
  </si>
  <si>
    <t xml:space="preserve">2025-09-08</t>
  </si>
  <si>
    <t xml:space="preserve">C0701</t>
  </si>
  <si>
    <t xml:space="preserve">ORD12731</t>
  </si>
  <si>
    <t xml:space="preserve">01/12/2025</t>
  </si>
  <si>
    <t xml:space="preserve">13:42</t>
  </si>
  <si>
    <t xml:space="preserve">C0114</t>
  </si>
  <si>
    <t xml:space="preserve">ORD10834</t>
  </si>
  <si>
    <t xml:space="preserve">12:47</t>
  </si>
  <si>
    <t xml:space="preserve">C1435</t>
  </si>
  <si>
    <t xml:space="preserve">ORD12311</t>
  </si>
  <si>
    <t xml:space="preserve">21:27</t>
  </si>
  <si>
    <t xml:space="preserve">C0704</t>
  </si>
  <si>
    <t xml:space="preserve">ORD12536</t>
  </si>
  <si>
    <t xml:space="preserve">2025-11-12</t>
  </si>
  <si>
    <t xml:space="preserve">21:15</t>
  </si>
  <si>
    <t xml:space="preserve">ORD10986</t>
  </si>
  <si>
    <t xml:space="preserve">05-May-2025</t>
  </si>
  <si>
    <t xml:space="preserve">12:15</t>
  </si>
  <si>
    <t xml:space="preserve">C1366</t>
  </si>
  <si>
    <t xml:space="preserve">ORD12362</t>
  </si>
  <si>
    <t xml:space="preserve">2025-10-24</t>
  </si>
  <si>
    <t xml:space="preserve">C0211</t>
  </si>
  <si>
    <t xml:space="preserve">AHMEDABAD</t>
  </si>
  <si>
    <t xml:space="preserve">ORD12406</t>
  </si>
  <si>
    <t xml:space="preserve">2025-10-30</t>
  </si>
  <si>
    <t xml:space="preserve">23:58</t>
  </si>
  <si>
    <t xml:space="preserve">C0467</t>
  </si>
  <si>
    <t xml:space="preserve">ORD12745</t>
  </si>
  <si>
    <t xml:space="preserve">11:47</t>
  </si>
  <si>
    <t xml:space="preserve">C0417</t>
  </si>
  <si>
    <t xml:space="preserve">ORD10891</t>
  </si>
  <si>
    <t xml:space="preserve">C0938</t>
  </si>
  <si>
    <t xml:space="preserve">ORD10173</t>
  </si>
  <si>
    <t xml:space="preserve">2025-01-23</t>
  </si>
  <si>
    <t xml:space="preserve">ORD12575</t>
  </si>
  <si>
    <t xml:space="preserve">20:15</t>
  </si>
  <si>
    <t xml:space="preserve">C0141</t>
  </si>
  <si>
    <t xml:space="preserve">ORD11074</t>
  </si>
  <si>
    <t xml:space="preserve">2025-05-16</t>
  </si>
  <si>
    <t xml:space="preserve">15:13</t>
  </si>
  <si>
    <t xml:space="preserve">C1462</t>
  </si>
  <si>
    <t xml:space="preserve">ORD12163</t>
  </si>
  <si>
    <t xml:space="preserve">2025-10-03</t>
  </si>
  <si>
    <t xml:space="preserve">C0562</t>
  </si>
  <si>
    <t xml:space="preserve">ORD10111</t>
  </si>
  <si>
    <t xml:space="preserve">2025-01-14</t>
  </si>
  <si>
    <t xml:space="preserve">ORD10071</t>
  </si>
  <si>
    <t xml:space="preserve">2025-01-10</t>
  </si>
  <si>
    <t xml:space="preserve">18:51</t>
  </si>
  <si>
    <t xml:space="preserve">Bangalore</t>
  </si>
  <si>
    <t xml:space="preserve">ORD11507</t>
  </si>
  <si>
    <t xml:space="preserve">20:56</t>
  </si>
  <si>
    <t xml:space="preserve">C0490</t>
  </si>
  <si>
    <t xml:space="preserve">ORD11966</t>
  </si>
  <si>
    <t xml:space="preserve">ORD11079</t>
  </si>
  <si>
    <t xml:space="preserve">17-May-2025</t>
  </si>
  <si>
    <t xml:space="preserve">14:41</t>
  </si>
  <si>
    <t xml:space="preserve">C0601</t>
  </si>
  <si>
    <t xml:space="preserve">ORD10869</t>
  </si>
  <si>
    <t xml:space="preserve">2025-04-20</t>
  </si>
  <si>
    <t xml:space="preserve">13:14</t>
  </si>
  <si>
    <t xml:space="preserve">C0305</t>
  </si>
  <si>
    <t xml:space="preserve">Nawabi Biryani House </t>
  </si>
  <si>
    <t xml:space="preserve">ORD12919</t>
  </si>
  <si>
    <t xml:space="preserve">2025-12-22</t>
  </si>
  <si>
    <t xml:space="preserve">21:57</t>
  </si>
  <si>
    <t xml:space="preserve">C0399</t>
  </si>
  <si>
    <t xml:space="preserve">ORD11780</t>
  </si>
  <si>
    <t xml:space="preserve">17:59</t>
  </si>
  <si>
    <t xml:space="preserve">C0622</t>
  </si>
  <si>
    <t xml:space="preserve">Tandoor  Tales</t>
  </si>
  <si>
    <t xml:space="preserve">ORD11916</t>
  </si>
  <si>
    <t xml:space="preserve">06/09/2025</t>
  </si>
  <si>
    <t xml:space="preserve">10:48</t>
  </si>
  <si>
    <t xml:space="preserve">C0572</t>
  </si>
  <si>
    <t xml:space="preserve">ORD11446</t>
  </si>
  <si>
    <t xml:space="preserve">2025-07-07</t>
  </si>
  <si>
    <t xml:space="preserve">C1291</t>
  </si>
  <si>
    <t xml:space="preserve">ORD10035</t>
  </si>
  <si>
    <t xml:space="preserve">2025-01-05</t>
  </si>
  <si>
    <t xml:space="preserve">ORD10936</t>
  </si>
  <si>
    <t xml:space="preserve">2025-04-28</t>
  </si>
  <si>
    <t xml:space="preserve">20:00</t>
  </si>
  <si>
    <t xml:space="preserve">C0741</t>
  </si>
  <si>
    <t xml:space="preserve">ORD10993</t>
  </si>
  <si>
    <t xml:space="preserve">2025-05-06</t>
  </si>
  <si>
    <t xml:space="preserve">C1416</t>
  </si>
  <si>
    <t xml:space="preserve">Pune Burger Hub </t>
  </si>
  <si>
    <t xml:space="preserve">ORD11224</t>
  </si>
  <si>
    <t xml:space="preserve">2025-06-04</t>
  </si>
  <si>
    <t xml:space="preserve">13:49</t>
  </si>
  <si>
    <t xml:space="preserve">C1236</t>
  </si>
  <si>
    <t xml:space="preserve">Paytm Wallet</t>
  </si>
  <si>
    <t xml:space="preserve">ORD10804</t>
  </si>
  <si>
    <t xml:space="preserve">09:08</t>
  </si>
  <si>
    <t xml:space="preserve">C0036</t>
  </si>
  <si>
    <t xml:space="preserve">ORD10362</t>
  </si>
  <si>
    <t xml:space="preserve">20:20</t>
  </si>
  <si>
    <t xml:space="preserve">C0720</t>
  </si>
  <si>
    <t xml:space="preserve">ORD10421</t>
  </si>
  <si>
    <t xml:space="preserve">17:14</t>
  </si>
  <si>
    <t xml:space="preserve">ORD10427</t>
  </si>
  <si>
    <t xml:space="preserve">11:52</t>
  </si>
  <si>
    <t xml:space="preserve">C1144</t>
  </si>
  <si>
    <t xml:space="preserve">ORD10620</t>
  </si>
  <si>
    <t xml:space="preserve">2025-03-19</t>
  </si>
  <si>
    <t xml:space="preserve">C0143</t>
  </si>
  <si>
    <t xml:space="preserve">ORD10376</t>
  </si>
  <si>
    <t xml:space="preserve">15:40</t>
  </si>
  <si>
    <t xml:space="preserve">C0775</t>
  </si>
  <si>
    <t xml:space="preserve">ORD10031</t>
  </si>
  <si>
    <t xml:space="preserve">C0769</t>
  </si>
  <si>
    <t xml:space="preserve">ORD10373</t>
  </si>
  <si>
    <t xml:space="preserve">10:50</t>
  </si>
  <si>
    <t xml:space="preserve">C1138</t>
  </si>
  <si>
    <t xml:space="preserve">ORD10341</t>
  </si>
  <si>
    <t xml:space="preserve">2025-02-15</t>
  </si>
  <si>
    <t xml:space="preserve">12:06</t>
  </si>
  <si>
    <t xml:space="preserve">C1190</t>
  </si>
  <si>
    <t xml:space="preserve">ORD10585</t>
  </si>
  <si>
    <t xml:space="preserve">22:53</t>
  </si>
  <si>
    <t xml:space="preserve">C0776</t>
  </si>
  <si>
    <t xml:space="preserve">ORD10119</t>
  </si>
  <si>
    <t xml:space="preserve">C1193</t>
  </si>
  <si>
    <t xml:space="preserve">BURGERS</t>
  </si>
  <si>
    <t xml:space="preserve">ORD12527</t>
  </si>
  <si>
    <t xml:space="preserve">12:54</t>
  </si>
  <si>
    <t xml:space="preserve">C0135</t>
  </si>
  <si>
    <t xml:space="preserve">ORD11326</t>
  </si>
  <si>
    <t xml:space="preserve">17:54</t>
  </si>
  <si>
    <t xml:space="preserve">C1007</t>
  </si>
  <si>
    <t xml:space="preserve">ORD12091</t>
  </si>
  <si>
    <t xml:space="preserve">17:29</t>
  </si>
  <si>
    <t xml:space="preserve">C0920</t>
  </si>
  <si>
    <t xml:space="preserve">ORD11392</t>
  </si>
  <si>
    <t xml:space="preserve">29/06/2025</t>
  </si>
  <si>
    <t xml:space="preserve">22:41</t>
  </si>
  <si>
    <t xml:space="preserve">C0945</t>
  </si>
  <si>
    <t xml:space="preserve">ORD11716</t>
  </si>
  <si>
    <t xml:space="preserve">13/08/2025</t>
  </si>
  <si>
    <t xml:space="preserve">19:25</t>
  </si>
  <si>
    <t xml:space="preserve">C1422</t>
  </si>
  <si>
    <t xml:space="preserve">ORD12383</t>
  </si>
  <si>
    <t xml:space="preserve">28-Oct-2025</t>
  </si>
  <si>
    <t xml:space="preserve">10:39</t>
  </si>
  <si>
    <t xml:space="preserve">ORD11087</t>
  </si>
  <si>
    <t xml:space="preserve">18/05/2025</t>
  </si>
  <si>
    <t xml:space="preserve">15:09</t>
  </si>
  <si>
    <t xml:space="preserve">C0174</t>
  </si>
  <si>
    <t xml:space="preserve">ORD10306</t>
  </si>
  <si>
    <t xml:space="preserve">2025-02-11</t>
  </si>
  <si>
    <t xml:space="preserve">10:11</t>
  </si>
  <si>
    <t xml:space="preserve">C0002</t>
  </si>
  <si>
    <t xml:space="preserve">ORD12583</t>
  </si>
  <si>
    <t xml:space="preserve">C0097</t>
  </si>
  <si>
    <t xml:space="preserve">ORD10638</t>
  </si>
  <si>
    <t xml:space="preserve">22-Mar-2025</t>
  </si>
  <si>
    <t xml:space="preserve">15:54</t>
  </si>
  <si>
    <t xml:space="preserve">C0862</t>
  </si>
  <si>
    <t xml:space="preserve">ORD11266</t>
  </si>
  <si>
    <t xml:space="preserve">C0107</t>
  </si>
  <si>
    <t xml:space="preserve">ORD11041</t>
  </si>
  <si>
    <t xml:space="preserve">11/05/2025</t>
  </si>
  <si>
    <t xml:space="preserve">C0976</t>
  </si>
  <si>
    <t xml:space="preserve">ORD10708</t>
  </si>
  <si>
    <t xml:space="preserve">30/03/2025</t>
  </si>
  <si>
    <t xml:space="preserve">C1483</t>
  </si>
  <si>
    <t xml:space="preserve">ORD11705</t>
  </si>
  <si>
    <t xml:space="preserve">C1455</t>
  </si>
  <si>
    <t xml:space="preserve">ORD11662</t>
  </si>
  <si>
    <t xml:space="preserve">2025-08-05</t>
  </si>
  <si>
    <t xml:space="preserve">12:29</t>
  </si>
  <si>
    <t xml:space="preserve">C1499</t>
  </si>
  <si>
    <t xml:space="preserve">ORD12758</t>
  </si>
  <si>
    <t xml:space="preserve">03/12/2025</t>
  </si>
  <si>
    <t xml:space="preserve">13:36</t>
  </si>
  <si>
    <t xml:space="preserve">C1458</t>
  </si>
  <si>
    <t xml:space="preserve">ORD10469</t>
  </si>
  <si>
    <t xml:space="preserve">2025-03-03</t>
  </si>
  <si>
    <t xml:space="preserve">20:49</t>
  </si>
  <si>
    <t xml:space="preserve">C1149</t>
  </si>
  <si>
    <t xml:space="preserve">ORD12519</t>
  </si>
  <si>
    <t xml:space="preserve">2025-11-11</t>
  </si>
  <si>
    <t xml:space="preserve">21:10</t>
  </si>
  <si>
    <t xml:space="preserve">C0966</t>
  </si>
  <si>
    <t xml:space="preserve">ORD10080</t>
  </si>
  <si>
    <t xml:space="preserve">2025-01-11</t>
  </si>
  <si>
    <t xml:space="preserve">19:14</t>
  </si>
  <si>
    <t xml:space="preserve">C0662</t>
  </si>
  <si>
    <t xml:space="preserve">ORD12942</t>
  </si>
  <si>
    <t xml:space="preserve">2025-12-25</t>
  </si>
  <si>
    <t xml:space="preserve">C1271</t>
  </si>
  <si>
    <t xml:space="preserve">ORD10735</t>
  </si>
  <si>
    <t xml:space="preserve">C0699</t>
  </si>
  <si>
    <t xml:space="preserve">ORD10848</t>
  </si>
  <si>
    <t xml:space="preserve">17/04/2025</t>
  </si>
  <si>
    <t xml:space="preserve">C1097</t>
  </si>
  <si>
    <t xml:space="preserve">ORD12969</t>
  </si>
  <si>
    <t xml:space="preserve">C0939</t>
  </si>
  <si>
    <t xml:space="preserve">ORD12320</t>
  </si>
  <si>
    <t xml:space="preserve">2025-10-19</t>
  </si>
  <si>
    <t xml:space="preserve">21:23</t>
  </si>
  <si>
    <t xml:space="preserve">C0204</t>
  </si>
  <si>
    <t xml:space="preserve">ORD11577</t>
  </si>
  <si>
    <t xml:space="preserve">25/07/2025</t>
  </si>
  <si>
    <t xml:space="preserve">09:13</t>
  </si>
  <si>
    <t xml:space="preserve">ORD10758</t>
  </si>
  <si>
    <t xml:space="preserve">2025-04-06</t>
  </si>
  <si>
    <t xml:space="preserve">19:47</t>
  </si>
  <si>
    <t xml:space="preserve">C1191</t>
  </si>
  <si>
    <t xml:space="preserve">ORD11885</t>
  </si>
  <si>
    <t xml:space="preserve">03/09/2025</t>
  </si>
  <si>
    <t xml:space="preserve">10:37</t>
  </si>
  <si>
    <t xml:space="preserve">ORD12315</t>
  </si>
  <si>
    <t xml:space="preserve">C0057</t>
  </si>
  <si>
    <t xml:space="preserve">BURGER BARN</t>
  </si>
  <si>
    <t xml:space="preserve">ORD12375</t>
  </si>
  <si>
    <t xml:space="preserve">2025-10-26</t>
  </si>
  <si>
    <t xml:space="preserve">C1078</t>
  </si>
  <si>
    <t xml:space="preserve">SPICE JUNCTION</t>
  </si>
  <si>
    <t xml:space="preserve">ORD11990</t>
  </si>
  <si>
    <t xml:space="preserve">14-Sep-2025</t>
  </si>
  <si>
    <t xml:space="preserve">19:59</t>
  </si>
  <si>
    <t xml:space="preserve">C0538</t>
  </si>
  <si>
    <t xml:space="preserve">ORD10475</t>
  </si>
  <si>
    <t xml:space="preserve">2025-03-04</t>
  </si>
  <si>
    <t xml:space="preserve">22:07</t>
  </si>
  <si>
    <t xml:space="preserve">C0081</t>
  </si>
  <si>
    <t xml:space="preserve">ORD12614</t>
  </si>
  <si>
    <t xml:space="preserve">2025-11-19</t>
  </si>
  <si>
    <t xml:space="preserve">17:48</t>
  </si>
  <si>
    <t xml:space="preserve">C1252</t>
  </si>
  <si>
    <t xml:space="preserve">ORD10204</t>
  </si>
  <si>
    <t xml:space="preserve">11:26</t>
  </si>
  <si>
    <t xml:space="preserve">C0381</t>
  </si>
  <si>
    <t xml:space="preserve">ORD12728</t>
  </si>
  <si>
    <t xml:space="preserve">C0935</t>
  </si>
  <si>
    <t xml:space="preserve">ORD11158</t>
  </si>
  <si>
    <t xml:space="preserve">ORD11339</t>
  </si>
  <si>
    <t xml:space="preserve">12:13</t>
  </si>
  <si>
    <t xml:space="preserve">C0682</t>
  </si>
  <si>
    <t xml:space="preserve">ORD11190</t>
  </si>
  <si>
    <t xml:space="preserve">2025-05-31</t>
  </si>
  <si>
    <t xml:space="preserve">C0636</t>
  </si>
  <si>
    <t xml:space="preserve">ORD10187</t>
  </si>
  <si>
    <t xml:space="preserve">25/01/2025</t>
  </si>
  <si>
    <t xml:space="preserve">11:49</t>
  </si>
  <si>
    <t xml:space="preserve">ORD12756</t>
  </si>
  <si>
    <t xml:space="preserve">2025-12-03</t>
  </si>
  <si>
    <t xml:space="preserve">10:43</t>
  </si>
  <si>
    <t xml:space="preserve">C1217</t>
  </si>
  <si>
    <t xml:space="preserve">sweet tooth studio</t>
  </si>
  <si>
    <t xml:space="preserve">ORD10692</t>
  </si>
  <si>
    <t xml:space="preserve">2025-03-28</t>
  </si>
  <si>
    <t xml:space="preserve">20:44</t>
  </si>
  <si>
    <t xml:space="preserve">C0297</t>
  </si>
  <si>
    <t xml:space="preserve">ORD11978</t>
  </si>
  <si>
    <t xml:space="preserve">2025-09-13</t>
  </si>
  <si>
    <t xml:space="preserve">18:04</t>
  </si>
  <si>
    <t xml:space="preserve">C1428</t>
  </si>
  <si>
    <t xml:space="preserve">ORD11491</t>
  </si>
  <si>
    <t xml:space="preserve">11:04</t>
  </si>
  <si>
    <t xml:space="preserve">C1393</t>
  </si>
  <si>
    <t xml:space="preserve">Dragon  Express</t>
  </si>
  <si>
    <t xml:space="preserve">ORD11437</t>
  </si>
  <si>
    <t xml:space="preserve">2025-07-05</t>
  </si>
  <si>
    <t xml:space="preserve">18:47</t>
  </si>
  <si>
    <t xml:space="preserve">C1110</t>
  </si>
  <si>
    <t xml:space="preserve">ORD11741</t>
  </si>
  <si>
    <t xml:space="preserve">C0341</t>
  </si>
  <si>
    <t xml:space="preserve">ORD10537</t>
  </si>
  <si>
    <t xml:space="preserve">2025-03-10</t>
  </si>
  <si>
    <t xml:space="preserve">14:03</t>
  </si>
  <si>
    <t xml:space="preserve">ORD12640</t>
  </si>
  <si>
    <t xml:space="preserve">20:45</t>
  </si>
  <si>
    <t xml:space="preserve">C1318</t>
  </si>
  <si>
    <t xml:space="preserve"> Momo Magic</t>
  </si>
  <si>
    <t xml:space="preserve">ORD12144</t>
  </si>
  <si>
    <t xml:space="preserve">01:14</t>
  </si>
  <si>
    <t xml:space="preserve">C0928</t>
  </si>
  <si>
    <t xml:space="preserve">ORD10548</t>
  </si>
  <si>
    <t xml:space="preserve">2025-03-11</t>
  </si>
  <si>
    <t xml:space="preserve">13:17</t>
  </si>
  <si>
    <t xml:space="preserve">ORD12201</t>
  </si>
  <si>
    <t xml:space="preserve">2025-10-07</t>
  </si>
  <si>
    <t xml:space="preserve">13:25</t>
  </si>
  <si>
    <t xml:space="preserve">C0719</t>
  </si>
  <si>
    <t xml:space="preserve">ORD12355</t>
  </si>
  <si>
    <t xml:space="preserve">2025-10-23</t>
  </si>
  <si>
    <t xml:space="preserve">18:56</t>
  </si>
  <si>
    <t xml:space="preserve">C1070</t>
  </si>
  <si>
    <t xml:space="preserve">ORD12172</t>
  </si>
  <si>
    <t xml:space="preserve">2025-10-04</t>
  </si>
  <si>
    <t xml:space="preserve">C0443</t>
  </si>
  <si>
    <t xml:space="preserve">E-Wallet</t>
  </si>
  <si>
    <t xml:space="preserve">ORD11295</t>
  </si>
  <si>
    <t xml:space="preserve">2025-06-15</t>
  </si>
  <si>
    <t xml:space="preserve">C1077</t>
  </si>
  <si>
    <t xml:space="preserve">MARATHA THALI HOUSE</t>
  </si>
  <si>
    <t xml:space="preserve">ORD12876</t>
  </si>
  <si>
    <t xml:space="preserve">18/12/2025</t>
  </si>
  <si>
    <t xml:space="preserve">21:07</t>
  </si>
  <si>
    <t xml:space="preserve">C0857</t>
  </si>
  <si>
    <t xml:space="preserve">ORD11590</t>
  </si>
  <si>
    <t xml:space="preserve">2025-07-26</t>
  </si>
  <si>
    <t xml:space="preserve">23:35</t>
  </si>
  <si>
    <t xml:space="preserve">C0147</t>
  </si>
  <si>
    <t xml:space="preserve">ORD11956</t>
  </si>
  <si>
    <t xml:space="preserve">2025-09-11</t>
  </si>
  <si>
    <t xml:space="preserve">C0440</t>
  </si>
  <si>
    <t xml:space="preserve">ORD10191</t>
  </si>
  <si>
    <t xml:space="preserve">2025-01-26</t>
  </si>
  <si>
    <t xml:space="preserve">10:59</t>
  </si>
  <si>
    <t xml:space="preserve">C0409</t>
  </si>
  <si>
    <t xml:space="preserve">ORD12150</t>
  </si>
  <si>
    <t xml:space="preserve">18:44</t>
  </si>
  <si>
    <t xml:space="preserve">C0359</t>
  </si>
  <si>
    <t xml:space="preserve">ORD10431</t>
  </si>
  <si>
    <t xml:space="preserve">23:20</t>
  </si>
  <si>
    <t xml:space="preserve">C1403</t>
  </si>
  <si>
    <t xml:space="preserve">biryani</t>
  </si>
  <si>
    <t xml:space="preserve">ORD12620</t>
  </si>
  <si>
    <t xml:space="preserve">2025-11-20</t>
  </si>
  <si>
    <t xml:space="preserve">C1423</t>
  </si>
  <si>
    <t xml:space="preserve">ORD11235</t>
  </si>
  <si>
    <t xml:space="preserve">17:31</t>
  </si>
  <si>
    <t xml:space="preserve">C0294</t>
  </si>
  <si>
    <t xml:space="preserve">ORD11833</t>
  </si>
  <si>
    <t xml:space="preserve">C0732</t>
  </si>
  <si>
    <t xml:space="preserve"> Nawabi Biryani House</t>
  </si>
  <si>
    <t xml:space="preserve">ORD12453</t>
  </si>
  <si>
    <t xml:space="preserve">04-Nov-2025</t>
  </si>
  <si>
    <t xml:space="preserve">20:42</t>
  </si>
  <si>
    <t xml:space="preserve">C1123</t>
  </si>
  <si>
    <t xml:space="preserve">ORD11375</t>
  </si>
  <si>
    <t xml:space="preserve">2025-06-26</t>
  </si>
  <si>
    <t xml:space="preserve">21:22</t>
  </si>
  <si>
    <t xml:space="preserve">C0460</t>
  </si>
  <si>
    <t xml:space="preserve">ORD10003</t>
  </si>
  <si>
    <t xml:space="preserve">2025-01-01</t>
  </si>
  <si>
    <t xml:space="preserve">17:07</t>
  </si>
  <si>
    <t xml:space="preserve">C1470</t>
  </si>
  <si>
    <t xml:space="preserve"> Biryani Baadshah</t>
  </si>
  <si>
    <t xml:space="preserve">ORD11160</t>
  </si>
  <si>
    <t xml:space="preserve">2025-05-28</t>
  </si>
  <si>
    <t xml:space="preserve">00:36</t>
  </si>
  <si>
    <t xml:space="preserve">C0034</t>
  </si>
  <si>
    <t xml:space="preserve">Pune </t>
  </si>
  <si>
    <t xml:space="preserve">ORD10315</t>
  </si>
  <si>
    <t xml:space="preserve">21:00</t>
  </si>
  <si>
    <t xml:space="preserve">C1324</t>
  </si>
  <si>
    <t xml:space="preserve">ORD12202</t>
  </si>
  <si>
    <t xml:space="preserve">14:22</t>
  </si>
  <si>
    <t xml:space="preserve">C0512</t>
  </si>
  <si>
    <t xml:space="preserve">CANCELLED</t>
  </si>
  <si>
    <t xml:space="preserve">ORD10359</t>
  </si>
  <si>
    <t xml:space="preserve">17:36</t>
  </si>
  <si>
    <t xml:space="preserve">C0388</t>
  </si>
  <si>
    <t xml:space="preserve">ORD10569</t>
  </si>
  <si>
    <t xml:space="preserve">2025-03-14</t>
  </si>
  <si>
    <t xml:space="preserve">ORD11583</t>
  </si>
  <si>
    <t xml:space="preserve">26/07/2025</t>
  </si>
  <si>
    <t xml:space="preserve">C0616</t>
  </si>
  <si>
    <t xml:space="preserve">ORD10717</t>
  </si>
  <si>
    <t xml:space="preserve">21:46</t>
  </si>
  <si>
    <t xml:space="preserve">C0850</t>
  </si>
  <si>
    <t xml:space="preserve">ORD11280</t>
  </si>
  <si>
    <t xml:space="preserve">2025-06-12</t>
  </si>
  <si>
    <t xml:space="preserve">C1084</t>
  </si>
  <si>
    <t xml:space="preserve">ORD11610</t>
  </si>
  <si>
    <t xml:space="preserve">2025-07-29</t>
  </si>
  <si>
    <t xml:space="preserve">12:02</t>
  </si>
  <si>
    <t xml:space="preserve">C0595</t>
  </si>
  <si>
    <t xml:space="preserve">ORD11486</t>
  </si>
  <si>
    <t xml:space="preserve">17:02</t>
  </si>
  <si>
    <t xml:space="preserve">C0514</t>
  </si>
  <si>
    <t xml:space="preserve">ORD12037</t>
  </si>
  <si>
    <t xml:space="preserve">18:59</t>
  </si>
  <si>
    <t xml:space="preserve">C0909</t>
  </si>
  <si>
    <t xml:space="preserve">ORD10633</t>
  </si>
  <si>
    <t xml:space="preserve">ORD12365</t>
  </si>
  <si>
    <t xml:space="preserve">2025-10-25</t>
  </si>
  <si>
    <t xml:space="preserve">C0889</t>
  </si>
  <si>
    <t xml:space="preserve">ORD10714</t>
  </si>
  <si>
    <t xml:space="preserve">19:19</t>
  </si>
  <si>
    <t xml:space="preserve">C0773</t>
  </si>
  <si>
    <t xml:space="preserve">delivered</t>
  </si>
  <si>
    <t xml:space="preserve">ORD10486</t>
  </si>
  <si>
    <t xml:space="preserve">2025-03-05</t>
  </si>
  <si>
    <t xml:space="preserve">ORD12864</t>
  </si>
  <si>
    <t xml:space="preserve">10:42</t>
  </si>
  <si>
    <t xml:space="preserve">ORD10934</t>
  </si>
  <si>
    <t xml:space="preserve">14:30</t>
  </si>
  <si>
    <t xml:space="preserve">C0717</t>
  </si>
  <si>
    <t xml:space="preserve">ORD11991</t>
  </si>
  <si>
    <t xml:space="preserve">22:32</t>
  </si>
  <si>
    <t xml:space="preserve">ORD11692</t>
  </si>
  <si>
    <t xml:space="preserve">2025-08-09</t>
  </si>
  <si>
    <t xml:space="preserve">22:46</t>
  </si>
  <si>
    <t xml:space="preserve">C1060</t>
  </si>
  <si>
    <t xml:space="preserve">ORD12611</t>
  </si>
  <si>
    <t xml:space="preserve">12:21</t>
  </si>
  <si>
    <t xml:space="preserve">ORD12454</t>
  </si>
  <si>
    <t xml:space="preserve">2025-11-04</t>
  </si>
  <si>
    <t xml:space="preserve">C1215</t>
  </si>
  <si>
    <t xml:space="preserve">ORD12581</t>
  </si>
  <si>
    <t xml:space="preserve">14:27</t>
  </si>
  <si>
    <t xml:space="preserve">ORD12953</t>
  </si>
  <si>
    <t xml:space="preserve">2025-12-26</t>
  </si>
  <si>
    <t xml:space="preserve">20:54</t>
  </si>
  <si>
    <t xml:space="preserve">C0766</t>
  </si>
  <si>
    <t xml:space="preserve">DESSERTS</t>
  </si>
  <si>
    <t xml:space="preserve">ORD10451</t>
  </si>
  <si>
    <t xml:space="preserve">2025-03-01</t>
  </si>
  <si>
    <t xml:space="preserve">C1412</t>
  </si>
  <si>
    <t xml:space="preserve">ORD12223</t>
  </si>
  <si>
    <t xml:space="preserve">C1413</t>
  </si>
  <si>
    <t xml:space="preserve">ORD11264</t>
  </si>
  <si>
    <t xml:space="preserve">2025-06-10</t>
  </si>
  <si>
    <t xml:space="preserve">23:55</t>
  </si>
  <si>
    <t xml:space="preserve">C0070</t>
  </si>
  <si>
    <t xml:space="preserve">ORD12667</t>
  </si>
  <si>
    <t xml:space="preserve">20:27</t>
  </si>
  <si>
    <t xml:space="preserve">C1347</t>
  </si>
  <si>
    <t xml:space="preserve">ORD11796</t>
  </si>
  <si>
    <t xml:space="preserve">2025-08-22</t>
  </si>
  <si>
    <t xml:space="preserve">C1345</t>
  </si>
  <si>
    <t xml:space="preserve">ORD10279</t>
  </si>
  <si>
    <t xml:space="preserve">C0112</t>
  </si>
  <si>
    <t xml:space="preserve">ORD10152</t>
  </si>
  <si>
    <t xml:space="preserve">2025-01-20</t>
  </si>
  <si>
    <t xml:space="preserve">C0474</t>
  </si>
  <si>
    <t xml:space="preserve">ORD11103</t>
  </si>
  <si>
    <t xml:space="preserve">2025-05-19</t>
  </si>
  <si>
    <t xml:space="preserve">20:52</t>
  </si>
  <si>
    <t xml:space="preserve">C1120</t>
  </si>
  <si>
    <t xml:space="preserve">ORD11514</t>
  </si>
  <si>
    <t xml:space="preserve">2025-07-15</t>
  </si>
  <si>
    <t xml:space="preserve">20:35</t>
  </si>
  <si>
    <t xml:space="preserve">C1290</t>
  </si>
  <si>
    <t xml:space="preserve">DOSA DARBAR</t>
  </si>
  <si>
    <t xml:space="preserve">ORD12313</t>
  </si>
  <si>
    <t xml:space="preserve">09:39</t>
  </si>
  <si>
    <t xml:space="preserve">C1310</t>
  </si>
  <si>
    <t xml:space="preserve">ORD10774</t>
  </si>
  <si>
    <t xml:space="preserve">2025-04-08</t>
  </si>
  <si>
    <t xml:space="preserve">16:26</t>
  </si>
  <si>
    <t xml:space="preserve">C0009</t>
  </si>
  <si>
    <t xml:space="preserve">Ahmedabad </t>
  </si>
  <si>
    <t xml:space="preserve">ORD11180</t>
  </si>
  <si>
    <t xml:space="preserve">2025-05-30</t>
  </si>
  <si>
    <t xml:space="preserve">13:03</t>
  </si>
  <si>
    <t xml:space="preserve">C0478</t>
  </si>
  <si>
    <t xml:space="preserve">ORD12982</t>
  </si>
  <si>
    <t xml:space="preserve">C0411</t>
  </si>
  <si>
    <t xml:space="preserve">ORD11369</t>
  </si>
  <si>
    <t xml:space="preserve">2025-06-25</t>
  </si>
  <si>
    <t xml:space="preserve">19:17</t>
  </si>
  <si>
    <t xml:space="preserve">C0268</t>
  </si>
  <si>
    <t xml:space="preserve">ORD12824</t>
  </si>
  <si>
    <t xml:space="preserve">11/12/2025</t>
  </si>
  <si>
    <t xml:space="preserve">20:34</t>
  </si>
  <si>
    <t xml:space="preserve">C0804</t>
  </si>
  <si>
    <t xml:space="preserve">ORD12582</t>
  </si>
  <si>
    <t xml:space="preserve">C0753</t>
  </si>
  <si>
    <t xml:space="preserve">ORD10387</t>
  </si>
  <si>
    <t xml:space="preserve">2025-02-21</t>
  </si>
  <si>
    <t xml:space="preserve">00:03</t>
  </si>
  <si>
    <t xml:space="preserve">C0590</t>
  </si>
  <si>
    <t xml:space="preserve">ORD12334</t>
  </si>
  <si>
    <t xml:space="preserve">C1314</t>
  </si>
  <si>
    <t xml:space="preserve">ORD11421</t>
  </si>
  <si>
    <t xml:space="preserve">2025-07-04</t>
  </si>
  <si>
    <t xml:space="preserve">C0985</t>
  </si>
  <si>
    <t xml:space="preserve">ORD10143</t>
  </si>
  <si>
    <t xml:space="preserve">2025-01-19</t>
  </si>
  <si>
    <t xml:space="preserve">C0752</t>
  </si>
  <si>
    <t xml:space="preserve">ORD12041</t>
  </si>
  <si>
    <t xml:space="preserve">2025-09-21</t>
  </si>
  <si>
    <t xml:space="preserve">20:23</t>
  </si>
  <si>
    <t xml:space="preserve">C0952</t>
  </si>
  <si>
    <t xml:space="preserve">ORD10706</t>
  </si>
  <si>
    <t xml:space="preserve">2025-03-30</t>
  </si>
  <si>
    <t xml:space="preserve">C0900</t>
  </si>
  <si>
    <t xml:space="preserve">ORD10100</t>
  </si>
  <si>
    <t xml:space="preserve">2025-01-13</t>
  </si>
  <si>
    <t xml:space="preserve">18:11</t>
  </si>
  <si>
    <t xml:space="preserve">C1112</t>
  </si>
  <si>
    <t xml:space="preserve">ORD11700</t>
  </si>
  <si>
    <t xml:space="preserve">2025-08-11</t>
  </si>
  <si>
    <t xml:space="preserve">C0964</t>
  </si>
  <si>
    <t xml:space="preserve">ORD12532</t>
  </si>
  <si>
    <t xml:space="preserve">C0663</t>
  </si>
  <si>
    <t xml:space="preserve">ORD11889</t>
  </si>
  <si>
    <t xml:space="preserve">2025-09-03</t>
  </si>
  <si>
    <t xml:space="preserve">13:55</t>
  </si>
  <si>
    <t xml:space="preserve">ORD11006</t>
  </si>
  <si>
    <t xml:space="preserve">2025-05-07</t>
  </si>
  <si>
    <t xml:space="preserve">C0465</t>
  </si>
  <si>
    <t xml:space="preserve">ORD10326</t>
  </si>
  <si>
    <t xml:space="preserve">19:23</t>
  </si>
  <si>
    <t xml:space="preserve">C1442</t>
  </si>
  <si>
    <t xml:space="preserve">ORD12370</t>
  </si>
  <si>
    <t xml:space="preserve">ORD12466</t>
  </si>
  <si>
    <t xml:space="preserve">06/11/2025</t>
  </si>
  <si>
    <t xml:space="preserve">12:24</t>
  </si>
  <si>
    <t xml:space="preserve">C0178</t>
  </si>
  <si>
    <t xml:space="preserve">ORD10892</t>
  </si>
  <si>
    <t xml:space="preserve">20:59</t>
  </si>
  <si>
    <t xml:space="preserve">ORD11204</t>
  </si>
  <si>
    <t xml:space="preserve">2025-06-01</t>
  </si>
  <si>
    <t xml:space="preserve">23:25</t>
  </si>
  <si>
    <t xml:space="preserve">NORTH INDIAN</t>
  </si>
  <si>
    <t xml:space="preserve">ORD10514</t>
  </si>
  <si>
    <t xml:space="preserve">2025-03-08</t>
  </si>
  <si>
    <t xml:space="preserve">WOK &amp; ROLL</t>
  </si>
  <si>
    <t xml:space="preserve">ORD10357</t>
  </si>
  <si>
    <t xml:space="preserve">14:06</t>
  </si>
  <si>
    <t xml:space="preserve">C1301</t>
  </si>
  <si>
    <t xml:space="preserve">ORD12875</t>
  </si>
  <si>
    <t xml:space="preserve">2025-12-18</t>
  </si>
  <si>
    <t xml:space="preserve">20:32</t>
  </si>
  <si>
    <t xml:space="preserve">C1367</t>
  </si>
  <si>
    <t xml:space="preserve">Fit Fuel Kitchen </t>
  </si>
  <si>
    <t xml:space="preserve">ORD12218</t>
  </si>
  <si>
    <t xml:space="preserve">14:56</t>
  </si>
  <si>
    <t xml:space="preserve">C0621</t>
  </si>
  <si>
    <t xml:space="preserve">ORD12719</t>
  </si>
  <si>
    <t xml:space="preserve">18:21</t>
  </si>
  <si>
    <t xml:space="preserve">ORD11168</t>
  </si>
  <si>
    <t xml:space="preserve">23:14</t>
  </si>
  <si>
    <t xml:space="preserve">C0726</t>
  </si>
  <si>
    <t xml:space="preserve">ORD11219</t>
  </si>
  <si>
    <t xml:space="preserve">22:25</t>
  </si>
  <si>
    <t xml:space="preserve">ORD12571</t>
  </si>
  <si>
    <t xml:space="preserve">19:24</t>
  </si>
  <si>
    <t xml:space="preserve">ORD12318</t>
  </si>
  <si>
    <t xml:space="preserve">C1461</t>
  </si>
  <si>
    <t xml:space="preserve">ORD10963</t>
  </si>
  <si>
    <t xml:space="preserve">02/05/2025</t>
  </si>
  <si>
    <t xml:space="preserve">11:21</t>
  </si>
  <si>
    <t xml:space="preserve">C0306</t>
  </si>
  <si>
    <t xml:space="preserve">ORD12402</t>
  </si>
  <si>
    <t xml:space="preserve">30/10/2025</t>
  </si>
  <si>
    <t xml:space="preserve">18:57</t>
  </si>
  <si>
    <t xml:space="preserve">C1256</t>
  </si>
  <si>
    <t xml:space="preserve">ORD10037</t>
  </si>
  <si>
    <t xml:space="preserve">06/01/2025</t>
  </si>
  <si>
    <t xml:space="preserve">08:27</t>
  </si>
  <si>
    <t xml:space="preserve">ORD12895</t>
  </si>
  <si>
    <t xml:space="preserve">2025-12-20</t>
  </si>
  <si>
    <t xml:space="preserve">21:21</t>
  </si>
  <si>
    <t xml:space="preserve">C0692</t>
  </si>
  <si>
    <t xml:space="preserve">ORD12064</t>
  </si>
  <si>
    <t xml:space="preserve">2025-09-23</t>
  </si>
  <si>
    <t xml:space="preserve">21:05</t>
  </si>
  <si>
    <t xml:space="preserve">C0137</t>
  </si>
  <si>
    <t xml:space="preserve">ORD11636</t>
  </si>
  <si>
    <t xml:space="preserve">2025-08-02</t>
  </si>
  <si>
    <t xml:space="preserve">09:47</t>
  </si>
  <si>
    <t xml:space="preserve">ORD11167</t>
  </si>
  <si>
    <t xml:space="preserve">C0975</t>
  </si>
  <si>
    <t xml:space="preserve">ORD11921</t>
  </si>
  <si>
    <t xml:space="preserve">ORD12873</t>
  </si>
  <si>
    <t xml:space="preserve">15:14</t>
  </si>
  <si>
    <t xml:space="preserve">C1202</t>
  </si>
  <si>
    <t xml:space="preserve">ORD10563</t>
  </si>
  <si>
    <t xml:space="preserve">2025-03-13</t>
  </si>
  <si>
    <t xml:space="preserve">C0050</t>
  </si>
  <si>
    <t xml:space="preserve">ORD12843</t>
  </si>
  <si>
    <t xml:space="preserve">11:58</t>
  </si>
  <si>
    <t xml:space="preserve">C0250</t>
  </si>
  <si>
    <t xml:space="preserve">ORD11097</t>
  </si>
  <si>
    <t xml:space="preserve">18:22</t>
  </si>
  <si>
    <t xml:space="preserve">C1152</t>
  </si>
  <si>
    <t xml:space="preserve">ORD12343</t>
  </si>
  <si>
    <t xml:space="preserve">22/10/2025</t>
  </si>
  <si>
    <t xml:space="preserve">18:30</t>
  </si>
  <si>
    <t xml:space="preserve">ORD11023</t>
  </si>
  <si>
    <t xml:space="preserve">2025-05-10</t>
  </si>
  <si>
    <t xml:space="preserve">C1177</t>
  </si>
  <si>
    <t xml:space="preserve">ORD11682</t>
  </si>
  <si>
    <t xml:space="preserve">ORD10673</t>
  </si>
  <si>
    <t xml:space="preserve">C0907</t>
  </si>
  <si>
    <t xml:space="preserve">ORD11207</t>
  </si>
  <si>
    <t xml:space="preserve">C1352</t>
  </si>
  <si>
    <t xml:space="preserve">ORD12271</t>
  </si>
  <si>
    <t xml:space="preserve">09:22</t>
  </si>
  <si>
    <t xml:space="preserve">C0191</t>
  </si>
  <si>
    <t xml:space="preserve">ORD11059</t>
  </si>
  <si>
    <t xml:space="preserve">2025-05-14</t>
  </si>
  <si>
    <t xml:space="preserve">C1068</t>
  </si>
  <si>
    <t xml:space="preserve">ORD12664</t>
  </si>
  <si>
    <t xml:space="preserve">18:18</t>
  </si>
  <si>
    <t xml:space="preserve">ORD11783</t>
  </si>
  <si>
    <t xml:space="preserve">19:37</t>
  </si>
  <si>
    <t xml:space="preserve">C0781</t>
  </si>
  <si>
    <t xml:space="preserve">ORD10588</t>
  </si>
  <si>
    <t xml:space="preserve">16/03/2025</t>
  </si>
  <si>
    <t xml:space="preserve">13:16</t>
  </si>
  <si>
    <t xml:space="preserve">C0931</t>
  </si>
  <si>
    <t xml:space="preserve">ORD11316</t>
  </si>
  <si>
    <t xml:space="preserve">15:26</t>
  </si>
  <si>
    <t xml:space="preserve">C0082</t>
  </si>
  <si>
    <t xml:space="preserve">ORD11417</t>
  </si>
  <si>
    <t xml:space="preserve">C0283</t>
  </si>
  <si>
    <t xml:space="preserve">ORD12216</t>
  </si>
  <si>
    <t xml:space="preserve">11:43</t>
  </si>
  <si>
    <t xml:space="preserve">C1053</t>
  </si>
  <si>
    <t xml:space="preserve">ORD12003</t>
  </si>
  <si>
    <t xml:space="preserve">2025-09-17</t>
  </si>
  <si>
    <t xml:space="preserve">10:51</t>
  </si>
  <si>
    <t xml:space="preserve">C0046</t>
  </si>
  <si>
    <t xml:space="preserve">ORD11431</t>
  </si>
  <si>
    <t xml:space="preserve">C0300</t>
  </si>
  <si>
    <t xml:space="preserve">ORD10799</t>
  </si>
  <si>
    <t xml:space="preserve">21:51</t>
  </si>
  <si>
    <t xml:space="preserve">ORD10072</t>
  </si>
  <si>
    <t xml:space="preserve">10-Jan-2025</t>
  </si>
  <si>
    <t xml:space="preserve">C1133</t>
  </si>
  <si>
    <t xml:space="preserve">ORD11658</t>
  </si>
  <si>
    <t xml:space="preserve">2025-08-04</t>
  </si>
  <si>
    <t xml:space="preserve">20:40</t>
  </si>
  <si>
    <t xml:space="preserve">ORD12627</t>
  </si>
  <si>
    <t xml:space="preserve">18:54</t>
  </si>
  <si>
    <t xml:space="preserve">C0190</t>
  </si>
  <si>
    <t xml:space="preserve">ORD10417</t>
  </si>
  <si>
    <t xml:space="preserve">25-Feb-2025</t>
  </si>
  <si>
    <t xml:space="preserve">ORD12602</t>
  </si>
  <si>
    <t xml:space="preserve">C0337</t>
  </si>
  <si>
    <t xml:space="preserve">ORD12537</t>
  </si>
  <si>
    <t xml:space="preserve">C0287</t>
  </si>
  <si>
    <t xml:space="preserve">ORD12769</t>
  </si>
  <si>
    <t xml:space="preserve">2025-12-04</t>
  </si>
  <si>
    <t xml:space="preserve">C1027</t>
  </si>
  <si>
    <t xml:space="preserve">MOMO MAGIC</t>
  </si>
  <si>
    <t xml:space="preserve">ORD11630</t>
  </si>
  <si>
    <t xml:space="preserve">2025-07-31</t>
  </si>
  <si>
    <t xml:space="preserve">22:43</t>
  </si>
  <si>
    <t xml:space="preserve">C0711</t>
  </si>
  <si>
    <t xml:space="preserve">ORD10771</t>
  </si>
  <si>
    <t xml:space="preserve">12:11</t>
  </si>
  <si>
    <t xml:space="preserve">C0475</t>
  </si>
  <si>
    <t xml:space="preserve">ORD11141</t>
  </si>
  <si>
    <t xml:space="preserve">23:36</t>
  </si>
  <si>
    <t xml:space="preserve">C0770</t>
  </si>
  <si>
    <t xml:space="preserve">ORD10179</t>
  </si>
  <si>
    <t xml:space="preserve">13:26</t>
  </si>
  <si>
    <t xml:space="preserve">ORD12458</t>
  </si>
  <si>
    <t xml:space="preserve">2025-11-05</t>
  </si>
  <si>
    <t xml:space="preserve">12:45</t>
  </si>
  <si>
    <t xml:space="preserve">C1370</t>
  </si>
  <si>
    <t xml:space="preserve">ORD10880</t>
  </si>
  <si>
    <t xml:space="preserve">2025-04-21</t>
  </si>
  <si>
    <t xml:space="preserve">C0968</t>
  </si>
  <si>
    <t xml:space="preserve">ORD12024</t>
  </si>
  <si>
    <t xml:space="preserve">2025-09-18</t>
  </si>
  <si>
    <t xml:space="preserve">C1132</t>
  </si>
  <si>
    <t xml:space="preserve">ORD11839</t>
  </si>
  <si>
    <t xml:space="preserve">2025-08-28</t>
  </si>
  <si>
    <t xml:space="preserve">11:32</t>
  </si>
  <si>
    <t xml:space="preserve">ORD10842</t>
  </si>
  <si>
    <t xml:space="preserve">2025-04-17</t>
  </si>
  <si>
    <t xml:space="preserve">09:53</t>
  </si>
  <si>
    <t xml:space="preserve">C0486</t>
  </si>
  <si>
    <t xml:space="preserve">ORD11062</t>
  </si>
  <si>
    <t xml:space="preserve">22:02</t>
  </si>
  <si>
    <t xml:space="preserve">C0127</t>
  </si>
  <si>
    <t xml:space="preserve">ORD12259</t>
  </si>
  <si>
    <t xml:space="preserve">2025-10-13</t>
  </si>
  <si>
    <t xml:space="preserve">C0207</t>
  </si>
  <si>
    <t xml:space="preserve">ORD12281</t>
  </si>
  <si>
    <t xml:space="preserve">16/10/2025</t>
  </si>
  <si>
    <t xml:space="preserve">11:25</t>
  </si>
  <si>
    <t xml:space="preserve">C1498</t>
  </si>
  <si>
    <t xml:space="preserve">ORD10088</t>
  </si>
  <si>
    <t xml:space="preserve">18:42</t>
  </si>
  <si>
    <t xml:space="preserve">C1362</t>
  </si>
  <si>
    <t xml:space="preserve">Mumbai </t>
  </si>
  <si>
    <t xml:space="preserve">ORD10884</t>
  </si>
  <si>
    <t xml:space="preserve">09:02</t>
  </si>
  <si>
    <t xml:space="preserve">ORD11732</t>
  </si>
  <si>
    <t xml:space="preserve">2025-08-15</t>
  </si>
  <si>
    <t xml:space="preserve">20:07</t>
  </si>
  <si>
    <t xml:space="preserve">C0868</t>
  </si>
  <si>
    <t xml:space="preserve">ORD12825</t>
  </si>
  <si>
    <t xml:space="preserve">21:30</t>
  </si>
  <si>
    <t xml:space="preserve">C0035</t>
  </si>
  <si>
    <t xml:space="preserve">ORD10653</t>
  </si>
  <si>
    <t xml:space="preserve">24/03/2025</t>
  </si>
  <si>
    <t xml:space="preserve">10:18</t>
  </si>
  <si>
    <t xml:space="preserve">C0163</t>
  </si>
  <si>
    <t xml:space="preserve">ORD11516</t>
  </si>
  <si>
    <t xml:space="preserve">20:41</t>
  </si>
  <si>
    <t xml:space="preserve">C0084</t>
  </si>
  <si>
    <t xml:space="preserve">ORD10527</t>
  </si>
  <si>
    <t xml:space="preserve">09/03/2025</t>
  </si>
  <si>
    <t xml:space="preserve">C0444</t>
  </si>
  <si>
    <t xml:space="preserve">ORD11847</t>
  </si>
  <si>
    <t xml:space="preserve">21:28</t>
  </si>
  <si>
    <t xml:space="preserve">C0319</t>
  </si>
  <si>
    <t xml:space="preserve">ORD12755</t>
  </si>
  <si>
    <t xml:space="preserve">23:53</t>
  </si>
  <si>
    <t xml:space="preserve">Chettinad House </t>
  </si>
  <si>
    <t xml:space="preserve">ORD10533</t>
  </si>
  <si>
    <t xml:space="preserve">C0707</t>
  </si>
  <si>
    <t xml:space="preserve">ORD11482</t>
  </si>
  <si>
    <t xml:space="preserve">10:02</t>
  </si>
  <si>
    <t xml:space="preserve">C1356</t>
  </si>
  <si>
    <t xml:space="preserve">ORD12089</t>
  </si>
  <si>
    <t xml:space="preserve">16:12</t>
  </si>
  <si>
    <t xml:space="preserve">C1023</t>
  </si>
  <si>
    <t xml:space="preserve">ORD12327</t>
  </si>
  <si>
    <t xml:space="preserve">2025-10-20</t>
  </si>
  <si>
    <t xml:space="preserve">22:28</t>
  </si>
  <si>
    <t xml:space="preserve">C0869</t>
  </si>
  <si>
    <t xml:space="preserve">PUNE BURGER HUB</t>
  </si>
  <si>
    <t xml:space="preserve">ORD11444</t>
  </si>
  <si>
    <t xml:space="preserve">09:58</t>
  </si>
  <si>
    <t xml:space="preserve">C1178</t>
  </si>
  <si>
    <t xml:space="preserve">ORD12552</t>
  </si>
  <si>
    <t xml:space="preserve">14/11/2025</t>
  </si>
  <si>
    <t xml:space="preserve">C0739</t>
  </si>
  <si>
    <t xml:space="preserve">ORD12985</t>
  </si>
  <si>
    <t xml:space="preserve">2025-12-30</t>
  </si>
  <si>
    <t xml:space="preserve">08:47</t>
  </si>
  <si>
    <t xml:space="preserve">C1421</t>
  </si>
  <si>
    <t xml:space="preserve">ORD12518</t>
  </si>
  <si>
    <t xml:space="preserve">20:26</t>
  </si>
  <si>
    <t xml:space="preserve">Momo  Magic</t>
  </si>
  <si>
    <t xml:space="preserve">ORD12044</t>
  </si>
  <si>
    <t xml:space="preserve">22:10</t>
  </si>
  <si>
    <t xml:space="preserve">ORD12431</t>
  </si>
  <si>
    <t xml:space="preserve">C1157</t>
  </si>
  <si>
    <t xml:space="preserve">ORD11562</t>
  </si>
  <si>
    <t xml:space="preserve">2025-07-23</t>
  </si>
  <si>
    <t xml:space="preserve">13:07</t>
  </si>
  <si>
    <t xml:space="preserve">wok &amp; roll</t>
  </si>
  <si>
    <t xml:space="preserve">ORD12964</t>
  </si>
  <si>
    <t xml:space="preserve">C0263</t>
  </si>
  <si>
    <t xml:space="preserve">ORD10702</t>
  </si>
  <si>
    <t xml:space="preserve">21:37</t>
  </si>
  <si>
    <t xml:space="preserve">C0260</t>
  </si>
  <si>
    <t xml:space="preserve">ORD12390</t>
  </si>
  <si>
    <t xml:space="preserve">2025-10-28</t>
  </si>
  <si>
    <t xml:space="preserve">20:31</t>
  </si>
  <si>
    <t xml:space="preserve">ORD12809</t>
  </si>
  <si>
    <t xml:space="preserve">11:40</t>
  </si>
  <si>
    <t xml:space="preserve">C1420</t>
  </si>
  <si>
    <t xml:space="preserve">ORD12617</t>
  </si>
  <si>
    <t xml:space="preserve">ORD10227</t>
  </si>
  <si>
    <t xml:space="preserve">ORD11544</t>
  </si>
  <si>
    <t xml:space="preserve">19:53</t>
  </si>
  <si>
    <t xml:space="preserve">C0540</t>
  </si>
  <si>
    <t xml:space="preserve">ORD11804</t>
  </si>
  <si>
    <t xml:space="preserve">2025-08-23</t>
  </si>
  <si>
    <t xml:space="preserve">21:31</t>
  </si>
  <si>
    <t xml:space="preserve">C0980</t>
  </si>
  <si>
    <t xml:space="preserve">Nawabi  Biryani House</t>
  </si>
  <si>
    <t xml:space="preserve">ORD10401</t>
  </si>
  <si>
    <t xml:space="preserve">2025-02-22</t>
  </si>
  <si>
    <t xml:space="preserve">19:52</t>
  </si>
  <si>
    <t xml:space="preserve">C0879</t>
  </si>
  <si>
    <t xml:space="preserve">ORD10856</t>
  </si>
  <si>
    <t xml:space="preserve">18:31</t>
  </si>
  <si>
    <t xml:space="preserve">ORD11596</t>
  </si>
  <si>
    <t xml:space="preserve">2025-07-27</t>
  </si>
  <si>
    <t xml:space="preserve">C0727</t>
  </si>
  <si>
    <t xml:space="preserve">ORD12245</t>
  </si>
  <si>
    <t xml:space="preserve">12-Oct-2025</t>
  </si>
  <si>
    <t xml:space="preserve">ORD12957</t>
  </si>
  <si>
    <t xml:space="preserve">2025-12-27</t>
  </si>
  <si>
    <t xml:space="preserve">17:40</t>
  </si>
  <si>
    <t xml:space="preserve">C1125</t>
  </si>
  <si>
    <t xml:space="preserve">ORD12817</t>
  </si>
  <si>
    <t xml:space="preserve">23:41</t>
  </si>
  <si>
    <t xml:space="preserve">C0195</t>
  </si>
  <si>
    <t xml:space="preserve">ORD11864</t>
  </si>
  <si>
    <t xml:space="preserve">2025-08-31</t>
  </si>
  <si>
    <t xml:space="preserve">C1233</t>
  </si>
  <si>
    <t xml:space="preserve">ORD12772</t>
  </si>
  <si>
    <t xml:space="preserve">13:45</t>
  </si>
  <si>
    <t xml:space="preserve">C0848</t>
  </si>
  <si>
    <t xml:space="preserve">ORD11082</t>
  </si>
  <si>
    <t xml:space="preserve">2025-05-17</t>
  </si>
  <si>
    <t xml:space="preserve">18:35</t>
  </si>
  <si>
    <t xml:space="preserve">C0151</t>
  </si>
  <si>
    <t xml:space="preserve">ORD11574</t>
  </si>
  <si>
    <t xml:space="preserve">2025-07-24</t>
  </si>
  <si>
    <t xml:space="preserve">C0221</t>
  </si>
  <si>
    <t xml:space="preserve">ORD11722</t>
  </si>
  <si>
    <t xml:space="preserve">2025-08-14</t>
  </si>
  <si>
    <t xml:space="preserve">13:13</t>
  </si>
  <si>
    <t xml:space="preserve">C1239</t>
  </si>
  <si>
    <t xml:space="preserve">ORD10457</t>
  </si>
  <si>
    <t xml:space="preserve">17:34</t>
  </si>
  <si>
    <t xml:space="preserve">C0015</t>
  </si>
  <si>
    <t xml:space="preserve">ORD10843</t>
  </si>
  <si>
    <t xml:space="preserve">10:19</t>
  </si>
  <si>
    <t xml:space="preserve">C0598</t>
  </si>
  <si>
    <t xml:space="preserve">ORD11719</t>
  </si>
  <si>
    <t xml:space="preserve">2025-08-13</t>
  </si>
  <si>
    <t xml:space="preserve">C0792</t>
  </si>
  <si>
    <t xml:space="preserve">ORD10339</t>
  </si>
  <si>
    <t xml:space="preserve">15-Feb-2025</t>
  </si>
  <si>
    <t xml:space="preserve">11:30</t>
  </si>
  <si>
    <t xml:space="preserve">C1253</t>
  </si>
  <si>
    <t xml:space="preserve">ORD10027</t>
  </si>
  <si>
    <t xml:space="preserve">2025-01-04</t>
  </si>
  <si>
    <t xml:space="preserve">19:44</t>
  </si>
  <si>
    <t xml:space="preserve">ORD11184</t>
  </si>
  <si>
    <t xml:space="preserve">ORD11684</t>
  </si>
  <si>
    <t xml:space="preserve">08/08/2025</t>
  </si>
  <si>
    <t xml:space="preserve">12:03</t>
  </si>
  <si>
    <t xml:space="preserve">ORD10025</t>
  </si>
  <si>
    <t xml:space="preserve">17:51</t>
  </si>
  <si>
    <t xml:space="preserve">C1456</t>
  </si>
  <si>
    <t xml:space="preserve">ORD11460</t>
  </si>
  <si>
    <t xml:space="preserve">ORD12179</t>
  </si>
  <si>
    <t xml:space="preserve">2025-10-05</t>
  </si>
  <si>
    <t xml:space="preserve">08:11</t>
  </si>
  <si>
    <t xml:space="preserve">ORD12388</t>
  </si>
  <si>
    <t xml:space="preserve">ORD10001</t>
  </si>
  <si>
    <t xml:space="preserve">C0845</t>
  </si>
  <si>
    <t xml:space="preserve">ORD12109</t>
  </si>
  <si>
    <t xml:space="preserve">20:01</t>
  </si>
  <si>
    <t xml:space="preserve">C1181</t>
  </si>
  <si>
    <t xml:space="preserve">ORD12828</t>
  </si>
  <si>
    <t xml:space="preserve">12/12/2025</t>
  </si>
  <si>
    <t xml:space="preserve">17:47</t>
  </si>
  <si>
    <t xml:space="preserve">ORD12607</t>
  </si>
  <si>
    <t xml:space="preserve">ORD12131</t>
  </si>
  <si>
    <t xml:space="preserve">2025-09-30</t>
  </si>
  <si>
    <t xml:space="preserve">C1167</t>
  </si>
  <si>
    <t xml:space="preserve">ORD10061</t>
  </si>
  <si>
    <t xml:space="preserve">2025-01-09</t>
  </si>
  <si>
    <t xml:space="preserve">16:00</t>
  </si>
  <si>
    <t xml:space="preserve">C0185</t>
  </si>
  <si>
    <t xml:space="preserve">ORD10691</t>
  </si>
  <si>
    <t xml:space="preserve">20:13</t>
  </si>
  <si>
    <t xml:space="preserve">C0291</t>
  </si>
  <si>
    <t xml:space="preserve">ORD11011</t>
  </si>
  <si>
    <t xml:space="preserve">2025-05-08</t>
  </si>
  <si>
    <t xml:space="preserve">C0256</t>
  </si>
  <si>
    <t xml:space="preserve">ORD12268</t>
  </si>
  <si>
    <t xml:space="preserve">14/10/2025</t>
  </si>
  <si>
    <t xml:space="preserve">23:23</t>
  </si>
  <si>
    <t xml:space="preserve">ORD12169</t>
  </si>
  <si>
    <t xml:space="preserve">C0913</t>
  </si>
  <si>
    <t xml:space="preserve">ORD12022</t>
  </si>
  <si>
    <t xml:space="preserve">C0435</t>
  </si>
  <si>
    <t xml:space="preserve">ORD12046</t>
  </si>
  <si>
    <t xml:space="preserve">C0328</t>
  </si>
  <si>
    <t xml:space="preserve">ORD12594</t>
  </si>
  <si>
    <t xml:space="preserve">2025-11-17</t>
  </si>
  <si>
    <t xml:space="preserve">17:16</t>
  </si>
  <si>
    <t xml:space="preserve">C1251</t>
  </si>
  <si>
    <t xml:space="preserve">ORD10583</t>
  </si>
  <si>
    <t xml:space="preserve">19:27</t>
  </si>
  <si>
    <t xml:space="preserve">C0543</t>
  </si>
  <si>
    <t xml:space="preserve">CC</t>
  </si>
  <si>
    <t xml:space="preserve">ORD10434</t>
  </si>
  <si>
    <t xml:space="preserve">12:08</t>
  </si>
  <si>
    <t xml:space="preserve">C1102</t>
  </si>
  <si>
    <t xml:space="preserve">Cheesy Slice </t>
  </si>
  <si>
    <t xml:space="preserve">ORD11307</t>
  </si>
  <si>
    <t xml:space="preserve">10:25</t>
  </si>
  <si>
    <t xml:space="preserve">ORD12793</t>
  </si>
  <si>
    <t xml:space="preserve">C0536</t>
  </si>
  <si>
    <t xml:space="preserve">ORD11816</t>
  </si>
  <si>
    <t xml:space="preserve">14:44</t>
  </si>
  <si>
    <t xml:space="preserve">C0513</t>
  </si>
  <si>
    <t xml:space="preserve">ORD10948</t>
  </si>
  <si>
    <t xml:space="preserve">2025-04-30</t>
  </si>
  <si>
    <t xml:space="preserve">C1218</t>
  </si>
  <si>
    <t xml:space="preserve">ORD12319</t>
  </si>
  <si>
    <t xml:space="preserve">C0146</t>
  </si>
  <si>
    <t xml:space="preserve">ORD10540</t>
  </si>
  <si>
    <t xml:space="preserve">ORD10424</t>
  </si>
  <si>
    <t xml:space="preserve">20:10</t>
  </si>
  <si>
    <t xml:space="preserve">ORD10242</t>
  </si>
  <si>
    <t xml:space="preserve">2025-02-01</t>
  </si>
  <si>
    <t xml:space="preserve">20:21</t>
  </si>
  <si>
    <t xml:space="preserve">C0407</t>
  </si>
  <si>
    <t xml:space="preserve">ORD10859</t>
  </si>
  <si>
    <t xml:space="preserve">19:36</t>
  </si>
  <si>
    <t xml:space="preserve">C0031</t>
  </si>
  <si>
    <t xml:space="preserve">ORD12207</t>
  </si>
  <si>
    <t xml:space="preserve">2025-10-08</t>
  </si>
  <si>
    <t xml:space="preserve">C1087</t>
  </si>
  <si>
    <t xml:space="preserve">healthy food</t>
  </si>
  <si>
    <t xml:space="preserve">ORD10747</t>
  </si>
  <si>
    <t xml:space="preserve">C0958</t>
  </si>
  <si>
    <t xml:space="preserve">ORD10132</t>
  </si>
  <si>
    <t xml:space="preserve">2025-01-17</t>
  </si>
  <si>
    <t xml:space="preserve">C0083</t>
  </si>
  <si>
    <t xml:space="preserve">ORD12672</t>
  </si>
  <si>
    <t xml:space="preserve">25-Nov-2025</t>
  </si>
  <si>
    <t xml:space="preserve">C0883</t>
  </si>
  <si>
    <t xml:space="preserve">ORD12744</t>
  </si>
  <si>
    <t xml:space="preserve">11:31</t>
  </si>
  <si>
    <t xml:space="preserve">ORD12310</t>
  </si>
  <si>
    <t xml:space="preserve">21:16</t>
  </si>
  <si>
    <t xml:space="preserve">C0539</t>
  </si>
  <si>
    <t xml:space="preserve">ORD10195</t>
  </si>
  <si>
    <t xml:space="preserve">18:23</t>
  </si>
  <si>
    <t xml:space="preserve">C0532</t>
  </si>
  <si>
    <t xml:space="preserve">ORD11618</t>
  </si>
  <si>
    <t xml:space="preserve">29-Jul-2025</t>
  </si>
  <si>
    <t xml:space="preserve">20:33</t>
  </si>
  <si>
    <t xml:space="preserve">ORD11069</t>
  </si>
  <si>
    <t xml:space="preserve">2025-05-15</t>
  </si>
  <si>
    <t xml:space="preserve">19:21</t>
  </si>
  <si>
    <t xml:space="preserve">C0018</t>
  </si>
  <si>
    <t xml:space="preserve">Calcutta</t>
  </si>
  <si>
    <t xml:space="preserve">ORD10833</t>
  </si>
  <si>
    <t xml:space="preserve">12:33</t>
  </si>
  <si>
    <t xml:space="preserve">C1207</t>
  </si>
  <si>
    <t xml:space="preserve">ORD10736</t>
  </si>
  <si>
    <t xml:space="preserve">12:49</t>
  </si>
  <si>
    <t xml:space="preserve">C1175</t>
  </si>
  <si>
    <t xml:space="preserve">ORD12364</t>
  </si>
  <si>
    <t xml:space="preserve">C0827</t>
  </si>
  <si>
    <t xml:space="preserve">ORD10171</t>
  </si>
  <si>
    <t xml:space="preserve">C0706</t>
  </si>
  <si>
    <t xml:space="preserve">ORD11164</t>
  </si>
  <si>
    <t xml:space="preserve">19:30</t>
  </si>
  <si>
    <t xml:space="preserve">curry leaf kitchen</t>
  </si>
  <si>
    <t xml:space="preserve">ORD12671</t>
  </si>
  <si>
    <t xml:space="preserve">25/11/2025</t>
  </si>
  <si>
    <t xml:space="preserve">12:07</t>
  </si>
  <si>
    <t xml:space="preserve">C0234</t>
  </si>
  <si>
    <t xml:space="preserve">ORD10644</t>
  </si>
  <si>
    <t xml:space="preserve">12:28</t>
  </si>
  <si>
    <t xml:space="preserve">ORD10562</t>
  </si>
  <si>
    <t xml:space="preserve">12/03/2025</t>
  </si>
  <si>
    <t xml:space="preserve">C0231</t>
  </si>
  <si>
    <t xml:space="preserve">ORD12042</t>
  </si>
  <si>
    <t xml:space="preserve">20:47</t>
  </si>
  <si>
    <t xml:space="preserve">C0078</t>
  </si>
  <si>
    <t xml:space="preserve">ORD12593</t>
  </si>
  <si>
    <t xml:space="preserve">12:34</t>
  </si>
  <si>
    <t xml:space="preserve">C1312</t>
  </si>
  <si>
    <t xml:space="preserve">ORD10220</t>
  </si>
  <si>
    <t xml:space="preserve">2025-01-30</t>
  </si>
  <si>
    <t xml:space="preserve">13:40</t>
  </si>
  <si>
    <t xml:space="preserve">C0308</t>
  </si>
  <si>
    <t xml:space="preserve">ORD12971</t>
  </si>
  <si>
    <t xml:space="preserve">C1101</t>
  </si>
  <si>
    <t xml:space="preserve">south indian</t>
  </si>
  <si>
    <t xml:space="preserve">ORD12734</t>
  </si>
  <si>
    <t xml:space="preserve">18:27</t>
  </si>
  <si>
    <t xml:space="preserve">C0808</t>
  </si>
  <si>
    <t xml:space="preserve">ORD12308</t>
  </si>
  <si>
    <t xml:space="preserve">C0366</t>
  </si>
  <si>
    <t xml:space="preserve">ORD12291</t>
  </si>
  <si>
    <t xml:space="preserve">2025-10-16</t>
  </si>
  <si>
    <t xml:space="preserve">23:39</t>
  </si>
  <si>
    <t xml:space="preserve">ORD11715</t>
  </si>
  <si>
    <t xml:space="preserve">17:27</t>
  </si>
  <si>
    <t xml:space="preserve">ORD12528</t>
  </si>
  <si>
    <t xml:space="preserve">C0835</t>
  </si>
  <si>
    <t xml:space="preserve">ORD11588</t>
  </si>
  <si>
    <t xml:space="preserve">20:48</t>
  </si>
  <si>
    <t xml:space="preserve"> Tandoor Tales</t>
  </si>
  <si>
    <t xml:space="preserve">ORD11993</t>
  </si>
  <si>
    <t xml:space="preserve">2025-09-15</t>
  </si>
  <si>
    <t xml:space="preserve">C0153</t>
  </si>
  <si>
    <t xml:space="preserve">ORD11579</t>
  </si>
  <si>
    <t xml:space="preserve">2025-07-25</t>
  </si>
  <si>
    <t xml:space="preserve">C0547</t>
  </si>
  <si>
    <t xml:space="preserve">ORD10268</t>
  </si>
  <si>
    <t xml:space="preserve">05/02/2025</t>
  </si>
  <si>
    <t xml:space="preserve">19:54</t>
  </si>
  <si>
    <t xml:space="preserve">ORD11743</t>
  </si>
  <si>
    <t xml:space="preserve">16/08/2025</t>
  </si>
  <si>
    <t xml:space="preserve">14:57</t>
  </si>
  <si>
    <t xml:space="preserve">C0266</t>
  </si>
  <si>
    <t xml:space="preserve">ORD11813</t>
  </si>
  <si>
    <t xml:space="preserve">09:14</t>
  </si>
  <si>
    <t xml:space="preserve">C1235</t>
  </si>
  <si>
    <t xml:space="preserve">ORD10515</t>
  </si>
  <si>
    <t xml:space="preserve">C1388</t>
  </si>
  <si>
    <t xml:space="preserve">Spice Junction </t>
  </si>
  <si>
    <t xml:space="preserve">ORD11099</t>
  </si>
  <si>
    <t xml:space="preserve">18:49</t>
  </si>
  <si>
    <t xml:space="preserve">C0017</t>
  </si>
  <si>
    <t xml:space="preserve">ORD11820</t>
  </si>
  <si>
    <t xml:space="preserve">C1364</t>
  </si>
  <si>
    <t xml:space="preserve">ORD10705</t>
  </si>
  <si>
    <t xml:space="preserve">16:59</t>
  </si>
  <si>
    <t xml:space="preserve">C0385</t>
  </si>
  <si>
    <t xml:space="preserve">ORD10593</t>
  </si>
  <si>
    <t xml:space="preserve">2025-03-16</t>
  </si>
  <si>
    <t xml:space="preserve">20:29</t>
  </si>
  <si>
    <t xml:space="preserve">ORD10837</t>
  </si>
  <si>
    <t xml:space="preserve">C1360</t>
  </si>
  <si>
    <t xml:space="preserve">ORD11581</t>
  </si>
  <si>
    <t xml:space="preserve">09:06</t>
  </si>
  <si>
    <t xml:space="preserve">C0020</t>
  </si>
  <si>
    <t xml:space="preserve">ORD11071</t>
  </si>
  <si>
    <t xml:space="preserve">22:15</t>
  </si>
  <si>
    <t xml:space="preserve">C0159</t>
  </si>
  <si>
    <t xml:space="preserve">ORD11651</t>
  </si>
  <si>
    <t xml:space="preserve">2025-08-03</t>
  </si>
  <si>
    <t xml:space="preserve">ORD12855</t>
  </si>
  <si>
    <t xml:space="preserve">2025-12-15</t>
  </si>
  <si>
    <t xml:space="preserve">22:45</t>
  </si>
  <si>
    <t xml:space="preserve">ORD11548</t>
  </si>
  <si>
    <t xml:space="preserve">21/07/2025</t>
  </si>
  <si>
    <t xml:space="preserve">00:17</t>
  </si>
  <si>
    <t xml:space="preserve">ORD11194</t>
  </si>
  <si>
    <t xml:space="preserve">C0115</t>
  </si>
  <si>
    <t xml:space="preserve">ORD10685</t>
  </si>
  <si>
    <t xml:space="preserve">ORD10254</t>
  </si>
  <si>
    <t xml:space="preserve">2025-02-02</t>
  </si>
  <si>
    <t xml:space="preserve">C0725</t>
  </si>
  <si>
    <t xml:space="preserve">ORD12248</t>
  </si>
  <si>
    <t xml:space="preserve">12/10/2025</t>
  </si>
  <si>
    <t xml:space="preserve">ORD12946</t>
  </si>
  <si>
    <t xml:space="preserve">11:19</t>
  </si>
  <si>
    <t xml:space="preserve">ORD10296</t>
  </si>
  <si>
    <t xml:space="preserve">18:33</t>
  </si>
  <si>
    <t xml:space="preserve">C0696</t>
  </si>
  <si>
    <t xml:space="preserve">ORD11455</t>
  </si>
  <si>
    <t xml:space="preserve">2025-07-08</t>
  </si>
  <si>
    <t xml:space="preserve">C0378</t>
  </si>
  <si>
    <t xml:space="preserve">ORD10054</t>
  </si>
  <si>
    <t xml:space="preserve">2025-01-08</t>
  </si>
  <si>
    <t xml:space="preserve">C1151</t>
  </si>
  <si>
    <t xml:space="preserve">ORD11779</t>
  </si>
  <si>
    <t xml:space="preserve">17:08</t>
  </si>
  <si>
    <t xml:space="preserve">C1192</t>
  </si>
  <si>
    <t xml:space="preserve">Burger  Barn</t>
  </si>
  <si>
    <t xml:space="preserve">ORD10329</t>
  </si>
  <si>
    <t xml:space="preserve">23:56</t>
  </si>
  <si>
    <t xml:space="preserve">KOLKATA</t>
  </si>
  <si>
    <t xml:space="preserve">ORD10597</t>
  </si>
  <si>
    <t xml:space="preserve">C0796</t>
  </si>
  <si>
    <t xml:space="preserve">ORD10271</t>
  </si>
  <si>
    <t xml:space="preserve">2025-02-05</t>
  </si>
  <si>
    <t xml:space="preserve">22:09</t>
  </si>
  <si>
    <t xml:space="preserve">C1147</t>
  </si>
  <si>
    <t xml:space="preserve">ORD10302</t>
  </si>
  <si>
    <t xml:space="preserve">2025-02-10</t>
  </si>
  <si>
    <t xml:space="preserve">C1328</t>
  </si>
  <si>
    <t xml:space="preserve">ORD10366</t>
  </si>
  <si>
    <t xml:space="preserve">22:56</t>
  </si>
  <si>
    <t xml:space="preserve">C1094</t>
  </si>
  <si>
    <t xml:space="preserve">north indian</t>
  </si>
  <si>
    <t xml:space="preserve">ORD11391</t>
  </si>
  <si>
    <t xml:space="preserve">2025-06-29</t>
  </si>
  <si>
    <t xml:space="preserve">C0318</t>
  </si>
  <si>
    <t xml:space="preserve">ORD12544</t>
  </si>
  <si>
    <t xml:space="preserve">21:02</t>
  </si>
  <si>
    <t xml:space="preserve">C0041</t>
  </si>
  <si>
    <t xml:space="preserve">ORD12560</t>
  </si>
  <si>
    <t xml:space="preserve">C1121</t>
  </si>
  <si>
    <t xml:space="preserve">ORD10652</t>
  </si>
  <si>
    <t xml:space="preserve">2025-03-24</t>
  </si>
  <si>
    <t xml:space="preserve">00:51</t>
  </si>
  <si>
    <t xml:space="preserve">ORD11724</t>
  </si>
  <si>
    <t xml:space="preserve">21:01</t>
  </si>
  <si>
    <t xml:space="preserve">ORD11241</t>
  </si>
  <si>
    <t xml:space="preserve">2025-06-07</t>
  </si>
  <si>
    <t xml:space="preserve">C0949</t>
  </si>
  <si>
    <t xml:space="preserve">ORD12032</t>
  </si>
  <si>
    <t xml:space="preserve">2025-09-19</t>
  </si>
  <si>
    <t xml:space="preserve">C1103</t>
  </si>
  <si>
    <t xml:space="preserve">ORD10192</t>
  </si>
  <si>
    <t xml:space="preserve">C0350</t>
  </si>
  <si>
    <t xml:space="preserve">ORD11017</t>
  </si>
  <si>
    <t xml:space="preserve">2025-05-09</t>
  </si>
  <si>
    <t xml:space="preserve">C0489</t>
  </si>
  <si>
    <t xml:space="preserve">ORD12209</t>
  </si>
  <si>
    <t xml:space="preserve">C1044</t>
  </si>
  <si>
    <t xml:space="preserve">ORD10375</t>
  </si>
  <si>
    <t xml:space="preserve">19-Feb-2025</t>
  </si>
  <si>
    <t xml:space="preserve">13:29</t>
  </si>
  <si>
    <t xml:space="preserve">C0798</t>
  </si>
  <si>
    <t xml:space="preserve">ORD12956</t>
  </si>
  <si>
    <t xml:space="preserve">27/12/2025</t>
  </si>
  <si>
    <t xml:space="preserve">15:50</t>
  </si>
  <si>
    <t xml:space="preserve">C0762</t>
  </si>
  <si>
    <t xml:space="preserve">ORD11893</t>
  </si>
  <si>
    <t xml:space="preserve">ORD10292</t>
  </si>
  <si>
    <t xml:space="preserve">ORD11365</t>
  </si>
  <si>
    <t xml:space="preserve">C1333</t>
  </si>
  <si>
    <t xml:space="preserve">ORD11206</t>
  </si>
  <si>
    <t xml:space="preserve">C1299</t>
  </si>
  <si>
    <t xml:space="preserve">ORD12140</t>
  </si>
  <si>
    <t xml:space="preserve">2025-10-01</t>
  </si>
  <si>
    <t xml:space="preserve">ORD12658</t>
  </si>
  <si>
    <t xml:space="preserve">2025-11-23</t>
  </si>
  <si>
    <t xml:space="preserve">23:10</t>
  </si>
  <si>
    <t xml:space="preserve">C1017</t>
  </si>
  <si>
    <t xml:space="preserve">ORD11304</t>
  </si>
  <si>
    <t xml:space="preserve">2025-06-16</t>
  </si>
  <si>
    <t xml:space="preserve">C0689</t>
  </si>
  <si>
    <t xml:space="preserve">ORD10858</t>
  </si>
  <si>
    <t xml:space="preserve">C1335</t>
  </si>
  <si>
    <t xml:space="preserve">ORD12457</t>
  </si>
  <si>
    <t xml:space="preserve">C0607</t>
  </si>
  <si>
    <t xml:space="preserve">ORD11424</t>
  </si>
  <si>
    <t xml:space="preserve">19:58</t>
  </si>
  <si>
    <t xml:space="preserve">ORD12445</t>
  </si>
  <si>
    <t xml:space="preserve">21:55</t>
  </si>
  <si>
    <t xml:space="preserve">ORD12210</t>
  </si>
  <si>
    <t xml:space="preserve">C0270</t>
  </si>
  <si>
    <t xml:space="preserve">ORD11395</t>
  </si>
  <si>
    <t xml:space="preserve">2025-06-30</t>
  </si>
  <si>
    <t xml:space="preserve">C0040</t>
  </si>
  <si>
    <t xml:space="preserve">ORD12572</t>
  </si>
  <si>
    <t xml:space="preserve">15/11/2025</t>
  </si>
  <si>
    <t xml:space="preserve">ORD12707</t>
  </si>
  <si>
    <t xml:space="preserve">29/11/2025</t>
  </si>
  <si>
    <t xml:space="preserve">14:14</t>
  </si>
  <si>
    <t xml:space="preserve">C0437</t>
  </si>
  <si>
    <t xml:space="preserve">ORD10180</t>
  </si>
  <si>
    <t xml:space="preserve">C1480</t>
  </si>
  <si>
    <t xml:space="preserve">ORD11612</t>
  </si>
  <si>
    <t xml:space="preserve">15:38</t>
  </si>
  <si>
    <t xml:space="preserve">C1453</t>
  </si>
  <si>
    <t xml:space="preserve">ORD10940</t>
  </si>
  <si>
    <t xml:space="preserve">10:04</t>
  </si>
  <si>
    <t xml:space="preserve">C1092</t>
  </si>
  <si>
    <t xml:space="preserve">ORD11522</t>
  </si>
  <si>
    <t xml:space="preserve">2025-07-16</t>
  </si>
  <si>
    <t xml:space="preserve">22:22</t>
  </si>
  <si>
    <t xml:space="preserve">C1399</t>
  </si>
  <si>
    <t xml:space="preserve">ORD10489</t>
  </si>
  <si>
    <t xml:space="preserve">2025-03-06</t>
  </si>
  <si>
    <t xml:space="preserve">08:46</t>
  </si>
  <si>
    <t xml:space="preserve">C0599</t>
  </si>
  <si>
    <t xml:space="preserve">ORD12451</t>
  </si>
  <si>
    <t xml:space="preserve">C0123</t>
  </si>
  <si>
    <t xml:space="preserve">ORD10761</t>
  </si>
  <si>
    <t xml:space="preserve">11:54</t>
  </si>
  <si>
    <t xml:space="preserve">C0334</t>
  </si>
  <si>
    <t xml:space="preserve">ORD10052</t>
  </si>
  <si>
    <t xml:space="preserve">08/01/2025</t>
  </si>
  <si>
    <t xml:space="preserve">15:06</t>
  </si>
  <si>
    <t xml:space="preserve">C0828</t>
  </si>
  <si>
    <t xml:space="preserve">ORD12221</t>
  </si>
  <si>
    <t xml:space="preserve">09/10/2025</t>
  </si>
  <si>
    <t xml:space="preserve">17:19</t>
  </si>
  <si>
    <t xml:space="preserve">ORD12698</t>
  </si>
  <si>
    <t xml:space="preserve">2025-11-28</t>
  </si>
  <si>
    <t xml:space="preserve">17:18</t>
  </si>
  <si>
    <t xml:space="preserve">C0394</t>
  </si>
  <si>
    <t xml:space="preserve">ORD12774</t>
  </si>
  <si>
    <t xml:space="preserve">C0613</t>
  </si>
  <si>
    <t xml:space="preserve">ORD12799</t>
  </si>
  <si>
    <t xml:space="preserve">2025-12-08</t>
  </si>
  <si>
    <t xml:space="preserve">19:02</t>
  </si>
  <si>
    <t xml:space="preserve">C1410</t>
  </si>
  <si>
    <t xml:space="preserve">ORD10064</t>
  </si>
  <si>
    <t xml:space="preserve">C0829</t>
  </si>
  <si>
    <t xml:space="preserve">ORD11698</t>
  </si>
  <si>
    <t xml:space="preserve">13:00</t>
  </si>
  <si>
    <t xml:space="preserve">C0307</t>
  </si>
  <si>
    <t xml:space="preserve">ORD11756</t>
  </si>
  <si>
    <t xml:space="preserve">2025-08-18</t>
  </si>
  <si>
    <t xml:space="preserve">17:22</t>
  </si>
  <si>
    <t xml:space="preserve">C0605</t>
  </si>
  <si>
    <t xml:space="preserve">ORD12066</t>
  </si>
  <si>
    <t xml:space="preserve">2025-09-24</t>
  </si>
  <si>
    <t xml:space="preserve">C1449</t>
  </si>
  <si>
    <t xml:space="preserve">ORD12554</t>
  </si>
  <si>
    <t xml:space="preserve">12:58</t>
  </si>
  <si>
    <t xml:space="preserve">ORD10211</t>
  </si>
  <si>
    <t xml:space="preserve">2025-01-29</t>
  </si>
  <si>
    <t xml:space="preserve">08:09</t>
  </si>
  <si>
    <t xml:space="preserve">C1443</t>
  </si>
  <si>
    <t xml:space="preserve">ORD11448</t>
  </si>
  <si>
    <t xml:space="preserve">C0837</t>
  </si>
  <si>
    <t xml:space="preserve">ORD12579</t>
  </si>
  <si>
    <t xml:space="preserve">09:12</t>
  </si>
  <si>
    <t xml:space="preserve">C1104</t>
  </si>
  <si>
    <t xml:space="preserve">ORD11030</t>
  </si>
  <si>
    <t xml:space="preserve">C0524</t>
  </si>
  <si>
    <t xml:space="preserve">ORD12732</t>
  </si>
  <si>
    <t xml:space="preserve">13:51</t>
  </si>
  <si>
    <t xml:space="preserve">C1052</t>
  </si>
  <si>
    <t xml:space="preserve">ORD10994</t>
  </si>
  <si>
    <t xml:space="preserve">18:53</t>
  </si>
  <si>
    <t xml:space="preserve">ORD10872</t>
  </si>
  <si>
    <t xml:space="preserve">C0012</t>
  </si>
  <si>
    <t xml:space="preserve">CHETTINAD HOUSE</t>
  </si>
  <si>
    <t xml:space="preserve">ORD11354</t>
  </si>
  <si>
    <t xml:space="preserve">2025-06-23</t>
  </si>
  <si>
    <t xml:space="preserve">C1061</t>
  </si>
  <si>
    <t xml:space="preserve">ORD11096</t>
  </si>
  <si>
    <t xml:space="preserve">C1361</t>
  </si>
  <si>
    <t xml:space="preserve">ORD10340</t>
  </si>
  <si>
    <t xml:space="preserve">C0832</t>
  </si>
  <si>
    <t xml:space="preserve">ORD12062</t>
  </si>
  <si>
    <t xml:space="preserve">19:11</t>
  </si>
  <si>
    <t xml:space="preserve">C0006</t>
  </si>
  <si>
    <t xml:space="preserve">ORD11298</t>
  </si>
  <si>
    <t xml:space="preserve">15/06/2025</t>
  </si>
  <si>
    <t xml:space="preserve">20:18</t>
  </si>
  <si>
    <t xml:space="preserve">C0298</t>
  </si>
  <si>
    <t xml:space="preserve">ORD10671</t>
  </si>
  <si>
    <t xml:space="preserve">21:13</t>
  </si>
  <si>
    <t xml:space="preserve">ORD11958</t>
  </si>
  <si>
    <t xml:space="preserve">ORD12385</t>
  </si>
  <si>
    <t xml:space="preserve">C0165</t>
  </si>
  <si>
    <t xml:space="preserve">ORD12021</t>
  </si>
  <si>
    <t xml:space="preserve">19:56</t>
  </si>
  <si>
    <t xml:space="preserve">ORD11117</t>
  </si>
  <si>
    <t xml:space="preserve">2025-05-22</t>
  </si>
  <si>
    <t xml:space="preserve">C1463</t>
  </si>
  <si>
    <t xml:space="preserve">ORD12761</t>
  </si>
  <si>
    <t xml:space="preserve">18:52</t>
  </si>
  <si>
    <t xml:space="preserve">ORD10975</t>
  </si>
  <si>
    <t xml:space="preserve">2025-05-03</t>
  </si>
  <si>
    <t xml:space="preserve">ORD12899</t>
  </si>
  <si>
    <t xml:space="preserve">2025-12-21</t>
  </si>
  <si>
    <t xml:space="preserve">01:12</t>
  </si>
  <si>
    <t xml:space="preserve">ORD11609</t>
  </si>
  <si>
    <t xml:space="preserve">C0090</t>
  </si>
  <si>
    <t xml:space="preserve">ORD11926</t>
  </si>
  <si>
    <t xml:space="preserve">07/09/2025</t>
  </si>
  <si>
    <t xml:space="preserve">ORD11939</t>
  </si>
  <si>
    <t xml:space="preserve">2025-09-09</t>
  </si>
  <si>
    <t xml:space="preserve">12:12</t>
  </si>
  <si>
    <t xml:space="preserve">ORD12475</t>
  </si>
  <si>
    <t xml:space="preserve">07/11/2025</t>
  </si>
  <si>
    <t xml:space="preserve">11:35</t>
  </si>
  <si>
    <t xml:space="preserve">ORD12176</t>
  </si>
  <si>
    <t xml:space="preserve">04-Oct-2025</t>
  </si>
  <si>
    <t xml:space="preserve">C0080</t>
  </si>
  <si>
    <t xml:space="preserve">ORD12082</t>
  </si>
  <si>
    <t xml:space="preserve">14:02</t>
  </si>
  <si>
    <t xml:space="preserve">C0955</t>
  </si>
  <si>
    <t xml:space="preserve">ORD10355</t>
  </si>
  <si>
    <t xml:space="preserve">2025-02-16</t>
  </si>
  <si>
    <t xml:space="preserve">C1391</t>
  </si>
  <si>
    <t xml:space="preserve">ORD12826</t>
  </si>
  <si>
    <t xml:space="preserve">C1374</t>
  </si>
  <si>
    <t xml:space="preserve">ORD11083</t>
  </si>
  <si>
    <t xml:space="preserve">ORD12461</t>
  </si>
  <si>
    <t xml:space="preserve">C0817</t>
  </si>
  <si>
    <t xml:space="preserve">ORD12996</t>
  </si>
  <si>
    <t xml:space="preserve">2025-12-31</t>
  </si>
  <si>
    <t xml:space="preserve">17:20</t>
  </si>
  <si>
    <t xml:space="preserve">ORD10768</t>
  </si>
  <si>
    <t xml:space="preserve">C0737</t>
  </si>
  <si>
    <t xml:space="preserve">ORD12167</t>
  </si>
  <si>
    <t xml:space="preserve">01:38</t>
  </si>
  <si>
    <t xml:space="preserve">C0937</t>
  </si>
  <si>
    <t xml:space="preserve">Mumbai  Pizza Co</t>
  </si>
  <si>
    <t xml:space="preserve">ORD12290</t>
  </si>
  <si>
    <t xml:space="preserve">22:36</t>
  </si>
  <si>
    <t xml:space="preserve">C1016</t>
  </si>
  <si>
    <t xml:space="preserve">madras biryani co</t>
  </si>
  <si>
    <t xml:space="preserve">ORD10059</t>
  </si>
  <si>
    <t xml:space="preserve">09/01/2025</t>
  </si>
  <si>
    <t xml:space="preserve">12:55</t>
  </si>
  <si>
    <t xml:space="preserve">C0675</t>
  </si>
  <si>
    <t xml:space="preserve">ORD12096</t>
  </si>
  <si>
    <t xml:space="preserve">2025-09-27</t>
  </si>
  <si>
    <t xml:space="preserve">C0943</t>
  </si>
  <si>
    <t xml:space="preserve">ORD12087</t>
  </si>
  <si>
    <t xml:space="preserve">26-Sep-2025</t>
  </si>
  <si>
    <t xml:space="preserve">13:28</t>
  </si>
  <si>
    <t xml:space="preserve">C1201</t>
  </si>
  <si>
    <t xml:space="preserve">ORD11970</t>
  </si>
  <si>
    <t xml:space="preserve">C0948</t>
  </si>
  <si>
    <t xml:space="preserve">ORD11768</t>
  </si>
  <si>
    <t xml:space="preserve">2025-08-19</t>
  </si>
  <si>
    <t xml:space="preserve">C0880</t>
  </si>
  <si>
    <t xml:space="preserve">ORD10215</t>
  </si>
  <si>
    <t xml:space="preserve">C0192</t>
  </si>
  <si>
    <t xml:space="preserve">ORD12550</t>
  </si>
  <si>
    <t xml:space="preserve">12:10</t>
  </si>
  <si>
    <t xml:space="preserve">C0202</t>
  </si>
  <si>
    <t xml:space="preserve">ORD11084</t>
  </si>
  <si>
    <t xml:space="preserve">C1346</t>
  </si>
  <si>
    <t xml:space="preserve">ORD11193</t>
  </si>
  <si>
    <t xml:space="preserve">21:35</t>
  </si>
  <si>
    <t xml:space="preserve">ORD11823</t>
  </si>
  <si>
    <t xml:space="preserve">2025-08-26</t>
  </si>
  <si>
    <t xml:space="preserve">C0487</t>
  </si>
  <si>
    <t xml:space="preserve">ORD11214</t>
  </si>
  <si>
    <t xml:space="preserve">ORD11197</t>
  </si>
  <si>
    <t xml:space="preserve">ORD12386</t>
  </si>
  <si>
    <t xml:space="preserve">ORD10454</t>
  </si>
  <si>
    <t xml:space="preserve">C0061</t>
  </si>
  <si>
    <t xml:space="preserve">ORD11708</t>
  </si>
  <si>
    <t xml:space="preserve">C0586</t>
  </si>
  <si>
    <t xml:space="preserve">ORD12892</t>
  </si>
  <si>
    <t xml:space="preserve">C0537</t>
  </si>
  <si>
    <t xml:space="preserve">ORD12508</t>
  </si>
  <si>
    <t xml:space="preserve">C0505</t>
  </si>
  <si>
    <t xml:space="preserve">ORD10214</t>
  </si>
  <si>
    <t xml:space="preserve">14:48</t>
  </si>
  <si>
    <t xml:space="preserve">C0587</t>
  </si>
  <si>
    <t xml:space="preserve">ORD11181</t>
  </si>
  <si>
    <t xml:space="preserve">C0332</t>
  </si>
  <si>
    <t xml:space="preserve">ORD12699</t>
  </si>
  <si>
    <t xml:space="preserve">ORD11748</t>
  </si>
  <si>
    <t xml:space="preserve">2025-08-17</t>
  </si>
  <si>
    <t xml:space="preserve">C0844</t>
  </si>
  <si>
    <t xml:space="preserve">ORD10342</t>
  </si>
  <si>
    <t xml:space="preserve">17:44</t>
  </si>
  <si>
    <t xml:space="preserve">ORD10148</t>
  </si>
  <si>
    <t xml:space="preserve">09:20</t>
  </si>
  <si>
    <t xml:space="preserve">C0323</t>
  </si>
  <si>
    <t xml:space="preserve">ORD11674</t>
  </si>
  <si>
    <t xml:space="preserve">2025-08-07</t>
  </si>
  <si>
    <t xml:space="preserve">00:05</t>
  </si>
  <si>
    <t xml:space="preserve">C0580</t>
  </si>
  <si>
    <t xml:space="preserve">ORD12778</t>
  </si>
  <si>
    <t xml:space="preserve">2025-12-06</t>
  </si>
  <si>
    <t xml:space="preserve">00:32</t>
  </si>
  <si>
    <t xml:space="preserve">ORD12912</t>
  </si>
  <si>
    <t xml:space="preserve">08:18</t>
  </si>
  <si>
    <t xml:space="preserve">C0555</t>
  </si>
  <si>
    <t xml:space="preserve">ORD11449</t>
  </si>
  <si>
    <t xml:space="preserve">C0303</t>
  </si>
  <si>
    <t xml:space="preserve">ORD10218</t>
  </si>
  <si>
    <t xml:space="preserve">12:40</t>
  </si>
  <si>
    <t xml:space="preserve">C0086</t>
  </si>
  <si>
    <t xml:space="preserve">ORD12819</t>
  </si>
  <si>
    <t xml:space="preserve">19:08</t>
  </si>
  <si>
    <t xml:space="preserve">C0960</t>
  </si>
  <si>
    <t xml:space="preserve">ORD10453</t>
  </si>
  <si>
    <t xml:space="preserve">02-Mar-2025</t>
  </si>
  <si>
    <t xml:space="preserve">10:29</t>
  </si>
  <si>
    <t xml:space="preserve">C0919</t>
  </si>
  <si>
    <t xml:space="preserve">ORD12701</t>
  </si>
  <si>
    <t xml:space="preserve">20:05</t>
  </si>
  <si>
    <t xml:space="preserve">ORD11294</t>
  </si>
  <si>
    <t xml:space="preserve">2025-06-14</t>
  </si>
  <si>
    <t xml:space="preserve">C0809</t>
  </si>
  <si>
    <t xml:space="preserve">Dosa  Darbar</t>
  </si>
  <si>
    <t xml:space="preserve">ORD11252</t>
  </si>
  <si>
    <t xml:space="preserve">09-Jun-2025</t>
  </si>
  <si>
    <t xml:space="preserve">10:26</t>
  </si>
  <si>
    <t xml:space="preserve">C0878</t>
  </si>
  <si>
    <t xml:space="preserve">ORD10677</t>
  </si>
  <si>
    <t xml:space="preserve">ORD10944</t>
  </si>
  <si>
    <t xml:space="preserve">ORD11233</t>
  </si>
  <si>
    <t xml:space="preserve">05/06/2025</t>
  </si>
  <si>
    <t xml:space="preserve">23:38</t>
  </si>
  <si>
    <t xml:space="preserve">C0629</t>
  </si>
  <si>
    <t xml:space="preserve">ORD11872</t>
  </si>
  <si>
    <t xml:space="preserve">C0047</t>
  </si>
  <si>
    <t xml:space="preserve"> Dragon Express</t>
  </si>
  <si>
    <t xml:space="preserve">ORD12346</t>
  </si>
  <si>
    <t xml:space="preserve">2025-10-22</t>
  </si>
  <si>
    <t xml:space="preserve">C1115</t>
  </si>
  <si>
    <t xml:space="preserve">ORD12827</t>
  </si>
  <si>
    <t xml:space="preserve">2025-12-12</t>
  </si>
  <si>
    <t xml:space="preserve">14:15</t>
  </si>
  <si>
    <t xml:space="preserve">C0934</t>
  </si>
  <si>
    <t xml:space="preserve">ORD11413</t>
  </si>
  <si>
    <t xml:space="preserve">C1012</t>
  </si>
  <si>
    <t xml:space="preserve">ORD12264</t>
  </si>
  <si>
    <t xml:space="preserve">ORD12153</t>
  </si>
  <si>
    <t xml:space="preserve">C0162</t>
  </si>
  <si>
    <t xml:space="preserve">ORD12125</t>
  </si>
  <si>
    <t xml:space="preserve">ORD11125</t>
  </si>
  <si>
    <t xml:space="preserve">2025-05-23</t>
  </si>
  <si>
    <t xml:space="preserve">11:41</t>
  </si>
  <si>
    <t xml:space="preserve">C0111</t>
  </si>
  <si>
    <t xml:space="preserve">ORD10921</t>
  </si>
  <si>
    <t xml:space="preserve">26/04/2025</t>
  </si>
  <si>
    <t xml:space="preserve">23:17</t>
  </si>
  <si>
    <t xml:space="preserve">ORD12450</t>
  </si>
  <si>
    <t xml:space="preserve">ORD10972</t>
  </si>
  <si>
    <t xml:space="preserve">11:36</t>
  </si>
  <si>
    <t xml:space="preserve">C1441</t>
  </si>
  <si>
    <t xml:space="preserve">ORD12354</t>
  </si>
  <si>
    <t xml:space="preserve">18:55</t>
  </si>
  <si>
    <t xml:space="preserve">C1066</t>
  </si>
  <si>
    <t xml:space="preserve">ORD12812</t>
  </si>
  <si>
    <t xml:space="preserve">C0895</t>
  </si>
  <si>
    <t xml:space="preserve">ORD11545</t>
  </si>
  <si>
    <t xml:space="preserve">20:30</t>
  </si>
  <si>
    <t xml:space="preserve">ORD12158</t>
  </si>
  <si>
    <t xml:space="preserve">ORD10752</t>
  </si>
  <si>
    <t xml:space="preserve">21:41</t>
  </si>
  <si>
    <t xml:space="preserve">ORD11085</t>
  </si>
  <si>
    <t xml:space="preserve">ORD10151</t>
  </si>
  <si>
    <t xml:space="preserve">11:45</t>
  </si>
  <si>
    <t xml:space="preserve">ORD12400</t>
  </si>
  <si>
    <t xml:space="preserve">12:18</t>
  </si>
  <si>
    <t xml:space="preserve">ORD12933</t>
  </si>
  <si>
    <t xml:space="preserve">2025-12-24</t>
  </si>
  <si>
    <t xml:space="preserve">12:38</t>
  </si>
  <si>
    <t xml:space="preserve">ORD12666</t>
  </si>
  <si>
    <t xml:space="preserve">C0797</t>
  </si>
  <si>
    <t xml:space="preserve">ORD12394</t>
  </si>
  <si>
    <t xml:space="preserve">2025-10-29</t>
  </si>
  <si>
    <t xml:space="preserve">C0987</t>
  </si>
  <si>
    <t xml:space="preserve">ORD10485</t>
  </si>
  <si>
    <t xml:space="preserve">18:10</t>
  </si>
  <si>
    <t xml:space="preserve">C0126</t>
  </si>
  <si>
    <t xml:space="preserve">ORD11826</t>
  </si>
  <si>
    <t xml:space="preserve">ORD12696</t>
  </si>
  <si>
    <t xml:space="preserve">ORD11882</t>
  </si>
  <si>
    <t xml:space="preserve">2025-09-02</t>
  </si>
  <si>
    <t xml:space="preserve">C1209</t>
  </si>
  <si>
    <t xml:space="preserve">ORD12360</t>
  </si>
  <si>
    <t xml:space="preserve">C1146</t>
  </si>
  <si>
    <t xml:space="preserve">ORD10650</t>
  </si>
  <si>
    <t xml:space="preserve">ORD12718</t>
  </si>
  <si>
    <t xml:space="preserve">17:38</t>
  </si>
  <si>
    <t xml:space="preserve">C0239</t>
  </si>
  <si>
    <t xml:space="preserve">ORD12535</t>
  </si>
  <si>
    <t xml:space="preserve">20:11</t>
  </si>
  <si>
    <t xml:space="preserve">ORD11584</t>
  </si>
  <si>
    <t xml:space="preserve">burger barn</t>
  </si>
  <si>
    <t xml:space="preserve">ORD10570</t>
  </si>
  <si>
    <t xml:space="preserve">13:01</t>
  </si>
  <si>
    <t xml:space="preserve">C0730</t>
  </si>
  <si>
    <t xml:space="preserve">ORD10737</t>
  </si>
  <si>
    <t xml:space="preserve">C0644</t>
  </si>
  <si>
    <t xml:space="preserve">ORD12337</t>
  </si>
  <si>
    <t xml:space="preserve">ORD10518</t>
  </si>
  <si>
    <t xml:space="preserve">ORD12293</t>
  </si>
  <si>
    <t xml:space="preserve">2025-10-17</t>
  </si>
  <si>
    <t xml:space="preserve">13:23</t>
  </si>
  <si>
    <t xml:space="preserve">ORD12088</t>
  </si>
  <si>
    <t xml:space="preserve">C0226</t>
  </si>
  <si>
    <t xml:space="preserve">ORD10896</t>
  </si>
  <si>
    <t xml:space="preserve">2025-04-23</t>
  </si>
  <si>
    <t xml:space="preserve">14:33</t>
  </si>
  <si>
    <t xml:space="preserve">C0240</t>
  </si>
  <si>
    <t xml:space="preserve">ORD12426</t>
  </si>
  <si>
    <t xml:space="preserve">2025-11-01</t>
  </si>
  <si>
    <t xml:space="preserve">C0523</t>
  </si>
  <si>
    <t xml:space="preserve">ORD12083</t>
  </si>
  <si>
    <t xml:space="preserve">25/09/2025</t>
  </si>
  <si>
    <t xml:space="preserve">ORD10193</t>
  </si>
  <si>
    <t xml:space="preserve">13:06</t>
  </si>
  <si>
    <t xml:space="preserve">C0718</t>
  </si>
  <si>
    <t xml:space="preserve">ORD11472</t>
  </si>
  <si>
    <t xml:space="preserve">2025-07-10</t>
  </si>
  <si>
    <t xml:space="preserve">ORD10960</t>
  </si>
  <si>
    <t xml:space="preserve">2025-05-01</t>
  </si>
  <si>
    <t xml:space="preserve">ORD12194</t>
  </si>
  <si>
    <t xml:space="preserve">2025-10-06</t>
  </si>
  <si>
    <t xml:space="preserve">18:46</t>
  </si>
  <si>
    <t xml:space="preserve">C0396</t>
  </si>
  <si>
    <t xml:space="preserve">ORD12741</t>
  </si>
  <si>
    <t xml:space="preserve">ORD10073</t>
  </si>
  <si>
    <t xml:space="preserve">20:12</t>
  </si>
  <si>
    <t xml:space="preserve">ORD11303</t>
  </si>
  <si>
    <t xml:space="preserve">C0351</t>
  </si>
  <si>
    <t xml:space="preserve">ORD11171</t>
  </si>
  <si>
    <t xml:space="preserve">2025-05-29</t>
  </si>
  <si>
    <t xml:space="preserve">C0052</t>
  </si>
  <si>
    <t xml:space="preserve">ORD10018</t>
  </si>
  <si>
    <t xml:space="preserve">2025-01-03</t>
  </si>
  <si>
    <t xml:space="preserve">18:29</t>
  </si>
  <si>
    <t xml:space="preserve">ORD10878</t>
  </si>
  <si>
    <t xml:space="preserve">C1381</t>
  </si>
  <si>
    <t xml:space="preserve">ORD10665</t>
  </si>
  <si>
    <t xml:space="preserve">15:51</t>
  </si>
  <si>
    <t xml:space="preserve">C0608</t>
  </si>
  <si>
    <t xml:space="preserve">ORD11679</t>
  </si>
  <si>
    <t xml:space="preserve">ORD12680</t>
  </si>
  <si>
    <t xml:space="preserve">26/11/2025</t>
  </si>
  <si>
    <t xml:space="preserve">C0777</t>
  </si>
  <si>
    <t xml:space="preserve">ORD10116</t>
  </si>
  <si>
    <t xml:space="preserve">2025-01-15</t>
  </si>
  <si>
    <t xml:space="preserve">C1424</t>
  </si>
  <si>
    <t xml:space="preserve">ORD12377</t>
  </si>
  <si>
    <t xml:space="preserve">2025-10-27</t>
  </si>
  <si>
    <t xml:space="preserve">ORD12997</t>
  </si>
  <si>
    <t xml:space="preserve">C0013</t>
  </si>
  <si>
    <t xml:space="preserve">ORD11058</t>
  </si>
  <si>
    <t xml:space="preserve">10:05</t>
  </si>
  <si>
    <t xml:space="preserve">ORD11899</t>
  </si>
  <si>
    <t xml:space="preserve">2025-09-04</t>
  </si>
  <si>
    <t xml:space="preserve">13:47</t>
  </si>
  <si>
    <t xml:space="preserve">C0116</t>
  </si>
  <si>
    <t xml:space="preserve">ORD12103</t>
  </si>
  <si>
    <t xml:space="preserve">C1026</t>
  </si>
  <si>
    <t xml:space="preserve">ORD10263</t>
  </si>
  <si>
    <t xml:space="preserve">ORD10525</t>
  </si>
  <si>
    <t xml:space="preserve">C1266</t>
  </si>
  <si>
    <t xml:space="preserve">ORD12894</t>
  </si>
  <si>
    <t xml:space="preserve">20:50</t>
  </si>
  <si>
    <t xml:space="preserve">C0785</t>
  </si>
  <si>
    <t xml:space="preserve">ORD10751</t>
  </si>
  <si>
    <t xml:space="preserve">21:38</t>
  </si>
  <si>
    <t xml:space="preserve">C0375</t>
  </si>
  <si>
    <t xml:space="preserve">ORD11396</t>
  </si>
  <si>
    <t xml:space="preserve">ORD11136</t>
  </si>
  <si>
    <t xml:space="preserve">C0039</t>
  </si>
  <si>
    <t xml:space="preserve">ORD10299</t>
  </si>
  <si>
    <t xml:space="preserve">10/02/2025</t>
  </si>
  <si>
    <t xml:space="preserve">ORD12484</t>
  </si>
  <si>
    <t xml:space="preserve">11:55</t>
  </si>
  <si>
    <t xml:space="preserve">C0559</t>
  </si>
  <si>
    <t xml:space="preserve">CHEESY SLICE</t>
  </si>
  <si>
    <t xml:space="preserve">ORD11142</t>
  </si>
  <si>
    <t xml:space="preserve">2025-05-25</t>
  </si>
  <si>
    <t xml:space="preserve">C1434</t>
  </si>
  <si>
    <t xml:space="preserve">ORD12439</t>
  </si>
  <si>
    <t xml:space="preserve">11:07</t>
  </si>
  <si>
    <t xml:space="preserve">C0646</t>
  </si>
  <si>
    <t xml:space="preserve">ORD11733</t>
  </si>
  <si>
    <t xml:space="preserve">ORD10513</t>
  </si>
  <si>
    <t xml:space="preserve">C0077</t>
  </si>
  <si>
    <t xml:space="preserve">ORD10038</t>
  </si>
  <si>
    <t xml:space="preserve">12:42</t>
  </si>
  <si>
    <t xml:space="preserve">C0997</t>
  </si>
  <si>
    <t xml:space="preserve">ORD12442</t>
  </si>
  <si>
    <t xml:space="preserve">13:21</t>
  </si>
  <si>
    <t xml:space="preserve">C0451</t>
  </si>
  <si>
    <t xml:space="preserve">Curry Leaf Kitchen </t>
  </si>
  <si>
    <t xml:space="preserve">ORD10985</t>
  </si>
  <si>
    <t xml:space="preserve">2025-05-05</t>
  </si>
  <si>
    <t xml:space="preserve">12:14</t>
  </si>
  <si>
    <t xml:space="preserve">C1244</t>
  </si>
  <si>
    <t xml:space="preserve"> Spice Junction</t>
  </si>
  <si>
    <t xml:space="preserve">ORD10740</t>
  </si>
  <si>
    <t xml:space="preserve">19:55</t>
  </si>
  <si>
    <t xml:space="preserve">C0988</t>
  </si>
  <si>
    <t xml:space="preserve">ORD10399</t>
  </si>
  <si>
    <t xml:space="preserve">13:48</t>
  </si>
  <si>
    <t xml:space="preserve">ORD12095</t>
  </si>
  <si>
    <t xml:space="preserve">ORD10802</t>
  </si>
  <si>
    <t xml:space="preserve">22:35</t>
  </si>
  <si>
    <t xml:space="preserve">ORD12028</t>
  </si>
  <si>
    <t xml:space="preserve">12:50</t>
  </si>
  <si>
    <t xml:space="preserve">C0477</t>
  </si>
  <si>
    <t xml:space="preserve">ORD12155</t>
  </si>
  <si>
    <t xml:space="preserve">10:14</t>
  </si>
  <si>
    <t xml:space="preserve">ORD12622</t>
  </si>
  <si>
    <t xml:space="preserve">20/11/2025</t>
  </si>
  <si>
    <t xml:space="preserve">ORD12069</t>
  </si>
  <si>
    <t xml:space="preserve">ORD11253</t>
  </si>
  <si>
    <t xml:space="preserve">C0786</t>
  </si>
  <si>
    <t xml:space="preserve">ORD10396</t>
  </si>
  <si>
    <t xml:space="preserve">ORD10095</t>
  </si>
  <si>
    <t xml:space="preserve">C0316</t>
  </si>
  <si>
    <t xml:space="preserve">ORD12031</t>
  </si>
  <si>
    <t xml:space="preserve">19/09/2025</t>
  </si>
  <si>
    <t xml:space="preserve">C0267</t>
  </si>
  <si>
    <t xml:space="preserve">ORD10730</t>
  </si>
  <si>
    <t xml:space="preserve">C0220</t>
  </si>
  <si>
    <t xml:space="preserve">ORD11632</t>
  </si>
  <si>
    <t xml:space="preserve">2025-08-01</t>
  </si>
  <si>
    <t xml:space="preserve">C1033</t>
  </si>
  <si>
    <t xml:space="preserve">ORD11314</t>
  </si>
  <si>
    <t xml:space="preserve">15:04</t>
  </si>
  <si>
    <t xml:space="preserve">C1116</t>
  </si>
  <si>
    <t xml:space="preserve">ORD10962</t>
  </si>
  <si>
    <t xml:space="preserve">tandoor tales</t>
  </si>
  <si>
    <t xml:space="preserve">ORD11284</t>
  </si>
  <si>
    <t xml:space="preserve">13/06/2025</t>
  </si>
  <si>
    <t xml:space="preserve">C0133</t>
  </si>
  <si>
    <t xml:space="preserve">ORD12775</t>
  </si>
  <si>
    <t xml:space="preserve">19:39</t>
  </si>
  <si>
    <t xml:space="preserve">ORD12679</t>
  </si>
  <si>
    <t xml:space="preserve">2025-11-26</t>
  </si>
  <si>
    <t xml:space="preserve">C0452</t>
  </si>
  <si>
    <t xml:space="preserve">ORD12616</t>
  </si>
  <si>
    <t xml:space="preserve">ORD11287</t>
  </si>
  <si>
    <t xml:space="preserve">15:47</t>
  </si>
  <si>
    <t xml:space="preserve">C0430</t>
  </si>
  <si>
    <t xml:space="preserve">ORD10197</t>
  </si>
  <si>
    <t xml:space="preserve">C0568</t>
  </si>
  <si>
    <t xml:space="preserve">ORD10408</t>
  </si>
  <si>
    <t xml:space="preserve">2025-02-24</t>
  </si>
  <si>
    <t xml:space="preserve">10:31</t>
  </si>
  <si>
    <t xml:space="preserve">C0455</t>
  </si>
  <si>
    <t xml:space="preserve">ORD10662</t>
  </si>
  <si>
    <t xml:space="preserve">10:54</t>
  </si>
  <si>
    <t xml:space="preserve">ORD10579</t>
  </si>
  <si>
    <t xml:space="preserve">13:04</t>
  </si>
  <si>
    <t xml:space="preserve">C0853</t>
  </si>
  <si>
    <t xml:space="preserve">ORD12601</t>
  </si>
  <si>
    <t xml:space="preserve">C0846</t>
  </si>
  <si>
    <t xml:space="preserve">ORD10965</t>
  </si>
  <si>
    <t xml:space="preserve">2025-05-02</t>
  </si>
  <si>
    <t xml:space="preserve">ORD12335</t>
  </si>
  <si>
    <t xml:space="preserve">ORD10318</t>
  </si>
  <si>
    <t xml:space="preserve">C0301</t>
  </si>
  <si>
    <t xml:space="preserve">ORD11681</t>
  </si>
  <si>
    <t xml:space="preserve">01:36</t>
  </si>
  <si>
    <t xml:space="preserve">ORD11901</t>
  </si>
  <si>
    <t xml:space="preserve">16:05</t>
  </si>
  <si>
    <t xml:space="preserve">C0315</t>
  </si>
  <si>
    <t xml:space="preserve">ORD12092</t>
  </si>
  <si>
    <t xml:space="preserve">ORD10893</t>
  </si>
  <si>
    <t xml:space="preserve">22:19</t>
  </si>
  <si>
    <t xml:space="preserve">C0450</t>
  </si>
  <si>
    <t xml:space="preserve">ORD10849</t>
  </si>
  <si>
    <t xml:space="preserve">22:54</t>
  </si>
  <si>
    <t xml:space="preserve">ORD11654</t>
  </si>
  <si>
    <t xml:space="preserve">C0825</t>
  </si>
  <si>
    <t xml:space="preserve">ORD12473</t>
  </si>
  <si>
    <t xml:space="preserve">2025-11-06</t>
  </si>
  <si>
    <t xml:space="preserve">C0121</t>
  </si>
  <si>
    <t xml:space="preserve">ORD10545</t>
  </si>
  <si>
    <t xml:space="preserve">ORD11456</t>
  </si>
  <si>
    <t xml:space="preserve">C0360</t>
  </si>
  <si>
    <t xml:space="preserve">ORD12226</t>
  </si>
  <si>
    <t xml:space="preserve">22:33</t>
  </si>
  <si>
    <t xml:space="preserve">C0229</t>
  </si>
  <si>
    <t xml:space="preserve">ORD12612</t>
  </si>
  <si>
    <t xml:space="preserve">HYDERABAD</t>
  </si>
  <si>
    <t xml:space="preserve">ORD10547</t>
  </si>
  <si>
    <t xml:space="preserve">C0436</t>
  </si>
  <si>
    <t xml:space="preserve">ORD11245</t>
  </si>
  <si>
    <t xml:space="preserve">2025-06-08</t>
  </si>
  <si>
    <t xml:space="preserve">C0905</t>
  </si>
  <si>
    <t xml:space="preserve">ORD12631</t>
  </si>
  <si>
    <t xml:space="preserve">2025-11-21</t>
  </si>
  <si>
    <t xml:space="preserve">ORD12249</t>
  </si>
  <si>
    <t xml:space="preserve">C1295</t>
  </si>
  <si>
    <t xml:space="preserve">ORD12837</t>
  </si>
  <si>
    <t xml:space="preserve">C1495</t>
  </si>
  <si>
    <t xml:space="preserve">ORD12254</t>
  </si>
  <si>
    <t xml:space="preserve">2025-10-12</t>
  </si>
  <si>
    <t xml:space="preserve">22:38</t>
  </si>
  <si>
    <t xml:space="preserve">C0807</t>
  </si>
  <si>
    <t xml:space="preserve">ORD12723</t>
  </si>
  <si>
    <t xml:space="preserve">NAWABI BIRYANI HOUSE</t>
  </si>
  <si>
    <t xml:space="preserve">ORD10636</t>
  </si>
  <si>
    <t xml:space="preserve">21/03/2025</t>
  </si>
  <si>
    <t xml:space="preserve">20:22</t>
  </si>
  <si>
    <t xml:space="preserve">C1003</t>
  </si>
  <si>
    <t xml:space="preserve">ORD11454</t>
  </si>
  <si>
    <t xml:space="preserve">ORD10591</t>
  </si>
  <si>
    <t xml:space="preserve">C0933</t>
  </si>
  <si>
    <t xml:space="preserve">ORD12980</t>
  </si>
  <si>
    <t xml:space="preserve">14:05</t>
  </si>
  <si>
    <t xml:space="preserve">ORD11385</t>
  </si>
  <si>
    <t xml:space="preserve">22:00</t>
  </si>
  <si>
    <t xml:space="preserve">ORD12186</t>
  </si>
  <si>
    <t xml:space="preserve">C0847</t>
  </si>
  <si>
    <t xml:space="preserve">ORD10109</t>
  </si>
  <si>
    <t xml:space="preserve">ORD10719</t>
  </si>
  <si>
    <t xml:space="preserve">10:35</t>
  </si>
  <si>
    <t xml:space="preserve">C0881</t>
  </si>
  <si>
    <t xml:space="preserve">ORD12914</t>
  </si>
  <si>
    <t xml:space="preserve">16:55</t>
  </si>
  <si>
    <t xml:space="preserve">C0604</t>
  </si>
  <si>
    <t xml:space="preserve">ORD11334</t>
  </si>
  <si>
    <t xml:space="preserve">2025-06-21</t>
  </si>
  <si>
    <t xml:space="preserve">C0742</t>
  </si>
  <si>
    <t xml:space="preserve">ORD12303</t>
  </si>
  <si>
    <t xml:space="preserve">ORD11904</t>
  </si>
  <si>
    <t xml:space="preserve">ORD12668</t>
  </si>
  <si>
    <t xml:space="preserve">C1383</t>
  </si>
  <si>
    <t xml:space="preserve">ORD12639</t>
  </si>
  <si>
    <t xml:space="preserve">ORD10922</t>
  </si>
  <si>
    <t xml:space="preserve">2025-04-27</t>
  </si>
  <si>
    <t xml:space="preserve">10:09</t>
  </si>
  <si>
    <t xml:space="preserve">C0654</t>
  </si>
  <si>
    <t xml:space="preserve">ORD10713</t>
  </si>
  <si>
    <t xml:space="preserve">12:25</t>
  </si>
  <si>
    <t xml:space="preserve">C0903</t>
  </si>
  <si>
    <t xml:space="preserve">ORD10288</t>
  </si>
  <si>
    <t xml:space="preserve">17:30</t>
  </si>
  <si>
    <t xml:space="preserve">ORD11055</t>
  </si>
  <si>
    <t xml:space="preserve">ORD12040</t>
  </si>
  <si>
    <t xml:space="preserve">17:11</t>
  </si>
  <si>
    <t xml:space="preserve">C0373</t>
  </si>
  <si>
    <t xml:space="preserve">ORD11037</t>
  </si>
  <si>
    <t xml:space="preserve">2025-05-11</t>
  </si>
  <si>
    <t xml:space="preserve">C0733</t>
  </si>
  <si>
    <t xml:space="preserve">ORD11752</t>
  </si>
  <si>
    <t xml:space="preserve">ORD11644</t>
  </si>
  <si>
    <t xml:space="preserve">10:38</t>
  </si>
  <si>
    <t xml:space="preserve">ORD11268</t>
  </si>
  <si>
    <t xml:space="preserve">C1184</t>
  </si>
  <si>
    <t xml:space="preserve">ORD11648</t>
  </si>
  <si>
    <t xml:space="preserve">C0544</t>
  </si>
  <si>
    <t xml:space="preserve">ORD10745</t>
  </si>
  <si>
    <t xml:space="preserve">ORD11797</t>
  </si>
  <si>
    <t xml:space="preserve">18:20</t>
  </si>
  <si>
    <t xml:space="preserve">ORD12697</t>
  </si>
  <si>
    <t xml:space="preserve">ORD10855</t>
  </si>
  <si>
    <t xml:space="preserve">C1045</t>
  </si>
  <si>
    <t xml:space="preserve">ORD10201</t>
  </si>
  <si>
    <t xml:space="preserve">2025-01-27</t>
  </si>
  <si>
    <t xml:space="preserve">22:24</t>
  </si>
  <si>
    <t xml:space="preserve">C1302</t>
  </si>
  <si>
    <t xml:space="preserve">ORD11915</t>
  </si>
  <si>
    <t xml:space="preserve">2025-09-05</t>
  </si>
  <si>
    <t xml:space="preserve">ORD12814</t>
  </si>
  <si>
    <t xml:space="preserve">10/12/2025</t>
  </si>
  <si>
    <t xml:space="preserve">18:09</t>
  </si>
  <si>
    <t xml:space="preserve">ORD12220</t>
  </si>
  <si>
    <t xml:space="preserve">15:37</t>
  </si>
  <si>
    <t xml:space="preserve">C1073</t>
  </si>
  <si>
    <t xml:space="preserve">ORD10929</t>
  </si>
  <si>
    <t xml:space="preserve">22:52</t>
  </si>
  <si>
    <t xml:space="preserve">C0705</t>
  </si>
  <si>
    <t xml:space="preserve">ORD11380</t>
  </si>
  <si>
    <t xml:space="preserve">2025-06-27</t>
  </si>
  <si>
    <t xml:space="preserve">C0859</t>
  </si>
  <si>
    <t xml:space="preserve">ORD11443</t>
  </si>
  <si>
    <t xml:space="preserve">2025-07-06</t>
  </si>
  <si>
    <t xml:space="preserve">23:04</t>
  </si>
  <si>
    <t xml:space="preserve">ORD10526</t>
  </si>
  <si>
    <t xml:space="preserve">C1248</t>
  </si>
  <si>
    <t xml:space="preserve">ORD11402</t>
  </si>
  <si>
    <t xml:space="preserve">2025-07-01</t>
  </si>
  <si>
    <t xml:space="preserve">11:01</t>
  </si>
  <si>
    <t xml:space="preserve">C1119</t>
  </si>
  <si>
    <t xml:space="preserve">ORD12302</t>
  </si>
  <si>
    <t xml:space="preserve">18-Oct-2025</t>
  </si>
  <si>
    <t xml:space="preserve">11:03</t>
  </si>
  <si>
    <t xml:space="preserve">ORD12162</t>
  </si>
  <si>
    <t xml:space="preserve">19:51</t>
  </si>
  <si>
    <t xml:space="preserve">C0447</t>
  </si>
  <si>
    <t xml:space="preserve">COD</t>
  </si>
  <si>
    <t xml:space="preserve">ORD10507</t>
  </si>
  <si>
    <t xml:space="preserve">2025-03-07</t>
  </si>
  <si>
    <t xml:space="preserve">ORD10480</t>
  </si>
  <si>
    <t xml:space="preserve">12:27</t>
  </si>
  <si>
    <t xml:space="preserve">ORD10688</t>
  </si>
  <si>
    <t xml:space="preserve">18:41</t>
  </si>
  <si>
    <t xml:space="preserve">ORD11063</t>
  </si>
  <si>
    <t xml:space="preserve">23:15</t>
  </si>
  <si>
    <t xml:space="preserve">ORD11319</t>
  </si>
  <si>
    <t xml:space="preserve">ORD10397</t>
  </si>
  <si>
    <t xml:space="preserve">12:01</t>
  </si>
  <si>
    <t xml:space="preserve">ORD12231</t>
  </si>
  <si>
    <t xml:space="preserve">11/10/2025</t>
  </si>
  <si>
    <t xml:space="preserve">10:28</t>
  </si>
  <si>
    <t xml:space="preserve">ORD11423</t>
  </si>
  <si>
    <t xml:space="preserve">C0421</t>
  </si>
  <si>
    <t xml:space="preserve">ORD11378</t>
  </si>
  <si>
    <t xml:space="preserve">C1313</t>
  </si>
  <si>
    <t xml:space="preserve">ORD10898</t>
  </si>
  <si>
    <t xml:space="preserve">ORD12684</t>
  </si>
  <si>
    <t xml:space="preserve">2025-11-27</t>
  </si>
  <si>
    <t xml:space="preserve">C1168</t>
  </si>
  <si>
    <t xml:space="preserve">ORD12866</t>
  </si>
  <si>
    <t xml:space="preserve">momo magic</t>
  </si>
  <si>
    <t xml:space="preserve">ORD10603</t>
  </si>
  <si>
    <t xml:space="preserve">C0876</t>
  </si>
  <si>
    <t xml:space="preserve">ORD10241</t>
  </si>
  <si>
    <t xml:space="preserve">C0496</t>
  </si>
  <si>
    <t xml:space="preserve">ORD11403</t>
  </si>
  <si>
    <t xml:space="preserve">ORD10449</t>
  </si>
  <si>
    <t xml:space="preserve">ORD10825</t>
  </si>
  <si>
    <t xml:space="preserve">22:47</t>
  </si>
  <si>
    <t xml:space="preserve">ORD12834</t>
  </si>
  <si>
    <t xml:space="preserve">C1164</t>
  </si>
  <si>
    <t xml:space="preserve">ORD10014</t>
  </si>
  <si>
    <t xml:space="preserve">2025-01-02</t>
  </si>
  <si>
    <t xml:space="preserve">ORD12993</t>
  </si>
  <si>
    <t xml:space="preserve">23:02</t>
  </si>
  <si>
    <t xml:space="preserve">C0724</t>
  </si>
  <si>
    <t xml:space="preserve">ORD12147</t>
  </si>
  <si>
    <t xml:space="preserve">ORD11068</t>
  </si>
  <si>
    <t xml:space="preserve">16:01</t>
  </si>
  <si>
    <t xml:space="preserve">C0408</t>
  </si>
  <si>
    <t xml:space="preserve">ORD12610</t>
  </si>
  <si>
    <t xml:space="preserve">09:25</t>
  </si>
  <si>
    <t xml:space="preserve">C0983</t>
  </si>
  <si>
    <t xml:space="preserve">ORD11902</t>
  </si>
  <si>
    <t xml:space="preserve">19:41</t>
  </si>
  <si>
    <t xml:space="preserve">ORD10377</t>
  </si>
  <si>
    <t xml:space="preserve">19/02/2025</t>
  </si>
  <si>
    <t xml:space="preserve">ORD11226</t>
  </si>
  <si>
    <t xml:space="preserve">C0461</t>
  </si>
  <si>
    <t xml:space="preserve">ORD10264</t>
  </si>
  <si>
    <t xml:space="preserve">ORD10616</t>
  </si>
  <si>
    <t xml:space="preserve">C0402</t>
  </si>
  <si>
    <t xml:space="preserve">ORD10504</t>
  </si>
  <si>
    <t xml:space="preserve">07-Mar-2025</t>
  </si>
  <si>
    <t xml:space="preserve">17:43</t>
  </si>
  <si>
    <t xml:space="preserve">ORD10058</t>
  </si>
  <si>
    <t xml:space="preserve">ORD11775</t>
  </si>
  <si>
    <t xml:space="preserve">C1214</t>
  </si>
  <si>
    <t xml:space="preserve">ORD12317</t>
  </si>
  <si>
    <t xml:space="preserve">19:31</t>
  </si>
  <si>
    <t xml:space="preserve">Madras Biryani Co </t>
  </si>
  <si>
    <t xml:space="preserve">ORD12067</t>
  </si>
  <si>
    <t xml:space="preserve">24-Sep-2025</t>
  </si>
  <si>
    <t xml:space="preserve">11:37</t>
  </si>
  <si>
    <t xml:space="preserve">C0971</t>
  </si>
  <si>
    <t xml:space="preserve">ORD12384</t>
  </si>
  <si>
    <t xml:space="preserve">ORD12703</t>
  </si>
  <si>
    <t xml:space="preserve">C0149</t>
  </si>
  <si>
    <t xml:space="preserve">ORD10233</t>
  </si>
  <si>
    <t xml:space="preserve">C1273</t>
  </si>
  <si>
    <t xml:space="preserve">ORD11943</t>
  </si>
  <si>
    <t xml:space="preserve">ORD11626</t>
  </si>
  <si>
    <t xml:space="preserve">12:09</t>
  </si>
  <si>
    <t xml:space="preserve">ORD12836</t>
  </si>
  <si>
    <t xml:space="preserve">ORD11086</t>
  </si>
  <si>
    <t xml:space="preserve">ORD11292</t>
  </si>
  <si>
    <t xml:space="preserve">12:36</t>
  </si>
  <si>
    <t xml:space="preserve">C1439</t>
  </si>
  <si>
    <t xml:space="preserve">ORD12517</t>
  </si>
  <si>
    <t xml:space="preserve">11/11/2025</t>
  </si>
  <si>
    <t xml:space="preserve">C0067</t>
  </si>
  <si>
    <t xml:space="preserve">ORD11569</t>
  </si>
  <si>
    <t xml:space="preserve">C0492</t>
  </si>
  <si>
    <t xml:space="preserve">ORD11076</t>
  </si>
  <si>
    <t xml:space="preserve">ORD10786</t>
  </si>
  <si>
    <t xml:space="preserve">2025-04-09</t>
  </si>
  <si>
    <t xml:space="preserve">C0627</t>
  </si>
  <si>
    <t xml:space="preserve">ORD12808</t>
  </si>
  <si>
    <t xml:space="preserve">11:23</t>
  </si>
  <si>
    <t xml:space="preserve">C1448</t>
  </si>
  <si>
    <t xml:space="preserve">ORD10174</t>
  </si>
  <si>
    <t xml:space="preserve">13:58</t>
  </si>
  <si>
    <t xml:space="preserve">ORD10142</t>
  </si>
  <si>
    <t xml:space="preserve">ORD10205</t>
  </si>
  <si>
    <t xml:space="preserve">C0117</t>
  </si>
  <si>
    <t xml:space="preserve">ORD12061</t>
  </si>
  <si>
    <t xml:space="preserve">19:05</t>
  </si>
  <si>
    <t xml:space="preserve">C0626</t>
  </si>
  <si>
    <t xml:space="preserve">ORD11765</t>
  </si>
  <si>
    <t xml:space="preserve">18:08</t>
  </si>
  <si>
    <t xml:space="preserve">ORD12072</t>
  </si>
  <si>
    <t xml:space="preserve">14:39</t>
  </si>
  <si>
    <t xml:space="preserve">Burger Barn </t>
  </si>
  <si>
    <t xml:space="preserve">ORD11760</t>
  </si>
  <si>
    <t xml:space="preserve">18-Aug-2025</t>
  </si>
  <si>
    <t xml:space="preserve">21:53</t>
  </si>
  <si>
    <t xml:space="preserve">C1039</t>
  </si>
  <si>
    <t xml:space="preserve">ORD12329</t>
  </si>
  <si>
    <t xml:space="preserve">C0288</t>
  </si>
  <si>
    <t xml:space="preserve">ORD11676</t>
  </si>
  <si>
    <t xml:space="preserve">13:59</t>
  </si>
  <si>
    <t xml:space="preserve">ORD10682</t>
  </si>
  <si>
    <t xml:space="preserve">ORD10978</t>
  </si>
  <si>
    <t xml:space="preserve">2025-05-04</t>
  </si>
  <si>
    <t xml:space="preserve">13:18</t>
  </si>
  <si>
    <t xml:space="preserve">ORD12595</t>
  </si>
  <si>
    <t xml:space="preserve">19:45</t>
  </si>
  <si>
    <t xml:space="preserve">ORD10846</t>
  </si>
  <si>
    <t xml:space="preserve">C0155</t>
  </si>
  <si>
    <t xml:space="preserve">ORD12256</t>
  </si>
  <si>
    <t xml:space="preserve">ORD11687</t>
  </si>
  <si>
    <t xml:space="preserve">09/08/2025</t>
  </si>
  <si>
    <t xml:space="preserve">C1169</t>
  </si>
  <si>
    <t xml:space="preserve">ORD11124</t>
  </si>
  <si>
    <t xml:space="preserve">C1496</t>
  </si>
  <si>
    <t xml:space="preserve">ORD11809</t>
  </si>
  <si>
    <t xml:space="preserve">ORD10790</t>
  </si>
  <si>
    <t xml:space="preserve">2025-04-10</t>
  </si>
  <si>
    <t xml:space="preserve">C1500</t>
  </si>
  <si>
    <t xml:space="preserve">ORD12889</t>
  </si>
  <si>
    <t xml:space="preserve">19/12/2025</t>
  </si>
  <si>
    <t xml:space="preserve">C0322</t>
  </si>
  <si>
    <t xml:space="preserve">ORD12760</t>
  </si>
  <si>
    <t xml:space="preserve">14:52</t>
  </si>
  <si>
    <t xml:space="preserve">ORD12929</t>
  </si>
  <si>
    <t xml:space="preserve">C0400</t>
  </si>
  <si>
    <t xml:space="preserve">ORD11521</t>
  </si>
  <si>
    <t xml:space="preserve">16/07/2025</t>
  </si>
  <si>
    <t xml:space="preserve">C0152</t>
  </si>
  <si>
    <t xml:space="preserve">ORD11182</t>
  </si>
  <si>
    <t xml:space="preserve">ORD10269</t>
  </si>
  <si>
    <t xml:space="preserve">ORD12206</t>
  </si>
  <si>
    <t xml:space="preserve">08/10/2025</t>
  </si>
  <si>
    <t xml:space="preserve">12:51</t>
  </si>
  <si>
    <t xml:space="preserve">C0219</t>
  </si>
  <si>
    <t xml:space="preserve">ORD11003</t>
  </si>
  <si>
    <t xml:space="preserve">C0129</t>
  </si>
  <si>
    <t xml:space="preserve">ORD10512</t>
  </si>
  <si>
    <t xml:space="preserve">C0206</t>
  </si>
  <si>
    <t xml:space="preserve">ORD11532</t>
  </si>
  <si>
    <t xml:space="preserve">C0479</t>
  </si>
  <si>
    <t xml:space="preserve">ORD11650</t>
  </si>
  <si>
    <t xml:space="preserve">Tandoor Tales </t>
  </si>
  <si>
    <t xml:space="preserve">ORD10101</t>
  </si>
  <si>
    <t xml:space="preserve">13/01/2025</t>
  </si>
  <si>
    <t xml:space="preserve">ORD10013</t>
  </si>
  <si>
    <t xml:space="preserve">20:17</t>
  </si>
  <si>
    <t xml:space="preserve">ORD10645</t>
  </si>
  <si>
    <t xml:space="preserve">16:08</t>
  </si>
  <si>
    <t xml:space="preserve">ORD11615</t>
  </si>
  <si>
    <t xml:space="preserve">29/07/2025</t>
  </si>
  <si>
    <t xml:space="preserve">ORD10779</t>
  </si>
  <si>
    <t xml:space="preserve">09:33</t>
  </si>
  <si>
    <t xml:space="preserve">C0690</t>
  </si>
  <si>
    <t xml:space="preserve">ORD10930</t>
  </si>
  <si>
    <t xml:space="preserve">11:48</t>
  </si>
  <si>
    <t xml:space="preserve">ORD11321</t>
  </si>
  <si>
    <t xml:space="preserve">19:33</t>
  </si>
  <si>
    <t xml:space="preserve">ORD11166</t>
  </si>
  <si>
    <t xml:space="preserve">ORD12649</t>
  </si>
  <si>
    <t xml:space="preserve">15:56</t>
  </si>
  <si>
    <t xml:space="preserve">ORD11367</t>
  </si>
  <si>
    <t xml:space="preserve">C1204</t>
  </si>
  <si>
    <t xml:space="preserve">ORD12198</t>
  </si>
  <si>
    <t xml:space="preserve">ORD12238</t>
  </si>
  <si>
    <t xml:space="preserve">15:46</t>
  </si>
  <si>
    <t xml:space="preserve">C0326</t>
  </si>
  <si>
    <t xml:space="preserve">ORD11524</t>
  </si>
  <si>
    <t xml:space="preserve">14:40</t>
  </si>
  <si>
    <t xml:space="preserve">C0553</t>
  </si>
  <si>
    <t xml:space="preserve">ORD10021</t>
  </si>
  <si>
    <t xml:space="preserve">13:19</t>
  </si>
  <si>
    <t xml:space="preserve">ORD10750</t>
  </si>
  <si>
    <t xml:space="preserve">ORD11078</t>
  </si>
  <si>
    <t xml:space="preserve">ORD10118</t>
  </si>
  <si>
    <t xml:space="preserve">21:44</t>
  </si>
  <si>
    <t xml:space="preserve">C0023</t>
  </si>
  <si>
    <t xml:space="preserve">ORD12949</t>
  </si>
  <si>
    <t xml:space="preserve">C0335</t>
  </si>
  <si>
    <t xml:space="preserve">ORD11165</t>
  </si>
  <si>
    <t xml:space="preserve">ORD11410</t>
  </si>
  <si>
    <t xml:space="preserve">09:09</t>
  </si>
  <si>
    <t xml:space="preserve">C0833</t>
  </si>
  <si>
    <t xml:space="preserve">ORD10564</t>
  </si>
  <si>
    <t xml:space="preserve">ORD12048</t>
  </si>
  <si>
    <t xml:space="preserve">2025-09-22</t>
  </si>
  <si>
    <t xml:space="preserve">C0321</t>
  </si>
  <si>
    <t xml:space="preserve">ORD12709</t>
  </si>
  <si>
    <t xml:space="preserve">2025-11-29</t>
  </si>
  <si>
    <t xml:space="preserve">ORD10491</t>
  </si>
  <si>
    <t xml:space="preserve">10:46</t>
  </si>
  <si>
    <t xml:space="preserve">C0100</t>
  </si>
  <si>
    <t xml:space="preserve">ORD10047</t>
  </si>
  <si>
    <t xml:space="preserve">ORD10493</t>
  </si>
  <si>
    <t xml:space="preserve">ORD12908</t>
  </si>
  <si>
    <t xml:space="preserve">C0138</t>
  </si>
  <si>
    <t xml:space="preserve">ORD12714</t>
  </si>
  <si>
    <t xml:space="preserve">C1387</t>
  </si>
  <si>
    <t xml:space="preserve">ORD12901</t>
  </si>
  <si>
    <t xml:space="preserve">ORD11699</t>
  </si>
  <si>
    <t xml:space="preserve">13:46</t>
  </si>
  <si>
    <t xml:space="preserve">C1185</t>
  </si>
  <si>
    <t xml:space="preserve">ORD12056</t>
  </si>
  <si>
    <t xml:space="preserve">ORD10769</t>
  </si>
  <si>
    <t xml:space="preserve">C0001</t>
  </si>
  <si>
    <t xml:space="preserve"> Bengal Bites</t>
  </si>
  <si>
    <t xml:space="preserve">ORD11399</t>
  </si>
  <si>
    <t xml:space="preserve">13:37</t>
  </si>
  <si>
    <t xml:space="preserve">C0620</t>
  </si>
  <si>
    <t xml:space="preserve">ORD12665</t>
  </si>
  <si>
    <t xml:space="preserve">ORD12764</t>
  </si>
  <si>
    <t xml:space="preserve">HEALTHY FOOD</t>
  </si>
  <si>
    <t xml:space="preserve">ORD12203</t>
  </si>
  <si>
    <t xml:space="preserve">C0780</t>
  </si>
  <si>
    <t xml:space="preserve">ORD12743</t>
  </si>
  <si>
    <t xml:space="preserve">ORD11039</t>
  </si>
  <si>
    <t xml:space="preserve">C0032</t>
  </si>
  <si>
    <t xml:space="preserve">ORD12740</t>
  </si>
  <si>
    <t xml:space="preserve">ORD11819</t>
  </si>
  <si>
    <t xml:space="preserve">ORD10565</t>
  </si>
  <si>
    <t xml:space="preserve">15:16</t>
  </si>
  <si>
    <t xml:space="preserve">ORD10610</t>
  </si>
  <si>
    <t xml:space="preserve">14:51</t>
  </si>
  <si>
    <t xml:space="preserve">C1143</t>
  </si>
  <si>
    <t xml:space="preserve">ORD12781</t>
  </si>
  <si>
    <t xml:space="preserve">ORD12766</t>
  </si>
  <si>
    <t xml:space="preserve">C0454</t>
  </si>
  <si>
    <t xml:space="preserve">ORD12822</t>
  </si>
  <si>
    <t xml:space="preserve">ORD12107</t>
  </si>
  <si>
    <t xml:space="preserve">ORD11257</t>
  </si>
  <si>
    <t xml:space="preserve">2025-06-09</t>
  </si>
  <si>
    <t xml:space="preserve">ORD10577</t>
  </si>
  <si>
    <t xml:space="preserve">C0182</t>
  </si>
  <si>
    <t xml:space="preserve">ORD10627</t>
  </si>
  <si>
    <t xml:space="preserve">08:55</t>
  </si>
  <si>
    <t xml:space="preserve">ORD12235</t>
  </si>
  <si>
    <t xml:space="preserve">2025-10-11</t>
  </si>
  <si>
    <t xml:space="preserve">ORD11435</t>
  </si>
  <si>
    <t xml:space="preserve">15:10</t>
  </si>
  <si>
    <t xml:space="preserve">C1198</t>
  </si>
  <si>
    <t xml:space="preserve">ORD12157</t>
  </si>
  <si>
    <t xml:space="preserve">C0464</t>
  </si>
  <si>
    <t xml:space="preserve">ORD12366</t>
  </si>
  <si>
    <t xml:space="preserve">20:14</t>
  </si>
  <si>
    <t xml:space="preserve">C0978</t>
  </si>
  <si>
    <t xml:space="preserve">ORD11599</t>
  </si>
  <si>
    <t xml:space="preserve">21:48</t>
  </si>
  <si>
    <t xml:space="preserve">ORD11225</t>
  </si>
  <si>
    <t xml:space="preserve">C0391</t>
  </si>
  <si>
    <t xml:space="preserve">ORD10756</t>
  </si>
  <si>
    <t xml:space="preserve">17:39</t>
  </si>
  <si>
    <t xml:space="preserve">C1230</t>
  </si>
  <si>
    <t xml:space="preserve">ORD11754</t>
  </si>
  <si>
    <t xml:space="preserve">C0296</t>
  </si>
  <si>
    <t xml:space="preserve">Bengal Bites </t>
  </si>
  <si>
    <t xml:space="preserve">ORD11597</t>
  </si>
  <si>
    <t xml:space="preserve">C1162</t>
  </si>
  <si>
    <t xml:space="preserve">ORD11660</t>
  </si>
  <si>
    <t xml:space="preserve">ORD10640</t>
  </si>
  <si>
    <t xml:space="preserve">09:35</t>
  </si>
  <si>
    <t xml:space="preserve">C0049</t>
  </si>
  <si>
    <t xml:space="preserve">ORD11033</t>
  </si>
  <si>
    <t xml:space="preserve">ORD10044</t>
  </si>
  <si>
    <t xml:space="preserve">07/01/2025</t>
  </si>
  <si>
    <t xml:space="preserve">11:34</t>
  </si>
  <si>
    <t xml:space="preserve">C0973</t>
  </si>
  <si>
    <t xml:space="preserve">ORD10008</t>
  </si>
  <si>
    <t xml:space="preserve">SWEET TOOTH STUDIO</t>
  </si>
  <si>
    <t xml:space="preserve">ORD12389</t>
  </si>
  <si>
    <t xml:space="preserve">C1173</t>
  </si>
  <si>
    <t xml:space="preserve">ORD10739</t>
  </si>
  <si>
    <t xml:space="preserve">ORD10033</t>
  </si>
  <si>
    <t xml:space="preserve">14:45</t>
  </si>
  <si>
    <t xml:space="preserve">C1272</t>
  </si>
  <si>
    <t xml:space="preserve">ORD10471</t>
  </si>
  <si>
    <t xml:space="preserve">C0367</t>
  </si>
  <si>
    <t xml:space="preserve">ORD10472</t>
  </si>
  <si>
    <t xml:space="preserve">C1210</t>
  </si>
  <si>
    <t xml:space="preserve">ORD10422</t>
  </si>
  <si>
    <t xml:space="preserve">17:50</t>
  </si>
  <si>
    <t xml:space="preserve">C0277</t>
  </si>
  <si>
    <t xml:space="preserve">ORD11759</t>
  </si>
  <si>
    <t xml:space="preserve">C0806</t>
  </si>
  <si>
    <t xml:space="preserve">ORD12280</t>
  </si>
  <si>
    <t xml:space="preserve">C1466</t>
  </si>
  <si>
    <t xml:space="preserve">ORD11643</t>
  </si>
  <si>
    <t xml:space="preserve">C0225</t>
  </si>
  <si>
    <t xml:space="preserve">ORD11539</t>
  </si>
  <si>
    <t xml:space="preserve">13:54</t>
  </si>
  <si>
    <t xml:space="preserve">ORD12321</t>
  </si>
  <si>
    <t xml:space="preserve">20-Oct-2025</t>
  </si>
  <si>
    <t xml:space="preserve">09:49</t>
  </si>
  <si>
    <t xml:space="preserve">C0839</t>
  </si>
  <si>
    <t xml:space="preserve">ORD12242</t>
  </si>
  <si>
    <t xml:space="preserve">22:17</t>
  </si>
  <si>
    <t xml:space="preserve">ORD12748</t>
  </si>
  <si>
    <t xml:space="preserve">14:59</t>
  </si>
  <si>
    <t xml:space="preserve">C0292</t>
  </si>
  <si>
    <t xml:space="preserve">ORD11706</t>
  </si>
  <si>
    <t xml:space="preserve">12/08/2025</t>
  </si>
  <si>
    <t xml:space="preserve">C1250</t>
  </si>
  <si>
    <t xml:space="preserve">ORD10906</t>
  </si>
  <si>
    <t xml:space="preserve">2025-04-24</t>
  </si>
  <si>
    <t xml:space="preserve">10:03</t>
  </si>
  <si>
    <t xml:space="preserve">C0515</t>
  </si>
  <si>
    <t xml:space="preserve">ORD11110</t>
  </si>
  <si>
    <t xml:space="preserve">2025-05-20</t>
  </si>
  <si>
    <t xml:space="preserve">21:45</t>
  </si>
  <si>
    <t xml:space="preserve">C0914</t>
  </si>
  <si>
    <t xml:space="preserve">ORD12858</t>
  </si>
  <si>
    <t xml:space="preserve">2025-12-16</t>
  </si>
  <si>
    <t xml:space="preserve">12:44</t>
  </si>
  <si>
    <t xml:space="preserve">ORD12515</t>
  </si>
  <si>
    <t xml:space="preserve">13:11</t>
  </si>
  <si>
    <t xml:space="preserve">ORD11128</t>
  </si>
  <si>
    <t xml:space="preserve">23-May-2025</t>
  </si>
  <si>
    <t xml:space="preserve">ORD10465</t>
  </si>
  <si>
    <t xml:space="preserve">C1280</t>
  </si>
  <si>
    <t xml:space="preserve">ORD11390</t>
  </si>
  <si>
    <t xml:space="preserve">C1432</t>
  </si>
  <si>
    <t xml:space="preserve">ORD11306</t>
  </si>
  <si>
    <t xml:space="preserve">17-Jun-2025</t>
  </si>
  <si>
    <t xml:space="preserve">17:56</t>
  </si>
  <si>
    <t xml:space="preserve">ORD11101</t>
  </si>
  <si>
    <t xml:space="preserve">C0098</t>
  </si>
  <si>
    <t xml:space="preserve">ORD11040</t>
  </si>
  <si>
    <t xml:space="preserve">ORD10668</t>
  </si>
  <si>
    <t xml:space="preserve">ORD10010</t>
  </si>
  <si>
    <t xml:space="preserve">02/01/2025</t>
  </si>
  <si>
    <t xml:space="preserve">17:33</t>
  </si>
  <si>
    <t xml:space="preserve">ORD12283</t>
  </si>
  <si>
    <t xml:space="preserve">ORD12265</t>
  </si>
  <si>
    <t xml:space="preserve">ORD11147</t>
  </si>
  <si>
    <t xml:space="preserve">26/05/2025</t>
  </si>
  <si>
    <t xml:space="preserve">C0510</t>
  </si>
  <si>
    <t xml:space="preserve">ORD10998</t>
  </si>
  <si>
    <t xml:space="preserve">10:41</t>
  </si>
  <si>
    <t xml:space="preserve">C1465</t>
  </si>
  <si>
    <t xml:space="preserve">ORD11337</t>
  </si>
  <si>
    <t xml:space="preserve">ORD10984</t>
  </si>
  <si>
    <t xml:space="preserve">05/05/2025</t>
  </si>
  <si>
    <t xml:space="preserve">C0596</t>
  </si>
  <si>
    <t xml:space="preserve">ORD11515</t>
  </si>
  <si>
    <t xml:space="preserve">C0038</t>
  </si>
  <si>
    <t xml:space="preserve">ORD11685</t>
  </si>
  <si>
    <t xml:space="preserve">C1400</t>
  </si>
  <si>
    <t xml:space="preserve">ORD10980</t>
  </si>
  <si>
    <t xml:space="preserve">19:42</t>
  </si>
  <si>
    <t xml:space="preserve">C0758</t>
  </si>
  <si>
    <t xml:space="preserve">ORD11348</t>
  </si>
  <si>
    <t xml:space="preserve">C1408</t>
  </si>
  <si>
    <t xml:space="preserve">ORD12015</t>
  </si>
  <si>
    <t xml:space="preserve">ORD11503</t>
  </si>
  <si>
    <t xml:space="preserve">18:05</t>
  </si>
  <si>
    <t xml:space="preserve">C1382</t>
  </si>
  <si>
    <t xml:space="preserve">ORD10049</t>
  </si>
  <si>
    <t xml:space="preserve">09:31</t>
  </si>
  <si>
    <t xml:space="preserve">C0574</t>
  </si>
  <si>
    <t xml:space="preserve">ORD12516</t>
  </si>
  <si>
    <t xml:space="preserve">18:03</t>
  </si>
  <si>
    <t xml:space="preserve">C0122</t>
  </si>
  <si>
    <t xml:space="preserve">ORD11172</t>
  </si>
  <si>
    <t xml:space="preserve">ORD11430</t>
  </si>
  <si>
    <t xml:space="preserve">C1289</t>
  </si>
  <si>
    <t xml:space="preserve">ORD12396</t>
  </si>
  <si>
    <t xml:space="preserve">ORD10433</t>
  </si>
  <si>
    <t xml:space="preserve">ORD10787</t>
  </si>
  <si>
    <t xml:space="preserve">ORD12260</t>
  </si>
  <si>
    <t xml:space="preserve">17:45</t>
  </si>
  <si>
    <t xml:space="preserve">C0677</t>
  </si>
  <si>
    <t xml:space="preserve">ORD10125</t>
  </si>
  <si>
    <t xml:space="preserve">C0642</t>
  </si>
  <si>
    <t xml:space="preserve">ORD10066</t>
  </si>
  <si>
    <t xml:space="preserve">C1064</t>
  </si>
  <si>
    <t xml:space="preserve">ORD12853</t>
  </si>
  <si>
    <t xml:space="preserve">C0212</t>
  </si>
  <si>
    <t xml:space="preserve">ORD11243</t>
  </si>
  <si>
    <t xml:space="preserve">ORD12393</t>
  </si>
  <si>
    <t xml:space="preserve">C1332</t>
  </si>
  <si>
    <t xml:space="preserve">ORD11828</t>
  </si>
  <si>
    <t xml:space="preserve">C0189</t>
  </si>
  <si>
    <t xml:space="preserve">ORD12693</t>
  </si>
  <si>
    <t xml:space="preserve">09:30</t>
  </si>
  <si>
    <t xml:space="preserve">ORD11397</t>
  </si>
  <si>
    <t xml:space="preserve">C0967</t>
  </si>
  <si>
    <t xml:space="preserve">ORD10781</t>
  </si>
  <si>
    <t xml:space="preserve">15:15</t>
  </si>
  <si>
    <t xml:space="preserve">ORD11372</t>
  </si>
  <si>
    <t xml:space="preserve">26-Jun-2025</t>
  </si>
  <si>
    <t xml:space="preserve">ORD10130</t>
  </si>
  <si>
    <t xml:space="preserve">15:00</t>
  </si>
  <si>
    <t xml:space="preserve">C0497</t>
  </si>
  <si>
    <t xml:space="preserve">ORD11229</t>
  </si>
  <si>
    <t xml:space="preserve">18:34</t>
  </si>
  <si>
    <t xml:space="preserve">ORD11436</t>
  </si>
  <si>
    <t xml:space="preserve">18:19</t>
  </si>
  <si>
    <t xml:space="preserve">ORD11419</t>
  </si>
  <si>
    <t xml:space="preserve">ORD11675</t>
  </si>
  <si>
    <t xml:space="preserve">09:46</t>
  </si>
  <si>
    <t xml:space="preserve">ORD12990</t>
  </si>
  <si>
    <t xml:space="preserve">ORD12749</t>
  </si>
  <si>
    <t xml:space="preserve">17:04</t>
  </si>
  <si>
    <t xml:space="preserve">ORD12077</t>
  </si>
  <si>
    <t xml:space="preserve">11:18</t>
  </si>
  <si>
    <t xml:space="preserve">C1340</t>
  </si>
  <si>
    <t xml:space="preserve">ORD12959</t>
  </si>
  <si>
    <t xml:space="preserve">ORD12005</t>
  </si>
  <si>
    <t xml:space="preserve">C1211</t>
  </si>
  <si>
    <t xml:space="preserve">ORD12682</t>
  </si>
  <si>
    <t xml:space="preserve">ORD11123</t>
  </si>
  <si>
    <t xml:space="preserve">23/05/2025</t>
  </si>
  <si>
    <t xml:space="preserve">ORD12777</t>
  </si>
  <si>
    <t xml:space="preserve">05/12/2025</t>
  </si>
  <si>
    <t xml:space="preserve">21:54</t>
  </si>
  <si>
    <t xml:space="preserve">ORD10238</t>
  </si>
  <si>
    <t xml:space="preserve">14:08</t>
  </si>
  <si>
    <t xml:space="preserve">ORD11793</t>
  </si>
  <si>
    <t xml:space="preserve">C0676</t>
  </si>
  <si>
    <t xml:space="preserve">ORD12332</t>
  </si>
  <si>
    <t xml:space="preserve">18:07</t>
  </si>
  <si>
    <t xml:space="preserve">C1287</t>
  </si>
  <si>
    <t xml:space="preserve">ORD11272</t>
  </si>
  <si>
    <t xml:space="preserve">ORD11960</t>
  </si>
  <si>
    <t xml:space="preserve">14:17</t>
  </si>
  <si>
    <t xml:space="preserve">C0257</t>
  </si>
  <si>
    <t xml:space="preserve">ORD11592</t>
  </si>
  <si>
    <t xml:space="preserve">11:33</t>
  </si>
  <si>
    <t xml:space="preserve">ORD10899</t>
  </si>
  <si>
    <t xml:space="preserve">19:15</t>
  </si>
  <si>
    <t xml:space="preserve">C0426</t>
  </si>
  <si>
    <t xml:space="preserve">ORD11771</t>
  </si>
  <si>
    <t xml:space="preserve">08:48</t>
  </si>
  <si>
    <t xml:space="preserve">C0262</t>
  </si>
  <si>
    <t xml:space="preserve">ORD10763</t>
  </si>
  <si>
    <t xml:space="preserve">ORD10370</t>
  </si>
  <si>
    <t xml:space="preserve">18-Feb-2025</t>
  </si>
  <si>
    <t xml:space="preserve">18:17</t>
  </si>
  <si>
    <t xml:space="preserve">ORD10523</t>
  </si>
  <si>
    <t xml:space="preserve">14:42</t>
  </si>
  <si>
    <t xml:space="preserve">C0918</t>
  </si>
  <si>
    <t xml:space="preserve">Spice  Junction</t>
  </si>
  <si>
    <t xml:space="preserve">ORD11236</t>
  </si>
  <si>
    <t xml:space="preserve">18:01</t>
  </si>
  <si>
    <t xml:space="preserve">ORD10076</t>
  </si>
  <si>
    <t xml:space="preserve">09:23</t>
  </si>
  <si>
    <t xml:space="preserve">C0953</t>
  </si>
  <si>
    <t xml:space="preserve">ORD12937</t>
  </si>
  <si>
    <t xml:space="preserve">ORD10055</t>
  </si>
  <si>
    <t xml:space="preserve">C0265</t>
  </si>
  <si>
    <t xml:space="preserve">CHAAT CORNER</t>
  </si>
  <si>
    <t xml:space="preserve">ORD10267</t>
  </si>
  <si>
    <t xml:space="preserve">ORD12626</t>
  </si>
  <si>
    <t xml:space="preserve">20-Nov-2025</t>
  </si>
  <si>
    <t xml:space="preserve">16:42</t>
  </si>
  <si>
    <t xml:space="preserve">ORD11691</t>
  </si>
  <si>
    <t xml:space="preserve">C1283</t>
  </si>
  <si>
    <t xml:space="preserve">ORD11852</t>
  </si>
  <si>
    <t xml:space="preserve">2025-08-29</t>
  </si>
  <si>
    <t xml:space="preserve">ORD12787</t>
  </si>
  <si>
    <t xml:space="preserve">ORD10383</t>
  </si>
  <si>
    <t xml:space="preserve">2025-02-20</t>
  </si>
  <si>
    <t xml:space="preserve">ORD12683</t>
  </si>
  <si>
    <t xml:space="preserve">C1085</t>
  </si>
  <si>
    <t xml:space="preserve">ORD11980</t>
  </si>
  <si>
    <t xml:space="preserve">C0941</t>
  </si>
  <si>
    <t xml:space="preserve">ORD12832</t>
  </si>
  <si>
    <t xml:space="preserve">C0760</t>
  </si>
  <si>
    <t xml:space="preserve">ORD10352</t>
  </si>
  <si>
    <t xml:space="preserve">16-Feb-2025</t>
  </si>
  <si>
    <t xml:space="preserve">ORD12270</t>
  </si>
  <si>
    <t xml:space="preserve">23:51</t>
  </si>
  <si>
    <t xml:space="preserve">ORD10836</t>
  </si>
  <si>
    <t xml:space="preserve">16/04/2025</t>
  </si>
  <si>
    <t xml:space="preserve">18:15</t>
  </si>
  <si>
    <t xml:space="preserve">ORD12932</t>
  </si>
  <si>
    <t xml:space="preserve">ORD10464</t>
  </si>
  <si>
    <t xml:space="preserve">03/03/2025</t>
  </si>
  <si>
    <t xml:space="preserve">C1307</t>
  </si>
  <si>
    <t xml:space="preserve">ORD12729</t>
  </si>
  <si>
    <t xml:space="preserve">C0011</t>
  </si>
  <si>
    <t xml:space="preserve">ORD12736</t>
  </si>
  <si>
    <t xml:space="preserve">C1069</t>
  </si>
  <si>
    <t xml:space="preserve">ORD11353</t>
  </si>
  <si>
    <t xml:space="preserve">ORD11906</t>
  </si>
  <si>
    <t xml:space="preserve">C1145</t>
  </si>
  <si>
    <t xml:space="preserve">Madras  Biryani Co</t>
  </si>
  <si>
    <t xml:space="preserve">ORD11386</t>
  </si>
  <si>
    <t xml:space="preserve">10:30</t>
  </si>
  <si>
    <t xml:space="preserve">ORD11258</t>
  </si>
  <si>
    <t xml:space="preserve">ORD11203</t>
  </si>
  <si>
    <t xml:space="preserve">ORD10596</t>
  </si>
  <si>
    <t xml:space="preserve">C0458</t>
  </si>
  <si>
    <t xml:space="preserve">ORD11616</t>
  </si>
  <si>
    <t xml:space="preserve">ORD11230</t>
  </si>
  <si>
    <t xml:space="preserve">C0075</t>
  </si>
  <si>
    <t xml:space="preserve">desserts</t>
  </si>
  <si>
    <t xml:space="preserve">ORD11898</t>
  </si>
  <si>
    <t xml:space="preserve">C1043</t>
  </si>
  <si>
    <t xml:space="preserve">ORD11749</t>
  </si>
  <si>
    <t xml:space="preserve">C1349</t>
  </si>
  <si>
    <t xml:space="preserve">ORD12618</t>
  </si>
  <si>
    <t xml:space="preserve">C1225</t>
  </si>
  <si>
    <t xml:space="preserve">ORD10368</t>
  </si>
  <si>
    <t xml:space="preserve">2025-02-18</t>
  </si>
  <si>
    <t xml:space="preserve">C0053</t>
  </si>
  <si>
    <t xml:space="preserve">ORD12605</t>
  </si>
  <si>
    <t xml:space="preserve">ORD11091</t>
  </si>
  <si>
    <t xml:space="preserve">2025-05-18</t>
  </si>
  <si>
    <t xml:space="preserve">19:48</t>
  </si>
  <si>
    <t xml:space="preserve">ORD10098</t>
  </si>
  <si>
    <t xml:space="preserve">C0197</t>
  </si>
  <si>
    <t xml:space="preserve">ORD12494</t>
  </si>
  <si>
    <t xml:space="preserve">2025-11-09</t>
  </si>
  <si>
    <t xml:space="preserve">ORD12322</t>
  </si>
  <si>
    <t xml:space="preserve">ORD11510</t>
  </si>
  <si>
    <t xml:space="preserve">C1196</t>
  </si>
  <si>
    <t xml:space="preserve">ORD10382</t>
  </si>
  <si>
    <t xml:space="preserve">C1459</t>
  </si>
  <si>
    <t xml:space="preserve">ORD12936</t>
  </si>
  <si>
    <t xml:space="preserve">C0793</t>
  </si>
  <si>
    <t xml:space="preserve">ORD11794</t>
  </si>
  <si>
    <t xml:space="preserve">C0118</t>
  </si>
  <si>
    <t xml:space="preserve">ORD10029</t>
  </si>
  <si>
    <t xml:space="preserve">ORD10448</t>
  </si>
  <si>
    <t xml:space="preserve">C1222</t>
  </si>
  <si>
    <t xml:space="preserve">ORD12298</t>
  </si>
  <si>
    <t xml:space="preserve">Biryani Baadshah </t>
  </si>
  <si>
    <t xml:space="preserve">ORD10821</t>
  </si>
  <si>
    <t xml:space="preserve">ORD12567</t>
  </si>
  <si>
    <t xml:space="preserve">C0993</t>
  </si>
  <si>
    <t xml:space="preserve">ORD12619</t>
  </si>
  <si>
    <t xml:space="preserve">23:09</t>
  </si>
  <si>
    <t xml:space="preserve">ORD11262</t>
  </si>
  <si>
    <t xml:space="preserve">10-Jun-2025</t>
  </si>
  <si>
    <t xml:space="preserve">C0429</t>
  </si>
  <si>
    <t xml:space="preserve">ORD11105</t>
  </si>
  <si>
    <t xml:space="preserve">C0669</t>
  </si>
  <si>
    <t xml:space="preserve">ORD12835</t>
  </si>
  <si>
    <t xml:space="preserve">C0310</t>
  </si>
  <si>
    <t xml:space="preserve">ORD10722</t>
  </si>
  <si>
    <t xml:space="preserve">C0911</t>
  </si>
  <si>
    <t xml:space="preserve">ORD11189</t>
  </si>
  <si>
    <t xml:space="preserve">18:37</t>
  </si>
  <si>
    <t xml:space="preserve">C0902</t>
  </si>
  <si>
    <t xml:space="preserve">Hyderabad  Dum Biryani</t>
  </si>
  <si>
    <t xml:space="preserve">ORD11476</t>
  </si>
  <si>
    <t xml:space="preserve">2025-07-11</t>
  </si>
  <si>
    <t xml:space="preserve">14:23</t>
  </si>
  <si>
    <t xml:space="preserve">C0025</t>
  </si>
  <si>
    <t xml:space="preserve">ORD12255</t>
  </si>
  <si>
    <t xml:space="preserve">11:15</t>
  </si>
  <si>
    <t xml:space="preserve">C0501</t>
  </si>
  <si>
    <t xml:space="preserve">ORD11154</t>
  </si>
  <si>
    <t xml:space="preserve">19:28</t>
  </si>
  <si>
    <t xml:space="preserve">C1226</t>
  </si>
  <si>
    <t xml:space="preserve">ORD12523</t>
  </si>
  <si>
    <t xml:space="preserve">ORD10780</t>
  </si>
  <si>
    <t xml:space="preserve">13:43</t>
  </si>
  <si>
    <t xml:space="preserve">ORD11024</t>
  </si>
  <si>
    <t xml:space="preserve">10/05/2025</t>
  </si>
  <si>
    <t xml:space="preserve">ORD10005</t>
  </si>
  <si>
    <t xml:space="preserve">ORD12018</t>
  </si>
  <si>
    <t xml:space="preserve">ORD12387</t>
  </si>
  <si>
    <t xml:space="preserve">ORD12963</t>
  </si>
  <si>
    <t xml:space="preserve">C0016</t>
  </si>
  <si>
    <t xml:space="preserve">ORD10517</t>
  </si>
  <si>
    <t xml:space="preserve">ORD11762</t>
  </si>
  <si>
    <t xml:space="preserve">19/08/2025</t>
  </si>
  <si>
    <t xml:space="preserve">08:54</t>
  </si>
  <si>
    <t xml:space="preserve">ORD12950</t>
  </si>
  <si>
    <t xml:space="preserve">C0470</t>
  </si>
  <si>
    <t xml:space="preserve">ORD12941</t>
  </si>
  <si>
    <t xml:space="preserve">ORD10351</t>
  </si>
  <si>
    <t xml:space="preserve">12:05</t>
  </si>
  <si>
    <t xml:space="preserve">C1265</t>
  </si>
  <si>
    <t xml:space="preserve">ORD11223</t>
  </si>
  <si>
    <t xml:space="preserve">08:19</t>
  </si>
  <si>
    <t xml:space="preserve">ORD11004</t>
  </si>
  <si>
    <t xml:space="preserve">ORD12075</t>
  </si>
  <si>
    <t xml:space="preserve">10:12</t>
  </si>
  <si>
    <t xml:space="preserve">ORD10661</t>
  </si>
  <si>
    <t xml:space="preserve">C0649</t>
  </si>
  <si>
    <t xml:space="preserve">ORD12771</t>
  </si>
  <si>
    <t xml:space="preserve">ORD12204</t>
  </si>
  <si>
    <t xml:space="preserve">ORD10900</t>
  </si>
  <si>
    <t xml:space="preserve">C0759</t>
  </si>
  <si>
    <t xml:space="preserve">ORD12181</t>
  </si>
  <si>
    <t xml:space="preserve">10:36</t>
  </si>
  <si>
    <t xml:space="preserve">C0243</t>
  </si>
  <si>
    <t xml:space="preserve">ORD10159</t>
  </si>
  <si>
    <t xml:space="preserve">2025-01-21</t>
  </si>
  <si>
    <t xml:space="preserve">ORD10384</t>
  </si>
  <si>
    <t xml:space="preserve">C0813</t>
  </si>
  <si>
    <t xml:space="preserve">ORD12142</t>
  </si>
  <si>
    <t xml:space="preserve">21:26</t>
  </si>
  <si>
    <t xml:space="preserve">C0416</t>
  </si>
  <si>
    <t xml:space="preserve">ORD10141</t>
  </si>
  <si>
    <t xml:space="preserve">19/01/2025</t>
  </si>
  <si>
    <t xml:space="preserve">ORD10466</t>
  </si>
  <si>
    <t xml:space="preserve">20:08</t>
  </si>
  <si>
    <t xml:space="preserve">ORD11907</t>
  </si>
  <si>
    <t xml:space="preserve">08:43</t>
  </si>
  <si>
    <t xml:space="preserve">C1322</t>
  </si>
  <si>
    <t xml:space="preserve">ORD10300</t>
  </si>
  <si>
    <t xml:space="preserve">C0585</t>
  </si>
  <si>
    <t xml:space="preserve">ORD11871</t>
  </si>
  <si>
    <t xml:space="preserve">ORD10398</t>
  </si>
  <si>
    <t xml:space="preserve">12:17</t>
  </si>
  <si>
    <t xml:space="preserve">C0033</t>
  </si>
  <si>
    <t xml:space="preserve">ORD11937</t>
  </si>
  <si>
    <t xml:space="preserve">09-Sep-2025</t>
  </si>
  <si>
    <t xml:space="preserve">ORD11855</t>
  </si>
  <si>
    <t xml:space="preserve">30-Aug-2025</t>
  </si>
  <si>
    <t xml:space="preserve">ORD12686</t>
  </si>
  <si>
    <t xml:space="preserve">ORD11034</t>
  </si>
  <si>
    <t xml:space="preserve">ORD11922</t>
  </si>
  <si>
    <t xml:space="preserve">06-Sep-2025</t>
  </si>
  <si>
    <t xml:space="preserve">ORD12435</t>
  </si>
  <si>
    <t xml:space="preserve">C0168</t>
  </si>
  <si>
    <t xml:space="preserve">Mumbai Pizza Co </t>
  </si>
  <si>
    <t xml:space="preserve">ORD11114</t>
  </si>
  <si>
    <t xml:space="preserve">2025-05-21</t>
  </si>
  <si>
    <t xml:space="preserve">ORD11049</t>
  </si>
  <si>
    <t xml:space="preserve">2025-05-12</t>
  </si>
  <si>
    <t xml:space="preserve">18:40</t>
  </si>
  <si>
    <t xml:space="preserve">ORD12592</t>
  </si>
  <si>
    <t xml:space="preserve">ORD10847</t>
  </si>
  <si>
    <t xml:space="preserve">C1067</t>
  </si>
  <si>
    <t xml:space="preserve">ORD10252</t>
  </si>
  <si>
    <t xml:space="preserve">02/02/2025</t>
  </si>
  <si>
    <t xml:space="preserve">14:28</t>
  </si>
  <si>
    <t xml:space="preserve">C0186</t>
  </si>
  <si>
    <t xml:space="preserve">ORD11382</t>
  </si>
  <si>
    <t xml:space="preserve">ORD12099</t>
  </si>
  <si>
    <t xml:space="preserve">16:58</t>
  </si>
  <si>
    <t xml:space="preserve">ORD10807</t>
  </si>
  <si>
    <t xml:space="preserve">12/04/2025</t>
  </si>
  <si>
    <t xml:space="preserve">19:12</t>
  </si>
  <si>
    <t xml:space="preserve">ORD12414</t>
  </si>
  <si>
    <t xml:space="preserve">ORD10716</t>
  </si>
  <si>
    <t xml:space="preserve">C1213</t>
  </si>
  <si>
    <t xml:space="preserve">ORD12016</t>
  </si>
  <si>
    <t xml:space="preserve">ORD12540</t>
  </si>
  <si>
    <t xml:space="preserve">16:50</t>
  </si>
  <si>
    <t xml:space="preserve">ORD10988</t>
  </si>
  <si>
    <t xml:space="preserve">ORD12460</t>
  </si>
  <si>
    <t xml:space="preserve">ORD10196</t>
  </si>
  <si>
    <t xml:space="preserve">ORD12918</t>
  </si>
  <si>
    <t xml:space="preserve">ORD11045</t>
  </si>
  <si>
    <t xml:space="preserve">11:57</t>
  </si>
  <si>
    <t xml:space="preserve">ORD10280</t>
  </si>
  <si>
    <t xml:space="preserve">C0686</t>
  </si>
  <si>
    <t xml:space="preserve">ORD10097</t>
  </si>
  <si>
    <t xml:space="preserve">C0150</t>
  </si>
  <si>
    <t xml:space="preserve">ORD10442</t>
  </si>
  <si>
    <t xml:space="preserve">C1494</t>
  </si>
  <si>
    <t xml:space="preserve">ORD11725</t>
  </si>
  <si>
    <t xml:space="preserve">14/08/2025</t>
  </si>
  <si>
    <t xml:space="preserve">22:57</t>
  </si>
  <si>
    <t xml:space="preserve">ORD11043</t>
  </si>
  <si>
    <t xml:space="preserve">00:47</t>
  </si>
  <si>
    <t xml:space="preserve">C0196</t>
  </si>
  <si>
    <t xml:space="preserve">ORD12381</t>
  </si>
  <si>
    <t xml:space="preserve">C1402</t>
  </si>
  <si>
    <t xml:space="preserve">ORD11490</t>
  </si>
  <si>
    <t xml:space="preserve">C0284</t>
  </si>
  <si>
    <t xml:space="preserve">ORD10331</t>
  </si>
  <si>
    <t xml:space="preserve">2025-02-13</t>
  </si>
  <si>
    <t xml:space="preserve">C1154</t>
  </si>
  <si>
    <t xml:space="preserve">ORD11442</t>
  </si>
  <si>
    <t xml:space="preserve">ORD10862</t>
  </si>
  <si>
    <t xml:space="preserve">22:55</t>
  </si>
  <si>
    <t xml:space="preserve">C0395</t>
  </si>
  <si>
    <t xml:space="preserve">ORD10746</t>
  </si>
  <si>
    <t xml:space="preserve">C0767</t>
  </si>
  <si>
    <t xml:space="preserve">ORD12704</t>
  </si>
  <si>
    <t xml:space="preserve">C0248</t>
  </si>
  <si>
    <t xml:space="preserve">Andhra  Meals Mess</t>
  </si>
  <si>
    <t xml:space="preserve">ORD11112</t>
  </si>
  <si>
    <t xml:space="preserve">16:04</t>
  </si>
  <si>
    <t xml:space="preserve">ORD11963</t>
  </si>
  <si>
    <t xml:space="preserve">08:06</t>
  </si>
  <si>
    <t xml:space="preserve">ORD11388</t>
  </si>
  <si>
    <t xml:space="preserve">ORD11931</t>
  </si>
  <si>
    <t xml:space="preserve">2025-09-07</t>
  </si>
  <si>
    <t xml:space="preserve">C1187</t>
  </si>
  <si>
    <t xml:space="preserve">ORD11445</t>
  </si>
  <si>
    <t xml:space="preserve">ORD12635</t>
  </si>
  <si>
    <t xml:space="preserve">22/11/2025</t>
  </si>
  <si>
    <t xml:space="preserve">ORD11163</t>
  </si>
  <si>
    <t xml:space="preserve">18:25</t>
  </si>
  <si>
    <t xml:space="preserve">ORD12716</t>
  </si>
  <si>
    <t xml:space="preserve">14:11</t>
  </si>
  <si>
    <t xml:space="preserve">ORD10595</t>
  </si>
  <si>
    <t xml:space="preserve">C1294</t>
  </si>
  <si>
    <t xml:space="preserve">ORD12629</t>
  </si>
  <si>
    <t xml:space="preserve">ORD11560</t>
  </si>
  <si>
    <t xml:space="preserve">22/07/2025</t>
  </si>
  <si>
    <t xml:space="preserve">C0551</t>
  </si>
  <si>
    <t xml:space="preserve">ORD11846</t>
  </si>
  <si>
    <t xml:space="preserve">ORD10550</t>
  </si>
  <si>
    <t xml:space="preserve">C0657</t>
  </si>
  <si>
    <t xml:space="preserve">ORD10557</t>
  </si>
  <si>
    <t xml:space="preserve">2025-03-12</t>
  </si>
  <si>
    <t xml:space="preserve">C0843</t>
  </si>
  <si>
    <t xml:space="preserve">ORD12562</t>
  </si>
  <si>
    <t xml:space="preserve">ORD10542</t>
  </si>
  <si>
    <t xml:space="preserve">ORD11766</t>
  </si>
  <si>
    <t xml:space="preserve">Wok &amp; Roll </t>
  </si>
  <si>
    <t xml:space="preserve">ORD10265</t>
  </si>
  <si>
    <t xml:space="preserve">ORD12174</t>
  </si>
  <si>
    <t xml:space="preserve">04/10/2025</t>
  </si>
  <si>
    <t xml:space="preserve">ORD12197</t>
  </si>
  <si>
    <t xml:space="preserve">C0628</t>
  </si>
  <si>
    <t xml:space="preserve">ORD11887</t>
  </si>
  <si>
    <t xml:space="preserve">ORD11822</t>
  </si>
  <si>
    <t xml:space="preserve">08:14</t>
  </si>
  <si>
    <t xml:space="preserve">C0279</t>
  </si>
  <si>
    <t xml:space="preserve">ORD11065</t>
  </si>
  <si>
    <t xml:space="preserve">C0453</t>
  </si>
  <si>
    <t xml:space="preserve">ORD10301</t>
  </si>
  <si>
    <t xml:space="preserve">C0815</t>
  </si>
  <si>
    <t xml:space="preserve">ORD11807</t>
  </si>
  <si>
    <t xml:space="preserve">24-Aug-2025</t>
  </si>
  <si>
    <t xml:space="preserve">ORD10554</t>
  </si>
  <si>
    <t xml:space="preserve">C0582</t>
  </si>
  <si>
    <t xml:space="preserve">ORD10468</t>
  </si>
  <si>
    <t xml:space="preserve">ORD10345</t>
  </si>
  <si>
    <t xml:space="preserve">ORD12053</t>
  </si>
  <si>
    <t xml:space="preserve">ORD12237</t>
  </si>
  <si>
    <t xml:space="preserve">15:11</t>
  </si>
  <si>
    <t xml:space="preserve">ORD12161</t>
  </si>
  <si>
    <t xml:space="preserve">ORD12722</t>
  </si>
  <si>
    <t xml:space="preserve">ORD11376</t>
  </si>
  <si>
    <t xml:space="preserve">21:25</t>
  </si>
  <si>
    <t xml:space="preserve">ORD12055</t>
  </si>
  <si>
    <t xml:space="preserve">21:33</t>
  </si>
  <si>
    <t xml:space="preserve">C1365</t>
  </si>
  <si>
    <t xml:space="preserve">ORD11959</t>
  </si>
  <si>
    <t xml:space="preserve">13:34</t>
  </si>
  <si>
    <t xml:space="preserve">ORD11767</t>
  </si>
  <si>
    <t xml:space="preserve">ORD12225</t>
  </si>
  <si>
    <t xml:space="preserve">22:29</t>
  </si>
  <si>
    <t xml:space="preserve">ORD12606</t>
  </si>
  <si>
    <t xml:space="preserve">C1323</t>
  </si>
  <si>
    <t xml:space="preserve">ORD10440</t>
  </si>
  <si>
    <t xml:space="preserve">28-Feb-2025</t>
  </si>
  <si>
    <t xml:space="preserve">ORD10022</t>
  </si>
  <si>
    <t xml:space="preserve">ORD12217</t>
  </si>
  <si>
    <t xml:space="preserve">C0056</t>
  </si>
  <si>
    <t xml:space="preserve">ORD12509</t>
  </si>
  <si>
    <t xml:space="preserve">C0382</t>
  </si>
  <si>
    <t xml:space="preserve">ORD11869</t>
  </si>
  <si>
    <t xml:space="preserve">ORD12116</t>
  </si>
  <si>
    <t xml:space="preserve">C0499</t>
  </si>
  <si>
    <t xml:space="preserve">ORD12288</t>
  </si>
  <si>
    <t xml:space="preserve">ORD11377</t>
  </si>
  <si>
    <t xml:space="preserve">ORD11458</t>
  </si>
  <si>
    <t xml:space="preserve">09-Jul-2025</t>
  </si>
  <si>
    <t xml:space="preserve">C0771</t>
  </si>
  <si>
    <t xml:space="preserve">ORD10488</t>
  </si>
  <si>
    <t xml:space="preserve">23:43</t>
  </si>
  <si>
    <t xml:space="preserve">ORD10230</t>
  </si>
  <si>
    <t xml:space="preserve">01/02/2025</t>
  </si>
  <si>
    <t xml:space="preserve">ORD11364</t>
  </si>
  <si>
    <t xml:space="preserve">24-Jun-2025</t>
  </si>
  <si>
    <t xml:space="preserve">ORD11803</t>
  </si>
  <si>
    <t xml:space="preserve">ORD10287</t>
  </si>
  <si>
    <t xml:space="preserve">13:41</t>
  </si>
  <si>
    <t xml:space="preserve">C1395</t>
  </si>
  <si>
    <t xml:space="preserve">ORD11478</t>
  </si>
  <si>
    <t xml:space="preserve">C0072</t>
  </si>
  <si>
    <t xml:space="preserve">ORD11293</t>
  </si>
  <si>
    <t xml:space="preserve">17:00</t>
  </si>
  <si>
    <t xml:space="preserve">C0076</t>
  </si>
  <si>
    <t xml:space="preserve">ORD10811</t>
  </si>
  <si>
    <t xml:space="preserve">2025-04-13</t>
  </si>
  <si>
    <t xml:space="preserve">ORD12278</t>
  </si>
  <si>
    <t xml:space="preserve">C1487</t>
  </si>
  <si>
    <t xml:space="preserve">ORD10432</t>
  </si>
  <si>
    <t xml:space="preserve">11:44</t>
  </si>
  <si>
    <t xml:space="preserve">ORD11773</t>
  </si>
  <si>
    <t xml:space="preserve">C1046</t>
  </si>
  <si>
    <t xml:space="preserve">ORD12191</t>
  </si>
  <si>
    <t xml:space="preserve">C1411</t>
  </si>
  <si>
    <t xml:space="preserve">ORD12856</t>
  </si>
  <si>
    <t xml:space="preserve">C0942</t>
  </si>
  <si>
    <t xml:space="preserve">CURRY LEAF KITCHEN</t>
  </si>
  <si>
    <t xml:space="preserve">ORD10621</t>
  </si>
  <si>
    <t xml:space="preserve">2025-03-20</t>
  </si>
  <si>
    <t xml:space="preserve">12:56</t>
  </si>
  <si>
    <t xml:space="preserve">ORD11982</t>
  </si>
  <si>
    <t xml:space="preserve">23:52</t>
  </si>
  <si>
    <t xml:space="preserve">ORD10937</t>
  </si>
  <si>
    <t xml:space="preserve">ORD12139</t>
  </si>
  <si>
    <t xml:space="preserve">ORD11211</t>
  </si>
  <si>
    <t xml:space="preserve">08:36</t>
  </si>
  <si>
    <t xml:space="preserve">ORD12115</t>
  </si>
  <si>
    <t xml:space="preserve">17:03</t>
  </si>
  <si>
    <t xml:space="preserve">C0428</t>
  </si>
  <si>
    <t xml:space="preserve">ORD10131</t>
  </si>
  <si>
    <t xml:space="preserve">C0564</t>
  </si>
  <si>
    <t xml:space="preserve">ORD11553</t>
  </si>
  <si>
    <t xml:space="preserve">C0130</t>
  </si>
  <si>
    <t xml:space="preserve">ORD10956</t>
  </si>
  <si>
    <t xml:space="preserve">12:39</t>
  </si>
  <si>
    <t xml:space="preserve">ORD10914</t>
  </si>
  <si>
    <t xml:space="preserve">2025-04-25</t>
  </si>
  <si>
    <t xml:space="preserve">ORD10860</t>
  </si>
  <si>
    <t xml:space="preserve">ORD11479</t>
  </si>
  <si>
    <t xml:space="preserve">C0503</t>
  </si>
  <si>
    <t xml:space="preserve">ORD11328</t>
  </si>
  <si>
    <t xml:space="preserve">10:08</t>
  </si>
  <si>
    <t xml:space="preserve">C0840</t>
  </si>
  <si>
    <t xml:space="preserve">ORD10128</t>
  </si>
  <si>
    <t xml:space="preserve">ORD10285</t>
  </si>
  <si>
    <t xml:space="preserve">C1065</t>
  </si>
  <si>
    <t xml:space="preserve">ORD10979</t>
  </si>
  <si>
    <t xml:space="preserve">C1156</t>
  </si>
  <si>
    <t xml:space="preserve">ORD10624</t>
  </si>
  <si>
    <t xml:space="preserve">ORD10689</t>
  </si>
  <si>
    <t xml:space="preserve">C0457</t>
  </si>
  <si>
    <t xml:space="preserve">ORD11845</t>
  </si>
  <si>
    <t xml:space="preserve">C1479</t>
  </si>
  <si>
    <t xml:space="preserve">ORD12961</t>
  </si>
  <si>
    <t xml:space="preserve">22:37</t>
  </si>
  <si>
    <t xml:space="preserve">ORD10996</t>
  </si>
  <si>
    <t xml:space="preserve">08:53</t>
  </si>
  <si>
    <t xml:space="preserve">C1457</t>
  </si>
  <si>
    <t xml:space="preserve">ORD11764</t>
  </si>
  <si>
    <t xml:space="preserve">ORD11694</t>
  </si>
  <si>
    <t xml:space="preserve">10/08/2025</t>
  </si>
  <si>
    <t xml:space="preserve">ORD10611</t>
  </si>
  <si>
    <t xml:space="preserve">C0253</t>
  </si>
  <si>
    <t xml:space="preserve">ORD10459</t>
  </si>
  <si>
    <t xml:space="preserve">22:50</t>
  </si>
  <si>
    <t xml:space="preserve">ORD12269</t>
  </si>
  <si>
    <t xml:space="preserve">ORD10463</t>
  </si>
  <si>
    <t xml:space="preserve">17:21</t>
  </si>
  <si>
    <t xml:space="preserve">ORD10793</t>
  </si>
  <si>
    <t xml:space="preserve">09:38</t>
  </si>
  <si>
    <t xml:space="preserve">ORD10505</t>
  </si>
  <si>
    <t xml:space="preserve">ORD10309</t>
  </si>
  <si>
    <t xml:space="preserve">ORD11580</t>
  </si>
  <si>
    <t xml:space="preserve">C1486</t>
  </si>
  <si>
    <t xml:space="preserve">ORD10364</t>
  </si>
  <si>
    <t xml:space="preserve">20:36</t>
  </si>
  <si>
    <t xml:space="preserve">C0819</t>
  </si>
  <si>
    <t xml:space="preserve">ORD10580</t>
  </si>
  <si>
    <t xml:space="preserve">ORD10106</t>
  </si>
  <si>
    <t xml:space="preserve">18:32</t>
  </si>
  <si>
    <t xml:space="preserve">ORD12931</t>
  </si>
  <si>
    <t xml:space="preserve">ORD11133</t>
  </si>
  <si>
    <t xml:space="preserve">ORD10508</t>
  </si>
  <si>
    <t xml:space="preserve">ORD11012</t>
  </si>
  <si>
    <t xml:space="preserve">C0273</t>
  </si>
  <si>
    <t xml:space="preserve">ORD11531</t>
  </si>
  <si>
    <t xml:space="preserve">ORD10947</t>
  </si>
  <si>
    <t xml:space="preserve">C0618</t>
  </si>
  <si>
    <t xml:space="preserve">ORD11239</t>
  </si>
  <si>
    <t xml:space="preserve">ORD11263</t>
  </si>
  <si>
    <t xml:space="preserve">C0614</t>
  </si>
  <si>
    <t xml:space="preserve">ORD11585</t>
  </si>
  <si>
    <t xml:space="preserve">C0749</t>
  </si>
  <si>
    <t xml:space="preserve">Chaat Corner </t>
  </si>
  <si>
    <t xml:space="preserve">ORD11730</t>
  </si>
  <si>
    <t xml:space="preserve">15/08/2025</t>
  </si>
  <si>
    <t xml:space="preserve">ORD11299</t>
  </si>
  <si>
    <t xml:space="preserve">15-Jun-2025</t>
  </si>
  <si>
    <t xml:space="preserve">C0345</t>
  </si>
  <si>
    <t xml:space="preserve">ORD11426</t>
  </si>
  <si>
    <t xml:space="preserve">ORD10561</t>
  </si>
  <si>
    <t xml:space="preserve">ORD10189</t>
  </si>
  <si>
    <t xml:space="preserve">2025-01-25</t>
  </si>
  <si>
    <t xml:space="preserve">C0916</t>
  </si>
  <si>
    <t xml:space="preserve">ORD12498</t>
  </si>
  <si>
    <t xml:space="preserve">ORD12164</t>
  </si>
  <si>
    <t xml:space="preserve">20:57</t>
  </si>
  <si>
    <t xml:space="preserve">ORD12984</t>
  </si>
  <si>
    <t xml:space="preserve">21:20</t>
  </si>
  <si>
    <t xml:space="preserve">ORD12934</t>
  </si>
  <si>
    <t xml:space="preserve">14:35</t>
  </si>
  <si>
    <t xml:space="preserve">C0180</t>
  </si>
  <si>
    <t xml:space="preserve">ORD12890</t>
  </si>
  <si>
    <t xml:space="preserve">C0439</t>
  </si>
  <si>
    <t xml:space="preserve">ORD11652</t>
  </si>
  <si>
    <t xml:space="preserve">10:32</t>
  </si>
  <si>
    <t xml:space="preserve">ORD11429</t>
  </si>
  <si>
    <t xml:space="preserve">ORD12840</t>
  </si>
  <si>
    <t xml:space="preserve">ORD12019</t>
  </si>
  <si>
    <t xml:space="preserve">C0252</t>
  </si>
  <si>
    <t xml:space="preserve">ORD10933</t>
  </si>
  <si>
    <t xml:space="preserve">C0888</t>
  </si>
  <si>
    <t xml:space="preserve">ORD11671</t>
  </si>
  <si>
    <t xml:space="preserve">2025-08-06</t>
  </si>
  <si>
    <t xml:space="preserve">C0981</t>
  </si>
  <si>
    <t xml:space="preserve">ORD10863</t>
  </si>
  <si>
    <t xml:space="preserve">C0774</t>
  </si>
  <si>
    <t xml:space="preserve">ORD11174</t>
  </si>
  <si>
    <t xml:space="preserve">ORD11477</t>
  </si>
  <si>
    <t xml:space="preserve">16:30</t>
  </si>
  <si>
    <t xml:space="preserve">ORD12821</t>
  </si>
  <si>
    <t xml:space="preserve">19:32</t>
  </si>
  <si>
    <t xml:space="preserve">C0104</t>
  </si>
  <si>
    <t xml:space="preserve">ORD11116</t>
  </si>
  <si>
    <t xml:space="preserve">ORD10354</t>
  </si>
  <si>
    <t xml:space="preserve">ORD11035</t>
  </si>
  <si>
    <t xml:space="preserve">C0872</t>
  </si>
  <si>
    <t xml:space="preserve"> Maratha Thali House</t>
  </si>
  <si>
    <t xml:space="preserve">ORD12589</t>
  </si>
  <si>
    <t xml:space="preserve">01:42</t>
  </si>
  <si>
    <t xml:space="preserve">ORD10732</t>
  </si>
  <si>
    <t xml:space="preserve">09:21</t>
  </si>
  <si>
    <t xml:space="preserve">ORD10703</t>
  </si>
  <si>
    <t xml:space="preserve">10:33</t>
  </si>
  <si>
    <t xml:space="preserve">ORD12943</t>
  </si>
  <si>
    <t xml:space="preserve">ORD12416</t>
  </si>
  <si>
    <t xml:space="preserve">C0996</t>
  </si>
  <si>
    <t xml:space="preserve">ORD12587</t>
  </si>
  <si>
    <t xml:space="preserve">C0746</t>
  </si>
  <si>
    <t xml:space="preserve">ORD10161</t>
  </si>
  <si>
    <t xml:space="preserve">21/01/2025</t>
  </si>
  <si>
    <t xml:space="preserve">C0899</t>
  </si>
  <si>
    <t xml:space="preserve">ORD12556</t>
  </si>
  <si>
    <t xml:space="preserve">ORD11277</t>
  </si>
  <si>
    <t xml:space="preserve">ORD11843</t>
  </si>
  <si>
    <t xml:space="preserve">ORD11468</t>
  </si>
  <si>
    <t xml:space="preserve">10:00</t>
  </si>
  <si>
    <t xml:space="preserve">C1440</t>
  </si>
  <si>
    <t xml:space="preserve">ORD11138</t>
  </si>
  <si>
    <t xml:space="preserve">22:34</t>
  </si>
  <si>
    <t xml:space="preserve">C0577</t>
  </si>
  <si>
    <t xml:space="preserve">ORD11199</t>
  </si>
  <si>
    <t xml:space="preserve">C0619</t>
  </si>
  <si>
    <t xml:space="preserve">ORD12422</t>
  </si>
  <si>
    <t xml:space="preserve">ORD10163</t>
  </si>
  <si>
    <t xml:space="preserve">ORD11628</t>
  </si>
  <si>
    <t xml:space="preserve">16:03</t>
  </si>
  <si>
    <t xml:space="preserve">ORD11513</t>
  </si>
  <si>
    <t xml:space="preserve">15/07/2025</t>
  </si>
  <si>
    <t xml:space="preserve">ORD11451</t>
  </si>
  <si>
    <t xml:space="preserve">07/07/2025</t>
  </si>
  <si>
    <t xml:space="preserve">C1372</t>
  </si>
  <si>
    <t xml:space="preserve">ORD10186</t>
  </si>
  <si>
    <t xml:space="preserve">C0810</t>
  </si>
  <si>
    <t xml:space="preserve">ORD10460</t>
  </si>
  <si>
    <t xml:space="preserve">ORD11398</t>
  </si>
  <si>
    <t xml:space="preserve">ORD11873</t>
  </si>
  <si>
    <t xml:space="preserve">C0851</t>
  </si>
  <si>
    <t xml:space="preserve">ORD11008</t>
  </si>
  <si>
    <t xml:space="preserve">C0917</t>
  </si>
  <si>
    <t xml:space="preserve">ORD11962</t>
  </si>
  <si>
    <t xml:space="preserve">ORD12112</t>
  </si>
  <si>
    <t xml:space="preserve">28-Sep-2025</t>
  </si>
  <si>
    <t xml:space="preserve">21:42</t>
  </si>
  <si>
    <t xml:space="preserve">ORD10127</t>
  </si>
  <si>
    <t xml:space="preserve">11:06</t>
  </si>
  <si>
    <t xml:space="preserve">C0361</t>
  </si>
  <si>
    <t xml:space="preserve">ORD11465</t>
  </si>
  <si>
    <t xml:space="preserve">C0992</t>
  </si>
  <si>
    <t xml:space="preserve">ORD11876</t>
  </si>
  <si>
    <t xml:space="preserve">ORD11288</t>
  </si>
  <si>
    <t xml:space="preserve">2025-06-13</t>
  </si>
  <si>
    <t xml:space="preserve">17:10</t>
  </si>
  <si>
    <t xml:space="preserve">ORD10369</t>
  </si>
  <si>
    <t xml:space="preserve">C1342</t>
  </si>
  <si>
    <t xml:space="preserve">ORD11169</t>
  </si>
  <si>
    <t xml:space="preserve">23:18</t>
  </si>
  <si>
    <t xml:space="preserve">ORD11800</t>
  </si>
  <si>
    <t xml:space="preserve">C1485</t>
  </si>
  <si>
    <t xml:space="preserve">ORD10494</t>
  </si>
  <si>
    <t xml:space="preserve">ORD10232</t>
  </si>
  <si>
    <t xml:space="preserve">ORD12137</t>
  </si>
  <si>
    <t xml:space="preserve">ORD10334</t>
  </si>
  <si>
    <t xml:space="preserve">C1188</t>
  </si>
  <si>
    <t xml:space="preserve">ORD10789</t>
  </si>
  <si>
    <t xml:space="preserve">ORD11600</t>
  </si>
  <si>
    <t xml:space="preserve">22:12</t>
  </si>
  <si>
    <t xml:space="preserve">C1174</t>
  </si>
  <si>
    <t xml:space="preserve">ORD10679</t>
  </si>
  <si>
    <t xml:space="preserve">ORD12336</t>
  </si>
  <si>
    <t xml:space="preserve">21/10/2025</t>
  </si>
  <si>
    <t xml:space="preserve">C1220</t>
  </si>
  <si>
    <t xml:space="preserve">ORD10381</t>
  </si>
  <si>
    <t xml:space="preserve">09:03</t>
  </si>
  <si>
    <t xml:space="preserve">BIRYANI</t>
  </si>
  <si>
    <t xml:space="preserve">ORD12085</t>
  </si>
  <si>
    <t xml:space="preserve">25-Sep-2025</t>
  </si>
  <si>
    <t xml:space="preserve">ORD12277</t>
  </si>
  <si>
    <t xml:space="preserve">ORD12282</t>
  </si>
  <si>
    <t xml:space="preserve">12:04</t>
  </si>
  <si>
    <t xml:space="preserve">ORD11697</t>
  </si>
  <si>
    <t xml:space="preserve">11-Aug-2025</t>
  </si>
  <si>
    <t xml:space="preserve">01:46</t>
  </si>
  <si>
    <t xml:space="preserve">ORD12938</t>
  </si>
  <si>
    <t xml:space="preserve">12:22</t>
  </si>
  <si>
    <t xml:space="preserve">ORD12224</t>
  </si>
  <si>
    <t xml:space="preserve">ORD11878</t>
  </si>
  <si>
    <t xml:space="preserve">12:16</t>
  </si>
  <si>
    <t xml:space="preserve">C1371</t>
  </si>
  <si>
    <t xml:space="preserve">ORD11870</t>
  </si>
  <si>
    <t xml:space="preserve">ORD12502</t>
  </si>
  <si>
    <t xml:space="preserve">C0275</t>
  </si>
  <si>
    <t xml:space="preserve">ORD11433</t>
  </si>
  <si>
    <t xml:space="preserve">05/07/2025</t>
  </si>
  <si>
    <t xml:space="preserve">ORD11282</t>
  </si>
  <si>
    <t xml:space="preserve">13-Jun-2025</t>
  </si>
  <si>
    <t xml:space="preserve">08:10</t>
  </si>
  <si>
    <t xml:space="preserve">ORD11601</t>
  </si>
  <si>
    <t xml:space="preserve">2025-07-28</t>
  </si>
  <si>
    <t xml:space="preserve">ORD10208</t>
  </si>
  <si>
    <t xml:space="preserve">28/01/2025</t>
  </si>
  <si>
    <t xml:space="preserve">ORD12079</t>
  </si>
  <si>
    <t xml:space="preserve">ORD12962</t>
  </si>
  <si>
    <t xml:space="preserve">C0831</t>
  </si>
  <si>
    <t xml:space="preserve">ORD11333</t>
  </si>
  <si>
    <t xml:space="preserve">C0368</t>
  </si>
  <si>
    <t xml:space="preserve">cheesy slice</t>
  </si>
  <si>
    <t xml:space="preserve">ORD10882</t>
  </si>
  <si>
    <t xml:space="preserve">ORD10144</t>
  </si>
  <si>
    <t xml:space="preserve">C1297</t>
  </si>
  <si>
    <t xml:space="preserve">ORD10250</t>
  </si>
  <si>
    <t xml:space="preserve">13:12</t>
  </si>
  <si>
    <t xml:space="preserve">ORD12960</t>
  </si>
  <si>
    <t xml:space="preserve">ORD12007</t>
  </si>
  <si>
    <t xml:space="preserve">C0734</t>
  </si>
  <si>
    <t xml:space="preserve">ORD12883</t>
  </si>
  <si>
    <t xml:space="preserve">2025-12-19</t>
  </si>
  <si>
    <t xml:space="preserve">14:38</t>
  </si>
  <si>
    <t xml:space="preserve">ORD12171</t>
  </si>
  <si>
    <t xml:space="preserve">ORD12080</t>
  </si>
  <si>
    <t xml:space="preserve">ORD11488</t>
  </si>
  <si>
    <t xml:space="preserve">ORD12700</t>
  </si>
  <si>
    <t xml:space="preserve">C1055</t>
  </si>
  <si>
    <t xml:space="preserve">ORD12417</t>
  </si>
  <si>
    <t xml:space="preserve">C1002</t>
  </si>
  <si>
    <t xml:space="preserve">ORD12615</t>
  </si>
  <si>
    <t xml:space="preserve">19/11/2025</t>
  </si>
  <si>
    <t xml:space="preserve">ORD11627</t>
  </si>
  <si>
    <t xml:space="preserve">ORD11129</t>
  </si>
  <si>
    <t xml:space="preserve">ORD12036</t>
  </si>
  <si>
    <t xml:space="preserve">ORD11352</t>
  </si>
  <si>
    <t xml:space="preserve">23/06/2025</t>
  </si>
  <si>
    <t xml:space="preserve">ORD11470</t>
  </si>
  <si>
    <t xml:space="preserve">C1203</t>
  </si>
  <si>
    <t xml:space="preserve">ORD10084</t>
  </si>
  <si>
    <t xml:space="preserve">10:58</t>
  </si>
  <si>
    <t xml:space="preserve">C1377</t>
  </si>
  <si>
    <t xml:space="preserve">ORD10766</t>
  </si>
  <si>
    <t xml:space="preserve">C0951</t>
  </si>
  <si>
    <t xml:space="preserve">ORD10103</t>
  </si>
  <si>
    <t xml:space="preserve">ORD10147</t>
  </si>
  <si>
    <t xml:space="preserve">20/01/2025</t>
  </si>
  <si>
    <t xml:space="preserve">C0156</t>
  </si>
  <si>
    <t xml:space="preserve">ORD11134</t>
  </si>
  <si>
    <t xml:space="preserve">ORD12068</t>
  </si>
  <si>
    <t xml:space="preserve"> Mumbai Pizza Co</t>
  </si>
  <si>
    <t xml:space="preserve">ORD10395</t>
  </si>
  <si>
    <t xml:space="preserve">22/02/2025</t>
  </si>
  <si>
    <t xml:space="preserve">10:01</t>
  </si>
  <si>
    <t xml:space="preserve">ORD12325</t>
  </si>
  <si>
    <t xml:space="preserve">C1124</t>
  </si>
  <si>
    <t xml:space="preserve">ORD12874</t>
  </si>
  <si>
    <t xml:space="preserve">15:34</t>
  </si>
  <si>
    <t xml:space="preserve">C0558</t>
  </si>
  <si>
    <t xml:space="preserve">ORD11222</t>
  </si>
  <si>
    <t xml:space="preserve">08:08</t>
  </si>
  <si>
    <t xml:space="preserve">ORD11359</t>
  </si>
  <si>
    <t xml:space="preserve">ORD11850</t>
  </si>
  <si>
    <t xml:space="preserve">ORD10322</t>
  </si>
  <si>
    <t xml:space="preserve">C0218</t>
  </si>
  <si>
    <t xml:space="preserve">ORD10112</t>
  </si>
  <si>
    <t xml:space="preserve">23:13</t>
  </si>
  <si>
    <t xml:space="preserve">ORD10589</t>
  </si>
  <si>
    <t xml:space="preserve">ORD12869</t>
  </si>
  <si>
    <t xml:space="preserve">C0870</t>
  </si>
  <si>
    <t xml:space="preserve">ORD12133</t>
  </si>
  <si>
    <t xml:space="preserve">C0912</t>
  </si>
  <si>
    <t xml:space="preserve">ORD10137</t>
  </si>
  <si>
    <t xml:space="preserve">2025-01-18</t>
  </si>
  <si>
    <t xml:space="preserve">13:32</t>
  </si>
  <si>
    <t xml:space="preserve">ORD11471</t>
  </si>
  <si>
    <t xml:space="preserve">C1200</t>
  </si>
  <si>
    <t xml:space="preserve">ORD10654</t>
  </si>
  <si>
    <t xml:space="preserve">ORD11946</t>
  </si>
  <si>
    <t xml:space="preserve">2025-09-10</t>
  </si>
  <si>
    <t xml:space="preserve">C0136</t>
  </si>
  <si>
    <t xml:space="preserve">ORD12916</t>
  </si>
  <si>
    <t xml:space="preserve">ORD11048</t>
  </si>
  <si>
    <t xml:space="preserve">ORD12168</t>
  </si>
  <si>
    <t xml:space="preserve">08:03</t>
  </si>
  <si>
    <t xml:space="preserve">ORD10931</t>
  </si>
  <si>
    <t xml:space="preserve">28/04/2025</t>
  </si>
  <si>
    <t xml:space="preserve">ORD10221</t>
  </si>
  <si>
    <t xml:space="preserve">ORD10928</t>
  </si>
  <si>
    <t xml:space="preserve">22:05</t>
  </si>
  <si>
    <t xml:space="preserve">C0386</t>
  </si>
  <si>
    <t xml:space="preserve">ORD11988</t>
  </si>
  <si>
    <t xml:space="preserve">ORD11948</t>
  </si>
  <si>
    <t xml:space="preserve">13:35</t>
  </si>
  <si>
    <t xml:space="preserve">C0003</t>
  </si>
  <si>
    <t xml:space="preserve">ORD12272</t>
  </si>
  <si>
    <t xml:space="preserve">ORD12694</t>
  </si>
  <si>
    <t xml:space="preserve">11:39</t>
  </si>
  <si>
    <t xml:space="preserve">C1161</t>
  </si>
  <si>
    <t xml:space="preserve">ORD10534</t>
  </si>
  <si>
    <t xml:space="preserve">ORD12879</t>
  </si>
  <si>
    <t xml:space="preserve">ORD10607</t>
  </si>
  <si>
    <t xml:space="preserve">ORD10075</t>
  </si>
  <si>
    <t xml:space="preserve">C0349</t>
  </si>
  <si>
    <t xml:space="preserve">ORD11540</t>
  </si>
  <si>
    <t xml:space="preserve">C0581</t>
  </si>
  <si>
    <t xml:space="preserve">ORD12160</t>
  </si>
  <si>
    <t xml:space="preserve">03/10/2025</t>
  </si>
  <si>
    <t xml:space="preserve">ORD11323</t>
  </si>
  <si>
    <t xml:space="preserve">10:22</t>
  </si>
  <si>
    <t xml:space="preserve">ORD12432</t>
  </si>
  <si>
    <t xml:space="preserve">ORD10114</t>
  </si>
  <si>
    <t xml:space="preserve">13:57</t>
  </si>
  <si>
    <t xml:space="preserve">C0633</t>
  </si>
  <si>
    <t xml:space="preserve">ORD10987</t>
  </si>
  <si>
    <t xml:space="preserve">ORD11972</t>
  </si>
  <si>
    <t xml:space="preserve">C0991</t>
  </si>
  <si>
    <t xml:space="preserve">ORD12917</t>
  </si>
  <si>
    <t xml:space="preserve">ORD10223</t>
  </si>
  <si>
    <t xml:space="preserve">ORD10519</t>
  </si>
  <si>
    <t xml:space="preserve">09:36</t>
  </si>
  <si>
    <t xml:space="preserve">C0897</t>
  </si>
  <si>
    <t xml:space="preserve">ORD11349</t>
  </si>
  <si>
    <t xml:space="preserve">23-Jun-2025</t>
  </si>
  <si>
    <t xml:space="preserve">ORD11120</t>
  </si>
  <si>
    <t xml:space="preserve">ORD10036</t>
  </si>
  <si>
    <t xml:space="preserve">ORD10831</t>
  </si>
  <si>
    <t xml:space="preserve">10:10</t>
  </si>
  <si>
    <t xml:space="preserve">C0362</t>
  </si>
  <si>
    <t xml:space="preserve">ORD11891</t>
  </si>
  <si>
    <t xml:space="preserve">C0698</t>
  </si>
  <si>
    <t xml:space="preserve">ORD12838</t>
  </si>
  <si>
    <t xml:space="preserve">C0441</t>
  </si>
  <si>
    <t xml:space="preserve">ORD10348</t>
  </si>
  <si>
    <t xml:space="preserve">15/02/2025</t>
  </si>
  <si>
    <t xml:space="preserve">C0957</t>
  </si>
  <si>
    <t xml:space="preserve">ORD10168</t>
  </si>
  <si>
    <t xml:space="preserve">2025-01-22</t>
  </si>
  <si>
    <t xml:space="preserve">ORD12636</t>
  </si>
  <si>
    <t xml:space="preserve">ORD10117</t>
  </si>
  <si>
    <t xml:space="preserve">ORD10531</t>
  </si>
  <si>
    <t xml:space="preserve">10/03/2025</t>
  </si>
  <si>
    <t xml:space="preserve">10:13</t>
  </si>
  <si>
    <t xml:space="preserve">C0712</t>
  </si>
  <si>
    <t xml:space="preserve">ORD11721</t>
  </si>
  <si>
    <t xml:space="preserve">C0448</t>
  </si>
  <si>
    <t xml:space="preserve">ORD12541</t>
  </si>
  <si>
    <t xml:space="preserve">ORD10321</t>
  </si>
  <si>
    <t xml:space="preserve">12-Feb-2025</t>
  </si>
  <si>
    <t xml:space="preserve">C0637</t>
  </si>
  <si>
    <t xml:space="preserve">ORD11029</t>
  </si>
  <si>
    <t xml:space="preserve">15:23</t>
  </si>
  <si>
    <t xml:space="preserve">ORD11964</t>
  </si>
  <si>
    <t xml:space="preserve">09:50</t>
  </si>
  <si>
    <t xml:space="preserve">ORD12236</t>
  </si>
  <si>
    <t xml:space="preserve">ORD11781</t>
  </si>
  <si>
    <t xml:space="preserve">ORD11603</t>
  </si>
  <si>
    <t xml:space="preserve">ORD12904</t>
  </si>
  <si>
    <t xml:space="preserve">12:52</t>
  </si>
  <si>
    <t xml:space="preserve">ORD12624</t>
  </si>
  <si>
    <t xml:space="preserve">ORD10228</t>
  </si>
  <si>
    <t xml:space="preserve">ORD11645</t>
  </si>
  <si>
    <t xml:space="preserve">ORD11026</t>
  </si>
  <si>
    <t xml:space="preserve">C1159</t>
  </si>
  <si>
    <t xml:space="preserve">ORD12877</t>
  </si>
  <si>
    <t xml:space="preserve">08:28</t>
  </si>
  <si>
    <t xml:space="preserve">ORD11772</t>
  </si>
  <si>
    <t xml:space="preserve">ORD10082</t>
  </si>
  <si>
    <t xml:space="preserve">C1285</t>
  </si>
  <si>
    <t xml:space="preserve">ORD11529</t>
  </si>
  <si>
    <t xml:space="preserve">C1227</t>
  </si>
  <si>
    <t xml:space="preserve">ORD11755</t>
  </si>
  <si>
    <t xml:space="preserve">18/08/2025</t>
  </si>
  <si>
    <t xml:space="preserve">16:28</t>
  </si>
  <si>
    <t xml:space="preserve">ORD10669</t>
  </si>
  <si>
    <t xml:space="preserve">20:02</t>
  </si>
  <si>
    <t xml:space="preserve">C0783</t>
  </si>
  <si>
    <t xml:space="preserve">ORD10063</t>
  </si>
  <si>
    <t xml:space="preserve">19:13</t>
  </si>
  <si>
    <t xml:space="preserve">ORD10850</t>
  </si>
  <si>
    <t xml:space="preserve">C0200</t>
  </si>
  <si>
    <t xml:space="preserve">ORD12647</t>
  </si>
  <si>
    <t xml:space="preserve">C0259</t>
  </si>
  <si>
    <t xml:space="preserve">ORD12054</t>
  </si>
  <si>
    <t xml:space="preserve">ORD12361</t>
  </si>
  <si>
    <t xml:space="preserve">ORD10516</t>
  </si>
  <si>
    <t xml:space="preserve">08/03/2025</t>
  </si>
  <si>
    <t xml:space="preserve">ORD11355</t>
  </si>
  <si>
    <t xml:space="preserve">C0160</t>
  </si>
  <si>
    <t xml:space="preserve">ORD10110</t>
  </si>
  <si>
    <t xml:space="preserve">14/01/2025</t>
  </si>
  <si>
    <t xml:space="preserve">C0216</t>
  </si>
  <si>
    <t xml:space="preserve">ORD12130</t>
  </si>
  <si>
    <t xml:space="preserve">30/09/2025</t>
  </si>
  <si>
    <t xml:space="preserve">ORD10041</t>
  </si>
  <si>
    <t xml:space="preserve">C0664</t>
  </si>
  <si>
    <t xml:space="preserve">ORD12752</t>
  </si>
  <si>
    <t xml:space="preserve">02/12/2025</t>
  </si>
  <si>
    <t xml:space="preserve">C0575</t>
  </si>
  <si>
    <t xml:space="preserve">ORD11727</t>
  </si>
  <si>
    <t xml:space="preserve">C1058</t>
  </si>
  <si>
    <t xml:space="preserve">ORD12884</t>
  </si>
  <si>
    <t xml:space="preserve">ORD11126</t>
  </si>
  <si>
    <t xml:space="preserve">ORD11089</t>
  </si>
  <si>
    <t xml:space="preserve">C0591</t>
  </si>
  <si>
    <t xml:space="preserve">ORD10312</t>
  </si>
  <si>
    <t xml:space="preserve">C1063</t>
  </si>
  <si>
    <t xml:space="preserve">ORD11623</t>
  </si>
  <si>
    <t xml:space="preserve">31/07/2025</t>
  </si>
  <si>
    <t xml:space="preserve">09:18</t>
  </si>
  <si>
    <t xml:space="preserve">C1105</t>
  </si>
  <si>
    <t xml:space="preserve">ORD10020</t>
  </si>
  <si>
    <t xml:space="preserve">C1489</t>
  </si>
  <si>
    <t xml:space="preserve">ORD11427</t>
  </si>
  <si>
    <t xml:space="preserve">ORD10358</t>
  </si>
  <si>
    <t xml:space="preserve">17/02/2025</t>
  </si>
  <si>
    <t xml:space="preserve">16:46</t>
  </si>
  <si>
    <t xml:space="preserve">C0154</t>
  </si>
  <si>
    <t xml:space="preserve">ORD10361</t>
  </si>
  <si>
    <t xml:space="preserve">ORD12807</t>
  </si>
  <si>
    <t xml:space="preserve">2025-12-09</t>
  </si>
  <si>
    <t xml:space="preserve">ORD11542</t>
  </si>
  <si>
    <t xml:space="preserve">20/07/2025</t>
  </si>
  <si>
    <t xml:space="preserve">ORD10290</t>
  </si>
  <si>
    <t xml:space="preserve">C0521</t>
  </si>
  <si>
    <t xml:space="preserve">ORD10393</t>
  </si>
  <si>
    <t xml:space="preserve">C0438</t>
  </si>
  <si>
    <t xml:space="preserve">ORD11494</t>
  </si>
  <si>
    <t xml:space="preserve">13/07/2025</t>
  </si>
  <si>
    <t xml:space="preserve">ORD11731</t>
  </si>
  <si>
    <t xml:space="preserve">ORD12967</t>
  </si>
  <si>
    <t xml:space="preserve">C0979</t>
  </si>
  <si>
    <t xml:space="preserve">ORD10658</t>
  </si>
  <si>
    <t xml:space="preserve">ORD11247</t>
  </si>
  <si>
    <t xml:space="preserve">ORD12806</t>
  </si>
  <si>
    <t xml:space="preserve">09-Dec-2025</t>
  </si>
  <si>
    <t xml:space="preserve">15:43</t>
  </si>
  <si>
    <t xml:space="preserve">ORD12695</t>
  </si>
  <si>
    <t xml:space="preserve">ORD11927</t>
  </si>
  <si>
    <t xml:space="preserve">ORD11565</t>
  </si>
  <si>
    <t xml:space="preserve">ORD12338</t>
  </si>
  <si>
    <t xml:space="preserve">C0974</t>
  </si>
  <si>
    <t xml:space="preserve">ORD11422</t>
  </si>
  <si>
    <t xml:space="preserve">C1282</t>
  </si>
  <si>
    <t xml:space="preserve">ORD12219</t>
  </si>
  <si>
    <t xml:space="preserve">09-Oct-2025</t>
  </si>
  <si>
    <t xml:space="preserve">15:25</t>
  </si>
  <si>
    <t xml:space="preserve">ORD12911</t>
  </si>
  <si>
    <t xml:space="preserve">23:37</t>
  </si>
  <si>
    <t xml:space="preserve">ORD10371</t>
  </si>
  <si>
    <t xml:space="preserve">ORD11998</t>
  </si>
  <si>
    <t xml:space="preserve">ORD10314</t>
  </si>
  <si>
    <t xml:space="preserve">C0132</t>
  </si>
  <si>
    <t xml:space="preserve">ORD12564</t>
  </si>
  <si>
    <t xml:space="preserve">22:23</t>
  </si>
  <si>
    <t xml:space="preserve">C0550</t>
  </si>
  <si>
    <t xml:space="preserve">ORD11551</t>
  </si>
  <si>
    <t xml:space="preserve">ORD10594</t>
  </si>
  <si>
    <t xml:space="preserve">C1401</t>
  </si>
  <si>
    <t xml:space="preserve">ORD10971</t>
  </si>
  <si>
    <t xml:space="preserve">C0836</t>
  </si>
  <si>
    <t xml:space="preserve">ORD10203</t>
  </si>
  <si>
    <t xml:space="preserve">ORD12373</t>
  </si>
  <si>
    <t xml:space="preserve">ORD12301</t>
  </si>
  <si>
    <t xml:space="preserve">ORD12768</t>
  </si>
  <si>
    <t xml:space="preserve">ORD12196</t>
  </si>
  <si>
    <t xml:space="preserve">ORD12014</t>
  </si>
  <si>
    <t xml:space="preserve">ORD10439</t>
  </si>
  <si>
    <t xml:space="preserve">ORD10327</t>
  </si>
  <si>
    <t xml:space="preserve">C0019</t>
  </si>
  <si>
    <t xml:space="preserve">ORD11159</t>
  </si>
  <si>
    <t xml:space="preserve">27/05/2025</t>
  </si>
  <si>
    <t xml:space="preserve">ORD12189</t>
  </si>
  <si>
    <t xml:space="preserve">C1274</t>
  </si>
  <si>
    <t xml:space="preserve">ORD10388</t>
  </si>
  <si>
    <t xml:space="preserve">21-Feb-2025</t>
  </si>
  <si>
    <t xml:space="preserve">C1072</t>
  </si>
  <si>
    <t xml:space="preserve">ORD11042</t>
  </si>
  <si>
    <t xml:space="preserve">11-May-2025</t>
  </si>
  <si>
    <t xml:space="preserve">23:30</t>
  </si>
  <si>
    <t xml:space="preserve">ORD11788</t>
  </si>
  <si>
    <t xml:space="preserve">ORD11188</t>
  </si>
  <si>
    <t xml:space="preserve">31/05/2025</t>
  </si>
  <si>
    <t xml:space="preserve">ORD10282</t>
  </si>
  <si>
    <t xml:space="preserve">ORD11633</t>
  </si>
  <si>
    <t xml:space="preserve">ORD11356</t>
  </si>
  <si>
    <t xml:space="preserve">ORD10043</t>
  </si>
  <si>
    <t xml:space="preserve">ORD12464</t>
  </si>
  <si>
    <t xml:space="preserve">21:14</t>
  </si>
  <si>
    <t xml:space="preserve">C0124</t>
  </si>
  <si>
    <t xml:space="preserve">misal mantra</t>
  </si>
  <si>
    <t xml:space="preserve">ORD10102</t>
  </si>
  <si>
    <t xml:space="preserve">C0363</t>
  </si>
  <si>
    <t xml:space="preserve">ORD12721</t>
  </si>
  <si>
    <t xml:space="preserve">cancelled</t>
  </si>
  <si>
    <t xml:space="preserve">ORD12988</t>
  </si>
  <si>
    <t xml:space="preserve">C0929</t>
  </si>
  <si>
    <t xml:space="preserve">ORD10447</t>
  </si>
  <si>
    <t xml:space="preserve">ORD11786</t>
  </si>
  <si>
    <t xml:space="preserve">ORD11274</t>
  </si>
  <si>
    <t xml:space="preserve">ORD10135</t>
  </si>
  <si>
    <t xml:space="preserve">ORD10575</t>
  </si>
  <si>
    <t xml:space="preserve">10:07</t>
  </si>
  <si>
    <t xml:space="preserve">Misal Mantra </t>
  </si>
  <si>
    <t xml:space="preserve">ORD10877</t>
  </si>
  <si>
    <t xml:space="preserve">23:48</t>
  </si>
  <si>
    <t xml:space="preserve">C0485</t>
  </si>
  <si>
    <t xml:space="preserve">ORD12009</t>
  </si>
  <si>
    <t xml:space="preserve">ORD10857</t>
  </si>
  <si>
    <t xml:space="preserve">C1194</t>
  </si>
  <si>
    <t xml:space="preserve">ORD10129</t>
  </si>
  <si>
    <t xml:space="preserve">ORD10748</t>
  </si>
  <si>
    <t xml:space="preserve">ORD10573</t>
  </si>
  <si>
    <t xml:space="preserve">ORD12533</t>
  </si>
  <si>
    <t xml:space="preserve">ORD12733</t>
  </si>
  <si>
    <t xml:space="preserve">ORD10876</t>
  </si>
  <si>
    <t xml:space="preserve">ORD10104</t>
  </si>
  <si>
    <t xml:space="preserve">ORD12177</t>
  </si>
  <si>
    <t xml:space="preserve">ORD10411</t>
  </si>
  <si>
    <t xml:space="preserve">24/02/2025</t>
  </si>
  <si>
    <t xml:space="preserve">ORD12051</t>
  </si>
  <si>
    <t xml:space="preserve">22/09/2025</t>
  </si>
  <si>
    <t xml:space="preserve">ORD11179</t>
  </si>
  <si>
    <t xml:space="preserve">C1129</t>
  </si>
  <si>
    <t xml:space="preserve">ORD11854</t>
  </si>
  <si>
    <t xml:space="preserve">30/08/2025</t>
  </si>
  <si>
    <t xml:space="preserve">ORD10605</t>
  </si>
  <si>
    <t xml:space="preserve">18/03/2025</t>
  </si>
  <si>
    <t xml:space="preserve">10:17</t>
  </si>
  <si>
    <t xml:space="preserve">ORD12910</t>
  </si>
  <si>
    <t xml:space="preserve">21:39</t>
  </si>
  <si>
    <t xml:space="preserve">ORD12408</t>
  </si>
  <si>
    <t xml:space="preserve">ORD12410</t>
  </si>
  <si>
    <t xml:space="preserve">C0994</t>
  </si>
  <si>
    <t xml:space="preserve">ORD11434</t>
  </si>
  <si>
    <t xml:space="preserve">ORD10385</t>
  </si>
  <si>
    <t xml:space="preserve">15:45</t>
  </si>
  <si>
    <t xml:space="preserve">ORD11919</t>
  </si>
  <si>
    <t xml:space="preserve">filter coffee &amp; tiffin</t>
  </si>
  <si>
    <t xml:space="preserve">ORD10057</t>
  </si>
  <si>
    <t xml:space="preserve">C0761</t>
  </si>
  <si>
    <t xml:space="preserve">ORD10712</t>
  </si>
  <si>
    <t xml:space="preserve">2025-03-31</t>
  </si>
  <si>
    <t xml:space="preserve">Cake Walk </t>
  </si>
  <si>
    <t xml:space="preserve">ORD10325</t>
  </si>
  <si>
    <t xml:space="preserve">C1414</t>
  </si>
  <si>
    <t xml:space="preserve">ORD10079</t>
  </si>
  <si>
    <t xml:space="preserve">12:23</t>
  </si>
  <si>
    <t xml:space="preserve">ORD10541</t>
  </si>
  <si>
    <t xml:space="preserve">ORD10356</t>
  </si>
  <si>
    <t xml:space="preserve">ORD12143</t>
  </si>
  <si>
    <t xml:space="preserve">ORD10360</t>
  </si>
  <si>
    <t xml:space="preserve">C0615</t>
  </si>
  <si>
    <t xml:space="preserve">ORD11019</t>
  </si>
  <si>
    <t xml:space="preserve">09/05/2025</t>
  </si>
  <si>
    <t xml:space="preserve">C0101</t>
  </si>
  <si>
    <t xml:space="preserve">ORD12659</t>
  </si>
  <si>
    <t xml:space="preserve">ORD13000</t>
  </si>
  <si>
    <t xml:space="preserve">C1038</t>
  </si>
  <si>
    <t xml:space="preserve">ORD10916</t>
  </si>
  <si>
    <t xml:space="preserve">25/04/2025</t>
  </si>
  <si>
    <t xml:space="preserve">C0947</t>
  </si>
  <si>
    <t xml:space="preserve">ORD10308</t>
  </si>
  <si>
    <t xml:space="preserve">10:49</t>
  </si>
  <si>
    <t xml:space="preserve">ORD11414</t>
  </si>
  <si>
    <t xml:space="preserve">ORD10814</t>
  </si>
  <si>
    <t xml:space="preserve">ORD10042</t>
  </si>
  <si>
    <t xml:space="preserve">ORD11587</t>
  </si>
  <si>
    <t xml:space="preserve">C1247</t>
  </si>
  <si>
    <t xml:space="preserve">ORD11406</t>
  </si>
  <si>
    <t xml:space="preserve">2025-07-02</t>
  </si>
  <si>
    <t xml:space="preserve">ORD10883</t>
  </si>
  <si>
    <t xml:space="preserve">ORD10699</t>
  </si>
  <si>
    <t xml:space="preserve">ORD12559</t>
  </si>
  <si>
    <t xml:space="preserve">C1197</t>
  </si>
  <si>
    <t xml:space="preserve">ORD10004</t>
  </si>
  <si>
    <t xml:space="preserve">C0089</t>
  </si>
  <si>
    <t xml:space="preserve">PAV BHAJI POINT</t>
  </si>
  <si>
    <t xml:space="preserve">ORD10216</t>
  </si>
  <si>
    <t xml:space="preserve">29/01/2025</t>
  </si>
  <si>
    <t xml:space="preserve">C1321</t>
  </si>
  <si>
    <t xml:space="preserve">ORD10977</t>
  </si>
  <si>
    <t xml:space="preserve">C0398</t>
  </si>
  <si>
    <t xml:space="preserve">ORD10099</t>
  </si>
  <si>
    <t xml:space="preserve">C0008</t>
  </si>
  <si>
    <t xml:space="preserve">ORD12991</t>
  </si>
  <si>
    <t xml:space="preserve">ORD11602</t>
  </si>
  <si>
    <t xml:space="preserve">28-Jul-2025</t>
  </si>
  <si>
    <t xml:space="preserve">14:19</t>
  </si>
  <si>
    <t xml:space="preserve">ORD12720</t>
  </si>
  <si>
    <t xml:space="preserve">ORD11371</t>
  </si>
  <si>
    <t xml:space="preserve">01:28</t>
  </si>
  <si>
    <t xml:space="preserve">C1263</t>
  </si>
  <si>
    <t xml:space="preserve">ORD12609</t>
  </si>
  <si>
    <t xml:space="preserve">19-Nov-2025</t>
  </si>
  <si>
    <t xml:space="preserve">01:04</t>
  </si>
  <si>
    <t xml:space="preserve">C1276</t>
  </si>
  <si>
    <t xml:space="preserve">ORD12521</t>
  </si>
  <si>
    <t xml:space="preserve">ORD11192</t>
  </si>
  <si>
    <t xml:space="preserve">ORD11704</t>
  </si>
  <si>
    <t xml:space="preserve">14:04</t>
  </si>
  <si>
    <t xml:space="preserve">ORD11832</t>
  </si>
  <si>
    <t xml:space="preserve">ORD11517</t>
  </si>
  <si>
    <t xml:space="preserve">ORD10701</t>
  </si>
  <si>
    <t xml:space="preserve">C0655</t>
  </si>
  <si>
    <t xml:space="preserve">ORD10456</t>
  </si>
  <si>
    <t xml:space="preserve">C0533</t>
  </si>
  <si>
    <t xml:space="preserve">ORD12412</t>
  </si>
  <si>
    <t xml:space="preserve">16:15</t>
  </si>
  <si>
    <t xml:space="preserve">ORD12261</t>
  </si>
  <si>
    <t xml:space="preserve">21:29</t>
  </si>
  <si>
    <t xml:space="preserve">ORD10522</t>
  </si>
  <si>
    <t xml:space="preserve">09-Mar-2025</t>
  </si>
  <si>
    <t xml:space="preserve">ORD11261</t>
  </si>
  <si>
    <t xml:space="preserve">ORD11973</t>
  </si>
  <si>
    <t xml:space="preserve">ORD11038</t>
  </si>
  <si>
    <t xml:space="preserve">ORD10390</t>
  </si>
  <si>
    <t xml:space="preserve">C1111</t>
  </si>
  <si>
    <t xml:space="preserve">ORD10952</t>
  </si>
  <si>
    <t xml:space="preserve">ORD11810</t>
  </si>
  <si>
    <t xml:space="preserve">C1464</t>
  </si>
  <si>
    <t xml:space="preserve">chinese</t>
  </si>
  <si>
    <t xml:space="preserve">ORD10412</t>
  </si>
  <si>
    <t xml:space="preserve">18:39</t>
  </si>
  <si>
    <t xml:space="preserve">ORD12784</t>
  </si>
  <si>
    <t xml:space="preserve">06/12/2025</t>
  </si>
  <si>
    <t xml:space="preserve">ORD12644</t>
  </si>
  <si>
    <t xml:space="preserve">ORD11302</t>
  </si>
  <si>
    <t xml:space="preserve">16/06/2025</t>
  </si>
  <si>
    <t xml:space="preserve">ORD12596</t>
  </si>
  <si>
    <t xml:space="preserve">17/11/2025</t>
  </si>
  <si>
    <t xml:space="preserve">ORD11297</t>
  </si>
  <si>
    <t xml:space="preserve">ORD11770</t>
  </si>
  <si>
    <t xml:space="preserve">C1427</t>
  </si>
  <si>
    <t xml:space="preserve">ORD11269</t>
  </si>
  <si>
    <t xml:space="preserve">ORD12372</t>
  </si>
  <si>
    <t xml:space="preserve">14:18</t>
  </si>
  <si>
    <t xml:space="preserve">C0921</t>
  </si>
  <si>
    <t xml:space="preserve">ORD12052</t>
  </si>
  <si>
    <t xml:space="preserve">17:35</t>
  </si>
  <si>
    <t xml:space="preserve">ORD12833</t>
  </si>
  <si>
    <t xml:space="preserve">C1071</t>
  </si>
  <si>
    <t xml:space="preserve">ORD11022</t>
  </si>
  <si>
    <t xml:space="preserve">ORD10502</t>
  </si>
  <si>
    <t xml:space="preserve">ORD12881</t>
  </si>
  <si>
    <t xml:space="preserve">ORD10759</t>
  </si>
  <si>
    <t xml:space="preserve">ORD12253</t>
  </si>
  <si>
    <t xml:space="preserve">22:16</t>
  </si>
  <si>
    <t xml:space="preserve">C1093</t>
  </si>
  <si>
    <t xml:space="preserve">ORD10429</t>
  </si>
  <si>
    <t xml:space="preserve">ORD11611</t>
  </si>
  <si>
    <t xml:space="preserve">ORD11318</t>
  </si>
  <si>
    <t xml:space="preserve">C0469</t>
  </si>
  <si>
    <t xml:space="preserve">ORD11137</t>
  </si>
  <si>
    <t xml:space="preserve">C1311</t>
  </si>
  <si>
    <t xml:space="preserve">ORD10074</t>
  </si>
  <si>
    <t xml:space="preserve">ORD10026</t>
  </si>
  <si>
    <t xml:space="preserve">04-Jan-2025</t>
  </si>
  <si>
    <t xml:space="preserve">C0059</t>
  </si>
  <si>
    <t xml:space="preserve">ORD11345</t>
  </si>
  <si>
    <t xml:space="preserve">C0932</t>
  </si>
  <si>
    <t xml:space="preserve">ORD11874</t>
  </si>
  <si>
    <t xml:space="preserve">ORD11127</t>
  </si>
  <si>
    <t xml:space="preserve">ORD12491</t>
  </si>
  <si>
    <t xml:space="preserve">10:44</t>
  </si>
  <si>
    <t xml:space="preserve">ORD11140</t>
  </si>
  <si>
    <t xml:space="preserve">23:29</t>
  </si>
  <si>
    <t xml:space="preserve">ORD10506</t>
  </si>
  <si>
    <t xml:space="preserve">ORD12789</t>
  </si>
  <si>
    <t xml:space="preserve">15:18</t>
  </si>
  <si>
    <t xml:space="preserve">C1378</t>
  </si>
  <si>
    <t xml:space="preserve">ORD12376</t>
  </si>
  <si>
    <t xml:space="preserve">ORD12058</t>
  </si>
  <si>
    <t xml:space="preserve">ORD12783</t>
  </si>
  <si>
    <t xml:space="preserve">ORD11789</t>
  </si>
  <si>
    <t xml:space="preserve">ORD11635</t>
  </si>
  <si>
    <t xml:space="preserve">23:22</t>
  </si>
  <si>
    <t xml:space="preserve">C1493</t>
  </si>
  <si>
    <t xml:space="preserve">ORD11121</t>
  </si>
  <si>
    <t xml:space="preserve">ORD11734</t>
  </si>
  <si>
    <t xml:space="preserve">ORD10587</t>
  </si>
  <si>
    <t xml:space="preserve">ORD11941</t>
  </si>
  <si>
    <t xml:space="preserve">C0314</t>
  </si>
  <si>
    <t xml:space="preserve">ORD10612</t>
  </si>
  <si>
    <t xml:space="preserve">C0508</t>
  </si>
  <si>
    <t xml:space="preserve">ORD11139</t>
  </si>
  <si>
    <t xml:space="preserve">ORD10426</t>
  </si>
  <si>
    <t xml:space="preserve">ORD10649</t>
  </si>
  <si>
    <t xml:space="preserve">ORD11090</t>
  </si>
  <si>
    <t xml:space="preserve">ORD12495</t>
  </si>
  <si>
    <t xml:space="preserve">09/11/2025</t>
  </si>
  <si>
    <t xml:space="preserve">ORD12025</t>
  </si>
  <si>
    <t xml:space="preserve">ORD11409</t>
  </si>
  <si>
    <t xml:space="preserve">ORD10566</t>
  </si>
  <si>
    <t xml:space="preserve">ORD11924</t>
  </si>
  <si>
    <t xml:space="preserve">ORD10886</t>
  </si>
  <si>
    <t xml:space="preserve">C0634</t>
  </si>
  <si>
    <t xml:space="preserve">ORD12951</t>
  </si>
  <si>
    <t xml:space="preserve">ORD12503</t>
  </si>
  <si>
    <t xml:space="preserve">C0915</t>
  </si>
  <si>
    <t xml:space="preserve">ORD10783</t>
  </si>
  <si>
    <t xml:space="preserve">C0472</t>
  </si>
  <si>
    <t xml:space="preserve">ORD12630</t>
  </si>
  <si>
    <t xml:space="preserve">nawabi biryani house</t>
  </si>
  <si>
    <t xml:space="preserve">ORD11981</t>
  </si>
  <si>
    <t xml:space="preserve">ORD10630</t>
  </si>
  <si>
    <t xml:space="preserve">ORD12898</t>
  </si>
  <si>
    <t xml:space="preserve">C0099</t>
  </si>
  <si>
    <t xml:space="preserve">ORD12266</t>
  </si>
  <si>
    <t xml:space="preserve">ORD10501</t>
  </si>
  <si>
    <t xml:space="preserve">C0617</t>
  </si>
  <si>
    <t xml:space="preserve">ORD12886</t>
  </si>
  <si>
    <t xml:space="preserve">C0278</t>
  </si>
  <si>
    <t xml:space="preserve">ORD12674</t>
  </si>
  <si>
    <t xml:space="preserve">2025-11-25</t>
  </si>
  <si>
    <t xml:space="preserve">ORD10409</t>
  </si>
  <si>
    <t xml:space="preserve">14:50</t>
  </si>
  <si>
    <t xml:space="preserve">C1281</t>
  </si>
  <si>
    <t xml:space="preserve">ORD11344</t>
  </si>
  <si>
    <t xml:space="preserve">22/06/2025</t>
  </si>
  <si>
    <t xml:space="preserve">ORD10165</t>
  </si>
  <si>
    <t xml:space="preserve">ORD12850</t>
  </si>
  <si>
    <t xml:space="preserve">C0445</t>
  </si>
  <si>
    <t xml:space="preserve">ORD10244</t>
  </si>
  <si>
    <t xml:space="preserve">C0045</t>
  </si>
  <si>
    <t xml:space="preserve">ORD12878</t>
  </si>
  <si>
    <t xml:space="preserve">C1025</t>
  </si>
  <si>
    <t xml:space="preserve">ORD12847</t>
  </si>
  <si>
    <t xml:space="preserve">ORD11523</t>
  </si>
  <si>
    <t xml:space="preserve">ORD10379</t>
  </si>
  <si>
    <t xml:space="preserve">21:47</t>
  </si>
  <si>
    <t xml:space="preserve">C0561</t>
  </si>
  <si>
    <t xml:space="preserve">ORD11088</t>
  </si>
  <si>
    <t xml:space="preserve">15:31</t>
  </si>
  <si>
    <t xml:space="preserve">C1141</t>
  </si>
  <si>
    <t xml:space="preserve">ORD12421</t>
  </si>
  <si>
    <t xml:space="preserve">C0520</t>
  </si>
  <si>
    <t xml:space="preserve">ORD10295</t>
  </si>
  <si>
    <t xml:space="preserve">C0063</t>
  </si>
  <si>
    <t xml:space="preserve">ORD11976</t>
  </si>
  <si>
    <t xml:space="preserve">12:19</t>
  </si>
  <si>
    <t xml:space="preserve">ORD11947</t>
  </si>
  <si>
    <t xml:space="preserve">ORD12200</t>
  </si>
  <si>
    <t xml:space="preserve">C1081</t>
  </si>
  <si>
    <t xml:space="preserve">ORD12925</t>
  </si>
  <si>
    <t xml:space="preserve">ORD11696</t>
  </si>
  <si>
    <t xml:space="preserve">2025-08-10</t>
  </si>
  <si>
    <t xml:space="preserve">C0372</t>
  </si>
  <si>
    <t xml:space="preserve">ORD10316</t>
  </si>
  <si>
    <t xml:space="preserve">11/02/2025</t>
  </si>
  <si>
    <t xml:space="preserve">C1303</t>
  </si>
  <si>
    <t xml:space="preserve">ORD10529</t>
  </si>
  <si>
    <t xml:space="preserve">ORD12981</t>
  </si>
  <si>
    <t xml:space="preserve">C1020</t>
  </si>
  <si>
    <t xml:space="preserve">ORD11178</t>
  </si>
  <si>
    <t xml:space="preserve">09:19</t>
  </si>
  <si>
    <t xml:space="preserve">ORD10190</t>
  </si>
  <si>
    <t xml:space="preserve">C0567</t>
  </si>
  <si>
    <t xml:space="preserve">ORD10028</t>
  </si>
  <si>
    <t xml:space="preserve">ORD12097</t>
  </si>
  <si>
    <t xml:space="preserve">ORD10275</t>
  </si>
  <si>
    <t xml:space="preserve">ORD12569</t>
  </si>
  <si>
    <t xml:space="preserve">C0678</t>
  </si>
  <si>
    <t xml:space="preserve">ORD11075</t>
  </si>
  <si>
    <t xml:space="preserve">16/05/2025</t>
  </si>
  <si>
    <t xml:space="preserve">C1130</t>
  </si>
  <si>
    <t xml:space="preserve">ORD12555</t>
  </si>
  <si>
    <t xml:space="preserve">C0814</t>
  </si>
  <si>
    <t xml:space="preserve">ORD12655</t>
  </si>
  <si>
    <t xml:space="preserve">23-Nov-2025</t>
  </si>
  <si>
    <t xml:space="preserve">ORD12922</t>
  </si>
  <si>
    <t xml:space="preserve">01:19</t>
  </si>
  <si>
    <t xml:space="preserve">ORD12500</t>
  </si>
  <si>
    <t xml:space="preserve">C0177</t>
  </si>
  <si>
    <t xml:space="preserve">ORD12689</t>
  </si>
  <si>
    <t xml:space="preserve">27-Nov-2025</t>
  </si>
  <si>
    <t xml:space="preserve">ORD11335</t>
  </si>
  <si>
    <t xml:space="preserve">ORD12208</t>
  </si>
  <si>
    <t xml:space="preserve">15:39</t>
  </si>
  <si>
    <t xml:space="preserve">C0772</t>
  </si>
  <si>
    <t xml:space="preserve">ORD12359</t>
  </si>
  <si>
    <t xml:space="preserve">ORD10586</t>
  </si>
  <si>
    <t xml:space="preserve">ORD10838</t>
  </si>
  <si>
    <t xml:space="preserve">ORD10711</t>
  </si>
  <si>
    <t xml:space="preserve">16:49</t>
  </si>
  <si>
    <t xml:space="preserve">ORD12297</t>
  </si>
  <si>
    <t xml:space="preserve">C0005</t>
  </si>
  <si>
    <t xml:space="preserve">ORD12726</t>
  </si>
  <si>
    <t xml:space="preserve">ORD11251</t>
  </si>
  <si>
    <t xml:space="preserve">pav bhaji point</t>
  </si>
  <si>
    <t xml:space="preserve">ORD12597</t>
  </si>
  <si>
    <t xml:space="preserve">ORD11438</t>
  </si>
  <si>
    <t xml:space="preserve">18:50</t>
  </si>
  <si>
    <t xml:space="preserve">street food</t>
  </si>
  <si>
    <t xml:space="preserve">ORD11802</t>
  </si>
  <si>
    <t xml:space="preserve">23/08/2025</t>
  </si>
  <si>
    <t xml:space="preserve">ORD11554</t>
  </si>
  <si>
    <t xml:space="preserve">ORD10817</t>
  </si>
  <si>
    <t xml:space="preserve">ORD12994</t>
  </si>
  <si>
    <t xml:space="preserve">23:45</t>
  </si>
  <si>
    <t xml:space="preserve">C1080</t>
  </si>
  <si>
    <t xml:space="preserve">ORD11940</t>
  </si>
  <si>
    <t xml:space="preserve">ORD10958</t>
  </si>
  <si>
    <t xml:space="preserve">ORD10303</t>
  </si>
  <si>
    <t xml:space="preserve">ORD10572</t>
  </si>
  <si>
    <t xml:space="preserve">ORD12844</t>
  </si>
  <si>
    <t xml:space="preserve">ORD12004</t>
  </si>
  <si>
    <t xml:space="preserve">C1182</t>
  </si>
  <si>
    <t xml:space="preserve">ORD10631</t>
  </si>
  <si>
    <t xml:space="preserve">16:11</t>
  </si>
  <si>
    <t xml:space="preserve">C0106</t>
  </si>
  <si>
    <t xml:space="preserve">ORD11512</t>
  </si>
  <si>
    <t xml:space="preserve">ORD12995</t>
  </si>
  <si>
    <t xml:space="preserve">ORD12944</t>
  </si>
  <si>
    <t xml:space="preserve">25/12/2025</t>
  </si>
  <si>
    <t xml:space="preserve">ORD11975</t>
  </si>
  <si>
    <t xml:space="preserve">C0064</t>
  </si>
  <si>
    <t xml:space="preserve">ORD11064</t>
  </si>
  <si>
    <t xml:space="preserve">10:55</t>
  </si>
  <si>
    <t xml:space="preserve">ORD11853</t>
  </si>
  <si>
    <t xml:space="preserve">2025-08-30</t>
  </si>
  <si>
    <t xml:space="preserve">C0683</t>
  </si>
  <si>
    <t xml:space="preserve">ORD12818</t>
  </si>
  <si>
    <t xml:space="preserve">ORD12213</t>
  </si>
  <si>
    <t xml:space="preserve">09:07</t>
  </si>
  <si>
    <t xml:space="preserve">C1275</t>
  </si>
  <si>
    <t xml:space="preserve">Filter Coffee &amp; Tiffin </t>
  </si>
  <si>
    <t xml:space="preserve">ORD12713</t>
  </si>
  <si>
    <t xml:space="preserve">C0356</t>
  </si>
  <si>
    <t xml:space="preserve">ORD12650</t>
  </si>
  <si>
    <t xml:space="preserve">ORD12228</t>
  </si>
  <si>
    <t xml:space="preserve">2025-10-10</t>
  </si>
  <si>
    <t xml:space="preserve">C0861</t>
  </si>
  <si>
    <t xml:space="preserve">ORD12848</t>
  </si>
  <si>
    <t xml:space="preserve">C0079</t>
  </si>
  <si>
    <t xml:space="preserve">ORD10924</t>
  </si>
  <si>
    <t xml:space="preserve">ORD10723</t>
  </si>
  <si>
    <t xml:space="preserve">16:31</t>
  </si>
  <si>
    <t xml:space="preserve">ORD10060</t>
  </si>
  <si>
    <t xml:space="preserve">15:08</t>
  </si>
  <si>
    <t xml:space="preserve">ORD12246</t>
  </si>
  <si>
    <t xml:space="preserve">ORD12448</t>
  </si>
  <si>
    <t xml:space="preserve">C1260</t>
  </si>
  <si>
    <t xml:space="preserve">ORD11865</t>
  </si>
  <si>
    <t xml:space="preserve">ORD10024</t>
  </si>
  <si>
    <t xml:space="preserve">16:36</t>
  </si>
  <si>
    <t xml:space="preserve">ORD10578</t>
  </si>
  <si>
    <t xml:space="preserve">C0131</t>
  </si>
  <si>
    <t xml:space="preserve">ORD10684</t>
  </si>
  <si>
    <t xml:space="preserve">C0700</t>
  </si>
  <si>
    <t xml:space="preserve">ORD12190</t>
  </si>
  <si>
    <t xml:space="preserve">C1292</t>
  </si>
  <si>
    <t xml:space="preserve">ORD11016</t>
  </si>
  <si>
    <t xml:space="preserve">16:33</t>
  </si>
  <si>
    <t xml:space="preserve">ORD10347</t>
  </si>
  <si>
    <t xml:space="preserve">ORD12284</t>
  </si>
  <si>
    <t xml:space="preserve">16-Oct-2025</t>
  </si>
  <si>
    <t xml:space="preserve">C0799</t>
  </si>
  <si>
    <t xml:space="preserve">ORD11668</t>
  </si>
  <si>
    <t xml:space="preserve">ORD11556</t>
  </si>
  <si>
    <t xml:space="preserve">2025-07-22</t>
  </si>
  <si>
    <t xml:space="preserve">ORD10009</t>
  </si>
  <si>
    <t xml:space="preserve">12:37</t>
  </si>
  <si>
    <t xml:space="preserve">ORD12965</t>
  </si>
  <si>
    <t xml:space="preserve">ORD10229</t>
  </si>
  <si>
    <t xml:space="preserve">ORD10490</t>
  </si>
  <si>
    <t xml:space="preserve">ORD12591</t>
  </si>
  <si>
    <t xml:space="preserve">C0886</t>
  </si>
  <si>
    <t xml:space="preserve">ORD11666</t>
  </si>
  <si>
    <t xml:space="preserve">C0630</t>
  </si>
  <si>
    <t xml:space="preserve">ORD10830</t>
  </si>
  <si>
    <t xml:space="preserve">08:24</t>
  </si>
  <si>
    <t xml:space="preserve">C0890</t>
  </si>
  <si>
    <t xml:space="preserve">ORD10386</t>
  </si>
  <si>
    <t xml:space="preserve">ORD11735</t>
  </si>
  <si>
    <t xml:space="preserve">ORD10450</t>
  </si>
  <si>
    <t xml:space="preserve">C0722</t>
  </si>
  <si>
    <t xml:space="preserve">ORD12511</t>
  </si>
  <si>
    <t xml:space="preserve">ORD10016</t>
  </si>
  <si>
    <t xml:space="preserve">ORD11115</t>
  </si>
  <si>
    <t xml:space="preserve">22/05/2025</t>
  </si>
  <si>
    <t xml:space="preserve">16:45</t>
  </si>
  <si>
    <t xml:space="preserve">ORD12861</t>
  </si>
  <si>
    <t xml:space="preserve">ORD11389</t>
  </si>
  <si>
    <t xml:space="preserve">ORD12468</t>
  </si>
  <si>
    <t xml:space="preserve">Pizza  Palace</t>
  </si>
  <si>
    <t xml:space="preserve">ORD11589</t>
  </si>
  <si>
    <t xml:space="preserve">ORD10824</t>
  </si>
  <si>
    <t xml:space="preserve">14/04/2025</t>
  </si>
  <si>
    <t xml:space="preserve">21:19</t>
  </si>
  <si>
    <t xml:space="preserve">ORD12166</t>
  </si>
  <si>
    <t xml:space="preserve">21:49</t>
  </si>
  <si>
    <t xml:space="preserve">ORD12785</t>
  </si>
  <si>
    <t xml:space="preserve">C0120</t>
  </si>
  <si>
    <t xml:space="preserve">ORD11227</t>
  </si>
  <si>
    <t xml:space="preserve">ORD11954</t>
  </si>
  <si>
    <t xml:space="preserve">21:18</t>
  </si>
  <si>
    <t xml:space="preserve">C1481</t>
  </si>
  <si>
    <t xml:space="preserve">ORD12677</t>
  </si>
  <si>
    <t xml:space="preserve">ORD11996</t>
  </si>
  <si>
    <t xml:space="preserve">14:16</t>
  </si>
  <si>
    <t xml:space="preserve">ORD11232</t>
  </si>
  <si>
    <t xml:space="preserve">C0882</t>
  </si>
  <si>
    <t xml:space="preserve">ORD11821</t>
  </si>
  <si>
    <t xml:space="preserve">ORD11010</t>
  </si>
  <si>
    <t xml:space="preserve">ORD12073</t>
  </si>
  <si>
    <t xml:space="preserve">C0338</t>
  </si>
  <si>
    <t xml:space="preserve">ORD12558</t>
  </si>
  <si>
    <t xml:space="preserve">C0789</t>
  </si>
  <si>
    <t xml:space="preserve">ORD12803</t>
  </si>
  <si>
    <t xml:space="preserve">09/12/2025</t>
  </si>
  <si>
    <t xml:space="preserve">ORD12443</t>
  </si>
  <si>
    <t xml:space="preserve">ORD11107</t>
  </si>
  <si>
    <t xml:space="preserve">ORD10498</t>
  </si>
  <si>
    <t xml:space="preserve">ORD10353</t>
  </si>
  <si>
    <t xml:space="preserve">ORD11930</t>
  </si>
  <si>
    <t xml:space="preserve">ORD10443</t>
  </si>
  <si>
    <t xml:space="preserve">ORD10002</t>
  </si>
  <si>
    <t xml:space="preserve">ORD10286</t>
  </si>
  <si>
    <t xml:space="preserve">C1216</t>
  </si>
  <si>
    <t xml:space="preserve">ORD11561</t>
  </si>
  <si>
    <t xml:space="preserve">23:12</t>
  </si>
  <si>
    <t xml:space="preserve">ORD11647</t>
  </si>
  <si>
    <t xml:space="preserve">C1468</t>
  </si>
  <si>
    <t xml:space="preserve">ORD10784</t>
  </si>
  <si>
    <t xml:space="preserve">09/04/2025</t>
  </si>
  <si>
    <t xml:space="preserve">C0612</t>
  </si>
  <si>
    <t xml:space="preserve">ORD10861</t>
  </si>
  <si>
    <t xml:space="preserve">ORD12499</t>
  </si>
  <si>
    <t xml:space="preserve">ORD12687</t>
  </si>
  <si>
    <t xml:space="preserve">16:19</t>
  </si>
  <si>
    <t xml:space="preserve">C0864</t>
  </si>
  <si>
    <t xml:space="preserve">ORD10349</t>
  </si>
  <si>
    <t xml:space="preserve">ORD10069</t>
  </si>
  <si>
    <t xml:space="preserve">10/01/2025</t>
  </si>
  <si>
    <t xml:space="preserve">ORD10404</t>
  </si>
  <si>
    <t xml:space="preserve">2025-02-23</t>
  </si>
  <si>
    <t xml:space="preserve">14:24</t>
  </si>
  <si>
    <t xml:space="preserve">ORD12374</t>
  </si>
  <si>
    <t xml:space="preserve">C0593</t>
  </si>
  <si>
    <t xml:space="preserve">ORD10755</t>
  </si>
  <si>
    <t xml:space="preserve">ORD10798</t>
  </si>
  <si>
    <t xml:space="preserve">C0276</t>
  </si>
  <si>
    <t xml:space="preserve">ORD11051</t>
  </si>
  <si>
    <t xml:space="preserve">00:28</t>
  </si>
  <si>
    <t xml:space="preserve">C1492</t>
  </si>
  <si>
    <t xml:space="preserve">ORD12452</t>
  </si>
  <si>
    <t xml:space="preserve">ORD10178</t>
  </si>
  <si>
    <t xml:space="preserve">24/01/2025</t>
  </si>
  <si>
    <t xml:space="preserve">C0986</t>
  </si>
  <si>
    <t xml:space="preserve">ORD10954</t>
  </si>
  <si>
    <t xml:space="preserve">00:21</t>
  </si>
  <si>
    <t xml:space="preserve">C0424</t>
  </si>
  <si>
    <t xml:space="preserve">ORD11381</t>
  </si>
  <si>
    <t xml:space="preserve">C1074</t>
  </si>
  <si>
    <t xml:space="preserve">ORD12100</t>
  </si>
  <si>
    <t xml:space="preserve">ORD12479</t>
  </si>
  <si>
    <t xml:space="preserve">2025-11-07</t>
  </si>
  <si>
    <t xml:space="preserve">ORD12120</t>
  </si>
  <si>
    <t xml:space="preserve">ORD11894</t>
  </si>
  <si>
    <t xml:space="preserve">ORD10253</t>
  </si>
  <si>
    <t xml:space="preserve">15:44</t>
  </si>
  <si>
    <t xml:space="preserve">C0791</t>
  </si>
  <si>
    <t xml:space="preserve">ORD12514</t>
  </si>
  <si>
    <t xml:space="preserve">C0925</t>
  </si>
  <si>
    <t xml:space="preserve">ORD11439</t>
  </si>
  <si>
    <t xml:space="preserve">ORD10559</t>
  </si>
  <si>
    <t xml:space="preserve">13:53</t>
  </si>
  <si>
    <t xml:space="preserve">C0755</t>
  </si>
  <si>
    <t xml:space="preserve">ORD11578</t>
  </si>
  <si>
    <t xml:space="preserve">C0272</t>
  </si>
  <si>
    <t xml:space="preserve">ORD12983</t>
  </si>
  <si>
    <t xml:space="preserve">29/12/2025</t>
  </si>
  <si>
    <t xml:space="preserve">21:11</t>
  </si>
  <si>
    <t xml:space="preserve">C0369</t>
  </si>
  <si>
    <t xml:space="preserve">ORD10194</t>
  </si>
  <si>
    <t xml:space="preserve">ORD12928</t>
  </si>
  <si>
    <t xml:space="preserve">ORD11508</t>
  </si>
  <si>
    <t xml:space="preserve">C1091</t>
  </si>
  <si>
    <t xml:space="preserve">ORD12947</t>
  </si>
  <si>
    <t xml:space="preserve">ORD12646</t>
  </si>
  <si>
    <t xml:space="preserve">ORD10245</t>
  </si>
  <si>
    <t xml:space="preserve">ORD10446</t>
  </si>
  <si>
    <t xml:space="preserve">ORD10477</t>
  </si>
  <si>
    <t xml:space="preserve">04-Mar-2025</t>
  </si>
  <si>
    <t xml:space="preserve">C0269</t>
  </si>
  <si>
    <t xml:space="preserve">ORD10539</t>
  </si>
  <si>
    <t xml:space="preserve">10-Mar-2025</t>
  </si>
  <si>
    <t xml:space="preserve">ORD11331</t>
  </si>
  <si>
    <t xml:space="preserve">ORD10256</t>
  </si>
  <si>
    <t xml:space="preserve">2025-02-03</t>
  </si>
  <si>
    <t xml:space="preserve">ORD10452</t>
  </si>
  <si>
    <t xml:space="preserve">ORD12796</t>
  </si>
  <si>
    <t xml:space="preserve">23:21</t>
  </si>
  <si>
    <t xml:space="preserve">ORD11489</t>
  </si>
  <si>
    <t xml:space="preserve">ORD11745</t>
  </si>
  <si>
    <t xml:space="preserve">ORD12379</t>
  </si>
  <si>
    <t xml:space="preserve">ORD11912</t>
  </si>
  <si>
    <t xml:space="preserve">ORD12870</t>
  </si>
  <si>
    <t xml:space="preserve">C0329</t>
  </si>
  <si>
    <t xml:space="preserve">ORD12520</t>
  </si>
  <si>
    <t xml:space="preserve">08:42</t>
  </si>
  <si>
    <t xml:space="preserve">chettinad house</t>
  </si>
  <si>
    <t xml:space="preserve">ORD12368</t>
  </si>
  <si>
    <t xml:space="preserve">ORD12909</t>
  </si>
  <si>
    <t xml:space="preserve">ORD10949</t>
  </si>
  <si>
    <t xml:space="preserve">30-Apr-2025</t>
  </si>
  <si>
    <t xml:space="preserve">C0466</t>
  </si>
  <si>
    <t xml:space="preserve">ORD10511</t>
  </si>
  <si>
    <t xml:space="preserve"> Wok &amp; Roll</t>
  </si>
  <si>
    <t xml:space="preserve">ORD11394</t>
  </si>
  <si>
    <t xml:space="preserve">C0342</t>
  </si>
  <si>
    <t xml:space="preserve">ORD11509</t>
  </si>
  <si>
    <t xml:space="preserve">11:28</t>
  </si>
  <si>
    <t xml:space="preserve">ORD12538</t>
  </si>
  <si>
    <t xml:space="preserve">13/11/2025</t>
  </si>
  <si>
    <t xml:space="preserve">15:01</t>
  </si>
  <si>
    <t xml:space="preserve">ORD12289</t>
  </si>
  <si>
    <t xml:space="preserve">C0576</t>
  </si>
  <si>
    <t xml:space="preserve">ORD11332</t>
  </si>
  <si>
    <t xml:space="preserve">C0251</t>
  </si>
  <si>
    <t xml:space="preserve">ORD11310</t>
  </si>
  <si>
    <t xml:space="preserve">C0134</t>
  </si>
  <si>
    <t xml:space="preserve">ORD11877</t>
  </si>
  <si>
    <t xml:space="preserve">21:12</t>
  </si>
  <si>
    <t xml:space="preserve">ORD11911</t>
  </si>
  <si>
    <t xml:space="preserve">ORD12662</t>
  </si>
  <si>
    <t xml:space="preserve">ORD12465</t>
  </si>
  <si>
    <t xml:space="preserve">06-Nov-2025</t>
  </si>
  <si>
    <t xml:space="preserve">ORD12727</t>
  </si>
  <si>
    <t xml:space="preserve">08:37</t>
  </si>
  <si>
    <t xml:space="preserve">ORD12324</t>
  </si>
  <si>
    <t xml:space="preserve">14:53</t>
  </si>
  <si>
    <t xml:space="preserve">ORD12462</t>
  </si>
  <si>
    <t xml:space="preserve">C0261</t>
  </si>
  <si>
    <t xml:space="preserve">ORD12420</t>
  </si>
  <si>
    <t xml:space="preserve">01/11/2025</t>
  </si>
  <si>
    <t xml:space="preserve">ORD10622</t>
  </si>
  <si>
    <t xml:space="preserve">FILTER COFFEE &amp; TIFFIN</t>
  </si>
  <si>
    <t xml:space="preserve">ORD11511</t>
  </si>
  <si>
    <t xml:space="preserve">ORD12656</t>
  </si>
  <si>
    <t xml:space="preserve">C1086</t>
  </si>
  <si>
    <t xml:space="preserve">ORD11672</t>
  </si>
  <si>
    <t xml:space="preserve">ORD11701</t>
  </si>
  <si>
    <t xml:space="preserve">ORD12286</t>
  </si>
  <si>
    <t xml:space="preserve">14:29</t>
  </si>
  <si>
    <t xml:space="preserve">ORD11201</t>
  </si>
  <si>
    <t xml:space="preserve">ORD12717</t>
  </si>
  <si>
    <t xml:space="preserve">C1232</t>
  </si>
  <si>
    <t xml:space="preserve">ORD10664</t>
  </si>
  <si>
    <t xml:space="preserve">26/03/2025</t>
  </si>
  <si>
    <t xml:space="preserve">ORD10775</t>
  </si>
  <si>
    <t xml:space="preserve">ORD10574</t>
  </si>
  <si>
    <t xml:space="preserve">14/03/2025</t>
  </si>
  <si>
    <t xml:space="preserve">ORD11950</t>
  </si>
  <si>
    <t xml:space="preserve">10/09/2025</t>
  </si>
  <si>
    <t xml:space="preserve">ORD12358</t>
  </si>
  <si>
    <t xml:space="preserve">C0611</t>
  </si>
  <si>
    <t xml:space="preserve">ORD11848</t>
  </si>
  <si>
    <t xml:space="preserve">ORD12645</t>
  </si>
  <si>
    <t xml:space="preserve">C0224</t>
  </si>
  <si>
    <t xml:space="preserve">ORD11938</t>
  </si>
  <si>
    <t xml:space="preserve">C0579</t>
  </si>
  <si>
    <t xml:space="preserve">ORD11122</t>
  </si>
  <si>
    <t xml:space="preserve">C0473</t>
  </si>
  <si>
    <t xml:space="preserve">ORD10551</t>
  </si>
  <si>
    <t xml:space="preserve">ORD12553</t>
  </si>
  <si>
    <t xml:space="preserve">ORD12020</t>
  </si>
  <si>
    <t xml:space="preserve">ORD10140</t>
  </si>
  <si>
    <t xml:space="preserve">18/01/2025</t>
  </si>
  <si>
    <t xml:space="preserve">22:44</t>
  </si>
  <si>
    <t xml:space="preserve">ORD12057</t>
  </si>
  <si>
    <t xml:space="preserve">C0970</t>
  </si>
  <si>
    <t xml:space="preserve">ORD10259</t>
  </si>
  <si>
    <t xml:space="preserve">04/02/2025</t>
  </si>
  <si>
    <t xml:space="preserve">ORD10617</t>
  </si>
  <si>
    <t xml:space="preserve">ORD11812</t>
  </si>
  <si>
    <t xml:space="preserve">ORD11798</t>
  </si>
  <si>
    <t xml:space="preserve">C0142</t>
  </si>
  <si>
    <t xml:space="preserve">ORD12145</t>
  </si>
  <si>
    <t xml:space="preserve">02/10/2025</t>
  </si>
  <si>
    <t xml:space="preserve">08:13</t>
  </si>
  <si>
    <t xml:space="preserve">C1396</t>
  </si>
  <si>
    <t xml:space="preserve">ORD12132</t>
  </si>
  <si>
    <t xml:space="preserve">09:55</t>
  </si>
  <si>
    <t xml:space="preserve">ORD10726</t>
  </si>
  <si>
    <t xml:space="preserve">02/04/2025</t>
  </si>
  <si>
    <t xml:space="preserve">C1353</t>
  </si>
  <si>
    <t xml:space="preserve">ORD11637</t>
  </si>
  <si>
    <t xml:space="preserve">02/08/2025</t>
  </si>
  <si>
    <t xml:space="preserve">ORD12798</t>
  </si>
  <si>
    <t xml:space="preserve">ORD10678</t>
  </si>
  <si>
    <t xml:space="preserve">ORD11153</t>
  </si>
  <si>
    <t xml:space="preserve">15:20</t>
  </si>
  <si>
    <t xml:space="preserve">C0811</t>
  </si>
  <si>
    <t xml:space="preserve">ORD11917</t>
  </si>
  <si>
    <t xml:space="preserve">ORD10056</t>
  </si>
  <si>
    <t xml:space="preserve">23:31</t>
  </si>
  <si>
    <t xml:space="preserve">ORD12029</t>
  </si>
  <si>
    <t xml:space="preserve">ORD12857</t>
  </si>
  <si>
    <t xml:space="preserve">12:41</t>
  </si>
  <si>
    <t xml:space="preserve">C0795</t>
  </si>
  <si>
    <t xml:space="preserve">ORD11412</t>
  </si>
  <si>
    <t xml:space="preserve">03-Jul-2025</t>
  </si>
  <si>
    <t xml:space="preserve">ORD12243</t>
  </si>
  <si>
    <t xml:space="preserve">C0526</t>
  </si>
  <si>
    <t xml:space="preserve">ORD11289</t>
  </si>
  <si>
    <t xml:space="preserve">ORD10167</t>
  </si>
  <si>
    <t xml:space="preserve">C1474</t>
  </si>
  <si>
    <t xml:space="preserve">ORD12897</t>
  </si>
  <si>
    <t xml:space="preserve">ORD10873</t>
  </si>
  <si>
    <t xml:space="preserve">ORD11362</t>
  </si>
  <si>
    <t xml:space="preserve">ORD10888</t>
  </si>
  <si>
    <t xml:space="preserve">ORD10889</t>
  </si>
  <si>
    <t xml:space="preserve">ORD12391</t>
  </si>
  <si>
    <t xml:space="preserve">21:17</t>
  </si>
  <si>
    <t xml:space="preserve">ORD12438</t>
  </si>
  <si>
    <t xml:space="preserve">C0068</t>
  </si>
  <si>
    <t xml:space="preserve">ORD12907</t>
  </si>
  <si>
    <t xml:space="preserve">C0694</t>
  </si>
  <si>
    <t xml:space="preserve">ORD10499</t>
  </si>
  <si>
    <t xml:space="preserve">ORD10715</t>
  </si>
  <si>
    <t xml:space="preserve">C1355</t>
  </si>
  <si>
    <t xml:space="preserve">ORD12750</t>
  </si>
  <si>
    <t xml:space="preserve">18:45</t>
  </si>
  <si>
    <t xml:space="preserve">C0924</t>
  </si>
  <si>
    <t xml:space="preserve">ORD11057</t>
  </si>
  <si>
    <t xml:space="preserve">C1107</t>
  </si>
  <si>
    <t xml:space="preserve">ORD12763</t>
  </si>
  <si>
    <t xml:space="preserve">ORD10365</t>
  </si>
  <si>
    <t xml:space="preserve">ORD12178</t>
  </si>
  <si>
    <t xml:space="preserve">ORD12330</t>
  </si>
  <si>
    <t xml:space="preserve">ORD11728</t>
  </si>
  <si>
    <t xml:space="preserve">C0336</t>
  </si>
  <si>
    <t xml:space="preserve">ORD11173</t>
  </si>
  <si>
    <t xml:space="preserve">C0908</t>
  </si>
  <si>
    <t xml:space="preserve">ORD12049</t>
  </si>
  <si>
    <t xml:space="preserve">ORD10801</t>
  </si>
  <si>
    <t xml:space="preserve">ORD10618</t>
  </si>
  <si>
    <t xml:space="preserve">ORD12034</t>
  </si>
  <si>
    <t xml:space="preserve">20/09/2025</t>
  </si>
  <si>
    <t xml:space="preserve">C0954</t>
  </si>
  <si>
    <t xml:space="preserve">ORD10601</t>
  </si>
  <si>
    <t xml:space="preserve">C0956</t>
  </si>
  <si>
    <t xml:space="preserve">ORD10124</t>
  </si>
  <si>
    <t xml:space="preserve">C1359</t>
  </si>
  <si>
    <t xml:space="preserve">ORD11598</t>
  </si>
  <si>
    <t xml:space="preserve">C1171</t>
  </si>
  <si>
    <t xml:space="preserve">ORD10335</t>
  </si>
  <si>
    <t xml:space="preserve">13-Feb-2025</t>
  </si>
  <si>
    <t xml:space="preserve">C0794</t>
  </si>
  <si>
    <t xml:space="preserve">ORD11858</t>
  </si>
  <si>
    <t xml:space="preserve">ORD12294</t>
  </si>
  <si>
    <t xml:space="preserve">ORD10305</t>
  </si>
  <si>
    <t xml:space="preserve">09:29</t>
  </si>
  <si>
    <t xml:space="preserve">00:07</t>
  </si>
  <si>
    <t xml:space="preserve">ORD10981</t>
  </si>
  <si>
    <t xml:space="preserve">ORD11689</t>
  </si>
  <si>
    <t xml:space="preserve">ORD12692</t>
  </si>
  <si>
    <t xml:space="preserve">01:48</t>
  </si>
  <si>
    <t xml:space="preserve">C0235</t>
  </si>
  <si>
    <t xml:space="preserve">ORD12126</t>
  </si>
  <si>
    <t xml:space="preserve">ORD10919</t>
  </si>
  <si>
    <t xml:space="preserve">2025-04-26</t>
  </si>
  <si>
    <t xml:space="preserve">08:52</t>
  </si>
  <si>
    <t xml:space="preserve">C0891</t>
  </si>
  <si>
    <t xml:space="preserve">ORD11080</t>
  </si>
  <si>
    <t xml:space="preserve">ORD12669</t>
  </si>
  <si>
    <t xml:space="preserve">C0529</t>
  </si>
  <si>
    <t xml:space="preserve">ORD10582</t>
  </si>
  <si>
    <t xml:space="preserve">C1329</t>
  </si>
  <si>
    <t xml:space="preserve">ORD12804</t>
  </si>
  <si>
    <t xml:space="preserve">C1231</t>
  </si>
  <si>
    <t xml:space="preserve">ORD11617</t>
  </si>
  <si>
    <t xml:space="preserve">ORD11275</t>
  </si>
  <si>
    <t xml:space="preserve">21:50</t>
  </si>
  <si>
    <t xml:space="preserve">ORD11285</t>
  </si>
  <si>
    <t xml:space="preserve">C1444</t>
  </si>
  <si>
    <t xml:space="preserve">ORD11195</t>
  </si>
  <si>
    <t xml:space="preserve">ORD10829</t>
  </si>
  <si>
    <t xml:space="preserve">2025-04-15</t>
  </si>
  <si>
    <t xml:space="preserve">ORD10992</t>
  </si>
  <si>
    <t xml:space="preserve">ORD11198</t>
  </si>
  <si>
    <t xml:space="preserve">ORD11196</t>
  </si>
  <si>
    <t xml:space="preserve">C0549</t>
  </si>
  <si>
    <t xml:space="preserve">ORD11825</t>
  </si>
  <si>
    <t xml:space="preserve">16:44</t>
  </si>
  <si>
    <t xml:space="preserve">ORD11880</t>
  </si>
  <si>
    <t xml:space="preserve">ORD11862</t>
  </si>
  <si>
    <t xml:space="preserve">ORD11351</t>
  </si>
  <si>
    <t xml:space="preserve">ORD11528</t>
  </si>
  <si>
    <t xml:space="preserve">ORD11559</t>
  </si>
  <si>
    <t xml:space="preserve">ORD12418</t>
  </si>
  <si>
    <t xml:space="preserve">09:44</t>
  </si>
  <si>
    <t xml:space="preserve">C1221</t>
  </si>
  <si>
    <t xml:space="preserve">ORD12409</t>
  </si>
  <si>
    <t xml:space="preserve">ORD10410</t>
  </si>
  <si>
    <t xml:space="preserve">ORD10676</t>
  </si>
  <si>
    <t xml:space="preserve">ORD10298</t>
  </si>
  <si>
    <t xml:space="preserve">ORD10926</t>
  </si>
  <si>
    <t xml:space="preserve">C0959</t>
  </si>
  <si>
    <t xml:space="preserve">ORD10023</t>
  </si>
  <si>
    <t xml:space="preserve">C1300</t>
  </si>
  <si>
    <t xml:space="preserve">ORD12074</t>
  </si>
  <si>
    <t xml:space="preserve">ORD12012</t>
  </si>
  <si>
    <t xml:space="preserve">18/09/2025</t>
  </si>
  <si>
    <t xml:space="preserve">ORD10729</t>
  </si>
  <si>
    <t xml:space="preserve">03-Apr-2025</t>
  </si>
  <si>
    <t xml:space="preserve">16:34</t>
  </si>
  <si>
    <t xml:space="preserve">C1358</t>
  </si>
  <si>
    <t xml:space="preserve">ORD11622</t>
  </si>
  <si>
    <t xml:space="preserve">ORD11347</t>
  </si>
  <si>
    <t xml:space="preserve">ORD11308</t>
  </si>
  <si>
    <t xml:space="preserve">18/06/2025</t>
  </si>
  <si>
    <t xml:space="preserve">C0714</t>
  </si>
  <si>
    <t xml:space="preserve">ORD10894</t>
  </si>
  <si>
    <t xml:space="preserve"> Chaat Corner</t>
  </si>
  <si>
    <t xml:space="preserve">ORD10672</t>
  </si>
  <si>
    <t xml:space="preserve">01:58</t>
  </si>
  <si>
    <t xml:space="preserve">ORD11673</t>
  </si>
  <si>
    <t xml:space="preserve">C0242</t>
  </si>
  <si>
    <t xml:space="preserve">ORD11200</t>
  </si>
  <si>
    <t xml:space="preserve">ORD10182</t>
  </si>
  <si>
    <t xml:space="preserve">C0557</t>
  </si>
  <si>
    <t xml:space="preserve">ORD11750</t>
  </si>
  <si>
    <t xml:space="preserve">ORD12955</t>
  </si>
  <si>
    <t xml:space="preserve">ORD10294</t>
  </si>
  <si>
    <t xml:space="preserve">ORD10202</t>
  </si>
  <si>
    <t xml:space="preserve">09:43</t>
  </si>
  <si>
    <t xml:space="preserve">ORD12815</t>
  </si>
  <si>
    <t xml:space="preserve">C1334</t>
  </si>
  <si>
    <t xml:space="preserve">ORD10532</t>
  </si>
  <si>
    <t xml:space="preserve">ORD11432</t>
  </si>
  <si>
    <t xml:space="preserve">ORD10200</t>
  </si>
  <si>
    <t xml:space="preserve">27-Jan-2025</t>
  </si>
  <si>
    <t xml:space="preserve">ORD11498</t>
  </si>
  <si>
    <t xml:space="preserve">14/07/2025</t>
  </si>
  <si>
    <t xml:space="preserve">ORD12712</t>
  </si>
  <si>
    <t xml:space="preserve">30/11/2025</t>
  </si>
  <si>
    <t xml:space="preserve">ORD11992</t>
  </si>
  <si>
    <t xml:space="preserve">ORD10693</t>
  </si>
  <si>
    <t xml:space="preserve">ORD10935</t>
  </si>
  <si>
    <t xml:space="preserve">ORD10687</t>
  </si>
  <si>
    <t xml:space="preserve">ORD10818</t>
  </si>
  <si>
    <t xml:space="preserve">ORD10217</t>
  </si>
  <si>
    <t xml:space="preserve">22:20</t>
  </si>
  <si>
    <t xml:space="preserve">C0371</t>
  </si>
  <si>
    <t xml:space="preserve">ORD12842</t>
  </si>
  <si>
    <t xml:space="preserve">ORD11278</t>
  </si>
  <si>
    <t xml:space="preserve">12-Jun-2025</t>
  </si>
  <si>
    <t xml:space="preserve">ORD10153</t>
  </si>
  <si>
    <t xml:space="preserve">ORD12437</t>
  </si>
  <si>
    <t xml:space="preserve">03/11/2025</t>
  </si>
  <si>
    <t xml:space="preserve">ORD11842</t>
  </si>
  <si>
    <t xml:space="preserve">ORD12124</t>
  </si>
  <si>
    <t xml:space="preserve">ORD10966</t>
  </si>
  <si>
    <t xml:space="preserve">ORD10479</t>
  </si>
  <si>
    <t xml:space="preserve">C1029</t>
  </si>
  <si>
    <t xml:space="preserve">ORD11283</t>
  </si>
  <si>
    <t xml:space="preserve">ORD11605</t>
  </si>
  <si>
    <t xml:space="preserve">28/07/2025</t>
  </si>
  <si>
    <t xml:space="preserve">C1019</t>
  </si>
  <si>
    <t xml:space="preserve">ORD12060</t>
  </si>
  <si>
    <t xml:space="preserve">15:58</t>
  </si>
  <si>
    <t xml:space="preserve">C0504</t>
  </si>
  <si>
    <t xml:space="preserve">ORD11667</t>
  </si>
  <si>
    <t xml:space="preserve">06/08/2025</t>
  </si>
  <si>
    <t xml:space="preserve">C1088</t>
  </si>
  <si>
    <t xml:space="preserve">ORD12863</t>
  </si>
  <si>
    <t xml:space="preserve">ORD11151</t>
  </si>
  <si>
    <t xml:space="preserve">C1389</t>
  </si>
  <si>
    <t xml:space="preserve">ORD10813</t>
  </si>
  <si>
    <t xml:space="preserve">ORD12738</t>
  </si>
  <si>
    <t xml:space="preserve">ORD11555</t>
  </si>
  <si>
    <t xml:space="preserve">C0205</t>
  </si>
  <si>
    <t xml:space="preserve">ORD10251</t>
  </si>
  <si>
    <t xml:space="preserve">ORD10844</t>
  </si>
  <si>
    <t xml:space="preserve">ORD12419</t>
  </si>
  <si>
    <t xml:space="preserve">C0787</t>
  </si>
  <si>
    <t xml:space="preserve">ORD11265</t>
  </si>
  <si>
    <t xml:space="preserve">ORD11009</t>
  </si>
  <si>
    <t xml:space="preserve">ORD10328</t>
  </si>
  <si>
    <t xml:space="preserve">C1317</t>
  </si>
  <si>
    <t xml:space="preserve">ORD10968</t>
  </si>
  <si>
    <t xml:space="preserve">ORD10950</t>
  </si>
  <si>
    <t xml:space="preserve">30/04/2025</t>
  </si>
  <si>
    <t xml:space="preserve">ORD12351</t>
  </si>
  <si>
    <t xml:space="preserve">ORD10973</t>
  </si>
  <si>
    <t xml:space="preserve">ORD11897</t>
  </si>
  <si>
    <t xml:space="preserve">ORD10188</t>
  </si>
  <si>
    <t xml:space="preserve">C1180</t>
  </si>
  <si>
    <t xml:space="preserve">ORD10247</t>
  </si>
  <si>
    <t xml:space="preserve"> Curry Leaf Kitchen</t>
  </si>
  <si>
    <t xml:space="preserve">ORD12113</t>
  </si>
  <si>
    <t xml:space="preserve">ORD12534</t>
  </si>
  <si>
    <t xml:space="preserve">ORD12948</t>
  </si>
  <si>
    <t xml:space="preserve">ORD12110</t>
  </si>
  <si>
    <t xml:space="preserve">ORD12349</t>
  </si>
  <si>
    <t xml:space="preserve">ORD11327</t>
  </si>
  <si>
    <t xml:space="preserve">17:55</t>
  </si>
  <si>
    <t xml:space="preserve">ORD12076</t>
  </si>
  <si>
    <t xml:space="preserve">ORD10284</t>
  </si>
  <si>
    <t xml:space="preserve">ORD12339</t>
  </si>
  <si>
    <t xml:space="preserve">16:14</t>
  </si>
  <si>
    <t xml:space="preserve">ORD10158</t>
  </si>
  <si>
    <t xml:space="preserve">21-Jan-2025</t>
  </si>
  <si>
    <t xml:space="preserve">ORD12326</t>
  </si>
  <si>
    <t xml:space="preserve">ORD11506</t>
  </si>
  <si>
    <t xml:space="preserve">ORD10904</t>
  </si>
  <si>
    <t xml:space="preserve">ORD11346</t>
  </si>
  <si>
    <t xml:space="preserve">C0175</t>
  </si>
  <si>
    <t xml:space="preserve">ORD11270</t>
  </si>
  <si>
    <t xml:space="preserve">C0600</t>
  </si>
  <si>
    <t xml:space="preserve">ORD12425</t>
  </si>
  <si>
    <t xml:space="preserve"> Chettinad House</t>
  </si>
  <si>
    <t xml:space="preserve">ORD10976</t>
  </si>
  <si>
    <t xml:space="preserve">ORD12187</t>
  </si>
  <si>
    <t xml:space="preserve">ORD11646</t>
  </si>
  <si>
    <t xml:space="preserve">ORD11680</t>
  </si>
  <si>
    <t xml:space="preserve">00:20</t>
  </si>
  <si>
    <t xml:space="preserve">ORD12195</t>
  </si>
  <si>
    <t xml:space="preserve">ORD10123</t>
  </si>
  <si>
    <t xml:space="preserve">ORD12975</t>
  </si>
  <si>
    <t xml:space="preserve">ORD11073</t>
  </si>
  <si>
    <t xml:space="preserve">ORD11535</t>
  </si>
  <si>
    <t xml:space="preserve">21:08</t>
  </si>
  <si>
    <t xml:space="preserve">C0824</t>
  </si>
  <si>
    <t xml:space="preserve">ORD11305</t>
  </si>
  <si>
    <t xml:space="preserve">2025-06-17</t>
  </si>
  <si>
    <t xml:space="preserve">ORD12471</t>
  </si>
  <si>
    <t xml:space="preserve">ORD12566</t>
  </si>
  <si>
    <t xml:space="preserve">ORD10418</t>
  </si>
  <si>
    <t xml:space="preserve">ORD12529</t>
  </si>
  <si>
    <t xml:space="preserve">15:30</t>
  </si>
  <si>
    <t xml:space="preserve">ORD10870</t>
  </si>
  <si>
    <t xml:space="preserve">14:13</t>
  </si>
  <si>
    <t xml:space="preserve">ORD12480</t>
  </si>
  <si>
    <t xml:space="preserve">ORD11031</t>
  </si>
  <si>
    <t xml:space="preserve">ORD12212</t>
  </si>
  <si>
    <t xml:space="preserve">C1306</t>
  </si>
  <si>
    <t xml:space="preserve">ORD10757</t>
  </si>
  <si>
    <t xml:space="preserve">ORD11999</t>
  </si>
  <si>
    <t xml:space="preserve">ORD11702</t>
  </si>
  <si>
    <t xml:space="preserve">22:27</t>
  </si>
  <si>
    <t xml:space="preserve">ORD11543</t>
  </si>
  <si>
    <t xml:space="preserve">ORD11157</t>
  </si>
  <si>
    <t xml:space="preserve">Andhra Meals Mess </t>
  </si>
  <si>
    <t xml:space="preserve">ORD11109</t>
  </si>
  <si>
    <t xml:space="preserve">ORD10068</t>
  </si>
  <si>
    <t xml:space="preserve">ORD12295</t>
  </si>
  <si>
    <t xml:space="preserve">ORD10333</t>
  </si>
  <si>
    <t xml:space="preserve">13/02/2025</t>
  </si>
  <si>
    <t xml:space="preserve">ORD11593</t>
  </si>
  <si>
    <t xml:space="preserve">ORD10337</t>
  </si>
  <si>
    <t xml:space="preserve">14-Feb-2025</t>
  </si>
  <si>
    <t xml:space="preserve">ORD10913</t>
  </si>
  <si>
    <t xml:space="preserve"> Cheesy Slice</t>
  </si>
  <si>
    <t xml:space="preserve">ORD11576</t>
  </si>
  <si>
    <t xml:space="preserve">C1186</t>
  </si>
  <si>
    <t xml:space="preserve">ORD11537</t>
  </si>
  <si>
    <t xml:space="preserve">ORD12654</t>
  </si>
  <si>
    <t xml:space="preserve">ORD10473</t>
  </si>
  <si>
    <t xml:space="preserve">ORD10902</t>
  </si>
  <si>
    <t xml:space="preserve">23/04/2025</t>
  </si>
  <si>
    <t xml:space="preserve">C0852</t>
  </si>
  <si>
    <t xml:space="preserve">ORD11407</t>
  </si>
  <si>
    <t xml:space="preserve">ORD10866</t>
  </si>
  <si>
    <t xml:space="preserve">14:21</t>
  </si>
  <si>
    <t xml:space="preserve">ORD11536</t>
  </si>
  <si>
    <t xml:space="preserve">ORD10885</t>
  </si>
  <si>
    <t xml:space="preserve">13:22</t>
  </si>
  <si>
    <t xml:space="preserve">C0027</t>
  </si>
  <si>
    <t xml:space="preserve">ORD10478</t>
  </si>
  <si>
    <t xml:space="preserve">08:15</t>
  </si>
  <si>
    <t xml:space="preserve">ORD11330</t>
  </si>
  <si>
    <t xml:space="preserve">ORD11567</t>
  </si>
  <si>
    <t xml:space="preserve">ORD11343</t>
  </si>
  <si>
    <t xml:space="preserve">ORD10742</t>
  </si>
  <si>
    <t xml:space="preserve">C1394</t>
  </si>
  <si>
    <t xml:space="preserve">Hyderabad Dum Biryani </t>
  </si>
  <si>
    <t xml:space="preserve">ORD12811</t>
  </si>
  <si>
    <t xml:space="preserve">15:35</t>
  </si>
  <si>
    <t xml:space="preserve">C1114</t>
  </si>
  <si>
    <t xml:space="preserve">ORD11341</t>
  </si>
  <si>
    <t xml:space="preserve">ORD12663</t>
  </si>
  <si>
    <t xml:space="preserve">24-Nov-2025</t>
  </si>
  <si>
    <t xml:space="preserve">C1404</t>
  </si>
  <si>
    <t xml:space="preserve">ORD10133</t>
  </si>
  <si>
    <t xml:space="preserve">17/01/2025</t>
  </si>
  <si>
    <t xml:space="preserve">C1011</t>
  </si>
  <si>
    <t xml:space="preserve">ORD12816</t>
  </si>
  <si>
    <t xml:space="preserve">22:39</t>
  </si>
  <si>
    <t xml:space="preserve">ORD12215</t>
  </si>
  <si>
    <t xml:space="preserve">C1330</t>
  </si>
  <si>
    <t xml:space="preserve">Maratha  Thali House</t>
  </si>
  <si>
    <t xml:space="preserve">ORD10982</t>
  </si>
  <si>
    <t xml:space="preserve">ORD11234</t>
  </si>
  <si>
    <t xml:space="preserve">06/06/2025</t>
  </si>
  <si>
    <t xml:space="preserve">15:17</t>
  </si>
  <si>
    <t xml:space="preserve">ORD12090</t>
  </si>
  <si>
    <t xml:space="preserve">C1047</t>
  </si>
  <si>
    <t xml:space="preserve">ORD12287</t>
  </si>
  <si>
    <t xml:space="preserve">C0029</t>
  </si>
  <si>
    <t xml:space="preserve">ORD11757</t>
  </si>
  <si>
    <t xml:space="preserve">ORD12507</t>
  </si>
  <si>
    <t xml:space="preserve">10/11/2025</t>
  </si>
  <si>
    <t xml:space="preserve">ORD11150</t>
  </si>
  <si>
    <t xml:space="preserve">C0658</t>
  </si>
  <si>
    <t xml:space="preserve">ORD12472</t>
  </si>
  <si>
    <t xml:space="preserve">ORD12367</t>
  </si>
  <si>
    <t xml:space="preserve">C1373</t>
  </si>
  <si>
    <t xml:space="preserve">ORD12563</t>
  </si>
  <si>
    <t xml:space="preserve">ORD10257</t>
  </si>
  <si>
    <t xml:space="preserve">C1170</t>
  </si>
  <si>
    <t xml:space="preserve">ORD10634</t>
  </si>
  <si>
    <t xml:space="preserve">C1343</t>
  </si>
  <si>
    <t xml:space="preserve">ORD12444</t>
  </si>
  <si>
    <t xml:space="preserve">ORD10778</t>
  </si>
  <si>
    <t xml:space="preserve">08:05</t>
  </si>
  <si>
    <t xml:space="preserve">C0048</t>
  </si>
  <si>
    <t xml:space="preserve">ORD12404</t>
  </si>
  <si>
    <t xml:space="preserve">ORD10558</t>
  </si>
  <si>
    <t xml:space="preserve">ORD12813</t>
  </si>
  <si>
    <t xml:space="preserve">ORD11986</t>
  </si>
  <si>
    <t xml:space="preserve">ORD10262</t>
  </si>
  <si>
    <t xml:space="preserve">C0531</t>
  </si>
  <si>
    <t xml:space="preserve">ORD12446</t>
  </si>
  <si>
    <t xml:space="preserve">ORD12467</t>
  </si>
  <si>
    <t xml:space="preserve">ORD11890</t>
  </si>
  <si>
    <t xml:space="preserve">ORD12395</t>
  </si>
  <si>
    <t xml:space="preserve">ORD12463</t>
  </si>
  <si>
    <t xml:space="preserve">05/11/2025</t>
  </si>
  <si>
    <t xml:space="preserve">ORD10209</t>
  </si>
  <si>
    <t xml:space="preserve">ORD12706</t>
  </si>
  <si>
    <t xml:space="preserve">ORD11914</t>
  </si>
  <si>
    <t xml:space="preserve">C1288</t>
  </si>
  <si>
    <t xml:space="preserve">ORD11607</t>
  </si>
  <si>
    <t xml:space="preserve">ORD11021</t>
  </si>
  <si>
    <t xml:space="preserve">C0096</t>
  </si>
  <si>
    <t xml:space="preserve">ORD12705</t>
  </si>
  <si>
    <t xml:space="preserve">10:21</t>
  </si>
  <si>
    <t xml:space="preserve">ORD11404</t>
  </si>
  <si>
    <t xml:space="preserve">ORD12086</t>
  </si>
  <si>
    <t xml:space="preserve">13:05</t>
  </si>
  <si>
    <t xml:space="preserve">ORD10210</t>
  </si>
  <si>
    <t xml:space="preserve">ORD10154</t>
  </si>
  <si>
    <t xml:space="preserve">C1375</t>
  </si>
  <si>
    <t xml:space="preserve">ORD12347</t>
  </si>
  <si>
    <t xml:space="preserve">C0065</t>
  </si>
  <si>
    <t xml:space="preserve">ORD11591</t>
  </si>
  <si>
    <t xml:space="preserve">C0546</t>
  </si>
  <si>
    <t xml:space="preserve">ORD11148</t>
  </si>
  <si>
    <t xml:space="preserve">ORD11968</t>
  </si>
  <si>
    <t xml:space="preserve">C0145</t>
  </si>
  <si>
    <t xml:space="preserve">ORD11634</t>
  </si>
  <si>
    <t xml:space="preserve">C0420</t>
  </si>
  <si>
    <t xml:space="preserve">ORD10598</t>
  </si>
  <si>
    <t xml:space="preserve">ORD11932</t>
  </si>
  <si>
    <t xml:space="preserve">ORD11657</t>
  </si>
  <si>
    <t xml:space="preserve">C0434</t>
  </si>
  <si>
    <t xml:space="preserve">ORD10681</t>
  </si>
  <si>
    <t xml:space="preserve">00:58</t>
  </si>
  <si>
    <t xml:space="preserve">ORD11566</t>
  </si>
  <si>
    <t xml:space="preserve">ORD11329</t>
  </si>
  <si>
    <t xml:space="preserve">ORD11519</t>
  </si>
  <si>
    <t xml:space="preserve">ORD12159</t>
  </si>
  <si>
    <t xml:space="preserve">ORD10222</t>
  </si>
  <si>
    <t xml:space="preserve">ORD10226</t>
  </si>
  <si>
    <t xml:space="preserve">C0181</t>
  </si>
  <si>
    <t xml:space="preserve">ORD12891</t>
  </si>
  <si>
    <t xml:space="preserve">08:21</t>
  </si>
  <si>
    <t xml:space="preserve">ORD12403</t>
  </si>
  <si>
    <t xml:space="preserve">ORD11761</t>
  </si>
  <si>
    <t xml:space="preserve">22:58</t>
  </si>
  <si>
    <t xml:space="preserve">ORD11361</t>
  </si>
  <si>
    <t xml:space="preserve">C0764</t>
  </si>
  <si>
    <t xml:space="preserve">ORD12557</t>
  </si>
  <si>
    <t xml:space="preserve">C0377</t>
  </si>
  <si>
    <t xml:space="preserve">ORD12285</t>
  </si>
  <si>
    <t xml:space="preserve">C1268</t>
  </si>
  <si>
    <t xml:space="preserve">ORD11493</t>
  </si>
  <si>
    <t xml:space="preserve">13-Jul-2025</t>
  </si>
  <si>
    <t xml:space="preserve">ORD12234</t>
  </si>
  <si>
    <t xml:space="preserve">C0058</t>
  </si>
  <si>
    <t xml:space="preserve">ORD12247</t>
  </si>
  <si>
    <t xml:space="preserve">ORD12010</t>
  </si>
  <si>
    <t xml:space="preserve">C0290</t>
  </si>
  <si>
    <t xml:space="preserve">ORD10206</t>
  </si>
  <si>
    <t xml:space="preserve">28-Jan-2025</t>
  </si>
  <si>
    <t xml:space="preserve">14:25</t>
  </si>
  <si>
    <t xml:space="preserve">ORD11028</t>
  </si>
  <si>
    <t xml:space="preserve">14:36</t>
  </si>
  <si>
    <t xml:space="preserve">ORD12757</t>
  </si>
  <si>
    <t xml:space="preserve">Mishti  Mandir</t>
  </si>
  <si>
    <t xml:space="preserve">ORD12119</t>
  </si>
  <si>
    <t xml:space="preserve">C0030</t>
  </si>
  <si>
    <t xml:space="preserve">ORD11047</t>
  </si>
  <si>
    <t xml:space="preserve">ORD10694</t>
  </si>
  <si>
    <t xml:space="preserve">ORD12407</t>
  </si>
  <si>
    <t xml:space="preserve">ORD12371</t>
  </si>
  <si>
    <t xml:space="preserve">ORD11187</t>
  </si>
  <si>
    <t xml:space="preserve">16:38</t>
  </si>
  <si>
    <t xml:space="preserve">ORD11370</t>
  </si>
  <si>
    <t xml:space="preserve">ORD11908</t>
  </si>
  <si>
    <t xml:space="preserve">ORD10017</t>
  </si>
  <si>
    <t xml:space="preserve">ORD11677</t>
  </si>
  <si>
    <t xml:space="preserve">C0320</t>
  </si>
  <si>
    <t xml:space="preserve">ORD11185</t>
  </si>
  <si>
    <t xml:space="preserve">C0748</t>
  </si>
  <si>
    <t xml:space="preserve">ORD10657</t>
  </si>
  <si>
    <t xml:space="preserve">ORD11572</t>
  </si>
  <si>
    <t xml:space="preserve">ORD11738</t>
  </si>
  <si>
    <t xml:space="preserve">ORD11420</t>
  </si>
  <si>
    <t xml:space="preserve">ORD10400</t>
  </si>
  <si>
    <t xml:space="preserve">ORD10619</t>
  </si>
  <si>
    <t xml:space="preserve">ORD10509</t>
  </si>
  <si>
    <t xml:space="preserve">ORD10868</t>
  </si>
  <si>
    <t xml:space="preserve">MADRAS BIRYANI CO</t>
  </si>
  <si>
    <t xml:space="preserve">ORD10887</t>
  </si>
  <si>
    <t xml:space="preserve">16:29</t>
  </si>
  <si>
    <t xml:space="preserve">C0589</t>
  </si>
  <si>
    <t xml:space="preserve">ORD12111</t>
  </si>
  <si>
    <t xml:space="preserve">ORD10600</t>
  </si>
  <si>
    <t xml:space="preserve">ORD12165</t>
  </si>
  <si>
    <t xml:space="preserve">C1254</t>
  </si>
  <si>
    <t xml:space="preserve">ORD10458</t>
  </si>
  <si>
    <t xml:space="preserve">ORD11118</t>
  </si>
  <si>
    <t xml:space="preserve">C0545</t>
  </si>
  <si>
    <t xml:space="preserve">ORD10871</t>
  </si>
  <si>
    <t xml:space="preserve">ORD10791</t>
  </si>
  <si>
    <t xml:space="preserve">ORD10955</t>
  </si>
  <si>
    <t xml:space="preserve">ORD10651</t>
  </si>
  <si>
    <t xml:space="preserve">23/03/2025</t>
  </si>
  <si>
    <t xml:space="preserve">ORD10734</t>
  </si>
  <si>
    <t xml:space="preserve">ORD12854</t>
  </si>
  <si>
    <t xml:space="preserve">ORD10380</t>
  </si>
  <si>
    <t xml:space="preserve">23:59</t>
  </si>
  <si>
    <t xml:space="preserve">C1319</t>
  </si>
  <si>
    <t xml:space="preserve">ORD10957</t>
  </si>
  <si>
    <t xml:space="preserve">ORD10172</t>
  </si>
  <si>
    <t xml:space="preserve">ORD11945</t>
  </si>
  <si>
    <t xml:space="preserve">01:27</t>
  </si>
  <si>
    <t xml:space="preserve">ORD10660</t>
  </si>
  <si>
    <t xml:space="preserve">2025-03-25</t>
  </si>
  <si>
    <t xml:space="preserve">ORD12121</t>
  </si>
  <si>
    <t xml:space="preserve">ORD11095</t>
  </si>
  <si>
    <t xml:space="preserve">ORD12490</t>
  </si>
  <si>
    <t xml:space="preserve">ORD10643</t>
  </si>
  <si>
    <t xml:space="preserve">ORD10169</t>
  </si>
  <si>
    <t xml:space="preserve">22/01/2025</t>
  </si>
  <si>
    <t xml:space="preserve">ORD11518</t>
  </si>
  <si>
    <t xml:space="preserve">ORD11801</t>
  </si>
  <si>
    <t xml:space="preserve">ORD12183</t>
  </si>
  <si>
    <t xml:space="preserve">13:31</t>
  </si>
  <si>
    <t xml:space="preserve">ORD11918</t>
  </si>
  <si>
    <t xml:space="preserve">16:41</t>
  </si>
  <si>
    <t xml:space="preserve">ORD10273</t>
  </si>
  <si>
    <t xml:space="preserve">2025-02-06</t>
  </si>
  <si>
    <t xml:space="preserve">C1238</t>
  </si>
  <si>
    <t xml:space="preserve">ORD11216</t>
  </si>
  <si>
    <t xml:space="preserve">ORD11119</t>
  </si>
  <si>
    <t xml:space="preserve">ORD12512</t>
  </si>
  <si>
    <t xml:space="preserve">C1176</t>
  </si>
  <si>
    <t xml:space="preserve">ORD11067</t>
  </si>
  <si>
    <t xml:space="preserve">C0483</t>
  </si>
  <si>
    <t xml:space="preserve">ORD12105</t>
  </si>
  <si>
    <t xml:space="preserve">C0893</t>
  </si>
  <si>
    <t xml:space="preserve">ORD12632</t>
  </si>
  <si>
    <t xml:space="preserve">ORD12469</t>
  </si>
  <si>
    <t xml:space="preserve">ORD11913</t>
  </si>
  <si>
    <t xml:space="preserve">ORD10039</t>
  </si>
  <si>
    <t xml:space="preserve">2025-01-06</t>
  </si>
  <si>
    <t xml:space="preserve">ORD10307</t>
  </si>
  <si>
    <t xml:space="preserve">ORD10007</t>
  </si>
  <si>
    <t xml:space="preserve">01/01/2025</t>
  </si>
  <si>
    <t xml:space="preserve">ORD10782</t>
  </si>
  <si>
    <t xml:space="preserve">C1417</t>
  </si>
  <si>
    <t xml:space="preserve">ORD11191</t>
  </si>
  <si>
    <t xml:space="preserve">ORD10535</t>
  </si>
  <si>
    <t xml:space="preserve">ORD10584</t>
  </si>
  <si>
    <t xml:space="preserve">C0541</t>
  </si>
  <si>
    <t xml:space="preserve">ORD12423</t>
  </si>
  <si>
    <t xml:space="preserve">C0716</t>
  </si>
  <si>
    <t xml:space="preserve">ORD12974</t>
  </si>
  <si>
    <t xml:space="preserve">C1166</t>
  </si>
  <si>
    <t xml:space="preserve">ORD12565</t>
  </si>
  <si>
    <t xml:space="preserve">ORD12780</t>
  </si>
  <si>
    <t xml:space="preserve">C1471</t>
  </si>
  <si>
    <t xml:space="preserve">ORD12456</t>
  </si>
  <si>
    <t xml:space="preserve">01:55</t>
  </si>
  <si>
    <t xml:space="preserve">ORD10317</t>
  </si>
  <si>
    <t xml:space="preserve">C0144</t>
  </si>
  <si>
    <t xml:space="preserve">ORD11795</t>
  </si>
  <si>
    <t xml:space="preserve">ORD10272</t>
  </si>
  <si>
    <t xml:space="preserve">ORD10549</t>
  </si>
  <si>
    <t xml:space="preserve">ORD11693</t>
  </si>
  <si>
    <t xml:space="preserve">08:49</t>
  </si>
  <si>
    <t xml:space="preserve"> Cake Walk</t>
  </si>
  <si>
    <t xml:space="preserve">ORD11720</t>
  </si>
  <si>
    <t xml:space="preserve">ORD12987</t>
  </si>
  <si>
    <t xml:space="preserve">ORD12800</t>
  </si>
  <si>
    <t xml:space="preserve">19:38</t>
  </si>
  <si>
    <t xml:space="preserve">ORD10599</t>
  </si>
  <si>
    <t xml:space="preserve">17-Mar-2025</t>
  </si>
  <si>
    <t xml:space="preserve">ORD11690</t>
  </si>
  <si>
    <t xml:space="preserve">ORD10895</t>
  </si>
  <si>
    <t xml:space="preserve">C1264</t>
  </si>
  <si>
    <t xml:space="preserve">ORD12642</t>
  </si>
  <si>
    <t xml:space="preserve">ORD11776</t>
  </si>
  <si>
    <t xml:space="preserve">20-Aug-2025</t>
  </si>
  <si>
    <t xml:space="preserve">C0818</t>
  </si>
  <si>
    <t xml:space="preserve">ORD10571</t>
  </si>
  <si>
    <t xml:space="preserve">16:25</t>
  </si>
  <si>
    <t xml:space="preserve">ORD12000</t>
  </si>
  <si>
    <t xml:space="preserve">ORD12123</t>
  </si>
  <si>
    <t xml:space="preserve">ORD10062</t>
  </si>
  <si>
    <t xml:space="preserve">09-Jan-2025</t>
  </si>
  <si>
    <t xml:space="preserve">C0171</t>
  </si>
  <si>
    <t xml:space="preserve">ORD11248</t>
  </si>
  <si>
    <t xml:space="preserve">08/06/2025</t>
  </si>
  <si>
    <t xml:space="preserve">C1062</t>
  </si>
  <si>
    <t xml:space="preserve">ORD11260</t>
  </si>
  <si>
    <t xml:space="preserve">23:27</t>
  </si>
  <si>
    <t xml:space="preserve">ORD10810</t>
  </si>
  <si>
    <t xml:space="preserve">14:43</t>
  </si>
  <si>
    <t xml:space="preserve">C1447</t>
  </si>
  <si>
    <t xml:space="preserve">ORD11050</t>
  </si>
  <si>
    <t xml:space="preserve">12/05/2025</t>
  </si>
  <si>
    <t xml:space="preserve">ORD12797</t>
  </si>
  <si>
    <t xml:space="preserve">ORD10108</t>
  </si>
  <si>
    <t xml:space="preserve">ORD12154</t>
  </si>
  <si>
    <t xml:space="preserve">C0736</t>
  </si>
  <si>
    <t xml:space="preserve">ORD10674</t>
  </si>
  <si>
    <t xml:space="preserve">ORD10666</t>
  </si>
  <si>
    <t xml:space="preserve">ORD10510</t>
  </si>
  <si>
    <t xml:space="preserve">BIRYANI BAADSHAH</t>
  </si>
  <si>
    <t xml:space="preserve">ORD12180</t>
  </si>
  <si>
    <t xml:space="preserve">C1484</t>
  </si>
  <si>
    <t xml:space="preserve">ORD11641</t>
  </si>
  <si>
    <t xml:space="preserve">ORD12673</t>
  </si>
  <si>
    <t xml:space="preserve">ORD11533</t>
  </si>
  <si>
    <t xml:space="preserve">ORD10867</t>
  </si>
  <si>
    <t xml:space="preserve">15:57</t>
  </si>
  <si>
    <t xml:space="preserve">ORD11856</t>
  </si>
  <si>
    <t xml:space="preserve">ORD11737</t>
  </si>
  <si>
    <t xml:space="preserve">ORD11061</t>
  </si>
  <si>
    <t xml:space="preserve">ORD12106</t>
  </si>
  <si>
    <t xml:space="preserve">C0930</t>
  </si>
  <si>
    <t xml:space="preserve">ORD12762</t>
  </si>
  <si>
    <t xml:space="preserve">ORD11974</t>
  </si>
  <si>
    <t xml:space="preserve">22:49</t>
  </si>
  <si>
    <t xml:space="preserve">ORD10590</t>
  </si>
  <si>
    <t xml:space="preserve">ORD12434</t>
  </si>
  <si>
    <t xml:space="preserve">ORD12643</t>
  </si>
  <si>
    <t xml:space="preserve">23:57</t>
  </si>
  <si>
    <t xml:space="preserve">ORD10087</t>
  </si>
  <si>
    <t xml:space="preserve">ORD12926</t>
  </si>
  <si>
    <t xml:space="preserve">ORD10772</t>
  </si>
  <si>
    <t xml:space="preserve">ORD11250</t>
  </si>
  <si>
    <t xml:space="preserve">ORD10709</t>
  </si>
  <si>
    <t xml:space="preserve">ORD12427</t>
  </si>
  <si>
    <t xml:space="preserve">C1089</t>
  </si>
  <si>
    <t xml:space="preserve">ORD11861</t>
  </si>
  <si>
    <t xml:space="preserve">ORD12129</t>
  </si>
  <si>
    <t xml:space="preserve">ORD12675</t>
  </si>
  <si>
    <t xml:space="preserve">ORD10419</t>
  </si>
  <si>
    <t xml:space="preserve">ORD11462</t>
  </si>
  <si>
    <t xml:space="preserve">ORD11485</t>
  </si>
  <si>
    <t xml:space="preserve">C1057</t>
  </si>
  <si>
    <t xml:space="preserve">ORD12801</t>
  </si>
  <si>
    <t xml:space="preserve">ORD12913</t>
  </si>
  <si>
    <t xml:space="preserve">ORD10852</t>
  </si>
  <si>
    <t xml:space="preserve">ORD11005</t>
  </si>
  <si>
    <t xml:space="preserve">ORD11997</t>
  </si>
  <si>
    <t xml:space="preserve">C0494</t>
  </si>
  <si>
    <t xml:space="preserve">ORD11835</t>
  </si>
  <si>
    <t xml:space="preserve">ORD12399</t>
  </si>
  <si>
    <t xml:space="preserve">ORD10437</t>
  </si>
  <si>
    <t xml:space="preserve">ORD11317</t>
  </si>
  <si>
    <t xml:space="preserve">ORD11624</t>
  </si>
  <si>
    <t xml:space="preserve">C1490</t>
  </si>
  <si>
    <t xml:space="preserve">ORD11481</t>
  </si>
  <si>
    <t xml:space="preserve">C1004</t>
  </si>
  <si>
    <t xml:space="preserve">ORD11649</t>
  </si>
  <si>
    <t xml:space="preserve">ORD11279</t>
  </si>
  <si>
    <t xml:space="preserve">17:53</t>
  </si>
  <si>
    <t xml:space="preserve">C0723</t>
  </si>
  <si>
    <t xml:space="preserve">ORD11824</t>
  </si>
  <si>
    <t xml:space="preserve">ORD12459</t>
  </si>
  <si>
    <t xml:space="preserve">ORD12915</t>
  </si>
  <si>
    <t xml:space="preserve">22-Dec-2025</t>
  </si>
  <si>
    <t xml:space="preserve">ORD11837</t>
  </si>
  <si>
    <t xml:space="preserve">ORD12871</t>
  </si>
  <si>
    <t xml:space="preserve">22:26</t>
  </si>
  <si>
    <t xml:space="preserve">C1415</t>
  </si>
  <si>
    <t xml:space="preserve">ORD11547</t>
  </si>
  <si>
    <t xml:space="preserve">23:19</t>
  </si>
  <si>
    <t xml:space="preserve">C0744</t>
  </si>
  <si>
    <t xml:space="preserve">ORD10336</t>
  </si>
  <si>
    <t xml:space="preserve">2025-02-14</t>
  </si>
  <si>
    <t xml:space="preserve">ORD10089</t>
  </si>
  <si>
    <t xml:space="preserve">C1429</t>
  </si>
  <si>
    <t xml:space="preserve">ORD10875</t>
  </si>
  <si>
    <t xml:space="preserve">ORD12657</t>
  </si>
  <si>
    <t xml:space="preserve">ORD10544</t>
  </si>
  <si>
    <t xml:space="preserve">ORD11242</t>
  </si>
  <si>
    <t xml:space="preserve">ORD11881</t>
  </si>
  <si>
    <t xml:space="preserve">ORD12923</t>
  </si>
  <si>
    <t xml:space="preserve">C0423</t>
  </si>
  <si>
    <t xml:space="preserve">Chaat  Corner</t>
  </si>
  <si>
    <t xml:space="preserve">ORD12522</t>
  </si>
  <si>
    <t xml:space="preserve">ORD10320</t>
  </si>
  <si>
    <t xml:space="preserve">12/02/2025</t>
  </si>
  <si>
    <t xml:space="preserve">ORD10520</t>
  </si>
  <si>
    <t xml:space="preserve">ORD12363</t>
  </si>
  <si>
    <t xml:space="preserve">C0910</t>
  </si>
  <si>
    <t xml:space="preserve">ORD10879</t>
  </si>
  <si>
    <t xml:space="preserve">ORD10826</t>
  </si>
  <si>
    <t xml:space="preserve">ORD11291</t>
  </si>
  <si>
    <t xml:space="preserve">ORD12742</t>
  </si>
  <si>
    <t xml:space="preserve">ORD12577</t>
  </si>
  <si>
    <t xml:space="preserve">ORD10139</t>
  </si>
  <si>
    <t xml:space="preserve">ORD10164</t>
  </si>
  <si>
    <t xml:space="preserve">ORD11619</t>
  </si>
  <si>
    <t xml:space="preserve">09:54</t>
  </si>
  <si>
    <t xml:space="preserve">ORD12860</t>
  </si>
  <si>
    <t xml:space="preserve">ORD11792</t>
  </si>
  <si>
    <t xml:space="preserve">C1350</t>
  </si>
  <si>
    <t xml:space="preserve">ORD11046</t>
  </si>
  <si>
    <t xml:space="preserve">ORD10961</t>
  </si>
  <si>
    <t xml:space="preserve">01-May-2025</t>
  </si>
  <si>
    <t xml:space="preserve">C1237</t>
  </si>
  <si>
    <t xml:space="preserve">ORD11751</t>
  </si>
  <si>
    <t xml:space="preserve">17:26</t>
  </si>
  <si>
    <t xml:space="preserve">ORD12306</t>
  </si>
  <si>
    <t xml:space="preserve">18/10/2025</t>
  </si>
  <si>
    <t xml:space="preserve">ORD11505</t>
  </si>
  <si>
    <t xml:space="preserve">ORD12353</t>
  </si>
  <si>
    <t xml:space="preserve">ORD12992</t>
  </si>
  <si>
    <t xml:space="preserve">ORD11060</t>
  </si>
  <si>
    <t xml:space="preserve">ORD12754</t>
  </si>
  <si>
    <t xml:space="preserve">C0295</t>
  </si>
  <si>
    <t xml:space="preserve">ORD10656</t>
  </si>
  <si>
    <t xml:space="preserve">13:44</t>
  </si>
  <si>
    <t xml:space="preserve">ORD12065</t>
  </si>
  <si>
    <t xml:space="preserve">09:17</t>
  </si>
  <si>
    <t xml:space="preserve">C0217</t>
  </si>
  <si>
    <t xml:space="preserve">ORD12357</t>
  </si>
  <si>
    <t xml:space="preserve">23-Oct-2025</t>
  </si>
  <si>
    <t xml:space="preserve">C1438</t>
  </si>
  <si>
    <t xml:space="preserve">ORD10138</t>
  </si>
  <si>
    <t xml:space="preserve">ORD12398</t>
  </si>
  <si>
    <t xml:space="preserve">ORD11977</t>
  </si>
  <si>
    <t xml:space="preserve">13:15</t>
  </si>
  <si>
    <t xml:space="preserve">ORD11582</t>
  </si>
  <si>
    <t xml:space="preserve">ORD10698</t>
  </si>
  <si>
    <t xml:space="preserve">16:27</t>
  </si>
  <si>
    <t xml:space="preserve">ORD11098</t>
  </si>
  <si>
    <t xml:space="preserve">ORD12312</t>
  </si>
  <si>
    <t xml:space="preserve">C1398</t>
  </si>
  <si>
    <t xml:space="preserve">ORD12906</t>
  </si>
  <si>
    <t xml:space="preserve">14:46</t>
  </si>
  <si>
    <t xml:space="preserve">C0673</t>
  </si>
  <si>
    <t xml:space="preserve">ORD11393</t>
  </si>
  <si>
    <t xml:space="preserve">ORD12958</t>
  </si>
  <si>
    <t xml:space="preserve">18:13</t>
  </si>
  <si>
    <t xml:space="preserve">ORD11267</t>
  </si>
  <si>
    <t xml:space="preserve">ORD10136</t>
  </si>
  <si>
    <t xml:space="preserve">ORD11170</t>
  </si>
  <si>
    <t xml:space="preserve">ORD12136</t>
  </si>
  <si>
    <t xml:space="preserve">ORD11504</t>
  </si>
  <si>
    <t xml:space="preserve"> Madras Biryani Co</t>
  </si>
  <si>
    <t xml:space="preserve">ORD11363</t>
  </si>
  <si>
    <t xml:space="preserve">ORD12506</t>
  </si>
  <si>
    <t xml:space="preserve">ORD10149</t>
  </si>
  <si>
    <t xml:space="preserve">ORD10304</t>
  </si>
  <si>
    <t xml:space="preserve">23:40</t>
  </si>
  <si>
    <t xml:space="preserve">ORD11018</t>
  </si>
  <si>
    <t xml:space="preserve">ORD11925</t>
  </si>
  <si>
    <t xml:space="preserve">ORD11053</t>
  </si>
  <si>
    <t xml:space="preserve">ORD12765</t>
  </si>
  <si>
    <t xml:space="preserve">ORD12392</t>
  </si>
  <si>
    <t xml:space="preserve">ORD11905</t>
  </si>
  <si>
    <t xml:space="preserve">ORD12903</t>
  </si>
  <si>
    <t xml:space="preserve">C1005</t>
  </si>
  <si>
    <t xml:space="preserve">ORD10199</t>
  </si>
  <si>
    <t xml:space="preserve">ORD11769</t>
  </si>
  <si>
    <t xml:space="preserve">ORD12241</t>
  </si>
  <si>
    <t xml:space="preserve">ORD10405</t>
  </si>
  <si>
    <t xml:space="preserve">C0026</t>
  </si>
  <si>
    <t xml:space="preserve">ORD12691</t>
  </si>
  <si>
    <t xml:space="preserve">ORD12613</t>
  </si>
  <si>
    <t xml:space="preserve">ORD10484</t>
  </si>
  <si>
    <t xml:space="preserve">Misal  Mantra</t>
  </si>
  <si>
    <t xml:space="preserve">ORD11183</t>
  </si>
  <si>
    <t xml:space="preserve">C0660</t>
  </si>
  <si>
    <t xml:space="preserve">ORD11340</t>
  </si>
  <si>
    <t xml:space="preserve">C0331</t>
  </si>
  <si>
    <t xml:space="preserve">ORD11281</t>
  </si>
  <si>
    <t xml:space="preserve">ORD11032</t>
  </si>
  <si>
    <t xml:space="preserve">C0230</t>
  </si>
  <si>
    <t xml:space="preserve">ORD10792</t>
  </si>
  <si>
    <t xml:space="preserve">ORD10800</t>
  </si>
  <si>
    <t xml:space="preserve">ORD11202</t>
  </si>
  <si>
    <t xml:space="preserve">ORD10423</t>
  </si>
  <si>
    <t xml:space="preserve">ORD11884</t>
  </si>
  <si>
    <t xml:space="preserve">ORD12986</t>
  </si>
  <si>
    <t xml:space="preserve">ORD11480</t>
  </si>
  <si>
    <t xml:space="preserve">C1354</t>
  </si>
  <si>
    <t xml:space="preserve">ORD11929</t>
  </si>
  <si>
    <t xml:space="preserve">C0247</t>
  </si>
  <si>
    <t xml:space="preserve">ORD11530</t>
  </si>
  <si>
    <t xml:space="preserve">ORD10903</t>
  </si>
  <si>
    <t xml:space="preserve">23-Apr-2025</t>
  </si>
  <si>
    <t xml:space="preserve">ORD10686</t>
  </si>
  <si>
    <t xml:space="preserve">14:55</t>
  </si>
  <si>
    <t xml:space="preserve">ORD11552</t>
  </si>
  <si>
    <t xml:space="preserve">17:23</t>
  </si>
  <si>
    <t xml:space="preserve">ORD10160</t>
  </si>
  <si>
    <t xml:space="preserve">ORD11000</t>
  </si>
  <si>
    <t xml:space="preserve">ORD12481</t>
  </si>
  <si>
    <t xml:space="preserve">ORD12251</t>
  </si>
  <si>
    <t xml:space="preserve">C1128</t>
  </si>
  <si>
    <t xml:space="preserve">ORD10113</t>
  </si>
  <si>
    <t xml:space="preserve">15/01/2025</t>
  </si>
  <si>
    <t xml:space="preserve">ORD12882</t>
  </si>
  <si>
    <t xml:space="preserve">ORD11447</t>
  </si>
  <si>
    <t xml:space="preserve">ORD11953</t>
  </si>
  <si>
    <t xml:space="preserve">ORD10923</t>
  </si>
  <si>
    <t xml:space="preserve">ORD11625</t>
  </si>
  <si>
    <t xml:space="preserve">ORD11320</t>
  </si>
  <si>
    <t xml:space="preserve">ORD11664</t>
  </si>
  <si>
    <t xml:space="preserve">C1142</t>
  </si>
  <si>
    <t xml:space="preserve">dosa darbar</t>
  </si>
  <si>
    <t xml:space="preserve">ORD10816</t>
  </si>
  <si>
    <t xml:space="preserve">13/04/2025</t>
  </si>
  <si>
    <t xml:space="preserve">ORD12267</t>
  </si>
  <si>
    <t xml:space="preserve">22:18</t>
  </si>
  <si>
    <t xml:space="preserve">ORD11474</t>
  </si>
  <si>
    <t xml:space="preserve">11-Jul-2025</t>
  </si>
  <si>
    <t xml:space="preserve">ORD11774</t>
  </si>
  <si>
    <t xml:space="preserve">C1076</t>
  </si>
  <si>
    <t xml:space="preserve">ORD10680</t>
  </si>
  <si>
    <t xml:space="preserve">ORD12590</t>
  </si>
  <si>
    <t xml:space="preserve">ORD11094</t>
  </si>
  <si>
    <t xml:space="preserve">C0708</t>
  </si>
  <si>
    <t xml:space="preserve">ORD10081</t>
  </si>
  <si>
    <t xml:space="preserve">ORD11951</t>
  </si>
  <si>
    <t xml:space="preserve">ORD12493</t>
  </si>
  <si>
    <t xml:space="preserve">ORD11240</t>
  </si>
  <si>
    <t xml:space="preserve">ORD10330</t>
  </si>
  <si>
    <t xml:space="preserve">ORD10243</t>
  </si>
  <si>
    <t xml:space="preserve">C0352</t>
  </si>
  <si>
    <t xml:space="preserve">ORD10642</t>
  </si>
  <si>
    <t xml:space="preserve">ORD10697</t>
  </si>
  <si>
    <t xml:space="preserve">ORD12258</t>
  </si>
  <si>
    <t xml:space="preserve">ORD10754</t>
  </si>
  <si>
    <t xml:space="preserve">ORD10436</t>
  </si>
  <si>
    <t xml:space="preserve">14:34</t>
  </si>
  <si>
    <t xml:space="preserve">C0241</t>
  </si>
  <si>
    <t xml:space="preserve">ORD11564</t>
  </si>
  <si>
    <t xml:space="preserve">15:02</t>
  </si>
  <si>
    <t xml:space="preserve">ORD11935</t>
  </si>
  <si>
    <t xml:space="preserve">09/09/2025</t>
  </si>
  <si>
    <t xml:space="preserve">08:23</t>
  </si>
  <si>
    <t xml:space="preserve">ORD12795</t>
  </si>
  <si>
    <t xml:space="preserve">ORD11713</t>
  </si>
  <si>
    <t xml:space="preserve">ORD10552</t>
  </si>
  <si>
    <t xml:space="preserve">ORD12638</t>
  </si>
  <si>
    <t xml:space="preserve">ORD10602</t>
  </si>
  <si>
    <t xml:space="preserve">ORD11965</t>
  </si>
  <si>
    <t xml:space="preserve">12/09/2025</t>
  </si>
  <si>
    <t xml:space="preserve">ORD11014</t>
  </si>
  <si>
    <t xml:space="preserve">ORD12496</t>
  </si>
  <si>
    <t xml:space="preserve">C0887</t>
  </si>
  <si>
    <t xml:space="preserve">ORD11428</t>
  </si>
  <si>
    <t xml:space="preserve">ORD12013</t>
  </si>
  <si>
    <t xml:space="preserve">18-Sep-2025</t>
  </si>
  <si>
    <t xml:space="preserve">C0661</t>
  </si>
  <si>
    <t xml:space="preserve">ORD11387</t>
  </si>
  <si>
    <t xml:space="preserve">ORD11296</t>
  </si>
  <si>
    <t xml:space="preserve">ORD10467</t>
  </si>
  <si>
    <t xml:space="preserve">ORD11500</t>
  </si>
  <si>
    <t xml:space="preserve">ORD12604</t>
  </si>
  <si>
    <t xml:space="preserve">C1041</t>
  </si>
  <si>
    <t xml:space="preserve">ORD12973</t>
  </si>
  <si>
    <t xml:space="preserve">ORD10278</t>
  </si>
  <si>
    <t xml:space="preserve">C0405</t>
  </si>
  <si>
    <t xml:space="preserve">ORD11070</t>
  </si>
  <si>
    <t xml:space="preserve">ORD11549</t>
  </si>
  <si>
    <t xml:space="preserve">ORD11025</t>
  </si>
  <si>
    <t xml:space="preserve">C1337</t>
  </si>
  <si>
    <t xml:space="preserve">ORD11466</t>
  </si>
  <si>
    <t xml:space="preserve">ORD10941</t>
  </si>
  <si>
    <t xml:space="preserve">ORD11467</t>
  </si>
  <si>
    <t xml:space="preserve">ORD11324</t>
  </si>
  <si>
    <t xml:space="preserve">ORD11400</t>
  </si>
  <si>
    <t xml:space="preserve">ORD12513</t>
  </si>
  <si>
    <t xml:space="preserve">ORD11450</t>
  </si>
  <si>
    <t xml:space="preserve">C0074</t>
  </si>
  <si>
    <t xml:space="preserve">ORD10907</t>
  </si>
  <si>
    <t xml:space="preserve">ANDHRA MEALS MESS</t>
  </si>
  <si>
    <t xml:space="preserve">ORD12708</t>
  </si>
  <si>
    <t xml:space="preserve">C0139</t>
  </si>
  <si>
    <t xml:space="preserve">ORD11896</t>
  </si>
  <si>
    <t xml:space="preserve">ORD10389</t>
  </si>
  <si>
    <t xml:space="preserve">ORD12071</t>
  </si>
  <si>
    <t xml:space="preserve">ORD12397</t>
  </si>
  <si>
    <t xml:space="preserve">01:15</t>
  </si>
  <si>
    <t xml:space="preserve">ORD12173</t>
  </si>
  <si>
    <t xml:space="preserve">C1436</t>
  </si>
  <si>
    <t xml:space="preserve">ORD10881</t>
  </si>
  <si>
    <t xml:space="preserve">C0812</t>
  </si>
  <si>
    <t xml:space="preserve">ORD12767</t>
  </si>
  <si>
    <t xml:space="preserve">23:34</t>
  </si>
  <si>
    <t xml:space="preserve">C1032</t>
  </si>
  <si>
    <t xml:space="preserve">ORD10051</t>
  </si>
  <si>
    <t xml:space="preserve">ORD11888</t>
  </si>
  <si>
    <t xml:space="preserve">ORD11703</t>
  </si>
  <si>
    <t xml:space="preserve">ORD10134</t>
  </si>
  <si>
    <t xml:space="preserve">ORD11106</t>
  </si>
  <si>
    <t xml:space="preserve">ORD10704</t>
  </si>
  <si>
    <t xml:space="preserve">ORD10483</t>
  </si>
  <si>
    <t xml:space="preserve">ORD11146</t>
  </si>
  <si>
    <t xml:space="preserve">ORD12039</t>
  </si>
  <si>
    <t xml:space="preserve">ORD12976</t>
  </si>
  <si>
    <t xml:space="preserve">ORD10067</t>
  </si>
  <si>
    <t xml:space="preserve">ORD12314</t>
  </si>
  <si>
    <t xml:space="preserve">ORD10908</t>
  </si>
  <si>
    <t xml:space="preserve">ORD10032</t>
  </si>
  <si>
    <t xml:space="preserve">ORD12868</t>
  </si>
  <si>
    <t xml:space="preserve">ORD10011</t>
  </si>
  <si>
    <t xml:space="preserve">ORD10065</t>
  </si>
  <si>
    <t xml:space="preserve">ORD10777</t>
  </si>
  <si>
    <t xml:space="preserve">ORD10078</t>
  </si>
  <si>
    <t xml:space="preserve">ORD10492</t>
  </si>
  <si>
    <t xml:space="preserve">ORD12651</t>
  </si>
  <si>
    <t xml:space="preserve">ORD12114</t>
  </si>
  <si>
    <t xml:space="preserve">C0569</t>
  </si>
  <si>
    <t xml:space="preserve">ORD12792</t>
  </si>
  <si>
    <t xml:space="preserve">C0161</t>
  </si>
  <si>
    <t xml:space="preserve">ORD12345</t>
  </si>
  <si>
    <t xml:space="preserve">ORD10592</t>
  </si>
  <si>
    <t xml:space="preserve">ORD11286</t>
  </si>
  <si>
    <t xml:space="preserve">ORD10725</t>
  </si>
  <si>
    <t xml:space="preserve">C0896</t>
  </si>
  <si>
    <t xml:space="preserve">ORD12547</t>
  </si>
  <si>
    <t xml:space="preserve">C0353</t>
  </si>
  <si>
    <t xml:space="preserve">ORD11213</t>
  </si>
  <si>
    <t xml:space="preserve">03/06/2025</t>
  </si>
  <si>
    <t xml:space="preserve">ORD12300</t>
  </si>
  <si>
    <t xml:space="preserve">ORD12608</t>
  </si>
  <si>
    <t xml:space="preserve">ORD11638</t>
  </si>
  <si>
    <t xml:space="preserve">ORD12888</t>
  </si>
  <si>
    <t xml:space="preserve">ORD12968</t>
  </si>
  <si>
    <t xml:space="preserve">C1001</t>
  </si>
  <si>
    <t xml:space="preserve">ORD10983</t>
  </si>
  <si>
    <t xml:space="preserve">ORD10707</t>
  </si>
  <si>
    <t xml:space="preserve">C0790</t>
  </si>
  <si>
    <t xml:space="preserve">ORD11688</t>
  </si>
  <si>
    <t xml:space="preserve">C0286</t>
  </si>
  <si>
    <t xml:space="preserve">ORD10274</t>
  </si>
  <si>
    <t xml:space="preserve">ORD11710</t>
  </si>
  <si>
    <t xml:space="preserve">00:00</t>
  </si>
  <si>
    <t xml:space="preserve">ORD12770</t>
  </si>
  <si>
    <t xml:space="preserve">ORD10964</t>
  </si>
  <si>
    <t xml:space="preserve">C0238</t>
  </si>
  <si>
    <t xml:space="preserve">ORD12542</t>
  </si>
  <si>
    <t xml:space="preserve">C0826</t>
  </si>
  <si>
    <t xml:space="preserve">ORD12887</t>
  </si>
  <si>
    <t xml:space="preserve">ORD10394</t>
  </si>
  <si>
    <t xml:space="preserve">08:58</t>
  </si>
  <si>
    <t xml:space="preserve">C0500</t>
  </si>
  <si>
    <t xml:space="preserve">ORD12690</t>
  </si>
  <si>
    <t xml:space="preserve">ORD12585</t>
  </si>
  <si>
    <t xml:space="preserve">ORD11453</t>
  </si>
  <si>
    <t xml:space="preserve">ORD10150</t>
  </si>
  <si>
    <t xml:space="preserve">ORD11758</t>
  </si>
  <si>
    <t xml:space="preserve">ORD10219</t>
  </si>
  <si>
    <t xml:space="preserve">13:10</t>
  </si>
  <si>
    <t xml:space="preserve">ORD10240</t>
  </si>
  <si>
    <t xml:space="preserve">ORD11132</t>
  </si>
  <si>
    <t xml:space="preserve">C1139</t>
  </si>
  <si>
    <t xml:space="preserve">ORD12735</t>
  </si>
  <si>
    <t xml:space="preserve">ORD12240</t>
  </si>
  <si>
    <t xml:space="preserve">ORD12382</t>
  </si>
  <si>
    <t xml:space="preserve">ORD11254</t>
  </si>
  <si>
    <t xml:space="preserve">ORD11054</t>
  </si>
  <si>
    <t xml:space="preserve">C0095</t>
  </si>
  <si>
    <t xml:space="preserve">ORD11669</t>
  </si>
  <si>
    <t xml:space="preserve">ORD12574</t>
  </si>
  <si>
    <t xml:space="preserve">C0232</t>
  </si>
  <si>
    <t xml:space="preserve">ORD11358</t>
  </si>
  <si>
    <t xml:space="preserve">24/06/2025</t>
  </si>
  <si>
    <t xml:space="preserve">ORD10776</t>
  </si>
  <si>
    <t xml:space="preserve">ORD12652</t>
  </si>
  <si>
    <t xml:space="preserve">ORD10840</t>
  </si>
  <si>
    <t xml:space="preserve">ORD10628</t>
  </si>
  <si>
    <t xml:space="preserve">ORD10324</t>
  </si>
  <si>
    <t xml:space="preserve">C1304</t>
  </si>
  <si>
    <t xml:space="preserve">ORD12747</t>
  </si>
  <si>
    <t xml:space="preserve">ORD12977</t>
  </si>
  <si>
    <t xml:space="preserve">C0419</t>
  </si>
  <si>
    <t xml:space="preserve">ORD11868</t>
  </si>
  <si>
    <t xml:space="preserve">ORD11161</t>
  </si>
  <si>
    <t xml:space="preserve">10:52</t>
  </si>
  <si>
    <t xml:space="preserve">ORD11077</t>
  </si>
  <si>
    <t xml:space="preserve">C0348</t>
  </si>
  <si>
    <t xml:space="preserve">ORD10438</t>
  </si>
  <si>
    <t xml:space="preserve">ORD10120</t>
  </si>
  <si>
    <t xml:space="preserve">C0364</t>
  </si>
  <si>
    <t xml:space="preserve">ORD12676</t>
  </si>
  <si>
    <t xml:space="preserve">ORD12504</t>
  </si>
  <si>
    <t xml:space="preserve">ORD12681</t>
  </si>
  <si>
    <t xml:space="preserve">ORD11815</t>
  </si>
  <si>
    <t xml:space="preserve">ORD11840</t>
  </si>
  <si>
    <t xml:space="preserve">11:42</t>
  </si>
  <si>
    <t xml:space="preserve">ORD11027</t>
  </si>
  <si>
    <t xml:space="preserve">ORD10077</t>
  </si>
  <si>
    <t xml:space="preserve">ORD10901</t>
  </si>
  <si>
    <t xml:space="preserve">C1090</t>
  </si>
  <si>
    <t xml:space="preserve">ORD10372</t>
  </si>
  <si>
    <t xml:space="preserve">ORD11205</t>
  </si>
  <si>
    <t xml:space="preserve">02-Jun-2025</t>
  </si>
  <si>
    <t xml:space="preserve">08:45</t>
  </si>
  <si>
    <t xml:space="preserve">ORD12580</t>
  </si>
  <si>
    <t xml:space="preserve">C1228</t>
  </si>
  <si>
    <t xml:space="preserve">ORD10942</t>
  </si>
  <si>
    <t xml:space="preserve">ORD10553</t>
  </si>
  <si>
    <t xml:space="preserve">C1267</t>
  </si>
  <si>
    <t xml:space="preserve">ORD10407</t>
  </si>
  <si>
    <t xml:space="preserve">10:23</t>
  </si>
  <si>
    <t xml:space="preserve">ORD12118</t>
  </si>
  <si>
    <t xml:space="preserve">ORD11614</t>
  </si>
  <si>
    <t xml:space="preserve">ORD10969</t>
  </si>
  <si>
    <t xml:space="preserve">C1258</t>
  </si>
  <si>
    <t xml:space="preserve">ORD12350</t>
  </si>
  <si>
    <t xml:space="preserve">ORD11747</t>
  </si>
  <si>
    <t xml:space="preserve">00:27</t>
  </si>
  <si>
    <t xml:space="preserve">ORD10690</t>
  </si>
  <si>
    <t xml:space="preserve">28/03/2025</t>
  </si>
  <si>
    <t xml:space="preserve">ORD11739</t>
  </si>
  <si>
    <t xml:space="preserve">ORD10237</t>
  </si>
  <si>
    <t xml:space="preserve">ORD12905</t>
  </si>
  <si>
    <t xml:space="preserve">C0502</t>
  </si>
  <si>
    <t xml:space="preserve">ORD11987</t>
  </si>
  <si>
    <t xml:space="preserve">17:28</t>
  </si>
  <si>
    <t xml:space="preserve">C1183</t>
  </si>
  <si>
    <t xml:space="preserve">ORD11984</t>
  </si>
  <si>
    <t xml:space="preserve">ORD10500</t>
  </si>
  <si>
    <t xml:space="preserve">ORD10823</t>
  </si>
  <si>
    <t xml:space="preserve">ORD10795</t>
  </si>
  <si>
    <t xml:space="preserve">ORD10991</t>
  </si>
  <si>
    <t xml:space="preserve">ORD10568</t>
  </si>
  <si>
    <t xml:space="preserve">ORD12436</t>
  </si>
  <si>
    <t xml:space="preserve">ORD10391</t>
  </si>
  <si>
    <t xml:space="preserve">21/02/2025</t>
  </si>
  <si>
    <t xml:space="preserve">C1049</t>
  </si>
  <si>
    <t xml:space="preserve">ORD10744</t>
  </si>
  <si>
    <t xml:space="preserve">ORD12401</t>
  </si>
  <si>
    <t xml:space="preserve">ORD11218</t>
  </si>
  <si>
    <t xml:space="preserve">C0102</t>
  </si>
  <si>
    <t xml:space="preserve">ORD10236</t>
  </si>
  <si>
    <t xml:space="preserve">ORD12839</t>
  </si>
  <si>
    <t xml:space="preserve">C0482</t>
  </si>
  <si>
    <t xml:space="preserve">ORD10481</t>
  </si>
  <si>
    <t xml:space="preserve">05/03/2025</t>
  </si>
  <si>
    <t xml:space="preserve">C0085</t>
  </si>
  <si>
    <t xml:space="preserve">ORD12043</t>
  </si>
  <si>
    <t xml:space="preserve">ORD11678</t>
  </si>
  <si>
    <t xml:space="preserve">21:03</t>
  </si>
  <si>
    <t xml:space="preserve">ORD12782</t>
  </si>
  <si>
    <t xml:space="preserve">06-Dec-2025</t>
  </si>
  <si>
    <t xml:space="preserve">ORD12935</t>
  </si>
  <si>
    <t xml:space="preserve">ORD12851</t>
  </si>
  <si>
    <t xml:space="preserve">ORD12685</t>
  </si>
  <si>
    <t xml:space="preserve">C0566</t>
  </si>
  <si>
    <t xml:space="preserve">ORD10121</t>
  </si>
  <si>
    <t xml:space="preserve">ORD11273</t>
  </si>
  <si>
    <t xml:space="preserve">ORD10927</t>
  </si>
  <si>
    <t xml:space="preserve">ORD11595</t>
  </si>
  <si>
    <t xml:space="preserve">C0552</t>
  </si>
  <si>
    <t xml:space="preserve">ORD10224</t>
  </si>
  <si>
    <t xml:space="preserve">ORD10767</t>
  </si>
  <si>
    <t xml:space="preserve">ORD10614</t>
  </si>
  <si>
    <t xml:space="preserve">ORD11246</t>
  </si>
  <si>
    <t xml:space="preserve">ORD11541</t>
  </si>
  <si>
    <t xml:space="preserve">ORD10053</t>
  </si>
  <si>
    <t xml:space="preserve">ORD10530</t>
  </si>
  <si>
    <t xml:space="preserve">ORD11900</t>
  </si>
  <si>
    <t xml:space="preserve">ORD12979</t>
  </si>
  <si>
    <t xml:space="preserve">ORD10819</t>
  </si>
  <si>
    <t xml:space="preserve">ORD10156</t>
  </si>
  <si>
    <t xml:space="preserve">C0346</t>
  </si>
  <si>
    <t xml:space="preserve">ORD12924</t>
  </si>
  <si>
    <t xml:space="preserve">ORD10249</t>
  </si>
  <si>
    <t xml:space="preserve">ORD10762</t>
  </si>
  <si>
    <t xml:space="preserve">07/04/2025</t>
  </si>
  <si>
    <t xml:space="preserve">C1234</t>
  </si>
  <si>
    <t xml:space="preserve">ORD11895</t>
  </si>
  <si>
    <t xml:space="preserve">ORD12030</t>
  </si>
  <si>
    <t xml:space="preserve">ORD11131</t>
  </si>
  <si>
    <t xml:space="preserve">ORD10543</t>
  </si>
  <si>
    <t xml:space="preserve">ORD10794</t>
  </si>
  <si>
    <t xml:space="preserve">ORD11726</t>
  </si>
  <si>
    <t xml:space="preserve">ORD10629</t>
  </si>
  <si>
    <t xml:space="preserve">ORD12199</t>
  </si>
  <si>
    <t xml:space="preserve">23:11</t>
  </si>
  <si>
    <t xml:space="preserve">ORD12746</t>
  </si>
  <si>
    <t xml:space="preserve">ORD12340</t>
  </si>
  <si>
    <t xml:space="preserve">ORD12430</t>
  </si>
  <si>
    <t xml:space="preserve">C1109</t>
  </si>
  <si>
    <t xml:space="preserve">ORD12893</t>
  </si>
  <si>
    <t xml:space="preserve">ORD11368</t>
  </si>
  <si>
    <t xml:space="preserve">ORD11621</t>
  </si>
  <si>
    <t xml:space="preserve">C0643</t>
  </si>
  <si>
    <t xml:space="preserve">ORD12830</t>
  </si>
  <si>
    <t xml:space="preserve">ORD11072</t>
  </si>
  <si>
    <t xml:space="preserve">C0990</t>
  </si>
  <si>
    <t xml:space="preserve">ORD10555</t>
  </si>
  <si>
    <t xml:space="preserve">ORD11829</t>
  </si>
  <si>
    <t xml:space="preserve">C0681</t>
  </si>
  <si>
    <t xml:space="preserve">ORD10827</t>
  </si>
  <si>
    <t xml:space="preserve">ORD11985</t>
  </si>
  <si>
    <t xml:space="preserve">C0763</t>
  </si>
  <si>
    <t xml:space="preserve">ORD11838</t>
  </si>
  <si>
    <t xml:space="preserve">ORD10536</t>
  </si>
  <si>
    <t xml:space="preserve">13:52</t>
  </si>
  <si>
    <t xml:space="preserve">ORD12715</t>
  </si>
  <si>
    <t xml:space="preserve">ORD10155</t>
  </si>
  <si>
    <t xml:space="preserve">ORD12623</t>
  </si>
  <si>
    <t xml:space="preserve">ORD12859</t>
  </si>
  <si>
    <t xml:space="preserve">ORD10323</t>
  </si>
  <si>
    <t xml:space="preserve">C0172</t>
  </si>
  <si>
    <t xml:space="preserve">ORD11711</t>
  </si>
  <si>
    <t xml:space="preserve">ORD10015</t>
  </si>
  <si>
    <t xml:space="preserve">21:32</t>
  </si>
  <si>
    <t xml:space="preserve">ORD11799</t>
  </si>
  <si>
    <t xml:space="preserve">08:50</t>
  </si>
  <si>
    <t xml:space="preserve">ORD12862</t>
  </si>
  <si>
    <t xml:space="preserve">ORD10083</t>
  </si>
  <si>
    <t xml:space="preserve">ORD12561</t>
  </si>
  <si>
    <t xml:space="preserve">C0695</t>
  </si>
  <si>
    <t xml:space="preserve">ORD11944</t>
  </si>
  <si>
    <t xml:space="preserve">C0963</t>
  </si>
  <si>
    <t xml:space="preserve">ORD11989</t>
  </si>
  <si>
    <t xml:space="preserve">C0556</t>
  </si>
  <si>
    <t xml:space="preserve">ORD11384</t>
  </si>
  <si>
    <t xml:space="preserve">ORD11575</t>
  </si>
  <si>
    <t xml:space="preserve">ORD12059</t>
  </si>
  <si>
    <t xml:space="preserve">ORD12927</t>
  </si>
  <si>
    <t xml:space="preserve">C1286</t>
  </si>
  <si>
    <t xml:space="preserve">ORD11495</t>
  </si>
  <si>
    <t xml:space="preserve">ORD10832</t>
  </si>
  <si>
    <t xml:space="preserve">ORD12081</t>
  </si>
  <si>
    <t xml:space="preserve">ORD11175</t>
  </si>
  <si>
    <t xml:space="preserve">ORD10414</t>
  </si>
  <si>
    <t xml:space="preserve">ORD11818</t>
  </si>
  <si>
    <t xml:space="preserve">ORD10166</t>
  </si>
  <si>
    <t xml:space="preserve">C1075</t>
  </si>
  <si>
    <t xml:space="preserve">ORD12621</t>
  </si>
  <si>
    <t xml:space="preserve">ORD12970</t>
  </si>
  <si>
    <t xml:space="preserve">ORD10615</t>
  </si>
  <si>
    <t xml:space="preserve">ORD11015</t>
  </si>
  <si>
    <t xml:space="preserve">ORD12138</t>
  </si>
  <si>
    <t xml:space="preserve">ORD12791</t>
  </si>
  <si>
    <t xml:space="preserve">17:32</t>
  </si>
  <si>
    <t xml:space="preserve">C0347</t>
  </si>
  <si>
    <t xml:space="preserve">ORD11238</t>
  </si>
  <si>
    <t xml:space="preserve">ORD12182</t>
  </si>
  <si>
    <t xml:space="preserve">05-Oct-2025</t>
  </si>
  <si>
    <t xml:space="preserve">ORD10556</t>
  </si>
  <si>
    <t xml:space="preserve">ORD12369</t>
  </si>
  <si>
    <t xml:space="preserve">C0044</t>
  </si>
  <si>
    <t xml:space="preserve">ORD11212</t>
  </si>
  <si>
    <t xml:space="preserve">03-Jun-2025</t>
  </si>
  <si>
    <t xml:space="preserve">10:15</t>
  </si>
  <si>
    <t xml:space="preserve">ORD12829</t>
  </si>
  <si>
    <t xml:space="preserve">ORD10635</t>
  </si>
  <si>
    <t xml:space="preserve">ORD11056</t>
  </si>
  <si>
    <t xml:space="preserve">ORD12341</t>
  </si>
  <si>
    <t xml:space="preserve">ORD11709</t>
  </si>
  <si>
    <t xml:space="preserve">12-Aug-2025</t>
  </si>
  <si>
    <t xml:space="preserve">22:21</t>
  </si>
  <si>
    <t xml:space="preserve">ORD10797</t>
  </si>
  <si>
    <t xml:space="preserve">ORD12805</t>
  </si>
  <si>
    <t xml:space="preserve">ORD10175</t>
  </si>
  <si>
    <t xml:space="preserve">C0721</t>
  </si>
  <si>
    <t xml:space="preserve">ORD10246</t>
  </si>
  <si>
    <t xml:space="preserve">ORD11081</t>
  </si>
  <si>
    <t xml:space="preserve">18:06</t>
  </si>
  <si>
    <t xml:space="preserve">ORD11655</t>
  </si>
  <si>
    <t xml:space="preserve">ORD10145</t>
  </si>
  <si>
    <t xml:space="preserve">C0670</t>
  </si>
  <si>
    <t xml:space="preserve">ORD10146</t>
  </si>
  <si>
    <t xml:space="preserve">ORD10091</t>
  </si>
  <si>
    <t xml:space="preserve">ORD10683</t>
  </si>
  <si>
    <t xml:space="preserve">ORD10094</t>
  </si>
  <si>
    <t xml:space="preserve">ORD12831</t>
  </si>
  <si>
    <t xml:space="preserve">C1351</t>
  </si>
  <si>
    <t xml:space="preserve">ORD11957</t>
  </si>
  <si>
    <t xml:space="preserve">ORD10925</t>
  </si>
  <si>
    <t xml:space="preserve">27-Apr-2025</t>
  </si>
  <si>
    <t xml:space="preserve">14:09</t>
  </si>
  <si>
    <t xml:space="preserve">ORD12788</t>
  </si>
  <si>
    <t xml:space="preserve">ORD11910</t>
  </si>
  <si>
    <t xml:space="preserve">05-Sep-2025</t>
  </si>
  <si>
    <t xml:space="preserve">ORD11036</t>
  </si>
  <si>
    <t xml:space="preserve">C0403</t>
  </si>
  <si>
    <t xml:space="preserve">ORD11401</t>
  </si>
  <si>
    <t xml:space="preserve">ORD12292</t>
  </si>
  <si>
    <t xml:space="preserve">ORD11501</t>
  </si>
  <si>
    <t xml:space="preserve">ORD12263</t>
  </si>
  <si>
    <t xml:space="preserve">ORD11469</t>
  </si>
  <si>
    <t xml:space="preserve">ORD10999</t>
  </si>
  <si>
    <t xml:space="preserve">C0370</t>
  </si>
  <si>
    <t xml:space="preserve">ORD10854</t>
  </si>
  <si>
    <t xml:space="preserve">C0639</t>
  </si>
  <si>
    <t xml:space="preserve">ORD12474</t>
  </si>
  <si>
    <t xml:space="preserve">07-Nov-2025</t>
  </si>
  <si>
    <t xml:space="preserve">ORD12205</t>
  </si>
  <si>
    <t xml:space="preserve">C0488</t>
  </si>
  <si>
    <t xml:space="preserve">ORD11143</t>
  </si>
  <si>
    <t xml:space="preserve">C1380</t>
  </si>
  <si>
    <t xml:space="preserve">ORD11144</t>
  </si>
  <si>
    <t xml:space="preserve">ORD12275</t>
  </si>
  <si>
    <t xml:space="preserve">15-Oct-2025</t>
  </si>
  <si>
    <t xml:space="preserve">13:30</t>
  </si>
  <si>
    <t xml:space="preserve">ORD10402</t>
  </si>
  <si>
    <t xml:space="preserve">ORD11104</t>
  </si>
  <si>
    <t xml:space="preserve">ORD10085</t>
  </si>
  <si>
    <t xml:space="preserve">ORD12211</t>
  </si>
  <si>
    <t xml:space="preserve">ORD12930</t>
  </si>
  <si>
    <t xml:space="preserve">ORD10115</t>
  </si>
  <si>
    <t xml:space="preserve">ORD11586</t>
  </si>
  <si>
    <t xml:space="preserve">ORD11568</t>
  </si>
  <si>
    <t xml:space="preserve">ORD11502</t>
  </si>
  <si>
    <t xml:space="preserve">15:24</t>
  </si>
  <si>
    <t xml:space="preserve">ORD11661</t>
  </si>
  <si>
    <t xml:space="preserve">ORD11557</t>
  </si>
  <si>
    <t xml:space="preserve">C0184</t>
  </si>
  <si>
    <t xml:space="preserve">ORD12008</t>
  </si>
  <si>
    <t xml:space="preserve">ORD10626</t>
  </si>
  <si>
    <t xml:space="preserve">ORD11886</t>
  </si>
  <si>
    <t xml:space="preserve">11:05</t>
  </si>
  <si>
    <t xml:space="preserve">ORD11867</t>
  </si>
  <si>
    <t xml:space="preserve">C1229</t>
  </si>
  <si>
    <t xml:space="preserve">ORD10953</t>
  </si>
  <si>
    <t xml:space="preserve">ORD12307</t>
  </si>
  <si>
    <t xml:space="preserve">ORD10625</t>
  </si>
  <si>
    <t xml:space="preserve">C1158</t>
  </si>
  <si>
    <t xml:space="preserve">ORD10235</t>
  </si>
  <si>
    <t xml:space="preserve">ORD12184</t>
  </si>
  <si>
    <t xml:space="preserve">ORD12035</t>
  </si>
  <si>
    <t xml:space="preserve">ORD11827</t>
  </si>
  <si>
    <t xml:space="preserve">ORD12885</t>
  </si>
  <si>
    <t xml:space="preserve">ORD12641</t>
  </si>
  <si>
    <t xml:space="preserve">C0258</t>
  </si>
  <si>
    <t xml:space="preserve">ORD11315</t>
  </si>
  <si>
    <t xml:space="preserve">15:21</t>
  </si>
  <si>
    <t xml:space="preserve">ORD11526</t>
  </si>
  <si>
    <t xml:space="preserve">17:37</t>
  </si>
  <si>
    <t xml:space="preserve">ORD11563</t>
  </si>
  <si>
    <t xml:space="preserve">ORD11753</t>
  </si>
  <si>
    <t xml:space="preserve">ORD11606</t>
  </si>
  <si>
    <t xml:space="preserve">ORD10344</t>
  </si>
  <si>
    <t xml:space="preserve">C0665</t>
  </si>
  <si>
    <t xml:space="preserve">ORD12342</t>
  </si>
  <si>
    <t xml:space="preserve">ORD12413</t>
  </si>
  <si>
    <t xml:space="preserve">18:43</t>
  </si>
  <si>
    <t xml:space="preserve">ORD12227</t>
  </si>
  <si>
    <t xml:space="preserve">C0784</t>
  </si>
  <si>
    <t xml:space="preserve">ORD10997</t>
  </si>
  <si>
    <t xml:space="preserve">ORD12063</t>
  </si>
  <si>
    <t xml:space="preserve">ORD11111</t>
  </si>
  <si>
    <t xml:space="preserve">ORD12214</t>
  </si>
  <si>
    <t xml:space="preserve">ORD11360</t>
  </si>
  <si>
    <t xml:space="preserve">C0442</t>
  </si>
  <si>
    <t xml:space="preserve">ORD12108</t>
  </si>
  <si>
    <t xml:space="preserve">ORD10710</t>
  </si>
  <si>
    <t xml:space="preserve">31/03/2025</t>
  </si>
  <si>
    <t xml:space="preserve">ORD11879</t>
  </si>
  <si>
    <t xml:space="preserve">ORD11379</t>
  </si>
  <si>
    <t xml:space="preserve">ORD10425</t>
  </si>
  <si>
    <t xml:space="preserve">ORD10293</t>
  </si>
  <si>
    <t xml:space="preserve">ORD11066</t>
  </si>
  <si>
    <t xml:space="preserve">ORD12378</t>
  </si>
  <si>
    <t xml:space="preserve">ORD11639</t>
  </si>
  <si>
    <t xml:space="preserve">ORD12478</t>
  </si>
  <si>
    <t xml:space="preserve">C1219</t>
  </si>
  <si>
    <t xml:space="preserve">ORD11013</t>
  </si>
  <si>
    <t xml:space="preserve">ORD12128</t>
  </si>
  <si>
    <t xml:space="preserve">18:24</t>
  </si>
  <si>
    <t xml:space="preserve">ORD11718</t>
  </si>
  <si>
    <t xml:space="preserve">ORD10938</t>
  </si>
  <si>
    <t xml:space="preserve">ORD10835</t>
  </si>
  <si>
    <t xml:space="preserve">ORD10255</t>
  </si>
  <si>
    <t xml:space="preserve">02-Feb-2025</t>
  </si>
  <si>
    <t xml:space="preserve">ORD11483</t>
  </si>
  <si>
    <t xml:space="preserve">ORD11408</t>
  </si>
  <si>
    <t xml:space="preserve">ORD12952</t>
  </si>
  <si>
    <t xml:space="preserve">ORD12185</t>
  </si>
  <si>
    <t xml:space="preserve">ORD10724</t>
  </si>
  <si>
    <t xml:space="preserve">ORD10970</t>
  </si>
  <si>
    <t xml:space="preserve">ORD10497</t>
  </si>
  <si>
    <t xml:space="preserve">ORD10951</t>
  </si>
  <si>
    <t xml:space="preserve">C0073</t>
  </si>
  <si>
    <t xml:space="preserve">ORD10806</t>
  </si>
  <si>
    <t xml:space="preserve">ORD11830</t>
  </si>
  <si>
    <t xml:space="preserve">ORD11740</t>
  </si>
  <si>
    <t xml:space="preserve">ORD10338</t>
  </si>
  <si>
    <t xml:space="preserve">ORD10731</t>
  </si>
  <si>
    <t xml:space="preserve">04-Apr-2025</t>
  </si>
  <si>
    <t xml:space="preserve">09:11</t>
  </si>
  <si>
    <t xml:space="preserve">C0738</t>
  </si>
  <si>
    <t xml:space="preserve">ORD10609</t>
  </si>
  <si>
    <t xml:space="preserve">ORD11149</t>
  </si>
  <si>
    <t xml:space="preserve">ORD12244</t>
  </si>
  <si>
    <t xml:space="preserve">ORD11714</t>
  </si>
  <si>
    <t xml:space="preserve">ORD11271</t>
  </si>
  <si>
    <t xml:space="preserve">ORD10910</t>
  </si>
  <si>
    <t xml:space="preserve">24-Apr-2025</t>
  </si>
  <si>
    <t xml:space="preserve">ORD12633</t>
  </si>
  <si>
    <t xml:space="preserve">ORD12152</t>
  </si>
  <si>
    <t xml:space="preserve">19:20</t>
  </si>
  <si>
    <t xml:space="preserve">ORD12011</t>
  </si>
  <si>
    <t xml:space="preserve">ORD12492</t>
  </si>
  <si>
    <t xml:space="preserve">ORD11811</t>
  </si>
  <si>
    <t xml:space="preserve">ORD11995</t>
  </si>
  <si>
    <t xml:space="preserve">ORD10720</t>
  </si>
  <si>
    <t xml:space="preserve">ORD11570</t>
  </si>
  <si>
    <t xml:space="preserve">ORD12276</t>
  </si>
  <si>
    <t xml:space="preserve">ORD10435</t>
  </si>
  <si>
    <t xml:space="preserve">ORD11300</t>
  </si>
  <si>
    <t xml:space="preserve">ORD12175</t>
  </si>
  <si>
    <t xml:space="preserve">C1249</t>
  </si>
  <si>
    <t xml:space="preserve"> Pizza Palace</t>
  </si>
  <si>
    <t xml:space="preserve">ORD10406</t>
  </si>
  <si>
    <t xml:space="preserve">ORD10822</t>
  </si>
  <si>
    <t xml:space="preserve">ORD11790</t>
  </si>
  <si>
    <t xml:space="preserve">C1022</t>
  </si>
  <si>
    <t xml:space="preserve">ORD12954</t>
  </si>
  <si>
    <t xml:space="preserve">ORD12352</t>
  </si>
  <si>
    <t xml:space="preserve">ORD12316</t>
  </si>
  <si>
    <t xml:space="preserve">19/10/2025</t>
  </si>
  <si>
    <t xml:space="preserve">C1325</t>
  </si>
  <si>
    <t xml:space="preserve">ORD11859</t>
  </si>
  <si>
    <t xml:space="preserve">ORD11558</t>
  </si>
  <si>
    <t xml:space="preserve">ORD10546</t>
  </si>
  <si>
    <t xml:space="preserve">ORD10213</t>
  </si>
  <si>
    <t xml:space="preserve">ORD10897</t>
  </si>
  <si>
    <t xml:space="preserve">17:12</t>
  </si>
  <si>
    <t xml:space="preserve">ORD11942</t>
  </si>
  <si>
    <t xml:space="preserve">ORD11892</t>
  </si>
  <si>
    <t xml:space="preserve">ORD10917</t>
  </si>
  <si>
    <t xml:space="preserve">ORD12724</t>
  </si>
  <si>
    <t xml:space="preserve">ORD11290</t>
  </si>
  <si>
    <t xml:space="preserve">ORD10815</t>
  </si>
  <si>
    <t xml:space="preserve">ORD10343</t>
  </si>
  <si>
    <t xml:space="preserve">ORD12598</t>
  </si>
  <si>
    <t xml:space="preserve">Biryani  Baadshah</t>
  </si>
  <si>
    <t xml:space="preserve">ORD11411</t>
  </si>
  <si>
    <t xml:space="preserve">ORD11215</t>
  </si>
  <si>
    <t xml:space="preserve">C1036</t>
  </si>
  <si>
    <t xml:space="preserve">ORD10967</t>
  </si>
  <si>
    <t xml:space="preserve">C0414</t>
  </si>
  <si>
    <t xml:space="preserve">ORD11231</t>
  </si>
  <si>
    <t xml:space="preserve">C0246</t>
  </si>
  <si>
    <t xml:space="preserve">ORD12344</t>
  </si>
  <si>
    <t xml:space="preserve">ORD10696</t>
  </si>
  <si>
    <t xml:space="preserve">ORD12122</t>
  </si>
  <si>
    <t xml:space="preserve">22:48</t>
  </si>
  <si>
    <t xml:space="preserve">ORD10606</t>
  </si>
  <si>
    <t xml:space="preserve">ORD10105</t>
  </si>
  <si>
    <t xml:space="preserve">C0525</t>
  </si>
  <si>
    <t xml:space="preserve">ORD10646</t>
  </si>
  <si>
    <t xml:space="preserve">16:52</t>
  </si>
  <si>
    <t xml:space="preserve">ORD11405</t>
  </si>
  <si>
    <t xml:space="preserve">ORD10495</t>
  </si>
  <si>
    <t xml:space="preserve">ORD12488</t>
  </si>
  <si>
    <t xml:space="preserve">08/11/2025</t>
  </si>
  <si>
    <t xml:space="preserve">ORD11020</t>
  </si>
  <si>
    <t xml:space="preserve">ORD10092</t>
  </si>
  <si>
    <t xml:space="preserve">C0199</t>
  </si>
  <si>
    <t xml:space="preserve">ORD11113</t>
  </si>
  <si>
    <t xml:space="preserve">ORD10909</t>
  </si>
  <si>
    <t xml:space="preserve">ORD11475</t>
  </si>
  <si>
    <t xml:space="preserve">C0425</t>
  </si>
  <si>
    <t xml:space="preserve">ORD11742</t>
  </si>
  <si>
    <t xml:space="preserve">ORD12151</t>
  </si>
  <si>
    <t xml:space="preserve">ORD10239</t>
  </si>
  <si>
    <t xml:space="preserve">ORD10943</t>
  </si>
  <si>
    <t xml:space="preserve">29/04/2025</t>
  </si>
  <si>
    <t xml:space="preserve">17:06</t>
  </si>
  <si>
    <t xml:space="preserve">C0998</t>
  </si>
  <si>
    <t xml:space="preserve">ORD10939</t>
  </si>
  <si>
    <t xml:space="preserve">ORD11425</t>
  </si>
  <si>
    <t xml:space="preserve">ORD11863</t>
  </si>
  <si>
    <t xml:space="preserve">31/08/2025</t>
  </si>
  <si>
    <t xml:space="preserve">ORD11670</t>
  </si>
  <si>
    <t xml:space="preserve">ORD10006</t>
  </si>
  <si>
    <t xml:space="preserve">ORD10248</t>
  </si>
  <si>
    <t xml:space="preserve">ORD10019</t>
  </si>
  <si>
    <t xml:space="preserve">C0302</t>
  </si>
  <si>
    <t xml:space="preserve">ORD12170</t>
  </si>
  <si>
    <t xml:space="preserve">ORD11971</t>
  </si>
  <si>
    <t xml:space="preserve">ORD12710</t>
  </si>
  <si>
    <t xml:space="preserve">ORD12233</t>
  </si>
  <si>
    <t xml:space="preserve">GUJARATI THALI GHAR</t>
  </si>
  <si>
    <t xml:space="preserve">ORD12323</t>
  </si>
  <si>
    <t xml:space="preserve">ORD12482</t>
  </si>
  <si>
    <t xml:space="preserve">ORD10812</t>
  </si>
  <si>
    <t xml:space="preserve">ORD11301</t>
  </si>
  <si>
    <t xml:space="preserve">ORD11336</t>
  </si>
  <si>
    <t xml:space="preserve">ORD12940</t>
  </si>
  <si>
    <t xml:space="preserve">ORD10261</t>
  </si>
  <si>
    <t xml:space="preserve">ORD11805</t>
  </si>
  <si>
    <t xml:space="preserve">23-Aug-2025</t>
  </si>
  <si>
    <t xml:space="preserve">ORD11571</t>
  </si>
  <si>
    <t xml:space="preserve">ORD12230</t>
  </si>
  <si>
    <t xml:space="preserve">ORD12455</t>
  </si>
  <si>
    <t xml:space="preserve">ORD11744</t>
  </si>
  <si>
    <t xml:space="preserve">C0875</t>
  </si>
  <si>
    <t xml:space="preserve">ORD11631</t>
  </si>
  <si>
    <t xml:space="preserve">ORD11717</t>
  </si>
  <si>
    <t xml:space="preserve">ORD10521</t>
  </si>
  <si>
    <t xml:space="preserve">ORD12429</t>
  </si>
  <si>
    <t xml:space="preserve">01:03</t>
  </si>
  <si>
    <t xml:space="preserve">ORD12017</t>
  </si>
  <si>
    <t xml:space="preserve">ORD11659</t>
  </si>
  <si>
    <t xml:space="preserve">01:41</t>
  </si>
  <si>
    <t xml:space="preserve">ORD11613</t>
  </si>
  <si>
    <t xml:space="preserve">16:47</t>
  </si>
  <si>
    <t xml:space="preserve">ORD12476</t>
  </si>
  <si>
    <t xml:space="preserve">ORD12127</t>
  </si>
  <si>
    <t xml:space="preserve">ORD10637</t>
  </si>
  <si>
    <t xml:space="preserve">ORD10608</t>
  </si>
  <si>
    <t xml:space="preserve">ORD10231</t>
  </si>
  <si>
    <t xml:space="preserve">ORD10332</t>
  </si>
  <si>
    <t xml:space="preserve">ORD11441</t>
  </si>
  <si>
    <t xml:space="preserve">ORD11928</t>
  </si>
  <si>
    <t xml:space="preserve">ORD11092</t>
  </si>
  <si>
    <t xml:space="preserve">ORD11102</t>
  </si>
  <si>
    <t xml:space="preserve">ORD11130</t>
  </si>
  <si>
    <t xml:space="preserve">ORD10462</t>
  </si>
  <si>
    <t xml:space="preserve">ORD10959</t>
  </si>
  <si>
    <t xml:space="preserve">ORD11663</t>
  </si>
  <si>
    <t xml:space="preserve">ORD10560</t>
  </si>
  <si>
    <t xml:space="preserve">ORD12739</t>
  </si>
  <si>
    <t xml:space="preserve">ORD12849</t>
  </si>
  <si>
    <t xml:space="preserve">00:35</t>
  </si>
  <si>
    <t xml:space="preserve">ORD11520</t>
  </si>
  <si>
    <t xml:space="preserve">ORD12141</t>
  </si>
  <si>
    <t xml:space="preserve">ORD12939</t>
  </si>
  <si>
    <t xml:space="preserve">ORD12033</t>
  </si>
  <si>
    <t xml:space="preserve">ORD12485</t>
  </si>
  <si>
    <t xml:space="preserve">ORD12539</t>
  </si>
  <si>
    <t xml:space="preserve">C0389</t>
  </si>
  <si>
    <t xml:space="preserve">ORD12098</t>
  </si>
  <si>
    <t xml:space="preserve">15:12</t>
  </si>
  <si>
    <t xml:space="preserve">ORD12880</t>
  </si>
  <si>
    <t xml:space="preserve">C0274</t>
  </si>
  <si>
    <t xml:space="preserve">ORD10070</t>
  </si>
  <si>
    <t xml:space="preserve">ORD11573</t>
  </si>
  <si>
    <t xml:space="preserve">24/07/2025</t>
  </si>
  <si>
    <t xml:space="preserve">ORD10809</t>
  </si>
  <si>
    <t xml:space="preserve">ORD10012</t>
  </si>
  <si>
    <t xml:space="preserve">ORD12026</t>
  </si>
  <si>
    <t xml:space="preserve">ORD12193</t>
  </si>
  <si>
    <t xml:space="preserve">ORD10918</t>
  </si>
  <si>
    <t xml:space="preserve">ORD11452</t>
  </si>
  <si>
    <t xml:space="preserve">ORD12688</t>
  </si>
  <si>
    <t xml:space="preserve">ORD10177</t>
  </si>
  <si>
    <t xml:space="preserve">08:00</t>
  </si>
  <si>
    <t xml:space="preserve">ORD10995</t>
  </si>
  <si>
    <t xml:space="preserve">ORD12489</t>
  </si>
  <si>
    <t xml:space="preserve">ORD12570</t>
  </si>
  <si>
    <t xml:space="preserve">ORD11256</t>
  </si>
  <si>
    <t xml:space="preserve">09/06/2025</t>
  </si>
  <si>
    <t xml:space="preserve">C0422</t>
  </si>
  <si>
    <t xml:space="preserve">ORD11665</t>
  </si>
  <si>
    <t xml:space="preserve">ORD12192</t>
  </si>
  <si>
    <t xml:space="preserve">ORD12802</t>
  </si>
  <si>
    <t xml:space="preserve">ORD12568</t>
  </si>
  <si>
    <t xml:space="preserve">ORD11791</t>
  </si>
  <si>
    <t xml:space="preserve">21/08/2025</t>
  </si>
  <si>
    <t xml:space="preserve">C1208</t>
  </si>
  <si>
    <t xml:space="preserve">ORD12477</t>
  </si>
  <si>
    <t xml:space="preserve">ORD12661</t>
  </si>
  <si>
    <t xml:space="preserve">15:28</t>
  </si>
  <si>
    <t xml:space="preserve">spice junction</t>
  </si>
  <si>
    <t xml:space="preserve">ORD10157</t>
  </si>
  <si>
    <t xml:space="preserve">09:26</t>
  </si>
  <si>
    <t xml:space="preserve">ORD12588</t>
  </si>
  <si>
    <t xml:space="preserve">ORD11461</t>
  </si>
  <si>
    <t xml:space="preserve">ORD12047</t>
  </si>
  <si>
    <t xml:space="preserve">09:56</t>
  </si>
  <si>
    <t xml:space="preserve">ORD11851</t>
  </si>
  <si>
    <t xml:space="preserve">ORD12510</t>
  </si>
  <si>
    <t xml:space="preserve">TANDOOR TALES</t>
  </si>
  <si>
    <t xml:space="preserve">ORD12625</t>
  </si>
  <si>
    <t xml:space="preserve">ORD12304</t>
  </si>
  <si>
    <t xml:space="preserve">ORD12006</t>
  </si>
  <si>
    <t xml:space="preserve">17/09/2025</t>
  </si>
  <si>
    <t xml:space="preserve">C1134</t>
  </si>
  <si>
    <t xml:space="preserve">ORD11186</t>
  </si>
  <si>
    <t xml:space="preserve">ORD11007</t>
  </si>
  <si>
    <t xml:space="preserve">ORD12257</t>
  </si>
  <si>
    <t xml:space="preserve">ORD10911</t>
  </si>
  <si>
    <t xml:space="preserve">24/04/2025</t>
  </si>
  <si>
    <t xml:space="preserve">ORD11312</t>
  </si>
  <si>
    <t xml:space="preserve">19-Jun-2025</t>
  </si>
  <si>
    <t xml:space="preserve">C0158</t>
  </si>
  <si>
    <t xml:space="preserve">ORD12050</t>
  </si>
  <si>
    <t xml:space="preserve">13:02</t>
  </si>
  <si>
    <t xml:space="preserve">ORD10270</t>
  </si>
  <si>
    <t xml:space="preserve">ORD11994</t>
  </si>
  <si>
    <t xml:space="preserve">ORD10266</t>
  </si>
  <si>
    <t xml:space="preserve">ORD10915</t>
  </si>
  <si>
    <t xml:space="preserve">25-Apr-2025</t>
  </si>
  <si>
    <t xml:space="preserve">ORD12279</t>
  </si>
  <si>
    <t xml:space="preserve">C0042</t>
  </si>
  <si>
    <t xml:space="preserve">ORD12232</t>
  </si>
  <si>
    <t xml:space="preserve">C0471</t>
  </si>
  <si>
    <t xml:space="preserve">ORD11608</t>
  </si>
  <si>
    <t xml:space="preserve">ORD10874</t>
  </si>
  <si>
    <t xml:space="preserve">ORD12094</t>
  </si>
  <si>
    <t xml:space="preserve">ORD12447</t>
  </si>
  <si>
    <t xml:space="preserve">ORD10476</t>
  </si>
  <si>
    <t xml:space="preserve">ORD11653</t>
  </si>
  <si>
    <t xml:space="preserve">11:11</t>
  </si>
  <si>
    <t xml:space="preserve">C1050</t>
  </si>
  <si>
    <t xml:space="preserve">ORD11961</t>
  </si>
  <si>
    <t xml:space="preserve">ORD10162</t>
  </si>
  <si>
    <t xml:space="preserve">ORD12776</t>
  </si>
  <si>
    <t xml:space="preserve">ORD12678</t>
  </si>
  <si>
    <t xml:space="preserve">ORD10289</t>
  </si>
  <si>
    <t xml:space="preserve">08/02/2025</t>
  </si>
  <si>
    <t xml:space="preserve">C0841</t>
  </si>
  <si>
    <t xml:space="preserve">ORD11949</t>
  </si>
  <si>
    <t xml:space="preserve">ORD10576</t>
  </si>
  <si>
    <t xml:space="preserve">ORD10851</t>
  </si>
  <si>
    <t xml:space="preserve">ORD10912</t>
  </si>
  <si>
    <t xml:space="preserve">ORD11255</t>
  </si>
  <si>
    <t xml:space="preserve">C1099</t>
  </si>
  <si>
    <t xml:space="preserve">ORD11834</t>
  </si>
  <si>
    <t xml:space="preserve">27/08/2025</t>
  </si>
  <si>
    <t xml:space="preserve">ORD11723</t>
  </si>
  <si>
    <t xml:space="preserve">ORD12134</t>
  </si>
  <si>
    <t xml:space="preserve">ORD11736</t>
  </si>
  <si>
    <t xml:space="preserve">09:59</t>
  </si>
  <si>
    <t xml:space="preserve">ORD11208</t>
  </si>
  <si>
    <t xml:space="preserve">ORD12296</t>
  </si>
  <si>
    <t xml:space="preserve">ORD11844</t>
  </si>
  <si>
    <t xml:space="preserve">C1469</t>
  </si>
  <si>
    <t xml:space="preserve">ORD11849</t>
  </si>
  <si>
    <t xml:space="preserve">ORD12525</t>
  </si>
  <si>
    <t xml:space="preserve">ORD11695</t>
  </si>
  <si>
    <t xml:space="preserve">ORD10086</t>
  </si>
  <si>
    <t xml:space="preserve">C0710</t>
  </si>
  <si>
    <t xml:space="preserve">ORD10470</t>
  </si>
  <si>
    <t xml:space="preserve">ORD12274</t>
  </si>
  <si>
    <t xml:space="preserve">ORD12823</t>
  </si>
  <si>
    <t xml:space="preserve">ORD12380</t>
  </si>
  <si>
    <t xml:space="preserve">27-Oct-2025</t>
  </si>
  <si>
    <t xml:space="preserve">ORD10234</t>
  </si>
  <si>
    <t xml:space="preserve">ORD12637</t>
  </si>
  <si>
    <t xml:space="preserve">C1179</t>
  </si>
  <si>
    <t xml:space="preserve">ORD12524</t>
  </si>
  <si>
    <t xml:space="preserve">ORD12999</t>
  </si>
  <si>
    <t xml:space="preserve">ORD12648</t>
  </si>
  <si>
    <t xml:space="preserve">ORD12470</t>
  </si>
  <si>
    <t xml:space="preserve">C0271</t>
  </si>
  <si>
    <t xml:space="preserve">ORD11712</t>
  </si>
  <si>
    <t xml:space="preserve">ORD10183</t>
  </si>
  <si>
    <t xml:space="preserve">ORD10989</t>
  </si>
  <si>
    <t xml:space="preserve">ORD11001</t>
  </si>
  <si>
    <t xml:space="preserve">ORD11642</t>
  </si>
  <si>
    <t xml:space="preserve">PIZZA</t>
  </si>
  <si>
    <t xml:space="preserve">ORD11357</t>
  </si>
  <si>
    <t xml:space="preserve">ORD11463</t>
  </si>
  <si>
    <t xml:space="preserve">ORD10050</t>
  </si>
  <si>
    <t xml:space="preserve">C0244</t>
  </si>
  <si>
    <t xml:space="preserve">ORD12945</t>
  </si>
  <si>
    <t xml:space="preserve">ORD12578</t>
  </si>
  <si>
    <t xml:space="preserve">C0855</t>
  </si>
  <si>
    <t xml:space="preserve">ORD11259</t>
  </si>
  <si>
    <t xml:space="preserve">ORD10487</t>
  </si>
  <si>
    <t xml:space="preserve">ORD12546</t>
  </si>
  <si>
    <t xml:space="preserve">C0554</t>
  </si>
  <si>
    <t xml:space="preserve">ORD11909</t>
  </si>
  <si>
    <t xml:space="preserve">ORD10107</t>
  </si>
  <si>
    <t xml:space="preserve">ORD10444</t>
  </si>
  <si>
    <t xml:space="preserve">ORD11955</t>
  </si>
  <si>
    <t xml:space="preserve">09:05</t>
  </si>
  <si>
    <t xml:space="preserve">ORD10647</t>
  </si>
  <si>
    <t xml:space="preserve">23-Mar-2025</t>
  </si>
  <si>
    <t xml:space="preserve">C0014</t>
  </si>
  <si>
    <t xml:space="preserve">ORD11763</t>
  </si>
  <si>
    <t xml:space="preserve">ORD10727</t>
  </si>
  <si>
    <t xml:space="preserve">ORD12239</t>
  </si>
  <si>
    <t xml:space="preserve">ORD11857</t>
  </si>
  <si>
    <t xml:space="preserve">ORD12331</t>
  </si>
  <si>
    <t xml:space="preserve">C0173</t>
  </si>
  <si>
    <t xml:space="preserve">ORD10030</t>
  </si>
  <si>
    <t xml:space="preserve">23:42</t>
  </si>
  <si>
    <t xml:space="preserve">ORD10170</t>
  </si>
  <si>
    <t xml:space="preserve">ORD11002</t>
  </si>
  <si>
    <t xml:space="preserve">ORD12149</t>
  </si>
  <si>
    <t xml:space="preserve">ORD10198</t>
  </si>
  <si>
    <t xml:space="preserve">ORD10496</t>
  </si>
  <si>
    <t xml:space="preserve">ORD12027</t>
  </si>
  <si>
    <t xml:space="preserve">ORD10648</t>
  </si>
  <si>
    <t xml:space="preserve">ORD10045</t>
  </si>
  <si>
    <t xml:space="preserve">ORD12759</t>
  </si>
  <si>
    <t xml:space="preserve">ORD10374</t>
  </si>
  <si>
    <t xml:space="preserve">C1341</t>
  </si>
  <si>
    <t xml:space="preserve">ORD10567</t>
  </si>
  <si>
    <t xml:space="preserve">ORD12896</t>
  </si>
  <si>
    <t xml:space="preserve">ORD10461</t>
  </si>
  <si>
    <t xml:space="preserve">ORD11933</t>
  </si>
  <si>
    <t xml:space="preserve">ORD11156</t>
  </si>
  <si>
    <t xml:space="preserve">ORD10040</t>
  </si>
  <si>
    <t xml:space="preserve">ORD12483</t>
  </si>
  <si>
    <t xml:space="preserve">C1135</t>
  </si>
  <si>
    <t xml:space="preserve">ORD10974</t>
  </si>
  <si>
    <t xml:space="preserve">ORD11787</t>
  </si>
  <si>
    <t xml:space="preserve">C0635</t>
  </si>
  <si>
    <t xml:space="preserve">ORD11499</t>
  </si>
  <si>
    <t xml:space="preserve">ORD12505</t>
  </si>
  <si>
    <t xml:space="preserve">ORD11836</t>
  </si>
  <si>
    <t xml:space="preserve">ORD12309</t>
  </si>
  <si>
    <t xml:space="preserve">C0427</t>
  </si>
  <si>
    <t xml:space="preserve">ORD11841</t>
  </si>
  <si>
    <t xml:space="preserve">C1406</t>
  </si>
  <si>
    <t xml:space="preserve">ORD12084</t>
  </si>
  <si>
    <t xml:space="preserve">ORD10828</t>
  </si>
  <si>
    <t xml:space="preserve">15-Apr-2025</t>
  </si>
  <si>
    <t xml:space="preserve">ORD11936</t>
  </si>
  <si>
    <t xml:space="preserve">ORD12045</t>
  </si>
  <si>
    <t xml:space="preserve">ORD10310</t>
  </si>
  <si>
    <t xml:space="preserve">11-Feb-2025</t>
  </si>
  <si>
    <t xml:space="preserve">ORD10277</t>
  </si>
  <si>
    <t xml:space="preserve">ORD10655</t>
  </si>
  <si>
    <t xml:space="preserve">ORD10623</t>
  </si>
  <si>
    <t xml:space="preserve">ORD11860</t>
  </si>
  <si>
    <t xml:space="preserve">ORD10845</t>
  </si>
  <si>
    <t xml:space="preserve">17-Apr-2025</t>
  </si>
  <si>
    <t xml:space="preserve">ORD12156</t>
  </si>
  <si>
    <t xml:space="preserve">ORD10350</t>
  </si>
  <si>
    <t xml:space="preserve">ORD12573</t>
  </si>
  <si>
    <t xml:space="preserve">ORD10785</t>
  </si>
  <si>
    <t xml:space="preserve">ORD10048</t>
  </si>
  <si>
    <t xml:space="preserve">C0415</t>
  </si>
  <si>
    <t xml:space="preserve">ORD12252</t>
  </si>
  <si>
    <t xml:space="preserve">C0680</t>
  </si>
  <si>
    <t xml:space="preserve">ORD11656</t>
  </si>
  <si>
    <t xml:space="preserve">ORD12070</t>
  </si>
  <si>
    <t xml:space="preserve">ORD10403</t>
  </si>
  <si>
    <t xml:space="preserve">ORD11108</t>
  </si>
  <si>
    <t xml:space="preserve">ORD11155</t>
  </si>
  <si>
    <t xml:space="preserve">ORD11440</t>
  </si>
  <si>
    <t xml:space="preserve">ORD12002</t>
  </si>
  <si>
    <t xml:space="preserve">ORD10990</t>
  </si>
  <si>
    <t xml:space="preserve">06/05/2025</t>
  </si>
  <si>
    <t xml:space="preserve">ORD11866</t>
  </si>
  <si>
    <t xml:space="preserve">C0871</t>
  </si>
  <si>
    <t xml:space="preserve">ORD12790</t>
  </si>
  <si>
    <t xml:space="preserve">15:27</t>
  </si>
  <si>
    <t xml:space="preserve">ORD11311</t>
  </si>
  <si>
    <t xml:space="preserve">ORD10034</t>
  </si>
  <si>
    <t xml:space="preserve">ORD10788</t>
  </si>
  <si>
    <t xml:space="preserve">ORD12972</t>
  </si>
  <si>
    <t xml:space="preserve">ORD11044</t>
  </si>
  <si>
    <t xml:space="preserve">ORD10482</t>
  </si>
  <si>
    <t xml:space="preserve">SOUTH INDIAN</t>
  </si>
  <si>
    <t xml:space="preserve">ORD11244</t>
  </si>
  <si>
    <t xml:space="preserve">ORD12628</t>
  </si>
  <si>
    <t xml:space="preserve">ORD12530</t>
  </si>
  <si>
    <t xml:space="preserve">ORD10932</t>
  </si>
  <si>
    <t xml:space="preserve">C0506</t>
  </si>
  <si>
    <t xml:space="preserve">ORD12405</t>
  </si>
  <si>
    <t xml:space="preserve">C1357</t>
  </si>
  <si>
    <t xml:space="preserve">ORD11686</t>
  </si>
  <si>
    <t xml:space="preserve">ORD11249</t>
  </si>
  <si>
    <t xml:space="preserve">ORD10760</t>
  </si>
  <si>
    <t xml:space="preserve">ORD10093</t>
  </si>
  <si>
    <t xml:space="preserve">12-Jan-2025</t>
  </si>
  <si>
    <t xml:space="preserve">ORD11176</t>
  </si>
  <si>
    <t xml:space="preserve">ORD11416</t>
  </si>
  <si>
    <t xml:space="preserve">dragon express</t>
  </si>
  <si>
    <t xml:space="preserve">ORD11342</t>
  </si>
  <si>
    <t xml:space="preserve">ORD11473</t>
  </si>
  <si>
    <t xml:space="preserve">ORD12852</t>
  </si>
  <si>
    <t xml:space="preserve">ORD12794</t>
  </si>
  <si>
    <t xml:space="preserve">ORD12328</t>
  </si>
  <si>
    <t xml:space="preserve">08:12</t>
  </si>
  <si>
    <t xml:space="preserve">ORD10765</t>
  </si>
  <si>
    <t xml:space="preserve">ORD12653</t>
  </si>
  <si>
    <t xml:space="preserve">ORD11374</t>
  </si>
  <si>
    <t xml:space="preserve">ORD11952</t>
  </si>
  <si>
    <t xml:space="preserve">ORD12449</t>
  </si>
  <si>
    <t xml:space="preserve">ORD11729</t>
  </si>
  <si>
    <t xml:space="preserve">C1212</t>
  </si>
  <si>
    <t xml:space="preserve">ORD10258</t>
  </si>
  <si>
    <t xml:space="preserve">01:40</t>
  </si>
  <si>
    <t xml:space="preserve">ORD10945</t>
  </si>
  <si>
    <t xml:space="preserve">ORD11220</t>
  </si>
  <si>
    <t xml:space="preserve">23:46</t>
  </si>
  <si>
    <t xml:space="preserve">ORD11162</t>
  </si>
  <si>
    <t xml:space="preserve">C0498</t>
  </si>
  <si>
    <t xml:space="preserve">ORD12543</t>
  </si>
  <si>
    <t xml:space="preserve">ORD10773</t>
  </si>
  <si>
    <t xml:space="preserve">ORD12599</t>
  </si>
  <si>
    <t xml:space="preserve">ORD11487</t>
  </si>
  <si>
    <t xml:space="preserve">12-Jul-2025</t>
  </si>
  <si>
    <t xml:space="preserve">C0691</t>
  </si>
  <si>
    <t xml:space="preserve">ORD12250</t>
  </si>
  <si>
    <t xml:space="preserve">C1206</t>
  </si>
  <si>
    <t xml:space="preserve">ORD10313</t>
  </si>
  <si>
    <t xml:space="preserve">ORD10291</t>
  </si>
  <si>
    <t xml:space="preserve">ORD10764</t>
  </si>
  <si>
    <t xml:space="preserve">DRAGON EXPRESS</t>
  </si>
  <si>
    <t xml:space="preserve">ORD12998</t>
  </si>
  <si>
    <t xml:space="preserve">ORD10184</t>
  </si>
  <si>
    <t xml:space="preserve">ORD11177</t>
  </si>
  <si>
    <t xml:space="preserve">ORD11350</t>
  </si>
  <si>
    <t xml:space="preserve">ORD12299</t>
  </si>
  <si>
    <t xml:space="preserve">ORD12872</t>
  </si>
  <si>
    <t xml:space="preserve">ORD11100</t>
  </si>
  <si>
    <t xml:space="preserve">ORD12989</t>
  </si>
  <si>
    <t xml:space="preserve">ORD10392</t>
  </si>
  <si>
    <t xml:space="preserve">ORD11920</t>
  </si>
  <si>
    <t xml:space="preserve">ORD11457</t>
  </si>
  <si>
    <t xml:space="preserve">ORD11093</t>
  </si>
  <si>
    <t xml:space="preserve">ORD12023</t>
  </si>
  <si>
    <t xml:space="preserve">ORD10905</t>
  </si>
  <si>
    <t xml:space="preserve">ORD12779</t>
  </si>
  <si>
    <t xml:space="preserve">ORD12603</t>
  </si>
  <si>
    <t xml:space="preserve">C0904</t>
  </si>
  <si>
    <t xml:space="preserve">ORD10367</t>
  </si>
  <si>
    <t xml:space="preserve">ORD10346</t>
  </si>
  <si>
    <t xml:space="preserve">ORD12584</t>
  </si>
  <si>
    <t xml:space="preserve">ORD11373</t>
  </si>
  <si>
    <t xml:space="preserve">ORD11640</t>
  </si>
  <si>
    <t xml:space="preserve">ORD10920</t>
  </si>
  <si>
    <t xml:space="preserve">ORD10212</t>
  </si>
  <si>
    <t xml:space="preserve">09:48</t>
  </si>
  <si>
    <t xml:space="preserve">ORD11604</t>
  </si>
  <si>
    <t xml:space="preserve">ORD12551</t>
  </si>
  <si>
    <t xml:space="preserve">ORD10538</t>
  </si>
  <si>
    <t xml:space="preserve">ORD11221</t>
  </si>
  <si>
    <t xml:space="preserve">ORD10176</t>
  </si>
  <si>
    <t xml:space="preserve">C0354</t>
  </si>
  <si>
    <t xml:space="preserve">Unknown</t>
  </si>
  <si>
    <t xml:space="preserve">Cleaning Log</t>
  </si>
  <si>
    <t xml:space="preserve">Every number below is a live formula pointing at Raw_Data / Cleaned_Data</t>
  </si>
  <si>
    <t xml:space="preserve">A. Row count</t>
  </si>
  <si>
    <t xml:space="preserve">Value</t>
  </si>
  <si>
    <t xml:space="preserve">Rows BEFORE cleaning (raw data rows)</t>
  </si>
  <si>
    <t xml:space="preserve">Rows AFTER cleaning</t>
  </si>
  <si>
    <t xml:space="preserve">Rows removed</t>
  </si>
  <si>
    <t xml:space="preserve">Check: KEEP flags in Raw_Data = rows in Cleaned_Data</t>
  </si>
  <si>
    <t xml:space="preserve">Check: Order IDs in Cleaned_Data are unique</t>
  </si>
  <si>
    <t xml:space="preserve">B. Why rows were removed (first matching rule)</t>
  </si>
  <si>
    <t xml:space="preserve">Rows</t>
  </si>
  <si>
    <t xml:space="preserve">Rule / explanation</t>
  </si>
  <si>
    <t xml:space="preserve">Exact duplicate row</t>
  </si>
  <si>
    <t xml:space="preserve">Every column identical to an earlier row. Safe to delete - same order entered twice (Data &gt; Remove Duplicates does this).</t>
  </si>
  <si>
    <t xml:space="preserve">Missing Order ID</t>
  </si>
  <si>
    <t xml:space="preserve">Without an Order ID we cannot track or de-duplicate the order.</t>
  </si>
  <si>
    <t xml:space="preserve">Duplicate Order ID (less complete row)</t>
  </si>
  <si>
    <t xml:space="preserve">Same Order ID but details differ (e.g. later row has the rating filled in). An order can exist only once, so we KEEP the more complete row and drop the other.</t>
  </si>
  <si>
    <t xml:space="preserve">Missing Customer ID</t>
  </si>
  <si>
    <t xml:space="preserve">Cannot be linked to a customer, so it would break customer and repeat-customer analysis.</t>
  </si>
  <si>
    <t xml:space="preserve">Missing Restaurant name</t>
  </si>
  <si>
    <t xml:space="preserve">Restaurant cannot be guessed reliably, so the row is removed.</t>
  </si>
  <si>
    <t xml:space="preserve">Invalid/outlier quantity</t>
  </si>
  <si>
    <t xml:space="preserve">Quantity must be 1-10. Zero, negative and 25/40/60 are data-entry errors.</t>
  </si>
  <si>
    <t xml:space="preserve">Invalid/outlier unit price</t>
  </si>
  <si>
    <t xml:space="preserve">Price must be Rs 1-1,500. Zero, negative and Rs 5,000+ are data-entry errors.</t>
  </si>
  <si>
    <t xml:space="preserve">Discount greater than order value</t>
  </si>
  <si>
    <t xml:space="preserve">Discount cannot exceed Quantity x Price (would give negative sales).</t>
  </si>
  <si>
    <t xml:space="preserve">Total rows removed</t>
  </si>
  <si>
    <t xml:space="preserve">C. Missing values in RAW data (all rows)</t>
  </si>
  <si>
    <t xml:space="preserve">Blank cells</t>
  </si>
  <si>
    <t xml:space="preserve">Decision</t>
  </si>
  <si>
    <t xml:space="preserve">Remove row (see B)</t>
  </si>
  <si>
    <t xml:space="preserve">-</t>
  </si>
  <si>
    <t xml:space="preserve">Recover city from the restaurant (each restaurant works in one city)</t>
  </si>
  <si>
    <t xml:space="preserve">Fill with "Unknown" (do not guess)</t>
  </si>
  <si>
    <t xml:space="preserve">Cancelled orders: blank is NORMAL. Delivered orders: leave as blank (NULL) - never fill with 0, it would pull the average down</t>
  </si>
  <si>
    <t xml:space="preserve">Blank is NORMAL (cancelled or not rated). Keep as blank - do not invent ratings</t>
  </si>
  <si>
    <t xml:space="preserve">D. Standardisation &amp; value fixes (rows kept)</t>
  </si>
  <si>
    <t xml:space="preserve">Rows changed</t>
  </si>
  <si>
    <t xml:space="preserve">What was done</t>
  </si>
  <si>
    <t xml:space="preserve">City text changed</t>
  </si>
  <si>
    <t xml:space="preserve">TRIM + lookup in Map_Tables: bangalore / BLR / Bangalore -&gt; Bengaluru, Bombay -&gt; Mumbai, etc. (includes recovered blanks)</t>
  </si>
  <si>
    <t xml:space="preserve">Restaurant name changed</t>
  </si>
  <si>
    <t xml:space="preserve">TRIM + lookup: removes extra spaces, fixes UPPER/lower case, "and" vs "&amp;"</t>
  </si>
  <si>
    <t xml:space="preserve">Payment method changed</t>
  </si>
  <si>
    <t xml:space="preserve">Lookup: CC -&gt; Credit Card, COD -&gt; Cash on Delivery, Paytm Wallet -&gt; Wallet, blank -&gt; Unknown</t>
  </si>
  <si>
    <t xml:space="preserve">Order status changed</t>
  </si>
  <si>
    <t xml:space="preserve">Delivered / DELIVERED / delivered ; Cancelled / Canceled / CANCELLED -&gt; two clean values</t>
  </si>
  <si>
    <t xml:space="preserve">Dates converted to real Excel dates (rows kept)</t>
  </si>
  <si>
    <t xml:space="preserve">3 raw styles (2025-03-27, 27/03/2025, 27-Mar-2025) -&gt; one real date, shown as dd-mmm-yyyy</t>
  </si>
  <si>
    <t xml:space="preserve">Invalid ratings (0, 6+) set to blank</t>
  </si>
  <si>
    <t xml:space="preserve">Rating must be 1-5. Order is kept; only the impossible rating is blanked</t>
  </si>
  <si>
    <t xml:space="preserve">Invalid delivery times (negative or &gt;180) set to blank</t>
  </si>
  <si>
    <t xml:space="preserve">Delivery time must be 5-180 min. Order is kept; only the impossible time is blanked</t>
  </si>
  <si>
    <t xml:space="preserve">Outlier check using the IQR (box-plot) rule</t>
  </si>
  <si>
    <t xml:space="preserve">Lower fence = Q1 - 1.5 x IQR ; Upper fence = Q3 + 1.5 x IQR. Values outside the fences are "unusual" - investigate, do not auto-delete.</t>
  </si>
  <si>
    <t xml:space="preserve">Measure</t>
  </si>
  <si>
    <t xml:space="preserve">Order value Net_Amount (Rs)</t>
  </si>
  <si>
    <t xml:space="preserve">Delivery time (min)</t>
  </si>
  <si>
    <t xml:space="preserve">Minimum</t>
  </si>
  <si>
    <t xml:space="preserve">Q1 (25th percentile)</t>
  </si>
  <si>
    <t xml:space="preserve">Median</t>
  </si>
  <si>
    <t xml:space="preserve">Q3 (75th percentile)</t>
  </si>
  <si>
    <t xml:space="preserve">Maximum</t>
  </si>
  <si>
    <t xml:space="preserve">Average</t>
  </si>
  <si>
    <t xml:space="preserve">IQR = Q3 - Q1</t>
  </si>
  <si>
    <t xml:space="preserve">Lower fence</t>
  </si>
  <si>
    <t xml:space="preserve">Upper fence</t>
  </si>
  <si>
    <t xml:space="preserve">Rows below lower fence</t>
  </si>
  <si>
    <t xml:space="preserve">Rows above upper fence</t>
  </si>
  <si>
    <t xml:space="preserve">Large order values above the upper fence are REAL big orders (party / office orders), not errors - they are KEPT. Only impossible values (qty &gt; 10, price &gt; Rs 1,500, negative values) were removed in Raw_Data.</t>
  </si>
  <si>
    <t xml:space="preserve">Delivery-time outliers: impossible times (negative, 350, 480, 999 min) were set to blank. Slow-but-possible times are kept as they show real delivery problems.</t>
  </si>
  <si>
    <t xml:space="preserve">Summary tables (formula version of a PivotTable)</t>
  </si>
  <si>
    <t xml:space="preserve">Sales = Net_Amount of DELIVERED orders only.  AOV = Sales / Delivered orders.  Cancel rate = Cancelled / All orders.</t>
  </si>
  <si>
    <t xml:space="preserve">City</t>
  </si>
  <si>
    <t xml:space="preserve">Total orders</t>
  </si>
  <si>
    <t xml:space="preserve">Sales (Rs)</t>
  </si>
  <si>
    <t xml:space="preserve">Avg order value (Rs)</t>
  </si>
  <si>
    <t xml:space="preserve">Cancel rate</t>
  </si>
  <si>
    <t xml:space="preserve">Avg delivery (min)</t>
  </si>
  <si>
    <t xml:space="preserve">Total</t>
  </si>
  <si>
    <t xml:space="preserve">Payment method</t>
  </si>
  <si>
    <t xml:space="preserve">Month (2025)</t>
  </si>
  <si>
    <t xml:space="preserve">1-Jan</t>
  </si>
  <si>
    <t xml:space="preserve">2-Feb</t>
  </si>
  <si>
    <t xml:space="preserve">3-Mar</t>
  </si>
  <si>
    <t xml:space="preserve">4-Apr</t>
  </si>
  <si>
    <t xml:space="preserve">5-May</t>
  </si>
  <si>
    <t xml:space="preserve">6-Jun</t>
  </si>
  <si>
    <t xml:space="preserve">7-Jul</t>
  </si>
  <si>
    <t xml:space="preserve">8-Aug</t>
  </si>
  <si>
    <t xml:space="preserve">9-Sep</t>
  </si>
  <si>
    <t xml:space="preserve">10-Oct</t>
  </si>
  <si>
    <t xml:space="preserve">11-Nov</t>
  </si>
  <si>
    <t xml:space="preserve">12-Dec</t>
  </si>
  <si>
    <t xml:space="preserve">Check: grand totals of every table must be identical (orders &amp; sales).</t>
  </si>
  <si>
    <t xml:space="preserve">Formula Lab - one live example of each formula</t>
  </si>
  <si>
    <t xml:space="preserve">Change the yellow cells and watch the results.</t>
  </si>
  <si>
    <t xml:space="preserve">Formula</t>
  </si>
  <si>
    <t xml:space="preserve">Live example (result)</t>
  </si>
  <si>
    <t xml:space="preserve">Formula used (read it!)</t>
  </si>
  <si>
    <t xml:space="preserve">What it does / when to use it</t>
  </si>
  <si>
    <t xml:space="preserve">TRIM</t>
  </si>
  <si>
    <t xml:space="preserve">=TRIM("   Spice    Junction  ")</t>
  </si>
  <si>
    <t xml:space="preserve">Removes leading, trailing and double spaces. Fixes "Delhi " vs "Delhi" problems.</t>
  </si>
  <si>
    <t xml:space="preserve">IF</t>
  </si>
  <si>
    <t xml:space="preserve">=IF(Cleaned_Data!M2="Delivered","Counts as sales","Not sales")</t>
  </si>
  <si>
    <t xml:space="preserve">Makes a decision: one result if TRUE, another if FALSE. Used for flags such as keep_or_drop.</t>
  </si>
  <si>
    <t xml:space="preserve">IFERROR</t>
  </si>
  <si>
    <t xml:space="preserve">=IFERROR(100/0,"Check data")</t>
  </si>
  <si>
    <t xml:space="preserve">Shows a friendly message instead of an ugly Excel error (divide-by-zero, not-found). Used in every lookup.</t>
  </si>
  <si>
    <t xml:space="preserve">COUNTIF</t>
  </si>
  <si>
    <t xml:space="preserve">=COUNTIF(Cleaned_Data!F:F,"Bengaluru")</t>
  </si>
  <si>
    <t xml:space="preserve">Counts rows meeting ONE condition: orders from Bengaluru.</t>
  </si>
  <si>
    <t xml:space="preserve">COUNTIFS</t>
  </si>
  <si>
    <t xml:space="preserve">=COUNTIFS(Cleaned_Data!F:F,"Mumbai",Cleaned_Data!L:L,"UPI",Cleaned_Data!M:M,"Delivered")</t>
  </si>
  <si>
    <t xml:space="preserve">Counts rows meeting MANY conditions: delivered UPI orders in Mumbai.</t>
  </si>
  <si>
    <t xml:space="preserve">SUMIF</t>
  </si>
  <si>
    <t xml:space="preserve">=SUMIF(Cleaned_Data!F:F,"Delhi",Cleaned_Data!K:K)</t>
  </si>
  <si>
    <t xml:space="preserve">Adds up one column when ONE condition is met (careful: includes cancelled orders!).</t>
  </si>
  <si>
    <t xml:space="preserve">SUMIFS</t>
  </si>
  <si>
    <t xml:space="preserve">=SUMIFS(Cleaned_Data!K:K,Cleaned_Data!F:F,"Delhi",Cleaned_Data!M:M,"Delivered")</t>
  </si>
  <si>
    <t xml:space="preserve">Adds up when MANY conditions are met: Delhi sales from delivered orders only (the correct business rule).</t>
  </si>
  <si>
    <t xml:space="preserve">AVERAGEIFS</t>
  </si>
  <si>
    <t xml:space="preserve">=AVERAGEIFS(Cleaned_Data!N:N,Cleaned_Data!F:F,"Pune")</t>
  </si>
  <si>
    <t xml:space="preserve">Average delivery time in Pune (blank cells are ignored automatically).</t>
  </si>
  <si>
    <t xml:space="preserve">Lookup (INDEX+MATCH)</t>
  </si>
  <si>
    <t xml:space="preserve">= INDEX(return_column, MATCH(lookup_value, lookup_column, 0))</t>
  </si>
  <si>
    <t xml:space="preserve">Type any Order ID from Cleaned_Data in the yellow cell. Works in every Excel version.</t>
  </si>
  <si>
    <t xml:space="preserve">Restaurant of that order</t>
  </si>
  <si>
    <t xml:space="preserve">Excel 365 / 2021 equivalent:  = XLOOKUP(B14, Cleaned_Data!A:A, Cleaned_Data!E:E, "Order ID not found")</t>
  </si>
  <si>
    <t xml:space="preserve">XLOOKUP is the modern replacement for VLOOKUP/INDEX-MATCH (looks left or right, exact match by default). Use it if you have Excel 365.</t>
  </si>
  <si>
    <t xml:space="preserve">Net amount of that order</t>
  </si>
  <si>
    <t xml:space="preserve">Tools (no formula)</t>
  </si>
  <si>
    <t xml:space="preserve">Remove Duplicates</t>
  </si>
  <si>
    <t xml:space="preserve">Data tab &gt; Remove Duplicates &gt; tick ALL columns &gt; OK. Excel reports how many duplicates were removed. Always work on a COPY of the raw sheet.</t>
  </si>
  <si>
    <t xml:space="preserve">PivotTable</t>
  </si>
  <si>
    <t xml:space="preserve">Click inside Cleaned_Data &gt; Insert &gt; PivotTable &gt; New Worksheet. Rows = City, Values = Sum of Net_Amount; add Order_Status to Filters and choose Delivered. See Excel guide for 4 practice pivots.</t>
  </si>
  <si>
    <t xml:space="preserve">Conditional Formatting</t>
  </si>
  <si>
    <t xml:space="preserve">Home &gt; Conditional Formatting. See the red/orange/yellow highlights on Raw_Data and the colour scale on Cleaned_Data (delivery time) - all made this way.</t>
  </si>
</sst>
</file>

<file path=xl/styles.xml><?xml version="1.0" encoding="utf-8"?>
<styleSheet xmlns="http://schemas.openxmlformats.org/spreadsheetml/2006/main">
  <numFmts count="7">
    <numFmt numFmtId="164" formatCode="General"/>
    <numFmt numFmtId="165" formatCode="General"/>
    <numFmt numFmtId="166" formatCode="dd\-mmm\-yyyy"/>
    <numFmt numFmtId="167" formatCode="\₹#,##0"/>
    <numFmt numFmtId="168" formatCode="#,##0.0"/>
    <numFmt numFmtId="169" formatCode="0.0%"/>
    <numFmt numFmtId="170"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7D32"/>
        <bgColor rgb="FF008000"/>
      </patternFill>
    </fill>
    <fill>
      <patternFill patternType="solid">
        <fgColor rgb="FFFFFF99"/>
        <bgColor rgb="FFFFFF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1">
    <dxf>
      <fill>
        <patternFill patternType="solid">
          <fgColor rgb="FF1F386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patternType="solid">
          <fgColor rgb="FFFFFF66"/>
          <bgColor rgb="FF000000"/>
        </patternFill>
      </fill>
    </dxf>
    <dxf>
      <fill>
        <patternFill patternType="solid">
          <fgColor rgb="FFFFD966"/>
          <bgColor rgb="FF000000"/>
        </patternFill>
      </fill>
    </dxf>
    <dxf>
      <fill>
        <patternFill patternType="solid">
          <fgColor rgb="FF2E7D32"/>
          <bgColor rgb="FF000000"/>
        </patternFill>
      </fill>
    </dxf>
    <dxf>
      <fill>
        <patternFill>
          <bgColor rgb="FFF8CBAD"/>
        </patternFill>
      </fill>
    </dxf>
    <dxf>
      <fill>
        <patternFill>
          <bgColor rgb="FFFFD966"/>
        </patternFill>
      </fill>
    </dxf>
    <dxf>
      <fill>
        <patternFill>
          <bgColor rgb="FFFFFF66"/>
        </patternFill>
      </fill>
    </dxf>
    <dxf>
      <fill>
        <patternFill patternType="solid">
          <fgColor rgb="FF63BE7B"/>
          <bgColor rgb="FF000000"/>
        </patternFill>
      </fill>
    </dxf>
    <dxf>
      <fill>
        <patternFill patternType="solid">
          <fgColor rgb="FF69BF7B"/>
          <bgColor rgb="FF000000"/>
        </patternFill>
      </fill>
    </dxf>
    <dxf>
      <fill>
        <patternFill patternType="solid">
          <fgColor rgb="FF70C17B"/>
          <bgColor rgb="FF000000"/>
        </patternFill>
      </fill>
    </dxf>
    <dxf>
      <fill>
        <patternFill patternType="solid">
          <fgColor rgb="FF77C37C"/>
          <bgColor rgb="FF000000"/>
        </patternFill>
      </fill>
    </dxf>
    <dxf>
      <fill>
        <patternFill patternType="solid">
          <fgColor rgb="FF7EC57C"/>
          <bgColor rgb="FF000000"/>
        </patternFill>
      </fill>
    </dxf>
    <dxf>
      <fill>
        <patternFill patternType="solid">
          <fgColor rgb="FF84C77C"/>
          <bgColor rgb="FF000000"/>
        </patternFill>
      </fill>
    </dxf>
    <dxf>
      <fill>
        <patternFill patternType="solid">
          <fgColor rgb="FF8BC97D"/>
          <bgColor rgb="FF000000"/>
        </patternFill>
      </fill>
    </dxf>
    <dxf>
      <fill>
        <patternFill patternType="solid">
          <fgColor rgb="FF92CB7D"/>
          <bgColor rgb="FF000000"/>
        </patternFill>
      </fill>
    </dxf>
    <dxf>
      <fill>
        <patternFill patternType="solid">
          <fgColor rgb="FF99CD7E"/>
          <bgColor rgb="FF000000"/>
        </patternFill>
      </fill>
    </dxf>
    <dxf>
      <fill>
        <patternFill patternType="solid">
          <fgColor rgb="FFA0CF7E"/>
          <bgColor rgb="FF000000"/>
        </patternFill>
      </fill>
    </dxf>
    <dxf>
      <fill>
        <patternFill patternType="solid">
          <fgColor rgb="FFA6D17E"/>
          <bgColor rgb="FF000000"/>
        </patternFill>
      </fill>
    </dxf>
    <dxf>
      <fill>
        <patternFill patternType="solid">
          <fgColor rgb="FFADD37F"/>
          <bgColor rgb="FF000000"/>
        </patternFill>
      </fill>
    </dxf>
    <dxf>
      <fill>
        <patternFill patternType="solid">
          <fgColor rgb="FFB4D57F"/>
          <bgColor rgb="FF000000"/>
        </patternFill>
      </fill>
    </dxf>
    <dxf>
      <fill>
        <patternFill patternType="solid">
          <fgColor rgb="FFBBD780"/>
          <bgColor rgb="FF000000"/>
        </patternFill>
      </fill>
    </dxf>
    <dxf>
      <fill>
        <patternFill patternType="solid">
          <fgColor rgb="FFC1D980"/>
          <bgColor rgb="FF000000"/>
        </patternFill>
      </fill>
    </dxf>
    <dxf>
      <fill>
        <patternFill patternType="solid">
          <fgColor rgb="FFC8DB80"/>
          <bgColor rgb="FF000000"/>
        </patternFill>
      </fill>
    </dxf>
    <dxf>
      <fill>
        <patternFill patternType="solid">
          <fgColor rgb="FFCFDD81"/>
          <bgColor rgb="FF000000"/>
        </patternFill>
      </fill>
    </dxf>
    <dxf>
      <fill>
        <patternFill patternType="solid">
          <fgColor rgb="FFD6DF81"/>
          <bgColor rgb="FF000000"/>
        </patternFill>
      </fill>
    </dxf>
    <dxf>
      <fill>
        <patternFill patternType="solid">
          <fgColor rgb="FFDDE182"/>
          <bgColor rgb="FF000000"/>
        </patternFill>
      </fill>
    </dxf>
    <dxf>
      <fill>
        <patternFill patternType="solid">
          <fgColor rgb="FFE3E382"/>
          <bgColor rgb="FF000000"/>
        </patternFill>
      </fill>
    </dxf>
    <dxf>
      <fill>
        <patternFill patternType="solid">
          <fgColor rgb="FFEAE582"/>
          <bgColor rgb="FF000000"/>
        </patternFill>
      </fill>
    </dxf>
    <dxf>
      <fill>
        <patternFill patternType="solid">
          <fgColor rgb="FFF1E783"/>
          <bgColor rgb="FF000000"/>
        </patternFill>
      </fill>
    </dxf>
    <dxf>
      <fill>
        <patternFill patternType="solid">
          <fgColor rgb="FFF8696B"/>
          <bgColor rgb="FF000000"/>
        </patternFill>
      </fill>
    </dxf>
    <dxf>
      <fill>
        <patternFill patternType="solid">
          <fgColor rgb="FFF8E983"/>
          <bgColor rgb="FF000000"/>
        </patternFill>
      </fill>
    </dxf>
    <dxf>
      <fill>
        <patternFill patternType="solid">
          <fgColor rgb="FFF96E6C"/>
          <bgColor rgb="FF000000"/>
        </patternFill>
      </fill>
    </dxf>
    <dxf>
      <fill>
        <patternFill patternType="solid">
          <fgColor rgb="FFF9776E"/>
          <bgColor rgb="FF000000"/>
        </patternFill>
      </fill>
    </dxf>
    <dxf>
      <fill>
        <patternFill patternType="solid">
          <fgColor rgb="FFF97B6F"/>
          <bgColor rgb="FF000000"/>
        </patternFill>
      </fill>
    </dxf>
    <dxf>
      <fill>
        <patternFill patternType="solid">
          <fgColor rgb="FFFA8471"/>
          <bgColor rgb="FF000000"/>
        </patternFill>
      </fill>
    </dxf>
    <dxf>
      <fill>
        <patternFill patternType="solid">
          <fgColor rgb="FFFA8972"/>
          <bgColor rgb="FF000000"/>
        </patternFill>
      </fill>
    </dxf>
    <dxf>
      <fill>
        <patternFill patternType="solid">
          <fgColor rgb="FFFA8D72"/>
          <bgColor rgb="FF000000"/>
        </patternFill>
      </fill>
    </dxf>
    <dxf>
      <fill>
        <patternFill patternType="solid">
          <fgColor rgb="FFFB9273"/>
          <bgColor rgb="FF000000"/>
        </patternFill>
      </fill>
    </dxf>
    <dxf>
      <fill>
        <patternFill patternType="solid">
          <fgColor rgb="FFFB9674"/>
          <bgColor rgb="FF000000"/>
        </patternFill>
      </fill>
    </dxf>
    <dxf>
      <fill>
        <patternFill patternType="solid">
          <fgColor rgb="FFFB9B75"/>
          <bgColor rgb="FF000000"/>
        </patternFill>
      </fill>
    </dxf>
    <dxf>
      <fill>
        <patternFill patternType="solid">
          <fgColor rgb="FFFB9F76"/>
          <bgColor rgb="FF000000"/>
        </patternFill>
      </fill>
    </dxf>
    <dxf>
      <fill>
        <patternFill patternType="solid">
          <fgColor rgb="FFFCA477"/>
          <bgColor rgb="FF000000"/>
        </patternFill>
      </fill>
    </dxf>
    <dxf>
      <fill>
        <patternFill patternType="solid">
          <fgColor rgb="FFFCA878"/>
          <bgColor rgb="FF000000"/>
        </patternFill>
      </fill>
    </dxf>
    <dxf>
      <fill>
        <patternFill patternType="solid">
          <fgColor rgb="FFFCAD78"/>
          <bgColor rgb="FF000000"/>
        </patternFill>
      </fill>
    </dxf>
    <dxf>
      <fill>
        <patternFill patternType="solid">
          <fgColor rgb="FFFCB179"/>
          <bgColor rgb="FF000000"/>
        </patternFill>
      </fill>
    </dxf>
    <dxf>
      <fill>
        <patternFill patternType="solid">
          <fgColor rgb="FFFDB67A"/>
          <bgColor rgb="FF000000"/>
        </patternFill>
      </fill>
    </dxf>
    <dxf>
      <fill>
        <patternFill patternType="solid">
          <fgColor rgb="FFFDBA7B"/>
          <bgColor rgb="FF000000"/>
        </patternFill>
      </fill>
    </dxf>
    <dxf>
      <fill>
        <patternFill patternType="solid">
          <fgColor rgb="FFFDBF7C"/>
          <bgColor rgb="FF000000"/>
        </patternFill>
      </fill>
    </dxf>
    <dxf>
      <fill>
        <patternFill patternType="solid">
          <fgColor rgb="FFFDC37D"/>
          <bgColor rgb="FF000000"/>
        </patternFill>
      </fill>
    </dxf>
    <dxf>
      <fill>
        <patternFill patternType="solid">
          <fgColor rgb="FFFEC87E"/>
          <bgColor rgb="FF000000"/>
        </patternFill>
      </fill>
    </dxf>
    <dxf>
      <fill>
        <patternFill patternType="solid">
          <fgColor rgb="FFFECC7E"/>
          <bgColor rgb="FF000000"/>
        </patternFill>
      </fill>
    </dxf>
    <dxf>
      <fill>
        <patternFill patternType="solid">
          <fgColor rgb="FFFED17F"/>
          <bgColor rgb="FF000000"/>
        </patternFill>
      </fill>
    </dxf>
    <dxf>
      <fill>
        <patternFill patternType="solid">
          <fgColor rgb="FFFED580"/>
          <bgColor rgb="FF000000"/>
        </patternFill>
      </fill>
    </dxf>
    <dxf>
      <fill>
        <patternFill patternType="solid">
          <fgColor rgb="FFFFDA81"/>
          <bgColor rgb="FF000000"/>
        </patternFill>
      </fill>
    </dxf>
    <dxf>
      <fill>
        <patternFill patternType="solid">
          <fgColor rgb="FFFFDE82"/>
          <bgColor rgb="FF000000"/>
        </patternFill>
      </fill>
    </dxf>
    <dxf>
      <fill>
        <patternFill patternType="solid">
          <fgColor rgb="FFFFE383"/>
          <bgColor rgb="FF000000"/>
        </patternFill>
      </fill>
    </dxf>
    <dxf>
      <fill>
        <patternFill patternType="solid">
          <fgColor rgb="FFFFE784"/>
          <bgColor rgb="FF000000"/>
        </patternFill>
      </fill>
    </dxf>
    <dxf>
      <fill>
        <patternFill patternType="solid">
          <fgColor rgb="FFFFEB84"/>
          <bgColor rgb="FF000000"/>
        </patternFill>
      </fill>
    </dxf>
  </dxfs>
  <colors>
    <indexedColors>
      <rgbColor rgb="FF000000"/>
      <rgbColor rgb="FFFFFFFF"/>
      <rgbColor rgb="FFFF0000"/>
      <rgbColor rgb="FF00FF00"/>
      <rgbColor rgb="FF0000FF"/>
      <rgbColor rgb="FFFFFF66"/>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D966"/>
      <rgbColor rgb="FFFF9900"/>
      <rgbColor rgb="FFFF6600"/>
      <rgbColor rgb="FF595959"/>
      <rgbColor rgb="FF969696"/>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s">
        <v>5</v>
      </c>
    </row>
    <row r="6" customFormat="false" ht="23.85" hidden="false" customHeight="false" outlineLevel="0" collapsed="false">
      <c r="A6" s="4" t="s">
        <v>6</v>
      </c>
      <c r="B6" s="5" t="s">
        <v>7</v>
      </c>
    </row>
    <row r="7" customFormat="false" ht="15" hidden="false" customHeight="false" outlineLevel="0" collapsed="false">
      <c r="A7" s="4" t="s">
        <v>8</v>
      </c>
      <c r="B7" s="5" t="s">
        <v>9</v>
      </c>
    </row>
    <row r="8" customFormat="false" ht="15" hidden="false" customHeight="false" outlineLevel="0" collapsed="false">
      <c r="A8" s="4" t="s">
        <v>10</v>
      </c>
      <c r="B8" s="5" t="s">
        <v>11</v>
      </c>
    </row>
    <row r="9" customFormat="false" ht="15" hidden="false" customHeight="false" outlineLevel="0" collapsed="false">
      <c r="A9" s="4" t="s">
        <v>12</v>
      </c>
      <c r="B9" s="5" t="s">
        <v>13</v>
      </c>
    </row>
    <row r="10" customFormat="false" ht="15" hidden="false" customHeight="false" outlineLevel="0" collapsed="false">
      <c r="A10" s="4" t="s">
        <v>14</v>
      </c>
      <c r="B10" s="5" t="s">
        <v>15</v>
      </c>
    </row>
    <row r="11" customFormat="false" ht="15" hidden="false" customHeight="false" outlineLevel="0" collapsed="false">
      <c r="A11" s="4" t="s">
        <v>16</v>
      </c>
      <c r="B11" s="5" t="s">
        <v>17</v>
      </c>
    </row>
    <row r="12" customFormat="false" ht="15" hidden="false" customHeight="false" outlineLevel="0" collapsed="false">
      <c r="A12" s="4" t="s">
        <v>18</v>
      </c>
      <c r="B12" s="5" t="s">
        <v>19</v>
      </c>
    </row>
    <row r="13" customFormat="false" ht="15" hidden="false" customHeight="false" outlineLevel="0" collapsed="false">
      <c r="A13" s="4"/>
      <c r="B13" s="5"/>
    </row>
    <row r="14" customFormat="false" ht="15" hidden="false" customHeight="false" outlineLevel="0" collapsed="false">
      <c r="A14" s="4" t="s">
        <v>20</v>
      </c>
      <c r="B14" s="5"/>
    </row>
    <row r="15" customFormat="false" ht="15" hidden="false" customHeight="false" outlineLevel="0" collapsed="false">
      <c r="A15" s="4" t="s">
        <v>21</v>
      </c>
      <c r="B15" s="5" t="s">
        <v>22</v>
      </c>
    </row>
    <row r="16" customFormat="false" ht="15" hidden="false" customHeight="false" outlineLevel="0" collapsed="false">
      <c r="A16" s="4" t="s">
        <v>23</v>
      </c>
      <c r="B16" s="5" t="s">
        <v>24</v>
      </c>
    </row>
    <row r="17" customFormat="false" ht="15" hidden="false" customHeight="false" outlineLevel="0" collapsed="false">
      <c r="A17" s="4" t="s">
        <v>25</v>
      </c>
      <c r="B17" s="5" t="s">
        <v>26</v>
      </c>
    </row>
    <row r="18" customFormat="false" ht="15" hidden="false" customHeight="false" outlineLevel="0" collapsed="false">
      <c r="A18" s="4" t="s">
        <v>27</v>
      </c>
      <c r="B18" s="5" t="s">
        <v>28</v>
      </c>
    </row>
    <row r="19" customFormat="false" ht="15" hidden="false" customHeight="false" outlineLevel="0" collapsed="false">
      <c r="A19" s="4"/>
      <c r="B19" s="5"/>
    </row>
    <row r="20" customFormat="false" ht="23.85" hidden="false" customHeight="false" outlineLevel="0" collapsed="false">
      <c r="A20" s="4" t="s">
        <v>29</v>
      </c>
      <c r="B20" s="5" t="s">
        <v>30</v>
      </c>
    </row>
    <row r="21" customFormat="false" ht="15" hidden="false" customHeight="false" outlineLevel="0" collapsed="false">
      <c r="A21" s="4" t="s">
        <v>31</v>
      </c>
      <c r="B21"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10"/>
  </cols>
  <sheetData>
    <row r="1" customFormat="false" ht="17.35" hidden="false" customHeight="false" outlineLevel="0" collapsed="false">
      <c r="A1" s="1" t="s">
        <v>33</v>
      </c>
    </row>
    <row r="2" customFormat="false" ht="15" hidden="false" customHeight="false" outlineLevel="0" collapsed="false">
      <c r="A2" s="2" t="s">
        <v>34</v>
      </c>
    </row>
    <row r="4" customFormat="false" ht="15" hidden="false" customHeight="false" outlineLevel="0" collapsed="false">
      <c r="A4" s="3" t="s">
        <v>35</v>
      </c>
      <c r="B4" s="3" t="s">
        <v>36</v>
      </c>
      <c r="C4" s="3" t="s">
        <v>37</v>
      </c>
    </row>
    <row r="5" customFormat="false" ht="15" hidden="false" customHeight="false" outlineLevel="0" collapsed="false">
      <c r="A5" s="6" t="s">
        <v>38</v>
      </c>
      <c r="B5" s="6" t="s">
        <v>39</v>
      </c>
      <c r="C5" s="6" t="s">
        <v>40</v>
      </c>
    </row>
    <row r="6" customFormat="false" ht="15" hidden="false" customHeight="false" outlineLevel="0" collapsed="false">
      <c r="A6" s="6" t="s">
        <v>41</v>
      </c>
      <c r="B6" s="6" t="s">
        <v>42</v>
      </c>
      <c r="C6" s="6" t="s">
        <v>43</v>
      </c>
    </row>
    <row r="7" customFormat="false" ht="15" hidden="false" customHeight="false" outlineLevel="0" collapsed="false">
      <c r="A7" s="6" t="s">
        <v>44</v>
      </c>
      <c r="B7" s="6" t="s">
        <v>45</v>
      </c>
      <c r="C7" s="6" t="s">
        <v>46</v>
      </c>
    </row>
    <row r="8" customFormat="false" ht="15" hidden="false" customHeight="false" outlineLevel="0" collapsed="false">
      <c r="A8" s="6" t="s">
        <v>47</v>
      </c>
      <c r="B8" s="6" t="s">
        <v>39</v>
      </c>
      <c r="C8" s="6" t="s">
        <v>48</v>
      </c>
    </row>
    <row r="9" customFormat="false" ht="15" hidden="false" customHeight="false" outlineLevel="0" collapsed="false">
      <c r="A9" s="6" t="s">
        <v>49</v>
      </c>
      <c r="B9" s="6" t="s">
        <v>39</v>
      </c>
      <c r="C9" s="6" t="s">
        <v>50</v>
      </c>
    </row>
    <row r="10" customFormat="false" ht="15" hidden="false" customHeight="false" outlineLevel="0" collapsed="false">
      <c r="A10" s="6" t="s">
        <v>51</v>
      </c>
      <c r="B10" s="6" t="s">
        <v>39</v>
      </c>
      <c r="C10" s="6" t="s">
        <v>52</v>
      </c>
    </row>
    <row r="11" customFormat="false" ht="15" hidden="false" customHeight="false" outlineLevel="0" collapsed="false">
      <c r="A11" s="6" t="s">
        <v>53</v>
      </c>
      <c r="B11" s="6" t="s">
        <v>39</v>
      </c>
      <c r="C11" s="6" t="s">
        <v>54</v>
      </c>
    </row>
    <row r="12" customFormat="false" ht="15" hidden="false" customHeight="false" outlineLevel="0" collapsed="false">
      <c r="A12" s="6" t="s">
        <v>55</v>
      </c>
      <c r="B12" s="6" t="s">
        <v>56</v>
      </c>
      <c r="C12" s="6" t="s">
        <v>57</v>
      </c>
    </row>
    <row r="13" customFormat="false" ht="15" hidden="false" customHeight="false" outlineLevel="0" collapsed="false">
      <c r="A13" s="6" t="s">
        <v>58</v>
      </c>
      <c r="B13" s="6" t="s">
        <v>59</v>
      </c>
      <c r="C13" s="6" t="s">
        <v>60</v>
      </c>
    </row>
    <row r="14" customFormat="false" ht="15" hidden="false" customHeight="false" outlineLevel="0" collapsed="false">
      <c r="A14" s="6" t="s">
        <v>61</v>
      </c>
      <c r="B14" s="6" t="s">
        <v>59</v>
      </c>
      <c r="C14" s="6" t="s">
        <v>62</v>
      </c>
    </row>
    <row r="15" customFormat="false" ht="15" hidden="false" customHeight="false" outlineLevel="0" collapsed="false">
      <c r="A15" s="6" t="s">
        <v>63</v>
      </c>
      <c r="B15" s="6" t="s">
        <v>59</v>
      </c>
      <c r="C15" s="6" t="s">
        <v>64</v>
      </c>
    </row>
    <row r="16" customFormat="false" ht="15" hidden="false" customHeight="false" outlineLevel="0" collapsed="false">
      <c r="A16" s="6" t="s">
        <v>65</v>
      </c>
      <c r="B16" s="6" t="s">
        <v>39</v>
      </c>
      <c r="C16" s="6" t="s">
        <v>66</v>
      </c>
    </row>
    <row r="17" customFormat="false" ht="15" hidden="false" customHeight="false" outlineLevel="0" collapsed="false">
      <c r="A17" s="6" t="s">
        <v>67</v>
      </c>
      <c r="B17" s="6" t="s">
        <v>39</v>
      </c>
      <c r="C17" s="6" t="s">
        <v>68</v>
      </c>
    </row>
    <row r="18" customFormat="false" ht="15" hidden="false" customHeight="false" outlineLevel="0" collapsed="false">
      <c r="A18" s="6" t="s">
        <v>69</v>
      </c>
      <c r="B18" s="6" t="s">
        <v>70</v>
      </c>
      <c r="C18" s="6" t="s">
        <v>71</v>
      </c>
    </row>
    <row r="19" customFormat="false" ht="15" hidden="false" customHeight="false" outlineLevel="0" collapsed="false">
      <c r="A19" s="6" t="s">
        <v>72</v>
      </c>
      <c r="B19" s="6" t="s">
        <v>73</v>
      </c>
      <c r="C19" s="6"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3"/>
    <col collapsed="false" customWidth="true" hidden="false" outlineLevel="0" max="4" min="4" style="0" width="22"/>
    <col collapsed="false" customWidth="true" hidden="false" outlineLevel="0" max="5" min="5" style="0" width="20"/>
    <col collapsed="false" customWidth="true" hidden="false" outlineLevel="0" max="6" min="6" style="0" width="3"/>
    <col collapsed="false" customWidth="true" hidden="false" outlineLevel="0" max="8" min="7" style="0" width="30"/>
    <col collapsed="false" customWidth="true" hidden="false" outlineLevel="0" max="10" min="9" style="0" width="16"/>
  </cols>
  <sheetData>
    <row r="1" customFormat="false" ht="17.35" hidden="false" customHeight="false" outlineLevel="0" collapsed="false">
      <c r="A1" s="1" t="s">
        <v>75</v>
      </c>
    </row>
    <row r="2" customFormat="false" ht="15" hidden="false" customHeight="false" outlineLevel="0" collapsed="false">
      <c r="A2" s="2" t="s">
        <v>76</v>
      </c>
    </row>
    <row r="3" customFormat="false" ht="15" hidden="false" customHeight="false" outlineLevel="0" collapsed="false">
      <c r="A3" s="3" t="s">
        <v>77</v>
      </c>
      <c r="B3" s="3" t="s">
        <v>78</v>
      </c>
      <c r="D3" s="3" t="s">
        <v>79</v>
      </c>
      <c r="E3" s="3" t="s">
        <v>80</v>
      </c>
      <c r="G3" s="3" t="s">
        <v>81</v>
      </c>
      <c r="H3" s="3" t="s">
        <v>82</v>
      </c>
      <c r="I3" s="3" t="s">
        <v>83</v>
      </c>
      <c r="J3" s="3" t="s">
        <v>84</v>
      </c>
    </row>
    <row r="4" customFormat="false" ht="15" hidden="false" customHeight="false" outlineLevel="0" collapsed="false">
      <c r="A4" s="7" t="s">
        <v>85</v>
      </c>
      <c r="B4" s="7" t="s">
        <v>86</v>
      </c>
      <c r="C4" s="7"/>
      <c r="D4" s="7" t="s">
        <v>87</v>
      </c>
      <c r="E4" s="7" t="s">
        <v>88</v>
      </c>
      <c r="F4" s="7"/>
      <c r="G4" s="7" t="s">
        <v>89</v>
      </c>
      <c r="H4" s="7" t="s">
        <v>89</v>
      </c>
      <c r="I4" s="7" t="s">
        <v>86</v>
      </c>
      <c r="J4" s="7" t="s">
        <v>90</v>
      </c>
    </row>
    <row r="5" customFormat="false" ht="15" hidden="false" customHeight="false" outlineLevel="0" collapsed="false">
      <c r="A5" s="7" t="s">
        <v>91</v>
      </c>
      <c r="B5" s="7" t="s">
        <v>86</v>
      </c>
      <c r="C5" s="7"/>
      <c r="D5" s="7" t="s">
        <v>92</v>
      </c>
      <c r="E5" s="7" t="s">
        <v>93</v>
      </c>
      <c r="F5" s="7"/>
      <c r="G5" s="7" t="s">
        <v>94</v>
      </c>
      <c r="H5" s="7" t="s">
        <v>94</v>
      </c>
      <c r="I5" s="7" t="s">
        <v>86</v>
      </c>
      <c r="J5" s="7" t="s">
        <v>95</v>
      </c>
    </row>
    <row r="6" customFormat="false" ht="15" hidden="false" customHeight="false" outlineLevel="0" collapsed="false">
      <c r="A6" s="7" t="s">
        <v>96</v>
      </c>
      <c r="B6" s="7" t="s">
        <v>86</v>
      </c>
      <c r="C6" s="7"/>
      <c r="D6" s="7" t="s">
        <v>97</v>
      </c>
      <c r="E6" s="7" t="s">
        <v>93</v>
      </c>
      <c r="F6" s="7"/>
      <c r="G6" s="7" t="s">
        <v>98</v>
      </c>
      <c r="H6" s="7" t="s">
        <v>98</v>
      </c>
      <c r="I6" s="7" t="s">
        <v>86</v>
      </c>
      <c r="J6" s="7" t="s">
        <v>99</v>
      </c>
    </row>
    <row r="7" customFormat="false" ht="15" hidden="false" customHeight="false" outlineLevel="0" collapsed="false">
      <c r="A7" s="7" t="s">
        <v>100</v>
      </c>
      <c r="B7" s="7" t="s">
        <v>101</v>
      </c>
      <c r="C7" s="7"/>
      <c r="D7" s="7" t="s">
        <v>102</v>
      </c>
      <c r="E7" s="7" t="s">
        <v>103</v>
      </c>
      <c r="F7" s="7"/>
      <c r="G7" s="7" t="s">
        <v>104</v>
      </c>
      <c r="H7" s="7" t="s">
        <v>104</v>
      </c>
      <c r="I7" s="7" t="s">
        <v>86</v>
      </c>
      <c r="J7" s="7" t="s">
        <v>105</v>
      </c>
    </row>
    <row r="8" customFormat="false" ht="15" hidden="false" customHeight="false" outlineLevel="0" collapsed="false">
      <c r="A8" s="7" t="s">
        <v>106</v>
      </c>
      <c r="B8" s="7" t="s">
        <v>101</v>
      </c>
      <c r="C8" s="7"/>
      <c r="D8" s="7" t="s">
        <v>107</v>
      </c>
      <c r="E8" s="7" t="s">
        <v>103</v>
      </c>
      <c r="F8" s="7"/>
      <c r="G8" s="7" t="s">
        <v>108</v>
      </c>
      <c r="H8" s="7" t="s">
        <v>104</v>
      </c>
      <c r="I8" s="7" t="s">
        <v>86</v>
      </c>
      <c r="J8" s="7" t="s">
        <v>105</v>
      </c>
    </row>
    <row r="9" customFormat="false" ht="15" hidden="false" customHeight="false" outlineLevel="0" collapsed="false">
      <c r="A9" s="7" t="s">
        <v>109</v>
      </c>
      <c r="B9" s="7" t="s">
        <v>110</v>
      </c>
      <c r="C9" s="7"/>
      <c r="D9" s="7" t="s">
        <v>111</v>
      </c>
      <c r="E9" s="7" t="s">
        <v>112</v>
      </c>
      <c r="F9" s="7"/>
      <c r="G9" s="7" t="s">
        <v>113</v>
      </c>
      <c r="H9" s="7" t="s">
        <v>113</v>
      </c>
      <c r="I9" s="7" t="s">
        <v>101</v>
      </c>
      <c r="J9" s="7" t="s">
        <v>90</v>
      </c>
    </row>
    <row r="10" customFormat="false" ht="15" hidden="false" customHeight="false" outlineLevel="0" collapsed="false">
      <c r="A10" s="7" t="s">
        <v>114</v>
      </c>
      <c r="B10" s="7" t="s">
        <v>110</v>
      </c>
      <c r="C10" s="7"/>
      <c r="D10" s="7" t="s">
        <v>115</v>
      </c>
      <c r="E10" s="7" t="s">
        <v>112</v>
      </c>
      <c r="F10" s="7"/>
      <c r="G10" s="7" t="s">
        <v>116</v>
      </c>
      <c r="H10" s="7" t="s">
        <v>116</v>
      </c>
      <c r="I10" s="7" t="s">
        <v>101</v>
      </c>
      <c r="J10" s="7" t="s">
        <v>117</v>
      </c>
    </row>
    <row r="11" customFormat="false" ht="15" hidden="false" customHeight="false" outlineLevel="0" collapsed="false">
      <c r="A11" s="7" t="s">
        <v>118</v>
      </c>
      <c r="B11" s="7" t="s">
        <v>119</v>
      </c>
      <c r="C11" s="7"/>
      <c r="D11" s="7" t="s">
        <v>120</v>
      </c>
      <c r="E11" s="7" t="s">
        <v>121</v>
      </c>
      <c r="F11" s="7"/>
      <c r="G11" s="7" t="s">
        <v>122</v>
      </c>
      <c r="H11" s="7" t="s">
        <v>122</v>
      </c>
      <c r="I11" s="7" t="s">
        <v>101</v>
      </c>
      <c r="J11" s="7" t="s">
        <v>123</v>
      </c>
    </row>
    <row r="12" customFormat="false" ht="15" hidden="false" customHeight="false" outlineLevel="0" collapsed="false">
      <c r="A12" s="7" t="s">
        <v>124</v>
      </c>
      <c r="B12" s="7" t="s">
        <v>119</v>
      </c>
      <c r="C12" s="7"/>
      <c r="D12" s="7" t="s">
        <v>125</v>
      </c>
      <c r="E12" s="7" t="s">
        <v>121</v>
      </c>
      <c r="F12" s="7"/>
      <c r="G12" s="7" t="s">
        <v>126</v>
      </c>
      <c r="H12" s="7" t="s">
        <v>126</v>
      </c>
      <c r="I12" s="7" t="s">
        <v>101</v>
      </c>
      <c r="J12" s="7" t="s">
        <v>105</v>
      </c>
    </row>
    <row r="13" customFormat="false" ht="15" hidden="false" customHeight="false" outlineLevel="0" collapsed="false">
      <c r="A13" s="7" t="s">
        <v>127</v>
      </c>
      <c r="B13" s="7" t="s">
        <v>128</v>
      </c>
      <c r="C13" s="7"/>
      <c r="D13" s="7" t="s">
        <v>129</v>
      </c>
      <c r="E13" s="7" t="s">
        <v>121</v>
      </c>
      <c r="F13" s="7"/>
      <c r="G13" s="7" t="s">
        <v>130</v>
      </c>
      <c r="H13" s="7" t="s">
        <v>130</v>
      </c>
      <c r="I13" s="7" t="s">
        <v>110</v>
      </c>
      <c r="J13" s="7" t="s">
        <v>90</v>
      </c>
    </row>
    <row r="14" customFormat="false" ht="15" hidden="false" customHeight="false" outlineLevel="0" collapsed="false">
      <c r="A14" s="7" t="s">
        <v>131</v>
      </c>
      <c r="B14" s="7" t="s">
        <v>128</v>
      </c>
      <c r="C14" s="7"/>
      <c r="D14" s="7" t="s">
        <v>132</v>
      </c>
      <c r="E14" s="7" t="s">
        <v>133</v>
      </c>
      <c r="F14" s="7"/>
      <c r="G14" s="7" t="s">
        <v>134</v>
      </c>
      <c r="H14" s="7" t="s">
        <v>134</v>
      </c>
      <c r="I14" s="7" t="s">
        <v>110</v>
      </c>
      <c r="J14" s="7" t="s">
        <v>117</v>
      </c>
    </row>
    <row r="15" customFormat="false" ht="15" hidden="false" customHeight="false" outlineLevel="0" collapsed="false">
      <c r="A15" s="7" t="s">
        <v>135</v>
      </c>
      <c r="B15" s="7" t="s">
        <v>136</v>
      </c>
      <c r="C15" s="7"/>
      <c r="D15" s="7" t="s">
        <v>137</v>
      </c>
      <c r="E15" s="7" t="s">
        <v>133</v>
      </c>
      <c r="F15" s="7"/>
      <c r="G15" s="7" t="s">
        <v>138</v>
      </c>
      <c r="H15" s="7" t="s">
        <v>138</v>
      </c>
      <c r="I15" s="7" t="s">
        <v>110</v>
      </c>
      <c r="J15" s="7" t="s">
        <v>139</v>
      </c>
    </row>
    <row r="16" customFormat="false" ht="15" hidden="false" customHeight="false" outlineLevel="0" collapsed="false">
      <c r="A16" s="7" t="s">
        <v>140</v>
      </c>
      <c r="B16" s="7" t="s">
        <v>141</v>
      </c>
      <c r="C16" s="7"/>
      <c r="D16" s="7"/>
      <c r="E16" s="7"/>
      <c r="F16" s="7"/>
      <c r="G16" s="7" t="s">
        <v>142</v>
      </c>
      <c r="H16" s="7" t="s">
        <v>142</v>
      </c>
      <c r="I16" s="7" t="s">
        <v>110</v>
      </c>
      <c r="J16" s="7" t="s">
        <v>105</v>
      </c>
    </row>
    <row r="17" customFormat="false" ht="15" hidden="false" customHeight="false" outlineLevel="0" collapsed="false">
      <c r="A17" s="7" t="s">
        <v>143</v>
      </c>
      <c r="B17" s="7" t="s">
        <v>141</v>
      </c>
      <c r="C17" s="7"/>
      <c r="D17" s="7"/>
      <c r="E17" s="7"/>
      <c r="F17" s="7"/>
      <c r="G17" s="7" t="s">
        <v>144</v>
      </c>
      <c r="H17" s="7" t="s">
        <v>144</v>
      </c>
      <c r="I17" s="7" t="s">
        <v>119</v>
      </c>
      <c r="J17" s="7" t="s">
        <v>99</v>
      </c>
    </row>
    <row r="18" customFormat="false" ht="15" hidden="false" customHeight="false" outlineLevel="0" collapsed="false">
      <c r="A18" s="7" t="s">
        <v>145</v>
      </c>
      <c r="B18" s="7" t="s">
        <v>146</v>
      </c>
      <c r="C18" s="7"/>
      <c r="D18" s="7"/>
      <c r="E18" s="7"/>
      <c r="F18" s="7"/>
      <c r="G18" s="7" t="s">
        <v>147</v>
      </c>
      <c r="H18" s="7" t="s">
        <v>147</v>
      </c>
      <c r="I18" s="7" t="s">
        <v>119</v>
      </c>
      <c r="J18" s="7" t="s">
        <v>95</v>
      </c>
    </row>
    <row r="19" customFormat="false" ht="15" hidden="false" customHeight="false" outlineLevel="0" collapsed="false">
      <c r="A19" s="7"/>
      <c r="B19" s="7"/>
      <c r="C19" s="7"/>
      <c r="D19" s="7"/>
      <c r="E19" s="7"/>
      <c r="F19" s="7"/>
      <c r="G19" s="7" t="s">
        <v>148</v>
      </c>
      <c r="H19" s="7" t="s">
        <v>148</v>
      </c>
      <c r="I19" s="7" t="s">
        <v>119</v>
      </c>
      <c r="J19" s="7" t="s">
        <v>123</v>
      </c>
    </row>
    <row r="20" customFormat="false" ht="15" hidden="false" customHeight="false" outlineLevel="0" collapsed="false">
      <c r="A20" s="7"/>
      <c r="B20" s="7"/>
      <c r="C20" s="7"/>
      <c r="D20" s="7"/>
      <c r="E20" s="7"/>
      <c r="F20" s="7"/>
      <c r="G20" s="7" t="s">
        <v>149</v>
      </c>
      <c r="H20" s="7" t="s">
        <v>149</v>
      </c>
      <c r="I20" s="7" t="s">
        <v>119</v>
      </c>
      <c r="J20" s="7" t="s">
        <v>150</v>
      </c>
    </row>
    <row r="21" customFormat="false" ht="15" hidden="false" customHeight="false" outlineLevel="0" collapsed="false">
      <c r="A21" s="7"/>
      <c r="B21" s="7"/>
      <c r="C21" s="7"/>
      <c r="D21" s="7"/>
      <c r="E21" s="7"/>
      <c r="F21" s="7"/>
      <c r="G21" s="7" t="s">
        <v>151</v>
      </c>
      <c r="H21" s="7" t="s">
        <v>151</v>
      </c>
      <c r="I21" s="7" t="s">
        <v>128</v>
      </c>
      <c r="J21" s="7" t="s">
        <v>95</v>
      </c>
    </row>
    <row r="22" customFormat="false" ht="15" hidden="false" customHeight="false" outlineLevel="0" collapsed="false">
      <c r="A22" s="7"/>
      <c r="B22" s="7"/>
      <c r="C22" s="7"/>
      <c r="D22" s="7"/>
      <c r="E22" s="7"/>
      <c r="F22" s="7"/>
      <c r="G22" s="7" t="s">
        <v>152</v>
      </c>
      <c r="H22" s="7" t="s">
        <v>152</v>
      </c>
      <c r="I22" s="7" t="s">
        <v>128</v>
      </c>
      <c r="J22" s="7" t="s">
        <v>95</v>
      </c>
    </row>
    <row r="23" customFormat="false" ht="15" hidden="false" customHeight="false" outlineLevel="0" collapsed="false">
      <c r="A23" s="7"/>
      <c r="B23" s="7"/>
      <c r="C23" s="7"/>
      <c r="D23" s="7"/>
      <c r="E23" s="7"/>
      <c r="F23" s="7"/>
      <c r="G23" s="7" t="s">
        <v>153</v>
      </c>
      <c r="H23" s="7" t="s">
        <v>152</v>
      </c>
      <c r="I23" s="7" t="s">
        <v>128</v>
      </c>
      <c r="J23" s="7" t="s">
        <v>95</v>
      </c>
    </row>
    <row r="24" customFormat="false" ht="15" hidden="false" customHeight="false" outlineLevel="0" collapsed="false">
      <c r="A24" s="7"/>
      <c r="B24" s="7"/>
      <c r="C24" s="7"/>
      <c r="D24" s="7"/>
      <c r="E24" s="7"/>
      <c r="F24" s="7"/>
      <c r="G24" s="7" t="s">
        <v>154</v>
      </c>
      <c r="H24" s="7" t="s">
        <v>154</v>
      </c>
      <c r="I24" s="7" t="s">
        <v>128</v>
      </c>
      <c r="J24" s="7" t="s">
        <v>99</v>
      </c>
    </row>
    <row r="25" customFormat="false" ht="15" hidden="false" customHeight="false" outlineLevel="0" collapsed="false">
      <c r="A25" s="7"/>
      <c r="B25" s="7"/>
      <c r="C25" s="7"/>
      <c r="D25" s="7"/>
      <c r="E25" s="7"/>
      <c r="F25" s="7"/>
      <c r="G25" s="7" t="s">
        <v>155</v>
      </c>
      <c r="H25" s="7" t="s">
        <v>155</v>
      </c>
      <c r="I25" s="7" t="s">
        <v>128</v>
      </c>
      <c r="J25" s="7" t="s">
        <v>156</v>
      </c>
    </row>
    <row r="26" customFormat="false" ht="15" hidden="false" customHeight="false" outlineLevel="0" collapsed="false">
      <c r="A26" s="7"/>
      <c r="B26" s="7"/>
      <c r="C26" s="7"/>
      <c r="D26" s="7"/>
      <c r="E26" s="7"/>
      <c r="F26" s="7"/>
      <c r="G26" s="7" t="s">
        <v>157</v>
      </c>
      <c r="H26" s="7" t="s">
        <v>157</v>
      </c>
      <c r="I26" s="7" t="s">
        <v>136</v>
      </c>
      <c r="J26" s="7" t="s">
        <v>117</v>
      </c>
    </row>
    <row r="27" customFormat="false" ht="15" hidden="false" customHeight="false" outlineLevel="0" collapsed="false">
      <c r="A27" s="7"/>
      <c r="B27" s="7"/>
      <c r="C27" s="7"/>
      <c r="D27" s="7"/>
      <c r="E27" s="7"/>
      <c r="F27" s="7"/>
      <c r="G27" s="7" t="s">
        <v>158</v>
      </c>
      <c r="H27" s="7" t="s">
        <v>158</v>
      </c>
      <c r="I27" s="7" t="s">
        <v>136</v>
      </c>
      <c r="J27" s="7" t="s">
        <v>139</v>
      </c>
    </row>
    <row r="28" customFormat="false" ht="15" hidden="false" customHeight="false" outlineLevel="0" collapsed="false">
      <c r="A28" s="7"/>
      <c r="B28" s="7"/>
      <c r="C28" s="7"/>
      <c r="D28" s="7"/>
      <c r="E28" s="7"/>
      <c r="F28" s="7"/>
      <c r="G28" s="7" t="s">
        <v>159</v>
      </c>
      <c r="H28" s="7" t="s">
        <v>159</v>
      </c>
      <c r="I28" s="7" t="s">
        <v>136</v>
      </c>
      <c r="J28" s="7" t="s">
        <v>90</v>
      </c>
    </row>
    <row r="29" customFormat="false" ht="15" hidden="false" customHeight="false" outlineLevel="0" collapsed="false">
      <c r="A29" s="7"/>
      <c r="B29" s="7"/>
      <c r="C29" s="7"/>
      <c r="D29" s="7"/>
      <c r="E29" s="7"/>
      <c r="F29" s="7"/>
      <c r="G29" s="7" t="s">
        <v>160</v>
      </c>
      <c r="H29" s="7" t="s">
        <v>160</v>
      </c>
      <c r="I29" s="7" t="s">
        <v>136</v>
      </c>
      <c r="J29" s="7" t="s">
        <v>150</v>
      </c>
    </row>
    <row r="30" customFormat="false" ht="15" hidden="false" customHeight="false" outlineLevel="0" collapsed="false">
      <c r="A30" s="7"/>
      <c r="B30" s="7"/>
      <c r="C30" s="7"/>
      <c r="D30" s="7"/>
      <c r="E30" s="7"/>
      <c r="F30" s="7"/>
      <c r="G30" s="7" t="s">
        <v>161</v>
      </c>
      <c r="H30" s="7" t="s">
        <v>161</v>
      </c>
      <c r="I30" s="7" t="s">
        <v>141</v>
      </c>
      <c r="J30" s="7" t="s">
        <v>117</v>
      </c>
    </row>
    <row r="31" customFormat="false" ht="15" hidden="false" customHeight="false" outlineLevel="0" collapsed="false">
      <c r="A31" s="7"/>
      <c r="B31" s="7"/>
      <c r="C31" s="7"/>
      <c r="D31" s="7"/>
      <c r="E31" s="7"/>
      <c r="F31" s="7"/>
      <c r="G31" s="7" t="s">
        <v>162</v>
      </c>
      <c r="H31" s="7" t="s">
        <v>162</v>
      </c>
      <c r="I31" s="7" t="s">
        <v>141</v>
      </c>
      <c r="J31" s="7" t="s">
        <v>117</v>
      </c>
    </row>
    <row r="32" customFormat="false" ht="15" hidden="false" customHeight="false" outlineLevel="0" collapsed="false">
      <c r="A32" s="7"/>
      <c r="B32" s="7"/>
      <c r="C32" s="7"/>
      <c r="D32" s="7"/>
      <c r="E32" s="7"/>
      <c r="F32" s="7"/>
      <c r="G32" s="7" t="s">
        <v>163</v>
      </c>
      <c r="H32" s="7" t="s">
        <v>163</v>
      </c>
      <c r="I32" s="7" t="s">
        <v>141</v>
      </c>
      <c r="J32" s="7" t="s">
        <v>99</v>
      </c>
    </row>
    <row r="33" customFormat="false" ht="15" hidden="false" customHeight="false" outlineLevel="0" collapsed="false">
      <c r="A33" s="7"/>
      <c r="B33" s="7"/>
      <c r="C33" s="7"/>
      <c r="D33" s="7"/>
      <c r="E33" s="7"/>
      <c r="F33" s="7"/>
      <c r="G33" s="7" t="s">
        <v>164</v>
      </c>
      <c r="H33" s="7" t="s">
        <v>164</v>
      </c>
      <c r="I33" s="7" t="s">
        <v>141</v>
      </c>
      <c r="J33" s="7" t="s">
        <v>150</v>
      </c>
    </row>
    <row r="34" customFormat="false" ht="15" hidden="false" customHeight="false" outlineLevel="0" collapsed="false">
      <c r="A34" s="7"/>
      <c r="B34" s="7"/>
      <c r="C34" s="7"/>
      <c r="D34" s="7"/>
      <c r="E34" s="7"/>
      <c r="F34" s="7"/>
      <c r="G34" s="7" t="s">
        <v>165</v>
      </c>
      <c r="H34" s="7" t="s">
        <v>165</v>
      </c>
      <c r="I34" s="7" t="s">
        <v>146</v>
      </c>
      <c r="J34" s="7" t="s">
        <v>90</v>
      </c>
    </row>
    <row r="35" customFormat="false" ht="15" hidden="false" customHeight="false" outlineLevel="0" collapsed="false">
      <c r="A35" s="7"/>
      <c r="B35" s="7"/>
      <c r="C35" s="7"/>
      <c r="D35" s="7"/>
      <c r="E35" s="7"/>
      <c r="F35" s="7"/>
      <c r="G35" s="7" t="s">
        <v>166</v>
      </c>
      <c r="H35" s="7" t="s">
        <v>166</v>
      </c>
      <c r="I35" s="7" t="s">
        <v>146</v>
      </c>
      <c r="J35" s="7" t="s">
        <v>117</v>
      </c>
    </row>
    <row r="36" customFormat="false" ht="15" hidden="false" customHeight="false" outlineLevel="0" collapsed="false">
      <c r="A36" s="7"/>
      <c r="B36" s="7"/>
      <c r="C36" s="7"/>
      <c r="D36" s="7"/>
      <c r="E36" s="7"/>
      <c r="F36" s="7"/>
      <c r="G36" s="7" t="s">
        <v>167</v>
      </c>
      <c r="H36" s="7" t="s">
        <v>167</v>
      </c>
      <c r="I36" s="7" t="s">
        <v>146</v>
      </c>
      <c r="J36" s="7" t="s">
        <v>156</v>
      </c>
    </row>
    <row r="37" customFormat="false" ht="15" hidden="false" customHeight="false" outlineLevel="0" collapsed="false">
      <c r="A37" s="7"/>
      <c r="B37" s="7"/>
      <c r="C37" s="7"/>
      <c r="D37" s="7"/>
      <c r="E37" s="7"/>
      <c r="F37" s="7"/>
      <c r="G37" s="7" t="s">
        <v>168</v>
      </c>
      <c r="H37" s="7" t="s">
        <v>168</v>
      </c>
      <c r="I37" s="7" t="s">
        <v>146</v>
      </c>
      <c r="J37" s="7"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0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6"/>
    <col collapsed="false" customWidth="true" hidden="false" outlineLevel="0" max="5" min="5" style="0" width="26"/>
    <col collapsed="false" customWidth="true" hidden="false" outlineLevel="0" max="14" min="6" style="0" width="16"/>
    <col collapsed="false" customWidth="true" hidden="false" outlineLevel="0" max="15" min="15" style="0" width="14"/>
    <col collapsed="false" customWidth="true" hidden="false" outlineLevel="0" max="27" min="16" style="0" width="16"/>
    <col collapsed="false" customWidth="true" hidden="false" outlineLevel="0" max="28" min="28" style="0" width="34"/>
    <col collapsed="false" customWidth="true" hidden="false" outlineLevel="0" max="30" min="29" style="0" width="16"/>
    <col collapsed="false" customWidth="true" hidden="false" outlineLevel="0" max="31" min="31" style="0" width="26"/>
    <col collapsed="false" customWidth="true" hidden="false" outlineLevel="0" max="34" min="32" style="0" width="16"/>
  </cols>
  <sheetData>
    <row r="1" customFormat="false" ht="31.5" hidden="false" customHeight="true" outlineLevel="0" collapsed="false">
      <c r="A1" s="3" t="s">
        <v>38</v>
      </c>
      <c r="B1" s="3" t="s">
        <v>41</v>
      </c>
      <c r="C1" s="3" t="s">
        <v>44</v>
      </c>
      <c r="D1" s="3" t="s">
        <v>47</v>
      </c>
      <c r="E1" s="3" t="s">
        <v>49</v>
      </c>
      <c r="F1" s="3" t="s">
        <v>51</v>
      </c>
      <c r="G1" s="3" t="s">
        <v>53</v>
      </c>
      <c r="H1" s="3" t="s">
        <v>55</v>
      </c>
      <c r="I1" s="3" t="s">
        <v>58</v>
      </c>
      <c r="J1" s="3" t="s">
        <v>61</v>
      </c>
      <c r="K1" s="3" t="s">
        <v>65</v>
      </c>
      <c r="L1" s="3" t="s">
        <v>67</v>
      </c>
      <c r="M1" s="3" t="s">
        <v>69</v>
      </c>
      <c r="N1" s="3" t="s">
        <v>72</v>
      </c>
      <c r="O1" s="8" t="s">
        <v>169</v>
      </c>
      <c r="P1" s="8" t="s">
        <v>170</v>
      </c>
      <c r="Q1" s="8" t="s">
        <v>171</v>
      </c>
      <c r="R1" s="8" t="s">
        <v>172</v>
      </c>
      <c r="S1" s="8" t="s">
        <v>173</v>
      </c>
      <c r="T1" s="8" t="s">
        <v>174</v>
      </c>
      <c r="U1" s="8" t="s">
        <v>175</v>
      </c>
      <c r="V1" s="8" t="s">
        <v>176</v>
      </c>
      <c r="W1" s="8" t="s">
        <v>177</v>
      </c>
      <c r="X1" s="8" t="s">
        <v>178</v>
      </c>
      <c r="Y1" s="8" t="s">
        <v>179</v>
      </c>
      <c r="Z1" s="8" t="s">
        <v>180</v>
      </c>
      <c r="AA1" s="8" t="s">
        <v>181</v>
      </c>
      <c r="AB1" s="8" t="s">
        <v>182</v>
      </c>
      <c r="AC1" s="8" t="s">
        <v>183</v>
      </c>
      <c r="AD1" s="8" t="s">
        <v>184</v>
      </c>
      <c r="AE1" s="8" t="s">
        <v>185</v>
      </c>
      <c r="AF1" s="8" t="s">
        <v>186</v>
      </c>
      <c r="AG1" s="8" t="s">
        <v>187</v>
      </c>
      <c r="AH1" s="8" t="s">
        <v>188</v>
      </c>
    </row>
    <row r="2" customFormat="false" ht="15" hidden="false" customHeight="false" outlineLevel="0" collapsed="false">
      <c r="A2" s="7" t="s">
        <v>189</v>
      </c>
      <c r="B2" s="7" t="s">
        <v>190</v>
      </c>
      <c r="C2" s="7" t="s">
        <v>191</v>
      </c>
      <c r="D2" s="7" t="s">
        <v>192</v>
      </c>
      <c r="E2" s="7" t="s">
        <v>193</v>
      </c>
      <c r="F2" s="7" t="s">
        <v>119</v>
      </c>
      <c r="G2" s="7" t="s">
        <v>150</v>
      </c>
      <c r="H2" s="7" t="n">
        <v>2</v>
      </c>
      <c r="I2" s="7" t="n">
        <v>180</v>
      </c>
      <c r="J2" s="7" t="n">
        <v>0</v>
      </c>
      <c r="K2" s="7" t="s">
        <v>88</v>
      </c>
      <c r="L2" s="7" t="s">
        <v>194</v>
      </c>
      <c r="M2" s="7" t="n">
        <v>17</v>
      </c>
      <c r="N2" s="7" t="n">
        <v>5</v>
      </c>
      <c r="O2" s="7" t="str">
        <f aca="false">A2&amp;"|"&amp;B2&amp;"|"&amp;C2&amp;"|"&amp;D2&amp;"|"&amp;E2&amp;"|"&amp;F2&amp;"|"&amp;G2&amp;"|"&amp;H2&amp;"|"&amp;I2&amp;"|"&amp;J2&amp;"|"&amp;K2&amp;"|"&amp;L2&amp;"|"&amp;M2&amp;"|"&amp;N2</f>
        <v>ORD10675|2025-03-27|12:57|C0623|Sweet Tooth Studio |Hyderabad|Desserts|2|180|0|UPI|Delivered|17|5</v>
      </c>
      <c r="P2" s="7" t="str">
        <f aca="false">IF(COUNTIF($O$2:O2,O2)&gt;1,"DUP","OK")</f>
        <v>OK</v>
      </c>
      <c r="Q2" s="7" t="n">
        <f aca="false">COUNTBLANK(A2:N2)</f>
        <v>0</v>
      </c>
      <c r="R2" s="7" t="n">
        <f aca="false">IF(A2="",0,COUNTIFS($A$2:$A$3058,A2,$P$2:$P$3058,"OK"))</f>
        <v>1</v>
      </c>
      <c r="S2" s="7" t="str">
        <f aca="false">IF(OR(A2="",P2="DUP",R2&lt;2),"",IF(Q2=_xlfn.MINIFS($Q$2:$Q$3058,$A$2:$A$3058,A2,$P$2:$P$3058,"OK"),"KEEP","DROP"))</f>
        <v/>
      </c>
      <c r="T2" s="9" t="n">
        <f aca="false">IF(A2="",1,0)</f>
        <v>0</v>
      </c>
      <c r="U2" s="9" t="n">
        <f aca="false">IF(D2="",1,0)</f>
        <v>0</v>
      </c>
      <c r="V2" s="9" t="n">
        <f aca="false">IF(E2="",1,0)</f>
        <v>0</v>
      </c>
      <c r="W2" s="9" t="n">
        <f aca="false">IF(OR(H2&lt;1,H2&gt;10),1,0)</f>
        <v>0</v>
      </c>
      <c r="X2" s="9" t="n">
        <f aca="false">IF(OR(I2&lt;=0,I2&gt;1500),1,0)</f>
        <v>0</v>
      </c>
      <c r="Y2" s="9" t="n">
        <f aca="false">IF(J2&gt;H2*I2,1,0)</f>
        <v>0</v>
      </c>
      <c r="Z2" s="9" t="n">
        <f aca="false">IF(AND(N2&lt;&gt;"",OR(N2&lt;1,N2&gt;5)),1,0)</f>
        <v>0</v>
      </c>
      <c r="AA2" s="9" t="n">
        <f aca="false">IF(AND(M2&lt;&gt;"",OR(M2&lt;5,M2&gt;180)),1,0)</f>
        <v>0</v>
      </c>
      <c r="AB2" s="7" t="str">
        <f aca="false">IF(P2="DUP","Exact duplicate row",IF(T2=1,"Missing Order ID",IF(S2="DROP","Duplicate Order ID (less complete row)",IF(U2=1,"Missing Customer ID",IF(V2=1,"Missing Restaurant name",IF(W2=1,"Invalid/outlier quantity",IF(X2=1,"Invalid/outlier unit price",IF(Y2=1,"Discount greater than order value",""))))))))</f>
        <v/>
      </c>
      <c r="AC2" s="7" t="str">
        <f aca="false">IF(AB2="","KEEP","DROP")</f>
        <v>KEEP</v>
      </c>
      <c r="AD2" s="7" t="str">
        <f aca="false">IF(TRIM(F2)="",IFERROR(INDEX(Map_Tables!$I$4:$I$37,MATCH(TRIM(E2),Map_Tables!$G$4:$G$37,0)),""),IFERROR(INDEX(Map_Tables!$B$4:$B$18,MATCH(TRIM(F2),Map_Tables!$A$4:$A$18,0)),"CHECK"))</f>
        <v>Hyderabad</v>
      </c>
      <c r="AE2" s="7" t="str">
        <f aca="false">IF(TRIM(E2)="","",IFERROR(INDEX(Map_Tables!$H$4:$H$37,MATCH(TRIM(E2),Map_Tables!$G$4:$G$37,0)),"CHECK"))</f>
        <v>Sweet Tooth Studio</v>
      </c>
      <c r="AF2" s="7" t="str">
        <f aca="false">IF(TRIM(K2)="","Unknown",IFERROR(INDEX(Map_Tables!$E$4:$E$15,MATCH(TRIM(K2),Map_Tables!$D$4:$D$15,0)),"CHECK"))</f>
        <v>UPI</v>
      </c>
      <c r="AG2" s="7" t="str">
        <f aca="false">IF(LEFT(LOWER(TRIM(L2)),6)="cancel","Cancelled","Delivered")</f>
        <v>Delivered</v>
      </c>
      <c r="AH2" s="10" t="n">
        <f aca="false">IF(ISNUMBER(SEARCH("/",B2)),DATE(VALUE(RIGHT(B2,4)),VALUE(MID(B2,4,2)),VALUE(LEFT(B2,2))),IF(MID(B2,5,1)="-",DATE(VALUE(LEFT(B2,4)),VALUE(MID(B2,6,2)),VALUE(RIGHT(B2,2))),DATE(VALUE(RIGHT(B2,4)),MATCH(MID(B2,4,3),{"Jan","Feb","Mar","Apr","May","Jun","Jul","Aug","Sep","Oct","Nov","Dec"},0),VALUE(LEFT(B2,2)))))</f>
        <v>45743</v>
      </c>
    </row>
    <row r="3" customFormat="false" ht="15" hidden="false" customHeight="false" outlineLevel="0" collapsed="false">
      <c r="A3" s="7" t="s">
        <v>195</v>
      </c>
      <c r="B3" s="7" t="s">
        <v>196</v>
      </c>
      <c r="C3" s="7" t="s">
        <v>197</v>
      </c>
      <c r="D3" s="7" t="s">
        <v>198</v>
      </c>
      <c r="E3" s="7" t="s">
        <v>134</v>
      </c>
      <c r="F3" s="7" t="s">
        <v>110</v>
      </c>
      <c r="G3" s="7" t="s">
        <v>117</v>
      </c>
      <c r="H3" s="7" t="n">
        <v>4</v>
      </c>
      <c r="I3" s="7" t="n">
        <v>95</v>
      </c>
      <c r="J3" s="7" t="n">
        <v>30</v>
      </c>
      <c r="K3" s="7" t="s">
        <v>88</v>
      </c>
      <c r="L3" s="7" t="s">
        <v>194</v>
      </c>
      <c r="M3" s="7" t="n">
        <v>47</v>
      </c>
      <c r="N3" s="7" t="n">
        <v>3</v>
      </c>
      <c r="O3" s="7" t="str">
        <f aca="false">A3&amp;"|"&amp;B3&amp;"|"&amp;C3&amp;"|"&amp;D3&amp;"|"&amp;E3&amp;"|"&amp;F3&amp;"|"&amp;G3&amp;"|"&amp;H3&amp;"|"&amp;I3&amp;"|"&amp;J3&amp;"|"&amp;K3&amp;"|"&amp;L3&amp;"|"&amp;M3&amp;"|"&amp;N3</f>
        <v>ORD12670|2025-11-24|22:08|C0449|Chaat Corner|Delhi|Street Food|4|95|30|UPI|Delivered|47|3</v>
      </c>
      <c r="P3" s="7" t="str">
        <f aca="false">IF(COUNTIF($O$2:O3,O3)&gt;1,"DUP","OK")</f>
        <v>OK</v>
      </c>
      <c r="Q3" s="7" t="n">
        <f aca="false">COUNTBLANK(A3:N3)</f>
        <v>0</v>
      </c>
      <c r="R3" s="7" t="n">
        <f aca="false">IF(A3="",0,COUNTIFS($A$2:$A$3058,A3,$P$2:$P$3058,"OK"))</f>
        <v>1</v>
      </c>
      <c r="S3" s="7" t="str">
        <f aca="false">IF(OR(A3="",P3="DUP",R3&lt;2),"",IF(Q3=_xlfn.MINIFS($Q$2:$Q$3058,$A$2:$A$3058,A3,$P$2:$P$3058,"OK"),"KEEP","DROP"))</f>
        <v/>
      </c>
      <c r="T3" s="9" t="n">
        <f aca="false">IF(A3="",1,0)</f>
        <v>0</v>
      </c>
      <c r="U3" s="9" t="n">
        <f aca="false">IF(D3="",1,0)</f>
        <v>0</v>
      </c>
      <c r="V3" s="9" t="n">
        <f aca="false">IF(E3="",1,0)</f>
        <v>0</v>
      </c>
      <c r="W3" s="9" t="n">
        <f aca="false">IF(OR(H3&lt;1,H3&gt;10),1,0)</f>
        <v>0</v>
      </c>
      <c r="X3" s="9" t="n">
        <f aca="false">IF(OR(I3&lt;=0,I3&gt;1500),1,0)</f>
        <v>0</v>
      </c>
      <c r="Y3" s="9" t="n">
        <f aca="false">IF(J3&gt;H3*I3,1,0)</f>
        <v>0</v>
      </c>
      <c r="Z3" s="9" t="n">
        <f aca="false">IF(AND(N3&lt;&gt;"",OR(N3&lt;1,N3&gt;5)),1,0)</f>
        <v>0</v>
      </c>
      <c r="AA3" s="9" t="n">
        <f aca="false">IF(AND(M3&lt;&gt;"",OR(M3&lt;5,M3&gt;180)),1,0)</f>
        <v>0</v>
      </c>
      <c r="AB3" s="7" t="str">
        <f aca="false">IF(P3="DUP","Exact duplicate row",IF(T3=1,"Missing Order ID",IF(S3="DROP","Duplicate Order ID (less complete row)",IF(U3=1,"Missing Customer ID",IF(V3=1,"Missing Restaurant name",IF(W3=1,"Invalid/outlier quantity",IF(X3=1,"Invalid/outlier unit price",IF(Y3=1,"Discount greater than order value",""))))))))</f>
        <v/>
      </c>
      <c r="AC3" s="7" t="str">
        <f aca="false">IF(AB3="","KEEP","DROP")</f>
        <v>KEEP</v>
      </c>
      <c r="AD3" s="7" t="str">
        <f aca="false">IF(TRIM(F3)="",IFERROR(INDEX(Map_Tables!$I$4:$I$37,MATCH(TRIM(E3),Map_Tables!$G$4:$G$37,0)),""),IFERROR(INDEX(Map_Tables!$B$4:$B$18,MATCH(TRIM(F3),Map_Tables!$A$4:$A$18,0)),"CHECK"))</f>
        <v>Delhi</v>
      </c>
      <c r="AE3" s="7" t="str">
        <f aca="false">IF(TRIM(E3)="","",IFERROR(INDEX(Map_Tables!$H$4:$H$37,MATCH(TRIM(E3),Map_Tables!$G$4:$G$37,0)),"CHECK"))</f>
        <v>Chaat Corner</v>
      </c>
      <c r="AF3" s="7" t="str">
        <f aca="false">IF(TRIM(K3)="","Unknown",IFERROR(INDEX(Map_Tables!$E$4:$E$15,MATCH(TRIM(K3),Map_Tables!$D$4:$D$15,0)),"CHECK"))</f>
        <v>UPI</v>
      </c>
      <c r="AG3" s="7" t="str">
        <f aca="false">IF(LEFT(LOWER(TRIM(L3)),6)="cancel","Cancelled","Delivered")</f>
        <v>Delivered</v>
      </c>
      <c r="AH3" s="10" t="n">
        <f aca="false">IF(ISNUMBER(SEARCH("/",B3)),DATE(VALUE(RIGHT(B3,4)),VALUE(MID(B3,4,2)),VALUE(LEFT(B3,2))),IF(MID(B3,5,1)="-",DATE(VALUE(LEFT(B3,4)),VALUE(MID(B3,6,2)),VALUE(RIGHT(B3,2))),DATE(VALUE(RIGHT(B3,4)),MATCH(MID(B3,4,3),{"Jan","Feb","Mar","Apr","May","Jun","Jul","Aug","Sep","Oct","Nov","Dec"},0),VALUE(LEFT(B3,2)))))</f>
        <v>45985</v>
      </c>
    </row>
    <row r="4" customFormat="false" ht="15" hidden="false" customHeight="false" outlineLevel="0" collapsed="false">
      <c r="A4" s="7" t="s">
        <v>199</v>
      </c>
      <c r="B4" s="7" t="s">
        <v>200</v>
      </c>
      <c r="C4" s="7" t="s">
        <v>201</v>
      </c>
      <c r="D4" s="7" t="s">
        <v>202</v>
      </c>
      <c r="E4" s="7" t="s">
        <v>151</v>
      </c>
      <c r="F4" s="7" t="s">
        <v>128</v>
      </c>
      <c r="G4" s="7" t="s">
        <v>95</v>
      </c>
      <c r="H4" s="7" t="n">
        <v>1</v>
      </c>
      <c r="I4" s="7" t="n">
        <v>160</v>
      </c>
      <c r="J4" s="7" t="n">
        <v>64</v>
      </c>
      <c r="K4" s="7" t="s">
        <v>112</v>
      </c>
      <c r="L4" s="7" t="s">
        <v>194</v>
      </c>
      <c r="M4" s="7" t="n">
        <v>51</v>
      </c>
      <c r="N4" s="7" t="n">
        <v>3</v>
      </c>
      <c r="O4" s="7" t="str">
        <f aca="false">A4&amp;"|"&amp;B4&amp;"|"&amp;C4&amp;"|"&amp;D4&amp;"|"&amp;E4&amp;"|"&amp;F4&amp;"|"&amp;G4&amp;"|"&amp;H4&amp;"|"&amp;I4&amp;"|"&amp;J4&amp;"|"&amp;K4&amp;"|"&amp;L4&amp;"|"&amp;M4&amp;"|"&amp;N4</f>
        <v>ORD10378|2025-02-19|20:46|C0376|Chettinad House|Chennai|South Indian|1|160|64|Cash on Delivery|Delivered|51|3</v>
      </c>
      <c r="P4" s="7" t="str">
        <f aca="false">IF(COUNTIF($O$2:O4,O4)&gt;1,"DUP","OK")</f>
        <v>OK</v>
      </c>
      <c r="Q4" s="7" t="n">
        <f aca="false">COUNTBLANK(A4:N4)</f>
        <v>0</v>
      </c>
      <c r="R4" s="7" t="n">
        <f aca="false">IF(A4="",0,COUNTIFS($A$2:$A$3058,A4,$P$2:$P$3058,"OK"))</f>
        <v>1</v>
      </c>
      <c r="S4" s="7" t="str">
        <f aca="false">IF(OR(A4="",P4="DUP",R4&lt;2),"",IF(Q4=_xlfn.MINIFS($Q$2:$Q$3058,$A$2:$A$3058,A4,$P$2:$P$3058,"OK"),"KEEP","DROP"))</f>
        <v/>
      </c>
      <c r="T4" s="9" t="n">
        <f aca="false">IF(A4="",1,0)</f>
        <v>0</v>
      </c>
      <c r="U4" s="9" t="n">
        <f aca="false">IF(D4="",1,0)</f>
        <v>0</v>
      </c>
      <c r="V4" s="9" t="n">
        <f aca="false">IF(E4="",1,0)</f>
        <v>0</v>
      </c>
      <c r="W4" s="9" t="n">
        <f aca="false">IF(OR(H4&lt;1,H4&gt;10),1,0)</f>
        <v>0</v>
      </c>
      <c r="X4" s="9" t="n">
        <f aca="false">IF(OR(I4&lt;=0,I4&gt;1500),1,0)</f>
        <v>0</v>
      </c>
      <c r="Y4" s="9" t="n">
        <f aca="false">IF(J4&gt;H4*I4,1,0)</f>
        <v>0</v>
      </c>
      <c r="Z4" s="9" t="n">
        <f aca="false">IF(AND(N4&lt;&gt;"",OR(N4&lt;1,N4&gt;5)),1,0)</f>
        <v>0</v>
      </c>
      <c r="AA4" s="9" t="n">
        <f aca="false">IF(AND(M4&lt;&gt;"",OR(M4&lt;5,M4&gt;180)),1,0)</f>
        <v>0</v>
      </c>
      <c r="AB4" s="7" t="str">
        <f aca="false">IF(P4="DUP","Exact duplicate row",IF(T4=1,"Missing Order ID",IF(S4="DROP","Duplicate Order ID (less complete row)",IF(U4=1,"Missing Customer ID",IF(V4=1,"Missing Restaurant name",IF(W4=1,"Invalid/outlier quantity",IF(X4=1,"Invalid/outlier unit price",IF(Y4=1,"Discount greater than order value",""))))))))</f>
        <v/>
      </c>
      <c r="AC4" s="7" t="str">
        <f aca="false">IF(AB4="","KEEP","DROP")</f>
        <v>KEEP</v>
      </c>
      <c r="AD4" s="7" t="str">
        <f aca="false">IF(TRIM(F4)="",IFERROR(INDEX(Map_Tables!$I$4:$I$37,MATCH(TRIM(E4),Map_Tables!$G$4:$G$37,0)),""),IFERROR(INDEX(Map_Tables!$B$4:$B$18,MATCH(TRIM(F4),Map_Tables!$A$4:$A$18,0)),"CHECK"))</f>
        <v>Chennai</v>
      </c>
      <c r="AE4" s="7" t="str">
        <f aca="false">IF(TRIM(E4)="","",IFERROR(INDEX(Map_Tables!$H$4:$H$37,MATCH(TRIM(E4),Map_Tables!$G$4:$G$37,0)),"CHECK"))</f>
        <v>Chettinad House</v>
      </c>
      <c r="AF4" s="7" t="str">
        <f aca="false">IF(TRIM(K4)="","Unknown",IFERROR(INDEX(Map_Tables!$E$4:$E$15,MATCH(TRIM(K4),Map_Tables!$D$4:$D$15,0)),"CHECK"))</f>
        <v>Cash on Delivery</v>
      </c>
      <c r="AG4" s="7" t="str">
        <f aca="false">IF(LEFT(LOWER(TRIM(L4)),6)="cancel","Cancelled","Delivered")</f>
        <v>Delivered</v>
      </c>
      <c r="AH4" s="10" t="n">
        <f aca="false">IF(ISNUMBER(SEARCH("/",B4)),DATE(VALUE(RIGHT(B4,4)),VALUE(MID(B4,4,2)),VALUE(LEFT(B4,2))),IF(MID(B4,5,1)="-",DATE(VALUE(LEFT(B4,4)),VALUE(MID(B4,6,2)),VALUE(RIGHT(B4,2))),DATE(VALUE(RIGHT(B4,4)),MATCH(MID(B4,4,3),{"Jan","Feb","Mar","Apr","May","Jun","Jul","Aug","Sep","Oct","Nov","Dec"},0),VALUE(LEFT(B4,2)))))</f>
        <v>45707</v>
      </c>
    </row>
    <row r="5" customFormat="false" ht="15" hidden="false" customHeight="false" outlineLevel="0" collapsed="false">
      <c r="A5" s="7" t="s">
        <v>203</v>
      </c>
      <c r="B5" s="7" t="s">
        <v>204</v>
      </c>
      <c r="C5" s="7" t="s">
        <v>205</v>
      </c>
      <c r="D5" s="7" t="s">
        <v>206</v>
      </c>
      <c r="E5" s="7" t="s">
        <v>116</v>
      </c>
      <c r="F5" s="7" t="s">
        <v>101</v>
      </c>
      <c r="G5" s="7" t="s">
        <v>117</v>
      </c>
      <c r="H5" s="7" t="n">
        <v>5</v>
      </c>
      <c r="I5" s="7" t="n">
        <v>140</v>
      </c>
      <c r="J5" s="7" t="n">
        <v>50</v>
      </c>
      <c r="K5" s="7" t="s">
        <v>103</v>
      </c>
      <c r="L5" s="7" t="s">
        <v>194</v>
      </c>
      <c r="M5" s="7" t="n">
        <v>55</v>
      </c>
      <c r="N5" s="7" t="n">
        <v>3</v>
      </c>
      <c r="O5" s="7" t="str">
        <f aca="false">A5&amp;"|"&amp;B5&amp;"|"&amp;C5&amp;"|"&amp;D5&amp;"|"&amp;E5&amp;"|"&amp;F5&amp;"|"&amp;G5&amp;"|"&amp;H5&amp;"|"&amp;I5&amp;"|"&amp;J5&amp;"|"&amp;K5&amp;"|"&amp;L5&amp;"|"&amp;M5&amp;"|"&amp;N5</f>
        <v>ORD10803|2025-04-12|00:02|C0164|Pav Bhaji Point|Mumbai|Street Food|5|140|50|Debit Card|Delivered|55|3</v>
      </c>
      <c r="P5" s="7" t="str">
        <f aca="false">IF(COUNTIF($O$2:O5,O5)&gt;1,"DUP","OK")</f>
        <v>OK</v>
      </c>
      <c r="Q5" s="7" t="n">
        <f aca="false">COUNTBLANK(A5:N5)</f>
        <v>0</v>
      </c>
      <c r="R5" s="7" t="n">
        <f aca="false">IF(A5="",0,COUNTIFS($A$2:$A$3058,A5,$P$2:$P$3058,"OK"))</f>
        <v>1</v>
      </c>
      <c r="S5" s="7" t="str">
        <f aca="false">IF(OR(A5="",P5="DUP",R5&lt;2),"",IF(Q5=_xlfn.MINIFS($Q$2:$Q$3058,$A$2:$A$3058,A5,$P$2:$P$3058,"OK"),"KEEP","DROP"))</f>
        <v/>
      </c>
      <c r="T5" s="9" t="n">
        <f aca="false">IF(A5="",1,0)</f>
        <v>0</v>
      </c>
      <c r="U5" s="9" t="n">
        <f aca="false">IF(D5="",1,0)</f>
        <v>0</v>
      </c>
      <c r="V5" s="9" t="n">
        <f aca="false">IF(E5="",1,0)</f>
        <v>0</v>
      </c>
      <c r="W5" s="9" t="n">
        <f aca="false">IF(OR(H5&lt;1,H5&gt;10),1,0)</f>
        <v>0</v>
      </c>
      <c r="X5" s="9" t="n">
        <f aca="false">IF(OR(I5&lt;=0,I5&gt;1500),1,0)</f>
        <v>0</v>
      </c>
      <c r="Y5" s="9" t="n">
        <f aca="false">IF(J5&gt;H5*I5,1,0)</f>
        <v>0</v>
      </c>
      <c r="Z5" s="9" t="n">
        <f aca="false">IF(AND(N5&lt;&gt;"",OR(N5&lt;1,N5&gt;5)),1,0)</f>
        <v>0</v>
      </c>
      <c r="AA5" s="9" t="n">
        <f aca="false">IF(AND(M5&lt;&gt;"",OR(M5&lt;5,M5&gt;180)),1,0)</f>
        <v>0</v>
      </c>
      <c r="AB5" s="7" t="str">
        <f aca="false">IF(P5="DUP","Exact duplicate row",IF(T5=1,"Missing Order ID",IF(S5="DROP","Duplicate Order ID (less complete row)",IF(U5=1,"Missing Customer ID",IF(V5=1,"Missing Restaurant name",IF(W5=1,"Invalid/outlier quantity",IF(X5=1,"Invalid/outlier unit price",IF(Y5=1,"Discount greater than order value",""))))))))</f>
        <v/>
      </c>
      <c r="AC5" s="7" t="str">
        <f aca="false">IF(AB5="","KEEP","DROP")</f>
        <v>KEEP</v>
      </c>
      <c r="AD5" s="7" t="str">
        <f aca="false">IF(TRIM(F5)="",IFERROR(INDEX(Map_Tables!$I$4:$I$37,MATCH(TRIM(E5),Map_Tables!$G$4:$G$37,0)),""),IFERROR(INDEX(Map_Tables!$B$4:$B$18,MATCH(TRIM(F5),Map_Tables!$A$4:$A$18,0)),"CHECK"))</f>
        <v>Mumbai</v>
      </c>
      <c r="AE5" s="7" t="str">
        <f aca="false">IF(TRIM(E5)="","",IFERROR(INDEX(Map_Tables!$H$4:$H$37,MATCH(TRIM(E5),Map_Tables!$G$4:$G$37,0)),"CHECK"))</f>
        <v>Pav Bhaji Point</v>
      </c>
      <c r="AF5" s="7" t="str">
        <f aca="false">IF(TRIM(K5)="","Unknown",IFERROR(INDEX(Map_Tables!$E$4:$E$15,MATCH(TRIM(K5),Map_Tables!$D$4:$D$15,0)),"CHECK"))</f>
        <v>Debit Card</v>
      </c>
      <c r="AG5" s="7" t="str">
        <f aca="false">IF(LEFT(LOWER(TRIM(L5)),6)="cancel","Cancelled","Delivered")</f>
        <v>Delivered</v>
      </c>
      <c r="AH5" s="10" t="n">
        <f aca="false">IF(ISNUMBER(SEARCH("/",B5)),DATE(VALUE(RIGHT(B5,4)),VALUE(MID(B5,4,2)),VALUE(LEFT(B5,2))),IF(MID(B5,5,1)="-",DATE(VALUE(LEFT(B5,4)),VALUE(MID(B5,6,2)),VALUE(RIGHT(B5,2))),DATE(VALUE(RIGHT(B5,4)),MATCH(MID(B5,4,3),{"Jan","Feb","Mar","Apr","May","Jun","Jul","Aug","Sep","Oct","Nov","Dec"},0),VALUE(LEFT(B5,2)))))</f>
        <v>45759</v>
      </c>
    </row>
    <row r="6" customFormat="false" ht="15" hidden="false" customHeight="false" outlineLevel="0" collapsed="false">
      <c r="A6" s="7" t="s">
        <v>207</v>
      </c>
      <c r="B6" s="7" t="s">
        <v>208</v>
      </c>
      <c r="C6" s="7" t="s">
        <v>209</v>
      </c>
      <c r="D6" s="7" t="s">
        <v>210</v>
      </c>
      <c r="E6" s="7" t="s">
        <v>168</v>
      </c>
      <c r="F6" s="7" t="s">
        <v>146</v>
      </c>
      <c r="G6" s="7" t="s">
        <v>123</v>
      </c>
      <c r="H6" s="7" t="n">
        <v>1</v>
      </c>
      <c r="I6" s="7" t="n">
        <v>290</v>
      </c>
      <c r="J6" s="7" t="n">
        <v>116</v>
      </c>
      <c r="K6" s="7" t="s">
        <v>112</v>
      </c>
      <c r="L6" s="7" t="s">
        <v>194</v>
      </c>
      <c r="M6" s="7" t="n">
        <v>30</v>
      </c>
      <c r="N6" s="7"/>
      <c r="O6" s="7" t="str">
        <f aca="false">A6&amp;"|"&amp;B6&amp;"|"&amp;C6&amp;"|"&amp;D6&amp;"|"&amp;E6&amp;"|"&amp;F6&amp;"|"&amp;G6&amp;"|"&amp;H6&amp;"|"&amp;I6&amp;"|"&amp;J6&amp;"|"&amp;K6&amp;"|"&amp;L6&amp;"|"&amp;M6&amp;"|"&amp;N6</f>
        <v>ORD11209|02/06/2025|21:40|C1083|Cheesy Slice|Ahmedabad|Pizza|1|290|116|Cash on Delivery|Delivered|30|</v>
      </c>
      <c r="P6" s="7" t="str">
        <f aca="false">IF(COUNTIF($O$2:O6,O6)&gt;1,"DUP","OK")</f>
        <v>OK</v>
      </c>
      <c r="Q6" s="7" t="n">
        <f aca="false">COUNTBLANK(A6:N6)</f>
        <v>1</v>
      </c>
      <c r="R6" s="7" t="n">
        <f aca="false">IF(A6="",0,COUNTIFS($A$2:$A$3058,A6,$P$2:$P$3058,"OK"))</f>
        <v>1</v>
      </c>
      <c r="S6" s="7" t="str">
        <f aca="false">IF(OR(A6="",P6="DUP",R6&lt;2),"",IF(Q6=_xlfn.MINIFS($Q$2:$Q$3058,$A$2:$A$3058,A6,$P$2:$P$3058,"OK"),"KEEP","DROP"))</f>
        <v/>
      </c>
      <c r="T6" s="9" t="n">
        <f aca="false">IF(A6="",1,0)</f>
        <v>0</v>
      </c>
      <c r="U6" s="9" t="n">
        <f aca="false">IF(D6="",1,0)</f>
        <v>0</v>
      </c>
      <c r="V6" s="9" t="n">
        <f aca="false">IF(E6="",1,0)</f>
        <v>0</v>
      </c>
      <c r="W6" s="9" t="n">
        <f aca="false">IF(OR(H6&lt;1,H6&gt;10),1,0)</f>
        <v>0</v>
      </c>
      <c r="X6" s="9" t="n">
        <f aca="false">IF(OR(I6&lt;=0,I6&gt;1500),1,0)</f>
        <v>0</v>
      </c>
      <c r="Y6" s="9" t="n">
        <f aca="false">IF(J6&gt;H6*I6,1,0)</f>
        <v>0</v>
      </c>
      <c r="Z6" s="9" t="n">
        <f aca="false">IF(AND(N6&lt;&gt;"",OR(N6&lt;1,N6&gt;5)),1,0)</f>
        <v>0</v>
      </c>
      <c r="AA6" s="9" t="n">
        <f aca="false">IF(AND(M6&lt;&gt;"",OR(M6&lt;5,M6&gt;180)),1,0)</f>
        <v>0</v>
      </c>
      <c r="AB6" s="7" t="str">
        <f aca="false">IF(P6="DUP","Exact duplicate row",IF(T6=1,"Missing Order ID",IF(S6="DROP","Duplicate Order ID (less complete row)",IF(U6=1,"Missing Customer ID",IF(V6=1,"Missing Restaurant name",IF(W6=1,"Invalid/outlier quantity",IF(X6=1,"Invalid/outlier unit price",IF(Y6=1,"Discount greater than order value",""))))))))</f>
        <v/>
      </c>
      <c r="AC6" s="7" t="str">
        <f aca="false">IF(AB6="","KEEP","DROP")</f>
        <v>KEEP</v>
      </c>
      <c r="AD6" s="7" t="str">
        <f aca="false">IF(TRIM(F6)="",IFERROR(INDEX(Map_Tables!$I$4:$I$37,MATCH(TRIM(E6),Map_Tables!$G$4:$G$37,0)),""),IFERROR(INDEX(Map_Tables!$B$4:$B$18,MATCH(TRIM(F6),Map_Tables!$A$4:$A$18,0)),"CHECK"))</f>
        <v>Ahmedabad</v>
      </c>
      <c r="AE6" s="7" t="str">
        <f aca="false">IF(TRIM(E6)="","",IFERROR(INDEX(Map_Tables!$H$4:$H$37,MATCH(TRIM(E6),Map_Tables!$G$4:$G$37,0)),"CHECK"))</f>
        <v>Cheesy Slice</v>
      </c>
      <c r="AF6" s="7" t="str">
        <f aca="false">IF(TRIM(K6)="","Unknown",IFERROR(INDEX(Map_Tables!$E$4:$E$15,MATCH(TRIM(K6),Map_Tables!$D$4:$D$15,0)),"CHECK"))</f>
        <v>Cash on Delivery</v>
      </c>
      <c r="AG6" s="7" t="str">
        <f aca="false">IF(LEFT(LOWER(TRIM(L6)),6)="cancel","Cancelled","Delivered")</f>
        <v>Delivered</v>
      </c>
      <c r="AH6" s="10" t="n">
        <f aca="false">IF(ISNUMBER(SEARCH("/",B6)),DATE(VALUE(RIGHT(B6,4)),VALUE(MID(B6,4,2)),VALUE(LEFT(B6,2))),IF(MID(B6,5,1)="-",DATE(VALUE(LEFT(B6,4)),VALUE(MID(B6,6,2)),VALUE(RIGHT(B6,2))),DATE(VALUE(RIGHT(B6,4)),MATCH(MID(B6,4,3),{"Jan","Feb","Mar","Apr","May","Jun","Jul","Aug","Sep","Oct","Nov","Dec"},0),VALUE(LEFT(B6,2)))))</f>
        <v>45810</v>
      </c>
    </row>
    <row r="7" customFormat="false" ht="15" hidden="false" customHeight="false" outlineLevel="0" collapsed="false">
      <c r="A7" s="7" t="s">
        <v>211</v>
      </c>
      <c r="B7" s="7" t="s">
        <v>212</v>
      </c>
      <c r="C7" s="7" t="s">
        <v>213</v>
      </c>
      <c r="D7" s="7" t="s">
        <v>214</v>
      </c>
      <c r="E7" s="7" t="s">
        <v>122</v>
      </c>
      <c r="F7" s="7" t="s">
        <v>215</v>
      </c>
      <c r="G7" s="7" t="s">
        <v>123</v>
      </c>
      <c r="H7" s="7" t="n">
        <v>3</v>
      </c>
      <c r="I7" s="7" t="n">
        <v>375</v>
      </c>
      <c r="J7" s="7" t="n">
        <v>0</v>
      </c>
      <c r="K7" s="7" t="s">
        <v>133</v>
      </c>
      <c r="L7" s="7" t="s">
        <v>194</v>
      </c>
      <c r="M7" s="7" t="n">
        <v>39</v>
      </c>
      <c r="N7" s="7" t="n">
        <v>4</v>
      </c>
      <c r="O7" s="7" t="str">
        <f aca="false">A7&amp;"|"&amp;B7&amp;"|"&amp;C7&amp;"|"&amp;D7&amp;"|"&amp;E7&amp;"|"&amp;F7&amp;"|"&amp;G7&amp;"|"&amp;H7&amp;"|"&amp;I7&amp;"|"&amp;J7&amp;"|"&amp;K7&amp;"|"&amp;L7&amp;"|"&amp;M7&amp;"|"&amp;N7</f>
        <v>ORD12737|2025-12-01|20:37|C0481|Mumbai Pizza Co|MUMBAI|Pizza|3|375|0|Net Banking|Delivered|39|4</v>
      </c>
      <c r="P7" s="7" t="str">
        <f aca="false">IF(COUNTIF($O$2:O7,O7)&gt;1,"DUP","OK")</f>
        <v>OK</v>
      </c>
      <c r="Q7" s="7" t="n">
        <f aca="false">COUNTBLANK(A7:N7)</f>
        <v>0</v>
      </c>
      <c r="R7" s="7" t="n">
        <f aca="false">IF(A7="",0,COUNTIFS($A$2:$A$3058,A7,$P$2:$P$3058,"OK"))</f>
        <v>1</v>
      </c>
      <c r="S7" s="7" t="str">
        <f aca="false">IF(OR(A7="",P7="DUP",R7&lt;2),"",IF(Q7=_xlfn.MINIFS($Q$2:$Q$3058,$A$2:$A$3058,A7,$P$2:$P$3058,"OK"),"KEEP","DROP"))</f>
        <v/>
      </c>
      <c r="T7" s="9" t="n">
        <f aca="false">IF(A7="",1,0)</f>
        <v>0</v>
      </c>
      <c r="U7" s="9" t="n">
        <f aca="false">IF(D7="",1,0)</f>
        <v>0</v>
      </c>
      <c r="V7" s="9" t="n">
        <f aca="false">IF(E7="",1,0)</f>
        <v>0</v>
      </c>
      <c r="W7" s="9" t="n">
        <f aca="false">IF(OR(H7&lt;1,H7&gt;10),1,0)</f>
        <v>0</v>
      </c>
      <c r="X7" s="9" t="n">
        <f aca="false">IF(OR(I7&lt;=0,I7&gt;1500),1,0)</f>
        <v>0</v>
      </c>
      <c r="Y7" s="9" t="n">
        <f aca="false">IF(J7&gt;H7*I7,1,0)</f>
        <v>0</v>
      </c>
      <c r="Z7" s="9" t="n">
        <f aca="false">IF(AND(N7&lt;&gt;"",OR(N7&lt;1,N7&gt;5)),1,0)</f>
        <v>0</v>
      </c>
      <c r="AA7" s="9" t="n">
        <f aca="false">IF(AND(M7&lt;&gt;"",OR(M7&lt;5,M7&gt;180)),1,0)</f>
        <v>0</v>
      </c>
      <c r="AB7" s="7" t="str">
        <f aca="false">IF(P7="DUP","Exact duplicate row",IF(T7=1,"Missing Order ID",IF(S7="DROP","Duplicate Order ID (less complete row)",IF(U7=1,"Missing Customer ID",IF(V7=1,"Missing Restaurant name",IF(W7=1,"Invalid/outlier quantity",IF(X7=1,"Invalid/outlier unit price",IF(Y7=1,"Discount greater than order value",""))))))))</f>
        <v/>
      </c>
      <c r="AC7" s="7" t="str">
        <f aca="false">IF(AB7="","KEEP","DROP")</f>
        <v>KEEP</v>
      </c>
      <c r="AD7" s="7" t="str">
        <f aca="false">IF(TRIM(F7)="",IFERROR(INDEX(Map_Tables!$I$4:$I$37,MATCH(TRIM(E7),Map_Tables!$G$4:$G$37,0)),""),IFERROR(INDEX(Map_Tables!$B$4:$B$18,MATCH(TRIM(F7),Map_Tables!$A$4:$A$18,0)),"CHECK"))</f>
        <v>Mumbai</v>
      </c>
      <c r="AE7" s="7" t="str">
        <f aca="false">IF(TRIM(E7)="","",IFERROR(INDEX(Map_Tables!$H$4:$H$37,MATCH(TRIM(E7),Map_Tables!$G$4:$G$37,0)),"CHECK"))</f>
        <v>Mumbai Pizza Co</v>
      </c>
      <c r="AF7" s="7" t="str">
        <f aca="false">IF(TRIM(K7)="","Unknown",IFERROR(INDEX(Map_Tables!$E$4:$E$15,MATCH(TRIM(K7),Map_Tables!$D$4:$D$15,0)),"CHECK"))</f>
        <v>Net Banking</v>
      </c>
      <c r="AG7" s="7" t="str">
        <f aca="false">IF(LEFT(LOWER(TRIM(L7)),6)="cancel","Cancelled","Delivered")</f>
        <v>Delivered</v>
      </c>
      <c r="AH7" s="10" t="n">
        <f aca="false">IF(ISNUMBER(SEARCH("/",B7)),DATE(VALUE(RIGHT(B7,4)),VALUE(MID(B7,4,2)),VALUE(LEFT(B7,2))),IF(MID(B7,5,1)="-",DATE(VALUE(LEFT(B7,4)),VALUE(MID(B7,6,2)),VALUE(RIGHT(B7,2))),DATE(VALUE(RIGHT(B7,4)),MATCH(MID(B7,4,3),{"Jan","Feb","Mar","Apr","May","Jun","Jul","Aug","Sep","Oct","Nov","Dec"},0),VALUE(LEFT(B7,2)))))</f>
        <v>45992</v>
      </c>
    </row>
    <row r="8" customFormat="false" ht="15" hidden="false" customHeight="false" outlineLevel="0" collapsed="false">
      <c r="A8" s="7" t="s">
        <v>216</v>
      </c>
      <c r="B8" s="7" t="s">
        <v>217</v>
      </c>
      <c r="C8" s="7" t="s">
        <v>218</v>
      </c>
      <c r="D8" s="7" t="s">
        <v>219</v>
      </c>
      <c r="E8" s="7" t="s">
        <v>134</v>
      </c>
      <c r="F8" s="7" t="s">
        <v>110</v>
      </c>
      <c r="G8" s="7" t="s">
        <v>117</v>
      </c>
      <c r="H8" s="7" t="n">
        <v>1</v>
      </c>
      <c r="I8" s="7" t="n">
        <v>110</v>
      </c>
      <c r="J8" s="7" t="n">
        <v>0</v>
      </c>
      <c r="K8" s="7" t="s">
        <v>93</v>
      </c>
      <c r="L8" s="7" t="s">
        <v>220</v>
      </c>
      <c r="M8" s="7" t="n">
        <v>34</v>
      </c>
      <c r="N8" s="7" t="n">
        <v>4</v>
      </c>
      <c r="O8" s="7" t="str">
        <f aca="false">A8&amp;"|"&amp;B8&amp;"|"&amp;C8&amp;"|"&amp;D8&amp;"|"&amp;E8&amp;"|"&amp;F8&amp;"|"&amp;G8&amp;"|"&amp;H8&amp;"|"&amp;I8&amp;"|"&amp;J8&amp;"|"&amp;K8&amp;"|"&amp;L8&amp;"|"&amp;M8&amp;"|"&amp;N8</f>
        <v>ORD10853|2025-04-18|12:48|C1006|Chaat Corner|Delhi|Street Food|1|110|0|Credit Card|DELIVERED|34|4</v>
      </c>
      <c r="P8" s="7" t="str">
        <f aca="false">IF(COUNTIF($O$2:O8,O8)&gt;1,"DUP","OK")</f>
        <v>OK</v>
      </c>
      <c r="Q8" s="7" t="n">
        <f aca="false">COUNTBLANK(A8:N8)</f>
        <v>0</v>
      </c>
      <c r="R8" s="7" t="n">
        <f aca="false">IF(A8="",0,COUNTIFS($A$2:$A$3058,A8,$P$2:$P$3058,"OK"))</f>
        <v>1</v>
      </c>
      <c r="S8" s="7" t="str">
        <f aca="false">IF(OR(A8="",P8="DUP",R8&lt;2),"",IF(Q8=_xlfn.MINIFS($Q$2:$Q$3058,$A$2:$A$3058,A8,$P$2:$P$3058,"OK"),"KEEP","DROP"))</f>
        <v/>
      </c>
      <c r="T8" s="9" t="n">
        <f aca="false">IF(A8="",1,0)</f>
        <v>0</v>
      </c>
      <c r="U8" s="9" t="n">
        <f aca="false">IF(D8="",1,0)</f>
        <v>0</v>
      </c>
      <c r="V8" s="9" t="n">
        <f aca="false">IF(E8="",1,0)</f>
        <v>0</v>
      </c>
      <c r="W8" s="9" t="n">
        <f aca="false">IF(OR(H8&lt;1,H8&gt;10),1,0)</f>
        <v>0</v>
      </c>
      <c r="X8" s="9" t="n">
        <f aca="false">IF(OR(I8&lt;=0,I8&gt;1500),1,0)</f>
        <v>0</v>
      </c>
      <c r="Y8" s="9" t="n">
        <f aca="false">IF(J8&gt;H8*I8,1,0)</f>
        <v>0</v>
      </c>
      <c r="Z8" s="9" t="n">
        <f aca="false">IF(AND(N8&lt;&gt;"",OR(N8&lt;1,N8&gt;5)),1,0)</f>
        <v>0</v>
      </c>
      <c r="AA8" s="9" t="n">
        <f aca="false">IF(AND(M8&lt;&gt;"",OR(M8&lt;5,M8&gt;180)),1,0)</f>
        <v>0</v>
      </c>
      <c r="AB8" s="7" t="str">
        <f aca="false">IF(P8="DUP","Exact duplicate row",IF(T8=1,"Missing Order ID",IF(S8="DROP","Duplicate Order ID (less complete row)",IF(U8=1,"Missing Customer ID",IF(V8=1,"Missing Restaurant name",IF(W8=1,"Invalid/outlier quantity",IF(X8=1,"Invalid/outlier unit price",IF(Y8=1,"Discount greater than order value",""))))))))</f>
        <v/>
      </c>
      <c r="AC8" s="7" t="str">
        <f aca="false">IF(AB8="","KEEP","DROP")</f>
        <v>KEEP</v>
      </c>
      <c r="AD8" s="7" t="str">
        <f aca="false">IF(TRIM(F8)="",IFERROR(INDEX(Map_Tables!$I$4:$I$37,MATCH(TRIM(E8),Map_Tables!$G$4:$G$37,0)),""),IFERROR(INDEX(Map_Tables!$B$4:$B$18,MATCH(TRIM(F8),Map_Tables!$A$4:$A$18,0)),"CHECK"))</f>
        <v>Delhi</v>
      </c>
      <c r="AE8" s="7" t="str">
        <f aca="false">IF(TRIM(E8)="","",IFERROR(INDEX(Map_Tables!$H$4:$H$37,MATCH(TRIM(E8),Map_Tables!$G$4:$G$37,0)),"CHECK"))</f>
        <v>Chaat Corner</v>
      </c>
      <c r="AF8" s="7" t="str">
        <f aca="false">IF(TRIM(K8)="","Unknown",IFERROR(INDEX(Map_Tables!$E$4:$E$15,MATCH(TRIM(K8),Map_Tables!$D$4:$D$15,0)),"CHECK"))</f>
        <v>Credit Card</v>
      </c>
      <c r="AG8" s="7" t="str">
        <f aca="false">IF(LEFT(LOWER(TRIM(L8)),6)="cancel","Cancelled","Delivered")</f>
        <v>Delivered</v>
      </c>
      <c r="AH8" s="10" t="n">
        <f aca="false">IF(ISNUMBER(SEARCH("/",B8)),DATE(VALUE(RIGHT(B8,4)),VALUE(MID(B8,4,2)),VALUE(LEFT(B8,2))),IF(MID(B8,5,1)="-",DATE(VALUE(LEFT(B8,4)),VALUE(MID(B8,6,2)),VALUE(RIGHT(B8,2))),DATE(VALUE(RIGHT(B8,4)),MATCH(MID(B8,4,3),{"Jan","Feb","Mar","Apr","May","Jun","Jul","Aug","Sep","Oct","Nov","Dec"},0),VALUE(LEFT(B8,2)))))</f>
        <v>45765</v>
      </c>
    </row>
    <row r="9" customFormat="false" ht="15" hidden="false" customHeight="false" outlineLevel="0" collapsed="false">
      <c r="A9" s="7" t="s">
        <v>221</v>
      </c>
      <c r="B9" s="7" t="s">
        <v>222</v>
      </c>
      <c r="C9" s="7" t="s">
        <v>223</v>
      </c>
      <c r="D9" s="7" t="s">
        <v>224</v>
      </c>
      <c r="E9" s="7" t="s">
        <v>152</v>
      </c>
      <c r="F9" s="7" t="s">
        <v>128</v>
      </c>
      <c r="G9" s="7" t="s">
        <v>95</v>
      </c>
      <c r="H9" s="7" t="n">
        <v>2</v>
      </c>
      <c r="I9" s="7" t="n">
        <v>105</v>
      </c>
      <c r="J9" s="7" t="n">
        <v>84</v>
      </c>
      <c r="K9" s="7" t="s">
        <v>88</v>
      </c>
      <c r="L9" s="7" t="s">
        <v>194</v>
      </c>
      <c r="M9" s="7" t="n">
        <v>37</v>
      </c>
      <c r="N9" s="7" t="n">
        <v>3</v>
      </c>
      <c r="O9" s="7" t="str">
        <f aca="false">A9&amp;"|"&amp;B9&amp;"|"&amp;C9&amp;"|"&amp;D9&amp;"|"&amp;E9&amp;"|"&amp;F9&amp;"|"&amp;G9&amp;"|"&amp;H9&amp;"|"&amp;I9&amp;"|"&amp;J9&amp;"|"&amp;K9&amp;"|"&amp;L9&amp;"|"&amp;M9&amp;"|"&amp;N9</f>
        <v>ORD12786|2025-12-07|10:20|C1030|Filter Coffee &amp; Tiffin|Chennai|South Indian|2|105|84|UPI|Delivered|37|3</v>
      </c>
      <c r="P9" s="7" t="str">
        <f aca="false">IF(COUNTIF($O$2:O9,O9)&gt;1,"DUP","OK")</f>
        <v>OK</v>
      </c>
      <c r="Q9" s="7" t="n">
        <f aca="false">COUNTBLANK(A9:N9)</f>
        <v>0</v>
      </c>
      <c r="R9" s="7" t="n">
        <f aca="false">IF(A9="",0,COUNTIFS($A$2:$A$3058,A9,$P$2:$P$3058,"OK"))</f>
        <v>1</v>
      </c>
      <c r="S9" s="7" t="str">
        <f aca="false">IF(OR(A9="",P9="DUP",R9&lt;2),"",IF(Q9=_xlfn.MINIFS($Q$2:$Q$3058,$A$2:$A$3058,A9,$P$2:$P$3058,"OK"),"KEEP","DROP"))</f>
        <v/>
      </c>
      <c r="T9" s="9" t="n">
        <f aca="false">IF(A9="",1,0)</f>
        <v>0</v>
      </c>
      <c r="U9" s="9" t="n">
        <f aca="false">IF(D9="",1,0)</f>
        <v>0</v>
      </c>
      <c r="V9" s="9" t="n">
        <f aca="false">IF(E9="",1,0)</f>
        <v>0</v>
      </c>
      <c r="W9" s="9" t="n">
        <f aca="false">IF(OR(H9&lt;1,H9&gt;10),1,0)</f>
        <v>0</v>
      </c>
      <c r="X9" s="9" t="n">
        <f aca="false">IF(OR(I9&lt;=0,I9&gt;1500),1,0)</f>
        <v>0</v>
      </c>
      <c r="Y9" s="9" t="n">
        <f aca="false">IF(J9&gt;H9*I9,1,0)</f>
        <v>0</v>
      </c>
      <c r="Z9" s="9" t="n">
        <f aca="false">IF(AND(N9&lt;&gt;"",OR(N9&lt;1,N9&gt;5)),1,0)</f>
        <v>0</v>
      </c>
      <c r="AA9" s="9" t="n">
        <f aca="false">IF(AND(M9&lt;&gt;"",OR(M9&lt;5,M9&gt;180)),1,0)</f>
        <v>0</v>
      </c>
      <c r="AB9" s="7" t="str">
        <f aca="false">IF(P9="DUP","Exact duplicate row",IF(T9=1,"Missing Order ID",IF(S9="DROP","Duplicate Order ID (less complete row)",IF(U9=1,"Missing Customer ID",IF(V9=1,"Missing Restaurant name",IF(W9=1,"Invalid/outlier quantity",IF(X9=1,"Invalid/outlier unit price",IF(Y9=1,"Discount greater than order value",""))))))))</f>
        <v/>
      </c>
      <c r="AC9" s="7" t="str">
        <f aca="false">IF(AB9="","KEEP","DROP")</f>
        <v>KEEP</v>
      </c>
      <c r="AD9" s="7" t="str">
        <f aca="false">IF(TRIM(F9)="",IFERROR(INDEX(Map_Tables!$I$4:$I$37,MATCH(TRIM(E9),Map_Tables!$G$4:$G$37,0)),""),IFERROR(INDEX(Map_Tables!$B$4:$B$18,MATCH(TRIM(F9),Map_Tables!$A$4:$A$18,0)),"CHECK"))</f>
        <v>Chennai</v>
      </c>
      <c r="AE9" s="7" t="str">
        <f aca="false">IF(TRIM(E9)="","",IFERROR(INDEX(Map_Tables!$H$4:$H$37,MATCH(TRIM(E9),Map_Tables!$G$4:$G$37,0)),"CHECK"))</f>
        <v>Filter Coffee &amp; Tiffin</v>
      </c>
      <c r="AF9" s="7" t="str">
        <f aca="false">IF(TRIM(K9)="","Unknown",IFERROR(INDEX(Map_Tables!$E$4:$E$15,MATCH(TRIM(K9),Map_Tables!$D$4:$D$15,0)),"CHECK"))</f>
        <v>UPI</v>
      </c>
      <c r="AG9" s="7" t="str">
        <f aca="false">IF(LEFT(LOWER(TRIM(L9)),6)="cancel","Cancelled","Delivered")</f>
        <v>Delivered</v>
      </c>
      <c r="AH9" s="10" t="n">
        <f aca="false">IF(ISNUMBER(SEARCH("/",B9)),DATE(VALUE(RIGHT(B9,4)),VALUE(MID(B9,4,2)),VALUE(LEFT(B9,2))),IF(MID(B9,5,1)="-",DATE(VALUE(LEFT(B9,4)),VALUE(MID(B9,6,2)),VALUE(RIGHT(B9,2))),DATE(VALUE(RIGHT(B9,4)),MATCH(MID(B9,4,3),{"Jan","Feb","Mar","Apr","May","Jun","Jul","Aug","Sep","Oct","Nov","Dec"},0),VALUE(LEFT(B9,2)))))</f>
        <v>45998</v>
      </c>
    </row>
    <row r="10" customFormat="false" ht="15" hidden="false" customHeight="false" outlineLevel="0" collapsed="false">
      <c r="A10" s="7" t="s">
        <v>225</v>
      </c>
      <c r="B10" s="7" t="s">
        <v>226</v>
      </c>
      <c r="C10" s="7" t="s">
        <v>227</v>
      </c>
      <c r="D10" s="7" t="s">
        <v>228</v>
      </c>
      <c r="E10" s="7" t="s">
        <v>122</v>
      </c>
      <c r="F10" s="7" t="s">
        <v>101</v>
      </c>
      <c r="G10" s="7" t="s">
        <v>123</v>
      </c>
      <c r="H10" s="7" t="n">
        <v>5</v>
      </c>
      <c r="I10" s="7" t="n">
        <v>295</v>
      </c>
      <c r="J10" s="7" t="n">
        <v>30</v>
      </c>
      <c r="K10" s="7" t="s">
        <v>229</v>
      </c>
      <c r="L10" s="7" t="s">
        <v>194</v>
      </c>
      <c r="M10" s="7" t="n">
        <v>46</v>
      </c>
      <c r="N10" s="7" t="n">
        <v>3</v>
      </c>
      <c r="O10" s="7" t="str">
        <f aca="false">A10&amp;"|"&amp;B10&amp;"|"&amp;C10&amp;"|"&amp;D10&amp;"|"&amp;E10&amp;"|"&amp;F10&amp;"|"&amp;G10&amp;"|"&amp;H10&amp;"|"&amp;I10&amp;"|"&amp;J10&amp;"|"&amp;K10&amp;"|"&amp;L10&amp;"|"&amp;M10&amp;"|"&amp;N10</f>
        <v>ORD12001|2025-09-16|21:36|C1488|Mumbai Pizza Co|Mumbai|Pizza|5|295|30|Upi|Delivered|46|3</v>
      </c>
      <c r="P10" s="7" t="str">
        <f aca="false">IF(COUNTIF($O$2:O10,O10)&gt;1,"DUP","OK")</f>
        <v>OK</v>
      </c>
      <c r="Q10" s="7" t="n">
        <f aca="false">COUNTBLANK(A10:N10)</f>
        <v>0</v>
      </c>
      <c r="R10" s="7" t="n">
        <f aca="false">IF(A10="",0,COUNTIFS($A$2:$A$3058,A10,$P$2:$P$3058,"OK"))</f>
        <v>1</v>
      </c>
      <c r="S10" s="7" t="str">
        <f aca="false">IF(OR(A10="",P10="DUP",R10&lt;2),"",IF(Q10=_xlfn.MINIFS($Q$2:$Q$3058,$A$2:$A$3058,A10,$P$2:$P$3058,"OK"),"KEEP","DROP"))</f>
        <v/>
      </c>
      <c r="T10" s="9" t="n">
        <f aca="false">IF(A10="",1,0)</f>
        <v>0</v>
      </c>
      <c r="U10" s="9" t="n">
        <f aca="false">IF(D10="",1,0)</f>
        <v>0</v>
      </c>
      <c r="V10" s="9" t="n">
        <f aca="false">IF(E10="",1,0)</f>
        <v>0</v>
      </c>
      <c r="W10" s="9" t="n">
        <f aca="false">IF(OR(H10&lt;1,H10&gt;10),1,0)</f>
        <v>0</v>
      </c>
      <c r="X10" s="9" t="n">
        <f aca="false">IF(OR(I10&lt;=0,I10&gt;1500),1,0)</f>
        <v>0</v>
      </c>
      <c r="Y10" s="9" t="n">
        <f aca="false">IF(J10&gt;H10*I10,1,0)</f>
        <v>0</v>
      </c>
      <c r="Z10" s="9" t="n">
        <f aca="false">IF(AND(N10&lt;&gt;"",OR(N10&lt;1,N10&gt;5)),1,0)</f>
        <v>0</v>
      </c>
      <c r="AA10" s="9" t="n">
        <f aca="false">IF(AND(M10&lt;&gt;"",OR(M10&lt;5,M10&gt;180)),1,0)</f>
        <v>0</v>
      </c>
      <c r="AB10" s="7" t="str">
        <f aca="false">IF(P10="DUP","Exact duplicate row",IF(T10=1,"Missing Order ID",IF(S10="DROP","Duplicate Order ID (less complete row)",IF(U10=1,"Missing Customer ID",IF(V10=1,"Missing Restaurant name",IF(W10=1,"Invalid/outlier quantity",IF(X10=1,"Invalid/outlier unit price",IF(Y10=1,"Discount greater than order value",""))))))))</f>
        <v/>
      </c>
      <c r="AC10" s="7" t="str">
        <f aca="false">IF(AB10="","KEEP","DROP")</f>
        <v>KEEP</v>
      </c>
      <c r="AD10" s="7" t="str">
        <f aca="false">IF(TRIM(F10)="",IFERROR(INDEX(Map_Tables!$I$4:$I$37,MATCH(TRIM(E10),Map_Tables!$G$4:$G$37,0)),""),IFERROR(INDEX(Map_Tables!$B$4:$B$18,MATCH(TRIM(F10),Map_Tables!$A$4:$A$18,0)),"CHECK"))</f>
        <v>Mumbai</v>
      </c>
      <c r="AE10" s="7" t="str">
        <f aca="false">IF(TRIM(E10)="","",IFERROR(INDEX(Map_Tables!$H$4:$H$37,MATCH(TRIM(E10),Map_Tables!$G$4:$G$37,0)),"CHECK"))</f>
        <v>Mumbai Pizza Co</v>
      </c>
      <c r="AF10" s="7" t="str">
        <f aca="false">IF(TRIM(K10)="","Unknown",IFERROR(INDEX(Map_Tables!$E$4:$E$15,MATCH(TRIM(K10),Map_Tables!$D$4:$D$15,0)),"CHECK"))</f>
        <v>UPI</v>
      </c>
      <c r="AG10" s="7" t="str">
        <f aca="false">IF(LEFT(LOWER(TRIM(L10)),6)="cancel","Cancelled","Delivered")</f>
        <v>Delivered</v>
      </c>
      <c r="AH10" s="10" t="n">
        <f aca="false">IF(ISNUMBER(SEARCH("/",B10)),DATE(VALUE(RIGHT(B10,4)),VALUE(MID(B10,4,2)),VALUE(LEFT(B10,2))),IF(MID(B10,5,1)="-",DATE(VALUE(LEFT(B10,4)),VALUE(MID(B10,6,2)),VALUE(RIGHT(B10,2))),DATE(VALUE(RIGHT(B10,4)),MATCH(MID(B10,4,3),{"Jan","Feb","Mar","Apr","May","Jun","Jul","Aug","Sep","Oct","Nov","Dec"},0),VALUE(LEFT(B10,2)))))</f>
        <v>45916</v>
      </c>
    </row>
    <row r="11" customFormat="false" ht="15" hidden="false" customHeight="false" outlineLevel="0" collapsed="false">
      <c r="A11" s="7" t="s">
        <v>230</v>
      </c>
      <c r="B11" s="7" t="s">
        <v>231</v>
      </c>
      <c r="C11" s="7" t="s">
        <v>232</v>
      </c>
      <c r="D11" s="7" t="s">
        <v>233</v>
      </c>
      <c r="E11" s="7" t="s">
        <v>113</v>
      </c>
      <c r="F11" s="7" t="s">
        <v>101</v>
      </c>
      <c r="G11" s="7" t="s">
        <v>90</v>
      </c>
      <c r="H11" s="7" t="n">
        <v>5</v>
      </c>
      <c r="I11" s="7" t="n">
        <v>220</v>
      </c>
      <c r="J11" s="7" t="n">
        <v>100</v>
      </c>
      <c r="K11" s="7" t="s">
        <v>88</v>
      </c>
      <c r="L11" s="7" t="s">
        <v>194</v>
      </c>
      <c r="M11" s="7" t="n">
        <v>56</v>
      </c>
      <c r="N11" s="7" t="n">
        <v>3</v>
      </c>
      <c r="O11" s="7" t="str">
        <f aca="false">A11&amp;"|"&amp;B11&amp;"|"&amp;C11&amp;"|"&amp;D11&amp;"|"&amp;E11&amp;"|"&amp;F11&amp;"|"&amp;G11&amp;"|"&amp;H11&amp;"|"&amp;I11&amp;"|"&amp;J11&amp;"|"&amp;K11&amp;"|"&amp;L11&amp;"|"&amp;M11&amp;"|"&amp;N11</f>
        <v>ORD12725|2025-11-30|21:09|C0193|Curry Leaf Kitchen|Mumbai|North Indian|5|220|100|UPI|Delivered|56|3</v>
      </c>
      <c r="P11" s="7" t="str">
        <f aca="false">IF(COUNTIF($O$2:O11,O11)&gt;1,"DUP","OK")</f>
        <v>OK</v>
      </c>
      <c r="Q11" s="7" t="n">
        <f aca="false">COUNTBLANK(A11:N11)</f>
        <v>0</v>
      </c>
      <c r="R11" s="7" t="n">
        <f aca="false">IF(A11="",0,COUNTIFS($A$2:$A$3058,A11,$P$2:$P$3058,"OK"))</f>
        <v>1</v>
      </c>
      <c r="S11" s="7" t="str">
        <f aca="false">IF(OR(A11="",P11="DUP",R11&lt;2),"",IF(Q11=_xlfn.MINIFS($Q$2:$Q$3058,$A$2:$A$3058,A11,$P$2:$P$3058,"OK"),"KEEP","DROP"))</f>
        <v/>
      </c>
      <c r="T11" s="9" t="n">
        <f aca="false">IF(A11="",1,0)</f>
        <v>0</v>
      </c>
      <c r="U11" s="9" t="n">
        <f aca="false">IF(D11="",1,0)</f>
        <v>0</v>
      </c>
      <c r="V11" s="9" t="n">
        <f aca="false">IF(E11="",1,0)</f>
        <v>0</v>
      </c>
      <c r="W11" s="9" t="n">
        <f aca="false">IF(OR(H11&lt;1,H11&gt;10),1,0)</f>
        <v>0</v>
      </c>
      <c r="X11" s="9" t="n">
        <f aca="false">IF(OR(I11&lt;=0,I11&gt;1500),1,0)</f>
        <v>0</v>
      </c>
      <c r="Y11" s="9" t="n">
        <f aca="false">IF(J11&gt;H11*I11,1,0)</f>
        <v>0</v>
      </c>
      <c r="Z11" s="9" t="n">
        <f aca="false">IF(AND(N11&lt;&gt;"",OR(N11&lt;1,N11&gt;5)),1,0)</f>
        <v>0</v>
      </c>
      <c r="AA11" s="9" t="n">
        <f aca="false">IF(AND(M11&lt;&gt;"",OR(M11&lt;5,M11&gt;180)),1,0)</f>
        <v>0</v>
      </c>
      <c r="AB11" s="7" t="str">
        <f aca="false">IF(P11="DUP","Exact duplicate row",IF(T11=1,"Missing Order ID",IF(S11="DROP","Duplicate Order ID (less complete row)",IF(U11=1,"Missing Customer ID",IF(V11=1,"Missing Restaurant name",IF(W11=1,"Invalid/outlier quantity",IF(X11=1,"Invalid/outlier unit price",IF(Y11=1,"Discount greater than order value",""))))))))</f>
        <v/>
      </c>
      <c r="AC11" s="7" t="str">
        <f aca="false">IF(AB11="","KEEP","DROP")</f>
        <v>KEEP</v>
      </c>
      <c r="AD11" s="7" t="str">
        <f aca="false">IF(TRIM(F11)="",IFERROR(INDEX(Map_Tables!$I$4:$I$37,MATCH(TRIM(E11),Map_Tables!$G$4:$G$37,0)),""),IFERROR(INDEX(Map_Tables!$B$4:$B$18,MATCH(TRIM(F11),Map_Tables!$A$4:$A$18,0)),"CHECK"))</f>
        <v>Mumbai</v>
      </c>
      <c r="AE11" s="7" t="str">
        <f aca="false">IF(TRIM(E11)="","",IFERROR(INDEX(Map_Tables!$H$4:$H$37,MATCH(TRIM(E11),Map_Tables!$G$4:$G$37,0)),"CHECK"))</f>
        <v>Curry Leaf Kitchen</v>
      </c>
      <c r="AF11" s="7" t="str">
        <f aca="false">IF(TRIM(K11)="","Unknown",IFERROR(INDEX(Map_Tables!$E$4:$E$15,MATCH(TRIM(K11),Map_Tables!$D$4:$D$15,0)),"CHECK"))</f>
        <v>UPI</v>
      </c>
      <c r="AG11" s="7" t="str">
        <f aca="false">IF(LEFT(LOWER(TRIM(L11)),6)="cancel","Cancelled","Delivered")</f>
        <v>Delivered</v>
      </c>
      <c r="AH11" s="10" t="n">
        <f aca="false">IF(ISNUMBER(SEARCH("/",B11)),DATE(VALUE(RIGHT(B11,4)),VALUE(MID(B11,4,2)),VALUE(LEFT(B11,2))),IF(MID(B11,5,1)="-",DATE(VALUE(LEFT(B11,4)),VALUE(MID(B11,6,2)),VALUE(RIGHT(B11,2))),DATE(VALUE(RIGHT(B11,4)),MATCH(MID(B11,4,3),{"Jan","Feb","Mar","Apr","May","Jun","Jul","Aug","Sep","Oct","Nov","Dec"},0),VALUE(LEFT(B11,2)))))</f>
        <v>45991</v>
      </c>
    </row>
    <row r="12" customFormat="false" ht="15" hidden="false" customHeight="false" outlineLevel="0" collapsed="false">
      <c r="A12" s="7" t="s">
        <v>234</v>
      </c>
      <c r="B12" s="7" t="s">
        <v>235</v>
      </c>
      <c r="C12" s="7" t="s">
        <v>236</v>
      </c>
      <c r="D12" s="7" t="s">
        <v>237</v>
      </c>
      <c r="E12" s="7" t="s">
        <v>134</v>
      </c>
      <c r="F12" s="7" t="s">
        <v>110</v>
      </c>
      <c r="G12" s="7" t="s">
        <v>117</v>
      </c>
      <c r="H12" s="7" t="n">
        <v>5</v>
      </c>
      <c r="I12" s="7" t="n">
        <v>105</v>
      </c>
      <c r="J12" s="7" t="n">
        <v>0</v>
      </c>
      <c r="K12" s="7" t="s">
        <v>88</v>
      </c>
      <c r="L12" s="7" t="s">
        <v>238</v>
      </c>
      <c r="M12" s="7"/>
      <c r="N12" s="7"/>
      <c r="O12" s="7" t="str">
        <f aca="false">A12&amp;"|"&amp;B12&amp;"|"&amp;C12&amp;"|"&amp;D12&amp;"|"&amp;E12&amp;"|"&amp;F12&amp;"|"&amp;G12&amp;"|"&amp;H12&amp;"|"&amp;I12&amp;"|"&amp;J12&amp;"|"&amp;K12&amp;"|"&amp;L12&amp;"|"&amp;M12&amp;"|"&amp;N12</f>
        <v>ORD10430|2025-02-27|19:26|C1390|Chaat Corner|Delhi|Street Food|5|105|0|UPI|Cancelled||</v>
      </c>
      <c r="P12" s="7" t="str">
        <f aca="false">IF(COUNTIF($O$2:O12,O12)&gt;1,"DUP","OK")</f>
        <v>OK</v>
      </c>
      <c r="Q12" s="7" t="n">
        <f aca="false">COUNTBLANK(A12:N12)</f>
        <v>2</v>
      </c>
      <c r="R12" s="7" t="n">
        <f aca="false">IF(A12="",0,COUNTIFS($A$2:$A$3058,A12,$P$2:$P$3058,"OK"))</f>
        <v>1</v>
      </c>
      <c r="S12" s="7" t="str">
        <f aca="false">IF(OR(A12="",P12="DUP",R12&lt;2),"",IF(Q12=_xlfn.MINIFS($Q$2:$Q$3058,$A$2:$A$3058,A12,$P$2:$P$3058,"OK"),"KEEP","DROP"))</f>
        <v/>
      </c>
      <c r="T12" s="9" t="n">
        <f aca="false">IF(A12="",1,0)</f>
        <v>0</v>
      </c>
      <c r="U12" s="9" t="n">
        <f aca="false">IF(D12="",1,0)</f>
        <v>0</v>
      </c>
      <c r="V12" s="9" t="n">
        <f aca="false">IF(E12="",1,0)</f>
        <v>0</v>
      </c>
      <c r="W12" s="9" t="n">
        <f aca="false">IF(OR(H12&lt;1,H12&gt;10),1,0)</f>
        <v>0</v>
      </c>
      <c r="X12" s="9" t="n">
        <f aca="false">IF(OR(I12&lt;=0,I12&gt;1500),1,0)</f>
        <v>0</v>
      </c>
      <c r="Y12" s="9" t="n">
        <f aca="false">IF(J12&gt;H12*I12,1,0)</f>
        <v>0</v>
      </c>
      <c r="Z12" s="9" t="n">
        <f aca="false">IF(AND(N12&lt;&gt;"",OR(N12&lt;1,N12&gt;5)),1,0)</f>
        <v>0</v>
      </c>
      <c r="AA12" s="9" t="n">
        <f aca="false">IF(AND(M12&lt;&gt;"",OR(M12&lt;5,M12&gt;180)),1,0)</f>
        <v>0</v>
      </c>
      <c r="AB12" s="7" t="str">
        <f aca="false">IF(P12="DUP","Exact duplicate row",IF(T12=1,"Missing Order ID",IF(S12="DROP","Duplicate Order ID (less complete row)",IF(U12=1,"Missing Customer ID",IF(V12=1,"Missing Restaurant name",IF(W12=1,"Invalid/outlier quantity",IF(X12=1,"Invalid/outlier unit price",IF(Y12=1,"Discount greater than order value",""))))))))</f>
        <v/>
      </c>
      <c r="AC12" s="7" t="str">
        <f aca="false">IF(AB12="","KEEP","DROP")</f>
        <v>KEEP</v>
      </c>
      <c r="AD12" s="7" t="str">
        <f aca="false">IF(TRIM(F12)="",IFERROR(INDEX(Map_Tables!$I$4:$I$37,MATCH(TRIM(E12),Map_Tables!$G$4:$G$37,0)),""),IFERROR(INDEX(Map_Tables!$B$4:$B$18,MATCH(TRIM(F12),Map_Tables!$A$4:$A$18,0)),"CHECK"))</f>
        <v>Delhi</v>
      </c>
      <c r="AE12" s="7" t="str">
        <f aca="false">IF(TRIM(E12)="","",IFERROR(INDEX(Map_Tables!$H$4:$H$37,MATCH(TRIM(E12),Map_Tables!$G$4:$G$37,0)),"CHECK"))</f>
        <v>Chaat Corner</v>
      </c>
      <c r="AF12" s="7" t="str">
        <f aca="false">IF(TRIM(K12)="","Unknown",IFERROR(INDEX(Map_Tables!$E$4:$E$15,MATCH(TRIM(K12),Map_Tables!$D$4:$D$15,0)),"CHECK"))</f>
        <v>UPI</v>
      </c>
      <c r="AG12" s="7" t="str">
        <f aca="false">IF(LEFT(LOWER(TRIM(L12)),6)="cancel","Cancelled","Delivered")</f>
        <v>Cancelled</v>
      </c>
      <c r="AH12" s="10" t="n">
        <f aca="false">IF(ISNUMBER(SEARCH("/",B12)),DATE(VALUE(RIGHT(B12,4)),VALUE(MID(B12,4,2)),VALUE(LEFT(B12,2))),IF(MID(B12,5,1)="-",DATE(VALUE(LEFT(B12,4)),VALUE(MID(B12,6,2)),VALUE(RIGHT(B12,2))),DATE(VALUE(RIGHT(B12,4)),MATCH(MID(B12,4,3),{"Jan","Feb","Mar","Apr","May","Jun","Jul","Aug","Sep","Oct","Nov","Dec"},0),VALUE(LEFT(B12,2)))))</f>
        <v>45715</v>
      </c>
    </row>
    <row r="13" customFormat="false" ht="15" hidden="false" customHeight="false" outlineLevel="0" collapsed="false">
      <c r="A13" s="7" t="s">
        <v>239</v>
      </c>
      <c r="B13" s="7" t="s">
        <v>240</v>
      </c>
      <c r="C13" s="7" t="s">
        <v>241</v>
      </c>
      <c r="D13" s="7" t="s">
        <v>242</v>
      </c>
      <c r="E13" s="7" t="s">
        <v>159</v>
      </c>
      <c r="F13" s="7" t="s">
        <v>136</v>
      </c>
      <c r="G13" s="7" t="s">
        <v>90</v>
      </c>
      <c r="H13" s="7" t="n">
        <v>4</v>
      </c>
      <c r="I13" s="7" t="n">
        <v>285</v>
      </c>
      <c r="J13" s="7" t="n">
        <v>150</v>
      </c>
      <c r="K13" s="7" t="s">
        <v>93</v>
      </c>
      <c r="L13" s="7" t="s">
        <v>194</v>
      </c>
      <c r="M13" s="7" t="n">
        <v>33</v>
      </c>
      <c r="N13" s="7" t="n">
        <v>5</v>
      </c>
      <c r="O13" s="7" t="str">
        <f aca="false">A13&amp;"|"&amp;B13&amp;"|"&amp;C13&amp;"|"&amp;D13&amp;"|"&amp;E13&amp;"|"&amp;F13&amp;"|"&amp;G13&amp;"|"&amp;H13&amp;"|"&amp;I13&amp;"|"&amp;J13&amp;"|"&amp;K13&amp;"|"&amp;L13&amp;"|"&amp;M13&amp;"|"&amp;N13</f>
        <v>ORD12148|2025-10-02|11:59|C1117|Maratha Thali House|Pune|North Indian|4|285|150|Credit Card|Delivered|33|5</v>
      </c>
      <c r="P13" s="7" t="str">
        <f aca="false">IF(COUNTIF($O$2:O13,O13)&gt;1,"DUP","OK")</f>
        <v>OK</v>
      </c>
      <c r="Q13" s="7" t="n">
        <f aca="false">COUNTBLANK(A13:N13)</f>
        <v>0</v>
      </c>
      <c r="R13" s="7" t="n">
        <f aca="false">IF(A13="",0,COUNTIFS($A$2:$A$3058,A13,$P$2:$P$3058,"OK"))</f>
        <v>1</v>
      </c>
      <c r="S13" s="7" t="str">
        <f aca="false">IF(OR(A13="",P13="DUP",R13&lt;2),"",IF(Q13=_xlfn.MINIFS($Q$2:$Q$3058,$A$2:$A$3058,A13,$P$2:$P$3058,"OK"),"KEEP","DROP"))</f>
        <v/>
      </c>
      <c r="T13" s="9" t="n">
        <f aca="false">IF(A13="",1,0)</f>
        <v>0</v>
      </c>
      <c r="U13" s="9" t="n">
        <f aca="false">IF(D13="",1,0)</f>
        <v>0</v>
      </c>
      <c r="V13" s="9" t="n">
        <f aca="false">IF(E13="",1,0)</f>
        <v>0</v>
      </c>
      <c r="W13" s="9" t="n">
        <f aca="false">IF(OR(H13&lt;1,H13&gt;10),1,0)</f>
        <v>0</v>
      </c>
      <c r="X13" s="9" t="n">
        <f aca="false">IF(OR(I13&lt;=0,I13&gt;1500),1,0)</f>
        <v>0</v>
      </c>
      <c r="Y13" s="9" t="n">
        <f aca="false">IF(J13&gt;H13*I13,1,0)</f>
        <v>0</v>
      </c>
      <c r="Z13" s="9" t="n">
        <f aca="false">IF(AND(N13&lt;&gt;"",OR(N13&lt;1,N13&gt;5)),1,0)</f>
        <v>0</v>
      </c>
      <c r="AA13" s="9" t="n">
        <f aca="false">IF(AND(M13&lt;&gt;"",OR(M13&lt;5,M13&gt;180)),1,0)</f>
        <v>0</v>
      </c>
      <c r="AB13" s="7" t="str">
        <f aca="false">IF(P13="DUP","Exact duplicate row",IF(T13=1,"Missing Order ID",IF(S13="DROP","Duplicate Order ID (less complete row)",IF(U13=1,"Missing Customer ID",IF(V13=1,"Missing Restaurant name",IF(W13=1,"Invalid/outlier quantity",IF(X13=1,"Invalid/outlier unit price",IF(Y13=1,"Discount greater than order value",""))))))))</f>
        <v/>
      </c>
      <c r="AC13" s="7" t="str">
        <f aca="false">IF(AB13="","KEEP","DROP")</f>
        <v>KEEP</v>
      </c>
      <c r="AD13" s="7" t="str">
        <f aca="false">IF(TRIM(F13)="",IFERROR(INDEX(Map_Tables!$I$4:$I$37,MATCH(TRIM(E13),Map_Tables!$G$4:$G$37,0)),""),IFERROR(INDEX(Map_Tables!$B$4:$B$18,MATCH(TRIM(F13),Map_Tables!$A$4:$A$18,0)),"CHECK"))</f>
        <v>Pune</v>
      </c>
      <c r="AE13" s="7" t="str">
        <f aca="false">IF(TRIM(E13)="","",IFERROR(INDEX(Map_Tables!$H$4:$H$37,MATCH(TRIM(E13),Map_Tables!$G$4:$G$37,0)),"CHECK"))</f>
        <v>Maratha Thali House</v>
      </c>
      <c r="AF13" s="7" t="str">
        <f aca="false">IF(TRIM(K13)="","Unknown",IFERROR(INDEX(Map_Tables!$E$4:$E$15,MATCH(TRIM(K13),Map_Tables!$D$4:$D$15,0)),"CHECK"))</f>
        <v>Credit Card</v>
      </c>
      <c r="AG13" s="7" t="str">
        <f aca="false">IF(LEFT(LOWER(TRIM(L13)),6)="cancel","Cancelled","Delivered")</f>
        <v>Delivered</v>
      </c>
      <c r="AH13" s="10" t="n">
        <f aca="false">IF(ISNUMBER(SEARCH("/",B13)),DATE(VALUE(RIGHT(B13,4)),VALUE(MID(B13,4,2)),VALUE(LEFT(B13,2))),IF(MID(B13,5,1)="-",DATE(VALUE(LEFT(B13,4)),VALUE(MID(B13,6,2)),VALUE(RIGHT(B13,2))),DATE(VALUE(RIGHT(B13,4)),MATCH(MID(B13,4,3),{"Jan","Feb","Mar","Apr","May","Jun","Jul","Aug","Sep","Oct","Nov","Dec"},0),VALUE(LEFT(B13,2)))))</f>
        <v>45932</v>
      </c>
    </row>
    <row r="14" customFormat="false" ht="15" hidden="false" customHeight="false" outlineLevel="0" collapsed="false">
      <c r="A14" s="7" t="s">
        <v>243</v>
      </c>
      <c r="B14" s="7" t="s">
        <v>244</v>
      </c>
      <c r="C14" s="7" t="s">
        <v>245</v>
      </c>
      <c r="D14" s="7" t="s">
        <v>246</v>
      </c>
      <c r="E14" s="7" t="s">
        <v>161</v>
      </c>
      <c r="F14" s="7" t="s">
        <v>141</v>
      </c>
      <c r="G14" s="7" t="s">
        <v>117</v>
      </c>
      <c r="H14" s="7" t="n">
        <v>5</v>
      </c>
      <c r="I14" s="7" t="n">
        <v>110</v>
      </c>
      <c r="J14" s="7" t="n">
        <v>20</v>
      </c>
      <c r="K14" s="7" t="s">
        <v>93</v>
      </c>
      <c r="L14" s="7" t="s">
        <v>238</v>
      </c>
      <c r="M14" s="7"/>
      <c r="N14" s="7"/>
      <c r="O14" s="7" t="str">
        <f aca="false">A14&amp;"|"&amp;B14&amp;"|"&amp;C14&amp;"|"&amp;D14&amp;"|"&amp;E14&amp;"|"&amp;F14&amp;"|"&amp;G14&amp;"|"&amp;H14&amp;"|"&amp;I14&amp;"|"&amp;J14&amp;"|"&amp;K14&amp;"|"&amp;L14&amp;"|"&amp;M14&amp;"|"&amp;N14</f>
        <v>ORD10728|2025-04-03|13:09|C1478|Bengal Bites|Kolkata|Street Food|5|110|20|Credit Card|Cancelled||</v>
      </c>
      <c r="P14" s="7" t="str">
        <f aca="false">IF(COUNTIF($O$2:O14,O14)&gt;1,"DUP","OK")</f>
        <v>OK</v>
      </c>
      <c r="Q14" s="7" t="n">
        <f aca="false">COUNTBLANK(A14:N14)</f>
        <v>2</v>
      </c>
      <c r="R14" s="7" t="n">
        <f aca="false">IF(A14="",0,COUNTIFS($A$2:$A$3058,A14,$P$2:$P$3058,"OK"))</f>
        <v>1</v>
      </c>
      <c r="S14" s="7" t="str">
        <f aca="false">IF(OR(A14="",P14="DUP",R14&lt;2),"",IF(Q14=_xlfn.MINIFS($Q$2:$Q$3058,$A$2:$A$3058,A14,$P$2:$P$3058,"OK"),"KEEP","DROP"))</f>
        <v/>
      </c>
      <c r="T14" s="9" t="n">
        <f aca="false">IF(A14="",1,0)</f>
        <v>0</v>
      </c>
      <c r="U14" s="9" t="n">
        <f aca="false">IF(D14="",1,0)</f>
        <v>0</v>
      </c>
      <c r="V14" s="9" t="n">
        <f aca="false">IF(E14="",1,0)</f>
        <v>0</v>
      </c>
      <c r="W14" s="9" t="n">
        <f aca="false">IF(OR(H14&lt;1,H14&gt;10),1,0)</f>
        <v>0</v>
      </c>
      <c r="X14" s="9" t="n">
        <f aca="false">IF(OR(I14&lt;=0,I14&gt;1500),1,0)</f>
        <v>0</v>
      </c>
      <c r="Y14" s="9" t="n">
        <f aca="false">IF(J14&gt;H14*I14,1,0)</f>
        <v>0</v>
      </c>
      <c r="Z14" s="9" t="n">
        <f aca="false">IF(AND(N14&lt;&gt;"",OR(N14&lt;1,N14&gt;5)),1,0)</f>
        <v>0</v>
      </c>
      <c r="AA14" s="9" t="n">
        <f aca="false">IF(AND(M14&lt;&gt;"",OR(M14&lt;5,M14&gt;180)),1,0)</f>
        <v>0</v>
      </c>
      <c r="AB14" s="7" t="str">
        <f aca="false">IF(P14="DUP","Exact duplicate row",IF(T14=1,"Missing Order ID",IF(S14="DROP","Duplicate Order ID (less complete row)",IF(U14=1,"Missing Customer ID",IF(V14=1,"Missing Restaurant name",IF(W14=1,"Invalid/outlier quantity",IF(X14=1,"Invalid/outlier unit price",IF(Y14=1,"Discount greater than order value",""))))))))</f>
        <v/>
      </c>
      <c r="AC14" s="7" t="str">
        <f aca="false">IF(AB14="","KEEP","DROP")</f>
        <v>KEEP</v>
      </c>
      <c r="AD14" s="7" t="str">
        <f aca="false">IF(TRIM(F14)="",IFERROR(INDEX(Map_Tables!$I$4:$I$37,MATCH(TRIM(E14),Map_Tables!$G$4:$G$37,0)),""),IFERROR(INDEX(Map_Tables!$B$4:$B$18,MATCH(TRIM(F14),Map_Tables!$A$4:$A$18,0)),"CHECK"))</f>
        <v>Kolkata</v>
      </c>
      <c r="AE14" s="7" t="str">
        <f aca="false">IF(TRIM(E14)="","",IFERROR(INDEX(Map_Tables!$H$4:$H$37,MATCH(TRIM(E14),Map_Tables!$G$4:$G$37,0)),"CHECK"))</f>
        <v>Bengal Bites</v>
      </c>
      <c r="AF14" s="7" t="str">
        <f aca="false">IF(TRIM(K14)="","Unknown",IFERROR(INDEX(Map_Tables!$E$4:$E$15,MATCH(TRIM(K14),Map_Tables!$D$4:$D$15,0)),"CHECK"))</f>
        <v>Credit Card</v>
      </c>
      <c r="AG14" s="7" t="str">
        <f aca="false">IF(LEFT(LOWER(TRIM(L14)),6)="cancel","Cancelled","Delivered")</f>
        <v>Cancelled</v>
      </c>
      <c r="AH14" s="10" t="n">
        <f aca="false">IF(ISNUMBER(SEARCH("/",B14)),DATE(VALUE(RIGHT(B14,4)),VALUE(MID(B14,4,2)),VALUE(LEFT(B14,2))),IF(MID(B14,5,1)="-",DATE(VALUE(LEFT(B14,4)),VALUE(MID(B14,6,2)),VALUE(RIGHT(B14,2))),DATE(VALUE(RIGHT(B14,4)),MATCH(MID(B14,4,3),{"Jan","Feb","Mar","Apr","May","Jun","Jul","Aug","Sep","Oct","Nov","Dec"},0),VALUE(LEFT(B14,2)))))</f>
        <v>45750</v>
      </c>
    </row>
    <row r="15" customFormat="false" ht="15" hidden="false" customHeight="false" outlineLevel="0" collapsed="false">
      <c r="A15" s="7" t="s">
        <v>247</v>
      </c>
      <c r="B15" s="7" t="s">
        <v>248</v>
      </c>
      <c r="C15" s="7" t="s">
        <v>249</v>
      </c>
      <c r="D15" s="7" t="s">
        <v>250</v>
      </c>
      <c r="E15" s="7" t="s">
        <v>138</v>
      </c>
      <c r="F15" s="7" t="s">
        <v>110</v>
      </c>
      <c r="G15" s="7" t="s">
        <v>251</v>
      </c>
      <c r="H15" s="7" t="n">
        <v>1</v>
      </c>
      <c r="I15" s="7" t="n">
        <v>225</v>
      </c>
      <c r="J15" s="7" t="n">
        <v>0</v>
      </c>
      <c r="K15" s="7" t="s">
        <v>88</v>
      </c>
      <c r="L15" s="7" t="s">
        <v>194</v>
      </c>
      <c r="M15" s="7" t="n">
        <v>36</v>
      </c>
      <c r="N15" s="7" t="n">
        <v>4</v>
      </c>
      <c r="O15" s="7" t="str">
        <f aca="false">A15&amp;"|"&amp;B15&amp;"|"&amp;C15&amp;"|"&amp;D15&amp;"|"&amp;E15&amp;"|"&amp;F15&amp;"|"&amp;G15&amp;"|"&amp;H15&amp;"|"&amp;I15&amp;"|"&amp;J15&amp;"|"&amp;K15&amp;"|"&amp;L15&amp;"|"&amp;M15&amp;"|"&amp;N15</f>
        <v>ORD10455|2025-03-02|14:00|C0969|Burger Barn|Delhi|burgers|1|225|0|UPI|Delivered|36|4</v>
      </c>
      <c r="P15" s="7" t="str">
        <f aca="false">IF(COUNTIF($O$2:O15,O15)&gt;1,"DUP","OK")</f>
        <v>OK</v>
      </c>
      <c r="Q15" s="7" t="n">
        <f aca="false">COUNTBLANK(A15:N15)</f>
        <v>0</v>
      </c>
      <c r="R15" s="7" t="n">
        <f aca="false">IF(A15="",0,COUNTIFS($A$2:$A$3058,A15,$P$2:$P$3058,"OK"))</f>
        <v>1</v>
      </c>
      <c r="S15" s="7" t="str">
        <f aca="false">IF(OR(A15="",P15="DUP",R15&lt;2),"",IF(Q15=_xlfn.MINIFS($Q$2:$Q$3058,$A$2:$A$3058,A15,$P$2:$P$3058,"OK"),"KEEP","DROP"))</f>
        <v/>
      </c>
      <c r="T15" s="9" t="n">
        <f aca="false">IF(A15="",1,0)</f>
        <v>0</v>
      </c>
      <c r="U15" s="9" t="n">
        <f aca="false">IF(D15="",1,0)</f>
        <v>0</v>
      </c>
      <c r="V15" s="9" t="n">
        <f aca="false">IF(E15="",1,0)</f>
        <v>0</v>
      </c>
      <c r="W15" s="9" t="n">
        <f aca="false">IF(OR(H15&lt;1,H15&gt;10),1,0)</f>
        <v>0</v>
      </c>
      <c r="X15" s="9" t="n">
        <f aca="false">IF(OR(I15&lt;=0,I15&gt;1500),1,0)</f>
        <v>0</v>
      </c>
      <c r="Y15" s="9" t="n">
        <f aca="false">IF(J15&gt;H15*I15,1,0)</f>
        <v>0</v>
      </c>
      <c r="Z15" s="9" t="n">
        <f aca="false">IF(AND(N15&lt;&gt;"",OR(N15&lt;1,N15&gt;5)),1,0)</f>
        <v>0</v>
      </c>
      <c r="AA15" s="9" t="n">
        <f aca="false">IF(AND(M15&lt;&gt;"",OR(M15&lt;5,M15&gt;180)),1,0)</f>
        <v>0</v>
      </c>
      <c r="AB15" s="7" t="str">
        <f aca="false">IF(P15="DUP","Exact duplicate row",IF(T15=1,"Missing Order ID",IF(S15="DROP","Duplicate Order ID (less complete row)",IF(U15=1,"Missing Customer ID",IF(V15=1,"Missing Restaurant name",IF(W15=1,"Invalid/outlier quantity",IF(X15=1,"Invalid/outlier unit price",IF(Y15=1,"Discount greater than order value",""))))))))</f>
        <v/>
      </c>
      <c r="AC15" s="7" t="str">
        <f aca="false">IF(AB15="","KEEP","DROP")</f>
        <v>KEEP</v>
      </c>
      <c r="AD15" s="7" t="str">
        <f aca="false">IF(TRIM(F15)="",IFERROR(INDEX(Map_Tables!$I$4:$I$37,MATCH(TRIM(E15),Map_Tables!$G$4:$G$37,0)),""),IFERROR(INDEX(Map_Tables!$B$4:$B$18,MATCH(TRIM(F15),Map_Tables!$A$4:$A$18,0)),"CHECK"))</f>
        <v>Delhi</v>
      </c>
      <c r="AE15" s="7" t="str">
        <f aca="false">IF(TRIM(E15)="","",IFERROR(INDEX(Map_Tables!$H$4:$H$37,MATCH(TRIM(E15),Map_Tables!$G$4:$G$37,0)),"CHECK"))</f>
        <v>Burger Barn</v>
      </c>
      <c r="AF15" s="7" t="str">
        <f aca="false">IF(TRIM(K15)="","Unknown",IFERROR(INDEX(Map_Tables!$E$4:$E$15,MATCH(TRIM(K15),Map_Tables!$D$4:$D$15,0)),"CHECK"))</f>
        <v>UPI</v>
      </c>
      <c r="AG15" s="7" t="str">
        <f aca="false">IF(LEFT(LOWER(TRIM(L15)),6)="cancel","Cancelled","Delivered")</f>
        <v>Delivered</v>
      </c>
      <c r="AH15" s="10" t="n">
        <f aca="false">IF(ISNUMBER(SEARCH("/",B15)),DATE(VALUE(RIGHT(B15,4)),VALUE(MID(B15,4,2)),VALUE(LEFT(B15,2))),IF(MID(B15,5,1)="-",DATE(VALUE(LEFT(B15,4)),VALUE(MID(B15,6,2)),VALUE(RIGHT(B15,2))),DATE(VALUE(RIGHT(B15,4)),MATCH(MID(B15,4,3),{"Jan","Feb","Mar","Apr","May","Jun","Jul","Aug","Sep","Oct","Nov","Dec"},0),VALUE(LEFT(B15,2)))))</f>
        <v>45718</v>
      </c>
    </row>
    <row r="16" customFormat="false" ht="15" hidden="false" customHeight="false" outlineLevel="0" collapsed="false">
      <c r="A16" s="7" t="s">
        <v>252</v>
      </c>
      <c r="B16" s="7" t="s">
        <v>253</v>
      </c>
      <c r="C16" s="7" t="s">
        <v>254</v>
      </c>
      <c r="D16" s="7" t="s">
        <v>255</v>
      </c>
      <c r="E16" s="7" t="s">
        <v>122</v>
      </c>
      <c r="F16" s="7" t="s">
        <v>101</v>
      </c>
      <c r="G16" s="7" t="s">
        <v>123</v>
      </c>
      <c r="H16" s="7" t="n">
        <v>1</v>
      </c>
      <c r="I16" s="7" t="n">
        <v>255</v>
      </c>
      <c r="J16" s="7" t="n">
        <v>75</v>
      </c>
      <c r="K16" s="7" t="s">
        <v>88</v>
      </c>
      <c r="L16" s="7" t="s">
        <v>194</v>
      </c>
      <c r="M16" s="7" t="n">
        <v>53</v>
      </c>
      <c r="N16" s="7" t="n">
        <v>2</v>
      </c>
      <c r="O16" s="7" t="str">
        <f aca="false">A16&amp;"|"&amp;B16&amp;"|"&amp;C16&amp;"|"&amp;D16&amp;"|"&amp;E16&amp;"|"&amp;F16&amp;"|"&amp;G16&amp;"|"&amp;H16&amp;"|"&amp;I16&amp;"|"&amp;J16&amp;"|"&amp;K16&amp;"|"&amp;L16&amp;"|"&amp;M16&amp;"|"&amp;N16</f>
        <v>ORD10741|2025-04-04|20:58|C0821|Mumbai Pizza Co|Mumbai|Pizza|1|255|75|UPI|Delivered|53|2</v>
      </c>
      <c r="P16" s="7" t="str">
        <f aca="false">IF(COUNTIF($O$2:O16,O16)&gt;1,"DUP","OK")</f>
        <v>OK</v>
      </c>
      <c r="Q16" s="7" t="n">
        <f aca="false">COUNTBLANK(A16:N16)</f>
        <v>0</v>
      </c>
      <c r="R16" s="7" t="n">
        <f aca="false">IF(A16="",0,COUNTIFS($A$2:$A$3058,A16,$P$2:$P$3058,"OK"))</f>
        <v>1</v>
      </c>
      <c r="S16" s="7" t="str">
        <f aca="false">IF(OR(A16="",P16="DUP",R16&lt;2),"",IF(Q16=_xlfn.MINIFS($Q$2:$Q$3058,$A$2:$A$3058,A16,$P$2:$P$3058,"OK"),"KEEP","DROP"))</f>
        <v/>
      </c>
      <c r="T16" s="9" t="n">
        <f aca="false">IF(A16="",1,0)</f>
        <v>0</v>
      </c>
      <c r="U16" s="9" t="n">
        <f aca="false">IF(D16="",1,0)</f>
        <v>0</v>
      </c>
      <c r="V16" s="9" t="n">
        <f aca="false">IF(E16="",1,0)</f>
        <v>0</v>
      </c>
      <c r="W16" s="9" t="n">
        <f aca="false">IF(OR(H16&lt;1,H16&gt;10),1,0)</f>
        <v>0</v>
      </c>
      <c r="X16" s="9" t="n">
        <f aca="false">IF(OR(I16&lt;=0,I16&gt;1500),1,0)</f>
        <v>0</v>
      </c>
      <c r="Y16" s="9" t="n">
        <f aca="false">IF(J16&gt;H16*I16,1,0)</f>
        <v>0</v>
      </c>
      <c r="Z16" s="9" t="n">
        <f aca="false">IF(AND(N16&lt;&gt;"",OR(N16&lt;1,N16&gt;5)),1,0)</f>
        <v>0</v>
      </c>
      <c r="AA16" s="9" t="n">
        <f aca="false">IF(AND(M16&lt;&gt;"",OR(M16&lt;5,M16&gt;180)),1,0)</f>
        <v>0</v>
      </c>
      <c r="AB16" s="7" t="str">
        <f aca="false">IF(P16="DUP","Exact duplicate row",IF(T16=1,"Missing Order ID",IF(S16="DROP","Duplicate Order ID (less complete row)",IF(U16=1,"Missing Customer ID",IF(V16=1,"Missing Restaurant name",IF(W16=1,"Invalid/outlier quantity",IF(X16=1,"Invalid/outlier unit price",IF(Y16=1,"Discount greater than order value",""))))))))</f>
        <v/>
      </c>
      <c r="AC16" s="7" t="str">
        <f aca="false">IF(AB16="","KEEP","DROP")</f>
        <v>KEEP</v>
      </c>
      <c r="AD16" s="7" t="str">
        <f aca="false">IF(TRIM(F16)="",IFERROR(INDEX(Map_Tables!$I$4:$I$37,MATCH(TRIM(E16),Map_Tables!$G$4:$G$37,0)),""),IFERROR(INDEX(Map_Tables!$B$4:$B$18,MATCH(TRIM(F16),Map_Tables!$A$4:$A$18,0)),"CHECK"))</f>
        <v>Mumbai</v>
      </c>
      <c r="AE16" s="7" t="str">
        <f aca="false">IF(TRIM(E16)="","",IFERROR(INDEX(Map_Tables!$H$4:$H$37,MATCH(TRIM(E16),Map_Tables!$G$4:$G$37,0)),"CHECK"))</f>
        <v>Mumbai Pizza Co</v>
      </c>
      <c r="AF16" s="7" t="str">
        <f aca="false">IF(TRIM(K16)="","Unknown",IFERROR(INDEX(Map_Tables!$E$4:$E$15,MATCH(TRIM(K16),Map_Tables!$D$4:$D$15,0)),"CHECK"))</f>
        <v>UPI</v>
      </c>
      <c r="AG16" s="7" t="str">
        <f aca="false">IF(LEFT(LOWER(TRIM(L16)),6)="cancel","Cancelled","Delivered")</f>
        <v>Delivered</v>
      </c>
      <c r="AH16" s="10" t="n">
        <f aca="false">IF(ISNUMBER(SEARCH("/",B16)),DATE(VALUE(RIGHT(B16,4)),VALUE(MID(B16,4,2)),VALUE(LEFT(B16,2))),IF(MID(B16,5,1)="-",DATE(VALUE(LEFT(B16,4)),VALUE(MID(B16,6,2)),VALUE(RIGHT(B16,2))),DATE(VALUE(RIGHT(B16,4)),MATCH(MID(B16,4,3),{"Jan","Feb","Mar","Apr","May","Jun","Jul","Aug","Sep","Oct","Nov","Dec"},0),VALUE(LEFT(B16,2)))))</f>
        <v>45751</v>
      </c>
    </row>
    <row r="17" customFormat="false" ht="15" hidden="false" customHeight="false" outlineLevel="0" collapsed="false">
      <c r="A17" s="7" t="s">
        <v>256</v>
      </c>
      <c r="B17" s="7" t="s">
        <v>257</v>
      </c>
      <c r="C17" s="7" t="s">
        <v>258</v>
      </c>
      <c r="D17" s="7" t="s">
        <v>259</v>
      </c>
      <c r="E17" s="7" t="s">
        <v>260</v>
      </c>
      <c r="F17" s="7" t="s">
        <v>110</v>
      </c>
      <c r="G17" s="7" t="s">
        <v>139</v>
      </c>
      <c r="H17" s="7" t="n">
        <v>2</v>
      </c>
      <c r="I17" s="7" t="n">
        <v>125</v>
      </c>
      <c r="J17" s="7" t="n">
        <v>100</v>
      </c>
      <c r="K17" s="7" t="s">
        <v>88</v>
      </c>
      <c r="L17" s="7" t="s">
        <v>194</v>
      </c>
      <c r="M17" s="7" t="n">
        <v>33</v>
      </c>
      <c r="N17" s="7" t="n">
        <v>3</v>
      </c>
      <c r="O17" s="7" t="str">
        <f aca="false">A17&amp;"|"&amp;B17&amp;"|"&amp;C17&amp;"|"&amp;D17&amp;"|"&amp;E17&amp;"|"&amp;F17&amp;"|"&amp;G17&amp;"|"&amp;H17&amp;"|"&amp;I17&amp;"|"&amp;J17&amp;"|"&amp;K17&amp;"|"&amp;L17&amp;"|"&amp;M17&amp;"|"&amp;N17</f>
        <v>ORD10363|2025-02-17|20:24|C0392| Burger Barn|Delhi|Burgers|2|125|100|UPI|Delivered|33|3</v>
      </c>
      <c r="P17" s="7" t="str">
        <f aca="false">IF(COUNTIF($O$2:O17,O17)&gt;1,"DUP","OK")</f>
        <v>OK</v>
      </c>
      <c r="Q17" s="7" t="n">
        <f aca="false">COUNTBLANK(A17:N17)</f>
        <v>0</v>
      </c>
      <c r="R17" s="7" t="n">
        <f aca="false">IF(A17="",0,COUNTIFS($A$2:$A$3058,A17,$P$2:$P$3058,"OK"))</f>
        <v>1</v>
      </c>
      <c r="S17" s="7" t="str">
        <f aca="false">IF(OR(A17="",P17="DUP",R17&lt;2),"",IF(Q17=_xlfn.MINIFS($Q$2:$Q$3058,$A$2:$A$3058,A17,$P$2:$P$3058,"OK"),"KEEP","DROP"))</f>
        <v/>
      </c>
      <c r="T17" s="9" t="n">
        <f aca="false">IF(A17="",1,0)</f>
        <v>0</v>
      </c>
      <c r="U17" s="9" t="n">
        <f aca="false">IF(D17="",1,0)</f>
        <v>0</v>
      </c>
      <c r="V17" s="9" t="n">
        <f aca="false">IF(E17="",1,0)</f>
        <v>0</v>
      </c>
      <c r="W17" s="9" t="n">
        <f aca="false">IF(OR(H17&lt;1,H17&gt;10),1,0)</f>
        <v>0</v>
      </c>
      <c r="X17" s="9" t="n">
        <f aca="false">IF(OR(I17&lt;=0,I17&gt;1500),1,0)</f>
        <v>0</v>
      </c>
      <c r="Y17" s="9" t="n">
        <f aca="false">IF(J17&gt;H17*I17,1,0)</f>
        <v>0</v>
      </c>
      <c r="Z17" s="9" t="n">
        <f aca="false">IF(AND(N17&lt;&gt;"",OR(N17&lt;1,N17&gt;5)),1,0)</f>
        <v>0</v>
      </c>
      <c r="AA17" s="9" t="n">
        <f aca="false">IF(AND(M17&lt;&gt;"",OR(M17&lt;5,M17&gt;180)),1,0)</f>
        <v>0</v>
      </c>
      <c r="AB17" s="7" t="str">
        <f aca="false">IF(P17="DUP","Exact duplicate row",IF(T17=1,"Missing Order ID",IF(S17="DROP","Duplicate Order ID (less complete row)",IF(U17=1,"Missing Customer ID",IF(V17=1,"Missing Restaurant name",IF(W17=1,"Invalid/outlier quantity",IF(X17=1,"Invalid/outlier unit price",IF(Y17=1,"Discount greater than order value",""))))))))</f>
        <v/>
      </c>
      <c r="AC17" s="7" t="str">
        <f aca="false">IF(AB17="","KEEP","DROP")</f>
        <v>KEEP</v>
      </c>
      <c r="AD17" s="7" t="str">
        <f aca="false">IF(TRIM(F17)="",IFERROR(INDEX(Map_Tables!$I$4:$I$37,MATCH(TRIM(E17),Map_Tables!$G$4:$G$37,0)),""),IFERROR(INDEX(Map_Tables!$B$4:$B$18,MATCH(TRIM(F17),Map_Tables!$A$4:$A$18,0)),"CHECK"))</f>
        <v>Delhi</v>
      </c>
      <c r="AE17" s="7" t="str">
        <f aca="false">IF(TRIM(E17)="","",IFERROR(INDEX(Map_Tables!$H$4:$H$37,MATCH(TRIM(E17),Map_Tables!$G$4:$G$37,0)),"CHECK"))</f>
        <v>Burger Barn</v>
      </c>
      <c r="AF17" s="7" t="str">
        <f aca="false">IF(TRIM(K17)="","Unknown",IFERROR(INDEX(Map_Tables!$E$4:$E$15,MATCH(TRIM(K17),Map_Tables!$D$4:$D$15,0)),"CHECK"))</f>
        <v>UPI</v>
      </c>
      <c r="AG17" s="7" t="str">
        <f aca="false">IF(LEFT(LOWER(TRIM(L17)),6)="cancel","Cancelled","Delivered")</f>
        <v>Delivered</v>
      </c>
      <c r="AH17" s="10" t="n">
        <f aca="false">IF(ISNUMBER(SEARCH("/",B17)),DATE(VALUE(RIGHT(B17,4)),VALUE(MID(B17,4,2)),VALUE(LEFT(B17,2))),IF(MID(B17,5,1)="-",DATE(VALUE(LEFT(B17,4)),VALUE(MID(B17,6,2)),VALUE(RIGHT(B17,2))),DATE(VALUE(RIGHT(B17,4)),MATCH(MID(B17,4,3),{"Jan","Feb","Mar","Apr","May","Jun","Jul","Aug","Sep","Oct","Nov","Dec"},0),VALUE(LEFT(B17,2)))))</f>
        <v>45705</v>
      </c>
    </row>
    <row r="18" customFormat="false" ht="15" hidden="false" customHeight="false" outlineLevel="0" collapsed="false">
      <c r="A18" s="7" t="s">
        <v>261</v>
      </c>
      <c r="B18" s="7" t="s">
        <v>262</v>
      </c>
      <c r="C18" s="7" t="s">
        <v>263</v>
      </c>
      <c r="D18" s="7" t="s">
        <v>264</v>
      </c>
      <c r="E18" s="7" t="s">
        <v>265</v>
      </c>
      <c r="F18" s="7" t="s">
        <v>136</v>
      </c>
      <c r="G18" s="7" t="s">
        <v>139</v>
      </c>
      <c r="H18" s="7" t="n">
        <v>4</v>
      </c>
      <c r="I18" s="7" t="n">
        <v>235</v>
      </c>
      <c r="J18" s="7" t="n">
        <v>0</v>
      </c>
      <c r="K18" s="7" t="s">
        <v>88</v>
      </c>
      <c r="L18" s="7" t="s">
        <v>194</v>
      </c>
      <c r="M18" s="7" t="n">
        <v>30</v>
      </c>
      <c r="N18" s="7" t="n">
        <v>5</v>
      </c>
      <c r="O18" s="7" t="str">
        <f aca="false">A18&amp;"|"&amp;B18&amp;"|"&amp;C18&amp;"|"&amp;D18&amp;"|"&amp;E18&amp;"|"&amp;F18&amp;"|"&amp;G18&amp;"|"&amp;H18&amp;"|"&amp;I18&amp;"|"&amp;J18&amp;"|"&amp;K18&amp;"|"&amp;L18&amp;"|"&amp;M18&amp;"|"&amp;N18</f>
        <v>ORD11338|2025-06-22|11:22|C1445| Pune Burger Hub|Pune|Burgers|4|235|0|UPI|Delivered|30|5</v>
      </c>
      <c r="P18" s="7" t="str">
        <f aca="false">IF(COUNTIF($O$2:O18,O18)&gt;1,"DUP","OK")</f>
        <v>OK</v>
      </c>
      <c r="Q18" s="7" t="n">
        <f aca="false">COUNTBLANK(A18:N18)</f>
        <v>0</v>
      </c>
      <c r="R18" s="7" t="n">
        <f aca="false">IF(A18="",0,COUNTIFS($A$2:$A$3058,A18,$P$2:$P$3058,"OK"))</f>
        <v>1</v>
      </c>
      <c r="S18" s="7" t="str">
        <f aca="false">IF(OR(A18="",P18="DUP",R18&lt;2),"",IF(Q18=_xlfn.MINIFS($Q$2:$Q$3058,$A$2:$A$3058,A18,$P$2:$P$3058,"OK"),"KEEP","DROP"))</f>
        <v/>
      </c>
      <c r="T18" s="9" t="n">
        <f aca="false">IF(A18="",1,0)</f>
        <v>0</v>
      </c>
      <c r="U18" s="9" t="n">
        <f aca="false">IF(D18="",1,0)</f>
        <v>0</v>
      </c>
      <c r="V18" s="9" t="n">
        <f aca="false">IF(E18="",1,0)</f>
        <v>0</v>
      </c>
      <c r="W18" s="9" t="n">
        <f aca="false">IF(OR(H18&lt;1,H18&gt;10),1,0)</f>
        <v>0</v>
      </c>
      <c r="X18" s="9" t="n">
        <f aca="false">IF(OR(I18&lt;=0,I18&gt;1500),1,0)</f>
        <v>0</v>
      </c>
      <c r="Y18" s="9" t="n">
        <f aca="false">IF(J18&gt;H18*I18,1,0)</f>
        <v>0</v>
      </c>
      <c r="Z18" s="9" t="n">
        <f aca="false">IF(AND(N18&lt;&gt;"",OR(N18&lt;1,N18&gt;5)),1,0)</f>
        <v>0</v>
      </c>
      <c r="AA18" s="9" t="n">
        <f aca="false">IF(AND(M18&lt;&gt;"",OR(M18&lt;5,M18&gt;180)),1,0)</f>
        <v>0</v>
      </c>
      <c r="AB18" s="7" t="str">
        <f aca="false">IF(P18="DUP","Exact duplicate row",IF(T18=1,"Missing Order ID",IF(S18="DROP","Duplicate Order ID (less complete row)",IF(U18=1,"Missing Customer ID",IF(V18=1,"Missing Restaurant name",IF(W18=1,"Invalid/outlier quantity",IF(X18=1,"Invalid/outlier unit price",IF(Y18=1,"Discount greater than order value",""))))))))</f>
        <v/>
      </c>
      <c r="AC18" s="7" t="str">
        <f aca="false">IF(AB18="","KEEP","DROP")</f>
        <v>KEEP</v>
      </c>
      <c r="AD18" s="7" t="str">
        <f aca="false">IF(TRIM(F18)="",IFERROR(INDEX(Map_Tables!$I$4:$I$37,MATCH(TRIM(E18),Map_Tables!$G$4:$G$37,0)),""),IFERROR(INDEX(Map_Tables!$B$4:$B$18,MATCH(TRIM(F18),Map_Tables!$A$4:$A$18,0)),"CHECK"))</f>
        <v>Pune</v>
      </c>
      <c r="AE18" s="7" t="str">
        <f aca="false">IF(TRIM(E18)="","",IFERROR(INDEX(Map_Tables!$H$4:$H$37,MATCH(TRIM(E18),Map_Tables!$G$4:$G$37,0)),"CHECK"))</f>
        <v>Pune Burger Hub</v>
      </c>
      <c r="AF18" s="7" t="str">
        <f aca="false">IF(TRIM(K18)="","Unknown",IFERROR(INDEX(Map_Tables!$E$4:$E$15,MATCH(TRIM(K18),Map_Tables!$D$4:$D$15,0)),"CHECK"))</f>
        <v>UPI</v>
      </c>
      <c r="AG18" s="7" t="str">
        <f aca="false">IF(LEFT(LOWER(TRIM(L18)),6)="cancel","Cancelled","Delivered")</f>
        <v>Delivered</v>
      </c>
      <c r="AH18" s="10" t="n">
        <f aca="false">IF(ISNUMBER(SEARCH("/",B18)),DATE(VALUE(RIGHT(B18,4)),VALUE(MID(B18,4,2)),VALUE(LEFT(B18,2))),IF(MID(B18,5,1)="-",DATE(VALUE(LEFT(B18,4)),VALUE(MID(B18,6,2)),VALUE(RIGHT(B18,2))),DATE(VALUE(RIGHT(B18,4)),MATCH(MID(B18,4,3),{"Jan","Feb","Mar","Apr","May","Jun","Jul","Aug","Sep","Oct","Nov","Dec"},0),VALUE(LEFT(B18,2)))))</f>
        <v>45830</v>
      </c>
    </row>
    <row r="19" customFormat="false" ht="15" hidden="false" customHeight="false" outlineLevel="0" collapsed="false">
      <c r="A19" s="7" t="s">
        <v>266</v>
      </c>
      <c r="B19" s="7" t="s">
        <v>267</v>
      </c>
      <c r="C19" s="7" t="s">
        <v>268</v>
      </c>
      <c r="D19" s="7" t="s">
        <v>269</v>
      </c>
      <c r="E19" s="7" t="s">
        <v>104</v>
      </c>
      <c r="F19" s="7" t="s">
        <v>86</v>
      </c>
      <c r="G19" s="7" t="s">
        <v>105</v>
      </c>
      <c r="H19" s="7" t="n">
        <v>3</v>
      </c>
      <c r="I19" s="7" t="n">
        <v>210</v>
      </c>
      <c r="J19" s="7" t="n">
        <v>0</v>
      </c>
      <c r="K19" s="7" t="s">
        <v>88</v>
      </c>
      <c r="L19" s="7" t="s">
        <v>194</v>
      </c>
      <c r="M19" s="7" t="n">
        <v>49</v>
      </c>
      <c r="N19" s="7" t="n">
        <v>3</v>
      </c>
      <c r="O19" s="7" t="str">
        <f aca="false">A19&amp;"|"&amp;B19&amp;"|"&amp;C19&amp;"|"&amp;D19&amp;"|"&amp;E19&amp;"|"&amp;F19&amp;"|"&amp;G19&amp;"|"&amp;H19&amp;"|"&amp;I19&amp;"|"&amp;J19&amp;"|"&amp;K19&amp;"|"&amp;L19&amp;"|"&amp;M19&amp;"|"&amp;N19</f>
        <v>ORD11217|2025-06-03|19:16|C1418|Wok &amp; Roll|Bengaluru|Chinese|3|210|0|UPI|Delivered|49|3</v>
      </c>
      <c r="P19" s="7" t="str">
        <f aca="false">IF(COUNTIF($O$2:O19,O19)&gt;1,"DUP","OK")</f>
        <v>OK</v>
      </c>
      <c r="Q19" s="7" t="n">
        <f aca="false">COUNTBLANK(A19:N19)</f>
        <v>0</v>
      </c>
      <c r="R19" s="7" t="n">
        <f aca="false">IF(A19="",0,COUNTIFS($A$2:$A$3058,A19,$P$2:$P$3058,"OK"))</f>
        <v>1</v>
      </c>
      <c r="S19" s="7" t="str">
        <f aca="false">IF(OR(A19="",P19="DUP",R19&lt;2),"",IF(Q19=_xlfn.MINIFS($Q$2:$Q$3058,$A$2:$A$3058,A19,$P$2:$P$3058,"OK"),"KEEP","DROP"))</f>
        <v/>
      </c>
      <c r="T19" s="9" t="n">
        <f aca="false">IF(A19="",1,0)</f>
        <v>0</v>
      </c>
      <c r="U19" s="9" t="n">
        <f aca="false">IF(D19="",1,0)</f>
        <v>0</v>
      </c>
      <c r="V19" s="9" t="n">
        <f aca="false">IF(E19="",1,0)</f>
        <v>0</v>
      </c>
      <c r="W19" s="9" t="n">
        <f aca="false">IF(OR(H19&lt;1,H19&gt;10),1,0)</f>
        <v>0</v>
      </c>
      <c r="X19" s="9" t="n">
        <f aca="false">IF(OR(I19&lt;=0,I19&gt;1500),1,0)</f>
        <v>0</v>
      </c>
      <c r="Y19" s="9" t="n">
        <f aca="false">IF(J19&gt;H19*I19,1,0)</f>
        <v>0</v>
      </c>
      <c r="Z19" s="9" t="n">
        <f aca="false">IF(AND(N19&lt;&gt;"",OR(N19&lt;1,N19&gt;5)),1,0)</f>
        <v>0</v>
      </c>
      <c r="AA19" s="9" t="n">
        <f aca="false">IF(AND(M19&lt;&gt;"",OR(M19&lt;5,M19&gt;180)),1,0)</f>
        <v>0</v>
      </c>
      <c r="AB19" s="7" t="str">
        <f aca="false">IF(P19="DUP","Exact duplicate row",IF(T19=1,"Missing Order ID",IF(S19="DROP","Duplicate Order ID (less complete row)",IF(U19=1,"Missing Customer ID",IF(V19=1,"Missing Restaurant name",IF(W19=1,"Invalid/outlier quantity",IF(X19=1,"Invalid/outlier unit price",IF(Y19=1,"Discount greater than order value",""))))))))</f>
        <v/>
      </c>
      <c r="AC19" s="7" t="str">
        <f aca="false">IF(AB19="","KEEP","DROP")</f>
        <v>KEEP</v>
      </c>
      <c r="AD19" s="7" t="str">
        <f aca="false">IF(TRIM(F19)="",IFERROR(INDEX(Map_Tables!$I$4:$I$37,MATCH(TRIM(E19),Map_Tables!$G$4:$G$37,0)),""),IFERROR(INDEX(Map_Tables!$B$4:$B$18,MATCH(TRIM(F19),Map_Tables!$A$4:$A$18,0)),"CHECK"))</f>
        <v>Bengaluru</v>
      </c>
      <c r="AE19" s="7" t="str">
        <f aca="false">IF(TRIM(E19)="","",IFERROR(INDEX(Map_Tables!$H$4:$H$37,MATCH(TRIM(E19),Map_Tables!$G$4:$G$37,0)),"CHECK"))</f>
        <v>Wok &amp; Roll</v>
      </c>
      <c r="AF19" s="7" t="str">
        <f aca="false">IF(TRIM(K19)="","Unknown",IFERROR(INDEX(Map_Tables!$E$4:$E$15,MATCH(TRIM(K19),Map_Tables!$D$4:$D$15,0)),"CHECK"))</f>
        <v>UPI</v>
      </c>
      <c r="AG19" s="7" t="str">
        <f aca="false">IF(LEFT(LOWER(TRIM(L19)),6)="cancel","Cancelled","Delivered")</f>
        <v>Delivered</v>
      </c>
      <c r="AH19" s="10" t="n">
        <f aca="false">IF(ISNUMBER(SEARCH("/",B19)),DATE(VALUE(RIGHT(B19,4)),VALUE(MID(B19,4,2)),VALUE(LEFT(B19,2))),IF(MID(B19,5,1)="-",DATE(VALUE(LEFT(B19,4)),VALUE(MID(B19,6,2)),VALUE(RIGHT(B19,2))),DATE(VALUE(RIGHT(B19,4)),MATCH(MID(B19,4,3),{"Jan","Feb","Mar","Apr","May","Jun","Jul","Aug","Sep","Oct","Nov","Dec"},0),VALUE(LEFT(B19,2)))))</f>
        <v>45811</v>
      </c>
    </row>
    <row r="20" customFormat="false" ht="15" hidden="false" customHeight="false" outlineLevel="0" collapsed="false">
      <c r="A20" s="7" t="s">
        <v>270</v>
      </c>
      <c r="B20" s="7" t="s">
        <v>271</v>
      </c>
      <c r="C20" s="7" t="s">
        <v>272</v>
      </c>
      <c r="D20" s="7" t="s">
        <v>273</v>
      </c>
      <c r="E20" s="7" t="s">
        <v>116</v>
      </c>
      <c r="F20" s="7" t="s">
        <v>101</v>
      </c>
      <c r="G20" s="7" t="s">
        <v>117</v>
      </c>
      <c r="H20" s="7" t="n">
        <v>3</v>
      </c>
      <c r="I20" s="7" t="n">
        <v>145</v>
      </c>
      <c r="J20" s="7" t="n">
        <v>150</v>
      </c>
      <c r="K20" s="7" t="s">
        <v>121</v>
      </c>
      <c r="L20" s="7" t="s">
        <v>194</v>
      </c>
      <c r="M20" s="7" t="n">
        <v>42</v>
      </c>
      <c r="N20" s="7" t="n">
        <v>5</v>
      </c>
      <c r="O20" s="7" t="str">
        <f aca="false">A20&amp;"|"&amp;B20&amp;"|"&amp;C20&amp;"|"&amp;D20&amp;"|"&amp;E20&amp;"|"&amp;F20&amp;"|"&amp;G20&amp;"|"&amp;H20&amp;"|"&amp;I20&amp;"|"&amp;J20&amp;"|"&amp;K20&amp;"|"&amp;L20&amp;"|"&amp;M20&amp;"|"&amp;N20</f>
        <v>ORD10581|2025-03-15|14:01|C1344|Pav Bhaji Point|Mumbai|Street Food|3|145|150|Wallet|Delivered|42|5</v>
      </c>
      <c r="P20" s="7" t="str">
        <f aca="false">IF(COUNTIF($O$2:O20,O20)&gt;1,"DUP","OK")</f>
        <v>OK</v>
      </c>
      <c r="Q20" s="7" t="n">
        <f aca="false">COUNTBLANK(A20:N20)</f>
        <v>0</v>
      </c>
      <c r="R20" s="7" t="n">
        <f aca="false">IF(A20="",0,COUNTIFS($A$2:$A$3058,A20,$P$2:$P$3058,"OK"))</f>
        <v>1</v>
      </c>
      <c r="S20" s="7" t="str">
        <f aca="false">IF(OR(A20="",P20="DUP",R20&lt;2),"",IF(Q20=_xlfn.MINIFS($Q$2:$Q$3058,$A$2:$A$3058,A20,$P$2:$P$3058,"OK"),"KEEP","DROP"))</f>
        <v/>
      </c>
      <c r="T20" s="9" t="n">
        <f aca="false">IF(A20="",1,0)</f>
        <v>0</v>
      </c>
      <c r="U20" s="9" t="n">
        <f aca="false">IF(D20="",1,0)</f>
        <v>0</v>
      </c>
      <c r="V20" s="9" t="n">
        <f aca="false">IF(E20="",1,0)</f>
        <v>0</v>
      </c>
      <c r="W20" s="9" t="n">
        <f aca="false">IF(OR(H20&lt;1,H20&gt;10),1,0)</f>
        <v>0</v>
      </c>
      <c r="X20" s="9" t="n">
        <f aca="false">IF(OR(I20&lt;=0,I20&gt;1500),1,0)</f>
        <v>0</v>
      </c>
      <c r="Y20" s="9" t="n">
        <f aca="false">IF(J20&gt;H20*I20,1,0)</f>
        <v>0</v>
      </c>
      <c r="Z20" s="9" t="n">
        <f aca="false">IF(AND(N20&lt;&gt;"",OR(N20&lt;1,N20&gt;5)),1,0)</f>
        <v>0</v>
      </c>
      <c r="AA20" s="9" t="n">
        <f aca="false">IF(AND(M20&lt;&gt;"",OR(M20&lt;5,M20&gt;180)),1,0)</f>
        <v>0</v>
      </c>
      <c r="AB20" s="7" t="str">
        <f aca="false">IF(P20="DUP","Exact duplicate row",IF(T20=1,"Missing Order ID",IF(S20="DROP","Duplicate Order ID (less complete row)",IF(U20=1,"Missing Customer ID",IF(V20=1,"Missing Restaurant name",IF(W20=1,"Invalid/outlier quantity",IF(X20=1,"Invalid/outlier unit price",IF(Y20=1,"Discount greater than order value",""))))))))</f>
        <v/>
      </c>
      <c r="AC20" s="7" t="str">
        <f aca="false">IF(AB20="","KEEP","DROP")</f>
        <v>KEEP</v>
      </c>
      <c r="AD20" s="7" t="str">
        <f aca="false">IF(TRIM(F20)="",IFERROR(INDEX(Map_Tables!$I$4:$I$37,MATCH(TRIM(E20),Map_Tables!$G$4:$G$37,0)),""),IFERROR(INDEX(Map_Tables!$B$4:$B$18,MATCH(TRIM(F20),Map_Tables!$A$4:$A$18,0)),"CHECK"))</f>
        <v>Mumbai</v>
      </c>
      <c r="AE20" s="7" t="str">
        <f aca="false">IF(TRIM(E20)="","",IFERROR(INDEX(Map_Tables!$H$4:$H$37,MATCH(TRIM(E20),Map_Tables!$G$4:$G$37,0)),"CHECK"))</f>
        <v>Pav Bhaji Point</v>
      </c>
      <c r="AF20" s="7" t="str">
        <f aca="false">IF(TRIM(K20)="","Unknown",IFERROR(INDEX(Map_Tables!$E$4:$E$15,MATCH(TRIM(K20),Map_Tables!$D$4:$D$15,0)),"CHECK"))</f>
        <v>Wallet</v>
      </c>
      <c r="AG20" s="7" t="str">
        <f aca="false">IF(LEFT(LOWER(TRIM(L20)),6)="cancel","Cancelled","Delivered")</f>
        <v>Delivered</v>
      </c>
      <c r="AH20" s="10" t="n">
        <f aca="false">IF(ISNUMBER(SEARCH("/",B20)),DATE(VALUE(RIGHT(B20,4)),VALUE(MID(B20,4,2)),VALUE(LEFT(B20,2))),IF(MID(B20,5,1)="-",DATE(VALUE(LEFT(B20,4)),VALUE(MID(B20,6,2)),VALUE(RIGHT(B20,2))),DATE(VALUE(RIGHT(B20,4)),MATCH(MID(B20,4,3),{"Jan","Feb","Mar","Apr","May","Jun","Jul","Aug","Sep","Oct","Nov","Dec"},0),VALUE(LEFT(B20,2)))))</f>
        <v>45731</v>
      </c>
    </row>
    <row r="21" customFormat="false" ht="15" hidden="false" customHeight="false" outlineLevel="0" collapsed="false">
      <c r="A21" s="7" t="s">
        <v>274</v>
      </c>
      <c r="B21" s="7" t="s">
        <v>275</v>
      </c>
      <c r="C21" s="7" t="s">
        <v>276</v>
      </c>
      <c r="D21" s="7" t="s">
        <v>277</v>
      </c>
      <c r="E21" s="7" t="s">
        <v>126</v>
      </c>
      <c r="F21" s="7" t="s">
        <v>101</v>
      </c>
      <c r="G21" s="7" t="s">
        <v>105</v>
      </c>
      <c r="H21" s="7" t="n">
        <v>2</v>
      </c>
      <c r="I21" s="7" t="n">
        <v>285</v>
      </c>
      <c r="J21" s="7" t="n">
        <v>0</v>
      </c>
      <c r="K21" s="7" t="s">
        <v>88</v>
      </c>
      <c r="L21" s="7" t="s">
        <v>194</v>
      </c>
      <c r="M21" s="7" t="n">
        <v>47</v>
      </c>
      <c r="N21" s="7" t="n">
        <v>5</v>
      </c>
      <c r="O21" s="7" t="str">
        <f aca="false">A21&amp;"|"&amp;B21&amp;"|"&amp;C21&amp;"|"&amp;D21&amp;"|"&amp;E21&amp;"|"&amp;F21&amp;"|"&amp;G21&amp;"|"&amp;H21&amp;"|"&amp;I21&amp;"|"&amp;J21&amp;"|"&amp;K21&amp;"|"&amp;L21&amp;"|"&amp;M21&amp;"|"&amp;N21</f>
        <v>ORD10126|2025-01-16|20:51|C0365|Dragon Express|Mumbai|Chinese|2|285|0|UPI|Delivered|47|5</v>
      </c>
      <c r="P21" s="7" t="str">
        <f aca="false">IF(COUNTIF($O$2:O21,O21)&gt;1,"DUP","OK")</f>
        <v>OK</v>
      </c>
      <c r="Q21" s="7" t="n">
        <f aca="false">COUNTBLANK(A21:N21)</f>
        <v>0</v>
      </c>
      <c r="R21" s="7" t="n">
        <f aca="false">IF(A21="",0,COUNTIFS($A$2:$A$3058,A21,$P$2:$P$3058,"OK"))</f>
        <v>1</v>
      </c>
      <c r="S21" s="7" t="str">
        <f aca="false">IF(OR(A21="",P21="DUP",R21&lt;2),"",IF(Q21=_xlfn.MINIFS($Q$2:$Q$3058,$A$2:$A$3058,A21,$P$2:$P$3058,"OK"),"KEEP","DROP"))</f>
        <v/>
      </c>
      <c r="T21" s="9" t="n">
        <f aca="false">IF(A21="",1,0)</f>
        <v>0</v>
      </c>
      <c r="U21" s="9" t="n">
        <f aca="false">IF(D21="",1,0)</f>
        <v>0</v>
      </c>
      <c r="V21" s="9" t="n">
        <f aca="false">IF(E21="",1,0)</f>
        <v>0</v>
      </c>
      <c r="W21" s="9" t="n">
        <f aca="false">IF(OR(H21&lt;1,H21&gt;10),1,0)</f>
        <v>0</v>
      </c>
      <c r="X21" s="9" t="n">
        <f aca="false">IF(OR(I21&lt;=0,I21&gt;1500),1,0)</f>
        <v>0</v>
      </c>
      <c r="Y21" s="9" t="n">
        <f aca="false">IF(J21&gt;H21*I21,1,0)</f>
        <v>0</v>
      </c>
      <c r="Z21" s="9" t="n">
        <f aca="false">IF(AND(N21&lt;&gt;"",OR(N21&lt;1,N21&gt;5)),1,0)</f>
        <v>0</v>
      </c>
      <c r="AA21" s="9" t="n">
        <f aca="false">IF(AND(M21&lt;&gt;"",OR(M21&lt;5,M21&gt;180)),1,0)</f>
        <v>0</v>
      </c>
      <c r="AB21" s="7" t="str">
        <f aca="false">IF(P21="DUP","Exact duplicate row",IF(T21=1,"Missing Order ID",IF(S21="DROP","Duplicate Order ID (less complete row)",IF(U21=1,"Missing Customer ID",IF(V21=1,"Missing Restaurant name",IF(W21=1,"Invalid/outlier quantity",IF(X21=1,"Invalid/outlier unit price",IF(Y21=1,"Discount greater than order value",""))))))))</f>
        <v/>
      </c>
      <c r="AC21" s="7" t="str">
        <f aca="false">IF(AB21="","KEEP","DROP")</f>
        <v>KEEP</v>
      </c>
      <c r="AD21" s="7" t="str">
        <f aca="false">IF(TRIM(F21)="",IFERROR(INDEX(Map_Tables!$I$4:$I$37,MATCH(TRIM(E21),Map_Tables!$G$4:$G$37,0)),""),IFERROR(INDEX(Map_Tables!$B$4:$B$18,MATCH(TRIM(F21),Map_Tables!$A$4:$A$18,0)),"CHECK"))</f>
        <v>Mumbai</v>
      </c>
      <c r="AE21" s="7" t="str">
        <f aca="false">IF(TRIM(E21)="","",IFERROR(INDEX(Map_Tables!$H$4:$H$37,MATCH(TRIM(E21),Map_Tables!$G$4:$G$37,0)),"CHECK"))</f>
        <v>Dragon Express</v>
      </c>
      <c r="AF21" s="7" t="str">
        <f aca="false">IF(TRIM(K21)="","Unknown",IFERROR(INDEX(Map_Tables!$E$4:$E$15,MATCH(TRIM(K21),Map_Tables!$D$4:$D$15,0)),"CHECK"))</f>
        <v>UPI</v>
      </c>
      <c r="AG21" s="7" t="str">
        <f aca="false">IF(LEFT(LOWER(TRIM(L21)),6)="cancel","Cancelled","Delivered")</f>
        <v>Delivered</v>
      </c>
      <c r="AH21" s="10" t="n">
        <f aca="false">IF(ISNUMBER(SEARCH("/",B21)),DATE(VALUE(RIGHT(B21,4)),VALUE(MID(B21,4,2)),VALUE(LEFT(B21,2))),IF(MID(B21,5,1)="-",DATE(VALUE(LEFT(B21,4)),VALUE(MID(B21,6,2)),VALUE(RIGHT(B21,2))),DATE(VALUE(RIGHT(B21,4)),MATCH(MID(B21,4,3),{"Jan","Feb","Mar","Apr","May","Jun","Jul","Aug","Sep","Oct","Nov","Dec"},0),VALUE(LEFT(B21,2)))))</f>
        <v>45673</v>
      </c>
    </row>
    <row r="22" customFormat="false" ht="15" hidden="false" customHeight="false" outlineLevel="0" collapsed="false">
      <c r="A22" s="7" t="s">
        <v>278</v>
      </c>
      <c r="B22" s="7" t="s">
        <v>279</v>
      </c>
      <c r="C22" s="7" t="s">
        <v>280</v>
      </c>
      <c r="D22" s="7" t="s">
        <v>281</v>
      </c>
      <c r="E22" s="7" t="s">
        <v>144</v>
      </c>
      <c r="F22" s="7" t="s">
        <v>119</v>
      </c>
      <c r="G22" s="7" t="s">
        <v>99</v>
      </c>
      <c r="H22" s="7" t="n">
        <v>1</v>
      </c>
      <c r="I22" s="7" t="n">
        <v>305</v>
      </c>
      <c r="J22" s="7" t="n">
        <v>122</v>
      </c>
      <c r="K22" s="7" t="s">
        <v>88</v>
      </c>
      <c r="L22" s="7" t="s">
        <v>194</v>
      </c>
      <c r="M22" s="7" t="n">
        <v>58</v>
      </c>
      <c r="N22" s="7" t="n">
        <v>4</v>
      </c>
      <c r="O22" s="7" t="str">
        <f aca="false">A22&amp;"|"&amp;B22&amp;"|"&amp;C22&amp;"|"&amp;D22&amp;"|"&amp;E22&amp;"|"&amp;F22&amp;"|"&amp;G22&amp;"|"&amp;H22&amp;"|"&amp;I22&amp;"|"&amp;J22&amp;"|"&amp;K22&amp;"|"&amp;L22&amp;"|"&amp;M22&amp;"|"&amp;N22</f>
        <v>ORD12702|28/11/2025|20:39|C0984|Hyderabad Dum Biryani|Hyderabad|Biryani|1|305|122|UPI|Delivered|58|4</v>
      </c>
      <c r="P22" s="7" t="str">
        <f aca="false">IF(COUNTIF($O$2:O22,O22)&gt;1,"DUP","OK")</f>
        <v>OK</v>
      </c>
      <c r="Q22" s="7" t="n">
        <f aca="false">COUNTBLANK(A22:N22)</f>
        <v>0</v>
      </c>
      <c r="R22" s="7" t="n">
        <f aca="false">IF(A22="",0,COUNTIFS($A$2:$A$3058,A22,$P$2:$P$3058,"OK"))</f>
        <v>1</v>
      </c>
      <c r="S22" s="7" t="str">
        <f aca="false">IF(OR(A22="",P22="DUP",R22&lt;2),"",IF(Q22=_xlfn.MINIFS($Q$2:$Q$3058,$A$2:$A$3058,A22,$P$2:$P$3058,"OK"),"KEEP","DROP"))</f>
        <v/>
      </c>
      <c r="T22" s="9" t="n">
        <f aca="false">IF(A22="",1,0)</f>
        <v>0</v>
      </c>
      <c r="U22" s="9" t="n">
        <f aca="false">IF(D22="",1,0)</f>
        <v>0</v>
      </c>
      <c r="V22" s="9" t="n">
        <f aca="false">IF(E22="",1,0)</f>
        <v>0</v>
      </c>
      <c r="W22" s="9" t="n">
        <f aca="false">IF(OR(H22&lt;1,H22&gt;10),1,0)</f>
        <v>0</v>
      </c>
      <c r="X22" s="9" t="n">
        <f aca="false">IF(OR(I22&lt;=0,I22&gt;1500),1,0)</f>
        <v>0</v>
      </c>
      <c r="Y22" s="9" t="n">
        <f aca="false">IF(J22&gt;H22*I22,1,0)</f>
        <v>0</v>
      </c>
      <c r="Z22" s="9" t="n">
        <f aca="false">IF(AND(N22&lt;&gt;"",OR(N22&lt;1,N22&gt;5)),1,0)</f>
        <v>0</v>
      </c>
      <c r="AA22" s="9" t="n">
        <f aca="false">IF(AND(M22&lt;&gt;"",OR(M22&lt;5,M22&gt;180)),1,0)</f>
        <v>0</v>
      </c>
      <c r="AB22" s="7" t="str">
        <f aca="false">IF(P22="DUP","Exact duplicate row",IF(T22=1,"Missing Order ID",IF(S22="DROP","Duplicate Order ID (less complete row)",IF(U22=1,"Missing Customer ID",IF(V22=1,"Missing Restaurant name",IF(W22=1,"Invalid/outlier quantity",IF(X22=1,"Invalid/outlier unit price",IF(Y22=1,"Discount greater than order value",""))))))))</f>
        <v/>
      </c>
      <c r="AC22" s="7" t="str">
        <f aca="false">IF(AB22="","KEEP","DROP")</f>
        <v>KEEP</v>
      </c>
      <c r="AD22" s="7" t="str">
        <f aca="false">IF(TRIM(F22)="",IFERROR(INDEX(Map_Tables!$I$4:$I$37,MATCH(TRIM(E22),Map_Tables!$G$4:$G$37,0)),""),IFERROR(INDEX(Map_Tables!$B$4:$B$18,MATCH(TRIM(F22),Map_Tables!$A$4:$A$18,0)),"CHECK"))</f>
        <v>Hyderabad</v>
      </c>
      <c r="AE22" s="7" t="str">
        <f aca="false">IF(TRIM(E22)="","",IFERROR(INDEX(Map_Tables!$H$4:$H$37,MATCH(TRIM(E22),Map_Tables!$G$4:$G$37,0)),"CHECK"))</f>
        <v>Hyderabad Dum Biryani</v>
      </c>
      <c r="AF22" s="7" t="str">
        <f aca="false">IF(TRIM(K22)="","Unknown",IFERROR(INDEX(Map_Tables!$E$4:$E$15,MATCH(TRIM(K22),Map_Tables!$D$4:$D$15,0)),"CHECK"))</f>
        <v>UPI</v>
      </c>
      <c r="AG22" s="7" t="str">
        <f aca="false">IF(LEFT(LOWER(TRIM(L22)),6)="cancel","Cancelled","Delivered")</f>
        <v>Delivered</v>
      </c>
      <c r="AH22" s="10" t="n">
        <f aca="false">IF(ISNUMBER(SEARCH("/",B22)),DATE(VALUE(RIGHT(B22,4)),VALUE(MID(B22,4,2)),VALUE(LEFT(B22,2))),IF(MID(B22,5,1)="-",DATE(VALUE(LEFT(B22,4)),VALUE(MID(B22,6,2)),VALUE(RIGHT(B22,2))),DATE(VALUE(RIGHT(B22,4)),MATCH(MID(B22,4,3),{"Jan","Feb","Mar","Apr","May","Jun","Jul","Aug","Sep","Oct","Nov","Dec"},0),VALUE(LEFT(B22,2)))))</f>
        <v>45989</v>
      </c>
    </row>
    <row r="23" customFormat="false" ht="15" hidden="false" customHeight="false" outlineLevel="0" collapsed="false">
      <c r="A23" s="7" t="s">
        <v>282</v>
      </c>
      <c r="B23" s="7" t="s">
        <v>283</v>
      </c>
      <c r="C23" s="7" t="s">
        <v>284</v>
      </c>
      <c r="D23" s="7" t="s">
        <v>285</v>
      </c>
      <c r="E23" s="7" t="s">
        <v>144</v>
      </c>
      <c r="F23" s="7"/>
      <c r="G23" s="7" t="s">
        <v>99</v>
      </c>
      <c r="H23" s="7" t="n">
        <v>4</v>
      </c>
      <c r="I23" s="7" t="n">
        <v>250</v>
      </c>
      <c r="J23" s="7" t="n">
        <v>150</v>
      </c>
      <c r="K23" s="7" t="s">
        <v>88</v>
      </c>
      <c r="L23" s="7" t="s">
        <v>194</v>
      </c>
      <c r="M23" s="7" t="n">
        <v>19</v>
      </c>
      <c r="N23" s="7" t="n">
        <v>5</v>
      </c>
      <c r="O23" s="7" t="str">
        <f aca="false">A23&amp;"|"&amp;B23&amp;"|"&amp;C23&amp;"|"&amp;D23&amp;"|"&amp;E23&amp;"|"&amp;F23&amp;"|"&amp;G23&amp;"|"&amp;H23&amp;"|"&amp;I23&amp;"|"&amp;J23&amp;"|"&amp;K23&amp;"|"&amp;L23&amp;"|"&amp;M23&amp;"|"&amp;N23</f>
        <v>ORD12440|2025-11-03|11:51|C1140|Hyderabad Dum Biryani||Biryani|4|250|150|UPI|Delivered|19|5</v>
      </c>
      <c r="P23" s="7" t="str">
        <f aca="false">IF(COUNTIF($O$2:O23,O23)&gt;1,"DUP","OK")</f>
        <v>OK</v>
      </c>
      <c r="Q23" s="7" t="n">
        <f aca="false">COUNTBLANK(A23:N23)</f>
        <v>1</v>
      </c>
      <c r="R23" s="7" t="n">
        <f aca="false">IF(A23="",0,COUNTIFS($A$2:$A$3058,A23,$P$2:$P$3058,"OK"))</f>
        <v>1</v>
      </c>
      <c r="S23" s="7" t="str">
        <f aca="false">IF(OR(A23="",P23="DUP",R23&lt;2),"",IF(Q23=_xlfn.MINIFS($Q$2:$Q$3058,$A$2:$A$3058,A23,$P$2:$P$3058,"OK"),"KEEP","DROP"))</f>
        <v/>
      </c>
      <c r="T23" s="9" t="n">
        <f aca="false">IF(A23="",1,0)</f>
        <v>0</v>
      </c>
      <c r="U23" s="9" t="n">
        <f aca="false">IF(D23="",1,0)</f>
        <v>0</v>
      </c>
      <c r="V23" s="9" t="n">
        <f aca="false">IF(E23="",1,0)</f>
        <v>0</v>
      </c>
      <c r="W23" s="9" t="n">
        <f aca="false">IF(OR(H23&lt;1,H23&gt;10),1,0)</f>
        <v>0</v>
      </c>
      <c r="X23" s="9" t="n">
        <f aca="false">IF(OR(I23&lt;=0,I23&gt;1500),1,0)</f>
        <v>0</v>
      </c>
      <c r="Y23" s="9" t="n">
        <f aca="false">IF(J23&gt;H23*I23,1,0)</f>
        <v>0</v>
      </c>
      <c r="Z23" s="9" t="n">
        <f aca="false">IF(AND(N23&lt;&gt;"",OR(N23&lt;1,N23&gt;5)),1,0)</f>
        <v>0</v>
      </c>
      <c r="AA23" s="9" t="n">
        <f aca="false">IF(AND(M23&lt;&gt;"",OR(M23&lt;5,M23&gt;180)),1,0)</f>
        <v>0</v>
      </c>
      <c r="AB23" s="7" t="str">
        <f aca="false">IF(P23="DUP","Exact duplicate row",IF(T23=1,"Missing Order ID",IF(S23="DROP","Duplicate Order ID (less complete row)",IF(U23=1,"Missing Customer ID",IF(V23=1,"Missing Restaurant name",IF(W23=1,"Invalid/outlier quantity",IF(X23=1,"Invalid/outlier unit price",IF(Y23=1,"Discount greater than order value",""))))))))</f>
        <v/>
      </c>
      <c r="AC23" s="7" t="str">
        <f aca="false">IF(AB23="","KEEP","DROP")</f>
        <v>KEEP</v>
      </c>
      <c r="AD23" s="7" t="str">
        <f aca="false">IF(TRIM(F23)="",IFERROR(INDEX(Map_Tables!$I$4:$I$37,MATCH(TRIM(E23),Map_Tables!$G$4:$G$37,0)),""),IFERROR(INDEX(Map_Tables!$B$4:$B$18,MATCH(TRIM(F23),Map_Tables!$A$4:$A$18,0)),"CHECK"))</f>
        <v>Hyderabad</v>
      </c>
      <c r="AE23" s="7" t="str">
        <f aca="false">IF(TRIM(E23)="","",IFERROR(INDEX(Map_Tables!$H$4:$H$37,MATCH(TRIM(E23),Map_Tables!$G$4:$G$37,0)),"CHECK"))</f>
        <v>Hyderabad Dum Biryani</v>
      </c>
      <c r="AF23" s="7" t="str">
        <f aca="false">IF(TRIM(K23)="","Unknown",IFERROR(INDEX(Map_Tables!$E$4:$E$15,MATCH(TRIM(K23),Map_Tables!$D$4:$D$15,0)),"CHECK"))</f>
        <v>UPI</v>
      </c>
      <c r="AG23" s="7" t="str">
        <f aca="false">IF(LEFT(LOWER(TRIM(L23)),6)="cancel","Cancelled","Delivered")</f>
        <v>Delivered</v>
      </c>
      <c r="AH23" s="10" t="n">
        <f aca="false">IF(ISNUMBER(SEARCH("/",B23)),DATE(VALUE(RIGHT(B23,4)),VALUE(MID(B23,4,2)),VALUE(LEFT(B23,2))),IF(MID(B23,5,1)="-",DATE(VALUE(LEFT(B23,4)),VALUE(MID(B23,6,2)),VALUE(RIGHT(B23,2))),DATE(VALUE(RIGHT(B23,4)),MATCH(MID(B23,4,3),{"Jan","Feb","Mar","Apr","May","Jun","Jul","Aug","Sep","Oct","Nov","Dec"},0),VALUE(LEFT(B23,2)))))</f>
        <v>45964</v>
      </c>
    </row>
    <row r="24" customFormat="false" ht="15" hidden="false" customHeight="false" outlineLevel="0" collapsed="false">
      <c r="A24" s="7" t="s">
        <v>286</v>
      </c>
      <c r="B24" s="7" t="s">
        <v>287</v>
      </c>
      <c r="C24" s="7" t="s">
        <v>288</v>
      </c>
      <c r="D24" s="7" t="s">
        <v>289</v>
      </c>
      <c r="E24" s="7" t="s">
        <v>155</v>
      </c>
      <c r="F24" s="7" t="s">
        <v>128</v>
      </c>
      <c r="G24" s="7" t="s">
        <v>156</v>
      </c>
      <c r="H24" s="7" t="n">
        <v>1</v>
      </c>
      <c r="I24" s="7" t="n">
        <v>315</v>
      </c>
      <c r="J24" s="7" t="n">
        <v>0</v>
      </c>
      <c r="K24" s="7" t="s">
        <v>88</v>
      </c>
      <c r="L24" s="7" t="s">
        <v>194</v>
      </c>
      <c r="M24" s="7" t="n">
        <v>37</v>
      </c>
      <c r="N24" s="7" t="n">
        <v>5</v>
      </c>
      <c r="O24" s="7" t="str">
        <f aca="false">A24&amp;"|"&amp;B24&amp;"|"&amp;C24&amp;"|"&amp;D24&amp;"|"&amp;E24&amp;"|"&amp;F24&amp;"|"&amp;G24&amp;"|"&amp;H24&amp;"|"&amp;I24&amp;"|"&amp;J24&amp;"|"&amp;K24&amp;"|"&amp;L24&amp;"|"&amp;M24&amp;"|"&amp;N24</f>
        <v>ORD10503|07/03/2025|14:58|C1262|Green Bowl Kitchen|Chennai|Healthy Food|1|315|0|UPI|Delivered|37|5</v>
      </c>
      <c r="P24" s="7" t="str">
        <f aca="false">IF(COUNTIF($O$2:O24,O24)&gt;1,"DUP","OK")</f>
        <v>OK</v>
      </c>
      <c r="Q24" s="7" t="n">
        <f aca="false">COUNTBLANK(A24:N24)</f>
        <v>0</v>
      </c>
      <c r="R24" s="7" t="n">
        <f aca="false">IF(A24="",0,COUNTIFS($A$2:$A$3058,A24,$P$2:$P$3058,"OK"))</f>
        <v>1</v>
      </c>
      <c r="S24" s="7" t="str">
        <f aca="false">IF(OR(A24="",P24="DUP",R24&lt;2),"",IF(Q24=_xlfn.MINIFS($Q$2:$Q$3058,$A$2:$A$3058,A24,$P$2:$P$3058,"OK"),"KEEP","DROP"))</f>
        <v/>
      </c>
      <c r="T24" s="9" t="n">
        <f aca="false">IF(A24="",1,0)</f>
        <v>0</v>
      </c>
      <c r="U24" s="9" t="n">
        <f aca="false">IF(D24="",1,0)</f>
        <v>0</v>
      </c>
      <c r="V24" s="9" t="n">
        <f aca="false">IF(E24="",1,0)</f>
        <v>0</v>
      </c>
      <c r="W24" s="9" t="n">
        <f aca="false">IF(OR(H24&lt;1,H24&gt;10),1,0)</f>
        <v>0</v>
      </c>
      <c r="X24" s="9" t="n">
        <f aca="false">IF(OR(I24&lt;=0,I24&gt;1500),1,0)</f>
        <v>0</v>
      </c>
      <c r="Y24" s="9" t="n">
        <f aca="false">IF(J24&gt;H24*I24,1,0)</f>
        <v>0</v>
      </c>
      <c r="Z24" s="9" t="n">
        <f aca="false">IF(AND(N24&lt;&gt;"",OR(N24&lt;1,N24&gt;5)),1,0)</f>
        <v>0</v>
      </c>
      <c r="AA24" s="9" t="n">
        <f aca="false">IF(AND(M24&lt;&gt;"",OR(M24&lt;5,M24&gt;180)),1,0)</f>
        <v>0</v>
      </c>
      <c r="AB24" s="7" t="str">
        <f aca="false">IF(P24="DUP","Exact duplicate row",IF(T24=1,"Missing Order ID",IF(S24="DROP","Duplicate Order ID (less complete row)",IF(U24=1,"Missing Customer ID",IF(V24=1,"Missing Restaurant name",IF(W24=1,"Invalid/outlier quantity",IF(X24=1,"Invalid/outlier unit price",IF(Y24=1,"Discount greater than order value",""))))))))</f>
        <v/>
      </c>
      <c r="AC24" s="7" t="str">
        <f aca="false">IF(AB24="","KEEP","DROP")</f>
        <v>KEEP</v>
      </c>
      <c r="AD24" s="7" t="str">
        <f aca="false">IF(TRIM(F24)="",IFERROR(INDEX(Map_Tables!$I$4:$I$37,MATCH(TRIM(E24),Map_Tables!$G$4:$G$37,0)),""),IFERROR(INDEX(Map_Tables!$B$4:$B$18,MATCH(TRIM(F24),Map_Tables!$A$4:$A$18,0)),"CHECK"))</f>
        <v>Chennai</v>
      </c>
      <c r="AE24" s="7" t="str">
        <f aca="false">IF(TRIM(E24)="","",IFERROR(INDEX(Map_Tables!$H$4:$H$37,MATCH(TRIM(E24),Map_Tables!$G$4:$G$37,0)),"CHECK"))</f>
        <v>Green Bowl Kitchen</v>
      </c>
      <c r="AF24" s="7" t="str">
        <f aca="false">IF(TRIM(K24)="","Unknown",IFERROR(INDEX(Map_Tables!$E$4:$E$15,MATCH(TRIM(K24),Map_Tables!$D$4:$D$15,0)),"CHECK"))</f>
        <v>UPI</v>
      </c>
      <c r="AG24" s="7" t="str">
        <f aca="false">IF(LEFT(LOWER(TRIM(L24)),6)="cancel","Cancelled","Delivered")</f>
        <v>Delivered</v>
      </c>
      <c r="AH24" s="10" t="n">
        <f aca="false">IF(ISNUMBER(SEARCH("/",B24)),DATE(VALUE(RIGHT(B24,4)),VALUE(MID(B24,4,2)),VALUE(LEFT(B24,2))),IF(MID(B24,5,1)="-",DATE(VALUE(LEFT(B24,4)),VALUE(MID(B24,6,2)),VALUE(RIGHT(B24,2))),DATE(VALUE(RIGHT(B24,4)),MATCH(MID(B24,4,3),{"Jan","Feb","Mar","Apr","May","Jun","Jul","Aug","Sep","Oct","Nov","Dec"},0),VALUE(LEFT(B24,2)))))</f>
        <v>45723</v>
      </c>
    </row>
    <row r="25" customFormat="false" ht="15" hidden="false" customHeight="false" outlineLevel="0" collapsed="false">
      <c r="A25" s="7" t="s">
        <v>290</v>
      </c>
      <c r="B25" s="7" t="s">
        <v>291</v>
      </c>
      <c r="C25" s="7" t="s">
        <v>292</v>
      </c>
      <c r="D25" s="7" t="s">
        <v>293</v>
      </c>
      <c r="E25" s="7" t="s">
        <v>138</v>
      </c>
      <c r="F25" s="7" t="s">
        <v>294</v>
      </c>
      <c r="G25" s="7" t="s">
        <v>139</v>
      </c>
      <c r="H25" s="7" t="n">
        <v>1</v>
      </c>
      <c r="I25" s="7" t="n">
        <v>170</v>
      </c>
      <c r="J25" s="7" t="n">
        <v>68</v>
      </c>
      <c r="K25" s="7" t="s">
        <v>88</v>
      </c>
      <c r="L25" s="7" t="s">
        <v>194</v>
      </c>
      <c r="M25" s="7" t="n">
        <v>37</v>
      </c>
      <c r="N25" s="7" t="n">
        <v>5</v>
      </c>
      <c r="O25" s="7" t="str">
        <f aca="false">A25&amp;"|"&amp;B25&amp;"|"&amp;C25&amp;"|"&amp;D25&amp;"|"&amp;E25&amp;"|"&amp;F25&amp;"|"&amp;G25&amp;"|"&amp;H25&amp;"|"&amp;I25&amp;"|"&amp;J25&amp;"|"&amp;K25&amp;"|"&amp;L25&amp;"|"&amp;M25&amp;"|"&amp;N25</f>
        <v>ORD11228|2025-06-05|18:02|C1451|Burger Barn|New Delhi|Burgers|1|170|68|UPI|Delivered|37|5</v>
      </c>
      <c r="P25" s="7" t="str">
        <f aca="false">IF(COUNTIF($O$2:O25,O25)&gt;1,"DUP","OK")</f>
        <v>OK</v>
      </c>
      <c r="Q25" s="7" t="n">
        <f aca="false">COUNTBLANK(A25:N25)</f>
        <v>0</v>
      </c>
      <c r="R25" s="7" t="n">
        <f aca="false">IF(A25="",0,COUNTIFS($A$2:$A$3058,A25,$P$2:$P$3058,"OK"))</f>
        <v>1</v>
      </c>
      <c r="S25" s="7" t="str">
        <f aca="false">IF(OR(A25="",P25="DUP",R25&lt;2),"",IF(Q25=_xlfn.MINIFS($Q$2:$Q$3058,$A$2:$A$3058,A25,$P$2:$P$3058,"OK"),"KEEP","DROP"))</f>
        <v/>
      </c>
      <c r="T25" s="9" t="n">
        <f aca="false">IF(A25="",1,0)</f>
        <v>0</v>
      </c>
      <c r="U25" s="9" t="n">
        <f aca="false">IF(D25="",1,0)</f>
        <v>0</v>
      </c>
      <c r="V25" s="9" t="n">
        <f aca="false">IF(E25="",1,0)</f>
        <v>0</v>
      </c>
      <c r="W25" s="9" t="n">
        <f aca="false">IF(OR(H25&lt;1,H25&gt;10),1,0)</f>
        <v>0</v>
      </c>
      <c r="X25" s="9" t="n">
        <f aca="false">IF(OR(I25&lt;=0,I25&gt;1500),1,0)</f>
        <v>0</v>
      </c>
      <c r="Y25" s="9" t="n">
        <f aca="false">IF(J25&gt;H25*I25,1,0)</f>
        <v>0</v>
      </c>
      <c r="Z25" s="9" t="n">
        <f aca="false">IF(AND(N25&lt;&gt;"",OR(N25&lt;1,N25&gt;5)),1,0)</f>
        <v>0</v>
      </c>
      <c r="AA25" s="9" t="n">
        <f aca="false">IF(AND(M25&lt;&gt;"",OR(M25&lt;5,M25&gt;180)),1,0)</f>
        <v>0</v>
      </c>
      <c r="AB25" s="7" t="str">
        <f aca="false">IF(P25="DUP","Exact duplicate row",IF(T25=1,"Missing Order ID",IF(S25="DROP","Duplicate Order ID (less complete row)",IF(U25=1,"Missing Customer ID",IF(V25=1,"Missing Restaurant name",IF(W25=1,"Invalid/outlier quantity",IF(X25=1,"Invalid/outlier unit price",IF(Y25=1,"Discount greater than order value",""))))))))</f>
        <v/>
      </c>
      <c r="AC25" s="7" t="str">
        <f aca="false">IF(AB25="","KEEP","DROP")</f>
        <v>KEEP</v>
      </c>
      <c r="AD25" s="7" t="str">
        <f aca="false">IF(TRIM(F25)="",IFERROR(INDEX(Map_Tables!$I$4:$I$37,MATCH(TRIM(E25),Map_Tables!$G$4:$G$37,0)),""),IFERROR(INDEX(Map_Tables!$B$4:$B$18,MATCH(TRIM(F25),Map_Tables!$A$4:$A$18,0)),"CHECK"))</f>
        <v>Delhi</v>
      </c>
      <c r="AE25" s="7" t="str">
        <f aca="false">IF(TRIM(E25)="","",IFERROR(INDEX(Map_Tables!$H$4:$H$37,MATCH(TRIM(E25),Map_Tables!$G$4:$G$37,0)),"CHECK"))</f>
        <v>Burger Barn</v>
      </c>
      <c r="AF25" s="7" t="str">
        <f aca="false">IF(TRIM(K25)="","Unknown",IFERROR(INDEX(Map_Tables!$E$4:$E$15,MATCH(TRIM(K25),Map_Tables!$D$4:$D$15,0)),"CHECK"))</f>
        <v>UPI</v>
      </c>
      <c r="AG25" s="7" t="str">
        <f aca="false">IF(LEFT(LOWER(TRIM(L25)),6)="cancel","Cancelled","Delivered")</f>
        <v>Delivered</v>
      </c>
      <c r="AH25" s="10" t="n">
        <f aca="false">IF(ISNUMBER(SEARCH("/",B25)),DATE(VALUE(RIGHT(B25,4)),VALUE(MID(B25,4,2)),VALUE(LEFT(B25,2))),IF(MID(B25,5,1)="-",DATE(VALUE(LEFT(B25,4)),VALUE(MID(B25,6,2)),VALUE(RIGHT(B25,2))),DATE(VALUE(RIGHT(B25,4)),MATCH(MID(B25,4,3),{"Jan","Feb","Mar","Apr","May","Jun","Jul","Aug","Sep","Oct","Nov","Dec"},0),VALUE(LEFT(B25,2)))))</f>
        <v>45813</v>
      </c>
    </row>
    <row r="26" customFormat="false" ht="15" hidden="false" customHeight="false" outlineLevel="0" collapsed="false">
      <c r="A26" s="7" t="s">
        <v>295</v>
      </c>
      <c r="B26" s="7" t="s">
        <v>204</v>
      </c>
      <c r="C26" s="7" t="s">
        <v>296</v>
      </c>
      <c r="D26" s="7" t="s">
        <v>297</v>
      </c>
      <c r="E26" s="7" t="s">
        <v>89</v>
      </c>
      <c r="F26" s="7" t="s">
        <v>86</v>
      </c>
      <c r="G26" s="7" t="s">
        <v>90</v>
      </c>
      <c r="H26" s="7" t="n">
        <v>2</v>
      </c>
      <c r="I26" s="7" t="n">
        <v>255</v>
      </c>
      <c r="J26" s="7" t="n">
        <v>0</v>
      </c>
      <c r="K26" s="7" t="s">
        <v>298</v>
      </c>
      <c r="L26" s="7" t="s">
        <v>194</v>
      </c>
      <c r="M26" s="7" t="n">
        <v>48</v>
      </c>
      <c r="N26" s="7" t="n">
        <v>3</v>
      </c>
      <c r="O26" s="7" t="str">
        <f aca="false">A26&amp;"|"&amp;B26&amp;"|"&amp;C26&amp;"|"&amp;D26&amp;"|"&amp;E26&amp;"|"&amp;F26&amp;"|"&amp;G26&amp;"|"&amp;H26&amp;"|"&amp;I26&amp;"|"&amp;J26&amp;"|"&amp;K26&amp;"|"&amp;L26&amp;"|"&amp;M26&amp;"|"&amp;N26</f>
        <v>ORD10808|2025-04-12|21:06|C0573|Spice Junction|Bengaluru|North Indian|2|255|0|Cash On Delivery|Delivered|48|3</v>
      </c>
      <c r="P26" s="7" t="str">
        <f aca="false">IF(COUNTIF($O$2:O26,O26)&gt;1,"DUP","OK")</f>
        <v>OK</v>
      </c>
      <c r="Q26" s="7" t="n">
        <f aca="false">COUNTBLANK(A26:N26)</f>
        <v>0</v>
      </c>
      <c r="R26" s="7" t="n">
        <f aca="false">IF(A26="",0,COUNTIFS($A$2:$A$3058,A26,$P$2:$P$3058,"OK"))</f>
        <v>1</v>
      </c>
      <c r="S26" s="7" t="str">
        <f aca="false">IF(OR(A26="",P26="DUP",R26&lt;2),"",IF(Q26=_xlfn.MINIFS($Q$2:$Q$3058,$A$2:$A$3058,A26,$P$2:$P$3058,"OK"),"KEEP","DROP"))</f>
        <v/>
      </c>
      <c r="T26" s="9" t="n">
        <f aca="false">IF(A26="",1,0)</f>
        <v>0</v>
      </c>
      <c r="U26" s="9" t="n">
        <f aca="false">IF(D26="",1,0)</f>
        <v>0</v>
      </c>
      <c r="V26" s="9" t="n">
        <f aca="false">IF(E26="",1,0)</f>
        <v>0</v>
      </c>
      <c r="W26" s="9" t="n">
        <f aca="false">IF(OR(H26&lt;1,H26&gt;10),1,0)</f>
        <v>0</v>
      </c>
      <c r="X26" s="9" t="n">
        <f aca="false">IF(OR(I26&lt;=0,I26&gt;1500),1,0)</f>
        <v>0</v>
      </c>
      <c r="Y26" s="9" t="n">
        <f aca="false">IF(J26&gt;H26*I26,1,0)</f>
        <v>0</v>
      </c>
      <c r="Z26" s="9" t="n">
        <f aca="false">IF(AND(N26&lt;&gt;"",OR(N26&lt;1,N26&gt;5)),1,0)</f>
        <v>0</v>
      </c>
      <c r="AA26" s="9" t="n">
        <f aca="false">IF(AND(M26&lt;&gt;"",OR(M26&lt;5,M26&gt;180)),1,0)</f>
        <v>0</v>
      </c>
      <c r="AB26" s="7" t="str">
        <f aca="false">IF(P26="DUP","Exact duplicate row",IF(T26=1,"Missing Order ID",IF(S26="DROP","Duplicate Order ID (less complete row)",IF(U26=1,"Missing Customer ID",IF(V26=1,"Missing Restaurant name",IF(W26=1,"Invalid/outlier quantity",IF(X26=1,"Invalid/outlier unit price",IF(Y26=1,"Discount greater than order value",""))))))))</f>
        <v/>
      </c>
      <c r="AC26" s="7" t="str">
        <f aca="false">IF(AB26="","KEEP","DROP")</f>
        <v>KEEP</v>
      </c>
      <c r="AD26" s="7" t="str">
        <f aca="false">IF(TRIM(F26)="",IFERROR(INDEX(Map_Tables!$I$4:$I$37,MATCH(TRIM(E26),Map_Tables!$G$4:$G$37,0)),""),IFERROR(INDEX(Map_Tables!$B$4:$B$18,MATCH(TRIM(F26),Map_Tables!$A$4:$A$18,0)),"CHECK"))</f>
        <v>Bengaluru</v>
      </c>
      <c r="AE26" s="7" t="str">
        <f aca="false">IF(TRIM(E26)="","",IFERROR(INDEX(Map_Tables!$H$4:$H$37,MATCH(TRIM(E26),Map_Tables!$G$4:$G$37,0)),"CHECK"))</f>
        <v>Spice Junction</v>
      </c>
      <c r="AF26" s="7" t="str">
        <f aca="false">IF(TRIM(K26)="","Unknown",IFERROR(INDEX(Map_Tables!$E$4:$E$15,MATCH(TRIM(K26),Map_Tables!$D$4:$D$15,0)),"CHECK"))</f>
        <v>Cash on Delivery</v>
      </c>
      <c r="AG26" s="7" t="str">
        <f aca="false">IF(LEFT(LOWER(TRIM(L26)),6)="cancel","Cancelled","Delivered")</f>
        <v>Delivered</v>
      </c>
      <c r="AH26" s="10" t="n">
        <f aca="false">IF(ISNUMBER(SEARCH("/",B26)),DATE(VALUE(RIGHT(B26,4)),VALUE(MID(B26,4,2)),VALUE(LEFT(B26,2))),IF(MID(B26,5,1)="-",DATE(VALUE(LEFT(B26,4)),VALUE(MID(B26,6,2)),VALUE(RIGHT(B26,2))),DATE(VALUE(RIGHT(B26,4)),MATCH(MID(B26,4,3),{"Jan","Feb","Mar","Apr","May","Jun","Jul","Aug","Sep","Oct","Nov","Dec"},0),VALUE(LEFT(B26,2)))))</f>
        <v>45759</v>
      </c>
    </row>
    <row r="27" customFormat="false" ht="15" hidden="false" customHeight="false" outlineLevel="0" collapsed="false">
      <c r="A27" s="7" t="s">
        <v>299</v>
      </c>
      <c r="B27" s="7" t="s">
        <v>300</v>
      </c>
      <c r="C27" s="7" t="s">
        <v>301</v>
      </c>
      <c r="D27" s="7" t="s">
        <v>302</v>
      </c>
      <c r="E27" s="7" t="s">
        <v>157</v>
      </c>
      <c r="F27" s="7" t="s">
        <v>303</v>
      </c>
      <c r="G27" s="7" t="s">
        <v>117</v>
      </c>
      <c r="H27" s="7" t="n">
        <v>1</v>
      </c>
      <c r="I27" s="7" t="n">
        <v>100</v>
      </c>
      <c r="J27" s="7" t="n">
        <v>0</v>
      </c>
      <c r="K27" s="7" t="s">
        <v>103</v>
      </c>
      <c r="L27" s="7" t="s">
        <v>194</v>
      </c>
      <c r="M27" s="7" t="n">
        <v>34</v>
      </c>
      <c r="N27" s="7" t="n">
        <v>3</v>
      </c>
      <c r="O27" s="7" t="str">
        <f aca="false">A27&amp;"|"&amp;B27&amp;"|"&amp;C27&amp;"|"&amp;D27&amp;"|"&amp;E27&amp;"|"&amp;F27&amp;"|"&amp;G27&amp;"|"&amp;H27&amp;"|"&amp;I27&amp;"|"&amp;J27&amp;"|"&amp;K27&amp;"|"&amp;L27&amp;"|"&amp;M27&amp;"|"&amp;N27</f>
        <v>ORD11496|2025-07-13|21:58|C0169|Misal Mantra|PUNE|Street Food|1|100|0|Debit Card|Delivered|34|3</v>
      </c>
      <c r="P27" s="7" t="str">
        <f aca="false">IF(COUNTIF($O$2:O27,O27)&gt;1,"DUP","OK")</f>
        <v>OK</v>
      </c>
      <c r="Q27" s="7" t="n">
        <f aca="false">COUNTBLANK(A27:N27)</f>
        <v>0</v>
      </c>
      <c r="R27" s="7" t="n">
        <f aca="false">IF(A27="",0,COUNTIFS($A$2:$A$3058,A27,$P$2:$P$3058,"OK"))</f>
        <v>1</v>
      </c>
      <c r="S27" s="7" t="str">
        <f aca="false">IF(OR(A27="",P27="DUP",R27&lt;2),"",IF(Q27=_xlfn.MINIFS($Q$2:$Q$3058,$A$2:$A$3058,A27,$P$2:$P$3058,"OK"),"KEEP","DROP"))</f>
        <v/>
      </c>
      <c r="T27" s="9" t="n">
        <f aca="false">IF(A27="",1,0)</f>
        <v>0</v>
      </c>
      <c r="U27" s="9" t="n">
        <f aca="false">IF(D27="",1,0)</f>
        <v>0</v>
      </c>
      <c r="V27" s="9" t="n">
        <f aca="false">IF(E27="",1,0)</f>
        <v>0</v>
      </c>
      <c r="W27" s="9" t="n">
        <f aca="false">IF(OR(H27&lt;1,H27&gt;10),1,0)</f>
        <v>0</v>
      </c>
      <c r="X27" s="9" t="n">
        <f aca="false">IF(OR(I27&lt;=0,I27&gt;1500),1,0)</f>
        <v>0</v>
      </c>
      <c r="Y27" s="9" t="n">
        <f aca="false">IF(J27&gt;H27*I27,1,0)</f>
        <v>0</v>
      </c>
      <c r="Z27" s="9" t="n">
        <f aca="false">IF(AND(N27&lt;&gt;"",OR(N27&lt;1,N27&gt;5)),1,0)</f>
        <v>0</v>
      </c>
      <c r="AA27" s="9" t="n">
        <f aca="false">IF(AND(M27&lt;&gt;"",OR(M27&lt;5,M27&gt;180)),1,0)</f>
        <v>0</v>
      </c>
      <c r="AB27" s="7" t="str">
        <f aca="false">IF(P27="DUP","Exact duplicate row",IF(T27=1,"Missing Order ID",IF(S27="DROP","Duplicate Order ID (less complete row)",IF(U27=1,"Missing Customer ID",IF(V27=1,"Missing Restaurant name",IF(W27=1,"Invalid/outlier quantity",IF(X27=1,"Invalid/outlier unit price",IF(Y27=1,"Discount greater than order value",""))))))))</f>
        <v/>
      </c>
      <c r="AC27" s="7" t="str">
        <f aca="false">IF(AB27="","KEEP","DROP")</f>
        <v>KEEP</v>
      </c>
      <c r="AD27" s="7" t="str">
        <f aca="false">IF(TRIM(F27)="",IFERROR(INDEX(Map_Tables!$I$4:$I$37,MATCH(TRIM(E27),Map_Tables!$G$4:$G$37,0)),""),IFERROR(INDEX(Map_Tables!$B$4:$B$18,MATCH(TRIM(F27),Map_Tables!$A$4:$A$18,0)),"CHECK"))</f>
        <v>Pune</v>
      </c>
      <c r="AE27" s="7" t="str">
        <f aca="false">IF(TRIM(E27)="","",IFERROR(INDEX(Map_Tables!$H$4:$H$37,MATCH(TRIM(E27),Map_Tables!$G$4:$G$37,0)),"CHECK"))</f>
        <v>Misal Mantra</v>
      </c>
      <c r="AF27" s="7" t="str">
        <f aca="false">IF(TRIM(K27)="","Unknown",IFERROR(INDEX(Map_Tables!$E$4:$E$15,MATCH(TRIM(K27),Map_Tables!$D$4:$D$15,0)),"CHECK"))</f>
        <v>Debit Card</v>
      </c>
      <c r="AG27" s="7" t="str">
        <f aca="false">IF(LEFT(LOWER(TRIM(L27)),6)="cancel","Cancelled","Delivered")</f>
        <v>Delivered</v>
      </c>
      <c r="AH27" s="10" t="n">
        <f aca="false">IF(ISNUMBER(SEARCH("/",B27)),DATE(VALUE(RIGHT(B27,4)),VALUE(MID(B27,4,2)),VALUE(LEFT(B27,2))),IF(MID(B27,5,1)="-",DATE(VALUE(LEFT(B27,4)),VALUE(MID(B27,6,2)),VALUE(RIGHT(B27,2))),DATE(VALUE(RIGHT(B27,4)),MATCH(MID(B27,4,3),{"Jan","Feb","Mar","Apr","May","Jun","Jul","Aug","Sep","Oct","Nov","Dec"},0),VALUE(LEFT(B27,2)))))</f>
        <v>45851</v>
      </c>
    </row>
    <row r="28" customFormat="false" ht="15" hidden="false" customHeight="false" outlineLevel="0" collapsed="false">
      <c r="A28" s="7" t="s">
        <v>304</v>
      </c>
      <c r="B28" s="7" t="s">
        <v>305</v>
      </c>
      <c r="C28" s="7" t="s">
        <v>306</v>
      </c>
      <c r="D28" s="7" t="s">
        <v>307</v>
      </c>
      <c r="E28" s="7" t="s">
        <v>158</v>
      </c>
      <c r="F28" s="7" t="s">
        <v>136</v>
      </c>
      <c r="G28" s="7" t="s">
        <v>139</v>
      </c>
      <c r="H28" s="7" t="n">
        <v>3</v>
      </c>
      <c r="I28" s="7" t="n">
        <v>200</v>
      </c>
      <c r="J28" s="7" t="n">
        <v>0</v>
      </c>
      <c r="K28" s="7" t="s">
        <v>88</v>
      </c>
      <c r="L28" s="7" t="s">
        <v>194</v>
      </c>
      <c r="M28" s="7" t="n">
        <v>32</v>
      </c>
      <c r="N28" s="7"/>
      <c r="O28" s="7" t="str">
        <f aca="false">A28&amp;"|"&amp;B28&amp;"|"&amp;C28&amp;"|"&amp;D28&amp;"|"&amp;E28&amp;"|"&amp;F28&amp;"|"&amp;G28&amp;"|"&amp;H28&amp;"|"&amp;I28&amp;"|"&amp;J28&amp;"|"&amp;K28&amp;"|"&amp;L28&amp;"|"&amp;M28&amp;"|"&amp;N28</f>
        <v>ORD11903|04-Sep-2025|20:06|C1425|Pune Burger Hub|Pune|Burgers|3|200|0|UPI|Delivered|32|</v>
      </c>
      <c r="P28" s="7" t="str">
        <f aca="false">IF(COUNTIF($O$2:O28,O28)&gt;1,"DUP","OK")</f>
        <v>OK</v>
      </c>
      <c r="Q28" s="7" t="n">
        <f aca="false">COUNTBLANK(A28:N28)</f>
        <v>1</v>
      </c>
      <c r="R28" s="7" t="n">
        <f aca="false">IF(A28="",0,COUNTIFS($A$2:$A$3058,A28,$P$2:$P$3058,"OK"))</f>
        <v>1</v>
      </c>
      <c r="S28" s="7" t="str">
        <f aca="false">IF(OR(A28="",P28="DUP",R28&lt;2),"",IF(Q28=_xlfn.MINIFS($Q$2:$Q$3058,$A$2:$A$3058,A28,$P$2:$P$3058,"OK"),"KEEP","DROP"))</f>
        <v/>
      </c>
      <c r="T28" s="9" t="n">
        <f aca="false">IF(A28="",1,0)</f>
        <v>0</v>
      </c>
      <c r="U28" s="9" t="n">
        <f aca="false">IF(D28="",1,0)</f>
        <v>0</v>
      </c>
      <c r="V28" s="9" t="n">
        <f aca="false">IF(E28="",1,0)</f>
        <v>0</v>
      </c>
      <c r="W28" s="9" t="n">
        <f aca="false">IF(OR(H28&lt;1,H28&gt;10),1,0)</f>
        <v>0</v>
      </c>
      <c r="X28" s="9" t="n">
        <f aca="false">IF(OR(I28&lt;=0,I28&gt;1500),1,0)</f>
        <v>0</v>
      </c>
      <c r="Y28" s="9" t="n">
        <f aca="false">IF(J28&gt;H28*I28,1,0)</f>
        <v>0</v>
      </c>
      <c r="Z28" s="9" t="n">
        <f aca="false">IF(AND(N28&lt;&gt;"",OR(N28&lt;1,N28&gt;5)),1,0)</f>
        <v>0</v>
      </c>
      <c r="AA28" s="9" t="n">
        <f aca="false">IF(AND(M28&lt;&gt;"",OR(M28&lt;5,M28&gt;180)),1,0)</f>
        <v>0</v>
      </c>
      <c r="AB28" s="7" t="str">
        <f aca="false">IF(P28="DUP","Exact duplicate row",IF(T28=1,"Missing Order ID",IF(S28="DROP","Duplicate Order ID (less complete row)",IF(U28=1,"Missing Customer ID",IF(V28=1,"Missing Restaurant name",IF(W28=1,"Invalid/outlier quantity",IF(X28=1,"Invalid/outlier unit price",IF(Y28=1,"Discount greater than order value",""))))))))</f>
        <v/>
      </c>
      <c r="AC28" s="7" t="str">
        <f aca="false">IF(AB28="","KEEP","DROP")</f>
        <v>KEEP</v>
      </c>
      <c r="AD28" s="7" t="str">
        <f aca="false">IF(TRIM(F28)="",IFERROR(INDEX(Map_Tables!$I$4:$I$37,MATCH(TRIM(E28),Map_Tables!$G$4:$G$37,0)),""),IFERROR(INDEX(Map_Tables!$B$4:$B$18,MATCH(TRIM(F28),Map_Tables!$A$4:$A$18,0)),"CHECK"))</f>
        <v>Pune</v>
      </c>
      <c r="AE28" s="7" t="str">
        <f aca="false">IF(TRIM(E28)="","",IFERROR(INDEX(Map_Tables!$H$4:$H$37,MATCH(TRIM(E28),Map_Tables!$G$4:$G$37,0)),"CHECK"))</f>
        <v>Pune Burger Hub</v>
      </c>
      <c r="AF28" s="7" t="str">
        <f aca="false">IF(TRIM(K28)="","Unknown",IFERROR(INDEX(Map_Tables!$E$4:$E$15,MATCH(TRIM(K28),Map_Tables!$D$4:$D$15,0)),"CHECK"))</f>
        <v>UPI</v>
      </c>
      <c r="AG28" s="7" t="str">
        <f aca="false">IF(LEFT(LOWER(TRIM(L28)),6)="cancel","Cancelled","Delivered")</f>
        <v>Delivered</v>
      </c>
      <c r="AH28" s="10" t="n">
        <f aca="false">IF(ISNUMBER(SEARCH("/",B28)),DATE(VALUE(RIGHT(B28,4)),VALUE(MID(B28,4,2)),VALUE(LEFT(B28,2))),IF(MID(B28,5,1)="-",DATE(VALUE(LEFT(B28,4)),VALUE(MID(B28,6,2)),VALUE(RIGHT(B28,2))),DATE(VALUE(RIGHT(B28,4)),MATCH(MID(B28,4,3),{"Jan","Feb","Mar","Apr","May","Jun","Jul","Aug","Sep","Oct","Nov","Dec"},0),VALUE(LEFT(B28,2)))))</f>
        <v>45904</v>
      </c>
    </row>
    <row r="29" customFormat="false" ht="15" hidden="false" customHeight="false" outlineLevel="0" collapsed="false">
      <c r="A29" s="7" t="s">
        <v>308</v>
      </c>
      <c r="B29" s="7" t="s">
        <v>309</v>
      </c>
      <c r="C29" s="7" t="s">
        <v>310</v>
      </c>
      <c r="D29" s="7" t="s">
        <v>311</v>
      </c>
      <c r="E29" s="7" t="s">
        <v>148</v>
      </c>
      <c r="F29" s="7" t="s">
        <v>312</v>
      </c>
      <c r="G29" s="7" t="s">
        <v>123</v>
      </c>
      <c r="H29" s="7" t="n">
        <v>2</v>
      </c>
      <c r="I29" s="7" t="n">
        <v>315</v>
      </c>
      <c r="J29" s="7" t="n">
        <v>75</v>
      </c>
      <c r="K29" s="7" t="s">
        <v>88</v>
      </c>
      <c r="L29" s="7" t="s">
        <v>194</v>
      </c>
      <c r="M29" s="7" t="n">
        <v>26</v>
      </c>
      <c r="N29" s="7" t="n">
        <v>5</v>
      </c>
      <c r="O29" s="7" t="str">
        <f aca="false">A29&amp;"|"&amp;B29&amp;"|"&amp;C29&amp;"|"&amp;D29&amp;"|"&amp;E29&amp;"|"&amp;F29&amp;"|"&amp;G29&amp;"|"&amp;H29&amp;"|"&amp;I29&amp;"|"&amp;J29&amp;"|"&amp;K29&amp;"|"&amp;L29&amp;"|"&amp;M29&amp;"|"&amp;N29</f>
        <v>ORD12820|2025-12-11|19:09|C1118|Pizza Palace|Hyd|Pizza|2|315|75|UPI|Delivered|26|5</v>
      </c>
      <c r="P29" s="7" t="str">
        <f aca="false">IF(COUNTIF($O$2:O29,O29)&gt;1,"DUP","OK")</f>
        <v>OK</v>
      </c>
      <c r="Q29" s="7" t="n">
        <f aca="false">COUNTBLANK(A29:N29)</f>
        <v>0</v>
      </c>
      <c r="R29" s="7" t="n">
        <f aca="false">IF(A29="",0,COUNTIFS($A$2:$A$3058,A29,$P$2:$P$3058,"OK"))</f>
        <v>1</v>
      </c>
      <c r="S29" s="7" t="str">
        <f aca="false">IF(OR(A29="",P29="DUP",R29&lt;2),"",IF(Q29=_xlfn.MINIFS($Q$2:$Q$3058,$A$2:$A$3058,A29,$P$2:$P$3058,"OK"),"KEEP","DROP"))</f>
        <v/>
      </c>
      <c r="T29" s="9" t="n">
        <f aca="false">IF(A29="",1,0)</f>
        <v>0</v>
      </c>
      <c r="U29" s="9" t="n">
        <f aca="false">IF(D29="",1,0)</f>
        <v>0</v>
      </c>
      <c r="V29" s="9" t="n">
        <f aca="false">IF(E29="",1,0)</f>
        <v>0</v>
      </c>
      <c r="W29" s="9" t="n">
        <f aca="false">IF(OR(H29&lt;1,H29&gt;10),1,0)</f>
        <v>0</v>
      </c>
      <c r="X29" s="9" t="n">
        <f aca="false">IF(OR(I29&lt;=0,I29&gt;1500),1,0)</f>
        <v>0</v>
      </c>
      <c r="Y29" s="9" t="n">
        <f aca="false">IF(J29&gt;H29*I29,1,0)</f>
        <v>0</v>
      </c>
      <c r="Z29" s="9" t="n">
        <f aca="false">IF(AND(N29&lt;&gt;"",OR(N29&lt;1,N29&gt;5)),1,0)</f>
        <v>0</v>
      </c>
      <c r="AA29" s="9" t="n">
        <f aca="false">IF(AND(M29&lt;&gt;"",OR(M29&lt;5,M29&gt;180)),1,0)</f>
        <v>0</v>
      </c>
      <c r="AB29" s="7" t="str">
        <f aca="false">IF(P29="DUP","Exact duplicate row",IF(T29=1,"Missing Order ID",IF(S29="DROP","Duplicate Order ID (less complete row)",IF(U29=1,"Missing Customer ID",IF(V29=1,"Missing Restaurant name",IF(W29=1,"Invalid/outlier quantity",IF(X29=1,"Invalid/outlier unit price",IF(Y29=1,"Discount greater than order value",""))))))))</f>
        <v/>
      </c>
      <c r="AC29" s="7" t="str">
        <f aca="false">IF(AB29="","KEEP","DROP")</f>
        <v>KEEP</v>
      </c>
      <c r="AD29" s="7" t="str">
        <f aca="false">IF(TRIM(F29)="",IFERROR(INDEX(Map_Tables!$I$4:$I$37,MATCH(TRIM(E29),Map_Tables!$G$4:$G$37,0)),""),IFERROR(INDEX(Map_Tables!$B$4:$B$18,MATCH(TRIM(F29),Map_Tables!$A$4:$A$18,0)),"CHECK"))</f>
        <v>Hyderabad</v>
      </c>
      <c r="AE29" s="7" t="str">
        <f aca="false">IF(TRIM(E29)="","",IFERROR(INDEX(Map_Tables!$H$4:$H$37,MATCH(TRIM(E29),Map_Tables!$G$4:$G$37,0)),"CHECK"))</f>
        <v>Pizza Palace</v>
      </c>
      <c r="AF29" s="7" t="str">
        <f aca="false">IF(TRIM(K29)="","Unknown",IFERROR(INDEX(Map_Tables!$E$4:$E$15,MATCH(TRIM(K29),Map_Tables!$D$4:$D$15,0)),"CHECK"))</f>
        <v>UPI</v>
      </c>
      <c r="AG29" s="7" t="str">
        <f aca="false">IF(LEFT(LOWER(TRIM(L29)),6)="cancel","Cancelled","Delivered")</f>
        <v>Delivered</v>
      </c>
      <c r="AH29" s="10" t="n">
        <f aca="false">IF(ISNUMBER(SEARCH("/",B29)),DATE(VALUE(RIGHT(B29,4)),VALUE(MID(B29,4,2)),VALUE(LEFT(B29,2))),IF(MID(B29,5,1)="-",DATE(VALUE(LEFT(B29,4)),VALUE(MID(B29,6,2)),VALUE(RIGHT(B29,2))),DATE(VALUE(RIGHT(B29,4)),MATCH(MID(B29,4,3),{"Jan","Feb","Mar","Apr","May","Jun","Jul","Aug","Sep","Oct","Nov","Dec"},0),VALUE(LEFT(B29,2)))))</f>
        <v>46002</v>
      </c>
    </row>
    <row r="30" customFormat="false" ht="15" hidden="false" customHeight="false" outlineLevel="0" collapsed="false">
      <c r="A30" s="7" t="s">
        <v>313</v>
      </c>
      <c r="B30" s="7" t="s">
        <v>314</v>
      </c>
      <c r="C30" s="7" t="s">
        <v>315</v>
      </c>
      <c r="D30" s="7" t="s">
        <v>316</v>
      </c>
      <c r="E30" s="7" t="s">
        <v>159</v>
      </c>
      <c r="F30" s="7" t="s">
        <v>136</v>
      </c>
      <c r="G30" s="7" t="s">
        <v>90</v>
      </c>
      <c r="H30" s="7" t="n">
        <v>1</v>
      </c>
      <c r="I30" s="7" t="n">
        <v>255</v>
      </c>
      <c r="J30" s="7" t="n">
        <v>102</v>
      </c>
      <c r="K30" s="7" t="s">
        <v>88</v>
      </c>
      <c r="L30" s="7" t="s">
        <v>194</v>
      </c>
      <c r="M30" s="7" t="n">
        <v>36</v>
      </c>
      <c r="N30" s="7" t="n">
        <v>5</v>
      </c>
      <c r="O30" s="7" t="str">
        <f aca="false">A30&amp;"|"&amp;B30&amp;"|"&amp;C30&amp;"|"&amp;D30&amp;"|"&amp;E30&amp;"|"&amp;F30&amp;"|"&amp;G30&amp;"|"&amp;H30&amp;"|"&amp;I30&amp;"|"&amp;J30&amp;"|"&amp;K30&amp;"|"&amp;L30&amp;"|"&amp;M30&amp;"|"&amp;N30</f>
        <v>ORD11313|19/06/2025|14:20|C0468|Maratha Thali House|Pune|North Indian|1|255|102|UPI|Delivered|36|5</v>
      </c>
      <c r="P30" s="7" t="str">
        <f aca="false">IF(COUNTIF($O$2:O30,O30)&gt;1,"DUP","OK")</f>
        <v>OK</v>
      </c>
      <c r="Q30" s="7" t="n">
        <f aca="false">COUNTBLANK(A30:N30)</f>
        <v>0</v>
      </c>
      <c r="R30" s="7" t="n">
        <f aca="false">IF(A30="",0,COUNTIFS($A$2:$A$3058,A30,$P$2:$P$3058,"OK"))</f>
        <v>1</v>
      </c>
      <c r="S30" s="7" t="str">
        <f aca="false">IF(OR(A30="",P30="DUP",R30&lt;2),"",IF(Q30=_xlfn.MINIFS($Q$2:$Q$3058,$A$2:$A$3058,A30,$P$2:$P$3058,"OK"),"KEEP","DROP"))</f>
        <v/>
      </c>
      <c r="T30" s="9" t="n">
        <f aca="false">IF(A30="",1,0)</f>
        <v>0</v>
      </c>
      <c r="U30" s="9" t="n">
        <f aca="false">IF(D30="",1,0)</f>
        <v>0</v>
      </c>
      <c r="V30" s="9" t="n">
        <f aca="false">IF(E30="",1,0)</f>
        <v>0</v>
      </c>
      <c r="W30" s="9" t="n">
        <f aca="false">IF(OR(H30&lt;1,H30&gt;10),1,0)</f>
        <v>0</v>
      </c>
      <c r="X30" s="9" t="n">
        <f aca="false">IF(OR(I30&lt;=0,I30&gt;1500),1,0)</f>
        <v>0</v>
      </c>
      <c r="Y30" s="9" t="n">
        <f aca="false">IF(J30&gt;H30*I30,1,0)</f>
        <v>0</v>
      </c>
      <c r="Z30" s="9" t="n">
        <f aca="false">IF(AND(N30&lt;&gt;"",OR(N30&lt;1,N30&gt;5)),1,0)</f>
        <v>0</v>
      </c>
      <c r="AA30" s="9" t="n">
        <f aca="false">IF(AND(M30&lt;&gt;"",OR(M30&lt;5,M30&gt;180)),1,0)</f>
        <v>0</v>
      </c>
      <c r="AB30" s="7" t="str">
        <f aca="false">IF(P30="DUP","Exact duplicate row",IF(T30=1,"Missing Order ID",IF(S30="DROP","Duplicate Order ID (less complete row)",IF(U30=1,"Missing Customer ID",IF(V30=1,"Missing Restaurant name",IF(W30=1,"Invalid/outlier quantity",IF(X30=1,"Invalid/outlier unit price",IF(Y30=1,"Discount greater than order value",""))))))))</f>
        <v/>
      </c>
      <c r="AC30" s="7" t="str">
        <f aca="false">IF(AB30="","KEEP","DROP")</f>
        <v>KEEP</v>
      </c>
      <c r="AD30" s="7" t="str">
        <f aca="false">IF(TRIM(F30)="",IFERROR(INDEX(Map_Tables!$I$4:$I$37,MATCH(TRIM(E30),Map_Tables!$G$4:$G$37,0)),""),IFERROR(INDEX(Map_Tables!$B$4:$B$18,MATCH(TRIM(F30),Map_Tables!$A$4:$A$18,0)),"CHECK"))</f>
        <v>Pune</v>
      </c>
      <c r="AE30" s="7" t="str">
        <f aca="false">IF(TRIM(E30)="","",IFERROR(INDEX(Map_Tables!$H$4:$H$37,MATCH(TRIM(E30),Map_Tables!$G$4:$G$37,0)),"CHECK"))</f>
        <v>Maratha Thali House</v>
      </c>
      <c r="AF30" s="7" t="str">
        <f aca="false">IF(TRIM(K30)="","Unknown",IFERROR(INDEX(Map_Tables!$E$4:$E$15,MATCH(TRIM(K30),Map_Tables!$D$4:$D$15,0)),"CHECK"))</f>
        <v>UPI</v>
      </c>
      <c r="AG30" s="7" t="str">
        <f aca="false">IF(LEFT(LOWER(TRIM(L30)),6)="cancel","Cancelled","Delivered")</f>
        <v>Delivered</v>
      </c>
      <c r="AH30" s="10" t="n">
        <f aca="false">IF(ISNUMBER(SEARCH("/",B30)),DATE(VALUE(RIGHT(B30,4)),VALUE(MID(B30,4,2)),VALUE(LEFT(B30,2))),IF(MID(B30,5,1)="-",DATE(VALUE(LEFT(B30,4)),VALUE(MID(B30,6,2)),VALUE(RIGHT(B30,2))),DATE(VALUE(RIGHT(B30,4)),MATCH(MID(B30,4,3),{"Jan","Feb","Mar","Apr","May","Jun","Jul","Aug","Sep","Oct","Nov","Dec"},0),VALUE(LEFT(B30,2)))))</f>
        <v>45827</v>
      </c>
    </row>
    <row r="31" customFormat="false" ht="15" hidden="false" customHeight="false" outlineLevel="0" collapsed="false">
      <c r="A31" s="7" t="s">
        <v>317</v>
      </c>
      <c r="B31" s="7" t="s">
        <v>318</v>
      </c>
      <c r="C31" s="7" t="s">
        <v>319</v>
      </c>
      <c r="D31" s="7" t="s">
        <v>320</v>
      </c>
      <c r="E31" s="7" t="s">
        <v>154</v>
      </c>
      <c r="F31" s="7" t="s">
        <v>128</v>
      </c>
      <c r="G31" s="7" t="s">
        <v>99</v>
      </c>
      <c r="H31" s="7" t="n">
        <v>2</v>
      </c>
      <c r="I31" s="7" t="n">
        <v>295</v>
      </c>
      <c r="J31" s="7" t="n">
        <v>0</v>
      </c>
      <c r="K31" s="7" t="s">
        <v>93</v>
      </c>
      <c r="L31" s="7" t="s">
        <v>194</v>
      </c>
      <c r="M31" s="7" t="n">
        <v>33</v>
      </c>
      <c r="N31" s="7" t="n">
        <v>5</v>
      </c>
      <c r="O31" s="7" t="str">
        <f aca="false">A31&amp;"|"&amp;B31&amp;"|"&amp;C31&amp;"|"&amp;D31&amp;"|"&amp;E31&amp;"|"&amp;F31&amp;"|"&amp;G31&amp;"|"&amp;H31&amp;"|"&amp;I31&amp;"|"&amp;J31&amp;"|"&amp;K31&amp;"|"&amp;L31&amp;"|"&amp;M31&amp;"|"&amp;N31</f>
        <v>ORD10753|2025-04-05|21:52|C0094|Madras Biryani Co|Chennai|Biryani|2|295|0|Credit Card|Delivered|33|5</v>
      </c>
      <c r="P31" s="7" t="str">
        <f aca="false">IF(COUNTIF($O$2:O31,O31)&gt;1,"DUP","OK")</f>
        <v>OK</v>
      </c>
      <c r="Q31" s="7" t="n">
        <f aca="false">COUNTBLANK(A31:N31)</f>
        <v>0</v>
      </c>
      <c r="R31" s="7" t="n">
        <f aca="false">IF(A31="",0,COUNTIFS($A$2:$A$3058,A31,$P$2:$P$3058,"OK"))</f>
        <v>1</v>
      </c>
      <c r="S31" s="7" t="str">
        <f aca="false">IF(OR(A31="",P31="DUP",R31&lt;2),"",IF(Q31=_xlfn.MINIFS($Q$2:$Q$3058,$A$2:$A$3058,A31,$P$2:$P$3058,"OK"),"KEEP","DROP"))</f>
        <v/>
      </c>
      <c r="T31" s="9" t="n">
        <f aca="false">IF(A31="",1,0)</f>
        <v>0</v>
      </c>
      <c r="U31" s="9" t="n">
        <f aca="false">IF(D31="",1,0)</f>
        <v>0</v>
      </c>
      <c r="V31" s="9" t="n">
        <f aca="false">IF(E31="",1,0)</f>
        <v>0</v>
      </c>
      <c r="W31" s="9" t="n">
        <f aca="false">IF(OR(H31&lt;1,H31&gt;10),1,0)</f>
        <v>0</v>
      </c>
      <c r="X31" s="9" t="n">
        <f aca="false">IF(OR(I31&lt;=0,I31&gt;1500),1,0)</f>
        <v>0</v>
      </c>
      <c r="Y31" s="9" t="n">
        <f aca="false">IF(J31&gt;H31*I31,1,0)</f>
        <v>0</v>
      </c>
      <c r="Z31" s="9" t="n">
        <f aca="false">IF(AND(N31&lt;&gt;"",OR(N31&lt;1,N31&gt;5)),1,0)</f>
        <v>0</v>
      </c>
      <c r="AA31" s="9" t="n">
        <f aca="false">IF(AND(M31&lt;&gt;"",OR(M31&lt;5,M31&gt;180)),1,0)</f>
        <v>0</v>
      </c>
      <c r="AB31" s="7" t="str">
        <f aca="false">IF(P31="DUP","Exact duplicate row",IF(T31=1,"Missing Order ID",IF(S31="DROP","Duplicate Order ID (less complete row)",IF(U31=1,"Missing Customer ID",IF(V31=1,"Missing Restaurant name",IF(W31=1,"Invalid/outlier quantity",IF(X31=1,"Invalid/outlier unit price",IF(Y31=1,"Discount greater than order value",""))))))))</f>
        <v/>
      </c>
      <c r="AC31" s="7" t="str">
        <f aca="false">IF(AB31="","KEEP","DROP")</f>
        <v>KEEP</v>
      </c>
      <c r="AD31" s="7" t="str">
        <f aca="false">IF(TRIM(F31)="",IFERROR(INDEX(Map_Tables!$I$4:$I$37,MATCH(TRIM(E31),Map_Tables!$G$4:$G$37,0)),""),IFERROR(INDEX(Map_Tables!$B$4:$B$18,MATCH(TRIM(F31),Map_Tables!$A$4:$A$18,0)),"CHECK"))</f>
        <v>Chennai</v>
      </c>
      <c r="AE31" s="7" t="str">
        <f aca="false">IF(TRIM(E31)="","",IFERROR(INDEX(Map_Tables!$H$4:$H$37,MATCH(TRIM(E31),Map_Tables!$G$4:$G$37,0)),"CHECK"))</f>
        <v>Madras Biryani Co</v>
      </c>
      <c r="AF31" s="7" t="str">
        <f aca="false">IF(TRIM(K31)="","Unknown",IFERROR(INDEX(Map_Tables!$E$4:$E$15,MATCH(TRIM(K31),Map_Tables!$D$4:$D$15,0)),"CHECK"))</f>
        <v>Credit Card</v>
      </c>
      <c r="AG31" s="7" t="str">
        <f aca="false">IF(LEFT(LOWER(TRIM(L31)),6)="cancel","Cancelled","Delivered")</f>
        <v>Delivered</v>
      </c>
      <c r="AH31" s="10" t="n">
        <f aca="false">IF(ISNUMBER(SEARCH("/",B31)),DATE(VALUE(RIGHT(B31,4)),VALUE(MID(B31,4,2)),VALUE(LEFT(B31,2))),IF(MID(B31,5,1)="-",DATE(VALUE(LEFT(B31,4)),VALUE(MID(B31,6,2)),VALUE(RIGHT(B31,2))),DATE(VALUE(RIGHT(B31,4)),MATCH(MID(B31,4,3),{"Jan","Feb","Mar","Apr","May","Jun","Jul","Aug","Sep","Oct","Nov","Dec"},0),VALUE(LEFT(B31,2)))))</f>
        <v>45752</v>
      </c>
    </row>
    <row r="32" customFormat="false" ht="15" hidden="false" customHeight="false" outlineLevel="0" collapsed="false">
      <c r="A32" s="7" t="s">
        <v>321</v>
      </c>
      <c r="B32" s="7" t="s">
        <v>322</v>
      </c>
      <c r="C32" s="7" t="s">
        <v>323</v>
      </c>
      <c r="D32" s="7" t="s">
        <v>324</v>
      </c>
      <c r="E32" s="7" t="s">
        <v>159</v>
      </c>
      <c r="F32" s="7" t="s">
        <v>136</v>
      </c>
      <c r="G32" s="7" t="s">
        <v>90</v>
      </c>
      <c r="H32" s="7" t="n">
        <v>2</v>
      </c>
      <c r="I32" s="7" t="n">
        <v>245</v>
      </c>
      <c r="J32" s="7" t="n">
        <v>125</v>
      </c>
      <c r="K32" s="7" t="s">
        <v>112</v>
      </c>
      <c r="L32" s="7" t="s">
        <v>194</v>
      </c>
      <c r="M32" s="7" t="n">
        <v>33</v>
      </c>
      <c r="N32" s="7" t="n">
        <v>4</v>
      </c>
      <c r="O32" s="7" t="str">
        <f aca="false">A32&amp;"|"&amp;B32&amp;"|"&amp;C32&amp;"|"&amp;D32&amp;"|"&amp;E32&amp;"|"&amp;F32&amp;"|"&amp;G32&amp;"|"&amp;H32&amp;"|"&amp;I32&amp;"|"&amp;J32&amp;"|"&amp;K32&amp;"|"&amp;L32&amp;"|"&amp;M32&amp;"|"&amp;N32</f>
        <v>ORD11052|2025-05-13|08:25|C1126|Maratha Thali House|Pune|North Indian|2|245|125|Cash on Delivery|Delivered|33|4</v>
      </c>
      <c r="P32" s="7" t="str">
        <f aca="false">IF(COUNTIF($O$2:O32,O32)&gt;1,"DUP","OK")</f>
        <v>OK</v>
      </c>
      <c r="Q32" s="7" t="n">
        <f aca="false">COUNTBLANK(A32:N32)</f>
        <v>0</v>
      </c>
      <c r="R32" s="7" t="n">
        <f aca="false">IF(A32="",0,COUNTIFS($A$2:$A$3058,A32,$P$2:$P$3058,"OK"))</f>
        <v>1</v>
      </c>
      <c r="S32" s="7" t="str">
        <f aca="false">IF(OR(A32="",P32="DUP",R32&lt;2),"",IF(Q32=_xlfn.MINIFS($Q$2:$Q$3058,$A$2:$A$3058,A32,$P$2:$P$3058,"OK"),"KEEP","DROP"))</f>
        <v/>
      </c>
      <c r="T32" s="9" t="n">
        <f aca="false">IF(A32="",1,0)</f>
        <v>0</v>
      </c>
      <c r="U32" s="9" t="n">
        <f aca="false">IF(D32="",1,0)</f>
        <v>0</v>
      </c>
      <c r="V32" s="9" t="n">
        <f aca="false">IF(E32="",1,0)</f>
        <v>0</v>
      </c>
      <c r="W32" s="9" t="n">
        <f aca="false">IF(OR(H32&lt;1,H32&gt;10),1,0)</f>
        <v>0</v>
      </c>
      <c r="X32" s="9" t="n">
        <f aca="false">IF(OR(I32&lt;=0,I32&gt;1500),1,0)</f>
        <v>0</v>
      </c>
      <c r="Y32" s="9" t="n">
        <f aca="false">IF(J32&gt;H32*I32,1,0)</f>
        <v>0</v>
      </c>
      <c r="Z32" s="9" t="n">
        <f aca="false">IF(AND(N32&lt;&gt;"",OR(N32&lt;1,N32&gt;5)),1,0)</f>
        <v>0</v>
      </c>
      <c r="AA32" s="9" t="n">
        <f aca="false">IF(AND(M32&lt;&gt;"",OR(M32&lt;5,M32&gt;180)),1,0)</f>
        <v>0</v>
      </c>
      <c r="AB32" s="7" t="str">
        <f aca="false">IF(P32="DUP","Exact duplicate row",IF(T32=1,"Missing Order ID",IF(S32="DROP","Duplicate Order ID (less complete row)",IF(U32=1,"Missing Customer ID",IF(V32=1,"Missing Restaurant name",IF(W32=1,"Invalid/outlier quantity",IF(X32=1,"Invalid/outlier unit price",IF(Y32=1,"Discount greater than order value",""))))))))</f>
        <v/>
      </c>
      <c r="AC32" s="7" t="str">
        <f aca="false">IF(AB32="","KEEP","DROP")</f>
        <v>KEEP</v>
      </c>
      <c r="AD32" s="7" t="str">
        <f aca="false">IF(TRIM(F32)="",IFERROR(INDEX(Map_Tables!$I$4:$I$37,MATCH(TRIM(E32),Map_Tables!$G$4:$G$37,0)),""),IFERROR(INDEX(Map_Tables!$B$4:$B$18,MATCH(TRIM(F32),Map_Tables!$A$4:$A$18,0)),"CHECK"))</f>
        <v>Pune</v>
      </c>
      <c r="AE32" s="7" t="str">
        <f aca="false">IF(TRIM(E32)="","",IFERROR(INDEX(Map_Tables!$H$4:$H$37,MATCH(TRIM(E32),Map_Tables!$G$4:$G$37,0)),"CHECK"))</f>
        <v>Maratha Thali House</v>
      </c>
      <c r="AF32" s="7" t="str">
        <f aca="false">IF(TRIM(K32)="","Unknown",IFERROR(INDEX(Map_Tables!$E$4:$E$15,MATCH(TRIM(K32),Map_Tables!$D$4:$D$15,0)),"CHECK"))</f>
        <v>Cash on Delivery</v>
      </c>
      <c r="AG32" s="7" t="str">
        <f aca="false">IF(LEFT(LOWER(TRIM(L32)),6)="cancel","Cancelled","Delivered")</f>
        <v>Delivered</v>
      </c>
      <c r="AH32" s="10" t="n">
        <f aca="false">IF(ISNUMBER(SEARCH("/",B32)),DATE(VALUE(RIGHT(B32,4)),VALUE(MID(B32,4,2)),VALUE(LEFT(B32,2))),IF(MID(B32,5,1)="-",DATE(VALUE(LEFT(B32,4)),VALUE(MID(B32,6,2)),VALUE(RIGHT(B32,2))),DATE(VALUE(RIGHT(B32,4)),MATCH(MID(B32,4,3),{"Jan","Feb","Mar","Apr","May","Jun","Jul","Aug","Sep","Oct","Nov","Dec"},0),VALUE(LEFT(B32,2)))))</f>
        <v>45790</v>
      </c>
    </row>
    <row r="33" customFormat="false" ht="15" hidden="false" customHeight="false" outlineLevel="0" collapsed="false">
      <c r="A33" s="7" t="s">
        <v>325</v>
      </c>
      <c r="B33" s="7" t="s">
        <v>326</v>
      </c>
      <c r="C33" s="7" t="s">
        <v>327</v>
      </c>
      <c r="D33" s="7" t="s">
        <v>328</v>
      </c>
      <c r="E33" s="7" t="s">
        <v>147</v>
      </c>
      <c r="F33" s="7" t="s">
        <v>119</v>
      </c>
      <c r="G33" s="7" t="s">
        <v>95</v>
      </c>
      <c r="H33" s="7" t="n">
        <v>3</v>
      </c>
      <c r="I33" s="7" t="n">
        <v>150</v>
      </c>
      <c r="J33" s="7" t="n">
        <v>0</v>
      </c>
      <c r="K33" s="7" t="s">
        <v>88</v>
      </c>
      <c r="L33" s="7" t="s">
        <v>194</v>
      </c>
      <c r="M33" s="7" t="n">
        <v>40</v>
      </c>
      <c r="N33" s="7" t="n">
        <v>3</v>
      </c>
      <c r="O33" s="7" t="str">
        <f aca="false">A33&amp;"|"&amp;B33&amp;"|"&amp;C33&amp;"|"&amp;D33&amp;"|"&amp;E33&amp;"|"&amp;F33&amp;"|"&amp;G33&amp;"|"&amp;H33&amp;"|"&amp;I33&amp;"|"&amp;J33&amp;"|"&amp;K33&amp;"|"&amp;L33&amp;"|"&amp;M33&amp;"|"&amp;N33</f>
        <v>ORD12433|2025-11-02|19:10|C0516|Andhra Meals Mess|Hyderabad|South Indian|3|150|0|UPI|Delivered|40|3</v>
      </c>
      <c r="P33" s="7" t="str">
        <f aca="false">IF(COUNTIF($O$2:O33,O33)&gt;1,"DUP","OK")</f>
        <v>OK</v>
      </c>
      <c r="Q33" s="7" t="n">
        <f aca="false">COUNTBLANK(A33:N33)</f>
        <v>0</v>
      </c>
      <c r="R33" s="7" t="n">
        <f aca="false">IF(A33="",0,COUNTIFS($A$2:$A$3058,A33,$P$2:$P$3058,"OK"))</f>
        <v>1</v>
      </c>
      <c r="S33" s="7" t="str">
        <f aca="false">IF(OR(A33="",P33="DUP",R33&lt;2),"",IF(Q33=_xlfn.MINIFS($Q$2:$Q$3058,$A$2:$A$3058,A33,$P$2:$P$3058,"OK"),"KEEP","DROP"))</f>
        <v/>
      </c>
      <c r="T33" s="9" t="n">
        <f aca="false">IF(A33="",1,0)</f>
        <v>0</v>
      </c>
      <c r="U33" s="9" t="n">
        <f aca="false">IF(D33="",1,0)</f>
        <v>0</v>
      </c>
      <c r="V33" s="9" t="n">
        <f aca="false">IF(E33="",1,0)</f>
        <v>0</v>
      </c>
      <c r="W33" s="9" t="n">
        <f aca="false">IF(OR(H33&lt;1,H33&gt;10),1,0)</f>
        <v>0</v>
      </c>
      <c r="X33" s="9" t="n">
        <f aca="false">IF(OR(I33&lt;=0,I33&gt;1500),1,0)</f>
        <v>0</v>
      </c>
      <c r="Y33" s="9" t="n">
        <f aca="false">IF(J33&gt;H33*I33,1,0)</f>
        <v>0</v>
      </c>
      <c r="Z33" s="9" t="n">
        <f aca="false">IF(AND(N33&lt;&gt;"",OR(N33&lt;1,N33&gt;5)),1,0)</f>
        <v>0</v>
      </c>
      <c r="AA33" s="9" t="n">
        <f aca="false">IF(AND(M33&lt;&gt;"",OR(M33&lt;5,M33&gt;180)),1,0)</f>
        <v>0</v>
      </c>
      <c r="AB33" s="7" t="str">
        <f aca="false">IF(P33="DUP","Exact duplicate row",IF(T33=1,"Missing Order ID",IF(S33="DROP","Duplicate Order ID (less complete row)",IF(U33=1,"Missing Customer ID",IF(V33=1,"Missing Restaurant name",IF(W33=1,"Invalid/outlier quantity",IF(X33=1,"Invalid/outlier unit price",IF(Y33=1,"Discount greater than order value",""))))))))</f>
        <v/>
      </c>
      <c r="AC33" s="7" t="str">
        <f aca="false">IF(AB33="","KEEP","DROP")</f>
        <v>KEEP</v>
      </c>
      <c r="AD33" s="7" t="str">
        <f aca="false">IF(TRIM(F33)="",IFERROR(INDEX(Map_Tables!$I$4:$I$37,MATCH(TRIM(E33),Map_Tables!$G$4:$G$37,0)),""),IFERROR(INDEX(Map_Tables!$B$4:$B$18,MATCH(TRIM(F33),Map_Tables!$A$4:$A$18,0)),"CHECK"))</f>
        <v>Hyderabad</v>
      </c>
      <c r="AE33" s="7" t="str">
        <f aca="false">IF(TRIM(E33)="","",IFERROR(INDEX(Map_Tables!$H$4:$H$37,MATCH(TRIM(E33),Map_Tables!$G$4:$G$37,0)),"CHECK"))</f>
        <v>Andhra Meals Mess</v>
      </c>
      <c r="AF33" s="7" t="str">
        <f aca="false">IF(TRIM(K33)="","Unknown",IFERROR(INDEX(Map_Tables!$E$4:$E$15,MATCH(TRIM(K33),Map_Tables!$D$4:$D$15,0)),"CHECK"))</f>
        <v>UPI</v>
      </c>
      <c r="AG33" s="7" t="str">
        <f aca="false">IF(LEFT(LOWER(TRIM(L33)),6)="cancel","Cancelled","Delivered")</f>
        <v>Delivered</v>
      </c>
      <c r="AH33" s="10" t="n">
        <f aca="false">IF(ISNUMBER(SEARCH("/",B33)),DATE(VALUE(RIGHT(B33,4)),VALUE(MID(B33,4,2)),VALUE(LEFT(B33,2))),IF(MID(B33,5,1)="-",DATE(VALUE(LEFT(B33,4)),VALUE(MID(B33,6,2)),VALUE(RIGHT(B33,2))),DATE(VALUE(RIGHT(B33,4)),MATCH(MID(B33,4,3),{"Jan","Feb","Mar","Apr","May","Jun","Jul","Aug","Sep","Oct","Nov","Dec"},0),VALUE(LEFT(B33,2)))))</f>
        <v>45963</v>
      </c>
    </row>
    <row r="34" customFormat="false" ht="15" hidden="false" customHeight="false" outlineLevel="0" collapsed="false">
      <c r="A34" s="7" t="s">
        <v>329</v>
      </c>
      <c r="B34" s="7" t="s">
        <v>330</v>
      </c>
      <c r="C34" s="7" t="s">
        <v>331</v>
      </c>
      <c r="D34" s="7" t="s">
        <v>332</v>
      </c>
      <c r="E34" s="7" t="s">
        <v>98</v>
      </c>
      <c r="F34" s="7" t="s">
        <v>86</v>
      </c>
      <c r="G34" s="7" t="s">
        <v>99</v>
      </c>
      <c r="H34" s="7" t="n">
        <v>1</v>
      </c>
      <c r="I34" s="7" t="n">
        <v>270</v>
      </c>
      <c r="J34" s="7" t="n">
        <v>0</v>
      </c>
      <c r="K34" s="7" t="s">
        <v>88</v>
      </c>
      <c r="L34" s="7" t="s">
        <v>194</v>
      </c>
      <c r="M34" s="7" t="n">
        <v>40</v>
      </c>
      <c r="N34" s="7" t="n">
        <v>5</v>
      </c>
      <c r="O34" s="7" t="str">
        <f aca="false">A34&amp;"|"&amp;B34&amp;"|"&amp;C34&amp;"|"&amp;D34&amp;"|"&amp;E34&amp;"|"&amp;F34&amp;"|"&amp;G34&amp;"|"&amp;H34&amp;"|"&amp;I34&amp;"|"&amp;J34&amp;"|"&amp;K34&amp;"|"&amp;L34&amp;"|"&amp;M34&amp;"|"&amp;N34</f>
        <v>ORD12841|2025-12-13|22:04|C1296|Nawabi Biryani House|Bengaluru|Biryani|1|270|0|UPI|Delivered|40|5</v>
      </c>
      <c r="P34" s="7" t="str">
        <f aca="false">IF(COUNTIF($O$2:O34,O34)&gt;1,"DUP","OK")</f>
        <v>OK</v>
      </c>
      <c r="Q34" s="7" t="n">
        <f aca="false">COUNTBLANK(A34:N34)</f>
        <v>0</v>
      </c>
      <c r="R34" s="7" t="n">
        <f aca="false">IF(A34="",0,COUNTIFS($A$2:$A$3058,A34,$P$2:$P$3058,"OK"))</f>
        <v>1</v>
      </c>
      <c r="S34" s="7" t="str">
        <f aca="false">IF(OR(A34="",P34="DUP",R34&lt;2),"",IF(Q34=_xlfn.MINIFS($Q$2:$Q$3058,$A$2:$A$3058,A34,$P$2:$P$3058,"OK"),"KEEP","DROP"))</f>
        <v/>
      </c>
      <c r="T34" s="9" t="n">
        <f aca="false">IF(A34="",1,0)</f>
        <v>0</v>
      </c>
      <c r="U34" s="9" t="n">
        <f aca="false">IF(D34="",1,0)</f>
        <v>0</v>
      </c>
      <c r="V34" s="9" t="n">
        <f aca="false">IF(E34="",1,0)</f>
        <v>0</v>
      </c>
      <c r="W34" s="9" t="n">
        <f aca="false">IF(OR(H34&lt;1,H34&gt;10),1,0)</f>
        <v>0</v>
      </c>
      <c r="X34" s="9" t="n">
        <f aca="false">IF(OR(I34&lt;=0,I34&gt;1500),1,0)</f>
        <v>0</v>
      </c>
      <c r="Y34" s="9" t="n">
        <f aca="false">IF(J34&gt;H34*I34,1,0)</f>
        <v>0</v>
      </c>
      <c r="Z34" s="9" t="n">
        <f aca="false">IF(AND(N34&lt;&gt;"",OR(N34&lt;1,N34&gt;5)),1,0)</f>
        <v>0</v>
      </c>
      <c r="AA34" s="9" t="n">
        <f aca="false">IF(AND(M34&lt;&gt;"",OR(M34&lt;5,M34&gt;180)),1,0)</f>
        <v>0</v>
      </c>
      <c r="AB34" s="7" t="str">
        <f aca="false">IF(P34="DUP","Exact duplicate row",IF(T34=1,"Missing Order ID",IF(S34="DROP","Duplicate Order ID (less complete row)",IF(U34=1,"Missing Customer ID",IF(V34=1,"Missing Restaurant name",IF(W34=1,"Invalid/outlier quantity",IF(X34=1,"Invalid/outlier unit price",IF(Y34=1,"Discount greater than order value",""))))))))</f>
        <v/>
      </c>
      <c r="AC34" s="7" t="str">
        <f aca="false">IF(AB34="","KEEP","DROP")</f>
        <v>KEEP</v>
      </c>
      <c r="AD34" s="7" t="str">
        <f aca="false">IF(TRIM(F34)="",IFERROR(INDEX(Map_Tables!$I$4:$I$37,MATCH(TRIM(E34),Map_Tables!$G$4:$G$37,0)),""),IFERROR(INDEX(Map_Tables!$B$4:$B$18,MATCH(TRIM(F34),Map_Tables!$A$4:$A$18,0)),"CHECK"))</f>
        <v>Bengaluru</v>
      </c>
      <c r="AE34" s="7" t="str">
        <f aca="false">IF(TRIM(E34)="","",IFERROR(INDEX(Map_Tables!$H$4:$H$37,MATCH(TRIM(E34),Map_Tables!$G$4:$G$37,0)),"CHECK"))</f>
        <v>Nawabi Biryani House</v>
      </c>
      <c r="AF34" s="7" t="str">
        <f aca="false">IF(TRIM(K34)="","Unknown",IFERROR(INDEX(Map_Tables!$E$4:$E$15,MATCH(TRIM(K34),Map_Tables!$D$4:$D$15,0)),"CHECK"))</f>
        <v>UPI</v>
      </c>
      <c r="AG34" s="7" t="str">
        <f aca="false">IF(LEFT(LOWER(TRIM(L34)),6)="cancel","Cancelled","Delivered")</f>
        <v>Delivered</v>
      </c>
      <c r="AH34" s="10" t="n">
        <f aca="false">IF(ISNUMBER(SEARCH("/",B34)),DATE(VALUE(RIGHT(B34,4)),VALUE(MID(B34,4,2)),VALUE(LEFT(B34,2))),IF(MID(B34,5,1)="-",DATE(VALUE(LEFT(B34,4)),VALUE(MID(B34,6,2)),VALUE(RIGHT(B34,2))),DATE(VALUE(RIGHT(B34,4)),MATCH(MID(B34,4,3),{"Jan","Feb","Mar","Apr","May","Jun","Jul","Aug","Sep","Oct","Nov","Dec"},0),VALUE(LEFT(B34,2)))))</f>
        <v>46004</v>
      </c>
    </row>
    <row r="35" customFormat="false" ht="15" hidden="false" customHeight="false" outlineLevel="0" collapsed="false">
      <c r="A35" s="7" t="s">
        <v>333</v>
      </c>
      <c r="B35" s="7" t="s">
        <v>334</v>
      </c>
      <c r="C35" s="7" t="s">
        <v>335</v>
      </c>
      <c r="D35" s="7" t="s">
        <v>336</v>
      </c>
      <c r="E35" s="7" t="s">
        <v>152</v>
      </c>
      <c r="F35" s="7" t="s">
        <v>128</v>
      </c>
      <c r="G35" s="7" t="s">
        <v>95</v>
      </c>
      <c r="H35" s="7" t="n">
        <v>2</v>
      </c>
      <c r="I35" s="7" t="n">
        <v>85</v>
      </c>
      <c r="J35" s="7" t="n">
        <v>68</v>
      </c>
      <c r="K35" s="7" t="s">
        <v>88</v>
      </c>
      <c r="L35" s="7" t="s">
        <v>194</v>
      </c>
      <c r="M35" s="7" t="n">
        <v>44</v>
      </c>
      <c r="N35" s="7" t="n">
        <v>3</v>
      </c>
      <c r="O35" s="7" t="str">
        <f aca="false">A35&amp;"|"&amp;B35&amp;"|"&amp;C35&amp;"|"&amp;D35&amp;"|"&amp;E35&amp;"|"&amp;F35&amp;"|"&amp;G35&amp;"|"&amp;H35&amp;"|"&amp;I35&amp;"|"&amp;J35&amp;"|"&amp;K35&amp;"|"&amp;L35&amp;"|"&amp;M35&amp;"|"&amp;N35</f>
        <v>ORD10297|2025-02-09|20:16|C1223|Filter Coffee &amp; Tiffin|Chennai|South Indian|2|85|68|UPI|Delivered|44|3</v>
      </c>
      <c r="P35" s="7" t="str">
        <f aca="false">IF(COUNTIF($O$2:O35,O35)&gt;1,"DUP","OK")</f>
        <v>OK</v>
      </c>
      <c r="Q35" s="7" t="n">
        <f aca="false">COUNTBLANK(A35:N35)</f>
        <v>0</v>
      </c>
      <c r="R35" s="7" t="n">
        <f aca="false">IF(A35="",0,COUNTIFS($A$2:$A$3058,A35,$P$2:$P$3058,"OK"))</f>
        <v>1</v>
      </c>
      <c r="S35" s="7" t="str">
        <f aca="false">IF(OR(A35="",P35="DUP",R35&lt;2),"",IF(Q35=_xlfn.MINIFS($Q$2:$Q$3058,$A$2:$A$3058,A35,$P$2:$P$3058,"OK"),"KEEP","DROP"))</f>
        <v/>
      </c>
      <c r="T35" s="9" t="n">
        <f aca="false">IF(A35="",1,0)</f>
        <v>0</v>
      </c>
      <c r="U35" s="9" t="n">
        <f aca="false">IF(D35="",1,0)</f>
        <v>0</v>
      </c>
      <c r="V35" s="9" t="n">
        <f aca="false">IF(E35="",1,0)</f>
        <v>0</v>
      </c>
      <c r="W35" s="9" t="n">
        <f aca="false">IF(OR(H35&lt;1,H35&gt;10),1,0)</f>
        <v>0</v>
      </c>
      <c r="X35" s="9" t="n">
        <f aca="false">IF(OR(I35&lt;=0,I35&gt;1500),1,0)</f>
        <v>0</v>
      </c>
      <c r="Y35" s="9" t="n">
        <f aca="false">IF(J35&gt;H35*I35,1,0)</f>
        <v>0</v>
      </c>
      <c r="Z35" s="9" t="n">
        <f aca="false">IF(AND(N35&lt;&gt;"",OR(N35&lt;1,N35&gt;5)),1,0)</f>
        <v>0</v>
      </c>
      <c r="AA35" s="9" t="n">
        <f aca="false">IF(AND(M35&lt;&gt;"",OR(M35&lt;5,M35&gt;180)),1,0)</f>
        <v>0</v>
      </c>
      <c r="AB35" s="7" t="str">
        <f aca="false">IF(P35="DUP","Exact duplicate row",IF(T35=1,"Missing Order ID",IF(S35="DROP","Duplicate Order ID (less complete row)",IF(U35=1,"Missing Customer ID",IF(V35=1,"Missing Restaurant name",IF(W35=1,"Invalid/outlier quantity",IF(X35=1,"Invalid/outlier unit price",IF(Y35=1,"Discount greater than order value",""))))))))</f>
        <v/>
      </c>
      <c r="AC35" s="7" t="str">
        <f aca="false">IF(AB35="","KEEP","DROP")</f>
        <v>KEEP</v>
      </c>
      <c r="AD35" s="7" t="str">
        <f aca="false">IF(TRIM(F35)="",IFERROR(INDEX(Map_Tables!$I$4:$I$37,MATCH(TRIM(E35),Map_Tables!$G$4:$G$37,0)),""),IFERROR(INDEX(Map_Tables!$B$4:$B$18,MATCH(TRIM(F35),Map_Tables!$A$4:$A$18,0)),"CHECK"))</f>
        <v>Chennai</v>
      </c>
      <c r="AE35" s="7" t="str">
        <f aca="false">IF(TRIM(E35)="","",IFERROR(INDEX(Map_Tables!$H$4:$H$37,MATCH(TRIM(E35),Map_Tables!$G$4:$G$37,0)),"CHECK"))</f>
        <v>Filter Coffee &amp; Tiffin</v>
      </c>
      <c r="AF35" s="7" t="str">
        <f aca="false">IF(TRIM(K35)="","Unknown",IFERROR(INDEX(Map_Tables!$E$4:$E$15,MATCH(TRIM(K35),Map_Tables!$D$4:$D$15,0)),"CHECK"))</f>
        <v>UPI</v>
      </c>
      <c r="AG35" s="7" t="str">
        <f aca="false">IF(LEFT(LOWER(TRIM(L35)),6)="cancel","Cancelled","Delivered")</f>
        <v>Delivered</v>
      </c>
      <c r="AH35" s="10" t="n">
        <f aca="false">IF(ISNUMBER(SEARCH("/",B35)),DATE(VALUE(RIGHT(B35,4)),VALUE(MID(B35,4,2)),VALUE(LEFT(B35,2))),IF(MID(B35,5,1)="-",DATE(VALUE(LEFT(B35,4)),VALUE(MID(B35,6,2)),VALUE(RIGHT(B35,2))),DATE(VALUE(RIGHT(B35,4)),MATCH(MID(B35,4,3),{"Jan","Feb","Mar","Apr","May","Jun","Jul","Aug","Sep","Oct","Nov","Dec"},0),VALUE(LEFT(B35,2)))))</f>
        <v>45697</v>
      </c>
    </row>
    <row r="36" customFormat="false" ht="15" hidden="false" customHeight="false" outlineLevel="0" collapsed="false">
      <c r="A36" s="7" t="s">
        <v>337</v>
      </c>
      <c r="B36" s="7" t="s">
        <v>240</v>
      </c>
      <c r="C36" s="7" t="s">
        <v>338</v>
      </c>
      <c r="D36" s="7" t="s">
        <v>339</v>
      </c>
      <c r="E36" s="7" t="s">
        <v>89</v>
      </c>
      <c r="F36" s="7" t="s">
        <v>86</v>
      </c>
      <c r="G36" s="7" t="s">
        <v>90</v>
      </c>
      <c r="H36" s="7" t="n">
        <v>2</v>
      </c>
      <c r="I36" s="7" t="n">
        <v>240</v>
      </c>
      <c r="J36" s="7" t="n">
        <v>75</v>
      </c>
      <c r="K36" s="7" t="s">
        <v>121</v>
      </c>
      <c r="L36" s="7" t="s">
        <v>194</v>
      </c>
      <c r="M36" s="7" t="n">
        <v>30</v>
      </c>
      <c r="N36" s="7"/>
      <c r="O36" s="7" t="str">
        <f aca="false">A36&amp;"|"&amp;B36&amp;"|"&amp;C36&amp;"|"&amp;D36&amp;"|"&amp;E36&amp;"|"&amp;F36&amp;"|"&amp;G36&amp;"|"&amp;H36&amp;"|"&amp;I36&amp;"|"&amp;J36&amp;"|"&amp;K36&amp;"|"&amp;L36&amp;"|"&amp;M36&amp;"|"&amp;N36</f>
        <v>ORD12146|2025-10-02|09:42|C0245|Spice Junction|Bengaluru|North Indian|2|240|75|Wallet|Delivered|30|</v>
      </c>
      <c r="P36" s="7" t="str">
        <f aca="false">IF(COUNTIF($O$2:O36,O36)&gt;1,"DUP","OK")</f>
        <v>OK</v>
      </c>
      <c r="Q36" s="7" t="n">
        <f aca="false">COUNTBLANK(A36:N36)</f>
        <v>1</v>
      </c>
      <c r="R36" s="7" t="n">
        <f aca="false">IF(A36="",0,COUNTIFS($A$2:$A$3058,A36,$P$2:$P$3058,"OK"))</f>
        <v>1</v>
      </c>
      <c r="S36" s="7" t="str">
        <f aca="false">IF(OR(A36="",P36="DUP",R36&lt;2),"",IF(Q36=_xlfn.MINIFS($Q$2:$Q$3058,$A$2:$A$3058,A36,$P$2:$P$3058,"OK"),"KEEP","DROP"))</f>
        <v/>
      </c>
      <c r="T36" s="9" t="n">
        <f aca="false">IF(A36="",1,0)</f>
        <v>0</v>
      </c>
      <c r="U36" s="9" t="n">
        <f aca="false">IF(D36="",1,0)</f>
        <v>0</v>
      </c>
      <c r="V36" s="9" t="n">
        <f aca="false">IF(E36="",1,0)</f>
        <v>0</v>
      </c>
      <c r="W36" s="9" t="n">
        <f aca="false">IF(OR(H36&lt;1,H36&gt;10),1,0)</f>
        <v>0</v>
      </c>
      <c r="X36" s="9" t="n">
        <f aca="false">IF(OR(I36&lt;=0,I36&gt;1500),1,0)</f>
        <v>0</v>
      </c>
      <c r="Y36" s="9" t="n">
        <f aca="false">IF(J36&gt;H36*I36,1,0)</f>
        <v>0</v>
      </c>
      <c r="Z36" s="9" t="n">
        <f aca="false">IF(AND(N36&lt;&gt;"",OR(N36&lt;1,N36&gt;5)),1,0)</f>
        <v>0</v>
      </c>
      <c r="AA36" s="9" t="n">
        <f aca="false">IF(AND(M36&lt;&gt;"",OR(M36&lt;5,M36&gt;180)),1,0)</f>
        <v>0</v>
      </c>
      <c r="AB36" s="7" t="str">
        <f aca="false">IF(P36="DUP","Exact duplicate row",IF(T36=1,"Missing Order ID",IF(S36="DROP","Duplicate Order ID (less complete row)",IF(U36=1,"Missing Customer ID",IF(V36=1,"Missing Restaurant name",IF(W36=1,"Invalid/outlier quantity",IF(X36=1,"Invalid/outlier unit price",IF(Y36=1,"Discount greater than order value",""))))))))</f>
        <v/>
      </c>
      <c r="AC36" s="7" t="str">
        <f aca="false">IF(AB36="","KEEP","DROP")</f>
        <v>KEEP</v>
      </c>
      <c r="AD36" s="7" t="str">
        <f aca="false">IF(TRIM(F36)="",IFERROR(INDEX(Map_Tables!$I$4:$I$37,MATCH(TRIM(E36),Map_Tables!$G$4:$G$37,0)),""),IFERROR(INDEX(Map_Tables!$B$4:$B$18,MATCH(TRIM(F36),Map_Tables!$A$4:$A$18,0)),"CHECK"))</f>
        <v>Bengaluru</v>
      </c>
      <c r="AE36" s="7" t="str">
        <f aca="false">IF(TRIM(E36)="","",IFERROR(INDEX(Map_Tables!$H$4:$H$37,MATCH(TRIM(E36),Map_Tables!$G$4:$G$37,0)),"CHECK"))</f>
        <v>Spice Junction</v>
      </c>
      <c r="AF36" s="7" t="str">
        <f aca="false">IF(TRIM(K36)="","Unknown",IFERROR(INDEX(Map_Tables!$E$4:$E$15,MATCH(TRIM(K36),Map_Tables!$D$4:$D$15,0)),"CHECK"))</f>
        <v>Wallet</v>
      </c>
      <c r="AG36" s="7" t="str">
        <f aca="false">IF(LEFT(LOWER(TRIM(L36)),6)="cancel","Cancelled","Delivered")</f>
        <v>Delivered</v>
      </c>
      <c r="AH36" s="10" t="n">
        <f aca="false">IF(ISNUMBER(SEARCH("/",B36)),DATE(VALUE(RIGHT(B36,4)),VALUE(MID(B36,4,2)),VALUE(LEFT(B36,2))),IF(MID(B36,5,1)="-",DATE(VALUE(LEFT(B36,4)),VALUE(MID(B36,6,2)),VALUE(RIGHT(B36,2))),DATE(VALUE(RIGHT(B36,4)),MATCH(MID(B36,4,3),{"Jan","Feb","Mar","Apr","May","Jun","Jul","Aug","Sep","Oct","Nov","Dec"},0),VALUE(LEFT(B36,2)))))</f>
        <v>45932</v>
      </c>
    </row>
    <row r="37" customFormat="false" ht="15" hidden="false" customHeight="false" outlineLevel="0" collapsed="false">
      <c r="A37" s="7" t="s">
        <v>340</v>
      </c>
      <c r="B37" s="7" t="s">
        <v>341</v>
      </c>
      <c r="C37" s="7" t="s">
        <v>342</v>
      </c>
      <c r="D37" s="7" t="s">
        <v>343</v>
      </c>
      <c r="E37" s="7" t="s">
        <v>134</v>
      </c>
      <c r="F37" s="7" t="s">
        <v>110</v>
      </c>
      <c r="G37" s="7" t="s">
        <v>117</v>
      </c>
      <c r="H37" s="7" t="n">
        <v>2</v>
      </c>
      <c r="I37" s="7" t="n">
        <v>110</v>
      </c>
      <c r="J37" s="7" t="n">
        <v>50</v>
      </c>
      <c r="K37" s="7" t="s">
        <v>112</v>
      </c>
      <c r="L37" s="7" t="s">
        <v>194</v>
      </c>
      <c r="M37" s="7" t="n">
        <v>42</v>
      </c>
      <c r="N37" s="7" t="n">
        <v>5</v>
      </c>
      <c r="O37" s="7" t="str">
        <f aca="false">A37&amp;"|"&amp;B37&amp;"|"&amp;C37&amp;"|"&amp;D37&amp;"|"&amp;E37&amp;"|"&amp;F37&amp;"|"&amp;G37&amp;"|"&amp;H37&amp;"|"&amp;I37&amp;"|"&amp;J37&amp;"|"&amp;K37&amp;"|"&amp;L37&amp;"|"&amp;M37&amp;"|"&amp;N37</f>
        <v>ORD10319|2025-02-12|09:57|C0999|Chaat Corner|Delhi|Street Food|2|110|50|Cash on Delivery|Delivered|42|5</v>
      </c>
      <c r="P37" s="7" t="str">
        <f aca="false">IF(COUNTIF($O$2:O37,O37)&gt;1,"DUP","OK")</f>
        <v>OK</v>
      </c>
      <c r="Q37" s="7" t="n">
        <f aca="false">COUNTBLANK(A37:N37)</f>
        <v>0</v>
      </c>
      <c r="R37" s="7" t="n">
        <f aca="false">IF(A37="",0,COUNTIFS($A$2:$A$3058,A37,$P$2:$P$3058,"OK"))</f>
        <v>1</v>
      </c>
      <c r="S37" s="7" t="str">
        <f aca="false">IF(OR(A37="",P37="DUP",R37&lt;2),"",IF(Q37=_xlfn.MINIFS($Q$2:$Q$3058,$A$2:$A$3058,A37,$P$2:$P$3058,"OK"),"KEEP","DROP"))</f>
        <v/>
      </c>
      <c r="T37" s="9" t="n">
        <f aca="false">IF(A37="",1,0)</f>
        <v>0</v>
      </c>
      <c r="U37" s="9" t="n">
        <f aca="false">IF(D37="",1,0)</f>
        <v>0</v>
      </c>
      <c r="V37" s="9" t="n">
        <f aca="false">IF(E37="",1,0)</f>
        <v>0</v>
      </c>
      <c r="W37" s="9" t="n">
        <f aca="false">IF(OR(H37&lt;1,H37&gt;10),1,0)</f>
        <v>0</v>
      </c>
      <c r="X37" s="9" t="n">
        <f aca="false">IF(OR(I37&lt;=0,I37&gt;1500),1,0)</f>
        <v>0</v>
      </c>
      <c r="Y37" s="9" t="n">
        <f aca="false">IF(J37&gt;H37*I37,1,0)</f>
        <v>0</v>
      </c>
      <c r="Z37" s="9" t="n">
        <f aca="false">IF(AND(N37&lt;&gt;"",OR(N37&lt;1,N37&gt;5)),1,0)</f>
        <v>0</v>
      </c>
      <c r="AA37" s="9" t="n">
        <f aca="false">IF(AND(M37&lt;&gt;"",OR(M37&lt;5,M37&gt;180)),1,0)</f>
        <v>0</v>
      </c>
      <c r="AB37" s="7" t="str">
        <f aca="false">IF(P37="DUP","Exact duplicate row",IF(T37=1,"Missing Order ID",IF(S37="DROP","Duplicate Order ID (less complete row)",IF(U37=1,"Missing Customer ID",IF(V37=1,"Missing Restaurant name",IF(W37=1,"Invalid/outlier quantity",IF(X37=1,"Invalid/outlier unit price",IF(Y37=1,"Discount greater than order value",""))))))))</f>
        <v/>
      </c>
      <c r="AC37" s="7" t="str">
        <f aca="false">IF(AB37="","KEEP","DROP")</f>
        <v>KEEP</v>
      </c>
      <c r="AD37" s="7" t="str">
        <f aca="false">IF(TRIM(F37)="",IFERROR(INDEX(Map_Tables!$I$4:$I$37,MATCH(TRIM(E37),Map_Tables!$G$4:$G$37,0)),""),IFERROR(INDEX(Map_Tables!$B$4:$B$18,MATCH(TRIM(F37),Map_Tables!$A$4:$A$18,0)),"CHECK"))</f>
        <v>Delhi</v>
      </c>
      <c r="AE37" s="7" t="str">
        <f aca="false">IF(TRIM(E37)="","",IFERROR(INDEX(Map_Tables!$H$4:$H$37,MATCH(TRIM(E37),Map_Tables!$G$4:$G$37,0)),"CHECK"))</f>
        <v>Chaat Corner</v>
      </c>
      <c r="AF37" s="7" t="str">
        <f aca="false">IF(TRIM(K37)="","Unknown",IFERROR(INDEX(Map_Tables!$E$4:$E$15,MATCH(TRIM(K37),Map_Tables!$D$4:$D$15,0)),"CHECK"))</f>
        <v>Cash on Delivery</v>
      </c>
      <c r="AG37" s="7" t="str">
        <f aca="false">IF(LEFT(LOWER(TRIM(L37)),6)="cancel","Cancelled","Delivered")</f>
        <v>Delivered</v>
      </c>
      <c r="AH37" s="10" t="n">
        <f aca="false">IF(ISNUMBER(SEARCH("/",B37)),DATE(VALUE(RIGHT(B37,4)),VALUE(MID(B37,4,2)),VALUE(LEFT(B37,2))),IF(MID(B37,5,1)="-",DATE(VALUE(LEFT(B37,4)),VALUE(MID(B37,6,2)),VALUE(RIGHT(B37,2))),DATE(VALUE(RIGHT(B37,4)),MATCH(MID(B37,4,3),{"Jan","Feb","Mar","Apr","May","Jun","Jul","Aug","Sep","Oct","Nov","Dec"},0),VALUE(LEFT(B37,2)))))</f>
        <v>45700</v>
      </c>
    </row>
    <row r="38" customFormat="false" ht="15" hidden="false" customHeight="false" outlineLevel="0" collapsed="false">
      <c r="A38" s="7" t="s">
        <v>344</v>
      </c>
      <c r="B38" s="7" t="s">
        <v>345</v>
      </c>
      <c r="C38" s="7" t="s">
        <v>346</v>
      </c>
      <c r="D38" s="7" t="s">
        <v>347</v>
      </c>
      <c r="E38" s="7" t="s">
        <v>348</v>
      </c>
      <c r="F38" s="7" t="s">
        <v>136</v>
      </c>
      <c r="G38" s="7" t="s">
        <v>150</v>
      </c>
      <c r="H38" s="7" t="n">
        <v>1</v>
      </c>
      <c r="I38" s="7" t="n">
        <v>180</v>
      </c>
      <c r="J38" s="7" t="n">
        <v>72</v>
      </c>
      <c r="K38" s="7" t="s">
        <v>103</v>
      </c>
      <c r="L38" s="7" t="s">
        <v>194</v>
      </c>
      <c r="M38" s="7" t="n">
        <v>36</v>
      </c>
      <c r="N38" s="7" t="n">
        <v>4</v>
      </c>
      <c r="O38" s="7" t="str">
        <f aca="false">A38&amp;"|"&amp;B38&amp;"|"&amp;C38&amp;"|"&amp;D38&amp;"|"&amp;E38&amp;"|"&amp;F38&amp;"|"&amp;G38&amp;"|"&amp;H38&amp;"|"&amp;I38&amp;"|"&amp;J38&amp;"|"&amp;K38&amp;"|"&amp;L38&amp;"|"&amp;M38&amp;"|"&amp;N38</f>
        <v>ORD10890|2025-04-22|19:18|C1497|CAKE WALK|Pune|Desserts|1|180|72|Debit Card|Delivered|36|4</v>
      </c>
      <c r="P38" s="7" t="str">
        <f aca="false">IF(COUNTIF($O$2:O38,O38)&gt;1,"DUP","OK")</f>
        <v>OK</v>
      </c>
      <c r="Q38" s="7" t="n">
        <f aca="false">COUNTBLANK(A38:N38)</f>
        <v>0</v>
      </c>
      <c r="R38" s="7" t="n">
        <f aca="false">IF(A38="",0,COUNTIFS($A$2:$A$3058,A38,$P$2:$P$3058,"OK"))</f>
        <v>1</v>
      </c>
      <c r="S38" s="7" t="str">
        <f aca="false">IF(OR(A38="",P38="DUP",R38&lt;2),"",IF(Q38=_xlfn.MINIFS($Q$2:$Q$3058,$A$2:$A$3058,A38,$P$2:$P$3058,"OK"),"KEEP","DROP"))</f>
        <v/>
      </c>
      <c r="T38" s="9" t="n">
        <f aca="false">IF(A38="",1,0)</f>
        <v>0</v>
      </c>
      <c r="U38" s="9" t="n">
        <f aca="false">IF(D38="",1,0)</f>
        <v>0</v>
      </c>
      <c r="V38" s="9" t="n">
        <f aca="false">IF(E38="",1,0)</f>
        <v>0</v>
      </c>
      <c r="W38" s="9" t="n">
        <f aca="false">IF(OR(H38&lt;1,H38&gt;10),1,0)</f>
        <v>0</v>
      </c>
      <c r="X38" s="9" t="n">
        <f aca="false">IF(OR(I38&lt;=0,I38&gt;1500),1,0)</f>
        <v>0</v>
      </c>
      <c r="Y38" s="9" t="n">
        <f aca="false">IF(J38&gt;H38*I38,1,0)</f>
        <v>0</v>
      </c>
      <c r="Z38" s="9" t="n">
        <f aca="false">IF(AND(N38&lt;&gt;"",OR(N38&lt;1,N38&gt;5)),1,0)</f>
        <v>0</v>
      </c>
      <c r="AA38" s="9" t="n">
        <f aca="false">IF(AND(M38&lt;&gt;"",OR(M38&lt;5,M38&gt;180)),1,0)</f>
        <v>0</v>
      </c>
      <c r="AB38" s="7" t="str">
        <f aca="false">IF(P38="DUP","Exact duplicate row",IF(T38=1,"Missing Order ID",IF(S38="DROP","Duplicate Order ID (less complete row)",IF(U38=1,"Missing Customer ID",IF(V38=1,"Missing Restaurant name",IF(W38=1,"Invalid/outlier quantity",IF(X38=1,"Invalid/outlier unit price",IF(Y38=1,"Discount greater than order value",""))))))))</f>
        <v/>
      </c>
      <c r="AC38" s="7" t="str">
        <f aca="false">IF(AB38="","KEEP","DROP")</f>
        <v>KEEP</v>
      </c>
      <c r="AD38" s="7" t="str">
        <f aca="false">IF(TRIM(F38)="",IFERROR(INDEX(Map_Tables!$I$4:$I$37,MATCH(TRIM(E38),Map_Tables!$G$4:$G$37,0)),""),IFERROR(INDEX(Map_Tables!$B$4:$B$18,MATCH(TRIM(F38),Map_Tables!$A$4:$A$18,0)),"CHECK"))</f>
        <v>Pune</v>
      </c>
      <c r="AE38" s="7" t="str">
        <f aca="false">IF(TRIM(E38)="","",IFERROR(INDEX(Map_Tables!$H$4:$H$37,MATCH(TRIM(E38),Map_Tables!$G$4:$G$37,0)),"CHECK"))</f>
        <v>Cake Walk</v>
      </c>
      <c r="AF38" s="7" t="str">
        <f aca="false">IF(TRIM(K38)="","Unknown",IFERROR(INDEX(Map_Tables!$E$4:$E$15,MATCH(TRIM(K38),Map_Tables!$D$4:$D$15,0)),"CHECK"))</f>
        <v>Debit Card</v>
      </c>
      <c r="AG38" s="7" t="str">
        <f aca="false">IF(LEFT(LOWER(TRIM(L38)),6)="cancel","Cancelled","Delivered")</f>
        <v>Delivered</v>
      </c>
      <c r="AH38" s="10" t="n">
        <f aca="false">IF(ISNUMBER(SEARCH("/",B38)),DATE(VALUE(RIGHT(B38,4)),VALUE(MID(B38,4,2)),VALUE(LEFT(B38,2))),IF(MID(B38,5,1)="-",DATE(VALUE(LEFT(B38,4)),VALUE(MID(B38,6,2)),VALUE(RIGHT(B38,2))),DATE(VALUE(RIGHT(B38,4)),MATCH(MID(B38,4,3),{"Jan","Feb","Mar","Apr","May","Jun","Jul","Aug","Sep","Oct","Nov","Dec"},0),VALUE(LEFT(B38,2)))))</f>
        <v>45769</v>
      </c>
    </row>
    <row r="39" customFormat="false" ht="15" hidden="false" customHeight="false" outlineLevel="0" collapsed="false">
      <c r="A39" s="7" t="s">
        <v>349</v>
      </c>
      <c r="B39" s="7" t="s">
        <v>350</v>
      </c>
      <c r="C39" s="7" t="s">
        <v>351</v>
      </c>
      <c r="D39" s="7" t="s">
        <v>352</v>
      </c>
      <c r="E39" s="7" t="s">
        <v>353</v>
      </c>
      <c r="F39" s="7" t="s">
        <v>86</v>
      </c>
      <c r="G39" s="7" t="s">
        <v>95</v>
      </c>
      <c r="H39" s="7" t="n">
        <v>1</v>
      </c>
      <c r="I39" s="7" t="n">
        <v>105</v>
      </c>
      <c r="J39" s="7" t="n">
        <v>0</v>
      </c>
      <c r="K39" s="7" t="s">
        <v>88</v>
      </c>
      <c r="L39" s="7" t="s">
        <v>194</v>
      </c>
      <c r="M39" s="7" t="n">
        <v>36</v>
      </c>
      <c r="N39" s="7" t="n">
        <v>3</v>
      </c>
      <c r="O39" s="7" t="str">
        <f aca="false">A39&amp;"|"&amp;B39&amp;"|"&amp;C39&amp;"|"&amp;D39&amp;"|"&amp;E39&amp;"|"&amp;F39&amp;"|"&amp;G39&amp;"|"&amp;H39&amp;"|"&amp;I39&amp;"|"&amp;J39&amp;"|"&amp;K39&amp;"|"&amp;L39&amp;"|"&amp;M39&amp;"|"&amp;N39</f>
        <v>ORD10700|2025-03-29|18:14|C1259|Dosa Darbar |Bengaluru|South Indian|1|105|0|UPI|Delivered|36|3</v>
      </c>
      <c r="P39" s="7" t="str">
        <f aca="false">IF(COUNTIF($O$2:O39,O39)&gt;1,"DUP","OK")</f>
        <v>OK</v>
      </c>
      <c r="Q39" s="7" t="n">
        <f aca="false">COUNTBLANK(A39:N39)</f>
        <v>0</v>
      </c>
      <c r="R39" s="7" t="n">
        <f aca="false">IF(A39="",0,COUNTIFS($A$2:$A$3058,A39,$P$2:$P$3058,"OK"))</f>
        <v>1</v>
      </c>
      <c r="S39" s="7" t="str">
        <f aca="false">IF(OR(A39="",P39="DUP",R39&lt;2),"",IF(Q39=_xlfn.MINIFS($Q$2:$Q$3058,$A$2:$A$3058,A39,$P$2:$P$3058,"OK"),"KEEP","DROP"))</f>
        <v/>
      </c>
      <c r="T39" s="9" t="n">
        <f aca="false">IF(A39="",1,0)</f>
        <v>0</v>
      </c>
      <c r="U39" s="9" t="n">
        <f aca="false">IF(D39="",1,0)</f>
        <v>0</v>
      </c>
      <c r="V39" s="9" t="n">
        <f aca="false">IF(E39="",1,0)</f>
        <v>0</v>
      </c>
      <c r="W39" s="9" t="n">
        <f aca="false">IF(OR(H39&lt;1,H39&gt;10),1,0)</f>
        <v>0</v>
      </c>
      <c r="X39" s="9" t="n">
        <f aca="false">IF(OR(I39&lt;=0,I39&gt;1500),1,0)</f>
        <v>0</v>
      </c>
      <c r="Y39" s="9" t="n">
        <f aca="false">IF(J39&gt;H39*I39,1,0)</f>
        <v>0</v>
      </c>
      <c r="Z39" s="9" t="n">
        <f aca="false">IF(AND(N39&lt;&gt;"",OR(N39&lt;1,N39&gt;5)),1,0)</f>
        <v>0</v>
      </c>
      <c r="AA39" s="9" t="n">
        <f aca="false">IF(AND(M39&lt;&gt;"",OR(M39&lt;5,M39&gt;180)),1,0)</f>
        <v>0</v>
      </c>
      <c r="AB39" s="7" t="str">
        <f aca="false">IF(P39="DUP","Exact duplicate row",IF(T39=1,"Missing Order ID",IF(S39="DROP","Duplicate Order ID (less complete row)",IF(U39=1,"Missing Customer ID",IF(V39=1,"Missing Restaurant name",IF(W39=1,"Invalid/outlier quantity",IF(X39=1,"Invalid/outlier unit price",IF(Y39=1,"Discount greater than order value",""))))))))</f>
        <v/>
      </c>
      <c r="AC39" s="7" t="str">
        <f aca="false">IF(AB39="","KEEP","DROP")</f>
        <v>KEEP</v>
      </c>
      <c r="AD39" s="7" t="str">
        <f aca="false">IF(TRIM(F39)="",IFERROR(INDEX(Map_Tables!$I$4:$I$37,MATCH(TRIM(E39),Map_Tables!$G$4:$G$37,0)),""),IFERROR(INDEX(Map_Tables!$B$4:$B$18,MATCH(TRIM(F39),Map_Tables!$A$4:$A$18,0)),"CHECK"))</f>
        <v>Bengaluru</v>
      </c>
      <c r="AE39" s="7" t="str">
        <f aca="false">IF(TRIM(E39)="","",IFERROR(INDEX(Map_Tables!$H$4:$H$37,MATCH(TRIM(E39),Map_Tables!$G$4:$G$37,0)),"CHECK"))</f>
        <v>Dosa Darbar</v>
      </c>
      <c r="AF39" s="7" t="str">
        <f aca="false">IF(TRIM(K39)="","Unknown",IFERROR(INDEX(Map_Tables!$E$4:$E$15,MATCH(TRIM(K39),Map_Tables!$D$4:$D$15,0)),"CHECK"))</f>
        <v>UPI</v>
      </c>
      <c r="AG39" s="7" t="str">
        <f aca="false">IF(LEFT(LOWER(TRIM(L39)),6)="cancel","Cancelled","Delivered")</f>
        <v>Delivered</v>
      </c>
      <c r="AH39" s="10" t="n">
        <f aca="false">IF(ISNUMBER(SEARCH("/",B39)),DATE(VALUE(RIGHT(B39,4)),VALUE(MID(B39,4,2)),VALUE(LEFT(B39,2))),IF(MID(B39,5,1)="-",DATE(VALUE(LEFT(B39,4)),VALUE(MID(B39,6,2)),VALUE(RIGHT(B39,2))),DATE(VALUE(RIGHT(B39,4)),MATCH(MID(B39,4,3),{"Jan","Feb","Mar","Apr","May","Jun","Jul","Aug","Sep","Oct","Nov","Dec"},0),VALUE(LEFT(B39,2)))))</f>
        <v>45745</v>
      </c>
    </row>
    <row r="40" customFormat="false" ht="15" hidden="false" customHeight="false" outlineLevel="0" collapsed="false">
      <c r="A40" s="7" t="s">
        <v>354</v>
      </c>
      <c r="B40" s="7" t="s">
        <v>355</v>
      </c>
      <c r="C40" s="7" t="s">
        <v>356</v>
      </c>
      <c r="D40" s="7" t="s">
        <v>357</v>
      </c>
      <c r="E40" s="7" t="s">
        <v>358</v>
      </c>
      <c r="F40" s="7" t="s">
        <v>136</v>
      </c>
      <c r="G40" s="7" t="s">
        <v>90</v>
      </c>
      <c r="H40" s="7" t="n">
        <v>2</v>
      </c>
      <c r="I40" s="7" t="n">
        <v>205</v>
      </c>
      <c r="J40" s="7" t="n">
        <v>0</v>
      </c>
      <c r="K40" s="7" t="s">
        <v>103</v>
      </c>
      <c r="L40" s="7" t="s">
        <v>194</v>
      </c>
      <c r="M40" s="7" t="n">
        <v>33</v>
      </c>
      <c r="N40" s="7" t="n">
        <v>5</v>
      </c>
      <c r="O40" s="7" t="str">
        <f aca="false">A40&amp;"|"&amp;B40&amp;"|"&amp;C40&amp;"|"&amp;D40&amp;"|"&amp;E40&amp;"|"&amp;F40&amp;"|"&amp;G40&amp;"|"&amp;H40&amp;"|"&amp;I40&amp;"|"&amp;J40&amp;"|"&amp;K40&amp;"|"&amp;L40&amp;"|"&amp;M40&amp;"|"&amp;N40</f>
        <v>ORD11152|2025-05-27|14:47|C0088|maratha thali house|Pune|North Indian|2|205|0|Debit Card|Delivered|33|5</v>
      </c>
      <c r="P40" s="7" t="str">
        <f aca="false">IF(COUNTIF($O$2:O40,O40)&gt;1,"DUP","OK")</f>
        <v>OK</v>
      </c>
      <c r="Q40" s="7" t="n">
        <f aca="false">COUNTBLANK(A40:N40)</f>
        <v>0</v>
      </c>
      <c r="R40" s="7" t="n">
        <f aca="false">IF(A40="",0,COUNTIFS($A$2:$A$3058,A40,$P$2:$P$3058,"OK"))</f>
        <v>1</v>
      </c>
      <c r="S40" s="7" t="str">
        <f aca="false">IF(OR(A40="",P40="DUP",R40&lt;2),"",IF(Q40=_xlfn.MINIFS($Q$2:$Q$3058,$A$2:$A$3058,A40,$P$2:$P$3058,"OK"),"KEEP","DROP"))</f>
        <v/>
      </c>
      <c r="T40" s="9" t="n">
        <f aca="false">IF(A40="",1,0)</f>
        <v>0</v>
      </c>
      <c r="U40" s="9" t="n">
        <f aca="false">IF(D40="",1,0)</f>
        <v>0</v>
      </c>
      <c r="V40" s="9" t="n">
        <f aca="false">IF(E40="",1,0)</f>
        <v>0</v>
      </c>
      <c r="W40" s="9" t="n">
        <f aca="false">IF(OR(H40&lt;1,H40&gt;10),1,0)</f>
        <v>0</v>
      </c>
      <c r="X40" s="9" t="n">
        <f aca="false">IF(OR(I40&lt;=0,I40&gt;1500),1,0)</f>
        <v>0</v>
      </c>
      <c r="Y40" s="9" t="n">
        <f aca="false">IF(J40&gt;H40*I40,1,0)</f>
        <v>0</v>
      </c>
      <c r="Z40" s="9" t="n">
        <f aca="false">IF(AND(N40&lt;&gt;"",OR(N40&lt;1,N40&gt;5)),1,0)</f>
        <v>0</v>
      </c>
      <c r="AA40" s="9" t="n">
        <f aca="false">IF(AND(M40&lt;&gt;"",OR(M40&lt;5,M40&gt;180)),1,0)</f>
        <v>0</v>
      </c>
      <c r="AB40" s="7" t="str">
        <f aca="false">IF(P40="DUP","Exact duplicate row",IF(T40=1,"Missing Order ID",IF(S40="DROP","Duplicate Order ID (less complete row)",IF(U40=1,"Missing Customer ID",IF(V40=1,"Missing Restaurant name",IF(W40=1,"Invalid/outlier quantity",IF(X40=1,"Invalid/outlier unit price",IF(Y40=1,"Discount greater than order value",""))))))))</f>
        <v/>
      </c>
      <c r="AC40" s="7" t="str">
        <f aca="false">IF(AB40="","KEEP","DROP")</f>
        <v>KEEP</v>
      </c>
      <c r="AD40" s="7" t="str">
        <f aca="false">IF(TRIM(F40)="",IFERROR(INDEX(Map_Tables!$I$4:$I$37,MATCH(TRIM(E40),Map_Tables!$G$4:$G$37,0)),""),IFERROR(INDEX(Map_Tables!$B$4:$B$18,MATCH(TRIM(F40),Map_Tables!$A$4:$A$18,0)),"CHECK"))</f>
        <v>Pune</v>
      </c>
      <c r="AE40" s="7" t="str">
        <f aca="false">IF(TRIM(E40)="","",IFERROR(INDEX(Map_Tables!$H$4:$H$37,MATCH(TRIM(E40),Map_Tables!$G$4:$G$37,0)),"CHECK"))</f>
        <v>Maratha Thali House</v>
      </c>
      <c r="AF40" s="7" t="str">
        <f aca="false">IF(TRIM(K40)="","Unknown",IFERROR(INDEX(Map_Tables!$E$4:$E$15,MATCH(TRIM(K40),Map_Tables!$D$4:$D$15,0)),"CHECK"))</f>
        <v>Debit Card</v>
      </c>
      <c r="AG40" s="7" t="str">
        <f aca="false">IF(LEFT(LOWER(TRIM(L40)),6)="cancel","Cancelled","Delivered")</f>
        <v>Delivered</v>
      </c>
      <c r="AH40" s="10" t="n">
        <f aca="false">IF(ISNUMBER(SEARCH("/",B40)),DATE(VALUE(RIGHT(B40,4)),VALUE(MID(B40,4,2)),VALUE(LEFT(B40,2))),IF(MID(B40,5,1)="-",DATE(VALUE(LEFT(B40,4)),VALUE(MID(B40,6,2)),VALUE(RIGHT(B40,2))),DATE(VALUE(RIGHT(B40,4)),MATCH(MID(B40,4,3),{"Jan","Feb","Mar","Apr","May","Jun","Jul","Aug","Sep","Oct","Nov","Dec"},0),VALUE(LEFT(B40,2)))))</f>
        <v>45804</v>
      </c>
    </row>
    <row r="41" customFormat="false" ht="15" hidden="false" customHeight="false" outlineLevel="0" collapsed="false">
      <c r="A41" s="7" t="s">
        <v>359</v>
      </c>
      <c r="B41" s="7" t="s">
        <v>360</v>
      </c>
      <c r="C41" s="7" t="s">
        <v>361</v>
      </c>
      <c r="D41" s="7" t="s">
        <v>362</v>
      </c>
      <c r="E41" s="7" t="s">
        <v>159</v>
      </c>
      <c r="F41" s="7" t="s">
        <v>136</v>
      </c>
      <c r="G41" s="7" t="s">
        <v>90</v>
      </c>
      <c r="H41" s="7" t="n">
        <v>1</v>
      </c>
      <c r="I41" s="7" t="n">
        <v>215</v>
      </c>
      <c r="J41" s="7" t="n">
        <v>0</v>
      </c>
      <c r="K41" s="7" t="s">
        <v>229</v>
      </c>
      <c r="L41" s="7" t="s">
        <v>194</v>
      </c>
      <c r="M41" s="7" t="n">
        <v>34</v>
      </c>
      <c r="N41" s="7" t="n">
        <v>5</v>
      </c>
      <c r="O41" s="7" t="str">
        <f aca="false">A41&amp;"|"&amp;B41&amp;"|"&amp;C41&amp;"|"&amp;D41&amp;"|"&amp;E41&amp;"|"&amp;F41&amp;"|"&amp;G41&amp;"|"&amp;H41&amp;"|"&amp;I41&amp;"|"&amp;J41&amp;"|"&amp;K41&amp;"|"&amp;L41&amp;"|"&amp;M41&amp;"|"&amp;N41</f>
        <v>ORD10721|2025-04-02|11:08|C0387|Maratha Thali House|Pune|North Indian|1|215|0|Upi|Delivered|34|5</v>
      </c>
      <c r="P41" s="7" t="str">
        <f aca="false">IF(COUNTIF($O$2:O41,O41)&gt;1,"DUP","OK")</f>
        <v>OK</v>
      </c>
      <c r="Q41" s="7" t="n">
        <f aca="false">COUNTBLANK(A41:N41)</f>
        <v>0</v>
      </c>
      <c r="R41" s="7" t="n">
        <f aca="false">IF(A41="",0,COUNTIFS($A$2:$A$3058,A41,$P$2:$P$3058,"OK"))</f>
        <v>1</v>
      </c>
      <c r="S41" s="7" t="str">
        <f aca="false">IF(OR(A41="",P41="DUP",R41&lt;2),"",IF(Q41=_xlfn.MINIFS($Q$2:$Q$3058,$A$2:$A$3058,A41,$P$2:$P$3058,"OK"),"KEEP","DROP"))</f>
        <v/>
      </c>
      <c r="T41" s="9" t="n">
        <f aca="false">IF(A41="",1,0)</f>
        <v>0</v>
      </c>
      <c r="U41" s="9" t="n">
        <f aca="false">IF(D41="",1,0)</f>
        <v>0</v>
      </c>
      <c r="V41" s="9" t="n">
        <f aca="false">IF(E41="",1,0)</f>
        <v>0</v>
      </c>
      <c r="W41" s="9" t="n">
        <f aca="false">IF(OR(H41&lt;1,H41&gt;10),1,0)</f>
        <v>0</v>
      </c>
      <c r="X41" s="9" t="n">
        <f aca="false">IF(OR(I41&lt;=0,I41&gt;1500),1,0)</f>
        <v>0</v>
      </c>
      <c r="Y41" s="9" t="n">
        <f aca="false">IF(J41&gt;H41*I41,1,0)</f>
        <v>0</v>
      </c>
      <c r="Z41" s="9" t="n">
        <f aca="false">IF(AND(N41&lt;&gt;"",OR(N41&lt;1,N41&gt;5)),1,0)</f>
        <v>0</v>
      </c>
      <c r="AA41" s="9" t="n">
        <f aca="false">IF(AND(M41&lt;&gt;"",OR(M41&lt;5,M41&gt;180)),1,0)</f>
        <v>0</v>
      </c>
      <c r="AB41" s="7" t="str">
        <f aca="false">IF(P41="DUP","Exact duplicate row",IF(T41=1,"Missing Order ID",IF(S41="DROP","Duplicate Order ID (less complete row)",IF(U41=1,"Missing Customer ID",IF(V41=1,"Missing Restaurant name",IF(W41=1,"Invalid/outlier quantity",IF(X41=1,"Invalid/outlier unit price",IF(Y41=1,"Discount greater than order value",""))))))))</f>
        <v/>
      </c>
      <c r="AC41" s="7" t="str">
        <f aca="false">IF(AB41="","KEEP","DROP")</f>
        <v>KEEP</v>
      </c>
      <c r="AD41" s="7" t="str">
        <f aca="false">IF(TRIM(F41)="",IFERROR(INDEX(Map_Tables!$I$4:$I$37,MATCH(TRIM(E41),Map_Tables!$G$4:$G$37,0)),""),IFERROR(INDEX(Map_Tables!$B$4:$B$18,MATCH(TRIM(F41),Map_Tables!$A$4:$A$18,0)),"CHECK"))</f>
        <v>Pune</v>
      </c>
      <c r="AE41" s="7" t="str">
        <f aca="false">IF(TRIM(E41)="","",IFERROR(INDEX(Map_Tables!$H$4:$H$37,MATCH(TRIM(E41),Map_Tables!$G$4:$G$37,0)),"CHECK"))</f>
        <v>Maratha Thali House</v>
      </c>
      <c r="AF41" s="7" t="str">
        <f aca="false">IF(TRIM(K41)="","Unknown",IFERROR(INDEX(Map_Tables!$E$4:$E$15,MATCH(TRIM(K41),Map_Tables!$D$4:$D$15,0)),"CHECK"))</f>
        <v>UPI</v>
      </c>
      <c r="AG41" s="7" t="str">
        <f aca="false">IF(LEFT(LOWER(TRIM(L41)),6)="cancel","Cancelled","Delivered")</f>
        <v>Delivered</v>
      </c>
      <c r="AH41" s="10" t="n">
        <f aca="false">IF(ISNUMBER(SEARCH("/",B41)),DATE(VALUE(RIGHT(B41,4)),VALUE(MID(B41,4,2)),VALUE(LEFT(B41,2))),IF(MID(B41,5,1)="-",DATE(VALUE(LEFT(B41,4)),VALUE(MID(B41,6,2)),VALUE(RIGHT(B41,2))),DATE(VALUE(RIGHT(B41,4)),MATCH(MID(B41,4,3),{"Jan","Feb","Mar","Apr","May","Jun","Jul","Aug","Sep","Oct","Nov","Dec"},0),VALUE(LEFT(B41,2)))))</f>
        <v>45749</v>
      </c>
    </row>
    <row r="42" customFormat="false" ht="15" hidden="false" customHeight="false" outlineLevel="0" collapsed="false">
      <c r="A42" s="7" t="s">
        <v>363</v>
      </c>
      <c r="B42" s="7" t="s">
        <v>364</v>
      </c>
      <c r="C42" s="7" t="s">
        <v>365</v>
      </c>
      <c r="D42" s="7" t="s">
        <v>366</v>
      </c>
      <c r="E42" s="7" t="s">
        <v>138</v>
      </c>
      <c r="F42" s="7" t="s">
        <v>110</v>
      </c>
      <c r="G42" s="7" t="s">
        <v>139</v>
      </c>
      <c r="H42" s="7" t="n">
        <v>2</v>
      </c>
      <c r="I42" s="7" t="n">
        <v>240</v>
      </c>
      <c r="J42" s="7" t="n">
        <v>30</v>
      </c>
      <c r="K42" s="7" t="s">
        <v>112</v>
      </c>
      <c r="L42" s="7" t="s">
        <v>194</v>
      </c>
      <c r="M42" s="7" t="n">
        <v>32</v>
      </c>
      <c r="N42" s="7" t="n">
        <v>3</v>
      </c>
      <c r="O42" s="7" t="str">
        <f aca="false">A42&amp;"|"&amp;B42&amp;"|"&amp;C42&amp;"|"&amp;D42&amp;"|"&amp;E42&amp;"|"&amp;F42&amp;"|"&amp;G42&amp;"|"&amp;H42&amp;"|"&amp;I42&amp;"|"&amp;J42&amp;"|"&amp;K42&amp;"|"&amp;L42&amp;"|"&amp;M42&amp;"|"&amp;N42</f>
        <v>ORD11418|2025-07-03|20:55|C0187|Burger Barn|Delhi|Burgers|2|240|30|Cash on Delivery|Delivered|32|3</v>
      </c>
      <c r="P42" s="7" t="str">
        <f aca="false">IF(COUNTIF($O$2:O42,O42)&gt;1,"DUP","OK")</f>
        <v>OK</v>
      </c>
      <c r="Q42" s="7" t="n">
        <f aca="false">COUNTBLANK(A42:N42)</f>
        <v>0</v>
      </c>
      <c r="R42" s="7" t="n">
        <f aca="false">IF(A42="",0,COUNTIFS($A$2:$A$3058,A42,$P$2:$P$3058,"OK"))</f>
        <v>1</v>
      </c>
      <c r="S42" s="7" t="str">
        <f aca="false">IF(OR(A42="",P42="DUP",R42&lt;2),"",IF(Q42=_xlfn.MINIFS($Q$2:$Q$3058,$A$2:$A$3058,A42,$P$2:$P$3058,"OK"),"KEEP","DROP"))</f>
        <v/>
      </c>
      <c r="T42" s="9" t="n">
        <f aca="false">IF(A42="",1,0)</f>
        <v>0</v>
      </c>
      <c r="U42" s="9" t="n">
        <f aca="false">IF(D42="",1,0)</f>
        <v>0</v>
      </c>
      <c r="V42" s="9" t="n">
        <f aca="false">IF(E42="",1,0)</f>
        <v>0</v>
      </c>
      <c r="W42" s="9" t="n">
        <f aca="false">IF(OR(H42&lt;1,H42&gt;10),1,0)</f>
        <v>0</v>
      </c>
      <c r="X42" s="9" t="n">
        <f aca="false">IF(OR(I42&lt;=0,I42&gt;1500),1,0)</f>
        <v>0</v>
      </c>
      <c r="Y42" s="9" t="n">
        <f aca="false">IF(J42&gt;H42*I42,1,0)</f>
        <v>0</v>
      </c>
      <c r="Z42" s="9" t="n">
        <f aca="false">IF(AND(N42&lt;&gt;"",OR(N42&lt;1,N42&gt;5)),1,0)</f>
        <v>0</v>
      </c>
      <c r="AA42" s="9" t="n">
        <f aca="false">IF(AND(M42&lt;&gt;"",OR(M42&lt;5,M42&gt;180)),1,0)</f>
        <v>0</v>
      </c>
      <c r="AB42" s="7" t="str">
        <f aca="false">IF(P42="DUP","Exact duplicate row",IF(T42=1,"Missing Order ID",IF(S42="DROP","Duplicate Order ID (less complete row)",IF(U42=1,"Missing Customer ID",IF(V42=1,"Missing Restaurant name",IF(W42=1,"Invalid/outlier quantity",IF(X42=1,"Invalid/outlier unit price",IF(Y42=1,"Discount greater than order value",""))))))))</f>
        <v/>
      </c>
      <c r="AC42" s="7" t="str">
        <f aca="false">IF(AB42="","KEEP","DROP")</f>
        <v>KEEP</v>
      </c>
      <c r="AD42" s="7" t="str">
        <f aca="false">IF(TRIM(F42)="",IFERROR(INDEX(Map_Tables!$I$4:$I$37,MATCH(TRIM(E42),Map_Tables!$G$4:$G$37,0)),""),IFERROR(INDEX(Map_Tables!$B$4:$B$18,MATCH(TRIM(F42),Map_Tables!$A$4:$A$18,0)),"CHECK"))</f>
        <v>Delhi</v>
      </c>
      <c r="AE42" s="7" t="str">
        <f aca="false">IF(TRIM(E42)="","",IFERROR(INDEX(Map_Tables!$H$4:$H$37,MATCH(TRIM(E42),Map_Tables!$G$4:$G$37,0)),"CHECK"))</f>
        <v>Burger Barn</v>
      </c>
      <c r="AF42" s="7" t="str">
        <f aca="false">IF(TRIM(K42)="","Unknown",IFERROR(INDEX(Map_Tables!$E$4:$E$15,MATCH(TRIM(K42),Map_Tables!$D$4:$D$15,0)),"CHECK"))</f>
        <v>Cash on Delivery</v>
      </c>
      <c r="AG42" s="7" t="str">
        <f aca="false">IF(LEFT(LOWER(TRIM(L42)),6)="cancel","Cancelled","Delivered")</f>
        <v>Delivered</v>
      </c>
      <c r="AH42" s="10" t="n">
        <f aca="false">IF(ISNUMBER(SEARCH("/",B42)),DATE(VALUE(RIGHT(B42,4)),VALUE(MID(B42,4,2)),VALUE(LEFT(B42,2))),IF(MID(B42,5,1)="-",DATE(VALUE(LEFT(B42,4)),VALUE(MID(B42,6,2)),VALUE(RIGHT(B42,2))),DATE(VALUE(RIGHT(B42,4)),MATCH(MID(B42,4,3),{"Jan","Feb","Mar","Apr","May","Jun","Jul","Aug","Sep","Oct","Nov","Dec"},0),VALUE(LEFT(B42,2)))))</f>
        <v>45841</v>
      </c>
    </row>
    <row r="43" customFormat="false" ht="15" hidden="false" customHeight="false" outlineLevel="0" collapsed="false">
      <c r="A43" s="7" t="s">
        <v>367</v>
      </c>
      <c r="B43" s="7" t="s">
        <v>368</v>
      </c>
      <c r="C43" s="7" t="s">
        <v>369</v>
      </c>
      <c r="D43" s="7" t="s">
        <v>370</v>
      </c>
      <c r="E43" s="7" t="s">
        <v>144</v>
      </c>
      <c r="F43" s="7" t="s">
        <v>119</v>
      </c>
      <c r="G43" s="7" t="s">
        <v>99</v>
      </c>
      <c r="H43" s="7" t="n">
        <v>5</v>
      </c>
      <c r="I43" s="7" t="n">
        <v>290</v>
      </c>
      <c r="J43" s="7" t="n">
        <v>0</v>
      </c>
      <c r="K43" s="7" t="s">
        <v>102</v>
      </c>
      <c r="L43" s="7" t="s">
        <v>194</v>
      </c>
      <c r="M43" s="7" t="n">
        <v>46</v>
      </c>
      <c r="N43" s="7" t="n">
        <v>5</v>
      </c>
      <c r="O43" s="7" t="str">
        <f aca="false">A43&amp;"|"&amp;B43&amp;"|"&amp;C43&amp;"|"&amp;D43&amp;"|"&amp;E43&amp;"|"&amp;F43&amp;"|"&amp;G43&amp;"|"&amp;H43&amp;"|"&amp;I43&amp;"|"&amp;J43&amp;"|"&amp;K43&amp;"|"&amp;L43&amp;"|"&amp;M43&amp;"|"&amp;N43</f>
        <v>ORD10181|2025-01-24|19:29|C0092|Hyderabad Dum Biryani|Hyderabad|Biryani|5|290|0|debit card|Delivered|46|5</v>
      </c>
      <c r="P43" s="7" t="str">
        <f aca="false">IF(COUNTIF($O$2:O43,O43)&gt;1,"DUP","OK")</f>
        <v>OK</v>
      </c>
      <c r="Q43" s="7" t="n">
        <f aca="false">COUNTBLANK(A43:N43)</f>
        <v>0</v>
      </c>
      <c r="R43" s="7" t="n">
        <f aca="false">IF(A43="",0,COUNTIFS($A$2:$A$3058,A43,$P$2:$P$3058,"OK"))</f>
        <v>1</v>
      </c>
      <c r="S43" s="7" t="str">
        <f aca="false">IF(OR(A43="",P43="DUP",R43&lt;2),"",IF(Q43=_xlfn.MINIFS($Q$2:$Q$3058,$A$2:$A$3058,A43,$P$2:$P$3058,"OK"),"KEEP","DROP"))</f>
        <v/>
      </c>
      <c r="T43" s="9" t="n">
        <f aca="false">IF(A43="",1,0)</f>
        <v>0</v>
      </c>
      <c r="U43" s="9" t="n">
        <f aca="false">IF(D43="",1,0)</f>
        <v>0</v>
      </c>
      <c r="V43" s="9" t="n">
        <f aca="false">IF(E43="",1,0)</f>
        <v>0</v>
      </c>
      <c r="W43" s="9" t="n">
        <f aca="false">IF(OR(H43&lt;1,H43&gt;10),1,0)</f>
        <v>0</v>
      </c>
      <c r="X43" s="9" t="n">
        <f aca="false">IF(OR(I43&lt;=0,I43&gt;1500),1,0)</f>
        <v>0</v>
      </c>
      <c r="Y43" s="9" t="n">
        <f aca="false">IF(J43&gt;H43*I43,1,0)</f>
        <v>0</v>
      </c>
      <c r="Z43" s="9" t="n">
        <f aca="false">IF(AND(N43&lt;&gt;"",OR(N43&lt;1,N43&gt;5)),1,0)</f>
        <v>0</v>
      </c>
      <c r="AA43" s="9" t="n">
        <f aca="false">IF(AND(M43&lt;&gt;"",OR(M43&lt;5,M43&gt;180)),1,0)</f>
        <v>0</v>
      </c>
      <c r="AB43" s="7" t="str">
        <f aca="false">IF(P43="DUP","Exact duplicate row",IF(T43=1,"Missing Order ID",IF(S43="DROP","Duplicate Order ID (less complete row)",IF(U43=1,"Missing Customer ID",IF(V43=1,"Missing Restaurant name",IF(W43=1,"Invalid/outlier quantity",IF(X43=1,"Invalid/outlier unit price",IF(Y43=1,"Discount greater than order value",""))))))))</f>
        <v/>
      </c>
      <c r="AC43" s="7" t="str">
        <f aca="false">IF(AB43="","KEEP","DROP")</f>
        <v>KEEP</v>
      </c>
      <c r="AD43" s="7" t="str">
        <f aca="false">IF(TRIM(F43)="",IFERROR(INDEX(Map_Tables!$I$4:$I$37,MATCH(TRIM(E43),Map_Tables!$G$4:$G$37,0)),""),IFERROR(INDEX(Map_Tables!$B$4:$B$18,MATCH(TRIM(F43),Map_Tables!$A$4:$A$18,0)),"CHECK"))</f>
        <v>Hyderabad</v>
      </c>
      <c r="AE43" s="7" t="str">
        <f aca="false">IF(TRIM(E43)="","",IFERROR(INDEX(Map_Tables!$H$4:$H$37,MATCH(TRIM(E43),Map_Tables!$G$4:$G$37,0)),"CHECK"))</f>
        <v>Hyderabad Dum Biryani</v>
      </c>
      <c r="AF43" s="7" t="str">
        <f aca="false">IF(TRIM(K43)="","Unknown",IFERROR(INDEX(Map_Tables!$E$4:$E$15,MATCH(TRIM(K43),Map_Tables!$D$4:$D$15,0)),"CHECK"))</f>
        <v>Debit Card</v>
      </c>
      <c r="AG43" s="7" t="str">
        <f aca="false">IF(LEFT(LOWER(TRIM(L43)),6)="cancel","Cancelled","Delivered")</f>
        <v>Delivered</v>
      </c>
      <c r="AH43" s="10" t="n">
        <f aca="false">IF(ISNUMBER(SEARCH("/",B43)),DATE(VALUE(RIGHT(B43,4)),VALUE(MID(B43,4,2)),VALUE(LEFT(B43,2))),IF(MID(B43,5,1)="-",DATE(VALUE(LEFT(B43,4)),VALUE(MID(B43,6,2)),VALUE(RIGHT(B43,2))),DATE(VALUE(RIGHT(B43,4)),MATCH(MID(B43,4,3),{"Jan","Feb","Mar","Apr","May","Jun","Jul","Aug","Sep","Oct","Nov","Dec"},0),VALUE(LEFT(B43,2)))))</f>
        <v>45681</v>
      </c>
    </row>
    <row r="44" customFormat="false" ht="15" hidden="false" customHeight="false" outlineLevel="0" collapsed="false">
      <c r="A44" s="7" t="s">
        <v>371</v>
      </c>
      <c r="B44" s="7" t="s">
        <v>372</v>
      </c>
      <c r="C44" s="7" t="s">
        <v>373</v>
      </c>
      <c r="D44" s="7" t="s">
        <v>374</v>
      </c>
      <c r="E44" s="7" t="s">
        <v>130</v>
      </c>
      <c r="F44" s="7" t="s">
        <v>110</v>
      </c>
      <c r="G44" s="7" t="s">
        <v>90</v>
      </c>
      <c r="H44" s="7" t="n">
        <v>3</v>
      </c>
      <c r="I44" s="7" t="n">
        <v>220</v>
      </c>
      <c r="J44" s="7" t="n">
        <v>30</v>
      </c>
      <c r="K44" s="7" t="s">
        <v>112</v>
      </c>
      <c r="L44" s="7" t="s">
        <v>194</v>
      </c>
      <c r="M44" s="7" t="n">
        <v>47</v>
      </c>
      <c r="N44" s="7" t="n">
        <v>3</v>
      </c>
      <c r="O44" s="7" t="str">
        <f aca="false">A44&amp;"|"&amp;B44&amp;"|"&amp;C44&amp;"|"&amp;D44&amp;"|"&amp;E44&amp;"|"&amp;F44&amp;"|"&amp;G44&amp;"|"&amp;H44&amp;"|"&amp;I44&amp;"|"&amp;J44&amp;"|"&amp;K44&amp;"|"&amp;L44&amp;"|"&amp;M44&amp;"|"&amp;N44</f>
        <v>ORD10639|2025-03-22|17:46|C0254|Tandoor Tales|Delhi|North Indian|3|220|30|Cash on Delivery|Delivered|47|3</v>
      </c>
      <c r="P44" s="7" t="str">
        <f aca="false">IF(COUNTIF($O$2:O44,O44)&gt;1,"DUP","OK")</f>
        <v>OK</v>
      </c>
      <c r="Q44" s="7" t="n">
        <f aca="false">COUNTBLANK(A44:N44)</f>
        <v>0</v>
      </c>
      <c r="R44" s="7" t="n">
        <f aca="false">IF(A44="",0,COUNTIFS($A$2:$A$3058,A44,$P$2:$P$3058,"OK"))</f>
        <v>1</v>
      </c>
      <c r="S44" s="7" t="str">
        <f aca="false">IF(OR(A44="",P44="DUP",R44&lt;2),"",IF(Q44=_xlfn.MINIFS($Q$2:$Q$3058,$A$2:$A$3058,A44,$P$2:$P$3058,"OK"),"KEEP","DROP"))</f>
        <v/>
      </c>
      <c r="T44" s="9" t="n">
        <f aca="false">IF(A44="",1,0)</f>
        <v>0</v>
      </c>
      <c r="U44" s="9" t="n">
        <f aca="false">IF(D44="",1,0)</f>
        <v>0</v>
      </c>
      <c r="V44" s="9" t="n">
        <f aca="false">IF(E44="",1,0)</f>
        <v>0</v>
      </c>
      <c r="W44" s="9" t="n">
        <f aca="false">IF(OR(H44&lt;1,H44&gt;10),1,0)</f>
        <v>0</v>
      </c>
      <c r="X44" s="9" t="n">
        <f aca="false">IF(OR(I44&lt;=0,I44&gt;1500),1,0)</f>
        <v>0</v>
      </c>
      <c r="Y44" s="9" t="n">
        <f aca="false">IF(J44&gt;H44*I44,1,0)</f>
        <v>0</v>
      </c>
      <c r="Z44" s="9" t="n">
        <f aca="false">IF(AND(N44&lt;&gt;"",OR(N44&lt;1,N44&gt;5)),1,0)</f>
        <v>0</v>
      </c>
      <c r="AA44" s="9" t="n">
        <f aca="false">IF(AND(M44&lt;&gt;"",OR(M44&lt;5,M44&gt;180)),1,0)</f>
        <v>0</v>
      </c>
      <c r="AB44" s="7" t="str">
        <f aca="false">IF(P44="DUP","Exact duplicate row",IF(T44=1,"Missing Order ID",IF(S44="DROP","Duplicate Order ID (less complete row)",IF(U44=1,"Missing Customer ID",IF(V44=1,"Missing Restaurant name",IF(W44=1,"Invalid/outlier quantity",IF(X44=1,"Invalid/outlier unit price",IF(Y44=1,"Discount greater than order value",""))))))))</f>
        <v/>
      </c>
      <c r="AC44" s="7" t="str">
        <f aca="false">IF(AB44="","KEEP","DROP")</f>
        <v>KEEP</v>
      </c>
      <c r="AD44" s="7" t="str">
        <f aca="false">IF(TRIM(F44)="",IFERROR(INDEX(Map_Tables!$I$4:$I$37,MATCH(TRIM(E44),Map_Tables!$G$4:$G$37,0)),""),IFERROR(INDEX(Map_Tables!$B$4:$B$18,MATCH(TRIM(F44),Map_Tables!$A$4:$A$18,0)),"CHECK"))</f>
        <v>Delhi</v>
      </c>
      <c r="AE44" s="7" t="str">
        <f aca="false">IF(TRIM(E44)="","",IFERROR(INDEX(Map_Tables!$H$4:$H$37,MATCH(TRIM(E44),Map_Tables!$G$4:$G$37,0)),"CHECK"))</f>
        <v>Tandoor Tales</v>
      </c>
      <c r="AF44" s="7" t="str">
        <f aca="false">IF(TRIM(K44)="","Unknown",IFERROR(INDEX(Map_Tables!$E$4:$E$15,MATCH(TRIM(K44),Map_Tables!$D$4:$D$15,0)),"CHECK"))</f>
        <v>Cash on Delivery</v>
      </c>
      <c r="AG44" s="7" t="str">
        <f aca="false">IF(LEFT(LOWER(TRIM(L44)),6)="cancel","Cancelled","Delivered")</f>
        <v>Delivered</v>
      </c>
      <c r="AH44" s="10" t="n">
        <f aca="false">IF(ISNUMBER(SEARCH("/",B44)),DATE(VALUE(RIGHT(B44,4)),VALUE(MID(B44,4,2)),VALUE(LEFT(B44,2))),IF(MID(B44,5,1)="-",DATE(VALUE(LEFT(B44,4)),VALUE(MID(B44,6,2)),VALUE(RIGHT(B44,2))),DATE(VALUE(RIGHT(B44,4)),MATCH(MID(B44,4,3),{"Jan","Feb","Mar","Apr","May","Jun","Jul","Aug","Sep","Oct","Nov","Dec"},0),VALUE(LEFT(B44,2)))))</f>
        <v>45738</v>
      </c>
    </row>
    <row r="45" customFormat="false" ht="15" hidden="false" customHeight="false" outlineLevel="0" collapsed="false">
      <c r="A45" s="7" t="s">
        <v>375</v>
      </c>
      <c r="B45" s="7" t="s">
        <v>376</v>
      </c>
      <c r="C45" s="7" t="s">
        <v>377</v>
      </c>
      <c r="D45" s="7" t="s">
        <v>378</v>
      </c>
      <c r="E45" s="7" t="s">
        <v>167</v>
      </c>
      <c r="F45" s="7" t="s">
        <v>146</v>
      </c>
      <c r="G45" s="7" t="s">
        <v>156</v>
      </c>
      <c r="H45" s="7" t="n">
        <v>4</v>
      </c>
      <c r="I45" s="7" t="n">
        <v>210</v>
      </c>
      <c r="J45" s="7" t="n">
        <v>0</v>
      </c>
      <c r="K45" s="7" t="s">
        <v>379</v>
      </c>
      <c r="L45" s="7" t="s">
        <v>194</v>
      </c>
      <c r="M45" s="7" t="n">
        <v>32</v>
      </c>
      <c r="N45" s="7" t="n">
        <v>1</v>
      </c>
      <c r="O45" s="7" t="str">
        <f aca="false">A45&amp;"|"&amp;B45&amp;"|"&amp;C45&amp;"|"&amp;D45&amp;"|"&amp;E45&amp;"|"&amp;F45&amp;"|"&amp;G45&amp;"|"&amp;H45&amp;"|"&amp;I45&amp;"|"&amp;J45&amp;"|"&amp;K45&amp;"|"&amp;L45&amp;"|"&amp;M45&amp;"|"&amp;N45</f>
        <v>ORD11497|2025-07-14|12:00|C0854|Fit Fuel Kitchen|Ahmedabad|Healthy Food|4|210|0|Credit card|Delivered|32|1</v>
      </c>
      <c r="P45" s="7" t="str">
        <f aca="false">IF(COUNTIF($O$2:O45,O45)&gt;1,"DUP","OK")</f>
        <v>OK</v>
      </c>
      <c r="Q45" s="7" t="n">
        <f aca="false">COUNTBLANK(A45:N45)</f>
        <v>0</v>
      </c>
      <c r="R45" s="7" t="n">
        <f aca="false">IF(A45="",0,COUNTIFS($A$2:$A$3058,A45,$P$2:$P$3058,"OK"))</f>
        <v>1</v>
      </c>
      <c r="S45" s="7" t="str">
        <f aca="false">IF(OR(A45="",P45="DUP",R45&lt;2),"",IF(Q45=_xlfn.MINIFS($Q$2:$Q$3058,$A$2:$A$3058,A45,$P$2:$P$3058,"OK"),"KEEP","DROP"))</f>
        <v/>
      </c>
      <c r="T45" s="9" t="n">
        <f aca="false">IF(A45="",1,0)</f>
        <v>0</v>
      </c>
      <c r="U45" s="9" t="n">
        <f aca="false">IF(D45="",1,0)</f>
        <v>0</v>
      </c>
      <c r="V45" s="9" t="n">
        <f aca="false">IF(E45="",1,0)</f>
        <v>0</v>
      </c>
      <c r="W45" s="9" t="n">
        <f aca="false">IF(OR(H45&lt;1,H45&gt;10),1,0)</f>
        <v>0</v>
      </c>
      <c r="X45" s="9" t="n">
        <f aca="false">IF(OR(I45&lt;=0,I45&gt;1500),1,0)</f>
        <v>0</v>
      </c>
      <c r="Y45" s="9" t="n">
        <f aca="false">IF(J45&gt;H45*I45,1,0)</f>
        <v>0</v>
      </c>
      <c r="Z45" s="9" t="n">
        <f aca="false">IF(AND(N45&lt;&gt;"",OR(N45&lt;1,N45&gt;5)),1,0)</f>
        <v>0</v>
      </c>
      <c r="AA45" s="9" t="n">
        <f aca="false">IF(AND(M45&lt;&gt;"",OR(M45&lt;5,M45&gt;180)),1,0)</f>
        <v>0</v>
      </c>
      <c r="AB45" s="7" t="str">
        <f aca="false">IF(P45="DUP","Exact duplicate row",IF(T45=1,"Missing Order ID",IF(S45="DROP","Duplicate Order ID (less complete row)",IF(U45=1,"Missing Customer ID",IF(V45=1,"Missing Restaurant name",IF(W45=1,"Invalid/outlier quantity",IF(X45=1,"Invalid/outlier unit price",IF(Y45=1,"Discount greater than order value",""))))))))</f>
        <v/>
      </c>
      <c r="AC45" s="7" t="str">
        <f aca="false">IF(AB45="","KEEP","DROP")</f>
        <v>KEEP</v>
      </c>
      <c r="AD45" s="7" t="str">
        <f aca="false">IF(TRIM(F45)="",IFERROR(INDEX(Map_Tables!$I$4:$I$37,MATCH(TRIM(E45),Map_Tables!$G$4:$G$37,0)),""),IFERROR(INDEX(Map_Tables!$B$4:$B$18,MATCH(TRIM(F45),Map_Tables!$A$4:$A$18,0)),"CHECK"))</f>
        <v>Ahmedabad</v>
      </c>
      <c r="AE45" s="7" t="str">
        <f aca="false">IF(TRIM(E45)="","",IFERROR(INDEX(Map_Tables!$H$4:$H$37,MATCH(TRIM(E45),Map_Tables!$G$4:$G$37,0)),"CHECK"))</f>
        <v>Fit Fuel Kitchen</v>
      </c>
      <c r="AF45" s="7" t="str">
        <f aca="false">IF(TRIM(K45)="","Unknown",IFERROR(INDEX(Map_Tables!$E$4:$E$15,MATCH(TRIM(K45),Map_Tables!$D$4:$D$15,0)),"CHECK"))</f>
        <v>Credit Card</v>
      </c>
      <c r="AG45" s="7" t="str">
        <f aca="false">IF(LEFT(LOWER(TRIM(L45)),6)="cancel","Cancelled","Delivered")</f>
        <v>Delivered</v>
      </c>
      <c r="AH45" s="10" t="n">
        <f aca="false">IF(ISNUMBER(SEARCH("/",B45)),DATE(VALUE(RIGHT(B45,4)),VALUE(MID(B45,4,2)),VALUE(LEFT(B45,2))),IF(MID(B45,5,1)="-",DATE(VALUE(LEFT(B45,4)),VALUE(MID(B45,6,2)),VALUE(RIGHT(B45,2))),DATE(VALUE(RIGHT(B45,4)),MATCH(MID(B45,4,3),{"Jan","Feb","Mar","Apr","May","Jun","Jul","Aug","Sep","Oct","Nov","Dec"},0),VALUE(LEFT(B45,2)))))</f>
        <v>45852</v>
      </c>
    </row>
    <row r="46" customFormat="false" ht="15" hidden="false" customHeight="false" outlineLevel="0" collapsed="false">
      <c r="A46" s="7" t="s">
        <v>380</v>
      </c>
      <c r="B46" s="7" t="s">
        <v>381</v>
      </c>
      <c r="C46" s="7" t="s">
        <v>382</v>
      </c>
      <c r="D46" s="7" t="s">
        <v>383</v>
      </c>
      <c r="E46" s="7" t="s">
        <v>122</v>
      </c>
      <c r="F46" s="7" t="s">
        <v>101</v>
      </c>
      <c r="G46" s="7" t="s">
        <v>123</v>
      </c>
      <c r="H46" s="7" t="n">
        <v>2</v>
      </c>
      <c r="I46" s="7" t="n">
        <v>270</v>
      </c>
      <c r="J46" s="7" t="n">
        <v>0</v>
      </c>
      <c r="K46" s="7" t="s">
        <v>121</v>
      </c>
      <c r="L46" s="7" t="s">
        <v>194</v>
      </c>
      <c r="M46" s="7" t="n">
        <v>999</v>
      </c>
      <c r="N46" s="7" t="n">
        <v>4</v>
      </c>
      <c r="O46" s="7" t="str">
        <f aca="false">A46&amp;"|"&amp;B46&amp;"|"&amp;C46&amp;"|"&amp;D46&amp;"|"&amp;E46&amp;"|"&amp;F46&amp;"|"&amp;G46&amp;"|"&amp;H46&amp;"|"&amp;I46&amp;"|"&amp;J46&amp;"|"&amp;K46&amp;"|"&amp;L46&amp;"|"&amp;M46&amp;"|"&amp;N46</f>
        <v>ORD10207|2025-01-28|18:26|C1082|Mumbai Pizza Co|Mumbai|Pizza|2|270|0|Wallet|Delivered|999|4</v>
      </c>
      <c r="P46" s="7" t="str">
        <f aca="false">IF(COUNTIF($O$2:O46,O46)&gt;1,"DUP","OK")</f>
        <v>OK</v>
      </c>
      <c r="Q46" s="7" t="n">
        <f aca="false">COUNTBLANK(A46:N46)</f>
        <v>0</v>
      </c>
      <c r="R46" s="7" t="n">
        <f aca="false">IF(A46="",0,COUNTIFS($A$2:$A$3058,A46,$P$2:$P$3058,"OK"))</f>
        <v>1</v>
      </c>
      <c r="S46" s="7" t="str">
        <f aca="false">IF(OR(A46="",P46="DUP",R46&lt;2),"",IF(Q46=_xlfn.MINIFS($Q$2:$Q$3058,$A$2:$A$3058,A46,$P$2:$P$3058,"OK"),"KEEP","DROP"))</f>
        <v/>
      </c>
      <c r="T46" s="9" t="n">
        <f aca="false">IF(A46="",1,0)</f>
        <v>0</v>
      </c>
      <c r="U46" s="9" t="n">
        <f aca="false">IF(D46="",1,0)</f>
        <v>0</v>
      </c>
      <c r="V46" s="9" t="n">
        <f aca="false">IF(E46="",1,0)</f>
        <v>0</v>
      </c>
      <c r="W46" s="9" t="n">
        <f aca="false">IF(OR(H46&lt;1,H46&gt;10),1,0)</f>
        <v>0</v>
      </c>
      <c r="X46" s="9" t="n">
        <f aca="false">IF(OR(I46&lt;=0,I46&gt;1500),1,0)</f>
        <v>0</v>
      </c>
      <c r="Y46" s="9" t="n">
        <f aca="false">IF(J46&gt;H46*I46,1,0)</f>
        <v>0</v>
      </c>
      <c r="Z46" s="9" t="n">
        <f aca="false">IF(AND(N46&lt;&gt;"",OR(N46&lt;1,N46&gt;5)),1,0)</f>
        <v>0</v>
      </c>
      <c r="AA46" s="9" t="n">
        <f aca="false">IF(AND(M46&lt;&gt;"",OR(M46&lt;5,M46&gt;180)),1,0)</f>
        <v>1</v>
      </c>
      <c r="AB46" s="7" t="str">
        <f aca="false">IF(P46="DUP","Exact duplicate row",IF(T46=1,"Missing Order ID",IF(S46="DROP","Duplicate Order ID (less complete row)",IF(U46=1,"Missing Customer ID",IF(V46=1,"Missing Restaurant name",IF(W46=1,"Invalid/outlier quantity",IF(X46=1,"Invalid/outlier unit price",IF(Y46=1,"Discount greater than order value",""))))))))</f>
        <v/>
      </c>
      <c r="AC46" s="7" t="str">
        <f aca="false">IF(AB46="","KEEP","DROP")</f>
        <v>KEEP</v>
      </c>
      <c r="AD46" s="7" t="str">
        <f aca="false">IF(TRIM(F46)="",IFERROR(INDEX(Map_Tables!$I$4:$I$37,MATCH(TRIM(E46),Map_Tables!$G$4:$G$37,0)),""),IFERROR(INDEX(Map_Tables!$B$4:$B$18,MATCH(TRIM(F46),Map_Tables!$A$4:$A$18,0)),"CHECK"))</f>
        <v>Mumbai</v>
      </c>
      <c r="AE46" s="7" t="str">
        <f aca="false">IF(TRIM(E46)="","",IFERROR(INDEX(Map_Tables!$H$4:$H$37,MATCH(TRIM(E46),Map_Tables!$G$4:$G$37,0)),"CHECK"))</f>
        <v>Mumbai Pizza Co</v>
      </c>
      <c r="AF46" s="7" t="str">
        <f aca="false">IF(TRIM(K46)="","Unknown",IFERROR(INDEX(Map_Tables!$E$4:$E$15,MATCH(TRIM(K46),Map_Tables!$D$4:$D$15,0)),"CHECK"))</f>
        <v>Wallet</v>
      </c>
      <c r="AG46" s="7" t="str">
        <f aca="false">IF(LEFT(LOWER(TRIM(L46)),6)="cancel","Cancelled","Delivered")</f>
        <v>Delivered</v>
      </c>
      <c r="AH46" s="10" t="n">
        <f aca="false">IF(ISNUMBER(SEARCH("/",B46)),DATE(VALUE(RIGHT(B46,4)),VALUE(MID(B46,4,2)),VALUE(LEFT(B46,2))),IF(MID(B46,5,1)="-",DATE(VALUE(LEFT(B46,4)),VALUE(MID(B46,6,2)),VALUE(RIGHT(B46,2))),DATE(VALUE(RIGHT(B46,4)),MATCH(MID(B46,4,3),{"Jan","Feb","Mar","Apr","May","Jun","Jul","Aug","Sep","Oct","Nov","Dec"},0),VALUE(LEFT(B46,2)))))</f>
        <v>45685</v>
      </c>
    </row>
    <row r="47" customFormat="false" ht="15" hidden="false" customHeight="false" outlineLevel="0" collapsed="false">
      <c r="A47" s="7" t="s">
        <v>384</v>
      </c>
      <c r="B47" s="7" t="s">
        <v>385</v>
      </c>
      <c r="C47" s="7" t="s">
        <v>386</v>
      </c>
      <c r="D47" s="7" t="s">
        <v>387</v>
      </c>
      <c r="E47" s="7" t="s">
        <v>388</v>
      </c>
      <c r="F47" s="7" t="s">
        <v>136</v>
      </c>
      <c r="G47" s="7" t="s">
        <v>90</v>
      </c>
      <c r="H47" s="7" t="n">
        <v>1</v>
      </c>
      <c r="I47" s="7" t="n">
        <v>235</v>
      </c>
      <c r="J47" s="7" t="n">
        <v>0</v>
      </c>
      <c r="K47" s="7" t="s">
        <v>88</v>
      </c>
      <c r="L47" s="7" t="s">
        <v>238</v>
      </c>
      <c r="M47" s="7"/>
      <c r="N47" s="7"/>
      <c r="O47" s="7" t="str">
        <f aca="false">A47&amp;"|"&amp;B47&amp;"|"&amp;C47&amp;"|"&amp;D47&amp;"|"&amp;E47&amp;"|"&amp;F47&amp;"|"&amp;G47&amp;"|"&amp;H47&amp;"|"&amp;I47&amp;"|"&amp;J47&amp;"|"&amp;K47&amp;"|"&amp;L47&amp;"|"&amp;M47&amp;"|"&amp;N47</f>
        <v>ORD11534|2025-07-18|11:53|C0754|Maratha Thali House |Pune|North Indian|1|235|0|UPI|Cancelled||</v>
      </c>
      <c r="P47" s="7" t="str">
        <f aca="false">IF(COUNTIF($O$2:O47,O47)&gt;1,"DUP","OK")</f>
        <v>OK</v>
      </c>
      <c r="Q47" s="7" t="n">
        <f aca="false">COUNTBLANK(A47:N47)</f>
        <v>2</v>
      </c>
      <c r="R47" s="7" t="n">
        <f aca="false">IF(A47="",0,COUNTIFS($A$2:$A$3058,A47,$P$2:$P$3058,"OK"))</f>
        <v>1</v>
      </c>
      <c r="S47" s="7" t="str">
        <f aca="false">IF(OR(A47="",P47="DUP",R47&lt;2),"",IF(Q47=_xlfn.MINIFS($Q$2:$Q$3058,$A$2:$A$3058,A47,$P$2:$P$3058,"OK"),"KEEP","DROP"))</f>
        <v/>
      </c>
      <c r="T47" s="9" t="n">
        <f aca="false">IF(A47="",1,0)</f>
        <v>0</v>
      </c>
      <c r="U47" s="9" t="n">
        <f aca="false">IF(D47="",1,0)</f>
        <v>0</v>
      </c>
      <c r="V47" s="9" t="n">
        <f aca="false">IF(E47="",1,0)</f>
        <v>0</v>
      </c>
      <c r="W47" s="9" t="n">
        <f aca="false">IF(OR(H47&lt;1,H47&gt;10),1,0)</f>
        <v>0</v>
      </c>
      <c r="X47" s="9" t="n">
        <f aca="false">IF(OR(I47&lt;=0,I47&gt;1500),1,0)</f>
        <v>0</v>
      </c>
      <c r="Y47" s="9" t="n">
        <f aca="false">IF(J47&gt;H47*I47,1,0)</f>
        <v>0</v>
      </c>
      <c r="Z47" s="9" t="n">
        <f aca="false">IF(AND(N47&lt;&gt;"",OR(N47&lt;1,N47&gt;5)),1,0)</f>
        <v>0</v>
      </c>
      <c r="AA47" s="9" t="n">
        <f aca="false">IF(AND(M47&lt;&gt;"",OR(M47&lt;5,M47&gt;180)),1,0)</f>
        <v>0</v>
      </c>
      <c r="AB47" s="7" t="str">
        <f aca="false">IF(P47="DUP","Exact duplicate row",IF(T47=1,"Missing Order ID",IF(S47="DROP","Duplicate Order ID (less complete row)",IF(U47=1,"Missing Customer ID",IF(V47=1,"Missing Restaurant name",IF(W47=1,"Invalid/outlier quantity",IF(X47=1,"Invalid/outlier unit price",IF(Y47=1,"Discount greater than order value",""))))))))</f>
        <v/>
      </c>
      <c r="AC47" s="7" t="str">
        <f aca="false">IF(AB47="","KEEP","DROP")</f>
        <v>KEEP</v>
      </c>
      <c r="AD47" s="7" t="str">
        <f aca="false">IF(TRIM(F47)="",IFERROR(INDEX(Map_Tables!$I$4:$I$37,MATCH(TRIM(E47),Map_Tables!$G$4:$G$37,0)),""),IFERROR(INDEX(Map_Tables!$B$4:$B$18,MATCH(TRIM(F47),Map_Tables!$A$4:$A$18,0)),"CHECK"))</f>
        <v>Pune</v>
      </c>
      <c r="AE47" s="7" t="str">
        <f aca="false">IF(TRIM(E47)="","",IFERROR(INDEX(Map_Tables!$H$4:$H$37,MATCH(TRIM(E47),Map_Tables!$G$4:$G$37,0)),"CHECK"))</f>
        <v>Maratha Thali House</v>
      </c>
      <c r="AF47" s="7" t="str">
        <f aca="false">IF(TRIM(K47)="","Unknown",IFERROR(INDEX(Map_Tables!$E$4:$E$15,MATCH(TRIM(K47),Map_Tables!$D$4:$D$15,0)),"CHECK"))</f>
        <v>UPI</v>
      </c>
      <c r="AG47" s="7" t="str">
        <f aca="false">IF(LEFT(LOWER(TRIM(L47)),6)="cancel","Cancelled","Delivered")</f>
        <v>Cancelled</v>
      </c>
      <c r="AH47" s="10" t="n">
        <f aca="false">IF(ISNUMBER(SEARCH("/",B47)),DATE(VALUE(RIGHT(B47,4)),VALUE(MID(B47,4,2)),VALUE(LEFT(B47,2))),IF(MID(B47,5,1)="-",DATE(VALUE(LEFT(B47,4)),VALUE(MID(B47,6,2)),VALUE(RIGHT(B47,2))),DATE(VALUE(RIGHT(B47,4)),MATCH(MID(B47,4,3),{"Jan","Feb","Mar","Apr","May","Jun","Jul","Aug","Sep","Oct","Nov","Dec"},0),VALUE(LEFT(B47,2)))))</f>
        <v>45856</v>
      </c>
    </row>
    <row r="48" customFormat="false" ht="15" hidden="false" customHeight="false" outlineLevel="0" collapsed="false">
      <c r="A48" s="7" t="s">
        <v>389</v>
      </c>
      <c r="B48" s="7" t="s">
        <v>390</v>
      </c>
      <c r="C48" s="7" t="s">
        <v>391</v>
      </c>
      <c r="D48" s="7" t="s">
        <v>392</v>
      </c>
      <c r="E48" s="7" t="s">
        <v>160</v>
      </c>
      <c r="F48" s="7" t="s">
        <v>136</v>
      </c>
      <c r="G48" s="7" t="s">
        <v>150</v>
      </c>
      <c r="H48" s="7" t="n">
        <v>1</v>
      </c>
      <c r="I48" s="7" t="n">
        <v>175</v>
      </c>
      <c r="J48" s="7" t="n">
        <v>0</v>
      </c>
      <c r="K48" s="7"/>
      <c r="L48" s="7" t="s">
        <v>194</v>
      </c>
      <c r="M48" s="7" t="n">
        <v>25</v>
      </c>
      <c r="N48" s="7" t="n">
        <v>5</v>
      </c>
      <c r="O48" s="7" t="str">
        <f aca="false">A48&amp;"|"&amp;B48&amp;"|"&amp;C48&amp;"|"&amp;D48&amp;"|"&amp;E48&amp;"|"&amp;F48&amp;"|"&amp;G48&amp;"|"&amp;H48&amp;"|"&amp;I48&amp;"|"&amp;J48&amp;"|"&amp;K48&amp;"|"&amp;L48&amp;"|"&amp;M48&amp;"|"&amp;N48</f>
        <v>ORD11237|2025-06-06|19:50|C1106|Cake Walk|Pune|Desserts|1|175|0||Delivered|25|5</v>
      </c>
      <c r="P48" s="7" t="str">
        <f aca="false">IF(COUNTIF($O$2:O48,O48)&gt;1,"DUP","OK")</f>
        <v>OK</v>
      </c>
      <c r="Q48" s="7" t="n">
        <f aca="false">COUNTBLANK(A48:N48)</f>
        <v>1</v>
      </c>
      <c r="R48" s="7" t="n">
        <f aca="false">IF(A48="",0,COUNTIFS($A$2:$A$3058,A48,$P$2:$P$3058,"OK"))</f>
        <v>1</v>
      </c>
      <c r="S48" s="7" t="str">
        <f aca="false">IF(OR(A48="",P48="DUP",R48&lt;2),"",IF(Q48=_xlfn.MINIFS($Q$2:$Q$3058,$A$2:$A$3058,A48,$P$2:$P$3058,"OK"),"KEEP","DROP"))</f>
        <v/>
      </c>
      <c r="T48" s="9" t="n">
        <f aca="false">IF(A48="",1,0)</f>
        <v>0</v>
      </c>
      <c r="U48" s="9" t="n">
        <f aca="false">IF(D48="",1,0)</f>
        <v>0</v>
      </c>
      <c r="V48" s="9" t="n">
        <f aca="false">IF(E48="",1,0)</f>
        <v>0</v>
      </c>
      <c r="W48" s="9" t="n">
        <f aca="false">IF(OR(H48&lt;1,H48&gt;10),1,0)</f>
        <v>0</v>
      </c>
      <c r="X48" s="9" t="n">
        <f aca="false">IF(OR(I48&lt;=0,I48&gt;1500),1,0)</f>
        <v>0</v>
      </c>
      <c r="Y48" s="9" t="n">
        <f aca="false">IF(J48&gt;H48*I48,1,0)</f>
        <v>0</v>
      </c>
      <c r="Z48" s="9" t="n">
        <f aca="false">IF(AND(N48&lt;&gt;"",OR(N48&lt;1,N48&gt;5)),1,0)</f>
        <v>0</v>
      </c>
      <c r="AA48" s="9" t="n">
        <f aca="false">IF(AND(M48&lt;&gt;"",OR(M48&lt;5,M48&gt;180)),1,0)</f>
        <v>0</v>
      </c>
      <c r="AB48" s="7" t="str">
        <f aca="false">IF(P48="DUP","Exact duplicate row",IF(T48=1,"Missing Order ID",IF(S48="DROP","Duplicate Order ID (less complete row)",IF(U48=1,"Missing Customer ID",IF(V48=1,"Missing Restaurant name",IF(W48=1,"Invalid/outlier quantity",IF(X48=1,"Invalid/outlier unit price",IF(Y48=1,"Discount greater than order value",""))))))))</f>
        <v/>
      </c>
      <c r="AC48" s="7" t="str">
        <f aca="false">IF(AB48="","KEEP","DROP")</f>
        <v>KEEP</v>
      </c>
      <c r="AD48" s="7" t="str">
        <f aca="false">IF(TRIM(F48)="",IFERROR(INDEX(Map_Tables!$I$4:$I$37,MATCH(TRIM(E48),Map_Tables!$G$4:$G$37,0)),""),IFERROR(INDEX(Map_Tables!$B$4:$B$18,MATCH(TRIM(F48),Map_Tables!$A$4:$A$18,0)),"CHECK"))</f>
        <v>Pune</v>
      </c>
      <c r="AE48" s="7" t="str">
        <f aca="false">IF(TRIM(E48)="","",IFERROR(INDEX(Map_Tables!$H$4:$H$37,MATCH(TRIM(E48),Map_Tables!$G$4:$G$37,0)),"CHECK"))</f>
        <v>Cake Walk</v>
      </c>
      <c r="AF48" s="7" t="str">
        <f aca="false">IF(TRIM(K48)="","Unknown",IFERROR(INDEX(Map_Tables!$E$4:$E$15,MATCH(TRIM(K48),Map_Tables!$D$4:$D$15,0)),"CHECK"))</f>
        <v>Unknown</v>
      </c>
      <c r="AG48" s="7" t="str">
        <f aca="false">IF(LEFT(LOWER(TRIM(L48)),6)="cancel","Cancelled","Delivered")</f>
        <v>Delivered</v>
      </c>
      <c r="AH48" s="10" t="n">
        <f aca="false">IF(ISNUMBER(SEARCH("/",B48)),DATE(VALUE(RIGHT(B48,4)),VALUE(MID(B48,4,2)),VALUE(LEFT(B48,2))),IF(MID(B48,5,1)="-",DATE(VALUE(LEFT(B48,4)),VALUE(MID(B48,6,2)),VALUE(RIGHT(B48,2))),DATE(VALUE(RIGHT(B48,4)),MATCH(MID(B48,4,3),{"Jan","Feb","Mar","Apr","May","Jun","Jul","Aug","Sep","Oct","Nov","Dec"},0),VALUE(LEFT(B48,2)))))</f>
        <v>45814</v>
      </c>
    </row>
    <row r="49" customFormat="false" ht="15" hidden="false" customHeight="false" outlineLevel="0" collapsed="false">
      <c r="A49" s="7" t="s">
        <v>393</v>
      </c>
      <c r="B49" s="7" t="s">
        <v>394</v>
      </c>
      <c r="C49" s="7" t="s">
        <v>395</v>
      </c>
      <c r="D49" s="7" t="s">
        <v>396</v>
      </c>
      <c r="E49" s="7" t="s">
        <v>116</v>
      </c>
      <c r="F49" s="7" t="s">
        <v>101</v>
      </c>
      <c r="G49" s="7" t="s">
        <v>117</v>
      </c>
      <c r="H49" s="7" t="n">
        <v>2</v>
      </c>
      <c r="I49" s="7" t="n">
        <v>150</v>
      </c>
      <c r="J49" s="7" t="n">
        <v>0</v>
      </c>
      <c r="K49" s="7" t="s">
        <v>93</v>
      </c>
      <c r="L49" s="7" t="s">
        <v>194</v>
      </c>
      <c r="M49" s="7" t="n">
        <v>49</v>
      </c>
      <c r="N49" s="7" t="n">
        <v>5</v>
      </c>
      <c r="O49" s="7" t="str">
        <f aca="false">A49&amp;"|"&amp;B49&amp;"|"&amp;C49&amp;"|"&amp;D49&amp;"|"&amp;E49&amp;"|"&amp;F49&amp;"|"&amp;G49&amp;"|"&amp;H49&amp;"|"&amp;I49&amp;"|"&amp;J49&amp;"|"&amp;K49&amp;"|"&amp;L49&amp;"|"&amp;M49&amp;"|"&amp;N49</f>
        <v>ORD11464|09/07/2025|22:13|C0312|Pav Bhaji Point|Mumbai|Street Food|2|150|0|Credit Card|Delivered|49|5</v>
      </c>
      <c r="P49" s="7" t="str">
        <f aca="false">IF(COUNTIF($O$2:O49,O49)&gt;1,"DUP","OK")</f>
        <v>OK</v>
      </c>
      <c r="Q49" s="7" t="n">
        <f aca="false">COUNTBLANK(A49:N49)</f>
        <v>0</v>
      </c>
      <c r="R49" s="7" t="n">
        <f aca="false">IF(A49="",0,COUNTIFS($A$2:$A$3058,A49,$P$2:$P$3058,"OK"))</f>
        <v>1</v>
      </c>
      <c r="S49" s="7" t="str">
        <f aca="false">IF(OR(A49="",P49="DUP",R49&lt;2),"",IF(Q49=_xlfn.MINIFS($Q$2:$Q$3058,$A$2:$A$3058,A49,$P$2:$P$3058,"OK"),"KEEP","DROP"))</f>
        <v/>
      </c>
      <c r="T49" s="9" t="n">
        <f aca="false">IF(A49="",1,0)</f>
        <v>0</v>
      </c>
      <c r="U49" s="9" t="n">
        <f aca="false">IF(D49="",1,0)</f>
        <v>0</v>
      </c>
      <c r="V49" s="9" t="n">
        <f aca="false">IF(E49="",1,0)</f>
        <v>0</v>
      </c>
      <c r="W49" s="9" t="n">
        <f aca="false">IF(OR(H49&lt;1,H49&gt;10),1,0)</f>
        <v>0</v>
      </c>
      <c r="X49" s="9" t="n">
        <f aca="false">IF(OR(I49&lt;=0,I49&gt;1500),1,0)</f>
        <v>0</v>
      </c>
      <c r="Y49" s="9" t="n">
        <f aca="false">IF(J49&gt;H49*I49,1,0)</f>
        <v>0</v>
      </c>
      <c r="Z49" s="9" t="n">
        <f aca="false">IF(AND(N49&lt;&gt;"",OR(N49&lt;1,N49&gt;5)),1,0)</f>
        <v>0</v>
      </c>
      <c r="AA49" s="9" t="n">
        <f aca="false">IF(AND(M49&lt;&gt;"",OR(M49&lt;5,M49&gt;180)),1,0)</f>
        <v>0</v>
      </c>
      <c r="AB49" s="7" t="str">
        <f aca="false">IF(P49="DUP","Exact duplicate row",IF(T49=1,"Missing Order ID",IF(S49="DROP","Duplicate Order ID (less complete row)",IF(U49=1,"Missing Customer ID",IF(V49=1,"Missing Restaurant name",IF(W49=1,"Invalid/outlier quantity",IF(X49=1,"Invalid/outlier unit price",IF(Y49=1,"Discount greater than order value",""))))))))</f>
        <v/>
      </c>
      <c r="AC49" s="7" t="str">
        <f aca="false">IF(AB49="","KEEP","DROP")</f>
        <v>KEEP</v>
      </c>
      <c r="AD49" s="7" t="str">
        <f aca="false">IF(TRIM(F49)="",IFERROR(INDEX(Map_Tables!$I$4:$I$37,MATCH(TRIM(E49),Map_Tables!$G$4:$G$37,0)),""),IFERROR(INDEX(Map_Tables!$B$4:$B$18,MATCH(TRIM(F49),Map_Tables!$A$4:$A$18,0)),"CHECK"))</f>
        <v>Mumbai</v>
      </c>
      <c r="AE49" s="7" t="str">
        <f aca="false">IF(TRIM(E49)="","",IFERROR(INDEX(Map_Tables!$H$4:$H$37,MATCH(TRIM(E49),Map_Tables!$G$4:$G$37,0)),"CHECK"))</f>
        <v>Pav Bhaji Point</v>
      </c>
      <c r="AF49" s="7" t="str">
        <f aca="false">IF(TRIM(K49)="","Unknown",IFERROR(INDEX(Map_Tables!$E$4:$E$15,MATCH(TRIM(K49),Map_Tables!$D$4:$D$15,0)),"CHECK"))</f>
        <v>Credit Card</v>
      </c>
      <c r="AG49" s="7" t="str">
        <f aca="false">IF(LEFT(LOWER(TRIM(L49)),6)="cancel","Cancelled","Delivered")</f>
        <v>Delivered</v>
      </c>
      <c r="AH49" s="10" t="n">
        <f aca="false">IF(ISNUMBER(SEARCH("/",B49)),DATE(VALUE(RIGHT(B49,4)),VALUE(MID(B49,4,2)),VALUE(LEFT(B49,2))),IF(MID(B49,5,1)="-",DATE(VALUE(LEFT(B49,4)),VALUE(MID(B49,6,2)),VALUE(RIGHT(B49,2))),DATE(VALUE(RIGHT(B49,4)),MATCH(MID(B49,4,3),{"Jan","Feb","Mar","Apr","May","Jun","Jul","Aug","Sep","Oct","Nov","Dec"},0),VALUE(LEFT(B49,2)))))</f>
        <v>45847</v>
      </c>
    </row>
    <row r="50" customFormat="false" ht="15" hidden="false" customHeight="false" outlineLevel="0" collapsed="false">
      <c r="A50" s="7" t="s">
        <v>397</v>
      </c>
      <c r="B50" s="7" t="s">
        <v>398</v>
      </c>
      <c r="C50" s="7" t="s">
        <v>399</v>
      </c>
      <c r="D50" s="7" t="s">
        <v>400</v>
      </c>
      <c r="E50" s="7" t="s">
        <v>116</v>
      </c>
      <c r="F50" s="7" t="s">
        <v>101</v>
      </c>
      <c r="G50" s="7" t="s">
        <v>117</v>
      </c>
      <c r="H50" s="7" t="n">
        <v>2</v>
      </c>
      <c r="I50" s="7" t="n">
        <v>145</v>
      </c>
      <c r="J50" s="7" t="n">
        <v>116</v>
      </c>
      <c r="K50" s="7" t="s">
        <v>88</v>
      </c>
      <c r="L50" s="7" t="s">
        <v>194</v>
      </c>
      <c r="M50" s="7" t="n">
        <v>49</v>
      </c>
      <c r="N50" s="7"/>
      <c r="O50" s="7" t="str">
        <f aca="false">A50&amp;"|"&amp;B50&amp;"|"&amp;C50&amp;"|"&amp;D50&amp;"|"&amp;E50&amp;"|"&amp;F50&amp;"|"&amp;G50&amp;"|"&amp;H50&amp;"|"&amp;I50&amp;"|"&amp;J50&amp;"|"&amp;K50&amp;"|"&amp;L50&amp;"|"&amp;M50&amp;"|"&amp;N50</f>
        <v>ORD12411|31/10/2025|12:43|C1305|Pav Bhaji Point|Mumbai|Street Food|2|145|116|UPI|Delivered|49|</v>
      </c>
      <c r="P50" s="7" t="str">
        <f aca="false">IF(COUNTIF($O$2:O50,O50)&gt;1,"DUP","OK")</f>
        <v>OK</v>
      </c>
      <c r="Q50" s="7" t="n">
        <f aca="false">COUNTBLANK(A50:N50)</f>
        <v>1</v>
      </c>
      <c r="R50" s="7" t="n">
        <f aca="false">IF(A50="",0,COUNTIFS($A$2:$A$3058,A50,$P$2:$P$3058,"OK"))</f>
        <v>1</v>
      </c>
      <c r="S50" s="7" t="str">
        <f aca="false">IF(OR(A50="",P50="DUP",R50&lt;2),"",IF(Q50=_xlfn.MINIFS($Q$2:$Q$3058,$A$2:$A$3058,A50,$P$2:$P$3058,"OK"),"KEEP","DROP"))</f>
        <v/>
      </c>
      <c r="T50" s="9" t="n">
        <f aca="false">IF(A50="",1,0)</f>
        <v>0</v>
      </c>
      <c r="U50" s="9" t="n">
        <f aca="false">IF(D50="",1,0)</f>
        <v>0</v>
      </c>
      <c r="V50" s="9" t="n">
        <f aca="false">IF(E50="",1,0)</f>
        <v>0</v>
      </c>
      <c r="W50" s="9" t="n">
        <f aca="false">IF(OR(H50&lt;1,H50&gt;10),1,0)</f>
        <v>0</v>
      </c>
      <c r="X50" s="9" t="n">
        <f aca="false">IF(OR(I50&lt;=0,I50&gt;1500),1,0)</f>
        <v>0</v>
      </c>
      <c r="Y50" s="9" t="n">
        <f aca="false">IF(J50&gt;H50*I50,1,0)</f>
        <v>0</v>
      </c>
      <c r="Z50" s="9" t="n">
        <f aca="false">IF(AND(N50&lt;&gt;"",OR(N50&lt;1,N50&gt;5)),1,0)</f>
        <v>0</v>
      </c>
      <c r="AA50" s="9" t="n">
        <f aca="false">IF(AND(M50&lt;&gt;"",OR(M50&lt;5,M50&gt;180)),1,0)</f>
        <v>0</v>
      </c>
      <c r="AB50" s="7" t="str">
        <f aca="false">IF(P50="DUP","Exact duplicate row",IF(T50=1,"Missing Order ID",IF(S50="DROP","Duplicate Order ID (less complete row)",IF(U50=1,"Missing Customer ID",IF(V50=1,"Missing Restaurant name",IF(W50=1,"Invalid/outlier quantity",IF(X50=1,"Invalid/outlier unit price",IF(Y50=1,"Discount greater than order value",""))))))))</f>
        <v/>
      </c>
      <c r="AC50" s="7" t="str">
        <f aca="false">IF(AB50="","KEEP","DROP")</f>
        <v>KEEP</v>
      </c>
      <c r="AD50" s="7" t="str">
        <f aca="false">IF(TRIM(F50)="",IFERROR(INDEX(Map_Tables!$I$4:$I$37,MATCH(TRIM(E50),Map_Tables!$G$4:$G$37,0)),""),IFERROR(INDEX(Map_Tables!$B$4:$B$18,MATCH(TRIM(F50),Map_Tables!$A$4:$A$18,0)),"CHECK"))</f>
        <v>Mumbai</v>
      </c>
      <c r="AE50" s="7" t="str">
        <f aca="false">IF(TRIM(E50)="","",IFERROR(INDEX(Map_Tables!$H$4:$H$37,MATCH(TRIM(E50),Map_Tables!$G$4:$G$37,0)),"CHECK"))</f>
        <v>Pav Bhaji Point</v>
      </c>
      <c r="AF50" s="7" t="str">
        <f aca="false">IF(TRIM(K50)="","Unknown",IFERROR(INDEX(Map_Tables!$E$4:$E$15,MATCH(TRIM(K50),Map_Tables!$D$4:$D$15,0)),"CHECK"))</f>
        <v>UPI</v>
      </c>
      <c r="AG50" s="7" t="str">
        <f aca="false">IF(LEFT(LOWER(TRIM(L50)),6)="cancel","Cancelled","Delivered")</f>
        <v>Delivered</v>
      </c>
      <c r="AH50" s="10" t="n">
        <f aca="false">IF(ISNUMBER(SEARCH("/",B50)),DATE(VALUE(RIGHT(B50,4)),VALUE(MID(B50,4,2)),VALUE(LEFT(B50,2))),IF(MID(B50,5,1)="-",DATE(VALUE(LEFT(B50,4)),VALUE(MID(B50,6,2)),VALUE(RIGHT(B50,2))),DATE(VALUE(RIGHT(B50,4)),MATCH(MID(B50,4,3),{"Jan","Feb","Mar","Apr","May","Jun","Jul","Aug","Sep","Oct","Nov","Dec"},0),VALUE(LEFT(B50,2)))))</f>
        <v>45961</v>
      </c>
    </row>
    <row r="51" customFormat="false" ht="15" hidden="false" customHeight="false" outlineLevel="0" collapsed="false">
      <c r="A51" s="7" t="s">
        <v>401</v>
      </c>
      <c r="B51" s="7" t="s">
        <v>402</v>
      </c>
      <c r="C51" s="7" t="s">
        <v>403</v>
      </c>
      <c r="D51" s="7" t="s">
        <v>404</v>
      </c>
      <c r="E51" s="7" t="s">
        <v>163</v>
      </c>
      <c r="F51" s="7" t="s">
        <v>141</v>
      </c>
      <c r="G51" s="7" t="s">
        <v>99</v>
      </c>
      <c r="H51" s="7" t="n">
        <v>3</v>
      </c>
      <c r="I51" s="7" t="n">
        <v>245</v>
      </c>
      <c r="J51" s="7" t="n">
        <v>30</v>
      </c>
      <c r="K51" s="7" t="s">
        <v>103</v>
      </c>
      <c r="L51" s="7" t="s">
        <v>194</v>
      </c>
      <c r="M51" s="7" t="n">
        <v>36</v>
      </c>
      <c r="N51" s="7" t="n">
        <v>4</v>
      </c>
      <c r="O51" s="7" t="str">
        <f aca="false">A51&amp;"|"&amp;B51&amp;"|"&amp;C51&amp;"|"&amp;D51&amp;"|"&amp;E51&amp;"|"&amp;F51&amp;"|"&amp;G51&amp;"|"&amp;H51&amp;"|"&amp;I51&amp;"|"&amp;J51&amp;"|"&amp;K51&amp;"|"&amp;L51&amp;"|"&amp;M51&amp;"|"&amp;N51</f>
        <v>ORD12101|2025-09-28|11:13|C0885|Biryani Baadshah|Kolkata|Biryani|3|245|30|Debit Card|Delivered|36|4</v>
      </c>
      <c r="P51" s="7" t="str">
        <f aca="false">IF(COUNTIF($O$2:O51,O51)&gt;1,"DUP","OK")</f>
        <v>OK</v>
      </c>
      <c r="Q51" s="7" t="n">
        <f aca="false">COUNTBLANK(A51:N51)</f>
        <v>0</v>
      </c>
      <c r="R51" s="7" t="n">
        <f aca="false">IF(A51="",0,COUNTIFS($A$2:$A$3058,A51,$P$2:$P$3058,"OK"))</f>
        <v>1</v>
      </c>
      <c r="S51" s="7" t="str">
        <f aca="false">IF(OR(A51="",P51="DUP",R51&lt;2),"",IF(Q51=_xlfn.MINIFS($Q$2:$Q$3058,$A$2:$A$3058,A51,$P$2:$P$3058,"OK"),"KEEP","DROP"))</f>
        <v/>
      </c>
      <c r="T51" s="9" t="n">
        <f aca="false">IF(A51="",1,0)</f>
        <v>0</v>
      </c>
      <c r="U51" s="9" t="n">
        <f aca="false">IF(D51="",1,0)</f>
        <v>0</v>
      </c>
      <c r="V51" s="9" t="n">
        <f aca="false">IF(E51="",1,0)</f>
        <v>0</v>
      </c>
      <c r="W51" s="9" t="n">
        <f aca="false">IF(OR(H51&lt;1,H51&gt;10),1,0)</f>
        <v>0</v>
      </c>
      <c r="X51" s="9" t="n">
        <f aca="false">IF(OR(I51&lt;=0,I51&gt;1500),1,0)</f>
        <v>0</v>
      </c>
      <c r="Y51" s="9" t="n">
        <f aca="false">IF(J51&gt;H51*I51,1,0)</f>
        <v>0</v>
      </c>
      <c r="Z51" s="9" t="n">
        <f aca="false">IF(AND(N51&lt;&gt;"",OR(N51&lt;1,N51&gt;5)),1,0)</f>
        <v>0</v>
      </c>
      <c r="AA51" s="9" t="n">
        <f aca="false">IF(AND(M51&lt;&gt;"",OR(M51&lt;5,M51&gt;180)),1,0)</f>
        <v>0</v>
      </c>
      <c r="AB51" s="7" t="str">
        <f aca="false">IF(P51="DUP","Exact duplicate row",IF(T51=1,"Missing Order ID",IF(S51="DROP","Duplicate Order ID (less complete row)",IF(U51=1,"Missing Customer ID",IF(V51=1,"Missing Restaurant name",IF(W51=1,"Invalid/outlier quantity",IF(X51=1,"Invalid/outlier unit price",IF(Y51=1,"Discount greater than order value",""))))))))</f>
        <v/>
      </c>
      <c r="AC51" s="7" t="str">
        <f aca="false">IF(AB51="","KEEP","DROP")</f>
        <v>KEEP</v>
      </c>
      <c r="AD51" s="7" t="str">
        <f aca="false">IF(TRIM(F51)="",IFERROR(INDEX(Map_Tables!$I$4:$I$37,MATCH(TRIM(E51),Map_Tables!$G$4:$G$37,0)),""),IFERROR(INDEX(Map_Tables!$B$4:$B$18,MATCH(TRIM(F51),Map_Tables!$A$4:$A$18,0)),"CHECK"))</f>
        <v>Kolkata</v>
      </c>
      <c r="AE51" s="7" t="str">
        <f aca="false">IF(TRIM(E51)="","",IFERROR(INDEX(Map_Tables!$H$4:$H$37,MATCH(TRIM(E51),Map_Tables!$G$4:$G$37,0)),"CHECK"))</f>
        <v>Biryani Baadshah</v>
      </c>
      <c r="AF51" s="7" t="str">
        <f aca="false">IF(TRIM(K51)="","Unknown",IFERROR(INDEX(Map_Tables!$E$4:$E$15,MATCH(TRIM(K51),Map_Tables!$D$4:$D$15,0)),"CHECK"))</f>
        <v>Debit Card</v>
      </c>
      <c r="AG51" s="7" t="str">
        <f aca="false">IF(LEFT(LOWER(TRIM(L51)),6)="cancel","Cancelled","Delivered")</f>
        <v>Delivered</v>
      </c>
      <c r="AH51" s="10" t="n">
        <f aca="false">IF(ISNUMBER(SEARCH("/",B51)),DATE(VALUE(RIGHT(B51,4)),VALUE(MID(B51,4,2)),VALUE(LEFT(B51,2))),IF(MID(B51,5,1)="-",DATE(VALUE(LEFT(B51,4)),VALUE(MID(B51,6,2)),VALUE(RIGHT(B51,2))),DATE(VALUE(RIGHT(B51,4)),MATCH(MID(B51,4,3),{"Jan","Feb","Mar","Apr","May","Jun","Jul","Aug","Sep","Oct","Nov","Dec"},0),VALUE(LEFT(B51,2)))))</f>
        <v>45928</v>
      </c>
    </row>
    <row r="52" customFormat="false" ht="15" hidden="false" customHeight="false" outlineLevel="0" collapsed="false">
      <c r="A52" s="7" t="s">
        <v>405</v>
      </c>
      <c r="B52" s="7" t="s">
        <v>406</v>
      </c>
      <c r="C52" s="7" t="s">
        <v>407</v>
      </c>
      <c r="D52" s="7" t="s">
        <v>408</v>
      </c>
      <c r="E52" s="7" t="s">
        <v>104</v>
      </c>
      <c r="F52" s="7" t="s">
        <v>86</v>
      </c>
      <c r="G52" s="7" t="s">
        <v>105</v>
      </c>
      <c r="H52" s="7" t="n">
        <v>2</v>
      </c>
      <c r="I52" s="7" t="n">
        <v>240</v>
      </c>
      <c r="J52" s="7" t="n">
        <v>75</v>
      </c>
      <c r="K52" s="7" t="s">
        <v>88</v>
      </c>
      <c r="L52" s="7" t="s">
        <v>194</v>
      </c>
      <c r="M52" s="7" t="n">
        <v>43</v>
      </c>
      <c r="N52" s="7" t="n">
        <v>3</v>
      </c>
      <c r="O52" s="7" t="str">
        <f aca="false">A52&amp;"|"&amp;B52&amp;"|"&amp;C52&amp;"|"&amp;D52&amp;"|"&amp;E52&amp;"|"&amp;F52&amp;"|"&amp;G52&amp;"|"&amp;H52&amp;"|"&amp;I52&amp;"|"&amp;J52&amp;"|"&amp;K52&amp;"|"&amp;L52&amp;"|"&amp;M52&amp;"|"&amp;N52</f>
        <v>ORD10718|2025-04-01|22:42|C0166|Wok &amp; Roll|Bengaluru|Chinese|2|240|75|UPI|Delivered|43|3</v>
      </c>
      <c r="P52" s="7" t="str">
        <f aca="false">IF(COUNTIF($O$2:O52,O52)&gt;1,"DUP","OK")</f>
        <v>OK</v>
      </c>
      <c r="Q52" s="7" t="n">
        <f aca="false">COUNTBLANK(A52:N52)</f>
        <v>0</v>
      </c>
      <c r="R52" s="7" t="n">
        <f aca="false">IF(A52="",0,COUNTIFS($A$2:$A$3058,A52,$P$2:$P$3058,"OK"))</f>
        <v>1</v>
      </c>
      <c r="S52" s="7" t="str">
        <f aca="false">IF(OR(A52="",P52="DUP",R52&lt;2),"",IF(Q52=_xlfn.MINIFS($Q$2:$Q$3058,$A$2:$A$3058,A52,$P$2:$P$3058,"OK"),"KEEP","DROP"))</f>
        <v/>
      </c>
      <c r="T52" s="9" t="n">
        <f aca="false">IF(A52="",1,0)</f>
        <v>0</v>
      </c>
      <c r="U52" s="9" t="n">
        <f aca="false">IF(D52="",1,0)</f>
        <v>0</v>
      </c>
      <c r="V52" s="9" t="n">
        <f aca="false">IF(E52="",1,0)</f>
        <v>0</v>
      </c>
      <c r="W52" s="9" t="n">
        <f aca="false">IF(OR(H52&lt;1,H52&gt;10),1,0)</f>
        <v>0</v>
      </c>
      <c r="X52" s="9" t="n">
        <f aca="false">IF(OR(I52&lt;=0,I52&gt;1500),1,0)</f>
        <v>0</v>
      </c>
      <c r="Y52" s="9" t="n">
        <f aca="false">IF(J52&gt;H52*I52,1,0)</f>
        <v>0</v>
      </c>
      <c r="Z52" s="9" t="n">
        <f aca="false">IF(AND(N52&lt;&gt;"",OR(N52&lt;1,N52&gt;5)),1,0)</f>
        <v>0</v>
      </c>
      <c r="AA52" s="9" t="n">
        <f aca="false">IF(AND(M52&lt;&gt;"",OR(M52&lt;5,M52&gt;180)),1,0)</f>
        <v>0</v>
      </c>
      <c r="AB52" s="7" t="str">
        <f aca="false">IF(P52="DUP","Exact duplicate row",IF(T52=1,"Missing Order ID",IF(S52="DROP","Duplicate Order ID (less complete row)",IF(U52=1,"Missing Customer ID",IF(V52=1,"Missing Restaurant name",IF(W52=1,"Invalid/outlier quantity",IF(X52=1,"Invalid/outlier unit price",IF(Y52=1,"Discount greater than order value",""))))))))</f>
        <v/>
      </c>
      <c r="AC52" s="7" t="str">
        <f aca="false">IF(AB52="","KEEP","DROP")</f>
        <v>KEEP</v>
      </c>
      <c r="AD52" s="7" t="str">
        <f aca="false">IF(TRIM(F52)="",IFERROR(INDEX(Map_Tables!$I$4:$I$37,MATCH(TRIM(E52),Map_Tables!$G$4:$G$37,0)),""),IFERROR(INDEX(Map_Tables!$B$4:$B$18,MATCH(TRIM(F52),Map_Tables!$A$4:$A$18,0)),"CHECK"))</f>
        <v>Bengaluru</v>
      </c>
      <c r="AE52" s="7" t="str">
        <f aca="false">IF(TRIM(E52)="","",IFERROR(INDEX(Map_Tables!$H$4:$H$37,MATCH(TRIM(E52),Map_Tables!$G$4:$G$37,0)),"CHECK"))</f>
        <v>Wok &amp; Roll</v>
      </c>
      <c r="AF52" s="7" t="str">
        <f aca="false">IF(TRIM(K52)="","Unknown",IFERROR(INDEX(Map_Tables!$E$4:$E$15,MATCH(TRIM(K52),Map_Tables!$D$4:$D$15,0)),"CHECK"))</f>
        <v>UPI</v>
      </c>
      <c r="AG52" s="7" t="str">
        <f aca="false">IF(LEFT(LOWER(TRIM(L52)),6)="cancel","Cancelled","Delivered")</f>
        <v>Delivered</v>
      </c>
      <c r="AH52" s="10" t="n">
        <f aca="false">IF(ISNUMBER(SEARCH("/",B52)),DATE(VALUE(RIGHT(B52,4)),VALUE(MID(B52,4,2)),VALUE(LEFT(B52,2))),IF(MID(B52,5,1)="-",DATE(VALUE(LEFT(B52,4)),VALUE(MID(B52,6,2)),VALUE(RIGHT(B52,2))),DATE(VALUE(RIGHT(B52,4)),MATCH(MID(B52,4,3),{"Jan","Feb","Mar","Apr","May","Jun","Jul","Aug","Sep","Oct","Nov","Dec"},0),VALUE(LEFT(B52,2)))))</f>
        <v>45748</v>
      </c>
    </row>
    <row r="53" customFormat="false" ht="15" hidden="false" customHeight="false" outlineLevel="0" collapsed="false">
      <c r="A53" s="7" t="s">
        <v>409</v>
      </c>
      <c r="B53" s="7" t="s">
        <v>410</v>
      </c>
      <c r="C53" s="7" t="s">
        <v>411</v>
      </c>
      <c r="D53" s="7" t="s">
        <v>412</v>
      </c>
      <c r="E53" s="7" t="s">
        <v>113</v>
      </c>
      <c r="F53" s="7" t="s">
        <v>101</v>
      </c>
      <c r="G53" s="7" t="s">
        <v>90</v>
      </c>
      <c r="H53" s="7" t="n">
        <v>1</v>
      </c>
      <c r="I53" s="7" t="n">
        <v>220</v>
      </c>
      <c r="J53" s="7" t="n">
        <v>30</v>
      </c>
      <c r="K53" s="7" t="s">
        <v>88</v>
      </c>
      <c r="L53" s="7" t="s">
        <v>194</v>
      </c>
      <c r="M53" s="7" t="n">
        <v>36</v>
      </c>
      <c r="N53" s="7" t="n">
        <v>4</v>
      </c>
      <c r="O53" s="7" t="str">
        <f aca="false">A53&amp;"|"&amp;B53&amp;"|"&amp;C53&amp;"|"&amp;D53&amp;"|"&amp;E53&amp;"|"&amp;F53&amp;"|"&amp;G53&amp;"|"&amp;H53&amp;"|"&amp;I53&amp;"|"&amp;J53&amp;"|"&amp;K53&amp;"|"&amp;L53&amp;"|"&amp;M53&amp;"|"&amp;N53</f>
        <v>ORD10276|2025-02-07|18:00|C1426|Curry Leaf Kitchen|Mumbai|North Indian|1|220|30|UPI|Delivered|36|4</v>
      </c>
      <c r="P53" s="7" t="str">
        <f aca="false">IF(COUNTIF($O$2:O53,O53)&gt;1,"DUP","OK")</f>
        <v>OK</v>
      </c>
      <c r="Q53" s="7" t="n">
        <f aca="false">COUNTBLANK(A53:N53)</f>
        <v>0</v>
      </c>
      <c r="R53" s="7" t="n">
        <f aca="false">IF(A53="",0,COUNTIFS($A$2:$A$3058,A53,$P$2:$P$3058,"OK"))</f>
        <v>1</v>
      </c>
      <c r="S53" s="7" t="str">
        <f aca="false">IF(OR(A53="",P53="DUP",R53&lt;2),"",IF(Q53=_xlfn.MINIFS($Q$2:$Q$3058,$A$2:$A$3058,A53,$P$2:$P$3058,"OK"),"KEEP","DROP"))</f>
        <v/>
      </c>
      <c r="T53" s="9" t="n">
        <f aca="false">IF(A53="",1,0)</f>
        <v>0</v>
      </c>
      <c r="U53" s="9" t="n">
        <f aca="false">IF(D53="",1,0)</f>
        <v>0</v>
      </c>
      <c r="V53" s="9" t="n">
        <f aca="false">IF(E53="",1,0)</f>
        <v>0</v>
      </c>
      <c r="W53" s="9" t="n">
        <f aca="false">IF(OR(H53&lt;1,H53&gt;10),1,0)</f>
        <v>0</v>
      </c>
      <c r="X53" s="9" t="n">
        <f aca="false">IF(OR(I53&lt;=0,I53&gt;1500),1,0)</f>
        <v>0</v>
      </c>
      <c r="Y53" s="9" t="n">
        <f aca="false">IF(J53&gt;H53*I53,1,0)</f>
        <v>0</v>
      </c>
      <c r="Z53" s="9" t="n">
        <f aca="false">IF(AND(N53&lt;&gt;"",OR(N53&lt;1,N53&gt;5)),1,0)</f>
        <v>0</v>
      </c>
      <c r="AA53" s="9" t="n">
        <f aca="false">IF(AND(M53&lt;&gt;"",OR(M53&lt;5,M53&gt;180)),1,0)</f>
        <v>0</v>
      </c>
      <c r="AB53" s="7" t="str">
        <f aca="false">IF(P53="DUP","Exact duplicate row",IF(T53=1,"Missing Order ID",IF(S53="DROP","Duplicate Order ID (less complete row)",IF(U53=1,"Missing Customer ID",IF(V53=1,"Missing Restaurant name",IF(W53=1,"Invalid/outlier quantity",IF(X53=1,"Invalid/outlier unit price",IF(Y53=1,"Discount greater than order value",""))))))))</f>
        <v/>
      </c>
      <c r="AC53" s="7" t="str">
        <f aca="false">IF(AB53="","KEEP","DROP")</f>
        <v>KEEP</v>
      </c>
      <c r="AD53" s="7" t="str">
        <f aca="false">IF(TRIM(F53)="",IFERROR(INDEX(Map_Tables!$I$4:$I$37,MATCH(TRIM(E53),Map_Tables!$G$4:$G$37,0)),""),IFERROR(INDEX(Map_Tables!$B$4:$B$18,MATCH(TRIM(F53),Map_Tables!$A$4:$A$18,0)),"CHECK"))</f>
        <v>Mumbai</v>
      </c>
      <c r="AE53" s="7" t="str">
        <f aca="false">IF(TRIM(E53)="","",IFERROR(INDEX(Map_Tables!$H$4:$H$37,MATCH(TRIM(E53),Map_Tables!$G$4:$G$37,0)),"CHECK"))</f>
        <v>Curry Leaf Kitchen</v>
      </c>
      <c r="AF53" s="7" t="str">
        <f aca="false">IF(TRIM(K53)="","Unknown",IFERROR(INDEX(Map_Tables!$E$4:$E$15,MATCH(TRIM(K53),Map_Tables!$D$4:$D$15,0)),"CHECK"))</f>
        <v>UPI</v>
      </c>
      <c r="AG53" s="7" t="str">
        <f aca="false">IF(LEFT(LOWER(TRIM(L53)),6)="cancel","Cancelled","Delivered")</f>
        <v>Delivered</v>
      </c>
      <c r="AH53" s="10" t="n">
        <f aca="false">IF(ISNUMBER(SEARCH("/",B53)),DATE(VALUE(RIGHT(B53,4)),VALUE(MID(B53,4,2)),VALUE(LEFT(B53,2))),IF(MID(B53,5,1)="-",DATE(VALUE(LEFT(B53,4)),VALUE(MID(B53,6,2)),VALUE(RIGHT(B53,2))),DATE(VALUE(RIGHT(B53,4)),MATCH(MID(B53,4,3),{"Jan","Feb","Mar","Apr","May","Jun","Jul","Aug","Sep","Oct","Nov","Dec"},0),VALUE(LEFT(B53,2)))))</f>
        <v>45695</v>
      </c>
    </row>
    <row r="54" customFormat="false" ht="15" hidden="false" customHeight="false" outlineLevel="0" collapsed="false">
      <c r="A54" s="7" t="s">
        <v>413</v>
      </c>
      <c r="B54" s="7" t="s">
        <v>414</v>
      </c>
      <c r="C54" s="7" t="s">
        <v>415</v>
      </c>
      <c r="D54" s="7" t="s">
        <v>416</v>
      </c>
      <c r="E54" s="7" t="s">
        <v>154</v>
      </c>
      <c r="F54" s="7" t="s">
        <v>128</v>
      </c>
      <c r="G54" s="7" t="s">
        <v>99</v>
      </c>
      <c r="H54" s="7" t="n">
        <v>1</v>
      </c>
      <c r="I54" s="7" t="n">
        <v>290</v>
      </c>
      <c r="J54" s="7" t="n">
        <v>116</v>
      </c>
      <c r="K54" s="7" t="s">
        <v>88</v>
      </c>
      <c r="L54" s="7" t="s">
        <v>194</v>
      </c>
      <c r="M54" s="7" t="n">
        <v>26</v>
      </c>
      <c r="N54" s="7" t="n">
        <v>2</v>
      </c>
      <c r="O54" s="7" t="str">
        <f aca="false">A54&amp;"|"&amp;B54&amp;"|"&amp;C54&amp;"|"&amp;D54&amp;"|"&amp;E54&amp;"|"&amp;F54&amp;"|"&amp;G54&amp;"|"&amp;H54&amp;"|"&amp;I54&amp;"|"&amp;J54&amp;"|"&amp;K54&amp;"|"&amp;L54&amp;"|"&amp;M54&amp;"|"&amp;N54</f>
        <v>ORD10416|2025-02-25|18:58|C0410|Madras Biryani Co|Chennai|Biryani|1|290|116|UPI|Delivered|26|2</v>
      </c>
      <c r="P54" s="7" t="str">
        <f aca="false">IF(COUNTIF($O$2:O54,O54)&gt;1,"DUP","OK")</f>
        <v>OK</v>
      </c>
      <c r="Q54" s="7" t="n">
        <f aca="false">COUNTBLANK(A54:N54)</f>
        <v>0</v>
      </c>
      <c r="R54" s="7" t="n">
        <f aca="false">IF(A54="",0,COUNTIFS($A$2:$A$3058,A54,$P$2:$P$3058,"OK"))</f>
        <v>1</v>
      </c>
      <c r="S54" s="7" t="str">
        <f aca="false">IF(OR(A54="",P54="DUP",R54&lt;2),"",IF(Q54=_xlfn.MINIFS($Q$2:$Q$3058,$A$2:$A$3058,A54,$P$2:$P$3058,"OK"),"KEEP","DROP"))</f>
        <v/>
      </c>
      <c r="T54" s="9" t="n">
        <f aca="false">IF(A54="",1,0)</f>
        <v>0</v>
      </c>
      <c r="U54" s="9" t="n">
        <f aca="false">IF(D54="",1,0)</f>
        <v>0</v>
      </c>
      <c r="V54" s="9" t="n">
        <f aca="false">IF(E54="",1,0)</f>
        <v>0</v>
      </c>
      <c r="W54" s="9" t="n">
        <f aca="false">IF(OR(H54&lt;1,H54&gt;10),1,0)</f>
        <v>0</v>
      </c>
      <c r="X54" s="9" t="n">
        <f aca="false">IF(OR(I54&lt;=0,I54&gt;1500),1,0)</f>
        <v>0</v>
      </c>
      <c r="Y54" s="9" t="n">
        <f aca="false">IF(J54&gt;H54*I54,1,0)</f>
        <v>0</v>
      </c>
      <c r="Z54" s="9" t="n">
        <f aca="false">IF(AND(N54&lt;&gt;"",OR(N54&lt;1,N54&gt;5)),1,0)</f>
        <v>0</v>
      </c>
      <c r="AA54" s="9" t="n">
        <f aca="false">IF(AND(M54&lt;&gt;"",OR(M54&lt;5,M54&gt;180)),1,0)</f>
        <v>0</v>
      </c>
      <c r="AB54" s="7" t="str">
        <f aca="false">IF(P54="DUP","Exact duplicate row",IF(T54=1,"Missing Order ID",IF(S54="DROP","Duplicate Order ID (less complete row)",IF(U54=1,"Missing Customer ID",IF(V54=1,"Missing Restaurant name",IF(W54=1,"Invalid/outlier quantity",IF(X54=1,"Invalid/outlier unit price",IF(Y54=1,"Discount greater than order value",""))))))))</f>
        <v/>
      </c>
      <c r="AC54" s="7" t="str">
        <f aca="false">IF(AB54="","KEEP","DROP")</f>
        <v>KEEP</v>
      </c>
      <c r="AD54" s="7" t="str">
        <f aca="false">IF(TRIM(F54)="",IFERROR(INDEX(Map_Tables!$I$4:$I$37,MATCH(TRIM(E54),Map_Tables!$G$4:$G$37,0)),""),IFERROR(INDEX(Map_Tables!$B$4:$B$18,MATCH(TRIM(F54),Map_Tables!$A$4:$A$18,0)),"CHECK"))</f>
        <v>Chennai</v>
      </c>
      <c r="AE54" s="7" t="str">
        <f aca="false">IF(TRIM(E54)="","",IFERROR(INDEX(Map_Tables!$H$4:$H$37,MATCH(TRIM(E54),Map_Tables!$G$4:$G$37,0)),"CHECK"))</f>
        <v>Madras Biryani Co</v>
      </c>
      <c r="AF54" s="7" t="str">
        <f aca="false">IF(TRIM(K54)="","Unknown",IFERROR(INDEX(Map_Tables!$E$4:$E$15,MATCH(TRIM(K54),Map_Tables!$D$4:$D$15,0)),"CHECK"))</f>
        <v>UPI</v>
      </c>
      <c r="AG54" s="7" t="str">
        <f aca="false">IF(LEFT(LOWER(TRIM(L54)),6)="cancel","Cancelled","Delivered")</f>
        <v>Delivered</v>
      </c>
      <c r="AH54" s="10" t="n">
        <f aca="false">IF(ISNUMBER(SEARCH("/",B54)),DATE(VALUE(RIGHT(B54,4)),VALUE(MID(B54,4,2)),VALUE(LEFT(B54,2))),IF(MID(B54,5,1)="-",DATE(VALUE(LEFT(B54,4)),VALUE(MID(B54,6,2)),VALUE(RIGHT(B54,2))),DATE(VALUE(RIGHT(B54,4)),MATCH(MID(B54,4,3),{"Jan","Feb","Mar","Apr","May","Jun","Jul","Aug","Sep","Oct","Nov","Dec"},0),VALUE(LEFT(B54,2)))))</f>
        <v>45713</v>
      </c>
    </row>
    <row r="55" customFormat="false" ht="15" hidden="false" customHeight="false" outlineLevel="0" collapsed="false">
      <c r="A55" s="7" t="s">
        <v>417</v>
      </c>
      <c r="B55" s="7" t="s">
        <v>418</v>
      </c>
      <c r="C55" s="7" t="s">
        <v>419</v>
      </c>
      <c r="D55" s="7" t="s">
        <v>420</v>
      </c>
      <c r="E55" s="7" t="s">
        <v>94</v>
      </c>
      <c r="F55" s="7" t="s">
        <v>86</v>
      </c>
      <c r="G55" s="7" t="s">
        <v>95</v>
      </c>
      <c r="H55" s="7" t="n">
        <v>1</v>
      </c>
      <c r="I55" s="7" t="n">
        <v>120</v>
      </c>
      <c r="J55" s="7" t="n">
        <v>20</v>
      </c>
      <c r="K55" s="7" t="s">
        <v>421</v>
      </c>
      <c r="L55" s="7" t="s">
        <v>238</v>
      </c>
      <c r="M55" s="7"/>
      <c r="N55" s="7"/>
      <c r="O55" s="7" t="str">
        <f aca="false">A55&amp;"|"&amp;B55&amp;"|"&amp;C55&amp;"|"&amp;D55&amp;"|"&amp;E55&amp;"|"&amp;F55&amp;"|"&amp;G55&amp;"|"&amp;H55&amp;"|"&amp;I55&amp;"|"&amp;J55&amp;"|"&amp;K55&amp;"|"&amp;L55&amp;"|"&amp;M55&amp;"|"&amp;N55</f>
        <v>ORD12262|2025-10-14|10:45|C1122|Dosa Darbar|Bengaluru|South Indian|1|120|20|UPI |Cancelled||</v>
      </c>
      <c r="P55" s="7" t="str">
        <f aca="false">IF(COUNTIF($O$2:O55,O55)&gt;1,"DUP","OK")</f>
        <v>OK</v>
      </c>
      <c r="Q55" s="7" t="n">
        <f aca="false">COUNTBLANK(A55:N55)</f>
        <v>2</v>
      </c>
      <c r="R55" s="7" t="n">
        <f aca="false">IF(A55="",0,COUNTIFS($A$2:$A$3058,A55,$P$2:$P$3058,"OK"))</f>
        <v>1</v>
      </c>
      <c r="S55" s="7" t="str">
        <f aca="false">IF(OR(A55="",P55="DUP",R55&lt;2),"",IF(Q55=_xlfn.MINIFS($Q$2:$Q$3058,$A$2:$A$3058,A55,$P$2:$P$3058,"OK"),"KEEP","DROP"))</f>
        <v/>
      </c>
      <c r="T55" s="9" t="n">
        <f aca="false">IF(A55="",1,0)</f>
        <v>0</v>
      </c>
      <c r="U55" s="9" t="n">
        <f aca="false">IF(D55="",1,0)</f>
        <v>0</v>
      </c>
      <c r="V55" s="9" t="n">
        <f aca="false">IF(E55="",1,0)</f>
        <v>0</v>
      </c>
      <c r="W55" s="9" t="n">
        <f aca="false">IF(OR(H55&lt;1,H55&gt;10),1,0)</f>
        <v>0</v>
      </c>
      <c r="X55" s="9" t="n">
        <f aca="false">IF(OR(I55&lt;=0,I55&gt;1500),1,0)</f>
        <v>0</v>
      </c>
      <c r="Y55" s="9" t="n">
        <f aca="false">IF(J55&gt;H55*I55,1,0)</f>
        <v>0</v>
      </c>
      <c r="Z55" s="9" t="n">
        <f aca="false">IF(AND(N55&lt;&gt;"",OR(N55&lt;1,N55&gt;5)),1,0)</f>
        <v>0</v>
      </c>
      <c r="AA55" s="9" t="n">
        <f aca="false">IF(AND(M55&lt;&gt;"",OR(M55&lt;5,M55&gt;180)),1,0)</f>
        <v>0</v>
      </c>
      <c r="AB55" s="7" t="str">
        <f aca="false">IF(P55="DUP","Exact duplicate row",IF(T55=1,"Missing Order ID",IF(S55="DROP","Duplicate Order ID (less complete row)",IF(U55=1,"Missing Customer ID",IF(V55=1,"Missing Restaurant name",IF(W55=1,"Invalid/outlier quantity",IF(X55=1,"Invalid/outlier unit price",IF(Y55=1,"Discount greater than order value",""))))))))</f>
        <v/>
      </c>
      <c r="AC55" s="7" t="str">
        <f aca="false">IF(AB55="","KEEP","DROP")</f>
        <v>KEEP</v>
      </c>
      <c r="AD55" s="7" t="str">
        <f aca="false">IF(TRIM(F55)="",IFERROR(INDEX(Map_Tables!$I$4:$I$37,MATCH(TRIM(E55),Map_Tables!$G$4:$G$37,0)),""),IFERROR(INDEX(Map_Tables!$B$4:$B$18,MATCH(TRIM(F55),Map_Tables!$A$4:$A$18,0)),"CHECK"))</f>
        <v>Bengaluru</v>
      </c>
      <c r="AE55" s="7" t="str">
        <f aca="false">IF(TRIM(E55)="","",IFERROR(INDEX(Map_Tables!$H$4:$H$37,MATCH(TRIM(E55),Map_Tables!$G$4:$G$37,0)),"CHECK"))</f>
        <v>Dosa Darbar</v>
      </c>
      <c r="AF55" s="7" t="str">
        <f aca="false">IF(TRIM(K55)="","Unknown",IFERROR(INDEX(Map_Tables!$E$4:$E$15,MATCH(TRIM(K55),Map_Tables!$D$4:$D$15,0)),"CHECK"))</f>
        <v>UPI</v>
      </c>
      <c r="AG55" s="7" t="str">
        <f aca="false">IF(LEFT(LOWER(TRIM(L55)),6)="cancel","Cancelled","Delivered")</f>
        <v>Cancelled</v>
      </c>
      <c r="AH55" s="10" t="n">
        <f aca="false">IF(ISNUMBER(SEARCH("/",B55)),DATE(VALUE(RIGHT(B55,4)),VALUE(MID(B55,4,2)),VALUE(LEFT(B55,2))),IF(MID(B55,5,1)="-",DATE(VALUE(LEFT(B55,4)),VALUE(MID(B55,6,2)),VALUE(RIGHT(B55,2))),DATE(VALUE(RIGHT(B55,4)),MATCH(MID(B55,4,3),{"Jan","Feb","Mar","Apr","May","Jun","Jul","Aug","Sep","Oct","Nov","Dec"},0),VALUE(LEFT(B55,2)))))</f>
        <v>45944</v>
      </c>
    </row>
    <row r="56" customFormat="false" ht="15" hidden="false" customHeight="false" outlineLevel="0" collapsed="false">
      <c r="A56" s="7" t="s">
        <v>422</v>
      </c>
      <c r="B56" s="7" t="s">
        <v>423</v>
      </c>
      <c r="C56" s="7" t="s">
        <v>424</v>
      </c>
      <c r="D56" s="7" t="s">
        <v>425</v>
      </c>
      <c r="E56" s="7" t="s">
        <v>155</v>
      </c>
      <c r="F56" s="7" t="s">
        <v>128</v>
      </c>
      <c r="G56" s="7" t="s">
        <v>156</v>
      </c>
      <c r="H56" s="7" t="n">
        <v>1</v>
      </c>
      <c r="I56" s="7" t="n">
        <v>250</v>
      </c>
      <c r="J56" s="7" t="n">
        <v>0</v>
      </c>
      <c r="K56" s="7" t="s">
        <v>88</v>
      </c>
      <c r="L56" s="7" t="s">
        <v>194</v>
      </c>
      <c r="M56" s="7" t="n">
        <v>39</v>
      </c>
      <c r="N56" s="7" t="n">
        <v>5</v>
      </c>
      <c r="O56" s="7" t="str">
        <f aca="false">A56&amp;"|"&amp;B56&amp;"|"&amp;C56&amp;"|"&amp;D56&amp;"|"&amp;E56&amp;"|"&amp;F56&amp;"|"&amp;G56&amp;"|"&amp;H56&amp;"|"&amp;I56&amp;"|"&amp;J56&amp;"|"&amp;K56&amp;"|"&amp;L56&amp;"|"&amp;M56&amp;"|"&amp;N56</f>
        <v>ORD12920|23-Dec-2025|00:41|C1386|Green Bowl Kitchen|Chennai|Healthy Food|1|250|0|UPI|Delivered|39|5</v>
      </c>
      <c r="P56" s="7" t="str">
        <f aca="false">IF(COUNTIF($O$2:O56,O56)&gt;1,"DUP","OK")</f>
        <v>OK</v>
      </c>
      <c r="Q56" s="7" t="n">
        <f aca="false">COUNTBLANK(A56:N56)</f>
        <v>0</v>
      </c>
      <c r="R56" s="7" t="n">
        <f aca="false">IF(A56="",0,COUNTIFS($A$2:$A$3058,A56,$P$2:$P$3058,"OK"))</f>
        <v>1</v>
      </c>
      <c r="S56" s="7" t="str">
        <f aca="false">IF(OR(A56="",P56="DUP",R56&lt;2),"",IF(Q56=_xlfn.MINIFS($Q$2:$Q$3058,$A$2:$A$3058,A56,$P$2:$P$3058,"OK"),"KEEP","DROP"))</f>
        <v/>
      </c>
      <c r="T56" s="9" t="n">
        <f aca="false">IF(A56="",1,0)</f>
        <v>0</v>
      </c>
      <c r="U56" s="9" t="n">
        <f aca="false">IF(D56="",1,0)</f>
        <v>0</v>
      </c>
      <c r="V56" s="9" t="n">
        <f aca="false">IF(E56="",1,0)</f>
        <v>0</v>
      </c>
      <c r="W56" s="9" t="n">
        <f aca="false">IF(OR(H56&lt;1,H56&gt;10),1,0)</f>
        <v>0</v>
      </c>
      <c r="X56" s="9" t="n">
        <f aca="false">IF(OR(I56&lt;=0,I56&gt;1500),1,0)</f>
        <v>0</v>
      </c>
      <c r="Y56" s="9" t="n">
        <f aca="false">IF(J56&gt;H56*I56,1,0)</f>
        <v>0</v>
      </c>
      <c r="Z56" s="9" t="n">
        <f aca="false">IF(AND(N56&lt;&gt;"",OR(N56&lt;1,N56&gt;5)),1,0)</f>
        <v>0</v>
      </c>
      <c r="AA56" s="9" t="n">
        <f aca="false">IF(AND(M56&lt;&gt;"",OR(M56&lt;5,M56&gt;180)),1,0)</f>
        <v>0</v>
      </c>
      <c r="AB56" s="7" t="str">
        <f aca="false">IF(P56="DUP","Exact duplicate row",IF(T56=1,"Missing Order ID",IF(S56="DROP","Duplicate Order ID (less complete row)",IF(U56=1,"Missing Customer ID",IF(V56=1,"Missing Restaurant name",IF(W56=1,"Invalid/outlier quantity",IF(X56=1,"Invalid/outlier unit price",IF(Y56=1,"Discount greater than order value",""))))))))</f>
        <v/>
      </c>
      <c r="AC56" s="7" t="str">
        <f aca="false">IF(AB56="","KEEP","DROP")</f>
        <v>KEEP</v>
      </c>
      <c r="AD56" s="7" t="str">
        <f aca="false">IF(TRIM(F56)="",IFERROR(INDEX(Map_Tables!$I$4:$I$37,MATCH(TRIM(E56),Map_Tables!$G$4:$G$37,0)),""),IFERROR(INDEX(Map_Tables!$B$4:$B$18,MATCH(TRIM(F56),Map_Tables!$A$4:$A$18,0)),"CHECK"))</f>
        <v>Chennai</v>
      </c>
      <c r="AE56" s="7" t="str">
        <f aca="false">IF(TRIM(E56)="","",IFERROR(INDEX(Map_Tables!$H$4:$H$37,MATCH(TRIM(E56),Map_Tables!$G$4:$G$37,0)),"CHECK"))</f>
        <v>Green Bowl Kitchen</v>
      </c>
      <c r="AF56" s="7" t="str">
        <f aca="false">IF(TRIM(K56)="","Unknown",IFERROR(INDEX(Map_Tables!$E$4:$E$15,MATCH(TRIM(K56),Map_Tables!$D$4:$D$15,0)),"CHECK"))</f>
        <v>UPI</v>
      </c>
      <c r="AG56" s="7" t="str">
        <f aca="false">IF(LEFT(LOWER(TRIM(L56)),6)="cancel","Cancelled","Delivered")</f>
        <v>Delivered</v>
      </c>
      <c r="AH56" s="10" t="n">
        <f aca="false">IF(ISNUMBER(SEARCH("/",B56)),DATE(VALUE(RIGHT(B56,4)),VALUE(MID(B56,4,2)),VALUE(LEFT(B56,2))),IF(MID(B56,5,1)="-",DATE(VALUE(LEFT(B56,4)),VALUE(MID(B56,6,2)),VALUE(RIGHT(B56,2))),DATE(VALUE(RIGHT(B56,4)),MATCH(MID(B56,4,3),{"Jan","Feb","Mar","Apr","May","Jun","Jul","Aug","Sep","Oct","Nov","Dec"},0),VALUE(LEFT(B56,2)))))</f>
        <v>46014</v>
      </c>
    </row>
    <row r="57" customFormat="false" ht="15" hidden="false" customHeight="false" outlineLevel="0" collapsed="false">
      <c r="A57" s="7" t="s">
        <v>426</v>
      </c>
      <c r="B57" s="7" t="s">
        <v>427</v>
      </c>
      <c r="C57" s="7" t="s">
        <v>428</v>
      </c>
      <c r="D57" s="7" t="s">
        <v>429</v>
      </c>
      <c r="E57" s="7" t="s">
        <v>430</v>
      </c>
      <c r="F57" s="7" t="s">
        <v>101</v>
      </c>
      <c r="G57" s="7" t="s">
        <v>117</v>
      </c>
      <c r="H57" s="7" t="n">
        <v>1</v>
      </c>
      <c r="I57" s="7" t="n">
        <v>120</v>
      </c>
      <c r="J57" s="7" t="n">
        <v>0</v>
      </c>
      <c r="K57" s="7" t="s">
        <v>88</v>
      </c>
      <c r="L57" s="7" t="s">
        <v>194</v>
      </c>
      <c r="M57" s="7" t="n">
        <v>48</v>
      </c>
      <c r="N57" s="7" t="n">
        <v>3</v>
      </c>
      <c r="O57" s="7" t="str">
        <f aca="false">A57&amp;"|"&amp;B57&amp;"|"&amp;C57&amp;"|"&amp;D57&amp;"|"&amp;E57&amp;"|"&amp;F57&amp;"|"&amp;G57&amp;"|"&amp;H57&amp;"|"&amp;I57&amp;"|"&amp;J57&amp;"|"&amp;K57&amp;"|"&amp;L57&amp;"|"&amp;M57&amp;"|"&amp;N57</f>
        <v>ORD11814|2025-08-25|10:24|C1150| Pav Bhaji Point|Mumbai|Street Food|1|120|0|UPI|Delivered|48|3</v>
      </c>
      <c r="P57" s="7" t="str">
        <f aca="false">IF(COUNTIF($O$2:O57,O57)&gt;1,"DUP","OK")</f>
        <v>OK</v>
      </c>
      <c r="Q57" s="7" t="n">
        <f aca="false">COUNTBLANK(A57:N57)</f>
        <v>0</v>
      </c>
      <c r="R57" s="7" t="n">
        <f aca="false">IF(A57="",0,COUNTIFS($A$2:$A$3058,A57,$P$2:$P$3058,"OK"))</f>
        <v>1</v>
      </c>
      <c r="S57" s="7" t="str">
        <f aca="false">IF(OR(A57="",P57="DUP",R57&lt;2),"",IF(Q57=_xlfn.MINIFS($Q$2:$Q$3058,$A$2:$A$3058,A57,$P$2:$P$3058,"OK"),"KEEP","DROP"))</f>
        <v/>
      </c>
      <c r="T57" s="9" t="n">
        <f aca="false">IF(A57="",1,0)</f>
        <v>0</v>
      </c>
      <c r="U57" s="9" t="n">
        <f aca="false">IF(D57="",1,0)</f>
        <v>0</v>
      </c>
      <c r="V57" s="9" t="n">
        <f aca="false">IF(E57="",1,0)</f>
        <v>0</v>
      </c>
      <c r="W57" s="9" t="n">
        <f aca="false">IF(OR(H57&lt;1,H57&gt;10),1,0)</f>
        <v>0</v>
      </c>
      <c r="X57" s="9" t="n">
        <f aca="false">IF(OR(I57&lt;=0,I57&gt;1500),1,0)</f>
        <v>0</v>
      </c>
      <c r="Y57" s="9" t="n">
        <f aca="false">IF(J57&gt;H57*I57,1,0)</f>
        <v>0</v>
      </c>
      <c r="Z57" s="9" t="n">
        <f aca="false">IF(AND(N57&lt;&gt;"",OR(N57&lt;1,N57&gt;5)),1,0)</f>
        <v>0</v>
      </c>
      <c r="AA57" s="9" t="n">
        <f aca="false">IF(AND(M57&lt;&gt;"",OR(M57&lt;5,M57&gt;180)),1,0)</f>
        <v>0</v>
      </c>
      <c r="AB57" s="7" t="str">
        <f aca="false">IF(P57="DUP","Exact duplicate row",IF(T57=1,"Missing Order ID",IF(S57="DROP","Duplicate Order ID (less complete row)",IF(U57=1,"Missing Customer ID",IF(V57=1,"Missing Restaurant name",IF(W57=1,"Invalid/outlier quantity",IF(X57=1,"Invalid/outlier unit price",IF(Y57=1,"Discount greater than order value",""))))))))</f>
        <v/>
      </c>
      <c r="AC57" s="7" t="str">
        <f aca="false">IF(AB57="","KEEP","DROP")</f>
        <v>KEEP</v>
      </c>
      <c r="AD57" s="7" t="str">
        <f aca="false">IF(TRIM(F57)="",IFERROR(INDEX(Map_Tables!$I$4:$I$37,MATCH(TRIM(E57),Map_Tables!$G$4:$G$37,0)),""),IFERROR(INDEX(Map_Tables!$B$4:$B$18,MATCH(TRIM(F57),Map_Tables!$A$4:$A$18,0)),"CHECK"))</f>
        <v>Mumbai</v>
      </c>
      <c r="AE57" s="7" t="str">
        <f aca="false">IF(TRIM(E57)="","",IFERROR(INDEX(Map_Tables!$H$4:$H$37,MATCH(TRIM(E57),Map_Tables!$G$4:$G$37,0)),"CHECK"))</f>
        <v>Pav Bhaji Point</v>
      </c>
      <c r="AF57" s="7" t="str">
        <f aca="false">IF(TRIM(K57)="","Unknown",IFERROR(INDEX(Map_Tables!$E$4:$E$15,MATCH(TRIM(K57),Map_Tables!$D$4:$D$15,0)),"CHECK"))</f>
        <v>UPI</v>
      </c>
      <c r="AG57" s="7" t="str">
        <f aca="false">IF(LEFT(LOWER(TRIM(L57)),6)="cancel","Cancelled","Delivered")</f>
        <v>Delivered</v>
      </c>
      <c r="AH57" s="10" t="n">
        <f aca="false">IF(ISNUMBER(SEARCH("/",B57)),DATE(VALUE(RIGHT(B57,4)),VALUE(MID(B57,4,2)),VALUE(LEFT(B57,2))),IF(MID(B57,5,1)="-",DATE(VALUE(LEFT(B57,4)),VALUE(MID(B57,6,2)),VALUE(RIGHT(B57,2))),DATE(VALUE(RIGHT(B57,4)),MATCH(MID(B57,4,3),{"Jan","Feb","Mar","Apr","May","Jun","Jul","Aug","Sep","Oct","Nov","Dec"},0),VALUE(LEFT(B57,2)))))</f>
        <v>45894</v>
      </c>
    </row>
    <row r="58" customFormat="false" ht="15" hidden="false" customHeight="false" outlineLevel="0" collapsed="false">
      <c r="A58" s="7" t="s">
        <v>431</v>
      </c>
      <c r="B58" s="7" t="s">
        <v>432</v>
      </c>
      <c r="C58" s="7" t="s">
        <v>433</v>
      </c>
      <c r="D58" s="7" t="s">
        <v>434</v>
      </c>
      <c r="E58" s="7"/>
      <c r="F58" s="7" t="s">
        <v>136</v>
      </c>
      <c r="G58" s="7" t="s">
        <v>117</v>
      </c>
      <c r="H58" s="7" t="n">
        <v>1</v>
      </c>
      <c r="I58" s="7" t="n">
        <v>125</v>
      </c>
      <c r="J58" s="7" t="n">
        <v>30</v>
      </c>
      <c r="K58" s="7" t="s">
        <v>88</v>
      </c>
      <c r="L58" s="7" t="s">
        <v>194</v>
      </c>
      <c r="M58" s="7" t="n">
        <v>39</v>
      </c>
      <c r="N58" s="7" t="n">
        <v>4</v>
      </c>
      <c r="O58" s="7" t="str">
        <f aca="false">A58&amp;"|"&amp;B58&amp;"|"&amp;C58&amp;"|"&amp;D58&amp;"|"&amp;E58&amp;"|"&amp;F58&amp;"|"&amp;G58&amp;"|"&amp;H58&amp;"|"&amp;I58&amp;"|"&amp;J58&amp;"|"&amp;K58&amp;"|"&amp;L58&amp;"|"&amp;M58&amp;"|"&amp;N58</f>
        <v>ORD11808|2025-08-24|19:43|C0418||Pune|Street Food|1|125|30|UPI|Delivered|39|4</v>
      </c>
      <c r="P58" s="7" t="str">
        <f aca="false">IF(COUNTIF($O$2:O58,O58)&gt;1,"DUP","OK")</f>
        <v>OK</v>
      </c>
      <c r="Q58" s="7" t="n">
        <f aca="false">COUNTBLANK(A58:N58)</f>
        <v>1</v>
      </c>
      <c r="R58" s="7" t="n">
        <f aca="false">IF(A58="",0,COUNTIFS($A$2:$A$3058,A58,$P$2:$P$3058,"OK"))</f>
        <v>1</v>
      </c>
      <c r="S58" s="7" t="str">
        <f aca="false">IF(OR(A58="",P58="DUP",R58&lt;2),"",IF(Q58=_xlfn.MINIFS($Q$2:$Q$3058,$A$2:$A$3058,A58,$P$2:$P$3058,"OK"),"KEEP","DROP"))</f>
        <v/>
      </c>
      <c r="T58" s="9" t="n">
        <f aca="false">IF(A58="",1,0)</f>
        <v>0</v>
      </c>
      <c r="U58" s="9" t="n">
        <f aca="false">IF(D58="",1,0)</f>
        <v>0</v>
      </c>
      <c r="V58" s="9" t="n">
        <f aca="false">IF(E58="",1,0)</f>
        <v>1</v>
      </c>
      <c r="W58" s="9" t="n">
        <f aca="false">IF(OR(H58&lt;1,H58&gt;10),1,0)</f>
        <v>0</v>
      </c>
      <c r="X58" s="9" t="n">
        <f aca="false">IF(OR(I58&lt;=0,I58&gt;1500),1,0)</f>
        <v>0</v>
      </c>
      <c r="Y58" s="9" t="n">
        <f aca="false">IF(J58&gt;H58*I58,1,0)</f>
        <v>0</v>
      </c>
      <c r="Z58" s="9" t="n">
        <f aca="false">IF(AND(N58&lt;&gt;"",OR(N58&lt;1,N58&gt;5)),1,0)</f>
        <v>0</v>
      </c>
      <c r="AA58" s="9" t="n">
        <f aca="false">IF(AND(M58&lt;&gt;"",OR(M58&lt;5,M58&gt;180)),1,0)</f>
        <v>0</v>
      </c>
      <c r="AB58" s="7" t="str">
        <f aca="false">IF(P58="DUP","Exact duplicate row",IF(T58=1,"Missing Order ID",IF(S58="DROP","Duplicate Order ID (less complete row)",IF(U58=1,"Missing Customer ID",IF(V58=1,"Missing Restaurant name",IF(W58=1,"Invalid/outlier quantity",IF(X58=1,"Invalid/outlier unit price",IF(Y58=1,"Discount greater than order value",""))))))))</f>
        <v>Missing Restaurant name</v>
      </c>
      <c r="AC58" s="7" t="str">
        <f aca="false">IF(AB58="","KEEP","DROP")</f>
        <v>DROP</v>
      </c>
      <c r="AD58" s="7" t="str">
        <f aca="false">IF(TRIM(F58)="",IFERROR(INDEX(Map_Tables!$I$4:$I$37,MATCH(TRIM(E58),Map_Tables!$G$4:$G$37,0)),""),IFERROR(INDEX(Map_Tables!$B$4:$B$18,MATCH(TRIM(F58),Map_Tables!$A$4:$A$18,0)),"CHECK"))</f>
        <v>Pune</v>
      </c>
      <c r="AE58" s="7" t="str">
        <f aca="false">IF(TRIM(E58)="","",IFERROR(INDEX(Map_Tables!$H$4:$H$37,MATCH(TRIM(E58),Map_Tables!$G$4:$G$37,0)),"CHECK"))</f>
        <v/>
      </c>
      <c r="AF58" s="7" t="str">
        <f aca="false">IF(TRIM(K58)="","Unknown",IFERROR(INDEX(Map_Tables!$E$4:$E$15,MATCH(TRIM(K58),Map_Tables!$D$4:$D$15,0)),"CHECK"))</f>
        <v>UPI</v>
      </c>
      <c r="AG58" s="7" t="str">
        <f aca="false">IF(LEFT(LOWER(TRIM(L58)),6)="cancel","Cancelled","Delivered")</f>
        <v>Delivered</v>
      </c>
      <c r="AH58" s="10" t="n">
        <f aca="false">IF(ISNUMBER(SEARCH("/",B58)),DATE(VALUE(RIGHT(B58,4)),VALUE(MID(B58,4,2)),VALUE(LEFT(B58,2))),IF(MID(B58,5,1)="-",DATE(VALUE(LEFT(B58,4)),VALUE(MID(B58,6,2)),VALUE(RIGHT(B58,2))),DATE(VALUE(RIGHT(B58,4)),MATCH(MID(B58,4,3),{"Jan","Feb","Mar","Apr","May","Jun","Jul","Aug","Sep","Oct","Nov","Dec"},0),VALUE(LEFT(B58,2)))))</f>
        <v>45893</v>
      </c>
    </row>
    <row r="59" customFormat="false" ht="15" hidden="false" customHeight="false" outlineLevel="0" collapsed="false">
      <c r="A59" s="7" t="s">
        <v>435</v>
      </c>
      <c r="B59" s="7" t="s">
        <v>436</v>
      </c>
      <c r="C59" s="7" t="s">
        <v>437</v>
      </c>
      <c r="D59" s="7" t="s">
        <v>438</v>
      </c>
      <c r="E59" s="7" t="s">
        <v>138</v>
      </c>
      <c r="F59" s="7" t="s">
        <v>110</v>
      </c>
      <c r="G59" s="7" t="s">
        <v>139</v>
      </c>
      <c r="H59" s="7" t="n">
        <v>4</v>
      </c>
      <c r="I59" s="7" t="n">
        <v>215</v>
      </c>
      <c r="J59" s="7" t="n">
        <v>0</v>
      </c>
      <c r="K59" s="7" t="s">
        <v>121</v>
      </c>
      <c r="L59" s="7" t="s">
        <v>194</v>
      </c>
      <c r="M59" s="7" t="n">
        <v>34</v>
      </c>
      <c r="N59" s="7" t="n">
        <v>5</v>
      </c>
      <c r="O59" s="7" t="str">
        <f aca="false">A59&amp;"|"&amp;B59&amp;"|"&amp;C59&amp;"|"&amp;D59&amp;"|"&amp;E59&amp;"|"&amp;F59&amp;"|"&amp;G59&amp;"|"&amp;H59&amp;"|"&amp;I59&amp;"|"&amp;J59&amp;"|"&amp;K59&amp;"|"&amp;L59&amp;"|"&amp;M59&amp;"|"&amp;N59</f>
        <v>ORD10096|2025-01-12|22:59|C0640|Burger Barn|Delhi|Burgers|4|215|0|Wallet|Delivered|34|5</v>
      </c>
      <c r="P59" s="7" t="str">
        <f aca="false">IF(COUNTIF($O$2:O59,O59)&gt;1,"DUP","OK")</f>
        <v>OK</v>
      </c>
      <c r="Q59" s="7" t="n">
        <f aca="false">COUNTBLANK(A59:N59)</f>
        <v>0</v>
      </c>
      <c r="R59" s="7" t="n">
        <f aca="false">IF(A59="",0,COUNTIFS($A$2:$A$3058,A59,$P$2:$P$3058,"OK"))</f>
        <v>1</v>
      </c>
      <c r="S59" s="7" t="str">
        <f aca="false">IF(OR(A59="",P59="DUP",R59&lt;2),"",IF(Q59=_xlfn.MINIFS($Q$2:$Q$3058,$A$2:$A$3058,A59,$P$2:$P$3058,"OK"),"KEEP","DROP"))</f>
        <v/>
      </c>
      <c r="T59" s="9" t="n">
        <f aca="false">IF(A59="",1,0)</f>
        <v>0</v>
      </c>
      <c r="U59" s="9" t="n">
        <f aca="false">IF(D59="",1,0)</f>
        <v>0</v>
      </c>
      <c r="V59" s="9" t="n">
        <f aca="false">IF(E59="",1,0)</f>
        <v>0</v>
      </c>
      <c r="W59" s="9" t="n">
        <f aca="false">IF(OR(H59&lt;1,H59&gt;10),1,0)</f>
        <v>0</v>
      </c>
      <c r="X59" s="9" t="n">
        <f aca="false">IF(OR(I59&lt;=0,I59&gt;1500),1,0)</f>
        <v>0</v>
      </c>
      <c r="Y59" s="9" t="n">
        <f aca="false">IF(J59&gt;H59*I59,1,0)</f>
        <v>0</v>
      </c>
      <c r="Z59" s="9" t="n">
        <f aca="false">IF(AND(N59&lt;&gt;"",OR(N59&lt;1,N59&gt;5)),1,0)</f>
        <v>0</v>
      </c>
      <c r="AA59" s="9" t="n">
        <f aca="false">IF(AND(M59&lt;&gt;"",OR(M59&lt;5,M59&gt;180)),1,0)</f>
        <v>0</v>
      </c>
      <c r="AB59" s="7" t="str">
        <f aca="false">IF(P59="DUP","Exact duplicate row",IF(T59=1,"Missing Order ID",IF(S59="DROP","Duplicate Order ID (less complete row)",IF(U59=1,"Missing Customer ID",IF(V59=1,"Missing Restaurant name",IF(W59=1,"Invalid/outlier quantity",IF(X59=1,"Invalid/outlier unit price",IF(Y59=1,"Discount greater than order value",""))))))))</f>
        <v/>
      </c>
      <c r="AC59" s="7" t="str">
        <f aca="false">IF(AB59="","KEEP","DROP")</f>
        <v>KEEP</v>
      </c>
      <c r="AD59" s="7" t="str">
        <f aca="false">IF(TRIM(F59)="",IFERROR(INDEX(Map_Tables!$I$4:$I$37,MATCH(TRIM(E59),Map_Tables!$G$4:$G$37,0)),""),IFERROR(INDEX(Map_Tables!$B$4:$B$18,MATCH(TRIM(F59),Map_Tables!$A$4:$A$18,0)),"CHECK"))</f>
        <v>Delhi</v>
      </c>
      <c r="AE59" s="7" t="str">
        <f aca="false">IF(TRIM(E59)="","",IFERROR(INDEX(Map_Tables!$H$4:$H$37,MATCH(TRIM(E59),Map_Tables!$G$4:$G$37,0)),"CHECK"))</f>
        <v>Burger Barn</v>
      </c>
      <c r="AF59" s="7" t="str">
        <f aca="false">IF(TRIM(K59)="","Unknown",IFERROR(INDEX(Map_Tables!$E$4:$E$15,MATCH(TRIM(K59),Map_Tables!$D$4:$D$15,0)),"CHECK"))</f>
        <v>Wallet</v>
      </c>
      <c r="AG59" s="7" t="str">
        <f aca="false">IF(LEFT(LOWER(TRIM(L59)),6)="cancel","Cancelled","Delivered")</f>
        <v>Delivered</v>
      </c>
      <c r="AH59" s="10" t="n">
        <f aca="false">IF(ISNUMBER(SEARCH("/",B59)),DATE(VALUE(RIGHT(B59,4)),VALUE(MID(B59,4,2)),VALUE(LEFT(B59,2))),IF(MID(B59,5,1)="-",DATE(VALUE(LEFT(B59,4)),VALUE(MID(B59,6,2)),VALUE(RIGHT(B59,2))),DATE(VALUE(RIGHT(B59,4)),MATCH(MID(B59,4,3),{"Jan","Feb","Mar","Apr","May","Jun","Jul","Aug","Sep","Oct","Nov","Dec"},0),VALUE(LEFT(B59,2)))))</f>
        <v>45669</v>
      </c>
    </row>
    <row r="60" customFormat="false" ht="15" hidden="false" customHeight="false" outlineLevel="0" collapsed="false">
      <c r="A60" s="7" t="s">
        <v>439</v>
      </c>
      <c r="B60" s="7" t="s">
        <v>300</v>
      </c>
      <c r="C60" s="7" t="s">
        <v>440</v>
      </c>
      <c r="D60" s="7" t="s">
        <v>404</v>
      </c>
      <c r="E60" s="7" t="s">
        <v>94</v>
      </c>
      <c r="F60" s="7" t="s">
        <v>86</v>
      </c>
      <c r="G60" s="7" t="s">
        <v>95</v>
      </c>
      <c r="H60" s="7" t="n">
        <v>5</v>
      </c>
      <c r="I60" s="7" t="n">
        <v>120</v>
      </c>
      <c r="J60" s="7" t="n">
        <v>40</v>
      </c>
      <c r="K60" s="7" t="s">
        <v>115</v>
      </c>
      <c r="L60" s="7" t="s">
        <v>194</v>
      </c>
      <c r="M60" s="7" t="n">
        <v>34</v>
      </c>
      <c r="N60" s="7" t="n">
        <v>4</v>
      </c>
      <c r="O60" s="7" t="str">
        <f aca="false">A60&amp;"|"&amp;B60&amp;"|"&amp;C60&amp;"|"&amp;D60&amp;"|"&amp;E60&amp;"|"&amp;F60&amp;"|"&amp;G60&amp;"|"&amp;H60&amp;"|"&amp;I60&amp;"|"&amp;J60&amp;"|"&amp;K60&amp;"|"&amp;L60&amp;"|"&amp;M60&amp;"|"&amp;N60</f>
        <v>ORD11492|2025-07-13|11:17|C0885|Dosa Darbar|Bengaluru|South Indian|5|120|40|cash on delivery|Delivered|34|4</v>
      </c>
      <c r="P60" s="7" t="str">
        <f aca="false">IF(COUNTIF($O$2:O60,O60)&gt;1,"DUP","OK")</f>
        <v>OK</v>
      </c>
      <c r="Q60" s="7" t="n">
        <f aca="false">COUNTBLANK(A60:N60)</f>
        <v>0</v>
      </c>
      <c r="R60" s="7" t="n">
        <f aca="false">IF(A60="",0,COUNTIFS($A$2:$A$3058,A60,$P$2:$P$3058,"OK"))</f>
        <v>1</v>
      </c>
      <c r="S60" s="7" t="str">
        <f aca="false">IF(OR(A60="",P60="DUP",R60&lt;2),"",IF(Q60=_xlfn.MINIFS($Q$2:$Q$3058,$A$2:$A$3058,A60,$P$2:$P$3058,"OK"),"KEEP","DROP"))</f>
        <v/>
      </c>
      <c r="T60" s="9" t="n">
        <f aca="false">IF(A60="",1,0)</f>
        <v>0</v>
      </c>
      <c r="U60" s="9" t="n">
        <f aca="false">IF(D60="",1,0)</f>
        <v>0</v>
      </c>
      <c r="V60" s="9" t="n">
        <f aca="false">IF(E60="",1,0)</f>
        <v>0</v>
      </c>
      <c r="W60" s="9" t="n">
        <f aca="false">IF(OR(H60&lt;1,H60&gt;10),1,0)</f>
        <v>0</v>
      </c>
      <c r="X60" s="9" t="n">
        <f aca="false">IF(OR(I60&lt;=0,I60&gt;1500),1,0)</f>
        <v>0</v>
      </c>
      <c r="Y60" s="9" t="n">
        <f aca="false">IF(J60&gt;H60*I60,1,0)</f>
        <v>0</v>
      </c>
      <c r="Z60" s="9" t="n">
        <f aca="false">IF(AND(N60&lt;&gt;"",OR(N60&lt;1,N60&gt;5)),1,0)</f>
        <v>0</v>
      </c>
      <c r="AA60" s="9" t="n">
        <f aca="false">IF(AND(M60&lt;&gt;"",OR(M60&lt;5,M60&gt;180)),1,0)</f>
        <v>0</v>
      </c>
      <c r="AB60" s="7" t="str">
        <f aca="false">IF(P60="DUP","Exact duplicate row",IF(T60=1,"Missing Order ID",IF(S60="DROP","Duplicate Order ID (less complete row)",IF(U60=1,"Missing Customer ID",IF(V60=1,"Missing Restaurant name",IF(W60=1,"Invalid/outlier quantity",IF(X60=1,"Invalid/outlier unit price",IF(Y60=1,"Discount greater than order value",""))))))))</f>
        <v/>
      </c>
      <c r="AC60" s="7" t="str">
        <f aca="false">IF(AB60="","KEEP","DROP")</f>
        <v>KEEP</v>
      </c>
      <c r="AD60" s="7" t="str">
        <f aca="false">IF(TRIM(F60)="",IFERROR(INDEX(Map_Tables!$I$4:$I$37,MATCH(TRIM(E60),Map_Tables!$G$4:$G$37,0)),""),IFERROR(INDEX(Map_Tables!$B$4:$B$18,MATCH(TRIM(F60),Map_Tables!$A$4:$A$18,0)),"CHECK"))</f>
        <v>Bengaluru</v>
      </c>
      <c r="AE60" s="7" t="str">
        <f aca="false">IF(TRIM(E60)="","",IFERROR(INDEX(Map_Tables!$H$4:$H$37,MATCH(TRIM(E60),Map_Tables!$G$4:$G$37,0)),"CHECK"))</f>
        <v>Dosa Darbar</v>
      </c>
      <c r="AF60" s="7" t="str">
        <f aca="false">IF(TRIM(K60)="","Unknown",IFERROR(INDEX(Map_Tables!$E$4:$E$15,MATCH(TRIM(K60),Map_Tables!$D$4:$D$15,0)),"CHECK"))</f>
        <v>Cash on Delivery</v>
      </c>
      <c r="AG60" s="7" t="str">
        <f aca="false">IF(LEFT(LOWER(TRIM(L60)),6)="cancel","Cancelled","Delivered")</f>
        <v>Delivered</v>
      </c>
      <c r="AH60" s="10" t="n">
        <f aca="false">IF(ISNUMBER(SEARCH("/",B60)),DATE(VALUE(RIGHT(B60,4)),VALUE(MID(B60,4,2)),VALUE(LEFT(B60,2))),IF(MID(B60,5,1)="-",DATE(VALUE(LEFT(B60,4)),VALUE(MID(B60,6,2)),VALUE(RIGHT(B60,2))),DATE(VALUE(RIGHT(B60,4)),MATCH(MID(B60,4,3),{"Jan","Feb","Mar","Apr","May","Jun","Jul","Aug","Sep","Oct","Nov","Dec"},0),VALUE(LEFT(B60,2)))))</f>
        <v>45851</v>
      </c>
    </row>
    <row r="61" customFormat="false" ht="15" hidden="false" customHeight="false" outlineLevel="0" collapsed="false">
      <c r="A61" s="7" t="s">
        <v>441</v>
      </c>
      <c r="B61" s="7" t="s">
        <v>442</v>
      </c>
      <c r="C61" s="7" t="s">
        <v>443</v>
      </c>
      <c r="D61" s="7" t="s">
        <v>444</v>
      </c>
      <c r="E61" s="7" t="s">
        <v>134</v>
      </c>
      <c r="F61" s="7" t="s">
        <v>110</v>
      </c>
      <c r="G61" s="7" t="s">
        <v>117</v>
      </c>
      <c r="H61" s="7" t="n">
        <v>2</v>
      </c>
      <c r="I61" s="7" t="n">
        <v>100</v>
      </c>
      <c r="J61" s="7" t="n">
        <v>0</v>
      </c>
      <c r="K61" s="7" t="s">
        <v>88</v>
      </c>
      <c r="L61" s="7" t="s">
        <v>194</v>
      </c>
      <c r="M61" s="7" t="n">
        <v>45</v>
      </c>
      <c r="N61" s="7" t="n">
        <v>3</v>
      </c>
      <c r="O61" s="7" t="str">
        <f aca="false">A61&amp;"|"&amp;B61&amp;"|"&amp;C61&amp;"|"&amp;D61&amp;"|"&amp;E61&amp;"|"&amp;F61&amp;"|"&amp;G61&amp;"|"&amp;H61&amp;"|"&amp;I61&amp;"|"&amp;J61&amp;"|"&amp;K61&amp;"|"&amp;L61&amp;"|"&amp;M61&amp;"|"&amp;N61</f>
        <v>ORD10604|2025-03-17|22:51|C0480|Chaat Corner|Delhi|Street Food|2|100|0|UPI|Delivered|45|3</v>
      </c>
      <c r="P61" s="7" t="str">
        <f aca="false">IF(COUNTIF($O$2:O61,O61)&gt;1,"DUP","OK")</f>
        <v>OK</v>
      </c>
      <c r="Q61" s="7" t="n">
        <f aca="false">COUNTBLANK(A61:N61)</f>
        <v>0</v>
      </c>
      <c r="R61" s="7" t="n">
        <f aca="false">IF(A61="",0,COUNTIFS($A$2:$A$3058,A61,$P$2:$P$3058,"OK"))</f>
        <v>1</v>
      </c>
      <c r="S61" s="7" t="str">
        <f aca="false">IF(OR(A61="",P61="DUP",R61&lt;2),"",IF(Q61=_xlfn.MINIFS($Q$2:$Q$3058,$A$2:$A$3058,A61,$P$2:$P$3058,"OK"),"KEEP","DROP"))</f>
        <v/>
      </c>
      <c r="T61" s="9" t="n">
        <f aca="false">IF(A61="",1,0)</f>
        <v>0</v>
      </c>
      <c r="U61" s="9" t="n">
        <f aca="false">IF(D61="",1,0)</f>
        <v>0</v>
      </c>
      <c r="V61" s="9" t="n">
        <f aca="false">IF(E61="",1,0)</f>
        <v>0</v>
      </c>
      <c r="W61" s="9" t="n">
        <f aca="false">IF(OR(H61&lt;1,H61&gt;10),1,0)</f>
        <v>0</v>
      </c>
      <c r="X61" s="9" t="n">
        <f aca="false">IF(OR(I61&lt;=0,I61&gt;1500),1,0)</f>
        <v>0</v>
      </c>
      <c r="Y61" s="9" t="n">
        <f aca="false">IF(J61&gt;H61*I61,1,0)</f>
        <v>0</v>
      </c>
      <c r="Z61" s="9" t="n">
        <f aca="false">IF(AND(N61&lt;&gt;"",OR(N61&lt;1,N61&gt;5)),1,0)</f>
        <v>0</v>
      </c>
      <c r="AA61" s="9" t="n">
        <f aca="false">IF(AND(M61&lt;&gt;"",OR(M61&lt;5,M61&gt;180)),1,0)</f>
        <v>0</v>
      </c>
      <c r="AB61" s="7" t="str">
        <f aca="false">IF(P61="DUP","Exact duplicate row",IF(T61=1,"Missing Order ID",IF(S61="DROP","Duplicate Order ID (less complete row)",IF(U61=1,"Missing Customer ID",IF(V61=1,"Missing Restaurant name",IF(W61=1,"Invalid/outlier quantity",IF(X61=1,"Invalid/outlier unit price",IF(Y61=1,"Discount greater than order value",""))))))))</f>
        <v/>
      </c>
      <c r="AC61" s="7" t="str">
        <f aca="false">IF(AB61="","KEEP","DROP")</f>
        <v>KEEP</v>
      </c>
      <c r="AD61" s="7" t="str">
        <f aca="false">IF(TRIM(F61)="",IFERROR(INDEX(Map_Tables!$I$4:$I$37,MATCH(TRIM(E61),Map_Tables!$G$4:$G$37,0)),""),IFERROR(INDEX(Map_Tables!$B$4:$B$18,MATCH(TRIM(F61),Map_Tables!$A$4:$A$18,0)),"CHECK"))</f>
        <v>Delhi</v>
      </c>
      <c r="AE61" s="7" t="str">
        <f aca="false">IF(TRIM(E61)="","",IFERROR(INDEX(Map_Tables!$H$4:$H$37,MATCH(TRIM(E61),Map_Tables!$G$4:$G$37,0)),"CHECK"))</f>
        <v>Chaat Corner</v>
      </c>
      <c r="AF61" s="7" t="str">
        <f aca="false">IF(TRIM(K61)="","Unknown",IFERROR(INDEX(Map_Tables!$E$4:$E$15,MATCH(TRIM(K61),Map_Tables!$D$4:$D$15,0)),"CHECK"))</f>
        <v>UPI</v>
      </c>
      <c r="AG61" s="7" t="str">
        <f aca="false">IF(LEFT(LOWER(TRIM(L61)),6)="cancel","Cancelled","Delivered")</f>
        <v>Delivered</v>
      </c>
      <c r="AH61" s="10" t="n">
        <f aca="false">IF(ISNUMBER(SEARCH("/",B61)),DATE(VALUE(RIGHT(B61,4)),VALUE(MID(B61,4,2)),VALUE(LEFT(B61,2))),IF(MID(B61,5,1)="-",DATE(VALUE(LEFT(B61,4)),VALUE(MID(B61,6,2)),VALUE(RIGHT(B61,2))),DATE(VALUE(RIGHT(B61,4)),MATCH(MID(B61,4,3),{"Jan","Feb","Mar","Apr","May","Jun","Jul","Aug","Sep","Oct","Nov","Dec"},0),VALUE(LEFT(B61,2)))))</f>
        <v>45733</v>
      </c>
    </row>
    <row r="62" customFormat="false" ht="15" hidden="false" customHeight="false" outlineLevel="0" collapsed="false">
      <c r="A62" s="7" t="s">
        <v>445</v>
      </c>
      <c r="B62" s="7" t="s">
        <v>446</v>
      </c>
      <c r="C62" s="7" t="s">
        <v>447</v>
      </c>
      <c r="D62" s="7" t="s">
        <v>448</v>
      </c>
      <c r="E62" s="7" t="s">
        <v>89</v>
      </c>
      <c r="F62" s="7" t="s">
        <v>449</v>
      </c>
      <c r="G62" s="7" t="s">
        <v>90</v>
      </c>
      <c r="H62" s="7" t="n">
        <v>2</v>
      </c>
      <c r="I62" s="7" t="n">
        <v>215</v>
      </c>
      <c r="J62" s="7" t="n">
        <v>40</v>
      </c>
      <c r="K62" s="7" t="s">
        <v>103</v>
      </c>
      <c r="L62" s="7" t="s">
        <v>194</v>
      </c>
      <c r="M62" s="7" t="n">
        <v>30</v>
      </c>
      <c r="N62" s="7" t="n">
        <v>3</v>
      </c>
      <c r="O62" s="7" t="str">
        <f aca="false">A62&amp;"|"&amp;B62&amp;"|"&amp;C62&amp;"|"&amp;D62&amp;"|"&amp;E62&amp;"|"&amp;F62&amp;"|"&amp;G62&amp;"|"&amp;H62&amp;"|"&amp;I62&amp;"|"&amp;J62&amp;"|"&amp;K62&amp;"|"&amp;L62&amp;"|"&amp;M62&amp;"|"&amp;N62</f>
        <v>ORD10528|2025-03-09|20:28|C1284|Spice Junction|BLR|North Indian|2|215|40|Debit Card|Delivered|30|3</v>
      </c>
      <c r="P62" s="7" t="str">
        <f aca="false">IF(COUNTIF($O$2:O62,O62)&gt;1,"DUP","OK")</f>
        <v>OK</v>
      </c>
      <c r="Q62" s="7" t="n">
        <f aca="false">COUNTBLANK(A62:N62)</f>
        <v>0</v>
      </c>
      <c r="R62" s="7" t="n">
        <f aca="false">IF(A62="",0,COUNTIFS($A$2:$A$3058,A62,$P$2:$P$3058,"OK"))</f>
        <v>1</v>
      </c>
      <c r="S62" s="7" t="str">
        <f aca="false">IF(OR(A62="",P62="DUP",R62&lt;2),"",IF(Q62=_xlfn.MINIFS($Q$2:$Q$3058,$A$2:$A$3058,A62,$P$2:$P$3058,"OK"),"KEEP","DROP"))</f>
        <v/>
      </c>
      <c r="T62" s="9" t="n">
        <f aca="false">IF(A62="",1,0)</f>
        <v>0</v>
      </c>
      <c r="U62" s="9" t="n">
        <f aca="false">IF(D62="",1,0)</f>
        <v>0</v>
      </c>
      <c r="V62" s="9" t="n">
        <f aca="false">IF(E62="",1,0)</f>
        <v>0</v>
      </c>
      <c r="W62" s="9" t="n">
        <f aca="false">IF(OR(H62&lt;1,H62&gt;10),1,0)</f>
        <v>0</v>
      </c>
      <c r="X62" s="9" t="n">
        <f aca="false">IF(OR(I62&lt;=0,I62&gt;1500),1,0)</f>
        <v>0</v>
      </c>
      <c r="Y62" s="9" t="n">
        <f aca="false">IF(J62&gt;H62*I62,1,0)</f>
        <v>0</v>
      </c>
      <c r="Z62" s="9" t="n">
        <f aca="false">IF(AND(N62&lt;&gt;"",OR(N62&lt;1,N62&gt;5)),1,0)</f>
        <v>0</v>
      </c>
      <c r="AA62" s="9" t="n">
        <f aca="false">IF(AND(M62&lt;&gt;"",OR(M62&lt;5,M62&gt;180)),1,0)</f>
        <v>0</v>
      </c>
      <c r="AB62" s="7" t="str">
        <f aca="false">IF(P62="DUP","Exact duplicate row",IF(T62=1,"Missing Order ID",IF(S62="DROP","Duplicate Order ID (less complete row)",IF(U62=1,"Missing Customer ID",IF(V62=1,"Missing Restaurant name",IF(W62=1,"Invalid/outlier quantity",IF(X62=1,"Invalid/outlier unit price",IF(Y62=1,"Discount greater than order value",""))))))))</f>
        <v/>
      </c>
      <c r="AC62" s="7" t="str">
        <f aca="false">IF(AB62="","KEEP","DROP")</f>
        <v>KEEP</v>
      </c>
      <c r="AD62" s="7" t="str">
        <f aca="false">IF(TRIM(F62)="",IFERROR(INDEX(Map_Tables!$I$4:$I$37,MATCH(TRIM(E62),Map_Tables!$G$4:$G$37,0)),""),IFERROR(INDEX(Map_Tables!$B$4:$B$18,MATCH(TRIM(F62),Map_Tables!$A$4:$A$18,0)),"CHECK"))</f>
        <v>Bengaluru</v>
      </c>
      <c r="AE62" s="7" t="str">
        <f aca="false">IF(TRIM(E62)="","",IFERROR(INDEX(Map_Tables!$H$4:$H$37,MATCH(TRIM(E62),Map_Tables!$G$4:$G$37,0)),"CHECK"))</f>
        <v>Spice Junction</v>
      </c>
      <c r="AF62" s="7" t="str">
        <f aca="false">IF(TRIM(K62)="","Unknown",IFERROR(INDEX(Map_Tables!$E$4:$E$15,MATCH(TRIM(K62),Map_Tables!$D$4:$D$15,0)),"CHECK"))</f>
        <v>Debit Card</v>
      </c>
      <c r="AG62" s="7" t="str">
        <f aca="false">IF(LEFT(LOWER(TRIM(L62)),6)="cancel","Cancelled","Delivered")</f>
        <v>Delivered</v>
      </c>
      <c r="AH62" s="10" t="n">
        <f aca="false">IF(ISNUMBER(SEARCH("/",B62)),DATE(VALUE(RIGHT(B62,4)),VALUE(MID(B62,4,2)),VALUE(LEFT(B62,2))),IF(MID(B62,5,1)="-",DATE(VALUE(LEFT(B62,4)),VALUE(MID(B62,6,2)),VALUE(RIGHT(B62,2))),DATE(VALUE(RIGHT(B62,4)),MATCH(MID(B62,4,3),{"Jan","Feb","Mar","Apr","May","Jun","Jul","Aug","Sep","Oct","Nov","Dec"},0),VALUE(LEFT(B62,2)))))</f>
        <v>45725</v>
      </c>
    </row>
    <row r="63" customFormat="false" ht="15" hidden="false" customHeight="false" outlineLevel="0" collapsed="false">
      <c r="A63" s="7" t="s">
        <v>450</v>
      </c>
      <c r="B63" s="7" t="s">
        <v>451</v>
      </c>
      <c r="C63" s="7" t="s">
        <v>452</v>
      </c>
      <c r="D63" s="7" t="s">
        <v>453</v>
      </c>
      <c r="E63" s="7" t="s">
        <v>134</v>
      </c>
      <c r="F63" s="7" t="s">
        <v>110</v>
      </c>
      <c r="G63" s="7" t="s">
        <v>117</v>
      </c>
      <c r="H63" s="7" t="n">
        <v>1</v>
      </c>
      <c r="I63" s="7" t="n">
        <v>120</v>
      </c>
      <c r="J63" s="7" t="n">
        <v>0</v>
      </c>
      <c r="K63" s="7" t="s">
        <v>92</v>
      </c>
      <c r="L63" s="7" t="s">
        <v>194</v>
      </c>
      <c r="M63" s="7" t="n">
        <v>51</v>
      </c>
      <c r="N63" s="7" t="n">
        <v>5</v>
      </c>
      <c r="O63" s="7" t="str">
        <f aca="false">A63&amp;"|"&amp;B63&amp;"|"&amp;C63&amp;"|"&amp;D63&amp;"|"&amp;E63&amp;"|"&amp;F63&amp;"|"&amp;G63&amp;"|"&amp;H63&amp;"|"&amp;I63&amp;"|"&amp;J63&amp;"|"&amp;K63&amp;"|"&amp;L63&amp;"|"&amp;M63&amp;"|"&amp;N63</f>
        <v>ORD11527|2025-07-17|19:34|C0965|Chaat Corner|Delhi|Street Food|1|120|0|credit card|Delivered|51|5</v>
      </c>
      <c r="P63" s="7" t="str">
        <f aca="false">IF(COUNTIF($O$2:O63,O63)&gt;1,"DUP","OK")</f>
        <v>OK</v>
      </c>
      <c r="Q63" s="7" t="n">
        <f aca="false">COUNTBLANK(A63:N63)</f>
        <v>0</v>
      </c>
      <c r="R63" s="7" t="n">
        <f aca="false">IF(A63="",0,COUNTIFS($A$2:$A$3058,A63,$P$2:$P$3058,"OK"))</f>
        <v>1</v>
      </c>
      <c r="S63" s="7" t="str">
        <f aca="false">IF(OR(A63="",P63="DUP",R63&lt;2),"",IF(Q63=_xlfn.MINIFS($Q$2:$Q$3058,$A$2:$A$3058,A63,$P$2:$P$3058,"OK"),"KEEP","DROP"))</f>
        <v/>
      </c>
      <c r="T63" s="9" t="n">
        <f aca="false">IF(A63="",1,0)</f>
        <v>0</v>
      </c>
      <c r="U63" s="9" t="n">
        <f aca="false">IF(D63="",1,0)</f>
        <v>0</v>
      </c>
      <c r="V63" s="9" t="n">
        <f aca="false">IF(E63="",1,0)</f>
        <v>0</v>
      </c>
      <c r="W63" s="9" t="n">
        <f aca="false">IF(OR(H63&lt;1,H63&gt;10),1,0)</f>
        <v>0</v>
      </c>
      <c r="X63" s="9" t="n">
        <f aca="false">IF(OR(I63&lt;=0,I63&gt;1500),1,0)</f>
        <v>0</v>
      </c>
      <c r="Y63" s="9" t="n">
        <f aca="false">IF(J63&gt;H63*I63,1,0)</f>
        <v>0</v>
      </c>
      <c r="Z63" s="9" t="n">
        <f aca="false">IF(AND(N63&lt;&gt;"",OR(N63&lt;1,N63&gt;5)),1,0)</f>
        <v>0</v>
      </c>
      <c r="AA63" s="9" t="n">
        <f aca="false">IF(AND(M63&lt;&gt;"",OR(M63&lt;5,M63&gt;180)),1,0)</f>
        <v>0</v>
      </c>
      <c r="AB63" s="7" t="str">
        <f aca="false">IF(P63="DUP","Exact duplicate row",IF(T63=1,"Missing Order ID",IF(S63="DROP","Duplicate Order ID (less complete row)",IF(U63=1,"Missing Customer ID",IF(V63=1,"Missing Restaurant name",IF(W63=1,"Invalid/outlier quantity",IF(X63=1,"Invalid/outlier unit price",IF(Y63=1,"Discount greater than order value",""))))))))</f>
        <v/>
      </c>
      <c r="AC63" s="7" t="str">
        <f aca="false">IF(AB63="","KEEP","DROP")</f>
        <v>KEEP</v>
      </c>
      <c r="AD63" s="7" t="str">
        <f aca="false">IF(TRIM(F63)="",IFERROR(INDEX(Map_Tables!$I$4:$I$37,MATCH(TRIM(E63),Map_Tables!$G$4:$G$37,0)),""),IFERROR(INDEX(Map_Tables!$B$4:$B$18,MATCH(TRIM(F63),Map_Tables!$A$4:$A$18,0)),"CHECK"))</f>
        <v>Delhi</v>
      </c>
      <c r="AE63" s="7" t="str">
        <f aca="false">IF(TRIM(E63)="","",IFERROR(INDEX(Map_Tables!$H$4:$H$37,MATCH(TRIM(E63),Map_Tables!$G$4:$G$37,0)),"CHECK"))</f>
        <v>Chaat Corner</v>
      </c>
      <c r="AF63" s="7" t="str">
        <f aca="false">IF(TRIM(K63)="","Unknown",IFERROR(INDEX(Map_Tables!$E$4:$E$15,MATCH(TRIM(K63),Map_Tables!$D$4:$D$15,0)),"CHECK"))</f>
        <v>Credit Card</v>
      </c>
      <c r="AG63" s="7" t="str">
        <f aca="false">IF(LEFT(LOWER(TRIM(L63)),6)="cancel","Cancelled","Delivered")</f>
        <v>Delivered</v>
      </c>
      <c r="AH63" s="10" t="n">
        <f aca="false">IF(ISNUMBER(SEARCH("/",B63)),DATE(VALUE(RIGHT(B63,4)),VALUE(MID(B63,4,2)),VALUE(LEFT(B63,2))),IF(MID(B63,5,1)="-",DATE(VALUE(LEFT(B63,4)),VALUE(MID(B63,6,2)),VALUE(RIGHT(B63,2))),DATE(VALUE(RIGHT(B63,4)),MATCH(MID(B63,4,3),{"Jan","Feb","Mar","Apr","May","Jun","Jul","Aug","Sep","Oct","Nov","Dec"},0),VALUE(LEFT(B63,2)))))</f>
        <v>45855</v>
      </c>
    </row>
    <row r="64" customFormat="false" ht="15" hidden="false" customHeight="false" outlineLevel="0" collapsed="false">
      <c r="A64" s="7" t="s">
        <v>454</v>
      </c>
      <c r="B64" s="7" t="s">
        <v>402</v>
      </c>
      <c r="C64" s="7" t="s">
        <v>455</v>
      </c>
      <c r="D64" s="7" t="s">
        <v>456</v>
      </c>
      <c r="E64" s="7" t="s">
        <v>122</v>
      </c>
      <c r="F64" s="7" t="s">
        <v>101</v>
      </c>
      <c r="G64" s="7" t="s">
        <v>123</v>
      </c>
      <c r="H64" s="7" t="n">
        <v>2</v>
      </c>
      <c r="I64" s="7" t="n">
        <v>300</v>
      </c>
      <c r="J64" s="7" t="n">
        <v>75</v>
      </c>
      <c r="K64" s="7" t="s">
        <v>88</v>
      </c>
      <c r="L64" s="7" t="s">
        <v>457</v>
      </c>
      <c r="M64" s="7" t="n">
        <v>54</v>
      </c>
      <c r="N64" s="7" t="n">
        <v>4</v>
      </c>
      <c r="O64" s="7" t="str">
        <f aca="false">A64&amp;"|"&amp;B64&amp;"|"&amp;C64&amp;"|"&amp;D64&amp;"|"&amp;E64&amp;"|"&amp;F64&amp;"|"&amp;G64&amp;"|"&amp;H64&amp;"|"&amp;I64&amp;"|"&amp;J64&amp;"|"&amp;K64&amp;"|"&amp;L64&amp;"|"&amp;M64&amp;"|"&amp;N64</f>
        <v>ORD12104|2025-09-28|13:24|C0750|Mumbai Pizza Co|Mumbai|Pizza|2|300|75|UPI|Delivered |54|4</v>
      </c>
      <c r="P64" s="7" t="str">
        <f aca="false">IF(COUNTIF($O$2:O64,O64)&gt;1,"DUP","OK")</f>
        <v>OK</v>
      </c>
      <c r="Q64" s="7" t="n">
        <f aca="false">COUNTBLANK(A64:N64)</f>
        <v>0</v>
      </c>
      <c r="R64" s="7" t="n">
        <f aca="false">IF(A64="",0,COUNTIFS($A$2:$A$3058,A64,$P$2:$P$3058,"OK"))</f>
        <v>1</v>
      </c>
      <c r="S64" s="7" t="str">
        <f aca="false">IF(OR(A64="",P64="DUP",R64&lt;2),"",IF(Q64=_xlfn.MINIFS($Q$2:$Q$3058,$A$2:$A$3058,A64,$P$2:$P$3058,"OK"),"KEEP","DROP"))</f>
        <v/>
      </c>
      <c r="T64" s="9" t="n">
        <f aca="false">IF(A64="",1,0)</f>
        <v>0</v>
      </c>
      <c r="U64" s="9" t="n">
        <f aca="false">IF(D64="",1,0)</f>
        <v>0</v>
      </c>
      <c r="V64" s="9" t="n">
        <f aca="false">IF(E64="",1,0)</f>
        <v>0</v>
      </c>
      <c r="W64" s="9" t="n">
        <f aca="false">IF(OR(H64&lt;1,H64&gt;10),1,0)</f>
        <v>0</v>
      </c>
      <c r="X64" s="9" t="n">
        <f aca="false">IF(OR(I64&lt;=0,I64&gt;1500),1,0)</f>
        <v>0</v>
      </c>
      <c r="Y64" s="9" t="n">
        <f aca="false">IF(J64&gt;H64*I64,1,0)</f>
        <v>0</v>
      </c>
      <c r="Z64" s="9" t="n">
        <f aca="false">IF(AND(N64&lt;&gt;"",OR(N64&lt;1,N64&gt;5)),1,0)</f>
        <v>0</v>
      </c>
      <c r="AA64" s="9" t="n">
        <f aca="false">IF(AND(M64&lt;&gt;"",OR(M64&lt;5,M64&gt;180)),1,0)</f>
        <v>0</v>
      </c>
      <c r="AB64" s="7" t="str">
        <f aca="false">IF(P64="DUP","Exact duplicate row",IF(T64=1,"Missing Order ID",IF(S64="DROP","Duplicate Order ID (less complete row)",IF(U64=1,"Missing Customer ID",IF(V64=1,"Missing Restaurant name",IF(W64=1,"Invalid/outlier quantity",IF(X64=1,"Invalid/outlier unit price",IF(Y64=1,"Discount greater than order value",""))))))))</f>
        <v/>
      </c>
      <c r="AC64" s="7" t="str">
        <f aca="false">IF(AB64="","KEEP","DROP")</f>
        <v>KEEP</v>
      </c>
      <c r="AD64" s="7" t="str">
        <f aca="false">IF(TRIM(F64)="",IFERROR(INDEX(Map_Tables!$I$4:$I$37,MATCH(TRIM(E64),Map_Tables!$G$4:$G$37,0)),""),IFERROR(INDEX(Map_Tables!$B$4:$B$18,MATCH(TRIM(F64),Map_Tables!$A$4:$A$18,0)),"CHECK"))</f>
        <v>Mumbai</v>
      </c>
      <c r="AE64" s="7" t="str">
        <f aca="false">IF(TRIM(E64)="","",IFERROR(INDEX(Map_Tables!$H$4:$H$37,MATCH(TRIM(E64),Map_Tables!$G$4:$G$37,0)),"CHECK"))</f>
        <v>Mumbai Pizza Co</v>
      </c>
      <c r="AF64" s="7" t="str">
        <f aca="false">IF(TRIM(K64)="","Unknown",IFERROR(INDEX(Map_Tables!$E$4:$E$15,MATCH(TRIM(K64),Map_Tables!$D$4:$D$15,0)),"CHECK"))</f>
        <v>UPI</v>
      </c>
      <c r="AG64" s="7" t="str">
        <f aca="false">IF(LEFT(LOWER(TRIM(L64)),6)="cancel","Cancelled","Delivered")</f>
        <v>Delivered</v>
      </c>
      <c r="AH64" s="10" t="n">
        <f aca="false">IF(ISNUMBER(SEARCH("/",B64)),DATE(VALUE(RIGHT(B64,4)),VALUE(MID(B64,4,2)),VALUE(LEFT(B64,2))),IF(MID(B64,5,1)="-",DATE(VALUE(LEFT(B64,4)),VALUE(MID(B64,6,2)),VALUE(RIGHT(B64,2))),DATE(VALUE(RIGHT(B64,4)),MATCH(MID(B64,4,3),{"Jan","Feb","Mar","Apr","May","Jun","Jul","Aug","Sep","Oct","Nov","Dec"},0),VALUE(LEFT(B64,2)))))</f>
        <v>45928</v>
      </c>
    </row>
    <row r="65" customFormat="false" ht="15" hidden="false" customHeight="false" outlineLevel="0" collapsed="false">
      <c r="A65" s="7" t="s">
        <v>458</v>
      </c>
      <c r="B65" s="7" t="s">
        <v>459</v>
      </c>
      <c r="C65" s="7" t="s">
        <v>460</v>
      </c>
      <c r="D65" s="7" t="s">
        <v>461</v>
      </c>
      <c r="E65" s="7" t="s">
        <v>94</v>
      </c>
      <c r="F65" s="7" t="s">
        <v>449</v>
      </c>
      <c r="G65" s="7" t="s">
        <v>95</v>
      </c>
      <c r="H65" s="7" t="n">
        <v>1</v>
      </c>
      <c r="I65" s="7" t="n">
        <v>130</v>
      </c>
      <c r="J65" s="7" t="n">
        <v>52</v>
      </c>
      <c r="K65" s="7" t="s">
        <v>93</v>
      </c>
      <c r="L65" s="7" t="s">
        <v>194</v>
      </c>
      <c r="M65" s="7" t="n">
        <v>33</v>
      </c>
      <c r="N65" s="7" t="n">
        <v>3</v>
      </c>
      <c r="O65" s="7" t="str">
        <f aca="false">A65&amp;"|"&amp;B65&amp;"|"&amp;C65&amp;"|"&amp;D65&amp;"|"&amp;E65&amp;"|"&amp;F65&amp;"|"&amp;G65&amp;"|"&amp;H65&amp;"|"&amp;I65&amp;"|"&amp;J65&amp;"|"&amp;K65&amp;"|"&amp;L65&amp;"|"&amp;M65&amp;"|"&amp;N65</f>
        <v>ORD11546|2025-07-20|22:40|C0542|Dosa Darbar|BLR|South Indian|1|130|52|Credit Card|Delivered|33|3</v>
      </c>
      <c r="P65" s="7" t="str">
        <f aca="false">IF(COUNTIF($O$2:O65,O65)&gt;1,"DUP","OK")</f>
        <v>OK</v>
      </c>
      <c r="Q65" s="7" t="n">
        <f aca="false">COUNTBLANK(A65:N65)</f>
        <v>0</v>
      </c>
      <c r="R65" s="7" t="n">
        <f aca="false">IF(A65="",0,COUNTIFS($A$2:$A$3058,A65,$P$2:$P$3058,"OK"))</f>
        <v>1</v>
      </c>
      <c r="S65" s="7" t="str">
        <f aca="false">IF(OR(A65="",P65="DUP",R65&lt;2),"",IF(Q65=_xlfn.MINIFS($Q$2:$Q$3058,$A$2:$A$3058,A65,$P$2:$P$3058,"OK"),"KEEP","DROP"))</f>
        <v/>
      </c>
      <c r="T65" s="9" t="n">
        <f aca="false">IF(A65="",1,0)</f>
        <v>0</v>
      </c>
      <c r="U65" s="9" t="n">
        <f aca="false">IF(D65="",1,0)</f>
        <v>0</v>
      </c>
      <c r="V65" s="9" t="n">
        <f aca="false">IF(E65="",1,0)</f>
        <v>0</v>
      </c>
      <c r="W65" s="9" t="n">
        <f aca="false">IF(OR(H65&lt;1,H65&gt;10),1,0)</f>
        <v>0</v>
      </c>
      <c r="X65" s="9" t="n">
        <f aca="false">IF(OR(I65&lt;=0,I65&gt;1500),1,0)</f>
        <v>0</v>
      </c>
      <c r="Y65" s="9" t="n">
        <f aca="false">IF(J65&gt;H65*I65,1,0)</f>
        <v>0</v>
      </c>
      <c r="Z65" s="9" t="n">
        <f aca="false">IF(AND(N65&lt;&gt;"",OR(N65&lt;1,N65&gt;5)),1,0)</f>
        <v>0</v>
      </c>
      <c r="AA65" s="9" t="n">
        <f aca="false">IF(AND(M65&lt;&gt;"",OR(M65&lt;5,M65&gt;180)),1,0)</f>
        <v>0</v>
      </c>
      <c r="AB65" s="7" t="str">
        <f aca="false">IF(P65="DUP","Exact duplicate row",IF(T65=1,"Missing Order ID",IF(S65="DROP","Duplicate Order ID (less complete row)",IF(U65=1,"Missing Customer ID",IF(V65=1,"Missing Restaurant name",IF(W65=1,"Invalid/outlier quantity",IF(X65=1,"Invalid/outlier unit price",IF(Y65=1,"Discount greater than order value",""))))))))</f>
        <v/>
      </c>
      <c r="AC65" s="7" t="str">
        <f aca="false">IF(AB65="","KEEP","DROP")</f>
        <v>KEEP</v>
      </c>
      <c r="AD65" s="7" t="str">
        <f aca="false">IF(TRIM(F65)="",IFERROR(INDEX(Map_Tables!$I$4:$I$37,MATCH(TRIM(E65),Map_Tables!$G$4:$G$37,0)),""),IFERROR(INDEX(Map_Tables!$B$4:$B$18,MATCH(TRIM(F65),Map_Tables!$A$4:$A$18,0)),"CHECK"))</f>
        <v>Bengaluru</v>
      </c>
      <c r="AE65" s="7" t="str">
        <f aca="false">IF(TRIM(E65)="","",IFERROR(INDEX(Map_Tables!$H$4:$H$37,MATCH(TRIM(E65),Map_Tables!$G$4:$G$37,0)),"CHECK"))</f>
        <v>Dosa Darbar</v>
      </c>
      <c r="AF65" s="7" t="str">
        <f aca="false">IF(TRIM(K65)="","Unknown",IFERROR(INDEX(Map_Tables!$E$4:$E$15,MATCH(TRIM(K65),Map_Tables!$D$4:$D$15,0)),"CHECK"))</f>
        <v>Credit Card</v>
      </c>
      <c r="AG65" s="7" t="str">
        <f aca="false">IF(LEFT(LOWER(TRIM(L65)),6)="cancel","Cancelled","Delivered")</f>
        <v>Delivered</v>
      </c>
      <c r="AH65" s="10" t="n">
        <f aca="false">IF(ISNUMBER(SEARCH("/",B65)),DATE(VALUE(RIGHT(B65,4)),VALUE(MID(B65,4,2)),VALUE(LEFT(B65,2))),IF(MID(B65,5,1)="-",DATE(VALUE(LEFT(B65,4)),VALUE(MID(B65,6,2)),VALUE(RIGHT(B65,2))),DATE(VALUE(RIGHT(B65,4)),MATCH(MID(B65,4,3),{"Jan","Feb","Mar","Apr","May","Jun","Jul","Aug","Sep","Oct","Nov","Dec"},0),VALUE(LEFT(B65,2)))))</f>
        <v>45858</v>
      </c>
    </row>
    <row r="66" customFormat="false" ht="15" hidden="false" customHeight="false" outlineLevel="0" collapsed="false">
      <c r="A66" s="7" t="s">
        <v>462</v>
      </c>
      <c r="B66" s="7" t="s">
        <v>253</v>
      </c>
      <c r="C66" s="7" t="s">
        <v>463</v>
      </c>
      <c r="D66" s="7" t="s">
        <v>464</v>
      </c>
      <c r="E66" s="7" t="s">
        <v>151</v>
      </c>
      <c r="F66" s="7" t="s">
        <v>128</v>
      </c>
      <c r="G66" s="7" t="s">
        <v>95</v>
      </c>
      <c r="H66" s="7" t="n">
        <v>1</v>
      </c>
      <c r="I66" s="7" t="n">
        <v>170</v>
      </c>
      <c r="J66" s="7" t="n">
        <v>20</v>
      </c>
      <c r="K66" s="7" t="s">
        <v>88</v>
      </c>
      <c r="L66" s="7" t="s">
        <v>194</v>
      </c>
      <c r="M66" s="7" t="n">
        <v>33</v>
      </c>
      <c r="N66" s="7" t="n">
        <v>5</v>
      </c>
      <c r="O66" s="7" t="str">
        <f aca="false">A66&amp;"|"&amp;B66&amp;"|"&amp;C66&amp;"|"&amp;D66&amp;"|"&amp;E66&amp;"|"&amp;F66&amp;"|"&amp;G66&amp;"|"&amp;H66&amp;"|"&amp;I66&amp;"|"&amp;J66&amp;"|"&amp;K66&amp;"|"&amp;L66&amp;"|"&amp;M66&amp;"|"&amp;N66</f>
        <v>ORD10743|2025-04-04|23:54|C1013|Chettinad House|Chennai|South Indian|1|170|20|UPI|Delivered|33|5</v>
      </c>
      <c r="P66" s="7" t="str">
        <f aca="false">IF(COUNTIF($O$2:O66,O66)&gt;1,"DUP","OK")</f>
        <v>OK</v>
      </c>
      <c r="Q66" s="7" t="n">
        <f aca="false">COUNTBLANK(A66:N66)</f>
        <v>0</v>
      </c>
      <c r="R66" s="7" t="n">
        <f aca="false">IF(A66="",0,COUNTIFS($A$2:$A$3058,A66,$P$2:$P$3058,"OK"))</f>
        <v>1</v>
      </c>
      <c r="S66" s="7" t="str">
        <f aca="false">IF(OR(A66="",P66="DUP",R66&lt;2),"",IF(Q66=_xlfn.MINIFS($Q$2:$Q$3058,$A$2:$A$3058,A66,$P$2:$P$3058,"OK"),"KEEP","DROP"))</f>
        <v/>
      </c>
      <c r="T66" s="9" t="n">
        <f aca="false">IF(A66="",1,0)</f>
        <v>0</v>
      </c>
      <c r="U66" s="9" t="n">
        <f aca="false">IF(D66="",1,0)</f>
        <v>0</v>
      </c>
      <c r="V66" s="9" t="n">
        <f aca="false">IF(E66="",1,0)</f>
        <v>0</v>
      </c>
      <c r="W66" s="9" t="n">
        <f aca="false">IF(OR(H66&lt;1,H66&gt;10),1,0)</f>
        <v>0</v>
      </c>
      <c r="X66" s="9" t="n">
        <f aca="false">IF(OR(I66&lt;=0,I66&gt;1500),1,0)</f>
        <v>0</v>
      </c>
      <c r="Y66" s="9" t="n">
        <f aca="false">IF(J66&gt;H66*I66,1,0)</f>
        <v>0</v>
      </c>
      <c r="Z66" s="9" t="n">
        <f aca="false">IF(AND(N66&lt;&gt;"",OR(N66&lt;1,N66&gt;5)),1,0)</f>
        <v>0</v>
      </c>
      <c r="AA66" s="9" t="n">
        <f aca="false">IF(AND(M66&lt;&gt;"",OR(M66&lt;5,M66&gt;180)),1,0)</f>
        <v>0</v>
      </c>
      <c r="AB66" s="7" t="str">
        <f aca="false">IF(P66="DUP","Exact duplicate row",IF(T66=1,"Missing Order ID",IF(S66="DROP","Duplicate Order ID (less complete row)",IF(U66=1,"Missing Customer ID",IF(V66=1,"Missing Restaurant name",IF(W66=1,"Invalid/outlier quantity",IF(X66=1,"Invalid/outlier unit price",IF(Y66=1,"Discount greater than order value",""))))))))</f>
        <v/>
      </c>
      <c r="AC66" s="7" t="str">
        <f aca="false">IF(AB66="","KEEP","DROP")</f>
        <v>KEEP</v>
      </c>
      <c r="AD66" s="7" t="str">
        <f aca="false">IF(TRIM(F66)="",IFERROR(INDEX(Map_Tables!$I$4:$I$37,MATCH(TRIM(E66),Map_Tables!$G$4:$G$37,0)),""),IFERROR(INDEX(Map_Tables!$B$4:$B$18,MATCH(TRIM(F66),Map_Tables!$A$4:$A$18,0)),"CHECK"))</f>
        <v>Chennai</v>
      </c>
      <c r="AE66" s="7" t="str">
        <f aca="false">IF(TRIM(E66)="","",IFERROR(INDEX(Map_Tables!$H$4:$H$37,MATCH(TRIM(E66),Map_Tables!$G$4:$G$37,0)),"CHECK"))</f>
        <v>Chettinad House</v>
      </c>
      <c r="AF66" s="7" t="str">
        <f aca="false">IF(TRIM(K66)="","Unknown",IFERROR(INDEX(Map_Tables!$E$4:$E$15,MATCH(TRIM(K66),Map_Tables!$D$4:$D$15,0)),"CHECK"))</f>
        <v>UPI</v>
      </c>
      <c r="AG66" s="7" t="str">
        <f aca="false">IF(LEFT(LOWER(TRIM(L66)),6)="cancel","Cancelled","Delivered")</f>
        <v>Delivered</v>
      </c>
      <c r="AH66" s="10" t="n">
        <f aca="false">IF(ISNUMBER(SEARCH("/",B66)),DATE(VALUE(RIGHT(B66,4)),VALUE(MID(B66,4,2)),VALUE(LEFT(B66,2))),IF(MID(B66,5,1)="-",DATE(VALUE(LEFT(B66,4)),VALUE(MID(B66,6,2)),VALUE(RIGHT(B66,2))),DATE(VALUE(RIGHT(B66,4)),MATCH(MID(B66,4,3),{"Jan","Feb","Mar","Apr","May","Jun","Jul","Aug","Sep","Oct","Nov","Dec"},0),VALUE(LEFT(B66,2)))))</f>
        <v>45751</v>
      </c>
    </row>
    <row r="67" customFormat="false" ht="15" hidden="false" customHeight="false" outlineLevel="0" collapsed="false">
      <c r="A67" s="7" t="s">
        <v>465</v>
      </c>
      <c r="B67" s="7" t="s">
        <v>466</v>
      </c>
      <c r="C67" s="7" t="s">
        <v>236</v>
      </c>
      <c r="D67" s="7" t="s">
        <v>467</v>
      </c>
      <c r="E67" s="7" t="s">
        <v>94</v>
      </c>
      <c r="F67" s="7" t="s">
        <v>86</v>
      </c>
      <c r="G67" s="7" t="s">
        <v>95</v>
      </c>
      <c r="H67" s="7" t="n">
        <v>1</v>
      </c>
      <c r="I67" s="7" t="n">
        <v>130</v>
      </c>
      <c r="J67" s="7" t="n">
        <v>30</v>
      </c>
      <c r="K67" s="7" t="s">
        <v>121</v>
      </c>
      <c r="L67" s="7" t="s">
        <v>194</v>
      </c>
      <c r="M67" s="7" t="n">
        <v>56</v>
      </c>
      <c r="N67" s="7" t="n">
        <v>4</v>
      </c>
      <c r="O67" s="7" t="str">
        <f aca="false">A67&amp;"|"&amp;B67&amp;"|"&amp;C67&amp;"|"&amp;D67&amp;"|"&amp;E67&amp;"|"&amp;F67&amp;"|"&amp;G67&amp;"|"&amp;H67&amp;"|"&amp;I67&amp;"|"&amp;J67&amp;"|"&amp;K67&amp;"|"&amp;L67&amp;"|"&amp;M67&amp;"|"&amp;N67</f>
        <v>ORD12487|2025-11-08|19:26|C0021|Dosa Darbar|Bengaluru|South Indian|1|130|30|Wallet|Delivered|56|4</v>
      </c>
      <c r="P67" s="7" t="str">
        <f aca="false">IF(COUNTIF($O$2:O67,O67)&gt;1,"DUP","OK")</f>
        <v>OK</v>
      </c>
      <c r="Q67" s="7" t="n">
        <f aca="false">COUNTBLANK(A67:N67)</f>
        <v>0</v>
      </c>
      <c r="R67" s="7" t="n">
        <f aca="false">IF(A67="",0,COUNTIFS($A$2:$A$3058,A67,$P$2:$P$3058,"OK"))</f>
        <v>1</v>
      </c>
      <c r="S67" s="7" t="str">
        <f aca="false">IF(OR(A67="",P67="DUP",R67&lt;2),"",IF(Q67=_xlfn.MINIFS($Q$2:$Q$3058,$A$2:$A$3058,A67,$P$2:$P$3058,"OK"),"KEEP","DROP"))</f>
        <v/>
      </c>
      <c r="T67" s="9" t="n">
        <f aca="false">IF(A67="",1,0)</f>
        <v>0</v>
      </c>
      <c r="U67" s="9" t="n">
        <f aca="false">IF(D67="",1,0)</f>
        <v>0</v>
      </c>
      <c r="V67" s="9" t="n">
        <f aca="false">IF(E67="",1,0)</f>
        <v>0</v>
      </c>
      <c r="W67" s="9" t="n">
        <f aca="false">IF(OR(H67&lt;1,H67&gt;10),1,0)</f>
        <v>0</v>
      </c>
      <c r="X67" s="9" t="n">
        <f aca="false">IF(OR(I67&lt;=0,I67&gt;1500),1,0)</f>
        <v>0</v>
      </c>
      <c r="Y67" s="9" t="n">
        <f aca="false">IF(J67&gt;H67*I67,1,0)</f>
        <v>0</v>
      </c>
      <c r="Z67" s="9" t="n">
        <f aca="false">IF(AND(N67&lt;&gt;"",OR(N67&lt;1,N67&gt;5)),1,0)</f>
        <v>0</v>
      </c>
      <c r="AA67" s="9" t="n">
        <f aca="false">IF(AND(M67&lt;&gt;"",OR(M67&lt;5,M67&gt;180)),1,0)</f>
        <v>0</v>
      </c>
      <c r="AB67" s="7" t="str">
        <f aca="false">IF(P67="DUP","Exact duplicate row",IF(T67=1,"Missing Order ID",IF(S67="DROP","Duplicate Order ID (less complete row)",IF(U67=1,"Missing Customer ID",IF(V67=1,"Missing Restaurant name",IF(W67=1,"Invalid/outlier quantity",IF(X67=1,"Invalid/outlier unit price",IF(Y67=1,"Discount greater than order value",""))))))))</f>
        <v/>
      </c>
      <c r="AC67" s="7" t="str">
        <f aca="false">IF(AB67="","KEEP","DROP")</f>
        <v>KEEP</v>
      </c>
      <c r="AD67" s="7" t="str">
        <f aca="false">IF(TRIM(F67)="",IFERROR(INDEX(Map_Tables!$I$4:$I$37,MATCH(TRIM(E67),Map_Tables!$G$4:$G$37,0)),""),IFERROR(INDEX(Map_Tables!$B$4:$B$18,MATCH(TRIM(F67),Map_Tables!$A$4:$A$18,0)),"CHECK"))</f>
        <v>Bengaluru</v>
      </c>
      <c r="AE67" s="7" t="str">
        <f aca="false">IF(TRIM(E67)="","",IFERROR(INDEX(Map_Tables!$H$4:$H$37,MATCH(TRIM(E67),Map_Tables!$G$4:$G$37,0)),"CHECK"))</f>
        <v>Dosa Darbar</v>
      </c>
      <c r="AF67" s="7" t="str">
        <f aca="false">IF(TRIM(K67)="","Unknown",IFERROR(INDEX(Map_Tables!$E$4:$E$15,MATCH(TRIM(K67),Map_Tables!$D$4:$D$15,0)),"CHECK"))</f>
        <v>Wallet</v>
      </c>
      <c r="AG67" s="7" t="str">
        <f aca="false">IF(LEFT(LOWER(TRIM(L67)),6)="cancel","Cancelled","Delivered")</f>
        <v>Delivered</v>
      </c>
      <c r="AH67" s="10" t="n">
        <f aca="false">IF(ISNUMBER(SEARCH("/",B67)),DATE(VALUE(RIGHT(B67,4)),VALUE(MID(B67,4,2)),VALUE(LEFT(B67,2))),IF(MID(B67,5,1)="-",DATE(VALUE(LEFT(B67,4)),VALUE(MID(B67,6,2)),VALUE(RIGHT(B67,2))),DATE(VALUE(RIGHT(B67,4)),MATCH(MID(B67,4,3),{"Jan","Feb","Mar","Apr","May","Jun","Jul","Aug","Sep","Oct","Nov","Dec"},0),VALUE(LEFT(B67,2)))))</f>
        <v>45969</v>
      </c>
    </row>
    <row r="68" customFormat="false" ht="15" hidden="false" customHeight="false" outlineLevel="0" collapsed="false">
      <c r="A68" s="7" t="s">
        <v>468</v>
      </c>
      <c r="B68" s="7" t="s">
        <v>469</v>
      </c>
      <c r="C68" s="7" t="s">
        <v>470</v>
      </c>
      <c r="D68" s="7" t="s">
        <v>471</v>
      </c>
      <c r="E68" s="7" t="s">
        <v>113</v>
      </c>
      <c r="F68" s="7" t="s">
        <v>215</v>
      </c>
      <c r="G68" s="7" t="s">
        <v>90</v>
      </c>
      <c r="H68" s="7" t="n">
        <v>4</v>
      </c>
      <c r="I68" s="7" t="n">
        <v>225</v>
      </c>
      <c r="J68" s="7" t="n">
        <v>100</v>
      </c>
      <c r="K68" s="7" t="s">
        <v>121</v>
      </c>
      <c r="L68" s="7" t="s">
        <v>194</v>
      </c>
      <c r="M68" s="7" t="n">
        <v>41</v>
      </c>
      <c r="N68" s="7" t="n">
        <v>2</v>
      </c>
      <c r="O68" s="7" t="str">
        <f aca="false">A68&amp;"|"&amp;B68&amp;"|"&amp;C68&amp;"|"&amp;D68&amp;"|"&amp;E68&amp;"|"&amp;F68&amp;"|"&amp;G68&amp;"|"&amp;H68&amp;"|"&amp;I68&amp;"|"&amp;J68&amp;"|"&amp;K68&amp;"|"&amp;L68&amp;"|"&amp;M68&amp;"|"&amp;N68</f>
        <v>ORD11683|2025-08-08|11:29|C0728|Curry Leaf Kitchen|MUMBAI|North Indian|4|225|100|Wallet|Delivered|41|2</v>
      </c>
      <c r="P68" s="7" t="str">
        <f aca="false">IF(COUNTIF($O$2:O68,O68)&gt;1,"DUP","OK")</f>
        <v>OK</v>
      </c>
      <c r="Q68" s="7" t="n">
        <f aca="false">COUNTBLANK(A68:N68)</f>
        <v>0</v>
      </c>
      <c r="R68" s="7" t="n">
        <f aca="false">IF(A68="",0,COUNTIFS($A$2:$A$3058,A68,$P$2:$P$3058,"OK"))</f>
        <v>1</v>
      </c>
      <c r="S68" s="7" t="str">
        <f aca="false">IF(OR(A68="",P68="DUP",R68&lt;2),"",IF(Q68=_xlfn.MINIFS($Q$2:$Q$3058,$A$2:$A$3058,A68,$P$2:$P$3058,"OK"),"KEEP","DROP"))</f>
        <v/>
      </c>
      <c r="T68" s="9" t="n">
        <f aca="false">IF(A68="",1,0)</f>
        <v>0</v>
      </c>
      <c r="U68" s="9" t="n">
        <f aca="false">IF(D68="",1,0)</f>
        <v>0</v>
      </c>
      <c r="V68" s="9" t="n">
        <f aca="false">IF(E68="",1,0)</f>
        <v>0</v>
      </c>
      <c r="W68" s="9" t="n">
        <f aca="false">IF(OR(H68&lt;1,H68&gt;10),1,0)</f>
        <v>0</v>
      </c>
      <c r="X68" s="9" t="n">
        <f aca="false">IF(OR(I68&lt;=0,I68&gt;1500),1,0)</f>
        <v>0</v>
      </c>
      <c r="Y68" s="9" t="n">
        <f aca="false">IF(J68&gt;H68*I68,1,0)</f>
        <v>0</v>
      </c>
      <c r="Z68" s="9" t="n">
        <f aca="false">IF(AND(N68&lt;&gt;"",OR(N68&lt;1,N68&gt;5)),1,0)</f>
        <v>0</v>
      </c>
      <c r="AA68" s="9" t="n">
        <f aca="false">IF(AND(M68&lt;&gt;"",OR(M68&lt;5,M68&gt;180)),1,0)</f>
        <v>0</v>
      </c>
      <c r="AB68" s="7" t="str">
        <f aca="false">IF(P68="DUP","Exact duplicate row",IF(T68=1,"Missing Order ID",IF(S68="DROP","Duplicate Order ID (less complete row)",IF(U68=1,"Missing Customer ID",IF(V68=1,"Missing Restaurant name",IF(W68=1,"Invalid/outlier quantity",IF(X68=1,"Invalid/outlier unit price",IF(Y68=1,"Discount greater than order value",""))))))))</f>
        <v/>
      </c>
      <c r="AC68" s="7" t="str">
        <f aca="false">IF(AB68="","KEEP","DROP")</f>
        <v>KEEP</v>
      </c>
      <c r="AD68" s="7" t="str">
        <f aca="false">IF(TRIM(F68)="",IFERROR(INDEX(Map_Tables!$I$4:$I$37,MATCH(TRIM(E68),Map_Tables!$G$4:$G$37,0)),""),IFERROR(INDEX(Map_Tables!$B$4:$B$18,MATCH(TRIM(F68),Map_Tables!$A$4:$A$18,0)),"CHECK"))</f>
        <v>Mumbai</v>
      </c>
      <c r="AE68" s="7" t="str">
        <f aca="false">IF(TRIM(E68)="","",IFERROR(INDEX(Map_Tables!$H$4:$H$37,MATCH(TRIM(E68),Map_Tables!$G$4:$G$37,0)),"CHECK"))</f>
        <v>Curry Leaf Kitchen</v>
      </c>
      <c r="AF68" s="7" t="str">
        <f aca="false">IF(TRIM(K68)="","Unknown",IFERROR(INDEX(Map_Tables!$E$4:$E$15,MATCH(TRIM(K68),Map_Tables!$D$4:$D$15,0)),"CHECK"))</f>
        <v>Wallet</v>
      </c>
      <c r="AG68" s="7" t="str">
        <f aca="false">IF(LEFT(LOWER(TRIM(L68)),6)="cancel","Cancelled","Delivered")</f>
        <v>Delivered</v>
      </c>
      <c r="AH68" s="10" t="n">
        <f aca="false">IF(ISNUMBER(SEARCH("/",B68)),DATE(VALUE(RIGHT(B68,4)),VALUE(MID(B68,4,2)),VALUE(LEFT(B68,2))),IF(MID(B68,5,1)="-",DATE(VALUE(LEFT(B68,4)),VALUE(MID(B68,6,2)),VALUE(RIGHT(B68,2))),DATE(VALUE(RIGHT(B68,4)),MATCH(MID(B68,4,3),{"Jan","Feb","Mar","Apr","May","Jun","Jul","Aug","Sep","Oct","Nov","Dec"},0),VALUE(LEFT(B68,2)))))</f>
        <v>45877</v>
      </c>
    </row>
    <row r="69" customFormat="false" ht="15" hidden="false" customHeight="false" outlineLevel="0" collapsed="false">
      <c r="A69" s="7" t="s">
        <v>472</v>
      </c>
      <c r="B69" s="7" t="s">
        <v>473</v>
      </c>
      <c r="C69" s="7" t="s">
        <v>474</v>
      </c>
      <c r="D69" s="7" t="s">
        <v>475</v>
      </c>
      <c r="E69" s="7" t="s">
        <v>138</v>
      </c>
      <c r="F69" s="7" t="s">
        <v>110</v>
      </c>
      <c r="G69" s="7" t="s">
        <v>139</v>
      </c>
      <c r="H69" s="7" t="n">
        <v>2</v>
      </c>
      <c r="I69" s="7" t="n">
        <v>165</v>
      </c>
      <c r="J69" s="7" t="n">
        <v>75</v>
      </c>
      <c r="K69" s="7" t="s">
        <v>88</v>
      </c>
      <c r="L69" s="7" t="s">
        <v>194</v>
      </c>
      <c r="M69" s="7"/>
      <c r="N69" s="7" t="n">
        <v>4</v>
      </c>
      <c r="O69" s="7" t="str">
        <f aca="false">A69&amp;"|"&amp;B69&amp;"|"&amp;C69&amp;"|"&amp;D69&amp;"|"&amp;E69&amp;"|"&amp;F69&amp;"|"&amp;G69&amp;"|"&amp;H69&amp;"|"&amp;I69&amp;"|"&amp;J69&amp;"|"&amp;K69&amp;"|"&amp;L69&amp;"|"&amp;M69&amp;"|"&amp;N69</f>
        <v>ORD10820|2025-04-14|16:40|C0757|Burger Barn|Delhi|Burgers|2|165|75|UPI|Delivered||4</v>
      </c>
      <c r="P69" s="7" t="str">
        <f aca="false">IF(COUNTIF($O$2:O69,O69)&gt;1,"DUP","OK")</f>
        <v>OK</v>
      </c>
      <c r="Q69" s="7" t="n">
        <f aca="false">COUNTBLANK(A69:N69)</f>
        <v>1</v>
      </c>
      <c r="R69" s="7" t="n">
        <f aca="false">IF(A69="",0,COUNTIFS($A$2:$A$3058,A69,$P$2:$P$3058,"OK"))</f>
        <v>1</v>
      </c>
      <c r="S69" s="7" t="str">
        <f aca="false">IF(OR(A69="",P69="DUP",R69&lt;2),"",IF(Q69=_xlfn.MINIFS($Q$2:$Q$3058,$A$2:$A$3058,A69,$P$2:$P$3058,"OK"),"KEEP","DROP"))</f>
        <v/>
      </c>
      <c r="T69" s="9" t="n">
        <f aca="false">IF(A69="",1,0)</f>
        <v>0</v>
      </c>
      <c r="U69" s="9" t="n">
        <f aca="false">IF(D69="",1,0)</f>
        <v>0</v>
      </c>
      <c r="V69" s="9" t="n">
        <f aca="false">IF(E69="",1,0)</f>
        <v>0</v>
      </c>
      <c r="W69" s="9" t="n">
        <f aca="false">IF(OR(H69&lt;1,H69&gt;10),1,0)</f>
        <v>0</v>
      </c>
      <c r="X69" s="9" t="n">
        <f aca="false">IF(OR(I69&lt;=0,I69&gt;1500),1,0)</f>
        <v>0</v>
      </c>
      <c r="Y69" s="9" t="n">
        <f aca="false">IF(J69&gt;H69*I69,1,0)</f>
        <v>0</v>
      </c>
      <c r="Z69" s="9" t="n">
        <f aca="false">IF(AND(N69&lt;&gt;"",OR(N69&lt;1,N69&gt;5)),1,0)</f>
        <v>0</v>
      </c>
      <c r="AA69" s="9" t="n">
        <f aca="false">IF(AND(M69&lt;&gt;"",OR(M69&lt;5,M69&gt;180)),1,0)</f>
        <v>0</v>
      </c>
      <c r="AB69" s="7" t="str">
        <f aca="false">IF(P69="DUP","Exact duplicate row",IF(T69=1,"Missing Order ID",IF(S69="DROP","Duplicate Order ID (less complete row)",IF(U69=1,"Missing Customer ID",IF(V69=1,"Missing Restaurant name",IF(W69=1,"Invalid/outlier quantity",IF(X69=1,"Invalid/outlier unit price",IF(Y69=1,"Discount greater than order value",""))))))))</f>
        <v/>
      </c>
      <c r="AC69" s="7" t="str">
        <f aca="false">IF(AB69="","KEEP","DROP")</f>
        <v>KEEP</v>
      </c>
      <c r="AD69" s="7" t="str">
        <f aca="false">IF(TRIM(F69)="",IFERROR(INDEX(Map_Tables!$I$4:$I$37,MATCH(TRIM(E69),Map_Tables!$G$4:$G$37,0)),""),IFERROR(INDEX(Map_Tables!$B$4:$B$18,MATCH(TRIM(F69),Map_Tables!$A$4:$A$18,0)),"CHECK"))</f>
        <v>Delhi</v>
      </c>
      <c r="AE69" s="7" t="str">
        <f aca="false">IF(TRIM(E69)="","",IFERROR(INDEX(Map_Tables!$H$4:$H$37,MATCH(TRIM(E69),Map_Tables!$G$4:$G$37,0)),"CHECK"))</f>
        <v>Burger Barn</v>
      </c>
      <c r="AF69" s="7" t="str">
        <f aca="false">IF(TRIM(K69)="","Unknown",IFERROR(INDEX(Map_Tables!$E$4:$E$15,MATCH(TRIM(K69),Map_Tables!$D$4:$D$15,0)),"CHECK"))</f>
        <v>UPI</v>
      </c>
      <c r="AG69" s="7" t="str">
        <f aca="false">IF(LEFT(LOWER(TRIM(L69)),6)="cancel","Cancelled","Delivered")</f>
        <v>Delivered</v>
      </c>
      <c r="AH69" s="10" t="n">
        <f aca="false">IF(ISNUMBER(SEARCH("/",B69)),DATE(VALUE(RIGHT(B69,4)),VALUE(MID(B69,4,2)),VALUE(LEFT(B69,2))),IF(MID(B69,5,1)="-",DATE(VALUE(LEFT(B69,4)),VALUE(MID(B69,6,2)),VALUE(RIGHT(B69,2))),DATE(VALUE(RIGHT(B69,4)),MATCH(MID(B69,4,3),{"Jan","Feb","Mar","Apr","May","Jun","Jul","Aug","Sep","Oct","Nov","Dec"},0),VALUE(LEFT(B69,2)))))</f>
        <v>45761</v>
      </c>
    </row>
    <row r="70" customFormat="false" ht="15" hidden="false" customHeight="false" outlineLevel="0" collapsed="false">
      <c r="A70" s="7" t="s">
        <v>476</v>
      </c>
      <c r="B70" s="7" t="s">
        <v>477</v>
      </c>
      <c r="C70" s="7" t="s">
        <v>478</v>
      </c>
      <c r="D70" s="7" t="s">
        <v>479</v>
      </c>
      <c r="E70" s="7" t="s">
        <v>154</v>
      </c>
      <c r="F70" s="7" t="s">
        <v>128</v>
      </c>
      <c r="G70" s="7" t="s">
        <v>99</v>
      </c>
      <c r="H70" s="7" t="n">
        <v>3</v>
      </c>
      <c r="I70" s="7" t="n">
        <v>285</v>
      </c>
      <c r="J70" s="7" t="n">
        <v>0</v>
      </c>
      <c r="K70" s="7" t="s">
        <v>88</v>
      </c>
      <c r="L70" s="7" t="s">
        <v>457</v>
      </c>
      <c r="M70" s="7" t="n">
        <v>43</v>
      </c>
      <c r="N70" s="7" t="n">
        <v>3</v>
      </c>
      <c r="O70" s="7" t="str">
        <f aca="false">A70&amp;"|"&amp;B70&amp;"|"&amp;C70&amp;"|"&amp;D70&amp;"|"&amp;E70&amp;"|"&amp;F70&amp;"|"&amp;G70&amp;"|"&amp;H70&amp;"|"&amp;I70&amp;"|"&amp;J70&amp;"|"&amp;K70&amp;"|"&amp;L70&amp;"|"&amp;M70&amp;"|"&amp;N70</f>
        <v>ORD10839|2025-04-16|20:03|C0989|Madras Biryani Co|Chennai|Biryani|3|285|0|UPI|Delivered |43|3</v>
      </c>
      <c r="P70" s="7" t="str">
        <f aca="false">IF(COUNTIF($O$2:O70,O70)&gt;1,"DUP","OK")</f>
        <v>OK</v>
      </c>
      <c r="Q70" s="7" t="n">
        <f aca="false">COUNTBLANK(A70:N70)</f>
        <v>0</v>
      </c>
      <c r="R70" s="7" t="n">
        <f aca="false">IF(A70="",0,COUNTIFS($A$2:$A$3058,A70,$P$2:$P$3058,"OK"))</f>
        <v>1</v>
      </c>
      <c r="S70" s="7" t="str">
        <f aca="false">IF(OR(A70="",P70="DUP",R70&lt;2),"",IF(Q70=_xlfn.MINIFS($Q$2:$Q$3058,$A$2:$A$3058,A70,$P$2:$P$3058,"OK"),"KEEP","DROP"))</f>
        <v/>
      </c>
      <c r="T70" s="9" t="n">
        <f aca="false">IF(A70="",1,0)</f>
        <v>0</v>
      </c>
      <c r="U70" s="9" t="n">
        <f aca="false">IF(D70="",1,0)</f>
        <v>0</v>
      </c>
      <c r="V70" s="9" t="n">
        <f aca="false">IF(E70="",1,0)</f>
        <v>0</v>
      </c>
      <c r="W70" s="9" t="n">
        <f aca="false">IF(OR(H70&lt;1,H70&gt;10),1,0)</f>
        <v>0</v>
      </c>
      <c r="X70" s="9" t="n">
        <f aca="false">IF(OR(I70&lt;=0,I70&gt;1500),1,0)</f>
        <v>0</v>
      </c>
      <c r="Y70" s="9" t="n">
        <f aca="false">IF(J70&gt;H70*I70,1,0)</f>
        <v>0</v>
      </c>
      <c r="Z70" s="9" t="n">
        <f aca="false">IF(AND(N70&lt;&gt;"",OR(N70&lt;1,N70&gt;5)),1,0)</f>
        <v>0</v>
      </c>
      <c r="AA70" s="9" t="n">
        <f aca="false">IF(AND(M70&lt;&gt;"",OR(M70&lt;5,M70&gt;180)),1,0)</f>
        <v>0</v>
      </c>
      <c r="AB70" s="7" t="str">
        <f aca="false">IF(P70="DUP","Exact duplicate row",IF(T70=1,"Missing Order ID",IF(S70="DROP","Duplicate Order ID (less complete row)",IF(U70=1,"Missing Customer ID",IF(V70=1,"Missing Restaurant name",IF(W70=1,"Invalid/outlier quantity",IF(X70=1,"Invalid/outlier unit price",IF(Y70=1,"Discount greater than order value",""))))))))</f>
        <v/>
      </c>
      <c r="AC70" s="7" t="str">
        <f aca="false">IF(AB70="","KEEP","DROP")</f>
        <v>KEEP</v>
      </c>
      <c r="AD70" s="7" t="str">
        <f aca="false">IF(TRIM(F70)="",IFERROR(INDEX(Map_Tables!$I$4:$I$37,MATCH(TRIM(E70),Map_Tables!$G$4:$G$37,0)),""),IFERROR(INDEX(Map_Tables!$B$4:$B$18,MATCH(TRIM(F70),Map_Tables!$A$4:$A$18,0)),"CHECK"))</f>
        <v>Chennai</v>
      </c>
      <c r="AE70" s="7" t="str">
        <f aca="false">IF(TRIM(E70)="","",IFERROR(INDEX(Map_Tables!$H$4:$H$37,MATCH(TRIM(E70),Map_Tables!$G$4:$G$37,0)),"CHECK"))</f>
        <v>Madras Biryani Co</v>
      </c>
      <c r="AF70" s="7" t="str">
        <f aca="false">IF(TRIM(K70)="","Unknown",IFERROR(INDEX(Map_Tables!$E$4:$E$15,MATCH(TRIM(K70),Map_Tables!$D$4:$D$15,0)),"CHECK"))</f>
        <v>UPI</v>
      </c>
      <c r="AG70" s="7" t="str">
        <f aca="false">IF(LEFT(LOWER(TRIM(L70)),6)="cancel","Cancelled","Delivered")</f>
        <v>Delivered</v>
      </c>
      <c r="AH70" s="10" t="n">
        <f aca="false">IF(ISNUMBER(SEARCH("/",B70)),DATE(VALUE(RIGHT(B70,4)),VALUE(MID(B70,4,2)),VALUE(LEFT(B70,2))),IF(MID(B70,5,1)="-",DATE(VALUE(LEFT(B70,4)),VALUE(MID(B70,6,2)),VALUE(RIGHT(B70,2))),DATE(VALUE(RIGHT(B70,4)),MATCH(MID(B70,4,3),{"Jan","Feb","Mar","Apr","May","Jun","Jul","Aug","Sep","Oct","Nov","Dec"},0),VALUE(LEFT(B70,2)))))</f>
        <v>45763</v>
      </c>
    </row>
    <row r="71" customFormat="false" ht="15" hidden="false" customHeight="false" outlineLevel="0" collapsed="false">
      <c r="A71" s="7" t="s">
        <v>480</v>
      </c>
      <c r="B71" s="7" t="s">
        <v>253</v>
      </c>
      <c r="C71" s="7" t="s">
        <v>481</v>
      </c>
      <c r="D71" s="7" t="s">
        <v>482</v>
      </c>
      <c r="E71" s="7" t="s">
        <v>483</v>
      </c>
      <c r="F71" s="7" t="s">
        <v>136</v>
      </c>
      <c r="G71" s="7" t="s">
        <v>117</v>
      </c>
      <c r="H71" s="7" t="n">
        <v>4</v>
      </c>
      <c r="I71" s="7" t="n">
        <v>125</v>
      </c>
      <c r="J71" s="7" t="n">
        <v>0</v>
      </c>
      <c r="K71" s="7" t="s">
        <v>88</v>
      </c>
      <c r="L71" s="7" t="s">
        <v>194</v>
      </c>
      <c r="M71" s="7" t="n">
        <v>30</v>
      </c>
      <c r="N71" s="7" t="n">
        <v>3</v>
      </c>
      <c r="O71" s="7" t="str">
        <f aca="false">A71&amp;"|"&amp;B71&amp;"|"&amp;C71&amp;"|"&amp;D71&amp;"|"&amp;E71&amp;"|"&amp;F71&amp;"|"&amp;G71&amp;"|"&amp;H71&amp;"|"&amp;I71&amp;"|"&amp;J71&amp;"|"&amp;K71&amp;"|"&amp;L71&amp;"|"&amp;M71&amp;"|"&amp;N71</f>
        <v>ORD10738|2025-04-04|16:53|C0476| Misal Mantra|Pune|Street Food|4|125|0|UPI|Delivered|30|3</v>
      </c>
      <c r="P71" s="7" t="str">
        <f aca="false">IF(COUNTIF($O$2:O71,O71)&gt;1,"DUP","OK")</f>
        <v>OK</v>
      </c>
      <c r="Q71" s="7" t="n">
        <f aca="false">COUNTBLANK(A71:N71)</f>
        <v>0</v>
      </c>
      <c r="R71" s="7" t="n">
        <f aca="false">IF(A71="",0,COUNTIFS($A$2:$A$3058,A71,$P$2:$P$3058,"OK"))</f>
        <v>1</v>
      </c>
      <c r="S71" s="7" t="str">
        <f aca="false">IF(OR(A71="",P71="DUP",R71&lt;2),"",IF(Q71=_xlfn.MINIFS($Q$2:$Q$3058,$A$2:$A$3058,A71,$P$2:$P$3058,"OK"),"KEEP","DROP"))</f>
        <v/>
      </c>
      <c r="T71" s="9" t="n">
        <f aca="false">IF(A71="",1,0)</f>
        <v>0</v>
      </c>
      <c r="U71" s="9" t="n">
        <f aca="false">IF(D71="",1,0)</f>
        <v>0</v>
      </c>
      <c r="V71" s="9" t="n">
        <f aca="false">IF(E71="",1,0)</f>
        <v>0</v>
      </c>
      <c r="W71" s="9" t="n">
        <f aca="false">IF(OR(H71&lt;1,H71&gt;10),1,0)</f>
        <v>0</v>
      </c>
      <c r="X71" s="9" t="n">
        <f aca="false">IF(OR(I71&lt;=0,I71&gt;1500),1,0)</f>
        <v>0</v>
      </c>
      <c r="Y71" s="9" t="n">
        <f aca="false">IF(J71&gt;H71*I71,1,0)</f>
        <v>0</v>
      </c>
      <c r="Z71" s="9" t="n">
        <f aca="false">IF(AND(N71&lt;&gt;"",OR(N71&lt;1,N71&gt;5)),1,0)</f>
        <v>0</v>
      </c>
      <c r="AA71" s="9" t="n">
        <f aca="false">IF(AND(M71&lt;&gt;"",OR(M71&lt;5,M71&gt;180)),1,0)</f>
        <v>0</v>
      </c>
      <c r="AB71" s="7" t="str">
        <f aca="false">IF(P71="DUP","Exact duplicate row",IF(T71=1,"Missing Order ID",IF(S71="DROP","Duplicate Order ID (less complete row)",IF(U71=1,"Missing Customer ID",IF(V71=1,"Missing Restaurant name",IF(W71=1,"Invalid/outlier quantity",IF(X71=1,"Invalid/outlier unit price",IF(Y71=1,"Discount greater than order value",""))))))))</f>
        <v/>
      </c>
      <c r="AC71" s="7" t="str">
        <f aca="false">IF(AB71="","KEEP","DROP")</f>
        <v>KEEP</v>
      </c>
      <c r="AD71" s="7" t="str">
        <f aca="false">IF(TRIM(F71)="",IFERROR(INDEX(Map_Tables!$I$4:$I$37,MATCH(TRIM(E71),Map_Tables!$G$4:$G$37,0)),""),IFERROR(INDEX(Map_Tables!$B$4:$B$18,MATCH(TRIM(F71),Map_Tables!$A$4:$A$18,0)),"CHECK"))</f>
        <v>Pune</v>
      </c>
      <c r="AE71" s="7" t="str">
        <f aca="false">IF(TRIM(E71)="","",IFERROR(INDEX(Map_Tables!$H$4:$H$37,MATCH(TRIM(E71),Map_Tables!$G$4:$G$37,0)),"CHECK"))</f>
        <v>Misal Mantra</v>
      </c>
      <c r="AF71" s="7" t="str">
        <f aca="false">IF(TRIM(K71)="","Unknown",IFERROR(INDEX(Map_Tables!$E$4:$E$15,MATCH(TRIM(K71),Map_Tables!$D$4:$D$15,0)),"CHECK"))</f>
        <v>UPI</v>
      </c>
      <c r="AG71" s="7" t="str">
        <f aca="false">IF(LEFT(LOWER(TRIM(L71)),6)="cancel","Cancelled","Delivered")</f>
        <v>Delivered</v>
      </c>
      <c r="AH71" s="10" t="n">
        <f aca="false">IF(ISNUMBER(SEARCH("/",B71)),DATE(VALUE(RIGHT(B71,4)),VALUE(MID(B71,4,2)),VALUE(LEFT(B71,2))),IF(MID(B71,5,1)="-",DATE(VALUE(LEFT(B71,4)),VALUE(MID(B71,6,2)),VALUE(RIGHT(B71,2))),DATE(VALUE(RIGHT(B71,4)),MATCH(MID(B71,4,3),{"Jan","Feb","Mar","Apr","May","Jun","Jul","Aug","Sep","Oct","Nov","Dec"},0),VALUE(LEFT(B71,2)))))</f>
        <v>45751</v>
      </c>
    </row>
    <row r="72" customFormat="false" ht="15" hidden="false" customHeight="false" outlineLevel="0" collapsed="false">
      <c r="A72" s="7" t="s">
        <v>484</v>
      </c>
      <c r="B72" s="7" t="s">
        <v>485</v>
      </c>
      <c r="C72" s="7" t="s">
        <v>486</v>
      </c>
      <c r="D72" s="7" t="s">
        <v>487</v>
      </c>
      <c r="E72" s="7" t="s">
        <v>104</v>
      </c>
      <c r="F72" s="7" t="s">
        <v>86</v>
      </c>
      <c r="G72" s="7" t="s">
        <v>105</v>
      </c>
      <c r="H72" s="7" t="n">
        <v>4</v>
      </c>
      <c r="I72" s="7" t="n">
        <v>185</v>
      </c>
      <c r="J72" s="7" t="n">
        <v>125</v>
      </c>
      <c r="K72" s="7" t="s">
        <v>93</v>
      </c>
      <c r="L72" s="7" t="s">
        <v>194</v>
      </c>
      <c r="M72" s="7" t="n">
        <v>42</v>
      </c>
      <c r="N72" s="7" t="n">
        <v>4</v>
      </c>
      <c r="O72" s="7" t="str">
        <f aca="false">A72&amp;"|"&amp;B72&amp;"|"&amp;C72&amp;"|"&amp;D72&amp;"|"&amp;E72&amp;"|"&amp;F72&amp;"|"&amp;G72&amp;"|"&amp;H72&amp;"|"&amp;I72&amp;"|"&amp;J72&amp;"|"&amp;K72&amp;"|"&amp;L72&amp;"|"&amp;M72&amp;"|"&amp;N72</f>
        <v>ORD12526|12/11/2025|12:46|C0170|Wok &amp; Roll|Bengaluru|Chinese|4|185|125|Credit Card|Delivered|42|4</v>
      </c>
      <c r="P72" s="7" t="str">
        <f aca="false">IF(COUNTIF($O$2:O72,O72)&gt;1,"DUP","OK")</f>
        <v>OK</v>
      </c>
      <c r="Q72" s="7" t="n">
        <f aca="false">COUNTBLANK(A72:N72)</f>
        <v>0</v>
      </c>
      <c r="R72" s="7" t="n">
        <f aca="false">IF(A72="",0,COUNTIFS($A$2:$A$3058,A72,$P$2:$P$3058,"OK"))</f>
        <v>1</v>
      </c>
      <c r="S72" s="7" t="str">
        <f aca="false">IF(OR(A72="",P72="DUP",R72&lt;2),"",IF(Q72=_xlfn.MINIFS($Q$2:$Q$3058,$A$2:$A$3058,A72,$P$2:$P$3058,"OK"),"KEEP","DROP"))</f>
        <v/>
      </c>
      <c r="T72" s="9" t="n">
        <f aca="false">IF(A72="",1,0)</f>
        <v>0</v>
      </c>
      <c r="U72" s="9" t="n">
        <f aca="false">IF(D72="",1,0)</f>
        <v>0</v>
      </c>
      <c r="V72" s="9" t="n">
        <f aca="false">IF(E72="",1,0)</f>
        <v>0</v>
      </c>
      <c r="W72" s="9" t="n">
        <f aca="false">IF(OR(H72&lt;1,H72&gt;10),1,0)</f>
        <v>0</v>
      </c>
      <c r="X72" s="9" t="n">
        <f aca="false">IF(OR(I72&lt;=0,I72&gt;1500),1,0)</f>
        <v>0</v>
      </c>
      <c r="Y72" s="9" t="n">
        <f aca="false">IF(J72&gt;H72*I72,1,0)</f>
        <v>0</v>
      </c>
      <c r="Z72" s="9" t="n">
        <f aca="false">IF(AND(N72&lt;&gt;"",OR(N72&lt;1,N72&gt;5)),1,0)</f>
        <v>0</v>
      </c>
      <c r="AA72" s="9" t="n">
        <f aca="false">IF(AND(M72&lt;&gt;"",OR(M72&lt;5,M72&gt;180)),1,0)</f>
        <v>0</v>
      </c>
      <c r="AB72" s="7" t="str">
        <f aca="false">IF(P72="DUP","Exact duplicate row",IF(T72=1,"Missing Order ID",IF(S72="DROP","Duplicate Order ID (less complete row)",IF(U72=1,"Missing Customer ID",IF(V72=1,"Missing Restaurant name",IF(W72=1,"Invalid/outlier quantity",IF(X72=1,"Invalid/outlier unit price",IF(Y72=1,"Discount greater than order value",""))))))))</f>
        <v/>
      </c>
      <c r="AC72" s="7" t="str">
        <f aca="false">IF(AB72="","KEEP","DROP")</f>
        <v>KEEP</v>
      </c>
      <c r="AD72" s="7" t="str">
        <f aca="false">IF(TRIM(F72)="",IFERROR(INDEX(Map_Tables!$I$4:$I$37,MATCH(TRIM(E72),Map_Tables!$G$4:$G$37,0)),""),IFERROR(INDEX(Map_Tables!$B$4:$B$18,MATCH(TRIM(F72),Map_Tables!$A$4:$A$18,0)),"CHECK"))</f>
        <v>Bengaluru</v>
      </c>
      <c r="AE72" s="7" t="str">
        <f aca="false">IF(TRIM(E72)="","",IFERROR(INDEX(Map_Tables!$H$4:$H$37,MATCH(TRIM(E72),Map_Tables!$G$4:$G$37,0)),"CHECK"))</f>
        <v>Wok &amp; Roll</v>
      </c>
      <c r="AF72" s="7" t="str">
        <f aca="false">IF(TRIM(K72)="","Unknown",IFERROR(INDEX(Map_Tables!$E$4:$E$15,MATCH(TRIM(K72),Map_Tables!$D$4:$D$15,0)),"CHECK"))</f>
        <v>Credit Card</v>
      </c>
      <c r="AG72" s="7" t="str">
        <f aca="false">IF(LEFT(LOWER(TRIM(L72)),6)="cancel","Cancelled","Delivered")</f>
        <v>Delivered</v>
      </c>
      <c r="AH72" s="10" t="n">
        <f aca="false">IF(ISNUMBER(SEARCH("/",B72)),DATE(VALUE(RIGHT(B72,4)),VALUE(MID(B72,4,2)),VALUE(LEFT(B72,2))),IF(MID(B72,5,1)="-",DATE(VALUE(LEFT(B72,4)),VALUE(MID(B72,6,2)),VALUE(RIGHT(B72,2))),DATE(VALUE(RIGHT(B72,4)),MATCH(MID(B72,4,3),{"Jan","Feb","Mar","Apr","May","Jun","Jul","Aug","Sep","Oct","Nov","Dec"},0),VALUE(LEFT(B72,2)))))</f>
        <v>45973</v>
      </c>
    </row>
    <row r="73" customFormat="false" ht="15" hidden="false" customHeight="false" outlineLevel="0" collapsed="false">
      <c r="A73" s="7" t="s">
        <v>488</v>
      </c>
      <c r="B73" s="7" t="s">
        <v>489</v>
      </c>
      <c r="C73" s="7" t="s">
        <v>490</v>
      </c>
      <c r="D73" s="7" t="s">
        <v>491</v>
      </c>
      <c r="E73" s="7" t="s">
        <v>126</v>
      </c>
      <c r="F73" s="7" t="s">
        <v>101</v>
      </c>
      <c r="G73" s="7" t="s">
        <v>105</v>
      </c>
      <c r="H73" s="7" t="n">
        <v>3</v>
      </c>
      <c r="I73" s="7" t="n">
        <v>220</v>
      </c>
      <c r="J73" s="7" t="n">
        <v>50</v>
      </c>
      <c r="K73" s="7" t="s">
        <v>93</v>
      </c>
      <c r="L73" s="7" t="s">
        <v>194</v>
      </c>
      <c r="M73" s="7" t="n">
        <v>40</v>
      </c>
      <c r="N73" s="7" t="n">
        <v>4</v>
      </c>
      <c r="O73" s="7" t="str">
        <f aca="false">A73&amp;"|"&amp;B73&amp;"|"&amp;C73&amp;"|"&amp;D73&amp;"|"&amp;E73&amp;"|"&amp;F73&amp;"|"&amp;G73&amp;"|"&amp;H73&amp;"|"&amp;I73&amp;"|"&amp;J73&amp;"|"&amp;K73&amp;"|"&amp;L73&amp;"|"&amp;M73&amp;"|"&amp;N73</f>
        <v>ORD10122|16/01/2025|19:03|C0822|Dragon Express|Mumbai|Chinese|3|220|50|Credit Card|Delivered|40|4</v>
      </c>
      <c r="P73" s="7" t="str">
        <f aca="false">IF(COUNTIF($O$2:O73,O73)&gt;1,"DUP","OK")</f>
        <v>OK</v>
      </c>
      <c r="Q73" s="7" t="n">
        <f aca="false">COUNTBLANK(A73:N73)</f>
        <v>0</v>
      </c>
      <c r="R73" s="7" t="n">
        <f aca="false">IF(A73="",0,COUNTIFS($A$2:$A$3058,A73,$P$2:$P$3058,"OK"))</f>
        <v>1</v>
      </c>
      <c r="S73" s="7" t="str">
        <f aca="false">IF(OR(A73="",P73="DUP",R73&lt;2),"",IF(Q73=_xlfn.MINIFS($Q$2:$Q$3058,$A$2:$A$3058,A73,$P$2:$P$3058,"OK"),"KEEP","DROP"))</f>
        <v/>
      </c>
      <c r="T73" s="9" t="n">
        <f aca="false">IF(A73="",1,0)</f>
        <v>0</v>
      </c>
      <c r="U73" s="9" t="n">
        <f aca="false">IF(D73="",1,0)</f>
        <v>0</v>
      </c>
      <c r="V73" s="9" t="n">
        <f aca="false">IF(E73="",1,0)</f>
        <v>0</v>
      </c>
      <c r="W73" s="9" t="n">
        <f aca="false">IF(OR(H73&lt;1,H73&gt;10),1,0)</f>
        <v>0</v>
      </c>
      <c r="X73" s="9" t="n">
        <f aca="false">IF(OR(I73&lt;=0,I73&gt;1500),1,0)</f>
        <v>0</v>
      </c>
      <c r="Y73" s="9" t="n">
        <f aca="false">IF(J73&gt;H73*I73,1,0)</f>
        <v>0</v>
      </c>
      <c r="Z73" s="9" t="n">
        <f aca="false">IF(AND(N73&lt;&gt;"",OR(N73&lt;1,N73&gt;5)),1,0)</f>
        <v>0</v>
      </c>
      <c r="AA73" s="9" t="n">
        <f aca="false">IF(AND(M73&lt;&gt;"",OR(M73&lt;5,M73&gt;180)),1,0)</f>
        <v>0</v>
      </c>
      <c r="AB73" s="7" t="str">
        <f aca="false">IF(P73="DUP","Exact duplicate row",IF(T73=1,"Missing Order ID",IF(S73="DROP","Duplicate Order ID (less complete row)",IF(U73=1,"Missing Customer ID",IF(V73=1,"Missing Restaurant name",IF(W73=1,"Invalid/outlier quantity",IF(X73=1,"Invalid/outlier unit price",IF(Y73=1,"Discount greater than order value",""))))))))</f>
        <v/>
      </c>
      <c r="AC73" s="7" t="str">
        <f aca="false">IF(AB73="","KEEP","DROP")</f>
        <v>KEEP</v>
      </c>
      <c r="AD73" s="7" t="str">
        <f aca="false">IF(TRIM(F73)="",IFERROR(INDEX(Map_Tables!$I$4:$I$37,MATCH(TRIM(E73),Map_Tables!$G$4:$G$37,0)),""),IFERROR(INDEX(Map_Tables!$B$4:$B$18,MATCH(TRIM(F73),Map_Tables!$A$4:$A$18,0)),"CHECK"))</f>
        <v>Mumbai</v>
      </c>
      <c r="AE73" s="7" t="str">
        <f aca="false">IF(TRIM(E73)="","",IFERROR(INDEX(Map_Tables!$H$4:$H$37,MATCH(TRIM(E73),Map_Tables!$G$4:$G$37,0)),"CHECK"))</f>
        <v>Dragon Express</v>
      </c>
      <c r="AF73" s="7" t="str">
        <f aca="false">IF(TRIM(K73)="","Unknown",IFERROR(INDEX(Map_Tables!$E$4:$E$15,MATCH(TRIM(K73),Map_Tables!$D$4:$D$15,0)),"CHECK"))</f>
        <v>Credit Card</v>
      </c>
      <c r="AG73" s="7" t="str">
        <f aca="false">IF(LEFT(LOWER(TRIM(L73)),6)="cancel","Cancelled","Delivered")</f>
        <v>Delivered</v>
      </c>
      <c r="AH73" s="10" t="n">
        <f aca="false">IF(ISNUMBER(SEARCH("/",B73)),DATE(VALUE(RIGHT(B73,4)),VALUE(MID(B73,4,2)),VALUE(LEFT(B73,2))),IF(MID(B73,5,1)="-",DATE(VALUE(LEFT(B73,4)),VALUE(MID(B73,6,2)),VALUE(RIGHT(B73,2))),DATE(VALUE(RIGHT(B73,4)),MATCH(MID(B73,4,3),{"Jan","Feb","Mar","Apr","May","Jun","Jul","Aug","Sep","Oct","Nov","Dec"},0),VALUE(LEFT(B73,2)))))</f>
        <v>45673</v>
      </c>
    </row>
    <row r="74" customFormat="false" ht="15" hidden="false" customHeight="false" outlineLevel="0" collapsed="false">
      <c r="A74" s="7" t="s">
        <v>492</v>
      </c>
      <c r="B74" s="7" t="s">
        <v>493</v>
      </c>
      <c r="C74" s="7" t="s">
        <v>494</v>
      </c>
      <c r="D74" s="7" t="s">
        <v>495</v>
      </c>
      <c r="E74" s="7" t="s">
        <v>94</v>
      </c>
      <c r="F74" s="7" t="s">
        <v>86</v>
      </c>
      <c r="G74" s="7" t="s">
        <v>95</v>
      </c>
      <c r="H74" s="7" t="n">
        <v>4</v>
      </c>
      <c r="I74" s="7" t="n">
        <v>125</v>
      </c>
      <c r="J74" s="7" t="n">
        <v>150</v>
      </c>
      <c r="K74" s="7" t="s">
        <v>88</v>
      </c>
      <c r="L74" s="7" t="s">
        <v>194</v>
      </c>
      <c r="M74" s="7" t="n">
        <v>60</v>
      </c>
      <c r="N74" s="7" t="n">
        <v>3</v>
      </c>
      <c r="O74" s="7" t="str">
        <f aca="false">A74&amp;"|"&amp;B74&amp;"|"&amp;C74&amp;"|"&amp;D74&amp;"|"&amp;E74&amp;"|"&amp;F74&amp;"|"&amp;G74&amp;"|"&amp;H74&amp;"|"&amp;I74&amp;"|"&amp;J74&amp;"|"&amp;K74&amp;"|"&amp;L74&amp;"|"&amp;M74&amp;"|"&amp;N74</f>
        <v>ORD10225|2025-01-31|14:54|C1419|Dosa Darbar|Bengaluru|South Indian|4|125|150|UPI|Delivered|60|3</v>
      </c>
      <c r="P74" s="7" t="str">
        <f aca="false">IF(COUNTIF($O$2:O74,O74)&gt;1,"DUP","OK")</f>
        <v>OK</v>
      </c>
      <c r="Q74" s="7" t="n">
        <f aca="false">COUNTBLANK(A74:N74)</f>
        <v>0</v>
      </c>
      <c r="R74" s="7" t="n">
        <f aca="false">IF(A74="",0,COUNTIFS($A$2:$A$3058,A74,$P$2:$P$3058,"OK"))</f>
        <v>1</v>
      </c>
      <c r="S74" s="7" t="str">
        <f aca="false">IF(OR(A74="",P74="DUP",R74&lt;2),"",IF(Q74=_xlfn.MINIFS($Q$2:$Q$3058,$A$2:$A$3058,A74,$P$2:$P$3058,"OK"),"KEEP","DROP"))</f>
        <v/>
      </c>
      <c r="T74" s="9" t="n">
        <f aca="false">IF(A74="",1,0)</f>
        <v>0</v>
      </c>
      <c r="U74" s="9" t="n">
        <f aca="false">IF(D74="",1,0)</f>
        <v>0</v>
      </c>
      <c r="V74" s="9" t="n">
        <f aca="false">IF(E74="",1,0)</f>
        <v>0</v>
      </c>
      <c r="W74" s="9" t="n">
        <f aca="false">IF(OR(H74&lt;1,H74&gt;10),1,0)</f>
        <v>0</v>
      </c>
      <c r="X74" s="9" t="n">
        <f aca="false">IF(OR(I74&lt;=0,I74&gt;1500),1,0)</f>
        <v>0</v>
      </c>
      <c r="Y74" s="9" t="n">
        <f aca="false">IF(J74&gt;H74*I74,1,0)</f>
        <v>0</v>
      </c>
      <c r="Z74" s="9" t="n">
        <f aca="false">IF(AND(N74&lt;&gt;"",OR(N74&lt;1,N74&gt;5)),1,0)</f>
        <v>0</v>
      </c>
      <c r="AA74" s="9" t="n">
        <f aca="false">IF(AND(M74&lt;&gt;"",OR(M74&lt;5,M74&gt;180)),1,0)</f>
        <v>0</v>
      </c>
      <c r="AB74" s="7" t="str">
        <f aca="false">IF(P74="DUP","Exact duplicate row",IF(T74=1,"Missing Order ID",IF(S74="DROP","Duplicate Order ID (less complete row)",IF(U74=1,"Missing Customer ID",IF(V74=1,"Missing Restaurant name",IF(W74=1,"Invalid/outlier quantity",IF(X74=1,"Invalid/outlier unit price",IF(Y74=1,"Discount greater than order value",""))))))))</f>
        <v/>
      </c>
      <c r="AC74" s="7" t="str">
        <f aca="false">IF(AB74="","KEEP","DROP")</f>
        <v>KEEP</v>
      </c>
      <c r="AD74" s="7" t="str">
        <f aca="false">IF(TRIM(F74)="",IFERROR(INDEX(Map_Tables!$I$4:$I$37,MATCH(TRIM(E74),Map_Tables!$G$4:$G$37,0)),""),IFERROR(INDEX(Map_Tables!$B$4:$B$18,MATCH(TRIM(F74),Map_Tables!$A$4:$A$18,0)),"CHECK"))</f>
        <v>Bengaluru</v>
      </c>
      <c r="AE74" s="7" t="str">
        <f aca="false">IF(TRIM(E74)="","",IFERROR(INDEX(Map_Tables!$H$4:$H$37,MATCH(TRIM(E74),Map_Tables!$G$4:$G$37,0)),"CHECK"))</f>
        <v>Dosa Darbar</v>
      </c>
      <c r="AF74" s="7" t="str">
        <f aca="false">IF(TRIM(K74)="","Unknown",IFERROR(INDEX(Map_Tables!$E$4:$E$15,MATCH(TRIM(K74),Map_Tables!$D$4:$D$15,0)),"CHECK"))</f>
        <v>UPI</v>
      </c>
      <c r="AG74" s="7" t="str">
        <f aca="false">IF(LEFT(LOWER(TRIM(L74)),6)="cancel","Cancelled","Delivered")</f>
        <v>Delivered</v>
      </c>
      <c r="AH74" s="10" t="n">
        <f aca="false">IF(ISNUMBER(SEARCH("/",B74)),DATE(VALUE(RIGHT(B74,4)),VALUE(MID(B74,4,2)),VALUE(LEFT(B74,2))),IF(MID(B74,5,1)="-",DATE(VALUE(LEFT(B74,4)),VALUE(MID(B74,6,2)),VALUE(RIGHT(B74,2))),DATE(VALUE(RIGHT(B74,4)),MATCH(MID(B74,4,3),{"Jan","Feb","Mar","Apr","May","Jun","Jul","Aug","Sep","Oct","Nov","Dec"},0),VALUE(LEFT(B74,2)))))</f>
        <v>45688</v>
      </c>
    </row>
    <row r="75" customFormat="false" ht="15" hidden="false" customHeight="false" outlineLevel="0" collapsed="false">
      <c r="A75" s="7" t="s">
        <v>496</v>
      </c>
      <c r="B75" s="7" t="s">
        <v>204</v>
      </c>
      <c r="C75" s="7" t="s">
        <v>218</v>
      </c>
      <c r="D75" s="7" t="s">
        <v>497</v>
      </c>
      <c r="E75" s="7" t="s">
        <v>116</v>
      </c>
      <c r="F75" s="7" t="s">
        <v>498</v>
      </c>
      <c r="G75" s="7" t="s">
        <v>117</v>
      </c>
      <c r="H75" s="7" t="n">
        <v>1</v>
      </c>
      <c r="I75" s="7" t="n">
        <v>115</v>
      </c>
      <c r="J75" s="7" t="n">
        <v>0</v>
      </c>
      <c r="K75" s="7" t="s">
        <v>88</v>
      </c>
      <c r="L75" s="7" t="s">
        <v>194</v>
      </c>
      <c r="M75" s="7" t="n">
        <v>34</v>
      </c>
      <c r="N75" s="7" t="n">
        <v>5</v>
      </c>
      <c r="O75" s="7" t="str">
        <f aca="false">A75&amp;"|"&amp;B75&amp;"|"&amp;C75&amp;"|"&amp;D75&amp;"|"&amp;E75&amp;"|"&amp;F75&amp;"|"&amp;G75&amp;"|"&amp;H75&amp;"|"&amp;I75&amp;"|"&amp;J75&amp;"|"&amp;K75&amp;"|"&amp;L75&amp;"|"&amp;M75&amp;"|"&amp;N75</f>
        <v>ORD10805|2025-04-12|12:48|C0413|Pav Bhaji Point|Bombay|Street Food|1|115|0|UPI|Delivered|34|5</v>
      </c>
      <c r="P75" s="7" t="str">
        <f aca="false">IF(COUNTIF($O$2:O75,O75)&gt;1,"DUP","OK")</f>
        <v>OK</v>
      </c>
      <c r="Q75" s="7" t="n">
        <f aca="false">COUNTBLANK(A75:N75)</f>
        <v>0</v>
      </c>
      <c r="R75" s="7" t="n">
        <f aca="false">IF(A75="",0,COUNTIFS($A$2:$A$3058,A75,$P$2:$P$3058,"OK"))</f>
        <v>1</v>
      </c>
      <c r="S75" s="7" t="str">
        <f aca="false">IF(OR(A75="",P75="DUP",R75&lt;2),"",IF(Q75=_xlfn.MINIFS($Q$2:$Q$3058,$A$2:$A$3058,A75,$P$2:$P$3058,"OK"),"KEEP","DROP"))</f>
        <v/>
      </c>
      <c r="T75" s="9" t="n">
        <f aca="false">IF(A75="",1,0)</f>
        <v>0</v>
      </c>
      <c r="U75" s="9" t="n">
        <f aca="false">IF(D75="",1,0)</f>
        <v>0</v>
      </c>
      <c r="V75" s="9" t="n">
        <f aca="false">IF(E75="",1,0)</f>
        <v>0</v>
      </c>
      <c r="W75" s="9" t="n">
        <f aca="false">IF(OR(H75&lt;1,H75&gt;10),1,0)</f>
        <v>0</v>
      </c>
      <c r="X75" s="9" t="n">
        <f aca="false">IF(OR(I75&lt;=0,I75&gt;1500),1,0)</f>
        <v>0</v>
      </c>
      <c r="Y75" s="9" t="n">
        <f aca="false">IF(J75&gt;H75*I75,1,0)</f>
        <v>0</v>
      </c>
      <c r="Z75" s="9" t="n">
        <f aca="false">IF(AND(N75&lt;&gt;"",OR(N75&lt;1,N75&gt;5)),1,0)</f>
        <v>0</v>
      </c>
      <c r="AA75" s="9" t="n">
        <f aca="false">IF(AND(M75&lt;&gt;"",OR(M75&lt;5,M75&gt;180)),1,0)</f>
        <v>0</v>
      </c>
      <c r="AB75" s="7" t="str">
        <f aca="false">IF(P75="DUP","Exact duplicate row",IF(T75=1,"Missing Order ID",IF(S75="DROP","Duplicate Order ID (less complete row)",IF(U75=1,"Missing Customer ID",IF(V75=1,"Missing Restaurant name",IF(W75=1,"Invalid/outlier quantity",IF(X75=1,"Invalid/outlier unit price",IF(Y75=1,"Discount greater than order value",""))))))))</f>
        <v/>
      </c>
      <c r="AC75" s="7" t="str">
        <f aca="false">IF(AB75="","KEEP","DROP")</f>
        <v>KEEP</v>
      </c>
      <c r="AD75" s="7" t="str">
        <f aca="false">IF(TRIM(F75)="",IFERROR(INDEX(Map_Tables!$I$4:$I$37,MATCH(TRIM(E75),Map_Tables!$G$4:$G$37,0)),""),IFERROR(INDEX(Map_Tables!$B$4:$B$18,MATCH(TRIM(F75),Map_Tables!$A$4:$A$18,0)),"CHECK"))</f>
        <v>Mumbai</v>
      </c>
      <c r="AE75" s="7" t="str">
        <f aca="false">IF(TRIM(E75)="","",IFERROR(INDEX(Map_Tables!$H$4:$H$37,MATCH(TRIM(E75),Map_Tables!$G$4:$G$37,0)),"CHECK"))</f>
        <v>Pav Bhaji Point</v>
      </c>
      <c r="AF75" s="7" t="str">
        <f aca="false">IF(TRIM(K75)="","Unknown",IFERROR(INDEX(Map_Tables!$E$4:$E$15,MATCH(TRIM(K75),Map_Tables!$D$4:$D$15,0)),"CHECK"))</f>
        <v>UPI</v>
      </c>
      <c r="AG75" s="7" t="str">
        <f aca="false">IF(LEFT(LOWER(TRIM(L75)),6)="cancel","Cancelled","Delivered")</f>
        <v>Delivered</v>
      </c>
      <c r="AH75" s="10" t="n">
        <f aca="false">IF(ISNUMBER(SEARCH("/",B75)),DATE(VALUE(RIGHT(B75,4)),VALUE(MID(B75,4,2)),VALUE(LEFT(B75,2))),IF(MID(B75,5,1)="-",DATE(VALUE(LEFT(B75,4)),VALUE(MID(B75,6,2)),VALUE(RIGHT(B75,2))),DATE(VALUE(RIGHT(B75,4)),MATCH(MID(B75,4,3),{"Jan","Feb","Mar","Apr","May","Jun","Jul","Aug","Sep","Oct","Nov","Dec"},0),VALUE(LEFT(B75,2)))))</f>
        <v>45759</v>
      </c>
    </row>
    <row r="76" customFormat="false" ht="15" hidden="false" customHeight="false" outlineLevel="0" collapsed="false">
      <c r="A76" s="7" t="s">
        <v>499</v>
      </c>
      <c r="B76" s="7" t="s">
        <v>500</v>
      </c>
      <c r="C76" s="7" t="s">
        <v>443</v>
      </c>
      <c r="D76" s="7" t="s">
        <v>501</v>
      </c>
      <c r="E76" s="7" t="s">
        <v>138</v>
      </c>
      <c r="F76" s="7" t="s">
        <v>110</v>
      </c>
      <c r="G76" s="7" t="s">
        <v>139</v>
      </c>
      <c r="H76" s="7" t="n">
        <v>0</v>
      </c>
      <c r="I76" s="7" t="n">
        <v>195</v>
      </c>
      <c r="J76" s="7" t="n">
        <v>50</v>
      </c>
      <c r="K76" s="7" t="s">
        <v>88</v>
      </c>
      <c r="L76" s="7" t="s">
        <v>194</v>
      </c>
      <c r="M76" s="7" t="n">
        <v>33</v>
      </c>
      <c r="N76" s="7" t="n">
        <v>4</v>
      </c>
      <c r="O76" s="7" t="str">
        <f aca="false">A76&amp;"|"&amp;B76&amp;"|"&amp;C76&amp;"|"&amp;D76&amp;"|"&amp;E76&amp;"|"&amp;F76&amp;"|"&amp;G76&amp;"|"&amp;H76&amp;"|"&amp;I76&amp;"|"&amp;J76&amp;"|"&amp;K76&amp;"|"&amp;L76&amp;"|"&amp;M76&amp;"|"&amp;N76</f>
        <v>ORD11366|2025-06-24|22:51|C1331|Burger Barn|Delhi|Burgers|0|195|50|UPI|Delivered|33|4</v>
      </c>
      <c r="P76" s="7" t="str">
        <f aca="false">IF(COUNTIF($O$2:O76,O76)&gt;1,"DUP","OK")</f>
        <v>OK</v>
      </c>
      <c r="Q76" s="7" t="n">
        <f aca="false">COUNTBLANK(A76:N76)</f>
        <v>0</v>
      </c>
      <c r="R76" s="7" t="n">
        <f aca="false">IF(A76="",0,COUNTIFS($A$2:$A$3058,A76,$P$2:$P$3058,"OK"))</f>
        <v>1</v>
      </c>
      <c r="S76" s="7" t="str">
        <f aca="false">IF(OR(A76="",P76="DUP",R76&lt;2),"",IF(Q76=_xlfn.MINIFS($Q$2:$Q$3058,$A$2:$A$3058,A76,$P$2:$P$3058,"OK"),"KEEP","DROP"))</f>
        <v/>
      </c>
      <c r="T76" s="9" t="n">
        <f aca="false">IF(A76="",1,0)</f>
        <v>0</v>
      </c>
      <c r="U76" s="9" t="n">
        <f aca="false">IF(D76="",1,0)</f>
        <v>0</v>
      </c>
      <c r="V76" s="9" t="n">
        <f aca="false">IF(E76="",1,0)</f>
        <v>0</v>
      </c>
      <c r="W76" s="9" t="n">
        <f aca="false">IF(OR(H76&lt;1,H76&gt;10),1,0)</f>
        <v>1</v>
      </c>
      <c r="X76" s="9" t="n">
        <f aca="false">IF(OR(I76&lt;=0,I76&gt;1500),1,0)</f>
        <v>0</v>
      </c>
      <c r="Y76" s="9" t="n">
        <f aca="false">IF(J76&gt;H76*I76,1,0)</f>
        <v>1</v>
      </c>
      <c r="Z76" s="9" t="n">
        <f aca="false">IF(AND(N76&lt;&gt;"",OR(N76&lt;1,N76&gt;5)),1,0)</f>
        <v>0</v>
      </c>
      <c r="AA76" s="9" t="n">
        <f aca="false">IF(AND(M76&lt;&gt;"",OR(M76&lt;5,M76&gt;180)),1,0)</f>
        <v>0</v>
      </c>
      <c r="AB76" s="7" t="str">
        <f aca="false">IF(P76="DUP","Exact duplicate row",IF(T76=1,"Missing Order ID",IF(S76="DROP","Duplicate Order ID (less complete row)",IF(U76=1,"Missing Customer ID",IF(V76=1,"Missing Restaurant name",IF(W76=1,"Invalid/outlier quantity",IF(X76=1,"Invalid/outlier unit price",IF(Y76=1,"Discount greater than order value",""))))))))</f>
        <v>Invalid/outlier quantity</v>
      </c>
      <c r="AC76" s="7" t="str">
        <f aca="false">IF(AB76="","KEEP","DROP")</f>
        <v>DROP</v>
      </c>
      <c r="AD76" s="7" t="str">
        <f aca="false">IF(TRIM(F76)="",IFERROR(INDEX(Map_Tables!$I$4:$I$37,MATCH(TRIM(E76),Map_Tables!$G$4:$G$37,0)),""),IFERROR(INDEX(Map_Tables!$B$4:$B$18,MATCH(TRIM(F76),Map_Tables!$A$4:$A$18,0)),"CHECK"))</f>
        <v>Delhi</v>
      </c>
      <c r="AE76" s="7" t="str">
        <f aca="false">IF(TRIM(E76)="","",IFERROR(INDEX(Map_Tables!$H$4:$H$37,MATCH(TRIM(E76),Map_Tables!$G$4:$G$37,0)),"CHECK"))</f>
        <v>Burger Barn</v>
      </c>
      <c r="AF76" s="7" t="str">
        <f aca="false">IF(TRIM(K76)="","Unknown",IFERROR(INDEX(Map_Tables!$E$4:$E$15,MATCH(TRIM(K76),Map_Tables!$D$4:$D$15,0)),"CHECK"))</f>
        <v>UPI</v>
      </c>
      <c r="AG76" s="7" t="str">
        <f aca="false">IF(LEFT(LOWER(TRIM(L76)),6)="cancel","Cancelled","Delivered")</f>
        <v>Delivered</v>
      </c>
      <c r="AH76" s="10" t="n">
        <f aca="false">IF(ISNUMBER(SEARCH("/",B76)),DATE(VALUE(RIGHT(B76,4)),VALUE(MID(B76,4,2)),VALUE(LEFT(B76,2))),IF(MID(B76,5,1)="-",DATE(VALUE(LEFT(B76,4)),VALUE(MID(B76,6,2)),VALUE(RIGHT(B76,2))),DATE(VALUE(RIGHT(B76,4)),MATCH(MID(B76,4,3),{"Jan","Feb","Mar","Apr","May","Jun","Jul","Aug","Sep","Oct","Nov","Dec"},0),VALUE(LEFT(B76,2)))))</f>
        <v>45832</v>
      </c>
    </row>
    <row r="77" customFormat="false" ht="15" hidden="false" customHeight="false" outlineLevel="0" collapsed="false">
      <c r="A77" s="7" t="s">
        <v>502</v>
      </c>
      <c r="B77" s="7" t="s">
        <v>503</v>
      </c>
      <c r="C77" s="7" t="s">
        <v>504</v>
      </c>
      <c r="D77" s="7" t="s">
        <v>505</v>
      </c>
      <c r="E77" s="7" t="s">
        <v>130</v>
      </c>
      <c r="F77" s="7" t="s">
        <v>110</v>
      </c>
      <c r="G77" s="7" t="s">
        <v>90</v>
      </c>
      <c r="H77" s="7" t="n">
        <v>1</v>
      </c>
      <c r="I77" s="7" t="n">
        <v>295</v>
      </c>
      <c r="J77" s="7" t="n">
        <v>100</v>
      </c>
      <c r="K77" s="7" t="s">
        <v>88</v>
      </c>
      <c r="L77" s="7" t="s">
        <v>194</v>
      </c>
      <c r="M77" s="7" t="n">
        <v>36</v>
      </c>
      <c r="N77" s="7" t="n">
        <v>4</v>
      </c>
      <c r="O77" s="7" t="str">
        <f aca="false">A77&amp;"|"&amp;B77&amp;"|"&amp;C77&amp;"|"&amp;D77&amp;"|"&amp;E77&amp;"|"&amp;F77&amp;"|"&amp;G77&amp;"|"&amp;H77&amp;"|"&amp;I77&amp;"|"&amp;J77&amp;"|"&amp;K77&amp;"|"&amp;L77&amp;"|"&amp;M77&amp;"|"&amp;N77</f>
        <v>ORD11550|2025-07-21|13:56|C0856|Tandoor Tales|Delhi|North Indian|1|295|100|UPI|Delivered|36|4</v>
      </c>
      <c r="P77" s="7" t="str">
        <f aca="false">IF(COUNTIF($O$2:O77,O77)&gt;1,"DUP","OK")</f>
        <v>OK</v>
      </c>
      <c r="Q77" s="7" t="n">
        <f aca="false">COUNTBLANK(A77:N77)</f>
        <v>0</v>
      </c>
      <c r="R77" s="7" t="n">
        <f aca="false">IF(A77="",0,COUNTIFS($A$2:$A$3058,A77,$P$2:$P$3058,"OK"))</f>
        <v>1</v>
      </c>
      <c r="S77" s="7" t="str">
        <f aca="false">IF(OR(A77="",P77="DUP",R77&lt;2),"",IF(Q77=_xlfn.MINIFS($Q$2:$Q$3058,$A$2:$A$3058,A77,$P$2:$P$3058,"OK"),"KEEP","DROP"))</f>
        <v/>
      </c>
      <c r="T77" s="9" t="n">
        <f aca="false">IF(A77="",1,0)</f>
        <v>0</v>
      </c>
      <c r="U77" s="9" t="n">
        <f aca="false">IF(D77="",1,0)</f>
        <v>0</v>
      </c>
      <c r="V77" s="9" t="n">
        <f aca="false">IF(E77="",1,0)</f>
        <v>0</v>
      </c>
      <c r="W77" s="9" t="n">
        <f aca="false">IF(OR(H77&lt;1,H77&gt;10),1,0)</f>
        <v>0</v>
      </c>
      <c r="X77" s="9" t="n">
        <f aca="false">IF(OR(I77&lt;=0,I77&gt;1500),1,0)</f>
        <v>0</v>
      </c>
      <c r="Y77" s="9" t="n">
        <f aca="false">IF(J77&gt;H77*I77,1,0)</f>
        <v>0</v>
      </c>
      <c r="Z77" s="9" t="n">
        <f aca="false">IF(AND(N77&lt;&gt;"",OR(N77&lt;1,N77&gt;5)),1,0)</f>
        <v>0</v>
      </c>
      <c r="AA77" s="9" t="n">
        <f aca="false">IF(AND(M77&lt;&gt;"",OR(M77&lt;5,M77&gt;180)),1,0)</f>
        <v>0</v>
      </c>
      <c r="AB77" s="7" t="str">
        <f aca="false">IF(P77="DUP","Exact duplicate row",IF(T77=1,"Missing Order ID",IF(S77="DROP","Duplicate Order ID (less complete row)",IF(U77=1,"Missing Customer ID",IF(V77=1,"Missing Restaurant name",IF(W77=1,"Invalid/outlier quantity",IF(X77=1,"Invalid/outlier unit price",IF(Y77=1,"Discount greater than order value",""))))))))</f>
        <v/>
      </c>
      <c r="AC77" s="7" t="str">
        <f aca="false">IF(AB77="","KEEP","DROP")</f>
        <v>KEEP</v>
      </c>
      <c r="AD77" s="7" t="str">
        <f aca="false">IF(TRIM(F77)="",IFERROR(INDEX(Map_Tables!$I$4:$I$37,MATCH(TRIM(E77),Map_Tables!$G$4:$G$37,0)),""),IFERROR(INDEX(Map_Tables!$B$4:$B$18,MATCH(TRIM(F77),Map_Tables!$A$4:$A$18,0)),"CHECK"))</f>
        <v>Delhi</v>
      </c>
      <c r="AE77" s="7" t="str">
        <f aca="false">IF(TRIM(E77)="","",IFERROR(INDEX(Map_Tables!$H$4:$H$37,MATCH(TRIM(E77),Map_Tables!$G$4:$G$37,0)),"CHECK"))</f>
        <v>Tandoor Tales</v>
      </c>
      <c r="AF77" s="7" t="str">
        <f aca="false">IF(TRIM(K77)="","Unknown",IFERROR(INDEX(Map_Tables!$E$4:$E$15,MATCH(TRIM(K77),Map_Tables!$D$4:$D$15,0)),"CHECK"))</f>
        <v>UPI</v>
      </c>
      <c r="AG77" s="7" t="str">
        <f aca="false">IF(LEFT(LOWER(TRIM(L77)),6)="cancel","Cancelled","Delivered")</f>
        <v>Delivered</v>
      </c>
      <c r="AH77" s="10" t="n">
        <f aca="false">IF(ISNUMBER(SEARCH("/",B77)),DATE(VALUE(RIGHT(B77,4)),VALUE(MID(B77,4,2)),VALUE(LEFT(B77,2))),IF(MID(B77,5,1)="-",DATE(VALUE(LEFT(B77,4)),VALUE(MID(B77,6,2)),VALUE(RIGHT(B77,2))),DATE(VALUE(RIGHT(B77,4)),MATCH(MID(B77,4,3),{"Jan","Feb","Mar","Apr","May","Jun","Jul","Aug","Sep","Oct","Nov","Dec"},0),VALUE(LEFT(B77,2)))))</f>
        <v>45859</v>
      </c>
    </row>
    <row r="78" customFormat="false" ht="15" hidden="false" customHeight="false" outlineLevel="0" collapsed="false">
      <c r="A78" s="7" t="s">
        <v>506</v>
      </c>
      <c r="B78" s="7" t="s">
        <v>507</v>
      </c>
      <c r="C78" s="7" t="s">
        <v>508</v>
      </c>
      <c r="D78" s="7" t="s">
        <v>509</v>
      </c>
      <c r="E78" s="7" t="s">
        <v>158</v>
      </c>
      <c r="F78" s="7" t="s">
        <v>136</v>
      </c>
      <c r="G78" s="7" t="s">
        <v>139</v>
      </c>
      <c r="H78" s="7" t="n">
        <v>2</v>
      </c>
      <c r="I78" s="7" t="n">
        <v>185</v>
      </c>
      <c r="J78" s="7" t="n">
        <v>40</v>
      </c>
      <c r="K78" s="7" t="s">
        <v>88</v>
      </c>
      <c r="L78" s="7" t="s">
        <v>194</v>
      </c>
      <c r="M78" s="7" t="n">
        <v>38</v>
      </c>
      <c r="N78" s="7" t="n">
        <v>4</v>
      </c>
      <c r="O78" s="7" t="str">
        <f aca="false">A78&amp;"|"&amp;B78&amp;"|"&amp;C78&amp;"|"&amp;D78&amp;"|"&amp;E78&amp;"|"&amp;F78&amp;"|"&amp;G78&amp;"|"&amp;H78&amp;"|"&amp;I78&amp;"|"&amp;J78&amp;"|"&amp;K78&amp;"|"&amp;L78&amp;"|"&amp;M78&amp;"|"&amp;N78</f>
        <v>ORD11620|2025-07-30|11:56|C0087|Pune Burger Hub|Pune|Burgers|2|185|40|UPI|Delivered|38|4</v>
      </c>
      <c r="P78" s="7" t="str">
        <f aca="false">IF(COUNTIF($O$2:O78,O78)&gt;1,"DUP","OK")</f>
        <v>OK</v>
      </c>
      <c r="Q78" s="7" t="n">
        <f aca="false">COUNTBLANK(A78:N78)</f>
        <v>0</v>
      </c>
      <c r="R78" s="7" t="n">
        <f aca="false">IF(A78="",0,COUNTIFS($A$2:$A$3058,A78,$P$2:$P$3058,"OK"))</f>
        <v>1</v>
      </c>
      <c r="S78" s="7" t="str">
        <f aca="false">IF(OR(A78="",P78="DUP",R78&lt;2),"",IF(Q78=_xlfn.MINIFS($Q$2:$Q$3058,$A$2:$A$3058,A78,$P$2:$P$3058,"OK"),"KEEP","DROP"))</f>
        <v/>
      </c>
      <c r="T78" s="9" t="n">
        <f aca="false">IF(A78="",1,0)</f>
        <v>0</v>
      </c>
      <c r="U78" s="9" t="n">
        <f aca="false">IF(D78="",1,0)</f>
        <v>0</v>
      </c>
      <c r="V78" s="9" t="n">
        <f aca="false">IF(E78="",1,0)</f>
        <v>0</v>
      </c>
      <c r="W78" s="9" t="n">
        <f aca="false">IF(OR(H78&lt;1,H78&gt;10),1,0)</f>
        <v>0</v>
      </c>
      <c r="X78" s="9" t="n">
        <f aca="false">IF(OR(I78&lt;=0,I78&gt;1500),1,0)</f>
        <v>0</v>
      </c>
      <c r="Y78" s="9" t="n">
        <f aca="false">IF(J78&gt;H78*I78,1,0)</f>
        <v>0</v>
      </c>
      <c r="Z78" s="9" t="n">
        <f aca="false">IF(AND(N78&lt;&gt;"",OR(N78&lt;1,N78&gt;5)),1,0)</f>
        <v>0</v>
      </c>
      <c r="AA78" s="9" t="n">
        <f aca="false">IF(AND(M78&lt;&gt;"",OR(M78&lt;5,M78&gt;180)),1,0)</f>
        <v>0</v>
      </c>
      <c r="AB78" s="7" t="str">
        <f aca="false">IF(P78="DUP","Exact duplicate row",IF(T78=1,"Missing Order ID",IF(S78="DROP","Duplicate Order ID (less complete row)",IF(U78=1,"Missing Customer ID",IF(V78=1,"Missing Restaurant name",IF(W78=1,"Invalid/outlier quantity",IF(X78=1,"Invalid/outlier unit price",IF(Y78=1,"Discount greater than order value",""))))))))</f>
        <v/>
      </c>
      <c r="AC78" s="7" t="str">
        <f aca="false">IF(AB78="","KEEP","DROP")</f>
        <v>KEEP</v>
      </c>
      <c r="AD78" s="7" t="str">
        <f aca="false">IF(TRIM(F78)="",IFERROR(INDEX(Map_Tables!$I$4:$I$37,MATCH(TRIM(E78),Map_Tables!$G$4:$G$37,0)),""),IFERROR(INDEX(Map_Tables!$B$4:$B$18,MATCH(TRIM(F78),Map_Tables!$A$4:$A$18,0)),"CHECK"))</f>
        <v>Pune</v>
      </c>
      <c r="AE78" s="7" t="str">
        <f aca="false">IF(TRIM(E78)="","",IFERROR(INDEX(Map_Tables!$H$4:$H$37,MATCH(TRIM(E78),Map_Tables!$G$4:$G$37,0)),"CHECK"))</f>
        <v>Pune Burger Hub</v>
      </c>
      <c r="AF78" s="7" t="str">
        <f aca="false">IF(TRIM(K78)="","Unknown",IFERROR(INDEX(Map_Tables!$E$4:$E$15,MATCH(TRIM(K78),Map_Tables!$D$4:$D$15,0)),"CHECK"))</f>
        <v>UPI</v>
      </c>
      <c r="AG78" s="7" t="str">
        <f aca="false">IF(LEFT(LOWER(TRIM(L78)),6)="cancel","Cancelled","Delivered")</f>
        <v>Delivered</v>
      </c>
      <c r="AH78" s="10" t="n">
        <f aca="false">IF(ISNUMBER(SEARCH("/",B78)),DATE(VALUE(RIGHT(B78,4)),VALUE(MID(B78,4,2)),VALUE(LEFT(B78,2))),IF(MID(B78,5,1)="-",DATE(VALUE(LEFT(B78,4)),VALUE(MID(B78,6,2)),VALUE(RIGHT(B78,2))),DATE(VALUE(RIGHT(B78,4)),MATCH(MID(B78,4,3),{"Jan","Feb","Mar","Apr","May","Jun","Jul","Aug","Sep","Oct","Nov","Dec"},0),VALUE(LEFT(B78,2)))))</f>
        <v>45868</v>
      </c>
    </row>
    <row r="79" customFormat="false" ht="15" hidden="false" customHeight="false" outlineLevel="0" collapsed="false">
      <c r="A79" s="7" t="s">
        <v>510</v>
      </c>
      <c r="B79" s="7" t="s">
        <v>511</v>
      </c>
      <c r="C79" s="7" t="s">
        <v>512</v>
      </c>
      <c r="D79" s="7" t="s">
        <v>513</v>
      </c>
      <c r="E79" s="7" t="s">
        <v>134</v>
      </c>
      <c r="F79" s="7" t="s">
        <v>110</v>
      </c>
      <c r="G79" s="7" t="s">
        <v>117</v>
      </c>
      <c r="H79" s="7" t="n">
        <v>1</v>
      </c>
      <c r="I79" s="7" t="n">
        <v>105</v>
      </c>
      <c r="J79" s="7" t="n">
        <v>0</v>
      </c>
      <c r="K79" s="7" t="s">
        <v>133</v>
      </c>
      <c r="L79" s="7" t="s">
        <v>194</v>
      </c>
      <c r="M79" s="7" t="n">
        <v>37</v>
      </c>
      <c r="N79" s="7" t="n">
        <v>2</v>
      </c>
      <c r="O79" s="7" t="str">
        <f aca="false">A79&amp;"|"&amp;B79&amp;"|"&amp;C79&amp;"|"&amp;D79&amp;"|"&amp;E79&amp;"|"&amp;F79&amp;"|"&amp;G79&amp;"|"&amp;H79&amp;"|"&amp;I79&amp;"|"&amp;J79&amp;"|"&amp;K79&amp;"|"&amp;L79&amp;"|"&amp;M79&amp;"|"&amp;N79</f>
        <v>ORD12845|14/12/2025|13:20|C0140|Chaat Corner|Delhi|Street Food|1|105|0|Net Banking|Delivered|37|2</v>
      </c>
      <c r="P79" s="7" t="str">
        <f aca="false">IF(COUNTIF($O$2:O79,O79)&gt;1,"DUP","OK")</f>
        <v>OK</v>
      </c>
      <c r="Q79" s="7" t="n">
        <f aca="false">COUNTBLANK(A79:N79)</f>
        <v>0</v>
      </c>
      <c r="R79" s="7" t="n">
        <f aca="false">IF(A79="",0,COUNTIFS($A$2:$A$3058,A79,$P$2:$P$3058,"OK"))</f>
        <v>1</v>
      </c>
      <c r="S79" s="7" t="str">
        <f aca="false">IF(OR(A79="",P79="DUP",R79&lt;2),"",IF(Q79=_xlfn.MINIFS($Q$2:$Q$3058,$A$2:$A$3058,A79,$P$2:$P$3058,"OK"),"KEEP","DROP"))</f>
        <v/>
      </c>
      <c r="T79" s="9" t="n">
        <f aca="false">IF(A79="",1,0)</f>
        <v>0</v>
      </c>
      <c r="U79" s="9" t="n">
        <f aca="false">IF(D79="",1,0)</f>
        <v>0</v>
      </c>
      <c r="V79" s="9" t="n">
        <f aca="false">IF(E79="",1,0)</f>
        <v>0</v>
      </c>
      <c r="W79" s="9" t="n">
        <f aca="false">IF(OR(H79&lt;1,H79&gt;10),1,0)</f>
        <v>0</v>
      </c>
      <c r="X79" s="9" t="n">
        <f aca="false">IF(OR(I79&lt;=0,I79&gt;1500),1,0)</f>
        <v>0</v>
      </c>
      <c r="Y79" s="9" t="n">
        <f aca="false">IF(J79&gt;H79*I79,1,0)</f>
        <v>0</v>
      </c>
      <c r="Z79" s="9" t="n">
        <f aca="false">IF(AND(N79&lt;&gt;"",OR(N79&lt;1,N79&gt;5)),1,0)</f>
        <v>0</v>
      </c>
      <c r="AA79" s="9" t="n">
        <f aca="false">IF(AND(M79&lt;&gt;"",OR(M79&lt;5,M79&gt;180)),1,0)</f>
        <v>0</v>
      </c>
      <c r="AB79" s="7" t="str">
        <f aca="false">IF(P79="DUP","Exact duplicate row",IF(T79=1,"Missing Order ID",IF(S79="DROP","Duplicate Order ID (less complete row)",IF(U79=1,"Missing Customer ID",IF(V79=1,"Missing Restaurant name",IF(W79=1,"Invalid/outlier quantity",IF(X79=1,"Invalid/outlier unit price",IF(Y79=1,"Discount greater than order value",""))))))))</f>
        <v/>
      </c>
      <c r="AC79" s="7" t="str">
        <f aca="false">IF(AB79="","KEEP","DROP")</f>
        <v>KEEP</v>
      </c>
      <c r="AD79" s="7" t="str">
        <f aca="false">IF(TRIM(F79)="",IFERROR(INDEX(Map_Tables!$I$4:$I$37,MATCH(TRIM(E79),Map_Tables!$G$4:$G$37,0)),""),IFERROR(INDEX(Map_Tables!$B$4:$B$18,MATCH(TRIM(F79),Map_Tables!$A$4:$A$18,0)),"CHECK"))</f>
        <v>Delhi</v>
      </c>
      <c r="AE79" s="7" t="str">
        <f aca="false">IF(TRIM(E79)="","",IFERROR(INDEX(Map_Tables!$H$4:$H$37,MATCH(TRIM(E79),Map_Tables!$G$4:$G$37,0)),"CHECK"))</f>
        <v>Chaat Corner</v>
      </c>
      <c r="AF79" s="7" t="str">
        <f aca="false">IF(TRIM(K79)="","Unknown",IFERROR(INDEX(Map_Tables!$E$4:$E$15,MATCH(TRIM(K79),Map_Tables!$D$4:$D$15,0)),"CHECK"))</f>
        <v>Net Banking</v>
      </c>
      <c r="AG79" s="7" t="str">
        <f aca="false">IF(LEFT(LOWER(TRIM(L79)),6)="cancel","Cancelled","Delivered")</f>
        <v>Delivered</v>
      </c>
      <c r="AH79" s="10" t="n">
        <f aca="false">IF(ISNUMBER(SEARCH("/",B79)),DATE(VALUE(RIGHT(B79,4)),VALUE(MID(B79,4,2)),VALUE(LEFT(B79,2))),IF(MID(B79,5,1)="-",DATE(VALUE(LEFT(B79,4)),VALUE(MID(B79,6,2)),VALUE(RIGHT(B79,2))),DATE(VALUE(RIGHT(B79,4)),MATCH(MID(B79,4,3),{"Jan","Feb","Mar","Apr","May","Jun","Jul","Aug","Sep","Oct","Nov","Dec"},0),VALUE(LEFT(B79,2)))))</f>
        <v>46005</v>
      </c>
    </row>
    <row r="80" customFormat="false" ht="15" hidden="false" customHeight="false" outlineLevel="0" collapsed="false">
      <c r="A80" s="7" t="s">
        <v>514</v>
      </c>
      <c r="B80" s="7" t="s">
        <v>515</v>
      </c>
      <c r="C80" s="7" t="s">
        <v>440</v>
      </c>
      <c r="D80" s="7" t="s">
        <v>516</v>
      </c>
      <c r="E80" s="7" t="s">
        <v>122</v>
      </c>
      <c r="F80" s="7" t="s">
        <v>101</v>
      </c>
      <c r="G80" s="7" t="s">
        <v>123</v>
      </c>
      <c r="H80" s="7" t="n">
        <v>2</v>
      </c>
      <c r="I80" s="7" t="n">
        <v>375</v>
      </c>
      <c r="J80" s="7" t="n">
        <v>50</v>
      </c>
      <c r="K80" s="7" t="s">
        <v>229</v>
      </c>
      <c r="L80" s="7" t="s">
        <v>194</v>
      </c>
      <c r="M80" s="7" t="n">
        <v>36</v>
      </c>
      <c r="N80" s="7" t="n">
        <v>4</v>
      </c>
      <c r="O80" s="7" t="str">
        <f aca="false">A80&amp;"|"&amp;B80&amp;"|"&amp;C80&amp;"|"&amp;D80&amp;"|"&amp;E80&amp;"|"&amp;F80&amp;"|"&amp;G80&amp;"|"&amp;H80&amp;"|"&amp;I80&amp;"|"&amp;J80&amp;"|"&amp;K80&amp;"|"&amp;L80&amp;"|"&amp;M80&amp;"|"&amp;N80</f>
        <v>ORD10260|2025-02-04|11:17|C0028|Mumbai Pizza Co|Mumbai|Pizza|2|375|50|Upi|Delivered|36|4</v>
      </c>
      <c r="P80" s="7" t="str">
        <f aca="false">IF(COUNTIF($O$2:O80,O80)&gt;1,"DUP","OK")</f>
        <v>OK</v>
      </c>
      <c r="Q80" s="7" t="n">
        <f aca="false">COUNTBLANK(A80:N80)</f>
        <v>0</v>
      </c>
      <c r="R80" s="7" t="n">
        <f aca="false">IF(A80="",0,COUNTIFS($A$2:$A$3058,A80,$P$2:$P$3058,"OK"))</f>
        <v>1</v>
      </c>
      <c r="S80" s="7" t="str">
        <f aca="false">IF(OR(A80="",P80="DUP",R80&lt;2),"",IF(Q80=_xlfn.MINIFS($Q$2:$Q$3058,$A$2:$A$3058,A80,$P$2:$P$3058,"OK"),"KEEP","DROP"))</f>
        <v/>
      </c>
      <c r="T80" s="9" t="n">
        <f aca="false">IF(A80="",1,0)</f>
        <v>0</v>
      </c>
      <c r="U80" s="9" t="n">
        <f aca="false">IF(D80="",1,0)</f>
        <v>0</v>
      </c>
      <c r="V80" s="9" t="n">
        <f aca="false">IF(E80="",1,0)</f>
        <v>0</v>
      </c>
      <c r="W80" s="9" t="n">
        <f aca="false">IF(OR(H80&lt;1,H80&gt;10),1,0)</f>
        <v>0</v>
      </c>
      <c r="X80" s="9" t="n">
        <f aca="false">IF(OR(I80&lt;=0,I80&gt;1500),1,0)</f>
        <v>0</v>
      </c>
      <c r="Y80" s="9" t="n">
        <f aca="false">IF(J80&gt;H80*I80,1,0)</f>
        <v>0</v>
      </c>
      <c r="Z80" s="9" t="n">
        <f aca="false">IF(AND(N80&lt;&gt;"",OR(N80&lt;1,N80&gt;5)),1,0)</f>
        <v>0</v>
      </c>
      <c r="AA80" s="9" t="n">
        <f aca="false">IF(AND(M80&lt;&gt;"",OR(M80&lt;5,M80&gt;180)),1,0)</f>
        <v>0</v>
      </c>
      <c r="AB80" s="7" t="str">
        <f aca="false">IF(P80="DUP","Exact duplicate row",IF(T80=1,"Missing Order ID",IF(S80="DROP","Duplicate Order ID (less complete row)",IF(U80=1,"Missing Customer ID",IF(V80=1,"Missing Restaurant name",IF(W80=1,"Invalid/outlier quantity",IF(X80=1,"Invalid/outlier unit price",IF(Y80=1,"Discount greater than order value",""))))))))</f>
        <v/>
      </c>
      <c r="AC80" s="7" t="str">
        <f aca="false">IF(AB80="","KEEP","DROP")</f>
        <v>KEEP</v>
      </c>
      <c r="AD80" s="7" t="str">
        <f aca="false">IF(TRIM(F80)="",IFERROR(INDEX(Map_Tables!$I$4:$I$37,MATCH(TRIM(E80),Map_Tables!$G$4:$G$37,0)),""),IFERROR(INDEX(Map_Tables!$B$4:$B$18,MATCH(TRIM(F80),Map_Tables!$A$4:$A$18,0)),"CHECK"))</f>
        <v>Mumbai</v>
      </c>
      <c r="AE80" s="7" t="str">
        <f aca="false">IF(TRIM(E80)="","",IFERROR(INDEX(Map_Tables!$H$4:$H$37,MATCH(TRIM(E80),Map_Tables!$G$4:$G$37,0)),"CHECK"))</f>
        <v>Mumbai Pizza Co</v>
      </c>
      <c r="AF80" s="7" t="str">
        <f aca="false">IF(TRIM(K80)="","Unknown",IFERROR(INDEX(Map_Tables!$E$4:$E$15,MATCH(TRIM(K80),Map_Tables!$D$4:$D$15,0)),"CHECK"))</f>
        <v>UPI</v>
      </c>
      <c r="AG80" s="7" t="str">
        <f aca="false">IF(LEFT(LOWER(TRIM(L80)),6)="cancel","Cancelled","Delivered")</f>
        <v>Delivered</v>
      </c>
      <c r="AH80" s="10" t="n">
        <f aca="false">IF(ISNUMBER(SEARCH("/",B80)),DATE(VALUE(RIGHT(B80,4)),VALUE(MID(B80,4,2)),VALUE(LEFT(B80,2))),IF(MID(B80,5,1)="-",DATE(VALUE(LEFT(B80,4)),VALUE(MID(B80,6,2)),VALUE(RIGHT(B80,2))),DATE(VALUE(RIGHT(B80,4)),MATCH(MID(B80,4,3),{"Jan","Feb","Mar","Apr","May","Jun","Jul","Aug","Sep","Oct","Nov","Dec"},0),VALUE(LEFT(B80,2)))))</f>
        <v>45692</v>
      </c>
    </row>
    <row r="81" customFormat="false" ht="15" hidden="false" customHeight="false" outlineLevel="0" collapsed="false">
      <c r="A81" s="7" t="s">
        <v>517</v>
      </c>
      <c r="B81" s="7" t="s">
        <v>518</v>
      </c>
      <c r="C81" s="7" t="s">
        <v>519</v>
      </c>
      <c r="D81" s="7" t="s">
        <v>520</v>
      </c>
      <c r="E81" s="7" t="s">
        <v>130</v>
      </c>
      <c r="F81" s="7" t="s">
        <v>521</v>
      </c>
      <c r="G81" s="7" t="s">
        <v>90</v>
      </c>
      <c r="H81" s="7" t="n">
        <v>2</v>
      </c>
      <c r="I81" s="7" t="n">
        <v>255</v>
      </c>
      <c r="J81" s="7" t="n">
        <v>0</v>
      </c>
      <c r="K81" s="7" t="s">
        <v>88</v>
      </c>
      <c r="L81" s="7" t="s">
        <v>194</v>
      </c>
      <c r="M81" s="7" t="n">
        <v>40</v>
      </c>
      <c r="N81" s="7"/>
      <c r="O81" s="7" t="str">
        <f aca="false">A81&amp;"|"&amp;B81&amp;"|"&amp;C81&amp;"|"&amp;D81&amp;"|"&amp;E81&amp;"|"&amp;F81&amp;"|"&amp;G81&amp;"|"&amp;H81&amp;"|"&amp;I81&amp;"|"&amp;J81&amp;"|"&amp;K81&amp;"|"&amp;L81&amp;"|"&amp;M81&amp;"|"&amp;N81</f>
        <v>ORD11459|2025-07-09|19:06|C1338|Tandoor Tales|DELHI|North Indian|2|255|0|UPI|Delivered|40|</v>
      </c>
      <c r="P81" s="7" t="str">
        <f aca="false">IF(COUNTIF($O$2:O81,O81)&gt;1,"DUP","OK")</f>
        <v>OK</v>
      </c>
      <c r="Q81" s="7" t="n">
        <f aca="false">COUNTBLANK(A81:N81)</f>
        <v>1</v>
      </c>
      <c r="R81" s="7" t="n">
        <f aca="false">IF(A81="",0,COUNTIFS($A$2:$A$3058,A81,$P$2:$P$3058,"OK"))</f>
        <v>1</v>
      </c>
      <c r="S81" s="7" t="str">
        <f aca="false">IF(OR(A81="",P81="DUP",R81&lt;2),"",IF(Q81=_xlfn.MINIFS($Q$2:$Q$3058,$A$2:$A$3058,A81,$P$2:$P$3058,"OK"),"KEEP","DROP"))</f>
        <v/>
      </c>
      <c r="T81" s="9" t="n">
        <f aca="false">IF(A81="",1,0)</f>
        <v>0</v>
      </c>
      <c r="U81" s="9" t="n">
        <f aca="false">IF(D81="",1,0)</f>
        <v>0</v>
      </c>
      <c r="V81" s="9" t="n">
        <f aca="false">IF(E81="",1,0)</f>
        <v>0</v>
      </c>
      <c r="W81" s="9" t="n">
        <f aca="false">IF(OR(H81&lt;1,H81&gt;10),1,0)</f>
        <v>0</v>
      </c>
      <c r="X81" s="9" t="n">
        <f aca="false">IF(OR(I81&lt;=0,I81&gt;1500),1,0)</f>
        <v>0</v>
      </c>
      <c r="Y81" s="9" t="n">
        <f aca="false">IF(J81&gt;H81*I81,1,0)</f>
        <v>0</v>
      </c>
      <c r="Z81" s="9" t="n">
        <f aca="false">IF(AND(N81&lt;&gt;"",OR(N81&lt;1,N81&gt;5)),1,0)</f>
        <v>0</v>
      </c>
      <c r="AA81" s="9" t="n">
        <f aca="false">IF(AND(M81&lt;&gt;"",OR(M81&lt;5,M81&gt;180)),1,0)</f>
        <v>0</v>
      </c>
      <c r="AB81" s="7" t="str">
        <f aca="false">IF(P81="DUP","Exact duplicate row",IF(T81=1,"Missing Order ID",IF(S81="DROP","Duplicate Order ID (less complete row)",IF(U81=1,"Missing Customer ID",IF(V81=1,"Missing Restaurant name",IF(W81=1,"Invalid/outlier quantity",IF(X81=1,"Invalid/outlier unit price",IF(Y81=1,"Discount greater than order value",""))))))))</f>
        <v/>
      </c>
      <c r="AC81" s="7" t="str">
        <f aca="false">IF(AB81="","KEEP","DROP")</f>
        <v>KEEP</v>
      </c>
      <c r="AD81" s="7" t="str">
        <f aca="false">IF(TRIM(F81)="",IFERROR(INDEX(Map_Tables!$I$4:$I$37,MATCH(TRIM(E81),Map_Tables!$G$4:$G$37,0)),""),IFERROR(INDEX(Map_Tables!$B$4:$B$18,MATCH(TRIM(F81),Map_Tables!$A$4:$A$18,0)),"CHECK"))</f>
        <v>Delhi</v>
      </c>
      <c r="AE81" s="7" t="str">
        <f aca="false">IF(TRIM(E81)="","",IFERROR(INDEX(Map_Tables!$H$4:$H$37,MATCH(TRIM(E81),Map_Tables!$G$4:$G$37,0)),"CHECK"))</f>
        <v>Tandoor Tales</v>
      </c>
      <c r="AF81" s="7" t="str">
        <f aca="false">IF(TRIM(K81)="","Unknown",IFERROR(INDEX(Map_Tables!$E$4:$E$15,MATCH(TRIM(K81),Map_Tables!$D$4:$D$15,0)),"CHECK"))</f>
        <v>UPI</v>
      </c>
      <c r="AG81" s="7" t="str">
        <f aca="false">IF(LEFT(LOWER(TRIM(L81)),6)="cancel","Cancelled","Delivered")</f>
        <v>Delivered</v>
      </c>
      <c r="AH81" s="10" t="n">
        <f aca="false">IF(ISNUMBER(SEARCH("/",B81)),DATE(VALUE(RIGHT(B81,4)),VALUE(MID(B81,4,2)),VALUE(LEFT(B81,2))),IF(MID(B81,5,1)="-",DATE(VALUE(LEFT(B81,4)),VALUE(MID(B81,6,2)),VALUE(RIGHT(B81,2))),DATE(VALUE(RIGHT(B81,4)),MATCH(MID(B81,4,3),{"Jan","Feb","Mar","Apr","May","Jun","Jul","Aug","Sep","Oct","Nov","Dec"},0),VALUE(LEFT(B81,2)))))</f>
        <v>45847</v>
      </c>
    </row>
    <row r="82" customFormat="false" ht="15" hidden="false" customHeight="false" outlineLevel="0" collapsed="false">
      <c r="A82" s="7" t="s">
        <v>522</v>
      </c>
      <c r="B82" s="7" t="s">
        <v>523</v>
      </c>
      <c r="C82" s="7" t="s">
        <v>524</v>
      </c>
      <c r="D82" s="7" t="s">
        <v>525</v>
      </c>
      <c r="E82" s="7" t="s">
        <v>144</v>
      </c>
      <c r="F82" s="7" t="s">
        <v>119</v>
      </c>
      <c r="G82" s="7" t="s">
        <v>99</v>
      </c>
      <c r="H82" s="7" t="n">
        <v>2</v>
      </c>
      <c r="I82" s="7" t="n">
        <v>275</v>
      </c>
      <c r="J82" s="7" t="n">
        <v>20</v>
      </c>
      <c r="K82" s="7" t="s">
        <v>526</v>
      </c>
      <c r="L82" s="7" t="s">
        <v>194</v>
      </c>
      <c r="M82" s="7" t="n">
        <v>18</v>
      </c>
      <c r="N82" s="7" t="n">
        <v>4</v>
      </c>
      <c r="O82" s="7" t="str">
        <f aca="false">A82&amp;"|"&amp;B82&amp;"|"&amp;C82&amp;"|"&amp;D82&amp;"|"&amp;E82&amp;"|"&amp;F82&amp;"|"&amp;G82&amp;"|"&amp;H82&amp;"|"&amp;I82&amp;"|"&amp;J82&amp;"|"&amp;K82&amp;"|"&amp;L82&amp;"|"&amp;M82&amp;"|"&amp;N82</f>
        <v>ORD11831|2025-08-27|15:32|C0747|Hyderabad Dum Biryani|Hyderabad|Biryani|2|275|20|DC|Delivered|18|4</v>
      </c>
      <c r="P82" s="7" t="str">
        <f aca="false">IF(COUNTIF($O$2:O82,O82)&gt;1,"DUP","OK")</f>
        <v>OK</v>
      </c>
      <c r="Q82" s="7" t="n">
        <f aca="false">COUNTBLANK(A82:N82)</f>
        <v>0</v>
      </c>
      <c r="R82" s="7" t="n">
        <f aca="false">IF(A82="",0,COUNTIFS($A$2:$A$3058,A82,$P$2:$P$3058,"OK"))</f>
        <v>1</v>
      </c>
      <c r="S82" s="7" t="str">
        <f aca="false">IF(OR(A82="",P82="DUP",R82&lt;2),"",IF(Q82=_xlfn.MINIFS($Q$2:$Q$3058,$A$2:$A$3058,A82,$P$2:$P$3058,"OK"),"KEEP","DROP"))</f>
        <v/>
      </c>
      <c r="T82" s="9" t="n">
        <f aca="false">IF(A82="",1,0)</f>
        <v>0</v>
      </c>
      <c r="U82" s="9" t="n">
        <f aca="false">IF(D82="",1,0)</f>
        <v>0</v>
      </c>
      <c r="V82" s="9" t="n">
        <f aca="false">IF(E82="",1,0)</f>
        <v>0</v>
      </c>
      <c r="W82" s="9" t="n">
        <f aca="false">IF(OR(H82&lt;1,H82&gt;10),1,0)</f>
        <v>0</v>
      </c>
      <c r="X82" s="9" t="n">
        <f aca="false">IF(OR(I82&lt;=0,I82&gt;1500),1,0)</f>
        <v>0</v>
      </c>
      <c r="Y82" s="9" t="n">
        <f aca="false">IF(J82&gt;H82*I82,1,0)</f>
        <v>0</v>
      </c>
      <c r="Z82" s="9" t="n">
        <f aca="false">IF(AND(N82&lt;&gt;"",OR(N82&lt;1,N82&gt;5)),1,0)</f>
        <v>0</v>
      </c>
      <c r="AA82" s="9" t="n">
        <f aca="false">IF(AND(M82&lt;&gt;"",OR(M82&lt;5,M82&gt;180)),1,0)</f>
        <v>0</v>
      </c>
      <c r="AB82" s="7" t="str">
        <f aca="false">IF(P82="DUP","Exact duplicate row",IF(T82=1,"Missing Order ID",IF(S82="DROP","Duplicate Order ID (less complete row)",IF(U82=1,"Missing Customer ID",IF(V82=1,"Missing Restaurant name",IF(W82=1,"Invalid/outlier quantity",IF(X82=1,"Invalid/outlier unit price",IF(Y82=1,"Discount greater than order value",""))))))))</f>
        <v/>
      </c>
      <c r="AC82" s="7" t="str">
        <f aca="false">IF(AB82="","KEEP","DROP")</f>
        <v>KEEP</v>
      </c>
      <c r="AD82" s="7" t="str">
        <f aca="false">IF(TRIM(F82)="",IFERROR(INDEX(Map_Tables!$I$4:$I$37,MATCH(TRIM(E82),Map_Tables!$G$4:$G$37,0)),""),IFERROR(INDEX(Map_Tables!$B$4:$B$18,MATCH(TRIM(F82),Map_Tables!$A$4:$A$18,0)),"CHECK"))</f>
        <v>Hyderabad</v>
      </c>
      <c r="AE82" s="7" t="str">
        <f aca="false">IF(TRIM(E82)="","",IFERROR(INDEX(Map_Tables!$H$4:$H$37,MATCH(TRIM(E82),Map_Tables!$G$4:$G$37,0)),"CHECK"))</f>
        <v>Hyderabad Dum Biryani</v>
      </c>
      <c r="AF82" s="7" t="str">
        <f aca="false">IF(TRIM(K82)="","Unknown",IFERROR(INDEX(Map_Tables!$E$4:$E$15,MATCH(TRIM(K82),Map_Tables!$D$4:$D$15,0)),"CHECK"))</f>
        <v>Debit Card</v>
      </c>
      <c r="AG82" s="7" t="str">
        <f aca="false">IF(LEFT(LOWER(TRIM(L82)),6)="cancel","Cancelled","Delivered")</f>
        <v>Delivered</v>
      </c>
      <c r="AH82" s="10" t="n">
        <f aca="false">IF(ISNUMBER(SEARCH("/",B82)),DATE(VALUE(RIGHT(B82,4)),VALUE(MID(B82,4,2)),VALUE(LEFT(B82,2))),IF(MID(B82,5,1)="-",DATE(VALUE(LEFT(B82,4)),VALUE(MID(B82,6,2)),VALUE(RIGHT(B82,2))),DATE(VALUE(RIGHT(B82,4)),MATCH(MID(B82,4,3),{"Jan","Feb","Mar","Apr","May","Jun","Jul","Aug","Sep","Oct","Nov","Dec"},0),VALUE(LEFT(B82,2)))))</f>
        <v>45896</v>
      </c>
    </row>
    <row r="83" customFormat="false" ht="15" hidden="false" customHeight="false" outlineLevel="0" collapsed="false">
      <c r="A83" s="7" t="s">
        <v>527</v>
      </c>
      <c r="B83" s="7" t="s">
        <v>528</v>
      </c>
      <c r="C83" s="7" t="s">
        <v>529</v>
      </c>
      <c r="D83" s="7" t="s">
        <v>530</v>
      </c>
      <c r="E83" s="7" t="s">
        <v>142</v>
      </c>
      <c r="F83" s="7" t="s">
        <v>110</v>
      </c>
      <c r="G83" s="7" t="s">
        <v>531</v>
      </c>
      <c r="H83" s="7" t="n">
        <v>3</v>
      </c>
      <c r="I83" s="7" t="n">
        <v>170</v>
      </c>
      <c r="J83" s="7" t="n">
        <v>0</v>
      </c>
      <c r="K83" s="7" t="s">
        <v>88</v>
      </c>
      <c r="L83" s="7" t="s">
        <v>194</v>
      </c>
      <c r="M83" s="7" t="n">
        <v>35</v>
      </c>
      <c r="N83" s="7" t="n">
        <v>5</v>
      </c>
      <c r="O83" s="7" t="str">
        <f aca="false">A83&amp;"|"&amp;B83&amp;"|"&amp;C83&amp;"|"&amp;D83&amp;"|"&amp;E83&amp;"|"&amp;F83&amp;"|"&amp;G83&amp;"|"&amp;H83&amp;"|"&amp;I83&amp;"|"&amp;J83&amp;"|"&amp;K83&amp;"|"&amp;L83&amp;"|"&amp;M83&amp;"|"&amp;N83</f>
        <v>ORD12117|2025-09-29|18:36|C0383|Momo Magic|Delhi|CHINESE|3|170|0|UPI|Delivered|35|5</v>
      </c>
      <c r="P83" s="7" t="str">
        <f aca="false">IF(COUNTIF($O$2:O83,O83)&gt;1,"DUP","OK")</f>
        <v>OK</v>
      </c>
      <c r="Q83" s="7" t="n">
        <f aca="false">COUNTBLANK(A83:N83)</f>
        <v>0</v>
      </c>
      <c r="R83" s="7" t="n">
        <f aca="false">IF(A83="",0,COUNTIFS($A$2:$A$3058,A83,$P$2:$P$3058,"OK"))</f>
        <v>1</v>
      </c>
      <c r="S83" s="7" t="str">
        <f aca="false">IF(OR(A83="",P83="DUP",R83&lt;2),"",IF(Q83=_xlfn.MINIFS($Q$2:$Q$3058,$A$2:$A$3058,A83,$P$2:$P$3058,"OK"),"KEEP","DROP"))</f>
        <v/>
      </c>
      <c r="T83" s="9" t="n">
        <f aca="false">IF(A83="",1,0)</f>
        <v>0</v>
      </c>
      <c r="U83" s="9" t="n">
        <f aca="false">IF(D83="",1,0)</f>
        <v>0</v>
      </c>
      <c r="V83" s="9" t="n">
        <f aca="false">IF(E83="",1,0)</f>
        <v>0</v>
      </c>
      <c r="W83" s="9" t="n">
        <f aca="false">IF(OR(H83&lt;1,H83&gt;10),1,0)</f>
        <v>0</v>
      </c>
      <c r="X83" s="9" t="n">
        <f aca="false">IF(OR(I83&lt;=0,I83&gt;1500),1,0)</f>
        <v>0</v>
      </c>
      <c r="Y83" s="9" t="n">
        <f aca="false">IF(J83&gt;H83*I83,1,0)</f>
        <v>0</v>
      </c>
      <c r="Z83" s="9" t="n">
        <f aca="false">IF(AND(N83&lt;&gt;"",OR(N83&lt;1,N83&gt;5)),1,0)</f>
        <v>0</v>
      </c>
      <c r="AA83" s="9" t="n">
        <f aca="false">IF(AND(M83&lt;&gt;"",OR(M83&lt;5,M83&gt;180)),1,0)</f>
        <v>0</v>
      </c>
      <c r="AB83" s="7" t="str">
        <f aca="false">IF(P83="DUP","Exact duplicate row",IF(T83=1,"Missing Order ID",IF(S83="DROP","Duplicate Order ID (less complete row)",IF(U83=1,"Missing Customer ID",IF(V83=1,"Missing Restaurant name",IF(W83=1,"Invalid/outlier quantity",IF(X83=1,"Invalid/outlier unit price",IF(Y83=1,"Discount greater than order value",""))))))))</f>
        <v/>
      </c>
      <c r="AC83" s="7" t="str">
        <f aca="false">IF(AB83="","KEEP","DROP")</f>
        <v>KEEP</v>
      </c>
      <c r="AD83" s="7" t="str">
        <f aca="false">IF(TRIM(F83)="",IFERROR(INDEX(Map_Tables!$I$4:$I$37,MATCH(TRIM(E83),Map_Tables!$G$4:$G$37,0)),""),IFERROR(INDEX(Map_Tables!$B$4:$B$18,MATCH(TRIM(F83),Map_Tables!$A$4:$A$18,0)),"CHECK"))</f>
        <v>Delhi</v>
      </c>
      <c r="AE83" s="7" t="str">
        <f aca="false">IF(TRIM(E83)="","",IFERROR(INDEX(Map_Tables!$H$4:$H$37,MATCH(TRIM(E83),Map_Tables!$G$4:$G$37,0)),"CHECK"))</f>
        <v>Momo Magic</v>
      </c>
      <c r="AF83" s="7" t="str">
        <f aca="false">IF(TRIM(K83)="","Unknown",IFERROR(INDEX(Map_Tables!$E$4:$E$15,MATCH(TRIM(K83),Map_Tables!$D$4:$D$15,0)),"CHECK"))</f>
        <v>UPI</v>
      </c>
      <c r="AG83" s="7" t="str">
        <f aca="false">IF(LEFT(LOWER(TRIM(L83)),6)="cancel","Cancelled","Delivered")</f>
        <v>Delivered</v>
      </c>
      <c r="AH83" s="10" t="n">
        <f aca="false">IF(ISNUMBER(SEARCH("/",B83)),DATE(VALUE(RIGHT(B83,4)),VALUE(MID(B83,4,2)),VALUE(LEFT(B83,2))),IF(MID(B83,5,1)="-",DATE(VALUE(LEFT(B83,4)),VALUE(MID(B83,6,2)),VALUE(RIGHT(B83,2))),DATE(VALUE(RIGHT(B83,4)),MATCH(MID(B83,4,3),{"Jan","Feb","Mar","Apr","May","Jun","Jul","Aug","Sep","Oct","Nov","Dec"},0),VALUE(LEFT(B83,2)))))</f>
        <v>45929</v>
      </c>
    </row>
    <row r="84" customFormat="false" ht="15" hidden="false" customHeight="false" outlineLevel="0" collapsed="false">
      <c r="A84" s="7" t="s">
        <v>532</v>
      </c>
      <c r="B84" s="7" t="s">
        <v>533</v>
      </c>
      <c r="C84" s="7" t="s">
        <v>534</v>
      </c>
      <c r="D84" s="7" t="s">
        <v>535</v>
      </c>
      <c r="E84" s="7" t="s">
        <v>158</v>
      </c>
      <c r="F84" s="7" t="s">
        <v>136</v>
      </c>
      <c r="G84" s="7" t="s">
        <v>139</v>
      </c>
      <c r="H84" s="7" t="n">
        <v>1</v>
      </c>
      <c r="I84" s="7" t="n">
        <v>225</v>
      </c>
      <c r="J84" s="7" t="n">
        <v>20</v>
      </c>
      <c r="K84" s="7" t="s">
        <v>93</v>
      </c>
      <c r="L84" s="7" t="s">
        <v>194</v>
      </c>
      <c r="M84" s="7" t="n">
        <v>35</v>
      </c>
      <c r="N84" s="7" t="n">
        <v>4</v>
      </c>
      <c r="O84" s="7" t="str">
        <f aca="false">A84&amp;"|"&amp;B84&amp;"|"&amp;C84&amp;"|"&amp;D84&amp;"|"&amp;E84&amp;"|"&amp;F84&amp;"|"&amp;G84&amp;"|"&amp;H84&amp;"|"&amp;I84&amp;"|"&amp;J84&amp;"|"&amp;K84&amp;"|"&amp;L84&amp;"|"&amp;M84&amp;"|"&amp;N84</f>
        <v>ORD11383|2025-06-28|11:02|C0459|Pune Burger Hub|Pune|Burgers|1|225|20|Credit Card|Delivered|35|4</v>
      </c>
      <c r="P84" s="7" t="str">
        <f aca="false">IF(COUNTIF($O$2:O84,O84)&gt;1,"DUP","OK")</f>
        <v>OK</v>
      </c>
      <c r="Q84" s="7" t="n">
        <f aca="false">COUNTBLANK(A84:N84)</f>
        <v>0</v>
      </c>
      <c r="R84" s="7" t="n">
        <f aca="false">IF(A84="",0,COUNTIFS($A$2:$A$3058,A84,$P$2:$P$3058,"OK"))</f>
        <v>1</v>
      </c>
      <c r="S84" s="7" t="str">
        <f aca="false">IF(OR(A84="",P84="DUP",R84&lt;2),"",IF(Q84=_xlfn.MINIFS($Q$2:$Q$3058,$A$2:$A$3058,A84,$P$2:$P$3058,"OK"),"KEEP","DROP"))</f>
        <v/>
      </c>
      <c r="T84" s="9" t="n">
        <f aca="false">IF(A84="",1,0)</f>
        <v>0</v>
      </c>
      <c r="U84" s="9" t="n">
        <f aca="false">IF(D84="",1,0)</f>
        <v>0</v>
      </c>
      <c r="V84" s="9" t="n">
        <f aca="false">IF(E84="",1,0)</f>
        <v>0</v>
      </c>
      <c r="W84" s="9" t="n">
        <f aca="false">IF(OR(H84&lt;1,H84&gt;10),1,0)</f>
        <v>0</v>
      </c>
      <c r="X84" s="9" t="n">
        <f aca="false">IF(OR(I84&lt;=0,I84&gt;1500),1,0)</f>
        <v>0</v>
      </c>
      <c r="Y84" s="9" t="n">
        <f aca="false">IF(J84&gt;H84*I84,1,0)</f>
        <v>0</v>
      </c>
      <c r="Z84" s="9" t="n">
        <f aca="false">IF(AND(N84&lt;&gt;"",OR(N84&lt;1,N84&gt;5)),1,0)</f>
        <v>0</v>
      </c>
      <c r="AA84" s="9" t="n">
        <f aca="false">IF(AND(M84&lt;&gt;"",OR(M84&lt;5,M84&gt;180)),1,0)</f>
        <v>0</v>
      </c>
      <c r="AB84" s="7" t="str">
        <f aca="false">IF(P84="DUP","Exact duplicate row",IF(T84=1,"Missing Order ID",IF(S84="DROP","Duplicate Order ID (less complete row)",IF(U84=1,"Missing Customer ID",IF(V84=1,"Missing Restaurant name",IF(W84=1,"Invalid/outlier quantity",IF(X84=1,"Invalid/outlier unit price",IF(Y84=1,"Discount greater than order value",""))))))))</f>
        <v/>
      </c>
      <c r="AC84" s="7" t="str">
        <f aca="false">IF(AB84="","KEEP","DROP")</f>
        <v>KEEP</v>
      </c>
      <c r="AD84" s="7" t="str">
        <f aca="false">IF(TRIM(F84)="",IFERROR(INDEX(Map_Tables!$I$4:$I$37,MATCH(TRIM(E84),Map_Tables!$G$4:$G$37,0)),""),IFERROR(INDEX(Map_Tables!$B$4:$B$18,MATCH(TRIM(F84),Map_Tables!$A$4:$A$18,0)),"CHECK"))</f>
        <v>Pune</v>
      </c>
      <c r="AE84" s="7" t="str">
        <f aca="false">IF(TRIM(E84)="","",IFERROR(INDEX(Map_Tables!$H$4:$H$37,MATCH(TRIM(E84),Map_Tables!$G$4:$G$37,0)),"CHECK"))</f>
        <v>Pune Burger Hub</v>
      </c>
      <c r="AF84" s="7" t="str">
        <f aca="false">IF(TRIM(K84)="","Unknown",IFERROR(INDEX(Map_Tables!$E$4:$E$15,MATCH(TRIM(K84),Map_Tables!$D$4:$D$15,0)),"CHECK"))</f>
        <v>Credit Card</v>
      </c>
      <c r="AG84" s="7" t="str">
        <f aca="false">IF(LEFT(LOWER(TRIM(L84)),6)="cancel","Cancelled","Delivered")</f>
        <v>Delivered</v>
      </c>
      <c r="AH84" s="10" t="n">
        <f aca="false">IF(ISNUMBER(SEARCH("/",B84)),DATE(VALUE(RIGHT(B84,4)),VALUE(MID(B84,4,2)),VALUE(LEFT(B84,2))),IF(MID(B84,5,1)="-",DATE(VALUE(LEFT(B84,4)),VALUE(MID(B84,6,2)),VALUE(RIGHT(B84,2))),DATE(VALUE(RIGHT(B84,4)),MATCH(MID(B84,4,3),{"Jan","Feb","Mar","Apr","May","Jun","Jul","Aug","Sep","Oct","Nov","Dec"},0),VALUE(LEFT(B84,2)))))</f>
        <v>45836</v>
      </c>
    </row>
    <row r="85" customFormat="false" ht="15" hidden="false" customHeight="false" outlineLevel="0" collapsed="false">
      <c r="A85" s="7" t="s">
        <v>536</v>
      </c>
      <c r="B85" s="7" t="s">
        <v>537</v>
      </c>
      <c r="C85" s="7" t="s">
        <v>213</v>
      </c>
      <c r="D85" s="7" t="s">
        <v>538</v>
      </c>
      <c r="E85" s="7" t="s">
        <v>122</v>
      </c>
      <c r="F85" s="7" t="s">
        <v>498</v>
      </c>
      <c r="G85" s="7" t="s">
        <v>123</v>
      </c>
      <c r="H85" s="7" t="n">
        <v>3</v>
      </c>
      <c r="I85" s="7" t="n">
        <v>395</v>
      </c>
      <c r="J85" s="7" t="n">
        <v>0</v>
      </c>
      <c r="K85" s="7" t="s">
        <v>88</v>
      </c>
      <c r="L85" s="7" t="s">
        <v>194</v>
      </c>
      <c r="M85" s="7" t="n">
        <v>36</v>
      </c>
      <c r="N85" s="7" t="n">
        <v>5</v>
      </c>
      <c r="O85" s="7" t="str">
        <f aca="false">A85&amp;"|"&amp;B85&amp;"|"&amp;C85&amp;"|"&amp;D85&amp;"|"&amp;E85&amp;"|"&amp;F85&amp;"|"&amp;G85&amp;"|"&amp;H85&amp;"|"&amp;I85&amp;"|"&amp;J85&amp;"|"&amp;K85&amp;"|"&amp;L85&amp;"|"&amp;M85&amp;"|"&amp;N85</f>
        <v>ORD12038|2025-09-20|20:37|C1155|Mumbai Pizza Co|Bombay|Pizza|3|395|0|UPI|Delivered|36|5</v>
      </c>
      <c r="P85" s="7" t="str">
        <f aca="false">IF(COUNTIF($O$2:O85,O85)&gt;1,"DUP","OK")</f>
        <v>OK</v>
      </c>
      <c r="Q85" s="7" t="n">
        <f aca="false">COUNTBLANK(A85:N85)</f>
        <v>0</v>
      </c>
      <c r="R85" s="7" t="n">
        <f aca="false">IF(A85="",0,COUNTIFS($A$2:$A$3058,A85,$P$2:$P$3058,"OK"))</f>
        <v>1</v>
      </c>
      <c r="S85" s="7" t="str">
        <f aca="false">IF(OR(A85="",P85="DUP",R85&lt;2),"",IF(Q85=_xlfn.MINIFS($Q$2:$Q$3058,$A$2:$A$3058,A85,$P$2:$P$3058,"OK"),"KEEP","DROP"))</f>
        <v/>
      </c>
      <c r="T85" s="9" t="n">
        <f aca="false">IF(A85="",1,0)</f>
        <v>0</v>
      </c>
      <c r="U85" s="9" t="n">
        <f aca="false">IF(D85="",1,0)</f>
        <v>0</v>
      </c>
      <c r="V85" s="9" t="n">
        <f aca="false">IF(E85="",1,0)</f>
        <v>0</v>
      </c>
      <c r="W85" s="9" t="n">
        <f aca="false">IF(OR(H85&lt;1,H85&gt;10),1,0)</f>
        <v>0</v>
      </c>
      <c r="X85" s="9" t="n">
        <f aca="false">IF(OR(I85&lt;=0,I85&gt;1500),1,0)</f>
        <v>0</v>
      </c>
      <c r="Y85" s="9" t="n">
        <f aca="false">IF(J85&gt;H85*I85,1,0)</f>
        <v>0</v>
      </c>
      <c r="Z85" s="9" t="n">
        <f aca="false">IF(AND(N85&lt;&gt;"",OR(N85&lt;1,N85&gt;5)),1,0)</f>
        <v>0</v>
      </c>
      <c r="AA85" s="9" t="n">
        <f aca="false">IF(AND(M85&lt;&gt;"",OR(M85&lt;5,M85&gt;180)),1,0)</f>
        <v>0</v>
      </c>
      <c r="AB85" s="7" t="str">
        <f aca="false">IF(P85="DUP","Exact duplicate row",IF(T85=1,"Missing Order ID",IF(S85="DROP","Duplicate Order ID (less complete row)",IF(U85=1,"Missing Customer ID",IF(V85=1,"Missing Restaurant name",IF(W85=1,"Invalid/outlier quantity",IF(X85=1,"Invalid/outlier unit price",IF(Y85=1,"Discount greater than order value",""))))))))</f>
        <v/>
      </c>
      <c r="AC85" s="7" t="str">
        <f aca="false">IF(AB85="","KEEP","DROP")</f>
        <v>KEEP</v>
      </c>
      <c r="AD85" s="7" t="str">
        <f aca="false">IF(TRIM(F85)="",IFERROR(INDEX(Map_Tables!$I$4:$I$37,MATCH(TRIM(E85),Map_Tables!$G$4:$G$37,0)),""),IFERROR(INDEX(Map_Tables!$B$4:$B$18,MATCH(TRIM(F85),Map_Tables!$A$4:$A$18,0)),"CHECK"))</f>
        <v>Mumbai</v>
      </c>
      <c r="AE85" s="7" t="str">
        <f aca="false">IF(TRIM(E85)="","",IFERROR(INDEX(Map_Tables!$H$4:$H$37,MATCH(TRIM(E85),Map_Tables!$G$4:$G$37,0)),"CHECK"))</f>
        <v>Mumbai Pizza Co</v>
      </c>
      <c r="AF85" s="7" t="str">
        <f aca="false">IF(TRIM(K85)="","Unknown",IFERROR(INDEX(Map_Tables!$E$4:$E$15,MATCH(TRIM(K85),Map_Tables!$D$4:$D$15,0)),"CHECK"))</f>
        <v>UPI</v>
      </c>
      <c r="AG85" s="7" t="str">
        <f aca="false">IF(LEFT(LOWER(TRIM(L85)),6)="cancel","Cancelled","Delivered")</f>
        <v>Delivered</v>
      </c>
      <c r="AH85" s="10" t="n">
        <f aca="false">IF(ISNUMBER(SEARCH("/",B85)),DATE(VALUE(RIGHT(B85,4)),VALUE(MID(B85,4,2)),VALUE(LEFT(B85,2))),IF(MID(B85,5,1)="-",DATE(VALUE(LEFT(B85,4)),VALUE(MID(B85,6,2)),VALUE(RIGHT(B85,2))),DATE(VALUE(RIGHT(B85,4)),MATCH(MID(B85,4,3),{"Jan","Feb","Mar","Apr","May","Jun","Jul","Aug","Sep","Oct","Nov","Dec"},0),VALUE(LEFT(B85,2)))))</f>
        <v>45920</v>
      </c>
    </row>
    <row r="86" customFormat="false" ht="15" hidden="false" customHeight="false" outlineLevel="0" collapsed="false">
      <c r="A86" s="7" t="s">
        <v>539</v>
      </c>
      <c r="B86" s="7" t="s">
        <v>402</v>
      </c>
      <c r="C86" s="7" t="s">
        <v>284</v>
      </c>
      <c r="D86" s="7" t="s">
        <v>540</v>
      </c>
      <c r="E86" s="7" t="s">
        <v>113</v>
      </c>
      <c r="F86" s="7" t="s">
        <v>101</v>
      </c>
      <c r="G86" s="7" t="s">
        <v>90</v>
      </c>
      <c r="H86" s="7" t="n">
        <v>2</v>
      </c>
      <c r="I86" s="7" t="n">
        <v>260</v>
      </c>
      <c r="J86" s="7" t="n">
        <v>30</v>
      </c>
      <c r="K86" s="7" t="s">
        <v>93</v>
      </c>
      <c r="L86" s="7" t="s">
        <v>194</v>
      </c>
      <c r="M86" s="7" t="n">
        <v>37</v>
      </c>
      <c r="N86" s="7" t="n">
        <v>3</v>
      </c>
      <c r="O86" s="7" t="str">
        <f aca="false">A86&amp;"|"&amp;B86&amp;"|"&amp;C86&amp;"|"&amp;D86&amp;"|"&amp;E86&amp;"|"&amp;F86&amp;"|"&amp;G86&amp;"|"&amp;H86&amp;"|"&amp;I86&amp;"|"&amp;J86&amp;"|"&amp;K86&amp;"|"&amp;L86&amp;"|"&amp;M86&amp;"|"&amp;N86</f>
        <v>ORD12102|2025-09-28|11:51|C0110|Curry Leaf Kitchen|Mumbai|North Indian|2|260|30|Credit Card|Delivered|37|3</v>
      </c>
      <c r="P86" s="7" t="str">
        <f aca="false">IF(COUNTIF($O$2:O86,O86)&gt;1,"DUP","OK")</f>
        <v>OK</v>
      </c>
      <c r="Q86" s="7" t="n">
        <f aca="false">COUNTBLANK(A86:N86)</f>
        <v>0</v>
      </c>
      <c r="R86" s="7" t="n">
        <f aca="false">IF(A86="",0,COUNTIFS($A$2:$A$3058,A86,$P$2:$P$3058,"OK"))</f>
        <v>1</v>
      </c>
      <c r="S86" s="7" t="str">
        <f aca="false">IF(OR(A86="",P86="DUP",R86&lt;2),"",IF(Q86=_xlfn.MINIFS($Q$2:$Q$3058,$A$2:$A$3058,A86,$P$2:$P$3058,"OK"),"KEEP","DROP"))</f>
        <v/>
      </c>
      <c r="T86" s="9" t="n">
        <f aca="false">IF(A86="",1,0)</f>
        <v>0</v>
      </c>
      <c r="U86" s="9" t="n">
        <f aca="false">IF(D86="",1,0)</f>
        <v>0</v>
      </c>
      <c r="V86" s="9" t="n">
        <f aca="false">IF(E86="",1,0)</f>
        <v>0</v>
      </c>
      <c r="W86" s="9" t="n">
        <f aca="false">IF(OR(H86&lt;1,H86&gt;10),1,0)</f>
        <v>0</v>
      </c>
      <c r="X86" s="9" t="n">
        <f aca="false">IF(OR(I86&lt;=0,I86&gt;1500),1,0)</f>
        <v>0</v>
      </c>
      <c r="Y86" s="9" t="n">
        <f aca="false">IF(J86&gt;H86*I86,1,0)</f>
        <v>0</v>
      </c>
      <c r="Z86" s="9" t="n">
        <f aca="false">IF(AND(N86&lt;&gt;"",OR(N86&lt;1,N86&gt;5)),1,0)</f>
        <v>0</v>
      </c>
      <c r="AA86" s="9" t="n">
        <f aca="false">IF(AND(M86&lt;&gt;"",OR(M86&lt;5,M86&gt;180)),1,0)</f>
        <v>0</v>
      </c>
      <c r="AB86" s="7" t="str">
        <f aca="false">IF(P86="DUP","Exact duplicate row",IF(T86=1,"Missing Order ID",IF(S86="DROP","Duplicate Order ID (less complete row)",IF(U86=1,"Missing Customer ID",IF(V86=1,"Missing Restaurant name",IF(W86=1,"Invalid/outlier quantity",IF(X86=1,"Invalid/outlier unit price",IF(Y86=1,"Discount greater than order value",""))))))))</f>
        <v/>
      </c>
      <c r="AC86" s="7" t="str">
        <f aca="false">IF(AB86="","KEEP","DROP")</f>
        <v>KEEP</v>
      </c>
      <c r="AD86" s="7" t="str">
        <f aca="false">IF(TRIM(F86)="",IFERROR(INDEX(Map_Tables!$I$4:$I$37,MATCH(TRIM(E86),Map_Tables!$G$4:$G$37,0)),""),IFERROR(INDEX(Map_Tables!$B$4:$B$18,MATCH(TRIM(F86),Map_Tables!$A$4:$A$18,0)),"CHECK"))</f>
        <v>Mumbai</v>
      </c>
      <c r="AE86" s="7" t="str">
        <f aca="false">IF(TRIM(E86)="","",IFERROR(INDEX(Map_Tables!$H$4:$H$37,MATCH(TRIM(E86),Map_Tables!$G$4:$G$37,0)),"CHECK"))</f>
        <v>Curry Leaf Kitchen</v>
      </c>
      <c r="AF86" s="7" t="str">
        <f aca="false">IF(TRIM(K86)="","Unknown",IFERROR(INDEX(Map_Tables!$E$4:$E$15,MATCH(TRIM(K86),Map_Tables!$D$4:$D$15,0)),"CHECK"))</f>
        <v>Credit Card</v>
      </c>
      <c r="AG86" s="7" t="str">
        <f aca="false">IF(LEFT(LOWER(TRIM(L86)),6)="cancel","Cancelled","Delivered")</f>
        <v>Delivered</v>
      </c>
      <c r="AH86" s="10" t="n">
        <f aca="false">IF(ISNUMBER(SEARCH("/",B86)),DATE(VALUE(RIGHT(B86,4)),VALUE(MID(B86,4,2)),VALUE(LEFT(B86,2))),IF(MID(B86,5,1)="-",DATE(VALUE(LEFT(B86,4)),VALUE(MID(B86,6,2)),VALUE(RIGHT(B86,2))),DATE(VALUE(RIGHT(B86,4)),MATCH(MID(B86,4,3),{"Jan","Feb","Mar","Apr","May","Jun","Jul","Aug","Sep","Oct","Nov","Dec"},0),VALUE(LEFT(B86,2)))))</f>
        <v>45928</v>
      </c>
    </row>
    <row r="87" customFormat="false" ht="15" hidden="false" customHeight="false" outlineLevel="0" collapsed="false">
      <c r="A87" s="7" t="s">
        <v>541</v>
      </c>
      <c r="B87" s="7" t="s">
        <v>542</v>
      </c>
      <c r="C87" s="7" t="s">
        <v>543</v>
      </c>
      <c r="D87" s="7" t="s">
        <v>544</v>
      </c>
      <c r="E87" s="7" t="s">
        <v>122</v>
      </c>
      <c r="F87" s="7" t="s">
        <v>101</v>
      </c>
      <c r="G87" s="7" t="s">
        <v>123</v>
      </c>
      <c r="H87" s="7" t="n">
        <v>3</v>
      </c>
      <c r="I87" s="7" t="n">
        <v>340</v>
      </c>
      <c r="J87" s="7" t="n">
        <v>0</v>
      </c>
      <c r="K87" s="7" t="s">
        <v>112</v>
      </c>
      <c r="L87" s="7" t="s">
        <v>194</v>
      </c>
      <c r="M87" s="7" t="n">
        <v>40</v>
      </c>
      <c r="N87" s="7"/>
      <c r="O87" s="7" t="str">
        <f aca="false">A87&amp;"|"&amp;B87&amp;"|"&amp;C87&amp;"|"&amp;D87&amp;"|"&amp;E87&amp;"|"&amp;F87&amp;"|"&amp;G87&amp;"|"&amp;H87&amp;"|"&amp;I87&amp;"|"&amp;J87&amp;"|"&amp;K87&amp;"|"&amp;L87&amp;"|"&amp;M87&amp;"|"&amp;N87</f>
        <v>ORD12333|2025-10-21|19:40|C0530|Mumbai Pizza Co|Mumbai|Pizza|3|340|0|Cash on Delivery|Delivered|40|</v>
      </c>
      <c r="P87" s="7" t="str">
        <f aca="false">IF(COUNTIF($O$2:O87,O87)&gt;1,"DUP","OK")</f>
        <v>OK</v>
      </c>
      <c r="Q87" s="7" t="n">
        <f aca="false">COUNTBLANK(A87:N87)</f>
        <v>1</v>
      </c>
      <c r="R87" s="7" t="n">
        <f aca="false">IF(A87="",0,COUNTIFS($A$2:$A$3058,A87,$P$2:$P$3058,"OK"))</f>
        <v>1</v>
      </c>
      <c r="S87" s="7" t="str">
        <f aca="false">IF(OR(A87="",P87="DUP",R87&lt;2),"",IF(Q87=_xlfn.MINIFS($Q$2:$Q$3058,$A$2:$A$3058,A87,$P$2:$P$3058,"OK"),"KEEP","DROP"))</f>
        <v/>
      </c>
      <c r="T87" s="9" t="n">
        <f aca="false">IF(A87="",1,0)</f>
        <v>0</v>
      </c>
      <c r="U87" s="9" t="n">
        <f aca="false">IF(D87="",1,0)</f>
        <v>0</v>
      </c>
      <c r="V87" s="9" t="n">
        <f aca="false">IF(E87="",1,0)</f>
        <v>0</v>
      </c>
      <c r="W87" s="9" t="n">
        <f aca="false">IF(OR(H87&lt;1,H87&gt;10),1,0)</f>
        <v>0</v>
      </c>
      <c r="X87" s="9" t="n">
        <f aca="false">IF(OR(I87&lt;=0,I87&gt;1500),1,0)</f>
        <v>0</v>
      </c>
      <c r="Y87" s="9" t="n">
        <f aca="false">IF(J87&gt;H87*I87,1,0)</f>
        <v>0</v>
      </c>
      <c r="Z87" s="9" t="n">
        <f aca="false">IF(AND(N87&lt;&gt;"",OR(N87&lt;1,N87&gt;5)),1,0)</f>
        <v>0</v>
      </c>
      <c r="AA87" s="9" t="n">
        <f aca="false">IF(AND(M87&lt;&gt;"",OR(M87&lt;5,M87&gt;180)),1,0)</f>
        <v>0</v>
      </c>
      <c r="AB87" s="7" t="str">
        <f aca="false">IF(P87="DUP","Exact duplicate row",IF(T87=1,"Missing Order ID",IF(S87="DROP","Duplicate Order ID (less complete row)",IF(U87=1,"Missing Customer ID",IF(V87=1,"Missing Restaurant name",IF(W87=1,"Invalid/outlier quantity",IF(X87=1,"Invalid/outlier unit price",IF(Y87=1,"Discount greater than order value",""))))))))</f>
        <v/>
      </c>
      <c r="AC87" s="7" t="str">
        <f aca="false">IF(AB87="","KEEP","DROP")</f>
        <v>KEEP</v>
      </c>
      <c r="AD87" s="7" t="str">
        <f aca="false">IF(TRIM(F87)="",IFERROR(INDEX(Map_Tables!$I$4:$I$37,MATCH(TRIM(E87),Map_Tables!$G$4:$G$37,0)),""),IFERROR(INDEX(Map_Tables!$B$4:$B$18,MATCH(TRIM(F87),Map_Tables!$A$4:$A$18,0)),"CHECK"))</f>
        <v>Mumbai</v>
      </c>
      <c r="AE87" s="7" t="str">
        <f aca="false">IF(TRIM(E87)="","",IFERROR(INDEX(Map_Tables!$H$4:$H$37,MATCH(TRIM(E87),Map_Tables!$G$4:$G$37,0)),"CHECK"))</f>
        <v>Mumbai Pizza Co</v>
      </c>
      <c r="AF87" s="7" t="str">
        <f aca="false">IF(TRIM(K87)="","Unknown",IFERROR(INDEX(Map_Tables!$E$4:$E$15,MATCH(TRIM(K87),Map_Tables!$D$4:$D$15,0)),"CHECK"))</f>
        <v>Cash on Delivery</v>
      </c>
      <c r="AG87" s="7" t="str">
        <f aca="false">IF(LEFT(LOWER(TRIM(L87)),6)="cancel","Cancelled","Delivered")</f>
        <v>Delivered</v>
      </c>
      <c r="AH87" s="10" t="n">
        <f aca="false">IF(ISNUMBER(SEARCH("/",B87)),DATE(VALUE(RIGHT(B87,4)),VALUE(MID(B87,4,2)),VALUE(LEFT(B87,2))),IF(MID(B87,5,1)="-",DATE(VALUE(LEFT(B87,4)),VALUE(MID(B87,6,2)),VALUE(RIGHT(B87,2))),DATE(VALUE(RIGHT(B87,4)),MATCH(MID(B87,4,3),{"Jan","Feb","Mar","Apr","May","Jun","Jul","Aug","Sep","Oct","Nov","Dec"},0),VALUE(LEFT(B87,2)))))</f>
        <v>45951</v>
      </c>
    </row>
    <row r="88" customFormat="false" ht="15" hidden="false" customHeight="false" outlineLevel="0" collapsed="false">
      <c r="A88" s="7" t="s">
        <v>545</v>
      </c>
      <c r="B88" s="7" t="s">
        <v>546</v>
      </c>
      <c r="C88" s="7" t="s">
        <v>547</v>
      </c>
      <c r="D88" s="7" t="s">
        <v>548</v>
      </c>
      <c r="E88" s="7" t="s">
        <v>113</v>
      </c>
      <c r="F88" s="7" t="s">
        <v>101</v>
      </c>
      <c r="G88" s="7" t="s">
        <v>90</v>
      </c>
      <c r="H88" s="7" t="n">
        <v>3</v>
      </c>
      <c r="I88" s="7" t="n">
        <v>210</v>
      </c>
      <c r="J88" s="7" t="n">
        <v>125</v>
      </c>
      <c r="K88" s="7" t="s">
        <v>103</v>
      </c>
      <c r="L88" s="7" t="s">
        <v>194</v>
      </c>
      <c r="M88" s="7" t="n">
        <v>42</v>
      </c>
      <c r="N88" s="7" t="n">
        <v>4</v>
      </c>
      <c r="O88" s="7" t="str">
        <f aca="false">A88&amp;"|"&amp;B88&amp;"|"&amp;C88&amp;"|"&amp;D88&amp;"|"&amp;E88&amp;"|"&amp;F88&amp;"|"&amp;G88&amp;"|"&amp;H88&amp;"|"&amp;I88&amp;"|"&amp;J88&amp;"|"&amp;K88&amp;"|"&amp;L88&amp;"|"&amp;M88&amp;"|"&amp;N88</f>
        <v>ORD12600|2025-11-18|11:20|C0901|Curry Leaf Kitchen|Mumbai|North Indian|3|210|125|Debit Card|Delivered|42|4</v>
      </c>
      <c r="P88" s="7" t="str">
        <f aca="false">IF(COUNTIF($O$2:O88,O88)&gt;1,"DUP","OK")</f>
        <v>OK</v>
      </c>
      <c r="Q88" s="7" t="n">
        <f aca="false">COUNTBLANK(A88:N88)</f>
        <v>0</v>
      </c>
      <c r="R88" s="7" t="n">
        <f aca="false">IF(A88="",0,COUNTIFS($A$2:$A$3058,A88,$P$2:$P$3058,"OK"))</f>
        <v>1</v>
      </c>
      <c r="S88" s="7" t="str">
        <f aca="false">IF(OR(A88="",P88="DUP",R88&lt;2),"",IF(Q88=_xlfn.MINIFS($Q$2:$Q$3058,$A$2:$A$3058,A88,$P$2:$P$3058,"OK"),"KEEP","DROP"))</f>
        <v/>
      </c>
      <c r="T88" s="9" t="n">
        <f aca="false">IF(A88="",1,0)</f>
        <v>0</v>
      </c>
      <c r="U88" s="9" t="n">
        <f aca="false">IF(D88="",1,0)</f>
        <v>0</v>
      </c>
      <c r="V88" s="9" t="n">
        <f aca="false">IF(E88="",1,0)</f>
        <v>0</v>
      </c>
      <c r="W88" s="9" t="n">
        <f aca="false">IF(OR(H88&lt;1,H88&gt;10),1,0)</f>
        <v>0</v>
      </c>
      <c r="X88" s="9" t="n">
        <f aca="false">IF(OR(I88&lt;=0,I88&gt;1500),1,0)</f>
        <v>0</v>
      </c>
      <c r="Y88" s="9" t="n">
        <f aca="false">IF(J88&gt;H88*I88,1,0)</f>
        <v>0</v>
      </c>
      <c r="Z88" s="9" t="n">
        <f aca="false">IF(AND(N88&lt;&gt;"",OR(N88&lt;1,N88&gt;5)),1,0)</f>
        <v>0</v>
      </c>
      <c r="AA88" s="9" t="n">
        <f aca="false">IF(AND(M88&lt;&gt;"",OR(M88&lt;5,M88&gt;180)),1,0)</f>
        <v>0</v>
      </c>
      <c r="AB88" s="7" t="str">
        <f aca="false">IF(P88="DUP","Exact duplicate row",IF(T88=1,"Missing Order ID",IF(S88="DROP","Duplicate Order ID (less complete row)",IF(U88=1,"Missing Customer ID",IF(V88=1,"Missing Restaurant name",IF(W88=1,"Invalid/outlier quantity",IF(X88=1,"Invalid/outlier unit price",IF(Y88=1,"Discount greater than order value",""))))))))</f>
        <v/>
      </c>
      <c r="AC88" s="7" t="str">
        <f aca="false">IF(AB88="","KEEP","DROP")</f>
        <v>KEEP</v>
      </c>
      <c r="AD88" s="7" t="str">
        <f aca="false">IF(TRIM(F88)="",IFERROR(INDEX(Map_Tables!$I$4:$I$37,MATCH(TRIM(E88),Map_Tables!$G$4:$G$37,0)),""),IFERROR(INDEX(Map_Tables!$B$4:$B$18,MATCH(TRIM(F88),Map_Tables!$A$4:$A$18,0)),"CHECK"))</f>
        <v>Mumbai</v>
      </c>
      <c r="AE88" s="7" t="str">
        <f aca="false">IF(TRIM(E88)="","",IFERROR(INDEX(Map_Tables!$H$4:$H$37,MATCH(TRIM(E88),Map_Tables!$G$4:$G$37,0)),"CHECK"))</f>
        <v>Curry Leaf Kitchen</v>
      </c>
      <c r="AF88" s="7" t="str">
        <f aca="false">IF(TRIM(K88)="","Unknown",IFERROR(INDEX(Map_Tables!$E$4:$E$15,MATCH(TRIM(K88),Map_Tables!$D$4:$D$15,0)),"CHECK"))</f>
        <v>Debit Card</v>
      </c>
      <c r="AG88" s="7" t="str">
        <f aca="false">IF(LEFT(LOWER(TRIM(L88)),6)="cancel","Cancelled","Delivered")</f>
        <v>Delivered</v>
      </c>
      <c r="AH88" s="10" t="n">
        <f aca="false">IF(ISNUMBER(SEARCH("/",B88)),DATE(VALUE(RIGHT(B88,4)),VALUE(MID(B88,4,2)),VALUE(LEFT(B88,2))),IF(MID(B88,5,1)="-",DATE(VALUE(LEFT(B88,4)),VALUE(MID(B88,6,2)),VALUE(RIGHT(B88,2))),DATE(VALUE(RIGHT(B88,4)),MATCH(MID(B88,4,3),{"Jan","Feb","Mar","Apr","May","Jun","Jul","Aug","Sep","Oct","Nov","Dec"},0),VALUE(LEFT(B88,2)))))</f>
        <v>45979</v>
      </c>
    </row>
    <row r="89" customFormat="false" ht="15" hidden="false" customHeight="false" outlineLevel="0" collapsed="false">
      <c r="A89" s="7" t="s">
        <v>549</v>
      </c>
      <c r="B89" s="7" t="s">
        <v>550</v>
      </c>
      <c r="C89" s="7" t="s">
        <v>551</v>
      </c>
      <c r="D89" s="7" t="s">
        <v>552</v>
      </c>
      <c r="E89" s="7" t="s">
        <v>126</v>
      </c>
      <c r="F89" s="7" t="s">
        <v>101</v>
      </c>
      <c r="G89" s="7" t="s">
        <v>105</v>
      </c>
      <c r="H89" s="7" t="n">
        <v>1</v>
      </c>
      <c r="I89" s="7" t="n">
        <v>250</v>
      </c>
      <c r="J89" s="7" t="n">
        <v>50</v>
      </c>
      <c r="K89" s="7" t="s">
        <v>133</v>
      </c>
      <c r="L89" s="7" t="s">
        <v>194</v>
      </c>
      <c r="M89" s="7" t="n">
        <v>43</v>
      </c>
      <c r="N89" s="7" t="n">
        <v>4</v>
      </c>
      <c r="O89" s="7" t="str">
        <f aca="false">A89&amp;"|"&amp;B89&amp;"|"&amp;C89&amp;"|"&amp;D89&amp;"|"&amp;E89&amp;"|"&amp;F89&amp;"|"&amp;G89&amp;"|"&amp;H89&amp;"|"&amp;I89&amp;"|"&amp;J89&amp;"|"&amp;K89&amp;"|"&amp;L89&amp;"|"&amp;M89&amp;"|"&amp;N89</f>
        <v>ORD11817|25/08/2025|17:41|C0631|Dragon Express|Mumbai|Chinese|1|250|50|Net Banking|Delivered|43|4</v>
      </c>
      <c r="P89" s="7" t="str">
        <f aca="false">IF(COUNTIF($O$2:O89,O89)&gt;1,"DUP","OK")</f>
        <v>OK</v>
      </c>
      <c r="Q89" s="7" t="n">
        <f aca="false">COUNTBLANK(A89:N89)</f>
        <v>0</v>
      </c>
      <c r="R89" s="7" t="n">
        <f aca="false">IF(A89="",0,COUNTIFS($A$2:$A$3058,A89,$P$2:$P$3058,"OK"))</f>
        <v>1</v>
      </c>
      <c r="S89" s="7" t="str">
        <f aca="false">IF(OR(A89="",P89="DUP",R89&lt;2),"",IF(Q89=_xlfn.MINIFS($Q$2:$Q$3058,$A$2:$A$3058,A89,$P$2:$P$3058,"OK"),"KEEP","DROP"))</f>
        <v/>
      </c>
      <c r="T89" s="9" t="n">
        <f aca="false">IF(A89="",1,0)</f>
        <v>0</v>
      </c>
      <c r="U89" s="9" t="n">
        <f aca="false">IF(D89="",1,0)</f>
        <v>0</v>
      </c>
      <c r="V89" s="9" t="n">
        <f aca="false">IF(E89="",1,0)</f>
        <v>0</v>
      </c>
      <c r="W89" s="9" t="n">
        <f aca="false">IF(OR(H89&lt;1,H89&gt;10),1,0)</f>
        <v>0</v>
      </c>
      <c r="X89" s="9" t="n">
        <f aca="false">IF(OR(I89&lt;=0,I89&gt;1500),1,0)</f>
        <v>0</v>
      </c>
      <c r="Y89" s="9" t="n">
        <f aca="false">IF(J89&gt;H89*I89,1,0)</f>
        <v>0</v>
      </c>
      <c r="Z89" s="9" t="n">
        <f aca="false">IF(AND(N89&lt;&gt;"",OR(N89&lt;1,N89&gt;5)),1,0)</f>
        <v>0</v>
      </c>
      <c r="AA89" s="9" t="n">
        <f aca="false">IF(AND(M89&lt;&gt;"",OR(M89&lt;5,M89&gt;180)),1,0)</f>
        <v>0</v>
      </c>
      <c r="AB89" s="7" t="str">
        <f aca="false">IF(P89="DUP","Exact duplicate row",IF(T89=1,"Missing Order ID",IF(S89="DROP","Duplicate Order ID (less complete row)",IF(U89=1,"Missing Customer ID",IF(V89=1,"Missing Restaurant name",IF(W89=1,"Invalid/outlier quantity",IF(X89=1,"Invalid/outlier unit price",IF(Y89=1,"Discount greater than order value",""))))))))</f>
        <v/>
      </c>
      <c r="AC89" s="7" t="str">
        <f aca="false">IF(AB89="","KEEP","DROP")</f>
        <v>KEEP</v>
      </c>
      <c r="AD89" s="7" t="str">
        <f aca="false">IF(TRIM(F89)="",IFERROR(INDEX(Map_Tables!$I$4:$I$37,MATCH(TRIM(E89),Map_Tables!$G$4:$G$37,0)),""),IFERROR(INDEX(Map_Tables!$B$4:$B$18,MATCH(TRIM(F89),Map_Tables!$A$4:$A$18,0)),"CHECK"))</f>
        <v>Mumbai</v>
      </c>
      <c r="AE89" s="7" t="str">
        <f aca="false">IF(TRIM(E89)="","",IFERROR(INDEX(Map_Tables!$H$4:$H$37,MATCH(TRIM(E89),Map_Tables!$G$4:$G$37,0)),"CHECK"))</f>
        <v>Dragon Express</v>
      </c>
      <c r="AF89" s="7" t="str">
        <f aca="false">IF(TRIM(K89)="","Unknown",IFERROR(INDEX(Map_Tables!$E$4:$E$15,MATCH(TRIM(K89),Map_Tables!$D$4:$D$15,0)),"CHECK"))</f>
        <v>Net Banking</v>
      </c>
      <c r="AG89" s="7" t="str">
        <f aca="false">IF(LEFT(LOWER(TRIM(L89)),6)="cancel","Cancelled","Delivered")</f>
        <v>Delivered</v>
      </c>
      <c r="AH89" s="10" t="n">
        <f aca="false">IF(ISNUMBER(SEARCH("/",B89)),DATE(VALUE(RIGHT(B89,4)),VALUE(MID(B89,4,2)),VALUE(LEFT(B89,2))),IF(MID(B89,5,1)="-",DATE(VALUE(LEFT(B89,4)),VALUE(MID(B89,6,2)),VALUE(RIGHT(B89,2))),DATE(VALUE(RIGHT(B89,4)),MATCH(MID(B89,4,3),{"Jan","Feb","Mar","Apr","May","Jun","Jul","Aug","Sep","Oct","Nov","Dec"},0),VALUE(LEFT(B89,2)))))</f>
        <v>45894</v>
      </c>
    </row>
    <row r="90" customFormat="false" ht="15" hidden="false" customHeight="false" outlineLevel="0" collapsed="false">
      <c r="A90" s="7" t="s">
        <v>553</v>
      </c>
      <c r="B90" s="7" t="s">
        <v>554</v>
      </c>
      <c r="C90" s="7" t="s">
        <v>555</v>
      </c>
      <c r="D90" s="7" t="s">
        <v>556</v>
      </c>
      <c r="E90" s="7" t="s">
        <v>89</v>
      </c>
      <c r="F90" s="7" t="s">
        <v>86</v>
      </c>
      <c r="G90" s="7" t="s">
        <v>90</v>
      </c>
      <c r="H90" s="7" t="n">
        <v>1</v>
      </c>
      <c r="I90" s="7" t="n">
        <v>215</v>
      </c>
      <c r="J90" s="7" t="n">
        <v>50</v>
      </c>
      <c r="K90" s="7" t="s">
        <v>421</v>
      </c>
      <c r="L90" s="7" t="s">
        <v>194</v>
      </c>
      <c r="M90" s="7" t="n">
        <v>32</v>
      </c>
      <c r="N90" s="7" t="n">
        <v>5</v>
      </c>
      <c r="O90" s="7" t="str">
        <f aca="false">A90&amp;"|"&amp;B90&amp;"|"&amp;C90&amp;"|"&amp;D90&amp;"|"&amp;E90&amp;"|"&amp;F90&amp;"|"&amp;G90&amp;"|"&amp;H90&amp;"|"&amp;I90&amp;"|"&amp;J90&amp;"|"&amp;K90&amp;"|"&amp;L90&amp;"|"&amp;M90&amp;"|"&amp;N90</f>
        <v>ORD12305|2025-10-18|18:12|C0282|Spice Junction|Bengaluru|North Indian|1|215|50|UPI |Delivered|32|5</v>
      </c>
      <c r="P90" s="7" t="str">
        <f aca="false">IF(COUNTIF($O$2:O90,O90)&gt;1,"DUP","OK")</f>
        <v>OK</v>
      </c>
      <c r="Q90" s="7" t="n">
        <f aca="false">COUNTBLANK(A90:N90)</f>
        <v>0</v>
      </c>
      <c r="R90" s="7" t="n">
        <f aca="false">IF(A90="",0,COUNTIFS($A$2:$A$3058,A90,$P$2:$P$3058,"OK"))</f>
        <v>1</v>
      </c>
      <c r="S90" s="7" t="str">
        <f aca="false">IF(OR(A90="",P90="DUP",R90&lt;2),"",IF(Q90=_xlfn.MINIFS($Q$2:$Q$3058,$A$2:$A$3058,A90,$P$2:$P$3058,"OK"),"KEEP","DROP"))</f>
        <v/>
      </c>
      <c r="T90" s="9" t="n">
        <f aca="false">IF(A90="",1,0)</f>
        <v>0</v>
      </c>
      <c r="U90" s="9" t="n">
        <f aca="false">IF(D90="",1,0)</f>
        <v>0</v>
      </c>
      <c r="V90" s="9" t="n">
        <f aca="false">IF(E90="",1,0)</f>
        <v>0</v>
      </c>
      <c r="W90" s="9" t="n">
        <f aca="false">IF(OR(H90&lt;1,H90&gt;10),1,0)</f>
        <v>0</v>
      </c>
      <c r="X90" s="9" t="n">
        <f aca="false">IF(OR(I90&lt;=0,I90&gt;1500),1,0)</f>
        <v>0</v>
      </c>
      <c r="Y90" s="9" t="n">
        <f aca="false">IF(J90&gt;H90*I90,1,0)</f>
        <v>0</v>
      </c>
      <c r="Z90" s="9" t="n">
        <f aca="false">IF(AND(N90&lt;&gt;"",OR(N90&lt;1,N90&gt;5)),1,0)</f>
        <v>0</v>
      </c>
      <c r="AA90" s="9" t="n">
        <f aca="false">IF(AND(M90&lt;&gt;"",OR(M90&lt;5,M90&gt;180)),1,0)</f>
        <v>0</v>
      </c>
      <c r="AB90" s="7" t="str">
        <f aca="false">IF(P90="DUP","Exact duplicate row",IF(T90=1,"Missing Order ID",IF(S90="DROP","Duplicate Order ID (less complete row)",IF(U90=1,"Missing Customer ID",IF(V90=1,"Missing Restaurant name",IF(W90=1,"Invalid/outlier quantity",IF(X90=1,"Invalid/outlier unit price",IF(Y90=1,"Discount greater than order value",""))))))))</f>
        <v/>
      </c>
      <c r="AC90" s="7" t="str">
        <f aca="false">IF(AB90="","KEEP","DROP")</f>
        <v>KEEP</v>
      </c>
      <c r="AD90" s="7" t="str">
        <f aca="false">IF(TRIM(F90)="",IFERROR(INDEX(Map_Tables!$I$4:$I$37,MATCH(TRIM(E90),Map_Tables!$G$4:$G$37,0)),""),IFERROR(INDEX(Map_Tables!$B$4:$B$18,MATCH(TRIM(F90),Map_Tables!$A$4:$A$18,0)),"CHECK"))</f>
        <v>Bengaluru</v>
      </c>
      <c r="AE90" s="7" t="str">
        <f aca="false">IF(TRIM(E90)="","",IFERROR(INDEX(Map_Tables!$H$4:$H$37,MATCH(TRIM(E90),Map_Tables!$G$4:$G$37,0)),"CHECK"))</f>
        <v>Spice Junction</v>
      </c>
      <c r="AF90" s="7" t="str">
        <f aca="false">IF(TRIM(K90)="","Unknown",IFERROR(INDEX(Map_Tables!$E$4:$E$15,MATCH(TRIM(K90),Map_Tables!$D$4:$D$15,0)),"CHECK"))</f>
        <v>UPI</v>
      </c>
      <c r="AG90" s="7" t="str">
        <f aca="false">IF(LEFT(LOWER(TRIM(L90)),6)="cancel","Cancelled","Delivered")</f>
        <v>Delivered</v>
      </c>
      <c r="AH90" s="10" t="n">
        <f aca="false">IF(ISNUMBER(SEARCH("/",B90)),DATE(VALUE(RIGHT(B90,4)),VALUE(MID(B90,4,2)),VALUE(LEFT(B90,2))),IF(MID(B90,5,1)="-",DATE(VALUE(LEFT(B90,4)),VALUE(MID(B90,6,2)),VALUE(RIGHT(B90,2))),DATE(VALUE(RIGHT(B90,4)),MATCH(MID(B90,4,3),{"Jan","Feb","Mar","Apr","May","Jun","Jul","Aug","Sep","Oct","Nov","Dec"},0),VALUE(LEFT(B90,2)))))</f>
        <v>45948</v>
      </c>
    </row>
    <row r="91" customFormat="false" ht="15" hidden="false" customHeight="false" outlineLevel="0" collapsed="false">
      <c r="A91" s="7" t="s">
        <v>557</v>
      </c>
      <c r="B91" s="7" t="s">
        <v>558</v>
      </c>
      <c r="C91" s="7" t="s">
        <v>559</v>
      </c>
      <c r="D91" s="7" t="s">
        <v>560</v>
      </c>
      <c r="E91" s="7" t="s">
        <v>561</v>
      </c>
      <c r="F91" s="7" t="s">
        <v>101</v>
      </c>
      <c r="G91" s="7" t="s">
        <v>123</v>
      </c>
      <c r="H91" s="7" t="n">
        <v>1</v>
      </c>
      <c r="I91" s="7" t="n">
        <v>395</v>
      </c>
      <c r="J91" s="7" t="n">
        <v>0</v>
      </c>
      <c r="K91" s="7" t="s">
        <v>103</v>
      </c>
      <c r="L91" s="7" t="s">
        <v>194</v>
      </c>
      <c r="M91" s="7" t="n">
        <v>28</v>
      </c>
      <c r="N91" s="7" t="n">
        <v>3</v>
      </c>
      <c r="O91" s="7" t="str">
        <f aca="false">A91&amp;"|"&amp;B91&amp;"|"&amp;C91&amp;"|"&amp;D91&amp;"|"&amp;E91&amp;"|"&amp;F91&amp;"|"&amp;G91&amp;"|"&amp;H91&amp;"|"&amp;I91&amp;"|"&amp;J91&amp;"|"&amp;K91&amp;"|"&amp;L91&amp;"|"&amp;M91&amp;"|"&amp;N91</f>
        <v>ORD12415|2025-10-31|20:25|C0667|mumbai pizza co|Mumbai|Pizza|1|395|0|Debit Card|Delivered|28|3</v>
      </c>
      <c r="P91" s="7" t="str">
        <f aca="false">IF(COUNTIF($O$2:O91,O91)&gt;1,"DUP","OK")</f>
        <v>OK</v>
      </c>
      <c r="Q91" s="7" t="n">
        <f aca="false">COUNTBLANK(A91:N91)</f>
        <v>0</v>
      </c>
      <c r="R91" s="7" t="n">
        <f aca="false">IF(A91="",0,COUNTIFS($A$2:$A$3058,A91,$P$2:$P$3058,"OK"))</f>
        <v>1</v>
      </c>
      <c r="S91" s="7" t="str">
        <f aca="false">IF(OR(A91="",P91="DUP",R91&lt;2),"",IF(Q91=_xlfn.MINIFS($Q$2:$Q$3058,$A$2:$A$3058,A91,$P$2:$P$3058,"OK"),"KEEP","DROP"))</f>
        <v/>
      </c>
      <c r="T91" s="9" t="n">
        <f aca="false">IF(A91="",1,0)</f>
        <v>0</v>
      </c>
      <c r="U91" s="9" t="n">
        <f aca="false">IF(D91="",1,0)</f>
        <v>0</v>
      </c>
      <c r="V91" s="9" t="n">
        <f aca="false">IF(E91="",1,0)</f>
        <v>0</v>
      </c>
      <c r="W91" s="9" t="n">
        <f aca="false">IF(OR(H91&lt;1,H91&gt;10),1,0)</f>
        <v>0</v>
      </c>
      <c r="X91" s="9" t="n">
        <f aca="false">IF(OR(I91&lt;=0,I91&gt;1500),1,0)</f>
        <v>0</v>
      </c>
      <c r="Y91" s="9" t="n">
        <f aca="false">IF(J91&gt;H91*I91,1,0)</f>
        <v>0</v>
      </c>
      <c r="Z91" s="9" t="n">
        <f aca="false">IF(AND(N91&lt;&gt;"",OR(N91&lt;1,N91&gt;5)),1,0)</f>
        <v>0</v>
      </c>
      <c r="AA91" s="9" t="n">
        <f aca="false">IF(AND(M91&lt;&gt;"",OR(M91&lt;5,M91&gt;180)),1,0)</f>
        <v>0</v>
      </c>
      <c r="AB91" s="7" t="str">
        <f aca="false">IF(P91="DUP","Exact duplicate row",IF(T91=1,"Missing Order ID",IF(S91="DROP","Duplicate Order ID (less complete row)",IF(U91=1,"Missing Customer ID",IF(V91=1,"Missing Restaurant name",IF(W91=1,"Invalid/outlier quantity",IF(X91=1,"Invalid/outlier unit price",IF(Y91=1,"Discount greater than order value",""))))))))</f>
        <v/>
      </c>
      <c r="AC91" s="7" t="str">
        <f aca="false">IF(AB91="","KEEP","DROP")</f>
        <v>KEEP</v>
      </c>
      <c r="AD91" s="7" t="str">
        <f aca="false">IF(TRIM(F91)="",IFERROR(INDEX(Map_Tables!$I$4:$I$37,MATCH(TRIM(E91),Map_Tables!$G$4:$G$37,0)),""),IFERROR(INDEX(Map_Tables!$B$4:$B$18,MATCH(TRIM(F91),Map_Tables!$A$4:$A$18,0)),"CHECK"))</f>
        <v>Mumbai</v>
      </c>
      <c r="AE91" s="7" t="str">
        <f aca="false">IF(TRIM(E91)="","",IFERROR(INDEX(Map_Tables!$H$4:$H$37,MATCH(TRIM(E91),Map_Tables!$G$4:$G$37,0)),"CHECK"))</f>
        <v>Mumbai Pizza Co</v>
      </c>
      <c r="AF91" s="7" t="str">
        <f aca="false">IF(TRIM(K91)="","Unknown",IFERROR(INDEX(Map_Tables!$E$4:$E$15,MATCH(TRIM(K91),Map_Tables!$D$4:$D$15,0)),"CHECK"))</f>
        <v>Debit Card</v>
      </c>
      <c r="AG91" s="7" t="str">
        <f aca="false">IF(LEFT(LOWER(TRIM(L91)),6)="cancel","Cancelled","Delivered")</f>
        <v>Delivered</v>
      </c>
      <c r="AH91" s="10" t="n">
        <f aca="false">IF(ISNUMBER(SEARCH("/",B91)),DATE(VALUE(RIGHT(B91,4)),VALUE(MID(B91,4,2)),VALUE(LEFT(B91,2))),IF(MID(B91,5,1)="-",DATE(VALUE(LEFT(B91,4)),VALUE(MID(B91,6,2)),VALUE(RIGHT(B91,2))),DATE(VALUE(RIGHT(B91,4)),MATCH(MID(B91,4,3),{"Jan","Feb","Mar","Apr","May","Jun","Jul","Aug","Sep","Oct","Nov","Dec"},0),VALUE(LEFT(B91,2)))))</f>
        <v>45961</v>
      </c>
    </row>
    <row r="92" customFormat="false" ht="15" hidden="false" customHeight="false" outlineLevel="0" collapsed="false">
      <c r="A92" s="7" t="s">
        <v>562</v>
      </c>
      <c r="B92" s="7" t="s">
        <v>563</v>
      </c>
      <c r="C92" s="7" t="s">
        <v>564</v>
      </c>
      <c r="D92" s="7" t="s">
        <v>565</v>
      </c>
      <c r="E92" s="7" t="s">
        <v>126</v>
      </c>
      <c r="F92" s="7" t="s">
        <v>101</v>
      </c>
      <c r="G92" s="7" t="s">
        <v>105</v>
      </c>
      <c r="H92" s="7" t="n">
        <v>1</v>
      </c>
      <c r="I92" s="7" t="n">
        <v>210</v>
      </c>
      <c r="J92" s="7" t="n">
        <v>0</v>
      </c>
      <c r="K92" s="7" t="s">
        <v>566</v>
      </c>
      <c r="L92" s="7" t="s">
        <v>194</v>
      </c>
      <c r="M92" s="7" t="n">
        <v>38</v>
      </c>
      <c r="N92" s="7" t="n">
        <v>5</v>
      </c>
      <c r="O92" s="7" t="str">
        <f aca="false">A92&amp;"|"&amp;B92&amp;"|"&amp;C92&amp;"|"&amp;D92&amp;"|"&amp;E92&amp;"|"&amp;F92&amp;"|"&amp;G92&amp;"|"&amp;H92&amp;"|"&amp;I92&amp;"|"&amp;J92&amp;"|"&amp;K92&amp;"|"&amp;L92&amp;"|"&amp;M92&amp;"|"&amp;N92</f>
        <v>ORD11778|2025-08-20|16:18|C1051|Dragon Express|Mumbai|Chinese|1|210|0|NetBanking|Delivered|38|5</v>
      </c>
      <c r="P92" s="7" t="str">
        <f aca="false">IF(COUNTIF($O$2:O92,O92)&gt;1,"DUP","OK")</f>
        <v>OK</v>
      </c>
      <c r="Q92" s="7" t="n">
        <f aca="false">COUNTBLANK(A92:N92)</f>
        <v>0</v>
      </c>
      <c r="R92" s="7" t="n">
        <f aca="false">IF(A92="",0,COUNTIFS($A$2:$A$3058,A92,$P$2:$P$3058,"OK"))</f>
        <v>1</v>
      </c>
      <c r="S92" s="7" t="str">
        <f aca="false">IF(OR(A92="",P92="DUP",R92&lt;2),"",IF(Q92=_xlfn.MINIFS($Q$2:$Q$3058,$A$2:$A$3058,A92,$P$2:$P$3058,"OK"),"KEEP","DROP"))</f>
        <v/>
      </c>
      <c r="T92" s="9" t="n">
        <f aca="false">IF(A92="",1,0)</f>
        <v>0</v>
      </c>
      <c r="U92" s="9" t="n">
        <f aca="false">IF(D92="",1,0)</f>
        <v>0</v>
      </c>
      <c r="V92" s="9" t="n">
        <f aca="false">IF(E92="",1,0)</f>
        <v>0</v>
      </c>
      <c r="W92" s="9" t="n">
        <f aca="false">IF(OR(H92&lt;1,H92&gt;10),1,0)</f>
        <v>0</v>
      </c>
      <c r="X92" s="9" t="n">
        <f aca="false">IF(OR(I92&lt;=0,I92&gt;1500),1,0)</f>
        <v>0</v>
      </c>
      <c r="Y92" s="9" t="n">
        <f aca="false">IF(J92&gt;H92*I92,1,0)</f>
        <v>0</v>
      </c>
      <c r="Z92" s="9" t="n">
        <f aca="false">IF(AND(N92&lt;&gt;"",OR(N92&lt;1,N92&gt;5)),1,0)</f>
        <v>0</v>
      </c>
      <c r="AA92" s="9" t="n">
        <f aca="false">IF(AND(M92&lt;&gt;"",OR(M92&lt;5,M92&gt;180)),1,0)</f>
        <v>0</v>
      </c>
      <c r="AB92" s="7" t="str">
        <f aca="false">IF(P92="DUP","Exact duplicate row",IF(T92=1,"Missing Order ID",IF(S92="DROP","Duplicate Order ID (less complete row)",IF(U92=1,"Missing Customer ID",IF(V92=1,"Missing Restaurant name",IF(W92=1,"Invalid/outlier quantity",IF(X92=1,"Invalid/outlier unit price",IF(Y92=1,"Discount greater than order value",""))))))))</f>
        <v/>
      </c>
      <c r="AC92" s="7" t="str">
        <f aca="false">IF(AB92="","KEEP","DROP")</f>
        <v>KEEP</v>
      </c>
      <c r="AD92" s="7" t="str">
        <f aca="false">IF(TRIM(F92)="",IFERROR(INDEX(Map_Tables!$I$4:$I$37,MATCH(TRIM(E92),Map_Tables!$G$4:$G$37,0)),""),IFERROR(INDEX(Map_Tables!$B$4:$B$18,MATCH(TRIM(F92),Map_Tables!$A$4:$A$18,0)),"CHECK"))</f>
        <v>Mumbai</v>
      </c>
      <c r="AE92" s="7" t="str">
        <f aca="false">IF(TRIM(E92)="","",IFERROR(INDEX(Map_Tables!$H$4:$H$37,MATCH(TRIM(E92),Map_Tables!$G$4:$G$37,0)),"CHECK"))</f>
        <v>Dragon Express</v>
      </c>
      <c r="AF92" s="7" t="str">
        <f aca="false">IF(TRIM(K92)="","Unknown",IFERROR(INDEX(Map_Tables!$E$4:$E$15,MATCH(TRIM(K92),Map_Tables!$D$4:$D$15,0)),"CHECK"))</f>
        <v>Net Banking</v>
      </c>
      <c r="AG92" s="7" t="str">
        <f aca="false">IF(LEFT(LOWER(TRIM(L92)),6)="cancel","Cancelled","Delivered")</f>
        <v>Delivered</v>
      </c>
      <c r="AH92" s="10" t="n">
        <f aca="false">IF(ISNUMBER(SEARCH("/",B92)),DATE(VALUE(RIGHT(B92,4)),VALUE(MID(B92,4,2)),VALUE(LEFT(B92,2))),IF(MID(B92,5,1)="-",DATE(VALUE(LEFT(B92,4)),VALUE(MID(B92,6,2)),VALUE(RIGHT(B92,2))),DATE(VALUE(RIGHT(B92,4)),MATCH(MID(B92,4,3),{"Jan","Feb","Mar","Apr","May","Jun","Jul","Aug","Sep","Oct","Nov","Dec"},0),VALUE(LEFT(B92,2)))))</f>
        <v>45889</v>
      </c>
    </row>
    <row r="93" customFormat="false" ht="15" hidden="false" customHeight="false" outlineLevel="0" collapsed="false">
      <c r="A93" s="7" t="s">
        <v>567</v>
      </c>
      <c r="B93" s="7" t="s">
        <v>563</v>
      </c>
      <c r="C93" s="7" t="s">
        <v>568</v>
      </c>
      <c r="D93" s="7" t="s">
        <v>569</v>
      </c>
      <c r="E93" s="7" t="s">
        <v>570</v>
      </c>
      <c r="F93" s="7" t="s">
        <v>101</v>
      </c>
      <c r="G93" s="7" t="s">
        <v>123</v>
      </c>
      <c r="H93" s="7" t="n">
        <v>3</v>
      </c>
      <c r="I93" s="7" t="n">
        <v>300</v>
      </c>
      <c r="J93" s="7" t="n">
        <v>0</v>
      </c>
      <c r="K93" s="7" t="s">
        <v>88</v>
      </c>
      <c r="L93" s="7" t="s">
        <v>194</v>
      </c>
      <c r="M93" s="7" t="n">
        <v>47</v>
      </c>
      <c r="N93" s="7" t="n">
        <v>3</v>
      </c>
      <c r="O93" s="7" t="str">
        <f aca="false">A93&amp;"|"&amp;B93&amp;"|"&amp;C93&amp;"|"&amp;D93&amp;"|"&amp;E93&amp;"|"&amp;F93&amp;"|"&amp;G93&amp;"|"&amp;H93&amp;"|"&amp;I93&amp;"|"&amp;J93&amp;"|"&amp;K93&amp;"|"&amp;L93&amp;"|"&amp;M93&amp;"|"&amp;N93</f>
        <v>ORD11784|2025-08-20|20:19|C0668|MUMBAI PIZZA CO|Mumbai|Pizza|3|300|0|UPI|Delivered|47|3</v>
      </c>
      <c r="P93" s="7" t="str">
        <f aca="false">IF(COUNTIF($O$2:O93,O93)&gt;1,"DUP","OK")</f>
        <v>OK</v>
      </c>
      <c r="Q93" s="7" t="n">
        <f aca="false">COUNTBLANK(A93:N93)</f>
        <v>0</v>
      </c>
      <c r="R93" s="7" t="n">
        <f aca="false">IF(A93="",0,COUNTIFS($A$2:$A$3058,A93,$P$2:$P$3058,"OK"))</f>
        <v>2</v>
      </c>
      <c r="S93" s="7" t="str">
        <f aca="false">IF(OR(A93="",P93="DUP",R93&lt;2),"",IF(Q93=_xlfn.MINIFS($Q$2:$Q$3058,$A$2:$A$3058,A93,$P$2:$P$3058,"OK"),"KEEP","DROP"))</f>
        <v>KEEP</v>
      </c>
      <c r="T93" s="9" t="n">
        <f aca="false">IF(A93="",1,0)</f>
        <v>0</v>
      </c>
      <c r="U93" s="9" t="n">
        <f aca="false">IF(D93="",1,0)</f>
        <v>0</v>
      </c>
      <c r="V93" s="9" t="n">
        <f aca="false">IF(E93="",1,0)</f>
        <v>0</v>
      </c>
      <c r="W93" s="9" t="n">
        <f aca="false">IF(OR(H93&lt;1,H93&gt;10),1,0)</f>
        <v>0</v>
      </c>
      <c r="X93" s="9" t="n">
        <f aca="false">IF(OR(I93&lt;=0,I93&gt;1500),1,0)</f>
        <v>0</v>
      </c>
      <c r="Y93" s="9" t="n">
        <f aca="false">IF(J93&gt;H93*I93,1,0)</f>
        <v>0</v>
      </c>
      <c r="Z93" s="9" t="n">
        <f aca="false">IF(AND(N93&lt;&gt;"",OR(N93&lt;1,N93&gt;5)),1,0)</f>
        <v>0</v>
      </c>
      <c r="AA93" s="9" t="n">
        <f aca="false">IF(AND(M93&lt;&gt;"",OR(M93&lt;5,M93&gt;180)),1,0)</f>
        <v>0</v>
      </c>
      <c r="AB93" s="7" t="str">
        <f aca="false">IF(P93="DUP","Exact duplicate row",IF(T93=1,"Missing Order ID",IF(S93="DROP","Duplicate Order ID (less complete row)",IF(U93=1,"Missing Customer ID",IF(V93=1,"Missing Restaurant name",IF(W93=1,"Invalid/outlier quantity",IF(X93=1,"Invalid/outlier unit price",IF(Y93=1,"Discount greater than order value",""))))))))</f>
        <v/>
      </c>
      <c r="AC93" s="7" t="str">
        <f aca="false">IF(AB93="","KEEP","DROP")</f>
        <v>KEEP</v>
      </c>
      <c r="AD93" s="7" t="str">
        <f aca="false">IF(TRIM(F93)="",IFERROR(INDEX(Map_Tables!$I$4:$I$37,MATCH(TRIM(E93),Map_Tables!$G$4:$G$37,0)),""),IFERROR(INDEX(Map_Tables!$B$4:$B$18,MATCH(TRIM(F93),Map_Tables!$A$4:$A$18,0)),"CHECK"))</f>
        <v>Mumbai</v>
      </c>
      <c r="AE93" s="7" t="str">
        <f aca="false">IF(TRIM(E93)="","",IFERROR(INDEX(Map_Tables!$H$4:$H$37,MATCH(TRIM(E93),Map_Tables!$G$4:$G$37,0)),"CHECK"))</f>
        <v>Mumbai Pizza Co</v>
      </c>
      <c r="AF93" s="7" t="str">
        <f aca="false">IF(TRIM(K93)="","Unknown",IFERROR(INDEX(Map_Tables!$E$4:$E$15,MATCH(TRIM(K93),Map_Tables!$D$4:$D$15,0)),"CHECK"))</f>
        <v>UPI</v>
      </c>
      <c r="AG93" s="7" t="str">
        <f aca="false">IF(LEFT(LOWER(TRIM(L93)),6)="cancel","Cancelled","Delivered")</f>
        <v>Delivered</v>
      </c>
      <c r="AH93" s="10" t="n">
        <f aca="false">IF(ISNUMBER(SEARCH("/",B93)),DATE(VALUE(RIGHT(B93,4)),VALUE(MID(B93,4,2)),VALUE(LEFT(B93,2))),IF(MID(B93,5,1)="-",DATE(VALUE(LEFT(B93,4)),VALUE(MID(B93,6,2)),VALUE(RIGHT(B93,2))),DATE(VALUE(RIGHT(B93,4)),MATCH(MID(B93,4,3),{"Jan","Feb","Mar","Apr","May","Jun","Jul","Aug","Sep","Oct","Nov","Dec"},0),VALUE(LEFT(B93,2)))))</f>
        <v>45889</v>
      </c>
    </row>
    <row r="94" customFormat="false" ht="15" hidden="false" customHeight="false" outlineLevel="0" collapsed="false">
      <c r="A94" s="7" t="s">
        <v>571</v>
      </c>
      <c r="B94" s="7" t="s">
        <v>572</v>
      </c>
      <c r="C94" s="7" t="s">
        <v>573</v>
      </c>
      <c r="D94" s="7" t="s">
        <v>574</v>
      </c>
      <c r="E94" s="7" t="s">
        <v>134</v>
      </c>
      <c r="F94" s="7" t="s">
        <v>110</v>
      </c>
      <c r="G94" s="7" t="s">
        <v>117</v>
      </c>
      <c r="H94" s="7" t="n">
        <v>1</v>
      </c>
      <c r="I94" s="7" t="n">
        <v>105</v>
      </c>
      <c r="J94" s="7" t="n">
        <v>0</v>
      </c>
      <c r="K94" s="7" t="s">
        <v>88</v>
      </c>
      <c r="L94" s="7" t="s">
        <v>194</v>
      </c>
      <c r="M94" s="7" t="n">
        <v>41</v>
      </c>
      <c r="N94" s="7" t="n">
        <v>5</v>
      </c>
      <c r="O94" s="7" t="str">
        <f aca="false">A94&amp;"|"&amp;B94&amp;"|"&amp;C94&amp;"|"&amp;D94&amp;"|"&amp;E94&amp;"|"&amp;F94&amp;"|"&amp;G94&amp;"|"&amp;H94&amp;"|"&amp;I94&amp;"|"&amp;J94&amp;"|"&amp;K94&amp;"|"&amp;L94&amp;"|"&amp;M94&amp;"|"&amp;N94</f>
        <v>ORD11883|02-Sep-2025|21:43|C1245|Chaat Corner|Delhi|Street Food|1|105|0|UPI|Delivered|41|5</v>
      </c>
      <c r="P94" s="7" t="str">
        <f aca="false">IF(COUNTIF($O$2:O94,O94)&gt;1,"DUP","OK")</f>
        <v>OK</v>
      </c>
      <c r="Q94" s="7" t="n">
        <f aca="false">COUNTBLANK(A94:N94)</f>
        <v>0</v>
      </c>
      <c r="R94" s="7" t="n">
        <f aca="false">IF(A94="",0,COUNTIFS($A$2:$A$3058,A94,$P$2:$P$3058,"OK"))</f>
        <v>1</v>
      </c>
      <c r="S94" s="7" t="str">
        <f aca="false">IF(OR(A94="",P94="DUP",R94&lt;2),"",IF(Q94=_xlfn.MINIFS($Q$2:$Q$3058,$A$2:$A$3058,A94,$P$2:$P$3058,"OK"),"KEEP","DROP"))</f>
        <v/>
      </c>
      <c r="T94" s="9" t="n">
        <f aca="false">IF(A94="",1,0)</f>
        <v>0</v>
      </c>
      <c r="U94" s="9" t="n">
        <f aca="false">IF(D94="",1,0)</f>
        <v>0</v>
      </c>
      <c r="V94" s="9" t="n">
        <f aca="false">IF(E94="",1,0)</f>
        <v>0</v>
      </c>
      <c r="W94" s="9" t="n">
        <f aca="false">IF(OR(H94&lt;1,H94&gt;10),1,0)</f>
        <v>0</v>
      </c>
      <c r="X94" s="9" t="n">
        <f aca="false">IF(OR(I94&lt;=0,I94&gt;1500),1,0)</f>
        <v>0</v>
      </c>
      <c r="Y94" s="9" t="n">
        <f aca="false">IF(J94&gt;H94*I94,1,0)</f>
        <v>0</v>
      </c>
      <c r="Z94" s="9" t="n">
        <f aca="false">IF(AND(N94&lt;&gt;"",OR(N94&lt;1,N94&gt;5)),1,0)</f>
        <v>0</v>
      </c>
      <c r="AA94" s="9" t="n">
        <f aca="false">IF(AND(M94&lt;&gt;"",OR(M94&lt;5,M94&gt;180)),1,0)</f>
        <v>0</v>
      </c>
      <c r="AB94" s="7" t="str">
        <f aca="false">IF(P94="DUP","Exact duplicate row",IF(T94=1,"Missing Order ID",IF(S94="DROP","Duplicate Order ID (less complete row)",IF(U94=1,"Missing Customer ID",IF(V94=1,"Missing Restaurant name",IF(W94=1,"Invalid/outlier quantity",IF(X94=1,"Invalid/outlier unit price",IF(Y94=1,"Discount greater than order value",""))))))))</f>
        <v/>
      </c>
      <c r="AC94" s="7" t="str">
        <f aca="false">IF(AB94="","KEEP","DROP")</f>
        <v>KEEP</v>
      </c>
      <c r="AD94" s="7" t="str">
        <f aca="false">IF(TRIM(F94)="",IFERROR(INDEX(Map_Tables!$I$4:$I$37,MATCH(TRIM(E94),Map_Tables!$G$4:$G$37,0)),""),IFERROR(INDEX(Map_Tables!$B$4:$B$18,MATCH(TRIM(F94),Map_Tables!$A$4:$A$18,0)),"CHECK"))</f>
        <v>Delhi</v>
      </c>
      <c r="AE94" s="7" t="str">
        <f aca="false">IF(TRIM(E94)="","",IFERROR(INDEX(Map_Tables!$H$4:$H$37,MATCH(TRIM(E94),Map_Tables!$G$4:$G$37,0)),"CHECK"))</f>
        <v>Chaat Corner</v>
      </c>
      <c r="AF94" s="7" t="str">
        <f aca="false">IF(TRIM(K94)="","Unknown",IFERROR(INDEX(Map_Tables!$E$4:$E$15,MATCH(TRIM(K94),Map_Tables!$D$4:$D$15,0)),"CHECK"))</f>
        <v>UPI</v>
      </c>
      <c r="AG94" s="7" t="str">
        <f aca="false">IF(LEFT(LOWER(TRIM(L94)),6)="cancel","Cancelled","Delivered")</f>
        <v>Delivered</v>
      </c>
      <c r="AH94" s="10" t="n">
        <f aca="false">IF(ISNUMBER(SEARCH("/",B94)),DATE(VALUE(RIGHT(B94,4)),VALUE(MID(B94,4,2)),VALUE(LEFT(B94,2))),IF(MID(B94,5,1)="-",DATE(VALUE(LEFT(B94,4)),VALUE(MID(B94,6,2)),VALUE(RIGHT(B94,2))),DATE(VALUE(RIGHT(B94,4)),MATCH(MID(B94,4,3),{"Jan","Feb","Mar","Apr","May","Jun","Jul","Aug","Sep","Oct","Nov","Dec"},0),VALUE(LEFT(B94,2)))))</f>
        <v>45902</v>
      </c>
    </row>
    <row r="95" customFormat="false" ht="15" hidden="false" customHeight="false" outlineLevel="0" collapsed="false">
      <c r="A95" s="7" t="s">
        <v>575</v>
      </c>
      <c r="B95" s="7" t="s">
        <v>576</v>
      </c>
      <c r="C95" s="7" t="s">
        <v>577</v>
      </c>
      <c r="D95" s="7" t="s">
        <v>578</v>
      </c>
      <c r="E95" s="7" t="s">
        <v>113</v>
      </c>
      <c r="F95" s="7" t="s">
        <v>101</v>
      </c>
      <c r="G95" s="7" t="s">
        <v>90</v>
      </c>
      <c r="H95" s="7" t="n">
        <v>2</v>
      </c>
      <c r="I95" s="7" t="n">
        <v>270</v>
      </c>
      <c r="J95" s="7" t="n">
        <v>0</v>
      </c>
      <c r="K95" s="7" t="s">
        <v>88</v>
      </c>
      <c r="L95" s="7" t="s">
        <v>194</v>
      </c>
      <c r="M95" s="7" t="n">
        <v>41</v>
      </c>
      <c r="N95" s="7" t="n">
        <v>2</v>
      </c>
      <c r="O95" s="7" t="str">
        <f aca="false">A95&amp;"|"&amp;B95&amp;"|"&amp;C95&amp;"|"&amp;D95&amp;"|"&amp;E95&amp;"|"&amp;F95&amp;"|"&amp;G95&amp;"|"&amp;H95&amp;"|"&amp;I95&amp;"|"&amp;J95&amp;"|"&amp;K95&amp;"|"&amp;L95&amp;"|"&amp;M95&amp;"|"&amp;N95</f>
        <v>ORD12273|2025-10-15|12:20|C0317|Curry Leaf Kitchen|Mumbai|North Indian|2|270|0|UPI|Delivered|41|2</v>
      </c>
      <c r="P95" s="7" t="str">
        <f aca="false">IF(COUNTIF($O$2:O95,O95)&gt;1,"DUP","OK")</f>
        <v>OK</v>
      </c>
      <c r="Q95" s="7" t="n">
        <f aca="false">COUNTBLANK(A95:N95)</f>
        <v>0</v>
      </c>
      <c r="R95" s="7" t="n">
        <f aca="false">IF(A95="",0,COUNTIFS($A$2:$A$3058,A95,$P$2:$P$3058,"OK"))</f>
        <v>1</v>
      </c>
      <c r="S95" s="7" t="str">
        <f aca="false">IF(OR(A95="",P95="DUP",R95&lt;2),"",IF(Q95=_xlfn.MINIFS($Q$2:$Q$3058,$A$2:$A$3058,A95,$P$2:$P$3058,"OK"),"KEEP","DROP"))</f>
        <v/>
      </c>
      <c r="T95" s="9" t="n">
        <f aca="false">IF(A95="",1,0)</f>
        <v>0</v>
      </c>
      <c r="U95" s="9" t="n">
        <f aca="false">IF(D95="",1,0)</f>
        <v>0</v>
      </c>
      <c r="V95" s="9" t="n">
        <f aca="false">IF(E95="",1,0)</f>
        <v>0</v>
      </c>
      <c r="W95" s="9" t="n">
        <f aca="false">IF(OR(H95&lt;1,H95&gt;10),1,0)</f>
        <v>0</v>
      </c>
      <c r="X95" s="9" t="n">
        <f aca="false">IF(OR(I95&lt;=0,I95&gt;1500),1,0)</f>
        <v>0</v>
      </c>
      <c r="Y95" s="9" t="n">
        <f aca="false">IF(J95&gt;H95*I95,1,0)</f>
        <v>0</v>
      </c>
      <c r="Z95" s="9" t="n">
        <f aca="false">IF(AND(N95&lt;&gt;"",OR(N95&lt;1,N95&gt;5)),1,0)</f>
        <v>0</v>
      </c>
      <c r="AA95" s="9" t="n">
        <f aca="false">IF(AND(M95&lt;&gt;"",OR(M95&lt;5,M95&gt;180)),1,0)</f>
        <v>0</v>
      </c>
      <c r="AB95" s="7" t="str">
        <f aca="false">IF(P95="DUP","Exact duplicate row",IF(T95=1,"Missing Order ID",IF(S95="DROP","Duplicate Order ID (less complete row)",IF(U95=1,"Missing Customer ID",IF(V95=1,"Missing Restaurant name",IF(W95=1,"Invalid/outlier quantity",IF(X95=1,"Invalid/outlier unit price",IF(Y95=1,"Discount greater than order value",""))))))))</f>
        <v/>
      </c>
      <c r="AC95" s="7" t="str">
        <f aca="false">IF(AB95="","KEEP","DROP")</f>
        <v>KEEP</v>
      </c>
      <c r="AD95" s="7" t="str">
        <f aca="false">IF(TRIM(F95)="",IFERROR(INDEX(Map_Tables!$I$4:$I$37,MATCH(TRIM(E95),Map_Tables!$G$4:$G$37,0)),""),IFERROR(INDEX(Map_Tables!$B$4:$B$18,MATCH(TRIM(F95),Map_Tables!$A$4:$A$18,0)),"CHECK"))</f>
        <v>Mumbai</v>
      </c>
      <c r="AE95" s="7" t="str">
        <f aca="false">IF(TRIM(E95)="","",IFERROR(INDEX(Map_Tables!$H$4:$H$37,MATCH(TRIM(E95),Map_Tables!$G$4:$G$37,0)),"CHECK"))</f>
        <v>Curry Leaf Kitchen</v>
      </c>
      <c r="AF95" s="7" t="str">
        <f aca="false">IF(TRIM(K95)="","Unknown",IFERROR(INDEX(Map_Tables!$E$4:$E$15,MATCH(TRIM(K95),Map_Tables!$D$4:$D$15,0)),"CHECK"))</f>
        <v>UPI</v>
      </c>
      <c r="AG95" s="7" t="str">
        <f aca="false">IF(LEFT(LOWER(TRIM(L95)),6)="cancel","Cancelled","Delivered")</f>
        <v>Delivered</v>
      </c>
      <c r="AH95" s="10" t="n">
        <f aca="false">IF(ISNUMBER(SEARCH("/",B95)),DATE(VALUE(RIGHT(B95,4)),VALUE(MID(B95,4,2)),VALUE(LEFT(B95,2))),IF(MID(B95,5,1)="-",DATE(VALUE(LEFT(B95,4)),VALUE(MID(B95,6,2)),VALUE(RIGHT(B95,2))),DATE(VALUE(RIGHT(B95,4)),MATCH(MID(B95,4,3),{"Jan","Feb","Mar","Apr","May","Jun","Jul","Aug","Sep","Oct","Nov","Dec"},0),VALUE(LEFT(B95,2)))))</f>
        <v>45945</v>
      </c>
    </row>
    <row r="96" customFormat="false" ht="15" hidden="false" customHeight="false" outlineLevel="0" collapsed="false">
      <c r="A96" s="7" t="s">
        <v>579</v>
      </c>
      <c r="B96" s="7" t="s">
        <v>580</v>
      </c>
      <c r="C96" s="7" t="s">
        <v>581</v>
      </c>
      <c r="D96" s="7" t="s">
        <v>582</v>
      </c>
      <c r="E96" s="7" t="s">
        <v>94</v>
      </c>
      <c r="F96" s="7" t="s">
        <v>86</v>
      </c>
      <c r="G96" s="7" t="s">
        <v>95</v>
      </c>
      <c r="H96" s="7" t="n">
        <v>1</v>
      </c>
      <c r="I96" s="7" t="n">
        <v>100</v>
      </c>
      <c r="J96" s="7" t="n">
        <v>40</v>
      </c>
      <c r="K96" s="7" t="s">
        <v>133</v>
      </c>
      <c r="L96" s="7" t="s">
        <v>194</v>
      </c>
      <c r="M96" s="7" t="n">
        <v>53</v>
      </c>
      <c r="N96" s="7" t="n">
        <v>3</v>
      </c>
      <c r="O96" s="7" t="str">
        <f aca="false">A96&amp;"|"&amp;B96&amp;"|"&amp;C96&amp;"|"&amp;D96&amp;"|"&amp;E96&amp;"|"&amp;F96&amp;"|"&amp;G96&amp;"|"&amp;H96&amp;"|"&amp;I96&amp;"|"&amp;J96&amp;"|"&amp;K96&amp;"|"&amp;L96&amp;"|"&amp;M96&amp;"|"&amp;N96</f>
        <v>ORD10749|05/04/2025|20:04|C0293|Dosa Darbar|Bengaluru|South Indian|1|100|40|Net Banking|Delivered|53|3</v>
      </c>
      <c r="P96" s="7" t="str">
        <f aca="false">IF(COUNTIF($O$2:O96,O96)&gt;1,"DUP","OK")</f>
        <v>OK</v>
      </c>
      <c r="Q96" s="7" t="n">
        <f aca="false">COUNTBLANK(A96:N96)</f>
        <v>0</v>
      </c>
      <c r="R96" s="7" t="n">
        <f aca="false">IF(A96="",0,COUNTIFS($A$2:$A$3058,A96,$P$2:$P$3058,"OK"))</f>
        <v>1</v>
      </c>
      <c r="S96" s="7" t="str">
        <f aca="false">IF(OR(A96="",P96="DUP",R96&lt;2),"",IF(Q96=_xlfn.MINIFS($Q$2:$Q$3058,$A$2:$A$3058,A96,$P$2:$P$3058,"OK"),"KEEP","DROP"))</f>
        <v/>
      </c>
      <c r="T96" s="9" t="n">
        <f aca="false">IF(A96="",1,0)</f>
        <v>0</v>
      </c>
      <c r="U96" s="9" t="n">
        <f aca="false">IF(D96="",1,0)</f>
        <v>0</v>
      </c>
      <c r="V96" s="9" t="n">
        <f aca="false">IF(E96="",1,0)</f>
        <v>0</v>
      </c>
      <c r="W96" s="9" t="n">
        <f aca="false">IF(OR(H96&lt;1,H96&gt;10),1,0)</f>
        <v>0</v>
      </c>
      <c r="X96" s="9" t="n">
        <f aca="false">IF(OR(I96&lt;=0,I96&gt;1500),1,0)</f>
        <v>0</v>
      </c>
      <c r="Y96" s="9" t="n">
        <f aca="false">IF(J96&gt;H96*I96,1,0)</f>
        <v>0</v>
      </c>
      <c r="Z96" s="9" t="n">
        <f aca="false">IF(AND(N96&lt;&gt;"",OR(N96&lt;1,N96&gt;5)),1,0)</f>
        <v>0</v>
      </c>
      <c r="AA96" s="9" t="n">
        <f aca="false">IF(AND(M96&lt;&gt;"",OR(M96&lt;5,M96&gt;180)),1,0)</f>
        <v>0</v>
      </c>
      <c r="AB96" s="7" t="str">
        <f aca="false">IF(P96="DUP","Exact duplicate row",IF(T96=1,"Missing Order ID",IF(S96="DROP","Duplicate Order ID (less complete row)",IF(U96=1,"Missing Customer ID",IF(V96=1,"Missing Restaurant name",IF(W96=1,"Invalid/outlier quantity",IF(X96=1,"Invalid/outlier unit price",IF(Y96=1,"Discount greater than order value",""))))))))</f>
        <v/>
      </c>
      <c r="AC96" s="7" t="str">
        <f aca="false">IF(AB96="","KEEP","DROP")</f>
        <v>KEEP</v>
      </c>
      <c r="AD96" s="7" t="str">
        <f aca="false">IF(TRIM(F96)="",IFERROR(INDEX(Map_Tables!$I$4:$I$37,MATCH(TRIM(E96),Map_Tables!$G$4:$G$37,0)),""),IFERROR(INDEX(Map_Tables!$B$4:$B$18,MATCH(TRIM(F96),Map_Tables!$A$4:$A$18,0)),"CHECK"))</f>
        <v>Bengaluru</v>
      </c>
      <c r="AE96" s="7" t="str">
        <f aca="false">IF(TRIM(E96)="","",IFERROR(INDEX(Map_Tables!$H$4:$H$37,MATCH(TRIM(E96),Map_Tables!$G$4:$G$37,0)),"CHECK"))</f>
        <v>Dosa Darbar</v>
      </c>
      <c r="AF96" s="7" t="str">
        <f aca="false">IF(TRIM(K96)="","Unknown",IFERROR(INDEX(Map_Tables!$E$4:$E$15,MATCH(TRIM(K96),Map_Tables!$D$4:$D$15,0)),"CHECK"))</f>
        <v>Net Banking</v>
      </c>
      <c r="AG96" s="7" t="str">
        <f aca="false">IF(LEFT(LOWER(TRIM(L96)),6)="cancel","Cancelled","Delivered")</f>
        <v>Delivered</v>
      </c>
      <c r="AH96" s="10" t="n">
        <f aca="false">IF(ISNUMBER(SEARCH("/",B96)),DATE(VALUE(RIGHT(B96,4)),VALUE(MID(B96,4,2)),VALUE(LEFT(B96,2))),IF(MID(B96,5,1)="-",DATE(VALUE(LEFT(B96,4)),VALUE(MID(B96,6,2)),VALUE(RIGHT(B96,2))),DATE(VALUE(RIGHT(B96,4)),MATCH(MID(B96,4,3),{"Jan","Feb","Mar","Apr","May","Jun","Jul","Aug","Sep","Oct","Nov","Dec"},0),VALUE(LEFT(B96,2)))))</f>
        <v>45752</v>
      </c>
    </row>
    <row r="97" customFormat="false" ht="15" hidden="false" customHeight="false" outlineLevel="0" collapsed="false">
      <c r="A97" s="7" t="s">
        <v>583</v>
      </c>
      <c r="B97" s="7" t="s">
        <v>584</v>
      </c>
      <c r="C97" s="7" t="s">
        <v>585</v>
      </c>
      <c r="D97" s="7" t="s">
        <v>586</v>
      </c>
      <c r="E97" s="7" t="s">
        <v>98</v>
      </c>
      <c r="F97" s="7" t="s">
        <v>449</v>
      </c>
      <c r="G97" s="7" t="s">
        <v>99</v>
      </c>
      <c r="H97" s="7" t="n">
        <v>1</v>
      </c>
      <c r="I97" s="7" t="n">
        <v>315</v>
      </c>
      <c r="J97" s="7" t="n">
        <v>0</v>
      </c>
      <c r="K97" s="7" t="s">
        <v>88</v>
      </c>
      <c r="L97" s="7" t="s">
        <v>194</v>
      </c>
      <c r="M97" s="7" t="n">
        <v>43</v>
      </c>
      <c r="N97" s="7" t="n">
        <v>4</v>
      </c>
      <c r="O97" s="7" t="str">
        <f aca="false">A97&amp;"|"&amp;B97&amp;"|"&amp;C97&amp;"|"&amp;D97&amp;"|"&amp;E97&amp;"|"&amp;F97&amp;"|"&amp;G97&amp;"|"&amp;H97&amp;"|"&amp;I97&amp;"|"&amp;J97&amp;"|"&amp;K97&amp;"|"&amp;L97&amp;"|"&amp;M97&amp;"|"&amp;N97</f>
        <v>ORD11923|2025-09-06|21:34|C0236|Nawabi Biryani House|BLR|Biryani|1|315|0|UPI|Delivered|43|4</v>
      </c>
      <c r="P97" s="7" t="str">
        <f aca="false">IF(COUNTIF($O$2:O97,O97)&gt;1,"DUP","OK")</f>
        <v>OK</v>
      </c>
      <c r="Q97" s="7" t="n">
        <f aca="false">COUNTBLANK(A97:N97)</f>
        <v>0</v>
      </c>
      <c r="R97" s="7" t="n">
        <f aca="false">IF(A97="",0,COUNTIFS($A$2:$A$3058,A97,$P$2:$P$3058,"OK"))</f>
        <v>1</v>
      </c>
      <c r="S97" s="7" t="str">
        <f aca="false">IF(OR(A97="",P97="DUP",R97&lt;2),"",IF(Q97=_xlfn.MINIFS($Q$2:$Q$3058,$A$2:$A$3058,A97,$P$2:$P$3058,"OK"),"KEEP","DROP"))</f>
        <v/>
      </c>
      <c r="T97" s="9" t="n">
        <f aca="false">IF(A97="",1,0)</f>
        <v>0</v>
      </c>
      <c r="U97" s="9" t="n">
        <f aca="false">IF(D97="",1,0)</f>
        <v>0</v>
      </c>
      <c r="V97" s="9" t="n">
        <f aca="false">IF(E97="",1,0)</f>
        <v>0</v>
      </c>
      <c r="W97" s="9" t="n">
        <f aca="false">IF(OR(H97&lt;1,H97&gt;10),1,0)</f>
        <v>0</v>
      </c>
      <c r="X97" s="9" t="n">
        <f aca="false">IF(OR(I97&lt;=0,I97&gt;1500),1,0)</f>
        <v>0</v>
      </c>
      <c r="Y97" s="9" t="n">
        <f aca="false">IF(J97&gt;H97*I97,1,0)</f>
        <v>0</v>
      </c>
      <c r="Z97" s="9" t="n">
        <f aca="false">IF(AND(N97&lt;&gt;"",OR(N97&lt;1,N97&gt;5)),1,0)</f>
        <v>0</v>
      </c>
      <c r="AA97" s="9" t="n">
        <f aca="false">IF(AND(M97&lt;&gt;"",OR(M97&lt;5,M97&gt;180)),1,0)</f>
        <v>0</v>
      </c>
      <c r="AB97" s="7" t="str">
        <f aca="false">IF(P97="DUP","Exact duplicate row",IF(T97=1,"Missing Order ID",IF(S97="DROP","Duplicate Order ID (less complete row)",IF(U97=1,"Missing Customer ID",IF(V97=1,"Missing Restaurant name",IF(W97=1,"Invalid/outlier quantity",IF(X97=1,"Invalid/outlier unit price",IF(Y97=1,"Discount greater than order value",""))))))))</f>
        <v/>
      </c>
      <c r="AC97" s="7" t="str">
        <f aca="false">IF(AB97="","KEEP","DROP")</f>
        <v>KEEP</v>
      </c>
      <c r="AD97" s="7" t="str">
        <f aca="false">IF(TRIM(F97)="",IFERROR(INDEX(Map_Tables!$I$4:$I$37,MATCH(TRIM(E97),Map_Tables!$G$4:$G$37,0)),""),IFERROR(INDEX(Map_Tables!$B$4:$B$18,MATCH(TRIM(F97),Map_Tables!$A$4:$A$18,0)),"CHECK"))</f>
        <v>Bengaluru</v>
      </c>
      <c r="AE97" s="7" t="str">
        <f aca="false">IF(TRIM(E97)="","",IFERROR(INDEX(Map_Tables!$H$4:$H$37,MATCH(TRIM(E97),Map_Tables!$G$4:$G$37,0)),"CHECK"))</f>
        <v>Nawabi Biryani House</v>
      </c>
      <c r="AF97" s="7" t="str">
        <f aca="false">IF(TRIM(K97)="","Unknown",IFERROR(INDEX(Map_Tables!$E$4:$E$15,MATCH(TRIM(K97),Map_Tables!$D$4:$D$15,0)),"CHECK"))</f>
        <v>UPI</v>
      </c>
      <c r="AG97" s="7" t="str">
        <f aca="false">IF(LEFT(LOWER(TRIM(L97)),6)="cancel","Cancelled","Delivered")</f>
        <v>Delivered</v>
      </c>
      <c r="AH97" s="10" t="n">
        <f aca="false">IF(ISNUMBER(SEARCH("/",B97)),DATE(VALUE(RIGHT(B97,4)),VALUE(MID(B97,4,2)),VALUE(LEFT(B97,2))),IF(MID(B97,5,1)="-",DATE(VALUE(LEFT(B97,4)),VALUE(MID(B97,6,2)),VALUE(RIGHT(B97,2))),DATE(VALUE(RIGHT(B97,4)),MATCH(MID(B97,4,3),{"Jan","Feb","Mar","Apr","May","Jun","Jul","Aug","Sep","Oct","Nov","Dec"},0),VALUE(LEFT(B97,2)))))</f>
        <v>45906</v>
      </c>
    </row>
    <row r="98" customFormat="false" ht="15" hidden="false" customHeight="false" outlineLevel="0" collapsed="false">
      <c r="A98" s="7" t="s">
        <v>587</v>
      </c>
      <c r="B98" s="7" t="s">
        <v>196</v>
      </c>
      <c r="C98" s="7" t="s">
        <v>588</v>
      </c>
      <c r="D98" s="7" t="s">
        <v>589</v>
      </c>
      <c r="E98" s="7" t="s">
        <v>116</v>
      </c>
      <c r="F98" s="7" t="s">
        <v>101</v>
      </c>
      <c r="G98" s="7" t="s">
        <v>117</v>
      </c>
      <c r="H98" s="7" t="n">
        <v>4</v>
      </c>
      <c r="I98" s="7" t="n">
        <v>120</v>
      </c>
      <c r="J98" s="7" t="n">
        <v>0</v>
      </c>
      <c r="K98" s="7" t="s">
        <v>88</v>
      </c>
      <c r="L98" s="7" t="s">
        <v>194</v>
      </c>
      <c r="M98" s="7" t="n">
        <v>37</v>
      </c>
      <c r="N98" s="7" t="n">
        <v>4</v>
      </c>
      <c r="O98" s="7" t="str">
        <f aca="false">A98&amp;"|"&amp;B98&amp;"|"&amp;C98&amp;"|"&amp;D98&amp;"|"&amp;E98&amp;"|"&amp;F98&amp;"|"&amp;G98&amp;"|"&amp;H98&amp;"|"&amp;I98&amp;"|"&amp;J98&amp;"|"&amp;K98&amp;"|"&amp;L98&amp;"|"&amp;M98&amp;"|"&amp;N98</f>
        <v>ORD12660|2025-11-24|12:31|C0703|Pav Bhaji Point|Mumbai|Street Food|4|120|0|UPI|Delivered|37|4</v>
      </c>
      <c r="P98" s="7" t="str">
        <f aca="false">IF(COUNTIF($O$2:O98,O98)&gt;1,"DUP","OK")</f>
        <v>OK</v>
      </c>
      <c r="Q98" s="7" t="n">
        <f aca="false">COUNTBLANK(A98:N98)</f>
        <v>0</v>
      </c>
      <c r="R98" s="7" t="n">
        <f aca="false">IF(A98="",0,COUNTIFS($A$2:$A$3058,A98,$P$2:$P$3058,"OK"))</f>
        <v>1</v>
      </c>
      <c r="S98" s="7" t="str">
        <f aca="false">IF(OR(A98="",P98="DUP",R98&lt;2),"",IF(Q98=_xlfn.MINIFS($Q$2:$Q$3058,$A$2:$A$3058,A98,$P$2:$P$3058,"OK"),"KEEP","DROP"))</f>
        <v/>
      </c>
      <c r="T98" s="9" t="n">
        <f aca="false">IF(A98="",1,0)</f>
        <v>0</v>
      </c>
      <c r="U98" s="9" t="n">
        <f aca="false">IF(D98="",1,0)</f>
        <v>0</v>
      </c>
      <c r="V98" s="9" t="n">
        <f aca="false">IF(E98="",1,0)</f>
        <v>0</v>
      </c>
      <c r="W98" s="9" t="n">
        <f aca="false">IF(OR(H98&lt;1,H98&gt;10),1,0)</f>
        <v>0</v>
      </c>
      <c r="X98" s="9" t="n">
        <f aca="false">IF(OR(I98&lt;=0,I98&gt;1500),1,0)</f>
        <v>0</v>
      </c>
      <c r="Y98" s="9" t="n">
        <f aca="false">IF(J98&gt;H98*I98,1,0)</f>
        <v>0</v>
      </c>
      <c r="Z98" s="9" t="n">
        <f aca="false">IF(AND(N98&lt;&gt;"",OR(N98&lt;1,N98&gt;5)),1,0)</f>
        <v>0</v>
      </c>
      <c r="AA98" s="9" t="n">
        <f aca="false">IF(AND(M98&lt;&gt;"",OR(M98&lt;5,M98&gt;180)),1,0)</f>
        <v>0</v>
      </c>
      <c r="AB98" s="7" t="str">
        <f aca="false">IF(P98="DUP","Exact duplicate row",IF(T98=1,"Missing Order ID",IF(S98="DROP","Duplicate Order ID (less complete row)",IF(U98=1,"Missing Customer ID",IF(V98=1,"Missing Restaurant name",IF(W98=1,"Invalid/outlier quantity",IF(X98=1,"Invalid/outlier unit price",IF(Y98=1,"Discount greater than order value",""))))))))</f>
        <v/>
      </c>
      <c r="AC98" s="7" t="str">
        <f aca="false">IF(AB98="","KEEP","DROP")</f>
        <v>KEEP</v>
      </c>
      <c r="AD98" s="7" t="str">
        <f aca="false">IF(TRIM(F98)="",IFERROR(INDEX(Map_Tables!$I$4:$I$37,MATCH(TRIM(E98),Map_Tables!$G$4:$G$37,0)),""),IFERROR(INDEX(Map_Tables!$B$4:$B$18,MATCH(TRIM(F98),Map_Tables!$A$4:$A$18,0)),"CHECK"))</f>
        <v>Mumbai</v>
      </c>
      <c r="AE98" s="7" t="str">
        <f aca="false">IF(TRIM(E98)="","",IFERROR(INDEX(Map_Tables!$H$4:$H$37,MATCH(TRIM(E98),Map_Tables!$G$4:$G$37,0)),"CHECK"))</f>
        <v>Pav Bhaji Point</v>
      </c>
      <c r="AF98" s="7" t="str">
        <f aca="false">IF(TRIM(K98)="","Unknown",IFERROR(INDEX(Map_Tables!$E$4:$E$15,MATCH(TRIM(K98),Map_Tables!$D$4:$D$15,0)),"CHECK"))</f>
        <v>UPI</v>
      </c>
      <c r="AG98" s="7" t="str">
        <f aca="false">IF(LEFT(LOWER(TRIM(L98)),6)="cancel","Cancelled","Delivered")</f>
        <v>Delivered</v>
      </c>
      <c r="AH98" s="10" t="n">
        <f aca="false">IF(ISNUMBER(SEARCH("/",B98)),DATE(VALUE(RIGHT(B98,4)),VALUE(MID(B98,4,2)),VALUE(LEFT(B98,2))),IF(MID(B98,5,1)="-",DATE(VALUE(LEFT(B98,4)),VALUE(MID(B98,6,2)),VALUE(RIGHT(B98,2))),DATE(VALUE(RIGHT(B98,4)),MATCH(MID(B98,4,3),{"Jan","Feb","Mar","Apr","May","Jun","Jul","Aug","Sep","Oct","Nov","Dec"},0),VALUE(LEFT(B98,2)))))</f>
        <v>45985</v>
      </c>
    </row>
    <row r="99" customFormat="false" ht="15" hidden="false" customHeight="false" outlineLevel="0" collapsed="false">
      <c r="A99" s="7" t="s">
        <v>590</v>
      </c>
      <c r="B99" s="7" t="s">
        <v>563</v>
      </c>
      <c r="C99" s="7" t="s">
        <v>591</v>
      </c>
      <c r="D99" s="7" t="s">
        <v>592</v>
      </c>
      <c r="E99" s="7" t="s">
        <v>130</v>
      </c>
      <c r="F99" s="7" t="s">
        <v>110</v>
      </c>
      <c r="G99" s="7" t="s">
        <v>90</v>
      </c>
      <c r="H99" s="7" t="n">
        <v>4</v>
      </c>
      <c r="I99" s="7" t="n">
        <v>0</v>
      </c>
      <c r="J99" s="7" t="n">
        <v>20</v>
      </c>
      <c r="K99" s="7" t="s">
        <v>103</v>
      </c>
      <c r="L99" s="7" t="s">
        <v>194</v>
      </c>
      <c r="M99" s="7" t="n">
        <v>40</v>
      </c>
      <c r="N99" s="7" t="n">
        <v>3</v>
      </c>
      <c r="O99" s="7" t="str">
        <f aca="false">A99&amp;"|"&amp;B99&amp;"|"&amp;C99&amp;"|"&amp;D99&amp;"|"&amp;E99&amp;"|"&amp;F99&amp;"|"&amp;G99&amp;"|"&amp;H99&amp;"|"&amp;I99&amp;"|"&amp;J99&amp;"|"&amp;K99&amp;"|"&amp;L99&amp;"|"&amp;M99&amp;"|"&amp;N99</f>
        <v>ORD11777|2025-08-20|14:31|C0228|Tandoor Tales|Delhi|North Indian|4|0|20|Debit Card|Delivered|40|3</v>
      </c>
      <c r="P99" s="7" t="str">
        <f aca="false">IF(COUNTIF($O$2:O99,O99)&gt;1,"DUP","OK")</f>
        <v>OK</v>
      </c>
      <c r="Q99" s="7" t="n">
        <f aca="false">COUNTBLANK(A99:N99)</f>
        <v>0</v>
      </c>
      <c r="R99" s="7" t="n">
        <f aca="false">IF(A99="",0,COUNTIFS($A$2:$A$3058,A99,$P$2:$P$3058,"OK"))</f>
        <v>1</v>
      </c>
      <c r="S99" s="7" t="str">
        <f aca="false">IF(OR(A99="",P99="DUP",R99&lt;2),"",IF(Q99=_xlfn.MINIFS($Q$2:$Q$3058,$A$2:$A$3058,A99,$P$2:$P$3058,"OK"),"KEEP","DROP"))</f>
        <v/>
      </c>
      <c r="T99" s="9" t="n">
        <f aca="false">IF(A99="",1,0)</f>
        <v>0</v>
      </c>
      <c r="U99" s="9" t="n">
        <f aca="false">IF(D99="",1,0)</f>
        <v>0</v>
      </c>
      <c r="V99" s="9" t="n">
        <f aca="false">IF(E99="",1,0)</f>
        <v>0</v>
      </c>
      <c r="W99" s="9" t="n">
        <f aca="false">IF(OR(H99&lt;1,H99&gt;10),1,0)</f>
        <v>0</v>
      </c>
      <c r="X99" s="9" t="n">
        <f aca="false">IF(OR(I99&lt;=0,I99&gt;1500),1,0)</f>
        <v>1</v>
      </c>
      <c r="Y99" s="9" t="n">
        <f aca="false">IF(J99&gt;H99*I99,1,0)</f>
        <v>1</v>
      </c>
      <c r="Z99" s="9" t="n">
        <f aca="false">IF(AND(N99&lt;&gt;"",OR(N99&lt;1,N99&gt;5)),1,0)</f>
        <v>0</v>
      </c>
      <c r="AA99" s="9" t="n">
        <f aca="false">IF(AND(M99&lt;&gt;"",OR(M99&lt;5,M99&gt;180)),1,0)</f>
        <v>0</v>
      </c>
      <c r="AB99" s="7" t="str">
        <f aca="false">IF(P99="DUP","Exact duplicate row",IF(T99=1,"Missing Order ID",IF(S99="DROP","Duplicate Order ID (less complete row)",IF(U99=1,"Missing Customer ID",IF(V99=1,"Missing Restaurant name",IF(W99=1,"Invalid/outlier quantity",IF(X99=1,"Invalid/outlier unit price",IF(Y99=1,"Discount greater than order value",""))))))))</f>
        <v>Invalid/outlier unit price</v>
      </c>
      <c r="AC99" s="7" t="str">
        <f aca="false">IF(AB99="","KEEP","DROP")</f>
        <v>DROP</v>
      </c>
      <c r="AD99" s="7" t="str">
        <f aca="false">IF(TRIM(F99)="",IFERROR(INDEX(Map_Tables!$I$4:$I$37,MATCH(TRIM(E99),Map_Tables!$G$4:$G$37,0)),""),IFERROR(INDEX(Map_Tables!$B$4:$B$18,MATCH(TRIM(F99),Map_Tables!$A$4:$A$18,0)),"CHECK"))</f>
        <v>Delhi</v>
      </c>
      <c r="AE99" s="7" t="str">
        <f aca="false">IF(TRIM(E99)="","",IFERROR(INDEX(Map_Tables!$H$4:$H$37,MATCH(TRIM(E99),Map_Tables!$G$4:$G$37,0)),"CHECK"))</f>
        <v>Tandoor Tales</v>
      </c>
      <c r="AF99" s="7" t="str">
        <f aca="false">IF(TRIM(K99)="","Unknown",IFERROR(INDEX(Map_Tables!$E$4:$E$15,MATCH(TRIM(K99),Map_Tables!$D$4:$D$15,0)),"CHECK"))</f>
        <v>Debit Card</v>
      </c>
      <c r="AG99" s="7" t="str">
        <f aca="false">IF(LEFT(LOWER(TRIM(L99)),6)="cancel","Cancelled","Delivered")</f>
        <v>Delivered</v>
      </c>
      <c r="AH99" s="10" t="n">
        <f aca="false">IF(ISNUMBER(SEARCH("/",B99)),DATE(VALUE(RIGHT(B99,4)),VALUE(MID(B99,4,2)),VALUE(LEFT(B99,2))),IF(MID(B99,5,1)="-",DATE(VALUE(LEFT(B99,4)),VALUE(MID(B99,6,2)),VALUE(RIGHT(B99,2))),DATE(VALUE(RIGHT(B99,4)),MATCH(MID(B99,4,3),{"Jan","Feb","Mar","Apr","May","Jun","Jul","Aug","Sep","Oct","Nov","Dec"},0),VALUE(LEFT(B99,2)))))</f>
        <v>45889</v>
      </c>
    </row>
    <row r="100" customFormat="false" ht="15" hidden="false" customHeight="false" outlineLevel="0" collapsed="false">
      <c r="A100" s="7" t="s">
        <v>593</v>
      </c>
      <c r="B100" s="7" t="s">
        <v>594</v>
      </c>
      <c r="C100" s="7" t="s">
        <v>595</v>
      </c>
      <c r="D100" s="7" t="s">
        <v>596</v>
      </c>
      <c r="E100" s="7" t="s">
        <v>122</v>
      </c>
      <c r="F100" s="7" t="s">
        <v>101</v>
      </c>
      <c r="G100" s="7" t="s">
        <v>123</v>
      </c>
      <c r="H100" s="7" t="n">
        <v>2</v>
      </c>
      <c r="I100" s="7" t="n">
        <v>360</v>
      </c>
      <c r="J100" s="7" t="n">
        <v>30</v>
      </c>
      <c r="K100" s="7" t="s">
        <v>103</v>
      </c>
      <c r="L100" s="7" t="s">
        <v>194</v>
      </c>
      <c r="M100" s="7" t="n">
        <v>42</v>
      </c>
      <c r="N100" s="7" t="n">
        <v>3</v>
      </c>
      <c r="O100" s="7" t="str">
        <f aca="false">A100&amp;"|"&amp;B100&amp;"|"&amp;C100&amp;"|"&amp;D100&amp;"|"&amp;E100&amp;"|"&amp;F100&amp;"|"&amp;G100&amp;"|"&amp;H100&amp;"|"&amp;I100&amp;"|"&amp;J100&amp;"|"&amp;K100&amp;"|"&amp;L100&amp;"|"&amp;M100&amp;"|"&amp;N100</f>
        <v>ORD11325|2025-06-20|12:30|C0491|Mumbai Pizza Co|Mumbai|Pizza|2|360|30|Debit Card|Delivered|42|3</v>
      </c>
      <c r="P100" s="7" t="str">
        <f aca="false">IF(COUNTIF($O$2:O100,O100)&gt;1,"DUP","OK")</f>
        <v>OK</v>
      </c>
      <c r="Q100" s="7" t="n">
        <f aca="false">COUNTBLANK(A100:N100)</f>
        <v>0</v>
      </c>
      <c r="R100" s="7" t="n">
        <f aca="false">IF(A100="",0,COUNTIFS($A$2:$A$3058,A100,$P$2:$P$3058,"OK"))</f>
        <v>1</v>
      </c>
      <c r="S100" s="7" t="str">
        <f aca="false">IF(OR(A100="",P100="DUP",R100&lt;2),"",IF(Q100=_xlfn.MINIFS($Q$2:$Q$3058,$A$2:$A$3058,A100,$P$2:$P$3058,"OK"),"KEEP","DROP"))</f>
        <v/>
      </c>
      <c r="T100" s="9" t="n">
        <f aca="false">IF(A100="",1,0)</f>
        <v>0</v>
      </c>
      <c r="U100" s="9" t="n">
        <f aca="false">IF(D100="",1,0)</f>
        <v>0</v>
      </c>
      <c r="V100" s="9" t="n">
        <f aca="false">IF(E100="",1,0)</f>
        <v>0</v>
      </c>
      <c r="W100" s="9" t="n">
        <f aca="false">IF(OR(H100&lt;1,H100&gt;10),1,0)</f>
        <v>0</v>
      </c>
      <c r="X100" s="9" t="n">
        <f aca="false">IF(OR(I100&lt;=0,I100&gt;1500),1,0)</f>
        <v>0</v>
      </c>
      <c r="Y100" s="9" t="n">
        <f aca="false">IF(J100&gt;H100*I100,1,0)</f>
        <v>0</v>
      </c>
      <c r="Z100" s="9" t="n">
        <f aca="false">IF(AND(N100&lt;&gt;"",OR(N100&lt;1,N100&gt;5)),1,0)</f>
        <v>0</v>
      </c>
      <c r="AA100" s="9" t="n">
        <f aca="false">IF(AND(M100&lt;&gt;"",OR(M100&lt;5,M100&gt;180)),1,0)</f>
        <v>0</v>
      </c>
      <c r="AB100" s="7" t="str">
        <f aca="false">IF(P100="DUP","Exact duplicate row",IF(T100=1,"Missing Order ID",IF(S100="DROP","Duplicate Order ID (less complete row)",IF(U100=1,"Missing Customer ID",IF(V100=1,"Missing Restaurant name",IF(W100=1,"Invalid/outlier quantity",IF(X100=1,"Invalid/outlier unit price",IF(Y100=1,"Discount greater than order value",""))))))))</f>
        <v/>
      </c>
      <c r="AC100" s="7" t="str">
        <f aca="false">IF(AB100="","KEEP","DROP")</f>
        <v>KEEP</v>
      </c>
      <c r="AD100" s="7" t="str">
        <f aca="false">IF(TRIM(F100)="",IFERROR(INDEX(Map_Tables!$I$4:$I$37,MATCH(TRIM(E100),Map_Tables!$G$4:$G$37,0)),""),IFERROR(INDEX(Map_Tables!$B$4:$B$18,MATCH(TRIM(F100),Map_Tables!$A$4:$A$18,0)),"CHECK"))</f>
        <v>Mumbai</v>
      </c>
      <c r="AE100" s="7" t="str">
        <f aca="false">IF(TRIM(E100)="","",IFERROR(INDEX(Map_Tables!$H$4:$H$37,MATCH(TRIM(E100),Map_Tables!$G$4:$G$37,0)),"CHECK"))</f>
        <v>Mumbai Pizza Co</v>
      </c>
      <c r="AF100" s="7" t="str">
        <f aca="false">IF(TRIM(K100)="","Unknown",IFERROR(INDEX(Map_Tables!$E$4:$E$15,MATCH(TRIM(K100),Map_Tables!$D$4:$D$15,0)),"CHECK"))</f>
        <v>Debit Card</v>
      </c>
      <c r="AG100" s="7" t="str">
        <f aca="false">IF(LEFT(LOWER(TRIM(L100)),6)="cancel","Cancelled","Delivered")</f>
        <v>Delivered</v>
      </c>
      <c r="AH100" s="10" t="n">
        <f aca="false">IF(ISNUMBER(SEARCH("/",B100)),DATE(VALUE(RIGHT(B100,4)),VALUE(MID(B100,4,2)),VALUE(LEFT(B100,2))),IF(MID(B100,5,1)="-",DATE(VALUE(LEFT(B100,4)),VALUE(MID(B100,6,2)),VALUE(RIGHT(B100,2))),DATE(VALUE(RIGHT(B100,4)),MATCH(MID(B100,4,3),{"Jan","Feb","Mar","Apr","May","Jun","Jul","Aug","Sep","Oct","Nov","Dec"},0),VALUE(LEFT(B100,2)))))</f>
        <v>45828</v>
      </c>
    </row>
    <row r="101" customFormat="false" ht="15" hidden="false" customHeight="false" outlineLevel="0" collapsed="false">
      <c r="A101" s="7" t="s">
        <v>597</v>
      </c>
      <c r="B101" s="7" t="s">
        <v>598</v>
      </c>
      <c r="C101" s="7" t="s">
        <v>323</v>
      </c>
      <c r="D101" s="7" t="s">
        <v>599</v>
      </c>
      <c r="E101" s="7" t="s">
        <v>122</v>
      </c>
      <c r="F101" s="7" t="s">
        <v>101</v>
      </c>
      <c r="G101" s="7" t="s">
        <v>123</v>
      </c>
      <c r="H101" s="7" t="n">
        <v>3</v>
      </c>
      <c r="I101" s="7" t="n">
        <v>355</v>
      </c>
      <c r="J101" s="7" t="n">
        <v>100</v>
      </c>
      <c r="K101" s="7" t="s">
        <v>88</v>
      </c>
      <c r="L101" s="7" t="s">
        <v>194</v>
      </c>
      <c r="M101" s="7" t="n">
        <v>38</v>
      </c>
      <c r="N101" s="7"/>
      <c r="O101" s="7" t="str">
        <f aca="false">A101&amp;"|"&amp;B101&amp;"|"&amp;C101&amp;"|"&amp;D101&amp;"|"&amp;E101&amp;"|"&amp;F101&amp;"|"&amp;G101&amp;"|"&amp;H101&amp;"|"&amp;I101&amp;"|"&amp;J101&amp;"|"&amp;K101&amp;"|"&amp;L101&amp;"|"&amp;M101&amp;"|"&amp;N101</f>
        <v>ORD12900|21/12/2025|08:25|C0004|Mumbai Pizza Co|Mumbai|Pizza|3|355|100|UPI|Delivered|38|</v>
      </c>
      <c r="P101" s="7" t="str">
        <f aca="false">IF(COUNTIF($O$2:O101,O101)&gt;1,"DUP","OK")</f>
        <v>OK</v>
      </c>
      <c r="Q101" s="7" t="n">
        <f aca="false">COUNTBLANK(A101:N101)</f>
        <v>1</v>
      </c>
      <c r="R101" s="7" t="n">
        <f aca="false">IF(A101="",0,COUNTIFS($A$2:$A$3058,A101,$P$2:$P$3058,"OK"))</f>
        <v>1</v>
      </c>
      <c r="S101" s="7" t="str">
        <f aca="false">IF(OR(A101="",P101="DUP",R101&lt;2),"",IF(Q101=_xlfn.MINIFS($Q$2:$Q$3058,$A$2:$A$3058,A101,$P$2:$P$3058,"OK"),"KEEP","DROP"))</f>
        <v/>
      </c>
      <c r="T101" s="9" t="n">
        <f aca="false">IF(A101="",1,0)</f>
        <v>0</v>
      </c>
      <c r="U101" s="9" t="n">
        <f aca="false">IF(D101="",1,0)</f>
        <v>0</v>
      </c>
      <c r="V101" s="9" t="n">
        <f aca="false">IF(E101="",1,0)</f>
        <v>0</v>
      </c>
      <c r="W101" s="9" t="n">
        <f aca="false">IF(OR(H101&lt;1,H101&gt;10),1,0)</f>
        <v>0</v>
      </c>
      <c r="X101" s="9" t="n">
        <f aca="false">IF(OR(I101&lt;=0,I101&gt;1500),1,0)</f>
        <v>0</v>
      </c>
      <c r="Y101" s="9" t="n">
        <f aca="false">IF(J101&gt;H101*I101,1,0)</f>
        <v>0</v>
      </c>
      <c r="Z101" s="9" t="n">
        <f aca="false">IF(AND(N101&lt;&gt;"",OR(N101&lt;1,N101&gt;5)),1,0)</f>
        <v>0</v>
      </c>
      <c r="AA101" s="9" t="n">
        <f aca="false">IF(AND(M101&lt;&gt;"",OR(M101&lt;5,M101&gt;180)),1,0)</f>
        <v>0</v>
      </c>
      <c r="AB101" s="7" t="str">
        <f aca="false">IF(P101="DUP","Exact duplicate row",IF(T101=1,"Missing Order ID",IF(S101="DROP","Duplicate Order ID (less complete row)",IF(U101=1,"Missing Customer ID",IF(V101=1,"Missing Restaurant name",IF(W101=1,"Invalid/outlier quantity",IF(X101=1,"Invalid/outlier unit price",IF(Y101=1,"Discount greater than order value",""))))))))</f>
        <v/>
      </c>
      <c r="AC101" s="7" t="str">
        <f aca="false">IF(AB101="","KEEP","DROP")</f>
        <v>KEEP</v>
      </c>
      <c r="AD101" s="7" t="str">
        <f aca="false">IF(TRIM(F101)="",IFERROR(INDEX(Map_Tables!$I$4:$I$37,MATCH(TRIM(E101),Map_Tables!$G$4:$G$37,0)),""),IFERROR(INDEX(Map_Tables!$B$4:$B$18,MATCH(TRIM(F101),Map_Tables!$A$4:$A$18,0)),"CHECK"))</f>
        <v>Mumbai</v>
      </c>
      <c r="AE101" s="7" t="str">
        <f aca="false">IF(TRIM(E101)="","",IFERROR(INDEX(Map_Tables!$H$4:$H$37,MATCH(TRIM(E101),Map_Tables!$G$4:$G$37,0)),"CHECK"))</f>
        <v>Mumbai Pizza Co</v>
      </c>
      <c r="AF101" s="7" t="str">
        <f aca="false">IF(TRIM(K101)="","Unknown",IFERROR(INDEX(Map_Tables!$E$4:$E$15,MATCH(TRIM(K101),Map_Tables!$D$4:$D$15,0)),"CHECK"))</f>
        <v>UPI</v>
      </c>
      <c r="AG101" s="7" t="str">
        <f aca="false">IF(LEFT(LOWER(TRIM(L101)),6)="cancel","Cancelled","Delivered")</f>
        <v>Delivered</v>
      </c>
      <c r="AH101" s="10" t="n">
        <f aca="false">IF(ISNUMBER(SEARCH("/",B101)),DATE(VALUE(RIGHT(B101,4)),VALUE(MID(B101,4,2)),VALUE(LEFT(B101,2))),IF(MID(B101,5,1)="-",DATE(VALUE(LEFT(B101,4)),VALUE(MID(B101,6,2)),VALUE(RIGHT(B101,2))),DATE(VALUE(RIGHT(B101,4)),MATCH(MID(B101,4,3),{"Jan","Feb","Mar","Apr","May","Jun","Jul","Aug","Sep","Oct","Nov","Dec"},0),VALUE(LEFT(B101,2)))))</f>
        <v>46012</v>
      </c>
    </row>
    <row r="102" customFormat="false" ht="15" hidden="false" customHeight="false" outlineLevel="0" collapsed="false">
      <c r="A102" s="7" t="s">
        <v>600</v>
      </c>
      <c r="B102" s="7" t="s">
        <v>601</v>
      </c>
      <c r="C102" s="7" t="s">
        <v>602</v>
      </c>
      <c r="D102" s="7" t="s">
        <v>603</v>
      </c>
      <c r="E102" s="7" t="s">
        <v>154</v>
      </c>
      <c r="F102" s="7" t="s">
        <v>128</v>
      </c>
      <c r="G102" s="7" t="s">
        <v>99</v>
      </c>
      <c r="H102" s="7" t="n">
        <v>3</v>
      </c>
      <c r="I102" s="7" t="n">
        <v>235</v>
      </c>
      <c r="J102" s="7" t="n">
        <v>40</v>
      </c>
      <c r="K102" s="7" t="s">
        <v>88</v>
      </c>
      <c r="L102" s="7" t="s">
        <v>194</v>
      </c>
      <c r="M102" s="7" t="n">
        <v>39</v>
      </c>
      <c r="N102" s="7" t="n">
        <v>3</v>
      </c>
      <c r="O102" s="7" t="str">
        <f aca="false">A102&amp;"|"&amp;B102&amp;"|"&amp;C102&amp;"|"&amp;D102&amp;"|"&amp;E102&amp;"|"&amp;F102&amp;"|"&amp;G102&amp;"|"&amp;H102&amp;"|"&amp;I102&amp;"|"&amp;J102&amp;"|"&amp;K102&amp;"|"&amp;L102&amp;"|"&amp;M102&amp;"|"&amp;N102</f>
        <v>ORD11594|27-Jul-2025|17:17|C0743|Madras Biryani Co|Chennai|Biryani|3|235|40|UPI|Delivered|39|3</v>
      </c>
      <c r="P102" s="7" t="str">
        <f aca="false">IF(COUNTIF($O$2:O102,O102)&gt;1,"DUP","OK")</f>
        <v>OK</v>
      </c>
      <c r="Q102" s="7" t="n">
        <f aca="false">COUNTBLANK(A102:N102)</f>
        <v>0</v>
      </c>
      <c r="R102" s="7" t="n">
        <f aca="false">IF(A102="",0,COUNTIFS($A$2:$A$3058,A102,$P$2:$P$3058,"OK"))</f>
        <v>1</v>
      </c>
      <c r="S102" s="7" t="str">
        <f aca="false">IF(OR(A102="",P102="DUP",R102&lt;2),"",IF(Q102=_xlfn.MINIFS($Q$2:$Q$3058,$A$2:$A$3058,A102,$P$2:$P$3058,"OK"),"KEEP","DROP"))</f>
        <v/>
      </c>
      <c r="T102" s="9" t="n">
        <f aca="false">IF(A102="",1,0)</f>
        <v>0</v>
      </c>
      <c r="U102" s="9" t="n">
        <f aca="false">IF(D102="",1,0)</f>
        <v>0</v>
      </c>
      <c r="V102" s="9" t="n">
        <f aca="false">IF(E102="",1,0)</f>
        <v>0</v>
      </c>
      <c r="W102" s="9" t="n">
        <f aca="false">IF(OR(H102&lt;1,H102&gt;10),1,0)</f>
        <v>0</v>
      </c>
      <c r="X102" s="9" t="n">
        <f aca="false">IF(OR(I102&lt;=0,I102&gt;1500),1,0)</f>
        <v>0</v>
      </c>
      <c r="Y102" s="9" t="n">
        <f aca="false">IF(J102&gt;H102*I102,1,0)</f>
        <v>0</v>
      </c>
      <c r="Z102" s="9" t="n">
        <f aca="false">IF(AND(N102&lt;&gt;"",OR(N102&lt;1,N102&gt;5)),1,0)</f>
        <v>0</v>
      </c>
      <c r="AA102" s="9" t="n">
        <f aca="false">IF(AND(M102&lt;&gt;"",OR(M102&lt;5,M102&gt;180)),1,0)</f>
        <v>0</v>
      </c>
      <c r="AB102" s="7" t="str">
        <f aca="false">IF(P102="DUP","Exact duplicate row",IF(T102=1,"Missing Order ID",IF(S102="DROP","Duplicate Order ID (less complete row)",IF(U102=1,"Missing Customer ID",IF(V102=1,"Missing Restaurant name",IF(W102=1,"Invalid/outlier quantity",IF(X102=1,"Invalid/outlier unit price",IF(Y102=1,"Discount greater than order value",""))))))))</f>
        <v/>
      </c>
      <c r="AC102" s="7" t="str">
        <f aca="false">IF(AB102="","KEEP","DROP")</f>
        <v>KEEP</v>
      </c>
      <c r="AD102" s="7" t="str">
        <f aca="false">IF(TRIM(F102)="",IFERROR(INDEX(Map_Tables!$I$4:$I$37,MATCH(TRIM(E102),Map_Tables!$G$4:$G$37,0)),""),IFERROR(INDEX(Map_Tables!$B$4:$B$18,MATCH(TRIM(F102),Map_Tables!$A$4:$A$18,0)),"CHECK"))</f>
        <v>Chennai</v>
      </c>
      <c r="AE102" s="7" t="str">
        <f aca="false">IF(TRIM(E102)="","",IFERROR(INDEX(Map_Tables!$H$4:$H$37,MATCH(TRIM(E102),Map_Tables!$G$4:$G$37,0)),"CHECK"))</f>
        <v>Madras Biryani Co</v>
      </c>
      <c r="AF102" s="7" t="str">
        <f aca="false">IF(TRIM(K102)="","Unknown",IFERROR(INDEX(Map_Tables!$E$4:$E$15,MATCH(TRIM(K102),Map_Tables!$D$4:$D$15,0)),"CHECK"))</f>
        <v>UPI</v>
      </c>
      <c r="AG102" s="7" t="str">
        <f aca="false">IF(LEFT(LOWER(TRIM(L102)),6)="cancel","Cancelled","Delivered")</f>
        <v>Delivered</v>
      </c>
      <c r="AH102" s="10" t="n">
        <f aca="false">IF(ISNUMBER(SEARCH("/",B102)),DATE(VALUE(RIGHT(B102,4)),VALUE(MID(B102,4,2)),VALUE(LEFT(B102,2))),IF(MID(B102,5,1)="-",DATE(VALUE(LEFT(B102,4)),VALUE(MID(B102,6,2)),VALUE(RIGHT(B102,2))),DATE(VALUE(RIGHT(B102,4)),MATCH(MID(B102,4,3),{"Jan","Feb","Mar","Apr","May","Jun","Jul","Aug","Sep","Oct","Nov","Dec"},0),VALUE(LEFT(B102,2)))))</f>
        <v>45865</v>
      </c>
    </row>
    <row r="103" customFormat="false" ht="15" hidden="false" customHeight="false" outlineLevel="0" collapsed="false">
      <c r="A103" s="7" t="s">
        <v>604</v>
      </c>
      <c r="B103" s="7" t="s">
        <v>605</v>
      </c>
      <c r="C103" s="7" t="s">
        <v>606</v>
      </c>
      <c r="D103" s="7" t="s">
        <v>607</v>
      </c>
      <c r="E103" s="7" t="s">
        <v>116</v>
      </c>
      <c r="F103" s="7" t="s">
        <v>101</v>
      </c>
      <c r="G103" s="7" t="s">
        <v>117</v>
      </c>
      <c r="H103" s="7" t="n">
        <v>3</v>
      </c>
      <c r="I103" s="7" t="n">
        <v>160</v>
      </c>
      <c r="J103" s="7" t="n">
        <v>50</v>
      </c>
      <c r="K103" s="7" t="s">
        <v>88</v>
      </c>
      <c r="L103" s="7" t="s">
        <v>194</v>
      </c>
      <c r="M103" s="7" t="n">
        <v>44</v>
      </c>
      <c r="N103" s="7" t="n">
        <v>3</v>
      </c>
      <c r="O103" s="7" t="str">
        <f aca="false">A103&amp;"|"&amp;B103&amp;"|"&amp;C103&amp;"|"&amp;D103&amp;"|"&amp;E103&amp;"|"&amp;F103&amp;"|"&amp;G103&amp;"|"&amp;H103&amp;"|"&amp;I103&amp;"|"&amp;J103&amp;"|"&amp;K103&amp;"|"&amp;L103&amp;"|"&amp;M103&amp;"|"&amp;N103</f>
        <v>ORD10659|25/03/2025|11:12|C0745|Pav Bhaji Point|Mumbai|Street Food|3|160|50|UPI|Delivered|44|3</v>
      </c>
      <c r="P103" s="7" t="str">
        <f aca="false">IF(COUNTIF($O$2:O103,O103)&gt;1,"DUP","OK")</f>
        <v>OK</v>
      </c>
      <c r="Q103" s="7" t="n">
        <f aca="false">COUNTBLANK(A103:N103)</f>
        <v>0</v>
      </c>
      <c r="R103" s="7" t="n">
        <f aca="false">IF(A103="",0,COUNTIFS($A$2:$A$3058,A103,$P$2:$P$3058,"OK"))</f>
        <v>1</v>
      </c>
      <c r="S103" s="7" t="str">
        <f aca="false">IF(OR(A103="",P103="DUP",R103&lt;2),"",IF(Q103=_xlfn.MINIFS($Q$2:$Q$3058,$A$2:$A$3058,A103,$P$2:$P$3058,"OK"),"KEEP","DROP"))</f>
        <v/>
      </c>
      <c r="T103" s="9" t="n">
        <f aca="false">IF(A103="",1,0)</f>
        <v>0</v>
      </c>
      <c r="U103" s="9" t="n">
        <f aca="false">IF(D103="",1,0)</f>
        <v>0</v>
      </c>
      <c r="V103" s="9" t="n">
        <f aca="false">IF(E103="",1,0)</f>
        <v>0</v>
      </c>
      <c r="W103" s="9" t="n">
        <f aca="false">IF(OR(H103&lt;1,H103&gt;10),1,0)</f>
        <v>0</v>
      </c>
      <c r="X103" s="9" t="n">
        <f aca="false">IF(OR(I103&lt;=0,I103&gt;1500),1,0)</f>
        <v>0</v>
      </c>
      <c r="Y103" s="9" t="n">
        <f aca="false">IF(J103&gt;H103*I103,1,0)</f>
        <v>0</v>
      </c>
      <c r="Z103" s="9" t="n">
        <f aca="false">IF(AND(N103&lt;&gt;"",OR(N103&lt;1,N103&gt;5)),1,0)</f>
        <v>0</v>
      </c>
      <c r="AA103" s="9" t="n">
        <f aca="false">IF(AND(M103&lt;&gt;"",OR(M103&lt;5,M103&gt;180)),1,0)</f>
        <v>0</v>
      </c>
      <c r="AB103" s="7" t="str">
        <f aca="false">IF(P103="DUP","Exact duplicate row",IF(T103=1,"Missing Order ID",IF(S103="DROP","Duplicate Order ID (less complete row)",IF(U103=1,"Missing Customer ID",IF(V103=1,"Missing Restaurant name",IF(W103=1,"Invalid/outlier quantity",IF(X103=1,"Invalid/outlier unit price",IF(Y103=1,"Discount greater than order value",""))))))))</f>
        <v/>
      </c>
      <c r="AC103" s="7" t="str">
        <f aca="false">IF(AB103="","KEEP","DROP")</f>
        <v>KEEP</v>
      </c>
      <c r="AD103" s="7" t="str">
        <f aca="false">IF(TRIM(F103)="",IFERROR(INDEX(Map_Tables!$I$4:$I$37,MATCH(TRIM(E103),Map_Tables!$G$4:$G$37,0)),""),IFERROR(INDEX(Map_Tables!$B$4:$B$18,MATCH(TRIM(F103),Map_Tables!$A$4:$A$18,0)),"CHECK"))</f>
        <v>Mumbai</v>
      </c>
      <c r="AE103" s="7" t="str">
        <f aca="false">IF(TRIM(E103)="","",IFERROR(INDEX(Map_Tables!$H$4:$H$37,MATCH(TRIM(E103),Map_Tables!$G$4:$G$37,0)),"CHECK"))</f>
        <v>Pav Bhaji Point</v>
      </c>
      <c r="AF103" s="7" t="str">
        <f aca="false">IF(TRIM(K103)="","Unknown",IFERROR(INDEX(Map_Tables!$E$4:$E$15,MATCH(TRIM(K103),Map_Tables!$D$4:$D$15,0)),"CHECK"))</f>
        <v>UPI</v>
      </c>
      <c r="AG103" s="7" t="str">
        <f aca="false">IF(LEFT(LOWER(TRIM(L103)),6)="cancel","Cancelled","Delivered")</f>
        <v>Delivered</v>
      </c>
      <c r="AH103" s="10" t="n">
        <f aca="false">IF(ISNUMBER(SEARCH("/",B103)),DATE(VALUE(RIGHT(B103,4)),VALUE(MID(B103,4,2)),VALUE(LEFT(B103,2))),IF(MID(B103,5,1)="-",DATE(VALUE(LEFT(B103,4)),VALUE(MID(B103,6,2)),VALUE(RIGHT(B103,2))),DATE(VALUE(RIGHT(B103,4)),MATCH(MID(B103,4,3),{"Jan","Feb","Mar","Apr","May","Jun","Jul","Aug","Sep","Oct","Nov","Dec"},0),VALUE(LEFT(B103,2)))))</f>
        <v>45741</v>
      </c>
    </row>
    <row r="104" customFormat="false" ht="15" hidden="false" customHeight="false" outlineLevel="0" collapsed="false">
      <c r="A104" s="7" t="s">
        <v>608</v>
      </c>
      <c r="B104" s="7" t="s">
        <v>609</v>
      </c>
      <c r="C104" s="7" t="s">
        <v>346</v>
      </c>
      <c r="D104" s="7" t="s">
        <v>610</v>
      </c>
      <c r="E104" s="7" t="s">
        <v>149</v>
      </c>
      <c r="F104" s="7" t="s">
        <v>119</v>
      </c>
      <c r="G104" s="7" t="s">
        <v>150</v>
      </c>
      <c r="H104" s="7" t="n">
        <v>1</v>
      </c>
      <c r="I104" s="7" t="n">
        <v>180</v>
      </c>
      <c r="J104" s="7" t="n">
        <v>0</v>
      </c>
      <c r="K104" s="7" t="s">
        <v>103</v>
      </c>
      <c r="L104" s="7" t="s">
        <v>194</v>
      </c>
      <c r="M104" s="7" t="n">
        <v>36</v>
      </c>
      <c r="N104" s="7" t="n">
        <v>2</v>
      </c>
      <c r="O104" s="7" t="str">
        <f aca="false">A104&amp;"|"&amp;B104&amp;"|"&amp;C104&amp;"|"&amp;D104&amp;"|"&amp;E104&amp;"|"&amp;F104&amp;"|"&amp;G104&amp;"|"&amp;H104&amp;"|"&amp;I104&amp;"|"&amp;J104&amp;"|"&amp;K104&amp;"|"&amp;L104&amp;"|"&amp;M104&amp;"|"&amp;N104</f>
        <v>ORD11969|12-Sep-2025|19:18|C0892|Sweet Tooth Studio|Hyderabad|Desserts|1|180|0|Debit Card|Delivered|36|2</v>
      </c>
      <c r="P104" s="7" t="str">
        <f aca="false">IF(COUNTIF($O$2:O104,O104)&gt;1,"DUP","OK")</f>
        <v>OK</v>
      </c>
      <c r="Q104" s="7" t="n">
        <f aca="false">COUNTBLANK(A104:N104)</f>
        <v>0</v>
      </c>
      <c r="R104" s="7" t="n">
        <f aca="false">IF(A104="",0,COUNTIFS($A$2:$A$3058,A104,$P$2:$P$3058,"OK"))</f>
        <v>1</v>
      </c>
      <c r="S104" s="7" t="str">
        <f aca="false">IF(OR(A104="",P104="DUP",R104&lt;2),"",IF(Q104=_xlfn.MINIFS($Q$2:$Q$3058,$A$2:$A$3058,A104,$P$2:$P$3058,"OK"),"KEEP","DROP"))</f>
        <v/>
      </c>
      <c r="T104" s="9" t="n">
        <f aca="false">IF(A104="",1,0)</f>
        <v>0</v>
      </c>
      <c r="U104" s="9" t="n">
        <f aca="false">IF(D104="",1,0)</f>
        <v>0</v>
      </c>
      <c r="V104" s="9" t="n">
        <f aca="false">IF(E104="",1,0)</f>
        <v>0</v>
      </c>
      <c r="W104" s="9" t="n">
        <f aca="false">IF(OR(H104&lt;1,H104&gt;10),1,0)</f>
        <v>0</v>
      </c>
      <c r="X104" s="9" t="n">
        <f aca="false">IF(OR(I104&lt;=0,I104&gt;1500),1,0)</f>
        <v>0</v>
      </c>
      <c r="Y104" s="9" t="n">
        <f aca="false">IF(J104&gt;H104*I104,1,0)</f>
        <v>0</v>
      </c>
      <c r="Z104" s="9" t="n">
        <f aca="false">IF(AND(N104&lt;&gt;"",OR(N104&lt;1,N104&gt;5)),1,0)</f>
        <v>0</v>
      </c>
      <c r="AA104" s="9" t="n">
        <f aca="false">IF(AND(M104&lt;&gt;"",OR(M104&lt;5,M104&gt;180)),1,0)</f>
        <v>0</v>
      </c>
      <c r="AB104" s="7" t="str">
        <f aca="false">IF(P104="DUP","Exact duplicate row",IF(T104=1,"Missing Order ID",IF(S104="DROP","Duplicate Order ID (less complete row)",IF(U104=1,"Missing Customer ID",IF(V104=1,"Missing Restaurant name",IF(W104=1,"Invalid/outlier quantity",IF(X104=1,"Invalid/outlier unit price",IF(Y104=1,"Discount greater than order value",""))))))))</f>
        <v/>
      </c>
      <c r="AC104" s="7" t="str">
        <f aca="false">IF(AB104="","KEEP","DROP")</f>
        <v>KEEP</v>
      </c>
      <c r="AD104" s="7" t="str">
        <f aca="false">IF(TRIM(F104)="",IFERROR(INDEX(Map_Tables!$I$4:$I$37,MATCH(TRIM(E104),Map_Tables!$G$4:$G$37,0)),""),IFERROR(INDEX(Map_Tables!$B$4:$B$18,MATCH(TRIM(F104),Map_Tables!$A$4:$A$18,0)),"CHECK"))</f>
        <v>Hyderabad</v>
      </c>
      <c r="AE104" s="7" t="str">
        <f aca="false">IF(TRIM(E104)="","",IFERROR(INDEX(Map_Tables!$H$4:$H$37,MATCH(TRIM(E104),Map_Tables!$G$4:$G$37,0)),"CHECK"))</f>
        <v>Sweet Tooth Studio</v>
      </c>
      <c r="AF104" s="7" t="str">
        <f aca="false">IF(TRIM(K104)="","Unknown",IFERROR(INDEX(Map_Tables!$E$4:$E$15,MATCH(TRIM(K104),Map_Tables!$D$4:$D$15,0)),"CHECK"))</f>
        <v>Debit Card</v>
      </c>
      <c r="AG104" s="7" t="str">
        <f aca="false">IF(LEFT(LOWER(TRIM(L104)),6)="cancel","Cancelled","Delivered")</f>
        <v>Delivered</v>
      </c>
      <c r="AH104" s="10" t="n">
        <f aca="false">IF(ISNUMBER(SEARCH("/",B104)),DATE(VALUE(RIGHT(B104,4)),VALUE(MID(B104,4,2)),VALUE(LEFT(B104,2))),IF(MID(B104,5,1)="-",DATE(VALUE(LEFT(B104,4)),VALUE(MID(B104,6,2)),VALUE(RIGHT(B104,2))),DATE(VALUE(RIGHT(B104,4)),MATCH(MID(B104,4,3),{"Jan","Feb","Mar","Apr","May","Jun","Jul","Aug","Sep","Oct","Nov","Dec"},0),VALUE(LEFT(B104,2)))))</f>
        <v>45912</v>
      </c>
    </row>
    <row r="105" customFormat="false" ht="15" hidden="false" customHeight="false" outlineLevel="0" collapsed="false">
      <c r="A105" s="7" t="s">
        <v>611</v>
      </c>
      <c r="B105" s="7" t="s">
        <v>612</v>
      </c>
      <c r="C105" s="7" t="s">
        <v>415</v>
      </c>
      <c r="D105" s="7" t="s">
        <v>613</v>
      </c>
      <c r="E105" s="7" t="s">
        <v>142</v>
      </c>
      <c r="F105" s="7" t="s">
        <v>110</v>
      </c>
      <c r="G105" s="7" t="s">
        <v>105</v>
      </c>
      <c r="H105" s="7" t="n">
        <v>3</v>
      </c>
      <c r="I105" s="7" t="n">
        <v>125</v>
      </c>
      <c r="J105" s="7" t="n">
        <v>0</v>
      </c>
      <c r="K105" s="7" t="s">
        <v>88</v>
      </c>
      <c r="L105" s="7" t="s">
        <v>220</v>
      </c>
      <c r="M105" s="7" t="n">
        <v>45</v>
      </c>
      <c r="N105" s="7" t="n">
        <v>3</v>
      </c>
      <c r="O105" s="7" t="str">
        <f aca="false">A105&amp;"|"&amp;B105&amp;"|"&amp;C105&amp;"|"&amp;D105&amp;"|"&amp;E105&amp;"|"&amp;F105&amp;"|"&amp;G105&amp;"|"&amp;H105&amp;"|"&amp;I105&amp;"|"&amp;J105&amp;"|"&amp;K105&amp;"|"&amp;L105&amp;"|"&amp;M105&amp;"|"&amp;N105</f>
        <v>ORD11707|2025-08-12|18:58|C1433|Momo Magic|Delhi|Chinese|3|125|0|UPI|DELIVERED|45|3</v>
      </c>
      <c r="P105" s="7" t="str">
        <f aca="false">IF(COUNTIF($O$2:O105,O105)&gt;1,"DUP","OK")</f>
        <v>OK</v>
      </c>
      <c r="Q105" s="7" t="n">
        <f aca="false">COUNTBLANK(A105:N105)</f>
        <v>0</v>
      </c>
      <c r="R105" s="7" t="n">
        <f aca="false">IF(A105="",0,COUNTIFS($A$2:$A$3058,A105,$P$2:$P$3058,"OK"))</f>
        <v>1</v>
      </c>
      <c r="S105" s="7" t="str">
        <f aca="false">IF(OR(A105="",P105="DUP",R105&lt;2),"",IF(Q105=_xlfn.MINIFS($Q$2:$Q$3058,$A$2:$A$3058,A105,$P$2:$P$3058,"OK"),"KEEP","DROP"))</f>
        <v/>
      </c>
      <c r="T105" s="9" t="n">
        <f aca="false">IF(A105="",1,0)</f>
        <v>0</v>
      </c>
      <c r="U105" s="9" t="n">
        <f aca="false">IF(D105="",1,0)</f>
        <v>0</v>
      </c>
      <c r="V105" s="9" t="n">
        <f aca="false">IF(E105="",1,0)</f>
        <v>0</v>
      </c>
      <c r="W105" s="9" t="n">
        <f aca="false">IF(OR(H105&lt;1,H105&gt;10),1,0)</f>
        <v>0</v>
      </c>
      <c r="X105" s="9" t="n">
        <f aca="false">IF(OR(I105&lt;=0,I105&gt;1500),1,0)</f>
        <v>0</v>
      </c>
      <c r="Y105" s="9" t="n">
        <f aca="false">IF(J105&gt;H105*I105,1,0)</f>
        <v>0</v>
      </c>
      <c r="Z105" s="9" t="n">
        <f aca="false">IF(AND(N105&lt;&gt;"",OR(N105&lt;1,N105&gt;5)),1,0)</f>
        <v>0</v>
      </c>
      <c r="AA105" s="9" t="n">
        <f aca="false">IF(AND(M105&lt;&gt;"",OR(M105&lt;5,M105&gt;180)),1,0)</f>
        <v>0</v>
      </c>
      <c r="AB105" s="7" t="str">
        <f aca="false">IF(P105="DUP","Exact duplicate row",IF(T105=1,"Missing Order ID",IF(S105="DROP","Duplicate Order ID (less complete row)",IF(U105=1,"Missing Customer ID",IF(V105=1,"Missing Restaurant name",IF(W105=1,"Invalid/outlier quantity",IF(X105=1,"Invalid/outlier unit price",IF(Y105=1,"Discount greater than order value",""))))))))</f>
        <v/>
      </c>
      <c r="AC105" s="7" t="str">
        <f aca="false">IF(AB105="","KEEP","DROP")</f>
        <v>KEEP</v>
      </c>
      <c r="AD105" s="7" t="str">
        <f aca="false">IF(TRIM(F105)="",IFERROR(INDEX(Map_Tables!$I$4:$I$37,MATCH(TRIM(E105),Map_Tables!$G$4:$G$37,0)),""),IFERROR(INDEX(Map_Tables!$B$4:$B$18,MATCH(TRIM(F105),Map_Tables!$A$4:$A$18,0)),"CHECK"))</f>
        <v>Delhi</v>
      </c>
      <c r="AE105" s="7" t="str">
        <f aca="false">IF(TRIM(E105)="","",IFERROR(INDEX(Map_Tables!$H$4:$H$37,MATCH(TRIM(E105),Map_Tables!$G$4:$G$37,0)),"CHECK"))</f>
        <v>Momo Magic</v>
      </c>
      <c r="AF105" s="7" t="str">
        <f aca="false">IF(TRIM(K105)="","Unknown",IFERROR(INDEX(Map_Tables!$E$4:$E$15,MATCH(TRIM(K105),Map_Tables!$D$4:$D$15,0)),"CHECK"))</f>
        <v>UPI</v>
      </c>
      <c r="AG105" s="7" t="str">
        <f aca="false">IF(LEFT(LOWER(TRIM(L105)),6)="cancel","Cancelled","Delivered")</f>
        <v>Delivered</v>
      </c>
      <c r="AH105" s="10" t="n">
        <f aca="false">IF(ISNUMBER(SEARCH("/",B105)),DATE(VALUE(RIGHT(B105,4)),VALUE(MID(B105,4,2)),VALUE(LEFT(B105,2))),IF(MID(B105,5,1)="-",DATE(VALUE(LEFT(B105,4)),VALUE(MID(B105,6,2)),VALUE(RIGHT(B105,2))),DATE(VALUE(RIGHT(B105,4)),MATCH(MID(B105,4,3),{"Jan","Feb","Mar","Apr","May","Jun","Jul","Aug","Sep","Oct","Nov","Dec"},0),VALUE(LEFT(B105,2)))))</f>
        <v>45881</v>
      </c>
    </row>
    <row r="106" customFormat="false" ht="15" hidden="false" customHeight="false" outlineLevel="0" collapsed="false">
      <c r="A106" s="7" t="s">
        <v>614</v>
      </c>
      <c r="B106" s="7" t="s">
        <v>615</v>
      </c>
      <c r="C106" s="7" t="s">
        <v>616</v>
      </c>
      <c r="D106" s="7" t="s">
        <v>617</v>
      </c>
      <c r="E106" s="7" t="s">
        <v>147</v>
      </c>
      <c r="F106" s="7" t="s">
        <v>119</v>
      </c>
      <c r="G106" s="7" t="s">
        <v>95</v>
      </c>
      <c r="H106" s="7" t="n">
        <v>3</v>
      </c>
      <c r="I106" s="7" t="n">
        <v>130</v>
      </c>
      <c r="J106" s="7" t="n">
        <v>0</v>
      </c>
      <c r="K106" s="7" t="s">
        <v>88</v>
      </c>
      <c r="L106" s="7" t="s">
        <v>194</v>
      </c>
      <c r="M106" s="7" t="n">
        <v>36</v>
      </c>
      <c r="N106" s="7" t="n">
        <v>3</v>
      </c>
      <c r="O106" s="7" t="str">
        <f aca="false">A106&amp;"|"&amp;B106&amp;"|"&amp;C106&amp;"|"&amp;D106&amp;"|"&amp;E106&amp;"|"&amp;F106&amp;"|"&amp;G106&amp;"|"&amp;H106&amp;"|"&amp;I106&amp;"|"&amp;J106&amp;"|"&amp;K106&amp;"|"&amp;L106&amp;"|"&amp;M106&amp;"|"&amp;N106</f>
        <v>ORD11983|2025-09-14|00:54|C1240|Andhra Meals Mess|Hyderabad|South Indian|3|130|0|UPI|Delivered|36|3</v>
      </c>
      <c r="P106" s="7" t="str">
        <f aca="false">IF(COUNTIF($O$2:O106,O106)&gt;1,"DUP","OK")</f>
        <v>OK</v>
      </c>
      <c r="Q106" s="7" t="n">
        <f aca="false">COUNTBLANK(A106:N106)</f>
        <v>0</v>
      </c>
      <c r="R106" s="7" t="n">
        <f aca="false">IF(A106="",0,COUNTIFS($A$2:$A$3058,A106,$P$2:$P$3058,"OK"))</f>
        <v>1</v>
      </c>
      <c r="S106" s="7" t="str">
        <f aca="false">IF(OR(A106="",P106="DUP",R106&lt;2),"",IF(Q106=_xlfn.MINIFS($Q$2:$Q$3058,$A$2:$A$3058,A106,$P$2:$P$3058,"OK"),"KEEP","DROP"))</f>
        <v/>
      </c>
      <c r="T106" s="9" t="n">
        <f aca="false">IF(A106="",1,0)</f>
        <v>0</v>
      </c>
      <c r="U106" s="9" t="n">
        <f aca="false">IF(D106="",1,0)</f>
        <v>0</v>
      </c>
      <c r="V106" s="9" t="n">
        <f aca="false">IF(E106="",1,0)</f>
        <v>0</v>
      </c>
      <c r="W106" s="9" t="n">
        <f aca="false">IF(OR(H106&lt;1,H106&gt;10),1,0)</f>
        <v>0</v>
      </c>
      <c r="X106" s="9" t="n">
        <f aca="false">IF(OR(I106&lt;=0,I106&gt;1500),1,0)</f>
        <v>0</v>
      </c>
      <c r="Y106" s="9" t="n">
        <f aca="false">IF(J106&gt;H106*I106,1,0)</f>
        <v>0</v>
      </c>
      <c r="Z106" s="9" t="n">
        <f aca="false">IF(AND(N106&lt;&gt;"",OR(N106&lt;1,N106&gt;5)),1,0)</f>
        <v>0</v>
      </c>
      <c r="AA106" s="9" t="n">
        <f aca="false">IF(AND(M106&lt;&gt;"",OR(M106&lt;5,M106&gt;180)),1,0)</f>
        <v>0</v>
      </c>
      <c r="AB106" s="7" t="str">
        <f aca="false">IF(P106="DUP","Exact duplicate row",IF(T106=1,"Missing Order ID",IF(S106="DROP","Duplicate Order ID (less complete row)",IF(U106=1,"Missing Customer ID",IF(V106=1,"Missing Restaurant name",IF(W106=1,"Invalid/outlier quantity",IF(X106=1,"Invalid/outlier unit price",IF(Y106=1,"Discount greater than order value",""))))))))</f>
        <v/>
      </c>
      <c r="AC106" s="7" t="str">
        <f aca="false">IF(AB106="","KEEP","DROP")</f>
        <v>KEEP</v>
      </c>
      <c r="AD106" s="7" t="str">
        <f aca="false">IF(TRIM(F106)="",IFERROR(INDEX(Map_Tables!$I$4:$I$37,MATCH(TRIM(E106),Map_Tables!$G$4:$G$37,0)),""),IFERROR(INDEX(Map_Tables!$B$4:$B$18,MATCH(TRIM(F106),Map_Tables!$A$4:$A$18,0)),"CHECK"))</f>
        <v>Hyderabad</v>
      </c>
      <c r="AE106" s="7" t="str">
        <f aca="false">IF(TRIM(E106)="","",IFERROR(INDEX(Map_Tables!$H$4:$H$37,MATCH(TRIM(E106),Map_Tables!$G$4:$G$37,0)),"CHECK"))</f>
        <v>Andhra Meals Mess</v>
      </c>
      <c r="AF106" s="7" t="str">
        <f aca="false">IF(TRIM(K106)="","Unknown",IFERROR(INDEX(Map_Tables!$E$4:$E$15,MATCH(TRIM(K106),Map_Tables!$D$4:$D$15,0)),"CHECK"))</f>
        <v>UPI</v>
      </c>
      <c r="AG106" s="7" t="str">
        <f aca="false">IF(LEFT(LOWER(TRIM(L106)),6)="cancel","Cancelled","Delivered")</f>
        <v>Delivered</v>
      </c>
      <c r="AH106" s="10" t="n">
        <f aca="false">IF(ISNUMBER(SEARCH("/",B106)),DATE(VALUE(RIGHT(B106,4)),VALUE(MID(B106,4,2)),VALUE(LEFT(B106,2))),IF(MID(B106,5,1)="-",DATE(VALUE(LEFT(B106,4)),VALUE(MID(B106,6,2)),VALUE(RIGHT(B106,2))),DATE(VALUE(RIGHT(B106,4)),MATCH(MID(B106,4,3),{"Jan","Feb","Mar","Apr","May","Jun","Jul","Aug","Sep","Oct","Nov","Dec"},0),VALUE(LEFT(B106,2)))))</f>
        <v>45914</v>
      </c>
    </row>
    <row r="107" customFormat="false" ht="15" hidden="false" customHeight="false" outlineLevel="0" collapsed="false">
      <c r="A107" s="7" t="s">
        <v>618</v>
      </c>
      <c r="B107" s="7" t="s">
        <v>410</v>
      </c>
      <c r="C107" s="7" t="s">
        <v>619</v>
      </c>
      <c r="D107" s="7" t="s">
        <v>620</v>
      </c>
      <c r="E107" s="7" t="s">
        <v>104</v>
      </c>
      <c r="F107" s="7" t="s">
        <v>86</v>
      </c>
      <c r="G107" s="7" t="s">
        <v>105</v>
      </c>
      <c r="H107" s="7" t="n">
        <v>1</v>
      </c>
      <c r="I107" s="7" t="n">
        <v>-225</v>
      </c>
      <c r="J107" s="7" t="n">
        <v>50</v>
      </c>
      <c r="K107" s="7" t="s">
        <v>88</v>
      </c>
      <c r="L107" s="7" t="s">
        <v>194</v>
      </c>
      <c r="M107" s="7" t="n">
        <v>37</v>
      </c>
      <c r="N107" s="7" t="n">
        <v>3</v>
      </c>
      <c r="O107" s="7" t="str">
        <f aca="false">A107&amp;"|"&amp;B107&amp;"|"&amp;C107&amp;"|"&amp;D107&amp;"|"&amp;E107&amp;"|"&amp;F107&amp;"|"&amp;G107&amp;"|"&amp;H107&amp;"|"&amp;I107&amp;"|"&amp;J107&amp;"|"&amp;K107&amp;"|"&amp;L107&amp;"|"&amp;M107&amp;"|"&amp;N107</f>
        <v>ORD10281|2025-02-07|21:59|C0255|Wok &amp; Roll|Bengaluru|Chinese|1|-225|50|UPI|Delivered|37|3</v>
      </c>
      <c r="P107" s="7" t="str">
        <f aca="false">IF(COUNTIF($O$2:O107,O107)&gt;1,"DUP","OK")</f>
        <v>OK</v>
      </c>
      <c r="Q107" s="7" t="n">
        <f aca="false">COUNTBLANK(A107:N107)</f>
        <v>0</v>
      </c>
      <c r="R107" s="7" t="n">
        <f aca="false">IF(A107="",0,COUNTIFS($A$2:$A$3058,A107,$P$2:$P$3058,"OK"))</f>
        <v>1</v>
      </c>
      <c r="S107" s="7" t="str">
        <f aca="false">IF(OR(A107="",P107="DUP",R107&lt;2),"",IF(Q107=_xlfn.MINIFS($Q$2:$Q$3058,$A$2:$A$3058,A107,$P$2:$P$3058,"OK"),"KEEP","DROP"))</f>
        <v/>
      </c>
      <c r="T107" s="9" t="n">
        <f aca="false">IF(A107="",1,0)</f>
        <v>0</v>
      </c>
      <c r="U107" s="9" t="n">
        <f aca="false">IF(D107="",1,0)</f>
        <v>0</v>
      </c>
      <c r="V107" s="9" t="n">
        <f aca="false">IF(E107="",1,0)</f>
        <v>0</v>
      </c>
      <c r="W107" s="9" t="n">
        <f aca="false">IF(OR(H107&lt;1,H107&gt;10),1,0)</f>
        <v>0</v>
      </c>
      <c r="X107" s="9" t="n">
        <f aca="false">IF(OR(I107&lt;=0,I107&gt;1500),1,0)</f>
        <v>1</v>
      </c>
      <c r="Y107" s="9" t="n">
        <f aca="false">IF(J107&gt;H107*I107,1,0)</f>
        <v>1</v>
      </c>
      <c r="Z107" s="9" t="n">
        <f aca="false">IF(AND(N107&lt;&gt;"",OR(N107&lt;1,N107&gt;5)),1,0)</f>
        <v>0</v>
      </c>
      <c r="AA107" s="9" t="n">
        <f aca="false">IF(AND(M107&lt;&gt;"",OR(M107&lt;5,M107&gt;180)),1,0)</f>
        <v>0</v>
      </c>
      <c r="AB107" s="7" t="str">
        <f aca="false">IF(P107="DUP","Exact duplicate row",IF(T107=1,"Missing Order ID",IF(S107="DROP","Duplicate Order ID (less complete row)",IF(U107=1,"Missing Customer ID",IF(V107=1,"Missing Restaurant name",IF(W107=1,"Invalid/outlier quantity",IF(X107=1,"Invalid/outlier unit price",IF(Y107=1,"Discount greater than order value",""))))))))</f>
        <v>Invalid/outlier unit price</v>
      </c>
      <c r="AC107" s="7" t="str">
        <f aca="false">IF(AB107="","KEEP","DROP")</f>
        <v>DROP</v>
      </c>
      <c r="AD107" s="7" t="str">
        <f aca="false">IF(TRIM(F107)="",IFERROR(INDEX(Map_Tables!$I$4:$I$37,MATCH(TRIM(E107),Map_Tables!$G$4:$G$37,0)),""),IFERROR(INDEX(Map_Tables!$B$4:$B$18,MATCH(TRIM(F107),Map_Tables!$A$4:$A$18,0)),"CHECK"))</f>
        <v>Bengaluru</v>
      </c>
      <c r="AE107" s="7" t="str">
        <f aca="false">IF(TRIM(E107)="","",IFERROR(INDEX(Map_Tables!$H$4:$H$37,MATCH(TRIM(E107),Map_Tables!$G$4:$G$37,0)),"CHECK"))</f>
        <v>Wok &amp; Roll</v>
      </c>
      <c r="AF107" s="7" t="str">
        <f aca="false">IF(TRIM(K107)="","Unknown",IFERROR(INDEX(Map_Tables!$E$4:$E$15,MATCH(TRIM(K107),Map_Tables!$D$4:$D$15,0)),"CHECK"))</f>
        <v>UPI</v>
      </c>
      <c r="AG107" s="7" t="str">
        <f aca="false">IF(LEFT(LOWER(TRIM(L107)),6)="cancel","Cancelled","Delivered")</f>
        <v>Delivered</v>
      </c>
      <c r="AH107" s="10" t="n">
        <f aca="false">IF(ISNUMBER(SEARCH("/",B107)),DATE(VALUE(RIGHT(B107,4)),VALUE(MID(B107,4,2)),VALUE(LEFT(B107,2))),IF(MID(B107,5,1)="-",DATE(VALUE(LEFT(B107,4)),VALUE(MID(B107,6,2)),VALUE(RIGHT(B107,2))),DATE(VALUE(RIGHT(B107,4)),MATCH(MID(B107,4,3),{"Jan","Feb","Mar","Apr","May","Jun","Jul","Aug","Sep","Oct","Nov","Dec"},0),VALUE(LEFT(B107,2)))))</f>
        <v>45695</v>
      </c>
    </row>
    <row r="108" customFormat="false" ht="15" hidden="false" customHeight="false" outlineLevel="0" collapsed="false">
      <c r="A108" s="7" t="s">
        <v>621</v>
      </c>
      <c r="B108" s="7" t="s">
        <v>485</v>
      </c>
      <c r="C108" s="7" t="s">
        <v>622</v>
      </c>
      <c r="D108" s="7" t="s">
        <v>623</v>
      </c>
      <c r="E108" s="7" t="s">
        <v>113</v>
      </c>
      <c r="F108" s="7" t="s">
        <v>101</v>
      </c>
      <c r="G108" s="7" t="s">
        <v>90</v>
      </c>
      <c r="H108" s="7" t="n">
        <v>4</v>
      </c>
      <c r="I108" s="7" t="n">
        <v>270</v>
      </c>
      <c r="J108" s="7" t="n">
        <v>0</v>
      </c>
      <c r="K108" s="7" t="s">
        <v>112</v>
      </c>
      <c r="L108" s="7" t="s">
        <v>194</v>
      </c>
      <c r="M108" s="7" t="n">
        <v>43</v>
      </c>
      <c r="N108" s="7"/>
      <c r="O108" s="7" t="str">
        <f aca="false">A108&amp;"|"&amp;B108&amp;"|"&amp;C108&amp;"|"&amp;D108&amp;"|"&amp;E108&amp;"|"&amp;F108&amp;"|"&amp;G108&amp;"|"&amp;H108&amp;"|"&amp;I108&amp;"|"&amp;J108&amp;"|"&amp;K108&amp;"|"&amp;L108&amp;"|"&amp;M108&amp;"|"&amp;N108</f>
        <v>ORD12531|12/11/2025|19:04|C1385|Curry Leaf Kitchen|Mumbai|North Indian|4|270|0|Cash on Delivery|Delivered|43|</v>
      </c>
      <c r="P108" s="7" t="str">
        <f aca="false">IF(COUNTIF($O$2:O108,O108)&gt;1,"DUP","OK")</f>
        <v>OK</v>
      </c>
      <c r="Q108" s="7" t="n">
        <f aca="false">COUNTBLANK(A108:N108)</f>
        <v>1</v>
      </c>
      <c r="R108" s="7" t="n">
        <f aca="false">IF(A108="",0,COUNTIFS($A$2:$A$3058,A108,$P$2:$P$3058,"OK"))</f>
        <v>1</v>
      </c>
      <c r="S108" s="7" t="str">
        <f aca="false">IF(OR(A108="",P108="DUP",R108&lt;2),"",IF(Q108=_xlfn.MINIFS($Q$2:$Q$3058,$A$2:$A$3058,A108,$P$2:$P$3058,"OK"),"KEEP","DROP"))</f>
        <v/>
      </c>
      <c r="T108" s="9" t="n">
        <f aca="false">IF(A108="",1,0)</f>
        <v>0</v>
      </c>
      <c r="U108" s="9" t="n">
        <f aca="false">IF(D108="",1,0)</f>
        <v>0</v>
      </c>
      <c r="V108" s="9" t="n">
        <f aca="false">IF(E108="",1,0)</f>
        <v>0</v>
      </c>
      <c r="W108" s="9" t="n">
        <f aca="false">IF(OR(H108&lt;1,H108&gt;10),1,0)</f>
        <v>0</v>
      </c>
      <c r="X108" s="9" t="n">
        <f aca="false">IF(OR(I108&lt;=0,I108&gt;1500),1,0)</f>
        <v>0</v>
      </c>
      <c r="Y108" s="9" t="n">
        <f aca="false">IF(J108&gt;H108*I108,1,0)</f>
        <v>0</v>
      </c>
      <c r="Z108" s="9" t="n">
        <f aca="false">IF(AND(N108&lt;&gt;"",OR(N108&lt;1,N108&gt;5)),1,0)</f>
        <v>0</v>
      </c>
      <c r="AA108" s="9" t="n">
        <f aca="false">IF(AND(M108&lt;&gt;"",OR(M108&lt;5,M108&gt;180)),1,0)</f>
        <v>0</v>
      </c>
      <c r="AB108" s="7" t="str">
        <f aca="false">IF(P108="DUP","Exact duplicate row",IF(T108=1,"Missing Order ID",IF(S108="DROP","Duplicate Order ID (less complete row)",IF(U108=1,"Missing Customer ID",IF(V108=1,"Missing Restaurant name",IF(W108=1,"Invalid/outlier quantity",IF(X108=1,"Invalid/outlier unit price",IF(Y108=1,"Discount greater than order value",""))))))))</f>
        <v/>
      </c>
      <c r="AC108" s="7" t="str">
        <f aca="false">IF(AB108="","KEEP","DROP")</f>
        <v>KEEP</v>
      </c>
      <c r="AD108" s="7" t="str">
        <f aca="false">IF(TRIM(F108)="",IFERROR(INDEX(Map_Tables!$I$4:$I$37,MATCH(TRIM(E108),Map_Tables!$G$4:$G$37,0)),""),IFERROR(INDEX(Map_Tables!$B$4:$B$18,MATCH(TRIM(F108),Map_Tables!$A$4:$A$18,0)),"CHECK"))</f>
        <v>Mumbai</v>
      </c>
      <c r="AE108" s="7" t="str">
        <f aca="false">IF(TRIM(E108)="","",IFERROR(INDEX(Map_Tables!$H$4:$H$37,MATCH(TRIM(E108),Map_Tables!$G$4:$G$37,0)),"CHECK"))</f>
        <v>Curry Leaf Kitchen</v>
      </c>
      <c r="AF108" s="7" t="str">
        <f aca="false">IF(TRIM(K108)="","Unknown",IFERROR(INDEX(Map_Tables!$E$4:$E$15,MATCH(TRIM(K108),Map_Tables!$D$4:$D$15,0)),"CHECK"))</f>
        <v>Cash on Delivery</v>
      </c>
      <c r="AG108" s="7" t="str">
        <f aca="false">IF(LEFT(LOWER(TRIM(L108)),6)="cancel","Cancelled","Delivered")</f>
        <v>Delivered</v>
      </c>
      <c r="AH108" s="10" t="n">
        <f aca="false">IF(ISNUMBER(SEARCH("/",B108)),DATE(VALUE(RIGHT(B108,4)),VALUE(MID(B108,4,2)),VALUE(LEFT(B108,2))),IF(MID(B108,5,1)="-",DATE(VALUE(LEFT(B108,4)),VALUE(MID(B108,6,2)),VALUE(RIGHT(B108,2))),DATE(VALUE(RIGHT(B108,4)),MATCH(MID(B108,4,3),{"Jan","Feb","Mar","Apr","May","Jun","Jul","Aug","Sep","Oct","Nov","Dec"},0),VALUE(LEFT(B108,2)))))</f>
        <v>45973</v>
      </c>
    </row>
    <row r="109" customFormat="false" ht="15" hidden="false" customHeight="false" outlineLevel="0" collapsed="false">
      <c r="A109" s="7" t="s">
        <v>624</v>
      </c>
      <c r="B109" s="7" t="s">
        <v>625</v>
      </c>
      <c r="C109" s="7" t="s">
        <v>626</v>
      </c>
      <c r="D109" s="7" t="s">
        <v>627</v>
      </c>
      <c r="E109" s="7" t="s">
        <v>98</v>
      </c>
      <c r="F109" s="7" t="s">
        <v>86</v>
      </c>
      <c r="G109" s="7" t="s">
        <v>99</v>
      </c>
      <c r="H109" s="7" t="n">
        <v>3</v>
      </c>
      <c r="I109" s="7" t="n">
        <v>215</v>
      </c>
      <c r="J109" s="7" t="n">
        <v>0</v>
      </c>
      <c r="K109" s="7" t="s">
        <v>526</v>
      </c>
      <c r="L109" s="7" t="s">
        <v>194</v>
      </c>
      <c r="M109" s="7" t="n">
        <v>43</v>
      </c>
      <c r="N109" s="7" t="n">
        <v>4</v>
      </c>
      <c r="O109" s="7" t="str">
        <f aca="false">A109&amp;"|"&amp;B109&amp;"|"&amp;C109&amp;"|"&amp;D109&amp;"|"&amp;E109&amp;"|"&amp;F109&amp;"|"&amp;G109&amp;"|"&amp;H109&amp;"|"&amp;I109&amp;"|"&amp;J109&amp;"|"&amp;K109&amp;"|"&amp;L109&amp;"|"&amp;M109&amp;"|"&amp;N109</f>
        <v>ORD11746|2025-08-16|23:03|C1320|Nawabi Biryani House|Bengaluru|Biryani|3|215|0|DC|Delivered|43|4</v>
      </c>
      <c r="P109" s="7" t="str">
        <f aca="false">IF(COUNTIF($O$2:O109,O109)&gt;1,"DUP","OK")</f>
        <v>OK</v>
      </c>
      <c r="Q109" s="7" t="n">
        <f aca="false">COUNTBLANK(A109:N109)</f>
        <v>0</v>
      </c>
      <c r="R109" s="7" t="n">
        <f aca="false">IF(A109="",0,COUNTIFS($A$2:$A$3058,A109,$P$2:$P$3058,"OK"))</f>
        <v>1</v>
      </c>
      <c r="S109" s="7" t="str">
        <f aca="false">IF(OR(A109="",P109="DUP",R109&lt;2),"",IF(Q109=_xlfn.MINIFS($Q$2:$Q$3058,$A$2:$A$3058,A109,$P$2:$P$3058,"OK"),"KEEP","DROP"))</f>
        <v/>
      </c>
      <c r="T109" s="9" t="n">
        <f aca="false">IF(A109="",1,0)</f>
        <v>0</v>
      </c>
      <c r="U109" s="9" t="n">
        <f aca="false">IF(D109="",1,0)</f>
        <v>0</v>
      </c>
      <c r="V109" s="9" t="n">
        <f aca="false">IF(E109="",1,0)</f>
        <v>0</v>
      </c>
      <c r="W109" s="9" t="n">
        <f aca="false">IF(OR(H109&lt;1,H109&gt;10),1,0)</f>
        <v>0</v>
      </c>
      <c r="X109" s="9" t="n">
        <f aca="false">IF(OR(I109&lt;=0,I109&gt;1500),1,0)</f>
        <v>0</v>
      </c>
      <c r="Y109" s="9" t="n">
        <f aca="false">IF(J109&gt;H109*I109,1,0)</f>
        <v>0</v>
      </c>
      <c r="Z109" s="9" t="n">
        <f aca="false">IF(AND(N109&lt;&gt;"",OR(N109&lt;1,N109&gt;5)),1,0)</f>
        <v>0</v>
      </c>
      <c r="AA109" s="9" t="n">
        <f aca="false">IF(AND(M109&lt;&gt;"",OR(M109&lt;5,M109&gt;180)),1,0)</f>
        <v>0</v>
      </c>
      <c r="AB109" s="7" t="str">
        <f aca="false">IF(P109="DUP","Exact duplicate row",IF(T109=1,"Missing Order ID",IF(S109="DROP","Duplicate Order ID (less complete row)",IF(U109=1,"Missing Customer ID",IF(V109=1,"Missing Restaurant name",IF(W109=1,"Invalid/outlier quantity",IF(X109=1,"Invalid/outlier unit price",IF(Y109=1,"Discount greater than order value",""))))))))</f>
        <v/>
      </c>
      <c r="AC109" s="7" t="str">
        <f aca="false">IF(AB109="","KEEP","DROP")</f>
        <v>KEEP</v>
      </c>
      <c r="AD109" s="7" t="str">
        <f aca="false">IF(TRIM(F109)="",IFERROR(INDEX(Map_Tables!$I$4:$I$37,MATCH(TRIM(E109),Map_Tables!$G$4:$G$37,0)),""),IFERROR(INDEX(Map_Tables!$B$4:$B$18,MATCH(TRIM(F109),Map_Tables!$A$4:$A$18,0)),"CHECK"))</f>
        <v>Bengaluru</v>
      </c>
      <c r="AE109" s="7" t="str">
        <f aca="false">IF(TRIM(E109)="","",IFERROR(INDEX(Map_Tables!$H$4:$H$37,MATCH(TRIM(E109),Map_Tables!$G$4:$G$37,0)),"CHECK"))</f>
        <v>Nawabi Biryani House</v>
      </c>
      <c r="AF109" s="7" t="str">
        <f aca="false">IF(TRIM(K109)="","Unknown",IFERROR(INDEX(Map_Tables!$E$4:$E$15,MATCH(TRIM(K109),Map_Tables!$D$4:$D$15,0)),"CHECK"))</f>
        <v>Debit Card</v>
      </c>
      <c r="AG109" s="7" t="str">
        <f aca="false">IF(LEFT(LOWER(TRIM(L109)),6)="cancel","Cancelled","Delivered")</f>
        <v>Delivered</v>
      </c>
      <c r="AH109" s="10" t="n">
        <f aca="false">IF(ISNUMBER(SEARCH("/",B109)),DATE(VALUE(RIGHT(B109,4)),VALUE(MID(B109,4,2)),VALUE(LEFT(B109,2))),IF(MID(B109,5,1)="-",DATE(VALUE(LEFT(B109,4)),VALUE(MID(B109,6,2)),VALUE(RIGHT(B109,2))),DATE(VALUE(RIGHT(B109,4)),MATCH(MID(B109,4,3),{"Jan","Feb","Mar","Apr","May","Jun","Jul","Aug","Sep","Oct","Nov","Dec"},0),VALUE(LEFT(B109,2)))))</f>
        <v>45885</v>
      </c>
    </row>
    <row r="110" customFormat="false" ht="15" hidden="false" customHeight="false" outlineLevel="0" collapsed="false">
      <c r="A110" s="7" t="s">
        <v>628</v>
      </c>
      <c r="B110" s="7" t="s">
        <v>629</v>
      </c>
      <c r="C110" s="7" t="s">
        <v>630</v>
      </c>
      <c r="D110" s="7" t="s">
        <v>631</v>
      </c>
      <c r="E110" s="7" t="s">
        <v>161</v>
      </c>
      <c r="F110" s="7" t="s">
        <v>141</v>
      </c>
      <c r="G110" s="7" t="s">
        <v>117</v>
      </c>
      <c r="H110" s="7" t="n">
        <v>2</v>
      </c>
      <c r="I110" s="7" t="n">
        <v>150</v>
      </c>
      <c r="J110" s="7" t="n">
        <v>100</v>
      </c>
      <c r="K110" s="7"/>
      <c r="L110" s="7" t="s">
        <v>194</v>
      </c>
      <c r="M110" s="7" t="n">
        <v>47</v>
      </c>
      <c r="N110" s="7" t="n">
        <v>5</v>
      </c>
      <c r="O110" s="7" t="str">
        <f aca="false">A110&amp;"|"&amp;B110&amp;"|"&amp;C110&amp;"|"&amp;D110&amp;"|"&amp;E110&amp;"|"&amp;F110&amp;"|"&amp;G110&amp;"|"&amp;H110&amp;"|"&amp;I110&amp;"|"&amp;J110&amp;"|"&amp;K110&amp;"|"&amp;L110&amp;"|"&amp;M110&amp;"|"&amp;N110</f>
        <v>ORD12093|2025-09-26|20:09|C1189|Bengal Bites|Kolkata|Street Food|2|150|100||Delivered|47|5</v>
      </c>
      <c r="P110" s="7" t="str">
        <f aca="false">IF(COUNTIF($O$2:O110,O110)&gt;1,"DUP","OK")</f>
        <v>OK</v>
      </c>
      <c r="Q110" s="7" t="n">
        <f aca="false">COUNTBLANK(A110:N110)</f>
        <v>1</v>
      </c>
      <c r="R110" s="7" t="n">
        <f aca="false">IF(A110="",0,COUNTIFS($A$2:$A$3058,A110,$P$2:$P$3058,"OK"))</f>
        <v>1</v>
      </c>
      <c r="S110" s="7" t="str">
        <f aca="false">IF(OR(A110="",P110="DUP",R110&lt;2),"",IF(Q110=_xlfn.MINIFS($Q$2:$Q$3058,$A$2:$A$3058,A110,$P$2:$P$3058,"OK"),"KEEP","DROP"))</f>
        <v/>
      </c>
      <c r="T110" s="9" t="n">
        <f aca="false">IF(A110="",1,0)</f>
        <v>0</v>
      </c>
      <c r="U110" s="9" t="n">
        <f aca="false">IF(D110="",1,0)</f>
        <v>0</v>
      </c>
      <c r="V110" s="9" t="n">
        <f aca="false">IF(E110="",1,0)</f>
        <v>0</v>
      </c>
      <c r="W110" s="9" t="n">
        <f aca="false">IF(OR(H110&lt;1,H110&gt;10),1,0)</f>
        <v>0</v>
      </c>
      <c r="X110" s="9" t="n">
        <f aca="false">IF(OR(I110&lt;=0,I110&gt;1500),1,0)</f>
        <v>0</v>
      </c>
      <c r="Y110" s="9" t="n">
        <f aca="false">IF(J110&gt;H110*I110,1,0)</f>
        <v>0</v>
      </c>
      <c r="Z110" s="9" t="n">
        <f aca="false">IF(AND(N110&lt;&gt;"",OR(N110&lt;1,N110&gt;5)),1,0)</f>
        <v>0</v>
      </c>
      <c r="AA110" s="9" t="n">
        <f aca="false">IF(AND(M110&lt;&gt;"",OR(M110&lt;5,M110&gt;180)),1,0)</f>
        <v>0</v>
      </c>
      <c r="AB110" s="7" t="str">
        <f aca="false">IF(P110="DUP","Exact duplicate row",IF(T110=1,"Missing Order ID",IF(S110="DROP","Duplicate Order ID (less complete row)",IF(U110=1,"Missing Customer ID",IF(V110=1,"Missing Restaurant name",IF(W110=1,"Invalid/outlier quantity",IF(X110=1,"Invalid/outlier unit price",IF(Y110=1,"Discount greater than order value",""))))))))</f>
        <v/>
      </c>
      <c r="AC110" s="7" t="str">
        <f aca="false">IF(AB110="","KEEP","DROP")</f>
        <v>KEEP</v>
      </c>
      <c r="AD110" s="7" t="str">
        <f aca="false">IF(TRIM(F110)="",IFERROR(INDEX(Map_Tables!$I$4:$I$37,MATCH(TRIM(E110),Map_Tables!$G$4:$G$37,0)),""),IFERROR(INDEX(Map_Tables!$B$4:$B$18,MATCH(TRIM(F110),Map_Tables!$A$4:$A$18,0)),"CHECK"))</f>
        <v>Kolkata</v>
      </c>
      <c r="AE110" s="7" t="str">
        <f aca="false">IF(TRIM(E110)="","",IFERROR(INDEX(Map_Tables!$H$4:$H$37,MATCH(TRIM(E110),Map_Tables!$G$4:$G$37,0)),"CHECK"))</f>
        <v>Bengal Bites</v>
      </c>
      <c r="AF110" s="7" t="str">
        <f aca="false">IF(TRIM(K110)="","Unknown",IFERROR(INDEX(Map_Tables!$E$4:$E$15,MATCH(TRIM(K110),Map_Tables!$D$4:$D$15,0)),"CHECK"))</f>
        <v>Unknown</v>
      </c>
      <c r="AG110" s="7" t="str">
        <f aca="false">IF(LEFT(LOWER(TRIM(L110)),6)="cancel","Cancelled","Delivered")</f>
        <v>Delivered</v>
      </c>
      <c r="AH110" s="10" t="n">
        <f aca="false">IF(ISNUMBER(SEARCH("/",B110)),DATE(VALUE(RIGHT(B110,4)),VALUE(MID(B110,4,2)),VALUE(LEFT(B110,2))),IF(MID(B110,5,1)="-",DATE(VALUE(LEFT(B110,4)),VALUE(MID(B110,6,2)),VALUE(RIGHT(B110,2))),DATE(VALUE(RIGHT(B110,4)),MATCH(MID(B110,4,3),{"Jan","Feb","Mar","Apr","May","Jun","Jul","Aug","Sep","Oct","Nov","Dec"},0),VALUE(LEFT(B110,2)))))</f>
        <v>45926</v>
      </c>
    </row>
    <row r="111" customFormat="false" ht="15" hidden="false" customHeight="false" outlineLevel="0" collapsed="false">
      <c r="A111" s="7" t="s">
        <v>632</v>
      </c>
      <c r="B111" s="7" t="s">
        <v>633</v>
      </c>
      <c r="C111" s="7" t="s">
        <v>634</v>
      </c>
      <c r="D111" s="7" t="s">
        <v>635</v>
      </c>
      <c r="E111" s="7" t="s">
        <v>98</v>
      </c>
      <c r="F111" s="7" t="s">
        <v>86</v>
      </c>
      <c r="G111" s="7" t="s">
        <v>99</v>
      </c>
      <c r="H111" s="7" t="n">
        <v>2</v>
      </c>
      <c r="I111" s="7" t="n">
        <v>350</v>
      </c>
      <c r="J111" s="7" t="n">
        <v>150</v>
      </c>
      <c r="K111" s="7" t="s">
        <v>93</v>
      </c>
      <c r="L111" s="7" t="s">
        <v>194</v>
      </c>
      <c r="M111" s="7" t="n">
        <v>44</v>
      </c>
      <c r="N111" s="7" t="n">
        <v>3</v>
      </c>
      <c r="O111" s="7" t="str">
        <f aca="false">A111&amp;"|"&amp;B111&amp;"|"&amp;C111&amp;"|"&amp;D111&amp;"|"&amp;E111&amp;"|"&amp;F111&amp;"|"&amp;G111&amp;"|"&amp;H111&amp;"|"&amp;I111&amp;"|"&amp;J111&amp;"|"&amp;K111&amp;"|"&amp;L111&amp;"|"&amp;M111&amp;"|"&amp;N111</f>
        <v>ORD11538|2025-07-19|12:59|C0054|Nawabi Biryani House|Bengaluru|Biryani|2|350|150|Credit Card|Delivered|44|3</v>
      </c>
      <c r="P111" s="7" t="str">
        <f aca="false">IF(COUNTIF($O$2:O111,O111)&gt;1,"DUP","OK")</f>
        <v>OK</v>
      </c>
      <c r="Q111" s="7" t="n">
        <f aca="false">COUNTBLANK(A111:N111)</f>
        <v>0</v>
      </c>
      <c r="R111" s="7" t="n">
        <f aca="false">IF(A111="",0,COUNTIFS($A$2:$A$3058,A111,$P$2:$P$3058,"OK"))</f>
        <v>1</v>
      </c>
      <c r="S111" s="7" t="str">
        <f aca="false">IF(OR(A111="",P111="DUP",R111&lt;2),"",IF(Q111=_xlfn.MINIFS($Q$2:$Q$3058,$A$2:$A$3058,A111,$P$2:$P$3058,"OK"),"KEEP","DROP"))</f>
        <v/>
      </c>
      <c r="T111" s="9" t="n">
        <f aca="false">IF(A111="",1,0)</f>
        <v>0</v>
      </c>
      <c r="U111" s="9" t="n">
        <f aca="false">IF(D111="",1,0)</f>
        <v>0</v>
      </c>
      <c r="V111" s="9" t="n">
        <f aca="false">IF(E111="",1,0)</f>
        <v>0</v>
      </c>
      <c r="W111" s="9" t="n">
        <f aca="false">IF(OR(H111&lt;1,H111&gt;10),1,0)</f>
        <v>0</v>
      </c>
      <c r="X111" s="9" t="n">
        <f aca="false">IF(OR(I111&lt;=0,I111&gt;1500),1,0)</f>
        <v>0</v>
      </c>
      <c r="Y111" s="9" t="n">
        <f aca="false">IF(J111&gt;H111*I111,1,0)</f>
        <v>0</v>
      </c>
      <c r="Z111" s="9" t="n">
        <f aca="false">IF(AND(N111&lt;&gt;"",OR(N111&lt;1,N111&gt;5)),1,0)</f>
        <v>0</v>
      </c>
      <c r="AA111" s="9" t="n">
        <f aca="false">IF(AND(M111&lt;&gt;"",OR(M111&lt;5,M111&gt;180)),1,0)</f>
        <v>0</v>
      </c>
      <c r="AB111" s="7" t="str">
        <f aca="false">IF(P111="DUP","Exact duplicate row",IF(T111=1,"Missing Order ID",IF(S111="DROP","Duplicate Order ID (less complete row)",IF(U111=1,"Missing Customer ID",IF(V111=1,"Missing Restaurant name",IF(W111=1,"Invalid/outlier quantity",IF(X111=1,"Invalid/outlier unit price",IF(Y111=1,"Discount greater than order value",""))))))))</f>
        <v/>
      </c>
      <c r="AC111" s="7" t="str">
        <f aca="false">IF(AB111="","KEEP","DROP")</f>
        <v>KEEP</v>
      </c>
      <c r="AD111" s="7" t="str">
        <f aca="false">IF(TRIM(F111)="",IFERROR(INDEX(Map_Tables!$I$4:$I$37,MATCH(TRIM(E111),Map_Tables!$G$4:$G$37,0)),""),IFERROR(INDEX(Map_Tables!$B$4:$B$18,MATCH(TRIM(F111),Map_Tables!$A$4:$A$18,0)),"CHECK"))</f>
        <v>Bengaluru</v>
      </c>
      <c r="AE111" s="7" t="str">
        <f aca="false">IF(TRIM(E111)="","",IFERROR(INDEX(Map_Tables!$H$4:$H$37,MATCH(TRIM(E111),Map_Tables!$G$4:$G$37,0)),"CHECK"))</f>
        <v>Nawabi Biryani House</v>
      </c>
      <c r="AF111" s="7" t="str">
        <f aca="false">IF(TRIM(K111)="","Unknown",IFERROR(INDEX(Map_Tables!$E$4:$E$15,MATCH(TRIM(K111),Map_Tables!$D$4:$D$15,0)),"CHECK"))</f>
        <v>Credit Card</v>
      </c>
      <c r="AG111" s="7" t="str">
        <f aca="false">IF(LEFT(LOWER(TRIM(L111)),6)="cancel","Cancelled","Delivered")</f>
        <v>Delivered</v>
      </c>
      <c r="AH111" s="10" t="n">
        <f aca="false">IF(ISNUMBER(SEARCH("/",B111)),DATE(VALUE(RIGHT(B111,4)),VALUE(MID(B111,4,2)),VALUE(LEFT(B111,2))),IF(MID(B111,5,1)="-",DATE(VALUE(LEFT(B111,4)),VALUE(MID(B111,6,2)),VALUE(RIGHT(B111,2))),DATE(VALUE(RIGHT(B111,4)),MATCH(MID(B111,4,3),{"Jan","Feb","Mar","Apr","May","Jun","Jul","Aug","Sep","Oct","Nov","Dec"},0),VALUE(LEFT(B111,2)))))</f>
        <v>45857</v>
      </c>
    </row>
    <row r="112" customFormat="false" ht="15" hidden="false" customHeight="false" outlineLevel="0" collapsed="false">
      <c r="A112" s="7" t="s">
        <v>636</v>
      </c>
      <c r="B112" s="7" t="s">
        <v>637</v>
      </c>
      <c r="C112" s="7" t="s">
        <v>638</v>
      </c>
      <c r="D112" s="7" t="s">
        <v>639</v>
      </c>
      <c r="E112" s="7" t="s">
        <v>130</v>
      </c>
      <c r="F112" s="7" t="s">
        <v>110</v>
      </c>
      <c r="G112" s="7" t="s">
        <v>90</v>
      </c>
      <c r="H112" s="7" t="n">
        <v>2</v>
      </c>
      <c r="I112" s="7" t="n">
        <v>285</v>
      </c>
      <c r="J112" s="7" t="n">
        <v>20</v>
      </c>
      <c r="K112" s="7" t="s">
        <v>88</v>
      </c>
      <c r="L112" s="7" t="s">
        <v>194</v>
      </c>
      <c r="M112" s="7" t="n">
        <v>42</v>
      </c>
      <c r="N112" s="7" t="n">
        <v>4</v>
      </c>
      <c r="O112" s="7" t="str">
        <f aca="false">A112&amp;"|"&amp;B112&amp;"|"&amp;C112&amp;"|"&amp;D112&amp;"|"&amp;E112&amp;"|"&amp;F112&amp;"|"&amp;G112&amp;"|"&amp;H112&amp;"|"&amp;I112&amp;"|"&amp;J112&amp;"|"&amp;K112&amp;"|"&amp;L112&amp;"|"&amp;M112&amp;"|"&amp;N112</f>
        <v>ORD12753|2025-12-02|20:38|C0327|Tandoor Tales|Delhi|North Indian|2|285|20|UPI|Delivered|42|4</v>
      </c>
      <c r="P112" s="7" t="str">
        <f aca="false">IF(COUNTIF($O$2:O112,O112)&gt;1,"DUP","OK")</f>
        <v>OK</v>
      </c>
      <c r="Q112" s="7" t="n">
        <f aca="false">COUNTBLANK(A112:N112)</f>
        <v>0</v>
      </c>
      <c r="R112" s="7" t="n">
        <f aca="false">IF(A112="",0,COUNTIFS($A$2:$A$3058,A112,$P$2:$P$3058,"OK"))</f>
        <v>1</v>
      </c>
      <c r="S112" s="7" t="str">
        <f aca="false">IF(OR(A112="",P112="DUP",R112&lt;2),"",IF(Q112=_xlfn.MINIFS($Q$2:$Q$3058,$A$2:$A$3058,A112,$P$2:$P$3058,"OK"),"KEEP","DROP"))</f>
        <v/>
      </c>
      <c r="T112" s="9" t="n">
        <f aca="false">IF(A112="",1,0)</f>
        <v>0</v>
      </c>
      <c r="U112" s="9" t="n">
        <f aca="false">IF(D112="",1,0)</f>
        <v>0</v>
      </c>
      <c r="V112" s="9" t="n">
        <f aca="false">IF(E112="",1,0)</f>
        <v>0</v>
      </c>
      <c r="W112" s="9" t="n">
        <f aca="false">IF(OR(H112&lt;1,H112&gt;10),1,0)</f>
        <v>0</v>
      </c>
      <c r="X112" s="9" t="n">
        <f aca="false">IF(OR(I112&lt;=0,I112&gt;1500),1,0)</f>
        <v>0</v>
      </c>
      <c r="Y112" s="9" t="n">
        <f aca="false">IF(J112&gt;H112*I112,1,0)</f>
        <v>0</v>
      </c>
      <c r="Z112" s="9" t="n">
        <f aca="false">IF(AND(N112&lt;&gt;"",OR(N112&lt;1,N112&gt;5)),1,0)</f>
        <v>0</v>
      </c>
      <c r="AA112" s="9" t="n">
        <f aca="false">IF(AND(M112&lt;&gt;"",OR(M112&lt;5,M112&gt;180)),1,0)</f>
        <v>0</v>
      </c>
      <c r="AB112" s="7" t="str">
        <f aca="false">IF(P112="DUP","Exact duplicate row",IF(T112=1,"Missing Order ID",IF(S112="DROP","Duplicate Order ID (less complete row)",IF(U112=1,"Missing Customer ID",IF(V112=1,"Missing Restaurant name",IF(W112=1,"Invalid/outlier quantity",IF(X112=1,"Invalid/outlier unit price",IF(Y112=1,"Discount greater than order value",""))))))))</f>
        <v/>
      </c>
      <c r="AC112" s="7" t="str">
        <f aca="false">IF(AB112="","KEEP","DROP")</f>
        <v>KEEP</v>
      </c>
      <c r="AD112" s="7" t="str">
        <f aca="false">IF(TRIM(F112)="",IFERROR(INDEX(Map_Tables!$I$4:$I$37,MATCH(TRIM(E112),Map_Tables!$G$4:$G$37,0)),""),IFERROR(INDEX(Map_Tables!$B$4:$B$18,MATCH(TRIM(F112),Map_Tables!$A$4:$A$18,0)),"CHECK"))</f>
        <v>Delhi</v>
      </c>
      <c r="AE112" s="7" t="str">
        <f aca="false">IF(TRIM(E112)="","",IFERROR(INDEX(Map_Tables!$H$4:$H$37,MATCH(TRIM(E112),Map_Tables!$G$4:$G$37,0)),"CHECK"))</f>
        <v>Tandoor Tales</v>
      </c>
      <c r="AF112" s="7" t="str">
        <f aca="false">IF(TRIM(K112)="","Unknown",IFERROR(INDEX(Map_Tables!$E$4:$E$15,MATCH(TRIM(K112),Map_Tables!$D$4:$D$15,0)),"CHECK"))</f>
        <v>UPI</v>
      </c>
      <c r="AG112" s="7" t="str">
        <f aca="false">IF(LEFT(LOWER(TRIM(L112)),6)="cancel","Cancelled","Delivered")</f>
        <v>Delivered</v>
      </c>
      <c r="AH112" s="10" t="n">
        <f aca="false">IF(ISNUMBER(SEARCH("/",B112)),DATE(VALUE(RIGHT(B112,4)),VALUE(MID(B112,4,2)),VALUE(LEFT(B112,2))),IF(MID(B112,5,1)="-",DATE(VALUE(LEFT(B112,4)),VALUE(MID(B112,6,2)),VALUE(RIGHT(B112,2))),DATE(VALUE(RIGHT(B112,4)),MATCH(MID(B112,4,3),{"Jan","Feb","Mar","Apr","May","Jun","Jul","Aug","Sep","Oct","Nov","Dec"},0),VALUE(LEFT(B112,2)))))</f>
        <v>45993</v>
      </c>
    </row>
    <row r="113" customFormat="false" ht="15" hidden="false" customHeight="false" outlineLevel="0" collapsed="false">
      <c r="A113" s="7" t="s">
        <v>640</v>
      </c>
      <c r="B113" s="7" t="s">
        <v>477</v>
      </c>
      <c r="C113" s="7" t="s">
        <v>227</v>
      </c>
      <c r="D113" s="7" t="s">
        <v>641</v>
      </c>
      <c r="E113" s="7" t="s">
        <v>152</v>
      </c>
      <c r="F113" s="7" t="s">
        <v>128</v>
      </c>
      <c r="G113" s="7" t="s">
        <v>95</v>
      </c>
      <c r="H113" s="7" t="n">
        <v>40</v>
      </c>
      <c r="I113" s="7" t="n">
        <v>75</v>
      </c>
      <c r="J113" s="7" t="n">
        <v>0</v>
      </c>
      <c r="K113" s="7" t="s">
        <v>88</v>
      </c>
      <c r="L113" s="7" t="s">
        <v>194</v>
      </c>
      <c r="M113" s="7" t="n">
        <v>52</v>
      </c>
      <c r="N113" s="7" t="n">
        <v>4</v>
      </c>
      <c r="O113" s="7" t="str">
        <f aca="false">A113&amp;"|"&amp;B113&amp;"|"&amp;C113&amp;"|"&amp;D113&amp;"|"&amp;E113&amp;"|"&amp;F113&amp;"|"&amp;G113&amp;"|"&amp;H113&amp;"|"&amp;I113&amp;"|"&amp;J113&amp;"|"&amp;K113&amp;"|"&amp;L113&amp;"|"&amp;M113&amp;"|"&amp;N113</f>
        <v>ORD10841|2025-04-16|21:36|C0324|Filter Coffee &amp; Tiffin|Chennai|South Indian|40|75|0|UPI|Delivered|52|4</v>
      </c>
      <c r="P113" s="7" t="str">
        <f aca="false">IF(COUNTIF($O$2:O113,O113)&gt;1,"DUP","OK")</f>
        <v>OK</v>
      </c>
      <c r="Q113" s="7" t="n">
        <f aca="false">COUNTBLANK(A113:N113)</f>
        <v>0</v>
      </c>
      <c r="R113" s="7" t="n">
        <f aca="false">IF(A113="",0,COUNTIFS($A$2:$A$3058,A113,$P$2:$P$3058,"OK"))</f>
        <v>1</v>
      </c>
      <c r="S113" s="7" t="str">
        <f aca="false">IF(OR(A113="",P113="DUP",R113&lt;2),"",IF(Q113=_xlfn.MINIFS($Q$2:$Q$3058,$A$2:$A$3058,A113,$P$2:$P$3058,"OK"),"KEEP","DROP"))</f>
        <v/>
      </c>
      <c r="T113" s="9" t="n">
        <f aca="false">IF(A113="",1,0)</f>
        <v>0</v>
      </c>
      <c r="U113" s="9" t="n">
        <f aca="false">IF(D113="",1,0)</f>
        <v>0</v>
      </c>
      <c r="V113" s="9" t="n">
        <f aca="false">IF(E113="",1,0)</f>
        <v>0</v>
      </c>
      <c r="W113" s="9" t="n">
        <f aca="false">IF(OR(H113&lt;1,H113&gt;10),1,0)</f>
        <v>1</v>
      </c>
      <c r="X113" s="9" t="n">
        <f aca="false">IF(OR(I113&lt;=0,I113&gt;1500),1,0)</f>
        <v>0</v>
      </c>
      <c r="Y113" s="9" t="n">
        <f aca="false">IF(J113&gt;H113*I113,1,0)</f>
        <v>0</v>
      </c>
      <c r="Z113" s="9" t="n">
        <f aca="false">IF(AND(N113&lt;&gt;"",OR(N113&lt;1,N113&gt;5)),1,0)</f>
        <v>0</v>
      </c>
      <c r="AA113" s="9" t="n">
        <f aca="false">IF(AND(M113&lt;&gt;"",OR(M113&lt;5,M113&gt;180)),1,0)</f>
        <v>0</v>
      </c>
      <c r="AB113" s="7" t="str">
        <f aca="false">IF(P113="DUP","Exact duplicate row",IF(T113=1,"Missing Order ID",IF(S113="DROP","Duplicate Order ID (less complete row)",IF(U113=1,"Missing Customer ID",IF(V113=1,"Missing Restaurant name",IF(W113=1,"Invalid/outlier quantity",IF(X113=1,"Invalid/outlier unit price",IF(Y113=1,"Discount greater than order value",""))))))))</f>
        <v>Invalid/outlier quantity</v>
      </c>
      <c r="AC113" s="7" t="str">
        <f aca="false">IF(AB113="","KEEP","DROP")</f>
        <v>DROP</v>
      </c>
      <c r="AD113" s="7" t="str">
        <f aca="false">IF(TRIM(F113)="",IFERROR(INDEX(Map_Tables!$I$4:$I$37,MATCH(TRIM(E113),Map_Tables!$G$4:$G$37,0)),""),IFERROR(INDEX(Map_Tables!$B$4:$B$18,MATCH(TRIM(F113),Map_Tables!$A$4:$A$18,0)),"CHECK"))</f>
        <v>Chennai</v>
      </c>
      <c r="AE113" s="7" t="str">
        <f aca="false">IF(TRIM(E113)="","",IFERROR(INDEX(Map_Tables!$H$4:$H$37,MATCH(TRIM(E113),Map_Tables!$G$4:$G$37,0)),"CHECK"))</f>
        <v>Filter Coffee &amp; Tiffin</v>
      </c>
      <c r="AF113" s="7" t="str">
        <f aca="false">IF(TRIM(K113)="","Unknown",IFERROR(INDEX(Map_Tables!$E$4:$E$15,MATCH(TRIM(K113),Map_Tables!$D$4:$D$15,0)),"CHECK"))</f>
        <v>UPI</v>
      </c>
      <c r="AG113" s="7" t="str">
        <f aca="false">IF(LEFT(LOWER(TRIM(L113)),6)="cancel","Cancelled","Delivered")</f>
        <v>Delivered</v>
      </c>
      <c r="AH113" s="10" t="n">
        <f aca="false">IF(ISNUMBER(SEARCH("/",B113)),DATE(VALUE(RIGHT(B113,4)),VALUE(MID(B113,4,2)),VALUE(LEFT(B113,2))),IF(MID(B113,5,1)="-",DATE(VALUE(LEFT(B113,4)),VALUE(MID(B113,6,2)),VALUE(RIGHT(B113,2))),DATE(VALUE(RIGHT(B113,4)),MATCH(MID(B113,4,3),{"Jan","Feb","Mar","Apr","May","Jun","Jul","Aug","Sep","Oct","Nov","Dec"},0),VALUE(LEFT(B113,2)))))</f>
        <v>45763</v>
      </c>
    </row>
    <row r="114" customFormat="false" ht="15" hidden="false" customHeight="false" outlineLevel="0" collapsed="false">
      <c r="A114" s="7" t="s">
        <v>642</v>
      </c>
      <c r="B114" s="7" t="s">
        <v>643</v>
      </c>
      <c r="C114" s="7" t="s">
        <v>644</v>
      </c>
      <c r="D114" s="7" t="s">
        <v>645</v>
      </c>
      <c r="E114" s="7" t="s">
        <v>646</v>
      </c>
      <c r="F114" s="7" t="s">
        <v>119</v>
      </c>
      <c r="G114" s="7" t="s">
        <v>150</v>
      </c>
      <c r="H114" s="7" t="n">
        <v>2</v>
      </c>
      <c r="I114" s="7" t="n">
        <v>200</v>
      </c>
      <c r="J114" s="7" t="n">
        <v>0</v>
      </c>
      <c r="K114" s="7" t="s">
        <v>121</v>
      </c>
      <c r="L114" s="7" t="s">
        <v>194</v>
      </c>
      <c r="M114" s="7" t="n">
        <v>31</v>
      </c>
      <c r="N114" s="7" t="n">
        <v>4</v>
      </c>
      <c r="O114" s="7" t="str">
        <f aca="false">A114&amp;"|"&amp;B114&amp;"|"&amp;C114&amp;"|"&amp;D114&amp;"|"&amp;E114&amp;"|"&amp;F114&amp;"|"&amp;G114&amp;"|"&amp;H114&amp;"|"&amp;I114&amp;"|"&amp;J114&amp;"|"&amp;K114&amp;"|"&amp;L114&amp;"|"&amp;M114&amp;"|"&amp;N114</f>
        <v>ORD12865|2025-12-17|13:27|C1199| Sweet Tooth Studio|Hyderabad|Desserts|2|200|0|Wallet|Delivered|31|4</v>
      </c>
      <c r="P114" s="7" t="str">
        <f aca="false">IF(COUNTIF($O$2:O114,O114)&gt;1,"DUP","OK")</f>
        <v>OK</v>
      </c>
      <c r="Q114" s="7" t="n">
        <f aca="false">COUNTBLANK(A114:N114)</f>
        <v>0</v>
      </c>
      <c r="R114" s="7" t="n">
        <f aca="false">IF(A114="",0,COUNTIFS($A$2:$A$3058,A114,$P$2:$P$3058,"OK"))</f>
        <v>1</v>
      </c>
      <c r="S114" s="7" t="str">
        <f aca="false">IF(OR(A114="",P114="DUP",R114&lt;2),"",IF(Q114=_xlfn.MINIFS($Q$2:$Q$3058,$A$2:$A$3058,A114,$P$2:$P$3058,"OK"),"KEEP","DROP"))</f>
        <v/>
      </c>
      <c r="T114" s="9" t="n">
        <f aca="false">IF(A114="",1,0)</f>
        <v>0</v>
      </c>
      <c r="U114" s="9" t="n">
        <f aca="false">IF(D114="",1,0)</f>
        <v>0</v>
      </c>
      <c r="V114" s="9" t="n">
        <f aca="false">IF(E114="",1,0)</f>
        <v>0</v>
      </c>
      <c r="W114" s="9" t="n">
        <f aca="false">IF(OR(H114&lt;1,H114&gt;10),1,0)</f>
        <v>0</v>
      </c>
      <c r="X114" s="9" t="n">
        <f aca="false">IF(OR(I114&lt;=0,I114&gt;1500),1,0)</f>
        <v>0</v>
      </c>
      <c r="Y114" s="9" t="n">
        <f aca="false">IF(J114&gt;H114*I114,1,0)</f>
        <v>0</v>
      </c>
      <c r="Z114" s="9" t="n">
        <f aca="false">IF(AND(N114&lt;&gt;"",OR(N114&lt;1,N114&gt;5)),1,0)</f>
        <v>0</v>
      </c>
      <c r="AA114" s="9" t="n">
        <f aca="false">IF(AND(M114&lt;&gt;"",OR(M114&lt;5,M114&gt;180)),1,0)</f>
        <v>0</v>
      </c>
      <c r="AB114" s="7" t="str">
        <f aca="false">IF(P114="DUP","Exact duplicate row",IF(T114=1,"Missing Order ID",IF(S114="DROP","Duplicate Order ID (less complete row)",IF(U114=1,"Missing Customer ID",IF(V114=1,"Missing Restaurant name",IF(W114=1,"Invalid/outlier quantity",IF(X114=1,"Invalid/outlier unit price",IF(Y114=1,"Discount greater than order value",""))))))))</f>
        <v/>
      </c>
      <c r="AC114" s="7" t="str">
        <f aca="false">IF(AB114="","KEEP","DROP")</f>
        <v>KEEP</v>
      </c>
      <c r="AD114" s="7" t="str">
        <f aca="false">IF(TRIM(F114)="",IFERROR(INDEX(Map_Tables!$I$4:$I$37,MATCH(TRIM(E114),Map_Tables!$G$4:$G$37,0)),""),IFERROR(INDEX(Map_Tables!$B$4:$B$18,MATCH(TRIM(F114),Map_Tables!$A$4:$A$18,0)),"CHECK"))</f>
        <v>Hyderabad</v>
      </c>
      <c r="AE114" s="7" t="str">
        <f aca="false">IF(TRIM(E114)="","",IFERROR(INDEX(Map_Tables!$H$4:$H$37,MATCH(TRIM(E114),Map_Tables!$G$4:$G$37,0)),"CHECK"))</f>
        <v>Sweet Tooth Studio</v>
      </c>
      <c r="AF114" s="7" t="str">
        <f aca="false">IF(TRIM(K114)="","Unknown",IFERROR(INDEX(Map_Tables!$E$4:$E$15,MATCH(TRIM(K114),Map_Tables!$D$4:$D$15,0)),"CHECK"))</f>
        <v>Wallet</v>
      </c>
      <c r="AG114" s="7" t="str">
        <f aca="false">IF(LEFT(LOWER(TRIM(L114)),6)="cancel","Cancelled","Delivered")</f>
        <v>Delivered</v>
      </c>
      <c r="AH114" s="10" t="n">
        <f aca="false">IF(ISNUMBER(SEARCH("/",B114)),DATE(VALUE(RIGHT(B114,4)),VALUE(MID(B114,4,2)),VALUE(LEFT(B114,2))),IF(MID(B114,5,1)="-",DATE(VALUE(LEFT(B114,4)),VALUE(MID(B114,6,2)),VALUE(RIGHT(B114,2))),DATE(VALUE(RIGHT(B114,4)),MATCH(MID(B114,4,3),{"Jan","Feb","Mar","Apr","May","Jun","Jul","Aug","Sep","Oct","Nov","Dec"},0),VALUE(LEFT(B114,2)))))</f>
        <v>46008</v>
      </c>
    </row>
    <row r="115" customFormat="false" ht="15" hidden="false" customHeight="false" outlineLevel="0" collapsed="false">
      <c r="A115" s="7" t="s">
        <v>647</v>
      </c>
      <c r="B115" s="7" t="s">
        <v>648</v>
      </c>
      <c r="C115" s="7" t="s">
        <v>649</v>
      </c>
      <c r="D115" s="7" t="s">
        <v>589</v>
      </c>
      <c r="E115" s="7" t="s">
        <v>130</v>
      </c>
      <c r="F115" s="7" t="s">
        <v>110</v>
      </c>
      <c r="G115" s="7" t="s">
        <v>90</v>
      </c>
      <c r="H115" s="7" t="n">
        <v>4</v>
      </c>
      <c r="I115" s="7" t="n">
        <v>315</v>
      </c>
      <c r="J115" s="7" t="n">
        <v>0</v>
      </c>
      <c r="K115" s="7" t="s">
        <v>88</v>
      </c>
      <c r="L115" s="7" t="s">
        <v>194</v>
      </c>
      <c r="M115" s="7" t="n">
        <v>35</v>
      </c>
      <c r="N115" s="7" t="n">
        <v>5</v>
      </c>
      <c r="O115" s="7" t="str">
        <f aca="false">A115&amp;"|"&amp;B115&amp;"|"&amp;C115&amp;"|"&amp;D115&amp;"|"&amp;E115&amp;"|"&amp;F115&amp;"|"&amp;G115&amp;"|"&amp;H115&amp;"|"&amp;I115&amp;"|"&amp;J115&amp;"|"&amp;K115&amp;"|"&amp;L115&amp;"|"&amp;M115&amp;"|"&amp;N115</f>
        <v>ORD11210|2025-06-02|21:56|C0703|Tandoor Tales|Delhi|North Indian|4|315|0|UPI|Delivered|35|5</v>
      </c>
      <c r="P115" s="7" t="str">
        <f aca="false">IF(COUNTIF($O$2:O115,O115)&gt;1,"DUP","OK")</f>
        <v>OK</v>
      </c>
      <c r="Q115" s="7" t="n">
        <f aca="false">COUNTBLANK(A115:N115)</f>
        <v>0</v>
      </c>
      <c r="R115" s="7" t="n">
        <f aca="false">IF(A115="",0,COUNTIFS($A$2:$A$3058,A115,$P$2:$P$3058,"OK"))</f>
        <v>1</v>
      </c>
      <c r="S115" s="7" t="str">
        <f aca="false">IF(OR(A115="",P115="DUP",R115&lt;2),"",IF(Q115=_xlfn.MINIFS($Q$2:$Q$3058,$A$2:$A$3058,A115,$P$2:$P$3058,"OK"),"KEEP","DROP"))</f>
        <v/>
      </c>
      <c r="T115" s="9" t="n">
        <f aca="false">IF(A115="",1,0)</f>
        <v>0</v>
      </c>
      <c r="U115" s="9" t="n">
        <f aca="false">IF(D115="",1,0)</f>
        <v>0</v>
      </c>
      <c r="V115" s="9" t="n">
        <f aca="false">IF(E115="",1,0)</f>
        <v>0</v>
      </c>
      <c r="W115" s="9" t="n">
        <f aca="false">IF(OR(H115&lt;1,H115&gt;10),1,0)</f>
        <v>0</v>
      </c>
      <c r="X115" s="9" t="n">
        <f aca="false">IF(OR(I115&lt;=0,I115&gt;1500),1,0)</f>
        <v>0</v>
      </c>
      <c r="Y115" s="9" t="n">
        <f aca="false">IF(J115&gt;H115*I115,1,0)</f>
        <v>0</v>
      </c>
      <c r="Z115" s="9" t="n">
        <f aca="false">IF(AND(N115&lt;&gt;"",OR(N115&lt;1,N115&gt;5)),1,0)</f>
        <v>0</v>
      </c>
      <c r="AA115" s="9" t="n">
        <f aca="false">IF(AND(M115&lt;&gt;"",OR(M115&lt;5,M115&gt;180)),1,0)</f>
        <v>0</v>
      </c>
      <c r="AB115" s="7" t="str">
        <f aca="false">IF(P115="DUP","Exact duplicate row",IF(T115=1,"Missing Order ID",IF(S115="DROP","Duplicate Order ID (less complete row)",IF(U115=1,"Missing Customer ID",IF(V115=1,"Missing Restaurant name",IF(W115=1,"Invalid/outlier quantity",IF(X115=1,"Invalid/outlier unit price",IF(Y115=1,"Discount greater than order value",""))))))))</f>
        <v/>
      </c>
      <c r="AC115" s="7" t="str">
        <f aca="false">IF(AB115="","KEEP","DROP")</f>
        <v>KEEP</v>
      </c>
      <c r="AD115" s="7" t="str">
        <f aca="false">IF(TRIM(F115)="",IFERROR(INDEX(Map_Tables!$I$4:$I$37,MATCH(TRIM(E115),Map_Tables!$G$4:$G$37,0)),""),IFERROR(INDEX(Map_Tables!$B$4:$B$18,MATCH(TRIM(F115),Map_Tables!$A$4:$A$18,0)),"CHECK"))</f>
        <v>Delhi</v>
      </c>
      <c r="AE115" s="7" t="str">
        <f aca="false">IF(TRIM(E115)="","",IFERROR(INDEX(Map_Tables!$H$4:$H$37,MATCH(TRIM(E115),Map_Tables!$G$4:$G$37,0)),"CHECK"))</f>
        <v>Tandoor Tales</v>
      </c>
      <c r="AF115" s="7" t="str">
        <f aca="false">IF(TRIM(K115)="","Unknown",IFERROR(INDEX(Map_Tables!$E$4:$E$15,MATCH(TRIM(K115),Map_Tables!$D$4:$D$15,0)),"CHECK"))</f>
        <v>UPI</v>
      </c>
      <c r="AG115" s="7" t="str">
        <f aca="false">IF(LEFT(LOWER(TRIM(L115)),6)="cancel","Cancelled","Delivered")</f>
        <v>Delivered</v>
      </c>
      <c r="AH115" s="10" t="n">
        <f aca="false">IF(ISNUMBER(SEARCH("/",B115)),DATE(VALUE(RIGHT(B115,4)),VALUE(MID(B115,4,2)),VALUE(LEFT(B115,2))),IF(MID(B115,5,1)="-",DATE(VALUE(LEFT(B115,4)),VALUE(MID(B115,6,2)),VALUE(RIGHT(B115,2))),DATE(VALUE(RIGHT(B115,4)),MATCH(MID(B115,4,3),{"Jan","Feb","Mar","Apr","May","Jun","Jul","Aug","Sep","Oct","Nov","Dec"},0),VALUE(LEFT(B115,2)))))</f>
        <v>45810</v>
      </c>
    </row>
    <row r="116" customFormat="false" ht="15" hidden="false" customHeight="false" outlineLevel="0" collapsed="false">
      <c r="A116" s="7" t="s">
        <v>650</v>
      </c>
      <c r="B116" s="7" t="s">
        <v>283</v>
      </c>
      <c r="C116" s="7" t="s">
        <v>651</v>
      </c>
      <c r="D116" s="7" t="s">
        <v>652</v>
      </c>
      <c r="E116" s="7" t="s">
        <v>142</v>
      </c>
      <c r="F116" s="7" t="s">
        <v>110</v>
      </c>
      <c r="G116" s="7" t="s">
        <v>105</v>
      </c>
      <c r="H116" s="7" t="n">
        <v>3</v>
      </c>
      <c r="I116" s="7" t="n">
        <v>170</v>
      </c>
      <c r="J116" s="7" t="n">
        <v>0</v>
      </c>
      <c r="K116" s="7" t="s">
        <v>88</v>
      </c>
      <c r="L116" s="7" t="s">
        <v>238</v>
      </c>
      <c r="M116" s="7"/>
      <c r="N116" s="7"/>
      <c r="O116" s="7" t="str">
        <f aca="false">A116&amp;"|"&amp;B116&amp;"|"&amp;C116&amp;"|"&amp;D116&amp;"|"&amp;E116&amp;"|"&amp;F116&amp;"|"&amp;G116&amp;"|"&amp;H116&amp;"|"&amp;I116&amp;"|"&amp;J116&amp;"|"&amp;K116&amp;"|"&amp;L116&amp;"|"&amp;M116&amp;"|"&amp;N116</f>
        <v>ORD12441|2025-11-03|12:53|C1467|Momo Magic|Delhi|Chinese|3|170|0|UPI|Cancelled||</v>
      </c>
      <c r="P116" s="7" t="str">
        <f aca="false">IF(COUNTIF($O$2:O116,O116)&gt;1,"DUP","OK")</f>
        <v>OK</v>
      </c>
      <c r="Q116" s="7" t="n">
        <f aca="false">COUNTBLANK(A116:N116)</f>
        <v>2</v>
      </c>
      <c r="R116" s="7" t="n">
        <f aca="false">IF(A116="",0,COUNTIFS($A$2:$A$3058,A116,$P$2:$P$3058,"OK"))</f>
        <v>1</v>
      </c>
      <c r="S116" s="7" t="str">
        <f aca="false">IF(OR(A116="",P116="DUP",R116&lt;2),"",IF(Q116=_xlfn.MINIFS($Q$2:$Q$3058,$A$2:$A$3058,A116,$P$2:$P$3058,"OK"),"KEEP","DROP"))</f>
        <v/>
      </c>
      <c r="T116" s="9" t="n">
        <f aca="false">IF(A116="",1,0)</f>
        <v>0</v>
      </c>
      <c r="U116" s="9" t="n">
        <f aca="false">IF(D116="",1,0)</f>
        <v>0</v>
      </c>
      <c r="V116" s="9" t="n">
        <f aca="false">IF(E116="",1,0)</f>
        <v>0</v>
      </c>
      <c r="W116" s="9" t="n">
        <f aca="false">IF(OR(H116&lt;1,H116&gt;10),1,0)</f>
        <v>0</v>
      </c>
      <c r="X116" s="9" t="n">
        <f aca="false">IF(OR(I116&lt;=0,I116&gt;1500),1,0)</f>
        <v>0</v>
      </c>
      <c r="Y116" s="9" t="n">
        <f aca="false">IF(J116&gt;H116*I116,1,0)</f>
        <v>0</v>
      </c>
      <c r="Z116" s="9" t="n">
        <f aca="false">IF(AND(N116&lt;&gt;"",OR(N116&lt;1,N116&gt;5)),1,0)</f>
        <v>0</v>
      </c>
      <c r="AA116" s="9" t="n">
        <f aca="false">IF(AND(M116&lt;&gt;"",OR(M116&lt;5,M116&gt;180)),1,0)</f>
        <v>0</v>
      </c>
      <c r="AB116" s="7" t="str">
        <f aca="false">IF(P116="DUP","Exact duplicate row",IF(T116=1,"Missing Order ID",IF(S116="DROP","Duplicate Order ID (less complete row)",IF(U116=1,"Missing Customer ID",IF(V116=1,"Missing Restaurant name",IF(W116=1,"Invalid/outlier quantity",IF(X116=1,"Invalid/outlier unit price",IF(Y116=1,"Discount greater than order value",""))))))))</f>
        <v/>
      </c>
      <c r="AC116" s="7" t="str">
        <f aca="false">IF(AB116="","KEEP","DROP")</f>
        <v>KEEP</v>
      </c>
      <c r="AD116" s="7" t="str">
        <f aca="false">IF(TRIM(F116)="",IFERROR(INDEX(Map_Tables!$I$4:$I$37,MATCH(TRIM(E116),Map_Tables!$G$4:$G$37,0)),""),IFERROR(INDEX(Map_Tables!$B$4:$B$18,MATCH(TRIM(F116),Map_Tables!$A$4:$A$18,0)),"CHECK"))</f>
        <v>Delhi</v>
      </c>
      <c r="AE116" s="7" t="str">
        <f aca="false">IF(TRIM(E116)="","",IFERROR(INDEX(Map_Tables!$H$4:$H$37,MATCH(TRIM(E116),Map_Tables!$G$4:$G$37,0)),"CHECK"))</f>
        <v>Momo Magic</v>
      </c>
      <c r="AF116" s="7" t="str">
        <f aca="false">IF(TRIM(K116)="","Unknown",IFERROR(INDEX(Map_Tables!$E$4:$E$15,MATCH(TRIM(K116),Map_Tables!$D$4:$D$15,0)),"CHECK"))</f>
        <v>UPI</v>
      </c>
      <c r="AG116" s="7" t="str">
        <f aca="false">IF(LEFT(LOWER(TRIM(L116)),6)="cancel","Cancelled","Delivered")</f>
        <v>Cancelled</v>
      </c>
      <c r="AH116" s="10" t="n">
        <f aca="false">IF(ISNUMBER(SEARCH("/",B116)),DATE(VALUE(RIGHT(B116,4)),VALUE(MID(B116,4,2)),VALUE(LEFT(B116,2))),IF(MID(B116,5,1)="-",DATE(VALUE(LEFT(B116,4)),VALUE(MID(B116,6,2)),VALUE(RIGHT(B116,2))),DATE(VALUE(RIGHT(B116,4)),MATCH(MID(B116,4,3),{"Jan","Feb","Mar","Apr","May","Jun","Jul","Aug","Sep","Oct","Nov","Dec"},0),VALUE(LEFT(B116,2)))))</f>
        <v>45964</v>
      </c>
    </row>
    <row r="117" customFormat="false" ht="15" hidden="false" customHeight="false" outlineLevel="0" collapsed="false">
      <c r="A117" s="7" t="s">
        <v>653</v>
      </c>
      <c r="B117" s="7" t="s">
        <v>654</v>
      </c>
      <c r="C117" s="7" t="s">
        <v>655</v>
      </c>
      <c r="D117" s="7" t="s">
        <v>635</v>
      </c>
      <c r="E117" s="7" t="s">
        <v>113</v>
      </c>
      <c r="F117" s="7" t="s">
        <v>101</v>
      </c>
      <c r="G117" s="7" t="s">
        <v>90</v>
      </c>
      <c r="H117" s="7" t="n">
        <v>2</v>
      </c>
      <c r="I117" s="7" t="n">
        <v>235</v>
      </c>
      <c r="J117" s="7" t="n">
        <v>0</v>
      </c>
      <c r="K117" s="7" t="s">
        <v>526</v>
      </c>
      <c r="L117" s="7" t="s">
        <v>194</v>
      </c>
      <c r="M117" s="7" t="n">
        <v>37</v>
      </c>
      <c r="N117" s="7" t="n">
        <v>5</v>
      </c>
      <c r="O117" s="7" t="str">
        <f aca="false">A117&amp;"|"&amp;B117&amp;"|"&amp;C117&amp;"|"&amp;D117&amp;"|"&amp;E117&amp;"|"&amp;F117&amp;"|"&amp;G117&amp;"|"&amp;H117&amp;"|"&amp;I117&amp;"|"&amp;J117&amp;"|"&amp;K117&amp;"|"&amp;L117&amp;"|"&amp;M117&amp;"|"&amp;N117</f>
        <v>ORD11145|2025-05-26|19:22|C0054|Curry Leaf Kitchen|Mumbai|North Indian|2|235|0|DC|Delivered|37|5</v>
      </c>
      <c r="P117" s="7" t="str">
        <f aca="false">IF(COUNTIF($O$2:O117,O117)&gt;1,"DUP","OK")</f>
        <v>OK</v>
      </c>
      <c r="Q117" s="7" t="n">
        <f aca="false">COUNTBLANK(A117:N117)</f>
        <v>0</v>
      </c>
      <c r="R117" s="7" t="n">
        <f aca="false">IF(A117="",0,COUNTIFS($A$2:$A$3058,A117,$P$2:$P$3058,"OK"))</f>
        <v>1</v>
      </c>
      <c r="S117" s="7" t="str">
        <f aca="false">IF(OR(A117="",P117="DUP",R117&lt;2),"",IF(Q117=_xlfn.MINIFS($Q$2:$Q$3058,$A$2:$A$3058,A117,$P$2:$P$3058,"OK"),"KEEP","DROP"))</f>
        <v/>
      </c>
      <c r="T117" s="9" t="n">
        <f aca="false">IF(A117="",1,0)</f>
        <v>0</v>
      </c>
      <c r="U117" s="9" t="n">
        <f aca="false">IF(D117="",1,0)</f>
        <v>0</v>
      </c>
      <c r="V117" s="9" t="n">
        <f aca="false">IF(E117="",1,0)</f>
        <v>0</v>
      </c>
      <c r="W117" s="9" t="n">
        <f aca="false">IF(OR(H117&lt;1,H117&gt;10),1,0)</f>
        <v>0</v>
      </c>
      <c r="X117" s="9" t="n">
        <f aca="false">IF(OR(I117&lt;=0,I117&gt;1500),1,0)</f>
        <v>0</v>
      </c>
      <c r="Y117" s="9" t="n">
        <f aca="false">IF(J117&gt;H117*I117,1,0)</f>
        <v>0</v>
      </c>
      <c r="Z117" s="9" t="n">
        <f aca="false">IF(AND(N117&lt;&gt;"",OR(N117&lt;1,N117&gt;5)),1,0)</f>
        <v>0</v>
      </c>
      <c r="AA117" s="9" t="n">
        <f aca="false">IF(AND(M117&lt;&gt;"",OR(M117&lt;5,M117&gt;180)),1,0)</f>
        <v>0</v>
      </c>
      <c r="AB117" s="7" t="str">
        <f aca="false">IF(P117="DUP","Exact duplicate row",IF(T117=1,"Missing Order ID",IF(S117="DROP","Duplicate Order ID (less complete row)",IF(U117=1,"Missing Customer ID",IF(V117=1,"Missing Restaurant name",IF(W117=1,"Invalid/outlier quantity",IF(X117=1,"Invalid/outlier unit price",IF(Y117=1,"Discount greater than order value",""))))))))</f>
        <v/>
      </c>
      <c r="AC117" s="7" t="str">
        <f aca="false">IF(AB117="","KEEP","DROP")</f>
        <v>KEEP</v>
      </c>
      <c r="AD117" s="7" t="str">
        <f aca="false">IF(TRIM(F117)="",IFERROR(INDEX(Map_Tables!$I$4:$I$37,MATCH(TRIM(E117),Map_Tables!$G$4:$G$37,0)),""),IFERROR(INDEX(Map_Tables!$B$4:$B$18,MATCH(TRIM(F117),Map_Tables!$A$4:$A$18,0)),"CHECK"))</f>
        <v>Mumbai</v>
      </c>
      <c r="AE117" s="7" t="str">
        <f aca="false">IF(TRIM(E117)="","",IFERROR(INDEX(Map_Tables!$H$4:$H$37,MATCH(TRIM(E117),Map_Tables!$G$4:$G$37,0)),"CHECK"))</f>
        <v>Curry Leaf Kitchen</v>
      </c>
      <c r="AF117" s="7" t="str">
        <f aca="false">IF(TRIM(K117)="","Unknown",IFERROR(INDEX(Map_Tables!$E$4:$E$15,MATCH(TRIM(K117),Map_Tables!$D$4:$D$15,0)),"CHECK"))</f>
        <v>Debit Card</v>
      </c>
      <c r="AG117" s="7" t="str">
        <f aca="false">IF(LEFT(LOWER(TRIM(L117)),6)="cancel","Cancelled","Delivered")</f>
        <v>Delivered</v>
      </c>
      <c r="AH117" s="10" t="n">
        <f aca="false">IF(ISNUMBER(SEARCH("/",B117)),DATE(VALUE(RIGHT(B117,4)),VALUE(MID(B117,4,2)),VALUE(LEFT(B117,2))),IF(MID(B117,5,1)="-",DATE(VALUE(LEFT(B117,4)),VALUE(MID(B117,6,2)),VALUE(RIGHT(B117,2))),DATE(VALUE(RIGHT(B117,4)),MATCH(MID(B117,4,3),{"Jan","Feb","Mar","Apr","May","Jun","Jul","Aug","Sep","Oct","Nov","Dec"},0),VALUE(LEFT(B117,2)))))</f>
        <v>45803</v>
      </c>
    </row>
    <row r="118" customFormat="false" ht="15" hidden="false" customHeight="false" outlineLevel="0" collapsed="false">
      <c r="A118" s="7" t="s">
        <v>656</v>
      </c>
      <c r="B118" s="7" t="s">
        <v>657</v>
      </c>
      <c r="C118" s="7" t="s">
        <v>478</v>
      </c>
      <c r="D118" s="7" t="s">
        <v>658</v>
      </c>
      <c r="E118" s="7" t="s">
        <v>154</v>
      </c>
      <c r="F118" s="7" t="s">
        <v>128</v>
      </c>
      <c r="G118" s="7" t="s">
        <v>99</v>
      </c>
      <c r="H118" s="7" t="n">
        <v>1</v>
      </c>
      <c r="I118" s="7" t="n">
        <v>290</v>
      </c>
      <c r="J118" s="7" t="n">
        <v>0</v>
      </c>
      <c r="K118" s="7" t="s">
        <v>93</v>
      </c>
      <c r="L118" s="7" t="s">
        <v>194</v>
      </c>
      <c r="M118" s="7" t="n">
        <v>35</v>
      </c>
      <c r="N118" s="7" t="n">
        <v>3</v>
      </c>
      <c r="O118" s="7" t="str">
        <f aca="false">A118&amp;"|"&amp;B118&amp;"|"&amp;C118&amp;"|"&amp;D118&amp;"|"&amp;E118&amp;"|"&amp;F118&amp;"|"&amp;G118&amp;"|"&amp;H118&amp;"|"&amp;I118&amp;"|"&amp;J118&amp;"|"&amp;K118&amp;"|"&amp;L118&amp;"|"&amp;M118&amp;"|"&amp;N118</f>
        <v>ORD11309|18-Jun-2025|20:03|C0610|Madras Biryani Co|Chennai|Biryani|1|290|0|Credit Card|Delivered|35|3</v>
      </c>
      <c r="P118" s="7" t="str">
        <f aca="false">IF(COUNTIF($O$2:O118,O118)&gt;1,"DUP","OK")</f>
        <v>OK</v>
      </c>
      <c r="Q118" s="7" t="n">
        <f aca="false">COUNTBLANK(A118:N118)</f>
        <v>0</v>
      </c>
      <c r="R118" s="7" t="n">
        <f aca="false">IF(A118="",0,COUNTIFS($A$2:$A$3058,A118,$P$2:$P$3058,"OK"))</f>
        <v>1</v>
      </c>
      <c r="S118" s="7" t="str">
        <f aca="false">IF(OR(A118="",P118="DUP",R118&lt;2),"",IF(Q118=_xlfn.MINIFS($Q$2:$Q$3058,$A$2:$A$3058,A118,$P$2:$P$3058,"OK"),"KEEP","DROP"))</f>
        <v/>
      </c>
      <c r="T118" s="9" t="n">
        <f aca="false">IF(A118="",1,0)</f>
        <v>0</v>
      </c>
      <c r="U118" s="9" t="n">
        <f aca="false">IF(D118="",1,0)</f>
        <v>0</v>
      </c>
      <c r="V118" s="9" t="n">
        <f aca="false">IF(E118="",1,0)</f>
        <v>0</v>
      </c>
      <c r="W118" s="9" t="n">
        <f aca="false">IF(OR(H118&lt;1,H118&gt;10),1,0)</f>
        <v>0</v>
      </c>
      <c r="X118" s="9" t="n">
        <f aca="false">IF(OR(I118&lt;=0,I118&gt;1500),1,0)</f>
        <v>0</v>
      </c>
      <c r="Y118" s="9" t="n">
        <f aca="false">IF(J118&gt;H118*I118,1,0)</f>
        <v>0</v>
      </c>
      <c r="Z118" s="9" t="n">
        <f aca="false">IF(AND(N118&lt;&gt;"",OR(N118&lt;1,N118&gt;5)),1,0)</f>
        <v>0</v>
      </c>
      <c r="AA118" s="9" t="n">
        <f aca="false">IF(AND(M118&lt;&gt;"",OR(M118&lt;5,M118&gt;180)),1,0)</f>
        <v>0</v>
      </c>
      <c r="AB118" s="7" t="str">
        <f aca="false">IF(P118="DUP","Exact duplicate row",IF(T118=1,"Missing Order ID",IF(S118="DROP","Duplicate Order ID (less complete row)",IF(U118=1,"Missing Customer ID",IF(V118=1,"Missing Restaurant name",IF(W118=1,"Invalid/outlier quantity",IF(X118=1,"Invalid/outlier unit price",IF(Y118=1,"Discount greater than order value",""))))))))</f>
        <v/>
      </c>
      <c r="AC118" s="7" t="str">
        <f aca="false">IF(AB118="","KEEP","DROP")</f>
        <v>KEEP</v>
      </c>
      <c r="AD118" s="7" t="str">
        <f aca="false">IF(TRIM(F118)="",IFERROR(INDEX(Map_Tables!$I$4:$I$37,MATCH(TRIM(E118),Map_Tables!$G$4:$G$37,0)),""),IFERROR(INDEX(Map_Tables!$B$4:$B$18,MATCH(TRIM(F118),Map_Tables!$A$4:$A$18,0)),"CHECK"))</f>
        <v>Chennai</v>
      </c>
      <c r="AE118" s="7" t="str">
        <f aca="false">IF(TRIM(E118)="","",IFERROR(INDEX(Map_Tables!$H$4:$H$37,MATCH(TRIM(E118),Map_Tables!$G$4:$G$37,0)),"CHECK"))</f>
        <v>Madras Biryani Co</v>
      </c>
      <c r="AF118" s="7" t="str">
        <f aca="false">IF(TRIM(K118)="","Unknown",IFERROR(INDEX(Map_Tables!$E$4:$E$15,MATCH(TRIM(K118),Map_Tables!$D$4:$D$15,0)),"CHECK"))</f>
        <v>Credit Card</v>
      </c>
      <c r="AG118" s="7" t="str">
        <f aca="false">IF(LEFT(LOWER(TRIM(L118)),6)="cancel","Cancelled","Delivered")</f>
        <v>Delivered</v>
      </c>
      <c r="AH118" s="10" t="n">
        <f aca="false">IF(ISNUMBER(SEARCH("/",B118)),DATE(VALUE(RIGHT(B118,4)),VALUE(MID(B118,4,2)),VALUE(LEFT(B118,2))),IF(MID(B118,5,1)="-",DATE(VALUE(LEFT(B118,4)),VALUE(MID(B118,6,2)),VALUE(RIGHT(B118,2))),DATE(VALUE(RIGHT(B118,4)),MATCH(MID(B118,4,3),{"Jan","Feb","Mar","Apr","May","Jun","Jul","Aug","Sep","Oct","Nov","Dec"},0),VALUE(LEFT(B118,2)))))</f>
        <v>45826</v>
      </c>
    </row>
    <row r="119" customFormat="false" ht="15" hidden="false" customHeight="false" outlineLevel="0" collapsed="false">
      <c r="A119" s="7" t="s">
        <v>659</v>
      </c>
      <c r="B119" s="7" t="s">
        <v>660</v>
      </c>
      <c r="C119" s="7" t="s">
        <v>661</v>
      </c>
      <c r="D119" s="7" t="s">
        <v>662</v>
      </c>
      <c r="E119" s="7" t="s">
        <v>154</v>
      </c>
      <c r="F119" s="7" t="s">
        <v>128</v>
      </c>
      <c r="G119" s="7" t="s">
        <v>99</v>
      </c>
      <c r="H119" s="7" t="n">
        <v>2</v>
      </c>
      <c r="I119" s="7" t="n">
        <v>255</v>
      </c>
      <c r="J119" s="7" t="n">
        <v>40</v>
      </c>
      <c r="K119" s="7" t="s">
        <v>93</v>
      </c>
      <c r="L119" s="7" t="s">
        <v>194</v>
      </c>
      <c r="M119" s="7" t="n">
        <v>33</v>
      </c>
      <c r="N119" s="7" t="n">
        <v>3</v>
      </c>
      <c r="O119" s="7" t="str">
        <f aca="false">A119&amp;"|"&amp;B119&amp;"|"&amp;C119&amp;"|"&amp;D119&amp;"|"&amp;E119&amp;"|"&amp;F119&amp;"|"&amp;G119&amp;"|"&amp;H119&amp;"|"&amp;I119&amp;"|"&amp;J119&amp;"|"&amp;K119&amp;"|"&amp;L119&amp;"|"&amp;M119&amp;"|"&amp;N119</f>
        <v>ORD12978|2025-12-29|12:35|C0894|Madras Biryani Co|Chennai|Biryani|2|255|40|Credit Card|Delivered|33|3</v>
      </c>
      <c r="P119" s="7" t="str">
        <f aca="false">IF(COUNTIF($O$2:O119,O119)&gt;1,"DUP","OK")</f>
        <v>OK</v>
      </c>
      <c r="Q119" s="7" t="n">
        <f aca="false">COUNTBLANK(A119:N119)</f>
        <v>0</v>
      </c>
      <c r="R119" s="7" t="n">
        <f aca="false">IF(A119="",0,COUNTIFS($A$2:$A$3058,A119,$P$2:$P$3058,"OK"))</f>
        <v>1</v>
      </c>
      <c r="S119" s="7" t="str">
        <f aca="false">IF(OR(A119="",P119="DUP",R119&lt;2),"",IF(Q119=_xlfn.MINIFS($Q$2:$Q$3058,$A$2:$A$3058,A119,$P$2:$P$3058,"OK"),"KEEP","DROP"))</f>
        <v/>
      </c>
      <c r="T119" s="9" t="n">
        <f aca="false">IF(A119="",1,0)</f>
        <v>0</v>
      </c>
      <c r="U119" s="9" t="n">
        <f aca="false">IF(D119="",1,0)</f>
        <v>0</v>
      </c>
      <c r="V119" s="9" t="n">
        <f aca="false">IF(E119="",1,0)</f>
        <v>0</v>
      </c>
      <c r="W119" s="9" t="n">
        <f aca="false">IF(OR(H119&lt;1,H119&gt;10),1,0)</f>
        <v>0</v>
      </c>
      <c r="X119" s="9" t="n">
        <f aca="false">IF(OR(I119&lt;=0,I119&gt;1500),1,0)</f>
        <v>0</v>
      </c>
      <c r="Y119" s="9" t="n">
        <f aca="false">IF(J119&gt;H119*I119,1,0)</f>
        <v>0</v>
      </c>
      <c r="Z119" s="9" t="n">
        <f aca="false">IF(AND(N119&lt;&gt;"",OR(N119&lt;1,N119&gt;5)),1,0)</f>
        <v>0</v>
      </c>
      <c r="AA119" s="9" t="n">
        <f aca="false">IF(AND(M119&lt;&gt;"",OR(M119&lt;5,M119&gt;180)),1,0)</f>
        <v>0</v>
      </c>
      <c r="AB119" s="7" t="str">
        <f aca="false">IF(P119="DUP","Exact duplicate row",IF(T119=1,"Missing Order ID",IF(S119="DROP","Duplicate Order ID (less complete row)",IF(U119=1,"Missing Customer ID",IF(V119=1,"Missing Restaurant name",IF(W119=1,"Invalid/outlier quantity",IF(X119=1,"Invalid/outlier unit price",IF(Y119=1,"Discount greater than order value",""))))))))</f>
        <v/>
      </c>
      <c r="AC119" s="7" t="str">
        <f aca="false">IF(AB119="","KEEP","DROP")</f>
        <v>KEEP</v>
      </c>
      <c r="AD119" s="7" t="str">
        <f aca="false">IF(TRIM(F119)="",IFERROR(INDEX(Map_Tables!$I$4:$I$37,MATCH(TRIM(E119),Map_Tables!$G$4:$G$37,0)),""),IFERROR(INDEX(Map_Tables!$B$4:$B$18,MATCH(TRIM(F119),Map_Tables!$A$4:$A$18,0)),"CHECK"))</f>
        <v>Chennai</v>
      </c>
      <c r="AE119" s="7" t="str">
        <f aca="false">IF(TRIM(E119)="","",IFERROR(INDEX(Map_Tables!$H$4:$H$37,MATCH(TRIM(E119),Map_Tables!$G$4:$G$37,0)),"CHECK"))</f>
        <v>Madras Biryani Co</v>
      </c>
      <c r="AF119" s="7" t="str">
        <f aca="false">IF(TRIM(K119)="","Unknown",IFERROR(INDEX(Map_Tables!$E$4:$E$15,MATCH(TRIM(K119),Map_Tables!$D$4:$D$15,0)),"CHECK"))</f>
        <v>Credit Card</v>
      </c>
      <c r="AG119" s="7" t="str">
        <f aca="false">IF(LEFT(LOWER(TRIM(L119)),6)="cancel","Cancelled","Delivered")</f>
        <v>Delivered</v>
      </c>
      <c r="AH119" s="10" t="n">
        <f aca="false">IF(ISNUMBER(SEARCH("/",B119)),DATE(VALUE(RIGHT(B119,4)),VALUE(MID(B119,4,2)),VALUE(LEFT(B119,2))),IF(MID(B119,5,1)="-",DATE(VALUE(LEFT(B119,4)),VALUE(MID(B119,6,2)),VALUE(RIGHT(B119,2))),DATE(VALUE(RIGHT(B119,4)),MATCH(MID(B119,4,3),{"Jan","Feb","Mar","Apr","May","Jun","Jul","Aug","Sep","Oct","Nov","Dec"},0),VALUE(LEFT(B119,2)))))</f>
        <v>46020</v>
      </c>
    </row>
    <row r="120" customFormat="false" ht="15" hidden="false" customHeight="false" outlineLevel="0" collapsed="false">
      <c r="A120" s="7" t="s">
        <v>663</v>
      </c>
      <c r="B120" s="7" t="s">
        <v>664</v>
      </c>
      <c r="C120" s="7" t="s">
        <v>377</v>
      </c>
      <c r="D120" s="7" t="s">
        <v>665</v>
      </c>
      <c r="E120" s="7" t="s">
        <v>89</v>
      </c>
      <c r="F120" s="7" t="s">
        <v>86</v>
      </c>
      <c r="G120" s="7" t="s">
        <v>90</v>
      </c>
      <c r="H120" s="7" t="n">
        <v>2</v>
      </c>
      <c r="I120" s="7" t="n">
        <v>210</v>
      </c>
      <c r="J120" s="7" t="n">
        <v>0</v>
      </c>
      <c r="K120" s="7" t="s">
        <v>88</v>
      </c>
      <c r="L120" s="7" t="s">
        <v>194</v>
      </c>
      <c r="M120" s="7" t="n">
        <v>43</v>
      </c>
      <c r="N120" s="7" t="n">
        <v>5</v>
      </c>
      <c r="O120" s="7" t="str">
        <f aca="false">A120&amp;"|"&amp;B120&amp;"|"&amp;C120&amp;"|"&amp;D120&amp;"|"&amp;E120&amp;"|"&amp;F120&amp;"|"&amp;G120&amp;"|"&amp;H120&amp;"|"&amp;I120&amp;"|"&amp;J120&amp;"|"&amp;K120&amp;"|"&amp;L120&amp;"|"&amp;M120&amp;"|"&amp;N120</f>
        <v>ORD10865|19/04/2025|12:00|C1010|Spice Junction|Bengaluru|North Indian|2|210|0|UPI|Delivered|43|5</v>
      </c>
      <c r="P120" s="7" t="str">
        <f aca="false">IF(COUNTIF($O$2:O120,O120)&gt;1,"DUP","OK")</f>
        <v>OK</v>
      </c>
      <c r="Q120" s="7" t="n">
        <f aca="false">COUNTBLANK(A120:N120)</f>
        <v>0</v>
      </c>
      <c r="R120" s="7" t="n">
        <f aca="false">IF(A120="",0,COUNTIFS($A$2:$A$3058,A120,$P$2:$P$3058,"OK"))</f>
        <v>1</v>
      </c>
      <c r="S120" s="7" t="str">
        <f aca="false">IF(OR(A120="",P120="DUP",R120&lt;2),"",IF(Q120=_xlfn.MINIFS($Q$2:$Q$3058,$A$2:$A$3058,A120,$P$2:$P$3058,"OK"),"KEEP","DROP"))</f>
        <v/>
      </c>
      <c r="T120" s="9" t="n">
        <f aca="false">IF(A120="",1,0)</f>
        <v>0</v>
      </c>
      <c r="U120" s="9" t="n">
        <f aca="false">IF(D120="",1,0)</f>
        <v>0</v>
      </c>
      <c r="V120" s="9" t="n">
        <f aca="false">IF(E120="",1,0)</f>
        <v>0</v>
      </c>
      <c r="W120" s="9" t="n">
        <f aca="false">IF(OR(H120&lt;1,H120&gt;10),1,0)</f>
        <v>0</v>
      </c>
      <c r="X120" s="9" t="n">
        <f aca="false">IF(OR(I120&lt;=0,I120&gt;1500),1,0)</f>
        <v>0</v>
      </c>
      <c r="Y120" s="9" t="n">
        <f aca="false">IF(J120&gt;H120*I120,1,0)</f>
        <v>0</v>
      </c>
      <c r="Z120" s="9" t="n">
        <f aca="false">IF(AND(N120&lt;&gt;"",OR(N120&lt;1,N120&gt;5)),1,0)</f>
        <v>0</v>
      </c>
      <c r="AA120" s="9" t="n">
        <f aca="false">IF(AND(M120&lt;&gt;"",OR(M120&lt;5,M120&gt;180)),1,0)</f>
        <v>0</v>
      </c>
      <c r="AB120" s="7" t="str">
        <f aca="false">IF(P120="DUP","Exact duplicate row",IF(T120=1,"Missing Order ID",IF(S120="DROP","Duplicate Order ID (less complete row)",IF(U120=1,"Missing Customer ID",IF(V120=1,"Missing Restaurant name",IF(W120=1,"Invalid/outlier quantity",IF(X120=1,"Invalid/outlier unit price",IF(Y120=1,"Discount greater than order value",""))))))))</f>
        <v/>
      </c>
      <c r="AC120" s="7" t="str">
        <f aca="false">IF(AB120="","KEEP","DROP")</f>
        <v>KEEP</v>
      </c>
      <c r="AD120" s="7" t="str">
        <f aca="false">IF(TRIM(F120)="",IFERROR(INDEX(Map_Tables!$I$4:$I$37,MATCH(TRIM(E120),Map_Tables!$G$4:$G$37,0)),""),IFERROR(INDEX(Map_Tables!$B$4:$B$18,MATCH(TRIM(F120),Map_Tables!$A$4:$A$18,0)),"CHECK"))</f>
        <v>Bengaluru</v>
      </c>
      <c r="AE120" s="7" t="str">
        <f aca="false">IF(TRIM(E120)="","",IFERROR(INDEX(Map_Tables!$H$4:$H$37,MATCH(TRIM(E120),Map_Tables!$G$4:$G$37,0)),"CHECK"))</f>
        <v>Spice Junction</v>
      </c>
      <c r="AF120" s="7" t="str">
        <f aca="false">IF(TRIM(K120)="","Unknown",IFERROR(INDEX(Map_Tables!$E$4:$E$15,MATCH(TRIM(K120),Map_Tables!$D$4:$D$15,0)),"CHECK"))</f>
        <v>UPI</v>
      </c>
      <c r="AG120" s="7" t="str">
        <f aca="false">IF(LEFT(LOWER(TRIM(L120)),6)="cancel","Cancelled","Delivered")</f>
        <v>Delivered</v>
      </c>
      <c r="AH120" s="10" t="n">
        <f aca="false">IF(ISNUMBER(SEARCH("/",B120)),DATE(VALUE(RIGHT(B120,4)),VALUE(MID(B120,4,2)),VALUE(LEFT(B120,2))),IF(MID(B120,5,1)="-",DATE(VALUE(LEFT(B120,4)),VALUE(MID(B120,6,2)),VALUE(RIGHT(B120,2))),DATE(VALUE(RIGHT(B120,4)),MATCH(MID(B120,4,3),{"Jan","Feb","Mar","Apr","May","Jun","Jul","Aug","Sep","Oct","Nov","Dec"},0),VALUE(LEFT(B120,2)))))</f>
        <v>45766</v>
      </c>
    </row>
    <row r="121" customFormat="false" ht="15" hidden="false" customHeight="false" outlineLevel="0" collapsed="false">
      <c r="A121" s="7" t="s">
        <v>666</v>
      </c>
      <c r="B121" s="7" t="s">
        <v>667</v>
      </c>
      <c r="C121" s="7" t="s">
        <v>668</v>
      </c>
      <c r="D121" s="7" t="s">
        <v>669</v>
      </c>
      <c r="E121" s="7" t="s">
        <v>98</v>
      </c>
      <c r="F121" s="7" t="s">
        <v>86</v>
      </c>
      <c r="G121" s="7" t="s">
        <v>99</v>
      </c>
      <c r="H121" s="7" t="n">
        <v>2</v>
      </c>
      <c r="I121" s="7" t="n">
        <v>280</v>
      </c>
      <c r="J121" s="7" t="n">
        <v>20</v>
      </c>
      <c r="K121" s="7" t="s">
        <v>121</v>
      </c>
      <c r="L121" s="7" t="s">
        <v>194</v>
      </c>
      <c r="M121" s="7" t="n">
        <v>57</v>
      </c>
      <c r="N121" s="7" t="n">
        <v>5</v>
      </c>
      <c r="O121" s="7" t="str">
        <f aca="false">A121&amp;"|"&amp;B121&amp;"|"&amp;C121&amp;"|"&amp;D121&amp;"|"&amp;E121&amp;"|"&amp;F121&amp;"|"&amp;G121&amp;"|"&amp;H121&amp;"|"&amp;I121&amp;"|"&amp;J121&amp;"|"&amp;K121&amp;"|"&amp;L121&amp;"|"&amp;M121&amp;"|"&amp;N121</f>
        <v>ORD10420|2025-02-26|13:33|C0765|Nawabi Biryani House|Bengaluru|Biryani|2|280|20|Wallet|Delivered|57|5</v>
      </c>
      <c r="P121" s="7" t="str">
        <f aca="false">IF(COUNTIF($O$2:O121,O121)&gt;1,"DUP","OK")</f>
        <v>OK</v>
      </c>
      <c r="Q121" s="7" t="n">
        <f aca="false">COUNTBLANK(A121:N121)</f>
        <v>0</v>
      </c>
      <c r="R121" s="7" t="n">
        <f aca="false">IF(A121="",0,COUNTIFS($A$2:$A$3058,A121,$P$2:$P$3058,"OK"))</f>
        <v>1</v>
      </c>
      <c r="S121" s="7" t="str">
        <f aca="false">IF(OR(A121="",P121="DUP",R121&lt;2),"",IF(Q121=_xlfn.MINIFS($Q$2:$Q$3058,$A$2:$A$3058,A121,$P$2:$P$3058,"OK"),"KEEP","DROP"))</f>
        <v/>
      </c>
      <c r="T121" s="9" t="n">
        <f aca="false">IF(A121="",1,0)</f>
        <v>0</v>
      </c>
      <c r="U121" s="9" t="n">
        <f aca="false">IF(D121="",1,0)</f>
        <v>0</v>
      </c>
      <c r="V121" s="9" t="n">
        <f aca="false">IF(E121="",1,0)</f>
        <v>0</v>
      </c>
      <c r="W121" s="9" t="n">
        <f aca="false">IF(OR(H121&lt;1,H121&gt;10),1,0)</f>
        <v>0</v>
      </c>
      <c r="X121" s="9" t="n">
        <f aca="false">IF(OR(I121&lt;=0,I121&gt;1500),1,0)</f>
        <v>0</v>
      </c>
      <c r="Y121" s="9" t="n">
        <f aca="false">IF(J121&gt;H121*I121,1,0)</f>
        <v>0</v>
      </c>
      <c r="Z121" s="9" t="n">
        <f aca="false">IF(AND(N121&lt;&gt;"",OR(N121&lt;1,N121&gt;5)),1,0)</f>
        <v>0</v>
      </c>
      <c r="AA121" s="9" t="n">
        <f aca="false">IF(AND(M121&lt;&gt;"",OR(M121&lt;5,M121&gt;180)),1,0)</f>
        <v>0</v>
      </c>
      <c r="AB121" s="7" t="str">
        <f aca="false">IF(P121="DUP","Exact duplicate row",IF(T121=1,"Missing Order ID",IF(S121="DROP","Duplicate Order ID (less complete row)",IF(U121=1,"Missing Customer ID",IF(V121=1,"Missing Restaurant name",IF(W121=1,"Invalid/outlier quantity",IF(X121=1,"Invalid/outlier unit price",IF(Y121=1,"Discount greater than order value",""))))))))</f>
        <v/>
      </c>
      <c r="AC121" s="7" t="str">
        <f aca="false">IF(AB121="","KEEP","DROP")</f>
        <v>KEEP</v>
      </c>
      <c r="AD121" s="7" t="str">
        <f aca="false">IF(TRIM(F121)="",IFERROR(INDEX(Map_Tables!$I$4:$I$37,MATCH(TRIM(E121),Map_Tables!$G$4:$G$37,0)),""),IFERROR(INDEX(Map_Tables!$B$4:$B$18,MATCH(TRIM(F121),Map_Tables!$A$4:$A$18,0)),"CHECK"))</f>
        <v>Bengaluru</v>
      </c>
      <c r="AE121" s="7" t="str">
        <f aca="false">IF(TRIM(E121)="","",IFERROR(INDEX(Map_Tables!$H$4:$H$37,MATCH(TRIM(E121),Map_Tables!$G$4:$G$37,0)),"CHECK"))</f>
        <v>Nawabi Biryani House</v>
      </c>
      <c r="AF121" s="7" t="str">
        <f aca="false">IF(TRIM(K121)="","Unknown",IFERROR(INDEX(Map_Tables!$E$4:$E$15,MATCH(TRIM(K121),Map_Tables!$D$4:$D$15,0)),"CHECK"))</f>
        <v>Wallet</v>
      </c>
      <c r="AG121" s="7" t="str">
        <f aca="false">IF(LEFT(LOWER(TRIM(L121)),6)="cancel","Cancelled","Delivered")</f>
        <v>Delivered</v>
      </c>
      <c r="AH121" s="10" t="n">
        <f aca="false">IF(ISNUMBER(SEARCH("/",B121)),DATE(VALUE(RIGHT(B121,4)),VALUE(MID(B121,4,2)),VALUE(LEFT(B121,2))),IF(MID(B121,5,1)="-",DATE(VALUE(LEFT(B121,4)),VALUE(MID(B121,6,2)),VALUE(RIGHT(B121,2))),DATE(VALUE(RIGHT(B121,4)),MATCH(MID(B121,4,3),{"Jan","Feb","Mar","Apr","May","Jun","Jul","Aug","Sep","Oct","Nov","Dec"},0),VALUE(LEFT(B121,2)))))</f>
        <v>45714</v>
      </c>
    </row>
    <row r="122" customFormat="false" ht="15" hidden="false" customHeight="false" outlineLevel="0" collapsed="false">
      <c r="A122" s="7" t="s">
        <v>670</v>
      </c>
      <c r="B122" s="7" t="s">
        <v>671</v>
      </c>
      <c r="C122" s="7" t="s">
        <v>672</v>
      </c>
      <c r="D122" s="7" t="s">
        <v>673</v>
      </c>
      <c r="E122" s="7" t="s">
        <v>130</v>
      </c>
      <c r="F122" s="7" t="s">
        <v>110</v>
      </c>
      <c r="G122" s="7" t="s">
        <v>90</v>
      </c>
      <c r="H122" s="7" t="n">
        <v>2</v>
      </c>
      <c r="I122" s="7" t="n">
        <v>320</v>
      </c>
      <c r="J122" s="7" t="n">
        <v>0</v>
      </c>
      <c r="K122" s="7" t="s">
        <v>93</v>
      </c>
      <c r="L122" s="7" t="s">
        <v>194</v>
      </c>
      <c r="M122" s="7" t="n">
        <v>45</v>
      </c>
      <c r="N122" s="7" t="n">
        <v>4</v>
      </c>
      <c r="O122" s="7" t="str">
        <f aca="false">A122&amp;"|"&amp;B122&amp;"|"&amp;C122&amp;"|"&amp;D122&amp;"|"&amp;E122&amp;"|"&amp;F122&amp;"|"&amp;G122&amp;"|"&amp;H122&amp;"|"&amp;I122&amp;"|"&amp;J122&amp;"|"&amp;K122&amp;"|"&amp;L122&amp;"|"&amp;M122&amp;"|"&amp;N122</f>
        <v>ORD12548|2025-11-14|10:47|C1316|Tandoor Tales|Delhi|North Indian|2|320|0|Credit Card|Delivered|45|4</v>
      </c>
      <c r="P122" s="7" t="str">
        <f aca="false">IF(COUNTIF($O$2:O122,O122)&gt;1,"DUP","OK")</f>
        <v>OK</v>
      </c>
      <c r="Q122" s="7" t="n">
        <f aca="false">COUNTBLANK(A122:N122)</f>
        <v>0</v>
      </c>
      <c r="R122" s="7" t="n">
        <f aca="false">IF(A122="",0,COUNTIFS($A$2:$A$3058,A122,$P$2:$P$3058,"OK"))</f>
        <v>1</v>
      </c>
      <c r="S122" s="7" t="str">
        <f aca="false">IF(OR(A122="",P122="DUP",R122&lt;2),"",IF(Q122=_xlfn.MINIFS($Q$2:$Q$3058,$A$2:$A$3058,A122,$P$2:$P$3058,"OK"),"KEEP","DROP"))</f>
        <v/>
      </c>
      <c r="T122" s="9" t="n">
        <f aca="false">IF(A122="",1,0)</f>
        <v>0</v>
      </c>
      <c r="U122" s="9" t="n">
        <f aca="false">IF(D122="",1,0)</f>
        <v>0</v>
      </c>
      <c r="V122" s="9" t="n">
        <f aca="false">IF(E122="",1,0)</f>
        <v>0</v>
      </c>
      <c r="W122" s="9" t="n">
        <f aca="false">IF(OR(H122&lt;1,H122&gt;10),1,0)</f>
        <v>0</v>
      </c>
      <c r="X122" s="9" t="n">
        <f aca="false">IF(OR(I122&lt;=0,I122&gt;1500),1,0)</f>
        <v>0</v>
      </c>
      <c r="Y122" s="9" t="n">
        <f aca="false">IF(J122&gt;H122*I122,1,0)</f>
        <v>0</v>
      </c>
      <c r="Z122" s="9" t="n">
        <f aca="false">IF(AND(N122&lt;&gt;"",OR(N122&lt;1,N122&gt;5)),1,0)</f>
        <v>0</v>
      </c>
      <c r="AA122" s="9" t="n">
        <f aca="false">IF(AND(M122&lt;&gt;"",OR(M122&lt;5,M122&gt;180)),1,0)</f>
        <v>0</v>
      </c>
      <c r="AB122" s="7" t="str">
        <f aca="false">IF(P122="DUP","Exact duplicate row",IF(T122=1,"Missing Order ID",IF(S122="DROP","Duplicate Order ID (less complete row)",IF(U122=1,"Missing Customer ID",IF(V122=1,"Missing Restaurant name",IF(W122=1,"Invalid/outlier quantity",IF(X122=1,"Invalid/outlier unit price",IF(Y122=1,"Discount greater than order value",""))))))))</f>
        <v/>
      </c>
      <c r="AC122" s="7" t="str">
        <f aca="false">IF(AB122="","KEEP","DROP")</f>
        <v>KEEP</v>
      </c>
      <c r="AD122" s="7" t="str">
        <f aca="false">IF(TRIM(F122)="",IFERROR(INDEX(Map_Tables!$I$4:$I$37,MATCH(TRIM(E122),Map_Tables!$G$4:$G$37,0)),""),IFERROR(INDEX(Map_Tables!$B$4:$B$18,MATCH(TRIM(F122),Map_Tables!$A$4:$A$18,0)),"CHECK"))</f>
        <v>Delhi</v>
      </c>
      <c r="AE122" s="7" t="str">
        <f aca="false">IF(TRIM(E122)="","",IFERROR(INDEX(Map_Tables!$H$4:$H$37,MATCH(TRIM(E122),Map_Tables!$G$4:$G$37,0)),"CHECK"))</f>
        <v>Tandoor Tales</v>
      </c>
      <c r="AF122" s="7" t="str">
        <f aca="false">IF(TRIM(K122)="","Unknown",IFERROR(INDEX(Map_Tables!$E$4:$E$15,MATCH(TRIM(K122),Map_Tables!$D$4:$D$15,0)),"CHECK"))</f>
        <v>Credit Card</v>
      </c>
      <c r="AG122" s="7" t="str">
        <f aca="false">IF(LEFT(LOWER(TRIM(L122)),6)="cancel","Cancelled","Delivered")</f>
        <v>Delivered</v>
      </c>
      <c r="AH122" s="10" t="n">
        <f aca="false">IF(ISNUMBER(SEARCH("/",B122)),DATE(VALUE(RIGHT(B122,4)),VALUE(MID(B122,4,2)),VALUE(LEFT(B122,2))),IF(MID(B122,5,1)="-",DATE(VALUE(LEFT(B122,4)),VALUE(MID(B122,6,2)),VALUE(RIGHT(B122,2))),DATE(VALUE(RIGHT(B122,4)),MATCH(MID(B122,4,3),{"Jan","Feb","Mar","Apr","May","Jun","Jul","Aug","Sep","Oct","Nov","Dec"},0),VALUE(LEFT(B122,2)))))</f>
        <v>45975</v>
      </c>
    </row>
    <row r="123" customFormat="false" ht="15" hidden="false" customHeight="false" outlineLevel="0" collapsed="false">
      <c r="A123" s="7" t="s">
        <v>674</v>
      </c>
      <c r="B123" s="7" t="s">
        <v>350</v>
      </c>
      <c r="C123" s="7" t="s">
        <v>675</v>
      </c>
      <c r="D123" s="7" t="s">
        <v>676</v>
      </c>
      <c r="E123" s="7" t="s">
        <v>149</v>
      </c>
      <c r="F123" s="7" t="s">
        <v>119</v>
      </c>
      <c r="G123" s="7" t="s">
        <v>150</v>
      </c>
      <c r="H123" s="7" t="n">
        <v>1</v>
      </c>
      <c r="I123" s="7" t="n">
        <v>145</v>
      </c>
      <c r="J123" s="7" t="n">
        <v>50</v>
      </c>
      <c r="K123" s="7" t="s">
        <v>88</v>
      </c>
      <c r="L123" s="7" t="s">
        <v>194</v>
      </c>
      <c r="M123" s="7" t="n">
        <v>37</v>
      </c>
      <c r="N123" s="7" t="n">
        <v>5</v>
      </c>
      <c r="O123" s="7" t="str">
        <f aca="false">A123&amp;"|"&amp;B123&amp;"|"&amp;C123&amp;"|"&amp;D123&amp;"|"&amp;E123&amp;"|"&amp;F123&amp;"|"&amp;G123&amp;"|"&amp;H123&amp;"|"&amp;I123&amp;"|"&amp;J123&amp;"|"&amp;K123&amp;"|"&amp;L123&amp;"|"&amp;M123&amp;"|"&amp;N123</f>
        <v>ORD10695|2025-03-29|12:32|C0671|Sweet Tooth Studio|Hyderabad|Desserts|1|145|50|UPI|Delivered|37|5</v>
      </c>
      <c r="P123" s="7" t="str">
        <f aca="false">IF(COUNTIF($O$2:O123,O123)&gt;1,"DUP","OK")</f>
        <v>OK</v>
      </c>
      <c r="Q123" s="7" t="n">
        <f aca="false">COUNTBLANK(A123:N123)</f>
        <v>0</v>
      </c>
      <c r="R123" s="7" t="n">
        <f aca="false">IF(A123="",0,COUNTIFS($A$2:$A$3058,A123,$P$2:$P$3058,"OK"))</f>
        <v>1</v>
      </c>
      <c r="S123" s="7" t="str">
        <f aca="false">IF(OR(A123="",P123="DUP",R123&lt;2),"",IF(Q123=_xlfn.MINIFS($Q$2:$Q$3058,$A$2:$A$3058,A123,$P$2:$P$3058,"OK"),"KEEP","DROP"))</f>
        <v/>
      </c>
      <c r="T123" s="9" t="n">
        <f aca="false">IF(A123="",1,0)</f>
        <v>0</v>
      </c>
      <c r="U123" s="9" t="n">
        <f aca="false">IF(D123="",1,0)</f>
        <v>0</v>
      </c>
      <c r="V123" s="9" t="n">
        <f aca="false">IF(E123="",1,0)</f>
        <v>0</v>
      </c>
      <c r="W123" s="9" t="n">
        <f aca="false">IF(OR(H123&lt;1,H123&gt;10),1,0)</f>
        <v>0</v>
      </c>
      <c r="X123" s="9" t="n">
        <f aca="false">IF(OR(I123&lt;=0,I123&gt;1500),1,0)</f>
        <v>0</v>
      </c>
      <c r="Y123" s="9" t="n">
        <f aca="false">IF(J123&gt;H123*I123,1,0)</f>
        <v>0</v>
      </c>
      <c r="Z123" s="9" t="n">
        <f aca="false">IF(AND(N123&lt;&gt;"",OR(N123&lt;1,N123&gt;5)),1,0)</f>
        <v>0</v>
      </c>
      <c r="AA123" s="9" t="n">
        <f aca="false">IF(AND(M123&lt;&gt;"",OR(M123&lt;5,M123&gt;180)),1,0)</f>
        <v>0</v>
      </c>
      <c r="AB123" s="7" t="str">
        <f aca="false">IF(P123="DUP","Exact duplicate row",IF(T123=1,"Missing Order ID",IF(S123="DROP","Duplicate Order ID (less complete row)",IF(U123=1,"Missing Customer ID",IF(V123=1,"Missing Restaurant name",IF(W123=1,"Invalid/outlier quantity",IF(X123=1,"Invalid/outlier unit price",IF(Y123=1,"Discount greater than order value",""))))))))</f>
        <v/>
      </c>
      <c r="AC123" s="7" t="str">
        <f aca="false">IF(AB123="","KEEP","DROP")</f>
        <v>KEEP</v>
      </c>
      <c r="AD123" s="7" t="str">
        <f aca="false">IF(TRIM(F123)="",IFERROR(INDEX(Map_Tables!$I$4:$I$37,MATCH(TRIM(E123),Map_Tables!$G$4:$G$37,0)),""),IFERROR(INDEX(Map_Tables!$B$4:$B$18,MATCH(TRIM(F123),Map_Tables!$A$4:$A$18,0)),"CHECK"))</f>
        <v>Hyderabad</v>
      </c>
      <c r="AE123" s="7" t="str">
        <f aca="false">IF(TRIM(E123)="","",IFERROR(INDEX(Map_Tables!$H$4:$H$37,MATCH(TRIM(E123),Map_Tables!$G$4:$G$37,0)),"CHECK"))</f>
        <v>Sweet Tooth Studio</v>
      </c>
      <c r="AF123" s="7" t="str">
        <f aca="false">IF(TRIM(K123)="","Unknown",IFERROR(INDEX(Map_Tables!$E$4:$E$15,MATCH(TRIM(K123),Map_Tables!$D$4:$D$15,0)),"CHECK"))</f>
        <v>UPI</v>
      </c>
      <c r="AG123" s="7" t="str">
        <f aca="false">IF(LEFT(LOWER(TRIM(L123)),6)="cancel","Cancelled","Delivered")</f>
        <v>Delivered</v>
      </c>
      <c r="AH123" s="10" t="n">
        <f aca="false">IF(ISNUMBER(SEARCH("/",B123)),DATE(VALUE(RIGHT(B123,4)),VALUE(MID(B123,4,2)),VALUE(LEFT(B123,2))),IF(MID(B123,5,1)="-",DATE(VALUE(LEFT(B123,4)),VALUE(MID(B123,6,2)),VALUE(RIGHT(B123,2))),DATE(VALUE(RIGHT(B123,4)),MATCH(MID(B123,4,3),{"Jan","Feb","Mar","Apr","May","Jun","Jul","Aug","Sep","Oct","Nov","Dec"},0),VALUE(LEFT(B123,2)))))</f>
        <v>45745</v>
      </c>
    </row>
    <row r="124" customFormat="false" ht="15" hidden="false" customHeight="false" outlineLevel="0" collapsed="false">
      <c r="A124" s="7" t="s">
        <v>677</v>
      </c>
      <c r="B124" s="7" t="s">
        <v>678</v>
      </c>
      <c r="C124" s="7" t="s">
        <v>679</v>
      </c>
      <c r="D124" s="7" t="s">
        <v>680</v>
      </c>
      <c r="E124" s="7" t="s">
        <v>681</v>
      </c>
      <c r="F124" s="7" t="s">
        <v>110</v>
      </c>
      <c r="G124" s="7" t="s">
        <v>117</v>
      </c>
      <c r="H124" s="7" t="n">
        <v>4</v>
      </c>
      <c r="I124" s="7" t="n">
        <v>110</v>
      </c>
      <c r="J124" s="7" t="n">
        <v>50</v>
      </c>
      <c r="K124" s="7" t="s">
        <v>121</v>
      </c>
      <c r="L124" s="7" t="s">
        <v>194</v>
      </c>
      <c r="M124" s="7" t="n">
        <v>32</v>
      </c>
      <c r="N124" s="7" t="n">
        <v>5</v>
      </c>
      <c r="O124" s="7" t="str">
        <f aca="false">A124&amp;"|"&amp;B124&amp;"|"&amp;C124&amp;"|"&amp;D124&amp;"|"&amp;E124&amp;"|"&amp;F124&amp;"|"&amp;G124&amp;"|"&amp;H124&amp;"|"&amp;I124&amp;"|"&amp;J124&amp;"|"&amp;K124&amp;"|"&amp;L124&amp;"|"&amp;M124&amp;"|"&amp;N124</f>
        <v>ORD10663|2025-03-26|11:00|C1369|chaat corner|Delhi|Street Food|4|110|50|Wallet|Delivered|32|5</v>
      </c>
      <c r="P124" s="7" t="str">
        <f aca="false">IF(COUNTIF($O$2:O124,O124)&gt;1,"DUP","OK")</f>
        <v>OK</v>
      </c>
      <c r="Q124" s="7" t="n">
        <f aca="false">COUNTBLANK(A124:N124)</f>
        <v>0</v>
      </c>
      <c r="R124" s="7" t="n">
        <f aca="false">IF(A124="",0,COUNTIFS($A$2:$A$3058,A124,$P$2:$P$3058,"OK"))</f>
        <v>1</v>
      </c>
      <c r="S124" s="7" t="str">
        <f aca="false">IF(OR(A124="",P124="DUP",R124&lt;2),"",IF(Q124=_xlfn.MINIFS($Q$2:$Q$3058,$A$2:$A$3058,A124,$P$2:$P$3058,"OK"),"KEEP","DROP"))</f>
        <v/>
      </c>
      <c r="T124" s="9" t="n">
        <f aca="false">IF(A124="",1,0)</f>
        <v>0</v>
      </c>
      <c r="U124" s="9" t="n">
        <f aca="false">IF(D124="",1,0)</f>
        <v>0</v>
      </c>
      <c r="V124" s="9" t="n">
        <f aca="false">IF(E124="",1,0)</f>
        <v>0</v>
      </c>
      <c r="W124" s="9" t="n">
        <f aca="false">IF(OR(H124&lt;1,H124&gt;10),1,0)</f>
        <v>0</v>
      </c>
      <c r="X124" s="9" t="n">
        <f aca="false">IF(OR(I124&lt;=0,I124&gt;1500),1,0)</f>
        <v>0</v>
      </c>
      <c r="Y124" s="9" t="n">
        <f aca="false">IF(J124&gt;H124*I124,1,0)</f>
        <v>0</v>
      </c>
      <c r="Z124" s="9" t="n">
        <f aca="false">IF(AND(N124&lt;&gt;"",OR(N124&lt;1,N124&gt;5)),1,0)</f>
        <v>0</v>
      </c>
      <c r="AA124" s="9" t="n">
        <f aca="false">IF(AND(M124&lt;&gt;"",OR(M124&lt;5,M124&gt;180)),1,0)</f>
        <v>0</v>
      </c>
      <c r="AB124" s="7" t="str">
        <f aca="false">IF(P124="DUP","Exact duplicate row",IF(T124=1,"Missing Order ID",IF(S124="DROP","Duplicate Order ID (less complete row)",IF(U124=1,"Missing Customer ID",IF(V124=1,"Missing Restaurant name",IF(W124=1,"Invalid/outlier quantity",IF(X124=1,"Invalid/outlier unit price",IF(Y124=1,"Discount greater than order value",""))))))))</f>
        <v/>
      </c>
      <c r="AC124" s="7" t="str">
        <f aca="false">IF(AB124="","KEEP","DROP")</f>
        <v>KEEP</v>
      </c>
      <c r="AD124" s="7" t="str">
        <f aca="false">IF(TRIM(F124)="",IFERROR(INDEX(Map_Tables!$I$4:$I$37,MATCH(TRIM(E124),Map_Tables!$G$4:$G$37,0)),""),IFERROR(INDEX(Map_Tables!$B$4:$B$18,MATCH(TRIM(F124),Map_Tables!$A$4:$A$18,0)),"CHECK"))</f>
        <v>Delhi</v>
      </c>
      <c r="AE124" s="7" t="str">
        <f aca="false">IF(TRIM(E124)="","",IFERROR(INDEX(Map_Tables!$H$4:$H$37,MATCH(TRIM(E124),Map_Tables!$G$4:$G$37,0)),"CHECK"))</f>
        <v>Chaat Corner</v>
      </c>
      <c r="AF124" s="7" t="str">
        <f aca="false">IF(TRIM(K124)="","Unknown",IFERROR(INDEX(Map_Tables!$E$4:$E$15,MATCH(TRIM(K124),Map_Tables!$D$4:$D$15,0)),"CHECK"))</f>
        <v>Wallet</v>
      </c>
      <c r="AG124" s="7" t="str">
        <f aca="false">IF(LEFT(LOWER(TRIM(L124)),6)="cancel","Cancelled","Delivered")</f>
        <v>Delivered</v>
      </c>
      <c r="AH124" s="10" t="n">
        <f aca="false">IF(ISNUMBER(SEARCH("/",B124)),DATE(VALUE(RIGHT(B124,4)),VALUE(MID(B124,4,2)),VALUE(LEFT(B124,2))),IF(MID(B124,5,1)="-",DATE(VALUE(LEFT(B124,4)),VALUE(MID(B124,6,2)),VALUE(RIGHT(B124,2))),DATE(VALUE(RIGHT(B124,4)),MATCH(MID(B124,4,3),{"Jan","Feb","Mar","Apr","May","Jun","Jul","Aug","Sep","Oct","Nov","Dec"},0),VALUE(LEFT(B124,2)))))</f>
        <v>45742</v>
      </c>
    </row>
    <row r="125" customFormat="false" ht="15" hidden="false" customHeight="false" outlineLevel="0" collapsed="false">
      <c r="A125" s="7" t="s">
        <v>682</v>
      </c>
      <c r="B125" s="7" t="s">
        <v>432</v>
      </c>
      <c r="C125" s="7" t="s">
        <v>683</v>
      </c>
      <c r="D125" s="7" t="s">
        <v>684</v>
      </c>
      <c r="E125" s="7" t="s">
        <v>142</v>
      </c>
      <c r="F125" s="7" t="s">
        <v>110</v>
      </c>
      <c r="G125" s="7" t="s">
        <v>105</v>
      </c>
      <c r="H125" s="7" t="n">
        <v>1</v>
      </c>
      <c r="I125" s="7" t="n">
        <v>155</v>
      </c>
      <c r="J125" s="7" t="n">
        <v>0</v>
      </c>
      <c r="K125" s="7" t="s">
        <v>88</v>
      </c>
      <c r="L125" s="7" t="s">
        <v>194</v>
      </c>
      <c r="M125" s="7" t="n">
        <v>32</v>
      </c>
      <c r="N125" s="7" t="n">
        <v>5</v>
      </c>
      <c r="O125" s="7" t="str">
        <f aca="false">A125&amp;"|"&amp;B125&amp;"|"&amp;C125&amp;"|"&amp;D125&amp;"|"&amp;E125&amp;"|"&amp;F125&amp;"|"&amp;G125&amp;"|"&amp;H125&amp;"|"&amp;I125&amp;"|"&amp;J125&amp;"|"&amp;K125&amp;"|"&amp;L125&amp;"|"&amp;M125&amp;"|"&amp;N125</f>
        <v>ORD11806|2025-08-24|10:57|C1475|Momo Magic|Delhi|Chinese|1|155|0|UPI|Delivered|32|5</v>
      </c>
      <c r="P125" s="7" t="str">
        <f aca="false">IF(COUNTIF($O$2:O125,O125)&gt;1,"DUP","OK")</f>
        <v>OK</v>
      </c>
      <c r="Q125" s="7" t="n">
        <f aca="false">COUNTBLANK(A125:N125)</f>
        <v>0</v>
      </c>
      <c r="R125" s="7" t="n">
        <f aca="false">IF(A125="",0,COUNTIFS($A$2:$A$3058,A125,$P$2:$P$3058,"OK"))</f>
        <v>1</v>
      </c>
      <c r="S125" s="7" t="str">
        <f aca="false">IF(OR(A125="",P125="DUP",R125&lt;2),"",IF(Q125=_xlfn.MINIFS($Q$2:$Q$3058,$A$2:$A$3058,A125,$P$2:$P$3058,"OK"),"KEEP","DROP"))</f>
        <v/>
      </c>
      <c r="T125" s="9" t="n">
        <f aca="false">IF(A125="",1,0)</f>
        <v>0</v>
      </c>
      <c r="U125" s="9" t="n">
        <f aca="false">IF(D125="",1,0)</f>
        <v>0</v>
      </c>
      <c r="V125" s="9" t="n">
        <f aca="false">IF(E125="",1,0)</f>
        <v>0</v>
      </c>
      <c r="W125" s="9" t="n">
        <f aca="false">IF(OR(H125&lt;1,H125&gt;10),1,0)</f>
        <v>0</v>
      </c>
      <c r="X125" s="9" t="n">
        <f aca="false">IF(OR(I125&lt;=0,I125&gt;1500),1,0)</f>
        <v>0</v>
      </c>
      <c r="Y125" s="9" t="n">
        <f aca="false">IF(J125&gt;H125*I125,1,0)</f>
        <v>0</v>
      </c>
      <c r="Z125" s="9" t="n">
        <f aca="false">IF(AND(N125&lt;&gt;"",OR(N125&lt;1,N125&gt;5)),1,0)</f>
        <v>0</v>
      </c>
      <c r="AA125" s="9" t="n">
        <f aca="false">IF(AND(M125&lt;&gt;"",OR(M125&lt;5,M125&gt;180)),1,0)</f>
        <v>0</v>
      </c>
      <c r="AB125" s="7" t="str">
        <f aca="false">IF(P125="DUP","Exact duplicate row",IF(T125=1,"Missing Order ID",IF(S125="DROP","Duplicate Order ID (less complete row)",IF(U125=1,"Missing Customer ID",IF(V125=1,"Missing Restaurant name",IF(W125=1,"Invalid/outlier quantity",IF(X125=1,"Invalid/outlier unit price",IF(Y125=1,"Discount greater than order value",""))))))))</f>
        <v/>
      </c>
      <c r="AC125" s="7" t="str">
        <f aca="false">IF(AB125="","KEEP","DROP")</f>
        <v>KEEP</v>
      </c>
      <c r="AD125" s="7" t="str">
        <f aca="false">IF(TRIM(F125)="",IFERROR(INDEX(Map_Tables!$I$4:$I$37,MATCH(TRIM(E125),Map_Tables!$G$4:$G$37,0)),""),IFERROR(INDEX(Map_Tables!$B$4:$B$18,MATCH(TRIM(F125),Map_Tables!$A$4:$A$18,0)),"CHECK"))</f>
        <v>Delhi</v>
      </c>
      <c r="AE125" s="7" t="str">
        <f aca="false">IF(TRIM(E125)="","",IFERROR(INDEX(Map_Tables!$H$4:$H$37,MATCH(TRIM(E125),Map_Tables!$G$4:$G$37,0)),"CHECK"))</f>
        <v>Momo Magic</v>
      </c>
      <c r="AF125" s="7" t="str">
        <f aca="false">IF(TRIM(K125)="","Unknown",IFERROR(INDEX(Map_Tables!$E$4:$E$15,MATCH(TRIM(K125),Map_Tables!$D$4:$D$15,0)),"CHECK"))</f>
        <v>UPI</v>
      </c>
      <c r="AG125" s="7" t="str">
        <f aca="false">IF(LEFT(LOWER(TRIM(L125)),6)="cancel","Cancelled","Delivered")</f>
        <v>Delivered</v>
      </c>
      <c r="AH125" s="10" t="n">
        <f aca="false">IF(ISNUMBER(SEARCH("/",B125)),DATE(VALUE(RIGHT(B125,4)),VALUE(MID(B125,4,2)),VALUE(LEFT(B125,2))),IF(MID(B125,5,1)="-",DATE(VALUE(LEFT(B125,4)),VALUE(MID(B125,6,2)),VALUE(RIGHT(B125,2))),DATE(VALUE(RIGHT(B125,4)),MATCH(MID(B125,4,3),{"Jan","Feb","Mar","Apr","May","Jun","Jul","Aug","Sep","Oct","Nov","Dec"},0),VALUE(LEFT(B125,2)))))</f>
        <v>45893</v>
      </c>
    </row>
    <row r="126" customFormat="false" ht="15" hidden="false" customHeight="false" outlineLevel="0" collapsed="false">
      <c r="A126" s="7" t="s">
        <v>685</v>
      </c>
      <c r="B126" s="7" t="s">
        <v>637</v>
      </c>
      <c r="C126" s="7" t="s">
        <v>686</v>
      </c>
      <c r="D126" s="7" t="s">
        <v>687</v>
      </c>
      <c r="E126" s="7" t="s">
        <v>151</v>
      </c>
      <c r="F126" s="7" t="s">
        <v>127</v>
      </c>
      <c r="G126" s="7" t="s">
        <v>95</v>
      </c>
      <c r="H126" s="7" t="n">
        <v>2</v>
      </c>
      <c r="I126" s="7" t="n">
        <v>145</v>
      </c>
      <c r="J126" s="7" t="n">
        <v>40</v>
      </c>
      <c r="K126" s="7" t="s">
        <v>88</v>
      </c>
      <c r="L126" s="7" t="s">
        <v>194</v>
      </c>
      <c r="M126" s="7" t="n">
        <v>36</v>
      </c>
      <c r="N126" s="7"/>
      <c r="O126" s="7" t="str">
        <f aca="false">A126&amp;"|"&amp;B126&amp;"|"&amp;C126&amp;"|"&amp;D126&amp;"|"&amp;E126&amp;"|"&amp;F126&amp;"|"&amp;G126&amp;"|"&amp;H126&amp;"|"&amp;I126&amp;"|"&amp;J126&amp;"|"&amp;K126&amp;"|"&amp;L126&amp;"|"&amp;M126&amp;"|"&amp;N126</f>
        <v>ORD12751|2025-12-02|19:57|C0213|Chettinad House|chennai|South Indian|2|145|40|UPI|Delivered|36|</v>
      </c>
      <c r="P126" s="7" t="str">
        <f aca="false">IF(COUNTIF($O$2:O126,O126)&gt;1,"DUP","OK")</f>
        <v>OK</v>
      </c>
      <c r="Q126" s="7" t="n">
        <f aca="false">COUNTBLANK(A126:N126)</f>
        <v>1</v>
      </c>
      <c r="R126" s="7" t="n">
        <f aca="false">IF(A126="",0,COUNTIFS($A$2:$A$3058,A126,$P$2:$P$3058,"OK"))</f>
        <v>1</v>
      </c>
      <c r="S126" s="7" t="str">
        <f aca="false">IF(OR(A126="",P126="DUP",R126&lt;2),"",IF(Q126=_xlfn.MINIFS($Q$2:$Q$3058,$A$2:$A$3058,A126,$P$2:$P$3058,"OK"),"KEEP","DROP"))</f>
        <v/>
      </c>
      <c r="T126" s="9" t="n">
        <f aca="false">IF(A126="",1,0)</f>
        <v>0</v>
      </c>
      <c r="U126" s="9" t="n">
        <f aca="false">IF(D126="",1,0)</f>
        <v>0</v>
      </c>
      <c r="V126" s="9" t="n">
        <f aca="false">IF(E126="",1,0)</f>
        <v>0</v>
      </c>
      <c r="W126" s="9" t="n">
        <f aca="false">IF(OR(H126&lt;1,H126&gt;10),1,0)</f>
        <v>0</v>
      </c>
      <c r="X126" s="9" t="n">
        <f aca="false">IF(OR(I126&lt;=0,I126&gt;1500),1,0)</f>
        <v>0</v>
      </c>
      <c r="Y126" s="9" t="n">
        <f aca="false">IF(J126&gt;H126*I126,1,0)</f>
        <v>0</v>
      </c>
      <c r="Z126" s="9" t="n">
        <f aca="false">IF(AND(N126&lt;&gt;"",OR(N126&lt;1,N126&gt;5)),1,0)</f>
        <v>0</v>
      </c>
      <c r="AA126" s="9" t="n">
        <f aca="false">IF(AND(M126&lt;&gt;"",OR(M126&lt;5,M126&gt;180)),1,0)</f>
        <v>0</v>
      </c>
      <c r="AB126" s="7" t="str">
        <f aca="false">IF(P126="DUP","Exact duplicate row",IF(T126=1,"Missing Order ID",IF(S126="DROP","Duplicate Order ID (less complete row)",IF(U126=1,"Missing Customer ID",IF(V126=1,"Missing Restaurant name",IF(W126=1,"Invalid/outlier quantity",IF(X126=1,"Invalid/outlier unit price",IF(Y126=1,"Discount greater than order value",""))))))))</f>
        <v/>
      </c>
      <c r="AC126" s="7" t="str">
        <f aca="false">IF(AB126="","KEEP","DROP")</f>
        <v>KEEP</v>
      </c>
      <c r="AD126" s="7" t="str">
        <f aca="false">IF(TRIM(F126)="",IFERROR(INDEX(Map_Tables!$I$4:$I$37,MATCH(TRIM(E126),Map_Tables!$G$4:$G$37,0)),""),IFERROR(INDEX(Map_Tables!$B$4:$B$18,MATCH(TRIM(F126),Map_Tables!$A$4:$A$18,0)),"CHECK"))</f>
        <v>Chennai</v>
      </c>
      <c r="AE126" s="7" t="str">
        <f aca="false">IF(TRIM(E126)="","",IFERROR(INDEX(Map_Tables!$H$4:$H$37,MATCH(TRIM(E126),Map_Tables!$G$4:$G$37,0)),"CHECK"))</f>
        <v>Chettinad House</v>
      </c>
      <c r="AF126" s="7" t="str">
        <f aca="false">IF(TRIM(K126)="","Unknown",IFERROR(INDEX(Map_Tables!$E$4:$E$15,MATCH(TRIM(K126),Map_Tables!$D$4:$D$15,0)),"CHECK"))</f>
        <v>UPI</v>
      </c>
      <c r="AG126" s="7" t="str">
        <f aca="false">IF(LEFT(LOWER(TRIM(L126)),6)="cancel","Cancelled","Delivered")</f>
        <v>Delivered</v>
      </c>
      <c r="AH126" s="10" t="n">
        <f aca="false">IF(ISNUMBER(SEARCH("/",B126)),DATE(VALUE(RIGHT(B126,4)),VALUE(MID(B126,4,2)),VALUE(LEFT(B126,2))),IF(MID(B126,5,1)="-",DATE(VALUE(LEFT(B126,4)),VALUE(MID(B126,6,2)),VALUE(RIGHT(B126,2))),DATE(VALUE(RIGHT(B126,4)),MATCH(MID(B126,4,3),{"Jan","Feb","Mar","Apr","May","Jun","Jul","Aug","Sep","Oct","Nov","Dec"},0),VALUE(LEFT(B126,2)))))</f>
        <v>45993</v>
      </c>
    </row>
    <row r="127" customFormat="false" ht="15" hidden="false" customHeight="false" outlineLevel="0" collapsed="false">
      <c r="A127" s="7" t="s">
        <v>688</v>
      </c>
      <c r="B127" s="7" t="s">
        <v>446</v>
      </c>
      <c r="C127" s="7" t="s">
        <v>689</v>
      </c>
      <c r="D127" s="7" t="s">
        <v>690</v>
      </c>
      <c r="E127" s="7" t="s">
        <v>138</v>
      </c>
      <c r="F127" s="7" t="s">
        <v>110</v>
      </c>
      <c r="G127" s="7" t="s">
        <v>139</v>
      </c>
      <c r="H127" s="7" t="n">
        <v>2</v>
      </c>
      <c r="I127" s="7" t="n">
        <v>145</v>
      </c>
      <c r="J127" s="7" t="n">
        <v>20</v>
      </c>
      <c r="K127" s="7" t="s">
        <v>88</v>
      </c>
      <c r="L127" s="7" t="s">
        <v>194</v>
      </c>
      <c r="M127" s="7" t="n">
        <v>37</v>
      </c>
      <c r="N127" s="7" t="n">
        <v>4</v>
      </c>
      <c r="O127" s="7" t="str">
        <f aca="false">A127&amp;"|"&amp;B127&amp;"|"&amp;C127&amp;"|"&amp;D127&amp;"|"&amp;E127&amp;"|"&amp;F127&amp;"|"&amp;G127&amp;"|"&amp;H127&amp;"|"&amp;I127&amp;"|"&amp;J127&amp;"|"&amp;K127&amp;"|"&amp;L127&amp;"|"&amp;M127&amp;"|"&amp;N127</f>
        <v>ORD10524|2025-03-09|18:16|C0311|Burger Barn|Delhi|Burgers|2|145|20|UPI|Delivered|37|4</v>
      </c>
      <c r="P127" s="7" t="str">
        <f aca="false">IF(COUNTIF($O$2:O127,O127)&gt;1,"DUP","OK")</f>
        <v>OK</v>
      </c>
      <c r="Q127" s="7" t="n">
        <f aca="false">COUNTBLANK(A127:N127)</f>
        <v>0</v>
      </c>
      <c r="R127" s="7" t="n">
        <f aca="false">IF(A127="",0,COUNTIFS($A$2:$A$3058,A127,$P$2:$P$3058,"OK"))</f>
        <v>1</v>
      </c>
      <c r="S127" s="7" t="str">
        <f aca="false">IF(OR(A127="",P127="DUP",R127&lt;2),"",IF(Q127=_xlfn.MINIFS($Q$2:$Q$3058,$A$2:$A$3058,A127,$P$2:$P$3058,"OK"),"KEEP","DROP"))</f>
        <v/>
      </c>
      <c r="T127" s="9" t="n">
        <f aca="false">IF(A127="",1,0)</f>
        <v>0</v>
      </c>
      <c r="U127" s="9" t="n">
        <f aca="false">IF(D127="",1,0)</f>
        <v>0</v>
      </c>
      <c r="V127" s="9" t="n">
        <f aca="false">IF(E127="",1,0)</f>
        <v>0</v>
      </c>
      <c r="W127" s="9" t="n">
        <f aca="false">IF(OR(H127&lt;1,H127&gt;10),1,0)</f>
        <v>0</v>
      </c>
      <c r="X127" s="9" t="n">
        <f aca="false">IF(OR(I127&lt;=0,I127&gt;1500),1,0)</f>
        <v>0</v>
      </c>
      <c r="Y127" s="9" t="n">
        <f aca="false">IF(J127&gt;H127*I127,1,0)</f>
        <v>0</v>
      </c>
      <c r="Z127" s="9" t="n">
        <f aca="false">IF(AND(N127&lt;&gt;"",OR(N127&lt;1,N127&gt;5)),1,0)</f>
        <v>0</v>
      </c>
      <c r="AA127" s="9" t="n">
        <f aca="false">IF(AND(M127&lt;&gt;"",OR(M127&lt;5,M127&gt;180)),1,0)</f>
        <v>0</v>
      </c>
      <c r="AB127" s="7" t="str">
        <f aca="false">IF(P127="DUP","Exact duplicate row",IF(T127=1,"Missing Order ID",IF(S127="DROP","Duplicate Order ID (less complete row)",IF(U127=1,"Missing Customer ID",IF(V127=1,"Missing Restaurant name",IF(W127=1,"Invalid/outlier quantity",IF(X127=1,"Invalid/outlier unit price",IF(Y127=1,"Discount greater than order value",""))))))))</f>
        <v/>
      </c>
      <c r="AC127" s="7" t="str">
        <f aca="false">IF(AB127="","KEEP","DROP")</f>
        <v>KEEP</v>
      </c>
      <c r="AD127" s="7" t="str">
        <f aca="false">IF(TRIM(F127)="",IFERROR(INDEX(Map_Tables!$I$4:$I$37,MATCH(TRIM(E127),Map_Tables!$G$4:$G$37,0)),""),IFERROR(INDEX(Map_Tables!$B$4:$B$18,MATCH(TRIM(F127),Map_Tables!$A$4:$A$18,0)),"CHECK"))</f>
        <v>Delhi</v>
      </c>
      <c r="AE127" s="7" t="str">
        <f aca="false">IF(TRIM(E127)="","",IFERROR(INDEX(Map_Tables!$H$4:$H$37,MATCH(TRIM(E127),Map_Tables!$G$4:$G$37,0)),"CHECK"))</f>
        <v>Burger Barn</v>
      </c>
      <c r="AF127" s="7" t="str">
        <f aca="false">IF(TRIM(K127)="","Unknown",IFERROR(INDEX(Map_Tables!$E$4:$E$15,MATCH(TRIM(K127),Map_Tables!$D$4:$D$15,0)),"CHECK"))</f>
        <v>UPI</v>
      </c>
      <c r="AG127" s="7" t="str">
        <f aca="false">IF(LEFT(LOWER(TRIM(L127)),6)="cancel","Cancelled","Delivered")</f>
        <v>Delivered</v>
      </c>
      <c r="AH127" s="10" t="n">
        <f aca="false">IF(ISNUMBER(SEARCH("/",B127)),DATE(VALUE(RIGHT(B127,4)),VALUE(MID(B127,4,2)),VALUE(LEFT(B127,2))),IF(MID(B127,5,1)="-",DATE(VALUE(LEFT(B127,4)),VALUE(MID(B127,6,2)),VALUE(RIGHT(B127,2))),DATE(VALUE(RIGHT(B127,4)),MATCH(MID(B127,4,3),{"Jan","Feb","Mar","Apr","May","Jun","Jul","Aug","Sep","Oct","Nov","Dec"},0),VALUE(LEFT(B127,2)))))</f>
        <v>45725</v>
      </c>
    </row>
    <row r="128" customFormat="false" ht="15" hidden="false" customHeight="false" outlineLevel="0" collapsed="false">
      <c r="A128" s="7" t="s">
        <v>691</v>
      </c>
      <c r="B128" s="7" t="s">
        <v>692</v>
      </c>
      <c r="C128" s="7" t="s">
        <v>693</v>
      </c>
      <c r="D128" s="7" t="s">
        <v>694</v>
      </c>
      <c r="E128" s="7" t="s">
        <v>104</v>
      </c>
      <c r="F128" s="7" t="s">
        <v>86</v>
      </c>
      <c r="G128" s="7" t="s">
        <v>105</v>
      </c>
      <c r="H128" s="7" t="n">
        <v>1</v>
      </c>
      <c r="I128" s="7" t="n">
        <v>220</v>
      </c>
      <c r="J128" s="7" t="n">
        <v>0</v>
      </c>
      <c r="K128" s="7" t="s">
        <v>112</v>
      </c>
      <c r="L128" s="7" t="s">
        <v>194</v>
      </c>
      <c r="M128" s="7" t="n">
        <v>35</v>
      </c>
      <c r="N128" s="7" t="n">
        <v>4</v>
      </c>
      <c r="O128" s="7" t="str">
        <f aca="false">A128&amp;"|"&amp;B128&amp;"|"&amp;C128&amp;"|"&amp;D128&amp;"|"&amp;E128&amp;"|"&amp;F128&amp;"|"&amp;G128&amp;"|"&amp;H128&amp;"|"&amp;I128&amp;"|"&amp;J128&amp;"|"&amp;K128&amp;"|"&amp;L128&amp;"|"&amp;M128&amp;"|"&amp;N128</f>
        <v>ORD12902|21-Dec-2025|11:10|C0188|Wok &amp; Roll|Bengaluru|Chinese|1|220|0|Cash on Delivery|Delivered|35|4</v>
      </c>
      <c r="P128" s="7" t="str">
        <f aca="false">IF(COUNTIF($O$2:O128,O128)&gt;1,"DUP","OK")</f>
        <v>OK</v>
      </c>
      <c r="Q128" s="7" t="n">
        <f aca="false">COUNTBLANK(A128:N128)</f>
        <v>0</v>
      </c>
      <c r="R128" s="7" t="n">
        <f aca="false">IF(A128="",0,COUNTIFS($A$2:$A$3058,A128,$P$2:$P$3058,"OK"))</f>
        <v>1</v>
      </c>
      <c r="S128" s="7" t="str">
        <f aca="false">IF(OR(A128="",P128="DUP",R128&lt;2),"",IF(Q128=_xlfn.MINIFS($Q$2:$Q$3058,$A$2:$A$3058,A128,$P$2:$P$3058,"OK"),"KEEP","DROP"))</f>
        <v/>
      </c>
      <c r="T128" s="9" t="n">
        <f aca="false">IF(A128="",1,0)</f>
        <v>0</v>
      </c>
      <c r="U128" s="9" t="n">
        <f aca="false">IF(D128="",1,0)</f>
        <v>0</v>
      </c>
      <c r="V128" s="9" t="n">
        <f aca="false">IF(E128="",1,0)</f>
        <v>0</v>
      </c>
      <c r="W128" s="9" t="n">
        <f aca="false">IF(OR(H128&lt;1,H128&gt;10),1,0)</f>
        <v>0</v>
      </c>
      <c r="X128" s="9" t="n">
        <f aca="false">IF(OR(I128&lt;=0,I128&gt;1500),1,0)</f>
        <v>0</v>
      </c>
      <c r="Y128" s="9" t="n">
        <f aca="false">IF(J128&gt;H128*I128,1,0)</f>
        <v>0</v>
      </c>
      <c r="Z128" s="9" t="n">
        <f aca="false">IF(AND(N128&lt;&gt;"",OR(N128&lt;1,N128&gt;5)),1,0)</f>
        <v>0</v>
      </c>
      <c r="AA128" s="9" t="n">
        <f aca="false">IF(AND(M128&lt;&gt;"",OR(M128&lt;5,M128&gt;180)),1,0)</f>
        <v>0</v>
      </c>
      <c r="AB128" s="7" t="str">
        <f aca="false">IF(P128="DUP","Exact duplicate row",IF(T128=1,"Missing Order ID",IF(S128="DROP","Duplicate Order ID (less complete row)",IF(U128=1,"Missing Customer ID",IF(V128=1,"Missing Restaurant name",IF(W128=1,"Invalid/outlier quantity",IF(X128=1,"Invalid/outlier unit price",IF(Y128=1,"Discount greater than order value",""))))))))</f>
        <v/>
      </c>
      <c r="AC128" s="7" t="str">
        <f aca="false">IF(AB128="","KEEP","DROP")</f>
        <v>KEEP</v>
      </c>
      <c r="AD128" s="7" t="str">
        <f aca="false">IF(TRIM(F128)="",IFERROR(INDEX(Map_Tables!$I$4:$I$37,MATCH(TRIM(E128),Map_Tables!$G$4:$G$37,0)),""),IFERROR(INDEX(Map_Tables!$B$4:$B$18,MATCH(TRIM(F128),Map_Tables!$A$4:$A$18,0)),"CHECK"))</f>
        <v>Bengaluru</v>
      </c>
      <c r="AE128" s="7" t="str">
        <f aca="false">IF(TRIM(E128)="","",IFERROR(INDEX(Map_Tables!$H$4:$H$37,MATCH(TRIM(E128),Map_Tables!$G$4:$G$37,0)),"CHECK"))</f>
        <v>Wok &amp; Roll</v>
      </c>
      <c r="AF128" s="7" t="str">
        <f aca="false">IF(TRIM(K128)="","Unknown",IFERROR(INDEX(Map_Tables!$E$4:$E$15,MATCH(TRIM(K128),Map_Tables!$D$4:$D$15,0)),"CHECK"))</f>
        <v>Cash on Delivery</v>
      </c>
      <c r="AG128" s="7" t="str">
        <f aca="false">IF(LEFT(LOWER(TRIM(L128)),6)="cancel","Cancelled","Delivered")</f>
        <v>Delivered</v>
      </c>
      <c r="AH128" s="10" t="n">
        <f aca="false">IF(ISNUMBER(SEARCH("/",B128)),DATE(VALUE(RIGHT(B128,4)),VALUE(MID(B128,4,2)),VALUE(LEFT(B128,2))),IF(MID(B128,5,1)="-",DATE(VALUE(LEFT(B128,4)),VALUE(MID(B128,6,2)),VALUE(RIGHT(B128,2))),DATE(VALUE(RIGHT(B128,4)),MATCH(MID(B128,4,3),{"Jan","Feb","Mar","Apr","May","Jun","Jul","Aug","Sep","Oct","Nov","Dec"},0),VALUE(LEFT(B128,2)))))</f>
        <v>46012</v>
      </c>
    </row>
    <row r="129" customFormat="false" ht="15" hidden="false" customHeight="false" outlineLevel="0" collapsed="false">
      <c r="A129" s="7" t="s">
        <v>695</v>
      </c>
      <c r="B129" s="7" t="s">
        <v>696</v>
      </c>
      <c r="C129" s="7" t="s">
        <v>697</v>
      </c>
      <c r="D129" s="7" t="s">
        <v>698</v>
      </c>
      <c r="E129" s="7" t="s">
        <v>160</v>
      </c>
      <c r="F129" s="7" t="s">
        <v>136</v>
      </c>
      <c r="G129" s="7" t="s">
        <v>150</v>
      </c>
      <c r="H129" s="7" t="n">
        <v>3</v>
      </c>
      <c r="I129" s="7" t="n">
        <v>165</v>
      </c>
      <c r="J129" s="7" t="n">
        <v>0</v>
      </c>
      <c r="K129" s="7" t="s">
        <v>526</v>
      </c>
      <c r="L129" s="7" t="s">
        <v>194</v>
      </c>
      <c r="M129" s="7" t="n">
        <v>35</v>
      </c>
      <c r="N129" s="7" t="n">
        <v>4</v>
      </c>
      <c r="O129" s="7" t="str">
        <f aca="false">A129&amp;"|"&amp;B129&amp;"|"&amp;C129&amp;"|"&amp;D129&amp;"|"&amp;E129&amp;"|"&amp;F129&amp;"|"&amp;G129&amp;"|"&amp;H129&amp;"|"&amp;I129&amp;"|"&amp;J129&amp;"|"&amp;K129&amp;"|"&amp;L129&amp;"|"&amp;M129&amp;"|"&amp;N129</f>
        <v>ORD11785|2025-08-21|11:46|C1028|Cake Walk|Pune|Desserts|3|165|0|DC|Delivered|35|4</v>
      </c>
      <c r="P129" s="7" t="str">
        <f aca="false">IF(COUNTIF($O$2:O129,O129)&gt;1,"DUP","OK")</f>
        <v>OK</v>
      </c>
      <c r="Q129" s="7" t="n">
        <f aca="false">COUNTBLANK(A129:N129)</f>
        <v>0</v>
      </c>
      <c r="R129" s="7" t="n">
        <f aca="false">IF(A129="",0,COUNTIFS($A$2:$A$3058,A129,$P$2:$P$3058,"OK"))</f>
        <v>1</v>
      </c>
      <c r="S129" s="7" t="str">
        <f aca="false">IF(OR(A129="",P129="DUP",R129&lt;2),"",IF(Q129=_xlfn.MINIFS($Q$2:$Q$3058,$A$2:$A$3058,A129,$P$2:$P$3058,"OK"),"KEEP","DROP"))</f>
        <v/>
      </c>
      <c r="T129" s="9" t="n">
        <f aca="false">IF(A129="",1,0)</f>
        <v>0</v>
      </c>
      <c r="U129" s="9" t="n">
        <f aca="false">IF(D129="",1,0)</f>
        <v>0</v>
      </c>
      <c r="V129" s="9" t="n">
        <f aca="false">IF(E129="",1,0)</f>
        <v>0</v>
      </c>
      <c r="W129" s="9" t="n">
        <f aca="false">IF(OR(H129&lt;1,H129&gt;10),1,0)</f>
        <v>0</v>
      </c>
      <c r="X129" s="9" t="n">
        <f aca="false">IF(OR(I129&lt;=0,I129&gt;1500),1,0)</f>
        <v>0</v>
      </c>
      <c r="Y129" s="9" t="n">
        <f aca="false">IF(J129&gt;H129*I129,1,0)</f>
        <v>0</v>
      </c>
      <c r="Z129" s="9" t="n">
        <f aca="false">IF(AND(N129&lt;&gt;"",OR(N129&lt;1,N129&gt;5)),1,0)</f>
        <v>0</v>
      </c>
      <c r="AA129" s="9" t="n">
        <f aca="false">IF(AND(M129&lt;&gt;"",OR(M129&lt;5,M129&gt;180)),1,0)</f>
        <v>0</v>
      </c>
      <c r="AB129" s="7" t="str">
        <f aca="false">IF(P129="DUP","Exact duplicate row",IF(T129=1,"Missing Order ID",IF(S129="DROP","Duplicate Order ID (less complete row)",IF(U129=1,"Missing Customer ID",IF(V129=1,"Missing Restaurant name",IF(W129=1,"Invalid/outlier quantity",IF(X129=1,"Invalid/outlier unit price",IF(Y129=1,"Discount greater than order value",""))))))))</f>
        <v/>
      </c>
      <c r="AC129" s="7" t="str">
        <f aca="false">IF(AB129="","KEEP","DROP")</f>
        <v>KEEP</v>
      </c>
      <c r="AD129" s="7" t="str">
        <f aca="false">IF(TRIM(F129)="",IFERROR(INDEX(Map_Tables!$I$4:$I$37,MATCH(TRIM(E129),Map_Tables!$G$4:$G$37,0)),""),IFERROR(INDEX(Map_Tables!$B$4:$B$18,MATCH(TRIM(F129),Map_Tables!$A$4:$A$18,0)),"CHECK"))</f>
        <v>Pune</v>
      </c>
      <c r="AE129" s="7" t="str">
        <f aca="false">IF(TRIM(E129)="","",IFERROR(INDEX(Map_Tables!$H$4:$H$37,MATCH(TRIM(E129),Map_Tables!$G$4:$G$37,0)),"CHECK"))</f>
        <v>Cake Walk</v>
      </c>
      <c r="AF129" s="7" t="str">
        <f aca="false">IF(TRIM(K129)="","Unknown",IFERROR(INDEX(Map_Tables!$E$4:$E$15,MATCH(TRIM(K129),Map_Tables!$D$4:$D$15,0)),"CHECK"))</f>
        <v>Debit Card</v>
      </c>
      <c r="AG129" s="7" t="str">
        <f aca="false">IF(LEFT(LOWER(TRIM(L129)),6)="cancel","Cancelled","Delivered")</f>
        <v>Delivered</v>
      </c>
      <c r="AH129" s="10" t="n">
        <f aca="false">IF(ISNUMBER(SEARCH("/",B129)),DATE(VALUE(RIGHT(B129,4)),VALUE(MID(B129,4,2)),VALUE(LEFT(B129,2))),IF(MID(B129,5,1)="-",DATE(VALUE(LEFT(B129,4)),VALUE(MID(B129,6,2)),VALUE(RIGHT(B129,2))),DATE(VALUE(RIGHT(B129,4)),MATCH(MID(B129,4,3),{"Jan","Feb","Mar","Apr","May","Jun","Jul","Aug","Sep","Oct","Nov","Dec"},0),VALUE(LEFT(B129,2)))))</f>
        <v>45890</v>
      </c>
    </row>
    <row r="130" customFormat="false" ht="15" hidden="false" customHeight="false" outlineLevel="0" collapsed="false">
      <c r="A130" s="7" t="s">
        <v>699</v>
      </c>
      <c r="B130" s="7" t="s">
        <v>700</v>
      </c>
      <c r="C130" s="7" t="s">
        <v>319</v>
      </c>
      <c r="D130" s="7" t="s">
        <v>701</v>
      </c>
      <c r="E130" s="7" t="s">
        <v>152</v>
      </c>
      <c r="F130" s="7" t="s">
        <v>702</v>
      </c>
      <c r="G130" s="7" t="s">
        <v>95</v>
      </c>
      <c r="H130" s="7" t="n">
        <v>1</v>
      </c>
      <c r="I130" s="7" t="n">
        <v>100</v>
      </c>
      <c r="J130" s="7" t="n">
        <v>40</v>
      </c>
      <c r="K130" s="7" t="s">
        <v>88</v>
      </c>
      <c r="L130" s="7" t="s">
        <v>194</v>
      </c>
      <c r="M130" s="7" t="n">
        <v>28</v>
      </c>
      <c r="N130" s="7" t="n">
        <v>3</v>
      </c>
      <c r="O130" s="7" t="str">
        <f aca="false">A130&amp;"|"&amp;B130&amp;"|"&amp;C130&amp;"|"&amp;D130&amp;"|"&amp;E130&amp;"|"&amp;F130&amp;"|"&amp;G130&amp;"|"&amp;H130&amp;"|"&amp;I130&amp;"|"&amp;J130&amp;"|"&amp;K130&amp;"|"&amp;L130&amp;"|"&amp;M130&amp;"|"&amp;N130</f>
        <v>ORD10770|2025-04-07|21:52|C0431|Filter Coffee &amp; Tiffin|CHENNAI |South Indian|1|100|40|UPI|Delivered|28|3</v>
      </c>
      <c r="P130" s="7" t="str">
        <f aca="false">IF(COUNTIF($O$2:O130,O130)&gt;1,"DUP","OK")</f>
        <v>OK</v>
      </c>
      <c r="Q130" s="7" t="n">
        <f aca="false">COUNTBLANK(A130:N130)</f>
        <v>0</v>
      </c>
      <c r="R130" s="7" t="n">
        <f aca="false">IF(A130="",0,COUNTIFS($A$2:$A$3058,A130,$P$2:$P$3058,"OK"))</f>
        <v>1</v>
      </c>
      <c r="S130" s="7" t="str">
        <f aca="false">IF(OR(A130="",P130="DUP",R130&lt;2),"",IF(Q130=_xlfn.MINIFS($Q$2:$Q$3058,$A$2:$A$3058,A130,$P$2:$P$3058,"OK"),"KEEP","DROP"))</f>
        <v/>
      </c>
      <c r="T130" s="9" t="n">
        <f aca="false">IF(A130="",1,0)</f>
        <v>0</v>
      </c>
      <c r="U130" s="9" t="n">
        <f aca="false">IF(D130="",1,0)</f>
        <v>0</v>
      </c>
      <c r="V130" s="9" t="n">
        <f aca="false">IF(E130="",1,0)</f>
        <v>0</v>
      </c>
      <c r="W130" s="9" t="n">
        <f aca="false">IF(OR(H130&lt;1,H130&gt;10),1,0)</f>
        <v>0</v>
      </c>
      <c r="X130" s="9" t="n">
        <f aca="false">IF(OR(I130&lt;=0,I130&gt;1500),1,0)</f>
        <v>0</v>
      </c>
      <c r="Y130" s="9" t="n">
        <f aca="false">IF(J130&gt;H130*I130,1,0)</f>
        <v>0</v>
      </c>
      <c r="Z130" s="9" t="n">
        <f aca="false">IF(AND(N130&lt;&gt;"",OR(N130&lt;1,N130&gt;5)),1,0)</f>
        <v>0</v>
      </c>
      <c r="AA130" s="9" t="n">
        <f aca="false">IF(AND(M130&lt;&gt;"",OR(M130&lt;5,M130&gt;180)),1,0)</f>
        <v>0</v>
      </c>
      <c r="AB130" s="7" t="str">
        <f aca="false">IF(P130="DUP","Exact duplicate row",IF(T130=1,"Missing Order ID",IF(S130="DROP","Duplicate Order ID (less complete row)",IF(U130=1,"Missing Customer ID",IF(V130=1,"Missing Restaurant name",IF(W130=1,"Invalid/outlier quantity",IF(X130=1,"Invalid/outlier unit price",IF(Y130=1,"Discount greater than order value",""))))))))</f>
        <v/>
      </c>
      <c r="AC130" s="7" t="str">
        <f aca="false">IF(AB130="","KEEP","DROP")</f>
        <v>KEEP</v>
      </c>
      <c r="AD130" s="7" t="str">
        <f aca="false">IF(TRIM(F130)="",IFERROR(INDEX(Map_Tables!$I$4:$I$37,MATCH(TRIM(E130),Map_Tables!$G$4:$G$37,0)),""),IFERROR(INDEX(Map_Tables!$B$4:$B$18,MATCH(TRIM(F130),Map_Tables!$A$4:$A$18,0)),"CHECK"))</f>
        <v>Chennai</v>
      </c>
      <c r="AE130" s="7" t="str">
        <f aca="false">IF(TRIM(E130)="","",IFERROR(INDEX(Map_Tables!$H$4:$H$37,MATCH(TRIM(E130),Map_Tables!$G$4:$G$37,0)),"CHECK"))</f>
        <v>Filter Coffee &amp; Tiffin</v>
      </c>
      <c r="AF130" s="7" t="str">
        <f aca="false">IF(TRIM(K130)="","Unknown",IFERROR(INDEX(Map_Tables!$E$4:$E$15,MATCH(TRIM(K130),Map_Tables!$D$4:$D$15,0)),"CHECK"))</f>
        <v>UPI</v>
      </c>
      <c r="AG130" s="7" t="str">
        <f aca="false">IF(LEFT(LOWER(TRIM(L130)),6)="cancel","Cancelled","Delivered")</f>
        <v>Delivered</v>
      </c>
      <c r="AH130" s="10" t="n">
        <f aca="false">IF(ISNUMBER(SEARCH("/",B130)),DATE(VALUE(RIGHT(B130,4)),VALUE(MID(B130,4,2)),VALUE(LEFT(B130,2))),IF(MID(B130,5,1)="-",DATE(VALUE(LEFT(B130,4)),VALUE(MID(B130,6,2)),VALUE(RIGHT(B130,2))),DATE(VALUE(RIGHT(B130,4)),MATCH(MID(B130,4,3),{"Jan","Feb","Mar","Apr","May","Jun","Jul","Aug","Sep","Oct","Nov","Dec"},0),VALUE(LEFT(B130,2)))))</f>
        <v>45754</v>
      </c>
    </row>
    <row r="131" customFormat="false" ht="15" hidden="false" customHeight="false" outlineLevel="0" collapsed="false">
      <c r="A131" s="7" t="s">
        <v>703</v>
      </c>
      <c r="B131" s="7" t="s">
        <v>704</v>
      </c>
      <c r="C131" s="7" t="s">
        <v>705</v>
      </c>
      <c r="D131" s="7" t="s">
        <v>706</v>
      </c>
      <c r="E131" s="7" t="s">
        <v>707</v>
      </c>
      <c r="F131" s="7" t="s">
        <v>110</v>
      </c>
      <c r="G131" s="7" t="s">
        <v>105</v>
      </c>
      <c r="H131" s="7" t="n">
        <v>2</v>
      </c>
      <c r="I131" s="7" t="n">
        <v>195</v>
      </c>
      <c r="J131" s="7" t="n">
        <v>20</v>
      </c>
      <c r="K131" s="7" t="s">
        <v>121</v>
      </c>
      <c r="L131" s="7" t="s">
        <v>194</v>
      </c>
      <c r="M131" s="7" t="n">
        <v>36</v>
      </c>
      <c r="N131" s="7" t="n">
        <v>4</v>
      </c>
      <c r="O131" s="7" t="str">
        <f aca="false">A131&amp;"|"&amp;B131&amp;"|"&amp;C131&amp;"|"&amp;D131&amp;"|"&amp;E131&amp;"|"&amp;F131&amp;"|"&amp;G131&amp;"|"&amp;H131&amp;"|"&amp;I131&amp;"|"&amp;J131&amp;"|"&amp;K131&amp;"|"&amp;L131&amp;"|"&amp;M131&amp;"|"&amp;N131</f>
        <v>ORD10283|2025-02-08|00:53|C0874|Momo Magic |Delhi|Chinese|2|195|20|Wallet|Delivered|36|4</v>
      </c>
      <c r="P131" s="7" t="str">
        <f aca="false">IF(COUNTIF($O$2:O131,O131)&gt;1,"DUP","OK")</f>
        <v>OK</v>
      </c>
      <c r="Q131" s="7" t="n">
        <f aca="false">COUNTBLANK(A131:N131)</f>
        <v>0</v>
      </c>
      <c r="R131" s="7" t="n">
        <f aca="false">IF(A131="",0,COUNTIFS($A$2:$A$3058,A131,$P$2:$P$3058,"OK"))</f>
        <v>1</v>
      </c>
      <c r="S131" s="7" t="str">
        <f aca="false">IF(OR(A131="",P131="DUP",R131&lt;2),"",IF(Q131=_xlfn.MINIFS($Q$2:$Q$3058,$A$2:$A$3058,A131,$P$2:$P$3058,"OK"),"KEEP","DROP"))</f>
        <v/>
      </c>
      <c r="T131" s="9" t="n">
        <f aca="false">IF(A131="",1,0)</f>
        <v>0</v>
      </c>
      <c r="U131" s="9" t="n">
        <f aca="false">IF(D131="",1,0)</f>
        <v>0</v>
      </c>
      <c r="V131" s="9" t="n">
        <f aca="false">IF(E131="",1,0)</f>
        <v>0</v>
      </c>
      <c r="W131" s="9" t="n">
        <f aca="false">IF(OR(H131&lt;1,H131&gt;10),1,0)</f>
        <v>0</v>
      </c>
      <c r="X131" s="9" t="n">
        <f aca="false">IF(OR(I131&lt;=0,I131&gt;1500),1,0)</f>
        <v>0</v>
      </c>
      <c r="Y131" s="9" t="n">
        <f aca="false">IF(J131&gt;H131*I131,1,0)</f>
        <v>0</v>
      </c>
      <c r="Z131" s="9" t="n">
        <f aca="false">IF(AND(N131&lt;&gt;"",OR(N131&lt;1,N131&gt;5)),1,0)</f>
        <v>0</v>
      </c>
      <c r="AA131" s="9" t="n">
        <f aca="false">IF(AND(M131&lt;&gt;"",OR(M131&lt;5,M131&gt;180)),1,0)</f>
        <v>0</v>
      </c>
      <c r="AB131" s="7" t="str">
        <f aca="false">IF(P131="DUP","Exact duplicate row",IF(T131=1,"Missing Order ID",IF(S131="DROP","Duplicate Order ID (less complete row)",IF(U131=1,"Missing Customer ID",IF(V131=1,"Missing Restaurant name",IF(W131=1,"Invalid/outlier quantity",IF(X131=1,"Invalid/outlier unit price",IF(Y131=1,"Discount greater than order value",""))))))))</f>
        <v/>
      </c>
      <c r="AC131" s="7" t="str">
        <f aca="false">IF(AB131="","KEEP","DROP")</f>
        <v>KEEP</v>
      </c>
      <c r="AD131" s="7" t="str">
        <f aca="false">IF(TRIM(F131)="",IFERROR(INDEX(Map_Tables!$I$4:$I$37,MATCH(TRIM(E131),Map_Tables!$G$4:$G$37,0)),""),IFERROR(INDEX(Map_Tables!$B$4:$B$18,MATCH(TRIM(F131),Map_Tables!$A$4:$A$18,0)),"CHECK"))</f>
        <v>Delhi</v>
      </c>
      <c r="AE131" s="7" t="str">
        <f aca="false">IF(TRIM(E131)="","",IFERROR(INDEX(Map_Tables!$H$4:$H$37,MATCH(TRIM(E131),Map_Tables!$G$4:$G$37,0)),"CHECK"))</f>
        <v>Momo Magic</v>
      </c>
      <c r="AF131" s="7" t="str">
        <f aca="false">IF(TRIM(K131)="","Unknown",IFERROR(INDEX(Map_Tables!$E$4:$E$15,MATCH(TRIM(K131),Map_Tables!$D$4:$D$15,0)),"CHECK"))</f>
        <v>Wallet</v>
      </c>
      <c r="AG131" s="7" t="str">
        <f aca="false">IF(LEFT(LOWER(TRIM(L131)),6)="cancel","Cancelled","Delivered")</f>
        <v>Delivered</v>
      </c>
      <c r="AH131" s="10" t="n">
        <f aca="false">IF(ISNUMBER(SEARCH("/",B131)),DATE(VALUE(RIGHT(B131,4)),VALUE(MID(B131,4,2)),VALUE(LEFT(B131,2))),IF(MID(B131,5,1)="-",DATE(VALUE(LEFT(B131,4)),VALUE(MID(B131,6,2)),VALUE(RIGHT(B131,2))),DATE(VALUE(RIGHT(B131,4)),MATCH(MID(B131,4,3),{"Jan","Feb","Mar","Apr","May","Jun","Jul","Aug","Sep","Oct","Nov","Dec"},0),VALUE(LEFT(B131,2)))))</f>
        <v>45696</v>
      </c>
    </row>
    <row r="132" customFormat="false" ht="15" hidden="false" customHeight="false" outlineLevel="0" collapsed="false">
      <c r="A132" s="7" t="s">
        <v>708</v>
      </c>
      <c r="B132" s="7" t="s">
        <v>678</v>
      </c>
      <c r="C132" s="7" t="s">
        <v>709</v>
      </c>
      <c r="D132" s="7" t="s">
        <v>710</v>
      </c>
      <c r="E132" s="7" t="s">
        <v>711</v>
      </c>
      <c r="F132" s="7" t="s">
        <v>101</v>
      </c>
      <c r="G132" s="7" t="s">
        <v>90</v>
      </c>
      <c r="H132" s="7" t="n">
        <v>4</v>
      </c>
      <c r="I132" s="7" t="n">
        <v>270</v>
      </c>
      <c r="J132" s="7" t="n">
        <v>50</v>
      </c>
      <c r="K132" s="7" t="s">
        <v>88</v>
      </c>
      <c r="L132" s="7" t="s">
        <v>194</v>
      </c>
      <c r="M132" s="7" t="n">
        <v>46</v>
      </c>
      <c r="N132" s="7" t="n">
        <v>4</v>
      </c>
      <c r="O132" s="7" t="str">
        <f aca="false">A132&amp;"|"&amp;B132&amp;"|"&amp;C132&amp;"|"&amp;D132&amp;"|"&amp;E132&amp;"|"&amp;F132&amp;"|"&amp;G132&amp;"|"&amp;H132&amp;"|"&amp;I132&amp;"|"&amp;J132&amp;"|"&amp;K132&amp;"|"&amp;L132&amp;"|"&amp;M132&amp;"|"&amp;N132</f>
        <v>ORD10667|2025-03-26|18:48|C1224|Curry  Leaf Kitchen|Mumbai|North Indian|4|270|50|UPI|Delivered|46|4</v>
      </c>
      <c r="P132" s="7" t="str">
        <f aca="false">IF(COUNTIF($O$2:O132,O132)&gt;1,"DUP","OK")</f>
        <v>OK</v>
      </c>
      <c r="Q132" s="7" t="n">
        <f aca="false">COUNTBLANK(A132:N132)</f>
        <v>0</v>
      </c>
      <c r="R132" s="7" t="n">
        <f aca="false">IF(A132="",0,COUNTIFS($A$2:$A$3058,A132,$P$2:$P$3058,"OK"))</f>
        <v>1</v>
      </c>
      <c r="S132" s="7" t="str">
        <f aca="false">IF(OR(A132="",P132="DUP",R132&lt;2),"",IF(Q132=_xlfn.MINIFS($Q$2:$Q$3058,$A$2:$A$3058,A132,$P$2:$P$3058,"OK"),"KEEP","DROP"))</f>
        <v/>
      </c>
      <c r="T132" s="9" t="n">
        <f aca="false">IF(A132="",1,0)</f>
        <v>0</v>
      </c>
      <c r="U132" s="9" t="n">
        <f aca="false">IF(D132="",1,0)</f>
        <v>0</v>
      </c>
      <c r="V132" s="9" t="n">
        <f aca="false">IF(E132="",1,0)</f>
        <v>0</v>
      </c>
      <c r="W132" s="9" t="n">
        <f aca="false">IF(OR(H132&lt;1,H132&gt;10),1,0)</f>
        <v>0</v>
      </c>
      <c r="X132" s="9" t="n">
        <f aca="false">IF(OR(I132&lt;=0,I132&gt;1500),1,0)</f>
        <v>0</v>
      </c>
      <c r="Y132" s="9" t="n">
        <f aca="false">IF(J132&gt;H132*I132,1,0)</f>
        <v>0</v>
      </c>
      <c r="Z132" s="9" t="n">
        <f aca="false">IF(AND(N132&lt;&gt;"",OR(N132&lt;1,N132&gt;5)),1,0)</f>
        <v>0</v>
      </c>
      <c r="AA132" s="9" t="n">
        <f aca="false">IF(AND(M132&lt;&gt;"",OR(M132&lt;5,M132&gt;180)),1,0)</f>
        <v>0</v>
      </c>
      <c r="AB132" s="7" t="str">
        <f aca="false">IF(P132="DUP","Exact duplicate row",IF(T132=1,"Missing Order ID",IF(S132="DROP","Duplicate Order ID (less complete row)",IF(U132=1,"Missing Customer ID",IF(V132=1,"Missing Restaurant name",IF(W132=1,"Invalid/outlier quantity",IF(X132=1,"Invalid/outlier unit price",IF(Y132=1,"Discount greater than order value",""))))))))</f>
        <v/>
      </c>
      <c r="AC132" s="7" t="str">
        <f aca="false">IF(AB132="","KEEP","DROP")</f>
        <v>KEEP</v>
      </c>
      <c r="AD132" s="7" t="str">
        <f aca="false">IF(TRIM(F132)="",IFERROR(INDEX(Map_Tables!$I$4:$I$37,MATCH(TRIM(E132),Map_Tables!$G$4:$G$37,0)),""),IFERROR(INDEX(Map_Tables!$B$4:$B$18,MATCH(TRIM(F132),Map_Tables!$A$4:$A$18,0)),"CHECK"))</f>
        <v>Mumbai</v>
      </c>
      <c r="AE132" s="7" t="str">
        <f aca="false">IF(TRIM(E132)="","",IFERROR(INDEX(Map_Tables!$H$4:$H$37,MATCH(TRIM(E132),Map_Tables!$G$4:$G$37,0)),"CHECK"))</f>
        <v>Curry Leaf Kitchen</v>
      </c>
      <c r="AF132" s="7" t="str">
        <f aca="false">IF(TRIM(K132)="","Unknown",IFERROR(INDEX(Map_Tables!$E$4:$E$15,MATCH(TRIM(K132),Map_Tables!$D$4:$D$15,0)),"CHECK"))</f>
        <v>UPI</v>
      </c>
      <c r="AG132" s="7" t="str">
        <f aca="false">IF(LEFT(LOWER(TRIM(L132)),6)="cancel","Cancelled","Delivered")</f>
        <v>Delivered</v>
      </c>
      <c r="AH132" s="10" t="n">
        <f aca="false">IF(ISNUMBER(SEARCH("/",B132)),DATE(VALUE(RIGHT(B132,4)),VALUE(MID(B132,4,2)),VALUE(LEFT(B132,2))),IF(MID(B132,5,1)="-",DATE(VALUE(LEFT(B132,4)),VALUE(MID(B132,6,2)),VALUE(RIGHT(B132,2))),DATE(VALUE(RIGHT(B132,4)),MATCH(MID(B132,4,3),{"Jan","Feb","Mar","Apr","May","Jun","Jul","Aug","Sep","Oct","Nov","Dec"},0),VALUE(LEFT(B132,2)))))</f>
        <v>45742</v>
      </c>
    </row>
    <row r="133" customFormat="false" ht="15" hidden="false" customHeight="false" outlineLevel="0" collapsed="false">
      <c r="A133" s="7" t="s">
        <v>712</v>
      </c>
      <c r="B133" s="7" t="s">
        <v>678</v>
      </c>
      <c r="C133" s="7" t="s">
        <v>447</v>
      </c>
      <c r="D133" s="7" t="s">
        <v>713</v>
      </c>
      <c r="E133" s="7" t="s">
        <v>116</v>
      </c>
      <c r="F133" s="7" t="s">
        <v>101</v>
      </c>
      <c r="G133" s="7" t="s">
        <v>117</v>
      </c>
      <c r="H133" s="7" t="n">
        <v>4</v>
      </c>
      <c r="I133" s="7" t="n">
        <v>155</v>
      </c>
      <c r="J133" s="7" t="n">
        <v>100</v>
      </c>
      <c r="K133" s="7" t="s">
        <v>88</v>
      </c>
      <c r="L133" s="7" t="s">
        <v>194</v>
      </c>
      <c r="M133" s="7" t="n">
        <v>47</v>
      </c>
      <c r="N133" s="7" t="n">
        <v>2</v>
      </c>
      <c r="O133" s="7" t="str">
        <f aca="false">A133&amp;"|"&amp;B133&amp;"|"&amp;C133&amp;"|"&amp;D133&amp;"|"&amp;E133&amp;"|"&amp;F133&amp;"|"&amp;G133&amp;"|"&amp;H133&amp;"|"&amp;I133&amp;"|"&amp;J133&amp;"|"&amp;K133&amp;"|"&amp;L133&amp;"|"&amp;M133&amp;"|"&amp;N133</f>
        <v>ORD10670|2025-03-26|20:28|C0834|Pav Bhaji Point|Mumbai|Street Food|4|155|100|UPI|Delivered|47|2</v>
      </c>
      <c r="P133" s="7" t="str">
        <f aca="false">IF(COUNTIF($O$2:O133,O133)&gt;1,"DUP","OK")</f>
        <v>OK</v>
      </c>
      <c r="Q133" s="7" t="n">
        <f aca="false">COUNTBLANK(A133:N133)</f>
        <v>0</v>
      </c>
      <c r="R133" s="7" t="n">
        <f aca="false">IF(A133="",0,COUNTIFS($A$2:$A$3058,A133,$P$2:$P$3058,"OK"))</f>
        <v>1</v>
      </c>
      <c r="S133" s="7" t="str">
        <f aca="false">IF(OR(A133="",P133="DUP",R133&lt;2),"",IF(Q133=_xlfn.MINIFS($Q$2:$Q$3058,$A$2:$A$3058,A133,$P$2:$P$3058,"OK"),"KEEP","DROP"))</f>
        <v/>
      </c>
      <c r="T133" s="9" t="n">
        <f aca="false">IF(A133="",1,0)</f>
        <v>0</v>
      </c>
      <c r="U133" s="9" t="n">
        <f aca="false">IF(D133="",1,0)</f>
        <v>0</v>
      </c>
      <c r="V133" s="9" t="n">
        <f aca="false">IF(E133="",1,0)</f>
        <v>0</v>
      </c>
      <c r="W133" s="9" t="n">
        <f aca="false">IF(OR(H133&lt;1,H133&gt;10),1,0)</f>
        <v>0</v>
      </c>
      <c r="X133" s="9" t="n">
        <f aca="false">IF(OR(I133&lt;=0,I133&gt;1500),1,0)</f>
        <v>0</v>
      </c>
      <c r="Y133" s="9" t="n">
        <f aca="false">IF(J133&gt;H133*I133,1,0)</f>
        <v>0</v>
      </c>
      <c r="Z133" s="9" t="n">
        <f aca="false">IF(AND(N133&lt;&gt;"",OR(N133&lt;1,N133&gt;5)),1,0)</f>
        <v>0</v>
      </c>
      <c r="AA133" s="9" t="n">
        <f aca="false">IF(AND(M133&lt;&gt;"",OR(M133&lt;5,M133&gt;180)),1,0)</f>
        <v>0</v>
      </c>
      <c r="AB133" s="7" t="str">
        <f aca="false">IF(P133="DUP","Exact duplicate row",IF(T133=1,"Missing Order ID",IF(S133="DROP","Duplicate Order ID (less complete row)",IF(U133=1,"Missing Customer ID",IF(V133=1,"Missing Restaurant name",IF(W133=1,"Invalid/outlier quantity",IF(X133=1,"Invalid/outlier unit price",IF(Y133=1,"Discount greater than order value",""))))))))</f>
        <v/>
      </c>
      <c r="AC133" s="7" t="str">
        <f aca="false">IF(AB133="","KEEP","DROP")</f>
        <v>KEEP</v>
      </c>
      <c r="AD133" s="7" t="str">
        <f aca="false">IF(TRIM(F133)="",IFERROR(INDEX(Map_Tables!$I$4:$I$37,MATCH(TRIM(E133),Map_Tables!$G$4:$G$37,0)),""),IFERROR(INDEX(Map_Tables!$B$4:$B$18,MATCH(TRIM(F133),Map_Tables!$A$4:$A$18,0)),"CHECK"))</f>
        <v>Mumbai</v>
      </c>
      <c r="AE133" s="7" t="str">
        <f aca="false">IF(TRIM(E133)="","",IFERROR(INDEX(Map_Tables!$H$4:$H$37,MATCH(TRIM(E133),Map_Tables!$G$4:$G$37,0)),"CHECK"))</f>
        <v>Pav Bhaji Point</v>
      </c>
      <c r="AF133" s="7" t="str">
        <f aca="false">IF(TRIM(K133)="","Unknown",IFERROR(INDEX(Map_Tables!$E$4:$E$15,MATCH(TRIM(K133),Map_Tables!$D$4:$D$15,0)),"CHECK"))</f>
        <v>UPI</v>
      </c>
      <c r="AG133" s="7" t="str">
        <f aca="false">IF(LEFT(LOWER(TRIM(L133)),6)="cancel","Cancelled","Delivered")</f>
        <v>Delivered</v>
      </c>
      <c r="AH133" s="10" t="n">
        <f aca="false">IF(ISNUMBER(SEARCH("/",B133)),DATE(VALUE(RIGHT(B133,4)),VALUE(MID(B133,4,2)),VALUE(LEFT(B133,2))),IF(MID(B133,5,1)="-",DATE(VALUE(LEFT(B133,4)),VALUE(MID(B133,6,2)),VALUE(RIGHT(B133,2))),DATE(VALUE(RIGHT(B133,4)),MATCH(MID(B133,4,3),{"Jan","Feb","Mar","Apr","May","Jun","Jul","Aug","Sep","Oct","Nov","Dec"},0),VALUE(LEFT(B133,2)))))</f>
        <v>45742</v>
      </c>
    </row>
    <row r="134" customFormat="false" ht="15" hidden="false" customHeight="false" outlineLevel="0" collapsed="false">
      <c r="A134" s="7" t="s">
        <v>714</v>
      </c>
      <c r="B134" s="7" t="s">
        <v>715</v>
      </c>
      <c r="C134" s="7" t="s">
        <v>716</v>
      </c>
      <c r="D134" s="7" t="s">
        <v>569</v>
      </c>
      <c r="E134" s="7" t="s">
        <v>717</v>
      </c>
      <c r="F134" s="7" t="s">
        <v>136</v>
      </c>
      <c r="G134" s="7" t="s">
        <v>150</v>
      </c>
      <c r="H134" s="7" t="n">
        <v>4</v>
      </c>
      <c r="I134" s="7" t="n">
        <v>165</v>
      </c>
      <c r="J134" s="7" t="n">
        <v>0</v>
      </c>
      <c r="K134" s="7" t="s">
        <v>112</v>
      </c>
      <c r="L134" s="7" t="s">
        <v>238</v>
      </c>
      <c r="M134" s="7"/>
      <c r="N134" s="7"/>
      <c r="O134" s="7" t="str">
        <f aca="false">A134&amp;"|"&amp;B134&amp;"|"&amp;C134&amp;"|"&amp;D134&amp;"|"&amp;E134&amp;"|"&amp;F134&amp;"|"&amp;G134&amp;"|"&amp;H134&amp;"|"&amp;I134&amp;"|"&amp;J134&amp;"|"&amp;K134&amp;"|"&amp;L134&amp;"|"&amp;M134&amp;"|"&amp;N134</f>
        <v>ORD11276|2025-06-11|22:30|C0668|Cake  Walk|Pune|Desserts|4|165|0|Cash on Delivery|Cancelled||</v>
      </c>
      <c r="P134" s="7" t="str">
        <f aca="false">IF(COUNTIF($O$2:O134,O134)&gt;1,"DUP","OK")</f>
        <v>OK</v>
      </c>
      <c r="Q134" s="7" t="n">
        <f aca="false">COUNTBLANK(A134:N134)</f>
        <v>2</v>
      </c>
      <c r="R134" s="7" t="n">
        <f aca="false">IF(A134="",0,COUNTIFS($A$2:$A$3058,A134,$P$2:$P$3058,"OK"))</f>
        <v>1</v>
      </c>
      <c r="S134" s="7" t="str">
        <f aca="false">IF(OR(A134="",P134="DUP",R134&lt;2),"",IF(Q134=_xlfn.MINIFS($Q$2:$Q$3058,$A$2:$A$3058,A134,$P$2:$P$3058,"OK"),"KEEP","DROP"))</f>
        <v/>
      </c>
      <c r="T134" s="9" t="n">
        <f aca="false">IF(A134="",1,0)</f>
        <v>0</v>
      </c>
      <c r="U134" s="9" t="n">
        <f aca="false">IF(D134="",1,0)</f>
        <v>0</v>
      </c>
      <c r="V134" s="9" t="n">
        <f aca="false">IF(E134="",1,0)</f>
        <v>0</v>
      </c>
      <c r="W134" s="9" t="n">
        <f aca="false">IF(OR(H134&lt;1,H134&gt;10),1,0)</f>
        <v>0</v>
      </c>
      <c r="X134" s="9" t="n">
        <f aca="false">IF(OR(I134&lt;=0,I134&gt;1500),1,0)</f>
        <v>0</v>
      </c>
      <c r="Y134" s="9" t="n">
        <f aca="false">IF(J134&gt;H134*I134,1,0)</f>
        <v>0</v>
      </c>
      <c r="Z134" s="9" t="n">
        <f aca="false">IF(AND(N134&lt;&gt;"",OR(N134&lt;1,N134&gt;5)),1,0)</f>
        <v>0</v>
      </c>
      <c r="AA134" s="9" t="n">
        <f aca="false">IF(AND(M134&lt;&gt;"",OR(M134&lt;5,M134&gt;180)),1,0)</f>
        <v>0</v>
      </c>
      <c r="AB134" s="7" t="str">
        <f aca="false">IF(P134="DUP","Exact duplicate row",IF(T134=1,"Missing Order ID",IF(S134="DROP","Duplicate Order ID (less complete row)",IF(U134=1,"Missing Customer ID",IF(V134=1,"Missing Restaurant name",IF(W134=1,"Invalid/outlier quantity",IF(X134=1,"Invalid/outlier unit price",IF(Y134=1,"Discount greater than order value",""))))))))</f>
        <v/>
      </c>
      <c r="AC134" s="7" t="str">
        <f aca="false">IF(AB134="","KEEP","DROP")</f>
        <v>KEEP</v>
      </c>
      <c r="AD134" s="7" t="str">
        <f aca="false">IF(TRIM(F134)="",IFERROR(INDEX(Map_Tables!$I$4:$I$37,MATCH(TRIM(E134),Map_Tables!$G$4:$G$37,0)),""),IFERROR(INDEX(Map_Tables!$B$4:$B$18,MATCH(TRIM(F134),Map_Tables!$A$4:$A$18,0)),"CHECK"))</f>
        <v>Pune</v>
      </c>
      <c r="AE134" s="7" t="str">
        <f aca="false">IF(TRIM(E134)="","",IFERROR(INDEX(Map_Tables!$H$4:$H$37,MATCH(TRIM(E134),Map_Tables!$G$4:$G$37,0)),"CHECK"))</f>
        <v>Cake Walk</v>
      </c>
      <c r="AF134" s="7" t="str">
        <f aca="false">IF(TRIM(K134)="","Unknown",IFERROR(INDEX(Map_Tables!$E$4:$E$15,MATCH(TRIM(K134),Map_Tables!$D$4:$D$15,0)),"CHECK"))</f>
        <v>Cash on Delivery</v>
      </c>
      <c r="AG134" s="7" t="str">
        <f aca="false">IF(LEFT(LOWER(TRIM(L134)),6)="cancel","Cancelled","Delivered")</f>
        <v>Cancelled</v>
      </c>
      <c r="AH134" s="10" t="n">
        <f aca="false">IF(ISNUMBER(SEARCH("/",B134)),DATE(VALUE(RIGHT(B134,4)),VALUE(MID(B134,4,2)),VALUE(LEFT(B134,2))),IF(MID(B134,5,1)="-",DATE(VALUE(LEFT(B134,4)),VALUE(MID(B134,6,2)),VALUE(RIGHT(B134,2))),DATE(VALUE(RIGHT(B134,4)),MATCH(MID(B134,4,3),{"Jan","Feb","Mar","Apr","May","Jun","Jul","Aug","Sep","Oct","Nov","Dec"},0),VALUE(LEFT(B134,2)))))</f>
        <v>45819</v>
      </c>
    </row>
    <row r="135" customFormat="false" ht="15" hidden="false" customHeight="false" outlineLevel="0" collapsed="false">
      <c r="A135" s="7" t="s">
        <v>718</v>
      </c>
      <c r="B135" s="7" t="s">
        <v>719</v>
      </c>
      <c r="C135" s="7" t="s">
        <v>720</v>
      </c>
      <c r="D135" s="7" t="s">
        <v>721</v>
      </c>
      <c r="E135" s="7" t="s">
        <v>94</v>
      </c>
      <c r="F135" s="7" t="s">
        <v>86</v>
      </c>
      <c r="G135" s="7" t="s">
        <v>95</v>
      </c>
      <c r="H135" s="7" t="n">
        <v>1</v>
      </c>
      <c r="I135" s="7" t="n">
        <v>95</v>
      </c>
      <c r="J135" s="7" t="n">
        <v>0</v>
      </c>
      <c r="K135" s="7" t="s">
        <v>112</v>
      </c>
      <c r="L135" s="7" t="s">
        <v>194</v>
      </c>
      <c r="M135" s="7" t="n">
        <v>47</v>
      </c>
      <c r="N135" s="7" t="n">
        <v>4</v>
      </c>
      <c r="O135" s="7" t="str">
        <f aca="false">A135&amp;"|"&amp;B135&amp;"|"&amp;C135&amp;"|"&amp;D135&amp;"|"&amp;E135&amp;"|"&amp;F135&amp;"|"&amp;G135&amp;"|"&amp;H135&amp;"|"&amp;I135&amp;"|"&amp;J135&amp;"|"&amp;K135&amp;"|"&amp;L135&amp;"|"&amp;M135&amp;"|"&amp;N135</f>
        <v>ORD12135|01/10/2025|12:26|C1430|Dosa Darbar|Bengaluru|South Indian|1|95|0|Cash on Delivery|Delivered|47|4</v>
      </c>
      <c r="P135" s="7" t="str">
        <f aca="false">IF(COUNTIF($O$2:O135,O135)&gt;1,"DUP","OK")</f>
        <v>OK</v>
      </c>
      <c r="Q135" s="7" t="n">
        <f aca="false">COUNTBLANK(A135:N135)</f>
        <v>0</v>
      </c>
      <c r="R135" s="7" t="n">
        <f aca="false">IF(A135="",0,COUNTIFS($A$2:$A$3058,A135,$P$2:$P$3058,"OK"))</f>
        <v>1</v>
      </c>
      <c r="S135" s="7" t="str">
        <f aca="false">IF(OR(A135="",P135="DUP",R135&lt;2),"",IF(Q135=_xlfn.MINIFS($Q$2:$Q$3058,$A$2:$A$3058,A135,$P$2:$P$3058,"OK"),"KEEP","DROP"))</f>
        <v/>
      </c>
      <c r="T135" s="9" t="n">
        <f aca="false">IF(A135="",1,0)</f>
        <v>0</v>
      </c>
      <c r="U135" s="9" t="n">
        <f aca="false">IF(D135="",1,0)</f>
        <v>0</v>
      </c>
      <c r="V135" s="9" t="n">
        <f aca="false">IF(E135="",1,0)</f>
        <v>0</v>
      </c>
      <c r="W135" s="9" t="n">
        <f aca="false">IF(OR(H135&lt;1,H135&gt;10),1,0)</f>
        <v>0</v>
      </c>
      <c r="X135" s="9" t="n">
        <f aca="false">IF(OR(I135&lt;=0,I135&gt;1500),1,0)</f>
        <v>0</v>
      </c>
      <c r="Y135" s="9" t="n">
        <f aca="false">IF(J135&gt;H135*I135,1,0)</f>
        <v>0</v>
      </c>
      <c r="Z135" s="9" t="n">
        <f aca="false">IF(AND(N135&lt;&gt;"",OR(N135&lt;1,N135&gt;5)),1,0)</f>
        <v>0</v>
      </c>
      <c r="AA135" s="9" t="n">
        <f aca="false">IF(AND(M135&lt;&gt;"",OR(M135&lt;5,M135&gt;180)),1,0)</f>
        <v>0</v>
      </c>
      <c r="AB135" s="7" t="str">
        <f aca="false">IF(P135="DUP","Exact duplicate row",IF(T135=1,"Missing Order ID",IF(S135="DROP","Duplicate Order ID (less complete row)",IF(U135=1,"Missing Customer ID",IF(V135=1,"Missing Restaurant name",IF(W135=1,"Invalid/outlier quantity",IF(X135=1,"Invalid/outlier unit price",IF(Y135=1,"Discount greater than order value",""))))))))</f>
        <v/>
      </c>
      <c r="AC135" s="7" t="str">
        <f aca="false">IF(AB135="","KEEP","DROP")</f>
        <v>KEEP</v>
      </c>
      <c r="AD135" s="7" t="str">
        <f aca="false">IF(TRIM(F135)="",IFERROR(INDEX(Map_Tables!$I$4:$I$37,MATCH(TRIM(E135),Map_Tables!$G$4:$G$37,0)),""),IFERROR(INDEX(Map_Tables!$B$4:$B$18,MATCH(TRIM(F135),Map_Tables!$A$4:$A$18,0)),"CHECK"))</f>
        <v>Bengaluru</v>
      </c>
      <c r="AE135" s="7" t="str">
        <f aca="false">IF(TRIM(E135)="","",IFERROR(INDEX(Map_Tables!$H$4:$H$37,MATCH(TRIM(E135),Map_Tables!$G$4:$G$37,0)),"CHECK"))</f>
        <v>Dosa Darbar</v>
      </c>
      <c r="AF135" s="7" t="str">
        <f aca="false">IF(TRIM(K135)="","Unknown",IFERROR(INDEX(Map_Tables!$E$4:$E$15,MATCH(TRIM(K135),Map_Tables!$D$4:$D$15,0)),"CHECK"))</f>
        <v>Cash on Delivery</v>
      </c>
      <c r="AG135" s="7" t="str">
        <f aca="false">IF(LEFT(LOWER(TRIM(L135)),6)="cancel","Cancelled","Delivered")</f>
        <v>Delivered</v>
      </c>
      <c r="AH135" s="10" t="n">
        <f aca="false">IF(ISNUMBER(SEARCH("/",B135)),DATE(VALUE(RIGHT(B135,4)),VALUE(MID(B135,4,2)),VALUE(LEFT(B135,2))),IF(MID(B135,5,1)="-",DATE(VALUE(LEFT(B135,4)),VALUE(MID(B135,6,2)),VALUE(RIGHT(B135,2))),DATE(VALUE(RIGHT(B135,4)),MATCH(MID(B135,4,3),{"Jan","Feb","Mar","Apr","May","Jun","Jul","Aug","Sep","Oct","Nov","Dec"},0),VALUE(LEFT(B135,2)))))</f>
        <v>45931</v>
      </c>
    </row>
    <row r="136" customFormat="false" ht="15" hidden="false" customHeight="false" outlineLevel="0" collapsed="false">
      <c r="A136" s="7" t="s">
        <v>722</v>
      </c>
      <c r="B136" s="7" t="s">
        <v>723</v>
      </c>
      <c r="C136" s="7" t="s">
        <v>724</v>
      </c>
      <c r="D136" s="7" t="s">
        <v>725</v>
      </c>
      <c r="E136" s="7" t="s">
        <v>157</v>
      </c>
      <c r="F136" s="7" t="s">
        <v>136</v>
      </c>
      <c r="G136" s="7" t="s">
        <v>117</v>
      </c>
      <c r="H136" s="7" t="n">
        <v>3</v>
      </c>
      <c r="I136" s="7" t="n">
        <v>125</v>
      </c>
      <c r="J136" s="7" t="n">
        <v>20</v>
      </c>
      <c r="K136" s="7" t="s">
        <v>88</v>
      </c>
      <c r="L136" s="7" t="s">
        <v>194</v>
      </c>
      <c r="M136" s="7" t="n">
        <v>29</v>
      </c>
      <c r="N136" s="7" t="n">
        <v>3</v>
      </c>
      <c r="O136" s="7" t="str">
        <f aca="false">A136&amp;"|"&amp;B136&amp;"|"&amp;C136&amp;"|"&amp;D136&amp;"|"&amp;E136&amp;"|"&amp;F136&amp;"|"&amp;G136&amp;"|"&amp;H136&amp;"|"&amp;I136&amp;"|"&amp;J136&amp;"|"&amp;K136&amp;"|"&amp;L136&amp;"|"&amp;M136&amp;"|"&amp;N136</f>
        <v>ORD10613|2025-03-18|19:01|C0330|Misal Mantra|Pune|Street Food|3|125|20|UPI|Delivered|29|3</v>
      </c>
      <c r="P136" s="7" t="str">
        <f aca="false">IF(COUNTIF($O$2:O136,O136)&gt;1,"DUP","OK")</f>
        <v>OK</v>
      </c>
      <c r="Q136" s="7" t="n">
        <f aca="false">COUNTBLANK(A136:N136)</f>
        <v>0</v>
      </c>
      <c r="R136" s="7" t="n">
        <f aca="false">IF(A136="",0,COUNTIFS($A$2:$A$3058,A136,$P$2:$P$3058,"OK"))</f>
        <v>1</v>
      </c>
      <c r="S136" s="7" t="str">
        <f aca="false">IF(OR(A136="",P136="DUP",R136&lt;2),"",IF(Q136=_xlfn.MINIFS($Q$2:$Q$3058,$A$2:$A$3058,A136,$P$2:$P$3058,"OK"),"KEEP","DROP"))</f>
        <v/>
      </c>
      <c r="T136" s="9" t="n">
        <f aca="false">IF(A136="",1,0)</f>
        <v>0</v>
      </c>
      <c r="U136" s="9" t="n">
        <f aca="false">IF(D136="",1,0)</f>
        <v>0</v>
      </c>
      <c r="V136" s="9" t="n">
        <f aca="false">IF(E136="",1,0)</f>
        <v>0</v>
      </c>
      <c r="W136" s="9" t="n">
        <f aca="false">IF(OR(H136&lt;1,H136&gt;10),1,0)</f>
        <v>0</v>
      </c>
      <c r="X136" s="9" t="n">
        <f aca="false">IF(OR(I136&lt;=0,I136&gt;1500),1,0)</f>
        <v>0</v>
      </c>
      <c r="Y136" s="9" t="n">
        <f aca="false">IF(J136&gt;H136*I136,1,0)</f>
        <v>0</v>
      </c>
      <c r="Z136" s="9" t="n">
        <f aca="false">IF(AND(N136&lt;&gt;"",OR(N136&lt;1,N136&gt;5)),1,0)</f>
        <v>0</v>
      </c>
      <c r="AA136" s="9" t="n">
        <f aca="false">IF(AND(M136&lt;&gt;"",OR(M136&lt;5,M136&gt;180)),1,0)</f>
        <v>0</v>
      </c>
      <c r="AB136" s="7" t="str">
        <f aca="false">IF(P136="DUP","Exact duplicate row",IF(T136=1,"Missing Order ID",IF(S136="DROP","Duplicate Order ID (less complete row)",IF(U136=1,"Missing Customer ID",IF(V136=1,"Missing Restaurant name",IF(W136=1,"Invalid/outlier quantity",IF(X136=1,"Invalid/outlier unit price",IF(Y136=1,"Discount greater than order value",""))))))))</f>
        <v/>
      </c>
      <c r="AC136" s="7" t="str">
        <f aca="false">IF(AB136="","KEEP","DROP")</f>
        <v>KEEP</v>
      </c>
      <c r="AD136" s="7" t="str">
        <f aca="false">IF(TRIM(F136)="",IFERROR(INDEX(Map_Tables!$I$4:$I$37,MATCH(TRIM(E136),Map_Tables!$G$4:$G$37,0)),""),IFERROR(INDEX(Map_Tables!$B$4:$B$18,MATCH(TRIM(F136),Map_Tables!$A$4:$A$18,0)),"CHECK"))</f>
        <v>Pune</v>
      </c>
      <c r="AE136" s="7" t="str">
        <f aca="false">IF(TRIM(E136)="","",IFERROR(INDEX(Map_Tables!$H$4:$H$37,MATCH(TRIM(E136),Map_Tables!$G$4:$G$37,0)),"CHECK"))</f>
        <v>Misal Mantra</v>
      </c>
      <c r="AF136" s="7" t="str">
        <f aca="false">IF(TRIM(K136)="","Unknown",IFERROR(INDEX(Map_Tables!$E$4:$E$15,MATCH(TRIM(K136),Map_Tables!$D$4:$D$15,0)),"CHECK"))</f>
        <v>UPI</v>
      </c>
      <c r="AG136" s="7" t="str">
        <f aca="false">IF(LEFT(LOWER(TRIM(L136)),6)="cancel","Cancelled","Delivered")</f>
        <v>Delivered</v>
      </c>
      <c r="AH136" s="10" t="n">
        <f aca="false">IF(ISNUMBER(SEARCH("/",B136)),DATE(VALUE(RIGHT(B136,4)),VALUE(MID(B136,4,2)),VALUE(LEFT(B136,2))),IF(MID(B136,5,1)="-",DATE(VALUE(LEFT(B136,4)),VALUE(MID(B136,6,2)),VALUE(RIGHT(B136,2))),DATE(VALUE(RIGHT(B136,4)),MATCH(MID(B136,4,3),{"Jan","Feb","Mar","Apr","May","Jun","Jul","Aug","Sep","Oct","Nov","Dec"},0),VALUE(LEFT(B136,2)))))</f>
        <v>45734</v>
      </c>
    </row>
    <row r="137" customFormat="false" ht="15" hidden="false" customHeight="false" outlineLevel="0" collapsed="false">
      <c r="A137" s="7" t="s">
        <v>726</v>
      </c>
      <c r="B137" s="7" t="s">
        <v>727</v>
      </c>
      <c r="C137" s="7" t="s">
        <v>689</v>
      </c>
      <c r="D137" s="7" t="s">
        <v>728</v>
      </c>
      <c r="E137" s="7" t="s">
        <v>104</v>
      </c>
      <c r="F137" s="7" t="s">
        <v>729</v>
      </c>
      <c r="G137" s="7" t="s">
        <v>105</v>
      </c>
      <c r="H137" s="7" t="n">
        <v>2</v>
      </c>
      <c r="I137" s="7" t="n">
        <v>205</v>
      </c>
      <c r="J137" s="7" t="n">
        <v>75</v>
      </c>
      <c r="K137" s="7" t="s">
        <v>133</v>
      </c>
      <c r="L137" s="7" t="s">
        <v>194</v>
      </c>
      <c r="M137" s="7" t="n">
        <v>26</v>
      </c>
      <c r="N137" s="7" t="n">
        <v>4</v>
      </c>
      <c r="O137" s="7" t="str">
        <f aca="false">A137&amp;"|"&amp;B137&amp;"|"&amp;C137&amp;"|"&amp;D137&amp;"|"&amp;E137&amp;"|"&amp;F137&amp;"|"&amp;G137&amp;"|"&amp;H137&amp;"|"&amp;I137&amp;"|"&amp;J137&amp;"|"&amp;K137&amp;"|"&amp;L137&amp;"|"&amp;M137&amp;"|"&amp;N137</f>
        <v>ORD10632|2025-03-21|18:16|C1293|Wok &amp; Roll|BENGALURU|Chinese|2|205|75|Net Banking|Delivered|26|4</v>
      </c>
      <c r="P137" s="7" t="str">
        <f aca="false">IF(COUNTIF($O$2:O137,O137)&gt;1,"DUP","OK")</f>
        <v>OK</v>
      </c>
      <c r="Q137" s="7" t="n">
        <f aca="false">COUNTBLANK(A137:N137)</f>
        <v>0</v>
      </c>
      <c r="R137" s="7" t="n">
        <f aca="false">IF(A137="",0,COUNTIFS($A$2:$A$3058,A137,$P$2:$P$3058,"OK"))</f>
        <v>1</v>
      </c>
      <c r="S137" s="7" t="str">
        <f aca="false">IF(OR(A137="",P137="DUP",R137&lt;2),"",IF(Q137=_xlfn.MINIFS($Q$2:$Q$3058,$A$2:$A$3058,A137,$P$2:$P$3058,"OK"),"KEEP","DROP"))</f>
        <v/>
      </c>
      <c r="T137" s="9" t="n">
        <f aca="false">IF(A137="",1,0)</f>
        <v>0</v>
      </c>
      <c r="U137" s="9" t="n">
        <f aca="false">IF(D137="",1,0)</f>
        <v>0</v>
      </c>
      <c r="V137" s="9" t="n">
        <f aca="false">IF(E137="",1,0)</f>
        <v>0</v>
      </c>
      <c r="W137" s="9" t="n">
        <f aca="false">IF(OR(H137&lt;1,H137&gt;10),1,0)</f>
        <v>0</v>
      </c>
      <c r="X137" s="9" t="n">
        <f aca="false">IF(OR(I137&lt;=0,I137&gt;1500),1,0)</f>
        <v>0</v>
      </c>
      <c r="Y137" s="9" t="n">
        <f aca="false">IF(J137&gt;H137*I137,1,0)</f>
        <v>0</v>
      </c>
      <c r="Z137" s="9" t="n">
        <f aca="false">IF(AND(N137&lt;&gt;"",OR(N137&lt;1,N137&gt;5)),1,0)</f>
        <v>0</v>
      </c>
      <c r="AA137" s="9" t="n">
        <f aca="false">IF(AND(M137&lt;&gt;"",OR(M137&lt;5,M137&gt;180)),1,0)</f>
        <v>0</v>
      </c>
      <c r="AB137" s="7" t="str">
        <f aca="false">IF(P137="DUP","Exact duplicate row",IF(T137=1,"Missing Order ID",IF(S137="DROP","Duplicate Order ID (less complete row)",IF(U137=1,"Missing Customer ID",IF(V137=1,"Missing Restaurant name",IF(W137=1,"Invalid/outlier quantity",IF(X137=1,"Invalid/outlier unit price",IF(Y137=1,"Discount greater than order value",""))))))))</f>
        <v/>
      </c>
      <c r="AC137" s="7" t="str">
        <f aca="false">IF(AB137="","KEEP","DROP")</f>
        <v>KEEP</v>
      </c>
      <c r="AD137" s="7" t="str">
        <f aca="false">IF(TRIM(F137)="",IFERROR(INDEX(Map_Tables!$I$4:$I$37,MATCH(TRIM(E137),Map_Tables!$G$4:$G$37,0)),""),IFERROR(INDEX(Map_Tables!$B$4:$B$18,MATCH(TRIM(F137),Map_Tables!$A$4:$A$18,0)),"CHECK"))</f>
        <v>Bengaluru</v>
      </c>
      <c r="AE137" s="7" t="str">
        <f aca="false">IF(TRIM(E137)="","",IFERROR(INDEX(Map_Tables!$H$4:$H$37,MATCH(TRIM(E137),Map_Tables!$G$4:$G$37,0)),"CHECK"))</f>
        <v>Wok &amp; Roll</v>
      </c>
      <c r="AF137" s="7" t="str">
        <f aca="false">IF(TRIM(K137)="","Unknown",IFERROR(INDEX(Map_Tables!$E$4:$E$15,MATCH(TRIM(K137),Map_Tables!$D$4:$D$15,0)),"CHECK"))</f>
        <v>Net Banking</v>
      </c>
      <c r="AG137" s="7" t="str">
        <f aca="false">IF(LEFT(LOWER(TRIM(L137)),6)="cancel","Cancelled","Delivered")</f>
        <v>Delivered</v>
      </c>
      <c r="AH137" s="10" t="n">
        <f aca="false">IF(ISNUMBER(SEARCH("/",B137)),DATE(VALUE(RIGHT(B137,4)),VALUE(MID(B137,4,2)),VALUE(LEFT(B137,2))),IF(MID(B137,5,1)="-",DATE(VALUE(LEFT(B137,4)),VALUE(MID(B137,6,2)),VALUE(RIGHT(B137,2))),DATE(VALUE(RIGHT(B137,4)),MATCH(MID(B137,4,3),{"Jan","Feb","Mar","Apr","May","Jun","Jul","Aug","Sep","Oct","Nov","Dec"},0),VALUE(LEFT(B137,2)))))</f>
        <v>45737</v>
      </c>
    </row>
    <row r="138" customFormat="false" ht="15" hidden="false" customHeight="false" outlineLevel="0" collapsed="false">
      <c r="A138" s="7" t="s">
        <v>730</v>
      </c>
      <c r="B138" s="7" t="s">
        <v>731</v>
      </c>
      <c r="C138" s="7" t="s">
        <v>732</v>
      </c>
      <c r="D138" s="7" t="s">
        <v>733</v>
      </c>
      <c r="E138" s="7" t="s">
        <v>163</v>
      </c>
      <c r="F138" s="7" t="s">
        <v>141</v>
      </c>
      <c r="G138" s="7" t="s">
        <v>99</v>
      </c>
      <c r="H138" s="7" t="n">
        <v>2</v>
      </c>
      <c r="I138" s="7" t="n">
        <v>240</v>
      </c>
      <c r="J138" s="7" t="n">
        <v>0</v>
      </c>
      <c r="K138" s="7" t="s">
        <v>112</v>
      </c>
      <c r="L138" s="7" t="s">
        <v>194</v>
      </c>
      <c r="M138" s="7" t="n">
        <v>28</v>
      </c>
      <c r="N138" s="7" t="n">
        <v>5</v>
      </c>
      <c r="O138" s="7" t="str">
        <f aca="false">A138&amp;"|"&amp;B138&amp;"|"&amp;C138&amp;"|"&amp;D138&amp;"|"&amp;E138&amp;"|"&amp;F138&amp;"|"&amp;G138&amp;"|"&amp;H138&amp;"|"&amp;I138&amp;"|"&amp;J138&amp;"|"&amp;K138&amp;"|"&amp;L138&amp;"|"&amp;M138&amp;"|"&amp;N138</f>
        <v>ORD12222|2025-10-09|19:07|C0325|Biryani Baadshah|Kolkata|Biryani|2|240|0|Cash on Delivery|Delivered|28|5</v>
      </c>
      <c r="P138" s="7" t="str">
        <f aca="false">IF(COUNTIF($O$2:O138,O138)&gt;1,"DUP","OK")</f>
        <v>OK</v>
      </c>
      <c r="Q138" s="7" t="n">
        <f aca="false">COUNTBLANK(A138:N138)</f>
        <v>0</v>
      </c>
      <c r="R138" s="7" t="n">
        <f aca="false">IF(A138="",0,COUNTIFS($A$2:$A$3058,A138,$P$2:$P$3058,"OK"))</f>
        <v>1</v>
      </c>
      <c r="S138" s="7" t="str">
        <f aca="false">IF(OR(A138="",P138="DUP",R138&lt;2),"",IF(Q138=_xlfn.MINIFS($Q$2:$Q$3058,$A$2:$A$3058,A138,$P$2:$P$3058,"OK"),"KEEP","DROP"))</f>
        <v/>
      </c>
      <c r="T138" s="9" t="n">
        <f aca="false">IF(A138="",1,0)</f>
        <v>0</v>
      </c>
      <c r="U138" s="9" t="n">
        <f aca="false">IF(D138="",1,0)</f>
        <v>0</v>
      </c>
      <c r="V138" s="9" t="n">
        <f aca="false">IF(E138="",1,0)</f>
        <v>0</v>
      </c>
      <c r="W138" s="9" t="n">
        <f aca="false">IF(OR(H138&lt;1,H138&gt;10),1,0)</f>
        <v>0</v>
      </c>
      <c r="X138" s="9" t="n">
        <f aca="false">IF(OR(I138&lt;=0,I138&gt;1500),1,0)</f>
        <v>0</v>
      </c>
      <c r="Y138" s="9" t="n">
        <f aca="false">IF(J138&gt;H138*I138,1,0)</f>
        <v>0</v>
      </c>
      <c r="Z138" s="9" t="n">
        <f aca="false">IF(AND(N138&lt;&gt;"",OR(N138&lt;1,N138&gt;5)),1,0)</f>
        <v>0</v>
      </c>
      <c r="AA138" s="9" t="n">
        <f aca="false">IF(AND(M138&lt;&gt;"",OR(M138&lt;5,M138&gt;180)),1,0)</f>
        <v>0</v>
      </c>
      <c r="AB138" s="7" t="str">
        <f aca="false">IF(P138="DUP","Exact duplicate row",IF(T138=1,"Missing Order ID",IF(S138="DROP","Duplicate Order ID (less complete row)",IF(U138=1,"Missing Customer ID",IF(V138=1,"Missing Restaurant name",IF(W138=1,"Invalid/outlier quantity",IF(X138=1,"Invalid/outlier unit price",IF(Y138=1,"Discount greater than order value",""))))))))</f>
        <v/>
      </c>
      <c r="AC138" s="7" t="str">
        <f aca="false">IF(AB138="","KEEP","DROP")</f>
        <v>KEEP</v>
      </c>
      <c r="AD138" s="7" t="str">
        <f aca="false">IF(TRIM(F138)="",IFERROR(INDEX(Map_Tables!$I$4:$I$37,MATCH(TRIM(E138),Map_Tables!$G$4:$G$37,0)),""),IFERROR(INDEX(Map_Tables!$B$4:$B$18,MATCH(TRIM(F138),Map_Tables!$A$4:$A$18,0)),"CHECK"))</f>
        <v>Kolkata</v>
      </c>
      <c r="AE138" s="7" t="str">
        <f aca="false">IF(TRIM(E138)="","",IFERROR(INDEX(Map_Tables!$H$4:$H$37,MATCH(TRIM(E138),Map_Tables!$G$4:$G$37,0)),"CHECK"))</f>
        <v>Biryani Baadshah</v>
      </c>
      <c r="AF138" s="7" t="str">
        <f aca="false">IF(TRIM(K138)="","Unknown",IFERROR(INDEX(Map_Tables!$E$4:$E$15,MATCH(TRIM(K138),Map_Tables!$D$4:$D$15,0)),"CHECK"))</f>
        <v>Cash on Delivery</v>
      </c>
      <c r="AG138" s="7" t="str">
        <f aca="false">IF(LEFT(LOWER(TRIM(L138)),6)="cancel","Cancelled","Delivered")</f>
        <v>Delivered</v>
      </c>
      <c r="AH138" s="10" t="n">
        <f aca="false">IF(ISNUMBER(SEARCH("/",B138)),DATE(VALUE(RIGHT(B138,4)),VALUE(MID(B138,4,2)),VALUE(LEFT(B138,2))),IF(MID(B138,5,1)="-",DATE(VALUE(LEFT(B138,4)),VALUE(MID(B138,6,2)),VALUE(RIGHT(B138,2))),DATE(VALUE(RIGHT(B138,4)),MATCH(MID(B138,4,3),{"Jan","Feb","Mar","Apr","May","Jun","Jul","Aug","Sep","Oct","Nov","Dec"},0),VALUE(LEFT(B138,2)))))</f>
        <v>45939</v>
      </c>
    </row>
    <row r="139" customFormat="false" ht="15" hidden="false" customHeight="false" outlineLevel="0" collapsed="false">
      <c r="A139" s="7" t="s">
        <v>734</v>
      </c>
      <c r="B139" s="7" t="s">
        <v>735</v>
      </c>
      <c r="C139" s="7" t="s">
        <v>736</v>
      </c>
      <c r="D139" s="7" t="s">
        <v>737</v>
      </c>
      <c r="E139" s="7" t="s">
        <v>167</v>
      </c>
      <c r="F139" s="7" t="s">
        <v>146</v>
      </c>
      <c r="G139" s="7" t="s">
        <v>156</v>
      </c>
      <c r="H139" s="7" t="n">
        <v>4</v>
      </c>
      <c r="I139" s="7" t="n">
        <v>255</v>
      </c>
      <c r="J139" s="7" t="n">
        <v>100</v>
      </c>
      <c r="K139" s="7" t="s">
        <v>121</v>
      </c>
      <c r="L139" s="7" t="s">
        <v>194</v>
      </c>
      <c r="M139" s="7" t="n">
        <v>36</v>
      </c>
      <c r="N139" s="7" t="n">
        <v>5</v>
      </c>
      <c r="O139" s="7" t="str">
        <f aca="false">A139&amp;"|"&amp;B139&amp;"|"&amp;C139&amp;"|"&amp;D139&amp;"|"&amp;E139&amp;"|"&amp;F139&amp;"|"&amp;G139&amp;"|"&amp;H139&amp;"|"&amp;I139&amp;"|"&amp;J139&amp;"|"&amp;K139&amp;"|"&amp;L139&amp;"|"&amp;M139&amp;"|"&amp;N139</f>
        <v>ORD10864|2025-04-19|11:14|C0519|Fit Fuel Kitchen|Ahmedabad|Healthy Food|4|255|100|Wallet|Delivered|36|5</v>
      </c>
      <c r="P139" s="7" t="str">
        <f aca="false">IF(COUNTIF($O$2:O139,O139)&gt;1,"DUP","OK")</f>
        <v>OK</v>
      </c>
      <c r="Q139" s="7" t="n">
        <f aca="false">COUNTBLANK(A139:N139)</f>
        <v>0</v>
      </c>
      <c r="R139" s="7" t="n">
        <f aca="false">IF(A139="",0,COUNTIFS($A$2:$A$3058,A139,$P$2:$P$3058,"OK"))</f>
        <v>1</v>
      </c>
      <c r="S139" s="7" t="str">
        <f aca="false">IF(OR(A139="",P139="DUP",R139&lt;2),"",IF(Q139=_xlfn.MINIFS($Q$2:$Q$3058,$A$2:$A$3058,A139,$P$2:$P$3058,"OK"),"KEEP","DROP"))</f>
        <v/>
      </c>
      <c r="T139" s="9" t="n">
        <f aca="false">IF(A139="",1,0)</f>
        <v>0</v>
      </c>
      <c r="U139" s="9" t="n">
        <f aca="false">IF(D139="",1,0)</f>
        <v>0</v>
      </c>
      <c r="V139" s="9" t="n">
        <f aca="false">IF(E139="",1,0)</f>
        <v>0</v>
      </c>
      <c r="W139" s="9" t="n">
        <f aca="false">IF(OR(H139&lt;1,H139&gt;10),1,0)</f>
        <v>0</v>
      </c>
      <c r="X139" s="9" t="n">
        <f aca="false">IF(OR(I139&lt;=0,I139&gt;1500),1,0)</f>
        <v>0</v>
      </c>
      <c r="Y139" s="9" t="n">
        <f aca="false">IF(J139&gt;H139*I139,1,0)</f>
        <v>0</v>
      </c>
      <c r="Z139" s="9" t="n">
        <f aca="false">IF(AND(N139&lt;&gt;"",OR(N139&lt;1,N139&gt;5)),1,0)</f>
        <v>0</v>
      </c>
      <c r="AA139" s="9" t="n">
        <f aca="false">IF(AND(M139&lt;&gt;"",OR(M139&lt;5,M139&gt;180)),1,0)</f>
        <v>0</v>
      </c>
      <c r="AB139" s="7" t="str">
        <f aca="false">IF(P139="DUP","Exact duplicate row",IF(T139=1,"Missing Order ID",IF(S139="DROP","Duplicate Order ID (less complete row)",IF(U139=1,"Missing Customer ID",IF(V139=1,"Missing Restaurant name",IF(W139=1,"Invalid/outlier quantity",IF(X139=1,"Invalid/outlier unit price",IF(Y139=1,"Discount greater than order value",""))))))))</f>
        <v/>
      </c>
      <c r="AC139" s="7" t="str">
        <f aca="false">IF(AB139="","KEEP","DROP")</f>
        <v>KEEP</v>
      </c>
      <c r="AD139" s="7" t="str">
        <f aca="false">IF(TRIM(F139)="",IFERROR(INDEX(Map_Tables!$I$4:$I$37,MATCH(TRIM(E139),Map_Tables!$G$4:$G$37,0)),""),IFERROR(INDEX(Map_Tables!$B$4:$B$18,MATCH(TRIM(F139),Map_Tables!$A$4:$A$18,0)),"CHECK"))</f>
        <v>Ahmedabad</v>
      </c>
      <c r="AE139" s="7" t="str">
        <f aca="false">IF(TRIM(E139)="","",IFERROR(INDEX(Map_Tables!$H$4:$H$37,MATCH(TRIM(E139),Map_Tables!$G$4:$G$37,0)),"CHECK"))</f>
        <v>Fit Fuel Kitchen</v>
      </c>
      <c r="AF139" s="7" t="str">
        <f aca="false">IF(TRIM(K139)="","Unknown",IFERROR(INDEX(Map_Tables!$E$4:$E$15,MATCH(TRIM(K139),Map_Tables!$D$4:$D$15,0)),"CHECK"))</f>
        <v>Wallet</v>
      </c>
      <c r="AG139" s="7" t="str">
        <f aca="false">IF(LEFT(LOWER(TRIM(L139)),6)="cancel","Cancelled","Delivered")</f>
        <v>Delivered</v>
      </c>
      <c r="AH139" s="10" t="n">
        <f aca="false">IF(ISNUMBER(SEARCH("/",B139)),DATE(VALUE(RIGHT(B139,4)),VALUE(MID(B139,4,2)),VALUE(LEFT(B139,2))),IF(MID(B139,5,1)="-",DATE(VALUE(LEFT(B139,4)),VALUE(MID(B139,6,2)),VALUE(RIGHT(B139,2))),DATE(VALUE(RIGHT(B139,4)),MATCH(MID(B139,4,3),{"Jan","Feb","Mar","Apr","May","Jun","Jul","Aug","Sep","Oct","Nov","Dec"},0),VALUE(LEFT(B139,2)))))</f>
        <v>45766</v>
      </c>
    </row>
    <row r="140" customFormat="false" ht="15" hidden="false" customHeight="false" outlineLevel="0" collapsed="false">
      <c r="A140" s="7" t="s">
        <v>738</v>
      </c>
      <c r="B140" s="7" t="s">
        <v>739</v>
      </c>
      <c r="C140" s="7" t="s">
        <v>668</v>
      </c>
      <c r="D140" s="7" t="s">
        <v>740</v>
      </c>
      <c r="E140" s="7" t="s">
        <v>89</v>
      </c>
      <c r="F140" s="7" t="s">
        <v>86</v>
      </c>
      <c r="G140" s="7" t="s">
        <v>90</v>
      </c>
      <c r="H140" s="7" t="n">
        <v>2</v>
      </c>
      <c r="I140" s="7" t="n">
        <v>305</v>
      </c>
      <c r="J140" s="7" t="n">
        <v>0</v>
      </c>
      <c r="K140" s="7" t="s">
        <v>133</v>
      </c>
      <c r="L140" s="7" t="s">
        <v>194</v>
      </c>
      <c r="M140" s="7" t="n">
        <v>28</v>
      </c>
      <c r="N140" s="7"/>
      <c r="O140" s="7" t="str">
        <f aca="false">A140&amp;"|"&amp;B140&amp;"|"&amp;C140&amp;"|"&amp;D140&amp;"|"&amp;E140&amp;"|"&amp;F140&amp;"|"&amp;G140&amp;"|"&amp;H140&amp;"|"&amp;I140&amp;"|"&amp;J140&amp;"|"&amp;K140&amp;"|"&amp;L140&amp;"|"&amp;M140&amp;"|"&amp;N140</f>
        <v>ORD10796|2025-04-11|13:33|C1277|Spice Junction|Bengaluru|North Indian|2|305|0|Net Banking|Delivered|28|</v>
      </c>
      <c r="P140" s="7" t="str">
        <f aca="false">IF(COUNTIF($O$2:O140,O140)&gt;1,"DUP","OK")</f>
        <v>OK</v>
      </c>
      <c r="Q140" s="7" t="n">
        <f aca="false">COUNTBLANK(A140:N140)</f>
        <v>1</v>
      </c>
      <c r="R140" s="7" t="n">
        <f aca="false">IF(A140="",0,COUNTIFS($A$2:$A$3058,A140,$P$2:$P$3058,"OK"))</f>
        <v>1</v>
      </c>
      <c r="S140" s="7" t="str">
        <f aca="false">IF(OR(A140="",P140="DUP",R140&lt;2),"",IF(Q140=_xlfn.MINIFS($Q$2:$Q$3058,$A$2:$A$3058,A140,$P$2:$P$3058,"OK"),"KEEP","DROP"))</f>
        <v/>
      </c>
      <c r="T140" s="9" t="n">
        <f aca="false">IF(A140="",1,0)</f>
        <v>0</v>
      </c>
      <c r="U140" s="9" t="n">
        <f aca="false">IF(D140="",1,0)</f>
        <v>0</v>
      </c>
      <c r="V140" s="9" t="n">
        <f aca="false">IF(E140="",1,0)</f>
        <v>0</v>
      </c>
      <c r="W140" s="9" t="n">
        <f aca="false">IF(OR(H140&lt;1,H140&gt;10),1,0)</f>
        <v>0</v>
      </c>
      <c r="X140" s="9" t="n">
        <f aca="false">IF(OR(I140&lt;=0,I140&gt;1500),1,0)</f>
        <v>0</v>
      </c>
      <c r="Y140" s="9" t="n">
        <f aca="false">IF(J140&gt;H140*I140,1,0)</f>
        <v>0</v>
      </c>
      <c r="Z140" s="9" t="n">
        <f aca="false">IF(AND(N140&lt;&gt;"",OR(N140&lt;1,N140&gt;5)),1,0)</f>
        <v>0</v>
      </c>
      <c r="AA140" s="9" t="n">
        <f aca="false">IF(AND(M140&lt;&gt;"",OR(M140&lt;5,M140&gt;180)),1,0)</f>
        <v>0</v>
      </c>
      <c r="AB140" s="7" t="str">
        <f aca="false">IF(P140="DUP","Exact duplicate row",IF(T140=1,"Missing Order ID",IF(S140="DROP","Duplicate Order ID (less complete row)",IF(U140=1,"Missing Customer ID",IF(V140=1,"Missing Restaurant name",IF(W140=1,"Invalid/outlier quantity",IF(X140=1,"Invalid/outlier unit price",IF(Y140=1,"Discount greater than order value",""))))))))</f>
        <v/>
      </c>
      <c r="AC140" s="7" t="str">
        <f aca="false">IF(AB140="","KEEP","DROP")</f>
        <v>KEEP</v>
      </c>
      <c r="AD140" s="7" t="str">
        <f aca="false">IF(TRIM(F140)="",IFERROR(INDEX(Map_Tables!$I$4:$I$37,MATCH(TRIM(E140),Map_Tables!$G$4:$G$37,0)),""),IFERROR(INDEX(Map_Tables!$B$4:$B$18,MATCH(TRIM(F140),Map_Tables!$A$4:$A$18,0)),"CHECK"))</f>
        <v>Bengaluru</v>
      </c>
      <c r="AE140" s="7" t="str">
        <f aca="false">IF(TRIM(E140)="","",IFERROR(INDEX(Map_Tables!$H$4:$H$37,MATCH(TRIM(E140),Map_Tables!$G$4:$G$37,0)),"CHECK"))</f>
        <v>Spice Junction</v>
      </c>
      <c r="AF140" s="7" t="str">
        <f aca="false">IF(TRIM(K140)="","Unknown",IFERROR(INDEX(Map_Tables!$E$4:$E$15,MATCH(TRIM(K140),Map_Tables!$D$4:$D$15,0)),"CHECK"))</f>
        <v>Net Banking</v>
      </c>
      <c r="AG140" s="7" t="str">
        <f aca="false">IF(LEFT(LOWER(TRIM(L140)),6)="cancel","Cancelled","Delivered")</f>
        <v>Delivered</v>
      </c>
      <c r="AH140" s="10" t="n">
        <f aca="false">IF(ISNUMBER(SEARCH("/",B140)),DATE(VALUE(RIGHT(B140,4)),VALUE(MID(B140,4,2)),VALUE(LEFT(B140,2))),IF(MID(B140,5,1)="-",DATE(VALUE(LEFT(B140,4)),VALUE(MID(B140,6,2)),VALUE(RIGHT(B140,2))),DATE(VALUE(RIGHT(B140,4)),MATCH(MID(B140,4,3),{"Jan","Feb","Mar","Apr","May","Jun","Jul","Aug","Sep","Oct","Nov","Dec"},0),VALUE(LEFT(B140,2)))))</f>
        <v>45758</v>
      </c>
    </row>
    <row r="141" customFormat="false" ht="15" hidden="false" customHeight="false" outlineLevel="0" collapsed="false">
      <c r="A141" s="7" t="s">
        <v>741</v>
      </c>
      <c r="B141" s="7" t="s">
        <v>742</v>
      </c>
      <c r="C141" s="7" t="s">
        <v>743</v>
      </c>
      <c r="D141" s="7" t="s">
        <v>744</v>
      </c>
      <c r="E141" s="7" t="s">
        <v>98</v>
      </c>
      <c r="F141" s="7" t="s">
        <v>86</v>
      </c>
      <c r="G141" s="7" t="s">
        <v>99</v>
      </c>
      <c r="H141" s="7" t="n">
        <v>1</v>
      </c>
      <c r="I141" s="7" t="n">
        <v>250</v>
      </c>
      <c r="J141" s="7" t="n">
        <v>100</v>
      </c>
      <c r="K141" s="7" t="s">
        <v>112</v>
      </c>
      <c r="L141" s="7" t="s">
        <v>194</v>
      </c>
      <c r="M141" s="7" t="n">
        <v>41</v>
      </c>
      <c r="N141" s="7"/>
      <c r="O141" s="7" t="str">
        <f aca="false">A141&amp;"|"&amp;B141&amp;"|"&amp;C141&amp;"|"&amp;D141&amp;"|"&amp;E141&amp;"|"&amp;F141&amp;"|"&amp;G141&amp;"|"&amp;H141&amp;"|"&amp;I141&amp;"|"&amp;J141&amp;"|"&amp;K141&amp;"|"&amp;L141&amp;"|"&amp;M141&amp;"|"&amp;N141</f>
        <v>ORD10445|01/03/2025|11:09|C1096|Nawabi Biryani House|Bengaluru|Biryani|1|250|100|Cash on Delivery|Delivered|41|</v>
      </c>
      <c r="P141" s="7" t="str">
        <f aca="false">IF(COUNTIF($O$2:O141,O141)&gt;1,"DUP","OK")</f>
        <v>OK</v>
      </c>
      <c r="Q141" s="7" t="n">
        <f aca="false">COUNTBLANK(A141:N141)</f>
        <v>1</v>
      </c>
      <c r="R141" s="7" t="n">
        <f aca="false">IF(A141="",0,COUNTIFS($A$2:$A$3058,A141,$P$2:$P$3058,"OK"))</f>
        <v>1</v>
      </c>
      <c r="S141" s="7" t="str">
        <f aca="false">IF(OR(A141="",P141="DUP",R141&lt;2),"",IF(Q141=_xlfn.MINIFS($Q$2:$Q$3058,$A$2:$A$3058,A141,$P$2:$P$3058,"OK"),"KEEP","DROP"))</f>
        <v/>
      </c>
      <c r="T141" s="9" t="n">
        <f aca="false">IF(A141="",1,0)</f>
        <v>0</v>
      </c>
      <c r="U141" s="9" t="n">
        <f aca="false">IF(D141="",1,0)</f>
        <v>0</v>
      </c>
      <c r="V141" s="9" t="n">
        <f aca="false">IF(E141="",1,0)</f>
        <v>0</v>
      </c>
      <c r="W141" s="9" t="n">
        <f aca="false">IF(OR(H141&lt;1,H141&gt;10),1,0)</f>
        <v>0</v>
      </c>
      <c r="X141" s="9" t="n">
        <f aca="false">IF(OR(I141&lt;=0,I141&gt;1500),1,0)</f>
        <v>0</v>
      </c>
      <c r="Y141" s="9" t="n">
        <f aca="false">IF(J141&gt;H141*I141,1,0)</f>
        <v>0</v>
      </c>
      <c r="Z141" s="9" t="n">
        <f aca="false">IF(AND(N141&lt;&gt;"",OR(N141&lt;1,N141&gt;5)),1,0)</f>
        <v>0</v>
      </c>
      <c r="AA141" s="9" t="n">
        <f aca="false">IF(AND(M141&lt;&gt;"",OR(M141&lt;5,M141&gt;180)),1,0)</f>
        <v>0</v>
      </c>
      <c r="AB141" s="7" t="str">
        <f aca="false">IF(P141="DUP","Exact duplicate row",IF(T141=1,"Missing Order ID",IF(S141="DROP","Duplicate Order ID (less complete row)",IF(U141=1,"Missing Customer ID",IF(V141=1,"Missing Restaurant name",IF(W141=1,"Invalid/outlier quantity",IF(X141=1,"Invalid/outlier unit price",IF(Y141=1,"Discount greater than order value",""))))))))</f>
        <v/>
      </c>
      <c r="AC141" s="7" t="str">
        <f aca="false">IF(AB141="","KEEP","DROP")</f>
        <v>KEEP</v>
      </c>
      <c r="AD141" s="7" t="str">
        <f aca="false">IF(TRIM(F141)="",IFERROR(INDEX(Map_Tables!$I$4:$I$37,MATCH(TRIM(E141),Map_Tables!$G$4:$G$37,0)),""),IFERROR(INDEX(Map_Tables!$B$4:$B$18,MATCH(TRIM(F141),Map_Tables!$A$4:$A$18,0)),"CHECK"))</f>
        <v>Bengaluru</v>
      </c>
      <c r="AE141" s="7" t="str">
        <f aca="false">IF(TRIM(E141)="","",IFERROR(INDEX(Map_Tables!$H$4:$H$37,MATCH(TRIM(E141),Map_Tables!$G$4:$G$37,0)),"CHECK"))</f>
        <v>Nawabi Biryani House</v>
      </c>
      <c r="AF141" s="7" t="str">
        <f aca="false">IF(TRIM(K141)="","Unknown",IFERROR(INDEX(Map_Tables!$E$4:$E$15,MATCH(TRIM(K141),Map_Tables!$D$4:$D$15,0)),"CHECK"))</f>
        <v>Cash on Delivery</v>
      </c>
      <c r="AG141" s="7" t="str">
        <f aca="false">IF(LEFT(LOWER(TRIM(L141)),6)="cancel","Cancelled","Delivered")</f>
        <v>Delivered</v>
      </c>
      <c r="AH141" s="10" t="n">
        <f aca="false">IF(ISNUMBER(SEARCH("/",B141)),DATE(VALUE(RIGHT(B141,4)),VALUE(MID(B141,4,2)),VALUE(LEFT(B141,2))),IF(MID(B141,5,1)="-",DATE(VALUE(LEFT(B141,4)),VALUE(MID(B141,6,2)),VALUE(RIGHT(B141,2))),DATE(VALUE(RIGHT(B141,4)),MATCH(MID(B141,4,3),{"Jan","Feb","Mar","Apr","May","Jun","Jul","Aug","Sep","Oct","Nov","Dec"},0),VALUE(LEFT(B141,2)))))</f>
        <v>45717</v>
      </c>
    </row>
    <row r="142" customFormat="false" ht="15" hidden="false" customHeight="false" outlineLevel="0" collapsed="false">
      <c r="A142" s="7" t="s">
        <v>745</v>
      </c>
      <c r="B142" s="7" t="s">
        <v>746</v>
      </c>
      <c r="C142" s="7" t="s">
        <v>747</v>
      </c>
      <c r="D142" s="7" t="s">
        <v>673</v>
      </c>
      <c r="E142" s="7" t="s">
        <v>104</v>
      </c>
      <c r="F142" s="7" t="s">
        <v>86</v>
      </c>
      <c r="G142" s="7" t="s">
        <v>105</v>
      </c>
      <c r="H142" s="7" t="n">
        <v>1</v>
      </c>
      <c r="I142" s="7" t="n">
        <v>200</v>
      </c>
      <c r="J142" s="7" t="n">
        <v>40</v>
      </c>
      <c r="K142" s="7" t="s">
        <v>93</v>
      </c>
      <c r="L142" s="7" t="s">
        <v>194</v>
      </c>
      <c r="M142" s="7" t="n">
        <v>33</v>
      </c>
      <c r="N142" s="7" t="n">
        <v>3</v>
      </c>
      <c r="O142" s="7" t="str">
        <f aca="false">A142&amp;"|"&amp;B142&amp;"|"&amp;C142&amp;"|"&amp;D142&amp;"|"&amp;E142&amp;"|"&amp;F142&amp;"|"&amp;G142&amp;"|"&amp;H142&amp;"|"&amp;I142&amp;"|"&amp;J142&amp;"|"&amp;K142&amp;"|"&amp;L142&amp;"|"&amp;M142&amp;"|"&amp;N142</f>
        <v>ORD12188|05/10/2025|22:03|C1316|Wok &amp; Roll|Bengaluru|Chinese|1|200|40|Credit Card|Delivered|33|3</v>
      </c>
      <c r="P142" s="7" t="str">
        <f aca="false">IF(COUNTIF($O$2:O142,O142)&gt;1,"DUP","OK")</f>
        <v>OK</v>
      </c>
      <c r="Q142" s="7" t="n">
        <f aca="false">COUNTBLANK(A142:N142)</f>
        <v>0</v>
      </c>
      <c r="R142" s="7" t="n">
        <f aca="false">IF(A142="",0,COUNTIFS($A$2:$A$3058,A142,$P$2:$P$3058,"OK"))</f>
        <v>1</v>
      </c>
      <c r="S142" s="7" t="str">
        <f aca="false">IF(OR(A142="",P142="DUP",R142&lt;2),"",IF(Q142=_xlfn.MINIFS($Q$2:$Q$3058,$A$2:$A$3058,A142,$P$2:$P$3058,"OK"),"KEEP","DROP"))</f>
        <v/>
      </c>
      <c r="T142" s="9" t="n">
        <f aca="false">IF(A142="",1,0)</f>
        <v>0</v>
      </c>
      <c r="U142" s="9" t="n">
        <f aca="false">IF(D142="",1,0)</f>
        <v>0</v>
      </c>
      <c r="V142" s="9" t="n">
        <f aca="false">IF(E142="",1,0)</f>
        <v>0</v>
      </c>
      <c r="W142" s="9" t="n">
        <f aca="false">IF(OR(H142&lt;1,H142&gt;10),1,0)</f>
        <v>0</v>
      </c>
      <c r="X142" s="9" t="n">
        <f aca="false">IF(OR(I142&lt;=0,I142&gt;1500),1,0)</f>
        <v>0</v>
      </c>
      <c r="Y142" s="9" t="n">
        <f aca="false">IF(J142&gt;H142*I142,1,0)</f>
        <v>0</v>
      </c>
      <c r="Z142" s="9" t="n">
        <f aca="false">IF(AND(N142&lt;&gt;"",OR(N142&lt;1,N142&gt;5)),1,0)</f>
        <v>0</v>
      </c>
      <c r="AA142" s="9" t="n">
        <f aca="false">IF(AND(M142&lt;&gt;"",OR(M142&lt;5,M142&gt;180)),1,0)</f>
        <v>0</v>
      </c>
      <c r="AB142" s="7" t="str">
        <f aca="false">IF(P142="DUP","Exact duplicate row",IF(T142=1,"Missing Order ID",IF(S142="DROP","Duplicate Order ID (less complete row)",IF(U142=1,"Missing Customer ID",IF(V142=1,"Missing Restaurant name",IF(W142=1,"Invalid/outlier quantity",IF(X142=1,"Invalid/outlier unit price",IF(Y142=1,"Discount greater than order value",""))))))))</f>
        <v/>
      </c>
      <c r="AC142" s="7" t="str">
        <f aca="false">IF(AB142="","KEEP","DROP")</f>
        <v>KEEP</v>
      </c>
      <c r="AD142" s="7" t="str">
        <f aca="false">IF(TRIM(F142)="",IFERROR(INDEX(Map_Tables!$I$4:$I$37,MATCH(TRIM(E142),Map_Tables!$G$4:$G$37,0)),""),IFERROR(INDEX(Map_Tables!$B$4:$B$18,MATCH(TRIM(F142),Map_Tables!$A$4:$A$18,0)),"CHECK"))</f>
        <v>Bengaluru</v>
      </c>
      <c r="AE142" s="7" t="str">
        <f aca="false">IF(TRIM(E142)="","",IFERROR(INDEX(Map_Tables!$H$4:$H$37,MATCH(TRIM(E142),Map_Tables!$G$4:$G$37,0)),"CHECK"))</f>
        <v>Wok &amp; Roll</v>
      </c>
      <c r="AF142" s="7" t="str">
        <f aca="false">IF(TRIM(K142)="","Unknown",IFERROR(INDEX(Map_Tables!$E$4:$E$15,MATCH(TRIM(K142),Map_Tables!$D$4:$D$15,0)),"CHECK"))</f>
        <v>Credit Card</v>
      </c>
      <c r="AG142" s="7" t="str">
        <f aca="false">IF(LEFT(LOWER(TRIM(L142)),6)="cancel","Cancelled","Delivered")</f>
        <v>Delivered</v>
      </c>
      <c r="AH142" s="10" t="n">
        <f aca="false">IF(ISNUMBER(SEARCH("/",B142)),DATE(VALUE(RIGHT(B142,4)),VALUE(MID(B142,4,2)),VALUE(LEFT(B142,2))),IF(MID(B142,5,1)="-",DATE(VALUE(LEFT(B142,4)),VALUE(MID(B142,6,2)),VALUE(RIGHT(B142,2))),DATE(VALUE(RIGHT(B142,4)),MATCH(MID(B142,4,3),{"Jan","Feb","Mar","Apr","May","Jun","Jul","Aug","Sep","Oct","Nov","Dec"},0),VALUE(LEFT(B142,2)))))</f>
        <v>45935</v>
      </c>
    </row>
    <row r="143" customFormat="false" ht="15" hidden="false" customHeight="false" outlineLevel="0" collapsed="false">
      <c r="A143" s="7" t="s">
        <v>748</v>
      </c>
      <c r="B143" s="7" t="s">
        <v>253</v>
      </c>
      <c r="C143" s="7" t="s">
        <v>749</v>
      </c>
      <c r="D143" s="7" t="s">
        <v>289</v>
      </c>
      <c r="E143" s="7" t="s">
        <v>134</v>
      </c>
      <c r="F143" s="7" t="s">
        <v>110</v>
      </c>
      <c r="G143" s="7" t="s">
        <v>117</v>
      </c>
      <c r="H143" s="7" t="n">
        <v>4</v>
      </c>
      <c r="I143" s="7" t="n">
        <v>105</v>
      </c>
      <c r="J143" s="7" t="n">
        <v>0</v>
      </c>
      <c r="K143" s="7" t="s">
        <v>88</v>
      </c>
      <c r="L143" s="7" t="s">
        <v>194</v>
      </c>
      <c r="M143" s="7" t="n">
        <v>44</v>
      </c>
      <c r="N143" s="7" t="n">
        <v>2</v>
      </c>
      <c r="O143" s="7" t="str">
        <f aca="false">A143&amp;"|"&amp;B143&amp;"|"&amp;C143&amp;"|"&amp;D143&amp;"|"&amp;E143&amp;"|"&amp;F143&amp;"|"&amp;G143&amp;"|"&amp;H143&amp;"|"&amp;I143&amp;"|"&amp;J143&amp;"|"&amp;K143&amp;"|"&amp;L143&amp;"|"&amp;M143&amp;"|"&amp;N143</f>
        <v>ORD10733|2025-04-04|11:16|C1262|Chaat Corner|Delhi|Street Food|4|105|0|UPI|Delivered|44|2</v>
      </c>
      <c r="P143" s="7" t="str">
        <f aca="false">IF(COUNTIF($O$2:O143,O143)&gt;1,"DUP","OK")</f>
        <v>OK</v>
      </c>
      <c r="Q143" s="7" t="n">
        <f aca="false">COUNTBLANK(A143:N143)</f>
        <v>0</v>
      </c>
      <c r="R143" s="7" t="n">
        <f aca="false">IF(A143="",0,COUNTIFS($A$2:$A$3058,A143,$P$2:$P$3058,"OK"))</f>
        <v>1</v>
      </c>
      <c r="S143" s="7" t="str">
        <f aca="false">IF(OR(A143="",P143="DUP",R143&lt;2),"",IF(Q143=_xlfn.MINIFS($Q$2:$Q$3058,$A$2:$A$3058,A143,$P$2:$P$3058,"OK"),"KEEP","DROP"))</f>
        <v/>
      </c>
      <c r="T143" s="9" t="n">
        <f aca="false">IF(A143="",1,0)</f>
        <v>0</v>
      </c>
      <c r="U143" s="9" t="n">
        <f aca="false">IF(D143="",1,0)</f>
        <v>0</v>
      </c>
      <c r="V143" s="9" t="n">
        <f aca="false">IF(E143="",1,0)</f>
        <v>0</v>
      </c>
      <c r="W143" s="9" t="n">
        <f aca="false">IF(OR(H143&lt;1,H143&gt;10),1,0)</f>
        <v>0</v>
      </c>
      <c r="X143" s="9" t="n">
        <f aca="false">IF(OR(I143&lt;=0,I143&gt;1500),1,0)</f>
        <v>0</v>
      </c>
      <c r="Y143" s="9" t="n">
        <f aca="false">IF(J143&gt;H143*I143,1,0)</f>
        <v>0</v>
      </c>
      <c r="Z143" s="9" t="n">
        <f aca="false">IF(AND(N143&lt;&gt;"",OR(N143&lt;1,N143&gt;5)),1,0)</f>
        <v>0</v>
      </c>
      <c r="AA143" s="9" t="n">
        <f aca="false">IF(AND(M143&lt;&gt;"",OR(M143&lt;5,M143&gt;180)),1,0)</f>
        <v>0</v>
      </c>
      <c r="AB143" s="7" t="str">
        <f aca="false">IF(P143="DUP","Exact duplicate row",IF(T143=1,"Missing Order ID",IF(S143="DROP","Duplicate Order ID (less complete row)",IF(U143=1,"Missing Customer ID",IF(V143=1,"Missing Restaurant name",IF(W143=1,"Invalid/outlier quantity",IF(X143=1,"Invalid/outlier unit price",IF(Y143=1,"Discount greater than order value",""))))))))</f>
        <v/>
      </c>
      <c r="AC143" s="7" t="str">
        <f aca="false">IF(AB143="","KEEP","DROP")</f>
        <v>KEEP</v>
      </c>
      <c r="AD143" s="7" t="str">
        <f aca="false">IF(TRIM(F143)="",IFERROR(INDEX(Map_Tables!$I$4:$I$37,MATCH(TRIM(E143),Map_Tables!$G$4:$G$37,0)),""),IFERROR(INDEX(Map_Tables!$B$4:$B$18,MATCH(TRIM(F143),Map_Tables!$A$4:$A$18,0)),"CHECK"))</f>
        <v>Delhi</v>
      </c>
      <c r="AE143" s="7" t="str">
        <f aca="false">IF(TRIM(E143)="","",IFERROR(INDEX(Map_Tables!$H$4:$H$37,MATCH(TRIM(E143),Map_Tables!$G$4:$G$37,0)),"CHECK"))</f>
        <v>Chaat Corner</v>
      </c>
      <c r="AF143" s="7" t="str">
        <f aca="false">IF(TRIM(K143)="","Unknown",IFERROR(INDEX(Map_Tables!$E$4:$E$15,MATCH(TRIM(K143),Map_Tables!$D$4:$D$15,0)),"CHECK"))</f>
        <v>UPI</v>
      </c>
      <c r="AG143" s="7" t="str">
        <f aca="false">IF(LEFT(LOWER(TRIM(L143)),6)="cancel","Cancelled","Delivered")</f>
        <v>Delivered</v>
      </c>
      <c r="AH143" s="10" t="n">
        <f aca="false">IF(ISNUMBER(SEARCH("/",B143)),DATE(VALUE(RIGHT(B143,4)),VALUE(MID(B143,4,2)),VALUE(LEFT(B143,2))),IF(MID(B143,5,1)="-",DATE(VALUE(LEFT(B143,4)),VALUE(MID(B143,6,2)),VALUE(RIGHT(B143,2))),DATE(VALUE(RIGHT(B143,4)),MATCH(MID(B143,4,3),{"Jan","Feb","Mar","Apr","May","Jun","Jul","Aug","Sep","Oct","Nov","Dec"},0),VALUE(LEFT(B143,2)))))</f>
        <v>45751</v>
      </c>
    </row>
    <row r="144" customFormat="false" ht="15" hidden="false" customHeight="false" outlineLevel="0" collapsed="false">
      <c r="A144" s="7" t="s">
        <v>750</v>
      </c>
      <c r="B144" s="7" t="s">
        <v>751</v>
      </c>
      <c r="C144" s="7" t="s">
        <v>675</v>
      </c>
      <c r="D144" s="7" t="s">
        <v>752</v>
      </c>
      <c r="E144" s="7" t="s">
        <v>94</v>
      </c>
      <c r="F144" s="7" t="s">
        <v>86</v>
      </c>
      <c r="G144" s="7" t="s">
        <v>95</v>
      </c>
      <c r="H144" s="7" t="n">
        <v>1</v>
      </c>
      <c r="I144" s="7" t="n">
        <v>100</v>
      </c>
      <c r="J144" s="7" t="n">
        <v>0</v>
      </c>
      <c r="K144" s="7" t="s">
        <v>112</v>
      </c>
      <c r="L144" s="7" t="s">
        <v>194</v>
      </c>
      <c r="M144" s="7" t="n">
        <v>50</v>
      </c>
      <c r="N144" s="7" t="n">
        <v>3</v>
      </c>
      <c r="O144" s="7" t="str">
        <f aca="false">A144&amp;"|"&amp;B144&amp;"|"&amp;C144&amp;"|"&amp;D144&amp;"|"&amp;E144&amp;"|"&amp;F144&amp;"|"&amp;G144&amp;"|"&amp;H144&amp;"|"&amp;I144&amp;"|"&amp;J144&amp;"|"&amp;K144&amp;"|"&amp;L144&amp;"|"&amp;M144&amp;"|"&amp;N144</f>
        <v>ORD12229|10/10/2025|12:32|C0685|Dosa Darbar|Bengaluru|South Indian|1|100|0|Cash on Delivery|Delivered|50|3</v>
      </c>
      <c r="P144" s="7" t="str">
        <f aca="false">IF(COUNTIF($O$2:O144,O144)&gt;1,"DUP","OK")</f>
        <v>OK</v>
      </c>
      <c r="Q144" s="7" t="n">
        <f aca="false">COUNTBLANK(A144:N144)</f>
        <v>0</v>
      </c>
      <c r="R144" s="7" t="n">
        <f aca="false">IF(A144="",0,COUNTIFS($A$2:$A$3058,A144,$P$2:$P$3058,"OK"))</f>
        <v>1</v>
      </c>
      <c r="S144" s="7" t="str">
        <f aca="false">IF(OR(A144="",P144="DUP",R144&lt;2),"",IF(Q144=_xlfn.MINIFS($Q$2:$Q$3058,$A$2:$A$3058,A144,$P$2:$P$3058,"OK"),"KEEP","DROP"))</f>
        <v/>
      </c>
      <c r="T144" s="9" t="n">
        <f aca="false">IF(A144="",1,0)</f>
        <v>0</v>
      </c>
      <c r="U144" s="9" t="n">
        <f aca="false">IF(D144="",1,0)</f>
        <v>0</v>
      </c>
      <c r="V144" s="9" t="n">
        <f aca="false">IF(E144="",1,0)</f>
        <v>0</v>
      </c>
      <c r="W144" s="9" t="n">
        <f aca="false">IF(OR(H144&lt;1,H144&gt;10),1,0)</f>
        <v>0</v>
      </c>
      <c r="X144" s="9" t="n">
        <f aca="false">IF(OR(I144&lt;=0,I144&gt;1500),1,0)</f>
        <v>0</v>
      </c>
      <c r="Y144" s="9" t="n">
        <f aca="false">IF(J144&gt;H144*I144,1,0)</f>
        <v>0</v>
      </c>
      <c r="Z144" s="9" t="n">
        <f aca="false">IF(AND(N144&lt;&gt;"",OR(N144&lt;1,N144&gt;5)),1,0)</f>
        <v>0</v>
      </c>
      <c r="AA144" s="9" t="n">
        <f aca="false">IF(AND(M144&lt;&gt;"",OR(M144&lt;5,M144&gt;180)),1,0)</f>
        <v>0</v>
      </c>
      <c r="AB144" s="7" t="str">
        <f aca="false">IF(P144="DUP","Exact duplicate row",IF(T144=1,"Missing Order ID",IF(S144="DROP","Duplicate Order ID (less complete row)",IF(U144=1,"Missing Customer ID",IF(V144=1,"Missing Restaurant name",IF(W144=1,"Invalid/outlier quantity",IF(X144=1,"Invalid/outlier unit price",IF(Y144=1,"Discount greater than order value",""))))))))</f>
        <v/>
      </c>
      <c r="AC144" s="7" t="str">
        <f aca="false">IF(AB144="","KEEP","DROP")</f>
        <v>KEEP</v>
      </c>
      <c r="AD144" s="7" t="str">
        <f aca="false">IF(TRIM(F144)="",IFERROR(INDEX(Map_Tables!$I$4:$I$37,MATCH(TRIM(E144),Map_Tables!$G$4:$G$37,0)),""),IFERROR(INDEX(Map_Tables!$B$4:$B$18,MATCH(TRIM(F144),Map_Tables!$A$4:$A$18,0)),"CHECK"))</f>
        <v>Bengaluru</v>
      </c>
      <c r="AE144" s="7" t="str">
        <f aca="false">IF(TRIM(E144)="","",IFERROR(INDEX(Map_Tables!$H$4:$H$37,MATCH(TRIM(E144),Map_Tables!$G$4:$G$37,0)),"CHECK"))</f>
        <v>Dosa Darbar</v>
      </c>
      <c r="AF144" s="7" t="str">
        <f aca="false">IF(TRIM(K144)="","Unknown",IFERROR(INDEX(Map_Tables!$E$4:$E$15,MATCH(TRIM(K144),Map_Tables!$D$4:$D$15,0)),"CHECK"))</f>
        <v>Cash on Delivery</v>
      </c>
      <c r="AG144" s="7" t="str">
        <f aca="false">IF(LEFT(LOWER(TRIM(L144)),6)="cancel","Cancelled","Delivered")</f>
        <v>Delivered</v>
      </c>
      <c r="AH144" s="10" t="n">
        <f aca="false">IF(ISNUMBER(SEARCH("/",B144)),DATE(VALUE(RIGHT(B144,4)),VALUE(MID(B144,4,2)),VALUE(LEFT(B144,2))),IF(MID(B144,5,1)="-",DATE(VALUE(LEFT(B144,4)),VALUE(MID(B144,6,2)),VALUE(RIGHT(B144,2))),DATE(VALUE(RIGHT(B144,4)),MATCH(MID(B144,4,3),{"Jan","Feb","Mar","Apr","May","Jun","Jul","Aug","Sep","Oct","Nov","Dec"},0),VALUE(LEFT(B144,2)))))</f>
        <v>45940</v>
      </c>
    </row>
    <row r="145" customFormat="false" ht="15" hidden="false" customHeight="false" outlineLevel="0" collapsed="false">
      <c r="A145" s="7" t="s">
        <v>753</v>
      </c>
      <c r="B145" s="7" t="s">
        <v>754</v>
      </c>
      <c r="C145" s="7" t="s">
        <v>755</v>
      </c>
      <c r="D145" s="7" t="s">
        <v>383</v>
      </c>
      <c r="E145" s="7" t="s">
        <v>138</v>
      </c>
      <c r="F145" s="7" t="s">
        <v>756</v>
      </c>
      <c r="G145" s="7" t="s">
        <v>139</v>
      </c>
      <c r="H145" s="7" t="n">
        <v>1</v>
      </c>
      <c r="I145" s="7" t="n">
        <v>170</v>
      </c>
      <c r="J145" s="7" t="n">
        <v>68</v>
      </c>
      <c r="K145" s="7" t="s">
        <v>88</v>
      </c>
      <c r="L145" s="7" t="s">
        <v>194</v>
      </c>
      <c r="M145" s="7" t="n">
        <v>37</v>
      </c>
      <c r="N145" s="7" t="n">
        <v>4</v>
      </c>
      <c r="O145" s="7" t="str">
        <f aca="false">A145&amp;"|"&amp;B145&amp;"|"&amp;C145&amp;"|"&amp;D145&amp;"|"&amp;E145&amp;"|"&amp;F145&amp;"|"&amp;G145&amp;"|"&amp;H145&amp;"|"&amp;I145&amp;"|"&amp;J145&amp;"|"&amp;K145&amp;"|"&amp;L145&amp;"|"&amp;M145&amp;"|"&amp;N145</f>
        <v>ORD12078|2025-09-25|11:24|C1082|Burger Barn|Delhi |Burgers|1|170|68|UPI|Delivered|37|4</v>
      </c>
      <c r="P145" s="7" t="str">
        <f aca="false">IF(COUNTIF($O$2:O145,O145)&gt;1,"DUP","OK")</f>
        <v>OK</v>
      </c>
      <c r="Q145" s="7" t="n">
        <f aca="false">COUNTBLANK(A145:N145)</f>
        <v>0</v>
      </c>
      <c r="R145" s="7" t="n">
        <f aca="false">IF(A145="",0,COUNTIFS($A$2:$A$3058,A145,$P$2:$P$3058,"OK"))</f>
        <v>1</v>
      </c>
      <c r="S145" s="7" t="str">
        <f aca="false">IF(OR(A145="",P145="DUP",R145&lt;2),"",IF(Q145=_xlfn.MINIFS($Q$2:$Q$3058,$A$2:$A$3058,A145,$P$2:$P$3058,"OK"),"KEEP","DROP"))</f>
        <v/>
      </c>
      <c r="T145" s="9" t="n">
        <f aca="false">IF(A145="",1,0)</f>
        <v>0</v>
      </c>
      <c r="U145" s="9" t="n">
        <f aca="false">IF(D145="",1,0)</f>
        <v>0</v>
      </c>
      <c r="V145" s="9" t="n">
        <f aca="false">IF(E145="",1,0)</f>
        <v>0</v>
      </c>
      <c r="W145" s="9" t="n">
        <f aca="false">IF(OR(H145&lt;1,H145&gt;10),1,0)</f>
        <v>0</v>
      </c>
      <c r="X145" s="9" t="n">
        <f aca="false">IF(OR(I145&lt;=0,I145&gt;1500),1,0)</f>
        <v>0</v>
      </c>
      <c r="Y145" s="9" t="n">
        <f aca="false">IF(J145&gt;H145*I145,1,0)</f>
        <v>0</v>
      </c>
      <c r="Z145" s="9" t="n">
        <f aca="false">IF(AND(N145&lt;&gt;"",OR(N145&lt;1,N145&gt;5)),1,0)</f>
        <v>0</v>
      </c>
      <c r="AA145" s="9" t="n">
        <f aca="false">IF(AND(M145&lt;&gt;"",OR(M145&lt;5,M145&gt;180)),1,0)</f>
        <v>0</v>
      </c>
      <c r="AB145" s="7" t="str">
        <f aca="false">IF(P145="DUP","Exact duplicate row",IF(T145=1,"Missing Order ID",IF(S145="DROP","Duplicate Order ID (less complete row)",IF(U145=1,"Missing Customer ID",IF(V145=1,"Missing Restaurant name",IF(W145=1,"Invalid/outlier quantity",IF(X145=1,"Invalid/outlier unit price",IF(Y145=1,"Discount greater than order value",""))))))))</f>
        <v/>
      </c>
      <c r="AC145" s="7" t="str">
        <f aca="false">IF(AB145="","KEEP","DROP")</f>
        <v>KEEP</v>
      </c>
      <c r="AD145" s="7" t="str">
        <f aca="false">IF(TRIM(F145)="",IFERROR(INDEX(Map_Tables!$I$4:$I$37,MATCH(TRIM(E145),Map_Tables!$G$4:$G$37,0)),""),IFERROR(INDEX(Map_Tables!$B$4:$B$18,MATCH(TRIM(F145),Map_Tables!$A$4:$A$18,0)),"CHECK"))</f>
        <v>Delhi</v>
      </c>
      <c r="AE145" s="7" t="str">
        <f aca="false">IF(TRIM(E145)="","",IFERROR(INDEX(Map_Tables!$H$4:$H$37,MATCH(TRIM(E145),Map_Tables!$G$4:$G$37,0)),"CHECK"))</f>
        <v>Burger Barn</v>
      </c>
      <c r="AF145" s="7" t="str">
        <f aca="false">IF(TRIM(K145)="","Unknown",IFERROR(INDEX(Map_Tables!$E$4:$E$15,MATCH(TRIM(K145),Map_Tables!$D$4:$D$15,0)),"CHECK"))</f>
        <v>UPI</v>
      </c>
      <c r="AG145" s="7" t="str">
        <f aca="false">IF(LEFT(LOWER(TRIM(L145)),6)="cancel","Cancelled","Delivered")</f>
        <v>Delivered</v>
      </c>
      <c r="AH145" s="10" t="n">
        <f aca="false">IF(ISNUMBER(SEARCH("/",B145)),DATE(VALUE(RIGHT(B145,4)),VALUE(MID(B145,4,2)),VALUE(LEFT(B145,2))),IF(MID(B145,5,1)="-",DATE(VALUE(LEFT(B145,4)),VALUE(MID(B145,6,2)),VALUE(RIGHT(B145,2))),DATE(VALUE(RIGHT(B145,4)),MATCH(MID(B145,4,3),{"Jan","Feb","Mar","Apr","May","Jun","Jul","Aug","Sep","Oct","Nov","Dec"},0),VALUE(LEFT(B145,2)))))</f>
        <v>45925</v>
      </c>
    </row>
    <row r="146" customFormat="false" ht="15" hidden="false" customHeight="false" outlineLevel="0" collapsed="false">
      <c r="A146" s="7" t="s">
        <v>757</v>
      </c>
      <c r="B146" s="7" t="s">
        <v>758</v>
      </c>
      <c r="C146" s="7" t="s">
        <v>759</v>
      </c>
      <c r="D146" s="7" t="s">
        <v>760</v>
      </c>
      <c r="E146" s="7" t="s">
        <v>142</v>
      </c>
      <c r="F146" s="7" t="s">
        <v>110</v>
      </c>
      <c r="G146" s="7" t="s">
        <v>105</v>
      </c>
      <c r="H146" s="7" t="n">
        <v>0</v>
      </c>
      <c r="I146" s="7" t="n">
        <v>160</v>
      </c>
      <c r="J146" s="7" t="n">
        <v>40</v>
      </c>
      <c r="K146" s="7" t="s">
        <v>103</v>
      </c>
      <c r="L146" s="7" t="s">
        <v>194</v>
      </c>
      <c r="M146" s="7" t="n">
        <v>39</v>
      </c>
      <c r="N146" s="7" t="n">
        <v>4</v>
      </c>
      <c r="O146" s="7" t="str">
        <f aca="false">A146&amp;"|"&amp;B146&amp;"|"&amp;C146&amp;"|"&amp;D146&amp;"|"&amp;E146&amp;"|"&amp;F146&amp;"|"&amp;G146&amp;"|"&amp;H146&amp;"|"&amp;I146&amp;"|"&amp;J146&amp;"|"&amp;K146&amp;"|"&amp;L146&amp;"|"&amp;M146&amp;"|"&amp;N146</f>
        <v>ORD12810|2025-12-10|11:50|C0609|Momo Magic|Delhi|Chinese|0|160|40|Debit Card|Delivered|39|4</v>
      </c>
      <c r="P146" s="7" t="str">
        <f aca="false">IF(COUNTIF($O$2:O146,O146)&gt;1,"DUP","OK")</f>
        <v>OK</v>
      </c>
      <c r="Q146" s="7" t="n">
        <f aca="false">COUNTBLANK(A146:N146)</f>
        <v>0</v>
      </c>
      <c r="R146" s="7" t="n">
        <f aca="false">IF(A146="",0,COUNTIFS($A$2:$A$3058,A146,$P$2:$P$3058,"OK"))</f>
        <v>1</v>
      </c>
      <c r="S146" s="7" t="str">
        <f aca="false">IF(OR(A146="",P146="DUP",R146&lt;2),"",IF(Q146=_xlfn.MINIFS($Q$2:$Q$3058,$A$2:$A$3058,A146,$P$2:$P$3058,"OK"),"KEEP","DROP"))</f>
        <v/>
      </c>
      <c r="T146" s="9" t="n">
        <f aca="false">IF(A146="",1,0)</f>
        <v>0</v>
      </c>
      <c r="U146" s="9" t="n">
        <f aca="false">IF(D146="",1,0)</f>
        <v>0</v>
      </c>
      <c r="V146" s="9" t="n">
        <f aca="false">IF(E146="",1,0)</f>
        <v>0</v>
      </c>
      <c r="W146" s="9" t="n">
        <f aca="false">IF(OR(H146&lt;1,H146&gt;10),1,0)</f>
        <v>1</v>
      </c>
      <c r="X146" s="9" t="n">
        <f aca="false">IF(OR(I146&lt;=0,I146&gt;1500),1,0)</f>
        <v>0</v>
      </c>
      <c r="Y146" s="9" t="n">
        <f aca="false">IF(J146&gt;H146*I146,1,0)</f>
        <v>1</v>
      </c>
      <c r="Z146" s="9" t="n">
        <f aca="false">IF(AND(N146&lt;&gt;"",OR(N146&lt;1,N146&gt;5)),1,0)</f>
        <v>0</v>
      </c>
      <c r="AA146" s="9" t="n">
        <f aca="false">IF(AND(M146&lt;&gt;"",OR(M146&lt;5,M146&gt;180)),1,0)</f>
        <v>0</v>
      </c>
      <c r="AB146" s="7" t="str">
        <f aca="false">IF(P146="DUP","Exact duplicate row",IF(T146=1,"Missing Order ID",IF(S146="DROP","Duplicate Order ID (less complete row)",IF(U146=1,"Missing Customer ID",IF(V146=1,"Missing Restaurant name",IF(W146=1,"Invalid/outlier quantity",IF(X146=1,"Invalid/outlier unit price",IF(Y146=1,"Discount greater than order value",""))))))))</f>
        <v>Invalid/outlier quantity</v>
      </c>
      <c r="AC146" s="7" t="str">
        <f aca="false">IF(AB146="","KEEP","DROP")</f>
        <v>DROP</v>
      </c>
      <c r="AD146" s="7" t="str">
        <f aca="false">IF(TRIM(F146)="",IFERROR(INDEX(Map_Tables!$I$4:$I$37,MATCH(TRIM(E146),Map_Tables!$G$4:$G$37,0)),""),IFERROR(INDEX(Map_Tables!$B$4:$B$18,MATCH(TRIM(F146),Map_Tables!$A$4:$A$18,0)),"CHECK"))</f>
        <v>Delhi</v>
      </c>
      <c r="AE146" s="7" t="str">
        <f aca="false">IF(TRIM(E146)="","",IFERROR(INDEX(Map_Tables!$H$4:$H$37,MATCH(TRIM(E146),Map_Tables!$G$4:$G$37,0)),"CHECK"))</f>
        <v>Momo Magic</v>
      </c>
      <c r="AF146" s="7" t="str">
        <f aca="false">IF(TRIM(K146)="","Unknown",IFERROR(INDEX(Map_Tables!$E$4:$E$15,MATCH(TRIM(K146),Map_Tables!$D$4:$D$15,0)),"CHECK"))</f>
        <v>Debit Card</v>
      </c>
      <c r="AG146" s="7" t="str">
        <f aca="false">IF(LEFT(LOWER(TRIM(L146)),6)="cancel","Cancelled","Delivered")</f>
        <v>Delivered</v>
      </c>
      <c r="AH146" s="10" t="n">
        <f aca="false">IF(ISNUMBER(SEARCH("/",B146)),DATE(VALUE(RIGHT(B146,4)),VALUE(MID(B146,4,2)),VALUE(LEFT(B146,2))),IF(MID(B146,5,1)="-",DATE(VALUE(LEFT(B146,4)),VALUE(MID(B146,6,2)),VALUE(RIGHT(B146,2))),DATE(VALUE(RIGHT(B146,4)),MATCH(MID(B146,4,3),{"Jan","Feb","Mar","Apr","May","Jun","Jul","Aug","Sep","Oct","Nov","Dec"},0),VALUE(LEFT(B146,2)))))</f>
        <v>46001</v>
      </c>
    </row>
    <row r="147" customFormat="false" ht="15" hidden="false" customHeight="false" outlineLevel="0" collapsed="false">
      <c r="A147" s="7" t="s">
        <v>761</v>
      </c>
      <c r="B147" s="7" t="s">
        <v>235</v>
      </c>
      <c r="C147" s="7" t="s">
        <v>762</v>
      </c>
      <c r="D147" s="7" t="s">
        <v>763</v>
      </c>
      <c r="E147" s="7" t="s">
        <v>168</v>
      </c>
      <c r="F147" s="7" t="s">
        <v>146</v>
      </c>
      <c r="G147" s="7" t="s">
        <v>764</v>
      </c>
      <c r="H147" s="7" t="n">
        <v>3</v>
      </c>
      <c r="I147" s="7" t="n">
        <v>275</v>
      </c>
      <c r="J147" s="7" t="n">
        <v>0</v>
      </c>
      <c r="K147" s="7" t="s">
        <v>103</v>
      </c>
      <c r="L147" s="7" t="s">
        <v>194</v>
      </c>
      <c r="M147" s="7" t="n">
        <v>31</v>
      </c>
      <c r="N147" s="7" t="n">
        <v>4</v>
      </c>
      <c r="O147" s="7" t="str">
        <f aca="false">A147&amp;"|"&amp;B147&amp;"|"&amp;C147&amp;"|"&amp;D147&amp;"|"&amp;E147&amp;"|"&amp;F147&amp;"|"&amp;G147&amp;"|"&amp;H147&amp;"|"&amp;I147&amp;"|"&amp;J147&amp;"|"&amp;K147&amp;"|"&amp;L147&amp;"|"&amp;M147&amp;"|"&amp;N147</f>
        <v>ORD10428|2025-02-27|13:50|C0167|Cheesy Slice|Ahmedabad|pizza|3|275|0|Debit Card|Delivered|31|4</v>
      </c>
      <c r="P147" s="7" t="str">
        <f aca="false">IF(COUNTIF($O$2:O147,O147)&gt;1,"DUP","OK")</f>
        <v>OK</v>
      </c>
      <c r="Q147" s="7" t="n">
        <f aca="false">COUNTBLANK(A147:N147)</f>
        <v>0</v>
      </c>
      <c r="R147" s="7" t="n">
        <f aca="false">IF(A147="",0,COUNTIFS($A$2:$A$3058,A147,$P$2:$P$3058,"OK"))</f>
        <v>1</v>
      </c>
      <c r="S147" s="7" t="str">
        <f aca="false">IF(OR(A147="",P147="DUP",R147&lt;2),"",IF(Q147=_xlfn.MINIFS($Q$2:$Q$3058,$A$2:$A$3058,A147,$P$2:$P$3058,"OK"),"KEEP","DROP"))</f>
        <v/>
      </c>
      <c r="T147" s="9" t="n">
        <f aca="false">IF(A147="",1,0)</f>
        <v>0</v>
      </c>
      <c r="U147" s="9" t="n">
        <f aca="false">IF(D147="",1,0)</f>
        <v>0</v>
      </c>
      <c r="V147" s="9" t="n">
        <f aca="false">IF(E147="",1,0)</f>
        <v>0</v>
      </c>
      <c r="W147" s="9" t="n">
        <f aca="false">IF(OR(H147&lt;1,H147&gt;10),1,0)</f>
        <v>0</v>
      </c>
      <c r="X147" s="9" t="n">
        <f aca="false">IF(OR(I147&lt;=0,I147&gt;1500),1,0)</f>
        <v>0</v>
      </c>
      <c r="Y147" s="9" t="n">
        <f aca="false">IF(J147&gt;H147*I147,1,0)</f>
        <v>0</v>
      </c>
      <c r="Z147" s="9" t="n">
        <f aca="false">IF(AND(N147&lt;&gt;"",OR(N147&lt;1,N147&gt;5)),1,0)</f>
        <v>0</v>
      </c>
      <c r="AA147" s="9" t="n">
        <f aca="false">IF(AND(M147&lt;&gt;"",OR(M147&lt;5,M147&gt;180)),1,0)</f>
        <v>0</v>
      </c>
      <c r="AB147" s="7" t="str">
        <f aca="false">IF(P147="DUP","Exact duplicate row",IF(T147=1,"Missing Order ID",IF(S147="DROP","Duplicate Order ID (less complete row)",IF(U147=1,"Missing Customer ID",IF(V147=1,"Missing Restaurant name",IF(W147=1,"Invalid/outlier quantity",IF(X147=1,"Invalid/outlier unit price",IF(Y147=1,"Discount greater than order value",""))))))))</f>
        <v/>
      </c>
      <c r="AC147" s="7" t="str">
        <f aca="false">IF(AB147="","KEEP","DROP")</f>
        <v>KEEP</v>
      </c>
      <c r="AD147" s="7" t="str">
        <f aca="false">IF(TRIM(F147)="",IFERROR(INDEX(Map_Tables!$I$4:$I$37,MATCH(TRIM(E147),Map_Tables!$G$4:$G$37,0)),""),IFERROR(INDEX(Map_Tables!$B$4:$B$18,MATCH(TRIM(F147),Map_Tables!$A$4:$A$18,0)),"CHECK"))</f>
        <v>Ahmedabad</v>
      </c>
      <c r="AE147" s="7" t="str">
        <f aca="false">IF(TRIM(E147)="","",IFERROR(INDEX(Map_Tables!$H$4:$H$37,MATCH(TRIM(E147),Map_Tables!$G$4:$G$37,0)),"CHECK"))</f>
        <v>Cheesy Slice</v>
      </c>
      <c r="AF147" s="7" t="str">
        <f aca="false">IF(TRIM(K147)="","Unknown",IFERROR(INDEX(Map_Tables!$E$4:$E$15,MATCH(TRIM(K147),Map_Tables!$D$4:$D$15,0)),"CHECK"))</f>
        <v>Debit Card</v>
      </c>
      <c r="AG147" s="7" t="str">
        <f aca="false">IF(LEFT(LOWER(TRIM(L147)),6)="cancel","Cancelled","Delivered")</f>
        <v>Delivered</v>
      </c>
      <c r="AH147" s="10" t="n">
        <f aca="false">IF(ISNUMBER(SEARCH("/",B147)),DATE(VALUE(RIGHT(B147,4)),VALUE(MID(B147,4,2)),VALUE(LEFT(B147,2))),IF(MID(B147,5,1)="-",DATE(VALUE(LEFT(B147,4)),VALUE(MID(B147,6,2)),VALUE(RIGHT(B147,2))),DATE(VALUE(RIGHT(B147,4)),MATCH(MID(B147,4,3),{"Jan","Feb","Mar","Apr","May","Jun","Jul","Aug","Sep","Oct","Nov","Dec"},0),VALUE(LEFT(B147,2)))))</f>
        <v>45715</v>
      </c>
    </row>
    <row r="148" customFormat="false" ht="15" hidden="false" customHeight="false" outlineLevel="0" collapsed="false">
      <c r="A148" s="7" t="s">
        <v>765</v>
      </c>
      <c r="B148" s="7" t="s">
        <v>414</v>
      </c>
      <c r="C148" s="7" t="s">
        <v>743</v>
      </c>
      <c r="D148" s="7" t="s">
        <v>766</v>
      </c>
      <c r="E148" s="7" t="s">
        <v>94</v>
      </c>
      <c r="F148" s="7" t="s">
        <v>86</v>
      </c>
      <c r="G148" s="7" t="s">
        <v>95</v>
      </c>
      <c r="H148" s="7" t="n">
        <v>3</v>
      </c>
      <c r="I148" s="7" t="n">
        <v>110</v>
      </c>
      <c r="J148" s="7" t="n">
        <v>0</v>
      </c>
      <c r="K148" s="7" t="s">
        <v>133</v>
      </c>
      <c r="L148" s="7" t="s">
        <v>194</v>
      </c>
      <c r="M148" s="7" t="n">
        <v>38</v>
      </c>
      <c r="N148" s="7" t="n">
        <v>4</v>
      </c>
      <c r="O148" s="7" t="str">
        <f aca="false">A148&amp;"|"&amp;B148&amp;"|"&amp;C148&amp;"|"&amp;D148&amp;"|"&amp;E148&amp;"|"&amp;F148&amp;"|"&amp;G148&amp;"|"&amp;H148&amp;"|"&amp;I148&amp;"|"&amp;J148&amp;"|"&amp;K148&amp;"|"&amp;L148&amp;"|"&amp;M148&amp;"|"&amp;N148</f>
        <v>ORD10413|2025-02-25|11:09|C1437|Dosa Darbar|Bengaluru|South Indian|3|110|0|Net Banking|Delivered|38|4</v>
      </c>
      <c r="P148" s="7" t="str">
        <f aca="false">IF(COUNTIF($O$2:O148,O148)&gt;1,"DUP","OK")</f>
        <v>OK</v>
      </c>
      <c r="Q148" s="7" t="n">
        <f aca="false">COUNTBLANK(A148:N148)</f>
        <v>0</v>
      </c>
      <c r="R148" s="7" t="n">
        <f aca="false">IF(A148="",0,COUNTIFS($A$2:$A$3058,A148,$P$2:$P$3058,"OK"))</f>
        <v>1</v>
      </c>
      <c r="S148" s="7" t="str">
        <f aca="false">IF(OR(A148="",P148="DUP",R148&lt;2),"",IF(Q148=_xlfn.MINIFS($Q$2:$Q$3058,$A$2:$A$3058,A148,$P$2:$P$3058,"OK"),"KEEP","DROP"))</f>
        <v/>
      </c>
      <c r="T148" s="9" t="n">
        <f aca="false">IF(A148="",1,0)</f>
        <v>0</v>
      </c>
      <c r="U148" s="9" t="n">
        <f aca="false">IF(D148="",1,0)</f>
        <v>0</v>
      </c>
      <c r="V148" s="9" t="n">
        <f aca="false">IF(E148="",1,0)</f>
        <v>0</v>
      </c>
      <c r="W148" s="9" t="n">
        <f aca="false">IF(OR(H148&lt;1,H148&gt;10),1,0)</f>
        <v>0</v>
      </c>
      <c r="X148" s="9" t="n">
        <f aca="false">IF(OR(I148&lt;=0,I148&gt;1500),1,0)</f>
        <v>0</v>
      </c>
      <c r="Y148" s="9" t="n">
        <f aca="false">IF(J148&gt;H148*I148,1,0)</f>
        <v>0</v>
      </c>
      <c r="Z148" s="9" t="n">
        <f aca="false">IF(AND(N148&lt;&gt;"",OR(N148&lt;1,N148&gt;5)),1,0)</f>
        <v>0</v>
      </c>
      <c r="AA148" s="9" t="n">
        <f aca="false">IF(AND(M148&lt;&gt;"",OR(M148&lt;5,M148&gt;180)),1,0)</f>
        <v>0</v>
      </c>
      <c r="AB148" s="7" t="str">
        <f aca="false">IF(P148="DUP","Exact duplicate row",IF(T148=1,"Missing Order ID",IF(S148="DROP","Duplicate Order ID (less complete row)",IF(U148=1,"Missing Customer ID",IF(V148=1,"Missing Restaurant name",IF(W148=1,"Invalid/outlier quantity",IF(X148=1,"Invalid/outlier unit price",IF(Y148=1,"Discount greater than order value",""))))))))</f>
        <v/>
      </c>
      <c r="AC148" s="7" t="str">
        <f aca="false">IF(AB148="","KEEP","DROP")</f>
        <v>KEEP</v>
      </c>
      <c r="AD148" s="7" t="str">
        <f aca="false">IF(TRIM(F148)="",IFERROR(INDEX(Map_Tables!$I$4:$I$37,MATCH(TRIM(E148),Map_Tables!$G$4:$G$37,0)),""),IFERROR(INDEX(Map_Tables!$B$4:$B$18,MATCH(TRIM(F148),Map_Tables!$A$4:$A$18,0)),"CHECK"))</f>
        <v>Bengaluru</v>
      </c>
      <c r="AE148" s="7" t="str">
        <f aca="false">IF(TRIM(E148)="","",IFERROR(INDEX(Map_Tables!$H$4:$H$37,MATCH(TRIM(E148),Map_Tables!$G$4:$G$37,0)),"CHECK"))</f>
        <v>Dosa Darbar</v>
      </c>
      <c r="AF148" s="7" t="str">
        <f aca="false">IF(TRIM(K148)="","Unknown",IFERROR(INDEX(Map_Tables!$E$4:$E$15,MATCH(TRIM(K148),Map_Tables!$D$4:$D$15,0)),"CHECK"))</f>
        <v>Net Banking</v>
      </c>
      <c r="AG148" s="7" t="str">
        <f aca="false">IF(LEFT(LOWER(TRIM(L148)),6)="cancel","Cancelled","Delivered")</f>
        <v>Delivered</v>
      </c>
      <c r="AH148" s="10" t="n">
        <f aca="false">IF(ISNUMBER(SEARCH("/",B148)),DATE(VALUE(RIGHT(B148,4)),VALUE(MID(B148,4,2)),VALUE(LEFT(B148,2))),IF(MID(B148,5,1)="-",DATE(VALUE(LEFT(B148,4)),VALUE(MID(B148,6,2)),VALUE(RIGHT(B148,2))),DATE(VALUE(RIGHT(B148,4)),MATCH(MID(B148,4,3),{"Jan","Feb","Mar","Apr","May","Jun","Jul","Aug","Sep","Oct","Nov","Dec"},0),VALUE(LEFT(B148,2)))))</f>
        <v>45713</v>
      </c>
    </row>
    <row r="149" customFormat="false" ht="15" hidden="false" customHeight="false" outlineLevel="0" collapsed="false">
      <c r="A149" s="7" t="s">
        <v>767</v>
      </c>
      <c r="B149" s="7" t="s">
        <v>768</v>
      </c>
      <c r="C149" s="7" t="s">
        <v>769</v>
      </c>
      <c r="D149" s="7" t="s">
        <v>770</v>
      </c>
      <c r="E149" s="7" t="s">
        <v>149</v>
      </c>
      <c r="F149" s="7" t="s">
        <v>119</v>
      </c>
      <c r="G149" s="7" t="s">
        <v>150</v>
      </c>
      <c r="H149" s="7" t="n">
        <v>1</v>
      </c>
      <c r="I149" s="7" t="n">
        <v>190</v>
      </c>
      <c r="J149" s="7" t="n">
        <v>0</v>
      </c>
      <c r="K149" s="7" t="s">
        <v>88</v>
      </c>
      <c r="L149" s="7" t="s">
        <v>194</v>
      </c>
      <c r="M149" s="7" t="n">
        <v>47</v>
      </c>
      <c r="N149" s="7" t="n">
        <v>4</v>
      </c>
      <c r="O149" s="7" t="str">
        <f aca="false">A149&amp;"|"&amp;B149&amp;"|"&amp;C149&amp;"|"&amp;D149&amp;"|"&amp;E149&amp;"|"&amp;F149&amp;"|"&amp;G149&amp;"|"&amp;H149&amp;"|"&amp;I149&amp;"|"&amp;J149&amp;"|"&amp;K149&amp;"|"&amp;L149&amp;"|"&amp;M149&amp;"|"&amp;N149</f>
        <v>ORD12576|2025-11-15|20:43|C1024|Sweet Tooth Studio|Hyderabad|Desserts|1|190|0|UPI|Delivered|47|4</v>
      </c>
      <c r="P149" s="7" t="str">
        <f aca="false">IF(COUNTIF($O$2:O149,O149)&gt;1,"DUP","OK")</f>
        <v>OK</v>
      </c>
      <c r="Q149" s="7" t="n">
        <f aca="false">COUNTBLANK(A149:N149)</f>
        <v>0</v>
      </c>
      <c r="R149" s="7" t="n">
        <f aca="false">IF(A149="",0,COUNTIFS($A$2:$A$3058,A149,$P$2:$P$3058,"OK"))</f>
        <v>1</v>
      </c>
      <c r="S149" s="7" t="str">
        <f aca="false">IF(OR(A149="",P149="DUP",R149&lt;2),"",IF(Q149=_xlfn.MINIFS($Q$2:$Q$3058,$A$2:$A$3058,A149,$P$2:$P$3058,"OK"),"KEEP","DROP"))</f>
        <v/>
      </c>
      <c r="T149" s="9" t="n">
        <f aca="false">IF(A149="",1,0)</f>
        <v>0</v>
      </c>
      <c r="U149" s="9" t="n">
        <f aca="false">IF(D149="",1,0)</f>
        <v>0</v>
      </c>
      <c r="V149" s="9" t="n">
        <f aca="false">IF(E149="",1,0)</f>
        <v>0</v>
      </c>
      <c r="W149" s="9" t="n">
        <f aca="false">IF(OR(H149&lt;1,H149&gt;10),1,0)</f>
        <v>0</v>
      </c>
      <c r="X149" s="9" t="n">
        <f aca="false">IF(OR(I149&lt;=0,I149&gt;1500),1,0)</f>
        <v>0</v>
      </c>
      <c r="Y149" s="9" t="n">
        <f aca="false">IF(J149&gt;H149*I149,1,0)</f>
        <v>0</v>
      </c>
      <c r="Z149" s="9" t="n">
        <f aca="false">IF(AND(N149&lt;&gt;"",OR(N149&lt;1,N149&gt;5)),1,0)</f>
        <v>0</v>
      </c>
      <c r="AA149" s="9" t="n">
        <f aca="false">IF(AND(M149&lt;&gt;"",OR(M149&lt;5,M149&gt;180)),1,0)</f>
        <v>0</v>
      </c>
      <c r="AB149" s="7" t="str">
        <f aca="false">IF(P149="DUP","Exact duplicate row",IF(T149=1,"Missing Order ID",IF(S149="DROP","Duplicate Order ID (less complete row)",IF(U149=1,"Missing Customer ID",IF(V149=1,"Missing Restaurant name",IF(W149=1,"Invalid/outlier quantity",IF(X149=1,"Invalid/outlier unit price",IF(Y149=1,"Discount greater than order value",""))))))))</f>
        <v/>
      </c>
      <c r="AC149" s="7" t="str">
        <f aca="false">IF(AB149="","KEEP","DROP")</f>
        <v>KEEP</v>
      </c>
      <c r="AD149" s="7" t="str">
        <f aca="false">IF(TRIM(F149)="",IFERROR(INDEX(Map_Tables!$I$4:$I$37,MATCH(TRIM(E149),Map_Tables!$G$4:$G$37,0)),""),IFERROR(INDEX(Map_Tables!$B$4:$B$18,MATCH(TRIM(F149),Map_Tables!$A$4:$A$18,0)),"CHECK"))</f>
        <v>Hyderabad</v>
      </c>
      <c r="AE149" s="7" t="str">
        <f aca="false">IF(TRIM(E149)="","",IFERROR(INDEX(Map_Tables!$H$4:$H$37,MATCH(TRIM(E149),Map_Tables!$G$4:$G$37,0)),"CHECK"))</f>
        <v>Sweet Tooth Studio</v>
      </c>
      <c r="AF149" s="7" t="str">
        <f aca="false">IF(TRIM(K149)="","Unknown",IFERROR(INDEX(Map_Tables!$E$4:$E$15,MATCH(TRIM(K149),Map_Tables!$D$4:$D$15,0)),"CHECK"))</f>
        <v>UPI</v>
      </c>
      <c r="AG149" s="7" t="str">
        <f aca="false">IF(LEFT(LOWER(TRIM(L149)),6)="cancel","Cancelled","Delivered")</f>
        <v>Delivered</v>
      </c>
      <c r="AH149" s="10" t="n">
        <f aca="false">IF(ISNUMBER(SEARCH("/",B149)),DATE(VALUE(RIGHT(B149,4)),VALUE(MID(B149,4,2)),VALUE(LEFT(B149,2))),IF(MID(B149,5,1)="-",DATE(VALUE(LEFT(B149,4)),VALUE(MID(B149,6,2)),VALUE(RIGHT(B149,2))),DATE(VALUE(RIGHT(B149,4)),MATCH(MID(B149,4,3),{"Jan","Feb","Mar","Apr","May","Jun","Jul","Aug","Sep","Oct","Nov","Dec"},0),VALUE(LEFT(B149,2)))))</f>
        <v>45976</v>
      </c>
    </row>
    <row r="150" customFormat="false" ht="15" hidden="false" customHeight="false" outlineLevel="0" collapsed="false">
      <c r="A150" s="7" t="s">
        <v>771</v>
      </c>
      <c r="B150" s="7" t="s">
        <v>364</v>
      </c>
      <c r="C150" s="7" t="s">
        <v>772</v>
      </c>
      <c r="D150" s="7" t="s">
        <v>773</v>
      </c>
      <c r="E150" s="7" t="s">
        <v>149</v>
      </c>
      <c r="F150" s="7" t="s">
        <v>119</v>
      </c>
      <c r="G150" s="7" t="s">
        <v>150</v>
      </c>
      <c r="H150" s="7" t="n">
        <v>3</v>
      </c>
      <c r="I150" s="7" t="n">
        <v>180</v>
      </c>
      <c r="J150" s="7" t="n">
        <v>0</v>
      </c>
      <c r="K150" s="7" t="s">
        <v>103</v>
      </c>
      <c r="L150" s="7" t="s">
        <v>194</v>
      </c>
      <c r="M150" s="7" t="n">
        <v>23</v>
      </c>
      <c r="N150" s="7" t="n">
        <v>5</v>
      </c>
      <c r="O150" s="7" t="str">
        <f aca="false">A150&amp;"|"&amp;B150&amp;"|"&amp;C150&amp;"|"&amp;D150&amp;"|"&amp;E150&amp;"|"&amp;F150&amp;"|"&amp;G150&amp;"|"&amp;H150&amp;"|"&amp;I150&amp;"|"&amp;J150&amp;"|"&amp;K150&amp;"|"&amp;L150&amp;"|"&amp;M150&amp;"|"&amp;N150</f>
        <v>ORD11415|2025-07-03|15:53|C0285|Sweet Tooth Studio|Hyderabad|Desserts|3|180|0|Debit Card|Delivered|23|5</v>
      </c>
      <c r="P150" s="7" t="str">
        <f aca="false">IF(COUNTIF($O$2:O150,O150)&gt;1,"DUP","OK")</f>
        <v>OK</v>
      </c>
      <c r="Q150" s="7" t="n">
        <f aca="false">COUNTBLANK(A150:N150)</f>
        <v>0</v>
      </c>
      <c r="R150" s="7" t="n">
        <f aca="false">IF(A150="",0,COUNTIFS($A$2:$A$3058,A150,$P$2:$P$3058,"OK"))</f>
        <v>1</v>
      </c>
      <c r="S150" s="7" t="str">
        <f aca="false">IF(OR(A150="",P150="DUP",R150&lt;2),"",IF(Q150=_xlfn.MINIFS($Q$2:$Q$3058,$A$2:$A$3058,A150,$P$2:$P$3058,"OK"),"KEEP","DROP"))</f>
        <v/>
      </c>
      <c r="T150" s="9" t="n">
        <f aca="false">IF(A150="",1,0)</f>
        <v>0</v>
      </c>
      <c r="U150" s="9" t="n">
        <f aca="false">IF(D150="",1,0)</f>
        <v>0</v>
      </c>
      <c r="V150" s="9" t="n">
        <f aca="false">IF(E150="",1,0)</f>
        <v>0</v>
      </c>
      <c r="W150" s="9" t="n">
        <f aca="false">IF(OR(H150&lt;1,H150&gt;10),1,0)</f>
        <v>0</v>
      </c>
      <c r="X150" s="9" t="n">
        <f aca="false">IF(OR(I150&lt;=0,I150&gt;1500),1,0)</f>
        <v>0</v>
      </c>
      <c r="Y150" s="9" t="n">
        <f aca="false">IF(J150&gt;H150*I150,1,0)</f>
        <v>0</v>
      </c>
      <c r="Z150" s="9" t="n">
        <f aca="false">IF(AND(N150&lt;&gt;"",OR(N150&lt;1,N150&gt;5)),1,0)</f>
        <v>0</v>
      </c>
      <c r="AA150" s="9" t="n">
        <f aca="false">IF(AND(M150&lt;&gt;"",OR(M150&lt;5,M150&gt;180)),1,0)</f>
        <v>0</v>
      </c>
      <c r="AB150" s="7" t="str">
        <f aca="false">IF(P150="DUP","Exact duplicate row",IF(T150=1,"Missing Order ID",IF(S150="DROP","Duplicate Order ID (less complete row)",IF(U150=1,"Missing Customer ID",IF(V150=1,"Missing Restaurant name",IF(W150=1,"Invalid/outlier quantity",IF(X150=1,"Invalid/outlier unit price",IF(Y150=1,"Discount greater than order value",""))))))))</f>
        <v/>
      </c>
      <c r="AC150" s="7" t="str">
        <f aca="false">IF(AB150="","KEEP","DROP")</f>
        <v>KEEP</v>
      </c>
      <c r="AD150" s="7" t="str">
        <f aca="false">IF(TRIM(F150)="",IFERROR(INDEX(Map_Tables!$I$4:$I$37,MATCH(TRIM(E150),Map_Tables!$G$4:$G$37,0)),""),IFERROR(INDEX(Map_Tables!$B$4:$B$18,MATCH(TRIM(F150),Map_Tables!$A$4:$A$18,0)),"CHECK"))</f>
        <v>Hyderabad</v>
      </c>
      <c r="AE150" s="7" t="str">
        <f aca="false">IF(TRIM(E150)="","",IFERROR(INDEX(Map_Tables!$H$4:$H$37,MATCH(TRIM(E150),Map_Tables!$G$4:$G$37,0)),"CHECK"))</f>
        <v>Sweet Tooth Studio</v>
      </c>
      <c r="AF150" s="7" t="str">
        <f aca="false">IF(TRIM(K150)="","Unknown",IFERROR(INDEX(Map_Tables!$E$4:$E$15,MATCH(TRIM(K150),Map_Tables!$D$4:$D$15,0)),"CHECK"))</f>
        <v>Debit Card</v>
      </c>
      <c r="AG150" s="7" t="str">
        <f aca="false">IF(LEFT(LOWER(TRIM(L150)),6)="cancel","Cancelled","Delivered")</f>
        <v>Delivered</v>
      </c>
      <c r="AH150" s="10" t="n">
        <f aca="false">IF(ISNUMBER(SEARCH("/",B150)),DATE(VALUE(RIGHT(B150,4)),VALUE(MID(B150,4,2)),VALUE(LEFT(B150,2))),IF(MID(B150,5,1)="-",DATE(VALUE(LEFT(B150,4)),VALUE(MID(B150,6,2)),VALUE(RIGHT(B150,2))),DATE(VALUE(RIGHT(B150,4)),MATCH(MID(B150,4,3),{"Jan","Feb","Mar","Apr","May","Jun","Jul","Aug","Sep","Oct","Nov","Dec"},0),VALUE(LEFT(B150,2)))))</f>
        <v>45841</v>
      </c>
    </row>
    <row r="151" customFormat="false" ht="15" hidden="false" customHeight="false" outlineLevel="0" collapsed="false">
      <c r="A151" s="7" t="s">
        <v>774</v>
      </c>
      <c r="B151" s="7" t="s">
        <v>775</v>
      </c>
      <c r="C151" s="7" t="s">
        <v>776</v>
      </c>
      <c r="D151" s="7" t="s">
        <v>777</v>
      </c>
      <c r="E151" s="7" t="s">
        <v>168</v>
      </c>
      <c r="F151" s="7" t="s">
        <v>146</v>
      </c>
      <c r="G151" s="7" t="s">
        <v>123</v>
      </c>
      <c r="H151" s="7" t="n">
        <v>1</v>
      </c>
      <c r="I151" s="7" t="n">
        <v>305</v>
      </c>
      <c r="J151" s="7" t="n">
        <v>0</v>
      </c>
      <c r="K151" s="7" t="s">
        <v>88</v>
      </c>
      <c r="L151" s="7" t="s">
        <v>194</v>
      </c>
      <c r="M151" s="7" t="n">
        <v>32</v>
      </c>
      <c r="N151" s="7" t="n">
        <v>3</v>
      </c>
      <c r="O151" s="7" t="str">
        <f aca="false">A151&amp;"|"&amp;B151&amp;"|"&amp;C151&amp;"|"&amp;D151&amp;"|"&amp;E151&amp;"|"&amp;F151&amp;"|"&amp;G151&amp;"|"&amp;H151&amp;"|"&amp;I151&amp;"|"&amp;J151&amp;"|"&amp;K151&amp;"|"&amp;L151&amp;"|"&amp;M151&amp;"|"&amp;N151</f>
        <v>ORD12424|01-Nov-2025|16:13|C0816|Cheesy Slice|Ahmedabad|Pizza|1|305|0|UPI|Delivered|32|3</v>
      </c>
      <c r="P151" s="7" t="str">
        <f aca="false">IF(COUNTIF($O$2:O151,O151)&gt;1,"DUP","OK")</f>
        <v>OK</v>
      </c>
      <c r="Q151" s="7" t="n">
        <f aca="false">COUNTBLANK(A151:N151)</f>
        <v>0</v>
      </c>
      <c r="R151" s="7" t="n">
        <f aca="false">IF(A151="",0,COUNTIFS($A$2:$A$3058,A151,$P$2:$P$3058,"OK"))</f>
        <v>1</v>
      </c>
      <c r="S151" s="7" t="str">
        <f aca="false">IF(OR(A151="",P151="DUP",R151&lt;2),"",IF(Q151=_xlfn.MINIFS($Q$2:$Q$3058,$A$2:$A$3058,A151,$P$2:$P$3058,"OK"),"KEEP","DROP"))</f>
        <v/>
      </c>
      <c r="T151" s="9" t="n">
        <f aca="false">IF(A151="",1,0)</f>
        <v>0</v>
      </c>
      <c r="U151" s="9" t="n">
        <f aca="false">IF(D151="",1,0)</f>
        <v>0</v>
      </c>
      <c r="V151" s="9" t="n">
        <f aca="false">IF(E151="",1,0)</f>
        <v>0</v>
      </c>
      <c r="W151" s="9" t="n">
        <f aca="false">IF(OR(H151&lt;1,H151&gt;10),1,0)</f>
        <v>0</v>
      </c>
      <c r="X151" s="9" t="n">
        <f aca="false">IF(OR(I151&lt;=0,I151&gt;1500),1,0)</f>
        <v>0</v>
      </c>
      <c r="Y151" s="9" t="n">
        <f aca="false">IF(J151&gt;H151*I151,1,0)</f>
        <v>0</v>
      </c>
      <c r="Z151" s="9" t="n">
        <f aca="false">IF(AND(N151&lt;&gt;"",OR(N151&lt;1,N151&gt;5)),1,0)</f>
        <v>0</v>
      </c>
      <c r="AA151" s="9" t="n">
        <f aca="false">IF(AND(M151&lt;&gt;"",OR(M151&lt;5,M151&gt;180)),1,0)</f>
        <v>0</v>
      </c>
      <c r="AB151" s="7" t="str">
        <f aca="false">IF(P151="DUP","Exact duplicate row",IF(T151=1,"Missing Order ID",IF(S151="DROP","Duplicate Order ID (less complete row)",IF(U151=1,"Missing Customer ID",IF(V151=1,"Missing Restaurant name",IF(W151=1,"Invalid/outlier quantity",IF(X151=1,"Invalid/outlier unit price",IF(Y151=1,"Discount greater than order value",""))))))))</f>
        <v/>
      </c>
      <c r="AC151" s="7" t="str">
        <f aca="false">IF(AB151="","KEEP","DROP")</f>
        <v>KEEP</v>
      </c>
      <c r="AD151" s="7" t="str">
        <f aca="false">IF(TRIM(F151)="",IFERROR(INDEX(Map_Tables!$I$4:$I$37,MATCH(TRIM(E151),Map_Tables!$G$4:$G$37,0)),""),IFERROR(INDEX(Map_Tables!$B$4:$B$18,MATCH(TRIM(F151),Map_Tables!$A$4:$A$18,0)),"CHECK"))</f>
        <v>Ahmedabad</v>
      </c>
      <c r="AE151" s="7" t="str">
        <f aca="false">IF(TRIM(E151)="","",IFERROR(INDEX(Map_Tables!$H$4:$H$37,MATCH(TRIM(E151),Map_Tables!$G$4:$G$37,0)),"CHECK"))</f>
        <v>Cheesy Slice</v>
      </c>
      <c r="AF151" s="7" t="str">
        <f aca="false">IF(TRIM(K151)="","Unknown",IFERROR(INDEX(Map_Tables!$E$4:$E$15,MATCH(TRIM(K151),Map_Tables!$D$4:$D$15,0)),"CHECK"))</f>
        <v>UPI</v>
      </c>
      <c r="AG151" s="7" t="str">
        <f aca="false">IF(LEFT(LOWER(TRIM(L151)),6)="cancel","Cancelled","Delivered")</f>
        <v>Delivered</v>
      </c>
      <c r="AH151" s="10" t="n">
        <f aca="false">IF(ISNUMBER(SEARCH("/",B151)),DATE(VALUE(RIGHT(B151,4)),VALUE(MID(B151,4,2)),VALUE(LEFT(B151,2))),IF(MID(B151,5,1)="-",DATE(VALUE(LEFT(B151,4)),VALUE(MID(B151,6,2)),VALUE(RIGHT(B151,2))),DATE(VALUE(RIGHT(B151,4)),MATCH(MID(B151,4,3),{"Jan","Feb","Mar","Apr","May","Jun","Jul","Aug","Sep","Oct","Nov","Dec"},0),VALUE(LEFT(B151,2)))))</f>
        <v>45962</v>
      </c>
    </row>
    <row r="152" customFormat="false" ht="15" hidden="false" customHeight="false" outlineLevel="0" collapsed="false">
      <c r="A152" s="7" t="s">
        <v>778</v>
      </c>
      <c r="B152" s="7" t="s">
        <v>563</v>
      </c>
      <c r="C152" s="7" t="s">
        <v>779</v>
      </c>
      <c r="D152" s="7" t="s">
        <v>780</v>
      </c>
      <c r="E152" s="7" t="s">
        <v>98</v>
      </c>
      <c r="F152" s="7" t="s">
        <v>86</v>
      </c>
      <c r="G152" s="7" t="s">
        <v>99</v>
      </c>
      <c r="H152" s="7" t="n">
        <v>4</v>
      </c>
      <c r="I152" s="7" t="n">
        <v>260</v>
      </c>
      <c r="J152" s="7" t="n">
        <v>0</v>
      </c>
      <c r="K152" s="7" t="s">
        <v>121</v>
      </c>
      <c r="L152" s="7" t="s">
        <v>194</v>
      </c>
      <c r="M152" s="7" t="n">
        <v>22</v>
      </c>
      <c r="N152" s="7" t="n">
        <v>4</v>
      </c>
      <c r="O152" s="7" t="str">
        <f aca="false">A152&amp;"|"&amp;B152&amp;"|"&amp;C152&amp;"|"&amp;D152&amp;"|"&amp;E152&amp;"|"&amp;F152&amp;"|"&amp;G152&amp;"|"&amp;H152&amp;"|"&amp;I152&amp;"|"&amp;J152&amp;"|"&amp;K152&amp;"|"&amp;L152&amp;"|"&amp;M152&amp;"|"&amp;N152</f>
        <v>ORD11782|2025-08-20|18:28|C0374|Nawabi Biryani House|Bengaluru|Biryani|4|260|0|Wallet|Delivered|22|4</v>
      </c>
      <c r="P152" s="7" t="str">
        <f aca="false">IF(COUNTIF($O$2:O152,O152)&gt;1,"DUP","OK")</f>
        <v>OK</v>
      </c>
      <c r="Q152" s="7" t="n">
        <f aca="false">COUNTBLANK(A152:N152)</f>
        <v>0</v>
      </c>
      <c r="R152" s="7" t="n">
        <f aca="false">IF(A152="",0,COUNTIFS($A$2:$A$3058,A152,$P$2:$P$3058,"OK"))</f>
        <v>1</v>
      </c>
      <c r="S152" s="7" t="str">
        <f aca="false">IF(OR(A152="",P152="DUP",R152&lt;2),"",IF(Q152=_xlfn.MINIFS($Q$2:$Q$3058,$A$2:$A$3058,A152,$P$2:$P$3058,"OK"),"KEEP","DROP"))</f>
        <v/>
      </c>
      <c r="T152" s="9" t="n">
        <f aca="false">IF(A152="",1,0)</f>
        <v>0</v>
      </c>
      <c r="U152" s="9" t="n">
        <f aca="false">IF(D152="",1,0)</f>
        <v>0</v>
      </c>
      <c r="V152" s="9" t="n">
        <f aca="false">IF(E152="",1,0)</f>
        <v>0</v>
      </c>
      <c r="W152" s="9" t="n">
        <f aca="false">IF(OR(H152&lt;1,H152&gt;10),1,0)</f>
        <v>0</v>
      </c>
      <c r="X152" s="9" t="n">
        <f aca="false">IF(OR(I152&lt;=0,I152&gt;1500),1,0)</f>
        <v>0</v>
      </c>
      <c r="Y152" s="9" t="n">
        <f aca="false">IF(J152&gt;H152*I152,1,0)</f>
        <v>0</v>
      </c>
      <c r="Z152" s="9" t="n">
        <f aca="false">IF(AND(N152&lt;&gt;"",OR(N152&lt;1,N152&gt;5)),1,0)</f>
        <v>0</v>
      </c>
      <c r="AA152" s="9" t="n">
        <f aca="false">IF(AND(M152&lt;&gt;"",OR(M152&lt;5,M152&gt;180)),1,0)</f>
        <v>0</v>
      </c>
      <c r="AB152" s="7" t="str">
        <f aca="false">IF(P152="DUP","Exact duplicate row",IF(T152=1,"Missing Order ID",IF(S152="DROP","Duplicate Order ID (less complete row)",IF(U152=1,"Missing Customer ID",IF(V152=1,"Missing Restaurant name",IF(W152=1,"Invalid/outlier quantity",IF(X152=1,"Invalid/outlier unit price",IF(Y152=1,"Discount greater than order value",""))))))))</f>
        <v/>
      </c>
      <c r="AC152" s="7" t="str">
        <f aca="false">IF(AB152="","KEEP","DROP")</f>
        <v>KEEP</v>
      </c>
      <c r="AD152" s="7" t="str">
        <f aca="false">IF(TRIM(F152)="",IFERROR(INDEX(Map_Tables!$I$4:$I$37,MATCH(TRIM(E152),Map_Tables!$G$4:$G$37,0)),""),IFERROR(INDEX(Map_Tables!$B$4:$B$18,MATCH(TRIM(F152),Map_Tables!$A$4:$A$18,0)),"CHECK"))</f>
        <v>Bengaluru</v>
      </c>
      <c r="AE152" s="7" t="str">
        <f aca="false">IF(TRIM(E152)="","",IFERROR(INDEX(Map_Tables!$H$4:$H$37,MATCH(TRIM(E152),Map_Tables!$G$4:$G$37,0)),"CHECK"))</f>
        <v>Nawabi Biryani House</v>
      </c>
      <c r="AF152" s="7" t="str">
        <f aca="false">IF(TRIM(K152)="","Unknown",IFERROR(INDEX(Map_Tables!$E$4:$E$15,MATCH(TRIM(K152),Map_Tables!$D$4:$D$15,0)),"CHECK"))</f>
        <v>Wallet</v>
      </c>
      <c r="AG152" s="7" t="str">
        <f aca="false">IF(LEFT(LOWER(TRIM(L152)),6)="cancel","Cancelled","Delivered")</f>
        <v>Delivered</v>
      </c>
      <c r="AH152" s="10" t="n">
        <f aca="false">IF(ISNUMBER(SEARCH("/",B152)),DATE(VALUE(RIGHT(B152,4)),VALUE(MID(B152,4,2)),VALUE(LEFT(B152,2))),IF(MID(B152,5,1)="-",DATE(VALUE(LEFT(B152,4)),VALUE(MID(B152,6,2)),VALUE(RIGHT(B152,2))),DATE(VALUE(RIGHT(B152,4)),MATCH(MID(B152,4,3),{"Jan","Feb","Mar","Apr","May","Jun","Jul","Aug","Sep","Oct","Nov","Dec"},0),VALUE(LEFT(B152,2)))))</f>
        <v>45889</v>
      </c>
    </row>
    <row r="153" customFormat="false" ht="15" hidden="false" customHeight="false" outlineLevel="0" collapsed="false">
      <c r="A153" s="7" t="s">
        <v>781</v>
      </c>
      <c r="B153" s="7" t="s">
        <v>782</v>
      </c>
      <c r="C153" s="7" t="s">
        <v>783</v>
      </c>
      <c r="D153" s="7" t="s">
        <v>784</v>
      </c>
      <c r="E153" s="7" t="s">
        <v>94</v>
      </c>
      <c r="F153" s="7" t="s">
        <v>785</v>
      </c>
      <c r="G153" s="7" t="s">
        <v>95</v>
      </c>
      <c r="H153" s="7" t="n">
        <v>4</v>
      </c>
      <c r="I153" s="7" t="n">
        <v>145</v>
      </c>
      <c r="J153" s="7" t="n">
        <v>125</v>
      </c>
      <c r="K153" s="7" t="s">
        <v>88</v>
      </c>
      <c r="L153" s="7" t="s">
        <v>194</v>
      </c>
      <c r="M153" s="7" t="n">
        <v>43</v>
      </c>
      <c r="N153" s="7" t="n">
        <v>5</v>
      </c>
      <c r="O153" s="7" t="str">
        <f aca="false">A153&amp;"|"&amp;B153&amp;"|"&amp;C153&amp;"|"&amp;D153&amp;"|"&amp;E153&amp;"|"&amp;F153&amp;"|"&amp;G153&amp;"|"&amp;H153&amp;"|"&amp;I153&amp;"|"&amp;J153&amp;"|"&amp;K153&amp;"|"&amp;L153&amp;"|"&amp;M153&amp;"|"&amp;N153</f>
        <v>ORD10046|2025-01-07|15:33|C0674|Dosa Darbar|Bengaluru |South Indian|4|145|125|UPI|Delivered|43|5</v>
      </c>
      <c r="P153" s="7" t="str">
        <f aca="false">IF(COUNTIF($O$2:O153,O153)&gt;1,"DUP","OK")</f>
        <v>OK</v>
      </c>
      <c r="Q153" s="7" t="n">
        <f aca="false">COUNTBLANK(A153:N153)</f>
        <v>0</v>
      </c>
      <c r="R153" s="7" t="n">
        <f aca="false">IF(A153="",0,COUNTIFS($A$2:$A$3058,A153,$P$2:$P$3058,"OK"))</f>
        <v>1</v>
      </c>
      <c r="S153" s="7" t="str">
        <f aca="false">IF(OR(A153="",P153="DUP",R153&lt;2),"",IF(Q153=_xlfn.MINIFS($Q$2:$Q$3058,$A$2:$A$3058,A153,$P$2:$P$3058,"OK"),"KEEP","DROP"))</f>
        <v/>
      </c>
      <c r="T153" s="9" t="n">
        <f aca="false">IF(A153="",1,0)</f>
        <v>0</v>
      </c>
      <c r="U153" s="9" t="n">
        <f aca="false">IF(D153="",1,0)</f>
        <v>0</v>
      </c>
      <c r="V153" s="9" t="n">
        <f aca="false">IF(E153="",1,0)</f>
        <v>0</v>
      </c>
      <c r="W153" s="9" t="n">
        <f aca="false">IF(OR(H153&lt;1,H153&gt;10),1,0)</f>
        <v>0</v>
      </c>
      <c r="X153" s="9" t="n">
        <f aca="false">IF(OR(I153&lt;=0,I153&gt;1500),1,0)</f>
        <v>0</v>
      </c>
      <c r="Y153" s="9" t="n">
        <f aca="false">IF(J153&gt;H153*I153,1,0)</f>
        <v>0</v>
      </c>
      <c r="Z153" s="9" t="n">
        <f aca="false">IF(AND(N153&lt;&gt;"",OR(N153&lt;1,N153&gt;5)),1,0)</f>
        <v>0</v>
      </c>
      <c r="AA153" s="9" t="n">
        <f aca="false">IF(AND(M153&lt;&gt;"",OR(M153&lt;5,M153&gt;180)),1,0)</f>
        <v>0</v>
      </c>
      <c r="AB153" s="7" t="str">
        <f aca="false">IF(P153="DUP","Exact duplicate row",IF(T153=1,"Missing Order ID",IF(S153="DROP","Duplicate Order ID (less complete row)",IF(U153=1,"Missing Customer ID",IF(V153=1,"Missing Restaurant name",IF(W153=1,"Invalid/outlier quantity",IF(X153=1,"Invalid/outlier unit price",IF(Y153=1,"Discount greater than order value",""))))))))</f>
        <v/>
      </c>
      <c r="AC153" s="7" t="str">
        <f aca="false">IF(AB153="","KEEP","DROP")</f>
        <v>KEEP</v>
      </c>
      <c r="AD153" s="7" t="str">
        <f aca="false">IF(TRIM(F153)="",IFERROR(INDEX(Map_Tables!$I$4:$I$37,MATCH(TRIM(E153),Map_Tables!$G$4:$G$37,0)),""),IFERROR(INDEX(Map_Tables!$B$4:$B$18,MATCH(TRIM(F153),Map_Tables!$A$4:$A$18,0)),"CHECK"))</f>
        <v>Bengaluru</v>
      </c>
      <c r="AE153" s="7" t="str">
        <f aca="false">IF(TRIM(E153)="","",IFERROR(INDEX(Map_Tables!$H$4:$H$37,MATCH(TRIM(E153),Map_Tables!$G$4:$G$37,0)),"CHECK"))</f>
        <v>Dosa Darbar</v>
      </c>
      <c r="AF153" s="7" t="str">
        <f aca="false">IF(TRIM(K153)="","Unknown",IFERROR(INDEX(Map_Tables!$E$4:$E$15,MATCH(TRIM(K153),Map_Tables!$D$4:$D$15,0)),"CHECK"))</f>
        <v>UPI</v>
      </c>
      <c r="AG153" s="7" t="str">
        <f aca="false">IF(LEFT(LOWER(TRIM(L153)),6)="cancel","Cancelled","Delivered")</f>
        <v>Delivered</v>
      </c>
      <c r="AH153" s="10" t="n">
        <f aca="false">IF(ISNUMBER(SEARCH("/",B153)),DATE(VALUE(RIGHT(B153,4)),VALUE(MID(B153,4,2)),VALUE(LEFT(B153,2))),IF(MID(B153,5,1)="-",DATE(VALUE(LEFT(B153,4)),VALUE(MID(B153,6,2)),VALUE(RIGHT(B153,2))),DATE(VALUE(RIGHT(B153,4)),MATCH(MID(B153,4,3),{"Jan","Feb","Mar","Apr","May","Jun","Jul","Aug","Sep","Oct","Nov","Dec"},0),VALUE(LEFT(B153,2)))))</f>
        <v>45664</v>
      </c>
    </row>
    <row r="154" customFormat="false" ht="15" hidden="false" customHeight="false" outlineLevel="0" collapsed="false">
      <c r="A154" s="7" t="s">
        <v>786</v>
      </c>
      <c r="B154" s="7" t="s">
        <v>787</v>
      </c>
      <c r="C154" s="7" t="s">
        <v>788</v>
      </c>
      <c r="D154" s="7" t="s">
        <v>789</v>
      </c>
      <c r="E154" s="7" t="s">
        <v>144</v>
      </c>
      <c r="F154" s="7" t="s">
        <v>119</v>
      </c>
      <c r="G154" s="7" t="s">
        <v>99</v>
      </c>
      <c r="H154" s="7" t="n">
        <v>1</v>
      </c>
      <c r="I154" s="7" t="n">
        <v>260</v>
      </c>
      <c r="J154" s="7" t="n">
        <v>20</v>
      </c>
      <c r="K154" s="7" t="s">
        <v>121</v>
      </c>
      <c r="L154" s="7" t="s">
        <v>194</v>
      </c>
      <c r="M154" s="7" t="n">
        <v>45</v>
      </c>
      <c r="N154" s="7" t="n">
        <v>4</v>
      </c>
      <c r="O154" s="7" t="str">
        <f aca="false">A154&amp;"|"&amp;B154&amp;"|"&amp;C154&amp;"|"&amp;D154&amp;"|"&amp;E154&amp;"|"&amp;F154&amp;"|"&amp;G154&amp;"|"&amp;H154&amp;"|"&amp;I154&amp;"|"&amp;J154&amp;"|"&amp;K154&amp;"|"&amp;L154&amp;"|"&amp;M154&amp;"|"&amp;N154</f>
        <v>ORD12867|17/12/2025|19:35|C0060|Hyderabad Dum Biryani|Hyderabad|Biryani|1|260|20|Wallet|Delivered|45|4</v>
      </c>
      <c r="P154" s="7" t="str">
        <f aca="false">IF(COUNTIF($O$2:O154,O154)&gt;1,"DUP","OK")</f>
        <v>OK</v>
      </c>
      <c r="Q154" s="7" t="n">
        <f aca="false">COUNTBLANK(A154:N154)</f>
        <v>0</v>
      </c>
      <c r="R154" s="7" t="n">
        <f aca="false">IF(A154="",0,COUNTIFS($A$2:$A$3058,A154,$P$2:$P$3058,"OK"))</f>
        <v>1</v>
      </c>
      <c r="S154" s="7" t="str">
        <f aca="false">IF(OR(A154="",P154="DUP",R154&lt;2),"",IF(Q154=_xlfn.MINIFS($Q$2:$Q$3058,$A$2:$A$3058,A154,$P$2:$P$3058,"OK"),"KEEP","DROP"))</f>
        <v/>
      </c>
      <c r="T154" s="9" t="n">
        <f aca="false">IF(A154="",1,0)</f>
        <v>0</v>
      </c>
      <c r="U154" s="9" t="n">
        <f aca="false">IF(D154="",1,0)</f>
        <v>0</v>
      </c>
      <c r="V154" s="9" t="n">
        <f aca="false">IF(E154="",1,0)</f>
        <v>0</v>
      </c>
      <c r="W154" s="9" t="n">
        <f aca="false">IF(OR(H154&lt;1,H154&gt;10),1,0)</f>
        <v>0</v>
      </c>
      <c r="X154" s="9" t="n">
        <f aca="false">IF(OR(I154&lt;=0,I154&gt;1500),1,0)</f>
        <v>0</v>
      </c>
      <c r="Y154" s="9" t="n">
        <f aca="false">IF(J154&gt;H154*I154,1,0)</f>
        <v>0</v>
      </c>
      <c r="Z154" s="9" t="n">
        <f aca="false">IF(AND(N154&lt;&gt;"",OR(N154&lt;1,N154&gt;5)),1,0)</f>
        <v>0</v>
      </c>
      <c r="AA154" s="9" t="n">
        <f aca="false">IF(AND(M154&lt;&gt;"",OR(M154&lt;5,M154&gt;180)),1,0)</f>
        <v>0</v>
      </c>
      <c r="AB154" s="7" t="str">
        <f aca="false">IF(P154="DUP","Exact duplicate row",IF(T154=1,"Missing Order ID",IF(S154="DROP","Duplicate Order ID (less complete row)",IF(U154=1,"Missing Customer ID",IF(V154=1,"Missing Restaurant name",IF(W154=1,"Invalid/outlier quantity",IF(X154=1,"Invalid/outlier unit price",IF(Y154=1,"Discount greater than order value",""))))))))</f>
        <v/>
      </c>
      <c r="AC154" s="7" t="str">
        <f aca="false">IF(AB154="","KEEP","DROP")</f>
        <v>KEEP</v>
      </c>
      <c r="AD154" s="7" t="str">
        <f aca="false">IF(TRIM(F154)="",IFERROR(INDEX(Map_Tables!$I$4:$I$37,MATCH(TRIM(E154),Map_Tables!$G$4:$G$37,0)),""),IFERROR(INDEX(Map_Tables!$B$4:$B$18,MATCH(TRIM(F154),Map_Tables!$A$4:$A$18,0)),"CHECK"))</f>
        <v>Hyderabad</v>
      </c>
      <c r="AE154" s="7" t="str">
        <f aca="false">IF(TRIM(E154)="","",IFERROR(INDEX(Map_Tables!$H$4:$H$37,MATCH(TRIM(E154),Map_Tables!$G$4:$G$37,0)),"CHECK"))</f>
        <v>Hyderabad Dum Biryani</v>
      </c>
      <c r="AF154" s="7" t="str">
        <f aca="false">IF(TRIM(K154)="","Unknown",IFERROR(INDEX(Map_Tables!$E$4:$E$15,MATCH(TRIM(K154),Map_Tables!$D$4:$D$15,0)),"CHECK"))</f>
        <v>Wallet</v>
      </c>
      <c r="AG154" s="7" t="str">
        <f aca="false">IF(LEFT(LOWER(TRIM(L154)),6)="cancel","Cancelled","Delivered")</f>
        <v>Delivered</v>
      </c>
      <c r="AH154" s="10" t="n">
        <f aca="false">IF(ISNUMBER(SEARCH("/",B154)),DATE(VALUE(RIGHT(B154,4)),VALUE(MID(B154,4,2)),VALUE(LEFT(B154,2))),IF(MID(B154,5,1)="-",DATE(VALUE(LEFT(B154,4)),VALUE(MID(B154,6,2)),VALUE(RIGHT(B154,2))),DATE(VALUE(RIGHT(B154,4)),MATCH(MID(B154,4,3),{"Jan","Feb","Mar","Apr","May","Jun","Jul","Aug","Sep","Oct","Nov","Dec"},0),VALUE(LEFT(B154,2)))))</f>
        <v>46008</v>
      </c>
    </row>
    <row r="155" customFormat="false" ht="15" hidden="false" customHeight="false" outlineLevel="0" collapsed="false">
      <c r="A155" s="7" t="s">
        <v>790</v>
      </c>
      <c r="B155" s="7" t="s">
        <v>791</v>
      </c>
      <c r="C155" s="7" t="s">
        <v>792</v>
      </c>
      <c r="D155" s="7" t="s">
        <v>793</v>
      </c>
      <c r="E155" s="7" t="s">
        <v>160</v>
      </c>
      <c r="F155" s="7" t="s">
        <v>136</v>
      </c>
      <c r="G155" s="7" t="s">
        <v>150</v>
      </c>
      <c r="H155" s="7" t="n">
        <v>3</v>
      </c>
      <c r="I155" s="7" t="n">
        <v>175</v>
      </c>
      <c r="J155" s="7" t="n">
        <v>0</v>
      </c>
      <c r="K155" s="7" t="s">
        <v>526</v>
      </c>
      <c r="L155" s="7" t="s">
        <v>194</v>
      </c>
      <c r="M155" s="7" t="n">
        <v>22</v>
      </c>
      <c r="N155" s="7" t="n">
        <v>4</v>
      </c>
      <c r="O155" s="7" t="str">
        <f aca="false">A155&amp;"|"&amp;B155&amp;"|"&amp;C155&amp;"|"&amp;D155&amp;"|"&amp;E155&amp;"|"&amp;F155&amp;"|"&amp;G155&amp;"|"&amp;H155&amp;"|"&amp;I155&amp;"|"&amp;J155&amp;"|"&amp;K155&amp;"|"&amp;L155&amp;"|"&amp;M155&amp;"|"&amp;N155</f>
        <v>ORD12501|2025-11-10|11:38|C1040|Cake Walk|Pune|Desserts|3|175|0|DC|Delivered|22|4</v>
      </c>
      <c r="P155" s="7" t="str">
        <f aca="false">IF(COUNTIF($O$2:O155,O155)&gt;1,"DUP","OK")</f>
        <v>OK</v>
      </c>
      <c r="Q155" s="7" t="n">
        <f aca="false">COUNTBLANK(A155:N155)</f>
        <v>0</v>
      </c>
      <c r="R155" s="7" t="n">
        <f aca="false">IF(A155="",0,COUNTIFS($A$2:$A$3058,A155,$P$2:$P$3058,"OK"))</f>
        <v>1</v>
      </c>
      <c r="S155" s="7" t="str">
        <f aca="false">IF(OR(A155="",P155="DUP",R155&lt;2),"",IF(Q155=_xlfn.MINIFS($Q$2:$Q$3058,$A$2:$A$3058,A155,$P$2:$P$3058,"OK"),"KEEP","DROP"))</f>
        <v/>
      </c>
      <c r="T155" s="9" t="n">
        <f aca="false">IF(A155="",1,0)</f>
        <v>0</v>
      </c>
      <c r="U155" s="9" t="n">
        <f aca="false">IF(D155="",1,0)</f>
        <v>0</v>
      </c>
      <c r="V155" s="9" t="n">
        <f aca="false">IF(E155="",1,0)</f>
        <v>0</v>
      </c>
      <c r="W155" s="9" t="n">
        <f aca="false">IF(OR(H155&lt;1,H155&gt;10),1,0)</f>
        <v>0</v>
      </c>
      <c r="X155" s="9" t="n">
        <f aca="false">IF(OR(I155&lt;=0,I155&gt;1500),1,0)</f>
        <v>0</v>
      </c>
      <c r="Y155" s="9" t="n">
        <f aca="false">IF(J155&gt;H155*I155,1,0)</f>
        <v>0</v>
      </c>
      <c r="Z155" s="9" t="n">
        <f aca="false">IF(AND(N155&lt;&gt;"",OR(N155&lt;1,N155&gt;5)),1,0)</f>
        <v>0</v>
      </c>
      <c r="AA155" s="9" t="n">
        <f aca="false">IF(AND(M155&lt;&gt;"",OR(M155&lt;5,M155&gt;180)),1,0)</f>
        <v>0</v>
      </c>
      <c r="AB155" s="7" t="str">
        <f aca="false">IF(P155="DUP","Exact duplicate row",IF(T155=1,"Missing Order ID",IF(S155="DROP","Duplicate Order ID (less complete row)",IF(U155=1,"Missing Customer ID",IF(V155=1,"Missing Restaurant name",IF(W155=1,"Invalid/outlier quantity",IF(X155=1,"Invalid/outlier unit price",IF(Y155=1,"Discount greater than order value",""))))))))</f>
        <v/>
      </c>
      <c r="AC155" s="7" t="str">
        <f aca="false">IF(AB155="","KEEP","DROP")</f>
        <v>KEEP</v>
      </c>
      <c r="AD155" s="7" t="str">
        <f aca="false">IF(TRIM(F155)="",IFERROR(INDEX(Map_Tables!$I$4:$I$37,MATCH(TRIM(E155),Map_Tables!$G$4:$G$37,0)),""),IFERROR(INDEX(Map_Tables!$B$4:$B$18,MATCH(TRIM(F155),Map_Tables!$A$4:$A$18,0)),"CHECK"))</f>
        <v>Pune</v>
      </c>
      <c r="AE155" s="7" t="str">
        <f aca="false">IF(TRIM(E155)="","",IFERROR(INDEX(Map_Tables!$H$4:$H$37,MATCH(TRIM(E155),Map_Tables!$G$4:$G$37,0)),"CHECK"))</f>
        <v>Cake Walk</v>
      </c>
      <c r="AF155" s="7" t="str">
        <f aca="false">IF(TRIM(K155)="","Unknown",IFERROR(INDEX(Map_Tables!$E$4:$E$15,MATCH(TRIM(K155),Map_Tables!$D$4:$D$15,0)),"CHECK"))</f>
        <v>Debit Card</v>
      </c>
      <c r="AG155" s="7" t="str">
        <f aca="false">IF(LEFT(LOWER(TRIM(L155)),6)="cancel","Cancelled","Delivered")</f>
        <v>Delivered</v>
      </c>
      <c r="AH155" s="10" t="n">
        <f aca="false">IF(ISNUMBER(SEARCH("/",B155)),DATE(VALUE(RIGHT(B155,4)),VALUE(MID(B155,4,2)),VALUE(LEFT(B155,2))),IF(MID(B155,5,1)="-",DATE(VALUE(LEFT(B155,4)),VALUE(MID(B155,6,2)),VALUE(RIGHT(B155,2))),DATE(VALUE(RIGHT(B155,4)),MATCH(MID(B155,4,3),{"Jan","Feb","Mar","Apr","May","Jun","Jul","Aug","Sep","Oct","Nov","Dec"},0),VALUE(LEFT(B155,2)))))</f>
        <v>45971</v>
      </c>
    </row>
    <row r="156" customFormat="false" ht="15" hidden="false" customHeight="false" outlineLevel="0" collapsed="false">
      <c r="A156" s="7" t="s">
        <v>794</v>
      </c>
      <c r="B156" s="7" t="s">
        <v>795</v>
      </c>
      <c r="C156" s="7" t="s">
        <v>796</v>
      </c>
      <c r="D156" s="7" t="s">
        <v>797</v>
      </c>
      <c r="E156" s="7" t="s">
        <v>798</v>
      </c>
      <c r="F156" s="7" t="s">
        <v>136</v>
      </c>
      <c r="G156" s="7" t="s">
        <v>139</v>
      </c>
      <c r="H156" s="7" t="n">
        <v>5</v>
      </c>
      <c r="I156" s="7" t="n">
        <v>170</v>
      </c>
      <c r="J156" s="7" t="n">
        <v>20</v>
      </c>
      <c r="K156" s="7" t="s">
        <v>112</v>
      </c>
      <c r="L156" s="7" t="s">
        <v>194</v>
      </c>
      <c r="M156" s="7" t="n">
        <v>39</v>
      </c>
      <c r="N156" s="7" t="n">
        <v>4</v>
      </c>
      <c r="O156" s="7" t="str">
        <f aca="false">A156&amp;"|"&amp;B156&amp;"|"&amp;C156&amp;"|"&amp;D156&amp;"|"&amp;E156&amp;"|"&amp;F156&amp;"|"&amp;G156&amp;"|"&amp;H156&amp;"|"&amp;I156&amp;"|"&amp;J156&amp;"|"&amp;K156&amp;"|"&amp;L156&amp;"|"&amp;M156&amp;"|"&amp;N156</f>
        <v>ORD11484|2025-07-12|13:38|C0944|Pune  Burger Hub|Pune|Burgers|5|170|20|Cash on Delivery|Delivered|39|4</v>
      </c>
      <c r="P156" s="7" t="str">
        <f aca="false">IF(COUNTIF($O$2:O156,O156)&gt;1,"DUP","OK")</f>
        <v>OK</v>
      </c>
      <c r="Q156" s="7" t="n">
        <f aca="false">COUNTBLANK(A156:N156)</f>
        <v>0</v>
      </c>
      <c r="R156" s="7" t="n">
        <f aca="false">IF(A156="",0,COUNTIFS($A$2:$A$3058,A156,$P$2:$P$3058,"OK"))</f>
        <v>1</v>
      </c>
      <c r="S156" s="7" t="str">
        <f aca="false">IF(OR(A156="",P156="DUP",R156&lt;2),"",IF(Q156=_xlfn.MINIFS($Q$2:$Q$3058,$A$2:$A$3058,A156,$P$2:$P$3058,"OK"),"KEEP","DROP"))</f>
        <v/>
      </c>
      <c r="T156" s="9" t="n">
        <f aca="false">IF(A156="",1,0)</f>
        <v>0</v>
      </c>
      <c r="U156" s="9" t="n">
        <f aca="false">IF(D156="",1,0)</f>
        <v>0</v>
      </c>
      <c r="V156" s="9" t="n">
        <f aca="false">IF(E156="",1,0)</f>
        <v>0</v>
      </c>
      <c r="W156" s="9" t="n">
        <f aca="false">IF(OR(H156&lt;1,H156&gt;10),1,0)</f>
        <v>0</v>
      </c>
      <c r="X156" s="9" t="n">
        <f aca="false">IF(OR(I156&lt;=0,I156&gt;1500),1,0)</f>
        <v>0</v>
      </c>
      <c r="Y156" s="9" t="n">
        <f aca="false">IF(J156&gt;H156*I156,1,0)</f>
        <v>0</v>
      </c>
      <c r="Z156" s="9" t="n">
        <f aca="false">IF(AND(N156&lt;&gt;"",OR(N156&lt;1,N156&gt;5)),1,0)</f>
        <v>0</v>
      </c>
      <c r="AA156" s="9" t="n">
        <f aca="false">IF(AND(M156&lt;&gt;"",OR(M156&lt;5,M156&gt;180)),1,0)</f>
        <v>0</v>
      </c>
      <c r="AB156" s="7" t="str">
        <f aca="false">IF(P156="DUP","Exact duplicate row",IF(T156=1,"Missing Order ID",IF(S156="DROP","Duplicate Order ID (less complete row)",IF(U156=1,"Missing Customer ID",IF(V156=1,"Missing Restaurant name",IF(W156=1,"Invalid/outlier quantity",IF(X156=1,"Invalid/outlier unit price",IF(Y156=1,"Discount greater than order value",""))))))))</f>
        <v/>
      </c>
      <c r="AC156" s="7" t="str">
        <f aca="false">IF(AB156="","KEEP","DROP")</f>
        <v>KEEP</v>
      </c>
      <c r="AD156" s="7" t="str">
        <f aca="false">IF(TRIM(F156)="",IFERROR(INDEX(Map_Tables!$I$4:$I$37,MATCH(TRIM(E156),Map_Tables!$G$4:$G$37,0)),""),IFERROR(INDEX(Map_Tables!$B$4:$B$18,MATCH(TRIM(F156),Map_Tables!$A$4:$A$18,0)),"CHECK"))</f>
        <v>Pune</v>
      </c>
      <c r="AE156" s="7" t="str">
        <f aca="false">IF(TRIM(E156)="","",IFERROR(INDEX(Map_Tables!$H$4:$H$37,MATCH(TRIM(E156),Map_Tables!$G$4:$G$37,0)),"CHECK"))</f>
        <v>Pune Burger Hub</v>
      </c>
      <c r="AF156" s="7" t="str">
        <f aca="false">IF(TRIM(K156)="","Unknown",IFERROR(INDEX(Map_Tables!$E$4:$E$15,MATCH(TRIM(K156),Map_Tables!$D$4:$D$15,0)),"CHECK"))</f>
        <v>Cash on Delivery</v>
      </c>
      <c r="AG156" s="7" t="str">
        <f aca="false">IF(LEFT(LOWER(TRIM(L156)),6)="cancel","Cancelled","Delivered")</f>
        <v>Delivered</v>
      </c>
      <c r="AH156" s="10" t="n">
        <f aca="false">IF(ISNUMBER(SEARCH("/",B156)),DATE(VALUE(RIGHT(B156,4)),VALUE(MID(B156,4,2)),VALUE(LEFT(B156,2))),IF(MID(B156,5,1)="-",DATE(VALUE(LEFT(B156,4)),VALUE(MID(B156,6,2)),VALUE(RIGHT(B156,2))),DATE(VALUE(RIGHT(B156,4)),MATCH(MID(B156,4,3),{"Jan","Feb","Mar","Apr","May","Jun","Jul","Aug","Sep","Oct","Nov","Dec"},0),VALUE(LEFT(B156,2)))))</f>
        <v>45850</v>
      </c>
    </row>
    <row r="157" customFormat="false" ht="15" hidden="false" customHeight="false" outlineLevel="0" collapsed="false">
      <c r="A157" s="7" t="s">
        <v>799</v>
      </c>
      <c r="B157" s="7" t="s">
        <v>800</v>
      </c>
      <c r="C157" s="7" t="s">
        <v>801</v>
      </c>
      <c r="D157" s="7" t="s">
        <v>552</v>
      </c>
      <c r="E157" s="7" t="s">
        <v>134</v>
      </c>
      <c r="F157" s="7" t="s">
        <v>521</v>
      </c>
      <c r="G157" s="7" t="s">
        <v>117</v>
      </c>
      <c r="H157" s="7" t="n">
        <v>1</v>
      </c>
      <c r="I157" s="7" t="n">
        <v>130</v>
      </c>
      <c r="J157" s="7" t="n">
        <v>52</v>
      </c>
      <c r="K157" s="7" t="s">
        <v>88</v>
      </c>
      <c r="L157" s="7" t="s">
        <v>194</v>
      </c>
      <c r="M157" s="7" t="n">
        <v>40</v>
      </c>
      <c r="N157" s="7"/>
      <c r="O157" s="7" t="str">
        <f aca="false">A157&amp;"|"&amp;B157&amp;"|"&amp;C157&amp;"|"&amp;D157&amp;"|"&amp;E157&amp;"|"&amp;F157&amp;"|"&amp;G157&amp;"|"&amp;H157&amp;"|"&amp;I157&amp;"|"&amp;J157&amp;"|"&amp;K157&amp;"|"&amp;L157&amp;"|"&amp;M157&amp;"|"&amp;N157</f>
        <v>ORD11135|2025-05-24|21:24|C0631|Chaat Corner|DELHI|Street Food|1|130|52|UPI|Delivered|40|</v>
      </c>
      <c r="P157" s="7" t="str">
        <f aca="false">IF(COUNTIF($O$2:O157,O157)&gt;1,"DUP","OK")</f>
        <v>OK</v>
      </c>
      <c r="Q157" s="7" t="n">
        <f aca="false">COUNTBLANK(A157:N157)</f>
        <v>1</v>
      </c>
      <c r="R157" s="7" t="n">
        <f aca="false">IF(A157="",0,COUNTIFS($A$2:$A$3058,A157,$P$2:$P$3058,"OK"))</f>
        <v>1</v>
      </c>
      <c r="S157" s="7" t="str">
        <f aca="false">IF(OR(A157="",P157="DUP",R157&lt;2),"",IF(Q157=_xlfn.MINIFS($Q$2:$Q$3058,$A$2:$A$3058,A157,$P$2:$P$3058,"OK"),"KEEP","DROP"))</f>
        <v/>
      </c>
      <c r="T157" s="9" t="n">
        <f aca="false">IF(A157="",1,0)</f>
        <v>0</v>
      </c>
      <c r="U157" s="9" t="n">
        <f aca="false">IF(D157="",1,0)</f>
        <v>0</v>
      </c>
      <c r="V157" s="9" t="n">
        <f aca="false">IF(E157="",1,0)</f>
        <v>0</v>
      </c>
      <c r="W157" s="9" t="n">
        <f aca="false">IF(OR(H157&lt;1,H157&gt;10),1,0)</f>
        <v>0</v>
      </c>
      <c r="X157" s="9" t="n">
        <f aca="false">IF(OR(I157&lt;=0,I157&gt;1500),1,0)</f>
        <v>0</v>
      </c>
      <c r="Y157" s="9" t="n">
        <f aca="false">IF(J157&gt;H157*I157,1,0)</f>
        <v>0</v>
      </c>
      <c r="Z157" s="9" t="n">
        <f aca="false">IF(AND(N157&lt;&gt;"",OR(N157&lt;1,N157&gt;5)),1,0)</f>
        <v>0</v>
      </c>
      <c r="AA157" s="9" t="n">
        <f aca="false">IF(AND(M157&lt;&gt;"",OR(M157&lt;5,M157&gt;180)),1,0)</f>
        <v>0</v>
      </c>
      <c r="AB157" s="7" t="str">
        <f aca="false">IF(P157="DUP","Exact duplicate row",IF(T157=1,"Missing Order ID",IF(S157="DROP","Duplicate Order ID (less complete row)",IF(U157=1,"Missing Customer ID",IF(V157=1,"Missing Restaurant name",IF(W157=1,"Invalid/outlier quantity",IF(X157=1,"Invalid/outlier unit price",IF(Y157=1,"Discount greater than order value",""))))))))</f>
        <v/>
      </c>
      <c r="AC157" s="7" t="str">
        <f aca="false">IF(AB157="","KEEP","DROP")</f>
        <v>KEEP</v>
      </c>
      <c r="AD157" s="7" t="str">
        <f aca="false">IF(TRIM(F157)="",IFERROR(INDEX(Map_Tables!$I$4:$I$37,MATCH(TRIM(E157),Map_Tables!$G$4:$G$37,0)),""),IFERROR(INDEX(Map_Tables!$B$4:$B$18,MATCH(TRIM(F157),Map_Tables!$A$4:$A$18,0)),"CHECK"))</f>
        <v>Delhi</v>
      </c>
      <c r="AE157" s="7" t="str">
        <f aca="false">IF(TRIM(E157)="","",IFERROR(INDEX(Map_Tables!$H$4:$H$37,MATCH(TRIM(E157),Map_Tables!$G$4:$G$37,0)),"CHECK"))</f>
        <v>Chaat Corner</v>
      </c>
      <c r="AF157" s="7" t="str">
        <f aca="false">IF(TRIM(K157)="","Unknown",IFERROR(INDEX(Map_Tables!$E$4:$E$15,MATCH(TRIM(K157),Map_Tables!$D$4:$D$15,0)),"CHECK"))</f>
        <v>UPI</v>
      </c>
      <c r="AG157" s="7" t="str">
        <f aca="false">IF(LEFT(LOWER(TRIM(L157)),6)="cancel","Cancelled","Delivered")</f>
        <v>Delivered</v>
      </c>
      <c r="AH157" s="10" t="n">
        <f aca="false">IF(ISNUMBER(SEARCH("/",B157)),DATE(VALUE(RIGHT(B157,4)),VALUE(MID(B157,4,2)),VALUE(LEFT(B157,2))),IF(MID(B157,5,1)="-",DATE(VALUE(LEFT(B157,4)),VALUE(MID(B157,6,2)),VALUE(RIGHT(B157,2))),DATE(VALUE(RIGHT(B157,4)),MATCH(MID(B157,4,3),{"Jan","Feb","Mar","Apr","May","Jun","Jul","Aug","Sep","Oct","Nov","Dec"},0),VALUE(LEFT(B157,2)))))</f>
        <v>45801</v>
      </c>
    </row>
    <row r="158" customFormat="false" ht="15" hidden="false" customHeight="false" outlineLevel="0" collapsed="false">
      <c r="A158" s="7" t="s">
        <v>802</v>
      </c>
      <c r="B158" s="7" t="s">
        <v>803</v>
      </c>
      <c r="C158" s="7" t="s">
        <v>804</v>
      </c>
      <c r="D158" s="7" t="s">
        <v>805</v>
      </c>
      <c r="E158" s="7" t="s">
        <v>154</v>
      </c>
      <c r="F158" s="7" t="s">
        <v>806</v>
      </c>
      <c r="G158" s="7" t="s">
        <v>99</v>
      </c>
      <c r="H158" s="7" t="n">
        <v>1</v>
      </c>
      <c r="I158" s="7" t="n">
        <v>270</v>
      </c>
      <c r="J158" s="7" t="n">
        <v>0</v>
      </c>
      <c r="K158" s="7" t="s">
        <v>93</v>
      </c>
      <c r="L158" s="7" t="s">
        <v>194</v>
      </c>
      <c r="M158" s="7" t="n">
        <v>35</v>
      </c>
      <c r="N158" s="7" t="n">
        <v>3</v>
      </c>
      <c r="O158" s="7" t="str">
        <f aca="false">A158&amp;"|"&amp;B158&amp;"|"&amp;C158&amp;"|"&amp;D158&amp;"|"&amp;E158&amp;"|"&amp;F158&amp;"|"&amp;G158&amp;"|"&amp;H158&amp;"|"&amp;I158&amp;"|"&amp;J158&amp;"|"&amp;K158&amp;"|"&amp;L158&amp;"|"&amp;M158&amp;"|"&amp;N158</f>
        <v>ORD11967|2025-09-12|14:12|C1035|Madras Biryani Co|Madras|Biryani|1|270|0|Credit Card|Delivered|35|3</v>
      </c>
      <c r="P158" s="7" t="str">
        <f aca="false">IF(COUNTIF($O$2:O158,O158)&gt;1,"DUP","OK")</f>
        <v>OK</v>
      </c>
      <c r="Q158" s="7" t="n">
        <f aca="false">COUNTBLANK(A158:N158)</f>
        <v>0</v>
      </c>
      <c r="R158" s="7" t="n">
        <f aca="false">IF(A158="",0,COUNTIFS($A$2:$A$3058,A158,$P$2:$P$3058,"OK"))</f>
        <v>1</v>
      </c>
      <c r="S158" s="7" t="str">
        <f aca="false">IF(OR(A158="",P158="DUP",R158&lt;2),"",IF(Q158=_xlfn.MINIFS($Q$2:$Q$3058,$A$2:$A$3058,A158,$P$2:$P$3058,"OK"),"KEEP","DROP"))</f>
        <v/>
      </c>
      <c r="T158" s="9" t="n">
        <f aca="false">IF(A158="",1,0)</f>
        <v>0</v>
      </c>
      <c r="U158" s="9" t="n">
        <f aca="false">IF(D158="",1,0)</f>
        <v>0</v>
      </c>
      <c r="V158" s="9" t="n">
        <f aca="false">IF(E158="",1,0)</f>
        <v>0</v>
      </c>
      <c r="W158" s="9" t="n">
        <f aca="false">IF(OR(H158&lt;1,H158&gt;10),1,0)</f>
        <v>0</v>
      </c>
      <c r="X158" s="9" t="n">
        <f aca="false">IF(OR(I158&lt;=0,I158&gt;1500),1,0)</f>
        <v>0</v>
      </c>
      <c r="Y158" s="9" t="n">
        <f aca="false">IF(J158&gt;H158*I158,1,0)</f>
        <v>0</v>
      </c>
      <c r="Z158" s="9" t="n">
        <f aca="false">IF(AND(N158&lt;&gt;"",OR(N158&lt;1,N158&gt;5)),1,0)</f>
        <v>0</v>
      </c>
      <c r="AA158" s="9" t="n">
        <f aca="false">IF(AND(M158&lt;&gt;"",OR(M158&lt;5,M158&gt;180)),1,0)</f>
        <v>0</v>
      </c>
      <c r="AB158" s="7" t="str">
        <f aca="false">IF(P158="DUP","Exact duplicate row",IF(T158=1,"Missing Order ID",IF(S158="DROP","Duplicate Order ID (less complete row)",IF(U158=1,"Missing Customer ID",IF(V158=1,"Missing Restaurant name",IF(W158=1,"Invalid/outlier quantity",IF(X158=1,"Invalid/outlier unit price",IF(Y158=1,"Discount greater than order value",""))))))))</f>
        <v/>
      </c>
      <c r="AC158" s="7" t="str">
        <f aca="false">IF(AB158="","KEEP","DROP")</f>
        <v>KEEP</v>
      </c>
      <c r="AD158" s="7" t="str">
        <f aca="false">IF(TRIM(F158)="",IFERROR(INDEX(Map_Tables!$I$4:$I$37,MATCH(TRIM(E158),Map_Tables!$G$4:$G$37,0)),""),IFERROR(INDEX(Map_Tables!$B$4:$B$18,MATCH(TRIM(F158),Map_Tables!$A$4:$A$18,0)),"CHECK"))</f>
        <v>Chennai</v>
      </c>
      <c r="AE158" s="7" t="str">
        <f aca="false">IF(TRIM(E158)="","",IFERROR(INDEX(Map_Tables!$H$4:$H$37,MATCH(TRIM(E158),Map_Tables!$G$4:$G$37,0)),"CHECK"))</f>
        <v>Madras Biryani Co</v>
      </c>
      <c r="AF158" s="7" t="str">
        <f aca="false">IF(TRIM(K158)="","Unknown",IFERROR(INDEX(Map_Tables!$E$4:$E$15,MATCH(TRIM(K158),Map_Tables!$D$4:$D$15,0)),"CHECK"))</f>
        <v>Credit Card</v>
      </c>
      <c r="AG158" s="7" t="str">
        <f aca="false">IF(LEFT(LOWER(TRIM(L158)),6)="cancel","Cancelled","Delivered")</f>
        <v>Delivered</v>
      </c>
      <c r="AH158" s="10" t="n">
        <f aca="false">IF(ISNUMBER(SEARCH("/",B158)),DATE(VALUE(RIGHT(B158,4)),VALUE(MID(B158,4,2)),VALUE(LEFT(B158,2))),IF(MID(B158,5,1)="-",DATE(VALUE(LEFT(B158,4)),VALUE(MID(B158,6,2)),VALUE(RIGHT(B158,2))),DATE(VALUE(RIGHT(B158,4)),MATCH(MID(B158,4,3),{"Jan","Feb","Mar","Apr","May","Jun","Jul","Aug","Sep","Oct","Nov","Dec"},0),VALUE(LEFT(B158,2)))))</f>
        <v>45912</v>
      </c>
    </row>
    <row r="159" customFormat="false" ht="15" hidden="false" customHeight="false" outlineLevel="0" collapsed="false">
      <c r="A159" s="7" t="s">
        <v>807</v>
      </c>
      <c r="B159" s="7" t="s">
        <v>808</v>
      </c>
      <c r="C159" s="7" t="s">
        <v>809</v>
      </c>
      <c r="D159" s="7" t="s">
        <v>810</v>
      </c>
      <c r="E159" s="7" t="s">
        <v>811</v>
      </c>
      <c r="F159" s="7" t="s">
        <v>101</v>
      </c>
      <c r="G159" s="7" t="s">
        <v>105</v>
      </c>
      <c r="H159" s="7" t="n">
        <v>2</v>
      </c>
      <c r="I159" s="7" t="n">
        <v>230</v>
      </c>
      <c r="J159" s="7" t="n">
        <v>0</v>
      </c>
      <c r="K159" s="7" t="s">
        <v>88</v>
      </c>
      <c r="L159" s="7" t="s">
        <v>194</v>
      </c>
      <c r="M159" s="7" t="n">
        <v>57</v>
      </c>
      <c r="N159" s="7" t="n">
        <v>5</v>
      </c>
      <c r="O159" s="7" t="str">
        <f aca="false">A159&amp;"|"&amp;B159&amp;"|"&amp;C159&amp;"|"&amp;D159&amp;"|"&amp;E159&amp;"|"&amp;F159&amp;"|"&amp;G159&amp;"|"&amp;H159&amp;"|"&amp;I159&amp;"|"&amp;J159&amp;"|"&amp;K159&amp;"|"&amp;L159&amp;"|"&amp;M159&amp;"|"&amp;N159</f>
        <v>ORD12586|2025-11-16|19:49|C0647|Dragon Express |Mumbai|Chinese|2|230|0|UPI|Delivered|57|5</v>
      </c>
      <c r="P159" s="7" t="str">
        <f aca="false">IF(COUNTIF($O$2:O159,O159)&gt;1,"DUP","OK")</f>
        <v>OK</v>
      </c>
      <c r="Q159" s="7" t="n">
        <f aca="false">COUNTBLANK(A159:N159)</f>
        <v>0</v>
      </c>
      <c r="R159" s="7" t="n">
        <f aca="false">IF(A159="",0,COUNTIFS($A$2:$A$3058,A159,$P$2:$P$3058,"OK"))</f>
        <v>1</v>
      </c>
      <c r="S159" s="7" t="str">
        <f aca="false">IF(OR(A159="",P159="DUP",R159&lt;2),"",IF(Q159=_xlfn.MINIFS($Q$2:$Q$3058,$A$2:$A$3058,A159,$P$2:$P$3058,"OK"),"KEEP","DROP"))</f>
        <v/>
      </c>
      <c r="T159" s="9" t="n">
        <f aca="false">IF(A159="",1,0)</f>
        <v>0</v>
      </c>
      <c r="U159" s="9" t="n">
        <f aca="false">IF(D159="",1,0)</f>
        <v>0</v>
      </c>
      <c r="V159" s="9" t="n">
        <f aca="false">IF(E159="",1,0)</f>
        <v>0</v>
      </c>
      <c r="W159" s="9" t="n">
        <f aca="false">IF(OR(H159&lt;1,H159&gt;10),1,0)</f>
        <v>0</v>
      </c>
      <c r="X159" s="9" t="n">
        <f aca="false">IF(OR(I159&lt;=0,I159&gt;1500),1,0)</f>
        <v>0</v>
      </c>
      <c r="Y159" s="9" t="n">
        <f aca="false">IF(J159&gt;H159*I159,1,0)</f>
        <v>0</v>
      </c>
      <c r="Z159" s="9" t="n">
        <f aca="false">IF(AND(N159&lt;&gt;"",OR(N159&lt;1,N159&gt;5)),1,0)</f>
        <v>0</v>
      </c>
      <c r="AA159" s="9" t="n">
        <f aca="false">IF(AND(M159&lt;&gt;"",OR(M159&lt;5,M159&gt;180)),1,0)</f>
        <v>0</v>
      </c>
      <c r="AB159" s="7" t="str">
        <f aca="false">IF(P159="DUP","Exact duplicate row",IF(T159=1,"Missing Order ID",IF(S159="DROP","Duplicate Order ID (less complete row)",IF(U159=1,"Missing Customer ID",IF(V159=1,"Missing Restaurant name",IF(W159=1,"Invalid/outlier quantity",IF(X159=1,"Invalid/outlier unit price",IF(Y159=1,"Discount greater than order value",""))))))))</f>
        <v/>
      </c>
      <c r="AC159" s="7" t="str">
        <f aca="false">IF(AB159="","KEEP","DROP")</f>
        <v>KEEP</v>
      </c>
      <c r="AD159" s="7" t="str">
        <f aca="false">IF(TRIM(F159)="",IFERROR(INDEX(Map_Tables!$I$4:$I$37,MATCH(TRIM(E159),Map_Tables!$G$4:$G$37,0)),""),IFERROR(INDEX(Map_Tables!$B$4:$B$18,MATCH(TRIM(F159),Map_Tables!$A$4:$A$18,0)),"CHECK"))</f>
        <v>Mumbai</v>
      </c>
      <c r="AE159" s="7" t="str">
        <f aca="false">IF(TRIM(E159)="","",IFERROR(INDEX(Map_Tables!$H$4:$H$37,MATCH(TRIM(E159),Map_Tables!$G$4:$G$37,0)),"CHECK"))</f>
        <v>Dragon Express</v>
      </c>
      <c r="AF159" s="7" t="str">
        <f aca="false">IF(TRIM(K159)="","Unknown",IFERROR(INDEX(Map_Tables!$E$4:$E$15,MATCH(TRIM(K159),Map_Tables!$D$4:$D$15,0)),"CHECK"))</f>
        <v>UPI</v>
      </c>
      <c r="AG159" s="7" t="str">
        <f aca="false">IF(LEFT(LOWER(TRIM(L159)),6)="cancel","Cancelled","Delivered")</f>
        <v>Delivered</v>
      </c>
      <c r="AH159" s="10" t="n">
        <f aca="false">IF(ISNUMBER(SEARCH("/",B159)),DATE(VALUE(RIGHT(B159,4)),VALUE(MID(B159,4,2)),VALUE(LEFT(B159,2))),IF(MID(B159,5,1)="-",DATE(VALUE(LEFT(B159,4)),VALUE(MID(B159,6,2)),VALUE(RIGHT(B159,2))),DATE(VALUE(RIGHT(B159,4)),MATCH(MID(B159,4,3),{"Jan","Feb","Mar","Apr","May","Jun","Jul","Aug","Sep","Oct","Nov","Dec"},0),VALUE(LEFT(B159,2)))))</f>
        <v>45977</v>
      </c>
    </row>
    <row r="160" customFormat="false" ht="15" hidden="false" customHeight="false" outlineLevel="0" collapsed="false">
      <c r="A160" s="7" t="s">
        <v>812</v>
      </c>
      <c r="B160" s="7" t="s">
        <v>813</v>
      </c>
      <c r="C160" s="7" t="s">
        <v>693</v>
      </c>
      <c r="D160" s="7" t="s">
        <v>814</v>
      </c>
      <c r="E160" s="7" t="s">
        <v>142</v>
      </c>
      <c r="F160" s="7" t="s">
        <v>521</v>
      </c>
      <c r="G160" s="7" t="s">
        <v>105</v>
      </c>
      <c r="H160" s="7" t="n">
        <v>2</v>
      </c>
      <c r="I160" s="7" t="n">
        <v>150</v>
      </c>
      <c r="J160" s="7" t="n">
        <v>120</v>
      </c>
      <c r="K160" s="7" t="s">
        <v>112</v>
      </c>
      <c r="L160" s="7" t="s">
        <v>194</v>
      </c>
      <c r="M160" s="7" t="n">
        <v>44</v>
      </c>
      <c r="N160" s="7" t="n">
        <v>5</v>
      </c>
      <c r="O160" s="7" t="str">
        <f aca="false">A160&amp;"|"&amp;B160&amp;"|"&amp;C160&amp;"|"&amp;D160&amp;"|"&amp;E160&amp;"|"&amp;F160&amp;"|"&amp;G160&amp;"|"&amp;H160&amp;"|"&amp;I160&amp;"|"&amp;J160&amp;"|"&amp;K160&amp;"|"&amp;L160&amp;"|"&amp;M160&amp;"|"&amp;N160</f>
        <v>ORD10641|2025-03-23|11:10|C1336|Momo Magic|DELHI|Chinese|2|150|120|Cash on Delivery|Delivered|44|5</v>
      </c>
      <c r="P160" s="7" t="str">
        <f aca="false">IF(COUNTIF($O$2:O160,O160)&gt;1,"DUP","OK")</f>
        <v>OK</v>
      </c>
      <c r="Q160" s="7" t="n">
        <f aca="false">COUNTBLANK(A160:N160)</f>
        <v>0</v>
      </c>
      <c r="R160" s="7" t="n">
        <f aca="false">IF(A160="",0,COUNTIFS($A$2:$A$3058,A160,$P$2:$P$3058,"OK"))</f>
        <v>1</v>
      </c>
      <c r="S160" s="7" t="str">
        <f aca="false">IF(OR(A160="",P160="DUP",R160&lt;2),"",IF(Q160=_xlfn.MINIFS($Q$2:$Q$3058,$A$2:$A$3058,A160,$P$2:$P$3058,"OK"),"KEEP","DROP"))</f>
        <v/>
      </c>
      <c r="T160" s="9" t="n">
        <f aca="false">IF(A160="",1,0)</f>
        <v>0</v>
      </c>
      <c r="U160" s="9" t="n">
        <f aca="false">IF(D160="",1,0)</f>
        <v>0</v>
      </c>
      <c r="V160" s="9" t="n">
        <f aca="false">IF(E160="",1,0)</f>
        <v>0</v>
      </c>
      <c r="W160" s="9" t="n">
        <f aca="false">IF(OR(H160&lt;1,H160&gt;10),1,0)</f>
        <v>0</v>
      </c>
      <c r="X160" s="9" t="n">
        <f aca="false">IF(OR(I160&lt;=0,I160&gt;1500),1,0)</f>
        <v>0</v>
      </c>
      <c r="Y160" s="9" t="n">
        <f aca="false">IF(J160&gt;H160*I160,1,0)</f>
        <v>0</v>
      </c>
      <c r="Z160" s="9" t="n">
        <f aca="false">IF(AND(N160&lt;&gt;"",OR(N160&lt;1,N160&gt;5)),1,0)</f>
        <v>0</v>
      </c>
      <c r="AA160" s="9" t="n">
        <f aca="false">IF(AND(M160&lt;&gt;"",OR(M160&lt;5,M160&gt;180)),1,0)</f>
        <v>0</v>
      </c>
      <c r="AB160" s="7" t="str">
        <f aca="false">IF(P160="DUP","Exact duplicate row",IF(T160=1,"Missing Order ID",IF(S160="DROP","Duplicate Order ID (less complete row)",IF(U160=1,"Missing Customer ID",IF(V160=1,"Missing Restaurant name",IF(W160=1,"Invalid/outlier quantity",IF(X160=1,"Invalid/outlier unit price",IF(Y160=1,"Discount greater than order value",""))))))))</f>
        <v/>
      </c>
      <c r="AC160" s="7" t="str">
        <f aca="false">IF(AB160="","KEEP","DROP")</f>
        <v>KEEP</v>
      </c>
      <c r="AD160" s="7" t="str">
        <f aca="false">IF(TRIM(F160)="",IFERROR(INDEX(Map_Tables!$I$4:$I$37,MATCH(TRIM(E160),Map_Tables!$G$4:$G$37,0)),""),IFERROR(INDEX(Map_Tables!$B$4:$B$18,MATCH(TRIM(F160),Map_Tables!$A$4:$A$18,0)),"CHECK"))</f>
        <v>Delhi</v>
      </c>
      <c r="AE160" s="7" t="str">
        <f aca="false">IF(TRIM(E160)="","",IFERROR(INDEX(Map_Tables!$H$4:$H$37,MATCH(TRIM(E160),Map_Tables!$G$4:$G$37,0)),"CHECK"))</f>
        <v>Momo Magic</v>
      </c>
      <c r="AF160" s="7" t="str">
        <f aca="false">IF(TRIM(K160)="","Unknown",IFERROR(INDEX(Map_Tables!$E$4:$E$15,MATCH(TRIM(K160),Map_Tables!$D$4:$D$15,0)),"CHECK"))</f>
        <v>Cash on Delivery</v>
      </c>
      <c r="AG160" s="7" t="str">
        <f aca="false">IF(LEFT(LOWER(TRIM(L160)),6)="cancel","Cancelled","Delivered")</f>
        <v>Delivered</v>
      </c>
      <c r="AH160" s="10" t="n">
        <f aca="false">IF(ISNUMBER(SEARCH("/",B160)),DATE(VALUE(RIGHT(B160,4)),VALUE(MID(B160,4,2)),VALUE(LEFT(B160,2))),IF(MID(B160,5,1)="-",DATE(VALUE(LEFT(B160,4)),VALUE(MID(B160,6,2)),VALUE(RIGHT(B160,2))),DATE(VALUE(RIGHT(B160,4)),MATCH(MID(B160,4,3),{"Jan","Feb","Mar","Apr","May","Jun","Jul","Aug","Sep","Oct","Nov","Dec"},0),VALUE(LEFT(B160,2)))))</f>
        <v>45739</v>
      </c>
    </row>
    <row r="161" customFormat="false" ht="15" hidden="false" customHeight="false" outlineLevel="0" collapsed="false">
      <c r="A161" s="7" t="s">
        <v>815</v>
      </c>
      <c r="B161" s="7" t="s">
        <v>816</v>
      </c>
      <c r="C161" s="7" t="s">
        <v>817</v>
      </c>
      <c r="D161" s="7" t="s">
        <v>818</v>
      </c>
      <c r="E161" s="7" t="s">
        <v>89</v>
      </c>
      <c r="F161" s="7" t="s">
        <v>86</v>
      </c>
      <c r="G161" s="7" t="s">
        <v>90</v>
      </c>
      <c r="H161" s="7" t="n">
        <v>4</v>
      </c>
      <c r="I161" s="7" t="n">
        <v>245</v>
      </c>
      <c r="J161" s="7" t="n">
        <v>40</v>
      </c>
      <c r="K161" s="7" t="s">
        <v>88</v>
      </c>
      <c r="L161" s="7" t="s">
        <v>194</v>
      </c>
      <c r="M161" s="7" t="n">
        <v>32</v>
      </c>
      <c r="N161" s="7" t="n">
        <v>3</v>
      </c>
      <c r="O161" s="7" t="str">
        <f aca="false">A161&amp;"|"&amp;B161&amp;"|"&amp;C161&amp;"|"&amp;D161&amp;"|"&amp;E161&amp;"|"&amp;F161&amp;"|"&amp;G161&amp;"|"&amp;H161&amp;"|"&amp;I161&amp;"|"&amp;J161&amp;"|"&amp;K161&amp;"|"&amp;L161&amp;"|"&amp;M161&amp;"|"&amp;N161</f>
        <v>ORD12356|23/10/2025|20:53|C0355|Spice Junction|Bengaluru|North Indian|4|245|40|UPI|Delivered|32|3</v>
      </c>
      <c r="P161" s="7" t="str">
        <f aca="false">IF(COUNTIF($O$2:O161,O161)&gt;1,"DUP","OK")</f>
        <v>OK</v>
      </c>
      <c r="Q161" s="7" t="n">
        <f aca="false">COUNTBLANK(A161:N161)</f>
        <v>0</v>
      </c>
      <c r="R161" s="7" t="n">
        <f aca="false">IF(A161="",0,COUNTIFS($A$2:$A$3058,A161,$P$2:$P$3058,"OK"))</f>
        <v>1</v>
      </c>
      <c r="S161" s="7" t="str">
        <f aca="false">IF(OR(A161="",P161="DUP",R161&lt;2),"",IF(Q161=_xlfn.MINIFS($Q$2:$Q$3058,$A$2:$A$3058,A161,$P$2:$P$3058,"OK"),"KEEP","DROP"))</f>
        <v/>
      </c>
      <c r="T161" s="9" t="n">
        <f aca="false">IF(A161="",1,0)</f>
        <v>0</v>
      </c>
      <c r="U161" s="9" t="n">
        <f aca="false">IF(D161="",1,0)</f>
        <v>0</v>
      </c>
      <c r="V161" s="9" t="n">
        <f aca="false">IF(E161="",1,0)</f>
        <v>0</v>
      </c>
      <c r="W161" s="9" t="n">
        <f aca="false">IF(OR(H161&lt;1,H161&gt;10),1,0)</f>
        <v>0</v>
      </c>
      <c r="X161" s="9" t="n">
        <f aca="false">IF(OR(I161&lt;=0,I161&gt;1500),1,0)</f>
        <v>0</v>
      </c>
      <c r="Y161" s="9" t="n">
        <f aca="false">IF(J161&gt;H161*I161,1,0)</f>
        <v>0</v>
      </c>
      <c r="Z161" s="9" t="n">
        <f aca="false">IF(AND(N161&lt;&gt;"",OR(N161&lt;1,N161&gt;5)),1,0)</f>
        <v>0</v>
      </c>
      <c r="AA161" s="9" t="n">
        <f aca="false">IF(AND(M161&lt;&gt;"",OR(M161&lt;5,M161&gt;180)),1,0)</f>
        <v>0</v>
      </c>
      <c r="AB161" s="7" t="str">
        <f aca="false">IF(P161="DUP","Exact duplicate row",IF(T161=1,"Missing Order ID",IF(S161="DROP","Duplicate Order ID (less complete row)",IF(U161=1,"Missing Customer ID",IF(V161=1,"Missing Restaurant name",IF(W161=1,"Invalid/outlier quantity",IF(X161=1,"Invalid/outlier unit price",IF(Y161=1,"Discount greater than order value",""))))))))</f>
        <v/>
      </c>
      <c r="AC161" s="7" t="str">
        <f aca="false">IF(AB161="","KEEP","DROP")</f>
        <v>KEEP</v>
      </c>
      <c r="AD161" s="7" t="str">
        <f aca="false">IF(TRIM(F161)="",IFERROR(INDEX(Map_Tables!$I$4:$I$37,MATCH(TRIM(E161),Map_Tables!$G$4:$G$37,0)),""),IFERROR(INDEX(Map_Tables!$B$4:$B$18,MATCH(TRIM(F161),Map_Tables!$A$4:$A$18,0)),"CHECK"))</f>
        <v>Bengaluru</v>
      </c>
      <c r="AE161" s="7" t="str">
        <f aca="false">IF(TRIM(E161)="","",IFERROR(INDEX(Map_Tables!$H$4:$H$37,MATCH(TRIM(E161),Map_Tables!$G$4:$G$37,0)),"CHECK"))</f>
        <v>Spice Junction</v>
      </c>
      <c r="AF161" s="7" t="str">
        <f aca="false">IF(TRIM(K161)="","Unknown",IFERROR(INDEX(Map_Tables!$E$4:$E$15,MATCH(TRIM(K161),Map_Tables!$D$4:$D$15,0)),"CHECK"))</f>
        <v>UPI</v>
      </c>
      <c r="AG161" s="7" t="str">
        <f aca="false">IF(LEFT(LOWER(TRIM(L161)),6)="cancel","Cancelled","Delivered")</f>
        <v>Delivered</v>
      </c>
      <c r="AH161" s="10" t="n">
        <f aca="false">IF(ISNUMBER(SEARCH("/",B161)),DATE(VALUE(RIGHT(B161,4)),VALUE(MID(B161,4,2)),VALUE(LEFT(B161,2))),IF(MID(B161,5,1)="-",DATE(VALUE(LEFT(B161,4)),VALUE(MID(B161,6,2)),VALUE(RIGHT(B161,2))),DATE(VALUE(RIGHT(B161,4)),MATCH(MID(B161,4,3),{"Jan","Feb","Mar","Apr","May","Jun","Jul","Aug","Sep","Oct","Nov","Dec"},0),VALUE(LEFT(B161,2)))))</f>
        <v>45953</v>
      </c>
    </row>
    <row r="162" customFormat="false" ht="15" hidden="false" customHeight="false" outlineLevel="0" collapsed="false">
      <c r="A162" s="7" t="s">
        <v>819</v>
      </c>
      <c r="B162" s="7" t="s">
        <v>820</v>
      </c>
      <c r="C162" s="7" t="s">
        <v>821</v>
      </c>
      <c r="D162" s="7" t="s">
        <v>822</v>
      </c>
      <c r="E162" s="7" t="s">
        <v>144</v>
      </c>
      <c r="F162" s="7" t="s">
        <v>119</v>
      </c>
      <c r="G162" s="7" t="s">
        <v>99</v>
      </c>
      <c r="H162" s="7" t="n">
        <v>1</v>
      </c>
      <c r="I162" s="7" t="n">
        <v>240</v>
      </c>
      <c r="J162" s="7" t="n">
        <v>40</v>
      </c>
      <c r="K162" s="7" t="s">
        <v>93</v>
      </c>
      <c r="L162" s="7" t="s">
        <v>194</v>
      </c>
      <c r="M162" s="7" t="n">
        <v>39</v>
      </c>
      <c r="N162" s="7" t="n">
        <v>5</v>
      </c>
      <c r="O162" s="7" t="str">
        <f aca="false">A162&amp;"|"&amp;B162&amp;"|"&amp;C162&amp;"|"&amp;D162&amp;"|"&amp;E162&amp;"|"&amp;F162&amp;"|"&amp;G162&amp;"|"&amp;H162&amp;"|"&amp;I162&amp;"|"&amp;J162&amp;"|"&amp;K162&amp;"|"&amp;L162&amp;"|"&amp;M162&amp;"|"&amp;N162</f>
        <v>ORD11525|17/07/2025|17:15|C0602|Hyderabad Dum Biryani|Hyderabad|Biryani|1|240|40|Credit Card|Delivered|39|5</v>
      </c>
      <c r="P162" s="7" t="str">
        <f aca="false">IF(COUNTIF($O$2:O162,O162)&gt;1,"DUP","OK")</f>
        <v>OK</v>
      </c>
      <c r="Q162" s="7" t="n">
        <f aca="false">COUNTBLANK(A162:N162)</f>
        <v>0</v>
      </c>
      <c r="R162" s="7" t="n">
        <f aca="false">IF(A162="",0,COUNTIFS($A$2:$A$3058,A162,$P$2:$P$3058,"OK"))</f>
        <v>1</v>
      </c>
      <c r="S162" s="7" t="str">
        <f aca="false">IF(OR(A162="",P162="DUP",R162&lt;2),"",IF(Q162=_xlfn.MINIFS($Q$2:$Q$3058,$A$2:$A$3058,A162,$P$2:$P$3058,"OK"),"KEEP","DROP"))</f>
        <v/>
      </c>
      <c r="T162" s="9" t="n">
        <f aca="false">IF(A162="",1,0)</f>
        <v>0</v>
      </c>
      <c r="U162" s="9" t="n">
        <f aca="false">IF(D162="",1,0)</f>
        <v>0</v>
      </c>
      <c r="V162" s="9" t="n">
        <f aca="false">IF(E162="",1,0)</f>
        <v>0</v>
      </c>
      <c r="W162" s="9" t="n">
        <f aca="false">IF(OR(H162&lt;1,H162&gt;10),1,0)</f>
        <v>0</v>
      </c>
      <c r="X162" s="9" t="n">
        <f aca="false">IF(OR(I162&lt;=0,I162&gt;1500),1,0)</f>
        <v>0</v>
      </c>
      <c r="Y162" s="9" t="n">
        <f aca="false">IF(J162&gt;H162*I162,1,0)</f>
        <v>0</v>
      </c>
      <c r="Z162" s="9" t="n">
        <f aca="false">IF(AND(N162&lt;&gt;"",OR(N162&lt;1,N162&gt;5)),1,0)</f>
        <v>0</v>
      </c>
      <c r="AA162" s="9" t="n">
        <f aca="false">IF(AND(M162&lt;&gt;"",OR(M162&lt;5,M162&gt;180)),1,0)</f>
        <v>0</v>
      </c>
      <c r="AB162" s="7" t="str">
        <f aca="false">IF(P162="DUP","Exact duplicate row",IF(T162=1,"Missing Order ID",IF(S162="DROP","Duplicate Order ID (less complete row)",IF(U162=1,"Missing Customer ID",IF(V162=1,"Missing Restaurant name",IF(W162=1,"Invalid/outlier quantity",IF(X162=1,"Invalid/outlier unit price",IF(Y162=1,"Discount greater than order value",""))))))))</f>
        <v/>
      </c>
      <c r="AC162" s="7" t="str">
        <f aca="false">IF(AB162="","KEEP","DROP")</f>
        <v>KEEP</v>
      </c>
      <c r="AD162" s="7" t="str">
        <f aca="false">IF(TRIM(F162)="",IFERROR(INDEX(Map_Tables!$I$4:$I$37,MATCH(TRIM(E162),Map_Tables!$G$4:$G$37,0)),""),IFERROR(INDEX(Map_Tables!$B$4:$B$18,MATCH(TRIM(F162),Map_Tables!$A$4:$A$18,0)),"CHECK"))</f>
        <v>Hyderabad</v>
      </c>
      <c r="AE162" s="7" t="str">
        <f aca="false">IF(TRIM(E162)="","",IFERROR(INDEX(Map_Tables!$H$4:$H$37,MATCH(TRIM(E162),Map_Tables!$G$4:$G$37,0)),"CHECK"))</f>
        <v>Hyderabad Dum Biryani</v>
      </c>
      <c r="AF162" s="7" t="str">
        <f aca="false">IF(TRIM(K162)="","Unknown",IFERROR(INDEX(Map_Tables!$E$4:$E$15,MATCH(TRIM(K162),Map_Tables!$D$4:$D$15,0)),"CHECK"))</f>
        <v>Credit Card</v>
      </c>
      <c r="AG162" s="7" t="str">
        <f aca="false">IF(LEFT(LOWER(TRIM(L162)),6)="cancel","Cancelled","Delivered")</f>
        <v>Delivered</v>
      </c>
      <c r="AH162" s="10" t="n">
        <f aca="false">IF(ISNUMBER(SEARCH("/",B162)),DATE(VALUE(RIGHT(B162,4)),VALUE(MID(B162,4,2)),VALUE(LEFT(B162,2))),IF(MID(B162,5,1)="-",DATE(VALUE(LEFT(B162,4)),VALUE(MID(B162,6,2)),VALUE(RIGHT(B162,2))),DATE(VALUE(RIGHT(B162,4)),MATCH(MID(B162,4,3),{"Jan","Feb","Mar","Apr","May","Jun","Jul","Aug","Sep","Oct","Nov","Dec"},0),VALUE(LEFT(B162,2)))))</f>
        <v>45855</v>
      </c>
    </row>
    <row r="163" customFormat="false" ht="15" hidden="false" customHeight="false" outlineLevel="0" collapsed="false">
      <c r="A163" s="7" t="s">
        <v>823</v>
      </c>
      <c r="B163" s="7" t="s">
        <v>824</v>
      </c>
      <c r="C163" s="7" t="s">
        <v>825</v>
      </c>
      <c r="D163" s="7" t="s">
        <v>826</v>
      </c>
      <c r="E163" s="7" t="s">
        <v>89</v>
      </c>
      <c r="F163" s="7" t="s">
        <v>729</v>
      </c>
      <c r="G163" s="7" t="s">
        <v>90</v>
      </c>
      <c r="H163" s="7" t="n">
        <v>4</v>
      </c>
      <c r="I163" s="7" t="n">
        <v>230</v>
      </c>
      <c r="J163" s="7" t="n">
        <v>0</v>
      </c>
      <c r="K163" s="7" t="s">
        <v>88</v>
      </c>
      <c r="L163" s="7" t="s">
        <v>194</v>
      </c>
      <c r="M163" s="7" t="n">
        <v>42</v>
      </c>
      <c r="N163" s="7" t="n">
        <v>3</v>
      </c>
      <c r="O163" s="7" t="str">
        <f aca="false">A163&amp;"|"&amp;B163&amp;"|"&amp;C163&amp;"|"&amp;D163&amp;"|"&amp;E163&amp;"|"&amp;F163&amp;"|"&amp;G163&amp;"|"&amp;H163&amp;"|"&amp;I163&amp;"|"&amp;J163&amp;"|"&amp;K163&amp;"|"&amp;L163&amp;"|"&amp;M163&amp;"|"&amp;N163</f>
        <v>ORD12773|2025-12-05|15:36|C0650|Spice Junction|BENGALURU|North Indian|4|230|0|UPI|Delivered|42|3</v>
      </c>
      <c r="P163" s="7" t="str">
        <f aca="false">IF(COUNTIF($O$2:O163,O163)&gt;1,"DUP","OK")</f>
        <v>OK</v>
      </c>
      <c r="Q163" s="7" t="n">
        <f aca="false">COUNTBLANK(A163:N163)</f>
        <v>0</v>
      </c>
      <c r="R163" s="7" t="n">
        <f aca="false">IF(A163="",0,COUNTIFS($A$2:$A$3058,A163,$P$2:$P$3058,"OK"))</f>
        <v>1</v>
      </c>
      <c r="S163" s="7" t="str">
        <f aca="false">IF(OR(A163="",P163="DUP",R163&lt;2),"",IF(Q163=_xlfn.MINIFS($Q$2:$Q$3058,$A$2:$A$3058,A163,$P$2:$P$3058,"OK"),"KEEP","DROP"))</f>
        <v/>
      </c>
      <c r="T163" s="9" t="n">
        <f aca="false">IF(A163="",1,0)</f>
        <v>0</v>
      </c>
      <c r="U163" s="9" t="n">
        <f aca="false">IF(D163="",1,0)</f>
        <v>0</v>
      </c>
      <c r="V163" s="9" t="n">
        <f aca="false">IF(E163="",1,0)</f>
        <v>0</v>
      </c>
      <c r="W163" s="9" t="n">
        <f aca="false">IF(OR(H163&lt;1,H163&gt;10),1,0)</f>
        <v>0</v>
      </c>
      <c r="X163" s="9" t="n">
        <f aca="false">IF(OR(I163&lt;=0,I163&gt;1500),1,0)</f>
        <v>0</v>
      </c>
      <c r="Y163" s="9" t="n">
        <f aca="false">IF(J163&gt;H163*I163,1,0)</f>
        <v>0</v>
      </c>
      <c r="Z163" s="9" t="n">
        <f aca="false">IF(AND(N163&lt;&gt;"",OR(N163&lt;1,N163&gt;5)),1,0)</f>
        <v>0</v>
      </c>
      <c r="AA163" s="9" t="n">
        <f aca="false">IF(AND(M163&lt;&gt;"",OR(M163&lt;5,M163&gt;180)),1,0)</f>
        <v>0</v>
      </c>
      <c r="AB163" s="7" t="str">
        <f aca="false">IF(P163="DUP","Exact duplicate row",IF(T163=1,"Missing Order ID",IF(S163="DROP","Duplicate Order ID (less complete row)",IF(U163=1,"Missing Customer ID",IF(V163=1,"Missing Restaurant name",IF(W163=1,"Invalid/outlier quantity",IF(X163=1,"Invalid/outlier unit price",IF(Y163=1,"Discount greater than order value",""))))))))</f>
        <v/>
      </c>
      <c r="AC163" s="7" t="str">
        <f aca="false">IF(AB163="","KEEP","DROP")</f>
        <v>KEEP</v>
      </c>
      <c r="AD163" s="7" t="str">
        <f aca="false">IF(TRIM(F163)="",IFERROR(INDEX(Map_Tables!$I$4:$I$37,MATCH(TRIM(E163),Map_Tables!$G$4:$G$37,0)),""),IFERROR(INDEX(Map_Tables!$B$4:$B$18,MATCH(TRIM(F163),Map_Tables!$A$4:$A$18,0)),"CHECK"))</f>
        <v>Bengaluru</v>
      </c>
      <c r="AE163" s="7" t="str">
        <f aca="false">IF(TRIM(E163)="","",IFERROR(INDEX(Map_Tables!$H$4:$H$37,MATCH(TRIM(E163),Map_Tables!$G$4:$G$37,0)),"CHECK"))</f>
        <v>Spice Junction</v>
      </c>
      <c r="AF163" s="7" t="str">
        <f aca="false">IF(TRIM(K163)="","Unknown",IFERROR(INDEX(Map_Tables!$E$4:$E$15,MATCH(TRIM(K163),Map_Tables!$D$4:$D$15,0)),"CHECK"))</f>
        <v>UPI</v>
      </c>
      <c r="AG163" s="7" t="str">
        <f aca="false">IF(LEFT(LOWER(TRIM(L163)),6)="cancel","Cancelled","Delivered")</f>
        <v>Delivered</v>
      </c>
      <c r="AH163" s="10" t="n">
        <f aca="false">IF(ISNUMBER(SEARCH("/",B163)),DATE(VALUE(RIGHT(B163,4)),VALUE(MID(B163,4,2)),VALUE(LEFT(B163,2))),IF(MID(B163,5,1)="-",DATE(VALUE(LEFT(B163,4)),VALUE(MID(B163,6,2)),VALUE(RIGHT(B163,2))),DATE(VALUE(RIGHT(B163,4)),MATCH(MID(B163,4,3),{"Jan","Feb","Mar","Apr","May","Jun","Jul","Aug","Sep","Oct","Nov","Dec"},0),VALUE(LEFT(B163,2)))))</f>
        <v>45996</v>
      </c>
    </row>
    <row r="164" customFormat="false" ht="15" hidden="false" customHeight="false" outlineLevel="0" collapsed="false">
      <c r="A164" s="7" t="s">
        <v>827</v>
      </c>
      <c r="B164" s="7" t="s">
        <v>828</v>
      </c>
      <c r="C164" s="7" t="s">
        <v>829</v>
      </c>
      <c r="D164" s="7" t="s">
        <v>830</v>
      </c>
      <c r="E164" s="7" t="s">
        <v>147</v>
      </c>
      <c r="F164" s="7" t="s">
        <v>119</v>
      </c>
      <c r="G164" s="7" t="s">
        <v>95</v>
      </c>
      <c r="H164" s="7" t="n">
        <v>1</v>
      </c>
      <c r="I164" s="7" t="n">
        <v>170</v>
      </c>
      <c r="J164" s="7" t="n">
        <v>68</v>
      </c>
      <c r="K164" s="7" t="s">
        <v>88</v>
      </c>
      <c r="L164" s="7" t="s">
        <v>194</v>
      </c>
      <c r="M164" s="7" t="n">
        <v>31</v>
      </c>
      <c r="N164" s="7" t="n">
        <v>2</v>
      </c>
      <c r="O164" s="7" t="str">
        <f aca="false">A164&amp;"|"&amp;B164&amp;"|"&amp;C164&amp;"|"&amp;D164&amp;"|"&amp;E164&amp;"|"&amp;F164&amp;"|"&amp;G164&amp;"|"&amp;H164&amp;"|"&amp;I164&amp;"|"&amp;J164&amp;"|"&amp;K164&amp;"|"&amp;L164&amp;"|"&amp;M164&amp;"|"&amp;N164</f>
        <v>ORD12545|2025-11-13|22:06|C1148|Andhra Meals Mess|Hyderabad|South Indian|1|170|68|UPI|Delivered|31|2</v>
      </c>
      <c r="P164" s="7" t="str">
        <f aca="false">IF(COUNTIF($O$2:O164,O164)&gt;1,"DUP","OK")</f>
        <v>OK</v>
      </c>
      <c r="Q164" s="7" t="n">
        <f aca="false">COUNTBLANK(A164:N164)</f>
        <v>0</v>
      </c>
      <c r="R164" s="7" t="n">
        <f aca="false">IF(A164="",0,COUNTIFS($A$2:$A$3058,A164,$P$2:$P$3058,"OK"))</f>
        <v>1</v>
      </c>
      <c r="S164" s="7" t="str">
        <f aca="false">IF(OR(A164="",P164="DUP",R164&lt;2),"",IF(Q164=_xlfn.MINIFS($Q$2:$Q$3058,$A$2:$A$3058,A164,$P$2:$P$3058,"OK"),"KEEP","DROP"))</f>
        <v/>
      </c>
      <c r="T164" s="9" t="n">
        <f aca="false">IF(A164="",1,0)</f>
        <v>0</v>
      </c>
      <c r="U164" s="9" t="n">
        <f aca="false">IF(D164="",1,0)</f>
        <v>0</v>
      </c>
      <c r="V164" s="9" t="n">
        <f aca="false">IF(E164="",1,0)</f>
        <v>0</v>
      </c>
      <c r="W164" s="9" t="n">
        <f aca="false">IF(OR(H164&lt;1,H164&gt;10),1,0)</f>
        <v>0</v>
      </c>
      <c r="X164" s="9" t="n">
        <f aca="false">IF(OR(I164&lt;=0,I164&gt;1500),1,0)</f>
        <v>0</v>
      </c>
      <c r="Y164" s="9" t="n">
        <f aca="false">IF(J164&gt;H164*I164,1,0)</f>
        <v>0</v>
      </c>
      <c r="Z164" s="9" t="n">
        <f aca="false">IF(AND(N164&lt;&gt;"",OR(N164&lt;1,N164&gt;5)),1,0)</f>
        <v>0</v>
      </c>
      <c r="AA164" s="9" t="n">
        <f aca="false">IF(AND(M164&lt;&gt;"",OR(M164&lt;5,M164&gt;180)),1,0)</f>
        <v>0</v>
      </c>
      <c r="AB164" s="7" t="str">
        <f aca="false">IF(P164="DUP","Exact duplicate row",IF(T164=1,"Missing Order ID",IF(S164="DROP","Duplicate Order ID (less complete row)",IF(U164=1,"Missing Customer ID",IF(V164=1,"Missing Restaurant name",IF(W164=1,"Invalid/outlier quantity",IF(X164=1,"Invalid/outlier unit price",IF(Y164=1,"Discount greater than order value",""))))))))</f>
        <v/>
      </c>
      <c r="AC164" s="7" t="str">
        <f aca="false">IF(AB164="","KEEP","DROP")</f>
        <v>KEEP</v>
      </c>
      <c r="AD164" s="7" t="str">
        <f aca="false">IF(TRIM(F164)="",IFERROR(INDEX(Map_Tables!$I$4:$I$37,MATCH(TRIM(E164),Map_Tables!$G$4:$G$37,0)),""),IFERROR(INDEX(Map_Tables!$B$4:$B$18,MATCH(TRIM(F164),Map_Tables!$A$4:$A$18,0)),"CHECK"))</f>
        <v>Hyderabad</v>
      </c>
      <c r="AE164" s="7" t="str">
        <f aca="false">IF(TRIM(E164)="","",IFERROR(INDEX(Map_Tables!$H$4:$H$37,MATCH(TRIM(E164),Map_Tables!$G$4:$G$37,0)),"CHECK"))</f>
        <v>Andhra Meals Mess</v>
      </c>
      <c r="AF164" s="7" t="str">
        <f aca="false">IF(TRIM(K164)="","Unknown",IFERROR(INDEX(Map_Tables!$E$4:$E$15,MATCH(TRIM(K164),Map_Tables!$D$4:$D$15,0)),"CHECK"))</f>
        <v>UPI</v>
      </c>
      <c r="AG164" s="7" t="str">
        <f aca="false">IF(LEFT(LOWER(TRIM(L164)),6)="cancel","Cancelled","Delivered")</f>
        <v>Delivered</v>
      </c>
      <c r="AH164" s="10" t="n">
        <f aca="false">IF(ISNUMBER(SEARCH("/",B164)),DATE(VALUE(RIGHT(B164,4)),VALUE(MID(B164,4,2)),VALUE(LEFT(B164,2))),IF(MID(B164,5,1)="-",DATE(VALUE(LEFT(B164,4)),VALUE(MID(B164,6,2)),VALUE(RIGHT(B164,2))),DATE(VALUE(RIGHT(B164,4)),MATCH(MID(B164,4,3),{"Jan","Feb","Mar","Apr","May","Jun","Jul","Aug","Sep","Oct","Nov","Dec"},0),VALUE(LEFT(B164,2)))))</f>
        <v>45974</v>
      </c>
    </row>
    <row r="165" customFormat="false" ht="15" hidden="false" customHeight="false" outlineLevel="0" collapsed="false">
      <c r="A165" s="7" t="s">
        <v>831</v>
      </c>
      <c r="B165" s="7" t="s">
        <v>231</v>
      </c>
      <c r="C165" s="7" t="s">
        <v>832</v>
      </c>
      <c r="D165" s="7" t="s">
        <v>833</v>
      </c>
      <c r="E165" s="7" t="s">
        <v>161</v>
      </c>
      <c r="F165" s="7" t="s">
        <v>140</v>
      </c>
      <c r="G165" s="7" t="s">
        <v>117</v>
      </c>
      <c r="H165" s="7" t="n">
        <v>3</v>
      </c>
      <c r="I165" s="7" t="n">
        <v>145</v>
      </c>
      <c r="J165" s="7" t="n">
        <v>0</v>
      </c>
      <c r="K165" s="7" t="s">
        <v>88</v>
      </c>
      <c r="L165" s="7" t="s">
        <v>194</v>
      </c>
      <c r="M165" s="7" t="n">
        <v>24</v>
      </c>
      <c r="N165" s="7" t="n">
        <v>4</v>
      </c>
      <c r="O165" s="7" t="str">
        <f aca="false">A165&amp;"|"&amp;B165&amp;"|"&amp;C165&amp;"|"&amp;D165&amp;"|"&amp;E165&amp;"|"&amp;F165&amp;"|"&amp;G165&amp;"|"&amp;H165&amp;"|"&amp;I165&amp;"|"&amp;J165&amp;"|"&amp;K165&amp;"|"&amp;L165&amp;"|"&amp;M165&amp;"|"&amp;N165</f>
        <v>ORD12711|2025-11-30|08:40|C0406|Bengal Bites|kolkata|Street Food|3|145|0|UPI|Delivered|24|4</v>
      </c>
      <c r="P165" s="7" t="str">
        <f aca="false">IF(COUNTIF($O$2:O165,O165)&gt;1,"DUP","OK")</f>
        <v>OK</v>
      </c>
      <c r="Q165" s="7" t="n">
        <f aca="false">COUNTBLANK(A165:N165)</f>
        <v>0</v>
      </c>
      <c r="R165" s="7" t="n">
        <f aca="false">IF(A165="",0,COUNTIFS($A$2:$A$3058,A165,$P$2:$P$3058,"OK"))</f>
        <v>1</v>
      </c>
      <c r="S165" s="7" t="str">
        <f aca="false">IF(OR(A165="",P165="DUP",R165&lt;2),"",IF(Q165=_xlfn.MINIFS($Q$2:$Q$3058,$A$2:$A$3058,A165,$P$2:$P$3058,"OK"),"KEEP","DROP"))</f>
        <v/>
      </c>
      <c r="T165" s="9" t="n">
        <f aca="false">IF(A165="",1,0)</f>
        <v>0</v>
      </c>
      <c r="U165" s="9" t="n">
        <f aca="false">IF(D165="",1,0)</f>
        <v>0</v>
      </c>
      <c r="V165" s="9" t="n">
        <f aca="false">IF(E165="",1,0)</f>
        <v>0</v>
      </c>
      <c r="W165" s="9" t="n">
        <f aca="false">IF(OR(H165&lt;1,H165&gt;10),1,0)</f>
        <v>0</v>
      </c>
      <c r="X165" s="9" t="n">
        <f aca="false">IF(OR(I165&lt;=0,I165&gt;1500),1,0)</f>
        <v>0</v>
      </c>
      <c r="Y165" s="9" t="n">
        <f aca="false">IF(J165&gt;H165*I165,1,0)</f>
        <v>0</v>
      </c>
      <c r="Z165" s="9" t="n">
        <f aca="false">IF(AND(N165&lt;&gt;"",OR(N165&lt;1,N165&gt;5)),1,0)</f>
        <v>0</v>
      </c>
      <c r="AA165" s="9" t="n">
        <f aca="false">IF(AND(M165&lt;&gt;"",OR(M165&lt;5,M165&gt;180)),1,0)</f>
        <v>0</v>
      </c>
      <c r="AB165" s="7" t="str">
        <f aca="false">IF(P165="DUP","Exact duplicate row",IF(T165=1,"Missing Order ID",IF(S165="DROP","Duplicate Order ID (less complete row)",IF(U165=1,"Missing Customer ID",IF(V165=1,"Missing Restaurant name",IF(W165=1,"Invalid/outlier quantity",IF(X165=1,"Invalid/outlier unit price",IF(Y165=1,"Discount greater than order value",""))))))))</f>
        <v/>
      </c>
      <c r="AC165" s="7" t="str">
        <f aca="false">IF(AB165="","KEEP","DROP")</f>
        <v>KEEP</v>
      </c>
      <c r="AD165" s="7" t="str">
        <f aca="false">IF(TRIM(F165)="",IFERROR(INDEX(Map_Tables!$I$4:$I$37,MATCH(TRIM(E165),Map_Tables!$G$4:$G$37,0)),""),IFERROR(INDEX(Map_Tables!$B$4:$B$18,MATCH(TRIM(F165),Map_Tables!$A$4:$A$18,0)),"CHECK"))</f>
        <v>Kolkata</v>
      </c>
      <c r="AE165" s="7" t="str">
        <f aca="false">IF(TRIM(E165)="","",IFERROR(INDEX(Map_Tables!$H$4:$H$37,MATCH(TRIM(E165),Map_Tables!$G$4:$G$37,0)),"CHECK"))</f>
        <v>Bengal Bites</v>
      </c>
      <c r="AF165" s="7" t="str">
        <f aca="false">IF(TRIM(K165)="","Unknown",IFERROR(INDEX(Map_Tables!$E$4:$E$15,MATCH(TRIM(K165),Map_Tables!$D$4:$D$15,0)),"CHECK"))</f>
        <v>UPI</v>
      </c>
      <c r="AG165" s="7" t="str">
        <f aca="false">IF(LEFT(LOWER(TRIM(L165)),6)="cancel","Cancelled","Delivered")</f>
        <v>Delivered</v>
      </c>
      <c r="AH165" s="10" t="n">
        <f aca="false">IF(ISNUMBER(SEARCH("/",B165)),DATE(VALUE(RIGHT(B165,4)),VALUE(MID(B165,4,2)),VALUE(LEFT(B165,2))),IF(MID(B165,5,1)="-",DATE(VALUE(LEFT(B165,4)),VALUE(MID(B165,6,2)),VALUE(RIGHT(B165,2))),DATE(VALUE(RIGHT(B165,4)),MATCH(MID(B165,4,3),{"Jan","Feb","Mar","Apr","May","Jun","Jul","Aug","Sep","Oct","Nov","Dec"},0),VALUE(LEFT(B165,2)))))</f>
        <v>45991</v>
      </c>
    </row>
    <row r="166" customFormat="false" ht="15" hidden="false" customHeight="false" outlineLevel="0" collapsed="false">
      <c r="A166" s="7" t="s">
        <v>834</v>
      </c>
      <c r="B166" s="7" t="s">
        <v>835</v>
      </c>
      <c r="C166" s="7" t="s">
        <v>504</v>
      </c>
      <c r="D166" s="7" t="s">
        <v>836</v>
      </c>
      <c r="E166" s="7" t="s">
        <v>149</v>
      </c>
      <c r="F166" s="7" t="s">
        <v>119</v>
      </c>
      <c r="G166" s="7" t="s">
        <v>150</v>
      </c>
      <c r="H166" s="7" t="n">
        <v>2</v>
      </c>
      <c r="I166" s="7" t="n">
        <v>165</v>
      </c>
      <c r="J166" s="7" t="n">
        <v>132</v>
      </c>
      <c r="K166" s="7" t="s">
        <v>88</v>
      </c>
      <c r="L166" s="7" t="s">
        <v>194</v>
      </c>
      <c r="M166" s="7" t="n">
        <v>44</v>
      </c>
      <c r="N166" s="7" t="n">
        <v>2</v>
      </c>
      <c r="O166" s="7" t="str">
        <f aca="false">A166&amp;"|"&amp;B166&amp;"|"&amp;C166&amp;"|"&amp;D166&amp;"|"&amp;E166&amp;"|"&amp;F166&amp;"|"&amp;G166&amp;"|"&amp;H166&amp;"|"&amp;I166&amp;"|"&amp;J166&amp;"|"&amp;K166&amp;"|"&amp;L166&amp;"|"&amp;M166&amp;"|"&amp;N166</f>
        <v>ORD12966|2025-12-28|13:56|C0412|Sweet Tooth Studio|Hyderabad|Desserts|2|165|132|UPI|Delivered|44|2</v>
      </c>
      <c r="P166" s="7" t="str">
        <f aca="false">IF(COUNTIF($O$2:O166,O166)&gt;1,"DUP","OK")</f>
        <v>OK</v>
      </c>
      <c r="Q166" s="7" t="n">
        <f aca="false">COUNTBLANK(A166:N166)</f>
        <v>0</v>
      </c>
      <c r="R166" s="7" t="n">
        <f aca="false">IF(A166="",0,COUNTIFS($A$2:$A$3058,A166,$P$2:$P$3058,"OK"))</f>
        <v>1</v>
      </c>
      <c r="S166" s="7" t="str">
        <f aca="false">IF(OR(A166="",P166="DUP",R166&lt;2),"",IF(Q166=_xlfn.MINIFS($Q$2:$Q$3058,$A$2:$A$3058,A166,$P$2:$P$3058,"OK"),"KEEP","DROP"))</f>
        <v/>
      </c>
      <c r="T166" s="9" t="n">
        <f aca="false">IF(A166="",1,0)</f>
        <v>0</v>
      </c>
      <c r="U166" s="9" t="n">
        <f aca="false">IF(D166="",1,0)</f>
        <v>0</v>
      </c>
      <c r="V166" s="9" t="n">
        <f aca="false">IF(E166="",1,0)</f>
        <v>0</v>
      </c>
      <c r="W166" s="9" t="n">
        <f aca="false">IF(OR(H166&lt;1,H166&gt;10),1,0)</f>
        <v>0</v>
      </c>
      <c r="X166" s="9" t="n">
        <f aca="false">IF(OR(I166&lt;=0,I166&gt;1500),1,0)</f>
        <v>0</v>
      </c>
      <c r="Y166" s="9" t="n">
        <f aca="false">IF(J166&gt;H166*I166,1,0)</f>
        <v>0</v>
      </c>
      <c r="Z166" s="9" t="n">
        <f aca="false">IF(AND(N166&lt;&gt;"",OR(N166&lt;1,N166&gt;5)),1,0)</f>
        <v>0</v>
      </c>
      <c r="AA166" s="9" t="n">
        <f aca="false">IF(AND(M166&lt;&gt;"",OR(M166&lt;5,M166&gt;180)),1,0)</f>
        <v>0</v>
      </c>
      <c r="AB166" s="7" t="str">
        <f aca="false">IF(P166="DUP","Exact duplicate row",IF(T166=1,"Missing Order ID",IF(S166="DROP","Duplicate Order ID (less complete row)",IF(U166=1,"Missing Customer ID",IF(V166=1,"Missing Restaurant name",IF(W166=1,"Invalid/outlier quantity",IF(X166=1,"Invalid/outlier unit price",IF(Y166=1,"Discount greater than order value",""))))))))</f>
        <v/>
      </c>
      <c r="AC166" s="7" t="str">
        <f aca="false">IF(AB166="","KEEP","DROP")</f>
        <v>KEEP</v>
      </c>
      <c r="AD166" s="7" t="str">
        <f aca="false">IF(TRIM(F166)="",IFERROR(INDEX(Map_Tables!$I$4:$I$37,MATCH(TRIM(E166),Map_Tables!$G$4:$G$37,0)),""),IFERROR(INDEX(Map_Tables!$B$4:$B$18,MATCH(TRIM(F166),Map_Tables!$A$4:$A$18,0)),"CHECK"))</f>
        <v>Hyderabad</v>
      </c>
      <c r="AE166" s="7" t="str">
        <f aca="false">IF(TRIM(E166)="","",IFERROR(INDEX(Map_Tables!$H$4:$H$37,MATCH(TRIM(E166),Map_Tables!$G$4:$G$37,0)),"CHECK"))</f>
        <v>Sweet Tooth Studio</v>
      </c>
      <c r="AF166" s="7" t="str">
        <f aca="false">IF(TRIM(K166)="","Unknown",IFERROR(INDEX(Map_Tables!$E$4:$E$15,MATCH(TRIM(K166),Map_Tables!$D$4:$D$15,0)),"CHECK"))</f>
        <v>UPI</v>
      </c>
      <c r="AG166" s="7" t="str">
        <f aca="false">IF(LEFT(LOWER(TRIM(L166)),6)="cancel","Cancelled","Delivered")</f>
        <v>Delivered</v>
      </c>
      <c r="AH166" s="10" t="n">
        <f aca="false">IF(ISNUMBER(SEARCH("/",B166)),DATE(VALUE(RIGHT(B166,4)),VALUE(MID(B166,4,2)),VALUE(LEFT(B166,2))),IF(MID(B166,5,1)="-",DATE(VALUE(LEFT(B166,4)),VALUE(MID(B166,6,2)),VALUE(RIGHT(B166,2))),DATE(VALUE(RIGHT(B166,4)),MATCH(MID(B166,4,3),{"Jan","Feb","Mar","Apr","May","Jun","Jul","Aug","Sep","Oct","Nov","Dec"},0),VALUE(LEFT(B166,2)))))</f>
        <v>46019</v>
      </c>
    </row>
    <row r="167" customFormat="false" ht="15" hidden="false" customHeight="false" outlineLevel="0" collapsed="false">
      <c r="A167" s="7" t="s">
        <v>837</v>
      </c>
      <c r="B167" s="7" t="s">
        <v>838</v>
      </c>
      <c r="C167" s="7" t="s">
        <v>839</v>
      </c>
      <c r="D167" s="7" t="s">
        <v>840</v>
      </c>
      <c r="E167" s="7" t="s">
        <v>159</v>
      </c>
      <c r="F167" s="7" t="s">
        <v>136</v>
      </c>
      <c r="G167" s="7" t="s">
        <v>90</v>
      </c>
      <c r="H167" s="7" t="n">
        <v>2</v>
      </c>
      <c r="I167" s="7" t="n">
        <v>190</v>
      </c>
      <c r="J167" s="7" t="n">
        <v>150</v>
      </c>
      <c r="K167" s="7" t="s">
        <v>93</v>
      </c>
      <c r="L167" s="7" t="s">
        <v>194</v>
      </c>
      <c r="M167" s="7" t="n">
        <v>30</v>
      </c>
      <c r="N167" s="7" t="n">
        <v>3</v>
      </c>
      <c r="O167" s="7" t="str">
        <f aca="false">A167&amp;"|"&amp;B167&amp;"|"&amp;C167&amp;"|"&amp;D167&amp;"|"&amp;E167&amp;"|"&amp;F167&amp;"|"&amp;G167&amp;"|"&amp;H167&amp;"|"&amp;I167&amp;"|"&amp;J167&amp;"|"&amp;K167&amp;"|"&amp;L167&amp;"|"&amp;M167&amp;"|"&amp;N167</f>
        <v>ORD10441|2025-02-28|19:46|C0393|Maratha Thali House|Pune|North Indian|2|190|150|Credit Card|Delivered|30|3</v>
      </c>
      <c r="P167" s="7" t="str">
        <f aca="false">IF(COUNTIF($O$2:O167,O167)&gt;1,"DUP","OK")</f>
        <v>OK</v>
      </c>
      <c r="Q167" s="7" t="n">
        <f aca="false">COUNTBLANK(A167:N167)</f>
        <v>0</v>
      </c>
      <c r="R167" s="7" t="n">
        <f aca="false">IF(A167="",0,COUNTIFS($A$2:$A$3058,A167,$P$2:$P$3058,"OK"))</f>
        <v>1</v>
      </c>
      <c r="S167" s="7" t="str">
        <f aca="false">IF(OR(A167="",P167="DUP",R167&lt;2),"",IF(Q167=_xlfn.MINIFS($Q$2:$Q$3058,$A$2:$A$3058,A167,$P$2:$P$3058,"OK"),"KEEP","DROP"))</f>
        <v/>
      </c>
      <c r="T167" s="9" t="n">
        <f aca="false">IF(A167="",1,0)</f>
        <v>0</v>
      </c>
      <c r="U167" s="9" t="n">
        <f aca="false">IF(D167="",1,0)</f>
        <v>0</v>
      </c>
      <c r="V167" s="9" t="n">
        <f aca="false">IF(E167="",1,0)</f>
        <v>0</v>
      </c>
      <c r="W167" s="9" t="n">
        <f aca="false">IF(OR(H167&lt;1,H167&gt;10),1,0)</f>
        <v>0</v>
      </c>
      <c r="X167" s="9" t="n">
        <f aca="false">IF(OR(I167&lt;=0,I167&gt;1500),1,0)</f>
        <v>0</v>
      </c>
      <c r="Y167" s="9" t="n">
        <f aca="false">IF(J167&gt;H167*I167,1,0)</f>
        <v>0</v>
      </c>
      <c r="Z167" s="9" t="n">
        <f aca="false">IF(AND(N167&lt;&gt;"",OR(N167&lt;1,N167&gt;5)),1,0)</f>
        <v>0</v>
      </c>
      <c r="AA167" s="9" t="n">
        <f aca="false">IF(AND(M167&lt;&gt;"",OR(M167&lt;5,M167&gt;180)),1,0)</f>
        <v>0</v>
      </c>
      <c r="AB167" s="7" t="str">
        <f aca="false">IF(P167="DUP","Exact duplicate row",IF(T167=1,"Missing Order ID",IF(S167="DROP","Duplicate Order ID (less complete row)",IF(U167=1,"Missing Customer ID",IF(V167=1,"Missing Restaurant name",IF(W167=1,"Invalid/outlier quantity",IF(X167=1,"Invalid/outlier unit price",IF(Y167=1,"Discount greater than order value",""))))))))</f>
        <v/>
      </c>
      <c r="AC167" s="7" t="str">
        <f aca="false">IF(AB167="","KEEP","DROP")</f>
        <v>KEEP</v>
      </c>
      <c r="AD167" s="7" t="str">
        <f aca="false">IF(TRIM(F167)="",IFERROR(INDEX(Map_Tables!$I$4:$I$37,MATCH(TRIM(E167),Map_Tables!$G$4:$G$37,0)),""),IFERROR(INDEX(Map_Tables!$B$4:$B$18,MATCH(TRIM(F167),Map_Tables!$A$4:$A$18,0)),"CHECK"))</f>
        <v>Pune</v>
      </c>
      <c r="AE167" s="7" t="str">
        <f aca="false">IF(TRIM(E167)="","",IFERROR(INDEX(Map_Tables!$H$4:$H$37,MATCH(TRIM(E167),Map_Tables!$G$4:$G$37,0)),"CHECK"))</f>
        <v>Maratha Thali House</v>
      </c>
      <c r="AF167" s="7" t="str">
        <f aca="false">IF(TRIM(K167)="","Unknown",IFERROR(INDEX(Map_Tables!$E$4:$E$15,MATCH(TRIM(K167),Map_Tables!$D$4:$D$15,0)),"CHECK"))</f>
        <v>Credit Card</v>
      </c>
      <c r="AG167" s="7" t="str">
        <f aca="false">IF(LEFT(LOWER(TRIM(L167)),6)="cancel","Cancelled","Delivered")</f>
        <v>Delivered</v>
      </c>
      <c r="AH167" s="10" t="n">
        <f aca="false">IF(ISNUMBER(SEARCH("/",B167)),DATE(VALUE(RIGHT(B167,4)),VALUE(MID(B167,4,2)),VALUE(LEFT(B167,2))),IF(MID(B167,5,1)="-",DATE(VALUE(LEFT(B167,4)),VALUE(MID(B167,6,2)),VALUE(RIGHT(B167,2))),DATE(VALUE(RIGHT(B167,4)),MATCH(MID(B167,4,3),{"Jan","Feb","Mar","Apr","May","Jun","Jul","Aug","Sep","Oct","Nov","Dec"},0),VALUE(LEFT(B167,2)))))</f>
        <v>45716</v>
      </c>
    </row>
    <row r="168" customFormat="false" ht="15" hidden="false" customHeight="false" outlineLevel="0" collapsed="false">
      <c r="A168" s="7" t="s">
        <v>841</v>
      </c>
      <c r="B168" s="7" t="s">
        <v>414</v>
      </c>
      <c r="C168" s="7" t="s">
        <v>842</v>
      </c>
      <c r="D168" s="7" t="s">
        <v>843</v>
      </c>
      <c r="E168" s="7" t="s">
        <v>134</v>
      </c>
      <c r="F168" s="7" t="s">
        <v>110</v>
      </c>
      <c r="G168" s="7" t="s">
        <v>844</v>
      </c>
      <c r="H168" s="7" t="n">
        <v>3</v>
      </c>
      <c r="I168" s="7" t="n">
        <v>115</v>
      </c>
      <c r="J168" s="7" t="n">
        <v>50</v>
      </c>
      <c r="K168" s="7" t="s">
        <v>133</v>
      </c>
      <c r="L168" s="7" t="s">
        <v>194</v>
      </c>
      <c r="M168" s="7" t="n">
        <v>32</v>
      </c>
      <c r="N168" s="7" t="n">
        <v>4</v>
      </c>
      <c r="O168" s="7" t="str">
        <f aca="false">A168&amp;"|"&amp;B168&amp;"|"&amp;C168&amp;"|"&amp;D168&amp;"|"&amp;E168&amp;"|"&amp;F168&amp;"|"&amp;G168&amp;"|"&amp;H168&amp;"|"&amp;I168&amp;"|"&amp;J168&amp;"|"&amp;K168&amp;"|"&amp;L168&amp;"|"&amp;M168&amp;"|"&amp;N168</f>
        <v>ORD10415|2025-02-25|17:57|C0923|Chaat Corner|Delhi|STREET FOOD|3|115|50|Net Banking|Delivered|32|4</v>
      </c>
      <c r="P168" s="7" t="str">
        <f aca="false">IF(COUNTIF($O$2:O168,O168)&gt;1,"DUP","OK")</f>
        <v>OK</v>
      </c>
      <c r="Q168" s="7" t="n">
        <f aca="false">COUNTBLANK(A168:N168)</f>
        <v>0</v>
      </c>
      <c r="R168" s="7" t="n">
        <f aca="false">IF(A168="",0,COUNTIFS($A$2:$A$3058,A168,$P$2:$P$3058,"OK"))</f>
        <v>1</v>
      </c>
      <c r="S168" s="7" t="str">
        <f aca="false">IF(OR(A168="",P168="DUP",R168&lt;2),"",IF(Q168=_xlfn.MINIFS($Q$2:$Q$3058,$A$2:$A$3058,A168,$P$2:$P$3058,"OK"),"KEEP","DROP"))</f>
        <v/>
      </c>
      <c r="T168" s="9" t="n">
        <f aca="false">IF(A168="",1,0)</f>
        <v>0</v>
      </c>
      <c r="U168" s="9" t="n">
        <f aca="false">IF(D168="",1,0)</f>
        <v>0</v>
      </c>
      <c r="V168" s="9" t="n">
        <f aca="false">IF(E168="",1,0)</f>
        <v>0</v>
      </c>
      <c r="W168" s="9" t="n">
        <f aca="false">IF(OR(H168&lt;1,H168&gt;10),1,0)</f>
        <v>0</v>
      </c>
      <c r="X168" s="9" t="n">
        <f aca="false">IF(OR(I168&lt;=0,I168&gt;1500),1,0)</f>
        <v>0</v>
      </c>
      <c r="Y168" s="9" t="n">
        <f aca="false">IF(J168&gt;H168*I168,1,0)</f>
        <v>0</v>
      </c>
      <c r="Z168" s="9" t="n">
        <f aca="false">IF(AND(N168&lt;&gt;"",OR(N168&lt;1,N168&gt;5)),1,0)</f>
        <v>0</v>
      </c>
      <c r="AA168" s="9" t="n">
        <f aca="false">IF(AND(M168&lt;&gt;"",OR(M168&lt;5,M168&gt;180)),1,0)</f>
        <v>0</v>
      </c>
      <c r="AB168" s="7" t="str">
        <f aca="false">IF(P168="DUP","Exact duplicate row",IF(T168=1,"Missing Order ID",IF(S168="DROP","Duplicate Order ID (less complete row)",IF(U168=1,"Missing Customer ID",IF(V168=1,"Missing Restaurant name",IF(W168=1,"Invalid/outlier quantity",IF(X168=1,"Invalid/outlier unit price",IF(Y168=1,"Discount greater than order value",""))))))))</f>
        <v/>
      </c>
      <c r="AC168" s="7" t="str">
        <f aca="false">IF(AB168="","KEEP","DROP")</f>
        <v>KEEP</v>
      </c>
      <c r="AD168" s="7" t="str">
        <f aca="false">IF(TRIM(F168)="",IFERROR(INDEX(Map_Tables!$I$4:$I$37,MATCH(TRIM(E168),Map_Tables!$G$4:$G$37,0)),""),IFERROR(INDEX(Map_Tables!$B$4:$B$18,MATCH(TRIM(F168),Map_Tables!$A$4:$A$18,0)),"CHECK"))</f>
        <v>Delhi</v>
      </c>
      <c r="AE168" s="7" t="str">
        <f aca="false">IF(TRIM(E168)="","",IFERROR(INDEX(Map_Tables!$H$4:$H$37,MATCH(TRIM(E168),Map_Tables!$G$4:$G$37,0)),"CHECK"))</f>
        <v>Chaat Corner</v>
      </c>
      <c r="AF168" s="7" t="str">
        <f aca="false">IF(TRIM(K168)="","Unknown",IFERROR(INDEX(Map_Tables!$E$4:$E$15,MATCH(TRIM(K168),Map_Tables!$D$4:$D$15,0)),"CHECK"))</f>
        <v>Net Banking</v>
      </c>
      <c r="AG168" s="7" t="str">
        <f aca="false">IF(LEFT(LOWER(TRIM(L168)),6)="cancel","Cancelled","Delivered")</f>
        <v>Delivered</v>
      </c>
      <c r="AH168" s="10" t="n">
        <f aca="false">IF(ISNUMBER(SEARCH("/",B168)),DATE(VALUE(RIGHT(B168,4)),VALUE(MID(B168,4,2)),VALUE(LEFT(B168,2))),IF(MID(B168,5,1)="-",DATE(VALUE(LEFT(B168,4)),VALUE(MID(B168,6,2)),VALUE(RIGHT(B168,2))),DATE(VALUE(RIGHT(B168,4)),MATCH(MID(B168,4,3),{"Jan","Feb","Mar","Apr","May","Jun","Jul","Aug","Sep","Oct","Nov","Dec"},0),VALUE(LEFT(B168,2)))))</f>
        <v>45713</v>
      </c>
    </row>
    <row r="169" customFormat="false" ht="15" hidden="false" customHeight="false" outlineLevel="0" collapsed="false">
      <c r="A169" s="7" t="s">
        <v>845</v>
      </c>
      <c r="B169" s="7" t="s">
        <v>212</v>
      </c>
      <c r="C169" s="7" t="s">
        <v>846</v>
      </c>
      <c r="D169" s="7" t="s">
        <v>847</v>
      </c>
      <c r="E169" s="7" t="s">
        <v>89</v>
      </c>
      <c r="F169" s="7" t="s">
        <v>86</v>
      </c>
      <c r="G169" s="7" t="s">
        <v>90</v>
      </c>
      <c r="H169" s="7" t="n">
        <v>2</v>
      </c>
      <c r="I169" s="7" t="n">
        <v>260</v>
      </c>
      <c r="J169" s="7" t="n">
        <v>40</v>
      </c>
      <c r="K169" s="7" t="s">
        <v>93</v>
      </c>
      <c r="L169" s="7" t="s">
        <v>194</v>
      </c>
      <c r="M169" s="7" t="n">
        <v>31</v>
      </c>
      <c r="N169" s="7" t="n">
        <v>4</v>
      </c>
      <c r="O169" s="7" t="str">
        <f aca="false">A169&amp;"|"&amp;B169&amp;"|"&amp;C169&amp;"|"&amp;D169&amp;"|"&amp;E169&amp;"|"&amp;F169&amp;"|"&amp;G169&amp;"|"&amp;H169&amp;"|"&amp;I169&amp;"|"&amp;J169&amp;"|"&amp;K169&amp;"|"&amp;L169&amp;"|"&amp;M169&amp;"|"&amp;N169</f>
        <v>ORD12730|2025-12-01|11:27|C0672|Spice Junction|Bengaluru|North Indian|2|260|40|Credit Card|Delivered|31|4</v>
      </c>
      <c r="P169" s="7" t="str">
        <f aca="false">IF(COUNTIF($O$2:O169,O169)&gt;1,"DUP","OK")</f>
        <v>OK</v>
      </c>
      <c r="Q169" s="7" t="n">
        <f aca="false">COUNTBLANK(A169:N169)</f>
        <v>0</v>
      </c>
      <c r="R169" s="7" t="n">
        <f aca="false">IF(A169="",0,COUNTIFS($A$2:$A$3058,A169,$P$2:$P$3058,"OK"))</f>
        <v>1</v>
      </c>
      <c r="S169" s="7" t="str">
        <f aca="false">IF(OR(A169="",P169="DUP",R169&lt;2),"",IF(Q169=_xlfn.MINIFS($Q$2:$Q$3058,$A$2:$A$3058,A169,$P$2:$P$3058,"OK"),"KEEP","DROP"))</f>
        <v/>
      </c>
      <c r="T169" s="9" t="n">
        <f aca="false">IF(A169="",1,0)</f>
        <v>0</v>
      </c>
      <c r="U169" s="9" t="n">
        <f aca="false">IF(D169="",1,0)</f>
        <v>0</v>
      </c>
      <c r="V169" s="9" t="n">
        <f aca="false">IF(E169="",1,0)</f>
        <v>0</v>
      </c>
      <c r="W169" s="9" t="n">
        <f aca="false">IF(OR(H169&lt;1,H169&gt;10),1,0)</f>
        <v>0</v>
      </c>
      <c r="X169" s="9" t="n">
        <f aca="false">IF(OR(I169&lt;=0,I169&gt;1500),1,0)</f>
        <v>0</v>
      </c>
      <c r="Y169" s="9" t="n">
        <f aca="false">IF(J169&gt;H169*I169,1,0)</f>
        <v>0</v>
      </c>
      <c r="Z169" s="9" t="n">
        <f aca="false">IF(AND(N169&lt;&gt;"",OR(N169&lt;1,N169&gt;5)),1,0)</f>
        <v>0</v>
      </c>
      <c r="AA169" s="9" t="n">
        <f aca="false">IF(AND(M169&lt;&gt;"",OR(M169&lt;5,M169&gt;180)),1,0)</f>
        <v>0</v>
      </c>
      <c r="AB169" s="7" t="str">
        <f aca="false">IF(P169="DUP","Exact duplicate row",IF(T169=1,"Missing Order ID",IF(S169="DROP","Duplicate Order ID (less complete row)",IF(U169=1,"Missing Customer ID",IF(V169=1,"Missing Restaurant name",IF(W169=1,"Invalid/outlier quantity",IF(X169=1,"Invalid/outlier unit price",IF(Y169=1,"Discount greater than order value",""))))))))</f>
        <v/>
      </c>
      <c r="AC169" s="7" t="str">
        <f aca="false">IF(AB169="","KEEP","DROP")</f>
        <v>KEEP</v>
      </c>
      <c r="AD169" s="7" t="str">
        <f aca="false">IF(TRIM(F169)="",IFERROR(INDEX(Map_Tables!$I$4:$I$37,MATCH(TRIM(E169),Map_Tables!$G$4:$G$37,0)),""),IFERROR(INDEX(Map_Tables!$B$4:$B$18,MATCH(TRIM(F169),Map_Tables!$A$4:$A$18,0)),"CHECK"))</f>
        <v>Bengaluru</v>
      </c>
      <c r="AE169" s="7" t="str">
        <f aca="false">IF(TRIM(E169)="","",IFERROR(INDEX(Map_Tables!$H$4:$H$37,MATCH(TRIM(E169),Map_Tables!$G$4:$G$37,0)),"CHECK"))</f>
        <v>Spice Junction</v>
      </c>
      <c r="AF169" s="7" t="str">
        <f aca="false">IF(TRIM(K169)="","Unknown",IFERROR(INDEX(Map_Tables!$E$4:$E$15,MATCH(TRIM(K169),Map_Tables!$D$4:$D$15,0)),"CHECK"))</f>
        <v>Credit Card</v>
      </c>
      <c r="AG169" s="7" t="str">
        <f aca="false">IF(LEFT(LOWER(TRIM(L169)),6)="cancel","Cancelled","Delivered")</f>
        <v>Delivered</v>
      </c>
      <c r="AH169" s="10" t="n">
        <f aca="false">IF(ISNUMBER(SEARCH("/",B169)),DATE(VALUE(RIGHT(B169,4)),VALUE(MID(B169,4,2)),VALUE(LEFT(B169,2))),IF(MID(B169,5,1)="-",DATE(VALUE(LEFT(B169,4)),VALUE(MID(B169,6,2)),VALUE(RIGHT(B169,2))),DATE(VALUE(RIGHT(B169,4)),MATCH(MID(B169,4,3),{"Jan","Feb","Mar","Apr","May","Jun","Jul","Aug","Sep","Oct","Nov","Dec"},0),VALUE(LEFT(B169,2)))))</f>
        <v>45992</v>
      </c>
    </row>
    <row r="170" customFormat="false" ht="15" hidden="false" customHeight="false" outlineLevel="0" collapsed="false">
      <c r="A170" s="7" t="s">
        <v>848</v>
      </c>
      <c r="B170" s="7" t="s">
        <v>849</v>
      </c>
      <c r="C170" s="7" t="s">
        <v>850</v>
      </c>
      <c r="D170" s="7" t="s">
        <v>851</v>
      </c>
      <c r="E170" s="7" t="s">
        <v>168</v>
      </c>
      <c r="F170" s="7" t="s">
        <v>146</v>
      </c>
      <c r="G170" s="7" t="s">
        <v>123</v>
      </c>
      <c r="H170" s="7" t="n">
        <v>1</v>
      </c>
      <c r="I170" s="7" t="n">
        <v>245</v>
      </c>
      <c r="J170" s="7" t="n">
        <v>30</v>
      </c>
      <c r="K170" s="7" t="s">
        <v>88</v>
      </c>
      <c r="L170" s="7" t="s">
        <v>194</v>
      </c>
      <c r="M170" s="7" t="n">
        <v>31</v>
      </c>
      <c r="N170" s="7" t="n">
        <v>3</v>
      </c>
      <c r="O170" s="7" t="str">
        <f aca="false">A170&amp;"|"&amp;B170&amp;"|"&amp;C170&amp;"|"&amp;D170&amp;"|"&amp;E170&amp;"|"&amp;F170&amp;"|"&amp;G170&amp;"|"&amp;H170&amp;"|"&amp;I170&amp;"|"&amp;J170&amp;"|"&amp;K170&amp;"|"&amp;L170&amp;"|"&amp;M170&amp;"|"&amp;N170</f>
        <v>ORD12846|2025-12-14|16:06|C0264|Cheesy Slice|Ahmedabad|Pizza|1|245|30|UPI|Delivered|31|3</v>
      </c>
      <c r="P170" s="7" t="str">
        <f aca="false">IF(COUNTIF($O$2:O170,O170)&gt;1,"DUP","OK")</f>
        <v>OK</v>
      </c>
      <c r="Q170" s="7" t="n">
        <f aca="false">COUNTBLANK(A170:N170)</f>
        <v>0</v>
      </c>
      <c r="R170" s="7" t="n">
        <f aca="false">IF(A170="",0,COUNTIFS($A$2:$A$3058,A170,$P$2:$P$3058,"OK"))</f>
        <v>1</v>
      </c>
      <c r="S170" s="7" t="str">
        <f aca="false">IF(OR(A170="",P170="DUP",R170&lt;2),"",IF(Q170=_xlfn.MINIFS($Q$2:$Q$3058,$A$2:$A$3058,A170,$P$2:$P$3058,"OK"),"KEEP","DROP"))</f>
        <v/>
      </c>
      <c r="T170" s="9" t="n">
        <f aca="false">IF(A170="",1,0)</f>
        <v>0</v>
      </c>
      <c r="U170" s="9" t="n">
        <f aca="false">IF(D170="",1,0)</f>
        <v>0</v>
      </c>
      <c r="V170" s="9" t="n">
        <f aca="false">IF(E170="",1,0)</f>
        <v>0</v>
      </c>
      <c r="W170" s="9" t="n">
        <f aca="false">IF(OR(H170&lt;1,H170&gt;10),1,0)</f>
        <v>0</v>
      </c>
      <c r="X170" s="9" t="n">
        <f aca="false">IF(OR(I170&lt;=0,I170&gt;1500),1,0)</f>
        <v>0</v>
      </c>
      <c r="Y170" s="9" t="n">
        <f aca="false">IF(J170&gt;H170*I170,1,0)</f>
        <v>0</v>
      </c>
      <c r="Z170" s="9" t="n">
        <f aca="false">IF(AND(N170&lt;&gt;"",OR(N170&lt;1,N170&gt;5)),1,0)</f>
        <v>0</v>
      </c>
      <c r="AA170" s="9" t="n">
        <f aca="false">IF(AND(M170&lt;&gt;"",OR(M170&lt;5,M170&gt;180)),1,0)</f>
        <v>0</v>
      </c>
      <c r="AB170" s="7" t="str">
        <f aca="false">IF(P170="DUP","Exact duplicate row",IF(T170=1,"Missing Order ID",IF(S170="DROP","Duplicate Order ID (less complete row)",IF(U170=1,"Missing Customer ID",IF(V170=1,"Missing Restaurant name",IF(W170=1,"Invalid/outlier quantity",IF(X170=1,"Invalid/outlier unit price",IF(Y170=1,"Discount greater than order value",""))))))))</f>
        <v/>
      </c>
      <c r="AC170" s="7" t="str">
        <f aca="false">IF(AB170="","KEEP","DROP")</f>
        <v>KEEP</v>
      </c>
      <c r="AD170" s="7" t="str">
        <f aca="false">IF(TRIM(F170)="",IFERROR(INDEX(Map_Tables!$I$4:$I$37,MATCH(TRIM(E170),Map_Tables!$G$4:$G$37,0)),""),IFERROR(INDEX(Map_Tables!$B$4:$B$18,MATCH(TRIM(F170),Map_Tables!$A$4:$A$18,0)),"CHECK"))</f>
        <v>Ahmedabad</v>
      </c>
      <c r="AE170" s="7" t="str">
        <f aca="false">IF(TRIM(E170)="","",IFERROR(INDEX(Map_Tables!$H$4:$H$37,MATCH(TRIM(E170),Map_Tables!$G$4:$G$37,0)),"CHECK"))</f>
        <v>Cheesy Slice</v>
      </c>
      <c r="AF170" s="7" t="str">
        <f aca="false">IF(TRIM(K170)="","Unknown",IFERROR(INDEX(Map_Tables!$E$4:$E$15,MATCH(TRIM(K170),Map_Tables!$D$4:$D$15,0)),"CHECK"))</f>
        <v>UPI</v>
      </c>
      <c r="AG170" s="7" t="str">
        <f aca="false">IF(LEFT(LOWER(TRIM(L170)),6)="cancel","Cancelled","Delivered")</f>
        <v>Delivered</v>
      </c>
      <c r="AH170" s="10" t="n">
        <f aca="false">IF(ISNUMBER(SEARCH("/",B170)),DATE(VALUE(RIGHT(B170,4)),VALUE(MID(B170,4,2)),VALUE(LEFT(B170,2))),IF(MID(B170,5,1)="-",DATE(VALUE(LEFT(B170,4)),VALUE(MID(B170,6,2)),VALUE(RIGHT(B170,2))),DATE(VALUE(RIGHT(B170,4)),MATCH(MID(B170,4,3),{"Jan","Feb","Mar","Apr","May","Jun","Jul","Aug","Sep","Oct","Nov","Dec"},0),VALUE(LEFT(B170,2)))))</f>
        <v>46005</v>
      </c>
    </row>
    <row r="171" customFormat="false" ht="15" hidden="false" customHeight="false" outlineLevel="0" collapsed="false">
      <c r="A171" s="7" t="s">
        <v>852</v>
      </c>
      <c r="B171" s="7" t="s">
        <v>466</v>
      </c>
      <c r="C171" s="7" t="s">
        <v>853</v>
      </c>
      <c r="D171" s="7" t="s">
        <v>582</v>
      </c>
      <c r="E171" s="7" t="s">
        <v>147</v>
      </c>
      <c r="F171" s="7" t="s">
        <v>119</v>
      </c>
      <c r="G171" s="7" t="s">
        <v>95</v>
      </c>
      <c r="H171" s="7" t="n">
        <v>2</v>
      </c>
      <c r="I171" s="7" t="n">
        <v>160</v>
      </c>
      <c r="J171" s="7" t="n">
        <v>0</v>
      </c>
      <c r="K171" s="7" t="s">
        <v>112</v>
      </c>
      <c r="L171" s="7" t="s">
        <v>194</v>
      </c>
      <c r="M171" s="7" t="n">
        <v>43</v>
      </c>
      <c r="N171" s="7" t="n">
        <v>4</v>
      </c>
      <c r="O171" s="7" t="str">
        <f aca="false">A171&amp;"|"&amp;B171&amp;"|"&amp;C171&amp;"|"&amp;D171&amp;"|"&amp;E171&amp;"|"&amp;F171&amp;"|"&amp;G171&amp;"|"&amp;H171&amp;"|"&amp;I171&amp;"|"&amp;J171&amp;"|"&amp;K171&amp;"|"&amp;L171&amp;"|"&amp;M171&amp;"|"&amp;N171</f>
        <v>ORD12486|2025-11-08|15:19|C0293|Andhra Meals Mess|Hyderabad|South Indian|2|160|0|Cash on Delivery|Delivered|43|4</v>
      </c>
      <c r="P171" s="7" t="str">
        <f aca="false">IF(COUNTIF($O$2:O171,O171)&gt;1,"DUP","OK")</f>
        <v>OK</v>
      </c>
      <c r="Q171" s="7" t="n">
        <f aca="false">COUNTBLANK(A171:N171)</f>
        <v>0</v>
      </c>
      <c r="R171" s="7" t="n">
        <f aca="false">IF(A171="",0,COUNTIFS($A$2:$A$3058,A171,$P$2:$P$3058,"OK"))</f>
        <v>1</v>
      </c>
      <c r="S171" s="7" t="str">
        <f aca="false">IF(OR(A171="",P171="DUP",R171&lt;2),"",IF(Q171=_xlfn.MINIFS($Q$2:$Q$3058,$A$2:$A$3058,A171,$P$2:$P$3058,"OK"),"KEEP","DROP"))</f>
        <v/>
      </c>
      <c r="T171" s="9" t="n">
        <f aca="false">IF(A171="",1,0)</f>
        <v>0</v>
      </c>
      <c r="U171" s="9" t="n">
        <f aca="false">IF(D171="",1,0)</f>
        <v>0</v>
      </c>
      <c r="V171" s="9" t="n">
        <f aca="false">IF(E171="",1,0)</f>
        <v>0</v>
      </c>
      <c r="W171" s="9" t="n">
        <f aca="false">IF(OR(H171&lt;1,H171&gt;10),1,0)</f>
        <v>0</v>
      </c>
      <c r="X171" s="9" t="n">
        <f aca="false">IF(OR(I171&lt;=0,I171&gt;1500),1,0)</f>
        <v>0</v>
      </c>
      <c r="Y171" s="9" t="n">
        <f aca="false">IF(J171&gt;H171*I171,1,0)</f>
        <v>0</v>
      </c>
      <c r="Z171" s="9" t="n">
        <f aca="false">IF(AND(N171&lt;&gt;"",OR(N171&lt;1,N171&gt;5)),1,0)</f>
        <v>0</v>
      </c>
      <c r="AA171" s="9" t="n">
        <f aca="false">IF(AND(M171&lt;&gt;"",OR(M171&lt;5,M171&gt;180)),1,0)</f>
        <v>0</v>
      </c>
      <c r="AB171" s="7" t="str">
        <f aca="false">IF(P171="DUP","Exact duplicate row",IF(T171=1,"Missing Order ID",IF(S171="DROP","Duplicate Order ID (less complete row)",IF(U171=1,"Missing Customer ID",IF(V171=1,"Missing Restaurant name",IF(W171=1,"Invalid/outlier quantity",IF(X171=1,"Invalid/outlier unit price",IF(Y171=1,"Discount greater than order value",""))))))))</f>
        <v/>
      </c>
      <c r="AC171" s="7" t="str">
        <f aca="false">IF(AB171="","KEEP","DROP")</f>
        <v>KEEP</v>
      </c>
      <c r="AD171" s="7" t="str">
        <f aca="false">IF(TRIM(F171)="",IFERROR(INDEX(Map_Tables!$I$4:$I$37,MATCH(TRIM(E171),Map_Tables!$G$4:$G$37,0)),""),IFERROR(INDEX(Map_Tables!$B$4:$B$18,MATCH(TRIM(F171),Map_Tables!$A$4:$A$18,0)),"CHECK"))</f>
        <v>Hyderabad</v>
      </c>
      <c r="AE171" s="7" t="str">
        <f aca="false">IF(TRIM(E171)="","",IFERROR(INDEX(Map_Tables!$H$4:$H$37,MATCH(TRIM(E171),Map_Tables!$G$4:$G$37,0)),"CHECK"))</f>
        <v>Andhra Meals Mess</v>
      </c>
      <c r="AF171" s="7" t="str">
        <f aca="false">IF(TRIM(K171)="","Unknown",IFERROR(INDEX(Map_Tables!$E$4:$E$15,MATCH(TRIM(K171),Map_Tables!$D$4:$D$15,0)),"CHECK"))</f>
        <v>Cash on Delivery</v>
      </c>
      <c r="AG171" s="7" t="str">
        <f aca="false">IF(LEFT(LOWER(TRIM(L171)),6)="cancel","Cancelled","Delivered")</f>
        <v>Delivered</v>
      </c>
      <c r="AH171" s="10" t="n">
        <f aca="false">IF(ISNUMBER(SEARCH("/",B171)),DATE(VALUE(RIGHT(B171,4)),VALUE(MID(B171,4,2)),VALUE(LEFT(B171,2))),IF(MID(B171,5,1)="-",DATE(VALUE(LEFT(B171,4)),VALUE(MID(B171,6,2)),VALUE(RIGHT(B171,2))),DATE(VALUE(RIGHT(B171,4)),MATCH(MID(B171,4,3),{"Jan","Feb","Mar","Apr","May","Jun","Jul","Aug","Sep","Oct","Nov","Dec"},0),VALUE(LEFT(B171,2)))))</f>
        <v>45969</v>
      </c>
    </row>
    <row r="172" customFormat="false" ht="15" hidden="false" customHeight="false" outlineLevel="0" collapsed="false">
      <c r="A172" s="7" t="s">
        <v>854</v>
      </c>
      <c r="B172" s="7" t="s">
        <v>855</v>
      </c>
      <c r="C172" s="7" t="s">
        <v>856</v>
      </c>
      <c r="D172" s="7" t="s">
        <v>857</v>
      </c>
      <c r="E172" s="7" t="s">
        <v>138</v>
      </c>
      <c r="F172" s="7" t="s">
        <v>110</v>
      </c>
      <c r="G172" s="7" t="s">
        <v>139</v>
      </c>
      <c r="H172" s="7" t="n">
        <v>1</v>
      </c>
      <c r="I172" s="7" t="n">
        <v>215</v>
      </c>
      <c r="J172" s="7" t="n">
        <v>50</v>
      </c>
      <c r="K172" s="7" t="s">
        <v>88</v>
      </c>
      <c r="L172" s="7" t="s">
        <v>238</v>
      </c>
      <c r="M172" s="7"/>
      <c r="N172" s="7"/>
      <c r="O172" s="7" t="str">
        <f aca="false">A172&amp;"|"&amp;B172&amp;"|"&amp;C172&amp;"|"&amp;D172&amp;"|"&amp;E172&amp;"|"&amp;F172&amp;"|"&amp;G172&amp;"|"&amp;H172&amp;"|"&amp;I172&amp;"|"&amp;J172&amp;"|"&amp;K172&amp;"|"&amp;L172&amp;"|"&amp;M172&amp;"|"&amp;N172</f>
        <v>ORD10946|2025-04-29|21:04|C0802|Burger Barn|Delhi|Burgers|1|215|50|UPI|Cancelled||</v>
      </c>
      <c r="P172" s="7" t="str">
        <f aca="false">IF(COUNTIF($O$2:O172,O172)&gt;1,"DUP","OK")</f>
        <v>OK</v>
      </c>
      <c r="Q172" s="7" t="n">
        <f aca="false">COUNTBLANK(A172:N172)</f>
        <v>2</v>
      </c>
      <c r="R172" s="7" t="n">
        <f aca="false">IF(A172="",0,COUNTIFS($A$2:$A$3058,A172,$P$2:$P$3058,"OK"))</f>
        <v>1</v>
      </c>
      <c r="S172" s="7" t="str">
        <f aca="false">IF(OR(A172="",P172="DUP",R172&lt;2),"",IF(Q172=_xlfn.MINIFS($Q$2:$Q$3058,$A$2:$A$3058,A172,$P$2:$P$3058,"OK"),"KEEP","DROP"))</f>
        <v/>
      </c>
      <c r="T172" s="9" t="n">
        <f aca="false">IF(A172="",1,0)</f>
        <v>0</v>
      </c>
      <c r="U172" s="9" t="n">
        <f aca="false">IF(D172="",1,0)</f>
        <v>0</v>
      </c>
      <c r="V172" s="9" t="n">
        <f aca="false">IF(E172="",1,0)</f>
        <v>0</v>
      </c>
      <c r="W172" s="9" t="n">
        <f aca="false">IF(OR(H172&lt;1,H172&gt;10),1,0)</f>
        <v>0</v>
      </c>
      <c r="X172" s="9" t="n">
        <f aca="false">IF(OR(I172&lt;=0,I172&gt;1500),1,0)</f>
        <v>0</v>
      </c>
      <c r="Y172" s="9" t="n">
        <f aca="false">IF(J172&gt;H172*I172,1,0)</f>
        <v>0</v>
      </c>
      <c r="Z172" s="9" t="n">
        <f aca="false">IF(AND(N172&lt;&gt;"",OR(N172&lt;1,N172&gt;5)),1,0)</f>
        <v>0</v>
      </c>
      <c r="AA172" s="9" t="n">
        <f aca="false">IF(AND(M172&lt;&gt;"",OR(M172&lt;5,M172&gt;180)),1,0)</f>
        <v>0</v>
      </c>
      <c r="AB172" s="7" t="str">
        <f aca="false">IF(P172="DUP","Exact duplicate row",IF(T172=1,"Missing Order ID",IF(S172="DROP","Duplicate Order ID (less complete row)",IF(U172=1,"Missing Customer ID",IF(V172=1,"Missing Restaurant name",IF(W172=1,"Invalid/outlier quantity",IF(X172=1,"Invalid/outlier unit price",IF(Y172=1,"Discount greater than order value",""))))))))</f>
        <v/>
      </c>
      <c r="AC172" s="7" t="str">
        <f aca="false">IF(AB172="","KEEP","DROP")</f>
        <v>KEEP</v>
      </c>
      <c r="AD172" s="7" t="str">
        <f aca="false">IF(TRIM(F172)="",IFERROR(INDEX(Map_Tables!$I$4:$I$37,MATCH(TRIM(E172),Map_Tables!$G$4:$G$37,0)),""),IFERROR(INDEX(Map_Tables!$B$4:$B$18,MATCH(TRIM(F172),Map_Tables!$A$4:$A$18,0)),"CHECK"))</f>
        <v>Delhi</v>
      </c>
      <c r="AE172" s="7" t="str">
        <f aca="false">IF(TRIM(E172)="","",IFERROR(INDEX(Map_Tables!$H$4:$H$37,MATCH(TRIM(E172),Map_Tables!$G$4:$G$37,0)),"CHECK"))</f>
        <v>Burger Barn</v>
      </c>
      <c r="AF172" s="7" t="str">
        <f aca="false">IF(TRIM(K172)="","Unknown",IFERROR(INDEX(Map_Tables!$E$4:$E$15,MATCH(TRIM(K172),Map_Tables!$D$4:$D$15,0)),"CHECK"))</f>
        <v>UPI</v>
      </c>
      <c r="AG172" s="7" t="str">
        <f aca="false">IF(LEFT(LOWER(TRIM(L172)),6)="cancel","Cancelled","Delivered")</f>
        <v>Cancelled</v>
      </c>
      <c r="AH172" s="10" t="n">
        <f aca="false">IF(ISNUMBER(SEARCH("/",B172)),DATE(VALUE(RIGHT(B172,4)),VALUE(MID(B172,4,2)),VALUE(LEFT(B172,2))),IF(MID(B172,5,1)="-",DATE(VALUE(LEFT(B172,4)),VALUE(MID(B172,6,2)),VALUE(RIGHT(B172,2))),DATE(VALUE(RIGHT(B172,4)),MATCH(MID(B172,4,3),{"Jan","Feb","Mar","Apr","May","Jun","Jul","Aug","Sep","Oct","Nov","Dec"},0),VALUE(LEFT(B172,2)))))</f>
        <v>45776</v>
      </c>
    </row>
    <row r="173" customFormat="false" ht="15" hidden="false" customHeight="false" outlineLevel="0" collapsed="false">
      <c r="A173" s="7" t="s">
        <v>858</v>
      </c>
      <c r="B173" s="7" t="s">
        <v>859</v>
      </c>
      <c r="C173" s="7" t="s">
        <v>258</v>
      </c>
      <c r="D173" s="7" t="s">
        <v>860</v>
      </c>
      <c r="E173" s="7" t="s">
        <v>164</v>
      </c>
      <c r="F173" s="7" t="s">
        <v>141</v>
      </c>
      <c r="G173" s="7" t="s">
        <v>150</v>
      </c>
      <c r="H173" s="7" t="n">
        <v>2</v>
      </c>
      <c r="I173" s="7" t="n">
        <v>115</v>
      </c>
      <c r="J173" s="7" t="n">
        <v>30</v>
      </c>
      <c r="K173" s="7" t="s">
        <v>88</v>
      </c>
      <c r="L173" s="7" t="s">
        <v>194</v>
      </c>
      <c r="M173" s="7" t="n">
        <v>52</v>
      </c>
      <c r="N173" s="7" t="n">
        <v>4</v>
      </c>
      <c r="O173" s="7" t="str">
        <f aca="false">A173&amp;"|"&amp;B173&amp;"|"&amp;C173&amp;"|"&amp;D173&amp;"|"&amp;E173&amp;"|"&amp;F173&amp;"|"&amp;G173&amp;"|"&amp;H173&amp;"|"&amp;I173&amp;"|"&amp;J173&amp;"|"&amp;K173&amp;"|"&amp;L173&amp;"|"&amp;M173&amp;"|"&amp;N173</f>
        <v>ORD11875|2025-09-01|20:24|C1476|Mishti Mandir|Kolkata|Desserts|2|115|30|UPI|Delivered|52|4</v>
      </c>
      <c r="P173" s="7" t="str">
        <f aca="false">IF(COUNTIF($O$2:O173,O173)&gt;1,"DUP","OK")</f>
        <v>OK</v>
      </c>
      <c r="Q173" s="7" t="n">
        <f aca="false">COUNTBLANK(A173:N173)</f>
        <v>0</v>
      </c>
      <c r="R173" s="7" t="n">
        <f aca="false">IF(A173="",0,COUNTIFS($A$2:$A$3058,A173,$P$2:$P$3058,"OK"))</f>
        <v>1</v>
      </c>
      <c r="S173" s="7" t="str">
        <f aca="false">IF(OR(A173="",P173="DUP",R173&lt;2),"",IF(Q173=_xlfn.MINIFS($Q$2:$Q$3058,$A$2:$A$3058,A173,$P$2:$P$3058,"OK"),"KEEP","DROP"))</f>
        <v/>
      </c>
      <c r="T173" s="9" t="n">
        <f aca="false">IF(A173="",1,0)</f>
        <v>0</v>
      </c>
      <c r="U173" s="9" t="n">
        <f aca="false">IF(D173="",1,0)</f>
        <v>0</v>
      </c>
      <c r="V173" s="9" t="n">
        <f aca="false">IF(E173="",1,0)</f>
        <v>0</v>
      </c>
      <c r="W173" s="9" t="n">
        <f aca="false">IF(OR(H173&lt;1,H173&gt;10),1,0)</f>
        <v>0</v>
      </c>
      <c r="X173" s="9" t="n">
        <f aca="false">IF(OR(I173&lt;=0,I173&gt;1500),1,0)</f>
        <v>0</v>
      </c>
      <c r="Y173" s="9" t="n">
        <f aca="false">IF(J173&gt;H173*I173,1,0)</f>
        <v>0</v>
      </c>
      <c r="Z173" s="9" t="n">
        <f aca="false">IF(AND(N173&lt;&gt;"",OR(N173&lt;1,N173&gt;5)),1,0)</f>
        <v>0</v>
      </c>
      <c r="AA173" s="9" t="n">
        <f aca="false">IF(AND(M173&lt;&gt;"",OR(M173&lt;5,M173&gt;180)),1,0)</f>
        <v>0</v>
      </c>
      <c r="AB173" s="7" t="str">
        <f aca="false">IF(P173="DUP","Exact duplicate row",IF(T173=1,"Missing Order ID",IF(S173="DROP","Duplicate Order ID (less complete row)",IF(U173=1,"Missing Customer ID",IF(V173=1,"Missing Restaurant name",IF(W173=1,"Invalid/outlier quantity",IF(X173=1,"Invalid/outlier unit price",IF(Y173=1,"Discount greater than order value",""))))))))</f>
        <v/>
      </c>
      <c r="AC173" s="7" t="str">
        <f aca="false">IF(AB173="","KEEP","DROP")</f>
        <v>KEEP</v>
      </c>
      <c r="AD173" s="7" t="str">
        <f aca="false">IF(TRIM(F173)="",IFERROR(INDEX(Map_Tables!$I$4:$I$37,MATCH(TRIM(E173),Map_Tables!$G$4:$G$37,0)),""),IFERROR(INDEX(Map_Tables!$B$4:$B$18,MATCH(TRIM(F173),Map_Tables!$A$4:$A$18,0)),"CHECK"))</f>
        <v>Kolkata</v>
      </c>
      <c r="AE173" s="7" t="str">
        <f aca="false">IF(TRIM(E173)="","",IFERROR(INDEX(Map_Tables!$H$4:$H$37,MATCH(TRIM(E173),Map_Tables!$G$4:$G$37,0)),"CHECK"))</f>
        <v>Mishti Mandir</v>
      </c>
      <c r="AF173" s="7" t="str">
        <f aca="false">IF(TRIM(K173)="","Unknown",IFERROR(INDEX(Map_Tables!$E$4:$E$15,MATCH(TRIM(K173),Map_Tables!$D$4:$D$15,0)),"CHECK"))</f>
        <v>UPI</v>
      </c>
      <c r="AG173" s="7" t="str">
        <f aca="false">IF(LEFT(LOWER(TRIM(L173)),6)="cancel","Cancelled","Delivered")</f>
        <v>Delivered</v>
      </c>
      <c r="AH173" s="10" t="n">
        <f aca="false">IF(ISNUMBER(SEARCH("/",B173)),DATE(VALUE(RIGHT(B173,4)),VALUE(MID(B173,4,2)),VALUE(LEFT(B173,2))),IF(MID(B173,5,1)="-",DATE(VALUE(LEFT(B173,4)),VALUE(MID(B173,6,2)),VALUE(RIGHT(B173,2))),DATE(VALUE(RIGHT(B173,4)),MATCH(MID(B173,4,3),{"Jan","Feb","Mar","Apr","May","Jun","Jul","Aug","Sep","Oct","Nov","Dec"},0),VALUE(LEFT(B173,2)))))</f>
        <v>45901</v>
      </c>
    </row>
    <row r="174" customFormat="false" ht="15" hidden="false" customHeight="false" outlineLevel="0" collapsed="false">
      <c r="A174" s="7" t="s">
        <v>861</v>
      </c>
      <c r="B174" s="7" t="s">
        <v>436</v>
      </c>
      <c r="C174" s="7" t="s">
        <v>862</v>
      </c>
      <c r="D174" s="7" t="s">
        <v>863</v>
      </c>
      <c r="E174" s="7" t="s">
        <v>162</v>
      </c>
      <c r="F174" s="7" t="s">
        <v>141</v>
      </c>
      <c r="G174" s="7" t="s">
        <v>117</v>
      </c>
      <c r="H174" s="7" t="n">
        <v>1</v>
      </c>
      <c r="I174" s="7" t="n">
        <v>95</v>
      </c>
      <c r="J174" s="7" t="n">
        <v>0</v>
      </c>
      <c r="K174" s="7" t="s">
        <v>88</v>
      </c>
      <c r="L174" s="7" t="s">
        <v>457</v>
      </c>
      <c r="M174" s="7" t="n">
        <v>44</v>
      </c>
      <c r="N174" s="7" t="n">
        <v>5</v>
      </c>
      <c r="O174" s="7" t="str">
        <f aca="false">A174&amp;"|"&amp;B174&amp;"|"&amp;C174&amp;"|"&amp;D174&amp;"|"&amp;E174&amp;"|"&amp;F174&amp;"|"&amp;G174&amp;"|"&amp;H174&amp;"|"&amp;I174&amp;"|"&amp;J174&amp;"|"&amp;K174&amp;"|"&amp;L174&amp;"|"&amp;M174&amp;"|"&amp;N174</f>
        <v>ORD10090|2025-01-12|19:00|C0648|Kolkata Roll Centre|Kolkata|Street Food|1|95|0|UPI|Delivered |44|5</v>
      </c>
      <c r="P174" s="7" t="str">
        <f aca="false">IF(COUNTIF($O$2:O174,O174)&gt;1,"DUP","OK")</f>
        <v>OK</v>
      </c>
      <c r="Q174" s="7" t="n">
        <f aca="false">COUNTBLANK(A174:N174)</f>
        <v>0</v>
      </c>
      <c r="R174" s="7" t="n">
        <f aca="false">IF(A174="",0,COUNTIFS($A$2:$A$3058,A174,$P$2:$P$3058,"OK"))</f>
        <v>2</v>
      </c>
      <c r="S174" s="7" t="str">
        <f aca="false">IF(OR(A174="",P174="DUP",R174&lt;2),"",IF(Q174=_xlfn.MINIFS($Q$2:$Q$3058,$A$2:$A$3058,A174,$P$2:$P$3058,"OK"),"KEEP","DROP"))</f>
        <v>KEEP</v>
      </c>
      <c r="T174" s="9" t="n">
        <f aca="false">IF(A174="",1,0)</f>
        <v>0</v>
      </c>
      <c r="U174" s="9" t="n">
        <f aca="false">IF(D174="",1,0)</f>
        <v>0</v>
      </c>
      <c r="V174" s="9" t="n">
        <f aca="false">IF(E174="",1,0)</f>
        <v>0</v>
      </c>
      <c r="W174" s="9" t="n">
        <f aca="false">IF(OR(H174&lt;1,H174&gt;10),1,0)</f>
        <v>0</v>
      </c>
      <c r="X174" s="9" t="n">
        <f aca="false">IF(OR(I174&lt;=0,I174&gt;1500),1,0)</f>
        <v>0</v>
      </c>
      <c r="Y174" s="9" t="n">
        <f aca="false">IF(J174&gt;H174*I174,1,0)</f>
        <v>0</v>
      </c>
      <c r="Z174" s="9" t="n">
        <f aca="false">IF(AND(N174&lt;&gt;"",OR(N174&lt;1,N174&gt;5)),1,0)</f>
        <v>0</v>
      </c>
      <c r="AA174" s="9" t="n">
        <f aca="false">IF(AND(M174&lt;&gt;"",OR(M174&lt;5,M174&gt;180)),1,0)</f>
        <v>0</v>
      </c>
      <c r="AB174" s="7" t="str">
        <f aca="false">IF(P174="DUP","Exact duplicate row",IF(T174=1,"Missing Order ID",IF(S174="DROP","Duplicate Order ID (less complete row)",IF(U174=1,"Missing Customer ID",IF(V174=1,"Missing Restaurant name",IF(W174=1,"Invalid/outlier quantity",IF(X174=1,"Invalid/outlier unit price",IF(Y174=1,"Discount greater than order value",""))))))))</f>
        <v/>
      </c>
      <c r="AC174" s="7" t="str">
        <f aca="false">IF(AB174="","KEEP","DROP")</f>
        <v>KEEP</v>
      </c>
      <c r="AD174" s="7" t="str">
        <f aca="false">IF(TRIM(F174)="",IFERROR(INDEX(Map_Tables!$I$4:$I$37,MATCH(TRIM(E174),Map_Tables!$G$4:$G$37,0)),""),IFERROR(INDEX(Map_Tables!$B$4:$B$18,MATCH(TRIM(F174),Map_Tables!$A$4:$A$18,0)),"CHECK"))</f>
        <v>Kolkata</v>
      </c>
      <c r="AE174" s="7" t="str">
        <f aca="false">IF(TRIM(E174)="","",IFERROR(INDEX(Map_Tables!$H$4:$H$37,MATCH(TRIM(E174),Map_Tables!$G$4:$G$37,0)),"CHECK"))</f>
        <v>Kolkata Roll Centre</v>
      </c>
      <c r="AF174" s="7" t="str">
        <f aca="false">IF(TRIM(K174)="","Unknown",IFERROR(INDEX(Map_Tables!$E$4:$E$15,MATCH(TRIM(K174),Map_Tables!$D$4:$D$15,0)),"CHECK"))</f>
        <v>UPI</v>
      </c>
      <c r="AG174" s="7" t="str">
        <f aca="false">IF(LEFT(LOWER(TRIM(L174)),6)="cancel","Cancelled","Delivered")</f>
        <v>Delivered</v>
      </c>
      <c r="AH174" s="10" t="n">
        <f aca="false">IF(ISNUMBER(SEARCH("/",B174)),DATE(VALUE(RIGHT(B174,4)),VALUE(MID(B174,4,2)),VALUE(LEFT(B174,2))),IF(MID(B174,5,1)="-",DATE(VALUE(LEFT(B174,4)),VALUE(MID(B174,6,2)),VALUE(RIGHT(B174,2))),DATE(VALUE(RIGHT(B174,4)),MATCH(MID(B174,4,3),{"Jan","Feb","Mar","Apr","May","Jun","Jul","Aug","Sep","Oct","Nov","Dec"},0),VALUE(LEFT(B174,2)))))</f>
        <v>45669</v>
      </c>
    </row>
    <row r="175" customFormat="false" ht="15" hidden="false" customHeight="false" outlineLevel="0" collapsed="false">
      <c r="A175" s="7" t="s">
        <v>864</v>
      </c>
      <c r="B175" s="7" t="s">
        <v>865</v>
      </c>
      <c r="C175" s="7" t="s">
        <v>866</v>
      </c>
      <c r="D175" s="7" t="s">
        <v>867</v>
      </c>
      <c r="E175" s="7" t="s">
        <v>113</v>
      </c>
      <c r="F175" s="7" t="s">
        <v>101</v>
      </c>
      <c r="G175" s="7" t="s">
        <v>90</v>
      </c>
      <c r="H175" s="7" t="n">
        <v>3</v>
      </c>
      <c r="I175" s="7" t="n">
        <v>325</v>
      </c>
      <c r="J175" s="7" t="n">
        <v>0</v>
      </c>
      <c r="K175" s="7" t="s">
        <v>88</v>
      </c>
      <c r="L175" s="7" t="s">
        <v>194</v>
      </c>
      <c r="M175" s="7" t="n">
        <v>54</v>
      </c>
      <c r="N175" s="7" t="n">
        <v>4</v>
      </c>
      <c r="O175" s="7" t="str">
        <f aca="false">A175&amp;"|"&amp;B175&amp;"|"&amp;C175&amp;"|"&amp;D175&amp;"|"&amp;E175&amp;"|"&amp;F175&amp;"|"&amp;G175&amp;"|"&amp;H175&amp;"|"&amp;I175&amp;"|"&amp;J175&amp;"|"&amp;K175&amp;"|"&amp;L175&amp;"|"&amp;M175&amp;"|"&amp;N175</f>
        <v>ORD12634|2025-11-22|10:06|C1014|Curry Leaf Kitchen|Mumbai|North Indian|3|325|0|UPI|Delivered|54|4</v>
      </c>
      <c r="P175" s="7" t="str">
        <f aca="false">IF(COUNTIF($O$2:O175,O175)&gt;1,"DUP","OK")</f>
        <v>OK</v>
      </c>
      <c r="Q175" s="7" t="n">
        <f aca="false">COUNTBLANK(A175:N175)</f>
        <v>0</v>
      </c>
      <c r="R175" s="7" t="n">
        <f aca="false">IF(A175="",0,COUNTIFS($A$2:$A$3058,A175,$P$2:$P$3058,"OK"))</f>
        <v>1</v>
      </c>
      <c r="S175" s="7" t="str">
        <f aca="false">IF(OR(A175="",P175="DUP",R175&lt;2),"",IF(Q175=_xlfn.MINIFS($Q$2:$Q$3058,$A$2:$A$3058,A175,$P$2:$P$3058,"OK"),"KEEP","DROP"))</f>
        <v/>
      </c>
      <c r="T175" s="9" t="n">
        <f aca="false">IF(A175="",1,0)</f>
        <v>0</v>
      </c>
      <c r="U175" s="9" t="n">
        <f aca="false">IF(D175="",1,0)</f>
        <v>0</v>
      </c>
      <c r="V175" s="9" t="n">
        <f aca="false">IF(E175="",1,0)</f>
        <v>0</v>
      </c>
      <c r="W175" s="9" t="n">
        <f aca="false">IF(OR(H175&lt;1,H175&gt;10),1,0)</f>
        <v>0</v>
      </c>
      <c r="X175" s="9" t="n">
        <f aca="false">IF(OR(I175&lt;=0,I175&gt;1500),1,0)</f>
        <v>0</v>
      </c>
      <c r="Y175" s="9" t="n">
        <f aca="false">IF(J175&gt;H175*I175,1,0)</f>
        <v>0</v>
      </c>
      <c r="Z175" s="9" t="n">
        <f aca="false">IF(AND(N175&lt;&gt;"",OR(N175&lt;1,N175&gt;5)),1,0)</f>
        <v>0</v>
      </c>
      <c r="AA175" s="9" t="n">
        <f aca="false">IF(AND(M175&lt;&gt;"",OR(M175&lt;5,M175&gt;180)),1,0)</f>
        <v>0</v>
      </c>
      <c r="AB175" s="7" t="str">
        <f aca="false">IF(P175="DUP","Exact duplicate row",IF(T175=1,"Missing Order ID",IF(S175="DROP","Duplicate Order ID (less complete row)",IF(U175=1,"Missing Customer ID",IF(V175=1,"Missing Restaurant name",IF(W175=1,"Invalid/outlier quantity",IF(X175=1,"Invalid/outlier unit price",IF(Y175=1,"Discount greater than order value",""))))))))</f>
        <v/>
      </c>
      <c r="AC175" s="7" t="str">
        <f aca="false">IF(AB175="","KEEP","DROP")</f>
        <v>KEEP</v>
      </c>
      <c r="AD175" s="7" t="str">
        <f aca="false">IF(TRIM(F175)="",IFERROR(INDEX(Map_Tables!$I$4:$I$37,MATCH(TRIM(E175),Map_Tables!$G$4:$G$37,0)),""),IFERROR(INDEX(Map_Tables!$B$4:$B$18,MATCH(TRIM(F175),Map_Tables!$A$4:$A$18,0)),"CHECK"))</f>
        <v>Mumbai</v>
      </c>
      <c r="AE175" s="7" t="str">
        <f aca="false">IF(TRIM(E175)="","",IFERROR(INDEX(Map_Tables!$H$4:$H$37,MATCH(TRIM(E175),Map_Tables!$G$4:$G$37,0)),"CHECK"))</f>
        <v>Curry Leaf Kitchen</v>
      </c>
      <c r="AF175" s="7" t="str">
        <f aca="false">IF(TRIM(K175)="","Unknown",IFERROR(INDEX(Map_Tables!$E$4:$E$15,MATCH(TRIM(K175),Map_Tables!$D$4:$D$15,0)),"CHECK"))</f>
        <v>UPI</v>
      </c>
      <c r="AG175" s="7" t="str">
        <f aca="false">IF(LEFT(LOWER(TRIM(L175)),6)="cancel","Cancelled","Delivered")</f>
        <v>Delivered</v>
      </c>
      <c r="AH175" s="10" t="n">
        <f aca="false">IF(ISNUMBER(SEARCH("/",B175)),DATE(VALUE(RIGHT(B175,4)),VALUE(MID(B175,4,2)),VALUE(LEFT(B175,2))),IF(MID(B175,5,1)="-",DATE(VALUE(LEFT(B175,4)),VALUE(MID(B175,6,2)),VALUE(RIGHT(B175,2))),DATE(VALUE(RIGHT(B175,4)),MATCH(MID(B175,4,3),{"Jan","Feb","Mar","Apr","May","Jun","Jul","Aug","Sep","Oct","Nov","Dec"},0),VALUE(LEFT(B175,2)))))</f>
        <v>45983</v>
      </c>
    </row>
    <row r="176" customFormat="false" ht="15" hidden="false" customHeight="false" outlineLevel="0" collapsed="false">
      <c r="A176" s="7" t="s">
        <v>868</v>
      </c>
      <c r="B176" s="7" t="s">
        <v>869</v>
      </c>
      <c r="C176" s="7" t="s">
        <v>870</v>
      </c>
      <c r="D176" s="7" t="s">
        <v>701</v>
      </c>
      <c r="E176" s="7" t="s">
        <v>104</v>
      </c>
      <c r="F176" s="7" t="s">
        <v>86</v>
      </c>
      <c r="G176" s="7" t="s">
        <v>105</v>
      </c>
      <c r="H176" s="7" t="n">
        <v>1</v>
      </c>
      <c r="I176" s="7" t="n">
        <v>240</v>
      </c>
      <c r="J176" s="7" t="n">
        <v>0</v>
      </c>
      <c r="K176" s="7" t="s">
        <v>121</v>
      </c>
      <c r="L176" s="7" t="s">
        <v>194</v>
      </c>
      <c r="M176" s="7" t="n">
        <v>34</v>
      </c>
      <c r="N176" s="7" t="n">
        <v>2</v>
      </c>
      <c r="O176" s="7" t="str">
        <f aca="false">A176&amp;"|"&amp;B176&amp;"|"&amp;C176&amp;"|"&amp;D176&amp;"|"&amp;E176&amp;"|"&amp;F176&amp;"|"&amp;G176&amp;"|"&amp;H176&amp;"|"&amp;I176&amp;"|"&amp;J176&amp;"|"&amp;K176&amp;"|"&amp;L176&amp;"|"&amp;M176&amp;"|"&amp;N176</f>
        <v>ORD11322|2025-06-19|22:14|C0431|Wok &amp; Roll|Bengaluru|Chinese|1|240|0|Wallet|Delivered|34|2</v>
      </c>
      <c r="P176" s="7" t="str">
        <f aca="false">IF(COUNTIF($O$2:O176,O176)&gt;1,"DUP","OK")</f>
        <v>OK</v>
      </c>
      <c r="Q176" s="7" t="n">
        <f aca="false">COUNTBLANK(A176:N176)</f>
        <v>0</v>
      </c>
      <c r="R176" s="7" t="n">
        <f aca="false">IF(A176="",0,COUNTIFS($A$2:$A$3058,A176,$P$2:$P$3058,"OK"))</f>
        <v>1</v>
      </c>
      <c r="S176" s="7" t="str">
        <f aca="false">IF(OR(A176="",P176="DUP",R176&lt;2),"",IF(Q176=_xlfn.MINIFS($Q$2:$Q$3058,$A$2:$A$3058,A176,$P$2:$P$3058,"OK"),"KEEP","DROP"))</f>
        <v/>
      </c>
      <c r="T176" s="9" t="n">
        <f aca="false">IF(A176="",1,0)</f>
        <v>0</v>
      </c>
      <c r="U176" s="9" t="n">
        <f aca="false">IF(D176="",1,0)</f>
        <v>0</v>
      </c>
      <c r="V176" s="9" t="n">
        <f aca="false">IF(E176="",1,0)</f>
        <v>0</v>
      </c>
      <c r="W176" s="9" t="n">
        <f aca="false">IF(OR(H176&lt;1,H176&gt;10),1,0)</f>
        <v>0</v>
      </c>
      <c r="X176" s="9" t="n">
        <f aca="false">IF(OR(I176&lt;=0,I176&gt;1500),1,0)</f>
        <v>0</v>
      </c>
      <c r="Y176" s="9" t="n">
        <f aca="false">IF(J176&gt;H176*I176,1,0)</f>
        <v>0</v>
      </c>
      <c r="Z176" s="9" t="n">
        <f aca="false">IF(AND(N176&lt;&gt;"",OR(N176&lt;1,N176&gt;5)),1,0)</f>
        <v>0</v>
      </c>
      <c r="AA176" s="9" t="n">
        <f aca="false">IF(AND(M176&lt;&gt;"",OR(M176&lt;5,M176&gt;180)),1,0)</f>
        <v>0</v>
      </c>
      <c r="AB176" s="7" t="str">
        <f aca="false">IF(P176="DUP","Exact duplicate row",IF(T176=1,"Missing Order ID",IF(S176="DROP","Duplicate Order ID (less complete row)",IF(U176=1,"Missing Customer ID",IF(V176=1,"Missing Restaurant name",IF(W176=1,"Invalid/outlier quantity",IF(X176=1,"Invalid/outlier unit price",IF(Y176=1,"Discount greater than order value",""))))))))</f>
        <v/>
      </c>
      <c r="AC176" s="7" t="str">
        <f aca="false">IF(AB176="","KEEP","DROP")</f>
        <v>KEEP</v>
      </c>
      <c r="AD176" s="7" t="str">
        <f aca="false">IF(TRIM(F176)="",IFERROR(INDEX(Map_Tables!$I$4:$I$37,MATCH(TRIM(E176),Map_Tables!$G$4:$G$37,0)),""),IFERROR(INDEX(Map_Tables!$B$4:$B$18,MATCH(TRIM(F176),Map_Tables!$A$4:$A$18,0)),"CHECK"))</f>
        <v>Bengaluru</v>
      </c>
      <c r="AE176" s="7" t="str">
        <f aca="false">IF(TRIM(E176)="","",IFERROR(INDEX(Map_Tables!$H$4:$H$37,MATCH(TRIM(E176),Map_Tables!$G$4:$G$37,0)),"CHECK"))</f>
        <v>Wok &amp; Roll</v>
      </c>
      <c r="AF176" s="7" t="str">
        <f aca="false">IF(TRIM(K176)="","Unknown",IFERROR(INDEX(Map_Tables!$E$4:$E$15,MATCH(TRIM(K176),Map_Tables!$D$4:$D$15,0)),"CHECK"))</f>
        <v>Wallet</v>
      </c>
      <c r="AG176" s="7" t="str">
        <f aca="false">IF(LEFT(LOWER(TRIM(L176)),6)="cancel","Cancelled","Delivered")</f>
        <v>Delivered</v>
      </c>
      <c r="AH176" s="10" t="n">
        <f aca="false">IF(ISNUMBER(SEARCH("/",B176)),DATE(VALUE(RIGHT(B176,4)),VALUE(MID(B176,4,2)),VALUE(LEFT(B176,2))),IF(MID(B176,5,1)="-",DATE(VALUE(LEFT(B176,4)),VALUE(MID(B176,6,2)),VALUE(RIGHT(B176,2))),DATE(VALUE(RIGHT(B176,4)),MATCH(MID(B176,4,3),{"Jan","Feb","Mar","Apr","May","Jun","Jul","Aug","Sep","Oct","Nov","Dec"},0),VALUE(LEFT(B176,2)))))</f>
        <v>45827</v>
      </c>
    </row>
    <row r="177" customFormat="false" ht="15" hidden="false" customHeight="false" outlineLevel="0" collapsed="false">
      <c r="A177" s="7" t="s">
        <v>871</v>
      </c>
      <c r="B177" s="7" t="s">
        <v>872</v>
      </c>
      <c r="C177" s="7" t="s">
        <v>433</v>
      </c>
      <c r="D177" s="7" t="s">
        <v>873</v>
      </c>
      <c r="E177" s="7" t="s">
        <v>126</v>
      </c>
      <c r="F177" s="7" t="s">
        <v>101</v>
      </c>
      <c r="G177" s="7" t="s">
        <v>105</v>
      </c>
      <c r="H177" s="7" t="n">
        <v>2</v>
      </c>
      <c r="I177" s="7" t="n">
        <v>200</v>
      </c>
      <c r="J177" s="7" t="n">
        <v>75</v>
      </c>
      <c r="K177" s="7" t="s">
        <v>88</v>
      </c>
      <c r="L177" s="7" t="s">
        <v>194</v>
      </c>
      <c r="M177" s="7" t="n">
        <v>40</v>
      </c>
      <c r="N177" s="7" t="n">
        <v>5</v>
      </c>
      <c r="O177" s="7" t="str">
        <f aca="false">A177&amp;"|"&amp;B177&amp;"|"&amp;C177&amp;"|"&amp;D177&amp;"|"&amp;E177&amp;"|"&amp;F177&amp;"|"&amp;G177&amp;"|"&amp;H177&amp;"|"&amp;I177&amp;"|"&amp;J177&amp;"|"&amp;K177&amp;"|"&amp;L177&amp;"|"&amp;M177&amp;"|"&amp;N177</f>
        <v>ORD12497|09-Nov-2025|19:43|C0128|Dragon Express|Mumbai|Chinese|2|200|75|UPI|Delivered|40|5</v>
      </c>
      <c r="P177" s="7" t="str">
        <f aca="false">IF(COUNTIF($O$2:O177,O177)&gt;1,"DUP","OK")</f>
        <v>OK</v>
      </c>
      <c r="Q177" s="7" t="n">
        <f aca="false">COUNTBLANK(A177:N177)</f>
        <v>0</v>
      </c>
      <c r="R177" s="7" t="n">
        <f aca="false">IF(A177="",0,COUNTIFS($A$2:$A$3058,A177,$P$2:$P$3058,"OK"))</f>
        <v>1</v>
      </c>
      <c r="S177" s="7" t="str">
        <f aca="false">IF(OR(A177="",P177="DUP",R177&lt;2),"",IF(Q177=_xlfn.MINIFS($Q$2:$Q$3058,$A$2:$A$3058,A177,$P$2:$P$3058,"OK"),"KEEP","DROP"))</f>
        <v/>
      </c>
      <c r="T177" s="9" t="n">
        <f aca="false">IF(A177="",1,0)</f>
        <v>0</v>
      </c>
      <c r="U177" s="9" t="n">
        <f aca="false">IF(D177="",1,0)</f>
        <v>0</v>
      </c>
      <c r="V177" s="9" t="n">
        <f aca="false">IF(E177="",1,0)</f>
        <v>0</v>
      </c>
      <c r="W177" s="9" t="n">
        <f aca="false">IF(OR(H177&lt;1,H177&gt;10),1,0)</f>
        <v>0</v>
      </c>
      <c r="X177" s="9" t="n">
        <f aca="false">IF(OR(I177&lt;=0,I177&gt;1500),1,0)</f>
        <v>0</v>
      </c>
      <c r="Y177" s="9" t="n">
        <f aca="false">IF(J177&gt;H177*I177,1,0)</f>
        <v>0</v>
      </c>
      <c r="Z177" s="9" t="n">
        <f aca="false">IF(AND(N177&lt;&gt;"",OR(N177&lt;1,N177&gt;5)),1,0)</f>
        <v>0</v>
      </c>
      <c r="AA177" s="9" t="n">
        <f aca="false">IF(AND(M177&lt;&gt;"",OR(M177&lt;5,M177&gt;180)),1,0)</f>
        <v>0</v>
      </c>
      <c r="AB177" s="7" t="str">
        <f aca="false">IF(P177="DUP","Exact duplicate row",IF(T177=1,"Missing Order ID",IF(S177="DROP","Duplicate Order ID (less complete row)",IF(U177=1,"Missing Customer ID",IF(V177=1,"Missing Restaurant name",IF(W177=1,"Invalid/outlier quantity",IF(X177=1,"Invalid/outlier unit price",IF(Y177=1,"Discount greater than order value",""))))))))</f>
        <v/>
      </c>
      <c r="AC177" s="7" t="str">
        <f aca="false">IF(AB177="","KEEP","DROP")</f>
        <v>KEEP</v>
      </c>
      <c r="AD177" s="7" t="str">
        <f aca="false">IF(TRIM(F177)="",IFERROR(INDEX(Map_Tables!$I$4:$I$37,MATCH(TRIM(E177),Map_Tables!$G$4:$G$37,0)),""),IFERROR(INDEX(Map_Tables!$B$4:$B$18,MATCH(TRIM(F177),Map_Tables!$A$4:$A$18,0)),"CHECK"))</f>
        <v>Mumbai</v>
      </c>
      <c r="AE177" s="7" t="str">
        <f aca="false">IF(TRIM(E177)="","",IFERROR(INDEX(Map_Tables!$H$4:$H$37,MATCH(TRIM(E177),Map_Tables!$G$4:$G$37,0)),"CHECK"))</f>
        <v>Dragon Express</v>
      </c>
      <c r="AF177" s="7" t="str">
        <f aca="false">IF(TRIM(K177)="","Unknown",IFERROR(INDEX(Map_Tables!$E$4:$E$15,MATCH(TRIM(K177),Map_Tables!$D$4:$D$15,0)),"CHECK"))</f>
        <v>UPI</v>
      </c>
      <c r="AG177" s="7" t="str">
        <f aca="false">IF(LEFT(LOWER(TRIM(L177)),6)="cancel","Cancelled","Delivered")</f>
        <v>Delivered</v>
      </c>
      <c r="AH177" s="10" t="n">
        <f aca="false">IF(ISNUMBER(SEARCH("/",B177)),DATE(VALUE(RIGHT(B177,4)),VALUE(MID(B177,4,2)),VALUE(LEFT(B177,2))),IF(MID(B177,5,1)="-",DATE(VALUE(LEFT(B177,4)),VALUE(MID(B177,6,2)),VALUE(RIGHT(B177,2))),DATE(VALUE(RIGHT(B177,4)),MATCH(MID(B177,4,3),{"Jan","Feb","Mar","Apr","May","Jun","Jul","Aug","Sep","Oct","Nov","Dec"},0),VALUE(LEFT(B177,2)))))</f>
        <v>45970</v>
      </c>
    </row>
    <row r="178" customFormat="false" ht="15" hidden="false" customHeight="false" outlineLevel="0" collapsed="false">
      <c r="A178" s="7" t="s">
        <v>874</v>
      </c>
      <c r="B178" s="7" t="s">
        <v>875</v>
      </c>
      <c r="C178" s="7" t="s">
        <v>876</v>
      </c>
      <c r="D178" s="7" t="s">
        <v>877</v>
      </c>
      <c r="E178" s="7" t="s">
        <v>113</v>
      </c>
      <c r="F178" s="7" t="s">
        <v>100</v>
      </c>
      <c r="G178" s="7" t="s">
        <v>90</v>
      </c>
      <c r="H178" s="7" t="n">
        <v>2</v>
      </c>
      <c r="I178" s="7" t="n">
        <v>240</v>
      </c>
      <c r="J178" s="7" t="n">
        <v>150</v>
      </c>
      <c r="K178" s="7" t="s">
        <v>112</v>
      </c>
      <c r="L178" s="7" t="s">
        <v>194</v>
      </c>
      <c r="M178" s="7" t="n">
        <v>42</v>
      </c>
      <c r="N178" s="7" t="n">
        <v>5</v>
      </c>
      <c r="O178" s="7" t="str">
        <f aca="false">A178&amp;"|"&amp;B178&amp;"|"&amp;C178&amp;"|"&amp;D178&amp;"|"&amp;E178&amp;"|"&amp;F178&amp;"|"&amp;G178&amp;"|"&amp;H178&amp;"|"&amp;I178&amp;"|"&amp;J178&amp;"|"&amp;K178&amp;"|"&amp;L178&amp;"|"&amp;M178&amp;"|"&amp;N178</f>
        <v>ORD12921|2025-12-23|00:43|C0069|Curry Leaf Kitchen|mumbai|North Indian|2|240|150|Cash on Delivery|Delivered|42|5</v>
      </c>
      <c r="P178" s="7" t="str">
        <f aca="false">IF(COUNTIF($O$2:O178,O178)&gt;1,"DUP","OK")</f>
        <v>OK</v>
      </c>
      <c r="Q178" s="7" t="n">
        <f aca="false">COUNTBLANK(A178:N178)</f>
        <v>0</v>
      </c>
      <c r="R178" s="7" t="n">
        <f aca="false">IF(A178="",0,COUNTIFS($A$2:$A$3058,A178,$P$2:$P$3058,"OK"))</f>
        <v>1</v>
      </c>
      <c r="S178" s="7" t="str">
        <f aca="false">IF(OR(A178="",P178="DUP",R178&lt;2),"",IF(Q178=_xlfn.MINIFS($Q$2:$Q$3058,$A$2:$A$3058,A178,$P$2:$P$3058,"OK"),"KEEP","DROP"))</f>
        <v/>
      </c>
      <c r="T178" s="9" t="n">
        <f aca="false">IF(A178="",1,0)</f>
        <v>0</v>
      </c>
      <c r="U178" s="9" t="n">
        <f aca="false">IF(D178="",1,0)</f>
        <v>0</v>
      </c>
      <c r="V178" s="9" t="n">
        <f aca="false">IF(E178="",1,0)</f>
        <v>0</v>
      </c>
      <c r="W178" s="9" t="n">
        <f aca="false">IF(OR(H178&lt;1,H178&gt;10),1,0)</f>
        <v>0</v>
      </c>
      <c r="X178" s="9" t="n">
        <f aca="false">IF(OR(I178&lt;=0,I178&gt;1500),1,0)</f>
        <v>0</v>
      </c>
      <c r="Y178" s="9" t="n">
        <f aca="false">IF(J178&gt;H178*I178,1,0)</f>
        <v>0</v>
      </c>
      <c r="Z178" s="9" t="n">
        <f aca="false">IF(AND(N178&lt;&gt;"",OR(N178&lt;1,N178&gt;5)),1,0)</f>
        <v>0</v>
      </c>
      <c r="AA178" s="9" t="n">
        <f aca="false">IF(AND(M178&lt;&gt;"",OR(M178&lt;5,M178&gt;180)),1,0)</f>
        <v>0</v>
      </c>
      <c r="AB178" s="7" t="str">
        <f aca="false">IF(P178="DUP","Exact duplicate row",IF(T178=1,"Missing Order ID",IF(S178="DROP","Duplicate Order ID (less complete row)",IF(U178=1,"Missing Customer ID",IF(V178=1,"Missing Restaurant name",IF(W178=1,"Invalid/outlier quantity",IF(X178=1,"Invalid/outlier unit price",IF(Y178=1,"Discount greater than order value",""))))))))</f>
        <v/>
      </c>
      <c r="AC178" s="7" t="str">
        <f aca="false">IF(AB178="","KEEP","DROP")</f>
        <v>KEEP</v>
      </c>
      <c r="AD178" s="7" t="str">
        <f aca="false">IF(TRIM(F178)="",IFERROR(INDEX(Map_Tables!$I$4:$I$37,MATCH(TRIM(E178),Map_Tables!$G$4:$G$37,0)),""),IFERROR(INDEX(Map_Tables!$B$4:$B$18,MATCH(TRIM(F178),Map_Tables!$A$4:$A$18,0)),"CHECK"))</f>
        <v>Mumbai</v>
      </c>
      <c r="AE178" s="7" t="str">
        <f aca="false">IF(TRIM(E178)="","",IFERROR(INDEX(Map_Tables!$H$4:$H$37,MATCH(TRIM(E178),Map_Tables!$G$4:$G$37,0)),"CHECK"))</f>
        <v>Curry Leaf Kitchen</v>
      </c>
      <c r="AF178" s="7" t="str">
        <f aca="false">IF(TRIM(K178)="","Unknown",IFERROR(INDEX(Map_Tables!$E$4:$E$15,MATCH(TRIM(K178),Map_Tables!$D$4:$D$15,0)),"CHECK"))</f>
        <v>Cash on Delivery</v>
      </c>
      <c r="AG178" s="7" t="str">
        <f aca="false">IF(LEFT(LOWER(TRIM(L178)),6)="cancel","Cancelled","Delivered")</f>
        <v>Delivered</v>
      </c>
      <c r="AH178" s="10" t="n">
        <f aca="false">IF(ISNUMBER(SEARCH("/",B178)),DATE(VALUE(RIGHT(B178,4)),VALUE(MID(B178,4,2)),VALUE(LEFT(B178,2))),IF(MID(B178,5,1)="-",DATE(VALUE(LEFT(B178,4)),VALUE(MID(B178,6,2)),VALUE(RIGHT(B178,2))),DATE(VALUE(RIGHT(B178,4)),MATCH(MID(B178,4,3),{"Jan","Feb","Mar","Apr","May","Jun","Jul","Aug","Sep","Oct","Nov","Dec"},0),VALUE(LEFT(B178,2)))))</f>
        <v>46014</v>
      </c>
    </row>
    <row r="179" customFormat="false" ht="15" hidden="false" customHeight="false" outlineLevel="0" collapsed="false">
      <c r="A179" s="7" t="s">
        <v>878</v>
      </c>
      <c r="B179" s="7" t="s">
        <v>879</v>
      </c>
      <c r="C179" s="7" t="s">
        <v>258</v>
      </c>
      <c r="D179" s="7" t="s">
        <v>880</v>
      </c>
      <c r="E179" s="7" t="s">
        <v>104</v>
      </c>
      <c r="F179" s="7" t="s">
        <v>86</v>
      </c>
      <c r="G179" s="7" t="s">
        <v>531</v>
      </c>
      <c r="H179" s="7" t="n">
        <v>5</v>
      </c>
      <c r="I179" s="7" t="n">
        <v>215</v>
      </c>
      <c r="J179" s="7" t="n">
        <v>100</v>
      </c>
      <c r="K179" s="7" t="s">
        <v>88</v>
      </c>
      <c r="L179" s="7" t="s">
        <v>194</v>
      </c>
      <c r="M179" s="7" t="n">
        <v>44</v>
      </c>
      <c r="N179" s="7" t="n">
        <v>4</v>
      </c>
      <c r="O179" s="7" t="str">
        <f aca="false">A179&amp;"|"&amp;B179&amp;"|"&amp;C179&amp;"|"&amp;D179&amp;"|"&amp;E179&amp;"|"&amp;F179&amp;"|"&amp;G179&amp;"|"&amp;H179&amp;"|"&amp;I179&amp;"|"&amp;J179&amp;"|"&amp;K179&amp;"|"&amp;L179&amp;"|"&amp;M179&amp;"|"&amp;N179</f>
        <v>ORD11934|2025-09-08|20:24|C0701|Wok &amp; Roll|Bengaluru|CHINESE|5|215|100|UPI|Delivered|44|4</v>
      </c>
      <c r="P179" s="7" t="str">
        <f aca="false">IF(COUNTIF($O$2:O179,O179)&gt;1,"DUP","OK")</f>
        <v>OK</v>
      </c>
      <c r="Q179" s="7" t="n">
        <f aca="false">COUNTBLANK(A179:N179)</f>
        <v>0</v>
      </c>
      <c r="R179" s="7" t="n">
        <f aca="false">IF(A179="",0,COUNTIFS($A$2:$A$3058,A179,$P$2:$P$3058,"OK"))</f>
        <v>1</v>
      </c>
      <c r="S179" s="7" t="str">
        <f aca="false">IF(OR(A179="",P179="DUP",R179&lt;2),"",IF(Q179=_xlfn.MINIFS($Q$2:$Q$3058,$A$2:$A$3058,A179,$P$2:$P$3058,"OK"),"KEEP","DROP"))</f>
        <v/>
      </c>
      <c r="T179" s="9" t="n">
        <f aca="false">IF(A179="",1,0)</f>
        <v>0</v>
      </c>
      <c r="U179" s="9" t="n">
        <f aca="false">IF(D179="",1,0)</f>
        <v>0</v>
      </c>
      <c r="V179" s="9" t="n">
        <f aca="false">IF(E179="",1,0)</f>
        <v>0</v>
      </c>
      <c r="W179" s="9" t="n">
        <f aca="false">IF(OR(H179&lt;1,H179&gt;10),1,0)</f>
        <v>0</v>
      </c>
      <c r="X179" s="9" t="n">
        <f aca="false">IF(OR(I179&lt;=0,I179&gt;1500),1,0)</f>
        <v>0</v>
      </c>
      <c r="Y179" s="9" t="n">
        <f aca="false">IF(J179&gt;H179*I179,1,0)</f>
        <v>0</v>
      </c>
      <c r="Z179" s="9" t="n">
        <f aca="false">IF(AND(N179&lt;&gt;"",OR(N179&lt;1,N179&gt;5)),1,0)</f>
        <v>0</v>
      </c>
      <c r="AA179" s="9" t="n">
        <f aca="false">IF(AND(M179&lt;&gt;"",OR(M179&lt;5,M179&gt;180)),1,0)</f>
        <v>0</v>
      </c>
      <c r="AB179" s="7" t="str">
        <f aca="false">IF(P179="DUP","Exact duplicate row",IF(T179=1,"Missing Order ID",IF(S179="DROP","Duplicate Order ID (less complete row)",IF(U179=1,"Missing Customer ID",IF(V179=1,"Missing Restaurant name",IF(W179=1,"Invalid/outlier quantity",IF(X179=1,"Invalid/outlier unit price",IF(Y179=1,"Discount greater than order value",""))))))))</f>
        <v/>
      </c>
      <c r="AC179" s="7" t="str">
        <f aca="false">IF(AB179="","KEEP","DROP")</f>
        <v>KEEP</v>
      </c>
      <c r="AD179" s="7" t="str">
        <f aca="false">IF(TRIM(F179)="",IFERROR(INDEX(Map_Tables!$I$4:$I$37,MATCH(TRIM(E179),Map_Tables!$G$4:$G$37,0)),""),IFERROR(INDEX(Map_Tables!$B$4:$B$18,MATCH(TRIM(F179),Map_Tables!$A$4:$A$18,0)),"CHECK"))</f>
        <v>Bengaluru</v>
      </c>
      <c r="AE179" s="7" t="str">
        <f aca="false">IF(TRIM(E179)="","",IFERROR(INDEX(Map_Tables!$H$4:$H$37,MATCH(TRIM(E179),Map_Tables!$G$4:$G$37,0)),"CHECK"))</f>
        <v>Wok &amp; Roll</v>
      </c>
      <c r="AF179" s="7" t="str">
        <f aca="false">IF(TRIM(K179)="","Unknown",IFERROR(INDEX(Map_Tables!$E$4:$E$15,MATCH(TRIM(K179),Map_Tables!$D$4:$D$15,0)),"CHECK"))</f>
        <v>UPI</v>
      </c>
      <c r="AG179" s="7" t="str">
        <f aca="false">IF(LEFT(LOWER(TRIM(L179)),6)="cancel","Cancelled","Delivered")</f>
        <v>Delivered</v>
      </c>
      <c r="AH179" s="10" t="n">
        <f aca="false">IF(ISNUMBER(SEARCH("/",B179)),DATE(VALUE(RIGHT(B179,4)),VALUE(MID(B179,4,2)),VALUE(LEFT(B179,2))),IF(MID(B179,5,1)="-",DATE(VALUE(LEFT(B179,4)),VALUE(MID(B179,6,2)),VALUE(RIGHT(B179,2))),DATE(VALUE(RIGHT(B179,4)),MATCH(MID(B179,4,3),{"Jan","Feb","Mar","Apr","May","Jun","Jul","Aug","Sep","Oct","Nov","Dec"},0),VALUE(LEFT(B179,2)))))</f>
        <v>45908</v>
      </c>
    </row>
    <row r="180" customFormat="false" ht="15" hidden="false" customHeight="false" outlineLevel="0" collapsed="false">
      <c r="A180" s="7" t="s">
        <v>881</v>
      </c>
      <c r="B180" s="7" t="s">
        <v>882</v>
      </c>
      <c r="C180" s="7" t="s">
        <v>883</v>
      </c>
      <c r="D180" s="7" t="s">
        <v>884</v>
      </c>
      <c r="E180" s="7" t="s">
        <v>138</v>
      </c>
      <c r="F180" s="7" t="s">
        <v>110</v>
      </c>
      <c r="G180" s="7" t="s">
        <v>139</v>
      </c>
      <c r="H180" s="7" t="n">
        <v>3</v>
      </c>
      <c r="I180" s="7" t="n">
        <v>210</v>
      </c>
      <c r="J180" s="7" t="n">
        <v>0</v>
      </c>
      <c r="K180" s="7" t="s">
        <v>88</v>
      </c>
      <c r="L180" s="7" t="s">
        <v>194</v>
      </c>
      <c r="M180" s="7" t="n">
        <v>49</v>
      </c>
      <c r="N180" s="7" t="n">
        <v>3</v>
      </c>
      <c r="O180" s="7" t="str">
        <f aca="false">A180&amp;"|"&amp;B180&amp;"|"&amp;C180&amp;"|"&amp;D180&amp;"|"&amp;E180&amp;"|"&amp;F180&amp;"|"&amp;G180&amp;"|"&amp;H180&amp;"|"&amp;I180&amp;"|"&amp;J180&amp;"|"&amp;K180&amp;"|"&amp;L180&amp;"|"&amp;M180&amp;"|"&amp;N180</f>
        <v>ORD12731|01/12/2025|13:42|C0114|Burger Barn|Delhi|Burgers|3|210|0|UPI|Delivered|49|3</v>
      </c>
      <c r="P180" s="7" t="str">
        <f aca="false">IF(COUNTIF($O$2:O180,O180)&gt;1,"DUP","OK")</f>
        <v>OK</v>
      </c>
      <c r="Q180" s="7" t="n">
        <f aca="false">COUNTBLANK(A180:N180)</f>
        <v>0</v>
      </c>
      <c r="R180" s="7" t="n">
        <f aca="false">IF(A180="",0,COUNTIFS($A$2:$A$3058,A180,$P$2:$P$3058,"OK"))</f>
        <v>1</v>
      </c>
      <c r="S180" s="7" t="str">
        <f aca="false">IF(OR(A180="",P180="DUP",R180&lt;2),"",IF(Q180=_xlfn.MINIFS($Q$2:$Q$3058,$A$2:$A$3058,A180,$P$2:$P$3058,"OK"),"KEEP","DROP"))</f>
        <v/>
      </c>
      <c r="T180" s="9" t="n">
        <f aca="false">IF(A180="",1,0)</f>
        <v>0</v>
      </c>
      <c r="U180" s="9" t="n">
        <f aca="false">IF(D180="",1,0)</f>
        <v>0</v>
      </c>
      <c r="V180" s="9" t="n">
        <f aca="false">IF(E180="",1,0)</f>
        <v>0</v>
      </c>
      <c r="W180" s="9" t="n">
        <f aca="false">IF(OR(H180&lt;1,H180&gt;10),1,0)</f>
        <v>0</v>
      </c>
      <c r="X180" s="9" t="n">
        <f aca="false">IF(OR(I180&lt;=0,I180&gt;1500),1,0)</f>
        <v>0</v>
      </c>
      <c r="Y180" s="9" t="n">
        <f aca="false">IF(J180&gt;H180*I180,1,0)</f>
        <v>0</v>
      </c>
      <c r="Z180" s="9" t="n">
        <f aca="false">IF(AND(N180&lt;&gt;"",OR(N180&lt;1,N180&gt;5)),1,0)</f>
        <v>0</v>
      </c>
      <c r="AA180" s="9" t="n">
        <f aca="false">IF(AND(M180&lt;&gt;"",OR(M180&lt;5,M180&gt;180)),1,0)</f>
        <v>0</v>
      </c>
      <c r="AB180" s="7" t="str">
        <f aca="false">IF(P180="DUP","Exact duplicate row",IF(T180=1,"Missing Order ID",IF(S180="DROP","Duplicate Order ID (less complete row)",IF(U180=1,"Missing Customer ID",IF(V180=1,"Missing Restaurant name",IF(W180=1,"Invalid/outlier quantity",IF(X180=1,"Invalid/outlier unit price",IF(Y180=1,"Discount greater than order value",""))))))))</f>
        <v/>
      </c>
      <c r="AC180" s="7" t="str">
        <f aca="false">IF(AB180="","KEEP","DROP")</f>
        <v>KEEP</v>
      </c>
      <c r="AD180" s="7" t="str">
        <f aca="false">IF(TRIM(F180)="",IFERROR(INDEX(Map_Tables!$I$4:$I$37,MATCH(TRIM(E180),Map_Tables!$G$4:$G$37,0)),""),IFERROR(INDEX(Map_Tables!$B$4:$B$18,MATCH(TRIM(F180),Map_Tables!$A$4:$A$18,0)),"CHECK"))</f>
        <v>Delhi</v>
      </c>
      <c r="AE180" s="7" t="str">
        <f aca="false">IF(TRIM(E180)="","",IFERROR(INDEX(Map_Tables!$H$4:$H$37,MATCH(TRIM(E180),Map_Tables!$G$4:$G$37,0)),"CHECK"))</f>
        <v>Burger Barn</v>
      </c>
      <c r="AF180" s="7" t="str">
        <f aca="false">IF(TRIM(K180)="","Unknown",IFERROR(INDEX(Map_Tables!$E$4:$E$15,MATCH(TRIM(K180),Map_Tables!$D$4:$D$15,0)),"CHECK"))</f>
        <v>UPI</v>
      </c>
      <c r="AG180" s="7" t="str">
        <f aca="false">IF(LEFT(LOWER(TRIM(L180)),6)="cancel","Cancelled","Delivered")</f>
        <v>Delivered</v>
      </c>
      <c r="AH180" s="10" t="n">
        <f aca="false">IF(ISNUMBER(SEARCH("/",B180)),DATE(VALUE(RIGHT(B180,4)),VALUE(MID(B180,4,2)),VALUE(LEFT(B180,2))),IF(MID(B180,5,1)="-",DATE(VALUE(LEFT(B180,4)),VALUE(MID(B180,6,2)),VALUE(RIGHT(B180,2))),DATE(VALUE(RIGHT(B180,4)),MATCH(MID(B180,4,3),{"Jan","Feb","Mar","Apr","May","Jun","Jul","Aug","Sep","Oct","Nov","Dec"},0),VALUE(LEFT(B180,2)))))</f>
        <v>45992</v>
      </c>
    </row>
    <row r="181" customFormat="false" ht="15" hidden="false" customHeight="false" outlineLevel="0" collapsed="false">
      <c r="A181" s="7" t="s">
        <v>885</v>
      </c>
      <c r="B181" s="7" t="s">
        <v>477</v>
      </c>
      <c r="C181" s="7" t="s">
        <v>886</v>
      </c>
      <c r="D181" s="7" t="s">
        <v>887</v>
      </c>
      <c r="E181" s="7" t="s">
        <v>163</v>
      </c>
      <c r="F181" s="7" t="s">
        <v>141</v>
      </c>
      <c r="G181" s="7" t="s">
        <v>99</v>
      </c>
      <c r="H181" s="7" t="n">
        <v>1</v>
      </c>
      <c r="I181" s="7" t="n">
        <v>250</v>
      </c>
      <c r="J181" s="7" t="n">
        <v>40</v>
      </c>
      <c r="K181" s="7" t="s">
        <v>526</v>
      </c>
      <c r="L181" s="7" t="s">
        <v>194</v>
      </c>
      <c r="M181" s="7" t="n">
        <v>50</v>
      </c>
      <c r="N181" s="7" t="n">
        <v>5</v>
      </c>
      <c r="O181" s="7" t="str">
        <f aca="false">A181&amp;"|"&amp;B181&amp;"|"&amp;C181&amp;"|"&amp;D181&amp;"|"&amp;E181&amp;"|"&amp;F181&amp;"|"&amp;G181&amp;"|"&amp;H181&amp;"|"&amp;I181&amp;"|"&amp;J181&amp;"|"&amp;K181&amp;"|"&amp;L181&amp;"|"&amp;M181&amp;"|"&amp;N181</f>
        <v>ORD10834|2025-04-16|12:47|C1435|Biryani Baadshah|Kolkata|Biryani|1|250|40|DC|Delivered|50|5</v>
      </c>
      <c r="P181" s="7" t="str">
        <f aca="false">IF(COUNTIF($O$2:O181,O181)&gt;1,"DUP","OK")</f>
        <v>OK</v>
      </c>
      <c r="Q181" s="7" t="n">
        <f aca="false">COUNTBLANK(A181:N181)</f>
        <v>0</v>
      </c>
      <c r="R181" s="7" t="n">
        <f aca="false">IF(A181="",0,COUNTIFS($A$2:$A$3058,A181,$P$2:$P$3058,"OK"))</f>
        <v>1</v>
      </c>
      <c r="S181" s="7" t="str">
        <f aca="false">IF(OR(A181="",P181="DUP",R181&lt;2),"",IF(Q181=_xlfn.MINIFS($Q$2:$Q$3058,$A$2:$A$3058,A181,$P$2:$P$3058,"OK"),"KEEP","DROP"))</f>
        <v/>
      </c>
      <c r="T181" s="9" t="n">
        <f aca="false">IF(A181="",1,0)</f>
        <v>0</v>
      </c>
      <c r="U181" s="9" t="n">
        <f aca="false">IF(D181="",1,0)</f>
        <v>0</v>
      </c>
      <c r="V181" s="9" t="n">
        <f aca="false">IF(E181="",1,0)</f>
        <v>0</v>
      </c>
      <c r="W181" s="9" t="n">
        <f aca="false">IF(OR(H181&lt;1,H181&gt;10),1,0)</f>
        <v>0</v>
      </c>
      <c r="X181" s="9" t="n">
        <f aca="false">IF(OR(I181&lt;=0,I181&gt;1500),1,0)</f>
        <v>0</v>
      </c>
      <c r="Y181" s="9" t="n">
        <f aca="false">IF(J181&gt;H181*I181,1,0)</f>
        <v>0</v>
      </c>
      <c r="Z181" s="9" t="n">
        <f aca="false">IF(AND(N181&lt;&gt;"",OR(N181&lt;1,N181&gt;5)),1,0)</f>
        <v>0</v>
      </c>
      <c r="AA181" s="9" t="n">
        <f aca="false">IF(AND(M181&lt;&gt;"",OR(M181&lt;5,M181&gt;180)),1,0)</f>
        <v>0</v>
      </c>
      <c r="AB181" s="7" t="str">
        <f aca="false">IF(P181="DUP","Exact duplicate row",IF(T181=1,"Missing Order ID",IF(S181="DROP","Duplicate Order ID (less complete row)",IF(U181=1,"Missing Customer ID",IF(V181=1,"Missing Restaurant name",IF(W181=1,"Invalid/outlier quantity",IF(X181=1,"Invalid/outlier unit price",IF(Y181=1,"Discount greater than order value",""))))))))</f>
        <v/>
      </c>
      <c r="AC181" s="7" t="str">
        <f aca="false">IF(AB181="","KEEP","DROP")</f>
        <v>KEEP</v>
      </c>
      <c r="AD181" s="7" t="str">
        <f aca="false">IF(TRIM(F181)="",IFERROR(INDEX(Map_Tables!$I$4:$I$37,MATCH(TRIM(E181),Map_Tables!$G$4:$G$37,0)),""),IFERROR(INDEX(Map_Tables!$B$4:$B$18,MATCH(TRIM(F181),Map_Tables!$A$4:$A$18,0)),"CHECK"))</f>
        <v>Kolkata</v>
      </c>
      <c r="AE181" s="7" t="str">
        <f aca="false">IF(TRIM(E181)="","",IFERROR(INDEX(Map_Tables!$H$4:$H$37,MATCH(TRIM(E181),Map_Tables!$G$4:$G$37,0)),"CHECK"))</f>
        <v>Biryani Baadshah</v>
      </c>
      <c r="AF181" s="7" t="str">
        <f aca="false">IF(TRIM(K181)="","Unknown",IFERROR(INDEX(Map_Tables!$E$4:$E$15,MATCH(TRIM(K181),Map_Tables!$D$4:$D$15,0)),"CHECK"))</f>
        <v>Debit Card</v>
      </c>
      <c r="AG181" s="7" t="str">
        <f aca="false">IF(LEFT(LOWER(TRIM(L181)),6)="cancel","Cancelled","Delivered")</f>
        <v>Delivered</v>
      </c>
      <c r="AH181" s="10" t="n">
        <f aca="false">IF(ISNUMBER(SEARCH("/",B181)),DATE(VALUE(RIGHT(B181,4)),VALUE(MID(B181,4,2)),VALUE(LEFT(B181,2))),IF(MID(B181,5,1)="-",DATE(VALUE(LEFT(B181,4)),VALUE(MID(B181,6,2)),VALUE(RIGHT(B181,2))),DATE(VALUE(RIGHT(B181,4)),MATCH(MID(B181,4,3),{"Jan","Feb","Mar","Apr","May","Jun","Jul","Aug","Sep","Oct","Nov","Dec"},0),VALUE(LEFT(B181,2)))))</f>
        <v>45763</v>
      </c>
    </row>
    <row r="182" customFormat="false" ht="15" hidden="false" customHeight="false" outlineLevel="0" collapsed="false">
      <c r="A182" s="7" t="s">
        <v>888</v>
      </c>
      <c r="B182" s="7" t="s">
        <v>554</v>
      </c>
      <c r="C182" s="7" t="s">
        <v>889</v>
      </c>
      <c r="D182" s="7" t="s">
        <v>890</v>
      </c>
      <c r="E182" s="7" t="s">
        <v>126</v>
      </c>
      <c r="F182" s="7" t="s">
        <v>101</v>
      </c>
      <c r="G182" s="7" t="s">
        <v>105</v>
      </c>
      <c r="H182" s="7" t="n">
        <v>2</v>
      </c>
      <c r="I182" s="7" t="n">
        <v>270</v>
      </c>
      <c r="J182" s="7" t="n">
        <v>590</v>
      </c>
      <c r="K182" s="7" t="s">
        <v>121</v>
      </c>
      <c r="L182" s="7" t="s">
        <v>194</v>
      </c>
      <c r="M182" s="7" t="n">
        <v>50</v>
      </c>
      <c r="N182" s="7"/>
      <c r="O182" s="7" t="str">
        <f aca="false">A182&amp;"|"&amp;B182&amp;"|"&amp;C182&amp;"|"&amp;D182&amp;"|"&amp;E182&amp;"|"&amp;F182&amp;"|"&amp;G182&amp;"|"&amp;H182&amp;"|"&amp;I182&amp;"|"&amp;J182&amp;"|"&amp;K182&amp;"|"&amp;L182&amp;"|"&amp;M182&amp;"|"&amp;N182</f>
        <v>ORD12311|2025-10-18|21:27|C0704|Dragon Express|Mumbai|Chinese|2|270|590|Wallet|Delivered|50|</v>
      </c>
      <c r="P182" s="7" t="str">
        <f aca="false">IF(COUNTIF($O$2:O182,O182)&gt;1,"DUP","OK")</f>
        <v>OK</v>
      </c>
      <c r="Q182" s="7" t="n">
        <f aca="false">COUNTBLANK(A182:N182)</f>
        <v>1</v>
      </c>
      <c r="R182" s="7" t="n">
        <f aca="false">IF(A182="",0,COUNTIFS($A$2:$A$3058,A182,$P$2:$P$3058,"OK"))</f>
        <v>1</v>
      </c>
      <c r="S182" s="7" t="str">
        <f aca="false">IF(OR(A182="",P182="DUP",R182&lt;2),"",IF(Q182=_xlfn.MINIFS($Q$2:$Q$3058,$A$2:$A$3058,A182,$P$2:$P$3058,"OK"),"KEEP","DROP"))</f>
        <v/>
      </c>
      <c r="T182" s="9" t="n">
        <f aca="false">IF(A182="",1,0)</f>
        <v>0</v>
      </c>
      <c r="U182" s="9" t="n">
        <f aca="false">IF(D182="",1,0)</f>
        <v>0</v>
      </c>
      <c r="V182" s="9" t="n">
        <f aca="false">IF(E182="",1,0)</f>
        <v>0</v>
      </c>
      <c r="W182" s="9" t="n">
        <f aca="false">IF(OR(H182&lt;1,H182&gt;10),1,0)</f>
        <v>0</v>
      </c>
      <c r="X182" s="9" t="n">
        <f aca="false">IF(OR(I182&lt;=0,I182&gt;1500),1,0)</f>
        <v>0</v>
      </c>
      <c r="Y182" s="9" t="n">
        <f aca="false">IF(J182&gt;H182*I182,1,0)</f>
        <v>1</v>
      </c>
      <c r="Z182" s="9" t="n">
        <f aca="false">IF(AND(N182&lt;&gt;"",OR(N182&lt;1,N182&gt;5)),1,0)</f>
        <v>0</v>
      </c>
      <c r="AA182" s="9" t="n">
        <f aca="false">IF(AND(M182&lt;&gt;"",OR(M182&lt;5,M182&gt;180)),1,0)</f>
        <v>0</v>
      </c>
      <c r="AB182" s="7" t="str">
        <f aca="false">IF(P182="DUP","Exact duplicate row",IF(T182=1,"Missing Order ID",IF(S182="DROP","Duplicate Order ID (less complete row)",IF(U182=1,"Missing Customer ID",IF(V182=1,"Missing Restaurant name",IF(W182=1,"Invalid/outlier quantity",IF(X182=1,"Invalid/outlier unit price",IF(Y182=1,"Discount greater than order value",""))))))))</f>
        <v>Discount greater than order value</v>
      </c>
      <c r="AC182" s="7" t="str">
        <f aca="false">IF(AB182="","KEEP","DROP")</f>
        <v>DROP</v>
      </c>
      <c r="AD182" s="7" t="str">
        <f aca="false">IF(TRIM(F182)="",IFERROR(INDEX(Map_Tables!$I$4:$I$37,MATCH(TRIM(E182),Map_Tables!$G$4:$G$37,0)),""),IFERROR(INDEX(Map_Tables!$B$4:$B$18,MATCH(TRIM(F182),Map_Tables!$A$4:$A$18,0)),"CHECK"))</f>
        <v>Mumbai</v>
      </c>
      <c r="AE182" s="7" t="str">
        <f aca="false">IF(TRIM(E182)="","",IFERROR(INDEX(Map_Tables!$H$4:$H$37,MATCH(TRIM(E182),Map_Tables!$G$4:$G$37,0)),"CHECK"))</f>
        <v>Dragon Express</v>
      </c>
      <c r="AF182" s="7" t="str">
        <f aca="false">IF(TRIM(K182)="","Unknown",IFERROR(INDEX(Map_Tables!$E$4:$E$15,MATCH(TRIM(K182),Map_Tables!$D$4:$D$15,0)),"CHECK"))</f>
        <v>Wallet</v>
      </c>
      <c r="AG182" s="7" t="str">
        <f aca="false">IF(LEFT(LOWER(TRIM(L182)),6)="cancel","Cancelled","Delivered")</f>
        <v>Delivered</v>
      </c>
      <c r="AH182" s="10" t="n">
        <f aca="false">IF(ISNUMBER(SEARCH("/",B182)),DATE(VALUE(RIGHT(B182,4)),VALUE(MID(B182,4,2)),VALUE(LEFT(B182,2))),IF(MID(B182,5,1)="-",DATE(VALUE(LEFT(B182,4)),VALUE(MID(B182,6,2)),VALUE(RIGHT(B182,2))),DATE(VALUE(RIGHT(B182,4)),MATCH(MID(B182,4,3),{"Jan","Feb","Mar","Apr","May","Jun","Jul","Aug","Sep","Oct","Nov","Dec"},0),VALUE(LEFT(B182,2)))))</f>
        <v>45948</v>
      </c>
    </row>
    <row r="183" customFormat="false" ht="15" hidden="false" customHeight="false" outlineLevel="0" collapsed="false">
      <c r="A183" s="7" t="s">
        <v>891</v>
      </c>
      <c r="B183" s="7" t="s">
        <v>892</v>
      </c>
      <c r="C183" s="7" t="s">
        <v>893</v>
      </c>
      <c r="D183" s="7" t="s">
        <v>777</v>
      </c>
      <c r="E183" s="7" t="s">
        <v>144</v>
      </c>
      <c r="F183" s="7" t="s">
        <v>119</v>
      </c>
      <c r="G183" s="7" t="s">
        <v>99</v>
      </c>
      <c r="H183" s="7" t="n">
        <v>2</v>
      </c>
      <c r="I183" s="7" t="n">
        <v>290</v>
      </c>
      <c r="J183" s="7" t="n">
        <v>0</v>
      </c>
      <c r="K183" s="7" t="s">
        <v>88</v>
      </c>
      <c r="L183" s="7" t="s">
        <v>194</v>
      </c>
      <c r="M183" s="7" t="n">
        <v>38</v>
      </c>
      <c r="N183" s="7" t="n">
        <v>3</v>
      </c>
      <c r="O183" s="7" t="str">
        <f aca="false">A183&amp;"|"&amp;B183&amp;"|"&amp;C183&amp;"|"&amp;D183&amp;"|"&amp;E183&amp;"|"&amp;F183&amp;"|"&amp;G183&amp;"|"&amp;H183&amp;"|"&amp;I183&amp;"|"&amp;J183&amp;"|"&amp;K183&amp;"|"&amp;L183&amp;"|"&amp;M183&amp;"|"&amp;N183</f>
        <v>ORD12536|2025-11-12|21:15|C0816|Hyderabad Dum Biryani|Hyderabad|Biryani|2|290|0|UPI|Delivered|38|3</v>
      </c>
      <c r="P183" s="7" t="str">
        <f aca="false">IF(COUNTIF($O$2:O183,O183)&gt;1,"DUP","OK")</f>
        <v>OK</v>
      </c>
      <c r="Q183" s="7" t="n">
        <f aca="false">COUNTBLANK(A183:N183)</f>
        <v>0</v>
      </c>
      <c r="R183" s="7" t="n">
        <f aca="false">IF(A183="",0,COUNTIFS($A$2:$A$3058,A183,$P$2:$P$3058,"OK"))</f>
        <v>1</v>
      </c>
      <c r="S183" s="7" t="str">
        <f aca="false">IF(OR(A183="",P183="DUP",R183&lt;2),"",IF(Q183=_xlfn.MINIFS($Q$2:$Q$3058,$A$2:$A$3058,A183,$P$2:$P$3058,"OK"),"KEEP","DROP"))</f>
        <v/>
      </c>
      <c r="T183" s="9" t="n">
        <f aca="false">IF(A183="",1,0)</f>
        <v>0</v>
      </c>
      <c r="U183" s="9" t="n">
        <f aca="false">IF(D183="",1,0)</f>
        <v>0</v>
      </c>
      <c r="V183" s="9" t="n">
        <f aca="false">IF(E183="",1,0)</f>
        <v>0</v>
      </c>
      <c r="W183" s="9" t="n">
        <f aca="false">IF(OR(H183&lt;1,H183&gt;10),1,0)</f>
        <v>0</v>
      </c>
      <c r="X183" s="9" t="n">
        <f aca="false">IF(OR(I183&lt;=0,I183&gt;1500),1,0)</f>
        <v>0</v>
      </c>
      <c r="Y183" s="9" t="n">
        <f aca="false">IF(J183&gt;H183*I183,1,0)</f>
        <v>0</v>
      </c>
      <c r="Z183" s="9" t="n">
        <f aca="false">IF(AND(N183&lt;&gt;"",OR(N183&lt;1,N183&gt;5)),1,0)</f>
        <v>0</v>
      </c>
      <c r="AA183" s="9" t="n">
        <f aca="false">IF(AND(M183&lt;&gt;"",OR(M183&lt;5,M183&gt;180)),1,0)</f>
        <v>0</v>
      </c>
      <c r="AB183" s="7" t="str">
        <f aca="false">IF(P183="DUP","Exact duplicate row",IF(T183=1,"Missing Order ID",IF(S183="DROP","Duplicate Order ID (less complete row)",IF(U183=1,"Missing Customer ID",IF(V183=1,"Missing Restaurant name",IF(W183=1,"Invalid/outlier quantity",IF(X183=1,"Invalid/outlier unit price",IF(Y183=1,"Discount greater than order value",""))))))))</f>
        <v/>
      </c>
      <c r="AC183" s="7" t="str">
        <f aca="false">IF(AB183="","KEEP","DROP")</f>
        <v>KEEP</v>
      </c>
      <c r="AD183" s="7" t="str">
        <f aca="false">IF(TRIM(F183)="",IFERROR(INDEX(Map_Tables!$I$4:$I$37,MATCH(TRIM(E183),Map_Tables!$G$4:$G$37,0)),""),IFERROR(INDEX(Map_Tables!$B$4:$B$18,MATCH(TRIM(F183),Map_Tables!$A$4:$A$18,0)),"CHECK"))</f>
        <v>Hyderabad</v>
      </c>
      <c r="AE183" s="7" t="str">
        <f aca="false">IF(TRIM(E183)="","",IFERROR(INDEX(Map_Tables!$H$4:$H$37,MATCH(TRIM(E183),Map_Tables!$G$4:$G$37,0)),"CHECK"))</f>
        <v>Hyderabad Dum Biryani</v>
      </c>
      <c r="AF183" s="7" t="str">
        <f aca="false">IF(TRIM(K183)="","Unknown",IFERROR(INDEX(Map_Tables!$E$4:$E$15,MATCH(TRIM(K183),Map_Tables!$D$4:$D$15,0)),"CHECK"))</f>
        <v>UPI</v>
      </c>
      <c r="AG183" s="7" t="str">
        <f aca="false">IF(LEFT(LOWER(TRIM(L183)),6)="cancel","Cancelled","Delivered")</f>
        <v>Delivered</v>
      </c>
      <c r="AH183" s="10" t="n">
        <f aca="false">IF(ISNUMBER(SEARCH("/",B183)),DATE(VALUE(RIGHT(B183,4)),VALUE(MID(B183,4,2)),VALUE(LEFT(B183,2))),IF(MID(B183,5,1)="-",DATE(VALUE(LEFT(B183,4)),VALUE(MID(B183,6,2)),VALUE(RIGHT(B183,2))),DATE(VALUE(RIGHT(B183,4)),MATCH(MID(B183,4,3),{"Jan","Feb","Mar","Apr","May","Jun","Jul","Aug","Sep","Oct","Nov","Dec"},0),VALUE(LEFT(B183,2)))))</f>
        <v>45973</v>
      </c>
    </row>
    <row r="184" customFormat="false" ht="15" hidden="false" customHeight="false" outlineLevel="0" collapsed="false">
      <c r="A184" s="7" t="s">
        <v>894</v>
      </c>
      <c r="B184" s="7" t="s">
        <v>895</v>
      </c>
      <c r="C184" s="7" t="s">
        <v>896</v>
      </c>
      <c r="D184" s="7" t="s">
        <v>897</v>
      </c>
      <c r="E184" s="7" t="s">
        <v>126</v>
      </c>
      <c r="F184" s="7" t="s">
        <v>101</v>
      </c>
      <c r="G184" s="7" t="s">
        <v>105</v>
      </c>
      <c r="H184" s="7" t="n">
        <v>1</v>
      </c>
      <c r="I184" s="7" t="n">
        <v>225</v>
      </c>
      <c r="J184" s="7" t="n">
        <v>0</v>
      </c>
      <c r="K184" s="7" t="s">
        <v>121</v>
      </c>
      <c r="L184" s="7" t="s">
        <v>194</v>
      </c>
      <c r="M184" s="7" t="n">
        <v>43</v>
      </c>
      <c r="N184" s="7" t="n">
        <v>5</v>
      </c>
      <c r="O184" s="7" t="str">
        <f aca="false">A184&amp;"|"&amp;B184&amp;"|"&amp;C184&amp;"|"&amp;D184&amp;"|"&amp;E184&amp;"|"&amp;F184&amp;"|"&amp;G184&amp;"|"&amp;H184&amp;"|"&amp;I184&amp;"|"&amp;J184&amp;"|"&amp;K184&amp;"|"&amp;L184&amp;"|"&amp;M184&amp;"|"&amp;N184</f>
        <v>ORD10986|05-May-2025|12:15|C1366|Dragon Express|Mumbai|Chinese|1|225|0|Wallet|Delivered|43|5</v>
      </c>
      <c r="P184" s="7" t="str">
        <f aca="false">IF(COUNTIF($O$2:O184,O184)&gt;1,"DUP","OK")</f>
        <v>OK</v>
      </c>
      <c r="Q184" s="7" t="n">
        <f aca="false">COUNTBLANK(A184:N184)</f>
        <v>0</v>
      </c>
      <c r="R184" s="7" t="n">
        <f aca="false">IF(A184="",0,COUNTIFS($A$2:$A$3058,A184,$P$2:$P$3058,"OK"))</f>
        <v>1</v>
      </c>
      <c r="S184" s="7" t="str">
        <f aca="false">IF(OR(A184="",P184="DUP",R184&lt;2),"",IF(Q184=_xlfn.MINIFS($Q$2:$Q$3058,$A$2:$A$3058,A184,$P$2:$P$3058,"OK"),"KEEP","DROP"))</f>
        <v/>
      </c>
      <c r="T184" s="9" t="n">
        <f aca="false">IF(A184="",1,0)</f>
        <v>0</v>
      </c>
      <c r="U184" s="9" t="n">
        <f aca="false">IF(D184="",1,0)</f>
        <v>0</v>
      </c>
      <c r="V184" s="9" t="n">
        <f aca="false">IF(E184="",1,0)</f>
        <v>0</v>
      </c>
      <c r="W184" s="9" t="n">
        <f aca="false">IF(OR(H184&lt;1,H184&gt;10),1,0)</f>
        <v>0</v>
      </c>
      <c r="X184" s="9" t="n">
        <f aca="false">IF(OR(I184&lt;=0,I184&gt;1500),1,0)</f>
        <v>0</v>
      </c>
      <c r="Y184" s="9" t="n">
        <f aca="false">IF(J184&gt;H184*I184,1,0)</f>
        <v>0</v>
      </c>
      <c r="Z184" s="9" t="n">
        <f aca="false">IF(AND(N184&lt;&gt;"",OR(N184&lt;1,N184&gt;5)),1,0)</f>
        <v>0</v>
      </c>
      <c r="AA184" s="9" t="n">
        <f aca="false">IF(AND(M184&lt;&gt;"",OR(M184&lt;5,M184&gt;180)),1,0)</f>
        <v>0</v>
      </c>
      <c r="AB184" s="7" t="str">
        <f aca="false">IF(P184="DUP","Exact duplicate row",IF(T184=1,"Missing Order ID",IF(S184="DROP","Duplicate Order ID (less complete row)",IF(U184=1,"Missing Customer ID",IF(V184=1,"Missing Restaurant name",IF(W184=1,"Invalid/outlier quantity",IF(X184=1,"Invalid/outlier unit price",IF(Y184=1,"Discount greater than order value",""))))))))</f>
        <v/>
      </c>
      <c r="AC184" s="7" t="str">
        <f aca="false">IF(AB184="","KEEP","DROP")</f>
        <v>KEEP</v>
      </c>
      <c r="AD184" s="7" t="str">
        <f aca="false">IF(TRIM(F184)="",IFERROR(INDEX(Map_Tables!$I$4:$I$37,MATCH(TRIM(E184),Map_Tables!$G$4:$G$37,0)),""),IFERROR(INDEX(Map_Tables!$B$4:$B$18,MATCH(TRIM(F184),Map_Tables!$A$4:$A$18,0)),"CHECK"))</f>
        <v>Mumbai</v>
      </c>
      <c r="AE184" s="7" t="str">
        <f aca="false">IF(TRIM(E184)="","",IFERROR(INDEX(Map_Tables!$H$4:$H$37,MATCH(TRIM(E184),Map_Tables!$G$4:$G$37,0)),"CHECK"))</f>
        <v>Dragon Express</v>
      </c>
      <c r="AF184" s="7" t="str">
        <f aca="false">IF(TRIM(K184)="","Unknown",IFERROR(INDEX(Map_Tables!$E$4:$E$15,MATCH(TRIM(K184),Map_Tables!$D$4:$D$15,0)),"CHECK"))</f>
        <v>Wallet</v>
      </c>
      <c r="AG184" s="7" t="str">
        <f aca="false">IF(LEFT(LOWER(TRIM(L184)),6)="cancel","Cancelled","Delivered")</f>
        <v>Delivered</v>
      </c>
      <c r="AH184" s="10" t="n">
        <f aca="false">IF(ISNUMBER(SEARCH("/",B184)),DATE(VALUE(RIGHT(B184,4)),VALUE(MID(B184,4,2)),VALUE(LEFT(B184,2))),IF(MID(B184,5,1)="-",DATE(VALUE(LEFT(B184,4)),VALUE(MID(B184,6,2)),VALUE(RIGHT(B184,2))),DATE(VALUE(RIGHT(B184,4)),MATCH(MID(B184,4,3),{"Jan","Feb","Mar","Apr","May","Jun","Jul","Aug","Sep","Oct","Nov","Dec"},0),VALUE(LEFT(B184,2)))))</f>
        <v>45782</v>
      </c>
    </row>
    <row r="185" customFormat="false" ht="15" hidden="false" customHeight="false" outlineLevel="0" collapsed="false">
      <c r="A185" s="7" t="s">
        <v>898</v>
      </c>
      <c r="B185" s="7" t="s">
        <v>899</v>
      </c>
      <c r="C185" s="7" t="s">
        <v>258</v>
      </c>
      <c r="D185" s="7" t="s">
        <v>900</v>
      </c>
      <c r="E185" s="7" t="s">
        <v>168</v>
      </c>
      <c r="F185" s="7" t="s">
        <v>901</v>
      </c>
      <c r="G185" s="7" t="s">
        <v>123</v>
      </c>
      <c r="H185" s="7" t="n">
        <v>2</v>
      </c>
      <c r="I185" s="7" t="n">
        <v>300</v>
      </c>
      <c r="J185" s="7" t="n">
        <v>50</v>
      </c>
      <c r="K185" s="7" t="s">
        <v>88</v>
      </c>
      <c r="L185" s="7" t="s">
        <v>194</v>
      </c>
      <c r="M185" s="7" t="n">
        <v>26</v>
      </c>
      <c r="N185" s="7" t="n">
        <v>3</v>
      </c>
      <c r="O185" s="7" t="str">
        <f aca="false">A185&amp;"|"&amp;B185&amp;"|"&amp;C185&amp;"|"&amp;D185&amp;"|"&amp;E185&amp;"|"&amp;F185&amp;"|"&amp;G185&amp;"|"&amp;H185&amp;"|"&amp;I185&amp;"|"&amp;J185&amp;"|"&amp;K185&amp;"|"&amp;L185&amp;"|"&amp;M185&amp;"|"&amp;N185</f>
        <v>ORD12362|2025-10-24|20:24|C0211|Cheesy Slice|AHMEDABAD|Pizza|2|300|50|UPI|Delivered|26|3</v>
      </c>
      <c r="P185" s="7" t="str">
        <f aca="false">IF(COUNTIF($O$2:O185,O185)&gt;1,"DUP","OK")</f>
        <v>OK</v>
      </c>
      <c r="Q185" s="7" t="n">
        <f aca="false">COUNTBLANK(A185:N185)</f>
        <v>0</v>
      </c>
      <c r="R185" s="7" t="n">
        <f aca="false">IF(A185="",0,COUNTIFS($A$2:$A$3058,A185,$P$2:$P$3058,"OK"))</f>
        <v>1</v>
      </c>
      <c r="S185" s="7" t="str">
        <f aca="false">IF(OR(A185="",P185="DUP",R185&lt;2),"",IF(Q185=_xlfn.MINIFS($Q$2:$Q$3058,$A$2:$A$3058,A185,$P$2:$P$3058,"OK"),"KEEP","DROP"))</f>
        <v/>
      </c>
      <c r="T185" s="9" t="n">
        <f aca="false">IF(A185="",1,0)</f>
        <v>0</v>
      </c>
      <c r="U185" s="9" t="n">
        <f aca="false">IF(D185="",1,0)</f>
        <v>0</v>
      </c>
      <c r="V185" s="9" t="n">
        <f aca="false">IF(E185="",1,0)</f>
        <v>0</v>
      </c>
      <c r="W185" s="9" t="n">
        <f aca="false">IF(OR(H185&lt;1,H185&gt;10),1,0)</f>
        <v>0</v>
      </c>
      <c r="X185" s="9" t="n">
        <f aca="false">IF(OR(I185&lt;=0,I185&gt;1500),1,0)</f>
        <v>0</v>
      </c>
      <c r="Y185" s="9" t="n">
        <f aca="false">IF(J185&gt;H185*I185,1,0)</f>
        <v>0</v>
      </c>
      <c r="Z185" s="9" t="n">
        <f aca="false">IF(AND(N185&lt;&gt;"",OR(N185&lt;1,N185&gt;5)),1,0)</f>
        <v>0</v>
      </c>
      <c r="AA185" s="9" t="n">
        <f aca="false">IF(AND(M185&lt;&gt;"",OR(M185&lt;5,M185&gt;180)),1,0)</f>
        <v>0</v>
      </c>
      <c r="AB185" s="7" t="str">
        <f aca="false">IF(P185="DUP","Exact duplicate row",IF(T185=1,"Missing Order ID",IF(S185="DROP","Duplicate Order ID (less complete row)",IF(U185=1,"Missing Customer ID",IF(V185=1,"Missing Restaurant name",IF(W185=1,"Invalid/outlier quantity",IF(X185=1,"Invalid/outlier unit price",IF(Y185=1,"Discount greater than order value",""))))))))</f>
        <v/>
      </c>
      <c r="AC185" s="7" t="str">
        <f aca="false">IF(AB185="","KEEP","DROP")</f>
        <v>KEEP</v>
      </c>
      <c r="AD185" s="7" t="str">
        <f aca="false">IF(TRIM(F185)="",IFERROR(INDEX(Map_Tables!$I$4:$I$37,MATCH(TRIM(E185),Map_Tables!$G$4:$G$37,0)),""),IFERROR(INDEX(Map_Tables!$B$4:$B$18,MATCH(TRIM(F185),Map_Tables!$A$4:$A$18,0)),"CHECK"))</f>
        <v>Ahmedabad</v>
      </c>
      <c r="AE185" s="7" t="str">
        <f aca="false">IF(TRIM(E185)="","",IFERROR(INDEX(Map_Tables!$H$4:$H$37,MATCH(TRIM(E185),Map_Tables!$G$4:$G$37,0)),"CHECK"))</f>
        <v>Cheesy Slice</v>
      </c>
      <c r="AF185" s="7" t="str">
        <f aca="false">IF(TRIM(K185)="","Unknown",IFERROR(INDEX(Map_Tables!$E$4:$E$15,MATCH(TRIM(K185),Map_Tables!$D$4:$D$15,0)),"CHECK"))</f>
        <v>UPI</v>
      </c>
      <c r="AG185" s="7" t="str">
        <f aca="false">IF(LEFT(LOWER(TRIM(L185)),6)="cancel","Cancelled","Delivered")</f>
        <v>Delivered</v>
      </c>
      <c r="AH185" s="10" t="n">
        <f aca="false">IF(ISNUMBER(SEARCH("/",B185)),DATE(VALUE(RIGHT(B185,4)),VALUE(MID(B185,4,2)),VALUE(LEFT(B185,2))),IF(MID(B185,5,1)="-",DATE(VALUE(LEFT(B185,4)),VALUE(MID(B185,6,2)),VALUE(RIGHT(B185,2))),DATE(VALUE(RIGHT(B185,4)),MATCH(MID(B185,4,3),{"Jan","Feb","Mar","Apr","May","Jun","Jul","Aug","Sep","Oct","Nov","Dec"},0),VALUE(LEFT(B185,2)))))</f>
        <v>45954</v>
      </c>
    </row>
    <row r="186" customFormat="false" ht="15" hidden="false" customHeight="false" outlineLevel="0" collapsed="false">
      <c r="A186" s="7" t="s">
        <v>902</v>
      </c>
      <c r="B186" s="7" t="s">
        <v>903</v>
      </c>
      <c r="C186" s="7" t="s">
        <v>904</v>
      </c>
      <c r="D186" s="7" t="s">
        <v>905</v>
      </c>
      <c r="E186" s="7" t="s">
        <v>116</v>
      </c>
      <c r="F186" s="7" t="s">
        <v>101</v>
      </c>
      <c r="G186" s="7" t="s">
        <v>117</v>
      </c>
      <c r="H186" s="7" t="n">
        <v>1</v>
      </c>
      <c r="I186" s="7" t="n">
        <v>115</v>
      </c>
      <c r="J186" s="7" t="n">
        <v>46</v>
      </c>
      <c r="K186" s="7" t="s">
        <v>421</v>
      </c>
      <c r="L186" s="7" t="s">
        <v>194</v>
      </c>
      <c r="M186" s="7" t="n">
        <v>42</v>
      </c>
      <c r="N186" s="7" t="n">
        <v>4</v>
      </c>
      <c r="O186" s="7" t="str">
        <f aca="false">A186&amp;"|"&amp;B186&amp;"|"&amp;C186&amp;"|"&amp;D186&amp;"|"&amp;E186&amp;"|"&amp;F186&amp;"|"&amp;G186&amp;"|"&amp;H186&amp;"|"&amp;I186&amp;"|"&amp;J186&amp;"|"&amp;K186&amp;"|"&amp;L186&amp;"|"&amp;M186&amp;"|"&amp;N186</f>
        <v>ORD12406|2025-10-30|23:58|C0467|Pav Bhaji Point|Mumbai|Street Food|1|115|46|UPI |Delivered|42|4</v>
      </c>
      <c r="P186" s="7" t="str">
        <f aca="false">IF(COUNTIF($O$2:O186,O186)&gt;1,"DUP","OK")</f>
        <v>OK</v>
      </c>
      <c r="Q186" s="7" t="n">
        <f aca="false">COUNTBLANK(A186:N186)</f>
        <v>0</v>
      </c>
      <c r="R186" s="7" t="n">
        <f aca="false">IF(A186="",0,COUNTIFS($A$2:$A$3058,A186,$P$2:$P$3058,"OK"))</f>
        <v>1</v>
      </c>
      <c r="S186" s="7" t="str">
        <f aca="false">IF(OR(A186="",P186="DUP",R186&lt;2),"",IF(Q186=_xlfn.MINIFS($Q$2:$Q$3058,$A$2:$A$3058,A186,$P$2:$P$3058,"OK"),"KEEP","DROP"))</f>
        <v/>
      </c>
      <c r="T186" s="9" t="n">
        <f aca="false">IF(A186="",1,0)</f>
        <v>0</v>
      </c>
      <c r="U186" s="9" t="n">
        <f aca="false">IF(D186="",1,0)</f>
        <v>0</v>
      </c>
      <c r="V186" s="9" t="n">
        <f aca="false">IF(E186="",1,0)</f>
        <v>0</v>
      </c>
      <c r="W186" s="9" t="n">
        <f aca="false">IF(OR(H186&lt;1,H186&gt;10),1,0)</f>
        <v>0</v>
      </c>
      <c r="X186" s="9" t="n">
        <f aca="false">IF(OR(I186&lt;=0,I186&gt;1500),1,0)</f>
        <v>0</v>
      </c>
      <c r="Y186" s="9" t="n">
        <f aca="false">IF(J186&gt;H186*I186,1,0)</f>
        <v>0</v>
      </c>
      <c r="Z186" s="9" t="n">
        <f aca="false">IF(AND(N186&lt;&gt;"",OR(N186&lt;1,N186&gt;5)),1,0)</f>
        <v>0</v>
      </c>
      <c r="AA186" s="9" t="n">
        <f aca="false">IF(AND(M186&lt;&gt;"",OR(M186&lt;5,M186&gt;180)),1,0)</f>
        <v>0</v>
      </c>
      <c r="AB186" s="7" t="str">
        <f aca="false">IF(P186="DUP","Exact duplicate row",IF(T186=1,"Missing Order ID",IF(S186="DROP","Duplicate Order ID (less complete row)",IF(U186=1,"Missing Customer ID",IF(V186=1,"Missing Restaurant name",IF(W186=1,"Invalid/outlier quantity",IF(X186=1,"Invalid/outlier unit price",IF(Y186=1,"Discount greater than order value",""))))))))</f>
        <v/>
      </c>
      <c r="AC186" s="7" t="str">
        <f aca="false">IF(AB186="","KEEP","DROP")</f>
        <v>KEEP</v>
      </c>
      <c r="AD186" s="7" t="str">
        <f aca="false">IF(TRIM(F186)="",IFERROR(INDEX(Map_Tables!$I$4:$I$37,MATCH(TRIM(E186),Map_Tables!$G$4:$G$37,0)),""),IFERROR(INDEX(Map_Tables!$B$4:$B$18,MATCH(TRIM(F186),Map_Tables!$A$4:$A$18,0)),"CHECK"))</f>
        <v>Mumbai</v>
      </c>
      <c r="AE186" s="7" t="str">
        <f aca="false">IF(TRIM(E186)="","",IFERROR(INDEX(Map_Tables!$H$4:$H$37,MATCH(TRIM(E186),Map_Tables!$G$4:$G$37,0)),"CHECK"))</f>
        <v>Pav Bhaji Point</v>
      </c>
      <c r="AF186" s="7" t="str">
        <f aca="false">IF(TRIM(K186)="","Unknown",IFERROR(INDEX(Map_Tables!$E$4:$E$15,MATCH(TRIM(K186),Map_Tables!$D$4:$D$15,0)),"CHECK"))</f>
        <v>UPI</v>
      </c>
      <c r="AG186" s="7" t="str">
        <f aca="false">IF(LEFT(LOWER(TRIM(L186)),6)="cancel","Cancelled","Delivered")</f>
        <v>Delivered</v>
      </c>
      <c r="AH186" s="10" t="n">
        <f aca="false">IF(ISNUMBER(SEARCH("/",B186)),DATE(VALUE(RIGHT(B186,4)),VALUE(MID(B186,4,2)),VALUE(LEFT(B186,2))),IF(MID(B186,5,1)="-",DATE(VALUE(LEFT(B186,4)),VALUE(MID(B186,6,2)),VALUE(RIGHT(B186,2))),DATE(VALUE(RIGHT(B186,4)),MATCH(MID(B186,4,3),{"Jan","Feb","Mar","Apr","May","Jun","Jul","Aug","Sep","Oct","Nov","Dec"},0),VALUE(LEFT(B186,2)))))</f>
        <v>45960</v>
      </c>
    </row>
    <row r="187" customFormat="false" ht="15" hidden="false" customHeight="false" outlineLevel="0" collapsed="false">
      <c r="A187" s="7" t="s">
        <v>906</v>
      </c>
      <c r="B187" s="7" t="s">
        <v>637</v>
      </c>
      <c r="C187" s="7" t="s">
        <v>907</v>
      </c>
      <c r="D187" s="7" t="s">
        <v>908</v>
      </c>
      <c r="E187" s="7" t="s">
        <v>98</v>
      </c>
      <c r="F187" s="7" t="s">
        <v>86</v>
      </c>
      <c r="G187" s="7" t="s">
        <v>99</v>
      </c>
      <c r="H187" s="7" t="n">
        <v>4</v>
      </c>
      <c r="I187" s="7" t="n">
        <v>300</v>
      </c>
      <c r="J187" s="7" t="n">
        <v>0</v>
      </c>
      <c r="K187" s="7" t="s">
        <v>229</v>
      </c>
      <c r="L187" s="7" t="s">
        <v>194</v>
      </c>
      <c r="M187" s="7" t="n">
        <v>41</v>
      </c>
      <c r="N187" s="7"/>
      <c r="O187" s="7" t="str">
        <f aca="false">A187&amp;"|"&amp;B187&amp;"|"&amp;C187&amp;"|"&amp;D187&amp;"|"&amp;E187&amp;"|"&amp;F187&amp;"|"&amp;G187&amp;"|"&amp;H187&amp;"|"&amp;I187&amp;"|"&amp;J187&amp;"|"&amp;K187&amp;"|"&amp;L187&amp;"|"&amp;M187&amp;"|"&amp;N187</f>
        <v>ORD12745|2025-12-02|11:47|C0417|Nawabi Biryani House|Bengaluru|Biryani|4|300|0|Upi|Delivered|41|</v>
      </c>
      <c r="P187" s="7" t="str">
        <f aca="false">IF(COUNTIF($O$2:O187,O187)&gt;1,"DUP","OK")</f>
        <v>OK</v>
      </c>
      <c r="Q187" s="7" t="n">
        <f aca="false">COUNTBLANK(A187:N187)</f>
        <v>1</v>
      </c>
      <c r="R187" s="7" t="n">
        <f aca="false">IF(A187="",0,COUNTIFS($A$2:$A$3058,A187,$P$2:$P$3058,"OK"))</f>
        <v>1</v>
      </c>
      <c r="S187" s="7" t="str">
        <f aca="false">IF(OR(A187="",P187="DUP",R187&lt;2),"",IF(Q187=_xlfn.MINIFS($Q$2:$Q$3058,$A$2:$A$3058,A187,$P$2:$P$3058,"OK"),"KEEP","DROP"))</f>
        <v/>
      </c>
      <c r="T187" s="9" t="n">
        <f aca="false">IF(A187="",1,0)</f>
        <v>0</v>
      </c>
      <c r="U187" s="9" t="n">
        <f aca="false">IF(D187="",1,0)</f>
        <v>0</v>
      </c>
      <c r="V187" s="9" t="n">
        <f aca="false">IF(E187="",1,0)</f>
        <v>0</v>
      </c>
      <c r="W187" s="9" t="n">
        <f aca="false">IF(OR(H187&lt;1,H187&gt;10),1,0)</f>
        <v>0</v>
      </c>
      <c r="X187" s="9" t="n">
        <f aca="false">IF(OR(I187&lt;=0,I187&gt;1500),1,0)</f>
        <v>0</v>
      </c>
      <c r="Y187" s="9" t="n">
        <f aca="false">IF(J187&gt;H187*I187,1,0)</f>
        <v>0</v>
      </c>
      <c r="Z187" s="9" t="n">
        <f aca="false">IF(AND(N187&lt;&gt;"",OR(N187&lt;1,N187&gt;5)),1,0)</f>
        <v>0</v>
      </c>
      <c r="AA187" s="9" t="n">
        <f aca="false">IF(AND(M187&lt;&gt;"",OR(M187&lt;5,M187&gt;180)),1,0)</f>
        <v>0</v>
      </c>
      <c r="AB187" s="7" t="str">
        <f aca="false">IF(P187="DUP","Exact duplicate row",IF(T187=1,"Missing Order ID",IF(S187="DROP","Duplicate Order ID (less complete row)",IF(U187=1,"Missing Customer ID",IF(V187=1,"Missing Restaurant name",IF(W187=1,"Invalid/outlier quantity",IF(X187=1,"Invalid/outlier unit price",IF(Y187=1,"Discount greater than order value",""))))))))</f>
        <v/>
      </c>
      <c r="AC187" s="7" t="str">
        <f aca="false">IF(AB187="","KEEP","DROP")</f>
        <v>KEEP</v>
      </c>
      <c r="AD187" s="7" t="str">
        <f aca="false">IF(TRIM(F187)="",IFERROR(INDEX(Map_Tables!$I$4:$I$37,MATCH(TRIM(E187),Map_Tables!$G$4:$G$37,0)),""),IFERROR(INDEX(Map_Tables!$B$4:$B$18,MATCH(TRIM(F187),Map_Tables!$A$4:$A$18,0)),"CHECK"))</f>
        <v>Bengaluru</v>
      </c>
      <c r="AE187" s="7" t="str">
        <f aca="false">IF(TRIM(E187)="","",IFERROR(INDEX(Map_Tables!$H$4:$H$37,MATCH(TRIM(E187),Map_Tables!$G$4:$G$37,0)),"CHECK"))</f>
        <v>Nawabi Biryani House</v>
      </c>
      <c r="AF187" s="7" t="str">
        <f aca="false">IF(TRIM(K187)="","Unknown",IFERROR(INDEX(Map_Tables!$E$4:$E$15,MATCH(TRIM(K187),Map_Tables!$D$4:$D$15,0)),"CHECK"))</f>
        <v>UPI</v>
      </c>
      <c r="AG187" s="7" t="str">
        <f aca="false">IF(LEFT(LOWER(TRIM(L187)),6)="cancel","Cancelled","Delivered")</f>
        <v>Delivered</v>
      </c>
      <c r="AH187" s="10" t="n">
        <f aca="false">IF(ISNUMBER(SEARCH("/",B187)),DATE(VALUE(RIGHT(B187,4)),VALUE(MID(B187,4,2)),VALUE(LEFT(B187,2))),IF(MID(B187,5,1)="-",DATE(VALUE(LEFT(B187,4)),VALUE(MID(B187,6,2)),VALUE(RIGHT(B187,2))),DATE(VALUE(RIGHT(B187,4)),MATCH(MID(B187,4,3),{"Jan","Feb","Mar","Apr","May","Jun","Jul","Aug","Sep","Oct","Nov","Dec"},0),VALUE(LEFT(B187,2)))))</f>
        <v>45993</v>
      </c>
    </row>
    <row r="188" customFormat="false" ht="15" hidden="false" customHeight="false" outlineLevel="0" collapsed="false">
      <c r="A188" s="7" t="s">
        <v>909</v>
      </c>
      <c r="B188" s="7" t="s">
        <v>345</v>
      </c>
      <c r="C188" s="7" t="s">
        <v>568</v>
      </c>
      <c r="D188" s="7" t="s">
        <v>910</v>
      </c>
      <c r="E188" s="7" t="s">
        <v>94</v>
      </c>
      <c r="F188" s="7" t="s">
        <v>86</v>
      </c>
      <c r="G188" s="7" t="s">
        <v>95</v>
      </c>
      <c r="H188" s="7" t="n">
        <v>2</v>
      </c>
      <c r="I188" s="7" t="n">
        <v>115</v>
      </c>
      <c r="J188" s="7" t="n">
        <v>0</v>
      </c>
      <c r="K188" s="7" t="s">
        <v>112</v>
      </c>
      <c r="L188" s="7" t="s">
        <v>194</v>
      </c>
      <c r="M188" s="7" t="n">
        <v>42</v>
      </c>
      <c r="N188" s="7" t="n">
        <v>4</v>
      </c>
      <c r="O188" s="7" t="str">
        <f aca="false">A188&amp;"|"&amp;B188&amp;"|"&amp;C188&amp;"|"&amp;D188&amp;"|"&amp;E188&amp;"|"&amp;F188&amp;"|"&amp;G188&amp;"|"&amp;H188&amp;"|"&amp;I188&amp;"|"&amp;J188&amp;"|"&amp;K188&amp;"|"&amp;L188&amp;"|"&amp;M188&amp;"|"&amp;N188</f>
        <v>ORD10891|2025-04-22|20:19|C0938|Dosa Darbar|Bengaluru|South Indian|2|115|0|Cash on Delivery|Delivered|42|4</v>
      </c>
      <c r="P188" s="7" t="str">
        <f aca="false">IF(COUNTIF($O$2:O188,O188)&gt;1,"DUP","OK")</f>
        <v>OK</v>
      </c>
      <c r="Q188" s="7" t="n">
        <f aca="false">COUNTBLANK(A188:N188)</f>
        <v>0</v>
      </c>
      <c r="R188" s="7" t="n">
        <f aca="false">IF(A188="",0,COUNTIFS($A$2:$A$3058,A188,$P$2:$P$3058,"OK"))</f>
        <v>1</v>
      </c>
      <c r="S188" s="7" t="str">
        <f aca="false">IF(OR(A188="",P188="DUP",R188&lt;2),"",IF(Q188=_xlfn.MINIFS($Q$2:$Q$3058,$A$2:$A$3058,A188,$P$2:$P$3058,"OK"),"KEEP","DROP"))</f>
        <v/>
      </c>
      <c r="T188" s="9" t="n">
        <f aca="false">IF(A188="",1,0)</f>
        <v>0</v>
      </c>
      <c r="U188" s="9" t="n">
        <f aca="false">IF(D188="",1,0)</f>
        <v>0</v>
      </c>
      <c r="V188" s="9" t="n">
        <f aca="false">IF(E188="",1,0)</f>
        <v>0</v>
      </c>
      <c r="W188" s="9" t="n">
        <f aca="false">IF(OR(H188&lt;1,H188&gt;10),1,0)</f>
        <v>0</v>
      </c>
      <c r="X188" s="9" t="n">
        <f aca="false">IF(OR(I188&lt;=0,I188&gt;1500),1,0)</f>
        <v>0</v>
      </c>
      <c r="Y188" s="9" t="n">
        <f aca="false">IF(J188&gt;H188*I188,1,0)</f>
        <v>0</v>
      </c>
      <c r="Z188" s="9" t="n">
        <f aca="false">IF(AND(N188&lt;&gt;"",OR(N188&lt;1,N188&gt;5)),1,0)</f>
        <v>0</v>
      </c>
      <c r="AA188" s="9" t="n">
        <f aca="false">IF(AND(M188&lt;&gt;"",OR(M188&lt;5,M188&gt;180)),1,0)</f>
        <v>0</v>
      </c>
      <c r="AB188" s="7" t="str">
        <f aca="false">IF(P188="DUP","Exact duplicate row",IF(T188=1,"Missing Order ID",IF(S188="DROP","Duplicate Order ID (less complete row)",IF(U188=1,"Missing Customer ID",IF(V188=1,"Missing Restaurant name",IF(W188=1,"Invalid/outlier quantity",IF(X188=1,"Invalid/outlier unit price",IF(Y188=1,"Discount greater than order value",""))))))))</f>
        <v/>
      </c>
      <c r="AC188" s="7" t="str">
        <f aca="false">IF(AB188="","KEEP","DROP")</f>
        <v>KEEP</v>
      </c>
      <c r="AD188" s="7" t="str">
        <f aca="false">IF(TRIM(F188)="",IFERROR(INDEX(Map_Tables!$I$4:$I$37,MATCH(TRIM(E188),Map_Tables!$G$4:$G$37,0)),""),IFERROR(INDEX(Map_Tables!$B$4:$B$18,MATCH(TRIM(F188),Map_Tables!$A$4:$A$18,0)),"CHECK"))</f>
        <v>Bengaluru</v>
      </c>
      <c r="AE188" s="7" t="str">
        <f aca="false">IF(TRIM(E188)="","",IFERROR(INDEX(Map_Tables!$H$4:$H$37,MATCH(TRIM(E188),Map_Tables!$G$4:$G$37,0)),"CHECK"))</f>
        <v>Dosa Darbar</v>
      </c>
      <c r="AF188" s="7" t="str">
        <f aca="false">IF(TRIM(K188)="","Unknown",IFERROR(INDEX(Map_Tables!$E$4:$E$15,MATCH(TRIM(K188),Map_Tables!$D$4:$D$15,0)),"CHECK"))</f>
        <v>Cash on Delivery</v>
      </c>
      <c r="AG188" s="7" t="str">
        <f aca="false">IF(LEFT(LOWER(TRIM(L188)),6)="cancel","Cancelled","Delivered")</f>
        <v>Delivered</v>
      </c>
      <c r="AH188" s="10" t="n">
        <f aca="false">IF(ISNUMBER(SEARCH("/",B188)),DATE(VALUE(RIGHT(B188,4)),VALUE(MID(B188,4,2)),VALUE(LEFT(B188,2))),IF(MID(B188,5,1)="-",DATE(VALUE(LEFT(B188,4)),VALUE(MID(B188,6,2)),VALUE(RIGHT(B188,2))),DATE(VALUE(RIGHT(B188,4)),MATCH(MID(B188,4,3),{"Jan","Feb","Mar","Apr","May","Jun","Jul","Aug","Sep","Oct","Nov","Dec"},0),VALUE(LEFT(B188,2)))))</f>
        <v>45769</v>
      </c>
    </row>
    <row r="189" customFormat="false" ht="15" hidden="false" customHeight="false" outlineLevel="0" collapsed="false">
      <c r="A189" s="7" t="s">
        <v>911</v>
      </c>
      <c r="B189" s="7" t="s">
        <v>912</v>
      </c>
      <c r="C189" s="7" t="s">
        <v>577</v>
      </c>
      <c r="D189" s="7" t="s">
        <v>805</v>
      </c>
      <c r="E189" s="7" t="s">
        <v>104</v>
      </c>
      <c r="F189" s="7" t="s">
        <v>86</v>
      </c>
      <c r="G189" s="7" t="s">
        <v>105</v>
      </c>
      <c r="H189" s="7" t="n">
        <v>1</v>
      </c>
      <c r="I189" s="7" t="n">
        <v>195</v>
      </c>
      <c r="J189" s="7" t="n">
        <v>0</v>
      </c>
      <c r="K189" s="7" t="s">
        <v>103</v>
      </c>
      <c r="L189" s="7" t="s">
        <v>194</v>
      </c>
      <c r="M189" s="7" t="n">
        <v>41</v>
      </c>
      <c r="N189" s="7" t="n">
        <v>3</v>
      </c>
      <c r="O189" s="7" t="str">
        <f aca="false">A189&amp;"|"&amp;B189&amp;"|"&amp;C189&amp;"|"&amp;D189&amp;"|"&amp;E189&amp;"|"&amp;F189&amp;"|"&amp;G189&amp;"|"&amp;H189&amp;"|"&amp;I189&amp;"|"&amp;J189&amp;"|"&amp;K189&amp;"|"&amp;L189&amp;"|"&amp;M189&amp;"|"&amp;N189</f>
        <v>ORD10173|2025-01-23|12:20|C1035|Wok &amp; Roll|Bengaluru|Chinese|1|195|0|Debit Card|Delivered|41|3</v>
      </c>
      <c r="P189" s="7" t="str">
        <f aca="false">IF(COUNTIF($O$2:O189,O189)&gt;1,"DUP","OK")</f>
        <v>OK</v>
      </c>
      <c r="Q189" s="7" t="n">
        <f aca="false">COUNTBLANK(A189:N189)</f>
        <v>0</v>
      </c>
      <c r="R189" s="7" t="n">
        <f aca="false">IF(A189="",0,COUNTIFS($A$2:$A$3058,A189,$P$2:$P$3058,"OK"))</f>
        <v>1</v>
      </c>
      <c r="S189" s="7" t="str">
        <f aca="false">IF(OR(A189="",P189="DUP",R189&lt;2),"",IF(Q189=_xlfn.MINIFS($Q$2:$Q$3058,$A$2:$A$3058,A189,$P$2:$P$3058,"OK"),"KEEP","DROP"))</f>
        <v/>
      </c>
      <c r="T189" s="9" t="n">
        <f aca="false">IF(A189="",1,0)</f>
        <v>0</v>
      </c>
      <c r="U189" s="9" t="n">
        <f aca="false">IF(D189="",1,0)</f>
        <v>0</v>
      </c>
      <c r="V189" s="9" t="n">
        <f aca="false">IF(E189="",1,0)</f>
        <v>0</v>
      </c>
      <c r="W189" s="9" t="n">
        <f aca="false">IF(OR(H189&lt;1,H189&gt;10),1,0)</f>
        <v>0</v>
      </c>
      <c r="X189" s="9" t="n">
        <f aca="false">IF(OR(I189&lt;=0,I189&gt;1500),1,0)</f>
        <v>0</v>
      </c>
      <c r="Y189" s="9" t="n">
        <f aca="false">IF(J189&gt;H189*I189,1,0)</f>
        <v>0</v>
      </c>
      <c r="Z189" s="9" t="n">
        <f aca="false">IF(AND(N189&lt;&gt;"",OR(N189&lt;1,N189&gt;5)),1,0)</f>
        <v>0</v>
      </c>
      <c r="AA189" s="9" t="n">
        <f aca="false">IF(AND(M189&lt;&gt;"",OR(M189&lt;5,M189&gt;180)),1,0)</f>
        <v>0</v>
      </c>
      <c r="AB189" s="7" t="str">
        <f aca="false">IF(P189="DUP","Exact duplicate row",IF(T189=1,"Missing Order ID",IF(S189="DROP","Duplicate Order ID (less complete row)",IF(U189=1,"Missing Customer ID",IF(V189=1,"Missing Restaurant name",IF(W189=1,"Invalid/outlier quantity",IF(X189=1,"Invalid/outlier unit price",IF(Y189=1,"Discount greater than order value",""))))))))</f>
        <v/>
      </c>
      <c r="AC189" s="7" t="str">
        <f aca="false">IF(AB189="","KEEP","DROP")</f>
        <v>KEEP</v>
      </c>
      <c r="AD189" s="7" t="str">
        <f aca="false">IF(TRIM(F189)="",IFERROR(INDEX(Map_Tables!$I$4:$I$37,MATCH(TRIM(E189),Map_Tables!$G$4:$G$37,0)),""),IFERROR(INDEX(Map_Tables!$B$4:$B$18,MATCH(TRIM(F189),Map_Tables!$A$4:$A$18,0)),"CHECK"))</f>
        <v>Bengaluru</v>
      </c>
      <c r="AE189" s="7" t="str">
        <f aca="false">IF(TRIM(E189)="","",IFERROR(INDEX(Map_Tables!$H$4:$H$37,MATCH(TRIM(E189),Map_Tables!$G$4:$G$37,0)),"CHECK"))</f>
        <v>Wok &amp; Roll</v>
      </c>
      <c r="AF189" s="7" t="str">
        <f aca="false">IF(TRIM(K189)="","Unknown",IFERROR(INDEX(Map_Tables!$E$4:$E$15,MATCH(TRIM(K189),Map_Tables!$D$4:$D$15,0)),"CHECK"))</f>
        <v>Debit Card</v>
      </c>
      <c r="AG189" s="7" t="str">
        <f aca="false">IF(LEFT(LOWER(TRIM(L189)),6)="cancel","Cancelled","Delivered")</f>
        <v>Delivered</v>
      </c>
      <c r="AH189" s="10" t="n">
        <f aca="false">IF(ISNUMBER(SEARCH("/",B189)),DATE(VALUE(RIGHT(B189,4)),VALUE(MID(B189,4,2)),VALUE(LEFT(B189,2))),IF(MID(B189,5,1)="-",DATE(VALUE(LEFT(B189,4)),VALUE(MID(B189,6,2)),VALUE(RIGHT(B189,2))),DATE(VALUE(RIGHT(B189,4)),MATCH(MID(B189,4,3),{"Jan","Feb","Mar","Apr","May","Jun","Jul","Aug","Sep","Oct","Nov","Dec"},0),VALUE(LEFT(B189,2)))))</f>
        <v>45680</v>
      </c>
    </row>
    <row r="190" customFormat="false" ht="15" hidden="false" customHeight="false" outlineLevel="0" collapsed="false">
      <c r="A190" s="7" t="s">
        <v>913</v>
      </c>
      <c r="B190" s="7" t="s">
        <v>768</v>
      </c>
      <c r="C190" s="7" t="s">
        <v>914</v>
      </c>
      <c r="D190" s="7" t="s">
        <v>915</v>
      </c>
      <c r="E190" s="7" t="s">
        <v>144</v>
      </c>
      <c r="F190" s="7" t="s">
        <v>119</v>
      </c>
      <c r="G190" s="7" t="s">
        <v>99</v>
      </c>
      <c r="H190" s="7" t="n">
        <v>2</v>
      </c>
      <c r="I190" s="7" t="n">
        <v>320</v>
      </c>
      <c r="J190" s="7" t="n">
        <v>0</v>
      </c>
      <c r="K190" s="7" t="s">
        <v>93</v>
      </c>
      <c r="L190" s="7" t="s">
        <v>194</v>
      </c>
      <c r="M190" s="7" t="n">
        <v>31</v>
      </c>
      <c r="N190" s="7" t="n">
        <v>4</v>
      </c>
      <c r="O190" s="7" t="str">
        <f aca="false">A190&amp;"|"&amp;B190&amp;"|"&amp;C190&amp;"|"&amp;D190&amp;"|"&amp;E190&amp;"|"&amp;F190&amp;"|"&amp;G190&amp;"|"&amp;H190&amp;"|"&amp;I190&amp;"|"&amp;J190&amp;"|"&amp;K190&amp;"|"&amp;L190&amp;"|"&amp;M190&amp;"|"&amp;N190</f>
        <v>ORD12575|2025-11-15|20:15|C0141|Hyderabad Dum Biryani|Hyderabad|Biryani|2|320|0|Credit Card|Delivered|31|4</v>
      </c>
      <c r="P190" s="7" t="str">
        <f aca="false">IF(COUNTIF($O$2:O190,O190)&gt;1,"DUP","OK")</f>
        <v>OK</v>
      </c>
      <c r="Q190" s="7" t="n">
        <f aca="false">COUNTBLANK(A190:N190)</f>
        <v>0</v>
      </c>
      <c r="R190" s="7" t="n">
        <f aca="false">IF(A190="",0,COUNTIFS($A$2:$A$3058,A190,$P$2:$P$3058,"OK"))</f>
        <v>1</v>
      </c>
      <c r="S190" s="7" t="str">
        <f aca="false">IF(OR(A190="",P190="DUP",R190&lt;2),"",IF(Q190=_xlfn.MINIFS($Q$2:$Q$3058,$A$2:$A$3058,A190,$P$2:$P$3058,"OK"),"KEEP","DROP"))</f>
        <v/>
      </c>
      <c r="T190" s="9" t="n">
        <f aca="false">IF(A190="",1,0)</f>
        <v>0</v>
      </c>
      <c r="U190" s="9" t="n">
        <f aca="false">IF(D190="",1,0)</f>
        <v>0</v>
      </c>
      <c r="V190" s="9" t="n">
        <f aca="false">IF(E190="",1,0)</f>
        <v>0</v>
      </c>
      <c r="W190" s="9" t="n">
        <f aca="false">IF(OR(H190&lt;1,H190&gt;10),1,0)</f>
        <v>0</v>
      </c>
      <c r="X190" s="9" t="n">
        <f aca="false">IF(OR(I190&lt;=0,I190&gt;1500),1,0)</f>
        <v>0</v>
      </c>
      <c r="Y190" s="9" t="n">
        <f aca="false">IF(J190&gt;H190*I190,1,0)</f>
        <v>0</v>
      </c>
      <c r="Z190" s="9" t="n">
        <f aca="false">IF(AND(N190&lt;&gt;"",OR(N190&lt;1,N190&gt;5)),1,0)</f>
        <v>0</v>
      </c>
      <c r="AA190" s="9" t="n">
        <f aca="false">IF(AND(M190&lt;&gt;"",OR(M190&lt;5,M190&gt;180)),1,0)</f>
        <v>0</v>
      </c>
      <c r="AB190" s="7" t="str">
        <f aca="false">IF(P190="DUP","Exact duplicate row",IF(T190=1,"Missing Order ID",IF(S190="DROP","Duplicate Order ID (less complete row)",IF(U190=1,"Missing Customer ID",IF(V190=1,"Missing Restaurant name",IF(W190=1,"Invalid/outlier quantity",IF(X190=1,"Invalid/outlier unit price",IF(Y190=1,"Discount greater than order value",""))))))))</f>
        <v/>
      </c>
      <c r="AC190" s="7" t="str">
        <f aca="false">IF(AB190="","KEEP","DROP")</f>
        <v>KEEP</v>
      </c>
      <c r="AD190" s="7" t="str">
        <f aca="false">IF(TRIM(F190)="",IFERROR(INDEX(Map_Tables!$I$4:$I$37,MATCH(TRIM(E190),Map_Tables!$G$4:$G$37,0)),""),IFERROR(INDEX(Map_Tables!$B$4:$B$18,MATCH(TRIM(F190),Map_Tables!$A$4:$A$18,0)),"CHECK"))</f>
        <v>Hyderabad</v>
      </c>
      <c r="AE190" s="7" t="str">
        <f aca="false">IF(TRIM(E190)="","",IFERROR(INDEX(Map_Tables!$H$4:$H$37,MATCH(TRIM(E190),Map_Tables!$G$4:$G$37,0)),"CHECK"))</f>
        <v>Hyderabad Dum Biryani</v>
      </c>
      <c r="AF190" s="7" t="str">
        <f aca="false">IF(TRIM(K190)="","Unknown",IFERROR(INDEX(Map_Tables!$E$4:$E$15,MATCH(TRIM(K190),Map_Tables!$D$4:$D$15,0)),"CHECK"))</f>
        <v>Credit Card</v>
      </c>
      <c r="AG190" s="7" t="str">
        <f aca="false">IF(LEFT(LOWER(TRIM(L190)),6)="cancel","Cancelled","Delivered")</f>
        <v>Delivered</v>
      </c>
      <c r="AH190" s="10" t="n">
        <f aca="false">IF(ISNUMBER(SEARCH("/",B190)),DATE(VALUE(RIGHT(B190,4)),VALUE(MID(B190,4,2)),VALUE(LEFT(B190,2))),IF(MID(B190,5,1)="-",DATE(VALUE(LEFT(B190,4)),VALUE(MID(B190,6,2)),VALUE(RIGHT(B190,2))),DATE(VALUE(RIGHT(B190,4)),MATCH(MID(B190,4,3),{"Jan","Feb","Mar","Apr","May","Jun","Jul","Aug","Sep","Oct","Nov","Dec"},0),VALUE(LEFT(B190,2)))))</f>
        <v>45976</v>
      </c>
    </row>
    <row r="191" customFormat="false" ht="15" hidden="false" customHeight="false" outlineLevel="0" collapsed="false">
      <c r="A191" s="7" t="s">
        <v>916</v>
      </c>
      <c r="B191" s="7" t="s">
        <v>917</v>
      </c>
      <c r="C191" s="7" t="s">
        <v>918</v>
      </c>
      <c r="D191" s="7" t="s">
        <v>919</v>
      </c>
      <c r="E191" s="7" t="s">
        <v>149</v>
      </c>
      <c r="F191" s="7" t="s">
        <v>118</v>
      </c>
      <c r="G191" s="7" t="s">
        <v>150</v>
      </c>
      <c r="H191" s="7" t="n">
        <v>4</v>
      </c>
      <c r="I191" s="7" t="n">
        <v>165</v>
      </c>
      <c r="J191" s="7" t="n">
        <v>0</v>
      </c>
      <c r="K191" s="7" t="s">
        <v>112</v>
      </c>
      <c r="L191" s="7" t="s">
        <v>194</v>
      </c>
      <c r="M191" s="7" t="n">
        <v>44</v>
      </c>
      <c r="N191" s="7" t="n">
        <v>3</v>
      </c>
      <c r="O191" s="7" t="str">
        <f aca="false">A191&amp;"|"&amp;B191&amp;"|"&amp;C191&amp;"|"&amp;D191&amp;"|"&amp;E191&amp;"|"&amp;F191&amp;"|"&amp;G191&amp;"|"&amp;H191&amp;"|"&amp;I191&amp;"|"&amp;J191&amp;"|"&amp;K191&amp;"|"&amp;L191&amp;"|"&amp;M191&amp;"|"&amp;N191</f>
        <v>ORD11074|2025-05-16|15:13|C1462|Sweet Tooth Studio|hyderabad|Desserts|4|165|0|Cash on Delivery|Delivered|44|3</v>
      </c>
      <c r="P191" s="7" t="str">
        <f aca="false">IF(COUNTIF($O$2:O191,O191)&gt;1,"DUP","OK")</f>
        <v>OK</v>
      </c>
      <c r="Q191" s="7" t="n">
        <f aca="false">COUNTBLANK(A191:N191)</f>
        <v>0</v>
      </c>
      <c r="R191" s="7" t="n">
        <f aca="false">IF(A191="",0,COUNTIFS($A$2:$A$3058,A191,$P$2:$P$3058,"OK"))</f>
        <v>1</v>
      </c>
      <c r="S191" s="7" t="str">
        <f aca="false">IF(OR(A191="",P191="DUP",R191&lt;2),"",IF(Q191=_xlfn.MINIFS($Q$2:$Q$3058,$A$2:$A$3058,A191,$P$2:$P$3058,"OK"),"KEEP","DROP"))</f>
        <v/>
      </c>
      <c r="T191" s="9" t="n">
        <f aca="false">IF(A191="",1,0)</f>
        <v>0</v>
      </c>
      <c r="U191" s="9" t="n">
        <f aca="false">IF(D191="",1,0)</f>
        <v>0</v>
      </c>
      <c r="V191" s="9" t="n">
        <f aca="false">IF(E191="",1,0)</f>
        <v>0</v>
      </c>
      <c r="W191" s="9" t="n">
        <f aca="false">IF(OR(H191&lt;1,H191&gt;10),1,0)</f>
        <v>0</v>
      </c>
      <c r="X191" s="9" t="n">
        <f aca="false">IF(OR(I191&lt;=0,I191&gt;1500),1,0)</f>
        <v>0</v>
      </c>
      <c r="Y191" s="9" t="n">
        <f aca="false">IF(J191&gt;H191*I191,1,0)</f>
        <v>0</v>
      </c>
      <c r="Z191" s="9" t="n">
        <f aca="false">IF(AND(N191&lt;&gt;"",OR(N191&lt;1,N191&gt;5)),1,0)</f>
        <v>0</v>
      </c>
      <c r="AA191" s="9" t="n">
        <f aca="false">IF(AND(M191&lt;&gt;"",OR(M191&lt;5,M191&gt;180)),1,0)</f>
        <v>0</v>
      </c>
      <c r="AB191" s="7" t="str">
        <f aca="false">IF(P191="DUP","Exact duplicate row",IF(T191=1,"Missing Order ID",IF(S191="DROP","Duplicate Order ID (less complete row)",IF(U191=1,"Missing Customer ID",IF(V191=1,"Missing Restaurant name",IF(W191=1,"Invalid/outlier quantity",IF(X191=1,"Invalid/outlier unit price",IF(Y191=1,"Discount greater than order value",""))))))))</f>
        <v/>
      </c>
      <c r="AC191" s="7" t="str">
        <f aca="false">IF(AB191="","KEEP","DROP")</f>
        <v>KEEP</v>
      </c>
      <c r="AD191" s="7" t="str">
        <f aca="false">IF(TRIM(F191)="",IFERROR(INDEX(Map_Tables!$I$4:$I$37,MATCH(TRIM(E191),Map_Tables!$G$4:$G$37,0)),""),IFERROR(INDEX(Map_Tables!$B$4:$B$18,MATCH(TRIM(F191),Map_Tables!$A$4:$A$18,0)),"CHECK"))</f>
        <v>Hyderabad</v>
      </c>
      <c r="AE191" s="7" t="str">
        <f aca="false">IF(TRIM(E191)="","",IFERROR(INDEX(Map_Tables!$H$4:$H$37,MATCH(TRIM(E191),Map_Tables!$G$4:$G$37,0)),"CHECK"))</f>
        <v>Sweet Tooth Studio</v>
      </c>
      <c r="AF191" s="7" t="str">
        <f aca="false">IF(TRIM(K191)="","Unknown",IFERROR(INDEX(Map_Tables!$E$4:$E$15,MATCH(TRIM(K191),Map_Tables!$D$4:$D$15,0)),"CHECK"))</f>
        <v>Cash on Delivery</v>
      </c>
      <c r="AG191" s="7" t="str">
        <f aca="false">IF(LEFT(LOWER(TRIM(L191)),6)="cancel","Cancelled","Delivered")</f>
        <v>Delivered</v>
      </c>
      <c r="AH191" s="10" t="n">
        <f aca="false">IF(ISNUMBER(SEARCH("/",B191)),DATE(VALUE(RIGHT(B191,4)),VALUE(MID(B191,4,2)),VALUE(LEFT(B191,2))),IF(MID(B191,5,1)="-",DATE(VALUE(LEFT(B191,4)),VALUE(MID(B191,6,2)),VALUE(RIGHT(B191,2))),DATE(VALUE(RIGHT(B191,4)),MATCH(MID(B191,4,3),{"Jan","Feb","Mar","Apr","May","Jun","Jul","Aug","Sep","Oct","Nov","Dec"},0),VALUE(LEFT(B191,2)))))</f>
        <v>45793</v>
      </c>
    </row>
    <row r="192" customFormat="false" ht="15" hidden="false" customHeight="false" outlineLevel="0" collapsed="false">
      <c r="A192" s="7" t="s">
        <v>920</v>
      </c>
      <c r="B192" s="7" t="s">
        <v>921</v>
      </c>
      <c r="C192" s="7" t="s">
        <v>306</v>
      </c>
      <c r="D192" s="7" t="s">
        <v>922</v>
      </c>
      <c r="E192" s="7" t="s">
        <v>98</v>
      </c>
      <c r="F192" s="7" t="s">
        <v>86</v>
      </c>
      <c r="G192" s="7" t="s">
        <v>99</v>
      </c>
      <c r="H192" s="7" t="n">
        <v>1</v>
      </c>
      <c r="I192" s="7" t="n">
        <v>230</v>
      </c>
      <c r="J192" s="7" t="n">
        <v>0</v>
      </c>
      <c r="K192" s="7" t="s">
        <v>88</v>
      </c>
      <c r="L192" s="7" t="s">
        <v>194</v>
      </c>
      <c r="M192" s="7" t="n">
        <v>30</v>
      </c>
      <c r="N192" s="7" t="n">
        <v>3</v>
      </c>
      <c r="O192" s="7" t="str">
        <f aca="false">A192&amp;"|"&amp;B192&amp;"|"&amp;C192&amp;"|"&amp;D192&amp;"|"&amp;E192&amp;"|"&amp;F192&amp;"|"&amp;G192&amp;"|"&amp;H192&amp;"|"&amp;I192&amp;"|"&amp;J192&amp;"|"&amp;K192&amp;"|"&amp;L192&amp;"|"&amp;M192&amp;"|"&amp;N192</f>
        <v>ORD12163|2025-10-03|20:06|C0562|Nawabi Biryani House|Bengaluru|Biryani|1|230|0|UPI|Delivered|30|3</v>
      </c>
      <c r="P192" s="7" t="str">
        <f aca="false">IF(COUNTIF($O$2:O192,O192)&gt;1,"DUP","OK")</f>
        <v>OK</v>
      </c>
      <c r="Q192" s="7" t="n">
        <f aca="false">COUNTBLANK(A192:N192)</f>
        <v>0</v>
      </c>
      <c r="R192" s="7" t="n">
        <f aca="false">IF(A192="",0,COUNTIFS($A$2:$A$3058,A192,$P$2:$P$3058,"OK"))</f>
        <v>1</v>
      </c>
      <c r="S192" s="7" t="str">
        <f aca="false">IF(OR(A192="",P192="DUP",R192&lt;2),"",IF(Q192=_xlfn.MINIFS($Q$2:$Q$3058,$A$2:$A$3058,A192,$P$2:$P$3058,"OK"),"KEEP","DROP"))</f>
        <v/>
      </c>
      <c r="T192" s="9" t="n">
        <f aca="false">IF(A192="",1,0)</f>
        <v>0</v>
      </c>
      <c r="U192" s="9" t="n">
        <f aca="false">IF(D192="",1,0)</f>
        <v>0</v>
      </c>
      <c r="V192" s="9" t="n">
        <f aca="false">IF(E192="",1,0)</f>
        <v>0</v>
      </c>
      <c r="W192" s="9" t="n">
        <f aca="false">IF(OR(H192&lt;1,H192&gt;10),1,0)</f>
        <v>0</v>
      </c>
      <c r="X192" s="9" t="n">
        <f aca="false">IF(OR(I192&lt;=0,I192&gt;1500),1,0)</f>
        <v>0</v>
      </c>
      <c r="Y192" s="9" t="n">
        <f aca="false">IF(J192&gt;H192*I192,1,0)</f>
        <v>0</v>
      </c>
      <c r="Z192" s="9" t="n">
        <f aca="false">IF(AND(N192&lt;&gt;"",OR(N192&lt;1,N192&gt;5)),1,0)</f>
        <v>0</v>
      </c>
      <c r="AA192" s="9" t="n">
        <f aca="false">IF(AND(M192&lt;&gt;"",OR(M192&lt;5,M192&gt;180)),1,0)</f>
        <v>0</v>
      </c>
      <c r="AB192" s="7" t="str">
        <f aca="false">IF(P192="DUP","Exact duplicate row",IF(T192=1,"Missing Order ID",IF(S192="DROP","Duplicate Order ID (less complete row)",IF(U192=1,"Missing Customer ID",IF(V192=1,"Missing Restaurant name",IF(W192=1,"Invalid/outlier quantity",IF(X192=1,"Invalid/outlier unit price",IF(Y192=1,"Discount greater than order value",""))))))))</f>
        <v/>
      </c>
      <c r="AC192" s="7" t="str">
        <f aca="false">IF(AB192="","KEEP","DROP")</f>
        <v>KEEP</v>
      </c>
      <c r="AD192" s="7" t="str">
        <f aca="false">IF(TRIM(F192)="",IFERROR(INDEX(Map_Tables!$I$4:$I$37,MATCH(TRIM(E192),Map_Tables!$G$4:$G$37,0)),""),IFERROR(INDEX(Map_Tables!$B$4:$B$18,MATCH(TRIM(F192),Map_Tables!$A$4:$A$18,0)),"CHECK"))</f>
        <v>Bengaluru</v>
      </c>
      <c r="AE192" s="7" t="str">
        <f aca="false">IF(TRIM(E192)="","",IFERROR(INDEX(Map_Tables!$H$4:$H$37,MATCH(TRIM(E192),Map_Tables!$G$4:$G$37,0)),"CHECK"))</f>
        <v>Nawabi Biryani House</v>
      </c>
      <c r="AF192" s="7" t="str">
        <f aca="false">IF(TRIM(K192)="","Unknown",IFERROR(INDEX(Map_Tables!$E$4:$E$15,MATCH(TRIM(K192),Map_Tables!$D$4:$D$15,0)),"CHECK"))</f>
        <v>UPI</v>
      </c>
      <c r="AG192" s="7" t="str">
        <f aca="false">IF(LEFT(LOWER(TRIM(L192)),6)="cancel","Cancelled","Delivered")</f>
        <v>Delivered</v>
      </c>
      <c r="AH192" s="10" t="n">
        <f aca="false">IF(ISNUMBER(SEARCH("/",B192)),DATE(VALUE(RIGHT(B192,4)),VALUE(MID(B192,4,2)),VALUE(LEFT(B192,2))),IF(MID(B192,5,1)="-",DATE(VALUE(LEFT(B192,4)),VALUE(MID(B192,6,2)),VALUE(RIGHT(B192,2))),DATE(VALUE(RIGHT(B192,4)),MATCH(MID(B192,4,3),{"Jan","Feb","Mar","Apr","May","Jun","Jul","Aug","Sep","Oct","Nov","Dec"},0),VALUE(LEFT(B192,2)))))</f>
        <v>45933</v>
      </c>
    </row>
    <row r="193" customFormat="false" ht="15" hidden="false" customHeight="false" outlineLevel="0" collapsed="false">
      <c r="A193" s="7" t="s">
        <v>923</v>
      </c>
      <c r="B193" s="7" t="s">
        <v>924</v>
      </c>
      <c r="C193" s="7" t="s">
        <v>201</v>
      </c>
      <c r="D193" s="7" t="s">
        <v>810</v>
      </c>
      <c r="E193" s="7" t="s">
        <v>154</v>
      </c>
      <c r="F193" s="7" t="s">
        <v>127</v>
      </c>
      <c r="G193" s="7" t="s">
        <v>99</v>
      </c>
      <c r="H193" s="7" t="n">
        <v>1</v>
      </c>
      <c r="I193" s="7" t="n">
        <v>305</v>
      </c>
      <c r="J193" s="7" t="n">
        <v>122</v>
      </c>
      <c r="K193" s="7" t="s">
        <v>112</v>
      </c>
      <c r="L193" s="7" t="s">
        <v>194</v>
      </c>
      <c r="M193" s="7" t="n">
        <v>36</v>
      </c>
      <c r="N193" s="7" t="n">
        <v>3</v>
      </c>
      <c r="O193" s="7" t="str">
        <f aca="false">A193&amp;"|"&amp;B193&amp;"|"&amp;C193&amp;"|"&amp;D193&amp;"|"&amp;E193&amp;"|"&amp;F193&amp;"|"&amp;G193&amp;"|"&amp;H193&amp;"|"&amp;I193&amp;"|"&amp;J193&amp;"|"&amp;K193&amp;"|"&amp;L193&amp;"|"&amp;M193&amp;"|"&amp;N193</f>
        <v>ORD10111|2025-01-14|20:46|C0647|Madras Biryani Co|chennai|Biryani|1|305|122|Cash on Delivery|Delivered|36|3</v>
      </c>
      <c r="P193" s="7" t="str">
        <f aca="false">IF(COUNTIF($O$2:O193,O193)&gt;1,"DUP","OK")</f>
        <v>OK</v>
      </c>
      <c r="Q193" s="7" t="n">
        <f aca="false">COUNTBLANK(A193:N193)</f>
        <v>0</v>
      </c>
      <c r="R193" s="7" t="n">
        <f aca="false">IF(A193="",0,COUNTIFS($A$2:$A$3058,A193,$P$2:$P$3058,"OK"))</f>
        <v>1</v>
      </c>
      <c r="S193" s="7" t="str">
        <f aca="false">IF(OR(A193="",P193="DUP",R193&lt;2),"",IF(Q193=_xlfn.MINIFS($Q$2:$Q$3058,$A$2:$A$3058,A193,$P$2:$P$3058,"OK"),"KEEP","DROP"))</f>
        <v/>
      </c>
      <c r="T193" s="9" t="n">
        <f aca="false">IF(A193="",1,0)</f>
        <v>0</v>
      </c>
      <c r="U193" s="9" t="n">
        <f aca="false">IF(D193="",1,0)</f>
        <v>0</v>
      </c>
      <c r="V193" s="9" t="n">
        <f aca="false">IF(E193="",1,0)</f>
        <v>0</v>
      </c>
      <c r="W193" s="9" t="n">
        <f aca="false">IF(OR(H193&lt;1,H193&gt;10),1,0)</f>
        <v>0</v>
      </c>
      <c r="X193" s="9" t="n">
        <f aca="false">IF(OR(I193&lt;=0,I193&gt;1500),1,0)</f>
        <v>0</v>
      </c>
      <c r="Y193" s="9" t="n">
        <f aca="false">IF(J193&gt;H193*I193,1,0)</f>
        <v>0</v>
      </c>
      <c r="Z193" s="9" t="n">
        <f aca="false">IF(AND(N193&lt;&gt;"",OR(N193&lt;1,N193&gt;5)),1,0)</f>
        <v>0</v>
      </c>
      <c r="AA193" s="9" t="n">
        <f aca="false">IF(AND(M193&lt;&gt;"",OR(M193&lt;5,M193&gt;180)),1,0)</f>
        <v>0</v>
      </c>
      <c r="AB193" s="7" t="str">
        <f aca="false">IF(P193="DUP","Exact duplicate row",IF(T193=1,"Missing Order ID",IF(S193="DROP","Duplicate Order ID (less complete row)",IF(U193=1,"Missing Customer ID",IF(V193=1,"Missing Restaurant name",IF(W193=1,"Invalid/outlier quantity",IF(X193=1,"Invalid/outlier unit price",IF(Y193=1,"Discount greater than order value",""))))))))</f>
        <v/>
      </c>
      <c r="AC193" s="7" t="str">
        <f aca="false">IF(AB193="","KEEP","DROP")</f>
        <v>KEEP</v>
      </c>
      <c r="AD193" s="7" t="str">
        <f aca="false">IF(TRIM(F193)="",IFERROR(INDEX(Map_Tables!$I$4:$I$37,MATCH(TRIM(E193),Map_Tables!$G$4:$G$37,0)),""),IFERROR(INDEX(Map_Tables!$B$4:$B$18,MATCH(TRIM(F193),Map_Tables!$A$4:$A$18,0)),"CHECK"))</f>
        <v>Chennai</v>
      </c>
      <c r="AE193" s="7" t="str">
        <f aca="false">IF(TRIM(E193)="","",IFERROR(INDEX(Map_Tables!$H$4:$H$37,MATCH(TRIM(E193),Map_Tables!$G$4:$G$37,0)),"CHECK"))</f>
        <v>Madras Biryani Co</v>
      </c>
      <c r="AF193" s="7" t="str">
        <f aca="false">IF(TRIM(K193)="","Unknown",IFERROR(INDEX(Map_Tables!$E$4:$E$15,MATCH(TRIM(K193),Map_Tables!$D$4:$D$15,0)),"CHECK"))</f>
        <v>Cash on Delivery</v>
      </c>
      <c r="AG193" s="7" t="str">
        <f aca="false">IF(LEFT(LOWER(TRIM(L193)),6)="cancel","Cancelled","Delivered")</f>
        <v>Delivered</v>
      </c>
      <c r="AH193" s="10" t="n">
        <f aca="false">IF(ISNUMBER(SEARCH("/",B193)),DATE(VALUE(RIGHT(B193,4)),VALUE(MID(B193,4,2)),VALUE(LEFT(B193,2))),IF(MID(B193,5,1)="-",DATE(VALUE(LEFT(B193,4)),VALUE(MID(B193,6,2)),VALUE(RIGHT(B193,2))),DATE(VALUE(RIGHT(B193,4)),MATCH(MID(B193,4,3),{"Jan","Feb","Mar","Apr","May","Jun","Jul","Aug","Sep","Oct","Nov","Dec"},0),VALUE(LEFT(B193,2)))))</f>
        <v>45671</v>
      </c>
    </row>
    <row r="194" customFormat="false" ht="15" hidden="false" customHeight="false" outlineLevel="0" collapsed="false">
      <c r="A194" s="7" t="s">
        <v>925</v>
      </c>
      <c r="B194" s="7" t="s">
        <v>926</v>
      </c>
      <c r="C194" s="7" t="s">
        <v>927</v>
      </c>
      <c r="D194" s="7" t="s">
        <v>721</v>
      </c>
      <c r="E194" s="7" t="s">
        <v>94</v>
      </c>
      <c r="F194" s="7" t="s">
        <v>928</v>
      </c>
      <c r="G194" s="7" t="s">
        <v>95</v>
      </c>
      <c r="H194" s="7" t="n">
        <v>3</v>
      </c>
      <c r="I194" s="7" t="n">
        <v>125</v>
      </c>
      <c r="J194" s="7" t="n">
        <v>0</v>
      </c>
      <c r="K194" s="7" t="s">
        <v>133</v>
      </c>
      <c r="L194" s="7" t="s">
        <v>194</v>
      </c>
      <c r="M194" s="7" t="n">
        <v>41</v>
      </c>
      <c r="N194" s="7" t="n">
        <v>4</v>
      </c>
      <c r="O194" s="7" t="str">
        <f aca="false">A194&amp;"|"&amp;B194&amp;"|"&amp;C194&amp;"|"&amp;D194&amp;"|"&amp;E194&amp;"|"&amp;F194&amp;"|"&amp;G194&amp;"|"&amp;H194&amp;"|"&amp;I194&amp;"|"&amp;J194&amp;"|"&amp;K194&amp;"|"&amp;L194&amp;"|"&amp;M194&amp;"|"&amp;N194</f>
        <v>ORD10071|2025-01-10|18:51|C1430|Dosa Darbar|Bangalore|South Indian|3|125|0|Net Banking|Delivered|41|4</v>
      </c>
      <c r="P194" s="7" t="str">
        <f aca="false">IF(COUNTIF($O$2:O194,O194)&gt;1,"DUP","OK")</f>
        <v>OK</v>
      </c>
      <c r="Q194" s="7" t="n">
        <f aca="false">COUNTBLANK(A194:N194)</f>
        <v>0</v>
      </c>
      <c r="R194" s="7" t="n">
        <f aca="false">IF(A194="",0,COUNTIFS($A$2:$A$3058,A194,$P$2:$P$3058,"OK"))</f>
        <v>1</v>
      </c>
      <c r="S194" s="7" t="str">
        <f aca="false">IF(OR(A194="",P194="DUP",R194&lt;2),"",IF(Q194=_xlfn.MINIFS($Q$2:$Q$3058,$A$2:$A$3058,A194,$P$2:$P$3058,"OK"),"KEEP","DROP"))</f>
        <v/>
      </c>
      <c r="T194" s="9" t="n">
        <f aca="false">IF(A194="",1,0)</f>
        <v>0</v>
      </c>
      <c r="U194" s="9" t="n">
        <f aca="false">IF(D194="",1,0)</f>
        <v>0</v>
      </c>
      <c r="V194" s="9" t="n">
        <f aca="false">IF(E194="",1,0)</f>
        <v>0</v>
      </c>
      <c r="W194" s="9" t="n">
        <f aca="false">IF(OR(H194&lt;1,H194&gt;10),1,0)</f>
        <v>0</v>
      </c>
      <c r="X194" s="9" t="n">
        <f aca="false">IF(OR(I194&lt;=0,I194&gt;1500),1,0)</f>
        <v>0</v>
      </c>
      <c r="Y194" s="9" t="n">
        <f aca="false">IF(J194&gt;H194*I194,1,0)</f>
        <v>0</v>
      </c>
      <c r="Z194" s="9" t="n">
        <f aca="false">IF(AND(N194&lt;&gt;"",OR(N194&lt;1,N194&gt;5)),1,0)</f>
        <v>0</v>
      </c>
      <c r="AA194" s="9" t="n">
        <f aca="false">IF(AND(M194&lt;&gt;"",OR(M194&lt;5,M194&gt;180)),1,0)</f>
        <v>0</v>
      </c>
      <c r="AB194" s="7" t="str">
        <f aca="false">IF(P194="DUP","Exact duplicate row",IF(T194=1,"Missing Order ID",IF(S194="DROP","Duplicate Order ID (less complete row)",IF(U194=1,"Missing Customer ID",IF(V194=1,"Missing Restaurant name",IF(W194=1,"Invalid/outlier quantity",IF(X194=1,"Invalid/outlier unit price",IF(Y194=1,"Discount greater than order value",""))))))))</f>
        <v/>
      </c>
      <c r="AC194" s="7" t="str">
        <f aca="false">IF(AB194="","KEEP","DROP")</f>
        <v>KEEP</v>
      </c>
      <c r="AD194" s="7" t="str">
        <f aca="false">IF(TRIM(F194)="",IFERROR(INDEX(Map_Tables!$I$4:$I$37,MATCH(TRIM(E194),Map_Tables!$G$4:$G$37,0)),""),IFERROR(INDEX(Map_Tables!$B$4:$B$18,MATCH(TRIM(F194),Map_Tables!$A$4:$A$18,0)),"CHECK"))</f>
        <v>Bengaluru</v>
      </c>
      <c r="AE194" s="7" t="str">
        <f aca="false">IF(TRIM(E194)="","",IFERROR(INDEX(Map_Tables!$H$4:$H$37,MATCH(TRIM(E194),Map_Tables!$G$4:$G$37,0)),"CHECK"))</f>
        <v>Dosa Darbar</v>
      </c>
      <c r="AF194" s="7" t="str">
        <f aca="false">IF(TRIM(K194)="","Unknown",IFERROR(INDEX(Map_Tables!$E$4:$E$15,MATCH(TRIM(K194),Map_Tables!$D$4:$D$15,0)),"CHECK"))</f>
        <v>Net Banking</v>
      </c>
      <c r="AG194" s="7" t="str">
        <f aca="false">IF(LEFT(LOWER(TRIM(L194)),6)="cancel","Cancelled","Delivered")</f>
        <v>Delivered</v>
      </c>
      <c r="AH194" s="10" t="n">
        <f aca="false">IF(ISNUMBER(SEARCH("/",B194)),DATE(VALUE(RIGHT(B194,4)),VALUE(MID(B194,4,2)),VALUE(LEFT(B194,2))),IF(MID(B194,5,1)="-",DATE(VALUE(LEFT(B194,4)),VALUE(MID(B194,6,2)),VALUE(RIGHT(B194,2))),DATE(VALUE(RIGHT(B194,4)),MATCH(MID(B194,4,3),{"Jan","Feb","Mar","Apr","May","Jun","Jul","Aug","Sep","Oct","Nov","Dec"},0),VALUE(LEFT(B194,2)))))</f>
        <v>45667</v>
      </c>
    </row>
    <row r="195" customFormat="false" ht="15" hidden="false" customHeight="false" outlineLevel="0" collapsed="false">
      <c r="A195" s="7" t="s">
        <v>929</v>
      </c>
      <c r="B195" s="7" t="s">
        <v>376</v>
      </c>
      <c r="C195" s="7" t="s">
        <v>930</v>
      </c>
      <c r="D195" s="7" t="s">
        <v>931</v>
      </c>
      <c r="E195" s="7" t="s">
        <v>126</v>
      </c>
      <c r="F195" s="7" t="s">
        <v>101</v>
      </c>
      <c r="G195" s="7" t="s">
        <v>105</v>
      </c>
      <c r="H195" s="7" t="n">
        <v>1</v>
      </c>
      <c r="I195" s="7" t="n">
        <v>240</v>
      </c>
      <c r="J195" s="7" t="n">
        <v>0</v>
      </c>
      <c r="K195" s="7" t="s">
        <v>88</v>
      </c>
      <c r="L195" s="7" t="s">
        <v>194</v>
      </c>
      <c r="M195" s="7" t="n">
        <v>44</v>
      </c>
      <c r="N195" s="7"/>
      <c r="O195" s="7" t="str">
        <f aca="false">A195&amp;"|"&amp;B195&amp;"|"&amp;C195&amp;"|"&amp;D195&amp;"|"&amp;E195&amp;"|"&amp;F195&amp;"|"&amp;G195&amp;"|"&amp;H195&amp;"|"&amp;I195&amp;"|"&amp;J195&amp;"|"&amp;K195&amp;"|"&amp;L195&amp;"|"&amp;M195&amp;"|"&amp;N195</f>
        <v>ORD11507|2025-07-14|20:56|C0490|Dragon Express|Mumbai|Chinese|1|240|0|UPI|Delivered|44|</v>
      </c>
      <c r="P195" s="7" t="str">
        <f aca="false">IF(COUNTIF($O$2:O195,O195)&gt;1,"DUP","OK")</f>
        <v>OK</v>
      </c>
      <c r="Q195" s="7" t="n">
        <f aca="false">COUNTBLANK(A195:N195)</f>
        <v>1</v>
      </c>
      <c r="R195" s="7" t="n">
        <f aca="false">IF(A195="",0,COUNTIFS($A$2:$A$3058,A195,$P$2:$P$3058,"OK"))</f>
        <v>1</v>
      </c>
      <c r="S195" s="7" t="str">
        <f aca="false">IF(OR(A195="",P195="DUP",R195&lt;2),"",IF(Q195=_xlfn.MINIFS($Q$2:$Q$3058,$A$2:$A$3058,A195,$P$2:$P$3058,"OK"),"KEEP","DROP"))</f>
        <v/>
      </c>
      <c r="T195" s="9" t="n">
        <f aca="false">IF(A195="",1,0)</f>
        <v>0</v>
      </c>
      <c r="U195" s="9" t="n">
        <f aca="false">IF(D195="",1,0)</f>
        <v>0</v>
      </c>
      <c r="V195" s="9" t="n">
        <f aca="false">IF(E195="",1,0)</f>
        <v>0</v>
      </c>
      <c r="W195" s="9" t="n">
        <f aca="false">IF(OR(H195&lt;1,H195&gt;10),1,0)</f>
        <v>0</v>
      </c>
      <c r="X195" s="9" t="n">
        <f aca="false">IF(OR(I195&lt;=0,I195&gt;1500),1,0)</f>
        <v>0</v>
      </c>
      <c r="Y195" s="9" t="n">
        <f aca="false">IF(J195&gt;H195*I195,1,0)</f>
        <v>0</v>
      </c>
      <c r="Z195" s="9" t="n">
        <f aca="false">IF(AND(N195&lt;&gt;"",OR(N195&lt;1,N195&gt;5)),1,0)</f>
        <v>0</v>
      </c>
      <c r="AA195" s="9" t="n">
        <f aca="false">IF(AND(M195&lt;&gt;"",OR(M195&lt;5,M195&gt;180)),1,0)</f>
        <v>0</v>
      </c>
      <c r="AB195" s="7" t="str">
        <f aca="false">IF(P195="DUP","Exact duplicate row",IF(T195=1,"Missing Order ID",IF(S195="DROP","Duplicate Order ID (less complete row)",IF(U195=1,"Missing Customer ID",IF(V195=1,"Missing Restaurant name",IF(W195=1,"Invalid/outlier quantity",IF(X195=1,"Invalid/outlier unit price",IF(Y195=1,"Discount greater than order value",""))))))))</f>
        <v/>
      </c>
      <c r="AC195" s="7" t="str">
        <f aca="false">IF(AB195="","KEEP","DROP")</f>
        <v>KEEP</v>
      </c>
      <c r="AD195" s="7" t="str">
        <f aca="false">IF(TRIM(F195)="",IFERROR(INDEX(Map_Tables!$I$4:$I$37,MATCH(TRIM(E195),Map_Tables!$G$4:$G$37,0)),""),IFERROR(INDEX(Map_Tables!$B$4:$B$18,MATCH(TRIM(F195),Map_Tables!$A$4:$A$18,0)),"CHECK"))</f>
        <v>Mumbai</v>
      </c>
      <c r="AE195" s="7" t="str">
        <f aca="false">IF(TRIM(E195)="","",IFERROR(INDEX(Map_Tables!$H$4:$H$37,MATCH(TRIM(E195),Map_Tables!$G$4:$G$37,0)),"CHECK"))</f>
        <v>Dragon Express</v>
      </c>
      <c r="AF195" s="7" t="str">
        <f aca="false">IF(TRIM(K195)="","Unknown",IFERROR(INDEX(Map_Tables!$E$4:$E$15,MATCH(TRIM(K195),Map_Tables!$D$4:$D$15,0)),"CHECK"))</f>
        <v>UPI</v>
      </c>
      <c r="AG195" s="7" t="str">
        <f aca="false">IF(LEFT(LOWER(TRIM(L195)),6)="cancel","Cancelled","Delivered")</f>
        <v>Delivered</v>
      </c>
      <c r="AH195" s="10" t="n">
        <f aca="false">IF(ISNUMBER(SEARCH("/",B195)),DATE(VALUE(RIGHT(B195,4)),VALUE(MID(B195,4,2)),VALUE(LEFT(B195,2))),IF(MID(B195,5,1)="-",DATE(VALUE(LEFT(B195,4)),VALUE(MID(B195,6,2)),VALUE(RIGHT(B195,2))),DATE(VALUE(RIGHT(B195,4)),MATCH(MID(B195,4,3),{"Jan","Feb","Mar","Apr","May","Jun","Jul","Aug","Sep","Oct","Nov","Dec"},0),VALUE(LEFT(B195,2)))))</f>
        <v>45852</v>
      </c>
    </row>
    <row r="196" customFormat="false" ht="15" hidden="false" customHeight="false" outlineLevel="0" collapsed="false">
      <c r="A196" s="7" t="s">
        <v>932</v>
      </c>
      <c r="B196" s="7" t="s">
        <v>803</v>
      </c>
      <c r="C196" s="7" t="s">
        <v>486</v>
      </c>
      <c r="D196" s="7" t="s">
        <v>857</v>
      </c>
      <c r="E196" s="7" t="s">
        <v>160</v>
      </c>
      <c r="F196" s="7" t="s">
        <v>136</v>
      </c>
      <c r="G196" s="7" t="s">
        <v>150</v>
      </c>
      <c r="H196" s="7" t="n">
        <v>1</v>
      </c>
      <c r="I196" s="7" t="n">
        <v>215</v>
      </c>
      <c r="J196" s="7" t="n">
        <v>0</v>
      </c>
      <c r="K196" s="7" t="s">
        <v>112</v>
      </c>
      <c r="L196" s="7" t="s">
        <v>194</v>
      </c>
      <c r="M196" s="7" t="n">
        <v>41</v>
      </c>
      <c r="N196" s="7" t="n">
        <v>3</v>
      </c>
      <c r="O196" s="7" t="str">
        <f aca="false">A196&amp;"|"&amp;B196&amp;"|"&amp;C196&amp;"|"&amp;D196&amp;"|"&amp;E196&amp;"|"&amp;F196&amp;"|"&amp;G196&amp;"|"&amp;H196&amp;"|"&amp;I196&amp;"|"&amp;J196&amp;"|"&amp;K196&amp;"|"&amp;L196&amp;"|"&amp;M196&amp;"|"&amp;N196</f>
        <v>ORD11966|2025-09-12|12:46|C0802|Cake Walk|Pune|Desserts|1|215|0|Cash on Delivery|Delivered|41|3</v>
      </c>
      <c r="P196" s="7" t="str">
        <f aca="false">IF(COUNTIF($O$2:O196,O196)&gt;1,"DUP","OK")</f>
        <v>OK</v>
      </c>
      <c r="Q196" s="7" t="n">
        <f aca="false">COUNTBLANK(A196:N196)</f>
        <v>0</v>
      </c>
      <c r="R196" s="7" t="n">
        <f aca="false">IF(A196="",0,COUNTIFS($A$2:$A$3058,A196,$P$2:$P$3058,"OK"))</f>
        <v>1</v>
      </c>
      <c r="S196" s="7" t="str">
        <f aca="false">IF(OR(A196="",P196="DUP",R196&lt;2),"",IF(Q196=_xlfn.MINIFS($Q$2:$Q$3058,$A$2:$A$3058,A196,$P$2:$P$3058,"OK"),"KEEP","DROP"))</f>
        <v/>
      </c>
      <c r="T196" s="9" t="n">
        <f aca="false">IF(A196="",1,0)</f>
        <v>0</v>
      </c>
      <c r="U196" s="9" t="n">
        <f aca="false">IF(D196="",1,0)</f>
        <v>0</v>
      </c>
      <c r="V196" s="9" t="n">
        <f aca="false">IF(E196="",1,0)</f>
        <v>0</v>
      </c>
      <c r="W196" s="9" t="n">
        <f aca="false">IF(OR(H196&lt;1,H196&gt;10),1,0)</f>
        <v>0</v>
      </c>
      <c r="X196" s="9" t="n">
        <f aca="false">IF(OR(I196&lt;=0,I196&gt;1500),1,0)</f>
        <v>0</v>
      </c>
      <c r="Y196" s="9" t="n">
        <f aca="false">IF(J196&gt;H196*I196,1,0)</f>
        <v>0</v>
      </c>
      <c r="Z196" s="9" t="n">
        <f aca="false">IF(AND(N196&lt;&gt;"",OR(N196&lt;1,N196&gt;5)),1,0)</f>
        <v>0</v>
      </c>
      <c r="AA196" s="9" t="n">
        <f aca="false">IF(AND(M196&lt;&gt;"",OR(M196&lt;5,M196&gt;180)),1,0)</f>
        <v>0</v>
      </c>
      <c r="AB196" s="7" t="str">
        <f aca="false">IF(P196="DUP","Exact duplicate row",IF(T196=1,"Missing Order ID",IF(S196="DROP","Duplicate Order ID (less complete row)",IF(U196=1,"Missing Customer ID",IF(V196=1,"Missing Restaurant name",IF(W196=1,"Invalid/outlier quantity",IF(X196=1,"Invalid/outlier unit price",IF(Y196=1,"Discount greater than order value",""))))))))</f>
        <v/>
      </c>
      <c r="AC196" s="7" t="str">
        <f aca="false">IF(AB196="","KEEP","DROP")</f>
        <v>KEEP</v>
      </c>
      <c r="AD196" s="7" t="str">
        <f aca="false">IF(TRIM(F196)="",IFERROR(INDEX(Map_Tables!$I$4:$I$37,MATCH(TRIM(E196),Map_Tables!$G$4:$G$37,0)),""),IFERROR(INDEX(Map_Tables!$B$4:$B$18,MATCH(TRIM(F196),Map_Tables!$A$4:$A$18,0)),"CHECK"))</f>
        <v>Pune</v>
      </c>
      <c r="AE196" s="7" t="str">
        <f aca="false">IF(TRIM(E196)="","",IFERROR(INDEX(Map_Tables!$H$4:$H$37,MATCH(TRIM(E196),Map_Tables!$G$4:$G$37,0)),"CHECK"))</f>
        <v>Cake Walk</v>
      </c>
      <c r="AF196" s="7" t="str">
        <f aca="false">IF(TRIM(K196)="","Unknown",IFERROR(INDEX(Map_Tables!$E$4:$E$15,MATCH(TRIM(K196),Map_Tables!$D$4:$D$15,0)),"CHECK"))</f>
        <v>Cash on Delivery</v>
      </c>
      <c r="AG196" s="7" t="str">
        <f aca="false">IF(LEFT(LOWER(TRIM(L196)),6)="cancel","Cancelled","Delivered")</f>
        <v>Delivered</v>
      </c>
      <c r="AH196" s="10" t="n">
        <f aca="false">IF(ISNUMBER(SEARCH("/",B196)),DATE(VALUE(RIGHT(B196,4)),VALUE(MID(B196,4,2)),VALUE(LEFT(B196,2))),IF(MID(B196,5,1)="-",DATE(VALUE(LEFT(B196,4)),VALUE(MID(B196,6,2)),VALUE(RIGHT(B196,2))),DATE(VALUE(RIGHT(B196,4)),MATCH(MID(B196,4,3),{"Jan","Feb","Mar","Apr","May","Jun","Jul","Aug","Sep","Oct","Nov","Dec"},0),VALUE(LEFT(B196,2)))))</f>
        <v>45912</v>
      </c>
    </row>
    <row r="197" customFormat="false" ht="15" hidden="false" customHeight="false" outlineLevel="0" collapsed="false">
      <c r="A197" s="7" t="s">
        <v>933</v>
      </c>
      <c r="B197" s="7" t="s">
        <v>934</v>
      </c>
      <c r="C197" s="7" t="s">
        <v>935</v>
      </c>
      <c r="D197" s="7" t="s">
        <v>936</v>
      </c>
      <c r="E197" s="7" t="s">
        <v>113</v>
      </c>
      <c r="F197" s="7" t="s">
        <v>101</v>
      </c>
      <c r="G197" s="7" t="s">
        <v>90</v>
      </c>
      <c r="H197" s="7" t="n">
        <v>1</v>
      </c>
      <c r="I197" s="7" t="n">
        <v>230</v>
      </c>
      <c r="J197" s="7" t="n">
        <v>0</v>
      </c>
      <c r="K197" s="7" t="s">
        <v>88</v>
      </c>
      <c r="L197" s="7" t="s">
        <v>194</v>
      </c>
      <c r="M197" s="7" t="n">
        <v>44</v>
      </c>
      <c r="N197" s="7" t="n">
        <v>2</v>
      </c>
      <c r="O197" s="7" t="str">
        <f aca="false">A197&amp;"|"&amp;B197&amp;"|"&amp;C197&amp;"|"&amp;D197&amp;"|"&amp;E197&amp;"|"&amp;F197&amp;"|"&amp;G197&amp;"|"&amp;H197&amp;"|"&amp;I197&amp;"|"&amp;J197&amp;"|"&amp;K197&amp;"|"&amp;L197&amp;"|"&amp;M197&amp;"|"&amp;N197</f>
        <v>ORD11079|17-May-2025|14:41|C0601|Curry Leaf Kitchen|Mumbai|North Indian|1|230|0|UPI|Delivered|44|2</v>
      </c>
      <c r="P197" s="7" t="str">
        <f aca="false">IF(COUNTIF($O$2:O197,O197)&gt;1,"DUP","OK")</f>
        <v>OK</v>
      </c>
      <c r="Q197" s="7" t="n">
        <f aca="false">COUNTBLANK(A197:N197)</f>
        <v>0</v>
      </c>
      <c r="R197" s="7" t="n">
        <f aca="false">IF(A197="",0,COUNTIFS($A$2:$A$3058,A197,$P$2:$P$3058,"OK"))</f>
        <v>1</v>
      </c>
      <c r="S197" s="7" t="str">
        <f aca="false">IF(OR(A197="",P197="DUP",R197&lt;2),"",IF(Q197=_xlfn.MINIFS($Q$2:$Q$3058,$A$2:$A$3058,A197,$P$2:$P$3058,"OK"),"KEEP","DROP"))</f>
        <v/>
      </c>
      <c r="T197" s="9" t="n">
        <f aca="false">IF(A197="",1,0)</f>
        <v>0</v>
      </c>
      <c r="U197" s="9" t="n">
        <f aca="false">IF(D197="",1,0)</f>
        <v>0</v>
      </c>
      <c r="V197" s="9" t="n">
        <f aca="false">IF(E197="",1,0)</f>
        <v>0</v>
      </c>
      <c r="W197" s="9" t="n">
        <f aca="false">IF(OR(H197&lt;1,H197&gt;10),1,0)</f>
        <v>0</v>
      </c>
      <c r="X197" s="9" t="n">
        <f aca="false">IF(OR(I197&lt;=0,I197&gt;1500),1,0)</f>
        <v>0</v>
      </c>
      <c r="Y197" s="9" t="n">
        <f aca="false">IF(J197&gt;H197*I197,1,0)</f>
        <v>0</v>
      </c>
      <c r="Z197" s="9" t="n">
        <f aca="false">IF(AND(N197&lt;&gt;"",OR(N197&lt;1,N197&gt;5)),1,0)</f>
        <v>0</v>
      </c>
      <c r="AA197" s="9" t="n">
        <f aca="false">IF(AND(M197&lt;&gt;"",OR(M197&lt;5,M197&gt;180)),1,0)</f>
        <v>0</v>
      </c>
      <c r="AB197" s="7" t="str">
        <f aca="false">IF(P197="DUP","Exact duplicate row",IF(T197=1,"Missing Order ID",IF(S197="DROP","Duplicate Order ID (less complete row)",IF(U197=1,"Missing Customer ID",IF(V197=1,"Missing Restaurant name",IF(W197=1,"Invalid/outlier quantity",IF(X197=1,"Invalid/outlier unit price",IF(Y197=1,"Discount greater than order value",""))))))))</f>
        <v/>
      </c>
      <c r="AC197" s="7" t="str">
        <f aca="false">IF(AB197="","KEEP","DROP")</f>
        <v>KEEP</v>
      </c>
      <c r="AD197" s="7" t="str">
        <f aca="false">IF(TRIM(F197)="",IFERROR(INDEX(Map_Tables!$I$4:$I$37,MATCH(TRIM(E197),Map_Tables!$G$4:$G$37,0)),""),IFERROR(INDEX(Map_Tables!$B$4:$B$18,MATCH(TRIM(F197),Map_Tables!$A$4:$A$18,0)),"CHECK"))</f>
        <v>Mumbai</v>
      </c>
      <c r="AE197" s="7" t="str">
        <f aca="false">IF(TRIM(E197)="","",IFERROR(INDEX(Map_Tables!$H$4:$H$37,MATCH(TRIM(E197),Map_Tables!$G$4:$G$37,0)),"CHECK"))</f>
        <v>Curry Leaf Kitchen</v>
      </c>
      <c r="AF197" s="7" t="str">
        <f aca="false">IF(TRIM(K197)="","Unknown",IFERROR(INDEX(Map_Tables!$E$4:$E$15,MATCH(TRIM(K197),Map_Tables!$D$4:$D$15,0)),"CHECK"))</f>
        <v>UPI</v>
      </c>
      <c r="AG197" s="7" t="str">
        <f aca="false">IF(LEFT(LOWER(TRIM(L197)),6)="cancel","Cancelled","Delivered")</f>
        <v>Delivered</v>
      </c>
      <c r="AH197" s="10" t="n">
        <f aca="false">IF(ISNUMBER(SEARCH("/",B197)),DATE(VALUE(RIGHT(B197,4)),VALUE(MID(B197,4,2)),VALUE(LEFT(B197,2))),IF(MID(B197,5,1)="-",DATE(VALUE(LEFT(B197,4)),VALUE(MID(B197,6,2)),VALUE(RIGHT(B197,2))),DATE(VALUE(RIGHT(B197,4)),MATCH(MID(B197,4,3),{"Jan","Feb","Mar","Apr","May","Jun","Jul","Aug","Sep","Oct","Nov","Dec"},0),VALUE(LEFT(B197,2)))))</f>
        <v>45794</v>
      </c>
    </row>
    <row r="198" customFormat="false" ht="15" hidden="false" customHeight="false" outlineLevel="0" collapsed="false">
      <c r="A198" s="7" t="s">
        <v>937</v>
      </c>
      <c r="B198" s="7" t="s">
        <v>938</v>
      </c>
      <c r="C198" s="7" t="s">
        <v>939</v>
      </c>
      <c r="D198" s="7" t="s">
        <v>940</v>
      </c>
      <c r="E198" s="7" t="s">
        <v>941</v>
      </c>
      <c r="F198" s="7" t="s">
        <v>86</v>
      </c>
      <c r="G198" s="7" t="s">
        <v>99</v>
      </c>
      <c r="H198" s="7" t="n">
        <v>2</v>
      </c>
      <c r="I198" s="7" t="n">
        <v>235</v>
      </c>
      <c r="J198" s="7" t="n">
        <v>20</v>
      </c>
      <c r="K198" s="7" t="s">
        <v>121</v>
      </c>
      <c r="L198" s="7" t="s">
        <v>194</v>
      </c>
      <c r="M198" s="7" t="n">
        <v>38</v>
      </c>
      <c r="N198" s="7" t="n">
        <v>4</v>
      </c>
      <c r="O198" s="7" t="str">
        <f aca="false">A198&amp;"|"&amp;B198&amp;"|"&amp;C198&amp;"|"&amp;D198&amp;"|"&amp;E198&amp;"|"&amp;F198&amp;"|"&amp;G198&amp;"|"&amp;H198&amp;"|"&amp;I198&amp;"|"&amp;J198&amp;"|"&amp;K198&amp;"|"&amp;L198&amp;"|"&amp;M198&amp;"|"&amp;N198</f>
        <v>ORD10869|2025-04-20|13:14|C0305|Nawabi Biryani House |Bengaluru|Biryani|2|235|20|Wallet|Delivered|38|4</v>
      </c>
      <c r="P198" s="7" t="str">
        <f aca="false">IF(COUNTIF($O$2:O198,O198)&gt;1,"DUP","OK")</f>
        <v>OK</v>
      </c>
      <c r="Q198" s="7" t="n">
        <f aca="false">COUNTBLANK(A198:N198)</f>
        <v>0</v>
      </c>
      <c r="R198" s="7" t="n">
        <f aca="false">IF(A198="",0,COUNTIFS($A$2:$A$3058,A198,$P$2:$P$3058,"OK"))</f>
        <v>1</v>
      </c>
      <c r="S198" s="7" t="str">
        <f aca="false">IF(OR(A198="",P198="DUP",R198&lt;2),"",IF(Q198=_xlfn.MINIFS($Q$2:$Q$3058,$A$2:$A$3058,A198,$P$2:$P$3058,"OK"),"KEEP","DROP"))</f>
        <v/>
      </c>
      <c r="T198" s="9" t="n">
        <f aca="false">IF(A198="",1,0)</f>
        <v>0</v>
      </c>
      <c r="U198" s="9" t="n">
        <f aca="false">IF(D198="",1,0)</f>
        <v>0</v>
      </c>
      <c r="V198" s="9" t="n">
        <f aca="false">IF(E198="",1,0)</f>
        <v>0</v>
      </c>
      <c r="W198" s="9" t="n">
        <f aca="false">IF(OR(H198&lt;1,H198&gt;10),1,0)</f>
        <v>0</v>
      </c>
      <c r="X198" s="9" t="n">
        <f aca="false">IF(OR(I198&lt;=0,I198&gt;1500),1,0)</f>
        <v>0</v>
      </c>
      <c r="Y198" s="9" t="n">
        <f aca="false">IF(J198&gt;H198*I198,1,0)</f>
        <v>0</v>
      </c>
      <c r="Z198" s="9" t="n">
        <f aca="false">IF(AND(N198&lt;&gt;"",OR(N198&lt;1,N198&gt;5)),1,0)</f>
        <v>0</v>
      </c>
      <c r="AA198" s="9" t="n">
        <f aca="false">IF(AND(M198&lt;&gt;"",OR(M198&lt;5,M198&gt;180)),1,0)</f>
        <v>0</v>
      </c>
      <c r="AB198" s="7" t="str">
        <f aca="false">IF(P198="DUP","Exact duplicate row",IF(T198=1,"Missing Order ID",IF(S198="DROP","Duplicate Order ID (less complete row)",IF(U198=1,"Missing Customer ID",IF(V198=1,"Missing Restaurant name",IF(W198=1,"Invalid/outlier quantity",IF(X198=1,"Invalid/outlier unit price",IF(Y198=1,"Discount greater than order value",""))))))))</f>
        <v/>
      </c>
      <c r="AC198" s="7" t="str">
        <f aca="false">IF(AB198="","KEEP","DROP")</f>
        <v>KEEP</v>
      </c>
      <c r="AD198" s="7" t="str">
        <f aca="false">IF(TRIM(F198)="",IFERROR(INDEX(Map_Tables!$I$4:$I$37,MATCH(TRIM(E198),Map_Tables!$G$4:$G$37,0)),""),IFERROR(INDEX(Map_Tables!$B$4:$B$18,MATCH(TRIM(F198),Map_Tables!$A$4:$A$18,0)),"CHECK"))</f>
        <v>Bengaluru</v>
      </c>
      <c r="AE198" s="7" t="str">
        <f aca="false">IF(TRIM(E198)="","",IFERROR(INDEX(Map_Tables!$H$4:$H$37,MATCH(TRIM(E198),Map_Tables!$G$4:$G$37,0)),"CHECK"))</f>
        <v>Nawabi Biryani House</v>
      </c>
      <c r="AF198" s="7" t="str">
        <f aca="false">IF(TRIM(K198)="","Unknown",IFERROR(INDEX(Map_Tables!$E$4:$E$15,MATCH(TRIM(K198),Map_Tables!$D$4:$D$15,0)),"CHECK"))</f>
        <v>Wallet</v>
      </c>
      <c r="AG198" s="7" t="str">
        <f aca="false">IF(LEFT(LOWER(TRIM(L198)),6)="cancel","Cancelled","Delivered")</f>
        <v>Delivered</v>
      </c>
      <c r="AH198" s="10" t="n">
        <f aca="false">IF(ISNUMBER(SEARCH("/",B198)),DATE(VALUE(RIGHT(B198,4)),VALUE(MID(B198,4,2)),VALUE(LEFT(B198,2))),IF(MID(B198,5,1)="-",DATE(VALUE(LEFT(B198,4)),VALUE(MID(B198,6,2)),VALUE(RIGHT(B198,2))),DATE(VALUE(RIGHT(B198,4)),MATCH(MID(B198,4,3),{"Jan","Feb","Mar","Apr","May","Jun","Jul","Aug","Sep","Oct","Nov","Dec"},0),VALUE(LEFT(B198,2)))))</f>
        <v>45767</v>
      </c>
    </row>
    <row r="199" customFormat="false" ht="15" hidden="false" customHeight="false" outlineLevel="0" collapsed="false">
      <c r="A199" s="7" t="s">
        <v>942</v>
      </c>
      <c r="B199" s="7" t="s">
        <v>943</v>
      </c>
      <c r="C199" s="7" t="s">
        <v>944</v>
      </c>
      <c r="D199" s="7" t="s">
        <v>945</v>
      </c>
      <c r="E199" s="7" t="s">
        <v>116</v>
      </c>
      <c r="F199" s="7" t="s">
        <v>101</v>
      </c>
      <c r="G199" s="7" t="s">
        <v>117</v>
      </c>
      <c r="H199" s="7" t="n">
        <v>1</v>
      </c>
      <c r="I199" s="7" t="n">
        <v>140</v>
      </c>
      <c r="J199" s="7" t="n">
        <v>0</v>
      </c>
      <c r="K199" s="7" t="s">
        <v>379</v>
      </c>
      <c r="L199" s="7" t="s">
        <v>194</v>
      </c>
      <c r="M199" s="7" t="n">
        <v>41</v>
      </c>
      <c r="N199" s="7" t="n">
        <v>5</v>
      </c>
      <c r="O199" s="7" t="str">
        <f aca="false">A199&amp;"|"&amp;B199&amp;"|"&amp;C199&amp;"|"&amp;D199&amp;"|"&amp;E199&amp;"|"&amp;F199&amp;"|"&amp;G199&amp;"|"&amp;H199&amp;"|"&amp;I199&amp;"|"&amp;J199&amp;"|"&amp;K199&amp;"|"&amp;L199&amp;"|"&amp;M199&amp;"|"&amp;N199</f>
        <v>ORD12919|2025-12-22|21:57|C0399|Pav Bhaji Point|Mumbai|Street Food|1|140|0|Credit card|Delivered|41|5</v>
      </c>
      <c r="P199" s="7" t="str">
        <f aca="false">IF(COUNTIF($O$2:O199,O199)&gt;1,"DUP","OK")</f>
        <v>OK</v>
      </c>
      <c r="Q199" s="7" t="n">
        <f aca="false">COUNTBLANK(A199:N199)</f>
        <v>0</v>
      </c>
      <c r="R199" s="7" t="n">
        <f aca="false">IF(A199="",0,COUNTIFS($A$2:$A$3058,A199,$P$2:$P$3058,"OK"))</f>
        <v>1</v>
      </c>
      <c r="S199" s="7" t="str">
        <f aca="false">IF(OR(A199="",P199="DUP",R199&lt;2),"",IF(Q199=_xlfn.MINIFS($Q$2:$Q$3058,$A$2:$A$3058,A199,$P$2:$P$3058,"OK"),"KEEP","DROP"))</f>
        <v/>
      </c>
      <c r="T199" s="9" t="n">
        <f aca="false">IF(A199="",1,0)</f>
        <v>0</v>
      </c>
      <c r="U199" s="9" t="n">
        <f aca="false">IF(D199="",1,0)</f>
        <v>0</v>
      </c>
      <c r="V199" s="9" t="n">
        <f aca="false">IF(E199="",1,0)</f>
        <v>0</v>
      </c>
      <c r="W199" s="9" t="n">
        <f aca="false">IF(OR(H199&lt;1,H199&gt;10),1,0)</f>
        <v>0</v>
      </c>
      <c r="X199" s="9" t="n">
        <f aca="false">IF(OR(I199&lt;=0,I199&gt;1500),1,0)</f>
        <v>0</v>
      </c>
      <c r="Y199" s="9" t="n">
        <f aca="false">IF(J199&gt;H199*I199,1,0)</f>
        <v>0</v>
      </c>
      <c r="Z199" s="9" t="n">
        <f aca="false">IF(AND(N199&lt;&gt;"",OR(N199&lt;1,N199&gt;5)),1,0)</f>
        <v>0</v>
      </c>
      <c r="AA199" s="9" t="n">
        <f aca="false">IF(AND(M199&lt;&gt;"",OR(M199&lt;5,M199&gt;180)),1,0)</f>
        <v>0</v>
      </c>
      <c r="AB199" s="7" t="str">
        <f aca="false">IF(P199="DUP","Exact duplicate row",IF(T199=1,"Missing Order ID",IF(S199="DROP","Duplicate Order ID (less complete row)",IF(U199=1,"Missing Customer ID",IF(V199=1,"Missing Restaurant name",IF(W199=1,"Invalid/outlier quantity",IF(X199=1,"Invalid/outlier unit price",IF(Y199=1,"Discount greater than order value",""))))))))</f>
        <v/>
      </c>
      <c r="AC199" s="7" t="str">
        <f aca="false">IF(AB199="","KEEP","DROP")</f>
        <v>KEEP</v>
      </c>
      <c r="AD199" s="7" t="str">
        <f aca="false">IF(TRIM(F199)="",IFERROR(INDEX(Map_Tables!$I$4:$I$37,MATCH(TRIM(E199),Map_Tables!$G$4:$G$37,0)),""),IFERROR(INDEX(Map_Tables!$B$4:$B$18,MATCH(TRIM(F199),Map_Tables!$A$4:$A$18,0)),"CHECK"))</f>
        <v>Mumbai</v>
      </c>
      <c r="AE199" s="7" t="str">
        <f aca="false">IF(TRIM(E199)="","",IFERROR(INDEX(Map_Tables!$H$4:$H$37,MATCH(TRIM(E199),Map_Tables!$G$4:$G$37,0)),"CHECK"))</f>
        <v>Pav Bhaji Point</v>
      </c>
      <c r="AF199" s="7" t="str">
        <f aca="false">IF(TRIM(K199)="","Unknown",IFERROR(INDEX(Map_Tables!$E$4:$E$15,MATCH(TRIM(K199),Map_Tables!$D$4:$D$15,0)),"CHECK"))</f>
        <v>Credit Card</v>
      </c>
      <c r="AG199" s="7" t="str">
        <f aca="false">IF(LEFT(LOWER(TRIM(L199)),6)="cancel","Cancelled","Delivered")</f>
        <v>Delivered</v>
      </c>
      <c r="AH199" s="10" t="n">
        <f aca="false">IF(ISNUMBER(SEARCH("/",B199)),DATE(VALUE(RIGHT(B199,4)),VALUE(MID(B199,4,2)),VALUE(LEFT(B199,2))),IF(MID(B199,5,1)="-",DATE(VALUE(LEFT(B199,4)),VALUE(MID(B199,6,2)),VALUE(RIGHT(B199,2))),DATE(VALUE(RIGHT(B199,4)),MATCH(MID(B199,4,3),{"Jan","Feb","Mar","Apr","May","Jun","Jul","Aug","Sep","Oct","Nov","Dec"},0),VALUE(LEFT(B199,2)))))</f>
        <v>46013</v>
      </c>
    </row>
    <row r="200" customFormat="false" ht="15" hidden="false" customHeight="false" outlineLevel="0" collapsed="false">
      <c r="A200" s="7" t="s">
        <v>946</v>
      </c>
      <c r="B200" s="7" t="s">
        <v>563</v>
      </c>
      <c r="C200" s="7" t="s">
        <v>947</v>
      </c>
      <c r="D200" s="7" t="s">
        <v>948</v>
      </c>
      <c r="E200" s="7" t="s">
        <v>949</v>
      </c>
      <c r="F200" s="7" t="s">
        <v>110</v>
      </c>
      <c r="G200" s="7" t="s">
        <v>90</v>
      </c>
      <c r="H200" s="7" t="n">
        <v>1</v>
      </c>
      <c r="I200" s="7" t="n">
        <v>240</v>
      </c>
      <c r="J200" s="7" t="n">
        <v>0</v>
      </c>
      <c r="K200" s="7" t="s">
        <v>88</v>
      </c>
      <c r="L200" s="7" t="s">
        <v>194</v>
      </c>
      <c r="M200" s="7" t="n">
        <v>38</v>
      </c>
      <c r="N200" s="7" t="n">
        <v>4</v>
      </c>
      <c r="O200" s="7" t="str">
        <f aca="false">A200&amp;"|"&amp;B200&amp;"|"&amp;C200&amp;"|"&amp;D200&amp;"|"&amp;E200&amp;"|"&amp;F200&amp;"|"&amp;G200&amp;"|"&amp;H200&amp;"|"&amp;I200&amp;"|"&amp;J200&amp;"|"&amp;K200&amp;"|"&amp;L200&amp;"|"&amp;M200&amp;"|"&amp;N200</f>
        <v>ORD11780|2025-08-20|17:59|C0622|Tandoor  Tales|Delhi|North Indian|1|240|0|UPI|Delivered|38|4</v>
      </c>
      <c r="P200" s="7" t="str">
        <f aca="false">IF(COUNTIF($O$2:O200,O200)&gt;1,"DUP","OK")</f>
        <v>OK</v>
      </c>
      <c r="Q200" s="7" t="n">
        <f aca="false">COUNTBLANK(A200:N200)</f>
        <v>0</v>
      </c>
      <c r="R200" s="7" t="n">
        <f aca="false">IF(A200="",0,COUNTIFS($A$2:$A$3058,A200,$P$2:$P$3058,"OK"))</f>
        <v>1</v>
      </c>
      <c r="S200" s="7" t="str">
        <f aca="false">IF(OR(A200="",P200="DUP",R200&lt;2),"",IF(Q200=_xlfn.MINIFS($Q$2:$Q$3058,$A$2:$A$3058,A200,$P$2:$P$3058,"OK"),"KEEP","DROP"))</f>
        <v/>
      </c>
      <c r="T200" s="9" t="n">
        <f aca="false">IF(A200="",1,0)</f>
        <v>0</v>
      </c>
      <c r="U200" s="9" t="n">
        <f aca="false">IF(D200="",1,0)</f>
        <v>0</v>
      </c>
      <c r="V200" s="9" t="n">
        <f aca="false">IF(E200="",1,0)</f>
        <v>0</v>
      </c>
      <c r="W200" s="9" t="n">
        <f aca="false">IF(OR(H200&lt;1,H200&gt;10),1,0)</f>
        <v>0</v>
      </c>
      <c r="X200" s="9" t="n">
        <f aca="false">IF(OR(I200&lt;=0,I200&gt;1500),1,0)</f>
        <v>0</v>
      </c>
      <c r="Y200" s="9" t="n">
        <f aca="false">IF(J200&gt;H200*I200,1,0)</f>
        <v>0</v>
      </c>
      <c r="Z200" s="9" t="n">
        <f aca="false">IF(AND(N200&lt;&gt;"",OR(N200&lt;1,N200&gt;5)),1,0)</f>
        <v>0</v>
      </c>
      <c r="AA200" s="9" t="n">
        <f aca="false">IF(AND(M200&lt;&gt;"",OR(M200&lt;5,M200&gt;180)),1,0)</f>
        <v>0</v>
      </c>
      <c r="AB200" s="7" t="str">
        <f aca="false">IF(P200="DUP","Exact duplicate row",IF(T200=1,"Missing Order ID",IF(S200="DROP","Duplicate Order ID (less complete row)",IF(U200=1,"Missing Customer ID",IF(V200=1,"Missing Restaurant name",IF(W200=1,"Invalid/outlier quantity",IF(X200=1,"Invalid/outlier unit price",IF(Y200=1,"Discount greater than order value",""))))))))</f>
        <v/>
      </c>
      <c r="AC200" s="7" t="str">
        <f aca="false">IF(AB200="","KEEP","DROP")</f>
        <v>KEEP</v>
      </c>
      <c r="AD200" s="7" t="str">
        <f aca="false">IF(TRIM(F200)="",IFERROR(INDEX(Map_Tables!$I$4:$I$37,MATCH(TRIM(E200),Map_Tables!$G$4:$G$37,0)),""),IFERROR(INDEX(Map_Tables!$B$4:$B$18,MATCH(TRIM(F200),Map_Tables!$A$4:$A$18,0)),"CHECK"))</f>
        <v>Delhi</v>
      </c>
      <c r="AE200" s="7" t="str">
        <f aca="false">IF(TRIM(E200)="","",IFERROR(INDEX(Map_Tables!$H$4:$H$37,MATCH(TRIM(E200),Map_Tables!$G$4:$G$37,0)),"CHECK"))</f>
        <v>Tandoor Tales</v>
      </c>
      <c r="AF200" s="7" t="str">
        <f aca="false">IF(TRIM(K200)="","Unknown",IFERROR(INDEX(Map_Tables!$E$4:$E$15,MATCH(TRIM(K200),Map_Tables!$D$4:$D$15,0)),"CHECK"))</f>
        <v>UPI</v>
      </c>
      <c r="AG200" s="7" t="str">
        <f aca="false">IF(LEFT(LOWER(TRIM(L200)),6)="cancel","Cancelled","Delivered")</f>
        <v>Delivered</v>
      </c>
      <c r="AH200" s="10" t="n">
        <f aca="false">IF(ISNUMBER(SEARCH("/",B200)),DATE(VALUE(RIGHT(B200,4)),VALUE(MID(B200,4,2)),VALUE(LEFT(B200,2))),IF(MID(B200,5,1)="-",DATE(VALUE(LEFT(B200,4)),VALUE(MID(B200,6,2)),VALUE(RIGHT(B200,2))),DATE(VALUE(RIGHT(B200,4)),MATCH(MID(B200,4,3),{"Jan","Feb","Mar","Apr","May","Jun","Jul","Aug","Sep","Oct","Nov","Dec"},0),VALUE(LEFT(B200,2)))))</f>
        <v>45889</v>
      </c>
    </row>
    <row r="201" customFormat="false" ht="15" hidden="false" customHeight="false" outlineLevel="0" collapsed="false">
      <c r="A201" s="7" t="s">
        <v>950</v>
      </c>
      <c r="B201" s="7" t="s">
        <v>951</v>
      </c>
      <c r="C201" s="7" t="s">
        <v>952</v>
      </c>
      <c r="D201" s="7" t="s">
        <v>953</v>
      </c>
      <c r="E201" s="7" t="s">
        <v>130</v>
      </c>
      <c r="F201" s="7" t="s">
        <v>110</v>
      </c>
      <c r="G201" s="7" t="s">
        <v>90</v>
      </c>
      <c r="H201" s="7" t="n">
        <v>1</v>
      </c>
      <c r="I201" s="7" t="n">
        <v>280</v>
      </c>
      <c r="J201" s="7" t="n">
        <v>20</v>
      </c>
      <c r="K201" s="7" t="s">
        <v>88</v>
      </c>
      <c r="L201" s="7" t="s">
        <v>194</v>
      </c>
      <c r="M201" s="7" t="n">
        <v>51</v>
      </c>
      <c r="N201" s="7" t="n">
        <v>5</v>
      </c>
      <c r="O201" s="7" t="str">
        <f aca="false">A201&amp;"|"&amp;B201&amp;"|"&amp;C201&amp;"|"&amp;D201&amp;"|"&amp;E201&amp;"|"&amp;F201&amp;"|"&amp;G201&amp;"|"&amp;H201&amp;"|"&amp;I201&amp;"|"&amp;J201&amp;"|"&amp;K201&amp;"|"&amp;L201&amp;"|"&amp;M201&amp;"|"&amp;N201</f>
        <v>ORD11916|06/09/2025|10:48|C0572|Tandoor Tales|Delhi|North Indian|1|280|20|UPI|Delivered|51|5</v>
      </c>
      <c r="P201" s="7" t="str">
        <f aca="false">IF(COUNTIF($O$2:O201,O201)&gt;1,"DUP","OK")</f>
        <v>OK</v>
      </c>
      <c r="Q201" s="7" t="n">
        <f aca="false">COUNTBLANK(A201:N201)</f>
        <v>0</v>
      </c>
      <c r="R201" s="7" t="n">
        <f aca="false">IF(A201="",0,COUNTIFS($A$2:$A$3058,A201,$P$2:$P$3058,"OK"))</f>
        <v>1</v>
      </c>
      <c r="S201" s="7" t="str">
        <f aca="false">IF(OR(A201="",P201="DUP",R201&lt;2),"",IF(Q201=_xlfn.MINIFS($Q$2:$Q$3058,$A$2:$A$3058,A201,$P$2:$P$3058,"OK"),"KEEP","DROP"))</f>
        <v/>
      </c>
      <c r="T201" s="9" t="n">
        <f aca="false">IF(A201="",1,0)</f>
        <v>0</v>
      </c>
      <c r="U201" s="9" t="n">
        <f aca="false">IF(D201="",1,0)</f>
        <v>0</v>
      </c>
      <c r="V201" s="9" t="n">
        <f aca="false">IF(E201="",1,0)</f>
        <v>0</v>
      </c>
      <c r="W201" s="9" t="n">
        <f aca="false">IF(OR(H201&lt;1,H201&gt;10),1,0)</f>
        <v>0</v>
      </c>
      <c r="X201" s="9" t="n">
        <f aca="false">IF(OR(I201&lt;=0,I201&gt;1500),1,0)</f>
        <v>0</v>
      </c>
      <c r="Y201" s="9" t="n">
        <f aca="false">IF(J201&gt;H201*I201,1,0)</f>
        <v>0</v>
      </c>
      <c r="Z201" s="9" t="n">
        <f aca="false">IF(AND(N201&lt;&gt;"",OR(N201&lt;1,N201&gt;5)),1,0)</f>
        <v>0</v>
      </c>
      <c r="AA201" s="9" t="n">
        <f aca="false">IF(AND(M201&lt;&gt;"",OR(M201&lt;5,M201&gt;180)),1,0)</f>
        <v>0</v>
      </c>
      <c r="AB201" s="7" t="str">
        <f aca="false">IF(P201="DUP","Exact duplicate row",IF(T201=1,"Missing Order ID",IF(S201="DROP","Duplicate Order ID (less complete row)",IF(U201=1,"Missing Customer ID",IF(V201=1,"Missing Restaurant name",IF(W201=1,"Invalid/outlier quantity",IF(X201=1,"Invalid/outlier unit price",IF(Y201=1,"Discount greater than order value",""))))))))</f>
        <v/>
      </c>
      <c r="AC201" s="7" t="str">
        <f aca="false">IF(AB201="","KEEP","DROP")</f>
        <v>KEEP</v>
      </c>
      <c r="AD201" s="7" t="str">
        <f aca="false">IF(TRIM(F201)="",IFERROR(INDEX(Map_Tables!$I$4:$I$37,MATCH(TRIM(E201),Map_Tables!$G$4:$G$37,0)),""),IFERROR(INDEX(Map_Tables!$B$4:$B$18,MATCH(TRIM(F201),Map_Tables!$A$4:$A$18,0)),"CHECK"))</f>
        <v>Delhi</v>
      </c>
      <c r="AE201" s="7" t="str">
        <f aca="false">IF(TRIM(E201)="","",IFERROR(INDEX(Map_Tables!$H$4:$H$37,MATCH(TRIM(E201),Map_Tables!$G$4:$G$37,0)),"CHECK"))</f>
        <v>Tandoor Tales</v>
      </c>
      <c r="AF201" s="7" t="str">
        <f aca="false">IF(TRIM(K201)="","Unknown",IFERROR(INDEX(Map_Tables!$E$4:$E$15,MATCH(TRIM(K201),Map_Tables!$D$4:$D$15,0)),"CHECK"))</f>
        <v>UPI</v>
      </c>
      <c r="AG201" s="7" t="str">
        <f aca="false">IF(LEFT(LOWER(TRIM(L201)),6)="cancel","Cancelled","Delivered")</f>
        <v>Delivered</v>
      </c>
      <c r="AH201" s="10" t="n">
        <f aca="false">IF(ISNUMBER(SEARCH("/",B201)),DATE(VALUE(RIGHT(B201,4)),VALUE(MID(B201,4,2)),VALUE(LEFT(B201,2))),IF(MID(B201,5,1)="-",DATE(VALUE(LEFT(B201,4)),VALUE(MID(B201,6,2)),VALUE(RIGHT(B201,2))),DATE(VALUE(RIGHT(B201,4)),MATCH(MID(B201,4,3),{"Jan","Feb","Mar","Apr","May","Jun","Jul","Aug","Sep","Oct","Nov","Dec"},0),VALUE(LEFT(B201,2)))))</f>
        <v>45906</v>
      </c>
    </row>
    <row r="202" customFormat="false" ht="15" hidden="false" customHeight="false" outlineLevel="0" collapsed="false">
      <c r="A202" s="7" t="s">
        <v>954</v>
      </c>
      <c r="B202" s="7" t="s">
        <v>955</v>
      </c>
      <c r="C202" s="7" t="s">
        <v>588</v>
      </c>
      <c r="D202" s="7" t="s">
        <v>956</v>
      </c>
      <c r="E202" s="7" t="s">
        <v>138</v>
      </c>
      <c r="F202" s="7" t="s">
        <v>521</v>
      </c>
      <c r="G202" s="7" t="s">
        <v>139</v>
      </c>
      <c r="H202" s="7" t="n">
        <v>2</v>
      </c>
      <c r="I202" s="7" t="n">
        <v>165</v>
      </c>
      <c r="J202" s="7" t="n">
        <v>50</v>
      </c>
      <c r="K202" s="7" t="s">
        <v>93</v>
      </c>
      <c r="L202" s="7" t="s">
        <v>194</v>
      </c>
      <c r="M202" s="7" t="n">
        <v>38</v>
      </c>
      <c r="N202" s="7" t="n">
        <v>5</v>
      </c>
      <c r="O202" s="7" t="str">
        <f aca="false">A202&amp;"|"&amp;B202&amp;"|"&amp;C202&amp;"|"&amp;D202&amp;"|"&amp;E202&amp;"|"&amp;F202&amp;"|"&amp;G202&amp;"|"&amp;H202&amp;"|"&amp;I202&amp;"|"&amp;J202&amp;"|"&amp;K202&amp;"|"&amp;L202&amp;"|"&amp;M202&amp;"|"&amp;N202</f>
        <v>ORD11446|2025-07-07|12:31|C1291|Burger Barn|DELHI|Burgers|2|165|50|Credit Card|Delivered|38|5</v>
      </c>
      <c r="P202" s="7" t="str">
        <f aca="false">IF(COUNTIF($O$2:O202,O202)&gt;1,"DUP","OK")</f>
        <v>OK</v>
      </c>
      <c r="Q202" s="7" t="n">
        <f aca="false">COUNTBLANK(A202:N202)</f>
        <v>0</v>
      </c>
      <c r="R202" s="7" t="n">
        <f aca="false">IF(A202="",0,COUNTIFS($A$2:$A$3058,A202,$P$2:$P$3058,"OK"))</f>
        <v>1</v>
      </c>
      <c r="S202" s="7" t="str">
        <f aca="false">IF(OR(A202="",P202="DUP",R202&lt;2),"",IF(Q202=_xlfn.MINIFS($Q$2:$Q$3058,$A$2:$A$3058,A202,$P$2:$P$3058,"OK"),"KEEP","DROP"))</f>
        <v/>
      </c>
      <c r="T202" s="9" t="n">
        <f aca="false">IF(A202="",1,0)</f>
        <v>0</v>
      </c>
      <c r="U202" s="9" t="n">
        <f aca="false">IF(D202="",1,0)</f>
        <v>0</v>
      </c>
      <c r="V202" s="9" t="n">
        <f aca="false">IF(E202="",1,0)</f>
        <v>0</v>
      </c>
      <c r="W202" s="9" t="n">
        <f aca="false">IF(OR(H202&lt;1,H202&gt;10),1,0)</f>
        <v>0</v>
      </c>
      <c r="X202" s="9" t="n">
        <f aca="false">IF(OR(I202&lt;=0,I202&gt;1500),1,0)</f>
        <v>0</v>
      </c>
      <c r="Y202" s="9" t="n">
        <f aca="false">IF(J202&gt;H202*I202,1,0)</f>
        <v>0</v>
      </c>
      <c r="Z202" s="9" t="n">
        <f aca="false">IF(AND(N202&lt;&gt;"",OR(N202&lt;1,N202&gt;5)),1,0)</f>
        <v>0</v>
      </c>
      <c r="AA202" s="9" t="n">
        <f aca="false">IF(AND(M202&lt;&gt;"",OR(M202&lt;5,M202&gt;180)),1,0)</f>
        <v>0</v>
      </c>
      <c r="AB202" s="7" t="str">
        <f aca="false">IF(P202="DUP","Exact duplicate row",IF(T202=1,"Missing Order ID",IF(S202="DROP","Duplicate Order ID (less complete row)",IF(U202=1,"Missing Customer ID",IF(V202=1,"Missing Restaurant name",IF(W202=1,"Invalid/outlier quantity",IF(X202=1,"Invalid/outlier unit price",IF(Y202=1,"Discount greater than order value",""))))))))</f>
        <v/>
      </c>
      <c r="AC202" s="7" t="str">
        <f aca="false">IF(AB202="","KEEP","DROP")</f>
        <v>KEEP</v>
      </c>
      <c r="AD202" s="7" t="str">
        <f aca="false">IF(TRIM(F202)="",IFERROR(INDEX(Map_Tables!$I$4:$I$37,MATCH(TRIM(E202),Map_Tables!$G$4:$G$37,0)),""),IFERROR(INDEX(Map_Tables!$B$4:$B$18,MATCH(TRIM(F202),Map_Tables!$A$4:$A$18,0)),"CHECK"))</f>
        <v>Delhi</v>
      </c>
      <c r="AE202" s="7" t="str">
        <f aca="false">IF(TRIM(E202)="","",IFERROR(INDEX(Map_Tables!$H$4:$H$37,MATCH(TRIM(E202),Map_Tables!$G$4:$G$37,0)),"CHECK"))</f>
        <v>Burger Barn</v>
      </c>
      <c r="AF202" s="7" t="str">
        <f aca="false">IF(TRIM(K202)="","Unknown",IFERROR(INDEX(Map_Tables!$E$4:$E$15,MATCH(TRIM(K202),Map_Tables!$D$4:$D$15,0)),"CHECK"))</f>
        <v>Credit Card</v>
      </c>
      <c r="AG202" s="7" t="str">
        <f aca="false">IF(LEFT(LOWER(TRIM(L202)),6)="cancel","Cancelled","Delivered")</f>
        <v>Delivered</v>
      </c>
      <c r="AH202" s="10" t="n">
        <f aca="false">IF(ISNUMBER(SEARCH("/",B202)),DATE(VALUE(RIGHT(B202,4)),VALUE(MID(B202,4,2)),VALUE(LEFT(B202,2))),IF(MID(B202,5,1)="-",DATE(VALUE(LEFT(B202,4)),VALUE(MID(B202,6,2)),VALUE(RIGHT(B202,2))),DATE(VALUE(RIGHT(B202,4)),MATCH(MID(B202,4,3),{"Jan","Feb","Mar","Apr","May","Jun","Jul","Aug","Sep","Oct","Nov","Dec"},0),VALUE(LEFT(B202,2)))))</f>
        <v>45845</v>
      </c>
    </row>
    <row r="203" customFormat="false" ht="15" hidden="false" customHeight="false" outlineLevel="0" collapsed="false">
      <c r="A203" s="7" t="s">
        <v>957</v>
      </c>
      <c r="B203" s="7" t="s">
        <v>958</v>
      </c>
      <c r="C203" s="7" t="s">
        <v>914</v>
      </c>
      <c r="D203" s="7" t="s">
        <v>863</v>
      </c>
      <c r="E203" s="7" t="s">
        <v>158</v>
      </c>
      <c r="F203" s="7" t="s">
        <v>136</v>
      </c>
      <c r="G203" s="7" t="s">
        <v>139</v>
      </c>
      <c r="H203" s="7" t="n">
        <v>1</v>
      </c>
      <c r="I203" s="7" t="n">
        <v>165</v>
      </c>
      <c r="J203" s="7" t="n">
        <v>50</v>
      </c>
      <c r="K203" s="7" t="s">
        <v>112</v>
      </c>
      <c r="L203" s="7" t="s">
        <v>194</v>
      </c>
      <c r="M203" s="7" t="n">
        <v>36</v>
      </c>
      <c r="N203" s="7" t="n">
        <v>5</v>
      </c>
      <c r="O203" s="7" t="str">
        <f aca="false">A203&amp;"|"&amp;B203&amp;"|"&amp;C203&amp;"|"&amp;D203&amp;"|"&amp;E203&amp;"|"&amp;F203&amp;"|"&amp;G203&amp;"|"&amp;H203&amp;"|"&amp;I203&amp;"|"&amp;J203&amp;"|"&amp;K203&amp;"|"&amp;L203&amp;"|"&amp;M203&amp;"|"&amp;N203</f>
        <v>ORD10035|2025-01-05|20:15|C0648|Pune Burger Hub|Pune|Burgers|1|165|50|Cash on Delivery|Delivered|36|5</v>
      </c>
      <c r="P203" s="7" t="str">
        <f aca="false">IF(COUNTIF($O$2:O203,O203)&gt;1,"DUP","OK")</f>
        <v>OK</v>
      </c>
      <c r="Q203" s="7" t="n">
        <f aca="false">COUNTBLANK(A203:N203)</f>
        <v>0</v>
      </c>
      <c r="R203" s="7" t="n">
        <f aca="false">IF(A203="",0,COUNTIFS($A$2:$A$3058,A203,$P$2:$P$3058,"OK"))</f>
        <v>1</v>
      </c>
      <c r="S203" s="7" t="str">
        <f aca="false">IF(OR(A203="",P203="DUP",R203&lt;2),"",IF(Q203=_xlfn.MINIFS($Q$2:$Q$3058,$A$2:$A$3058,A203,$P$2:$P$3058,"OK"),"KEEP","DROP"))</f>
        <v/>
      </c>
      <c r="T203" s="9" t="n">
        <f aca="false">IF(A203="",1,0)</f>
        <v>0</v>
      </c>
      <c r="U203" s="9" t="n">
        <f aca="false">IF(D203="",1,0)</f>
        <v>0</v>
      </c>
      <c r="V203" s="9" t="n">
        <f aca="false">IF(E203="",1,0)</f>
        <v>0</v>
      </c>
      <c r="W203" s="9" t="n">
        <f aca="false">IF(OR(H203&lt;1,H203&gt;10),1,0)</f>
        <v>0</v>
      </c>
      <c r="X203" s="9" t="n">
        <f aca="false">IF(OR(I203&lt;=0,I203&gt;1500),1,0)</f>
        <v>0</v>
      </c>
      <c r="Y203" s="9" t="n">
        <f aca="false">IF(J203&gt;H203*I203,1,0)</f>
        <v>0</v>
      </c>
      <c r="Z203" s="9" t="n">
        <f aca="false">IF(AND(N203&lt;&gt;"",OR(N203&lt;1,N203&gt;5)),1,0)</f>
        <v>0</v>
      </c>
      <c r="AA203" s="9" t="n">
        <f aca="false">IF(AND(M203&lt;&gt;"",OR(M203&lt;5,M203&gt;180)),1,0)</f>
        <v>0</v>
      </c>
      <c r="AB203" s="7" t="str">
        <f aca="false">IF(P203="DUP","Exact duplicate row",IF(T203=1,"Missing Order ID",IF(S203="DROP","Duplicate Order ID (less complete row)",IF(U203=1,"Missing Customer ID",IF(V203=1,"Missing Restaurant name",IF(W203=1,"Invalid/outlier quantity",IF(X203=1,"Invalid/outlier unit price",IF(Y203=1,"Discount greater than order value",""))))))))</f>
        <v/>
      </c>
      <c r="AC203" s="7" t="str">
        <f aca="false">IF(AB203="","KEEP","DROP")</f>
        <v>KEEP</v>
      </c>
      <c r="AD203" s="7" t="str">
        <f aca="false">IF(TRIM(F203)="",IFERROR(INDEX(Map_Tables!$I$4:$I$37,MATCH(TRIM(E203),Map_Tables!$G$4:$G$37,0)),""),IFERROR(INDEX(Map_Tables!$B$4:$B$18,MATCH(TRIM(F203),Map_Tables!$A$4:$A$18,0)),"CHECK"))</f>
        <v>Pune</v>
      </c>
      <c r="AE203" s="7" t="str">
        <f aca="false">IF(TRIM(E203)="","",IFERROR(INDEX(Map_Tables!$H$4:$H$37,MATCH(TRIM(E203),Map_Tables!$G$4:$G$37,0)),"CHECK"))</f>
        <v>Pune Burger Hub</v>
      </c>
      <c r="AF203" s="7" t="str">
        <f aca="false">IF(TRIM(K203)="","Unknown",IFERROR(INDEX(Map_Tables!$E$4:$E$15,MATCH(TRIM(K203),Map_Tables!$D$4:$D$15,0)),"CHECK"))</f>
        <v>Cash on Delivery</v>
      </c>
      <c r="AG203" s="7" t="str">
        <f aca="false">IF(LEFT(LOWER(TRIM(L203)),6)="cancel","Cancelled","Delivered")</f>
        <v>Delivered</v>
      </c>
      <c r="AH203" s="10" t="n">
        <f aca="false">IF(ISNUMBER(SEARCH("/",B203)),DATE(VALUE(RIGHT(B203,4)),VALUE(MID(B203,4,2)),VALUE(LEFT(B203,2))),IF(MID(B203,5,1)="-",DATE(VALUE(LEFT(B203,4)),VALUE(MID(B203,6,2)),VALUE(RIGHT(B203,2))),DATE(VALUE(RIGHT(B203,4)),MATCH(MID(B203,4,3),{"Jan","Feb","Mar","Apr","May","Jun","Jul","Aug","Sep","Oct","Nov","Dec"},0),VALUE(LEFT(B203,2)))))</f>
        <v>45662</v>
      </c>
    </row>
    <row r="204" customFormat="false" ht="15" hidden="false" customHeight="false" outlineLevel="0" collapsed="false">
      <c r="A204" s="7" t="s">
        <v>959</v>
      </c>
      <c r="B204" s="7" t="s">
        <v>960</v>
      </c>
      <c r="C204" s="7" t="s">
        <v>961</v>
      </c>
      <c r="D204" s="7" t="s">
        <v>962</v>
      </c>
      <c r="E204" s="7" t="s">
        <v>160</v>
      </c>
      <c r="F204" s="7" t="s">
        <v>136</v>
      </c>
      <c r="G204" s="7" t="s">
        <v>150</v>
      </c>
      <c r="H204" s="7" t="n">
        <v>3</v>
      </c>
      <c r="I204" s="7" t="n">
        <v>175</v>
      </c>
      <c r="J204" s="7" t="n">
        <v>0</v>
      </c>
      <c r="K204" s="7" t="s">
        <v>88</v>
      </c>
      <c r="L204" s="7" t="s">
        <v>194</v>
      </c>
      <c r="M204" s="7" t="n">
        <v>50</v>
      </c>
      <c r="N204" s="7" t="n">
        <v>4</v>
      </c>
      <c r="O204" s="7" t="str">
        <f aca="false">A204&amp;"|"&amp;B204&amp;"|"&amp;C204&amp;"|"&amp;D204&amp;"|"&amp;E204&amp;"|"&amp;F204&amp;"|"&amp;G204&amp;"|"&amp;H204&amp;"|"&amp;I204&amp;"|"&amp;J204&amp;"|"&amp;K204&amp;"|"&amp;L204&amp;"|"&amp;M204&amp;"|"&amp;N204</f>
        <v>ORD10936|2025-04-28|20:00|C0741|Cake Walk|Pune|Desserts|3|175|0|UPI|Delivered|50|4</v>
      </c>
      <c r="P204" s="7" t="str">
        <f aca="false">IF(COUNTIF($O$2:O204,O204)&gt;1,"DUP","OK")</f>
        <v>OK</v>
      </c>
      <c r="Q204" s="7" t="n">
        <f aca="false">COUNTBLANK(A204:N204)</f>
        <v>0</v>
      </c>
      <c r="R204" s="7" t="n">
        <f aca="false">IF(A204="",0,COUNTIFS($A$2:$A$3058,A204,$P$2:$P$3058,"OK"))</f>
        <v>1</v>
      </c>
      <c r="S204" s="7" t="str">
        <f aca="false">IF(OR(A204="",P204="DUP",R204&lt;2),"",IF(Q204=_xlfn.MINIFS($Q$2:$Q$3058,$A$2:$A$3058,A204,$P$2:$P$3058,"OK"),"KEEP","DROP"))</f>
        <v/>
      </c>
      <c r="T204" s="9" t="n">
        <f aca="false">IF(A204="",1,0)</f>
        <v>0</v>
      </c>
      <c r="U204" s="9" t="n">
        <f aca="false">IF(D204="",1,0)</f>
        <v>0</v>
      </c>
      <c r="V204" s="9" t="n">
        <f aca="false">IF(E204="",1,0)</f>
        <v>0</v>
      </c>
      <c r="W204" s="9" t="n">
        <f aca="false">IF(OR(H204&lt;1,H204&gt;10),1,0)</f>
        <v>0</v>
      </c>
      <c r="X204" s="9" t="n">
        <f aca="false">IF(OR(I204&lt;=0,I204&gt;1500),1,0)</f>
        <v>0</v>
      </c>
      <c r="Y204" s="9" t="n">
        <f aca="false">IF(J204&gt;H204*I204,1,0)</f>
        <v>0</v>
      </c>
      <c r="Z204" s="9" t="n">
        <f aca="false">IF(AND(N204&lt;&gt;"",OR(N204&lt;1,N204&gt;5)),1,0)</f>
        <v>0</v>
      </c>
      <c r="AA204" s="9" t="n">
        <f aca="false">IF(AND(M204&lt;&gt;"",OR(M204&lt;5,M204&gt;180)),1,0)</f>
        <v>0</v>
      </c>
      <c r="AB204" s="7" t="str">
        <f aca="false">IF(P204="DUP","Exact duplicate row",IF(T204=1,"Missing Order ID",IF(S204="DROP","Duplicate Order ID (less complete row)",IF(U204=1,"Missing Customer ID",IF(V204=1,"Missing Restaurant name",IF(W204=1,"Invalid/outlier quantity",IF(X204=1,"Invalid/outlier unit price",IF(Y204=1,"Discount greater than order value",""))))))))</f>
        <v/>
      </c>
      <c r="AC204" s="7" t="str">
        <f aca="false">IF(AB204="","KEEP","DROP")</f>
        <v>KEEP</v>
      </c>
      <c r="AD204" s="7" t="str">
        <f aca="false">IF(TRIM(F204)="",IFERROR(INDEX(Map_Tables!$I$4:$I$37,MATCH(TRIM(E204),Map_Tables!$G$4:$G$37,0)),""),IFERROR(INDEX(Map_Tables!$B$4:$B$18,MATCH(TRIM(F204),Map_Tables!$A$4:$A$18,0)),"CHECK"))</f>
        <v>Pune</v>
      </c>
      <c r="AE204" s="7" t="str">
        <f aca="false">IF(TRIM(E204)="","",IFERROR(INDEX(Map_Tables!$H$4:$H$37,MATCH(TRIM(E204),Map_Tables!$G$4:$G$37,0)),"CHECK"))</f>
        <v>Cake Walk</v>
      </c>
      <c r="AF204" s="7" t="str">
        <f aca="false">IF(TRIM(K204)="","Unknown",IFERROR(INDEX(Map_Tables!$E$4:$E$15,MATCH(TRIM(K204),Map_Tables!$D$4:$D$15,0)),"CHECK"))</f>
        <v>UPI</v>
      </c>
      <c r="AG204" s="7" t="str">
        <f aca="false">IF(LEFT(LOWER(TRIM(L204)),6)="cancel","Cancelled","Delivered")</f>
        <v>Delivered</v>
      </c>
      <c r="AH204" s="10" t="n">
        <f aca="false">IF(ISNUMBER(SEARCH("/",B204)),DATE(VALUE(RIGHT(B204,4)),VALUE(MID(B204,4,2)),VALUE(LEFT(B204,2))),IF(MID(B204,5,1)="-",DATE(VALUE(LEFT(B204,4)),VALUE(MID(B204,6,2)),VALUE(RIGHT(B204,2))),DATE(VALUE(RIGHT(B204,4)),MATCH(MID(B204,4,3),{"Jan","Feb","Mar","Apr","May","Jun","Jul","Aug","Sep","Oct","Nov","Dec"},0),VALUE(LEFT(B204,2)))))</f>
        <v>45775</v>
      </c>
    </row>
    <row r="205" customFormat="false" ht="15" hidden="false" customHeight="false" outlineLevel="0" collapsed="false">
      <c r="A205" s="7" t="s">
        <v>963</v>
      </c>
      <c r="B205" s="7" t="s">
        <v>964</v>
      </c>
      <c r="C205" s="7" t="s">
        <v>779</v>
      </c>
      <c r="D205" s="7" t="s">
        <v>965</v>
      </c>
      <c r="E205" s="7" t="s">
        <v>966</v>
      </c>
      <c r="F205" s="7" t="s">
        <v>136</v>
      </c>
      <c r="G205" s="7" t="s">
        <v>139</v>
      </c>
      <c r="H205" s="7" t="n">
        <v>2</v>
      </c>
      <c r="I205" s="7" t="n">
        <v>180</v>
      </c>
      <c r="J205" s="7" t="n">
        <v>0</v>
      </c>
      <c r="K205" s="7" t="s">
        <v>103</v>
      </c>
      <c r="L205" s="7" t="s">
        <v>238</v>
      </c>
      <c r="M205" s="7"/>
      <c r="N205" s="7"/>
      <c r="O205" s="7" t="str">
        <f aca="false">A205&amp;"|"&amp;B205&amp;"|"&amp;C205&amp;"|"&amp;D205&amp;"|"&amp;E205&amp;"|"&amp;F205&amp;"|"&amp;G205&amp;"|"&amp;H205&amp;"|"&amp;I205&amp;"|"&amp;J205&amp;"|"&amp;K205&amp;"|"&amp;L205&amp;"|"&amp;M205&amp;"|"&amp;N205</f>
        <v>ORD10993|2025-05-06|18:28|C1416|Pune Burger Hub |Pune|Burgers|2|180|0|Debit Card|Cancelled||</v>
      </c>
      <c r="P205" s="7" t="str">
        <f aca="false">IF(COUNTIF($O$2:O205,O205)&gt;1,"DUP","OK")</f>
        <v>OK</v>
      </c>
      <c r="Q205" s="7" t="n">
        <f aca="false">COUNTBLANK(A205:N205)</f>
        <v>2</v>
      </c>
      <c r="R205" s="7" t="n">
        <f aca="false">IF(A205="",0,COUNTIFS($A$2:$A$3058,A205,$P$2:$P$3058,"OK"))</f>
        <v>1</v>
      </c>
      <c r="S205" s="7" t="str">
        <f aca="false">IF(OR(A205="",P205="DUP",R205&lt;2),"",IF(Q205=_xlfn.MINIFS($Q$2:$Q$3058,$A$2:$A$3058,A205,$P$2:$P$3058,"OK"),"KEEP","DROP"))</f>
        <v/>
      </c>
      <c r="T205" s="9" t="n">
        <f aca="false">IF(A205="",1,0)</f>
        <v>0</v>
      </c>
      <c r="U205" s="9" t="n">
        <f aca="false">IF(D205="",1,0)</f>
        <v>0</v>
      </c>
      <c r="V205" s="9" t="n">
        <f aca="false">IF(E205="",1,0)</f>
        <v>0</v>
      </c>
      <c r="W205" s="9" t="n">
        <f aca="false">IF(OR(H205&lt;1,H205&gt;10),1,0)</f>
        <v>0</v>
      </c>
      <c r="X205" s="9" t="n">
        <f aca="false">IF(OR(I205&lt;=0,I205&gt;1500),1,0)</f>
        <v>0</v>
      </c>
      <c r="Y205" s="9" t="n">
        <f aca="false">IF(J205&gt;H205*I205,1,0)</f>
        <v>0</v>
      </c>
      <c r="Z205" s="9" t="n">
        <f aca="false">IF(AND(N205&lt;&gt;"",OR(N205&lt;1,N205&gt;5)),1,0)</f>
        <v>0</v>
      </c>
      <c r="AA205" s="9" t="n">
        <f aca="false">IF(AND(M205&lt;&gt;"",OR(M205&lt;5,M205&gt;180)),1,0)</f>
        <v>0</v>
      </c>
      <c r="AB205" s="7" t="str">
        <f aca="false">IF(P205="DUP","Exact duplicate row",IF(T205=1,"Missing Order ID",IF(S205="DROP","Duplicate Order ID (less complete row)",IF(U205=1,"Missing Customer ID",IF(V205=1,"Missing Restaurant name",IF(W205=1,"Invalid/outlier quantity",IF(X205=1,"Invalid/outlier unit price",IF(Y205=1,"Discount greater than order value",""))))))))</f>
        <v/>
      </c>
      <c r="AC205" s="7" t="str">
        <f aca="false">IF(AB205="","KEEP","DROP")</f>
        <v>KEEP</v>
      </c>
      <c r="AD205" s="7" t="str">
        <f aca="false">IF(TRIM(F205)="",IFERROR(INDEX(Map_Tables!$I$4:$I$37,MATCH(TRIM(E205),Map_Tables!$G$4:$G$37,0)),""),IFERROR(INDEX(Map_Tables!$B$4:$B$18,MATCH(TRIM(F205),Map_Tables!$A$4:$A$18,0)),"CHECK"))</f>
        <v>Pune</v>
      </c>
      <c r="AE205" s="7" t="str">
        <f aca="false">IF(TRIM(E205)="","",IFERROR(INDEX(Map_Tables!$H$4:$H$37,MATCH(TRIM(E205),Map_Tables!$G$4:$G$37,0)),"CHECK"))</f>
        <v>Pune Burger Hub</v>
      </c>
      <c r="AF205" s="7" t="str">
        <f aca="false">IF(TRIM(K205)="","Unknown",IFERROR(INDEX(Map_Tables!$E$4:$E$15,MATCH(TRIM(K205),Map_Tables!$D$4:$D$15,0)),"CHECK"))</f>
        <v>Debit Card</v>
      </c>
      <c r="AG205" s="7" t="str">
        <f aca="false">IF(LEFT(LOWER(TRIM(L205)),6)="cancel","Cancelled","Delivered")</f>
        <v>Cancelled</v>
      </c>
      <c r="AH205" s="10" t="n">
        <f aca="false">IF(ISNUMBER(SEARCH("/",B205)),DATE(VALUE(RIGHT(B205,4)),VALUE(MID(B205,4,2)),VALUE(LEFT(B205,2))),IF(MID(B205,5,1)="-",DATE(VALUE(LEFT(B205,4)),VALUE(MID(B205,6,2)),VALUE(RIGHT(B205,2))),DATE(VALUE(RIGHT(B205,4)),MATCH(MID(B205,4,3),{"Jan","Feb","Mar","Apr","May","Jun","Jul","Aug","Sep","Oct","Nov","Dec"},0),VALUE(LEFT(B205,2)))))</f>
        <v>45783</v>
      </c>
    </row>
    <row r="206" customFormat="false" ht="15" hidden="false" customHeight="false" outlineLevel="0" collapsed="false">
      <c r="A206" s="7" t="s">
        <v>967</v>
      </c>
      <c r="B206" s="7" t="s">
        <v>968</v>
      </c>
      <c r="C206" s="7" t="s">
        <v>969</v>
      </c>
      <c r="D206" s="7" t="s">
        <v>970</v>
      </c>
      <c r="E206" s="7" t="s">
        <v>94</v>
      </c>
      <c r="F206" s="7" t="s">
        <v>86</v>
      </c>
      <c r="G206" s="7" t="s">
        <v>95</v>
      </c>
      <c r="H206" s="7" t="n">
        <v>3</v>
      </c>
      <c r="I206" s="7" t="n">
        <v>140</v>
      </c>
      <c r="J206" s="7" t="n">
        <v>0</v>
      </c>
      <c r="K206" s="7" t="s">
        <v>971</v>
      </c>
      <c r="L206" s="7" t="s">
        <v>194</v>
      </c>
      <c r="M206" s="7" t="n">
        <v>44</v>
      </c>
      <c r="N206" s="7" t="n">
        <v>4</v>
      </c>
      <c r="O206" s="7" t="str">
        <f aca="false">A206&amp;"|"&amp;B206&amp;"|"&amp;C206&amp;"|"&amp;D206&amp;"|"&amp;E206&amp;"|"&amp;F206&amp;"|"&amp;G206&amp;"|"&amp;H206&amp;"|"&amp;I206&amp;"|"&amp;J206&amp;"|"&amp;K206&amp;"|"&amp;L206&amp;"|"&amp;M206&amp;"|"&amp;N206</f>
        <v>ORD11224|2025-06-04|13:49|C1236|Dosa Darbar|Bengaluru|South Indian|3|140|0|Paytm Wallet|Delivered|44|4</v>
      </c>
      <c r="P206" s="7" t="str">
        <f aca="false">IF(COUNTIF($O$2:O206,O206)&gt;1,"DUP","OK")</f>
        <v>OK</v>
      </c>
      <c r="Q206" s="7" t="n">
        <f aca="false">COUNTBLANK(A206:N206)</f>
        <v>0</v>
      </c>
      <c r="R206" s="7" t="n">
        <f aca="false">IF(A206="",0,COUNTIFS($A$2:$A$3058,A206,$P$2:$P$3058,"OK"))</f>
        <v>1</v>
      </c>
      <c r="S206" s="7" t="str">
        <f aca="false">IF(OR(A206="",P206="DUP",R206&lt;2),"",IF(Q206=_xlfn.MINIFS($Q$2:$Q$3058,$A$2:$A$3058,A206,$P$2:$P$3058,"OK"),"KEEP","DROP"))</f>
        <v/>
      </c>
      <c r="T206" s="9" t="n">
        <f aca="false">IF(A206="",1,0)</f>
        <v>0</v>
      </c>
      <c r="U206" s="9" t="n">
        <f aca="false">IF(D206="",1,0)</f>
        <v>0</v>
      </c>
      <c r="V206" s="9" t="n">
        <f aca="false">IF(E206="",1,0)</f>
        <v>0</v>
      </c>
      <c r="W206" s="9" t="n">
        <f aca="false">IF(OR(H206&lt;1,H206&gt;10),1,0)</f>
        <v>0</v>
      </c>
      <c r="X206" s="9" t="n">
        <f aca="false">IF(OR(I206&lt;=0,I206&gt;1500),1,0)</f>
        <v>0</v>
      </c>
      <c r="Y206" s="9" t="n">
        <f aca="false">IF(J206&gt;H206*I206,1,0)</f>
        <v>0</v>
      </c>
      <c r="Z206" s="9" t="n">
        <f aca="false">IF(AND(N206&lt;&gt;"",OR(N206&lt;1,N206&gt;5)),1,0)</f>
        <v>0</v>
      </c>
      <c r="AA206" s="9" t="n">
        <f aca="false">IF(AND(M206&lt;&gt;"",OR(M206&lt;5,M206&gt;180)),1,0)</f>
        <v>0</v>
      </c>
      <c r="AB206" s="7" t="str">
        <f aca="false">IF(P206="DUP","Exact duplicate row",IF(T206=1,"Missing Order ID",IF(S206="DROP","Duplicate Order ID (less complete row)",IF(U206=1,"Missing Customer ID",IF(V206=1,"Missing Restaurant name",IF(W206=1,"Invalid/outlier quantity",IF(X206=1,"Invalid/outlier unit price",IF(Y206=1,"Discount greater than order value",""))))))))</f>
        <v/>
      </c>
      <c r="AC206" s="7" t="str">
        <f aca="false">IF(AB206="","KEEP","DROP")</f>
        <v>KEEP</v>
      </c>
      <c r="AD206" s="7" t="str">
        <f aca="false">IF(TRIM(F206)="",IFERROR(INDEX(Map_Tables!$I$4:$I$37,MATCH(TRIM(E206),Map_Tables!$G$4:$G$37,0)),""),IFERROR(INDEX(Map_Tables!$B$4:$B$18,MATCH(TRIM(F206),Map_Tables!$A$4:$A$18,0)),"CHECK"))</f>
        <v>Bengaluru</v>
      </c>
      <c r="AE206" s="7" t="str">
        <f aca="false">IF(TRIM(E206)="","",IFERROR(INDEX(Map_Tables!$H$4:$H$37,MATCH(TRIM(E206),Map_Tables!$G$4:$G$37,0)),"CHECK"))</f>
        <v>Dosa Darbar</v>
      </c>
      <c r="AF206" s="7" t="str">
        <f aca="false">IF(TRIM(K206)="","Unknown",IFERROR(INDEX(Map_Tables!$E$4:$E$15,MATCH(TRIM(K206),Map_Tables!$D$4:$D$15,0)),"CHECK"))</f>
        <v>Wallet</v>
      </c>
      <c r="AG206" s="7" t="str">
        <f aca="false">IF(LEFT(LOWER(TRIM(L206)),6)="cancel","Cancelled","Delivered")</f>
        <v>Delivered</v>
      </c>
      <c r="AH206" s="10" t="n">
        <f aca="false">IF(ISNUMBER(SEARCH("/",B206)),DATE(VALUE(RIGHT(B206,4)),VALUE(MID(B206,4,2)),VALUE(LEFT(B206,2))),IF(MID(B206,5,1)="-",DATE(VALUE(LEFT(B206,4)),VALUE(MID(B206,6,2)),VALUE(RIGHT(B206,2))),DATE(VALUE(RIGHT(B206,4)),MATCH(MID(B206,4,3),{"Jan","Feb","Mar","Apr","May","Jun","Jul","Aug","Sep","Oct","Nov","Dec"},0),VALUE(LEFT(B206,2)))))</f>
        <v>45812</v>
      </c>
    </row>
    <row r="207" customFormat="false" ht="15" hidden="false" customHeight="false" outlineLevel="0" collapsed="false">
      <c r="A207" s="7" t="s">
        <v>972</v>
      </c>
      <c r="B207" s="7" t="s">
        <v>204</v>
      </c>
      <c r="C207" s="7" t="s">
        <v>973</v>
      </c>
      <c r="D207" s="7" t="s">
        <v>974</v>
      </c>
      <c r="E207" s="7" t="s">
        <v>138</v>
      </c>
      <c r="F207" s="7" t="s">
        <v>110</v>
      </c>
      <c r="G207" s="7" t="s">
        <v>139</v>
      </c>
      <c r="H207" s="7" t="n">
        <v>5</v>
      </c>
      <c r="I207" s="7" t="n">
        <v>190</v>
      </c>
      <c r="J207" s="7" t="n">
        <v>30</v>
      </c>
      <c r="K207" s="7" t="s">
        <v>121</v>
      </c>
      <c r="L207" s="7" t="s">
        <v>194</v>
      </c>
      <c r="M207" s="7" t="n">
        <v>40</v>
      </c>
      <c r="N207" s="7" t="n">
        <v>5</v>
      </c>
      <c r="O207" s="7" t="str">
        <f aca="false">A207&amp;"|"&amp;B207&amp;"|"&amp;C207&amp;"|"&amp;D207&amp;"|"&amp;E207&amp;"|"&amp;F207&amp;"|"&amp;G207&amp;"|"&amp;H207&amp;"|"&amp;I207&amp;"|"&amp;J207&amp;"|"&amp;K207&amp;"|"&amp;L207&amp;"|"&amp;M207&amp;"|"&amp;N207</f>
        <v>ORD10804|2025-04-12|09:08|C0036|Burger Barn|Delhi|Burgers|5|190|30|Wallet|Delivered|40|5</v>
      </c>
      <c r="P207" s="7" t="str">
        <f aca="false">IF(COUNTIF($O$2:O207,O207)&gt;1,"DUP","OK")</f>
        <v>OK</v>
      </c>
      <c r="Q207" s="7" t="n">
        <f aca="false">COUNTBLANK(A207:N207)</f>
        <v>0</v>
      </c>
      <c r="R207" s="7" t="n">
        <f aca="false">IF(A207="",0,COUNTIFS($A$2:$A$3058,A207,$P$2:$P$3058,"OK"))</f>
        <v>1</v>
      </c>
      <c r="S207" s="7" t="str">
        <f aca="false">IF(OR(A207="",P207="DUP",R207&lt;2),"",IF(Q207=_xlfn.MINIFS($Q$2:$Q$3058,$A$2:$A$3058,A207,$P$2:$P$3058,"OK"),"KEEP","DROP"))</f>
        <v/>
      </c>
      <c r="T207" s="9" t="n">
        <f aca="false">IF(A207="",1,0)</f>
        <v>0</v>
      </c>
      <c r="U207" s="9" t="n">
        <f aca="false">IF(D207="",1,0)</f>
        <v>0</v>
      </c>
      <c r="V207" s="9" t="n">
        <f aca="false">IF(E207="",1,0)</f>
        <v>0</v>
      </c>
      <c r="W207" s="9" t="n">
        <f aca="false">IF(OR(H207&lt;1,H207&gt;10),1,0)</f>
        <v>0</v>
      </c>
      <c r="X207" s="9" t="n">
        <f aca="false">IF(OR(I207&lt;=0,I207&gt;1500),1,0)</f>
        <v>0</v>
      </c>
      <c r="Y207" s="9" t="n">
        <f aca="false">IF(J207&gt;H207*I207,1,0)</f>
        <v>0</v>
      </c>
      <c r="Z207" s="9" t="n">
        <f aca="false">IF(AND(N207&lt;&gt;"",OR(N207&lt;1,N207&gt;5)),1,0)</f>
        <v>0</v>
      </c>
      <c r="AA207" s="9" t="n">
        <f aca="false">IF(AND(M207&lt;&gt;"",OR(M207&lt;5,M207&gt;180)),1,0)</f>
        <v>0</v>
      </c>
      <c r="AB207" s="7" t="str">
        <f aca="false">IF(P207="DUP","Exact duplicate row",IF(T207=1,"Missing Order ID",IF(S207="DROP","Duplicate Order ID (less complete row)",IF(U207=1,"Missing Customer ID",IF(V207=1,"Missing Restaurant name",IF(W207=1,"Invalid/outlier quantity",IF(X207=1,"Invalid/outlier unit price",IF(Y207=1,"Discount greater than order value",""))))))))</f>
        <v/>
      </c>
      <c r="AC207" s="7" t="str">
        <f aca="false">IF(AB207="","KEEP","DROP")</f>
        <v>KEEP</v>
      </c>
      <c r="AD207" s="7" t="str">
        <f aca="false">IF(TRIM(F207)="",IFERROR(INDEX(Map_Tables!$I$4:$I$37,MATCH(TRIM(E207),Map_Tables!$G$4:$G$37,0)),""),IFERROR(INDEX(Map_Tables!$B$4:$B$18,MATCH(TRIM(F207),Map_Tables!$A$4:$A$18,0)),"CHECK"))</f>
        <v>Delhi</v>
      </c>
      <c r="AE207" s="7" t="str">
        <f aca="false">IF(TRIM(E207)="","",IFERROR(INDEX(Map_Tables!$H$4:$H$37,MATCH(TRIM(E207),Map_Tables!$G$4:$G$37,0)),"CHECK"))</f>
        <v>Burger Barn</v>
      </c>
      <c r="AF207" s="7" t="str">
        <f aca="false">IF(TRIM(K207)="","Unknown",IFERROR(INDEX(Map_Tables!$E$4:$E$15,MATCH(TRIM(K207),Map_Tables!$D$4:$D$15,0)),"CHECK"))</f>
        <v>Wallet</v>
      </c>
      <c r="AG207" s="7" t="str">
        <f aca="false">IF(LEFT(LOWER(TRIM(L207)),6)="cancel","Cancelled","Delivered")</f>
        <v>Delivered</v>
      </c>
      <c r="AH207" s="10" t="n">
        <f aca="false">IF(ISNUMBER(SEARCH("/",B207)),DATE(VALUE(RIGHT(B207,4)),VALUE(MID(B207,4,2)),VALUE(LEFT(B207,2))),IF(MID(B207,5,1)="-",DATE(VALUE(LEFT(B207,4)),VALUE(MID(B207,6,2)),VALUE(RIGHT(B207,2))),DATE(VALUE(RIGHT(B207,4)),MATCH(MID(B207,4,3),{"Jan","Feb","Mar","Apr","May","Jun","Jul","Aug","Sep","Oct","Nov","Dec"},0),VALUE(LEFT(B207,2)))))</f>
        <v>45759</v>
      </c>
    </row>
    <row r="208" customFormat="false" ht="15" hidden="false" customHeight="false" outlineLevel="0" collapsed="false">
      <c r="A208" s="7" t="s">
        <v>975</v>
      </c>
      <c r="B208" s="7" t="s">
        <v>257</v>
      </c>
      <c r="C208" s="7" t="s">
        <v>976</v>
      </c>
      <c r="D208" s="7" t="s">
        <v>977</v>
      </c>
      <c r="E208" s="7" t="s">
        <v>126</v>
      </c>
      <c r="F208" s="7" t="s">
        <v>101</v>
      </c>
      <c r="G208" s="7" t="s">
        <v>105</v>
      </c>
      <c r="H208" s="7" t="n">
        <v>0</v>
      </c>
      <c r="I208" s="7" t="n">
        <v>275</v>
      </c>
      <c r="J208" s="7" t="n">
        <v>0</v>
      </c>
      <c r="K208" s="7" t="s">
        <v>88</v>
      </c>
      <c r="L208" s="7" t="s">
        <v>194</v>
      </c>
      <c r="M208" s="7" t="n">
        <v>55</v>
      </c>
      <c r="N208" s="7" t="n">
        <v>5</v>
      </c>
      <c r="O208" s="7" t="str">
        <f aca="false">A208&amp;"|"&amp;B208&amp;"|"&amp;C208&amp;"|"&amp;D208&amp;"|"&amp;E208&amp;"|"&amp;F208&amp;"|"&amp;G208&amp;"|"&amp;H208&amp;"|"&amp;I208&amp;"|"&amp;J208&amp;"|"&amp;K208&amp;"|"&amp;L208&amp;"|"&amp;M208&amp;"|"&amp;N208</f>
        <v>ORD10362|2025-02-17|20:20|C0720|Dragon Express|Mumbai|Chinese|0|275|0|UPI|Delivered|55|5</v>
      </c>
      <c r="P208" s="7" t="str">
        <f aca="false">IF(COUNTIF($O$2:O208,O208)&gt;1,"DUP","OK")</f>
        <v>OK</v>
      </c>
      <c r="Q208" s="7" t="n">
        <f aca="false">COUNTBLANK(A208:N208)</f>
        <v>0</v>
      </c>
      <c r="R208" s="7" t="n">
        <f aca="false">IF(A208="",0,COUNTIFS($A$2:$A$3058,A208,$P$2:$P$3058,"OK"))</f>
        <v>1</v>
      </c>
      <c r="S208" s="7" t="str">
        <f aca="false">IF(OR(A208="",P208="DUP",R208&lt;2),"",IF(Q208=_xlfn.MINIFS($Q$2:$Q$3058,$A$2:$A$3058,A208,$P$2:$P$3058,"OK"),"KEEP","DROP"))</f>
        <v/>
      </c>
      <c r="T208" s="9" t="n">
        <f aca="false">IF(A208="",1,0)</f>
        <v>0</v>
      </c>
      <c r="U208" s="9" t="n">
        <f aca="false">IF(D208="",1,0)</f>
        <v>0</v>
      </c>
      <c r="V208" s="9" t="n">
        <f aca="false">IF(E208="",1,0)</f>
        <v>0</v>
      </c>
      <c r="W208" s="9" t="n">
        <f aca="false">IF(OR(H208&lt;1,H208&gt;10),1,0)</f>
        <v>1</v>
      </c>
      <c r="X208" s="9" t="n">
        <f aca="false">IF(OR(I208&lt;=0,I208&gt;1500),1,0)</f>
        <v>0</v>
      </c>
      <c r="Y208" s="9" t="n">
        <f aca="false">IF(J208&gt;H208*I208,1,0)</f>
        <v>0</v>
      </c>
      <c r="Z208" s="9" t="n">
        <f aca="false">IF(AND(N208&lt;&gt;"",OR(N208&lt;1,N208&gt;5)),1,0)</f>
        <v>0</v>
      </c>
      <c r="AA208" s="9" t="n">
        <f aca="false">IF(AND(M208&lt;&gt;"",OR(M208&lt;5,M208&gt;180)),1,0)</f>
        <v>0</v>
      </c>
      <c r="AB208" s="7" t="str">
        <f aca="false">IF(P208="DUP","Exact duplicate row",IF(T208=1,"Missing Order ID",IF(S208="DROP","Duplicate Order ID (less complete row)",IF(U208=1,"Missing Customer ID",IF(V208=1,"Missing Restaurant name",IF(W208=1,"Invalid/outlier quantity",IF(X208=1,"Invalid/outlier unit price",IF(Y208=1,"Discount greater than order value",""))))))))</f>
        <v>Invalid/outlier quantity</v>
      </c>
      <c r="AC208" s="7" t="str">
        <f aca="false">IF(AB208="","KEEP","DROP")</f>
        <v>DROP</v>
      </c>
      <c r="AD208" s="7" t="str">
        <f aca="false">IF(TRIM(F208)="",IFERROR(INDEX(Map_Tables!$I$4:$I$37,MATCH(TRIM(E208),Map_Tables!$G$4:$G$37,0)),""),IFERROR(INDEX(Map_Tables!$B$4:$B$18,MATCH(TRIM(F208),Map_Tables!$A$4:$A$18,0)),"CHECK"))</f>
        <v>Mumbai</v>
      </c>
      <c r="AE208" s="7" t="str">
        <f aca="false">IF(TRIM(E208)="","",IFERROR(INDEX(Map_Tables!$H$4:$H$37,MATCH(TRIM(E208),Map_Tables!$G$4:$G$37,0)),"CHECK"))</f>
        <v>Dragon Express</v>
      </c>
      <c r="AF208" s="7" t="str">
        <f aca="false">IF(TRIM(K208)="","Unknown",IFERROR(INDEX(Map_Tables!$E$4:$E$15,MATCH(TRIM(K208),Map_Tables!$D$4:$D$15,0)),"CHECK"))</f>
        <v>UPI</v>
      </c>
      <c r="AG208" s="7" t="str">
        <f aca="false">IF(LEFT(LOWER(TRIM(L208)),6)="cancel","Cancelled","Delivered")</f>
        <v>Delivered</v>
      </c>
      <c r="AH208" s="10" t="n">
        <f aca="false">IF(ISNUMBER(SEARCH("/",B208)),DATE(VALUE(RIGHT(B208,4)),VALUE(MID(B208,4,2)),VALUE(LEFT(B208,2))),IF(MID(B208,5,1)="-",DATE(VALUE(LEFT(B208,4)),VALUE(MID(B208,6,2)),VALUE(RIGHT(B208,2))),DATE(VALUE(RIGHT(B208,4)),MATCH(MID(B208,4,3),{"Jan","Feb","Mar","Apr","May","Jun","Jul","Aug","Sep","Oct","Nov","Dec"},0),VALUE(LEFT(B208,2)))))</f>
        <v>45705</v>
      </c>
    </row>
    <row r="209" customFormat="false" ht="15" hidden="false" customHeight="false" outlineLevel="0" collapsed="false">
      <c r="A209" s="7" t="s">
        <v>978</v>
      </c>
      <c r="B209" s="7" t="s">
        <v>667</v>
      </c>
      <c r="C209" s="7" t="s">
        <v>979</v>
      </c>
      <c r="D209" s="7" t="s">
        <v>565</v>
      </c>
      <c r="E209" s="7" t="s">
        <v>717</v>
      </c>
      <c r="F209" s="7" t="s">
        <v>136</v>
      </c>
      <c r="G209" s="7" t="s">
        <v>150</v>
      </c>
      <c r="H209" s="7" t="n">
        <v>5</v>
      </c>
      <c r="I209" s="7" t="n">
        <v>205</v>
      </c>
      <c r="J209" s="7" t="n">
        <v>50</v>
      </c>
      <c r="K209" s="7" t="s">
        <v>93</v>
      </c>
      <c r="L209" s="7" t="s">
        <v>194</v>
      </c>
      <c r="M209" s="7" t="n">
        <v>36</v>
      </c>
      <c r="N209" s="7" t="n">
        <v>4</v>
      </c>
      <c r="O209" s="7" t="str">
        <f aca="false">A209&amp;"|"&amp;B209&amp;"|"&amp;C209&amp;"|"&amp;D209&amp;"|"&amp;E209&amp;"|"&amp;F209&amp;"|"&amp;G209&amp;"|"&amp;H209&amp;"|"&amp;I209&amp;"|"&amp;J209&amp;"|"&amp;K209&amp;"|"&amp;L209&amp;"|"&amp;M209&amp;"|"&amp;N209</f>
        <v>ORD10421|2025-02-26|17:14|C1051|Cake  Walk|Pune|Desserts|5|205|50|Credit Card|Delivered|36|4</v>
      </c>
      <c r="P209" s="7" t="str">
        <f aca="false">IF(COUNTIF($O$2:O209,O209)&gt;1,"DUP","OK")</f>
        <v>OK</v>
      </c>
      <c r="Q209" s="7" t="n">
        <f aca="false">COUNTBLANK(A209:N209)</f>
        <v>0</v>
      </c>
      <c r="R209" s="7" t="n">
        <f aca="false">IF(A209="",0,COUNTIFS($A$2:$A$3058,A209,$P$2:$P$3058,"OK"))</f>
        <v>1</v>
      </c>
      <c r="S209" s="7" t="str">
        <f aca="false">IF(OR(A209="",P209="DUP",R209&lt;2),"",IF(Q209=_xlfn.MINIFS($Q$2:$Q$3058,$A$2:$A$3058,A209,$P$2:$P$3058,"OK"),"KEEP","DROP"))</f>
        <v/>
      </c>
      <c r="T209" s="9" t="n">
        <f aca="false">IF(A209="",1,0)</f>
        <v>0</v>
      </c>
      <c r="U209" s="9" t="n">
        <f aca="false">IF(D209="",1,0)</f>
        <v>0</v>
      </c>
      <c r="V209" s="9" t="n">
        <f aca="false">IF(E209="",1,0)</f>
        <v>0</v>
      </c>
      <c r="W209" s="9" t="n">
        <f aca="false">IF(OR(H209&lt;1,H209&gt;10),1,0)</f>
        <v>0</v>
      </c>
      <c r="X209" s="9" t="n">
        <f aca="false">IF(OR(I209&lt;=0,I209&gt;1500),1,0)</f>
        <v>0</v>
      </c>
      <c r="Y209" s="9" t="n">
        <f aca="false">IF(J209&gt;H209*I209,1,0)</f>
        <v>0</v>
      </c>
      <c r="Z209" s="9" t="n">
        <f aca="false">IF(AND(N209&lt;&gt;"",OR(N209&lt;1,N209&gt;5)),1,0)</f>
        <v>0</v>
      </c>
      <c r="AA209" s="9" t="n">
        <f aca="false">IF(AND(M209&lt;&gt;"",OR(M209&lt;5,M209&gt;180)),1,0)</f>
        <v>0</v>
      </c>
      <c r="AB209" s="7" t="str">
        <f aca="false">IF(P209="DUP","Exact duplicate row",IF(T209=1,"Missing Order ID",IF(S209="DROP","Duplicate Order ID (less complete row)",IF(U209=1,"Missing Customer ID",IF(V209=1,"Missing Restaurant name",IF(W209=1,"Invalid/outlier quantity",IF(X209=1,"Invalid/outlier unit price",IF(Y209=1,"Discount greater than order value",""))))))))</f>
        <v/>
      </c>
      <c r="AC209" s="7" t="str">
        <f aca="false">IF(AB209="","KEEP","DROP")</f>
        <v>KEEP</v>
      </c>
      <c r="AD209" s="7" t="str">
        <f aca="false">IF(TRIM(F209)="",IFERROR(INDEX(Map_Tables!$I$4:$I$37,MATCH(TRIM(E209),Map_Tables!$G$4:$G$37,0)),""),IFERROR(INDEX(Map_Tables!$B$4:$B$18,MATCH(TRIM(F209),Map_Tables!$A$4:$A$18,0)),"CHECK"))</f>
        <v>Pune</v>
      </c>
      <c r="AE209" s="7" t="str">
        <f aca="false">IF(TRIM(E209)="","",IFERROR(INDEX(Map_Tables!$H$4:$H$37,MATCH(TRIM(E209),Map_Tables!$G$4:$G$37,0)),"CHECK"))</f>
        <v>Cake Walk</v>
      </c>
      <c r="AF209" s="7" t="str">
        <f aca="false">IF(TRIM(K209)="","Unknown",IFERROR(INDEX(Map_Tables!$E$4:$E$15,MATCH(TRIM(K209),Map_Tables!$D$4:$D$15,0)),"CHECK"))</f>
        <v>Credit Card</v>
      </c>
      <c r="AG209" s="7" t="str">
        <f aca="false">IF(LEFT(LOWER(TRIM(L209)),6)="cancel","Cancelled","Delivered")</f>
        <v>Delivered</v>
      </c>
      <c r="AH209" s="10" t="n">
        <f aca="false">IF(ISNUMBER(SEARCH("/",B209)),DATE(VALUE(RIGHT(B209,4)),VALUE(MID(B209,4,2)),VALUE(LEFT(B209,2))),IF(MID(B209,5,1)="-",DATE(VALUE(LEFT(B209,4)),VALUE(MID(B209,6,2)),VALUE(RIGHT(B209,2))),DATE(VALUE(RIGHT(B209,4)),MATCH(MID(B209,4,3),{"Jan","Feb","Mar","Apr","May","Jun","Jul","Aug","Sep","Oct","Nov","Dec"},0),VALUE(LEFT(B209,2)))))</f>
        <v>45714</v>
      </c>
    </row>
    <row r="210" customFormat="false" ht="15" hidden="false" customHeight="false" outlineLevel="0" collapsed="false">
      <c r="A210" s="7" t="s">
        <v>980</v>
      </c>
      <c r="B210" s="7" t="s">
        <v>235</v>
      </c>
      <c r="C210" s="7" t="s">
        <v>981</v>
      </c>
      <c r="D210" s="7" t="s">
        <v>982</v>
      </c>
      <c r="E210" s="7" t="s">
        <v>151</v>
      </c>
      <c r="F210" s="7" t="s">
        <v>128</v>
      </c>
      <c r="G210" s="7" t="s">
        <v>95</v>
      </c>
      <c r="H210" s="7" t="n">
        <v>1</v>
      </c>
      <c r="I210" s="7" t="n">
        <v>200</v>
      </c>
      <c r="J210" s="7" t="n">
        <v>0</v>
      </c>
      <c r="K210" s="7" t="s">
        <v>93</v>
      </c>
      <c r="L210" s="7" t="s">
        <v>220</v>
      </c>
      <c r="M210" s="7" t="n">
        <v>30</v>
      </c>
      <c r="N210" s="7" t="n">
        <v>4</v>
      </c>
      <c r="O210" s="7" t="str">
        <f aca="false">A210&amp;"|"&amp;B210&amp;"|"&amp;C210&amp;"|"&amp;D210&amp;"|"&amp;E210&amp;"|"&amp;F210&amp;"|"&amp;G210&amp;"|"&amp;H210&amp;"|"&amp;I210&amp;"|"&amp;J210&amp;"|"&amp;K210&amp;"|"&amp;L210&amp;"|"&amp;M210&amp;"|"&amp;N210</f>
        <v>ORD10427|2025-02-27|11:52|C1144|Chettinad House|Chennai|South Indian|1|200|0|Credit Card|DELIVERED|30|4</v>
      </c>
      <c r="P210" s="7" t="str">
        <f aca="false">IF(COUNTIF($O$2:O210,O210)&gt;1,"DUP","OK")</f>
        <v>OK</v>
      </c>
      <c r="Q210" s="7" t="n">
        <f aca="false">COUNTBLANK(A210:N210)</f>
        <v>0</v>
      </c>
      <c r="R210" s="7" t="n">
        <f aca="false">IF(A210="",0,COUNTIFS($A$2:$A$3058,A210,$P$2:$P$3058,"OK"))</f>
        <v>1</v>
      </c>
      <c r="S210" s="7" t="str">
        <f aca="false">IF(OR(A210="",P210="DUP",R210&lt;2),"",IF(Q210=_xlfn.MINIFS($Q$2:$Q$3058,$A$2:$A$3058,A210,$P$2:$P$3058,"OK"),"KEEP","DROP"))</f>
        <v/>
      </c>
      <c r="T210" s="9" t="n">
        <f aca="false">IF(A210="",1,0)</f>
        <v>0</v>
      </c>
      <c r="U210" s="9" t="n">
        <f aca="false">IF(D210="",1,0)</f>
        <v>0</v>
      </c>
      <c r="V210" s="9" t="n">
        <f aca="false">IF(E210="",1,0)</f>
        <v>0</v>
      </c>
      <c r="W210" s="9" t="n">
        <f aca="false">IF(OR(H210&lt;1,H210&gt;10),1,0)</f>
        <v>0</v>
      </c>
      <c r="X210" s="9" t="n">
        <f aca="false">IF(OR(I210&lt;=0,I210&gt;1500),1,0)</f>
        <v>0</v>
      </c>
      <c r="Y210" s="9" t="n">
        <f aca="false">IF(J210&gt;H210*I210,1,0)</f>
        <v>0</v>
      </c>
      <c r="Z210" s="9" t="n">
        <f aca="false">IF(AND(N210&lt;&gt;"",OR(N210&lt;1,N210&gt;5)),1,0)</f>
        <v>0</v>
      </c>
      <c r="AA210" s="9" t="n">
        <f aca="false">IF(AND(M210&lt;&gt;"",OR(M210&lt;5,M210&gt;180)),1,0)</f>
        <v>0</v>
      </c>
      <c r="AB210" s="7" t="str">
        <f aca="false">IF(P210="DUP","Exact duplicate row",IF(T210=1,"Missing Order ID",IF(S210="DROP","Duplicate Order ID (less complete row)",IF(U210=1,"Missing Customer ID",IF(V210=1,"Missing Restaurant name",IF(W210=1,"Invalid/outlier quantity",IF(X210=1,"Invalid/outlier unit price",IF(Y210=1,"Discount greater than order value",""))))))))</f>
        <v/>
      </c>
      <c r="AC210" s="7" t="str">
        <f aca="false">IF(AB210="","KEEP","DROP")</f>
        <v>KEEP</v>
      </c>
      <c r="AD210" s="7" t="str">
        <f aca="false">IF(TRIM(F210)="",IFERROR(INDEX(Map_Tables!$I$4:$I$37,MATCH(TRIM(E210),Map_Tables!$G$4:$G$37,0)),""),IFERROR(INDEX(Map_Tables!$B$4:$B$18,MATCH(TRIM(F210),Map_Tables!$A$4:$A$18,0)),"CHECK"))</f>
        <v>Chennai</v>
      </c>
      <c r="AE210" s="7" t="str">
        <f aca="false">IF(TRIM(E210)="","",IFERROR(INDEX(Map_Tables!$H$4:$H$37,MATCH(TRIM(E210),Map_Tables!$G$4:$G$37,0)),"CHECK"))</f>
        <v>Chettinad House</v>
      </c>
      <c r="AF210" s="7" t="str">
        <f aca="false">IF(TRIM(K210)="","Unknown",IFERROR(INDEX(Map_Tables!$E$4:$E$15,MATCH(TRIM(K210),Map_Tables!$D$4:$D$15,0)),"CHECK"))</f>
        <v>Credit Card</v>
      </c>
      <c r="AG210" s="7" t="str">
        <f aca="false">IF(LEFT(LOWER(TRIM(L210)),6)="cancel","Cancelled","Delivered")</f>
        <v>Delivered</v>
      </c>
      <c r="AH210" s="10" t="n">
        <f aca="false">IF(ISNUMBER(SEARCH("/",B210)),DATE(VALUE(RIGHT(B210,4)),VALUE(MID(B210,4,2)),VALUE(LEFT(B210,2))),IF(MID(B210,5,1)="-",DATE(VALUE(LEFT(B210,4)),VALUE(MID(B210,6,2)),VALUE(RIGHT(B210,2))),DATE(VALUE(RIGHT(B210,4)),MATCH(MID(B210,4,3),{"Jan","Feb","Mar","Apr","May","Jun","Jul","Aug","Sep","Oct","Nov","Dec"},0),VALUE(LEFT(B210,2)))))</f>
        <v>45715</v>
      </c>
    </row>
    <row r="211" customFormat="false" ht="15" hidden="false" customHeight="false" outlineLevel="0" collapsed="false">
      <c r="A211" s="7" t="s">
        <v>983</v>
      </c>
      <c r="B211" s="7" t="s">
        <v>984</v>
      </c>
      <c r="C211" s="7" t="s">
        <v>201</v>
      </c>
      <c r="D211" s="7" t="s">
        <v>985</v>
      </c>
      <c r="E211" s="7" t="s">
        <v>164</v>
      </c>
      <c r="F211" s="7" t="s">
        <v>141</v>
      </c>
      <c r="G211" s="7" t="s">
        <v>150</v>
      </c>
      <c r="H211" s="7" t="n">
        <v>5</v>
      </c>
      <c r="I211" s="7" t="n">
        <v>140</v>
      </c>
      <c r="J211" s="7" t="n">
        <v>0</v>
      </c>
      <c r="K211" s="7" t="s">
        <v>88</v>
      </c>
      <c r="L211" s="7" t="s">
        <v>194</v>
      </c>
      <c r="M211" s="7" t="n">
        <v>35</v>
      </c>
      <c r="N211" s="7" t="n">
        <v>3</v>
      </c>
      <c r="O211" s="7" t="str">
        <f aca="false">A211&amp;"|"&amp;B211&amp;"|"&amp;C211&amp;"|"&amp;D211&amp;"|"&amp;E211&amp;"|"&amp;F211&amp;"|"&amp;G211&amp;"|"&amp;H211&amp;"|"&amp;I211&amp;"|"&amp;J211&amp;"|"&amp;K211&amp;"|"&amp;L211&amp;"|"&amp;M211&amp;"|"&amp;N211</f>
        <v>ORD10620|2025-03-19|20:46|C0143|Mishti Mandir|Kolkata|Desserts|5|140|0|UPI|Delivered|35|3</v>
      </c>
      <c r="P211" s="7" t="str">
        <f aca="false">IF(COUNTIF($O$2:O211,O211)&gt;1,"DUP","OK")</f>
        <v>OK</v>
      </c>
      <c r="Q211" s="7" t="n">
        <f aca="false">COUNTBLANK(A211:N211)</f>
        <v>0</v>
      </c>
      <c r="R211" s="7" t="n">
        <f aca="false">IF(A211="",0,COUNTIFS($A$2:$A$3058,A211,$P$2:$P$3058,"OK"))</f>
        <v>1</v>
      </c>
      <c r="S211" s="7" t="str">
        <f aca="false">IF(OR(A211="",P211="DUP",R211&lt;2),"",IF(Q211=_xlfn.MINIFS($Q$2:$Q$3058,$A$2:$A$3058,A211,$P$2:$P$3058,"OK"),"KEEP","DROP"))</f>
        <v/>
      </c>
      <c r="T211" s="9" t="n">
        <f aca="false">IF(A211="",1,0)</f>
        <v>0</v>
      </c>
      <c r="U211" s="9" t="n">
        <f aca="false">IF(D211="",1,0)</f>
        <v>0</v>
      </c>
      <c r="V211" s="9" t="n">
        <f aca="false">IF(E211="",1,0)</f>
        <v>0</v>
      </c>
      <c r="W211" s="9" t="n">
        <f aca="false">IF(OR(H211&lt;1,H211&gt;10),1,0)</f>
        <v>0</v>
      </c>
      <c r="X211" s="9" t="n">
        <f aca="false">IF(OR(I211&lt;=0,I211&gt;1500),1,0)</f>
        <v>0</v>
      </c>
      <c r="Y211" s="9" t="n">
        <f aca="false">IF(J211&gt;H211*I211,1,0)</f>
        <v>0</v>
      </c>
      <c r="Z211" s="9" t="n">
        <f aca="false">IF(AND(N211&lt;&gt;"",OR(N211&lt;1,N211&gt;5)),1,0)</f>
        <v>0</v>
      </c>
      <c r="AA211" s="9" t="n">
        <f aca="false">IF(AND(M211&lt;&gt;"",OR(M211&lt;5,M211&gt;180)),1,0)</f>
        <v>0</v>
      </c>
      <c r="AB211" s="7" t="str">
        <f aca="false">IF(P211="DUP","Exact duplicate row",IF(T211=1,"Missing Order ID",IF(S211="DROP","Duplicate Order ID (less complete row)",IF(U211=1,"Missing Customer ID",IF(V211=1,"Missing Restaurant name",IF(W211=1,"Invalid/outlier quantity",IF(X211=1,"Invalid/outlier unit price",IF(Y211=1,"Discount greater than order value",""))))))))</f>
        <v/>
      </c>
      <c r="AC211" s="7" t="str">
        <f aca="false">IF(AB211="","KEEP","DROP")</f>
        <v>KEEP</v>
      </c>
      <c r="AD211" s="7" t="str">
        <f aca="false">IF(TRIM(F211)="",IFERROR(INDEX(Map_Tables!$I$4:$I$37,MATCH(TRIM(E211),Map_Tables!$G$4:$G$37,0)),""),IFERROR(INDEX(Map_Tables!$B$4:$B$18,MATCH(TRIM(F211),Map_Tables!$A$4:$A$18,0)),"CHECK"))</f>
        <v>Kolkata</v>
      </c>
      <c r="AE211" s="7" t="str">
        <f aca="false">IF(TRIM(E211)="","",IFERROR(INDEX(Map_Tables!$H$4:$H$37,MATCH(TRIM(E211),Map_Tables!$G$4:$G$37,0)),"CHECK"))</f>
        <v>Mishti Mandir</v>
      </c>
      <c r="AF211" s="7" t="str">
        <f aca="false">IF(TRIM(K211)="","Unknown",IFERROR(INDEX(Map_Tables!$E$4:$E$15,MATCH(TRIM(K211),Map_Tables!$D$4:$D$15,0)),"CHECK"))</f>
        <v>UPI</v>
      </c>
      <c r="AG211" s="7" t="str">
        <f aca="false">IF(LEFT(LOWER(TRIM(L211)),6)="cancel","Cancelled","Delivered")</f>
        <v>Delivered</v>
      </c>
      <c r="AH211" s="10" t="n">
        <f aca="false">IF(ISNUMBER(SEARCH("/",B211)),DATE(VALUE(RIGHT(B211,4)),VALUE(MID(B211,4,2)),VALUE(LEFT(B211,2))),IF(MID(B211,5,1)="-",DATE(VALUE(LEFT(B211,4)),VALUE(MID(B211,6,2)),VALUE(RIGHT(B211,2))),DATE(VALUE(RIGHT(B211,4)),MATCH(MID(B211,4,3),{"Jan","Feb","Mar","Apr","May","Jun","Jul","Aug","Sep","Oct","Nov","Dec"},0),VALUE(LEFT(B211,2)))))</f>
        <v>45735</v>
      </c>
    </row>
    <row r="212" customFormat="false" ht="15" hidden="false" customHeight="false" outlineLevel="0" collapsed="false">
      <c r="A212" s="7" t="s">
        <v>986</v>
      </c>
      <c r="B212" s="7" t="s">
        <v>200</v>
      </c>
      <c r="C212" s="7" t="s">
        <v>987</v>
      </c>
      <c r="D212" s="7" t="s">
        <v>988</v>
      </c>
      <c r="E212" s="7" t="s">
        <v>122</v>
      </c>
      <c r="F212" s="7" t="s">
        <v>101</v>
      </c>
      <c r="G212" s="7" t="s">
        <v>123</v>
      </c>
      <c r="H212" s="7" t="n">
        <v>1</v>
      </c>
      <c r="I212" s="7" t="n">
        <v>275</v>
      </c>
      <c r="J212" s="7" t="n">
        <v>0</v>
      </c>
      <c r="K212" s="7" t="s">
        <v>88</v>
      </c>
      <c r="L212" s="7" t="s">
        <v>194</v>
      </c>
      <c r="M212" s="7" t="n">
        <v>34</v>
      </c>
      <c r="N212" s="7" t="n">
        <v>3</v>
      </c>
      <c r="O212" s="7" t="str">
        <f aca="false">A212&amp;"|"&amp;B212&amp;"|"&amp;C212&amp;"|"&amp;D212&amp;"|"&amp;E212&amp;"|"&amp;F212&amp;"|"&amp;G212&amp;"|"&amp;H212&amp;"|"&amp;I212&amp;"|"&amp;J212&amp;"|"&amp;K212&amp;"|"&amp;L212&amp;"|"&amp;M212&amp;"|"&amp;N212</f>
        <v>ORD10376|2025-02-19|15:40|C0775|Mumbai Pizza Co|Mumbai|Pizza|1|275|0|UPI|Delivered|34|3</v>
      </c>
      <c r="P212" s="7" t="str">
        <f aca="false">IF(COUNTIF($O$2:O212,O212)&gt;1,"DUP","OK")</f>
        <v>OK</v>
      </c>
      <c r="Q212" s="7" t="n">
        <f aca="false">COUNTBLANK(A212:N212)</f>
        <v>0</v>
      </c>
      <c r="R212" s="7" t="n">
        <f aca="false">IF(A212="",0,COUNTIFS($A$2:$A$3058,A212,$P$2:$P$3058,"OK"))</f>
        <v>1</v>
      </c>
      <c r="S212" s="7" t="str">
        <f aca="false">IF(OR(A212="",P212="DUP",R212&lt;2),"",IF(Q212=_xlfn.MINIFS($Q$2:$Q$3058,$A$2:$A$3058,A212,$P$2:$P$3058,"OK"),"KEEP","DROP"))</f>
        <v/>
      </c>
      <c r="T212" s="9" t="n">
        <f aca="false">IF(A212="",1,0)</f>
        <v>0</v>
      </c>
      <c r="U212" s="9" t="n">
        <f aca="false">IF(D212="",1,0)</f>
        <v>0</v>
      </c>
      <c r="V212" s="9" t="n">
        <f aca="false">IF(E212="",1,0)</f>
        <v>0</v>
      </c>
      <c r="W212" s="9" t="n">
        <f aca="false">IF(OR(H212&lt;1,H212&gt;10),1,0)</f>
        <v>0</v>
      </c>
      <c r="X212" s="9" t="n">
        <f aca="false">IF(OR(I212&lt;=0,I212&gt;1500),1,0)</f>
        <v>0</v>
      </c>
      <c r="Y212" s="9" t="n">
        <f aca="false">IF(J212&gt;H212*I212,1,0)</f>
        <v>0</v>
      </c>
      <c r="Z212" s="9" t="n">
        <f aca="false">IF(AND(N212&lt;&gt;"",OR(N212&lt;1,N212&gt;5)),1,0)</f>
        <v>0</v>
      </c>
      <c r="AA212" s="9" t="n">
        <f aca="false">IF(AND(M212&lt;&gt;"",OR(M212&lt;5,M212&gt;180)),1,0)</f>
        <v>0</v>
      </c>
      <c r="AB212" s="7" t="str">
        <f aca="false">IF(P212="DUP","Exact duplicate row",IF(T212=1,"Missing Order ID",IF(S212="DROP","Duplicate Order ID (less complete row)",IF(U212=1,"Missing Customer ID",IF(V212=1,"Missing Restaurant name",IF(W212=1,"Invalid/outlier quantity",IF(X212=1,"Invalid/outlier unit price",IF(Y212=1,"Discount greater than order value",""))))))))</f>
        <v/>
      </c>
      <c r="AC212" s="7" t="str">
        <f aca="false">IF(AB212="","KEEP","DROP")</f>
        <v>KEEP</v>
      </c>
      <c r="AD212" s="7" t="str">
        <f aca="false">IF(TRIM(F212)="",IFERROR(INDEX(Map_Tables!$I$4:$I$37,MATCH(TRIM(E212),Map_Tables!$G$4:$G$37,0)),""),IFERROR(INDEX(Map_Tables!$B$4:$B$18,MATCH(TRIM(F212),Map_Tables!$A$4:$A$18,0)),"CHECK"))</f>
        <v>Mumbai</v>
      </c>
      <c r="AE212" s="7" t="str">
        <f aca="false">IF(TRIM(E212)="","",IFERROR(INDEX(Map_Tables!$H$4:$H$37,MATCH(TRIM(E212),Map_Tables!$G$4:$G$37,0)),"CHECK"))</f>
        <v>Mumbai Pizza Co</v>
      </c>
      <c r="AF212" s="7" t="str">
        <f aca="false">IF(TRIM(K212)="","Unknown",IFERROR(INDEX(Map_Tables!$E$4:$E$15,MATCH(TRIM(K212),Map_Tables!$D$4:$D$15,0)),"CHECK"))</f>
        <v>UPI</v>
      </c>
      <c r="AG212" s="7" t="str">
        <f aca="false">IF(LEFT(LOWER(TRIM(L212)),6)="cancel","Cancelled","Delivered")</f>
        <v>Delivered</v>
      </c>
      <c r="AH212" s="10" t="n">
        <f aca="false">IF(ISNUMBER(SEARCH("/",B212)),DATE(VALUE(RIGHT(B212,4)),VALUE(MID(B212,4,2)),VALUE(LEFT(B212,2))),IF(MID(B212,5,1)="-",DATE(VALUE(LEFT(B212,4)),VALUE(MID(B212,6,2)),VALUE(RIGHT(B212,2))),DATE(VALUE(RIGHT(B212,4)),MATCH(MID(B212,4,3),{"Jan","Feb","Mar","Apr","May","Jun","Jul","Aug","Sep","Oct","Nov","Dec"},0),VALUE(LEFT(B212,2)))))</f>
        <v>45707</v>
      </c>
    </row>
    <row r="213" customFormat="false" ht="15" hidden="false" customHeight="false" outlineLevel="0" collapsed="false">
      <c r="A213" s="7" t="s">
        <v>989</v>
      </c>
      <c r="B213" s="7" t="s">
        <v>958</v>
      </c>
      <c r="C213" s="7" t="s">
        <v>693</v>
      </c>
      <c r="D213" s="7" t="s">
        <v>990</v>
      </c>
      <c r="E213" s="7" t="s">
        <v>159</v>
      </c>
      <c r="F213" s="7" t="s">
        <v>136</v>
      </c>
      <c r="G213" s="7" t="s">
        <v>90</v>
      </c>
      <c r="H213" s="7" t="n">
        <v>1</v>
      </c>
      <c r="I213" s="7" t="n">
        <v>265</v>
      </c>
      <c r="J213" s="7" t="n">
        <v>0</v>
      </c>
      <c r="K213" s="7" t="s">
        <v>133</v>
      </c>
      <c r="L213" s="7" t="s">
        <v>194</v>
      </c>
      <c r="M213" s="7" t="n">
        <v>34</v>
      </c>
      <c r="N213" s="7" t="n">
        <v>4</v>
      </c>
      <c r="O213" s="7" t="str">
        <f aca="false">A213&amp;"|"&amp;B213&amp;"|"&amp;C213&amp;"|"&amp;D213&amp;"|"&amp;E213&amp;"|"&amp;F213&amp;"|"&amp;G213&amp;"|"&amp;H213&amp;"|"&amp;I213&amp;"|"&amp;J213&amp;"|"&amp;K213&amp;"|"&amp;L213&amp;"|"&amp;M213&amp;"|"&amp;N213</f>
        <v>ORD10031|2025-01-05|11:10|C0769|Maratha Thali House|Pune|North Indian|1|265|0|Net Banking|Delivered|34|4</v>
      </c>
      <c r="P213" s="7" t="str">
        <f aca="false">IF(COUNTIF($O$2:O213,O213)&gt;1,"DUP","OK")</f>
        <v>OK</v>
      </c>
      <c r="Q213" s="7" t="n">
        <f aca="false">COUNTBLANK(A213:N213)</f>
        <v>0</v>
      </c>
      <c r="R213" s="7" t="n">
        <f aca="false">IF(A213="",0,COUNTIFS($A$2:$A$3058,A213,$P$2:$P$3058,"OK"))</f>
        <v>1</v>
      </c>
      <c r="S213" s="7" t="str">
        <f aca="false">IF(OR(A213="",P213="DUP",R213&lt;2),"",IF(Q213=_xlfn.MINIFS($Q$2:$Q$3058,$A$2:$A$3058,A213,$P$2:$P$3058,"OK"),"KEEP","DROP"))</f>
        <v/>
      </c>
      <c r="T213" s="9" t="n">
        <f aca="false">IF(A213="",1,0)</f>
        <v>0</v>
      </c>
      <c r="U213" s="9" t="n">
        <f aca="false">IF(D213="",1,0)</f>
        <v>0</v>
      </c>
      <c r="V213" s="9" t="n">
        <f aca="false">IF(E213="",1,0)</f>
        <v>0</v>
      </c>
      <c r="W213" s="9" t="n">
        <f aca="false">IF(OR(H213&lt;1,H213&gt;10),1,0)</f>
        <v>0</v>
      </c>
      <c r="X213" s="9" t="n">
        <f aca="false">IF(OR(I213&lt;=0,I213&gt;1500),1,0)</f>
        <v>0</v>
      </c>
      <c r="Y213" s="9" t="n">
        <f aca="false">IF(J213&gt;H213*I213,1,0)</f>
        <v>0</v>
      </c>
      <c r="Z213" s="9" t="n">
        <f aca="false">IF(AND(N213&lt;&gt;"",OR(N213&lt;1,N213&gt;5)),1,0)</f>
        <v>0</v>
      </c>
      <c r="AA213" s="9" t="n">
        <f aca="false">IF(AND(M213&lt;&gt;"",OR(M213&lt;5,M213&gt;180)),1,0)</f>
        <v>0</v>
      </c>
      <c r="AB213" s="7" t="str">
        <f aca="false">IF(P213="DUP","Exact duplicate row",IF(T213=1,"Missing Order ID",IF(S213="DROP","Duplicate Order ID (less complete row)",IF(U213=1,"Missing Customer ID",IF(V213=1,"Missing Restaurant name",IF(W213=1,"Invalid/outlier quantity",IF(X213=1,"Invalid/outlier unit price",IF(Y213=1,"Discount greater than order value",""))))))))</f>
        <v/>
      </c>
      <c r="AC213" s="7" t="str">
        <f aca="false">IF(AB213="","KEEP","DROP")</f>
        <v>KEEP</v>
      </c>
      <c r="AD213" s="7" t="str">
        <f aca="false">IF(TRIM(F213)="",IFERROR(INDEX(Map_Tables!$I$4:$I$37,MATCH(TRIM(E213),Map_Tables!$G$4:$G$37,0)),""),IFERROR(INDEX(Map_Tables!$B$4:$B$18,MATCH(TRIM(F213),Map_Tables!$A$4:$A$18,0)),"CHECK"))</f>
        <v>Pune</v>
      </c>
      <c r="AE213" s="7" t="str">
        <f aca="false">IF(TRIM(E213)="","",IFERROR(INDEX(Map_Tables!$H$4:$H$37,MATCH(TRIM(E213),Map_Tables!$G$4:$G$37,0)),"CHECK"))</f>
        <v>Maratha Thali House</v>
      </c>
      <c r="AF213" s="7" t="str">
        <f aca="false">IF(TRIM(K213)="","Unknown",IFERROR(INDEX(Map_Tables!$E$4:$E$15,MATCH(TRIM(K213),Map_Tables!$D$4:$D$15,0)),"CHECK"))</f>
        <v>Net Banking</v>
      </c>
      <c r="AG213" s="7" t="str">
        <f aca="false">IF(LEFT(LOWER(TRIM(L213)),6)="cancel","Cancelled","Delivered")</f>
        <v>Delivered</v>
      </c>
      <c r="AH213" s="10" t="n">
        <f aca="false">IF(ISNUMBER(SEARCH("/",B213)),DATE(VALUE(RIGHT(B213,4)),VALUE(MID(B213,4,2)),VALUE(LEFT(B213,2))),IF(MID(B213,5,1)="-",DATE(VALUE(LEFT(B213,4)),VALUE(MID(B213,6,2)),VALUE(RIGHT(B213,2))),DATE(VALUE(RIGHT(B213,4)),MATCH(MID(B213,4,3),{"Jan","Feb","Mar","Apr","May","Jun","Jul","Aug","Sep","Oct","Nov","Dec"},0),VALUE(LEFT(B213,2)))))</f>
        <v>45662</v>
      </c>
    </row>
    <row r="214" customFormat="false" ht="15" hidden="false" customHeight="false" outlineLevel="0" collapsed="false">
      <c r="A214" s="7" t="s">
        <v>991</v>
      </c>
      <c r="B214" s="7" t="s">
        <v>200</v>
      </c>
      <c r="C214" s="7" t="s">
        <v>992</v>
      </c>
      <c r="D214" s="7" t="s">
        <v>993</v>
      </c>
      <c r="E214" s="7" t="s">
        <v>116</v>
      </c>
      <c r="F214" s="7" t="s">
        <v>101</v>
      </c>
      <c r="G214" s="7" t="s">
        <v>117</v>
      </c>
      <c r="H214" s="7" t="n">
        <v>3</v>
      </c>
      <c r="I214" s="7" t="n">
        <v>120</v>
      </c>
      <c r="J214" s="7" t="n">
        <v>0</v>
      </c>
      <c r="K214" s="7" t="s">
        <v>88</v>
      </c>
      <c r="L214" s="7" t="s">
        <v>194</v>
      </c>
      <c r="M214" s="7" t="n">
        <v>38</v>
      </c>
      <c r="N214" s="7" t="n">
        <v>3</v>
      </c>
      <c r="O214" s="7" t="str">
        <f aca="false">A214&amp;"|"&amp;B214&amp;"|"&amp;C214&amp;"|"&amp;D214&amp;"|"&amp;E214&amp;"|"&amp;F214&amp;"|"&amp;G214&amp;"|"&amp;H214&amp;"|"&amp;I214&amp;"|"&amp;J214&amp;"|"&amp;K214&amp;"|"&amp;L214&amp;"|"&amp;M214&amp;"|"&amp;N214</f>
        <v>ORD10373|2025-02-19|10:50|C1138|Pav Bhaji Point|Mumbai|Street Food|3|120|0|UPI|Delivered|38|3</v>
      </c>
      <c r="P214" s="7" t="str">
        <f aca="false">IF(COUNTIF($O$2:O214,O214)&gt;1,"DUP","OK")</f>
        <v>OK</v>
      </c>
      <c r="Q214" s="7" t="n">
        <f aca="false">COUNTBLANK(A214:N214)</f>
        <v>0</v>
      </c>
      <c r="R214" s="7" t="n">
        <f aca="false">IF(A214="",0,COUNTIFS($A$2:$A$3058,A214,$P$2:$P$3058,"OK"))</f>
        <v>1</v>
      </c>
      <c r="S214" s="7" t="str">
        <f aca="false">IF(OR(A214="",P214="DUP",R214&lt;2),"",IF(Q214=_xlfn.MINIFS($Q$2:$Q$3058,$A$2:$A$3058,A214,$P$2:$P$3058,"OK"),"KEEP","DROP"))</f>
        <v/>
      </c>
      <c r="T214" s="9" t="n">
        <f aca="false">IF(A214="",1,0)</f>
        <v>0</v>
      </c>
      <c r="U214" s="9" t="n">
        <f aca="false">IF(D214="",1,0)</f>
        <v>0</v>
      </c>
      <c r="V214" s="9" t="n">
        <f aca="false">IF(E214="",1,0)</f>
        <v>0</v>
      </c>
      <c r="W214" s="9" t="n">
        <f aca="false">IF(OR(H214&lt;1,H214&gt;10),1,0)</f>
        <v>0</v>
      </c>
      <c r="X214" s="9" t="n">
        <f aca="false">IF(OR(I214&lt;=0,I214&gt;1500),1,0)</f>
        <v>0</v>
      </c>
      <c r="Y214" s="9" t="n">
        <f aca="false">IF(J214&gt;H214*I214,1,0)</f>
        <v>0</v>
      </c>
      <c r="Z214" s="9" t="n">
        <f aca="false">IF(AND(N214&lt;&gt;"",OR(N214&lt;1,N214&gt;5)),1,0)</f>
        <v>0</v>
      </c>
      <c r="AA214" s="9" t="n">
        <f aca="false">IF(AND(M214&lt;&gt;"",OR(M214&lt;5,M214&gt;180)),1,0)</f>
        <v>0</v>
      </c>
      <c r="AB214" s="7" t="str">
        <f aca="false">IF(P214="DUP","Exact duplicate row",IF(T214=1,"Missing Order ID",IF(S214="DROP","Duplicate Order ID (less complete row)",IF(U214=1,"Missing Customer ID",IF(V214=1,"Missing Restaurant name",IF(W214=1,"Invalid/outlier quantity",IF(X214=1,"Invalid/outlier unit price",IF(Y214=1,"Discount greater than order value",""))))))))</f>
        <v/>
      </c>
      <c r="AC214" s="7" t="str">
        <f aca="false">IF(AB214="","KEEP","DROP")</f>
        <v>KEEP</v>
      </c>
      <c r="AD214" s="7" t="str">
        <f aca="false">IF(TRIM(F214)="",IFERROR(INDEX(Map_Tables!$I$4:$I$37,MATCH(TRIM(E214),Map_Tables!$G$4:$G$37,0)),""),IFERROR(INDEX(Map_Tables!$B$4:$B$18,MATCH(TRIM(F214),Map_Tables!$A$4:$A$18,0)),"CHECK"))</f>
        <v>Mumbai</v>
      </c>
      <c r="AE214" s="7" t="str">
        <f aca="false">IF(TRIM(E214)="","",IFERROR(INDEX(Map_Tables!$H$4:$H$37,MATCH(TRIM(E214),Map_Tables!$G$4:$G$37,0)),"CHECK"))</f>
        <v>Pav Bhaji Point</v>
      </c>
      <c r="AF214" s="7" t="str">
        <f aca="false">IF(TRIM(K214)="","Unknown",IFERROR(INDEX(Map_Tables!$E$4:$E$15,MATCH(TRIM(K214),Map_Tables!$D$4:$D$15,0)),"CHECK"))</f>
        <v>UPI</v>
      </c>
      <c r="AG214" s="7" t="str">
        <f aca="false">IF(LEFT(LOWER(TRIM(L214)),6)="cancel","Cancelled","Delivered")</f>
        <v>Delivered</v>
      </c>
      <c r="AH214" s="10" t="n">
        <f aca="false">IF(ISNUMBER(SEARCH("/",B214)),DATE(VALUE(RIGHT(B214,4)),VALUE(MID(B214,4,2)),VALUE(LEFT(B214,2))),IF(MID(B214,5,1)="-",DATE(VALUE(LEFT(B214,4)),VALUE(MID(B214,6,2)),VALUE(RIGHT(B214,2))),DATE(VALUE(RIGHT(B214,4)),MATCH(MID(B214,4,3),{"Jan","Feb","Mar","Apr","May","Jun","Jul","Aug","Sep","Oct","Nov","Dec"},0),VALUE(LEFT(B214,2)))))</f>
        <v>45707</v>
      </c>
    </row>
    <row r="215" customFormat="false" ht="15" hidden="false" customHeight="false" outlineLevel="0" collapsed="false">
      <c r="A215" s="7" t="s">
        <v>994</v>
      </c>
      <c r="B215" s="7" t="s">
        <v>995</v>
      </c>
      <c r="C215" s="7" t="s">
        <v>996</v>
      </c>
      <c r="D215" s="7" t="s">
        <v>997</v>
      </c>
      <c r="E215" s="7" t="s">
        <v>151</v>
      </c>
      <c r="F215" s="7" t="s">
        <v>128</v>
      </c>
      <c r="G215" s="7" t="s">
        <v>95</v>
      </c>
      <c r="H215" s="7" t="n">
        <v>1</v>
      </c>
      <c r="I215" s="7" t="n">
        <v>175</v>
      </c>
      <c r="J215" s="7" t="n">
        <v>0</v>
      </c>
      <c r="K215" s="7" t="s">
        <v>112</v>
      </c>
      <c r="L215" s="7" t="s">
        <v>194</v>
      </c>
      <c r="M215" s="7" t="n">
        <v>38</v>
      </c>
      <c r="N215" s="7" t="n">
        <v>4</v>
      </c>
      <c r="O215" s="7" t="str">
        <f aca="false">A215&amp;"|"&amp;B215&amp;"|"&amp;C215&amp;"|"&amp;D215&amp;"|"&amp;E215&amp;"|"&amp;F215&amp;"|"&amp;G215&amp;"|"&amp;H215&amp;"|"&amp;I215&amp;"|"&amp;J215&amp;"|"&amp;K215&amp;"|"&amp;L215&amp;"|"&amp;M215&amp;"|"&amp;N215</f>
        <v>ORD10341|2025-02-15|12:06|C1190|Chettinad House|Chennai|South Indian|1|175|0|Cash on Delivery|Delivered|38|4</v>
      </c>
      <c r="P215" s="7" t="str">
        <f aca="false">IF(COUNTIF($O$2:O215,O215)&gt;1,"DUP","OK")</f>
        <v>OK</v>
      </c>
      <c r="Q215" s="7" t="n">
        <f aca="false">COUNTBLANK(A215:N215)</f>
        <v>0</v>
      </c>
      <c r="R215" s="7" t="n">
        <f aca="false">IF(A215="",0,COUNTIFS($A$2:$A$3058,A215,$P$2:$P$3058,"OK"))</f>
        <v>1</v>
      </c>
      <c r="S215" s="7" t="str">
        <f aca="false">IF(OR(A215="",P215="DUP",R215&lt;2),"",IF(Q215=_xlfn.MINIFS($Q$2:$Q$3058,$A$2:$A$3058,A215,$P$2:$P$3058,"OK"),"KEEP","DROP"))</f>
        <v/>
      </c>
      <c r="T215" s="9" t="n">
        <f aca="false">IF(A215="",1,0)</f>
        <v>0</v>
      </c>
      <c r="U215" s="9" t="n">
        <f aca="false">IF(D215="",1,0)</f>
        <v>0</v>
      </c>
      <c r="V215" s="9" t="n">
        <f aca="false">IF(E215="",1,0)</f>
        <v>0</v>
      </c>
      <c r="W215" s="9" t="n">
        <f aca="false">IF(OR(H215&lt;1,H215&gt;10),1,0)</f>
        <v>0</v>
      </c>
      <c r="X215" s="9" t="n">
        <f aca="false">IF(OR(I215&lt;=0,I215&gt;1500),1,0)</f>
        <v>0</v>
      </c>
      <c r="Y215" s="9" t="n">
        <f aca="false">IF(J215&gt;H215*I215,1,0)</f>
        <v>0</v>
      </c>
      <c r="Z215" s="9" t="n">
        <f aca="false">IF(AND(N215&lt;&gt;"",OR(N215&lt;1,N215&gt;5)),1,0)</f>
        <v>0</v>
      </c>
      <c r="AA215" s="9" t="n">
        <f aca="false">IF(AND(M215&lt;&gt;"",OR(M215&lt;5,M215&gt;180)),1,0)</f>
        <v>0</v>
      </c>
      <c r="AB215" s="7" t="str">
        <f aca="false">IF(P215="DUP","Exact duplicate row",IF(T215=1,"Missing Order ID",IF(S215="DROP","Duplicate Order ID (less complete row)",IF(U215=1,"Missing Customer ID",IF(V215=1,"Missing Restaurant name",IF(W215=1,"Invalid/outlier quantity",IF(X215=1,"Invalid/outlier unit price",IF(Y215=1,"Discount greater than order value",""))))))))</f>
        <v/>
      </c>
      <c r="AC215" s="7" t="str">
        <f aca="false">IF(AB215="","KEEP","DROP")</f>
        <v>KEEP</v>
      </c>
      <c r="AD215" s="7" t="str">
        <f aca="false">IF(TRIM(F215)="",IFERROR(INDEX(Map_Tables!$I$4:$I$37,MATCH(TRIM(E215),Map_Tables!$G$4:$G$37,0)),""),IFERROR(INDEX(Map_Tables!$B$4:$B$18,MATCH(TRIM(F215),Map_Tables!$A$4:$A$18,0)),"CHECK"))</f>
        <v>Chennai</v>
      </c>
      <c r="AE215" s="7" t="str">
        <f aca="false">IF(TRIM(E215)="","",IFERROR(INDEX(Map_Tables!$H$4:$H$37,MATCH(TRIM(E215),Map_Tables!$G$4:$G$37,0)),"CHECK"))</f>
        <v>Chettinad House</v>
      </c>
      <c r="AF215" s="7" t="str">
        <f aca="false">IF(TRIM(K215)="","Unknown",IFERROR(INDEX(Map_Tables!$E$4:$E$15,MATCH(TRIM(K215),Map_Tables!$D$4:$D$15,0)),"CHECK"))</f>
        <v>Cash on Delivery</v>
      </c>
      <c r="AG215" s="7" t="str">
        <f aca="false">IF(LEFT(LOWER(TRIM(L215)),6)="cancel","Cancelled","Delivered")</f>
        <v>Delivered</v>
      </c>
      <c r="AH215" s="10" t="n">
        <f aca="false">IF(ISNUMBER(SEARCH("/",B215)),DATE(VALUE(RIGHT(B215,4)),VALUE(MID(B215,4,2)),VALUE(LEFT(B215,2))),IF(MID(B215,5,1)="-",DATE(VALUE(LEFT(B215,4)),VALUE(MID(B215,6,2)),VALUE(RIGHT(B215,2))),DATE(VALUE(RIGHT(B215,4)),MATCH(MID(B215,4,3),{"Jan","Feb","Mar","Apr","May","Jun","Jul","Aug","Sep","Oct","Nov","Dec"},0),VALUE(LEFT(B215,2)))))</f>
        <v>45703</v>
      </c>
    </row>
    <row r="216" customFormat="false" ht="15" hidden="false" customHeight="false" outlineLevel="0" collapsed="false">
      <c r="A216" s="7" t="s">
        <v>998</v>
      </c>
      <c r="B216" s="7" t="s">
        <v>271</v>
      </c>
      <c r="C216" s="7" t="s">
        <v>999</v>
      </c>
      <c r="D216" s="7" t="s">
        <v>1000</v>
      </c>
      <c r="E216" s="7" t="s">
        <v>94</v>
      </c>
      <c r="F216" s="7" t="s">
        <v>86</v>
      </c>
      <c r="G216" s="7" t="s">
        <v>95</v>
      </c>
      <c r="H216" s="7" t="n">
        <v>4</v>
      </c>
      <c r="I216" s="7" t="n">
        <v>120</v>
      </c>
      <c r="J216" s="7" t="n">
        <v>0</v>
      </c>
      <c r="K216" s="7" t="s">
        <v>103</v>
      </c>
      <c r="L216" s="7" t="s">
        <v>194</v>
      </c>
      <c r="M216" s="7" t="n">
        <v>30</v>
      </c>
      <c r="N216" s="7" t="n">
        <v>3</v>
      </c>
      <c r="O216" s="7" t="str">
        <f aca="false">A216&amp;"|"&amp;B216&amp;"|"&amp;C216&amp;"|"&amp;D216&amp;"|"&amp;E216&amp;"|"&amp;F216&amp;"|"&amp;G216&amp;"|"&amp;H216&amp;"|"&amp;I216&amp;"|"&amp;J216&amp;"|"&amp;K216&amp;"|"&amp;L216&amp;"|"&amp;M216&amp;"|"&amp;N216</f>
        <v>ORD10585|2025-03-15|22:53|C0776|Dosa Darbar|Bengaluru|South Indian|4|120|0|Debit Card|Delivered|30|3</v>
      </c>
      <c r="P216" s="7" t="str">
        <f aca="false">IF(COUNTIF($O$2:O216,O216)&gt;1,"DUP","OK")</f>
        <v>OK</v>
      </c>
      <c r="Q216" s="7" t="n">
        <f aca="false">COUNTBLANK(A216:N216)</f>
        <v>0</v>
      </c>
      <c r="R216" s="7" t="n">
        <f aca="false">IF(A216="",0,COUNTIFS($A$2:$A$3058,A216,$P$2:$P$3058,"OK"))</f>
        <v>1</v>
      </c>
      <c r="S216" s="7" t="str">
        <f aca="false">IF(OR(A216="",P216="DUP",R216&lt;2),"",IF(Q216=_xlfn.MINIFS($Q$2:$Q$3058,$A$2:$A$3058,A216,$P$2:$P$3058,"OK"),"KEEP","DROP"))</f>
        <v/>
      </c>
      <c r="T216" s="9" t="n">
        <f aca="false">IF(A216="",1,0)</f>
        <v>0</v>
      </c>
      <c r="U216" s="9" t="n">
        <f aca="false">IF(D216="",1,0)</f>
        <v>0</v>
      </c>
      <c r="V216" s="9" t="n">
        <f aca="false">IF(E216="",1,0)</f>
        <v>0</v>
      </c>
      <c r="W216" s="9" t="n">
        <f aca="false">IF(OR(H216&lt;1,H216&gt;10),1,0)</f>
        <v>0</v>
      </c>
      <c r="X216" s="9" t="n">
        <f aca="false">IF(OR(I216&lt;=0,I216&gt;1500),1,0)</f>
        <v>0</v>
      </c>
      <c r="Y216" s="9" t="n">
        <f aca="false">IF(J216&gt;H216*I216,1,0)</f>
        <v>0</v>
      </c>
      <c r="Z216" s="9" t="n">
        <f aca="false">IF(AND(N216&lt;&gt;"",OR(N216&lt;1,N216&gt;5)),1,0)</f>
        <v>0</v>
      </c>
      <c r="AA216" s="9" t="n">
        <f aca="false">IF(AND(M216&lt;&gt;"",OR(M216&lt;5,M216&gt;180)),1,0)</f>
        <v>0</v>
      </c>
      <c r="AB216" s="7" t="str">
        <f aca="false">IF(P216="DUP","Exact duplicate row",IF(T216=1,"Missing Order ID",IF(S216="DROP","Duplicate Order ID (less complete row)",IF(U216=1,"Missing Customer ID",IF(V216=1,"Missing Restaurant name",IF(W216=1,"Invalid/outlier quantity",IF(X216=1,"Invalid/outlier unit price",IF(Y216=1,"Discount greater than order value",""))))))))</f>
        <v/>
      </c>
      <c r="AC216" s="7" t="str">
        <f aca="false">IF(AB216="","KEEP","DROP")</f>
        <v>KEEP</v>
      </c>
      <c r="AD216" s="7" t="str">
        <f aca="false">IF(TRIM(F216)="",IFERROR(INDEX(Map_Tables!$I$4:$I$37,MATCH(TRIM(E216),Map_Tables!$G$4:$G$37,0)),""),IFERROR(INDEX(Map_Tables!$B$4:$B$18,MATCH(TRIM(F216),Map_Tables!$A$4:$A$18,0)),"CHECK"))</f>
        <v>Bengaluru</v>
      </c>
      <c r="AE216" s="7" t="str">
        <f aca="false">IF(TRIM(E216)="","",IFERROR(INDEX(Map_Tables!$H$4:$H$37,MATCH(TRIM(E216),Map_Tables!$G$4:$G$37,0)),"CHECK"))</f>
        <v>Dosa Darbar</v>
      </c>
      <c r="AF216" s="7" t="str">
        <f aca="false">IF(TRIM(K216)="","Unknown",IFERROR(INDEX(Map_Tables!$E$4:$E$15,MATCH(TRIM(K216),Map_Tables!$D$4:$D$15,0)),"CHECK"))</f>
        <v>Debit Card</v>
      </c>
      <c r="AG216" s="7" t="str">
        <f aca="false">IF(LEFT(LOWER(TRIM(L216)),6)="cancel","Cancelled","Delivered")</f>
        <v>Delivered</v>
      </c>
      <c r="AH216" s="10" t="n">
        <f aca="false">IF(ISNUMBER(SEARCH("/",B216)),DATE(VALUE(RIGHT(B216,4)),VALUE(MID(B216,4,2)),VALUE(LEFT(B216,2))),IF(MID(B216,5,1)="-",DATE(VALUE(LEFT(B216,4)),VALUE(MID(B216,6,2)),VALUE(RIGHT(B216,2))),DATE(VALUE(RIGHT(B216,4)),MATCH(MID(B216,4,3),{"Jan","Feb","Mar","Apr","May","Jun","Jul","Aug","Sep","Oct","Nov","Dec"},0),VALUE(LEFT(B216,2)))))</f>
        <v>45731</v>
      </c>
    </row>
    <row r="217" customFormat="false" ht="15" hidden="false" customHeight="false" outlineLevel="0" collapsed="false">
      <c r="A217" s="7" t="s">
        <v>1001</v>
      </c>
      <c r="B217" s="7" t="s">
        <v>275</v>
      </c>
      <c r="C217" s="7" t="s">
        <v>508</v>
      </c>
      <c r="D217" s="7" t="s">
        <v>1002</v>
      </c>
      <c r="E217" s="7" t="s">
        <v>138</v>
      </c>
      <c r="F217" s="7" t="s">
        <v>110</v>
      </c>
      <c r="G217" s="7" t="s">
        <v>1003</v>
      </c>
      <c r="H217" s="7" t="n">
        <v>2</v>
      </c>
      <c r="I217" s="7" t="n">
        <v>185</v>
      </c>
      <c r="J217" s="7" t="n">
        <v>0</v>
      </c>
      <c r="K217" s="7" t="s">
        <v>88</v>
      </c>
      <c r="L217" s="7" t="s">
        <v>194</v>
      </c>
      <c r="M217" s="7" t="n">
        <v>38</v>
      </c>
      <c r="N217" s="7" t="n">
        <v>3</v>
      </c>
      <c r="O217" s="7" t="str">
        <f aca="false">A217&amp;"|"&amp;B217&amp;"|"&amp;C217&amp;"|"&amp;D217&amp;"|"&amp;E217&amp;"|"&amp;F217&amp;"|"&amp;G217&amp;"|"&amp;H217&amp;"|"&amp;I217&amp;"|"&amp;J217&amp;"|"&amp;K217&amp;"|"&amp;L217&amp;"|"&amp;M217&amp;"|"&amp;N217</f>
        <v>ORD10119|2025-01-16|11:56|C1193|Burger Barn|Delhi|BURGERS|2|185|0|UPI|Delivered|38|3</v>
      </c>
      <c r="P217" s="7" t="str">
        <f aca="false">IF(COUNTIF($O$2:O217,O217)&gt;1,"DUP","OK")</f>
        <v>OK</v>
      </c>
      <c r="Q217" s="7" t="n">
        <f aca="false">COUNTBLANK(A217:N217)</f>
        <v>0</v>
      </c>
      <c r="R217" s="7" t="n">
        <f aca="false">IF(A217="",0,COUNTIFS($A$2:$A$3058,A217,$P$2:$P$3058,"OK"))</f>
        <v>1</v>
      </c>
      <c r="S217" s="7" t="str">
        <f aca="false">IF(OR(A217="",P217="DUP",R217&lt;2),"",IF(Q217=_xlfn.MINIFS($Q$2:$Q$3058,$A$2:$A$3058,A217,$P$2:$P$3058,"OK"),"KEEP","DROP"))</f>
        <v/>
      </c>
      <c r="T217" s="9" t="n">
        <f aca="false">IF(A217="",1,0)</f>
        <v>0</v>
      </c>
      <c r="U217" s="9" t="n">
        <f aca="false">IF(D217="",1,0)</f>
        <v>0</v>
      </c>
      <c r="V217" s="9" t="n">
        <f aca="false">IF(E217="",1,0)</f>
        <v>0</v>
      </c>
      <c r="W217" s="9" t="n">
        <f aca="false">IF(OR(H217&lt;1,H217&gt;10),1,0)</f>
        <v>0</v>
      </c>
      <c r="X217" s="9" t="n">
        <f aca="false">IF(OR(I217&lt;=0,I217&gt;1500),1,0)</f>
        <v>0</v>
      </c>
      <c r="Y217" s="9" t="n">
        <f aca="false">IF(J217&gt;H217*I217,1,0)</f>
        <v>0</v>
      </c>
      <c r="Z217" s="9" t="n">
        <f aca="false">IF(AND(N217&lt;&gt;"",OR(N217&lt;1,N217&gt;5)),1,0)</f>
        <v>0</v>
      </c>
      <c r="AA217" s="9" t="n">
        <f aca="false">IF(AND(M217&lt;&gt;"",OR(M217&lt;5,M217&gt;180)),1,0)</f>
        <v>0</v>
      </c>
      <c r="AB217" s="7" t="str">
        <f aca="false">IF(P217="DUP","Exact duplicate row",IF(T217=1,"Missing Order ID",IF(S217="DROP","Duplicate Order ID (less complete row)",IF(U217=1,"Missing Customer ID",IF(V217=1,"Missing Restaurant name",IF(W217=1,"Invalid/outlier quantity",IF(X217=1,"Invalid/outlier unit price",IF(Y217=1,"Discount greater than order value",""))))))))</f>
        <v/>
      </c>
      <c r="AC217" s="7" t="str">
        <f aca="false">IF(AB217="","KEEP","DROP")</f>
        <v>KEEP</v>
      </c>
      <c r="AD217" s="7" t="str">
        <f aca="false">IF(TRIM(F217)="",IFERROR(INDEX(Map_Tables!$I$4:$I$37,MATCH(TRIM(E217),Map_Tables!$G$4:$G$37,0)),""),IFERROR(INDEX(Map_Tables!$B$4:$B$18,MATCH(TRIM(F217),Map_Tables!$A$4:$A$18,0)),"CHECK"))</f>
        <v>Delhi</v>
      </c>
      <c r="AE217" s="7" t="str">
        <f aca="false">IF(TRIM(E217)="","",IFERROR(INDEX(Map_Tables!$H$4:$H$37,MATCH(TRIM(E217),Map_Tables!$G$4:$G$37,0)),"CHECK"))</f>
        <v>Burger Barn</v>
      </c>
      <c r="AF217" s="7" t="str">
        <f aca="false">IF(TRIM(K217)="","Unknown",IFERROR(INDEX(Map_Tables!$E$4:$E$15,MATCH(TRIM(K217),Map_Tables!$D$4:$D$15,0)),"CHECK"))</f>
        <v>UPI</v>
      </c>
      <c r="AG217" s="7" t="str">
        <f aca="false">IF(LEFT(LOWER(TRIM(L217)),6)="cancel","Cancelled","Delivered")</f>
        <v>Delivered</v>
      </c>
      <c r="AH217" s="10" t="n">
        <f aca="false">IF(ISNUMBER(SEARCH("/",B217)),DATE(VALUE(RIGHT(B217,4)),VALUE(MID(B217,4,2)),VALUE(LEFT(B217,2))),IF(MID(B217,5,1)="-",DATE(VALUE(LEFT(B217,4)),VALUE(MID(B217,6,2)),VALUE(RIGHT(B217,2))),DATE(VALUE(RIGHT(B217,4)),MATCH(MID(B217,4,3),{"Jan","Feb","Mar","Apr","May","Jun","Jul","Aug","Sep","Oct","Nov","Dec"},0),VALUE(LEFT(B217,2)))))</f>
        <v>45673</v>
      </c>
    </row>
    <row r="218" customFormat="false" ht="15" hidden="false" customHeight="false" outlineLevel="0" collapsed="false">
      <c r="A218" s="7" t="s">
        <v>1004</v>
      </c>
      <c r="B218" s="7" t="s">
        <v>892</v>
      </c>
      <c r="C218" s="7" t="s">
        <v>1005</v>
      </c>
      <c r="D218" s="7" t="s">
        <v>1006</v>
      </c>
      <c r="E218" s="7" t="s">
        <v>130</v>
      </c>
      <c r="F218" s="7" t="s">
        <v>110</v>
      </c>
      <c r="G218" s="7" t="s">
        <v>90</v>
      </c>
      <c r="H218" s="7" t="n">
        <v>2</v>
      </c>
      <c r="I218" s="7" t="n">
        <v>245</v>
      </c>
      <c r="J218" s="7" t="n">
        <v>0</v>
      </c>
      <c r="K218" s="7" t="s">
        <v>103</v>
      </c>
      <c r="L218" s="7" t="s">
        <v>194</v>
      </c>
      <c r="M218" s="7" t="n">
        <v>39</v>
      </c>
      <c r="N218" s="7" t="n">
        <v>5</v>
      </c>
      <c r="O218" s="7" t="str">
        <f aca="false">A218&amp;"|"&amp;B218&amp;"|"&amp;C218&amp;"|"&amp;D218&amp;"|"&amp;E218&amp;"|"&amp;F218&amp;"|"&amp;G218&amp;"|"&amp;H218&amp;"|"&amp;I218&amp;"|"&amp;J218&amp;"|"&amp;K218&amp;"|"&amp;L218&amp;"|"&amp;M218&amp;"|"&amp;N218</f>
        <v>ORD12527|2025-11-12|12:54|C0135|Tandoor Tales|Delhi|North Indian|2|245|0|Debit Card|Delivered|39|5</v>
      </c>
      <c r="P218" s="7" t="str">
        <f aca="false">IF(COUNTIF($O$2:O218,O218)&gt;1,"DUP","OK")</f>
        <v>OK</v>
      </c>
      <c r="Q218" s="7" t="n">
        <f aca="false">COUNTBLANK(A218:N218)</f>
        <v>0</v>
      </c>
      <c r="R218" s="7" t="n">
        <f aca="false">IF(A218="",0,COUNTIFS($A$2:$A$3058,A218,$P$2:$P$3058,"OK"))</f>
        <v>1</v>
      </c>
      <c r="S218" s="7" t="str">
        <f aca="false">IF(OR(A218="",P218="DUP",R218&lt;2),"",IF(Q218=_xlfn.MINIFS($Q$2:$Q$3058,$A$2:$A$3058,A218,$P$2:$P$3058,"OK"),"KEEP","DROP"))</f>
        <v/>
      </c>
      <c r="T218" s="9" t="n">
        <f aca="false">IF(A218="",1,0)</f>
        <v>0</v>
      </c>
      <c r="U218" s="9" t="n">
        <f aca="false">IF(D218="",1,0)</f>
        <v>0</v>
      </c>
      <c r="V218" s="9" t="n">
        <f aca="false">IF(E218="",1,0)</f>
        <v>0</v>
      </c>
      <c r="W218" s="9" t="n">
        <f aca="false">IF(OR(H218&lt;1,H218&gt;10),1,0)</f>
        <v>0</v>
      </c>
      <c r="X218" s="9" t="n">
        <f aca="false">IF(OR(I218&lt;=0,I218&gt;1500),1,0)</f>
        <v>0</v>
      </c>
      <c r="Y218" s="9" t="n">
        <f aca="false">IF(J218&gt;H218*I218,1,0)</f>
        <v>0</v>
      </c>
      <c r="Z218" s="9" t="n">
        <f aca="false">IF(AND(N218&lt;&gt;"",OR(N218&lt;1,N218&gt;5)),1,0)</f>
        <v>0</v>
      </c>
      <c r="AA218" s="9" t="n">
        <f aca="false">IF(AND(M218&lt;&gt;"",OR(M218&lt;5,M218&gt;180)),1,0)</f>
        <v>0</v>
      </c>
      <c r="AB218" s="7" t="str">
        <f aca="false">IF(P218="DUP","Exact duplicate row",IF(T218=1,"Missing Order ID",IF(S218="DROP","Duplicate Order ID (less complete row)",IF(U218=1,"Missing Customer ID",IF(V218=1,"Missing Restaurant name",IF(W218=1,"Invalid/outlier quantity",IF(X218=1,"Invalid/outlier unit price",IF(Y218=1,"Discount greater than order value",""))))))))</f>
        <v/>
      </c>
      <c r="AC218" s="7" t="str">
        <f aca="false">IF(AB218="","KEEP","DROP")</f>
        <v>KEEP</v>
      </c>
      <c r="AD218" s="7" t="str">
        <f aca="false">IF(TRIM(F218)="",IFERROR(INDEX(Map_Tables!$I$4:$I$37,MATCH(TRIM(E218),Map_Tables!$G$4:$G$37,0)),""),IFERROR(INDEX(Map_Tables!$B$4:$B$18,MATCH(TRIM(F218),Map_Tables!$A$4:$A$18,0)),"CHECK"))</f>
        <v>Delhi</v>
      </c>
      <c r="AE218" s="7" t="str">
        <f aca="false">IF(TRIM(E218)="","",IFERROR(INDEX(Map_Tables!$H$4:$H$37,MATCH(TRIM(E218),Map_Tables!$G$4:$G$37,0)),"CHECK"))</f>
        <v>Tandoor Tales</v>
      </c>
      <c r="AF218" s="7" t="str">
        <f aca="false">IF(TRIM(K218)="","Unknown",IFERROR(INDEX(Map_Tables!$E$4:$E$15,MATCH(TRIM(K218),Map_Tables!$D$4:$D$15,0)),"CHECK"))</f>
        <v>Debit Card</v>
      </c>
      <c r="AG218" s="7" t="str">
        <f aca="false">IF(LEFT(LOWER(TRIM(L218)),6)="cancel","Cancelled","Delivered")</f>
        <v>Delivered</v>
      </c>
      <c r="AH218" s="10" t="n">
        <f aca="false">IF(ISNUMBER(SEARCH("/",B218)),DATE(VALUE(RIGHT(B218,4)),VALUE(MID(B218,4,2)),VALUE(LEFT(B218,2))),IF(MID(B218,5,1)="-",DATE(VALUE(LEFT(B218,4)),VALUE(MID(B218,6,2)),VALUE(RIGHT(B218,2))),DATE(VALUE(RIGHT(B218,4)),MATCH(MID(B218,4,3),{"Jan","Feb","Mar","Apr","May","Jun","Jul","Aug","Sep","Oct","Nov","Dec"},0),VALUE(LEFT(B218,2)))))</f>
        <v>45973</v>
      </c>
    </row>
    <row r="219" customFormat="false" ht="15" hidden="false" customHeight="false" outlineLevel="0" collapsed="false">
      <c r="A219" s="7" t="s">
        <v>1007</v>
      </c>
      <c r="B219" s="7" t="s">
        <v>594</v>
      </c>
      <c r="C219" s="7" t="s">
        <v>1008</v>
      </c>
      <c r="D219" s="7" t="s">
        <v>1009</v>
      </c>
      <c r="E219" s="7" t="s">
        <v>134</v>
      </c>
      <c r="F219" s="7" t="s">
        <v>110</v>
      </c>
      <c r="G219" s="7" t="s">
        <v>117</v>
      </c>
      <c r="H219" s="7" t="n">
        <v>5</v>
      </c>
      <c r="I219" s="7" t="n">
        <v>100</v>
      </c>
      <c r="J219" s="7" t="n">
        <v>50</v>
      </c>
      <c r="K219" s="7" t="s">
        <v>88</v>
      </c>
      <c r="L219" s="7" t="s">
        <v>194</v>
      </c>
      <c r="M219" s="7" t="n">
        <v>30</v>
      </c>
      <c r="N219" s="7" t="n">
        <v>5</v>
      </c>
      <c r="O219" s="7" t="str">
        <f aca="false">A219&amp;"|"&amp;B219&amp;"|"&amp;C219&amp;"|"&amp;D219&amp;"|"&amp;E219&amp;"|"&amp;F219&amp;"|"&amp;G219&amp;"|"&amp;H219&amp;"|"&amp;I219&amp;"|"&amp;J219&amp;"|"&amp;K219&amp;"|"&amp;L219&amp;"|"&amp;M219&amp;"|"&amp;N219</f>
        <v>ORD11326|2025-06-20|17:54|C1007|Chaat Corner|Delhi|Street Food|5|100|50|UPI|Delivered|30|5</v>
      </c>
      <c r="P219" s="7" t="str">
        <f aca="false">IF(COUNTIF($O$2:O219,O219)&gt;1,"DUP","OK")</f>
        <v>OK</v>
      </c>
      <c r="Q219" s="7" t="n">
        <f aca="false">COUNTBLANK(A219:N219)</f>
        <v>0</v>
      </c>
      <c r="R219" s="7" t="n">
        <f aca="false">IF(A219="",0,COUNTIFS($A$2:$A$3058,A219,$P$2:$P$3058,"OK"))</f>
        <v>1</v>
      </c>
      <c r="S219" s="7" t="str">
        <f aca="false">IF(OR(A219="",P219="DUP",R219&lt;2),"",IF(Q219=_xlfn.MINIFS($Q$2:$Q$3058,$A$2:$A$3058,A219,$P$2:$P$3058,"OK"),"KEEP","DROP"))</f>
        <v/>
      </c>
      <c r="T219" s="9" t="n">
        <f aca="false">IF(A219="",1,0)</f>
        <v>0</v>
      </c>
      <c r="U219" s="9" t="n">
        <f aca="false">IF(D219="",1,0)</f>
        <v>0</v>
      </c>
      <c r="V219" s="9" t="n">
        <f aca="false">IF(E219="",1,0)</f>
        <v>0</v>
      </c>
      <c r="W219" s="9" t="n">
        <f aca="false">IF(OR(H219&lt;1,H219&gt;10),1,0)</f>
        <v>0</v>
      </c>
      <c r="X219" s="9" t="n">
        <f aca="false">IF(OR(I219&lt;=0,I219&gt;1500),1,0)</f>
        <v>0</v>
      </c>
      <c r="Y219" s="9" t="n">
        <f aca="false">IF(J219&gt;H219*I219,1,0)</f>
        <v>0</v>
      </c>
      <c r="Z219" s="9" t="n">
        <f aca="false">IF(AND(N219&lt;&gt;"",OR(N219&lt;1,N219&gt;5)),1,0)</f>
        <v>0</v>
      </c>
      <c r="AA219" s="9" t="n">
        <f aca="false">IF(AND(M219&lt;&gt;"",OR(M219&lt;5,M219&gt;180)),1,0)</f>
        <v>0</v>
      </c>
      <c r="AB219" s="7" t="str">
        <f aca="false">IF(P219="DUP","Exact duplicate row",IF(T219=1,"Missing Order ID",IF(S219="DROP","Duplicate Order ID (less complete row)",IF(U219=1,"Missing Customer ID",IF(V219=1,"Missing Restaurant name",IF(W219=1,"Invalid/outlier quantity",IF(X219=1,"Invalid/outlier unit price",IF(Y219=1,"Discount greater than order value",""))))))))</f>
        <v/>
      </c>
      <c r="AC219" s="7" t="str">
        <f aca="false">IF(AB219="","KEEP","DROP")</f>
        <v>KEEP</v>
      </c>
      <c r="AD219" s="7" t="str">
        <f aca="false">IF(TRIM(F219)="",IFERROR(INDEX(Map_Tables!$I$4:$I$37,MATCH(TRIM(E219),Map_Tables!$G$4:$G$37,0)),""),IFERROR(INDEX(Map_Tables!$B$4:$B$18,MATCH(TRIM(F219),Map_Tables!$A$4:$A$18,0)),"CHECK"))</f>
        <v>Delhi</v>
      </c>
      <c r="AE219" s="7" t="str">
        <f aca="false">IF(TRIM(E219)="","",IFERROR(INDEX(Map_Tables!$H$4:$H$37,MATCH(TRIM(E219),Map_Tables!$G$4:$G$37,0)),"CHECK"))</f>
        <v>Chaat Corner</v>
      </c>
      <c r="AF219" s="7" t="str">
        <f aca="false">IF(TRIM(K219)="","Unknown",IFERROR(INDEX(Map_Tables!$E$4:$E$15,MATCH(TRIM(K219),Map_Tables!$D$4:$D$15,0)),"CHECK"))</f>
        <v>UPI</v>
      </c>
      <c r="AG219" s="7" t="str">
        <f aca="false">IF(LEFT(LOWER(TRIM(L219)),6)="cancel","Cancelled","Delivered")</f>
        <v>Delivered</v>
      </c>
      <c r="AH219" s="10" t="n">
        <f aca="false">IF(ISNUMBER(SEARCH("/",B219)),DATE(VALUE(RIGHT(B219,4)),VALUE(MID(B219,4,2)),VALUE(LEFT(B219,2))),IF(MID(B219,5,1)="-",DATE(VALUE(LEFT(B219,4)),VALUE(MID(B219,6,2)),VALUE(RIGHT(B219,2))),DATE(VALUE(RIGHT(B219,4)),MATCH(MID(B219,4,3),{"Jan","Feb","Mar","Apr","May","Jun","Jul","Aug","Sep","Oct","Nov","Dec"},0),VALUE(LEFT(B219,2)))))</f>
        <v>45828</v>
      </c>
    </row>
    <row r="220" customFormat="false" ht="15" hidden="false" customHeight="false" outlineLevel="0" collapsed="false">
      <c r="A220" s="7" t="s">
        <v>1010</v>
      </c>
      <c r="B220" s="7" t="s">
        <v>629</v>
      </c>
      <c r="C220" s="7" t="s">
        <v>1011</v>
      </c>
      <c r="D220" s="7" t="s">
        <v>1012</v>
      </c>
      <c r="E220" s="7" t="s">
        <v>142</v>
      </c>
      <c r="F220" s="7" t="s">
        <v>109</v>
      </c>
      <c r="G220" s="7" t="s">
        <v>105</v>
      </c>
      <c r="H220" s="7" t="n">
        <v>1</v>
      </c>
      <c r="I220" s="7" t="n">
        <v>180</v>
      </c>
      <c r="J220" s="7" t="n">
        <v>50</v>
      </c>
      <c r="K220" s="7" t="s">
        <v>88</v>
      </c>
      <c r="L220" s="7" t="s">
        <v>194</v>
      </c>
      <c r="M220" s="7" t="n">
        <v>38</v>
      </c>
      <c r="N220" s="7" t="n">
        <v>4</v>
      </c>
      <c r="O220" s="7" t="str">
        <f aca="false">A220&amp;"|"&amp;B220&amp;"|"&amp;C220&amp;"|"&amp;D220&amp;"|"&amp;E220&amp;"|"&amp;F220&amp;"|"&amp;G220&amp;"|"&amp;H220&amp;"|"&amp;I220&amp;"|"&amp;J220&amp;"|"&amp;K220&amp;"|"&amp;L220&amp;"|"&amp;M220&amp;"|"&amp;N220</f>
        <v>ORD12091|2025-09-26|17:29|C0920|Momo Magic|delhi|Chinese|1|180|50|UPI|Delivered|38|4</v>
      </c>
      <c r="P220" s="7" t="str">
        <f aca="false">IF(COUNTIF($O$2:O220,O220)&gt;1,"DUP","OK")</f>
        <v>OK</v>
      </c>
      <c r="Q220" s="7" t="n">
        <f aca="false">COUNTBLANK(A220:N220)</f>
        <v>0</v>
      </c>
      <c r="R220" s="7" t="n">
        <f aca="false">IF(A220="",0,COUNTIFS($A$2:$A$3058,A220,$P$2:$P$3058,"OK"))</f>
        <v>1</v>
      </c>
      <c r="S220" s="7" t="str">
        <f aca="false">IF(OR(A220="",P220="DUP",R220&lt;2),"",IF(Q220=_xlfn.MINIFS($Q$2:$Q$3058,$A$2:$A$3058,A220,$P$2:$P$3058,"OK"),"KEEP","DROP"))</f>
        <v/>
      </c>
      <c r="T220" s="9" t="n">
        <f aca="false">IF(A220="",1,0)</f>
        <v>0</v>
      </c>
      <c r="U220" s="9" t="n">
        <f aca="false">IF(D220="",1,0)</f>
        <v>0</v>
      </c>
      <c r="V220" s="9" t="n">
        <f aca="false">IF(E220="",1,0)</f>
        <v>0</v>
      </c>
      <c r="W220" s="9" t="n">
        <f aca="false">IF(OR(H220&lt;1,H220&gt;10),1,0)</f>
        <v>0</v>
      </c>
      <c r="X220" s="9" t="n">
        <f aca="false">IF(OR(I220&lt;=0,I220&gt;1500),1,0)</f>
        <v>0</v>
      </c>
      <c r="Y220" s="9" t="n">
        <f aca="false">IF(J220&gt;H220*I220,1,0)</f>
        <v>0</v>
      </c>
      <c r="Z220" s="9" t="n">
        <f aca="false">IF(AND(N220&lt;&gt;"",OR(N220&lt;1,N220&gt;5)),1,0)</f>
        <v>0</v>
      </c>
      <c r="AA220" s="9" t="n">
        <f aca="false">IF(AND(M220&lt;&gt;"",OR(M220&lt;5,M220&gt;180)),1,0)</f>
        <v>0</v>
      </c>
      <c r="AB220" s="7" t="str">
        <f aca="false">IF(P220="DUP","Exact duplicate row",IF(T220=1,"Missing Order ID",IF(S220="DROP","Duplicate Order ID (less complete row)",IF(U220=1,"Missing Customer ID",IF(V220=1,"Missing Restaurant name",IF(W220=1,"Invalid/outlier quantity",IF(X220=1,"Invalid/outlier unit price",IF(Y220=1,"Discount greater than order value",""))))))))</f>
        <v/>
      </c>
      <c r="AC220" s="7" t="str">
        <f aca="false">IF(AB220="","KEEP","DROP")</f>
        <v>KEEP</v>
      </c>
      <c r="AD220" s="7" t="str">
        <f aca="false">IF(TRIM(F220)="",IFERROR(INDEX(Map_Tables!$I$4:$I$37,MATCH(TRIM(E220),Map_Tables!$G$4:$G$37,0)),""),IFERROR(INDEX(Map_Tables!$B$4:$B$18,MATCH(TRIM(F220),Map_Tables!$A$4:$A$18,0)),"CHECK"))</f>
        <v>Delhi</v>
      </c>
      <c r="AE220" s="7" t="str">
        <f aca="false">IF(TRIM(E220)="","",IFERROR(INDEX(Map_Tables!$H$4:$H$37,MATCH(TRIM(E220),Map_Tables!$G$4:$G$37,0)),"CHECK"))</f>
        <v>Momo Magic</v>
      </c>
      <c r="AF220" s="7" t="str">
        <f aca="false">IF(TRIM(K220)="","Unknown",IFERROR(INDEX(Map_Tables!$E$4:$E$15,MATCH(TRIM(K220),Map_Tables!$D$4:$D$15,0)),"CHECK"))</f>
        <v>UPI</v>
      </c>
      <c r="AG220" s="7" t="str">
        <f aca="false">IF(LEFT(LOWER(TRIM(L220)),6)="cancel","Cancelled","Delivered")</f>
        <v>Delivered</v>
      </c>
      <c r="AH220" s="10" t="n">
        <f aca="false">IF(ISNUMBER(SEARCH("/",B220)),DATE(VALUE(RIGHT(B220,4)),VALUE(MID(B220,4,2)),VALUE(LEFT(B220,2))),IF(MID(B220,5,1)="-",DATE(VALUE(LEFT(B220,4)),VALUE(MID(B220,6,2)),VALUE(RIGHT(B220,2))),DATE(VALUE(RIGHT(B220,4)),MATCH(MID(B220,4,3),{"Jan","Feb","Mar","Apr","May","Jun","Jul","Aug","Sep","Oct","Nov","Dec"},0),VALUE(LEFT(B220,2)))))</f>
        <v>45926</v>
      </c>
    </row>
    <row r="221" customFormat="false" ht="15" hidden="false" customHeight="false" outlineLevel="0" collapsed="false">
      <c r="A221" s="7" t="s">
        <v>1013</v>
      </c>
      <c r="B221" s="7" t="s">
        <v>1014</v>
      </c>
      <c r="C221" s="7" t="s">
        <v>1015</v>
      </c>
      <c r="D221" s="7" t="s">
        <v>1016</v>
      </c>
      <c r="E221" s="7" t="s">
        <v>144</v>
      </c>
      <c r="F221" s="7" t="s">
        <v>119</v>
      </c>
      <c r="G221" s="7" t="s">
        <v>99</v>
      </c>
      <c r="H221" s="7" t="n">
        <v>2</v>
      </c>
      <c r="I221" s="7" t="n">
        <v>310</v>
      </c>
      <c r="J221" s="7" t="n">
        <v>150</v>
      </c>
      <c r="K221" s="7" t="s">
        <v>88</v>
      </c>
      <c r="L221" s="7" t="s">
        <v>194</v>
      </c>
      <c r="M221" s="7" t="n">
        <v>29</v>
      </c>
      <c r="N221" s="7" t="n">
        <v>3</v>
      </c>
      <c r="O221" s="7" t="str">
        <f aca="false">A221&amp;"|"&amp;B221&amp;"|"&amp;C221&amp;"|"&amp;D221&amp;"|"&amp;E221&amp;"|"&amp;F221&amp;"|"&amp;G221&amp;"|"&amp;H221&amp;"|"&amp;I221&amp;"|"&amp;J221&amp;"|"&amp;K221&amp;"|"&amp;L221&amp;"|"&amp;M221&amp;"|"&amp;N221</f>
        <v>ORD11392|29/06/2025|22:41|C0945|Hyderabad Dum Biryani|Hyderabad|Biryani|2|310|150|UPI|Delivered|29|3</v>
      </c>
      <c r="P221" s="7" t="str">
        <f aca="false">IF(COUNTIF($O$2:O221,O221)&gt;1,"DUP","OK")</f>
        <v>OK</v>
      </c>
      <c r="Q221" s="7" t="n">
        <f aca="false">COUNTBLANK(A221:N221)</f>
        <v>0</v>
      </c>
      <c r="R221" s="7" t="n">
        <f aca="false">IF(A221="",0,COUNTIFS($A$2:$A$3058,A221,$P$2:$P$3058,"OK"))</f>
        <v>1</v>
      </c>
      <c r="S221" s="7" t="str">
        <f aca="false">IF(OR(A221="",P221="DUP",R221&lt;2),"",IF(Q221=_xlfn.MINIFS($Q$2:$Q$3058,$A$2:$A$3058,A221,$P$2:$P$3058,"OK"),"KEEP","DROP"))</f>
        <v/>
      </c>
      <c r="T221" s="9" t="n">
        <f aca="false">IF(A221="",1,0)</f>
        <v>0</v>
      </c>
      <c r="U221" s="9" t="n">
        <f aca="false">IF(D221="",1,0)</f>
        <v>0</v>
      </c>
      <c r="V221" s="9" t="n">
        <f aca="false">IF(E221="",1,0)</f>
        <v>0</v>
      </c>
      <c r="W221" s="9" t="n">
        <f aca="false">IF(OR(H221&lt;1,H221&gt;10),1,0)</f>
        <v>0</v>
      </c>
      <c r="X221" s="9" t="n">
        <f aca="false">IF(OR(I221&lt;=0,I221&gt;1500),1,0)</f>
        <v>0</v>
      </c>
      <c r="Y221" s="9" t="n">
        <f aca="false">IF(J221&gt;H221*I221,1,0)</f>
        <v>0</v>
      </c>
      <c r="Z221" s="9" t="n">
        <f aca="false">IF(AND(N221&lt;&gt;"",OR(N221&lt;1,N221&gt;5)),1,0)</f>
        <v>0</v>
      </c>
      <c r="AA221" s="9" t="n">
        <f aca="false">IF(AND(M221&lt;&gt;"",OR(M221&lt;5,M221&gt;180)),1,0)</f>
        <v>0</v>
      </c>
      <c r="AB221" s="7" t="str">
        <f aca="false">IF(P221="DUP","Exact duplicate row",IF(T221=1,"Missing Order ID",IF(S221="DROP","Duplicate Order ID (less complete row)",IF(U221=1,"Missing Customer ID",IF(V221=1,"Missing Restaurant name",IF(W221=1,"Invalid/outlier quantity",IF(X221=1,"Invalid/outlier unit price",IF(Y221=1,"Discount greater than order value",""))))))))</f>
        <v/>
      </c>
      <c r="AC221" s="7" t="str">
        <f aca="false">IF(AB221="","KEEP","DROP")</f>
        <v>KEEP</v>
      </c>
      <c r="AD221" s="7" t="str">
        <f aca="false">IF(TRIM(F221)="",IFERROR(INDEX(Map_Tables!$I$4:$I$37,MATCH(TRIM(E221),Map_Tables!$G$4:$G$37,0)),""),IFERROR(INDEX(Map_Tables!$B$4:$B$18,MATCH(TRIM(F221),Map_Tables!$A$4:$A$18,0)),"CHECK"))</f>
        <v>Hyderabad</v>
      </c>
      <c r="AE221" s="7" t="str">
        <f aca="false">IF(TRIM(E221)="","",IFERROR(INDEX(Map_Tables!$H$4:$H$37,MATCH(TRIM(E221),Map_Tables!$G$4:$G$37,0)),"CHECK"))</f>
        <v>Hyderabad Dum Biryani</v>
      </c>
      <c r="AF221" s="7" t="str">
        <f aca="false">IF(TRIM(K221)="","Unknown",IFERROR(INDEX(Map_Tables!$E$4:$E$15,MATCH(TRIM(K221),Map_Tables!$D$4:$D$15,0)),"CHECK"))</f>
        <v>UPI</v>
      </c>
      <c r="AG221" s="7" t="str">
        <f aca="false">IF(LEFT(LOWER(TRIM(L221)),6)="cancel","Cancelled","Delivered")</f>
        <v>Delivered</v>
      </c>
      <c r="AH221" s="10" t="n">
        <f aca="false">IF(ISNUMBER(SEARCH("/",B221)),DATE(VALUE(RIGHT(B221,4)),VALUE(MID(B221,4,2)),VALUE(LEFT(B221,2))),IF(MID(B221,5,1)="-",DATE(VALUE(LEFT(B221,4)),VALUE(MID(B221,6,2)),VALUE(RIGHT(B221,2))),DATE(VALUE(RIGHT(B221,4)),MATCH(MID(B221,4,3),{"Jan","Feb","Mar","Apr","May","Jun","Jul","Aug","Sep","Oct","Nov","Dec"},0),VALUE(LEFT(B221,2)))))</f>
        <v>45837</v>
      </c>
    </row>
    <row r="222" customFormat="false" ht="15" hidden="false" customHeight="false" outlineLevel="0" collapsed="false">
      <c r="A222" s="7" t="s">
        <v>1017</v>
      </c>
      <c r="B222" s="7" t="s">
        <v>1018</v>
      </c>
      <c r="C222" s="7" t="s">
        <v>1019</v>
      </c>
      <c r="D222" s="7" t="s">
        <v>1020</v>
      </c>
      <c r="E222" s="7" t="s">
        <v>89</v>
      </c>
      <c r="F222" s="7" t="s">
        <v>86</v>
      </c>
      <c r="G222" s="7" t="s">
        <v>90</v>
      </c>
      <c r="H222" s="7" t="n">
        <v>1</v>
      </c>
      <c r="I222" s="7" t="n">
        <v>195</v>
      </c>
      <c r="J222" s="7" t="n">
        <v>0</v>
      </c>
      <c r="K222" s="7" t="s">
        <v>88</v>
      </c>
      <c r="L222" s="7" t="s">
        <v>194</v>
      </c>
      <c r="M222" s="7" t="n">
        <v>46</v>
      </c>
      <c r="N222" s="7" t="n">
        <v>3</v>
      </c>
      <c r="O222" s="7" t="str">
        <f aca="false">A222&amp;"|"&amp;B222&amp;"|"&amp;C222&amp;"|"&amp;D222&amp;"|"&amp;E222&amp;"|"&amp;F222&amp;"|"&amp;G222&amp;"|"&amp;H222&amp;"|"&amp;I222&amp;"|"&amp;J222&amp;"|"&amp;K222&amp;"|"&amp;L222&amp;"|"&amp;M222&amp;"|"&amp;N222</f>
        <v>ORD11716|13/08/2025|19:25|C1422|Spice Junction|Bengaluru|North Indian|1|195|0|UPI|Delivered|46|3</v>
      </c>
      <c r="P222" s="7" t="str">
        <f aca="false">IF(COUNTIF($O$2:O222,O222)&gt;1,"DUP","OK")</f>
        <v>OK</v>
      </c>
      <c r="Q222" s="7" t="n">
        <f aca="false">COUNTBLANK(A222:N222)</f>
        <v>0</v>
      </c>
      <c r="R222" s="7" t="n">
        <f aca="false">IF(A222="",0,COUNTIFS($A$2:$A$3058,A222,$P$2:$P$3058,"OK"))</f>
        <v>1</v>
      </c>
      <c r="S222" s="7" t="str">
        <f aca="false">IF(OR(A222="",P222="DUP",R222&lt;2),"",IF(Q222=_xlfn.MINIFS($Q$2:$Q$3058,$A$2:$A$3058,A222,$P$2:$P$3058,"OK"),"KEEP","DROP"))</f>
        <v/>
      </c>
      <c r="T222" s="9" t="n">
        <f aca="false">IF(A222="",1,0)</f>
        <v>0</v>
      </c>
      <c r="U222" s="9" t="n">
        <f aca="false">IF(D222="",1,0)</f>
        <v>0</v>
      </c>
      <c r="V222" s="9" t="n">
        <f aca="false">IF(E222="",1,0)</f>
        <v>0</v>
      </c>
      <c r="W222" s="9" t="n">
        <f aca="false">IF(OR(H222&lt;1,H222&gt;10),1,0)</f>
        <v>0</v>
      </c>
      <c r="X222" s="9" t="n">
        <f aca="false">IF(OR(I222&lt;=0,I222&gt;1500),1,0)</f>
        <v>0</v>
      </c>
      <c r="Y222" s="9" t="n">
        <f aca="false">IF(J222&gt;H222*I222,1,0)</f>
        <v>0</v>
      </c>
      <c r="Z222" s="9" t="n">
        <f aca="false">IF(AND(N222&lt;&gt;"",OR(N222&lt;1,N222&gt;5)),1,0)</f>
        <v>0</v>
      </c>
      <c r="AA222" s="9" t="n">
        <f aca="false">IF(AND(M222&lt;&gt;"",OR(M222&lt;5,M222&gt;180)),1,0)</f>
        <v>0</v>
      </c>
      <c r="AB222" s="7" t="str">
        <f aca="false">IF(P222="DUP","Exact duplicate row",IF(T222=1,"Missing Order ID",IF(S222="DROP","Duplicate Order ID (less complete row)",IF(U222=1,"Missing Customer ID",IF(V222=1,"Missing Restaurant name",IF(W222=1,"Invalid/outlier quantity",IF(X222=1,"Invalid/outlier unit price",IF(Y222=1,"Discount greater than order value",""))))))))</f>
        <v/>
      </c>
      <c r="AC222" s="7" t="str">
        <f aca="false">IF(AB222="","KEEP","DROP")</f>
        <v>KEEP</v>
      </c>
      <c r="AD222" s="7" t="str">
        <f aca="false">IF(TRIM(F222)="",IFERROR(INDEX(Map_Tables!$I$4:$I$37,MATCH(TRIM(E222),Map_Tables!$G$4:$G$37,0)),""),IFERROR(INDEX(Map_Tables!$B$4:$B$18,MATCH(TRIM(F222),Map_Tables!$A$4:$A$18,0)),"CHECK"))</f>
        <v>Bengaluru</v>
      </c>
      <c r="AE222" s="7" t="str">
        <f aca="false">IF(TRIM(E222)="","",IFERROR(INDEX(Map_Tables!$H$4:$H$37,MATCH(TRIM(E222),Map_Tables!$G$4:$G$37,0)),"CHECK"))</f>
        <v>Spice Junction</v>
      </c>
      <c r="AF222" s="7" t="str">
        <f aca="false">IF(TRIM(K222)="","Unknown",IFERROR(INDEX(Map_Tables!$E$4:$E$15,MATCH(TRIM(K222),Map_Tables!$D$4:$D$15,0)),"CHECK"))</f>
        <v>UPI</v>
      </c>
      <c r="AG222" s="7" t="str">
        <f aca="false">IF(LEFT(LOWER(TRIM(L222)),6)="cancel","Cancelled","Delivered")</f>
        <v>Delivered</v>
      </c>
      <c r="AH222" s="10" t="n">
        <f aca="false">IF(ISNUMBER(SEARCH("/",B222)),DATE(VALUE(RIGHT(B222,4)),VALUE(MID(B222,4,2)),VALUE(LEFT(B222,2))),IF(MID(B222,5,1)="-",DATE(VALUE(LEFT(B222,4)),VALUE(MID(B222,6,2)),VALUE(RIGHT(B222,2))),DATE(VALUE(RIGHT(B222,4)),MATCH(MID(B222,4,3),{"Jan","Feb","Mar","Apr","May","Jun","Jul","Aug","Sep","Oct","Nov","Dec"},0),VALUE(LEFT(B222,2)))))</f>
        <v>45882</v>
      </c>
    </row>
    <row r="223" customFormat="false" ht="15" hidden="false" customHeight="false" outlineLevel="0" collapsed="false">
      <c r="A223" s="7" t="s">
        <v>1021</v>
      </c>
      <c r="B223" s="7" t="s">
        <v>1022</v>
      </c>
      <c r="C223" s="7" t="s">
        <v>1023</v>
      </c>
      <c r="D223" s="7" t="s">
        <v>332</v>
      </c>
      <c r="E223" s="7" t="s">
        <v>134</v>
      </c>
      <c r="F223" s="7" t="s">
        <v>110</v>
      </c>
      <c r="G223" s="7" t="s">
        <v>117</v>
      </c>
      <c r="H223" s="7" t="n">
        <v>2</v>
      </c>
      <c r="I223" s="7" t="n">
        <v>110</v>
      </c>
      <c r="J223" s="7" t="n">
        <v>0</v>
      </c>
      <c r="K223" s="7" t="s">
        <v>93</v>
      </c>
      <c r="L223" s="7" t="s">
        <v>194</v>
      </c>
      <c r="M223" s="7" t="n">
        <v>42</v>
      </c>
      <c r="N223" s="7" t="n">
        <v>4</v>
      </c>
      <c r="O223" s="7" t="str">
        <f aca="false">A223&amp;"|"&amp;B223&amp;"|"&amp;C223&amp;"|"&amp;D223&amp;"|"&amp;E223&amp;"|"&amp;F223&amp;"|"&amp;G223&amp;"|"&amp;H223&amp;"|"&amp;I223&amp;"|"&amp;J223&amp;"|"&amp;K223&amp;"|"&amp;L223&amp;"|"&amp;M223&amp;"|"&amp;N223</f>
        <v>ORD12383|28-Oct-2025|10:39|C1296|Chaat Corner|Delhi|Street Food|2|110|0|Credit Card|Delivered|42|4</v>
      </c>
      <c r="P223" s="7" t="str">
        <f aca="false">IF(COUNTIF($O$2:O223,O223)&gt;1,"DUP","OK")</f>
        <v>OK</v>
      </c>
      <c r="Q223" s="7" t="n">
        <f aca="false">COUNTBLANK(A223:N223)</f>
        <v>0</v>
      </c>
      <c r="R223" s="7" t="n">
        <f aca="false">IF(A223="",0,COUNTIFS($A$2:$A$3058,A223,$P$2:$P$3058,"OK"))</f>
        <v>1</v>
      </c>
      <c r="S223" s="7" t="str">
        <f aca="false">IF(OR(A223="",P223="DUP",R223&lt;2),"",IF(Q223=_xlfn.MINIFS($Q$2:$Q$3058,$A$2:$A$3058,A223,$P$2:$P$3058,"OK"),"KEEP","DROP"))</f>
        <v/>
      </c>
      <c r="T223" s="9" t="n">
        <f aca="false">IF(A223="",1,0)</f>
        <v>0</v>
      </c>
      <c r="U223" s="9" t="n">
        <f aca="false">IF(D223="",1,0)</f>
        <v>0</v>
      </c>
      <c r="V223" s="9" t="n">
        <f aca="false">IF(E223="",1,0)</f>
        <v>0</v>
      </c>
      <c r="W223" s="9" t="n">
        <f aca="false">IF(OR(H223&lt;1,H223&gt;10),1,0)</f>
        <v>0</v>
      </c>
      <c r="X223" s="9" t="n">
        <f aca="false">IF(OR(I223&lt;=0,I223&gt;1500),1,0)</f>
        <v>0</v>
      </c>
      <c r="Y223" s="9" t="n">
        <f aca="false">IF(J223&gt;H223*I223,1,0)</f>
        <v>0</v>
      </c>
      <c r="Z223" s="9" t="n">
        <f aca="false">IF(AND(N223&lt;&gt;"",OR(N223&lt;1,N223&gt;5)),1,0)</f>
        <v>0</v>
      </c>
      <c r="AA223" s="9" t="n">
        <f aca="false">IF(AND(M223&lt;&gt;"",OR(M223&lt;5,M223&gt;180)),1,0)</f>
        <v>0</v>
      </c>
      <c r="AB223" s="7" t="str">
        <f aca="false">IF(P223="DUP","Exact duplicate row",IF(T223=1,"Missing Order ID",IF(S223="DROP","Duplicate Order ID (less complete row)",IF(U223=1,"Missing Customer ID",IF(V223=1,"Missing Restaurant name",IF(W223=1,"Invalid/outlier quantity",IF(X223=1,"Invalid/outlier unit price",IF(Y223=1,"Discount greater than order value",""))))))))</f>
        <v/>
      </c>
      <c r="AC223" s="7" t="str">
        <f aca="false">IF(AB223="","KEEP","DROP")</f>
        <v>KEEP</v>
      </c>
      <c r="AD223" s="7" t="str">
        <f aca="false">IF(TRIM(F223)="",IFERROR(INDEX(Map_Tables!$I$4:$I$37,MATCH(TRIM(E223),Map_Tables!$G$4:$G$37,0)),""),IFERROR(INDEX(Map_Tables!$B$4:$B$18,MATCH(TRIM(F223),Map_Tables!$A$4:$A$18,0)),"CHECK"))</f>
        <v>Delhi</v>
      </c>
      <c r="AE223" s="7" t="str">
        <f aca="false">IF(TRIM(E223)="","",IFERROR(INDEX(Map_Tables!$H$4:$H$37,MATCH(TRIM(E223),Map_Tables!$G$4:$G$37,0)),"CHECK"))</f>
        <v>Chaat Corner</v>
      </c>
      <c r="AF223" s="7" t="str">
        <f aca="false">IF(TRIM(K223)="","Unknown",IFERROR(INDEX(Map_Tables!$E$4:$E$15,MATCH(TRIM(K223),Map_Tables!$D$4:$D$15,0)),"CHECK"))</f>
        <v>Credit Card</v>
      </c>
      <c r="AG223" s="7" t="str">
        <f aca="false">IF(LEFT(LOWER(TRIM(L223)),6)="cancel","Cancelled","Delivered")</f>
        <v>Delivered</v>
      </c>
      <c r="AH223" s="10" t="n">
        <f aca="false">IF(ISNUMBER(SEARCH("/",B223)),DATE(VALUE(RIGHT(B223,4)),VALUE(MID(B223,4,2)),VALUE(LEFT(B223,2))),IF(MID(B223,5,1)="-",DATE(VALUE(LEFT(B223,4)),VALUE(MID(B223,6,2)),VALUE(RIGHT(B223,2))),DATE(VALUE(RIGHT(B223,4)),MATCH(MID(B223,4,3),{"Jan","Feb","Mar","Apr","May","Jun","Jul","Aug","Sep","Oct","Nov","Dec"},0),VALUE(LEFT(B223,2)))))</f>
        <v>45958</v>
      </c>
    </row>
    <row r="224" customFormat="false" ht="15" hidden="false" customHeight="false" outlineLevel="0" collapsed="false">
      <c r="A224" s="7" t="s">
        <v>1024</v>
      </c>
      <c r="B224" s="7" t="s">
        <v>1025</v>
      </c>
      <c r="C224" s="7" t="s">
        <v>1026</v>
      </c>
      <c r="D224" s="7" t="s">
        <v>1027</v>
      </c>
      <c r="E224" s="7" t="s">
        <v>94</v>
      </c>
      <c r="F224" s="7" t="s">
        <v>86</v>
      </c>
      <c r="G224" s="7" t="s">
        <v>95</v>
      </c>
      <c r="H224" s="7" t="n">
        <v>2</v>
      </c>
      <c r="I224" s="7" t="n">
        <v>100</v>
      </c>
      <c r="J224" s="7" t="n">
        <v>50</v>
      </c>
      <c r="K224" s="7" t="s">
        <v>112</v>
      </c>
      <c r="L224" s="7" t="s">
        <v>194</v>
      </c>
      <c r="M224" s="7" t="n">
        <v>43</v>
      </c>
      <c r="N224" s="7" t="n">
        <v>3</v>
      </c>
      <c r="O224" s="7" t="str">
        <f aca="false">A224&amp;"|"&amp;B224&amp;"|"&amp;C224&amp;"|"&amp;D224&amp;"|"&amp;E224&amp;"|"&amp;F224&amp;"|"&amp;G224&amp;"|"&amp;H224&amp;"|"&amp;I224&amp;"|"&amp;J224&amp;"|"&amp;K224&amp;"|"&amp;L224&amp;"|"&amp;M224&amp;"|"&amp;N224</f>
        <v>ORD11087|18/05/2025|15:09|C0174|Dosa Darbar|Bengaluru|South Indian|2|100|50|Cash on Delivery|Delivered|43|3</v>
      </c>
      <c r="P224" s="7" t="str">
        <f aca="false">IF(COUNTIF($O$2:O224,O224)&gt;1,"DUP","OK")</f>
        <v>OK</v>
      </c>
      <c r="Q224" s="7" t="n">
        <f aca="false">COUNTBLANK(A224:N224)</f>
        <v>0</v>
      </c>
      <c r="R224" s="7" t="n">
        <f aca="false">IF(A224="",0,COUNTIFS($A$2:$A$3058,A224,$P$2:$P$3058,"OK"))</f>
        <v>1</v>
      </c>
      <c r="S224" s="7" t="str">
        <f aca="false">IF(OR(A224="",P224="DUP",R224&lt;2),"",IF(Q224=_xlfn.MINIFS($Q$2:$Q$3058,$A$2:$A$3058,A224,$P$2:$P$3058,"OK"),"KEEP","DROP"))</f>
        <v/>
      </c>
      <c r="T224" s="9" t="n">
        <f aca="false">IF(A224="",1,0)</f>
        <v>0</v>
      </c>
      <c r="U224" s="9" t="n">
        <f aca="false">IF(D224="",1,0)</f>
        <v>0</v>
      </c>
      <c r="V224" s="9" t="n">
        <f aca="false">IF(E224="",1,0)</f>
        <v>0</v>
      </c>
      <c r="W224" s="9" t="n">
        <f aca="false">IF(OR(H224&lt;1,H224&gt;10),1,0)</f>
        <v>0</v>
      </c>
      <c r="X224" s="9" t="n">
        <f aca="false">IF(OR(I224&lt;=0,I224&gt;1500),1,0)</f>
        <v>0</v>
      </c>
      <c r="Y224" s="9" t="n">
        <f aca="false">IF(J224&gt;H224*I224,1,0)</f>
        <v>0</v>
      </c>
      <c r="Z224" s="9" t="n">
        <f aca="false">IF(AND(N224&lt;&gt;"",OR(N224&lt;1,N224&gt;5)),1,0)</f>
        <v>0</v>
      </c>
      <c r="AA224" s="9" t="n">
        <f aca="false">IF(AND(M224&lt;&gt;"",OR(M224&lt;5,M224&gt;180)),1,0)</f>
        <v>0</v>
      </c>
      <c r="AB224" s="7" t="str">
        <f aca="false">IF(P224="DUP","Exact duplicate row",IF(T224=1,"Missing Order ID",IF(S224="DROP","Duplicate Order ID (less complete row)",IF(U224=1,"Missing Customer ID",IF(V224=1,"Missing Restaurant name",IF(W224=1,"Invalid/outlier quantity",IF(X224=1,"Invalid/outlier unit price",IF(Y224=1,"Discount greater than order value",""))))))))</f>
        <v/>
      </c>
      <c r="AC224" s="7" t="str">
        <f aca="false">IF(AB224="","KEEP","DROP")</f>
        <v>KEEP</v>
      </c>
      <c r="AD224" s="7" t="str">
        <f aca="false">IF(TRIM(F224)="",IFERROR(INDEX(Map_Tables!$I$4:$I$37,MATCH(TRIM(E224),Map_Tables!$G$4:$G$37,0)),""),IFERROR(INDEX(Map_Tables!$B$4:$B$18,MATCH(TRIM(F224),Map_Tables!$A$4:$A$18,0)),"CHECK"))</f>
        <v>Bengaluru</v>
      </c>
      <c r="AE224" s="7" t="str">
        <f aca="false">IF(TRIM(E224)="","",IFERROR(INDEX(Map_Tables!$H$4:$H$37,MATCH(TRIM(E224),Map_Tables!$G$4:$G$37,0)),"CHECK"))</f>
        <v>Dosa Darbar</v>
      </c>
      <c r="AF224" s="7" t="str">
        <f aca="false">IF(TRIM(K224)="","Unknown",IFERROR(INDEX(Map_Tables!$E$4:$E$15,MATCH(TRIM(K224),Map_Tables!$D$4:$D$15,0)),"CHECK"))</f>
        <v>Cash on Delivery</v>
      </c>
      <c r="AG224" s="7" t="str">
        <f aca="false">IF(LEFT(LOWER(TRIM(L224)),6)="cancel","Cancelled","Delivered")</f>
        <v>Delivered</v>
      </c>
      <c r="AH224" s="10" t="n">
        <f aca="false">IF(ISNUMBER(SEARCH("/",B224)),DATE(VALUE(RIGHT(B224,4)),VALUE(MID(B224,4,2)),VALUE(LEFT(B224,2))),IF(MID(B224,5,1)="-",DATE(VALUE(LEFT(B224,4)),VALUE(MID(B224,6,2)),VALUE(RIGHT(B224,2))),DATE(VALUE(RIGHT(B224,4)),MATCH(MID(B224,4,3),{"Jan","Feb","Mar","Apr","May","Jun","Jul","Aug","Sep","Oct","Nov","Dec"},0),VALUE(LEFT(B224,2)))))</f>
        <v>45795</v>
      </c>
    </row>
    <row r="225" customFormat="false" ht="15" hidden="false" customHeight="false" outlineLevel="0" collapsed="false">
      <c r="A225" s="7" t="s">
        <v>1028</v>
      </c>
      <c r="B225" s="7" t="s">
        <v>1029</v>
      </c>
      <c r="C225" s="7" t="s">
        <v>1030</v>
      </c>
      <c r="D225" s="7" t="s">
        <v>1031</v>
      </c>
      <c r="E225" s="7" t="s">
        <v>134</v>
      </c>
      <c r="F225" s="7" t="s">
        <v>521</v>
      </c>
      <c r="G225" s="7" t="s">
        <v>117</v>
      </c>
      <c r="H225" s="7" t="n">
        <v>3</v>
      </c>
      <c r="I225" s="7" t="n">
        <v>125</v>
      </c>
      <c r="J225" s="7" t="n">
        <v>125</v>
      </c>
      <c r="K225" s="7" t="s">
        <v>103</v>
      </c>
      <c r="L225" s="7" t="s">
        <v>194</v>
      </c>
      <c r="M225" s="7" t="n">
        <v>25</v>
      </c>
      <c r="N225" s="7" t="n">
        <v>5</v>
      </c>
      <c r="O225" s="7" t="str">
        <f aca="false">A225&amp;"|"&amp;B225&amp;"|"&amp;C225&amp;"|"&amp;D225&amp;"|"&amp;E225&amp;"|"&amp;F225&amp;"|"&amp;G225&amp;"|"&amp;H225&amp;"|"&amp;I225&amp;"|"&amp;J225&amp;"|"&amp;K225&amp;"|"&amp;L225&amp;"|"&amp;M225&amp;"|"&amp;N225</f>
        <v>ORD10306|2025-02-11|10:11|C0002|Chaat Corner|DELHI|Street Food|3|125|125|Debit Card|Delivered|25|5</v>
      </c>
      <c r="P225" s="7" t="str">
        <f aca="false">IF(COUNTIF($O$2:O225,O225)&gt;1,"DUP","OK")</f>
        <v>OK</v>
      </c>
      <c r="Q225" s="7" t="n">
        <f aca="false">COUNTBLANK(A225:N225)</f>
        <v>0</v>
      </c>
      <c r="R225" s="7" t="n">
        <f aca="false">IF(A225="",0,COUNTIFS($A$2:$A$3058,A225,$P$2:$P$3058,"OK"))</f>
        <v>1</v>
      </c>
      <c r="S225" s="7" t="str">
        <f aca="false">IF(OR(A225="",P225="DUP",R225&lt;2),"",IF(Q225=_xlfn.MINIFS($Q$2:$Q$3058,$A$2:$A$3058,A225,$P$2:$P$3058,"OK"),"KEEP","DROP"))</f>
        <v/>
      </c>
      <c r="T225" s="9" t="n">
        <f aca="false">IF(A225="",1,0)</f>
        <v>0</v>
      </c>
      <c r="U225" s="9" t="n">
        <f aca="false">IF(D225="",1,0)</f>
        <v>0</v>
      </c>
      <c r="V225" s="9" t="n">
        <f aca="false">IF(E225="",1,0)</f>
        <v>0</v>
      </c>
      <c r="W225" s="9" t="n">
        <f aca="false">IF(OR(H225&lt;1,H225&gt;10),1,0)</f>
        <v>0</v>
      </c>
      <c r="X225" s="9" t="n">
        <f aca="false">IF(OR(I225&lt;=0,I225&gt;1500),1,0)</f>
        <v>0</v>
      </c>
      <c r="Y225" s="9" t="n">
        <f aca="false">IF(J225&gt;H225*I225,1,0)</f>
        <v>0</v>
      </c>
      <c r="Z225" s="9" t="n">
        <f aca="false">IF(AND(N225&lt;&gt;"",OR(N225&lt;1,N225&gt;5)),1,0)</f>
        <v>0</v>
      </c>
      <c r="AA225" s="9" t="n">
        <f aca="false">IF(AND(M225&lt;&gt;"",OR(M225&lt;5,M225&gt;180)),1,0)</f>
        <v>0</v>
      </c>
      <c r="AB225" s="7" t="str">
        <f aca="false">IF(P225="DUP","Exact duplicate row",IF(T225=1,"Missing Order ID",IF(S225="DROP","Duplicate Order ID (less complete row)",IF(U225=1,"Missing Customer ID",IF(V225=1,"Missing Restaurant name",IF(W225=1,"Invalid/outlier quantity",IF(X225=1,"Invalid/outlier unit price",IF(Y225=1,"Discount greater than order value",""))))))))</f>
        <v/>
      </c>
      <c r="AC225" s="7" t="str">
        <f aca="false">IF(AB225="","KEEP","DROP")</f>
        <v>KEEP</v>
      </c>
      <c r="AD225" s="7" t="str">
        <f aca="false">IF(TRIM(F225)="",IFERROR(INDEX(Map_Tables!$I$4:$I$37,MATCH(TRIM(E225),Map_Tables!$G$4:$G$37,0)),""),IFERROR(INDEX(Map_Tables!$B$4:$B$18,MATCH(TRIM(F225),Map_Tables!$A$4:$A$18,0)),"CHECK"))</f>
        <v>Delhi</v>
      </c>
      <c r="AE225" s="7" t="str">
        <f aca="false">IF(TRIM(E225)="","",IFERROR(INDEX(Map_Tables!$H$4:$H$37,MATCH(TRIM(E225),Map_Tables!$G$4:$G$37,0)),"CHECK"))</f>
        <v>Chaat Corner</v>
      </c>
      <c r="AF225" s="7" t="str">
        <f aca="false">IF(TRIM(K225)="","Unknown",IFERROR(INDEX(Map_Tables!$E$4:$E$15,MATCH(TRIM(K225),Map_Tables!$D$4:$D$15,0)),"CHECK"))</f>
        <v>Debit Card</v>
      </c>
      <c r="AG225" s="7" t="str">
        <f aca="false">IF(LEFT(LOWER(TRIM(L225)),6)="cancel","Cancelled","Delivered")</f>
        <v>Delivered</v>
      </c>
      <c r="AH225" s="10" t="n">
        <f aca="false">IF(ISNUMBER(SEARCH("/",B225)),DATE(VALUE(RIGHT(B225,4)),VALUE(MID(B225,4,2)),VALUE(LEFT(B225,2))),IF(MID(B225,5,1)="-",DATE(VALUE(LEFT(B225,4)),VALUE(MID(B225,6,2)),VALUE(RIGHT(B225,2))),DATE(VALUE(RIGHT(B225,4)),MATCH(MID(B225,4,3),{"Jan","Feb","Mar","Apr","May","Jun","Jul","Aug","Sep","Oct","Nov","Dec"},0),VALUE(LEFT(B225,2)))))</f>
        <v>45699</v>
      </c>
    </row>
    <row r="226" customFormat="false" ht="15" hidden="false" customHeight="false" outlineLevel="0" collapsed="false">
      <c r="A226" s="7" t="s">
        <v>1032</v>
      </c>
      <c r="B226" s="7" t="s">
        <v>808</v>
      </c>
      <c r="C226" s="7" t="s">
        <v>551</v>
      </c>
      <c r="D226" s="7" t="s">
        <v>1033</v>
      </c>
      <c r="E226" s="7" t="s">
        <v>166</v>
      </c>
      <c r="F226" s="7" t="s">
        <v>146</v>
      </c>
      <c r="G226" s="7" t="s">
        <v>117</v>
      </c>
      <c r="H226" s="7" t="n">
        <v>2</v>
      </c>
      <c r="I226" s="7" t="n">
        <v>105</v>
      </c>
      <c r="J226" s="7" t="n">
        <v>0</v>
      </c>
      <c r="K226" s="7" t="s">
        <v>88</v>
      </c>
      <c r="L226" s="7" t="s">
        <v>238</v>
      </c>
      <c r="M226" s="7"/>
      <c r="N226" s="7"/>
      <c r="O226" s="7" t="str">
        <f aca="false">A226&amp;"|"&amp;B226&amp;"|"&amp;C226&amp;"|"&amp;D226&amp;"|"&amp;E226&amp;"|"&amp;F226&amp;"|"&amp;G226&amp;"|"&amp;H226&amp;"|"&amp;I226&amp;"|"&amp;J226&amp;"|"&amp;K226&amp;"|"&amp;L226&amp;"|"&amp;M226&amp;"|"&amp;N226</f>
        <v>ORD12583|2025-11-16|17:41|C0097|Dhokla Delight|Ahmedabad|Street Food|2|105|0|UPI|Cancelled||</v>
      </c>
      <c r="P226" s="7" t="str">
        <f aca="false">IF(COUNTIF($O$2:O226,O226)&gt;1,"DUP","OK")</f>
        <v>OK</v>
      </c>
      <c r="Q226" s="7" t="n">
        <f aca="false">COUNTBLANK(A226:N226)</f>
        <v>2</v>
      </c>
      <c r="R226" s="7" t="n">
        <f aca="false">IF(A226="",0,COUNTIFS($A$2:$A$3058,A226,$P$2:$P$3058,"OK"))</f>
        <v>1</v>
      </c>
      <c r="S226" s="7" t="str">
        <f aca="false">IF(OR(A226="",P226="DUP",R226&lt;2),"",IF(Q226=_xlfn.MINIFS($Q$2:$Q$3058,$A$2:$A$3058,A226,$P$2:$P$3058,"OK"),"KEEP","DROP"))</f>
        <v/>
      </c>
      <c r="T226" s="9" t="n">
        <f aca="false">IF(A226="",1,0)</f>
        <v>0</v>
      </c>
      <c r="U226" s="9" t="n">
        <f aca="false">IF(D226="",1,0)</f>
        <v>0</v>
      </c>
      <c r="V226" s="9" t="n">
        <f aca="false">IF(E226="",1,0)</f>
        <v>0</v>
      </c>
      <c r="W226" s="9" t="n">
        <f aca="false">IF(OR(H226&lt;1,H226&gt;10),1,0)</f>
        <v>0</v>
      </c>
      <c r="X226" s="9" t="n">
        <f aca="false">IF(OR(I226&lt;=0,I226&gt;1500),1,0)</f>
        <v>0</v>
      </c>
      <c r="Y226" s="9" t="n">
        <f aca="false">IF(J226&gt;H226*I226,1,0)</f>
        <v>0</v>
      </c>
      <c r="Z226" s="9" t="n">
        <f aca="false">IF(AND(N226&lt;&gt;"",OR(N226&lt;1,N226&gt;5)),1,0)</f>
        <v>0</v>
      </c>
      <c r="AA226" s="9" t="n">
        <f aca="false">IF(AND(M226&lt;&gt;"",OR(M226&lt;5,M226&gt;180)),1,0)</f>
        <v>0</v>
      </c>
      <c r="AB226" s="7" t="str">
        <f aca="false">IF(P226="DUP","Exact duplicate row",IF(T226=1,"Missing Order ID",IF(S226="DROP","Duplicate Order ID (less complete row)",IF(U226=1,"Missing Customer ID",IF(V226=1,"Missing Restaurant name",IF(W226=1,"Invalid/outlier quantity",IF(X226=1,"Invalid/outlier unit price",IF(Y226=1,"Discount greater than order value",""))))))))</f>
        <v/>
      </c>
      <c r="AC226" s="7" t="str">
        <f aca="false">IF(AB226="","KEEP","DROP")</f>
        <v>KEEP</v>
      </c>
      <c r="AD226" s="7" t="str">
        <f aca="false">IF(TRIM(F226)="",IFERROR(INDEX(Map_Tables!$I$4:$I$37,MATCH(TRIM(E226),Map_Tables!$G$4:$G$37,0)),""),IFERROR(INDEX(Map_Tables!$B$4:$B$18,MATCH(TRIM(F226),Map_Tables!$A$4:$A$18,0)),"CHECK"))</f>
        <v>Ahmedabad</v>
      </c>
      <c r="AE226" s="7" t="str">
        <f aca="false">IF(TRIM(E226)="","",IFERROR(INDEX(Map_Tables!$H$4:$H$37,MATCH(TRIM(E226),Map_Tables!$G$4:$G$37,0)),"CHECK"))</f>
        <v>Dhokla Delight</v>
      </c>
      <c r="AF226" s="7" t="str">
        <f aca="false">IF(TRIM(K226)="","Unknown",IFERROR(INDEX(Map_Tables!$E$4:$E$15,MATCH(TRIM(K226),Map_Tables!$D$4:$D$15,0)),"CHECK"))</f>
        <v>UPI</v>
      </c>
      <c r="AG226" s="7" t="str">
        <f aca="false">IF(LEFT(LOWER(TRIM(L226)),6)="cancel","Cancelled","Delivered")</f>
        <v>Cancelled</v>
      </c>
      <c r="AH226" s="10" t="n">
        <f aca="false">IF(ISNUMBER(SEARCH("/",B226)),DATE(VALUE(RIGHT(B226,4)),VALUE(MID(B226,4,2)),VALUE(LEFT(B226,2))),IF(MID(B226,5,1)="-",DATE(VALUE(LEFT(B226,4)),VALUE(MID(B226,6,2)),VALUE(RIGHT(B226,2))),DATE(VALUE(RIGHT(B226,4)),MATCH(MID(B226,4,3),{"Jan","Feb","Mar","Apr","May","Jun","Jul","Aug","Sep","Oct","Nov","Dec"},0),VALUE(LEFT(B226,2)))))</f>
        <v>45977</v>
      </c>
    </row>
    <row r="227" customFormat="false" ht="15" hidden="false" customHeight="false" outlineLevel="0" collapsed="false">
      <c r="A227" s="7" t="s">
        <v>1034</v>
      </c>
      <c r="B227" s="7" t="s">
        <v>1035</v>
      </c>
      <c r="C227" s="7" t="s">
        <v>1036</v>
      </c>
      <c r="D227" s="7" t="s">
        <v>1037</v>
      </c>
      <c r="E227" s="7" t="s">
        <v>154</v>
      </c>
      <c r="F227" s="7" t="s">
        <v>128</v>
      </c>
      <c r="G227" s="7" t="s">
        <v>99</v>
      </c>
      <c r="H227" s="7" t="n">
        <v>1</v>
      </c>
      <c r="I227" s="7" t="n">
        <v>280</v>
      </c>
      <c r="J227" s="7" t="n">
        <v>0</v>
      </c>
      <c r="K227" s="7" t="s">
        <v>88</v>
      </c>
      <c r="L227" s="7" t="s">
        <v>194</v>
      </c>
      <c r="M227" s="7" t="n">
        <v>20</v>
      </c>
      <c r="N227" s="7" t="n">
        <v>4</v>
      </c>
      <c r="O227" s="7" t="str">
        <f aca="false">A227&amp;"|"&amp;B227&amp;"|"&amp;C227&amp;"|"&amp;D227&amp;"|"&amp;E227&amp;"|"&amp;F227&amp;"|"&amp;G227&amp;"|"&amp;H227&amp;"|"&amp;I227&amp;"|"&amp;J227&amp;"|"&amp;K227&amp;"|"&amp;L227&amp;"|"&amp;M227&amp;"|"&amp;N227</f>
        <v>ORD10638|22-Mar-2025|15:54|C0862|Madras Biryani Co|Chennai|Biryani|1|280|0|UPI|Delivered|20|4</v>
      </c>
      <c r="P227" s="7" t="str">
        <f aca="false">IF(COUNTIF($O$2:O227,O227)&gt;1,"DUP","OK")</f>
        <v>OK</v>
      </c>
      <c r="Q227" s="7" t="n">
        <f aca="false">COUNTBLANK(A227:N227)</f>
        <v>0</v>
      </c>
      <c r="R227" s="7" t="n">
        <f aca="false">IF(A227="",0,COUNTIFS($A$2:$A$3058,A227,$P$2:$P$3058,"OK"))</f>
        <v>1</v>
      </c>
      <c r="S227" s="7" t="str">
        <f aca="false">IF(OR(A227="",P227="DUP",R227&lt;2),"",IF(Q227=_xlfn.MINIFS($Q$2:$Q$3058,$A$2:$A$3058,A227,$P$2:$P$3058,"OK"),"KEEP","DROP"))</f>
        <v/>
      </c>
      <c r="T227" s="9" t="n">
        <f aca="false">IF(A227="",1,0)</f>
        <v>0</v>
      </c>
      <c r="U227" s="9" t="n">
        <f aca="false">IF(D227="",1,0)</f>
        <v>0</v>
      </c>
      <c r="V227" s="9" t="n">
        <f aca="false">IF(E227="",1,0)</f>
        <v>0</v>
      </c>
      <c r="W227" s="9" t="n">
        <f aca="false">IF(OR(H227&lt;1,H227&gt;10),1,0)</f>
        <v>0</v>
      </c>
      <c r="X227" s="9" t="n">
        <f aca="false">IF(OR(I227&lt;=0,I227&gt;1500),1,0)</f>
        <v>0</v>
      </c>
      <c r="Y227" s="9" t="n">
        <f aca="false">IF(J227&gt;H227*I227,1,0)</f>
        <v>0</v>
      </c>
      <c r="Z227" s="9" t="n">
        <f aca="false">IF(AND(N227&lt;&gt;"",OR(N227&lt;1,N227&gt;5)),1,0)</f>
        <v>0</v>
      </c>
      <c r="AA227" s="9" t="n">
        <f aca="false">IF(AND(M227&lt;&gt;"",OR(M227&lt;5,M227&gt;180)),1,0)</f>
        <v>0</v>
      </c>
      <c r="AB227" s="7" t="str">
        <f aca="false">IF(P227="DUP","Exact duplicate row",IF(T227=1,"Missing Order ID",IF(S227="DROP","Duplicate Order ID (less complete row)",IF(U227=1,"Missing Customer ID",IF(V227=1,"Missing Restaurant name",IF(W227=1,"Invalid/outlier quantity",IF(X227=1,"Invalid/outlier unit price",IF(Y227=1,"Discount greater than order value",""))))))))</f>
        <v/>
      </c>
      <c r="AC227" s="7" t="str">
        <f aca="false">IF(AB227="","KEEP","DROP")</f>
        <v>KEEP</v>
      </c>
      <c r="AD227" s="7" t="str">
        <f aca="false">IF(TRIM(F227)="",IFERROR(INDEX(Map_Tables!$I$4:$I$37,MATCH(TRIM(E227),Map_Tables!$G$4:$G$37,0)),""),IFERROR(INDEX(Map_Tables!$B$4:$B$18,MATCH(TRIM(F227),Map_Tables!$A$4:$A$18,0)),"CHECK"))</f>
        <v>Chennai</v>
      </c>
      <c r="AE227" s="7" t="str">
        <f aca="false">IF(TRIM(E227)="","",IFERROR(INDEX(Map_Tables!$H$4:$H$37,MATCH(TRIM(E227),Map_Tables!$G$4:$G$37,0)),"CHECK"))</f>
        <v>Madras Biryani Co</v>
      </c>
      <c r="AF227" s="7" t="str">
        <f aca="false">IF(TRIM(K227)="","Unknown",IFERROR(INDEX(Map_Tables!$E$4:$E$15,MATCH(TRIM(K227),Map_Tables!$D$4:$D$15,0)),"CHECK"))</f>
        <v>UPI</v>
      </c>
      <c r="AG227" s="7" t="str">
        <f aca="false">IF(LEFT(LOWER(TRIM(L227)),6)="cancel","Cancelled","Delivered")</f>
        <v>Delivered</v>
      </c>
      <c r="AH227" s="10" t="n">
        <f aca="false">IF(ISNUMBER(SEARCH("/",B227)),DATE(VALUE(RIGHT(B227,4)),VALUE(MID(B227,4,2)),VALUE(LEFT(B227,2))),IF(MID(B227,5,1)="-",DATE(VALUE(LEFT(B227,4)),VALUE(MID(B227,6,2)),VALUE(RIGHT(B227,2))),DATE(VALUE(RIGHT(B227,4)),MATCH(MID(B227,4,3),{"Jan","Feb","Mar","Apr","May","Jun","Jul","Aug","Sep","Oct","Nov","Dec"},0),VALUE(LEFT(B227,2)))))</f>
        <v>45738</v>
      </c>
    </row>
    <row r="228" customFormat="false" ht="15" hidden="false" customHeight="false" outlineLevel="0" collapsed="false">
      <c r="A228" s="7" t="s">
        <v>1038</v>
      </c>
      <c r="B228" s="7" t="s">
        <v>715</v>
      </c>
      <c r="C228" s="7" t="s">
        <v>679</v>
      </c>
      <c r="D228" s="7" t="s">
        <v>1039</v>
      </c>
      <c r="E228" s="7" t="s">
        <v>165</v>
      </c>
      <c r="F228" s="7" t="s">
        <v>146</v>
      </c>
      <c r="G228" s="7" t="s">
        <v>90</v>
      </c>
      <c r="H228" s="7" t="n">
        <v>1</v>
      </c>
      <c r="I228" s="7" t="n">
        <v>180</v>
      </c>
      <c r="J228" s="7" t="n">
        <v>20</v>
      </c>
      <c r="K228" s="7"/>
      <c r="L228" s="7" t="s">
        <v>194</v>
      </c>
      <c r="M228" s="7" t="n">
        <v>30</v>
      </c>
      <c r="N228" s="7" t="n">
        <v>3</v>
      </c>
      <c r="O228" s="7" t="str">
        <f aca="false">A228&amp;"|"&amp;B228&amp;"|"&amp;C228&amp;"|"&amp;D228&amp;"|"&amp;E228&amp;"|"&amp;F228&amp;"|"&amp;G228&amp;"|"&amp;H228&amp;"|"&amp;I228&amp;"|"&amp;J228&amp;"|"&amp;K228&amp;"|"&amp;L228&amp;"|"&amp;M228&amp;"|"&amp;N228</f>
        <v>ORD11266|2025-06-11|11:00|C0107|Gujarati Thali Ghar|Ahmedabad|North Indian|1|180|20||Delivered|30|3</v>
      </c>
      <c r="P228" s="7" t="str">
        <f aca="false">IF(COUNTIF($O$2:O228,O228)&gt;1,"DUP","OK")</f>
        <v>OK</v>
      </c>
      <c r="Q228" s="7" t="n">
        <f aca="false">COUNTBLANK(A228:N228)</f>
        <v>1</v>
      </c>
      <c r="R228" s="7" t="n">
        <f aca="false">IF(A228="",0,COUNTIFS($A$2:$A$3058,A228,$P$2:$P$3058,"OK"))</f>
        <v>1</v>
      </c>
      <c r="S228" s="7" t="str">
        <f aca="false">IF(OR(A228="",P228="DUP",R228&lt;2),"",IF(Q228=_xlfn.MINIFS($Q$2:$Q$3058,$A$2:$A$3058,A228,$P$2:$P$3058,"OK"),"KEEP","DROP"))</f>
        <v/>
      </c>
      <c r="T228" s="9" t="n">
        <f aca="false">IF(A228="",1,0)</f>
        <v>0</v>
      </c>
      <c r="U228" s="9" t="n">
        <f aca="false">IF(D228="",1,0)</f>
        <v>0</v>
      </c>
      <c r="V228" s="9" t="n">
        <f aca="false">IF(E228="",1,0)</f>
        <v>0</v>
      </c>
      <c r="W228" s="9" t="n">
        <f aca="false">IF(OR(H228&lt;1,H228&gt;10),1,0)</f>
        <v>0</v>
      </c>
      <c r="X228" s="9" t="n">
        <f aca="false">IF(OR(I228&lt;=0,I228&gt;1500),1,0)</f>
        <v>0</v>
      </c>
      <c r="Y228" s="9" t="n">
        <f aca="false">IF(J228&gt;H228*I228,1,0)</f>
        <v>0</v>
      </c>
      <c r="Z228" s="9" t="n">
        <f aca="false">IF(AND(N228&lt;&gt;"",OR(N228&lt;1,N228&gt;5)),1,0)</f>
        <v>0</v>
      </c>
      <c r="AA228" s="9" t="n">
        <f aca="false">IF(AND(M228&lt;&gt;"",OR(M228&lt;5,M228&gt;180)),1,0)</f>
        <v>0</v>
      </c>
      <c r="AB228" s="7" t="str">
        <f aca="false">IF(P228="DUP","Exact duplicate row",IF(T228=1,"Missing Order ID",IF(S228="DROP","Duplicate Order ID (less complete row)",IF(U228=1,"Missing Customer ID",IF(V228=1,"Missing Restaurant name",IF(W228=1,"Invalid/outlier quantity",IF(X228=1,"Invalid/outlier unit price",IF(Y228=1,"Discount greater than order value",""))))))))</f>
        <v/>
      </c>
      <c r="AC228" s="7" t="str">
        <f aca="false">IF(AB228="","KEEP","DROP")</f>
        <v>KEEP</v>
      </c>
      <c r="AD228" s="7" t="str">
        <f aca="false">IF(TRIM(F228)="",IFERROR(INDEX(Map_Tables!$I$4:$I$37,MATCH(TRIM(E228),Map_Tables!$G$4:$G$37,0)),""),IFERROR(INDEX(Map_Tables!$B$4:$B$18,MATCH(TRIM(F228),Map_Tables!$A$4:$A$18,0)),"CHECK"))</f>
        <v>Ahmedabad</v>
      </c>
      <c r="AE228" s="7" t="str">
        <f aca="false">IF(TRIM(E228)="","",IFERROR(INDEX(Map_Tables!$H$4:$H$37,MATCH(TRIM(E228),Map_Tables!$G$4:$G$37,0)),"CHECK"))</f>
        <v>Gujarati Thali Ghar</v>
      </c>
      <c r="AF228" s="7" t="str">
        <f aca="false">IF(TRIM(K228)="","Unknown",IFERROR(INDEX(Map_Tables!$E$4:$E$15,MATCH(TRIM(K228),Map_Tables!$D$4:$D$15,0)),"CHECK"))</f>
        <v>Unknown</v>
      </c>
      <c r="AG228" s="7" t="str">
        <f aca="false">IF(LEFT(LOWER(TRIM(L228)),6)="cancel","Cancelled","Delivered")</f>
        <v>Delivered</v>
      </c>
      <c r="AH228" s="10" t="n">
        <f aca="false">IF(ISNUMBER(SEARCH("/",B228)),DATE(VALUE(RIGHT(B228,4)),VALUE(MID(B228,4,2)),VALUE(LEFT(B228,2))),IF(MID(B228,5,1)="-",DATE(VALUE(LEFT(B228,4)),VALUE(MID(B228,6,2)),VALUE(RIGHT(B228,2))),DATE(VALUE(RIGHT(B228,4)),MATCH(MID(B228,4,3),{"Jan","Feb","Mar","Apr","May","Jun","Jul","Aug","Sep","Oct","Nov","Dec"},0),VALUE(LEFT(B228,2)))))</f>
        <v>45819</v>
      </c>
    </row>
    <row r="229" customFormat="false" ht="15" hidden="false" customHeight="false" outlineLevel="0" collapsed="false">
      <c r="A229" s="7" t="s">
        <v>1040</v>
      </c>
      <c r="B229" s="7" t="s">
        <v>1041</v>
      </c>
      <c r="C229" s="7" t="s">
        <v>391</v>
      </c>
      <c r="D229" s="7" t="s">
        <v>1042</v>
      </c>
      <c r="E229" s="7" t="s">
        <v>144</v>
      </c>
      <c r="F229" s="7" t="s">
        <v>119</v>
      </c>
      <c r="G229" s="7" t="s">
        <v>99</v>
      </c>
      <c r="H229" s="7" t="n">
        <v>2</v>
      </c>
      <c r="I229" s="7" t="n">
        <v>275</v>
      </c>
      <c r="J229" s="7" t="n">
        <v>0</v>
      </c>
      <c r="K229" s="7" t="s">
        <v>88</v>
      </c>
      <c r="L229" s="7" t="s">
        <v>194</v>
      </c>
      <c r="M229" s="7" t="n">
        <v>31</v>
      </c>
      <c r="N229" s="7" t="n">
        <v>5</v>
      </c>
      <c r="O229" s="7" t="str">
        <f aca="false">A229&amp;"|"&amp;B229&amp;"|"&amp;C229&amp;"|"&amp;D229&amp;"|"&amp;E229&amp;"|"&amp;F229&amp;"|"&amp;G229&amp;"|"&amp;H229&amp;"|"&amp;I229&amp;"|"&amp;J229&amp;"|"&amp;K229&amp;"|"&amp;L229&amp;"|"&amp;M229&amp;"|"&amp;N229</f>
        <v>ORD11041|11/05/2025|19:50|C0976|Hyderabad Dum Biryani|Hyderabad|Biryani|2|275|0|UPI|Delivered|31|5</v>
      </c>
      <c r="P229" s="7" t="str">
        <f aca="false">IF(COUNTIF($O$2:O229,O229)&gt;1,"DUP","OK")</f>
        <v>OK</v>
      </c>
      <c r="Q229" s="7" t="n">
        <f aca="false">COUNTBLANK(A229:N229)</f>
        <v>0</v>
      </c>
      <c r="R229" s="7" t="n">
        <f aca="false">IF(A229="",0,COUNTIFS($A$2:$A$3058,A229,$P$2:$P$3058,"OK"))</f>
        <v>1</v>
      </c>
      <c r="S229" s="7" t="str">
        <f aca="false">IF(OR(A229="",P229="DUP",R229&lt;2),"",IF(Q229=_xlfn.MINIFS($Q$2:$Q$3058,$A$2:$A$3058,A229,$P$2:$P$3058,"OK"),"KEEP","DROP"))</f>
        <v/>
      </c>
      <c r="T229" s="9" t="n">
        <f aca="false">IF(A229="",1,0)</f>
        <v>0</v>
      </c>
      <c r="U229" s="9" t="n">
        <f aca="false">IF(D229="",1,0)</f>
        <v>0</v>
      </c>
      <c r="V229" s="9" t="n">
        <f aca="false">IF(E229="",1,0)</f>
        <v>0</v>
      </c>
      <c r="W229" s="9" t="n">
        <f aca="false">IF(OR(H229&lt;1,H229&gt;10),1,0)</f>
        <v>0</v>
      </c>
      <c r="X229" s="9" t="n">
        <f aca="false">IF(OR(I229&lt;=0,I229&gt;1500),1,0)</f>
        <v>0</v>
      </c>
      <c r="Y229" s="9" t="n">
        <f aca="false">IF(J229&gt;H229*I229,1,0)</f>
        <v>0</v>
      </c>
      <c r="Z229" s="9" t="n">
        <f aca="false">IF(AND(N229&lt;&gt;"",OR(N229&lt;1,N229&gt;5)),1,0)</f>
        <v>0</v>
      </c>
      <c r="AA229" s="9" t="n">
        <f aca="false">IF(AND(M229&lt;&gt;"",OR(M229&lt;5,M229&gt;180)),1,0)</f>
        <v>0</v>
      </c>
      <c r="AB229" s="7" t="str">
        <f aca="false">IF(P229="DUP","Exact duplicate row",IF(T229=1,"Missing Order ID",IF(S229="DROP","Duplicate Order ID (less complete row)",IF(U229=1,"Missing Customer ID",IF(V229=1,"Missing Restaurant name",IF(W229=1,"Invalid/outlier quantity",IF(X229=1,"Invalid/outlier unit price",IF(Y229=1,"Discount greater than order value",""))))))))</f>
        <v/>
      </c>
      <c r="AC229" s="7" t="str">
        <f aca="false">IF(AB229="","KEEP","DROP")</f>
        <v>KEEP</v>
      </c>
      <c r="AD229" s="7" t="str">
        <f aca="false">IF(TRIM(F229)="",IFERROR(INDEX(Map_Tables!$I$4:$I$37,MATCH(TRIM(E229),Map_Tables!$G$4:$G$37,0)),""),IFERROR(INDEX(Map_Tables!$B$4:$B$18,MATCH(TRIM(F229),Map_Tables!$A$4:$A$18,0)),"CHECK"))</f>
        <v>Hyderabad</v>
      </c>
      <c r="AE229" s="7" t="str">
        <f aca="false">IF(TRIM(E229)="","",IFERROR(INDEX(Map_Tables!$H$4:$H$37,MATCH(TRIM(E229),Map_Tables!$G$4:$G$37,0)),"CHECK"))</f>
        <v>Hyderabad Dum Biryani</v>
      </c>
      <c r="AF229" s="7" t="str">
        <f aca="false">IF(TRIM(K229)="","Unknown",IFERROR(INDEX(Map_Tables!$E$4:$E$15,MATCH(TRIM(K229),Map_Tables!$D$4:$D$15,0)),"CHECK"))</f>
        <v>UPI</v>
      </c>
      <c r="AG229" s="7" t="str">
        <f aca="false">IF(LEFT(LOWER(TRIM(L229)),6)="cancel","Cancelled","Delivered")</f>
        <v>Delivered</v>
      </c>
      <c r="AH229" s="10" t="n">
        <f aca="false">IF(ISNUMBER(SEARCH("/",B229)),DATE(VALUE(RIGHT(B229,4)),VALUE(MID(B229,4,2)),VALUE(LEFT(B229,2))),IF(MID(B229,5,1)="-",DATE(VALUE(LEFT(B229,4)),VALUE(MID(B229,6,2)),VALUE(RIGHT(B229,2))),DATE(VALUE(RIGHT(B229,4)),MATCH(MID(B229,4,3),{"Jan","Feb","Mar","Apr","May","Jun","Jul","Aug","Sep","Oct","Nov","Dec"},0),VALUE(LEFT(B229,2)))))</f>
        <v>45788</v>
      </c>
    </row>
    <row r="230" customFormat="false" ht="15" hidden="false" customHeight="false" outlineLevel="0" collapsed="false">
      <c r="A230" s="7" t="s">
        <v>1043</v>
      </c>
      <c r="B230" s="7" t="s">
        <v>1044</v>
      </c>
      <c r="C230" s="7" t="s">
        <v>788</v>
      </c>
      <c r="D230" s="7" t="s">
        <v>1045</v>
      </c>
      <c r="E230" s="7" t="s">
        <v>159</v>
      </c>
      <c r="F230" s="7" t="s">
        <v>136</v>
      </c>
      <c r="G230" s="7" t="s">
        <v>90</v>
      </c>
      <c r="H230" s="7" t="n">
        <v>2</v>
      </c>
      <c r="I230" s="7" t="n">
        <v>220</v>
      </c>
      <c r="J230" s="7" t="n">
        <v>0</v>
      </c>
      <c r="K230" s="7" t="s">
        <v>88</v>
      </c>
      <c r="L230" s="7" t="s">
        <v>194</v>
      </c>
      <c r="M230" s="7" t="n">
        <v>27</v>
      </c>
      <c r="N230" s="7" t="n">
        <v>4</v>
      </c>
      <c r="O230" s="7" t="str">
        <f aca="false">A230&amp;"|"&amp;B230&amp;"|"&amp;C230&amp;"|"&amp;D230&amp;"|"&amp;E230&amp;"|"&amp;F230&amp;"|"&amp;G230&amp;"|"&amp;H230&amp;"|"&amp;I230&amp;"|"&amp;J230&amp;"|"&amp;K230&amp;"|"&amp;L230&amp;"|"&amp;M230&amp;"|"&amp;N230</f>
        <v>ORD10708|30/03/2025|19:35|C1483|Maratha Thali House|Pune|North Indian|2|220|0|UPI|Delivered|27|4</v>
      </c>
      <c r="P230" s="7" t="str">
        <f aca="false">IF(COUNTIF($O$2:O230,O230)&gt;1,"DUP","OK")</f>
        <v>OK</v>
      </c>
      <c r="Q230" s="7" t="n">
        <f aca="false">COUNTBLANK(A230:N230)</f>
        <v>0</v>
      </c>
      <c r="R230" s="7" t="n">
        <f aca="false">IF(A230="",0,COUNTIFS($A$2:$A$3058,A230,$P$2:$P$3058,"OK"))</f>
        <v>1</v>
      </c>
      <c r="S230" s="7" t="str">
        <f aca="false">IF(OR(A230="",P230="DUP",R230&lt;2),"",IF(Q230=_xlfn.MINIFS($Q$2:$Q$3058,$A$2:$A$3058,A230,$P$2:$P$3058,"OK"),"KEEP","DROP"))</f>
        <v/>
      </c>
      <c r="T230" s="9" t="n">
        <f aca="false">IF(A230="",1,0)</f>
        <v>0</v>
      </c>
      <c r="U230" s="9" t="n">
        <f aca="false">IF(D230="",1,0)</f>
        <v>0</v>
      </c>
      <c r="V230" s="9" t="n">
        <f aca="false">IF(E230="",1,0)</f>
        <v>0</v>
      </c>
      <c r="W230" s="9" t="n">
        <f aca="false">IF(OR(H230&lt;1,H230&gt;10),1,0)</f>
        <v>0</v>
      </c>
      <c r="X230" s="9" t="n">
        <f aca="false">IF(OR(I230&lt;=0,I230&gt;1500),1,0)</f>
        <v>0</v>
      </c>
      <c r="Y230" s="9" t="n">
        <f aca="false">IF(J230&gt;H230*I230,1,0)</f>
        <v>0</v>
      </c>
      <c r="Z230" s="9" t="n">
        <f aca="false">IF(AND(N230&lt;&gt;"",OR(N230&lt;1,N230&gt;5)),1,0)</f>
        <v>0</v>
      </c>
      <c r="AA230" s="9" t="n">
        <f aca="false">IF(AND(M230&lt;&gt;"",OR(M230&lt;5,M230&gt;180)),1,0)</f>
        <v>0</v>
      </c>
      <c r="AB230" s="7" t="str">
        <f aca="false">IF(P230="DUP","Exact duplicate row",IF(T230=1,"Missing Order ID",IF(S230="DROP","Duplicate Order ID (less complete row)",IF(U230=1,"Missing Customer ID",IF(V230=1,"Missing Restaurant name",IF(W230=1,"Invalid/outlier quantity",IF(X230=1,"Invalid/outlier unit price",IF(Y230=1,"Discount greater than order value",""))))))))</f>
        <v/>
      </c>
      <c r="AC230" s="7" t="str">
        <f aca="false">IF(AB230="","KEEP","DROP")</f>
        <v>KEEP</v>
      </c>
      <c r="AD230" s="7" t="str">
        <f aca="false">IF(TRIM(F230)="",IFERROR(INDEX(Map_Tables!$I$4:$I$37,MATCH(TRIM(E230),Map_Tables!$G$4:$G$37,0)),""),IFERROR(INDEX(Map_Tables!$B$4:$B$18,MATCH(TRIM(F230),Map_Tables!$A$4:$A$18,0)),"CHECK"))</f>
        <v>Pune</v>
      </c>
      <c r="AE230" s="7" t="str">
        <f aca="false">IF(TRIM(E230)="","",IFERROR(INDEX(Map_Tables!$H$4:$H$37,MATCH(TRIM(E230),Map_Tables!$G$4:$G$37,0)),"CHECK"))</f>
        <v>Maratha Thali House</v>
      </c>
      <c r="AF230" s="7" t="str">
        <f aca="false">IF(TRIM(K230)="","Unknown",IFERROR(INDEX(Map_Tables!$E$4:$E$15,MATCH(TRIM(K230),Map_Tables!$D$4:$D$15,0)),"CHECK"))</f>
        <v>UPI</v>
      </c>
      <c r="AG230" s="7" t="str">
        <f aca="false">IF(LEFT(LOWER(TRIM(L230)),6)="cancel","Cancelled","Delivered")</f>
        <v>Delivered</v>
      </c>
      <c r="AH230" s="10" t="n">
        <f aca="false">IF(ISNUMBER(SEARCH("/",B230)),DATE(VALUE(RIGHT(B230,4)),VALUE(MID(B230,4,2)),VALUE(LEFT(B230,2))),IF(MID(B230,5,1)="-",DATE(VALUE(LEFT(B230,4)),VALUE(MID(B230,6,2)),VALUE(RIGHT(B230,2))),DATE(VALUE(RIGHT(B230,4)),MATCH(MID(B230,4,3),{"Jan","Feb","Mar","Apr","May","Jun","Jul","Aug","Sep","Oct","Nov","Dec"},0),VALUE(LEFT(B230,2)))))</f>
        <v>45746</v>
      </c>
    </row>
    <row r="231" customFormat="false" ht="15" hidden="false" customHeight="false" outlineLevel="0" collapsed="false">
      <c r="A231" s="7" t="s">
        <v>1046</v>
      </c>
      <c r="B231" s="7" t="s">
        <v>612</v>
      </c>
      <c r="C231" s="7" t="s">
        <v>315</v>
      </c>
      <c r="D231" s="7" t="s">
        <v>1047</v>
      </c>
      <c r="E231" s="7" t="s">
        <v>113</v>
      </c>
      <c r="F231" s="7" t="s">
        <v>215</v>
      </c>
      <c r="G231" s="7" t="s">
        <v>90</v>
      </c>
      <c r="H231" s="7" t="n">
        <v>1</v>
      </c>
      <c r="I231" s="7" t="n">
        <v>240</v>
      </c>
      <c r="J231" s="7" t="n">
        <v>0</v>
      </c>
      <c r="K231" s="7" t="s">
        <v>88</v>
      </c>
      <c r="L231" s="7" t="s">
        <v>238</v>
      </c>
      <c r="M231" s="7"/>
      <c r="N231" s="7"/>
      <c r="O231" s="7" t="str">
        <f aca="false">A231&amp;"|"&amp;B231&amp;"|"&amp;C231&amp;"|"&amp;D231&amp;"|"&amp;E231&amp;"|"&amp;F231&amp;"|"&amp;G231&amp;"|"&amp;H231&amp;"|"&amp;I231&amp;"|"&amp;J231&amp;"|"&amp;K231&amp;"|"&amp;L231&amp;"|"&amp;M231&amp;"|"&amp;N231</f>
        <v>ORD11705|2025-08-12|14:20|C1455|Curry Leaf Kitchen|MUMBAI|North Indian|1|240|0|UPI|Cancelled||</v>
      </c>
      <c r="P231" s="7" t="str">
        <f aca="false">IF(COUNTIF($O$2:O231,O231)&gt;1,"DUP","OK")</f>
        <v>OK</v>
      </c>
      <c r="Q231" s="7" t="n">
        <f aca="false">COUNTBLANK(A231:N231)</f>
        <v>2</v>
      </c>
      <c r="R231" s="7" t="n">
        <f aca="false">IF(A231="",0,COUNTIFS($A$2:$A$3058,A231,$P$2:$P$3058,"OK"))</f>
        <v>1</v>
      </c>
      <c r="S231" s="7" t="str">
        <f aca="false">IF(OR(A231="",P231="DUP",R231&lt;2),"",IF(Q231=_xlfn.MINIFS($Q$2:$Q$3058,$A$2:$A$3058,A231,$P$2:$P$3058,"OK"),"KEEP","DROP"))</f>
        <v/>
      </c>
      <c r="T231" s="9" t="n">
        <f aca="false">IF(A231="",1,0)</f>
        <v>0</v>
      </c>
      <c r="U231" s="9" t="n">
        <f aca="false">IF(D231="",1,0)</f>
        <v>0</v>
      </c>
      <c r="V231" s="9" t="n">
        <f aca="false">IF(E231="",1,0)</f>
        <v>0</v>
      </c>
      <c r="W231" s="9" t="n">
        <f aca="false">IF(OR(H231&lt;1,H231&gt;10),1,0)</f>
        <v>0</v>
      </c>
      <c r="X231" s="9" t="n">
        <f aca="false">IF(OR(I231&lt;=0,I231&gt;1500),1,0)</f>
        <v>0</v>
      </c>
      <c r="Y231" s="9" t="n">
        <f aca="false">IF(J231&gt;H231*I231,1,0)</f>
        <v>0</v>
      </c>
      <c r="Z231" s="9" t="n">
        <f aca="false">IF(AND(N231&lt;&gt;"",OR(N231&lt;1,N231&gt;5)),1,0)</f>
        <v>0</v>
      </c>
      <c r="AA231" s="9" t="n">
        <f aca="false">IF(AND(M231&lt;&gt;"",OR(M231&lt;5,M231&gt;180)),1,0)</f>
        <v>0</v>
      </c>
      <c r="AB231" s="7" t="str">
        <f aca="false">IF(P231="DUP","Exact duplicate row",IF(T231=1,"Missing Order ID",IF(S231="DROP","Duplicate Order ID (less complete row)",IF(U231=1,"Missing Customer ID",IF(V231=1,"Missing Restaurant name",IF(W231=1,"Invalid/outlier quantity",IF(X231=1,"Invalid/outlier unit price",IF(Y231=1,"Discount greater than order value",""))))))))</f>
        <v/>
      </c>
      <c r="AC231" s="7" t="str">
        <f aca="false">IF(AB231="","KEEP","DROP")</f>
        <v>KEEP</v>
      </c>
      <c r="AD231" s="7" t="str">
        <f aca="false">IF(TRIM(F231)="",IFERROR(INDEX(Map_Tables!$I$4:$I$37,MATCH(TRIM(E231),Map_Tables!$G$4:$G$37,0)),""),IFERROR(INDEX(Map_Tables!$B$4:$B$18,MATCH(TRIM(F231),Map_Tables!$A$4:$A$18,0)),"CHECK"))</f>
        <v>Mumbai</v>
      </c>
      <c r="AE231" s="7" t="str">
        <f aca="false">IF(TRIM(E231)="","",IFERROR(INDEX(Map_Tables!$H$4:$H$37,MATCH(TRIM(E231),Map_Tables!$G$4:$G$37,0)),"CHECK"))</f>
        <v>Curry Leaf Kitchen</v>
      </c>
      <c r="AF231" s="7" t="str">
        <f aca="false">IF(TRIM(K231)="","Unknown",IFERROR(INDEX(Map_Tables!$E$4:$E$15,MATCH(TRIM(K231),Map_Tables!$D$4:$D$15,0)),"CHECK"))</f>
        <v>UPI</v>
      </c>
      <c r="AG231" s="7" t="str">
        <f aca="false">IF(LEFT(LOWER(TRIM(L231)),6)="cancel","Cancelled","Delivered")</f>
        <v>Cancelled</v>
      </c>
      <c r="AH231" s="10" t="n">
        <f aca="false">IF(ISNUMBER(SEARCH("/",B231)),DATE(VALUE(RIGHT(B231,4)),VALUE(MID(B231,4,2)),VALUE(LEFT(B231,2))),IF(MID(B231,5,1)="-",DATE(VALUE(LEFT(B231,4)),VALUE(MID(B231,6,2)),VALUE(RIGHT(B231,2))),DATE(VALUE(RIGHT(B231,4)),MATCH(MID(B231,4,3),{"Jan","Feb","Mar","Apr","May","Jun","Jul","Aug","Sep","Oct","Nov","Dec"},0),VALUE(LEFT(B231,2)))))</f>
        <v>45881</v>
      </c>
    </row>
    <row r="232" customFormat="false" ht="15" hidden="false" customHeight="false" outlineLevel="0" collapsed="false">
      <c r="A232" s="7" t="s">
        <v>1048</v>
      </c>
      <c r="B232" s="7" t="s">
        <v>1049</v>
      </c>
      <c r="C232" s="7" t="s">
        <v>1050</v>
      </c>
      <c r="D232" s="7" t="s">
        <v>1051</v>
      </c>
      <c r="E232" s="7" t="s">
        <v>152</v>
      </c>
      <c r="F232" s="7" t="s">
        <v>128</v>
      </c>
      <c r="G232" s="7" t="s">
        <v>95</v>
      </c>
      <c r="H232" s="7" t="n">
        <v>1</v>
      </c>
      <c r="I232" s="7" t="n">
        <v>100</v>
      </c>
      <c r="J232" s="7" t="n">
        <v>0</v>
      </c>
      <c r="K232" s="7" t="s">
        <v>93</v>
      </c>
      <c r="L232" s="7" t="s">
        <v>194</v>
      </c>
      <c r="M232" s="7" t="n">
        <v>42</v>
      </c>
      <c r="N232" s="7" t="n">
        <v>4</v>
      </c>
      <c r="O232" s="7" t="str">
        <f aca="false">A232&amp;"|"&amp;B232&amp;"|"&amp;C232&amp;"|"&amp;D232&amp;"|"&amp;E232&amp;"|"&amp;F232&amp;"|"&amp;G232&amp;"|"&amp;H232&amp;"|"&amp;I232&amp;"|"&amp;J232&amp;"|"&amp;K232&amp;"|"&amp;L232&amp;"|"&amp;M232&amp;"|"&amp;N232</f>
        <v>ORD11662|2025-08-05|12:29|C1499|Filter Coffee &amp; Tiffin|Chennai|South Indian|1|100|0|Credit Card|Delivered|42|4</v>
      </c>
      <c r="P232" s="7" t="str">
        <f aca="false">IF(COUNTIF($O$2:O232,O232)&gt;1,"DUP","OK")</f>
        <v>OK</v>
      </c>
      <c r="Q232" s="7" t="n">
        <f aca="false">COUNTBLANK(A232:N232)</f>
        <v>0</v>
      </c>
      <c r="R232" s="7" t="n">
        <f aca="false">IF(A232="",0,COUNTIFS($A$2:$A$3058,A232,$P$2:$P$3058,"OK"))</f>
        <v>1</v>
      </c>
      <c r="S232" s="7" t="str">
        <f aca="false">IF(OR(A232="",P232="DUP",R232&lt;2),"",IF(Q232=_xlfn.MINIFS($Q$2:$Q$3058,$A$2:$A$3058,A232,$P$2:$P$3058,"OK"),"KEEP","DROP"))</f>
        <v/>
      </c>
      <c r="T232" s="9" t="n">
        <f aca="false">IF(A232="",1,0)</f>
        <v>0</v>
      </c>
      <c r="U232" s="9" t="n">
        <f aca="false">IF(D232="",1,0)</f>
        <v>0</v>
      </c>
      <c r="V232" s="9" t="n">
        <f aca="false">IF(E232="",1,0)</f>
        <v>0</v>
      </c>
      <c r="W232" s="9" t="n">
        <f aca="false">IF(OR(H232&lt;1,H232&gt;10),1,0)</f>
        <v>0</v>
      </c>
      <c r="X232" s="9" t="n">
        <f aca="false">IF(OR(I232&lt;=0,I232&gt;1500),1,0)</f>
        <v>0</v>
      </c>
      <c r="Y232" s="9" t="n">
        <f aca="false">IF(J232&gt;H232*I232,1,0)</f>
        <v>0</v>
      </c>
      <c r="Z232" s="9" t="n">
        <f aca="false">IF(AND(N232&lt;&gt;"",OR(N232&lt;1,N232&gt;5)),1,0)</f>
        <v>0</v>
      </c>
      <c r="AA232" s="9" t="n">
        <f aca="false">IF(AND(M232&lt;&gt;"",OR(M232&lt;5,M232&gt;180)),1,0)</f>
        <v>0</v>
      </c>
      <c r="AB232" s="7" t="str">
        <f aca="false">IF(P232="DUP","Exact duplicate row",IF(T232=1,"Missing Order ID",IF(S232="DROP","Duplicate Order ID (less complete row)",IF(U232=1,"Missing Customer ID",IF(V232=1,"Missing Restaurant name",IF(W232=1,"Invalid/outlier quantity",IF(X232=1,"Invalid/outlier unit price",IF(Y232=1,"Discount greater than order value",""))))))))</f>
        <v/>
      </c>
      <c r="AC232" s="7" t="str">
        <f aca="false">IF(AB232="","KEEP","DROP")</f>
        <v>KEEP</v>
      </c>
      <c r="AD232" s="7" t="str">
        <f aca="false">IF(TRIM(F232)="",IFERROR(INDEX(Map_Tables!$I$4:$I$37,MATCH(TRIM(E232),Map_Tables!$G$4:$G$37,0)),""),IFERROR(INDEX(Map_Tables!$B$4:$B$18,MATCH(TRIM(F232),Map_Tables!$A$4:$A$18,0)),"CHECK"))</f>
        <v>Chennai</v>
      </c>
      <c r="AE232" s="7" t="str">
        <f aca="false">IF(TRIM(E232)="","",IFERROR(INDEX(Map_Tables!$H$4:$H$37,MATCH(TRIM(E232),Map_Tables!$G$4:$G$37,0)),"CHECK"))</f>
        <v>Filter Coffee &amp; Tiffin</v>
      </c>
      <c r="AF232" s="7" t="str">
        <f aca="false">IF(TRIM(K232)="","Unknown",IFERROR(INDEX(Map_Tables!$E$4:$E$15,MATCH(TRIM(K232),Map_Tables!$D$4:$D$15,0)),"CHECK"))</f>
        <v>Credit Card</v>
      </c>
      <c r="AG232" s="7" t="str">
        <f aca="false">IF(LEFT(LOWER(TRIM(L232)),6)="cancel","Cancelled","Delivered")</f>
        <v>Delivered</v>
      </c>
      <c r="AH232" s="10" t="n">
        <f aca="false">IF(ISNUMBER(SEARCH("/",B232)),DATE(VALUE(RIGHT(B232,4)),VALUE(MID(B232,4,2)),VALUE(LEFT(B232,2))),IF(MID(B232,5,1)="-",DATE(VALUE(LEFT(B232,4)),VALUE(MID(B232,6,2)),VALUE(RIGHT(B232,2))),DATE(VALUE(RIGHT(B232,4)),MATCH(MID(B232,4,3),{"Jan","Feb","Mar","Apr","May","Jun","Jul","Aug","Sep","Oct","Nov","Dec"},0),VALUE(LEFT(B232,2)))))</f>
        <v>45874</v>
      </c>
    </row>
    <row r="233" customFormat="false" ht="15" hidden="false" customHeight="false" outlineLevel="0" collapsed="false">
      <c r="A233" s="7" t="s">
        <v>1052</v>
      </c>
      <c r="B233" s="7" t="s">
        <v>1053</v>
      </c>
      <c r="C233" s="7" t="s">
        <v>1054</v>
      </c>
      <c r="D233" s="7" t="s">
        <v>1055</v>
      </c>
      <c r="E233" s="7" t="s">
        <v>144</v>
      </c>
      <c r="F233" s="7" t="s">
        <v>119</v>
      </c>
      <c r="G233" s="7" t="s">
        <v>99</v>
      </c>
      <c r="H233" s="7" t="n">
        <v>1</v>
      </c>
      <c r="I233" s="7" t="n">
        <v>325</v>
      </c>
      <c r="J233" s="7" t="n">
        <v>50</v>
      </c>
      <c r="K233" s="7" t="s">
        <v>88</v>
      </c>
      <c r="L233" s="7" t="s">
        <v>238</v>
      </c>
      <c r="M233" s="7"/>
      <c r="N233" s="7"/>
      <c r="O233" s="7" t="str">
        <f aca="false">A233&amp;"|"&amp;B233&amp;"|"&amp;C233&amp;"|"&amp;D233&amp;"|"&amp;E233&amp;"|"&amp;F233&amp;"|"&amp;G233&amp;"|"&amp;H233&amp;"|"&amp;I233&amp;"|"&amp;J233&amp;"|"&amp;K233&amp;"|"&amp;L233&amp;"|"&amp;M233&amp;"|"&amp;N233</f>
        <v>ORD12758|03/12/2025|13:36|C1458|Hyderabad Dum Biryani|Hyderabad|Biryani|1|325|50|UPI|Cancelled||</v>
      </c>
      <c r="P233" s="7" t="str">
        <f aca="false">IF(COUNTIF($O$2:O233,O233)&gt;1,"DUP","OK")</f>
        <v>OK</v>
      </c>
      <c r="Q233" s="7" t="n">
        <f aca="false">COUNTBLANK(A233:N233)</f>
        <v>2</v>
      </c>
      <c r="R233" s="7" t="n">
        <f aca="false">IF(A233="",0,COUNTIFS($A$2:$A$3058,A233,$P$2:$P$3058,"OK"))</f>
        <v>1</v>
      </c>
      <c r="S233" s="7" t="str">
        <f aca="false">IF(OR(A233="",P233="DUP",R233&lt;2),"",IF(Q233=_xlfn.MINIFS($Q$2:$Q$3058,$A$2:$A$3058,A233,$P$2:$P$3058,"OK"),"KEEP","DROP"))</f>
        <v/>
      </c>
      <c r="T233" s="9" t="n">
        <f aca="false">IF(A233="",1,0)</f>
        <v>0</v>
      </c>
      <c r="U233" s="9" t="n">
        <f aca="false">IF(D233="",1,0)</f>
        <v>0</v>
      </c>
      <c r="V233" s="9" t="n">
        <f aca="false">IF(E233="",1,0)</f>
        <v>0</v>
      </c>
      <c r="W233" s="9" t="n">
        <f aca="false">IF(OR(H233&lt;1,H233&gt;10),1,0)</f>
        <v>0</v>
      </c>
      <c r="X233" s="9" t="n">
        <f aca="false">IF(OR(I233&lt;=0,I233&gt;1500),1,0)</f>
        <v>0</v>
      </c>
      <c r="Y233" s="9" t="n">
        <f aca="false">IF(J233&gt;H233*I233,1,0)</f>
        <v>0</v>
      </c>
      <c r="Z233" s="9" t="n">
        <f aca="false">IF(AND(N233&lt;&gt;"",OR(N233&lt;1,N233&gt;5)),1,0)</f>
        <v>0</v>
      </c>
      <c r="AA233" s="9" t="n">
        <f aca="false">IF(AND(M233&lt;&gt;"",OR(M233&lt;5,M233&gt;180)),1,0)</f>
        <v>0</v>
      </c>
      <c r="AB233" s="7" t="str">
        <f aca="false">IF(P233="DUP","Exact duplicate row",IF(T233=1,"Missing Order ID",IF(S233="DROP","Duplicate Order ID (less complete row)",IF(U233=1,"Missing Customer ID",IF(V233=1,"Missing Restaurant name",IF(W233=1,"Invalid/outlier quantity",IF(X233=1,"Invalid/outlier unit price",IF(Y233=1,"Discount greater than order value",""))))))))</f>
        <v/>
      </c>
      <c r="AC233" s="7" t="str">
        <f aca="false">IF(AB233="","KEEP","DROP")</f>
        <v>KEEP</v>
      </c>
      <c r="AD233" s="7" t="str">
        <f aca="false">IF(TRIM(F233)="",IFERROR(INDEX(Map_Tables!$I$4:$I$37,MATCH(TRIM(E233),Map_Tables!$G$4:$G$37,0)),""),IFERROR(INDEX(Map_Tables!$B$4:$B$18,MATCH(TRIM(F233),Map_Tables!$A$4:$A$18,0)),"CHECK"))</f>
        <v>Hyderabad</v>
      </c>
      <c r="AE233" s="7" t="str">
        <f aca="false">IF(TRIM(E233)="","",IFERROR(INDEX(Map_Tables!$H$4:$H$37,MATCH(TRIM(E233),Map_Tables!$G$4:$G$37,0)),"CHECK"))</f>
        <v>Hyderabad Dum Biryani</v>
      </c>
      <c r="AF233" s="7" t="str">
        <f aca="false">IF(TRIM(K233)="","Unknown",IFERROR(INDEX(Map_Tables!$E$4:$E$15,MATCH(TRIM(K233),Map_Tables!$D$4:$D$15,0)),"CHECK"))</f>
        <v>UPI</v>
      </c>
      <c r="AG233" s="7" t="str">
        <f aca="false">IF(LEFT(LOWER(TRIM(L233)),6)="cancel","Cancelled","Delivered")</f>
        <v>Cancelled</v>
      </c>
      <c r="AH233" s="10" t="n">
        <f aca="false">IF(ISNUMBER(SEARCH("/",B233)),DATE(VALUE(RIGHT(B233,4)),VALUE(MID(B233,4,2)),VALUE(LEFT(B233,2))),IF(MID(B233,5,1)="-",DATE(VALUE(LEFT(B233,4)),VALUE(MID(B233,6,2)),VALUE(RIGHT(B233,2))),DATE(VALUE(RIGHT(B233,4)),MATCH(MID(B233,4,3),{"Jan","Feb","Mar","Apr","May","Jun","Jul","Aug","Sep","Oct","Nov","Dec"},0),VALUE(LEFT(B233,2)))))</f>
        <v>45994</v>
      </c>
    </row>
    <row r="234" customFormat="false" ht="15" hidden="false" customHeight="false" outlineLevel="0" collapsed="false">
      <c r="A234" s="7" t="s">
        <v>1056</v>
      </c>
      <c r="B234" s="7" t="s">
        <v>1057</v>
      </c>
      <c r="C234" s="7" t="s">
        <v>1058</v>
      </c>
      <c r="D234" s="7" t="s">
        <v>1059</v>
      </c>
      <c r="E234" s="7" t="s">
        <v>157</v>
      </c>
      <c r="F234" s="7" t="s">
        <v>136</v>
      </c>
      <c r="G234" s="7" t="s">
        <v>117</v>
      </c>
      <c r="H234" s="7" t="n">
        <v>2</v>
      </c>
      <c r="I234" s="7" t="n">
        <v>130</v>
      </c>
      <c r="J234" s="7" t="n">
        <v>0</v>
      </c>
      <c r="K234" s="7" t="s">
        <v>112</v>
      </c>
      <c r="L234" s="7" t="s">
        <v>194</v>
      </c>
      <c r="M234" s="7" t="n">
        <v>20</v>
      </c>
      <c r="N234" s="7" t="n">
        <v>4</v>
      </c>
      <c r="O234" s="7" t="str">
        <f aca="false">A234&amp;"|"&amp;B234&amp;"|"&amp;C234&amp;"|"&amp;D234&amp;"|"&amp;E234&amp;"|"&amp;F234&amp;"|"&amp;G234&amp;"|"&amp;H234&amp;"|"&amp;I234&amp;"|"&amp;J234&amp;"|"&amp;K234&amp;"|"&amp;L234&amp;"|"&amp;M234&amp;"|"&amp;N234</f>
        <v>ORD10469|2025-03-03|20:49|C1149|Misal Mantra|Pune|Street Food|2|130|0|Cash on Delivery|Delivered|20|4</v>
      </c>
      <c r="P234" s="7" t="str">
        <f aca="false">IF(COUNTIF($O$2:O234,O234)&gt;1,"DUP","OK")</f>
        <v>OK</v>
      </c>
      <c r="Q234" s="7" t="n">
        <f aca="false">COUNTBLANK(A234:N234)</f>
        <v>0</v>
      </c>
      <c r="R234" s="7" t="n">
        <f aca="false">IF(A234="",0,COUNTIFS($A$2:$A$3058,A234,$P$2:$P$3058,"OK"))</f>
        <v>1</v>
      </c>
      <c r="S234" s="7" t="str">
        <f aca="false">IF(OR(A234="",P234="DUP",R234&lt;2),"",IF(Q234=_xlfn.MINIFS($Q$2:$Q$3058,$A$2:$A$3058,A234,$P$2:$P$3058,"OK"),"KEEP","DROP"))</f>
        <v/>
      </c>
      <c r="T234" s="9" t="n">
        <f aca="false">IF(A234="",1,0)</f>
        <v>0</v>
      </c>
      <c r="U234" s="9" t="n">
        <f aca="false">IF(D234="",1,0)</f>
        <v>0</v>
      </c>
      <c r="V234" s="9" t="n">
        <f aca="false">IF(E234="",1,0)</f>
        <v>0</v>
      </c>
      <c r="W234" s="9" t="n">
        <f aca="false">IF(OR(H234&lt;1,H234&gt;10),1,0)</f>
        <v>0</v>
      </c>
      <c r="X234" s="9" t="n">
        <f aca="false">IF(OR(I234&lt;=0,I234&gt;1500),1,0)</f>
        <v>0</v>
      </c>
      <c r="Y234" s="9" t="n">
        <f aca="false">IF(J234&gt;H234*I234,1,0)</f>
        <v>0</v>
      </c>
      <c r="Z234" s="9" t="n">
        <f aca="false">IF(AND(N234&lt;&gt;"",OR(N234&lt;1,N234&gt;5)),1,0)</f>
        <v>0</v>
      </c>
      <c r="AA234" s="9" t="n">
        <f aca="false">IF(AND(M234&lt;&gt;"",OR(M234&lt;5,M234&gt;180)),1,0)</f>
        <v>0</v>
      </c>
      <c r="AB234" s="7" t="str">
        <f aca="false">IF(P234="DUP","Exact duplicate row",IF(T234=1,"Missing Order ID",IF(S234="DROP","Duplicate Order ID (less complete row)",IF(U234=1,"Missing Customer ID",IF(V234=1,"Missing Restaurant name",IF(W234=1,"Invalid/outlier quantity",IF(X234=1,"Invalid/outlier unit price",IF(Y234=1,"Discount greater than order value",""))))))))</f>
        <v/>
      </c>
      <c r="AC234" s="7" t="str">
        <f aca="false">IF(AB234="","KEEP","DROP")</f>
        <v>KEEP</v>
      </c>
      <c r="AD234" s="7" t="str">
        <f aca="false">IF(TRIM(F234)="",IFERROR(INDEX(Map_Tables!$I$4:$I$37,MATCH(TRIM(E234),Map_Tables!$G$4:$G$37,0)),""),IFERROR(INDEX(Map_Tables!$B$4:$B$18,MATCH(TRIM(F234),Map_Tables!$A$4:$A$18,0)),"CHECK"))</f>
        <v>Pune</v>
      </c>
      <c r="AE234" s="7" t="str">
        <f aca="false">IF(TRIM(E234)="","",IFERROR(INDEX(Map_Tables!$H$4:$H$37,MATCH(TRIM(E234),Map_Tables!$G$4:$G$37,0)),"CHECK"))</f>
        <v>Misal Mantra</v>
      </c>
      <c r="AF234" s="7" t="str">
        <f aca="false">IF(TRIM(K234)="","Unknown",IFERROR(INDEX(Map_Tables!$E$4:$E$15,MATCH(TRIM(K234),Map_Tables!$D$4:$D$15,0)),"CHECK"))</f>
        <v>Cash on Delivery</v>
      </c>
      <c r="AG234" s="7" t="str">
        <f aca="false">IF(LEFT(LOWER(TRIM(L234)),6)="cancel","Cancelled","Delivered")</f>
        <v>Delivered</v>
      </c>
      <c r="AH234" s="10" t="n">
        <f aca="false">IF(ISNUMBER(SEARCH("/",B234)),DATE(VALUE(RIGHT(B234,4)),VALUE(MID(B234,4,2)),VALUE(LEFT(B234,2))),IF(MID(B234,5,1)="-",DATE(VALUE(LEFT(B234,4)),VALUE(MID(B234,6,2)),VALUE(RIGHT(B234,2))),DATE(VALUE(RIGHT(B234,4)),MATCH(MID(B234,4,3),{"Jan","Feb","Mar","Apr","May","Jun","Jul","Aug","Sep","Oct","Nov","Dec"},0),VALUE(LEFT(B234,2)))))</f>
        <v>45719</v>
      </c>
    </row>
    <row r="235" customFormat="false" ht="15" hidden="false" customHeight="false" outlineLevel="0" collapsed="false">
      <c r="A235" s="7" t="s">
        <v>1060</v>
      </c>
      <c r="B235" s="7" t="s">
        <v>1061</v>
      </c>
      <c r="C235" s="7" t="s">
        <v>1062</v>
      </c>
      <c r="D235" s="7" t="s">
        <v>1063</v>
      </c>
      <c r="E235" s="7" t="s">
        <v>134</v>
      </c>
      <c r="F235" s="7" t="s">
        <v>110</v>
      </c>
      <c r="G235" s="7" t="s">
        <v>117</v>
      </c>
      <c r="H235" s="7" t="n">
        <v>4</v>
      </c>
      <c r="I235" s="7" t="n">
        <v>80</v>
      </c>
      <c r="J235" s="7" t="n">
        <v>20</v>
      </c>
      <c r="K235" s="7" t="s">
        <v>88</v>
      </c>
      <c r="L235" s="7" t="s">
        <v>194</v>
      </c>
      <c r="M235" s="7" t="n">
        <v>42</v>
      </c>
      <c r="N235" s="7" t="n">
        <v>3</v>
      </c>
      <c r="O235" s="7" t="str">
        <f aca="false">A235&amp;"|"&amp;B235&amp;"|"&amp;C235&amp;"|"&amp;D235&amp;"|"&amp;E235&amp;"|"&amp;F235&amp;"|"&amp;G235&amp;"|"&amp;H235&amp;"|"&amp;I235&amp;"|"&amp;J235&amp;"|"&amp;K235&amp;"|"&amp;L235&amp;"|"&amp;M235&amp;"|"&amp;N235</f>
        <v>ORD12519|2025-11-11|21:10|C0966|Chaat Corner|Delhi|Street Food|4|80|20|UPI|Delivered|42|3</v>
      </c>
      <c r="P235" s="7" t="str">
        <f aca="false">IF(COUNTIF($O$2:O235,O235)&gt;1,"DUP","OK")</f>
        <v>OK</v>
      </c>
      <c r="Q235" s="7" t="n">
        <f aca="false">COUNTBLANK(A235:N235)</f>
        <v>0</v>
      </c>
      <c r="R235" s="7" t="n">
        <f aca="false">IF(A235="",0,COUNTIFS($A$2:$A$3058,A235,$P$2:$P$3058,"OK"))</f>
        <v>1</v>
      </c>
      <c r="S235" s="7" t="str">
        <f aca="false">IF(OR(A235="",P235="DUP",R235&lt;2),"",IF(Q235=_xlfn.MINIFS($Q$2:$Q$3058,$A$2:$A$3058,A235,$P$2:$P$3058,"OK"),"KEEP","DROP"))</f>
        <v/>
      </c>
      <c r="T235" s="9" t="n">
        <f aca="false">IF(A235="",1,0)</f>
        <v>0</v>
      </c>
      <c r="U235" s="9" t="n">
        <f aca="false">IF(D235="",1,0)</f>
        <v>0</v>
      </c>
      <c r="V235" s="9" t="n">
        <f aca="false">IF(E235="",1,0)</f>
        <v>0</v>
      </c>
      <c r="W235" s="9" t="n">
        <f aca="false">IF(OR(H235&lt;1,H235&gt;10),1,0)</f>
        <v>0</v>
      </c>
      <c r="X235" s="9" t="n">
        <f aca="false">IF(OR(I235&lt;=0,I235&gt;1500),1,0)</f>
        <v>0</v>
      </c>
      <c r="Y235" s="9" t="n">
        <f aca="false">IF(J235&gt;H235*I235,1,0)</f>
        <v>0</v>
      </c>
      <c r="Z235" s="9" t="n">
        <f aca="false">IF(AND(N235&lt;&gt;"",OR(N235&lt;1,N235&gt;5)),1,0)</f>
        <v>0</v>
      </c>
      <c r="AA235" s="9" t="n">
        <f aca="false">IF(AND(M235&lt;&gt;"",OR(M235&lt;5,M235&gt;180)),1,0)</f>
        <v>0</v>
      </c>
      <c r="AB235" s="7" t="str">
        <f aca="false">IF(P235="DUP","Exact duplicate row",IF(T235=1,"Missing Order ID",IF(S235="DROP","Duplicate Order ID (less complete row)",IF(U235=1,"Missing Customer ID",IF(V235=1,"Missing Restaurant name",IF(W235=1,"Invalid/outlier quantity",IF(X235=1,"Invalid/outlier unit price",IF(Y235=1,"Discount greater than order value",""))))))))</f>
        <v/>
      </c>
      <c r="AC235" s="7" t="str">
        <f aca="false">IF(AB235="","KEEP","DROP")</f>
        <v>KEEP</v>
      </c>
      <c r="AD235" s="7" t="str">
        <f aca="false">IF(TRIM(F235)="",IFERROR(INDEX(Map_Tables!$I$4:$I$37,MATCH(TRIM(E235),Map_Tables!$G$4:$G$37,0)),""),IFERROR(INDEX(Map_Tables!$B$4:$B$18,MATCH(TRIM(F235),Map_Tables!$A$4:$A$18,0)),"CHECK"))</f>
        <v>Delhi</v>
      </c>
      <c r="AE235" s="7" t="str">
        <f aca="false">IF(TRIM(E235)="","",IFERROR(INDEX(Map_Tables!$H$4:$H$37,MATCH(TRIM(E235),Map_Tables!$G$4:$G$37,0)),"CHECK"))</f>
        <v>Chaat Corner</v>
      </c>
      <c r="AF235" s="7" t="str">
        <f aca="false">IF(TRIM(K235)="","Unknown",IFERROR(INDEX(Map_Tables!$E$4:$E$15,MATCH(TRIM(K235),Map_Tables!$D$4:$D$15,0)),"CHECK"))</f>
        <v>UPI</v>
      </c>
      <c r="AG235" s="7" t="str">
        <f aca="false">IF(LEFT(LOWER(TRIM(L235)),6)="cancel","Cancelled","Delivered")</f>
        <v>Delivered</v>
      </c>
      <c r="AH235" s="10" t="n">
        <f aca="false">IF(ISNUMBER(SEARCH("/",B235)),DATE(VALUE(RIGHT(B235,4)),VALUE(MID(B235,4,2)),VALUE(LEFT(B235,2))),IF(MID(B235,5,1)="-",DATE(VALUE(LEFT(B235,4)),VALUE(MID(B235,6,2)),VALUE(RIGHT(B235,2))),DATE(VALUE(RIGHT(B235,4)),MATCH(MID(B235,4,3),{"Jan","Feb","Mar","Apr","May","Jun","Jul","Aug","Sep","Oct","Nov","Dec"},0),VALUE(LEFT(B235,2)))))</f>
        <v>45972</v>
      </c>
    </row>
    <row r="236" customFormat="false" ht="15" hidden="false" customHeight="false" outlineLevel="0" collapsed="false">
      <c r="A236" s="7" t="s">
        <v>1064</v>
      </c>
      <c r="B236" s="7" t="s">
        <v>1065</v>
      </c>
      <c r="C236" s="7" t="s">
        <v>1066</v>
      </c>
      <c r="D236" s="7" t="s">
        <v>1067</v>
      </c>
      <c r="E236" s="7" t="s">
        <v>152</v>
      </c>
      <c r="F236" s="7" t="s">
        <v>128</v>
      </c>
      <c r="G236" s="7" t="s">
        <v>95</v>
      </c>
      <c r="H236" s="7" t="n">
        <v>3</v>
      </c>
      <c r="I236" s="7" t="n">
        <v>95</v>
      </c>
      <c r="J236" s="7" t="n">
        <v>50</v>
      </c>
      <c r="K236" s="7" t="s">
        <v>121</v>
      </c>
      <c r="L236" s="7" t="s">
        <v>194</v>
      </c>
      <c r="M236" s="7" t="n">
        <v>38</v>
      </c>
      <c r="N236" s="7" t="n">
        <v>5</v>
      </c>
      <c r="O236" s="7" t="str">
        <f aca="false">A236&amp;"|"&amp;B236&amp;"|"&amp;C236&amp;"|"&amp;D236&amp;"|"&amp;E236&amp;"|"&amp;F236&amp;"|"&amp;G236&amp;"|"&amp;H236&amp;"|"&amp;I236&amp;"|"&amp;J236&amp;"|"&amp;K236&amp;"|"&amp;L236&amp;"|"&amp;M236&amp;"|"&amp;N236</f>
        <v>ORD10080|2025-01-11|19:14|C0662|Filter Coffee &amp; Tiffin|Chennai|South Indian|3|95|50|Wallet|Delivered|38|5</v>
      </c>
      <c r="P236" s="7" t="str">
        <f aca="false">IF(COUNTIF($O$2:O236,O236)&gt;1,"DUP","OK")</f>
        <v>OK</v>
      </c>
      <c r="Q236" s="7" t="n">
        <f aca="false">COUNTBLANK(A236:N236)</f>
        <v>0</v>
      </c>
      <c r="R236" s="7" t="n">
        <f aca="false">IF(A236="",0,COUNTIFS($A$2:$A$3058,A236,$P$2:$P$3058,"OK"))</f>
        <v>1</v>
      </c>
      <c r="S236" s="7" t="str">
        <f aca="false">IF(OR(A236="",P236="DUP",R236&lt;2),"",IF(Q236=_xlfn.MINIFS($Q$2:$Q$3058,$A$2:$A$3058,A236,$P$2:$P$3058,"OK"),"KEEP","DROP"))</f>
        <v/>
      </c>
      <c r="T236" s="9" t="n">
        <f aca="false">IF(A236="",1,0)</f>
        <v>0</v>
      </c>
      <c r="U236" s="9" t="n">
        <f aca="false">IF(D236="",1,0)</f>
        <v>0</v>
      </c>
      <c r="V236" s="9" t="n">
        <f aca="false">IF(E236="",1,0)</f>
        <v>0</v>
      </c>
      <c r="W236" s="9" t="n">
        <f aca="false">IF(OR(H236&lt;1,H236&gt;10),1,0)</f>
        <v>0</v>
      </c>
      <c r="X236" s="9" t="n">
        <f aca="false">IF(OR(I236&lt;=0,I236&gt;1500),1,0)</f>
        <v>0</v>
      </c>
      <c r="Y236" s="9" t="n">
        <f aca="false">IF(J236&gt;H236*I236,1,0)</f>
        <v>0</v>
      </c>
      <c r="Z236" s="9" t="n">
        <f aca="false">IF(AND(N236&lt;&gt;"",OR(N236&lt;1,N236&gt;5)),1,0)</f>
        <v>0</v>
      </c>
      <c r="AA236" s="9" t="n">
        <f aca="false">IF(AND(M236&lt;&gt;"",OR(M236&lt;5,M236&gt;180)),1,0)</f>
        <v>0</v>
      </c>
      <c r="AB236" s="7" t="str">
        <f aca="false">IF(P236="DUP","Exact duplicate row",IF(T236=1,"Missing Order ID",IF(S236="DROP","Duplicate Order ID (less complete row)",IF(U236=1,"Missing Customer ID",IF(V236=1,"Missing Restaurant name",IF(W236=1,"Invalid/outlier quantity",IF(X236=1,"Invalid/outlier unit price",IF(Y236=1,"Discount greater than order value",""))))))))</f>
        <v/>
      </c>
      <c r="AC236" s="7" t="str">
        <f aca="false">IF(AB236="","KEEP","DROP")</f>
        <v>KEEP</v>
      </c>
      <c r="AD236" s="7" t="str">
        <f aca="false">IF(TRIM(F236)="",IFERROR(INDEX(Map_Tables!$I$4:$I$37,MATCH(TRIM(E236),Map_Tables!$G$4:$G$37,0)),""),IFERROR(INDEX(Map_Tables!$B$4:$B$18,MATCH(TRIM(F236),Map_Tables!$A$4:$A$18,0)),"CHECK"))</f>
        <v>Chennai</v>
      </c>
      <c r="AE236" s="7" t="str">
        <f aca="false">IF(TRIM(E236)="","",IFERROR(INDEX(Map_Tables!$H$4:$H$37,MATCH(TRIM(E236),Map_Tables!$G$4:$G$37,0)),"CHECK"))</f>
        <v>Filter Coffee &amp; Tiffin</v>
      </c>
      <c r="AF236" s="7" t="str">
        <f aca="false">IF(TRIM(K236)="","Unknown",IFERROR(INDEX(Map_Tables!$E$4:$E$15,MATCH(TRIM(K236),Map_Tables!$D$4:$D$15,0)),"CHECK"))</f>
        <v>Wallet</v>
      </c>
      <c r="AG236" s="7" t="str">
        <f aca="false">IF(LEFT(LOWER(TRIM(L236)),6)="cancel","Cancelled","Delivered")</f>
        <v>Delivered</v>
      </c>
      <c r="AH236" s="10" t="n">
        <f aca="false">IF(ISNUMBER(SEARCH("/",B236)),DATE(VALUE(RIGHT(B236,4)),VALUE(MID(B236,4,2)),VALUE(LEFT(B236,2))),IF(MID(B236,5,1)="-",DATE(VALUE(LEFT(B236,4)),VALUE(MID(B236,6,2)),VALUE(RIGHT(B236,2))),DATE(VALUE(RIGHT(B236,4)),MATCH(MID(B236,4,3),{"Jan","Feb","Mar","Apr","May","Jun","Jul","Aug","Sep","Oct","Nov","Dec"},0),VALUE(LEFT(B236,2)))))</f>
        <v>45668</v>
      </c>
    </row>
    <row r="237" customFormat="false" ht="15" hidden="false" customHeight="false" outlineLevel="0" collapsed="false">
      <c r="A237" s="7" t="s">
        <v>1068</v>
      </c>
      <c r="B237" s="7" t="s">
        <v>1069</v>
      </c>
      <c r="C237" s="7" t="s">
        <v>490</v>
      </c>
      <c r="D237" s="7" t="s">
        <v>1070</v>
      </c>
      <c r="E237" s="7" t="s">
        <v>144</v>
      </c>
      <c r="F237" s="7" t="s">
        <v>312</v>
      </c>
      <c r="G237" s="7" t="s">
        <v>99</v>
      </c>
      <c r="H237" s="7" t="n">
        <v>3</v>
      </c>
      <c r="I237" s="7" t="n">
        <v>290</v>
      </c>
      <c r="J237" s="7" t="n">
        <v>0</v>
      </c>
      <c r="K237" s="7" t="s">
        <v>88</v>
      </c>
      <c r="L237" s="7" t="s">
        <v>194</v>
      </c>
      <c r="M237" s="7" t="n">
        <v>29</v>
      </c>
      <c r="N237" s="7" t="n">
        <v>4</v>
      </c>
      <c r="O237" s="7" t="str">
        <f aca="false">A237&amp;"|"&amp;B237&amp;"|"&amp;C237&amp;"|"&amp;D237&amp;"|"&amp;E237&amp;"|"&amp;F237&amp;"|"&amp;G237&amp;"|"&amp;H237&amp;"|"&amp;I237&amp;"|"&amp;J237&amp;"|"&amp;K237&amp;"|"&amp;L237&amp;"|"&amp;M237&amp;"|"&amp;N237</f>
        <v>ORD12942|2025-12-25|19:03|C1271|Hyderabad Dum Biryani|Hyd|Biryani|3|290|0|UPI|Delivered|29|4</v>
      </c>
      <c r="P237" s="7" t="str">
        <f aca="false">IF(COUNTIF($O$2:O237,O237)&gt;1,"DUP","OK")</f>
        <v>OK</v>
      </c>
      <c r="Q237" s="7" t="n">
        <f aca="false">COUNTBLANK(A237:N237)</f>
        <v>0</v>
      </c>
      <c r="R237" s="7" t="n">
        <f aca="false">IF(A237="",0,COUNTIFS($A$2:$A$3058,A237,$P$2:$P$3058,"OK"))</f>
        <v>1</v>
      </c>
      <c r="S237" s="7" t="str">
        <f aca="false">IF(OR(A237="",P237="DUP",R237&lt;2),"",IF(Q237=_xlfn.MINIFS($Q$2:$Q$3058,$A$2:$A$3058,A237,$P$2:$P$3058,"OK"),"KEEP","DROP"))</f>
        <v/>
      </c>
      <c r="T237" s="9" t="n">
        <f aca="false">IF(A237="",1,0)</f>
        <v>0</v>
      </c>
      <c r="U237" s="9" t="n">
        <f aca="false">IF(D237="",1,0)</f>
        <v>0</v>
      </c>
      <c r="V237" s="9" t="n">
        <f aca="false">IF(E237="",1,0)</f>
        <v>0</v>
      </c>
      <c r="W237" s="9" t="n">
        <f aca="false">IF(OR(H237&lt;1,H237&gt;10),1,0)</f>
        <v>0</v>
      </c>
      <c r="X237" s="9" t="n">
        <f aca="false">IF(OR(I237&lt;=0,I237&gt;1500),1,0)</f>
        <v>0</v>
      </c>
      <c r="Y237" s="9" t="n">
        <f aca="false">IF(J237&gt;H237*I237,1,0)</f>
        <v>0</v>
      </c>
      <c r="Z237" s="9" t="n">
        <f aca="false">IF(AND(N237&lt;&gt;"",OR(N237&lt;1,N237&gt;5)),1,0)</f>
        <v>0</v>
      </c>
      <c r="AA237" s="9" t="n">
        <f aca="false">IF(AND(M237&lt;&gt;"",OR(M237&lt;5,M237&gt;180)),1,0)</f>
        <v>0</v>
      </c>
      <c r="AB237" s="7" t="str">
        <f aca="false">IF(P237="DUP","Exact duplicate row",IF(T237=1,"Missing Order ID",IF(S237="DROP","Duplicate Order ID (less complete row)",IF(U237=1,"Missing Customer ID",IF(V237=1,"Missing Restaurant name",IF(W237=1,"Invalid/outlier quantity",IF(X237=1,"Invalid/outlier unit price",IF(Y237=1,"Discount greater than order value",""))))))))</f>
        <v/>
      </c>
      <c r="AC237" s="7" t="str">
        <f aca="false">IF(AB237="","KEEP","DROP")</f>
        <v>KEEP</v>
      </c>
      <c r="AD237" s="7" t="str">
        <f aca="false">IF(TRIM(F237)="",IFERROR(INDEX(Map_Tables!$I$4:$I$37,MATCH(TRIM(E237),Map_Tables!$G$4:$G$37,0)),""),IFERROR(INDEX(Map_Tables!$B$4:$B$18,MATCH(TRIM(F237),Map_Tables!$A$4:$A$18,0)),"CHECK"))</f>
        <v>Hyderabad</v>
      </c>
      <c r="AE237" s="7" t="str">
        <f aca="false">IF(TRIM(E237)="","",IFERROR(INDEX(Map_Tables!$H$4:$H$37,MATCH(TRIM(E237),Map_Tables!$G$4:$G$37,0)),"CHECK"))</f>
        <v>Hyderabad Dum Biryani</v>
      </c>
      <c r="AF237" s="7" t="str">
        <f aca="false">IF(TRIM(K237)="","Unknown",IFERROR(INDEX(Map_Tables!$E$4:$E$15,MATCH(TRIM(K237),Map_Tables!$D$4:$D$15,0)),"CHECK"))</f>
        <v>UPI</v>
      </c>
      <c r="AG237" s="7" t="str">
        <f aca="false">IF(LEFT(LOWER(TRIM(L237)),6)="cancel","Cancelled","Delivered")</f>
        <v>Delivered</v>
      </c>
      <c r="AH237" s="10" t="n">
        <f aca="false">IF(ISNUMBER(SEARCH("/",B237)),DATE(VALUE(RIGHT(B237,4)),VALUE(MID(B237,4,2)),VALUE(LEFT(B237,2))),IF(MID(B237,5,1)="-",DATE(VALUE(LEFT(B237,4)),VALUE(MID(B237,6,2)),VALUE(RIGHT(B237,2))),DATE(VALUE(RIGHT(B237,4)),MATCH(MID(B237,4,3),{"Jan","Feb","Mar","Apr","May","Jun","Jul","Aug","Sep","Oct","Nov","Dec"},0),VALUE(LEFT(B237,2)))))</f>
        <v>46016</v>
      </c>
    </row>
    <row r="238" customFormat="false" ht="15" hidden="false" customHeight="false" outlineLevel="0" collapsed="false">
      <c r="A238" s="7" t="s">
        <v>1071</v>
      </c>
      <c r="B238" s="7" t="s">
        <v>253</v>
      </c>
      <c r="C238" s="7" t="s">
        <v>675</v>
      </c>
      <c r="D238" s="7" t="s">
        <v>1072</v>
      </c>
      <c r="E238" s="7" t="s">
        <v>147</v>
      </c>
      <c r="F238" s="7" t="s">
        <v>312</v>
      </c>
      <c r="G238" s="7" t="s">
        <v>95</v>
      </c>
      <c r="H238" s="7" t="n">
        <v>2</v>
      </c>
      <c r="I238" s="7" t="n">
        <v>145</v>
      </c>
      <c r="J238" s="7" t="n">
        <v>116</v>
      </c>
      <c r="K238" s="7" t="s">
        <v>112</v>
      </c>
      <c r="L238" s="7" t="s">
        <v>194</v>
      </c>
      <c r="M238" s="7" t="n">
        <v>26</v>
      </c>
      <c r="N238" s="7" t="n">
        <v>4</v>
      </c>
      <c r="O238" s="7" t="str">
        <f aca="false">A238&amp;"|"&amp;B238&amp;"|"&amp;C238&amp;"|"&amp;D238&amp;"|"&amp;E238&amp;"|"&amp;F238&amp;"|"&amp;G238&amp;"|"&amp;H238&amp;"|"&amp;I238&amp;"|"&amp;J238&amp;"|"&amp;K238&amp;"|"&amp;L238&amp;"|"&amp;M238&amp;"|"&amp;N238</f>
        <v>ORD10735|2025-04-04|12:32|C0699|Andhra Meals Mess|Hyd|South Indian|2|145|116|Cash on Delivery|Delivered|26|4</v>
      </c>
      <c r="P238" s="7" t="str">
        <f aca="false">IF(COUNTIF($O$2:O238,O238)&gt;1,"DUP","OK")</f>
        <v>OK</v>
      </c>
      <c r="Q238" s="7" t="n">
        <f aca="false">COUNTBLANK(A238:N238)</f>
        <v>0</v>
      </c>
      <c r="R238" s="7" t="n">
        <f aca="false">IF(A238="",0,COUNTIFS($A$2:$A$3058,A238,$P$2:$P$3058,"OK"))</f>
        <v>1</v>
      </c>
      <c r="S238" s="7" t="str">
        <f aca="false">IF(OR(A238="",P238="DUP",R238&lt;2),"",IF(Q238=_xlfn.MINIFS($Q$2:$Q$3058,$A$2:$A$3058,A238,$P$2:$P$3058,"OK"),"KEEP","DROP"))</f>
        <v/>
      </c>
      <c r="T238" s="9" t="n">
        <f aca="false">IF(A238="",1,0)</f>
        <v>0</v>
      </c>
      <c r="U238" s="9" t="n">
        <f aca="false">IF(D238="",1,0)</f>
        <v>0</v>
      </c>
      <c r="V238" s="9" t="n">
        <f aca="false">IF(E238="",1,0)</f>
        <v>0</v>
      </c>
      <c r="W238" s="9" t="n">
        <f aca="false">IF(OR(H238&lt;1,H238&gt;10),1,0)</f>
        <v>0</v>
      </c>
      <c r="X238" s="9" t="n">
        <f aca="false">IF(OR(I238&lt;=0,I238&gt;1500),1,0)</f>
        <v>0</v>
      </c>
      <c r="Y238" s="9" t="n">
        <f aca="false">IF(J238&gt;H238*I238,1,0)</f>
        <v>0</v>
      </c>
      <c r="Z238" s="9" t="n">
        <f aca="false">IF(AND(N238&lt;&gt;"",OR(N238&lt;1,N238&gt;5)),1,0)</f>
        <v>0</v>
      </c>
      <c r="AA238" s="9" t="n">
        <f aca="false">IF(AND(M238&lt;&gt;"",OR(M238&lt;5,M238&gt;180)),1,0)</f>
        <v>0</v>
      </c>
      <c r="AB238" s="7" t="str">
        <f aca="false">IF(P238="DUP","Exact duplicate row",IF(T238=1,"Missing Order ID",IF(S238="DROP","Duplicate Order ID (less complete row)",IF(U238=1,"Missing Customer ID",IF(V238=1,"Missing Restaurant name",IF(W238=1,"Invalid/outlier quantity",IF(X238=1,"Invalid/outlier unit price",IF(Y238=1,"Discount greater than order value",""))))))))</f>
        <v/>
      </c>
      <c r="AC238" s="7" t="str">
        <f aca="false">IF(AB238="","KEEP","DROP")</f>
        <v>KEEP</v>
      </c>
      <c r="AD238" s="7" t="str">
        <f aca="false">IF(TRIM(F238)="",IFERROR(INDEX(Map_Tables!$I$4:$I$37,MATCH(TRIM(E238),Map_Tables!$G$4:$G$37,0)),""),IFERROR(INDEX(Map_Tables!$B$4:$B$18,MATCH(TRIM(F238),Map_Tables!$A$4:$A$18,0)),"CHECK"))</f>
        <v>Hyderabad</v>
      </c>
      <c r="AE238" s="7" t="str">
        <f aca="false">IF(TRIM(E238)="","",IFERROR(INDEX(Map_Tables!$H$4:$H$37,MATCH(TRIM(E238),Map_Tables!$G$4:$G$37,0)),"CHECK"))</f>
        <v>Andhra Meals Mess</v>
      </c>
      <c r="AF238" s="7" t="str">
        <f aca="false">IF(TRIM(K238)="","Unknown",IFERROR(INDEX(Map_Tables!$E$4:$E$15,MATCH(TRIM(K238),Map_Tables!$D$4:$D$15,0)),"CHECK"))</f>
        <v>Cash on Delivery</v>
      </c>
      <c r="AG238" s="7" t="str">
        <f aca="false">IF(LEFT(LOWER(TRIM(L238)),6)="cancel","Cancelled","Delivered")</f>
        <v>Delivered</v>
      </c>
      <c r="AH238" s="10" t="n">
        <f aca="false">IF(ISNUMBER(SEARCH("/",B238)),DATE(VALUE(RIGHT(B238,4)),VALUE(MID(B238,4,2)),VALUE(LEFT(B238,2))),IF(MID(B238,5,1)="-",DATE(VALUE(LEFT(B238,4)),VALUE(MID(B238,6,2)),VALUE(RIGHT(B238,2))),DATE(VALUE(RIGHT(B238,4)),MATCH(MID(B238,4,3),{"Jan","Feb","Mar","Apr","May","Jun","Jul","Aug","Sep","Oct","Nov","Dec"},0),VALUE(LEFT(B238,2)))))</f>
        <v>45751</v>
      </c>
    </row>
    <row r="239" customFormat="false" ht="15" hidden="false" customHeight="false" outlineLevel="0" collapsed="false">
      <c r="A239" s="7" t="s">
        <v>1073</v>
      </c>
      <c r="B239" s="7" t="s">
        <v>1074</v>
      </c>
      <c r="C239" s="7" t="s">
        <v>327</v>
      </c>
      <c r="D239" s="7" t="s">
        <v>1075</v>
      </c>
      <c r="E239" s="7" t="s">
        <v>161</v>
      </c>
      <c r="F239" s="7" t="s">
        <v>141</v>
      </c>
      <c r="G239" s="7" t="s">
        <v>117</v>
      </c>
      <c r="H239" s="7" t="n">
        <v>2</v>
      </c>
      <c r="I239" s="7" t="n">
        <v>175</v>
      </c>
      <c r="J239" s="7" t="n">
        <v>100</v>
      </c>
      <c r="K239" s="7" t="s">
        <v>88</v>
      </c>
      <c r="L239" s="7" t="s">
        <v>194</v>
      </c>
      <c r="M239" s="7" t="n">
        <v>39</v>
      </c>
      <c r="N239" s="7" t="n">
        <v>3</v>
      </c>
      <c r="O239" s="7" t="str">
        <f aca="false">A239&amp;"|"&amp;B239&amp;"|"&amp;C239&amp;"|"&amp;D239&amp;"|"&amp;E239&amp;"|"&amp;F239&amp;"|"&amp;G239&amp;"|"&amp;H239&amp;"|"&amp;I239&amp;"|"&amp;J239&amp;"|"&amp;K239&amp;"|"&amp;L239&amp;"|"&amp;M239&amp;"|"&amp;N239</f>
        <v>ORD10848|17/04/2025|19:10|C1097|Bengal Bites|Kolkata|Street Food|2|175|100|UPI|Delivered|39|3</v>
      </c>
      <c r="P239" s="7" t="str">
        <f aca="false">IF(COUNTIF($O$2:O239,O239)&gt;1,"DUP","OK")</f>
        <v>OK</v>
      </c>
      <c r="Q239" s="7" t="n">
        <f aca="false">COUNTBLANK(A239:N239)</f>
        <v>0</v>
      </c>
      <c r="R239" s="7" t="n">
        <f aca="false">IF(A239="",0,COUNTIFS($A$2:$A$3058,A239,$P$2:$P$3058,"OK"))</f>
        <v>1</v>
      </c>
      <c r="S239" s="7" t="str">
        <f aca="false">IF(OR(A239="",P239="DUP",R239&lt;2),"",IF(Q239=_xlfn.MINIFS($Q$2:$Q$3058,$A$2:$A$3058,A239,$P$2:$P$3058,"OK"),"KEEP","DROP"))</f>
        <v/>
      </c>
      <c r="T239" s="9" t="n">
        <f aca="false">IF(A239="",1,0)</f>
        <v>0</v>
      </c>
      <c r="U239" s="9" t="n">
        <f aca="false">IF(D239="",1,0)</f>
        <v>0</v>
      </c>
      <c r="V239" s="9" t="n">
        <f aca="false">IF(E239="",1,0)</f>
        <v>0</v>
      </c>
      <c r="W239" s="9" t="n">
        <f aca="false">IF(OR(H239&lt;1,H239&gt;10),1,0)</f>
        <v>0</v>
      </c>
      <c r="X239" s="9" t="n">
        <f aca="false">IF(OR(I239&lt;=0,I239&gt;1500),1,0)</f>
        <v>0</v>
      </c>
      <c r="Y239" s="9" t="n">
        <f aca="false">IF(J239&gt;H239*I239,1,0)</f>
        <v>0</v>
      </c>
      <c r="Z239" s="9" t="n">
        <f aca="false">IF(AND(N239&lt;&gt;"",OR(N239&lt;1,N239&gt;5)),1,0)</f>
        <v>0</v>
      </c>
      <c r="AA239" s="9" t="n">
        <f aca="false">IF(AND(M239&lt;&gt;"",OR(M239&lt;5,M239&gt;180)),1,0)</f>
        <v>0</v>
      </c>
      <c r="AB239" s="7" t="str">
        <f aca="false">IF(P239="DUP","Exact duplicate row",IF(T239=1,"Missing Order ID",IF(S239="DROP","Duplicate Order ID (less complete row)",IF(U239=1,"Missing Customer ID",IF(V239=1,"Missing Restaurant name",IF(W239=1,"Invalid/outlier quantity",IF(X239=1,"Invalid/outlier unit price",IF(Y239=1,"Discount greater than order value",""))))))))</f>
        <v/>
      </c>
      <c r="AC239" s="7" t="str">
        <f aca="false">IF(AB239="","KEEP","DROP")</f>
        <v>KEEP</v>
      </c>
      <c r="AD239" s="7" t="str">
        <f aca="false">IF(TRIM(F239)="",IFERROR(INDEX(Map_Tables!$I$4:$I$37,MATCH(TRIM(E239),Map_Tables!$G$4:$G$37,0)),""),IFERROR(INDEX(Map_Tables!$B$4:$B$18,MATCH(TRIM(F239),Map_Tables!$A$4:$A$18,0)),"CHECK"))</f>
        <v>Kolkata</v>
      </c>
      <c r="AE239" s="7" t="str">
        <f aca="false">IF(TRIM(E239)="","",IFERROR(INDEX(Map_Tables!$H$4:$H$37,MATCH(TRIM(E239),Map_Tables!$G$4:$G$37,0)),"CHECK"))</f>
        <v>Bengal Bites</v>
      </c>
      <c r="AF239" s="7" t="str">
        <f aca="false">IF(TRIM(K239)="","Unknown",IFERROR(INDEX(Map_Tables!$E$4:$E$15,MATCH(TRIM(K239),Map_Tables!$D$4:$D$15,0)),"CHECK"))</f>
        <v>UPI</v>
      </c>
      <c r="AG239" s="7" t="str">
        <f aca="false">IF(LEFT(LOWER(TRIM(L239)),6)="cancel","Cancelled","Delivered")</f>
        <v>Delivered</v>
      </c>
      <c r="AH239" s="10" t="n">
        <f aca="false">IF(ISNUMBER(SEARCH("/",B239)),DATE(VALUE(RIGHT(B239,4)),VALUE(MID(B239,4,2)),VALUE(LEFT(B239,2))),IF(MID(B239,5,1)="-",DATE(VALUE(LEFT(B239,4)),VALUE(MID(B239,6,2)),VALUE(RIGHT(B239,2))),DATE(VALUE(RIGHT(B239,4)),MATCH(MID(B239,4,3),{"Jan","Feb","Mar","Apr","May","Jun","Jul","Aug","Sep","Oct","Nov","Dec"},0),VALUE(LEFT(B239,2)))))</f>
        <v>45764</v>
      </c>
    </row>
    <row r="240" customFormat="false" ht="15" hidden="false" customHeight="false" outlineLevel="0" collapsed="false">
      <c r="A240" s="7" t="s">
        <v>1076</v>
      </c>
      <c r="B240" s="7" t="s">
        <v>835</v>
      </c>
      <c r="C240" s="7" t="s">
        <v>310</v>
      </c>
      <c r="D240" s="7" t="s">
        <v>1077</v>
      </c>
      <c r="E240" s="7" t="s">
        <v>134</v>
      </c>
      <c r="F240" s="7" t="s">
        <v>294</v>
      </c>
      <c r="G240" s="7" t="s">
        <v>117</v>
      </c>
      <c r="H240" s="7" t="n">
        <v>5</v>
      </c>
      <c r="I240" s="7" t="n">
        <v>115</v>
      </c>
      <c r="J240" s="7" t="n">
        <v>75</v>
      </c>
      <c r="K240" s="7" t="s">
        <v>112</v>
      </c>
      <c r="L240" s="7" t="s">
        <v>194</v>
      </c>
      <c r="M240" s="7" t="n">
        <v>43</v>
      </c>
      <c r="N240" s="7" t="n">
        <v>4</v>
      </c>
      <c r="O240" s="7" t="str">
        <f aca="false">A240&amp;"|"&amp;B240&amp;"|"&amp;C240&amp;"|"&amp;D240&amp;"|"&amp;E240&amp;"|"&amp;F240&amp;"|"&amp;G240&amp;"|"&amp;H240&amp;"|"&amp;I240&amp;"|"&amp;J240&amp;"|"&amp;K240&amp;"|"&amp;L240&amp;"|"&amp;M240&amp;"|"&amp;N240</f>
        <v>ORD12969|2025-12-28|19:09|C0939|Chaat Corner|New Delhi|Street Food|5|115|75|Cash on Delivery|Delivered|43|4</v>
      </c>
      <c r="P240" s="7" t="str">
        <f aca="false">IF(COUNTIF($O$2:O240,O240)&gt;1,"DUP","OK")</f>
        <v>OK</v>
      </c>
      <c r="Q240" s="7" t="n">
        <f aca="false">COUNTBLANK(A240:N240)</f>
        <v>0</v>
      </c>
      <c r="R240" s="7" t="n">
        <f aca="false">IF(A240="",0,COUNTIFS($A$2:$A$3058,A240,$P$2:$P$3058,"OK"))</f>
        <v>1</v>
      </c>
      <c r="S240" s="7" t="str">
        <f aca="false">IF(OR(A240="",P240="DUP",R240&lt;2),"",IF(Q240=_xlfn.MINIFS($Q$2:$Q$3058,$A$2:$A$3058,A240,$P$2:$P$3058,"OK"),"KEEP","DROP"))</f>
        <v/>
      </c>
      <c r="T240" s="9" t="n">
        <f aca="false">IF(A240="",1,0)</f>
        <v>0</v>
      </c>
      <c r="U240" s="9" t="n">
        <f aca="false">IF(D240="",1,0)</f>
        <v>0</v>
      </c>
      <c r="V240" s="9" t="n">
        <f aca="false">IF(E240="",1,0)</f>
        <v>0</v>
      </c>
      <c r="W240" s="9" t="n">
        <f aca="false">IF(OR(H240&lt;1,H240&gt;10),1,0)</f>
        <v>0</v>
      </c>
      <c r="X240" s="9" t="n">
        <f aca="false">IF(OR(I240&lt;=0,I240&gt;1500),1,0)</f>
        <v>0</v>
      </c>
      <c r="Y240" s="9" t="n">
        <f aca="false">IF(J240&gt;H240*I240,1,0)</f>
        <v>0</v>
      </c>
      <c r="Z240" s="9" t="n">
        <f aca="false">IF(AND(N240&lt;&gt;"",OR(N240&lt;1,N240&gt;5)),1,0)</f>
        <v>0</v>
      </c>
      <c r="AA240" s="9" t="n">
        <f aca="false">IF(AND(M240&lt;&gt;"",OR(M240&lt;5,M240&gt;180)),1,0)</f>
        <v>0</v>
      </c>
      <c r="AB240" s="7" t="str">
        <f aca="false">IF(P240="DUP","Exact duplicate row",IF(T240=1,"Missing Order ID",IF(S240="DROP","Duplicate Order ID (less complete row)",IF(U240=1,"Missing Customer ID",IF(V240=1,"Missing Restaurant name",IF(W240=1,"Invalid/outlier quantity",IF(X240=1,"Invalid/outlier unit price",IF(Y240=1,"Discount greater than order value",""))))))))</f>
        <v/>
      </c>
      <c r="AC240" s="7" t="str">
        <f aca="false">IF(AB240="","KEEP","DROP")</f>
        <v>KEEP</v>
      </c>
      <c r="AD240" s="7" t="str">
        <f aca="false">IF(TRIM(F240)="",IFERROR(INDEX(Map_Tables!$I$4:$I$37,MATCH(TRIM(E240),Map_Tables!$G$4:$G$37,0)),""),IFERROR(INDEX(Map_Tables!$B$4:$B$18,MATCH(TRIM(F240),Map_Tables!$A$4:$A$18,0)),"CHECK"))</f>
        <v>Delhi</v>
      </c>
      <c r="AE240" s="7" t="str">
        <f aca="false">IF(TRIM(E240)="","",IFERROR(INDEX(Map_Tables!$H$4:$H$37,MATCH(TRIM(E240),Map_Tables!$G$4:$G$37,0)),"CHECK"))</f>
        <v>Chaat Corner</v>
      </c>
      <c r="AF240" s="7" t="str">
        <f aca="false">IF(TRIM(K240)="","Unknown",IFERROR(INDEX(Map_Tables!$E$4:$E$15,MATCH(TRIM(K240),Map_Tables!$D$4:$D$15,0)),"CHECK"))</f>
        <v>Cash on Delivery</v>
      </c>
      <c r="AG240" s="7" t="str">
        <f aca="false">IF(LEFT(LOWER(TRIM(L240)),6)="cancel","Cancelled","Delivered")</f>
        <v>Delivered</v>
      </c>
      <c r="AH240" s="10" t="n">
        <f aca="false">IF(ISNUMBER(SEARCH("/",B240)),DATE(VALUE(RIGHT(B240,4)),VALUE(MID(B240,4,2)),VALUE(LEFT(B240,2))),IF(MID(B240,5,1)="-",DATE(VALUE(LEFT(B240,4)),VALUE(MID(B240,6,2)),VALUE(RIGHT(B240,2))),DATE(VALUE(RIGHT(B240,4)),MATCH(MID(B240,4,3),{"Jan","Feb","Mar","Apr","May","Jun","Jul","Aug","Sep","Oct","Nov","Dec"},0),VALUE(LEFT(B240,2)))))</f>
        <v>46019</v>
      </c>
    </row>
    <row r="241" customFormat="false" ht="15" hidden="false" customHeight="false" outlineLevel="0" collapsed="false">
      <c r="A241" s="7" t="s">
        <v>1078</v>
      </c>
      <c r="B241" s="7" t="s">
        <v>1079</v>
      </c>
      <c r="C241" s="7" t="s">
        <v>1080</v>
      </c>
      <c r="D241" s="7" t="s">
        <v>1081</v>
      </c>
      <c r="E241" s="7" t="s">
        <v>134</v>
      </c>
      <c r="F241" s="7" t="s">
        <v>110</v>
      </c>
      <c r="G241" s="7" t="s">
        <v>117</v>
      </c>
      <c r="H241" s="7" t="n">
        <v>2</v>
      </c>
      <c r="I241" s="7" t="n">
        <v>80</v>
      </c>
      <c r="J241" s="7" t="n">
        <v>64</v>
      </c>
      <c r="K241" s="7" t="s">
        <v>421</v>
      </c>
      <c r="L241" s="7" t="s">
        <v>194</v>
      </c>
      <c r="M241" s="7" t="n">
        <v>50</v>
      </c>
      <c r="N241" s="7" t="n">
        <v>4</v>
      </c>
      <c r="O241" s="7" t="str">
        <f aca="false">A241&amp;"|"&amp;B241&amp;"|"&amp;C241&amp;"|"&amp;D241&amp;"|"&amp;E241&amp;"|"&amp;F241&amp;"|"&amp;G241&amp;"|"&amp;H241&amp;"|"&amp;I241&amp;"|"&amp;J241&amp;"|"&amp;K241&amp;"|"&amp;L241&amp;"|"&amp;M241&amp;"|"&amp;N241</f>
        <v>ORD12320|2025-10-19|21:23|C0204|Chaat Corner|Delhi|Street Food|2|80|64|UPI |Delivered|50|4</v>
      </c>
      <c r="P241" s="7" t="str">
        <f aca="false">IF(COUNTIF($O$2:O241,O241)&gt;1,"DUP","OK")</f>
        <v>OK</v>
      </c>
      <c r="Q241" s="7" t="n">
        <f aca="false">COUNTBLANK(A241:N241)</f>
        <v>0</v>
      </c>
      <c r="R241" s="7" t="n">
        <f aca="false">IF(A241="",0,COUNTIFS($A$2:$A$3058,A241,$P$2:$P$3058,"OK"))</f>
        <v>1</v>
      </c>
      <c r="S241" s="7" t="str">
        <f aca="false">IF(OR(A241="",P241="DUP",R241&lt;2),"",IF(Q241=_xlfn.MINIFS($Q$2:$Q$3058,$A$2:$A$3058,A241,$P$2:$P$3058,"OK"),"KEEP","DROP"))</f>
        <v/>
      </c>
      <c r="T241" s="9" t="n">
        <f aca="false">IF(A241="",1,0)</f>
        <v>0</v>
      </c>
      <c r="U241" s="9" t="n">
        <f aca="false">IF(D241="",1,0)</f>
        <v>0</v>
      </c>
      <c r="V241" s="9" t="n">
        <f aca="false">IF(E241="",1,0)</f>
        <v>0</v>
      </c>
      <c r="W241" s="9" t="n">
        <f aca="false">IF(OR(H241&lt;1,H241&gt;10),1,0)</f>
        <v>0</v>
      </c>
      <c r="X241" s="9" t="n">
        <f aca="false">IF(OR(I241&lt;=0,I241&gt;1500),1,0)</f>
        <v>0</v>
      </c>
      <c r="Y241" s="9" t="n">
        <f aca="false">IF(J241&gt;H241*I241,1,0)</f>
        <v>0</v>
      </c>
      <c r="Z241" s="9" t="n">
        <f aca="false">IF(AND(N241&lt;&gt;"",OR(N241&lt;1,N241&gt;5)),1,0)</f>
        <v>0</v>
      </c>
      <c r="AA241" s="9" t="n">
        <f aca="false">IF(AND(M241&lt;&gt;"",OR(M241&lt;5,M241&gt;180)),1,0)</f>
        <v>0</v>
      </c>
      <c r="AB241" s="7" t="str">
        <f aca="false">IF(P241="DUP","Exact duplicate row",IF(T241=1,"Missing Order ID",IF(S241="DROP","Duplicate Order ID (less complete row)",IF(U241=1,"Missing Customer ID",IF(V241=1,"Missing Restaurant name",IF(W241=1,"Invalid/outlier quantity",IF(X241=1,"Invalid/outlier unit price",IF(Y241=1,"Discount greater than order value",""))))))))</f>
        <v/>
      </c>
      <c r="AC241" s="7" t="str">
        <f aca="false">IF(AB241="","KEEP","DROP")</f>
        <v>KEEP</v>
      </c>
      <c r="AD241" s="7" t="str">
        <f aca="false">IF(TRIM(F241)="",IFERROR(INDEX(Map_Tables!$I$4:$I$37,MATCH(TRIM(E241),Map_Tables!$G$4:$G$37,0)),""),IFERROR(INDEX(Map_Tables!$B$4:$B$18,MATCH(TRIM(F241),Map_Tables!$A$4:$A$18,0)),"CHECK"))</f>
        <v>Delhi</v>
      </c>
      <c r="AE241" s="7" t="str">
        <f aca="false">IF(TRIM(E241)="","",IFERROR(INDEX(Map_Tables!$H$4:$H$37,MATCH(TRIM(E241),Map_Tables!$G$4:$G$37,0)),"CHECK"))</f>
        <v>Chaat Corner</v>
      </c>
      <c r="AF241" s="7" t="str">
        <f aca="false">IF(TRIM(K241)="","Unknown",IFERROR(INDEX(Map_Tables!$E$4:$E$15,MATCH(TRIM(K241),Map_Tables!$D$4:$D$15,0)),"CHECK"))</f>
        <v>UPI</v>
      </c>
      <c r="AG241" s="7" t="str">
        <f aca="false">IF(LEFT(LOWER(TRIM(L241)),6)="cancel","Cancelled","Delivered")</f>
        <v>Delivered</v>
      </c>
      <c r="AH241" s="10" t="n">
        <f aca="false">IF(ISNUMBER(SEARCH("/",B241)),DATE(VALUE(RIGHT(B241,4)),VALUE(MID(B241,4,2)),VALUE(LEFT(B241,2))),IF(MID(B241,5,1)="-",DATE(VALUE(LEFT(B241,4)),VALUE(MID(B241,6,2)),VALUE(RIGHT(B241,2))),DATE(VALUE(RIGHT(B241,4)),MATCH(MID(B241,4,3),{"Jan","Feb","Mar","Apr","May","Jun","Jul","Aug","Sep","Oct","Nov","Dec"},0),VALUE(LEFT(B241,2)))))</f>
        <v>45949</v>
      </c>
    </row>
    <row r="242" customFormat="false" ht="15" hidden="false" customHeight="false" outlineLevel="0" collapsed="false">
      <c r="A242" s="7" t="s">
        <v>1082</v>
      </c>
      <c r="B242" s="7" t="s">
        <v>1083</v>
      </c>
      <c r="C242" s="7" t="s">
        <v>1084</v>
      </c>
      <c r="D242" s="7" t="s">
        <v>915</v>
      </c>
      <c r="E242" s="7" t="s">
        <v>130</v>
      </c>
      <c r="F242" s="7" t="s">
        <v>110</v>
      </c>
      <c r="G242" s="7" t="s">
        <v>90</v>
      </c>
      <c r="H242" s="7" t="n">
        <v>1</v>
      </c>
      <c r="I242" s="7" t="n">
        <v>255</v>
      </c>
      <c r="J242" s="7" t="n">
        <v>50</v>
      </c>
      <c r="K242" s="7" t="s">
        <v>93</v>
      </c>
      <c r="L242" s="7" t="s">
        <v>194</v>
      </c>
      <c r="M242" s="7" t="n">
        <v>44</v>
      </c>
      <c r="N242" s="7" t="n">
        <v>4</v>
      </c>
      <c r="O242" s="7" t="str">
        <f aca="false">A242&amp;"|"&amp;B242&amp;"|"&amp;C242&amp;"|"&amp;D242&amp;"|"&amp;E242&amp;"|"&amp;F242&amp;"|"&amp;G242&amp;"|"&amp;H242&amp;"|"&amp;I242&amp;"|"&amp;J242&amp;"|"&amp;K242&amp;"|"&amp;L242&amp;"|"&amp;M242&amp;"|"&amp;N242</f>
        <v>ORD11577|25/07/2025|09:13|C0141|Tandoor Tales|Delhi|North Indian|1|255|50|Credit Card|Delivered|44|4</v>
      </c>
      <c r="P242" s="7" t="str">
        <f aca="false">IF(COUNTIF($O$2:O242,O242)&gt;1,"DUP","OK")</f>
        <v>OK</v>
      </c>
      <c r="Q242" s="7" t="n">
        <f aca="false">COUNTBLANK(A242:N242)</f>
        <v>0</v>
      </c>
      <c r="R242" s="7" t="n">
        <f aca="false">IF(A242="",0,COUNTIFS($A$2:$A$3058,A242,$P$2:$P$3058,"OK"))</f>
        <v>1</v>
      </c>
      <c r="S242" s="7" t="str">
        <f aca="false">IF(OR(A242="",P242="DUP",R242&lt;2),"",IF(Q242=_xlfn.MINIFS($Q$2:$Q$3058,$A$2:$A$3058,A242,$P$2:$P$3058,"OK"),"KEEP","DROP"))</f>
        <v/>
      </c>
      <c r="T242" s="9" t="n">
        <f aca="false">IF(A242="",1,0)</f>
        <v>0</v>
      </c>
      <c r="U242" s="9" t="n">
        <f aca="false">IF(D242="",1,0)</f>
        <v>0</v>
      </c>
      <c r="V242" s="9" t="n">
        <f aca="false">IF(E242="",1,0)</f>
        <v>0</v>
      </c>
      <c r="W242" s="9" t="n">
        <f aca="false">IF(OR(H242&lt;1,H242&gt;10),1,0)</f>
        <v>0</v>
      </c>
      <c r="X242" s="9" t="n">
        <f aca="false">IF(OR(I242&lt;=0,I242&gt;1500),1,0)</f>
        <v>0</v>
      </c>
      <c r="Y242" s="9" t="n">
        <f aca="false">IF(J242&gt;H242*I242,1,0)</f>
        <v>0</v>
      </c>
      <c r="Z242" s="9" t="n">
        <f aca="false">IF(AND(N242&lt;&gt;"",OR(N242&lt;1,N242&gt;5)),1,0)</f>
        <v>0</v>
      </c>
      <c r="AA242" s="9" t="n">
        <f aca="false">IF(AND(M242&lt;&gt;"",OR(M242&lt;5,M242&gt;180)),1,0)</f>
        <v>0</v>
      </c>
      <c r="AB242" s="7" t="str">
        <f aca="false">IF(P242="DUP","Exact duplicate row",IF(T242=1,"Missing Order ID",IF(S242="DROP","Duplicate Order ID (less complete row)",IF(U242=1,"Missing Customer ID",IF(V242=1,"Missing Restaurant name",IF(W242=1,"Invalid/outlier quantity",IF(X242=1,"Invalid/outlier unit price",IF(Y242=1,"Discount greater than order value",""))))))))</f>
        <v/>
      </c>
      <c r="AC242" s="7" t="str">
        <f aca="false">IF(AB242="","KEEP","DROP")</f>
        <v>KEEP</v>
      </c>
      <c r="AD242" s="7" t="str">
        <f aca="false">IF(TRIM(F242)="",IFERROR(INDEX(Map_Tables!$I$4:$I$37,MATCH(TRIM(E242),Map_Tables!$G$4:$G$37,0)),""),IFERROR(INDEX(Map_Tables!$B$4:$B$18,MATCH(TRIM(F242),Map_Tables!$A$4:$A$18,0)),"CHECK"))</f>
        <v>Delhi</v>
      </c>
      <c r="AE242" s="7" t="str">
        <f aca="false">IF(TRIM(E242)="","",IFERROR(INDEX(Map_Tables!$H$4:$H$37,MATCH(TRIM(E242),Map_Tables!$G$4:$G$37,0)),"CHECK"))</f>
        <v>Tandoor Tales</v>
      </c>
      <c r="AF242" s="7" t="str">
        <f aca="false">IF(TRIM(K242)="","Unknown",IFERROR(INDEX(Map_Tables!$E$4:$E$15,MATCH(TRIM(K242),Map_Tables!$D$4:$D$15,0)),"CHECK"))</f>
        <v>Credit Card</v>
      </c>
      <c r="AG242" s="7" t="str">
        <f aca="false">IF(LEFT(LOWER(TRIM(L242)),6)="cancel","Cancelled","Delivered")</f>
        <v>Delivered</v>
      </c>
      <c r="AH242" s="10" t="n">
        <f aca="false">IF(ISNUMBER(SEARCH("/",B242)),DATE(VALUE(RIGHT(B242,4)),VALUE(MID(B242,4,2)),VALUE(LEFT(B242,2))),IF(MID(B242,5,1)="-",DATE(VALUE(LEFT(B242,4)),VALUE(MID(B242,6,2)),VALUE(RIGHT(B242,2))),DATE(VALUE(RIGHT(B242,4)),MATCH(MID(B242,4,3),{"Jan","Feb","Mar","Apr","May","Jun","Jul","Aug","Sep","Oct","Nov","Dec"},0),VALUE(LEFT(B242,2)))))</f>
        <v>45863</v>
      </c>
    </row>
    <row r="243" customFormat="false" ht="15" hidden="false" customHeight="false" outlineLevel="0" collapsed="false">
      <c r="A243" s="7" t="s">
        <v>1085</v>
      </c>
      <c r="B243" s="7" t="s">
        <v>1086</v>
      </c>
      <c r="C243" s="7" t="s">
        <v>1087</v>
      </c>
      <c r="D243" s="7" t="s">
        <v>1088</v>
      </c>
      <c r="E243" s="7" t="s">
        <v>113</v>
      </c>
      <c r="F243" s="7" t="s">
        <v>101</v>
      </c>
      <c r="G243" s="7" t="s">
        <v>90</v>
      </c>
      <c r="H243" s="7" t="n">
        <v>2</v>
      </c>
      <c r="I243" s="7" t="n">
        <v>225</v>
      </c>
      <c r="J243" s="7" t="n">
        <v>75</v>
      </c>
      <c r="K243" s="7" t="s">
        <v>93</v>
      </c>
      <c r="L243" s="7" t="s">
        <v>194</v>
      </c>
      <c r="M243" s="7" t="n">
        <v>56</v>
      </c>
      <c r="N243" s="7" t="n">
        <v>2</v>
      </c>
      <c r="O243" s="7" t="str">
        <f aca="false">A243&amp;"|"&amp;B243&amp;"|"&amp;C243&amp;"|"&amp;D243&amp;"|"&amp;E243&amp;"|"&amp;F243&amp;"|"&amp;G243&amp;"|"&amp;H243&amp;"|"&amp;I243&amp;"|"&amp;J243&amp;"|"&amp;K243&amp;"|"&amp;L243&amp;"|"&amp;M243&amp;"|"&amp;N243</f>
        <v>ORD10758|2025-04-06|19:47|C1191|Curry Leaf Kitchen|Mumbai|North Indian|2|225|75|Credit Card|Delivered|56|2</v>
      </c>
      <c r="P243" s="7" t="str">
        <f aca="false">IF(COUNTIF($O$2:O243,O243)&gt;1,"DUP","OK")</f>
        <v>OK</v>
      </c>
      <c r="Q243" s="7" t="n">
        <f aca="false">COUNTBLANK(A243:N243)</f>
        <v>0</v>
      </c>
      <c r="R243" s="7" t="n">
        <f aca="false">IF(A243="",0,COUNTIFS($A$2:$A$3058,A243,$P$2:$P$3058,"OK"))</f>
        <v>1</v>
      </c>
      <c r="S243" s="7" t="str">
        <f aca="false">IF(OR(A243="",P243="DUP",R243&lt;2),"",IF(Q243=_xlfn.MINIFS($Q$2:$Q$3058,$A$2:$A$3058,A243,$P$2:$P$3058,"OK"),"KEEP","DROP"))</f>
        <v/>
      </c>
      <c r="T243" s="9" t="n">
        <f aca="false">IF(A243="",1,0)</f>
        <v>0</v>
      </c>
      <c r="U243" s="9" t="n">
        <f aca="false">IF(D243="",1,0)</f>
        <v>0</v>
      </c>
      <c r="V243" s="9" t="n">
        <f aca="false">IF(E243="",1,0)</f>
        <v>0</v>
      </c>
      <c r="W243" s="9" t="n">
        <f aca="false">IF(OR(H243&lt;1,H243&gt;10),1,0)</f>
        <v>0</v>
      </c>
      <c r="X243" s="9" t="n">
        <f aca="false">IF(OR(I243&lt;=0,I243&gt;1500),1,0)</f>
        <v>0</v>
      </c>
      <c r="Y243" s="9" t="n">
        <f aca="false">IF(J243&gt;H243*I243,1,0)</f>
        <v>0</v>
      </c>
      <c r="Z243" s="9" t="n">
        <f aca="false">IF(AND(N243&lt;&gt;"",OR(N243&lt;1,N243&gt;5)),1,0)</f>
        <v>0</v>
      </c>
      <c r="AA243" s="9" t="n">
        <f aca="false">IF(AND(M243&lt;&gt;"",OR(M243&lt;5,M243&gt;180)),1,0)</f>
        <v>0</v>
      </c>
      <c r="AB243" s="7" t="str">
        <f aca="false">IF(P243="DUP","Exact duplicate row",IF(T243=1,"Missing Order ID",IF(S243="DROP","Duplicate Order ID (less complete row)",IF(U243=1,"Missing Customer ID",IF(V243=1,"Missing Restaurant name",IF(W243=1,"Invalid/outlier quantity",IF(X243=1,"Invalid/outlier unit price",IF(Y243=1,"Discount greater than order value",""))))))))</f>
        <v/>
      </c>
      <c r="AC243" s="7" t="str">
        <f aca="false">IF(AB243="","KEEP","DROP")</f>
        <v>KEEP</v>
      </c>
      <c r="AD243" s="7" t="str">
        <f aca="false">IF(TRIM(F243)="",IFERROR(INDEX(Map_Tables!$I$4:$I$37,MATCH(TRIM(E243),Map_Tables!$G$4:$G$37,0)),""),IFERROR(INDEX(Map_Tables!$B$4:$B$18,MATCH(TRIM(F243),Map_Tables!$A$4:$A$18,0)),"CHECK"))</f>
        <v>Mumbai</v>
      </c>
      <c r="AE243" s="7" t="str">
        <f aca="false">IF(TRIM(E243)="","",IFERROR(INDEX(Map_Tables!$H$4:$H$37,MATCH(TRIM(E243),Map_Tables!$G$4:$G$37,0)),"CHECK"))</f>
        <v>Curry Leaf Kitchen</v>
      </c>
      <c r="AF243" s="7" t="str">
        <f aca="false">IF(TRIM(K243)="","Unknown",IFERROR(INDEX(Map_Tables!$E$4:$E$15,MATCH(TRIM(K243),Map_Tables!$D$4:$D$15,0)),"CHECK"))</f>
        <v>Credit Card</v>
      </c>
      <c r="AG243" s="7" t="str">
        <f aca="false">IF(LEFT(LOWER(TRIM(L243)),6)="cancel","Cancelled","Delivered")</f>
        <v>Delivered</v>
      </c>
      <c r="AH243" s="10" t="n">
        <f aca="false">IF(ISNUMBER(SEARCH("/",B243)),DATE(VALUE(RIGHT(B243,4)),VALUE(MID(B243,4,2)),VALUE(LEFT(B243,2))),IF(MID(B243,5,1)="-",DATE(VALUE(LEFT(B243,4)),VALUE(MID(B243,6,2)),VALUE(RIGHT(B243,2))),DATE(VALUE(RIGHT(B243,4)),MATCH(MID(B243,4,3),{"Jan","Feb","Mar","Apr","May","Jun","Jul","Aug","Sep","Oct","Nov","Dec"},0),VALUE(LEFT(B243,2)))))</f>
        <v>45753</v>
      </c>
    </row>
    <row r="244" customFormat="false" ht="15" hidden="false" customHeight="false" outlineLevel="0" collapsed="false">
      <c r="A244" s="7" t="s">
        <v>1089</v>
      </c>
      <c r="B244" s="7" t="s">
        <v>1090</v>
      </c>
      <c r="C244" s="7" t="s">
        <v>1091</v>
      </c>
      <c r="D244" s="7" t="s">
        <v>784</v>
      </c>
      <c r="E244" s="7" t="s">
        <v>155</v>
      </c>
      <c r="F244" s="7" t="s">
        <v>128</v>
      </c>
      <c r="G244" s="7" t="s">
        <v>156</v>
      </c>
      <c r="H244" s="7" t="n">
        <v>2</v>
      </c>
      <c r="I244" s="7" t="n">
        <v>260</v>
      </c>
      <c r="J244" s="7" t="n">
        <v>20</v>
      </c>
      <c r="K244" s="7" t="s">
        <v>103</v>
      </c>
      <c r="L244" s="7" t="s">
        <v>194</v>
      </c>
      <c r="M244" s="7" t="n">
        <v>35</v>
      </c>
      <c r="N244" s="7" t="n">
        <v>5</v>
      </c>
      <c r="O244" s="7" t="str">
        <f aca="false">A244&amp;"|"&amp;B244&amp;"|"&amp;C244&amp;"|"&amp;D244&amp;"|"&amp;E244&amp;"|"&amp;F244&amp;"|"&amp;G244&amp;"|"&amp;H244&amp;"|"&amp;I244&amp;"|"&amp;J244&amp;"|"&amp;K244&amp;"|"&amp;L244&amp;"|"&amp;M244&amp;"|"&amp;N244</f>
        <v>ORD11885|03/09/2025|10:37|C0674|Green Bowl Kitchen|Chennai|Healthy Food|2|260|20|Debit Card|Delivered|35|5</v>
      </c>
      <c r="P244" s="7" t="str">
        <f aca="false">IF(COUNTIF($O$2:O244,O244)&gt;1,"DUP","OK")</f>
        <v>OK</v>
      </c>
      <c r="Q244" s="7" t="n">
        <f aca="false">COUNTBLANK(A244:N244)</f>
        <v>0</v>
      </c>
      <c r="R244" s="7" t="n">
        <f aca="false">IF(A244="",0,COUNTIFS($A$2:$A$3058,A244,$P$2:$P$3058,"OK"))</f>
        <v>1</v>
      </c>
      <c r="S244" s="7" t="str">
        <f aca="false">IF(OR(A244="",P244="DUP",R244&lt;2),"",IF(Q244=_xlfn.MINIFS($Q$2:$Q$3058,$A$2:$A$3058,A244,$P$2:$P$3058,"OK"),"KEEP","DROP"))</f>
        <v/>
      </c>
      <c r="T244" s="9" t="n">
        <f aca="false">IF(A244="",1,0)</f>
        <v>0</v>
      </c>
      <c r="U244" s="9" t="n">
        <f aca="false">IF(D244="",1,0)</f>
        <v>0</v>
      </c>
      <c r="V244" s="9" t="n">
        <f aca="false">IF(E244="",1,0)</f>
        <v>0</v>
      </c>
      <c r="W244" s="9" t="n">
        <f aca="false">IF(OR(H244&lt;1,H244&gt;10),1,0)</f>
        <v>0</v>
      </c>
      <c r="X244" s="9" t="n">
        <f aca="false">IF(OR(I244&lt;=0,I244&gt;1500),1,0)</f>
        <v>0</v>
      </c>
      <c r="Y244" s="9" t="n">
        <f aca="false">IF(J244&gt;H244*I244,1,0)</f>
        <v>0</v>
      </c>
      <c r="Z244" s="9" t="n">
        <f aca="false">IF(AND(N244&lt;&gt;"",OR(N244&lt;1,N244&gt;5)),1,0)</f>
        <v>0</v>
      </c>
      <c r="AA244" s="9" t="n">
        <f aca="false">IF(AND(M244&lt;&gt;"",OR(M244&lt;5,M244&gt;180)),1,0)</f>
        <v>0</v>
      </c>
      <c r="AB244" s="7" t="str">
        <f aca="false">IF(P244="DUP","Exact duplicate row",IF(T244=1,"Missing Order ID",IF(S244="DROP","Duplicate Order ID (less complete row)",IF(U244=1,"Missing Customer ID",IF(V244=1,"Missing Restaurant name",IF(W244=1,"Invalid/outlier quantity",IF(X244=1,"Invalid/outlier unit price",IF(Y244=1,"Discount greater than order value",""))))))))</f>
        <v/>
      </c>
      <c r="AC244" s="7" t="str">
        <f aca="false">IF(AB244="","KEEP","DROP")</f>
        <v>KEEP</v>
      </c>
      <c r="AD244" s="7" t="str">
        <f aca="false">IF(TRIM(F244)="",IFERROR(INDEX(Map_Tables!$I$4:$I$37,MATCH(TRIM(E244),Map_Tables!$G$4:$G$37,0)),""),IFERROR(INDEX(Map_Tables!$B$4:$B$18,MATCH(TRIM(F244),Map_Tables!$A$4:$A$18,0)),"CHECK"))</f>
        <v>Chennai</v>
      </c>
      <c r="AE244" s="7" t="str">
        <f aca="false">IF(TRIM(E244)="","",IFERROR(INDEX(Map_Tables!$H$4:$H$37,MATCH(TRIM(E244),Map_Tables!$G$4:$G$37,0)),"CHECK"))</f>
        <v>Green Bowl Kitchen</v>
      </c>
      <c r="AF244" s="7" t="str">
        <f aca="false">IF(TRIM(K244)="","Unknown",IFERROR(INDEX(Map_Tables!$E$4:$E$15,MATCH(TRIM(K244),Map_Tables!$D$4:$D$15,0)),"CHECK"))</f>
        <v>Debit Card</v>
      </c>
      <c r="AG244" s="7" t="str">
        <f aca="false">IF(LEFT(LOWER(TRIM(L244)),6)="cancel","Cancelled","Delivered")</f>
        <v>Delivered</v>
      </c>
      <c r="AH244" s="10" t="n">
        <f aca="false">IF(ISNUMBER(SEARCH("/",B244)),DATE(VALUE(RIGHT(B244,4)),VALUE(MID(B244,4,2)),VALUE(LEFT(B244,2))),IF(MID(B244,5,1)="-",DATE(VALUE(LEFT(B244,4)),VALUE(MID(B244,6,2)),VALUE(RIGHT(B244,2))),DATE(VALUE(RIGHT(B244,4)),MATCH(MID(B244,4,3),{"Jan","Feb","Mar","Apr","May","Jun","Jul","Aug","Sep","Oct","Nov","Dec"},0),VALUE(LEFT(B244,2)))))</f>
        <v>45903</v>
      </c>
    </row>
    <row r="245" customFormat="false" ht="15" hidden="false" customHeight="false" outlineLevel="0" collapsed="false">
      <c r="A245" s="7" t="s">
        <v>1092</v>
      </c>
      <c r="B245" s="7" t="s">
        <v>1079</v>
      </c>
      <c r="C245" s="7" t="s">
        <v>218</v>
      </c>
      <c r="D245" s="7" t="s">
        <v>1093</v>
      </c>
      <c r="E245" s="7" t="s">
        <v>1094</v>
      </c>
      <c r="F245" s="7" t="s">
        <v>110</v>
      </c>
      <c r="G245" s="7" t="s">
        <v>139</v>
      </c>
      <c r="H245" s="7" t="n">
        <v>3</v>
      </c>
      <c r="I245" s="7" t="n">
        <v>175</v>
      </c>
      <c r="J245" s="7" t="n">
        <v>20</v>
      </c>
      <c r="K245" s="7" t="s">
        <v>112</v>
      </c>
      <c r="L245" s="7" t="s">
        <v>194</v>
      </c>
      <c r="M245" s="7" t="n">
        <v>46</v>
      </c>
      <c r="N245" s="7"/>
      <c r="O245" s="7" t="str">
        <f aca="false">A245&amp;"|"&amp;B245&amp;"|"&amp;C245&amp;"|"&amp;D245&amp;"|"&amp;E245&amp;"|"&amp;F245&amp;"|"&amp;G245&amp;"|"&amp;H245&amp;"|"&amp;I245&amp;"|"&amp;J245&amp;"|"&amp;K245&amp;"|"&amp;L245&amp;"|"&amp;M245&amp;"|"&amp;N245</f>
        <v>ORD12315|2025-10-19|12:48|C0057|BURGER BARN|Delhi|Burgers|3|175|20|Cash on Delivery|Delivered|46|</v>
      </c>
      <c r="P245" s="7" t="str">
        <f aca="false">IF(COUNTIF($O$2:O245,O245)&gt;1,"DUP","OK")</f>
        <v>OK</v>
      </c>
      <c r="Q245" s="7" t="n">
        <f aca="false">COUNTBLANK(A245:N245)</f>
        <v>1</v>
      </c>
      <c r="R245" s="7" t="n">
        <f aca="false">IF(A245="",0,COUNTIFS($A$2:$A$3058,A245,$P$2:$P$3058,"OK"))</f>
        <v>1</v>
      </c>
      <c r="S245" s="7" t="str">
        <f aca="false">IF(OR(A245="",P245="DUP",R245&lt;2),"",IF(Q245=_xlfn.MINIFS($Q$2:$Q$3058,$A$2:$A$3058,A245,$P$2:$P$3058,"OK"),"KEEP","DROP"))</f>
        <v/>
      </c>
      <c r="T245" s="9" t="n">
        <f aca="false">IF(A245="",1,0)</f>
        <v>0</v>
      </c>
      <c r="U245" s="9" t="n">
        <f aca="false">IF(D245="",1,0)</f>
        <v>0</v>
      </c>
      <c r="V245" s="9" t="n">
        <f aca="false">IF(E245="",1,0)</f>
        <v>0</v>
      </c>
      <c r="W245" s="9" t="n">
        <f aca="false">IF(OR(H245&lt;1,H245&gt;10),1,0)</f>
        <v>0</v>
      </c>
      <c r="X245" s="9" t="n">
        <f aca="false">IF(OR(I245&lt;=0,I245&gt;1500),1,0)</f>
        <v>0</v>
      </c>
      <c r="Y245" s="9" t="n">
        <f aca="false">IF(J245&gt;H245*I245,1,0)</f>
        <v>0</v>
      </c>
      <c r="Z245" s="9" t="n">
        <f aca="false">IF(AND(N245&lt;&gt;"",OR(N245&lt;1,N245&gt;5)),1,0)</f>
        <v>0</v>
      </c>
      <c r="AA245" s="9" t="n">
        <f aca="false">IF(AND(M245&lt;&gt;"",OR(M245&lt;5,M245&gt;180)),1,0)</f>
        <v>0</v>
      </c>
      <c r="AB245" s="7" t="str">
        <f aca="false">IF(P245="DUP","Exact duplicate row",IF(T245=1,"Missing Order ID",IF(S245="DROP","Duplicate Order ID (less complete row)",IF(U245=1,"Missing Customer ID",IF(V245=1,"Missing Restaurant name",IF(W245=1,"Invalid/outlier quantity",IF(X245=1,"Invalid/outlier unit price",IF(Y245=1,"Discount greater than order value",""))))))))</f>
        <v/>
      </c>
      <c r="AC245" s="7" t="str">
        <f aca="false">IF(AB245="","KEEP","DROP")</f>
        <v>KEEP</v>
      </c>
      <c r="AD245" s="7" t="str">
        <f aca="false">IF(TRIM(F245)="",IFERROR(INDEX(Map_Tables!$I$4:$I$37,MATCH(TRIM(E245),Map_Tables!$G$4:$G$37,0)),""),IFERROR(INDEX(Map_Tables!$B$4:$B$18,MATCH(TRIM(F245),Map_Tables!$A$4:$A$18,0)),"CHECK"))</f>
        <v>Delhi</v>
      </c>
      <c r="AE245" s="7" t="str">
        <f aca="false">IF(TRIM(E245)="","",IFERROR(INDEX(Map_Tables!$H$4:$H$37,MATCH(TRIM(E245),Map_Tables!$G$4:$G$37,0)),"CHECK"))</f>
        <v>Burger Barn</v>
      </c>
      <c r="AF245" s="7" t="str">
        <f aca="false">IF(TRIM(K245)="","Unknown",IFERROR(INDEX(Map_Tables!$E$4:$E$15,MATCH(TRIM(K245),Map_Tables!$D$4:$D$15,0)),"CHECK"))</f>
        <v>Cash on Delivery</v>
      </c>
      <c r="AG245" s="7" t="str">
        <f aca="false">IF(LEFT(LOWER(TRIM(L245)),6)="cancel","Cancelled","Delivered")</f>
        <v>Delivered</v>
      </c>
      <c r="AH245" s="10" t="n">
        <f aca="false">IF(ISNUMBER(SEARCH("/",B245)),DATE(VALUE(RIGHT(B245,4)),VALUE(MID(B245,4,2)),VALUE(LEFT(B245,2))),IF(MID(B245,5,1)="-",DATE(VALUE(LEFT(B245,4)),VALUE(MID(B245,6,2)),VALUE(RIGHT(B245,2))),DATE(VALUE(RIGHT(B245,4)),MATCH(MID(B245,4,3),{"Jan","Feb","Mar","Apr","May","Jun","Jul","Aug","Sep","Oct","Nov","Dec"},0),VALUE(LEFT(B245,2)))))</f>
        <v>45949</v>
      </c>
    </row>
    <row r="246" customFormat="false" ht="15" hidden="false" customHeight="false" outlineLevel="0" collapsed="false">
      <c r="A246" s="7" t="s">
        <v>1095</v>
      </c>
      <c r="B246" s="7" t="s">
        <v>1096</v>
      </c>
      <c r="C246" s="7" t="s">
        <v>478</v>
      </c>
      <c r="D246" s="7" t="s">
        <v>1097</v>
      </c>
      <c r="E246" s="7" t="s">
        <v>1098</v>
      </c>
      <c r="F246" s="7" t="s">
        <v>86</v>
      </c>
      <c r="G246" s="7" t="s">
        <v>90</v>
      </c>
      <c r="H246" s="7" t="n">
        <v>1</v>
      </c>
      <c r="I246" s="7" t="n">
        <v>230</v>
      </c>
      <c r="J246" s="7" t="n">
        <v>0</v>
      </c>
      <c r="K246" s="7" t="s">
        <v>88</v>
      </c>
      <c r="L246" s="7" t="s">
        <v>194</v>
      </c>
      <c r="M246" s="7" t="n">
        <v>49</v>
      </c>
      <c r="N246" s="7" t="n">
        <v>4</v>
      </c>
      <c r="O246" s="7" t="str">
        <f aca="false">A246&amp;"|"&amp;B246&amp;"|"&amp;C246&amp;"|"&amp;D246&amp;"|"&amp;E246&amp;"|"&amp;F246&amp;"|"&amp;G246&amp;"|"&amp;H246&amp;"|"&amp;I246&amp;"|"&amp;J246&amp;"|"&amp;K246&amp;"|"&amp;L246&amp;"|"&amp;M246&amp;"|"&amp;N246</f>
        <v>ORD12375|2025-10-26|20:03|C1078|SPICE JUNCTION|Bengaluru|North Indian|1|230|0|UPI|Delivered|49|4</v>
      </c>
      <c r="P246" s="7" t="str">
        <f aca="false">IF(COUNTIF($O$2:O246,O246)&gt;1,"DUP","OK")</f>
        <v>OK</v>
      </c>
      <c r="Q246" s="7" t="n">
        <f aca="false">COUNTBLANK(A246:N246)</f>
        <v>0</v>
      </c>
      <c r="R246" s="7" t="n">
        <f aca="false">IF(A246="",0,COUNTIFS($A$2:$A$3058,A246,$P$2:$P$3058,"OK"))</f>
        <v>1</v>
      </c>
      <c r="S246" s="7" t="str">
        <f aca="false">IF(OR(A246="",P246="DUP",R246&lt;2),"",IF(Q246=_xlfn.MINIFS($Q$2:$Q$3058,$A$2:$A$3058,A246,$P$2:$P$3058,"OK"),"KEEP","DROP"))</f>
        <v/>
      </c>
      <c r="T246" s="9" t="n">
        <f aca="false">IF(A246="",1,0)</f>
        <v>0</v>
      </c>
      <c r="U246" s="9" t="n">
        <f aca="false">IF(D246="",1,0)</f>
        <v>0</v>
      </c>
      <c r="V246" s="9" t="n">
        <f aca="false">IF(E246="",1,0)</f>
        <v>0</v>
      </c>
      <c r="W246" s="9" t="n">
        <f aca="false">IF(OR(H246&lt;1,H246&gt;10),1,0)</f>
        <v>0</v>
      </c>
      <c r="X246" s="9" t="n">
        <f aca="false">IF(OR(I246&lt;=0,I246&gt;1500),1,0)</f>
        <v>0</v>
      </c>
      <c r="Y246" s="9" t="n">
        <f aca="false">IF(J246&gt;H246*I246,1,0)</f>
        <v>0</v>
      </c>
      <c r="Z246" s="9" t="n">
        <f aca="false">IF(AND(N246&lt;&gt;"",OR(N246&lt;1,N246&gt;5)),1,0)</f>
        <v>0</v>
      </c>
      <c r="AA246" s="9" t="n">
        <f aca="false">IF(AND(M246&lt;&gt;"",OR(M246&lt;5,M246&gt;180)),1,0)</f>
        <v>0</v>
      </c>
      <c r="AB246" s="7" t="str">
        <f aca="false">IF(P246="DUP","Exact duplicate row",IF(T246=1,"Missing Order ID",IF(S246="DROP","Duplicate Order ID (less complete row)",IF(U246=1,"Missing Customer ID",IF(V246=1,"Missing Restaurant name",IF(W246=1,"Invalid/outlier quantity",IF(X246=1,"Invalid/outlier unit price",IF(Y246=1,"Discount greater than order value",""))))))))</f>
        <v/>
      </c>
      <c r="AC246" s="7" t="str">
        <f aca="false">IF(AB246="","KEEP","DROP")</f>
        <v>KEEP</v>
      </c>
      <c r="AD246" s="7" t="str">
        <f aca="false">IF(TRIM(F246)="",IFERROR(INDEX(Map_Tables!$I$4:$I$37,MATCH(TRIM(E246),Map_Tables!$G$4:$G$37,0)),""),IFERROR(INDEX(Map_Tables!$B$4:$B$18,MATCH(TRIM(F246),Map_Tables!$A$4:$A$18,0)),"CHECK"))</f>
        <v>Bengaluru</v>
      </c>
      <c r="AE246" s="7" t="str">
        <f aca="false">IF(TRIM(E246)="","",IFERROR(INDEX(Map_Tables!$H$4:$H$37,MATCH(TRIM(E246),Map_Tables!$G$4:$G$37,0)),"CHECK"))</f>
        <v>Spice Junction</v>
      </c>
      <c r="AF246" s="7" t="str">
        <f aca="false">IF(TRIM(K246)="","Unknown",IFERROR(INDEX(Map_Tables!$E$4:$E$15,MATCH(TRIM(K246),Map_Tables!$D$4:$D$15,0)),"CHECK"))</f>
        <v>UPI</v>
      </c>
      <c r="AG246" s="7" t="str">
        <f aca="false">IF(LEFT(LOWER(TRIM(L246)),6)="cancel","Cancelled","Delivered")</f>
        <v>Delivered</v>
      </c>
      <c r="AH246" s="10" t="n">
        <f aca="false">IF(ISNUMBER(SEARCH("/",B246)),DATE(VALUE(RIGHT(B246,4)),VALUE(MID(B246,4,2)),VALUE(LEFT(B246,2))),IF(MID(B246,5,1)="-",DATE(VALUE(LEFT(B246,4)),VALUE(MID(B246,6,2)),VALUE(RIGHT(B246,2))),DATE(VALUE(RIGHT(B246,4)),MATCH(MID(B246,4,3),{"Jan","Feb","Mar","Apr","May","Jun","Jul","Aug","Sep","Oct","Nov","Dec"},0),VALUE(LEFT(B246,2)))))</f>
        <v>45956</v>
      </c>
    </row>
    <row r="247" customFormat="false" ht="15" hidden="false" customHeight="false" outlineLevel="0" collapsed="false">
      <c r="A247" s="7" t="s">
        <v>1099</v>
      </c>
      <c r="B247" s="7" t="s">
        <v>1100</v>
      </c>
      <c r="C247" s="7" t="s">
        <v>1101</v>
      </c>
      <c r="D247" s="7" t="s">
        <v>1102</v>
      </c>
      <c r="E247" s="7" t="s">
        <v>89</v>
      </c>
      <c r="F247" s="7" t="s">
        <v>86</v>
      </c>
      <c r="G247" s="7" t="s">
        <v>90</v>
      </c>
      <c r="H247" s="7" t="n">
        <v>3</v>
      </c>
      <c r="I247" s="7" t="n">
        <v>195</v>
      </c>
      <c r="J247" s="7" t="n">
        <v>50</v>
      </c>
      <c r="K247" s="7" t="s">
        <v>88</v>
      </c>
      <c r="L247" s="7" t="s">
        <v>194</v>
      </c>
      <c r="M247" s="7" t="n">
        <v>40</v>
      </c>
      <c r="N247" s="7"/>
      <c r="O247" s="7" t="str">
        <f aca="false">A247&amp;"|"&amp;B247&amp;"|"&amp;C247&amp;"|"&amp;D247&amp;"|"&amp;E247&amp;"|"&amp;F247&amp;"|"&amp;G247&amp;"|"&amp;H247&amp;"|"&amp;I247&amp;"|"&amp;J247&amp;"|"&amp;K247&amp;"|"&amp;L247&amp;"|"&amp;M247&amp;"|"&amp;N247</f>
        <v>ORD11990|14-Sep-2025|19:59|C0538|Spice Junction|Bengaluru|North Indian|3|195|50|UPI|Delivered|40|</v>
      </c>
      <c r="P247" s="7" t="str">
        <f aca="false">IF(COUNTIF($O$2:O247,O247)&gt;1,"DUP","OK")</f>
        <v>OK</v>
      </c>
      <c r="Q247" s="7" t="n">
        <f aca="false">COUNTBLANK(A247:N247)</f>
        <v>1</v>
      </c>
      <c r="R247" s="7" t="n">
        <f aca="false">IF(A247="",0,COUNTIFS($A$2:$A$3058,A247,$P$2:$P$3058,"OK"))</f>
        <v>1</v>
      </c>
      <c r="S247" s="7" t="str">
        <f aca="false">IF(OR(A247="",P247="DUP",R247&lt;2),"",IF(Q247=_xlfn.MINIFS($Q$2:$Q$3058,$A$2:$A$3058,A247,$P$2:$P$3058,"OK"),"KEEP","DROP"))</f>
        <v/>
      </c>
      <c r="T247" s="9" t="n">
        <f aca="false">IF(A247="",1,0)</f>
        <v>0</v>
      </c>
      <c r="U247" s="9" t="n">
        <f aca="false">IF(D247="",1,0)</f>
        <v>0</v>
      </c>
      <c r="V247" s="9" t="n">
        <f aca="false">IF(E247="",1,0)</f>
        <v>0</v>
      </c>
      <c r="W247" s="9" t="n">
        <f aca="false">IF(OR(H247&lt;1,H247&gt;10),1,0)</f>
        <v>0</v>
      </c>
      <c r="X247" s="9" t="n">
        <f aca="false">IF(OR(I247&lt;=0,I247&gt;1500),1,0)</f>
        <v>0</v>
      </c>
      <c r="Y247" s="9" t="n">
        <f aca="false">IF(J247&gt;H247*I247,1,0)</f>
        <v>0</v>
      </c>
      <c r="Z247" s="9" t="n">
        <f aca="false">IF(AND(N247&lt;&gt;"",OR(N247&lt;1,N247&gt;5)),1,0)</f>
        <v>0</v>
      </c>
      <c r="AA247" s="9" t="n">
        <f aca="false">IF(AND(M247&lt;&gt;"",OR(M247&lt;5,M247&gt;180)),1,0)</f>
        <v>0</v>
      </c>
      <c r="AB247" s="7" t="str">
        <f aca="false">IF(P247="DUP","Exact duplicate row",IF(T247=1,"Missing Order ID",IF(S247="DROP","Duplicate Order ID (less complete row)",IF(U247=1,"Missing Customer ID",IF(V247=1,"Missing Restaurant name",IF(W247=1,"Invalid/outlier quantity",IF(X247=1,"Invalid/outlier unit price",IF(Y247=1,"Discount greater than order value",""))))))))</f>
        <v/>
      </c>
      <c r="AC247" s="7" t="str">
        <f aca="false">IF(AB247="","KEEP","DROP")</f>
        <v>KEEP</v>
      </c>
      <c r="AD247" s="7" t="str">
        <f aca="false">IF(TRIM(F247)="",IFERROR(INDEX(Map_Tables!$I$4:$I$37,MATCH(TRIM(E247),Map_Tables!$G$4:$G$37,0)),""),IFERROR(INDEX(Map_Tables!$B$4:$B$18,MATCH(TRIM(F247),Map_Tables!$A$4:$A$18,0)),"CHECK"))</f>
        <v>Bengaluru</v>
      </c>
      <c r="AE247" s="7" t="str">
        <f aca="false">IF(TRIM(E247)="","",IFERROR(INDEX(Map_Tables!$H$4:$H$37,MATCH(TRIM(E247),Map_Tables!$G$4:$G$37,0)),"CHECK"))</f>
        <v>Spice Junction</v>
      </c>
      <c r="AF247" s="7" t="str">
        <f aca="false">IF(TRIM(K247)="","Unknown",IFERROR(INDEX(Map_Tables!$E$4:$E$15,MATCH(TRIM(K247),Map_Tables!$D$4:$D$15,0)),"CHECK"))</f>
        <v>UPI</v>
      </c>
      <c r="AG247" s="7" t="str">
        <f aca="false">IF(LEFT(LOWER(TRIM(L247)),6)="cancel","Cancelled","Delivered")</f>
        <v>Delivered</v>
      </c>
      <c r="AH247" s="10" t="n">
        <f aca="false">IF(ISNUMBER(SEARCH("/",B247)),DATE(VALUE(RIGHT(B247,4)),VALUE(MID(B247,4,2)),VALUE(LEFT(B247,2))),IF(MID(B247,5,1)="-",DATE(VALUE(LEFT(B247,4)),VALUE(MID(B247,6,2)),VALUE(RIGHT(B247,2))),DATE(VALUE(RIGHT(B247,4)),MATCH(MID(B247,4,3),{"Jan","Feb","Mar","Apr","May","Jun","Jul","Aug","Sep","Oct","Nov","Dec"},0),VALUE(LEFT(B247,2)))))</f>
        <v>45914</v>
      </c>
    </row>
    <row r="248" customFormat="false" ht="15" hidden="false" customHeight="false" outlineLevel="0" collapsed="false">
      <c r="A248" s="7" t="s">
        <v>1103</v>
      </c>
      <c r="B248" s="7" t="s">
        <v>1104</v>
      </c>
      <c r="C248" s="7" t="s">
        <v>1105</v>
      </c>
      <c r="D248" s="7" t="s">
        <v>1106</v>
      </c>
      <c r="E248" s="7" t="s">
        <v>149</v>
      </c>
      <c r="F248" s="7" t="s">
        <v>119</v>
      </c>
      <c r="G248" s="7" t="s">
        <v>150</v>
      </c>
      <c r="H248" s="7" t="n">
        <v>1</v>
      </c>
      <c r="I248" s="7" t="n">
        <v>145</v>
      </c>
      <c r="J248" s="7" t="n">
        <v>58</v>
      </c>
      <c r="K248" s="7" t="s">
        <v>93</v>
      </c>
      <c r="L248" s="7" t="s">
        <v>194</v>
      </c>
      <c r="M248" s="7" t="n">
        <v>32</v>
      </c>
      <c r="N248" s="7" t="n">
        <v>3</v>
      </c>
      <c r="O248" s="7" t="str">
        <f aca="false">A248&amp;"|"&amp;B248&amp;"|"&amp;C248&amp;"|"&amp;D248&amp;"|"&amp;E248&amp;"|"&amp;F248&amp;"|"&amp;G248&amp;"|"&amp;H248&amp;"|"&amp;I248&amp;"|"&amp;J248&amp;"|"&amp;K248&amp;"|"&amp;L248&amp;"|"&amp;M248&amp;"|"&amp;N248</f>
        <v>ORD10475|2025-03-04|22:07|C0081|Sweet Tooth Studio|Hyderabad|Desserts|1|145|58|Credit Card|Delivered|32|3</v>
      </c>
      <c r="P248" s="7" t="str">
        <f aca="false">IF(COUNTIF($O$2:O248,O248)&gt;1,"DUP","OK")</f>
        <v>OK</v>
      </c>
      <c r="Q248" s="7" t="n">
        <f aca="false">COUNTBLANK(A248:N248)</f>
        <v>0</v>
      </c>
      <c r="R248" s="7" t="n">
        <f aca="false">IF(A248="",0,COUNTIFS($A$2:$A$3058,A248,$P$2:$P$3058,"OK"))</f>
        <v>1</v>
      </c>
      <c r="S248" s="7" t="str">
        <f aca="false">IF(OR(A248="",P248="DUP",R248&lt;2),"",IF(Q248=_xlfn.MINIFS($Q$2:$Q$3058,$A$2:$A$3058,A248,$P$2:$P$3058,"OK"),"KEEP","DROP"))</f>
        <v/>
      </c>
      <c r="T248" s="9" t="n">
        <f aca="false">IF(A248="",1,0)</f>
        <v>0</v>
      </c>
      <c r="U248" s="9" t="n">
        <f aca="false">IF(D248="",1,0)</f>
        <v>0</v>
      </c>
      <c r="V248" s="9" t="n">
        <f aca="false">IF(E248="",1,0)</f>
        <v>0</v>
      </c>
      <c r="W248" s="9" t="n">
        <f aca="false">IF(OR(H248&lt;1,H248&gt;10),1,0)</f>
        <v>0</v>
      </c>
      <c r="X248" s="9" t="n">
        <f aca="false">IF(OR(I248&lt;=0,I248&gt;1500),1,0)</f>
        <v>0</v>
      </c>
      <c r="Y248" s="9" t="n">
        <f aca="false">IF(J248&gt;H248*I248,1,0)</f>
        <v>0</v>
      </c>
      <c r="Z248" s="9" t="n">
        <f aca="false">IF(AND(N248&lt;&gt;"",OR(N248&lt;1,N248&gt;5)),1,0)</f>
        <v>0</v>
      </c>
      <c r="AA248" s="9" t="n">
        <f aca="false">IF(AND(M248&lt;&gt;"",OR(M248&lt;5,M248&gt;180)),1,0)</f>
        <v>0</v>
      </c>
      <c r="AB248" s="7" t="str">
        <f aca="false">IF(P248="DUP","Exact duplicate row",IF(T248=1,"Missing Order ID",IF(S248="DROP","Duplicate Order ID (less complete row)",IF(U248=1,"Missing Customer ID",IF(V248=1,"Missing Restaurant name",IF(W248=1,"Invalid/outlier quantity",IF(X248=1,"Invalid/outlier unit price",IF(Y248=1,"Discount greater than order value",""))))))))</f>
        <v/>
      </c>
      <c r="AC248" s="7" t="str">
        <f aca="false">IF(AB248="","KEEP","DROP")</f>
        <v>KEEP</v>
      </c>
      <c r="AD248" s="7" t="str">
        <f aca="false">IF(TRIM(F248)="",IFERROR(INDEX(Map_Tables!$I$4:$I$37,MATCH(TRIM(E248),Map_Tables!$G$4:$G$37,0)),""),IFERROR(INDEX(Map_Tables!$B$4:$B$18,MATCH(TRIM(F248),Map_Tables!$A$4:$A$18,0)),"CHECK"))</f>
        <v>Hyderabad</v>
      </c>
      <c r="AE248" s="7" t="str">
        <f aca="false">IF(TRIM(E248)="","",IFERROR(INDEX(Map_Tables!$H$4:$H$37,MATCH(TRIM(E248),Map_Tables!$G$4:$G$37,0)),"CHECK"))</f>
        <v>Sweet Tooth Studio</v>
      </c>
      <c r="AF248" s="7" t="str">
        <f aca="false">IF(TRIM(K248)="","Unknown",IFERROR(INDEX(Map_Tables!$E$4:$E$15,MATCH(TRIM(K248),Map_Tables!$D$4:$D$15,0)),"CHECK"))</f>
        <v>Credit Card</v>
      </c>
      <c r="AG248" s="7" t="str">
        <f aca="false">IF(LEFT(LOWER(TRIM(L248)),6)="cancel","Cancelled","Delivered")</f>
        <v>Delivered</v>
      </c>
      <c r="AH248" s="10" t="n">
        <f aca="false">IF(ISNUMBER(SEARCH("/",B248)),DATE(VALUE(RIGHT(B248,4)),VALUE(MID(B248,4,2)),VALUE(LEFT(B248,2))),IF(MID(B248,5,1)="-",DATE(VALUE(LEFT(B248,4)),VALUE(MID(B248,6,2)),VALUE(RIGHT(B248,2))),DATE(VALUE(RIGHT(B248,4)),MATCH(MID(B248,4,3),{"Jan","Feb","Mar","Apr","May","Jun","Jul","Aug","Sep","Oct","Nov","Dec"},0),VALUE(LEFT(B248,2)))))</f>
        <v>45720</v>
      </c>
    </row>
    <row r="249" customFormat="false" ht="15" hidden="false" customHeight="false" outlineLevel="0" collapsed="false">
      <c r="A249" s="7" t="s">
        <v>1107</v>
      </c>
      <c r="B249" s="7" t="s">
        <v>1108</v>
      </c>
      <c r="C249" s="7" t="s">
        <v>1109</v>
      </c>
      <c r="D249" s="7" t="s">
        <v>1110</v>
      </c>
      <c r="E249" s="7" t="s">
        <v>98</v>
      </c>
      <c r="F249" s="7" t="s">
        <v>785</v>
      </c>
      <c r="G249" s="7" t="s">
        <v>99</v>
      </c>
      <c r="H249" s="7" t="n">
        <v>1</v>
      </c>
      <c r="I249" s="7" t="n">
        <v>220</v>
      </c>
      <c r="J249" s="7" t="n">
        <v>88</v>
      </c>
      <c r="K249" s="7" t="s">
        <v>93</v>
      </c>
      <c r="L249" s="7" t="s">
        <v>194</v>
      </c>
      <c r="M249" s="7" t="n">
        <v>37</v>
      </c>
      <c r="N249" s="7" t="n">
        <v>5</v>
      </c>
      <c r="O249" s="7" t="str">
        <f aca="false">A249&amp;"|"&amp;B249&amp;"|"&amp;C249&amp;"|"&amp;D249&amp;"|"&amp;E249&amp;"|"&amp;F249&amp;"|"&amp;G249&amp;"|"&amp;H249&amp;"|"&amp;I249&amp;"|"&amp;J249&amp;"|"&amp;K249&amp;"|"&amp;L249&amp;"|"&amp;M249&amp;"|"&amp;N249</f>
        <v>ORD12614|2025-11-19|17:48|C1252|Nawabi Biryani House|Bengaluru |Biryani|1|220|88|Credit Card|Delivered|37|5</v>
      </c>
      <c r="P249" s="7" t="str">
        <f aca="false">IF(COUNTIF($O$2:O249,O249)&gt;1,"DUP","OK")</f>
        <v>OK</v>
      </c>
      <c r="Q249" s="7" t="n">
        <f aca="false">COUNTBLANK(A249:N249)</f>
        <v>0</v>
      </c>
      <c r="R249" s="7" t="n">
        <f aca="false">IF(A249="",0,COUNTIFS($A$2:$A$3058,A249,$P$2:$P$3058,"OK"))</f>
        <v>1</v>
      </c>
      <c r="S249" s="7" t="str">
        <f aca="false">IF(OR(A249="",P249="DUP",R249&lt;2),"",IF(Q249=_xlfn.MINIFS($Q$2:$Q$3058,$A$2:$A$3058,A249,$P$2:$P$3058,"OK"),"KEEP","DROP"))</f>
        <v/>
      </c>
      <c r="T249" s="9" t="n">
        <f aca="false">IF(A249="",1,0)</f>
        <v>0</v>
      </c>
      <c r="U249" s="9" t="n">
        <f aca="false">IF(D249="",1,0)</f>
        <v>0</v>
      </c>
      <c r="V249" s="9" t="n">
        <f aca="false">IF(E249="",1,0)</f>
        <v>0</v>
      </c>
      <c r="W249" s="9" t="n">
        <f aca="false">IF(OR(H249&lt;1,H249&gt;10),1,0)</f>
        <v>0</v>
      </c>
      <c r="X249" s="9" t="n">
        <f aca="false">IF(OR(I249&lt;=0,I249&gt;1500),1,0)</f>
        <v>0</v>
      </c>
      <c r="Y249" s="9" t="n">
        <f aca="false">IF(J249&gt;H249*I249,1,0)</f>
        <v>0</v>
      </c>
      <c r="Z249" s="9" t="n">
        <f aca="false">IF(AND(N249&lt;&gt;"",OR(N249&lt;1,N249&gt;5)),1,0)</f>
        <v>0</v>
      </c>
      <c r="AA249" s="9" t="n">
        <f aca="false">IF(AND(M249&lt;&gt;"",OR(M249&lt;5,M249&gt;180)),1,0)</f>
        <v>0</v>
      </c>
      <c r="AB249" s="7" t="str">
        <f aca="false">IF(P249="DUP","Exact duplicate row",IF(T249=1,"Missing Order ID",IF(S249="DROP","Duplicate Order ID (less complete row)",IF(U249=1,"Missing Customer ID",IF(V249=1,"Missing Restaurant name",IF(W249=1,"Invalid/outlier quantity",IF(X249=1,"Invalid/outlier unit price",IF(Y249=1,"Discount greater than order value",""))))))))</f>
        <v/>
      </c>
      <c r="AC249" s="7" t="str">
        <f aca="false">IF(AB249="","KEEP","DROP")</f>
        <v>KEEP</v>
      </c>
      <c r="AD249" s="7" t="str">
        <f aca="false">IF(TRIM(F249)="",IFERROR(INDEX(Map_Tables!$I$4:$I$37,MATCH(TRIM(E249),Map_Tables!$G$4:$G$37,0)),""),IFERROR(INDEX(Map_Tables!$B$4:$B$18,MATCH(TRIM(F249),Map_Tables!$A$4:$A$18,0)),"CHECK"))</f>
        <v>Bengaluru</v>
      </c>
      <c r="AE249" s="7" t="str">
        <f aca="false">IF(TRIM(E249)="","",IFERROR(INDEX(Map_Tables!$H$4:$H$37,MATCH(TRIM(E249),Map_Tables!$G$4:$G$37,0)),"CHECK"))</f>
        <v>Nawabi Biryani House</v>
      </c>
      <c r="AF249" s="7" t="str">
        <f aca="false">IF(TRIM(K249)="","Unknown",IFERROR(INDEX(Map_Tables!$E$4:$E$15,MATCH(TRIM(K249),Map_Tables!$D$4:$D$15,0)),"CHECK"))</f>
        <v>Credit Card</v>
      </c>
      <c r="AG249" s="7" t="str">
        <f aca="false">IF(LEFT(LOWER(TRIM(L249)),6)="cancel","Cancelled","Delivered")</f>
        <v>Delivered</v>
      </c>
      <c r="AH249" s="10" t="n">
        <f aca="false">IF(ISNUMBER(SEARCH("/",B249)),DATE(VALUE(RIGHT(B249,4)),VALUE(MID(B249,4,2)),VALUE(LEFT(B249,2))),IF(MID(B249,5,1)="-",DATE(VALUE(LEFT(B249,4)),VALUE(MID(B249,6,2)),VALUE(RIGHT(B249,2))),DATE(VALUE(RIGHT(B249,4)),MATCH(MID(B249,4,3),{"Jan","Feb","Mar","Apr","May","Jun","Jul","Aug","Sep","Oct","Nov","Dec"},0),VALUE(LEFT(B249,2)))))</f>
        <v>45980</v>
      </c>
    </row>
    <row r="250" customFormat="false" ht="15" hidden="false" customHeight="false" outlineLevel="0" collapsed="false">
      <c r="A250" s="7" t="s">
        <v>1111</v>
      </c>
      <c r="B250" s="7" t="s">
        <v>381</v>
      </c>
      <c r="C250" s="7" t="s">
        <v>1112</v>
      </c>
      <c r="D250" s="7" t="s">
        <v>1113</v>
      </c>
      <c r="E250" s="7" t="s">
        <v>646</v>
      </c>
      <c r="F250" s="7" t="s">
        <v>119</v>
      </c>
      <c r="G250" s="7" t="s">
        <v>150</v>
      </c>
      <c r="H250" s="7" t="n">
        <v>3</v>
      </c>
      <c r="I250" s="7" t="n">
        <v>165</v>
      </c>
      <c r="J250" s="7" t="n">
        <v>0</v>
      </c>
      <c r="K250" s="7" t="s">
        <v>133</v>
      </c>
      <c r="L250" s="7" t="s">
        <v>194</v>
      </c>
      <c r="M250" s="7" t="n">
        <v>33</v>
      </c>
      <c r="N250" s="7" t="n">
        <v>5</v>
      </c>
      <c r="O250" s="7" t="str">
        <f aca="false">A250&amp;"|"&amp;B250&amp;"|"&amp;C250&amp;"|"&amp;D250&amp;"|"&amp;E250&amp;"|"&amp;F250&amp;"|"&amp;G250&amp;"|"&amp;H250&amp;"|"&amp;I250&amp;"|"&amp;J250&amp;"|"&amp;K250&amp;"|"&amp;L250&amp;"|"&amp;M250&amp;"|"&amp;N250</f>
        <v>ORD10204|2025-01-28|11:26|C0381| Sweet Tooth Studio|Hyderabad|Desserts|3|165|0|Net Banking|Delivered|33|5</v>
      </c>
      <c r="P250" s="7" t="str">
        <f aca="false">IF(COUNTIF($O$2:O250,O250)&gt;1,"DUP","OK")</f>
        <v>OK</v>
      </c>
      <c r="Q250" s="7" t="n">
        <f aca="false">COUNTBLANK(A250:N250)</f>
        <v>0</v>
      </c>
      <c r="R250" s="7" t="n">
        <f aca="false">IF(A250="",0,COUNTIFS($A$2:$A$3058,A250,$P$2:$P$3058,"OK"))</f>
        <v>1</v>
      </c>
      <c r="S250" s="7" t="str">
        <f aca="false">IF(OR(A250="",P250="DUP",R250&lt;2),"",IF(Q250=_xlfn.MINIFS($Q$2:$Q$3058,$A$2:$A$3058,A250,$P$2:$P$3058,"OK"),"KEEP","DROP"))</f>
        <v/>
      </c>
      <c r="T250" s="9" t="n">
        <f aca="false">IF(A250="",1,0)</f>
        <v>0</v>
      </c>
      <c r="U250" s="9" t="n">
        <f aca="false">IF(D250="",1,0)</f>
        <v>0</v>
      </c>
      <c r="V250" s="9" t="n">
        <f aca="false">IF(E250="",1,0)</f>
        <v>0</v>
      </c>
      <c r="W250" s="9" t="n">
        <f aca="false">IF(OR(H250&lt;1,H250&gt;10),1,0)</f>
        <v>0</v>
      </c>
      <c r="X250" s="9" t="n">
        <f aca="false">IF(OR(I250&lt;=0,I250&gt;1500),1,0)</f>
        <v>0</v>
      </c>
      <c r="Y250" s="9" t="n">
        <f aca="false">IF(J250&gt;H250*I250,1,0)</f>
        <v>0</v>
      </c>
      <c r="Z250" s="9" t="n">
        <f aca="false">IF(AND(N250&lt;&gt;"",OR(N250&lt;1,N250&gt;5)),1,0)</f>
        <v>0</v>
      </c>
      <c r="AA250" s="9" t="n">
        <f aca="false">IF(AND(M250&lt;&gt;"",OR(M250&lt;5,M250&gt;180)),1,0)</f>
        <v>0</v>
      </c>
      <c r="AB250" s="7" t="str">
        <f aca="false">IF(P250="DUP","Exact duplicate row",IF(T250=1,"Missing Order ID",IF(S250="DROP","Duplicate Order ID (less complete row)",IF(U250=1,"Missing Customer ID",IF(V250=1,"Missing Restaurant name",IF(W250=1,"Invalid/outlier quantity",IF(X250=1,"Invalid/outlier unit price",IF(Y250=1,"Discount greater than order value",""))))))))</f>
        <v/>
      </c>
      <c r="AC250" s="7" t="str">
        <f aca="false">IF(AB250="","KEEP","DROP")</f>
        <v>KEEP</v>
      </c>
      <c r="AD250" s="7" t="str">
        <f aca="false">IF(TRIM(F250)="",IFERROR(INDEX(Map_Tables!$I$4:$I$37,MATCH(TRIM(E250),Map_Tables!$G$4:$G$37,0)),""),IFERROR(INDEX(Map_Tables!$B$4:$B$18,MATCH(TRIM(F250),Map_Tables!$A$4:$A$18,0)),"CHECK"))</f>
        <v>Hyderabad</v>
      </c>
      <c r="AE250" s="7" t="str">
        <f aca="false">IF(TRIM(E250)="","",IFERROR(INDEX(Map_Tables!$H$4:$H$37,MATCH(TRIM(E250),Map_Tables!$G$4:$G$37,0)),"CHECK"))</f>
        <v>Sweet Tooth Studio</v>
      </c>
      <c r="AF250" s="7" t="str">
        <f aca="false">IF(TRIM(K250)="","Unknown",IFERROR(INDEX(Map_Tables!$E$4:$E$15,MATCH(TRIM(K250),Map_Tables!$D$4:$D$15,0)),"CHECK"))</f>
        <v>Net Banking</v>
      </c>
      <c r="AG250" s="7" t="str">
        <f aca="false">IF(LEFT(LOWER(TRIM(L250)),6)="cancel","Cancelled","Delivered")</f>
        <v>Delivered</v>
      </c>
      <c r="AH250" s="10" t="n">
        <f aca="false">IF(ISNUMBER(SEARCH("/",B250)),DATE(VALUE(RIGHT(B250,4)),VALUE(MID(B250,4,2)),VALUE(LEFT(B250,2))),IF(MID(B250,5,1)="-",DATE(VALUE(LEFT(B250,4)),VALUE(MID(B250,6,2)),VALUE(RIGHT(B250,2))),DATE(VALUE(RIGHT(B250,4)),MATCH(MID(B250,4,3),{"Jan","Feb","Mar","Apr","May","Jun","Jul","Aug","Sep","Oct","Nov","Dec"},0),VALUE(LEFT(B250,2)))))</f>
        <v>45685</v>
      </c>
    </row>
    <row r="251" customFormat="false" ht="15" hidden="false" customHeight="false" outlineLevel="0" collapsed="false">
      <c r="A251" s="7" t="s">
        <v>1114</v>
      </c>
      <c r="B251" s="7" t="s">
        <v>212</v>
      </c>
      <c r="C251" s="7" t="s">
        <v>693</v>
      </c>
      <c r="D251" s="7" t="s">
        <v>1115</v>
      </c>
      <c r="E251" s="7" t="s">
        <v>149</v>
      </c>
      <c r="F251" s="7" t="s">
        <v>118</v>
      </c>
      <c r="G251" s="7" t="s">
        <v>150</v>
      </c>
      <c r="H251" s="7" t="n">
        <v>1</v>
      </c>
      <c r="I251" s="7" t="n">
        <v>185</v>
      </c>
      <c r="J251" s="7" t="n">
        <v>74</v>
      </c>
      <c r="K251" s="7" t="s">
        <v>112</v>
      </c>
      <c r="L251" s="7" t="s">
        <v>194</v>
      </c>
      <c r="M251" s="7" t="n">
        <v>43</v>
      </c>
      <c r="N251" s="7" t="n">
        <v>4</v>
      </c>
      <c r="O251" s="7" t="str">
        <f aca="false">A251&amp;"|"&amp;B251&amp;"|"&amp;C251&amp;"|"&amp;D251&amp;"|"&amp;E251&amp;"|"&amp;F251&amp;"|"&amp;G251&amp;"|"&amp;H251&amp;"|"&amp;I251&amp;"|"&amp;J251&amp;"|"&amp;K251&amp;"|"&amp;L251&amp;"|"&amp;M251&amp;"|"&amp;N251</f>
        <v>ORD12728|2025-12-01|11:10|C0935|Sweet Tooth Studio|hyderabad|Desserts|1|185|74|Cash on Delivery|Delivered|43|4</v>
      </c>
      <c r="P251" s="7" t="str">
        <f aca="false">IF(COUNTIF($O$2:O251,O251)&gt;1,"DUP","OK")</f>
        <v>OK</v>
      </c>
      <c r="Q251" s="7" t="n">
        <f aca="false">COUNTBLANK(A251:N251)</f>
        <v>0</v>
      </c>
      <c r="R251" s="7" t="n">
        <f aca="false">IF(A251="",0,COUNTIFS($A$2:$A$3058,A251,$P$2:$P$3058,"OK"))</f>
        <v>1</v>
      </c>
      <c r="S251" s="7" t="str">
        <f aca="false">IF(OR(A251="",P251="DUP",R251&lt;2),"",IF(Q251=_xlfn.MINIFS($Q$2:$Q$3058,$A$2:$A$3058,A251,$P$2:$P$3058,"OK"),"KEEP","DROP"))</f>
        <v/>
      </c>
      <c r="T251" s="9" t="n">
        <f aca="false">IF(A251="",1,0)</f>
        <v>0</v>
      </c>
      <c r="U251" s="9" t="n">
        <f aca="false">IF(D251="",1,0)</f>
        <v>0</v>
      </c>
      <c r="V251" s="9" t="n">
        <f aca="false">IF(E251="",1,0)</f>
        <v>0</v>
      </c>
      <c r="W251" s="9" t="n">
        <f aca="false">IF(OR(H251&lt;1,H251&gt;10),1,0)</f>
        <v>0</v>
      </c>
      <c r="X251" s="9" t="n">
        <f aca="false">IF(OR(I251&lt;=0,I251&gt;1500),1,0)</f>
        <v>0</v>
      </c>
      <c r="Y251" s="9" t="n">
        <f aca="false">IF(J251&gt;H251*I251,1,0)</f>
        <v>0</v>
      </c>
      <c r="Z251" s="9" t="n">
        <f aca="false">IF(AND(N251&lt;&gt;"",OR(N251&lt;1,N251&gt;5)),1,0)</f>
        <v>0</v>
      </c>
      <c r="AA251" s="9" t="n">
        <f aca="false">IF(AND(M251&lt;&gt;"",OR(M251&lt;5,M251&gt;180)),1,0)</f>
        <v>0</v>
      </c>
      <c r="AB251" s="7" t="str">
        <f aca="false">IF(P251="DUP","Exact duplicate row",IF(T251=1,"Missing Order ID",IF(S251="DROP","Duplicate Order ID (less complete row)",IF(U251=1,"Missing Customer ID",IF(V251=1,"Missing Restaurant name",IF(W251=1,"Invalid/outlier quantity",IF(X251=1,"Invalid/outlier unit price",IF(Y251=1,"Discount greater than order value",""))))))))</f>
        <v/>
      </c>
      <c r="AC251" s="7" t="str">
        <f aca="false">IF(AB251="","KEEP","DROP")</f>
        <v>KEEP</v>
      </c>
      <c r="AD251" s="7" t="str">
        <f aca="false">IF(TRIM(F251)="",IFERROR(INDEX(Map_Tables!$I$4:$I$37,MATCH(TRIM(E251),Map_Tables!$G$4:$G$37,0)),""),IFERROR(INDEX(Map_Tables!$B$4:$B$18,MATCH(TRIM(F251),Map_Tables!$A$4:$A$18,0)),"CHECK"))</f>
        <v>Hyderabad</v>
      </c>
      <c r="AE251" s="7" t="str">
        <f aca="false">IF(TRIM(E251)="","",IFERROR(INDEX(Map_Tables!$H$4:$H$37,MATCH(TRIM(E251),Map_Tables!$G$4:$G$37,0)),"CHECK"))</f>
        <v>Sweet Tooth Studio</v>
      </c>
      <c r="AF251" s="7" t="str">
        <f aca="false">IF(TRIM(K251)="","Unknown",IFERROR(INDEX(Map_Tables!$E$4:$E$15,MATCH(TRIM(K251),Map_Tables!$D$4:$D$15,0)),"CHECK"))</f>
        <v>Cash on Delivery</v>
      </c>
      <c r="AG251" s="7" t="str">
        <f aca="false">IF(LEFT(LOWER(TRIM(L251)),6)="cancel","Cancelled","Delivered")</f>
        <v>Delivered</v>
      </c>
      <c r="AH251" s="10" t="n">
        <f aca="false">IF(ISNUMBER(SEARCH("/",B251)),DATE(VALUE(RIGHT(B251,4)),VALUE(MID(B251,4,2)),VALUE(LEFT(B251,2))),IF(MID(B251,5,1)="-",DATE(VALUE(LEFT(B251,4)),VALUE(MID(B251,6,2)),VALUE(RIGHT(B251,2))),DATE(VALUE(RIGHT(B251,4)),MATCH(MID(B251,4,3),{"Jan","Feb","Mar","Apr","May","Jun","Jul","Aug","Sep","Oct","Nov","Dec"},0),VALUE(LEFT(B251,2)))))</f>
        <v>45992</v>
      </c>
    </row>
    <row r="252" customFormat="false" ht="15" hidden="false" customHeight="false" outlineLevel="0" collapsed="false">
      <c r="A252" s="7" t="s">
        <v>1116</v>
      </c>
      <c r="B252" s="7" t="s">
        <v>355</v>
      </c>
      <c r="C252" s="7" t="s">
        <v>227</v>
      </c>
      <c r="D252" s="7" t="s">
        <v>922</v>
      </c>
      <c r="E252" s="7" t="s">
        <v>104</v>
      </c>
      <c r="F252" s="7" t="s">
        <v>86</v>
      </c>
      <c r="G252" s="7" t="s">
        <v>105</v>
      </c>
      <c r="H252" s="7" t="n">
        <v>3</v>
      </c>
      <c r="I252" s="7" t="n">
        <v>230</v>
      </c>
      <c r="J252" s="7" t="n">
        <v>0</v>
      </c>
      <c r="K252" s="7" t="s">
        <v>229</v>
      </c>
      <c r="L252" s="7" t="s">
        <v>194</v>
      </c>
      <c r="M252" s="7" t="n">
        <v>47</v>
      </c>
      <c r="N252" s="7" t="n">
        <v>2</v>
      </c>
      <c r="O252" s="7" t="str">
        <f aca="false">A252&amp;"|"&amp;B252&amp;"|"&amp;C252&amp;"|"&amp;D252&amp;"|"&amp;E252&amp;"|"&amp;F252&amp;"|"&amp;G252&amp;"|"&amp;H252&amp;"|"&amp;I252&amp;"|"&amp;J252&amp;"|"&amp;K252&amp;"|"&amp;L252&amp;"|"&amp;M252&amp;"|"&amp;N252</f>
        <v>ORD11158|2025-05-27|21:36|C0562|Wok &amp; Roll|Bengaluru|Chinese|3|230|0|Upi|Delivered|47|2</v>
      </c>
      <c r="P252" s="7" t="str">
        <f aca="false">IF(COUNTIF($O$2:O252,O252)&gt;1,"DUP","OK")</f>
        <v>OK</v>
      </c>
      <c r="Q252" s="7" t="n">
        <f aca="false">COUNTBLANK(A252:N252)</f>
        <v>0</v>
      </c>
      <c r="R252" s="7" t="n">
        <f aca="false">IF(A252="",0,COUNTIFS($A$2:$A$3058,A252,$P$2:$P$3058,"OK"))</f>
        <v>1</v>
      </c>
      <c r="S252" s="7" t="str">
        <f aca="false">IF(OR(A252="",P252="DUP",R252&lt;2),"",IF(Q252=_xlfn.MINIFS($Q$2:$Q$3058,$A$2:$A$3058,A252,$P$2:$P$3058,"OK"),"KEEP","DROP"))</f>
        <v/>
      </c>
      <c r="T252" s="9" t="n">
        <f aca="false">IF(A252="",1,0)</f>
        <v>0</v>
      </c>
      <c r="U252" s="9" t="n">
        <f aca="false">IF(D252="",1,0)</f>
        <v>0</v>
      </c>
      <c r="V252" s="9" t="n">
        <f aca="false">IF(E252="",1,0)</f>
        <v>0</v>
      </c>
      <c r="W252" s="9" t="n">
        <f aca="false">IF(OR(H252&lt;1,H252&gt;10),1,0)</f>
        <v>0</v>
      </c>
      <c r="X252" s="9" t="n">
        <f aca="false">IF(OR(I252&lt;=0,I252&gt;1500),1,0)</f>
        <v>0</v>
      </c>
      <c r="Y252" s="9" t="n">
        <f aca="false">IF(J252&gt;H252*I252,1,0)</f>
        <v>0</v>
      </c>
      <c r="Z252" s="9" t="n">
        <f aca="false">IF(AND(N252&lt;&gt;"",OR(N252&lt;1,N252&gt;5)),1,0)</f>
        <v>0</v>
      </c>
      <c r="AA252" s="9" t="n">
        <f aca="false">IF(AND(M252&lt;&gt;"",OR(M252&lt;5,M252&gt;180)),1,0)</f>
        <v>0</v>
      </c>
      <c r="AB252" s="7" t="str">
        <f aca="false">IF(P252="DUP","Exact duplicate row",IF(T252=1,"Missing Order ID",IF(S252="DROP","Duplicate Order ID (less complete row)",IF(U252=1,"Missing Customer ID",IF(V252=1,"Missing Restaurant name",IF(W252=1,"Invalid/outlier quantity",IF(X252=1,"Invalid/outlier unit price",IF(Y252=1,"Discount greater than order value",""))))))))</f>
        <v/>
      </c>
      <c r="AC252" s="7" t="str">
        <f aca="false">IF(AB252="","KEEP","DROP")</f>
        <v>KEEP</v>
      </c>
      <c r="AD252" s="7" t="str">
        <f aca="false">IF(TRIM(F252)="",IFERROR(INDEX(Map_Tables!$I$4:$I$37,MATCH(TRIM(E252),Map_Tables!$G$4:$G$37,0)),""),IFERROR(INDEX(Map_Tables!$B$4:$B$18,MATCH(TRIM(F252),Map_Tables!$A$4:$A$18,0)),"CHECK"))</f>
        <v>Bengaluru</v>
      </c>
      <c r="AE252" s="7" t="str">
        <f aca="false">IF(TRIM(E252)="","",IFERROR(INDEX(Map_Tables!$H$4:$H$37,MATCH(TRIM(E252),Map_Tables!$G$4:$G$37,0)),"CHECK"))</f>
        <v>Wok &amp; Roll</v>
      </c>
      <c r="AF252" s="7" t="str">
        <f aca="false">IF(TRIM(K252)="","Unknown",IFERROR(INDEX(Map_Tables!$E$4:$E$15,MATCH(TRIM(K252),Map_Tables!$D$4:$D$15,0)),"CHECK"))</f>
        <v>UPI</v>
      </c>
      <c r="AG252" s="7" t="str">
        <f aca="false">IF(LEFT(LOWER(TRIM(L252)),6)="cancel","Cancelled","Delivered")</f>
        <v>Delivered</v>
      </c>
      <c r="AH252" s="10" t="n">
        <f aca="false">IF(ISNUMBER(SEARCH("/",B252)),DATE(VALUE(RIGHT(B252,4)),VALUE(MID(B252,4,2)),VALUE(LEFT(B252,2))),IF(MID(B252,5,1)="-",DATE(VALUE(LEFT(B252,4)),VALUE(MID(B252,6,2)),VALUE(RIGHT(B252,2))),DATE(VALUE(RIGHT(B252,4)),MATCH(MID(B252,4,3),{"Jan","Feb","Mar","Apr","May","Jun","Jul","Aug","Sep","Oct","Nov","Dec"},0),VALUE(LEFT(B252,2)))))</f>
        <v>45804</v>
      </c>
    </row>
    <row r="253" customFormat="false" ht="15" hidden="false" customHeight="false" outlineLevel="0" collapsed="false">
      <c r="A253" s="7" t="s">
        <v>1117</v>
      </c>
      <c r="B253" s="7" t="s">
        <v>262</v>
      </c>
      <c r="C253" s="7" t="s">
        <v>1118</v>
      </c>
      <c r="D253" s="7" t="s">
        <v>1119</v>
      </c>
      <c r="E253" s="7" t="s">
        <v>122</v>
      </c>
      <c r="F253" s="7" t="s">
        <v>101</v>
      </c>
      <c r="G253" s="7" t="s">
        <v>123</v>
      </c>
      <c r="H253" s="7" t="n">
        <v>1</v>
      </c>
      <c r="I253" s="7" t="n">
        <v>325</v>
      </c>
      <c r="J253" s="7" t="n">
        <v>0</v>
      </c>
      <c r="K253" s="7" t="s">
        <v>88</v>
      </c>
      <c r="L253" s="7" t="s">
        <v>194</v>
      </c>
      <c r="M253" s="7" t="n">
        <v>55</v>
      </c>
      <c r="N253" s="7" t="n">
        <v>4</v>
      </c>
      <c r="O253" s="7" t="str">
        <f aca="false">A253&amp;"|"&amp;B253&amp;"|"&amp;C253&amp;"|"&amp;D253&amp;"|"&amp;E253&amp;"|"&amp;F253&amp;"|"&amp;G253&amp;"|"&amp;H253&amp;"|"&amp;I253&amp;"|"&amp;J253&amp;"|"&amp;K253&amp;"|"&amp;L253&amp;"|"&amp;M253&amp;"|"&amp;N253</f>
        <v>ORD11339|2025-06-22|12:13|C0682|Mumbai Pizza Co|Mumbai|Pizza|1|325|0|UPI|Delivered|55|4</v>
      </c>
      <c r="P253" s="7" t="str">
        <f aca="false">IF(COUNTIF($O$2:O253,O253)&gt;1,"DUP","OK")</f>
        <v>OK</v>
      </c>
      <c r="Q253" s="7" t="n">
        <f aca="false">COUNTBLANK(A253:N253)</f>
        <v>0</v>
      </c>
      <c r="R253" s="7" t="n">
        <f aca="false">IF(A253="",0,COUNTIFS($A$2:$A$3058,A253,$P$2:$P$3058,"OK"))</f>
        <v>1</v>
      </c>
      <c r="S253" s="7" t="str">
        <f aca="false">IF(OR(A253="",P253="DUP",R253&lt;2),"",IF(Q253=_xlfn.MINIFS($Q$2:$Q$3058,$A$2:$A$3058,A253,$P$2:$P$3058,"OK"),"KEEP","DROP"))</f>
        <v/>
      </c>
      <c r="T253" s="9" t="n">
        <f aca="false">IF(A253="",1,0)</f>
        <v>0</v>
      </c>
      <c r="U253" s="9" t="n">
        <f aca="false">IF(D253="",1,0)</f>
        <v>0</v>
      </c>
      <c r="V253" s="9" t="n">
        <f aca="false">IF(E253="",1,0)</f>
        <v>0</v>
      </c>
      <c r="W253" s="9" t="n">
        <f aca="false">IF(OR(H253&lt;1,H253&gt;10),1,0)</f>
        <v>0</v>
      </c>
      <c r="X253" s="9" t="n">
        <f aca="false">IF(OR(I253&lt;=0,I253&gt;1500),1,0)</f>
        <v>0</v>
      </c>
      <c r="Y253" s="9" t="n">
        <f aca="false">IF(J253&gt;H253*I253,1,0)</f>
        <v>0</v>
      </c>
      <c r="Z253" s="9" t="n">
        <f aca="false">IF(AND(N253&lt;&gt;"",OR(N253&lt;1,N253&gt;5)),1,0)</f>
        <v>0</v>
      </c>
      <c r="AA253" s="9" t="n">
        <f aca="false">IF(AND(M253&lt;&gt;"",OR(M253&lt;5,M253&gt;180)),1,0)</f>
        <v>0</v>
      </c>
      <c r="AB253" s="7" t="str">
        <f aca="false">IF(P253="DUP","Exact duplicate row",IF(T253=1,"Missing Order ID",IF(S253="DROP","Duplicate Order ID (less complete row)",IF(U253=1,"Missing Customer ID",IF(V253=1,"Missing Restaurant name",IF(W253=1,"Invalid/outlier quantity",IF(X253=1,"Invalid/outlier unit price",IF(Y253=1,"Discount greater than order value",""))))))))</f>
        <v/>
      </c>
      <c r="AC253" s="7" t="str">
        <f aca="false">IF(AB253="","KEEP","DROP")</f>
        <v>KEEP</v>
      </c>
      <c r="AD253" s="7" t="str">
        <f aca="false">IF(TRIM(F253)="",IFERROR(INDEX(Map_Tables!$I$4:$I$37,MATCH(TRIM(E253),Map_Tables!$G$4:$G$37,0)),""),IFERROR(INDEX(Map_Tables!$B$4:$B$18,MATCH(TRIM(F253),Map_Tables!$A$4:$A$18,0)),"CHECK"))</f>
        <v>Mumbai</v>
      </c>
      <c r="AE253" s="7" t="str">
        <f aca="false">IF(TRIM(E253)="","",IFERROR(INDEX(Map_Tables!$H$4:$H$37,MATCH(TRIM(E253),Map_Tables!$G$4:$G$37,0)),"CHECK"))</f>
        <v>Mumbai Pizza Co</v>
      </c>
      <c r="AF253" s="7" t="str">
        <f aca="false">IF(TRIM(K253)="","Unknown",IFERROR(INDEX(Map_Tables!$E$4:$E$15,MATCH(TRIM(K253),Map_Tables!$D$4:$D$15,0)),"CHECK"))</f>
        <v>UPI</v>
      </c>
      <c r="AG253" s="7" t="str">
        <f aca="false">IF(LEFT(LOWER(TRIM(L253)),6)="cancel","Cancelled","Delivered")</f>
        <v>Delivered</v>
      </c>
      <c r="AH253" s="10" t="n">
        <f aca="false">IF(ISNUMBER(SEARCH("/",B253)),DATE(VALUE(RIGHT(B253,4)),VALUE(MID(B253,4,2)),VALUE(LEFT(B253,2))),IF(MID(B253,5,1)="-",DATE(VALUE(LEFT(B253,4)),VALUE(MID(B253,6,2)),VALUE(RIGHT(B253,2))),DATE(VALUE(RIGHT(B253,4)),MATCH(MID(B253,4,3),{"Jan","Feb","Mar","Apr","May","Jun","Jul","Aug","Sep","Oct","Nov","Dec"},0),VALUE(LEFT(B253,2)))))</f>
        <v>45830</v>
      </c>
    </row>
    <row r="254" customFormat="false" ht="15" hidden="false" customHeight="false" outlineLevel="0" collapsed="false">
      <c r="A254" s="7" t="s">
        <v>1120</v>
      </c>
      <c r="B254" s="7" t="s">
        <v>1121</v>
      </c>
      <c r="C254" s="7" t="s">
        <v>655</v>
      </c>
      <c r="D254" s="7" t="s">
        <v>1122</v>
      </c>
      <c r="E254" s="7" t="s">
        <v>159</v>
      </c>
      <c r="F254" s="7" t="s">
        <v>136</v>
      </c>
      <c r="G254" s="7" t="s">
        <v>90</v>
      </c>
      <c r="H254" s="7" t="n">
        <v>1</v>
      </c>
      <c r="I254" s="7" t="n">
        <v>270</v>
      </c>
      <c r="J254" s="7" t="n">
        <v>40</v>
      </c>
      <c r="K254" s="7" t="s">
        <v>112</v>
      </c>
      <c r="L254" s="7" t="s">
        <v>194</v>
      </c>
      <c r="M254" s="7" t="n">
        <v>33</v>
      </c>
      <c r="N254" s="7" t="n">
        <v>5</v>
      </c>
      <c r="O254" s="7" t="str">
        <f aca="false">A254&amp;"|"&amp;B254&amp;"|"&amp;C254&amp;"|"&amp;D254&amp;"|"&amp;E254&amp;"|"&amp;F254&amp;"|"&amp;G254&amp;"|"&amp;H254&amp;"|"&amp;I254&amp;"|"&amp;J254&amp;"|"&amp;K254&amp;"|"&amp;L254&amp;"|"&amp;M254&amp;"|"&amp;N254</f>
        <v>ORD11190|2025-05-31|19:22|C0636|Maratha Thali House|Pune|North Indian|1|270|40|Cash on Delivery|Delivered|33|5</v>
      </c>
      <c r="P254" s="7" t="str">
        <f aca="false">IF(COUNTIF($O$2:O254,O254)&gt;1,"DUP","OK")</f>
        <v>OK</v>
      </c>
      <c r="Q254" s="7" t="n">
        <f aca="false">COUNTBLANK(A254:N254)</f>
        <v>0</v>
      </c>
      <c r="R254" s="7" t="n">
        <f aca="false">IF(A254="",0,COUNTIFS($A$2:$A$3058,A254,$P$2:$P$3058,"OK"))</f>
        <v>1</v>
      </c>
      <c r="S254" s="7" t="str">
        <f aca="false">IF(OR(A254="",P254="DUP",R254&lt;2),"",IF(Q254=_xlfn.MINIFS($Q$2:$Q$3058,$A$2:$A$3058,A254,$P$2:$P$3058,"OK"),"KEEP","DROP"))</f>
        <v/>
      </c>
      <c r="T254" s="9" t="n">
        <f aca="false">IF(A254="",1,0)</f>
        <v>0</v>
      </c>
      <c r="U254" s="9" t="n">
        <f aca="false">IF(D254="",1,0)</f>
        <v>0</v>
      </c>
      <c r="V254" s="9" t="n">
        <f aca="false">IF(E254="",1,0)</f>
        <v>0</v>
      </c>
      <c r="W254" s="9" t="n">
        <f aca="false">IF(OR(H254&lt;1,H254&gt;10),1,0)</f>
        <v>0</v>
      </c>
      <c r="X254" s="9" t="n">
        <f aca="false">IF(OR(I254&lt;=0,I254&gt;1500),1,0)</f>
        <v>0</v>
      </c>
      <c r="Y254" s="9" t="n">
        <f aca="false">IF(J254&gt;H254*I254,1,0)</f>
        <v>0</v>
      </c>
      <c r="Z254" s="9" t="n">
        <f aca="false">IF(AND(N254&lt;&gt;"",OR(N254&lt;1,N254&gt;5)),1,0)</f>
        <v>0</v>
      </c>
      <c r="AA254" s="9" t="n">
        <f aca="false">IF(AND(M254&lt;&gt;"",OR(M254&lt;5,M254&gt;180)),1,0)</f>
        <v>0</v>
      </c>
      <c r="AB254" s="7" t="str">
        <f aca="false">IF(P254="DUP","Exact duplicate row",IF(T254=1,"Missing Order ID",IF(S254="DROP","Duplicate Order ID (less complete row)",IF(U254=1,"Missing Customer ID",IF(V254=1,"Missing Restaurant name",IF(W254=1,"Invalid/outlier quantity",IF(X254=1,"Invalid/outlier unit price",IF(Y254=1,"Discount greater than order value",""))))))))</f>
        <v/>
      </c>
      <c r="AC254" s="7" t="str">
        <f aca="false">IF(AB254="","KEEP","DROP")</f>
        <v>KEEP</v>
      </c>
      <c r="AD254" s="7" t="str">
        <f aca="false">IF(TRIM(F254)="",IFERROR(INDEX(Map_Tables!$I$4:$I$37,MATCH(TRIM(E254),Map_Tables!$G$4:$G$37,0)),""),IFERROR(INDEX(Map_Tables!$B$4:$B$18,MATCH(TRIM(F254),Map_Tables!$A$4:$A$18,0)),"CHECK"))</f>
        <v>Pune</v>
      </c>
      <c r="AE254" s="7" t="str">
        <f aca="false">IF(TRIM(E254)="","",IFERROR(INDEX(Map_Tables!$H$4:$H$37,MATCH(TRIM(E254),Map_Tables!$G$4:$G$37,0)),"CHECK"))</f>
        <v>Maratha Thali House</v>
      </c>
      <c r="AF254" s="7" t="str">
        <f aca="false">IF(TRIM(K254)="","Unknown",IFERROR(INDEX(Map_Tables!$E$4:$E$15,MATCH(TRIM(K254),Map_Tables!$D$4:$D$15,0)),"CHECK"))</f>
        <v>Cash on Delivery</v>
      </c>
      <c r="AG254" s="7" t="str">
        <f aca="false">IF(LEFT(LOWER(TRIM(L254)),6)="cancel","Cancelled","Delivered")</f>
        <v>Delivered</v>
      </c>
      <c r="AH254" s="10" t="n">
        <f aca="false">IF(ISNUMBER(SEARCH("/",B254)),DATE(VALUE(RIGHT(B254,4)),VALUE(MID(B254,4,2)),VALUE(LEFT(B254,2))),IF(MID(B254,5,1)="-",DATE(VALUE(LEFT(B254,4)),VALUE(MID(B254,6,2)),VALUE(RIGHT(B254,2))),DATE(VALUE(RIGHT(B254,4)),MATCH(MID(B254,4,3),{"Jan","Feb","Mar","Apr","May","Jun","Jul","Aug","Sep","Oct","Nov","Dec"},0),VALUE(LEFT(B254,2)))))</f>
        <v>45808</v>
      </c>
    </row>
    <row r="255" customFormat="false" ht="15" hidden="false" customHeight="false" outlineLevel="0" collapsed="false">
      <c r="A255" s="7" t="s">
        <v>1123</v>
      </c>
      <c r="B255" s="7" t="s">
        <v>1124</v>
      </c>
      <c r="C255" s="7" t="s">
        <v>1125</v>
      </c>
      <c r="D255" s="7" t="s">
        <v>658</v>
      </c>
      <c r="E255" s="7" t="s">
        <v>159</v>
      </c>
      <c r="F255" s="7" t="s">
        <v>136</v>
      </c>
      <c r="G255" s="7" t="s">
        <v>90</v>
      </c>
      <c r="H255" s="7" t="n">
        <v>1</v>
      </c>
      <c r="I255" s="7" t="n">
        <v>240</v>
      </c>
      <c r="J255" s="7" t="n">
        <v>0</v>
      </c>
      <c r="K255" s="7" t="s">
        <v>112</v>
      </c>
      <c r="L255" s="7" t="s">
        <v>194</v>
      </c>
      <c r="M255" s="7" t="n">
        <v>38</v>
      </c>
      <c r="N255" s="7" t="n">
        <v>3</v>
      </c>
      <c r="O255" s="7" t="str">
        <f aca="false">A255&amp;"|"&amp;B255&amp;"|"&amp;C255&amp;"|"&amp;D255&amp;"|"&amp;E255&amp;"|"&amp;F255&amp;"|"&amp;G255&amp;"|"&amp;H255&amp;"|"&amp;I255&amp;"|"&amp;J255&amp;"|"&amp;K255&amp;"|"&amp;L255&amp;"|"&amp;M255&amp;"|"&amp;N255</f>
        <v>ORD10187|25/01/2025|11:49|C0610|Maratha Thali House|Pune|North Indian|1|240|0|Cash on Delivery|Delivered|38|3</v>
      </c>
      <c r="P255" s="7" t="str">
        <f aca="false">IF(COUNTIF($O$2:O255,O255)&gt;1,"DUP","OK")</f>
        <v>OK</v>
      </c>
      <c r="Q255" s="7" t="n">
        <f aca="false">COUNTBLANK(A255:N255)</f>
        <v>0</v>
      </c>
      <c r="R255" s="7" t="n">
        <f aca="false">IF(A255="",0,COUNTIFS($A$2:$A$3058,A255,$P$2:$P$3058,"OK"))</f>
        <v>1</v>
      </c>
      <c r="S255" s="7" t="str">
        <f aca="false">IF(OR(A255="",P255="DUP",R255&lt;2),"",IF(Q255=_xlfn.MINIFS($Q$2:$Q$3058,$A$2:$A$3058,A255,$P$2:$P$3058,"OK"),"KEEP","DROP"))</f>
        <v/>
      </c>
      <c r="T255" s="9" t="n">
        <f aca="false">IF(A255="",1,0)</f>
        <v>0</v>
      </c>
      <c r="U255" s="9" t="n">
        <f aca="false">IF(D255="",1,0)</f>
        <v>0</v>
      </c>
      <c r="V255" s="9" t="n">
        <f aca="false">IF(E255="",1,0)</f>
        <v>0</v>
      </c>
      <c r="W255" s="9" t="n">
        <f aca="false">IF(OR(H255&lt;1,H255&gt;10),1,0)</f>
        <v>0</v>
      </c>
      <c r="X255" s="9" t="n">
        <f aca="false">IF(OR(I255&lt;=0,I255&gt;1500),1,0)</f>
        <v>0</v>
      </c>
      <c r="Y255" s="9" t="n">
        <f aca="false">IF(J255&gt;H255*I255,1,0)</f>
        <v>0</v>
      </c>
      <c r="Z255" s="9" t="n">
        <f aca="false">IF(AND(N255&lt;&gt;"",OR(N255&lt;1,N255&gt;5)),1,0)</f>
        <v>0</v>
      </c>
      <c r="AA255" s="9" t="n">
        <f aca="false">IF(AND(M255&lt;&gt;"",OR(M255&lt;5,M255&gt;180)),1,0)</f>
        <v>0</v>
      </c>
      <c r="AB255" s="7" t="str">
        <f aca="false">IF(P255="DUP","Exact duplicate row",IF(T255=1,"Missing Order ID",IF(S255="DROP","Duplicate Order ID (less complete row)",IF(U255=1,"Missing Customer ID",IF(V255=1,"Missing Restaurant name",IF(W255=1,"Invalid/outlier quantity",IF(X255=1,"Invalid/outlier unit price",IF(Y255=1,"Discount greater than order value",""))))))))</f>
        <v/>
      </c>
      <c r="AC255" s="7" t="str">
        <f aca="false">IF(AB255="","KEEP","DROP")</f>
        <v>KEEP</v>
      </c>
      <c r="AD255" s="7" t="str">
        <f aca="false">IF(TRIM(F255)="",IFERROR(INDEX(Map_Tables!$I$4:$I$37,MATCH(TRIM(E255),Map_Tables!$G$4:$G$37,0)),""),IFERROR(INDEX(Map_Tables!$B$4:$B$18,MATCH(TRIM(F255),Map_Tables!$A$4:$A$18,0)),"CHECK"))</f>
        <v>Pune</v>
      </c>
      <c r="AE255" s="7" t="str">
        <f aca="false">IF(TRIM(E255)="","",IFERROR(INDEX(Map_Tables!$H$4:$H$37,MATCH(TRIM(E255),Map_Tables!$G$4:$G$37,0)),"CHECK"))</f>
        <v>Maratha Thali House</v>
      </c>
      <c r="AF255" s="7" t="str">
        <f aca="false">IF(TRIM(K255)="","Unknown",IFERROR(INDEX(Map_Tables!$E$4:$E$15,MATCH(TRIM(K255),Map_Tables!$D$4:$D$15,0)),"CHECK"))</f>
        <v>Cash on Delivery</v>
      </c>
      <c r="AG255" s="7" t="str">
        <f aca="false">IF(LEFT(LOWER(TRIM(L255)),6)="cancel","Cancelled","Delivered")</f>
        <v>Delivered</v>
      </c>
      <c r="AH255" s="10" t="n">
        <f aca="false">IF(ISNUMBER(SEARCH("/",B255)),DATE(VALUE(RIGHT(B255,4)),VALUE(MID(B255,4,2)),VALUE(LEFT(B255,2))),IF(MID(B255,5,1)="-",DATE(VALUE(LEFT(B255,4)),VALUE(MID(B255,6,2)),VALUE(RIGHT(B255,2))),DATE(VALUE(RIGHT(B255,4)),MATCH(MID(B255,4,3),{"Jan","Feb","Mar","Apr","May","Jun","Jul","Aug","Sep","Oct","Nov","Dec"},0),VALUE(LEFT(B255,2)))))</f>
        <v>45682</v>
      </c>
    </row>
    <row r="256" customFormat="false" ht="15" hidden="false" customHeight="false" outlineLevel="0" collapsed="false">
      <c r="A256" s="7" t="s">
        <v>1126</v>
      </c>
      <c r="B256" s="7" t="s">
        <v>1127</v>
      </c>
      <c r="C256" s="7" t="s">
        <v>1128</v>
      </c>
      <c r="D256" s="7" t="s">
        <v>1129</v>
      </c>
      <c r="E256" s="7" t="s">
        <v>1130</v>
      </c>
      <c r="F256" s="7" t="s">
        <v>119</v>
      </c>
      <c r="G256" s="7" t="s">
        <v>150</v>
      </c>
      <c r="H256" s="7" t="n">
        <v>1</v>
      </c>
      <c r="I256" s="7" t="n">
        <v>190</v>
      </c>
      <c r="J256" s="7" t="n">
        <v>40</v>
      </c>
      <c r="K256" s="7" t="s">
        <v>103</v>
      </c>
      <c r="L256" s="7" t="s">
        <v>194</v>
      </c>
      <c r="M256" s="7" t="n">
        <v>23</v>
      </c>
      <c r="N256" s="7" t="n">
        <v>4</v>
      </c>
      <c r="O256" s="7" t="str">
        <f aca="false">A256&amp;"|"&amp;B256&amp;"|"&amp;C256&amp;"|"&amp;D256&amp;"|"&amp;E256&amp;"|"&amp;F256&amp;"|"&amp;G256&amp;"|"&amp;H256&amp;"|"&amp;I256&amp;"|"&amp;J256&amp;"|"&amp;K256&amp;"|"&amp;L256&amp;"|"&amp;M256&amp;"|"&amp;N256</f>
        <v>ORD12756|2025-12-03|10:43|C1217|sweet tooth studio|Hyderabad|Desserts|1|190|40|Debit Card|Delivered|23|4</v>
      </c>
      <c r="P256" s="7" t="str">
        <f aca="false">IF(COUNTIF($O$2:O256,O256)&gt;1,"DUP","OK")</f>
        <v>OK</v>
      </c>
      <c r="Q256" s="7" t="n">
        <f aca="false">COUNTBLANK(A256:N256)</f>
        <v>0</v>
      </c>
      <c r="R256" s="7" t="n">
        <f aca="false">IF(A256="",0,COUNTIFS($A$2:$A$3058,A256,$P$2:$P$3058,"OK"))</f>
        <v>1</v>
      </c>
      <c r="S256" s="7" t="str">
        <f aca="false">IF(OR(A256="",P256="DUP",R256&lt;2),"",IF(Q256=_xlfn.MINIFS($Q$2:$Q$3058,$A$2:$A$3058,A256,$P$2:$P$3058,"OK"),"KEEP","DROP"))</f>
        <v/>
      </c>
      <c r="T256" s="9" t="n">
        <f aca="false">IF(A256="",1,0)</f>
        <v>0</v>
      </c>
      <c r="U256" s="9" t="n">
        <f aca="false">IF(D256="",1,0)</f>
        <v>0</v>
      </c>
      <c r="V256" s="9" t="n">
        <f aca="false">IF(E256="",1,0)</f>
        <v>0</v>
      </c>
      <c r="W256" s="9" t="n">
        <f aca="false">IF(OR(H256&lt;1,H256&gt;10),1,0)</f>
        <v>0</v>
      </c>
      <c r="X256" s="9" t="n">
        <f aca="false">IF(OR(I256&lt;=0,I256&gt;1500),1,0)</f>
        <v>0</v>
      </c>
      <c r="Y256" s="9" t="n">
        <f aca="false">IF(J256&gt;H256*I256,1,0)</f>
        <v>0</v>
      </c>
      <c r="Z256" s="9" t="n">
        <f aca="false">IF(AND(N256&lt;&gt;"",OR(N256&lt;1,N256&gt;5)),1,0)</f>
        <v>0</v>
      </c>
      <c r="AA256" s="9" t="n">
        <f aca="false">IF(AND(M256&lt;&gt;"",OR(M256&lt;5,M256&gt;180)),1,0)</f>
        <v>0</v>
      </c>
      <c r="AB256" s="7" t="str">
        <f aca="false">IF(P256="DUP","Exact duplicate row",IF(T256=1,"Missing Order ID",IF(S256="DROP","Duplicate Order ID (less complete row)",IF(U256=1,"Missing Customer ID",IF(V256=1,"Missing Restaurant name",IF(W256=1,"Invalid/outlier quantity",IF(X256=1,"Invalid/outlier unit price",IF(Y256=1,"Discount greater than order value",""))))))))</f>
        <v/>
      </c>
      <c r="AC256" s="7" t="str">
        <f aca="false">IF(AB256="","KEEP","DROP")</f>
        <v>KEEP</v>
      </c>
      <c r="AD256" s="7" t="str">
        <f aca="false">IF(TRIM(F256)="",IFERROR(INDEX(Map_Tables!$I$4:$I$37,MATCH(TRIM(E256),Map_Tables!$G$4:$G$37,0)),""),IFERROR(INDEX(Map_Tables!$B$4:$B$18,MATCH(TRIM(F256),Map_Tables!$A$4:$A$18,0)),"CHECK"))</f>
        <v>Hyderabad</v>
      </c>
      <c r="AE256" s="7" t="str">
        <f aca="false">IF(TRIM(E256)="","",IFERROR(INDEX(Map_Tables!$H$4:$H$37,MATCH(TRIM(E256),Map_Tables!$G$4:$G$37,0)),"CHECK"))</f>
        <v>Sweet Tooth Studio</v>
      </c>
      <c r="AF256" s="7" t="str">
        <f aca="false">IF(TRIM(K256)="","Unknown",IFERROR(INDEX(Map_Tables!$E$4:$E$15,MATCH(TRIM(K256),Map_Tables!$D$4:$D$15,0)),"CHECK"))</f>
        <v>Debit Card</v>
      </c>
      <c r="AG256" s="7" t="str">
        <f aca="false">IF(LEFT(LOWER(TRIM(L256)),6)="cancel","Cancelled","Delivered")</f>
        <v>Delivered</v>
      </c>
      <c r="AH256" s="10" t="n">
        <f aca="false">IF(ISNUMBER(SEARCH("/",B256)),DATE(VALUE(RIGHT(B256,4)),VALUE(MID(B256,4,2)),VALUE(LEFT(B256,2))),IF(MID(B256,5,1)="-",DATE(VALUE(LEFT(B256,4)),VALUE(MID(B256,6,2)),VALUE(RIGHT(B256,2))),DATE(VALUE(RIGHT(B256,4)),MATCH(MID(B256,4,3),{"Jan","Feb","Mar","Apr","May","Jun","Jul","Aug","Sep","Oct","Nov","Dec"},0),VALUE(LEFT(B256,2)))))</f>
        <v>45994</v>
      </c>
    </row>
    <row r="257" customFormat="false" ht="15" hidden="false" customHeight="false" outlineLevel="0" collapsed="false">
      <c r="A257" s="7" t="s">
        <v>1131</v>
      </c>
      <c r="B257" s="7" t="s">
        <v>1132</v>
      </c>
      <c r="C257" s="7" t="s">
        <v>1133</v>
      </c>
      <c r="D257" s="7" t="s">
        <v>1134</v>
      </c>
      <c r="E257" s="7" t="s">
        <v>154</v>
      </c>
      <c r="F257" s="7" t="s">
        <v>128</v>
      </c>
      <c r="G257" s="7" t="s">
        <v>99</v>
      </c>
      <c r="H257" s="7" t="n">
        <v>1</v>
      </c>
      <c r="I257" s="7" t="n">
        <v>290</v>
      </c>
      <c r="J257" s="7" t="n">
        <v>0</v>
      </c>
      <c r="K257" s="7" t="s">
        <v>88</v>
      </c>
      <c r="L257" s="7" t="s">
        <v>194</v>
      </c>
      <c r="M257" s="7" t="n">
        <v>46</v>
      </c>
      <c r="N257" s="7" t="n">
        <v>5</v>
      </c>
      <c r="O257" s="7" t="str">
        <f aca="false">A257&amp;"|"&amp;B257&amp;"|"&amp;C257&amp;"|"&amp;D257&amp;"|"&amp;E257&amp;"|"&amp;F257&amp;"|"&amp;G257&amp;"|"&amp;H257&amp;"|"&amp;I257&amp;"|"&amp;J257&amp;"|"&amp;K257&amp;"|"&amp;L257&amp;"|"&amp;M257&amp;"|"&amp;N257</f>
        <v>ORD10692|2025-03-28|20:44|C0297|Madras Biryani Co|Chennai|Biryani|1|290|0|UPI|Delivered|46|5</v>
      </c>
      <c r="P257" s="7" t="str">
        <f aca="false">IF(COUNTIF($O$2:O257,O257)&gt;1,"DUP","OK")</f>
        <v>OK</v>
      </c>
      <c r="Q257" s="7" t="n">
        <f aca="false">COUNTBLANK(A257:N257)</f>
        <v>0</v>
      </c>
      <c r="R257" s="7" t="n">
        <f aca="false">IF(A257="",0,COUNTIFS($A$2:$A$3058,A257,$P$2:$P$3058,"OK"))</f>
        <v>1</v>
      </c>
      <c r="S257" s="7" t="str">
        <f aca="false">IF(OR(A257="",P257="DUP",R257&lt;2),"",IF(Q257=_xlfn.MINIFS($Q$2:$Q$3058,$A$2:$A$3058,A257,$P$2:$P$3058,"OK"),"KEEP","DROP"))</f>
        <v/>
      </c>
      <c r="T257" s="9" t="n">
        <f aca="false">IF(A257="",1,0)</f>
        <v>0</v>
      </c>
      <c r="U257" s="9" t="n">
        <f aca="false">IF(D257="",1,0)</f>
        <v>0</v>
      </c>
      <c r="V257" s="9" t="n">
        <f aca="false">IF(E257="",1,0)</f>
        <v>0</v>
      </c>
      <c r="W257" s="9" t="n">
        <f aca="false">IF(OR(H257&lt;1,H257&gt;10),1,0)</f>
        <v>0</v>
      </c>
      <c r="X257" s="9" t="n">
        <f aca="false">IF(OR(I257&lt;=0,I257&gt;1500),1,0)</f>
        <v>0</v>
      </c>
      <c r="Y257" s="9" t="n">
        <f aca="false">IF(J257&gt;H257*I257,1,0)</f>
        <v>0</v>
      </c>
      <c r="Z257" s="9" t="n">
        <f aca="false">IF(AND(N257&lt;&gt;"",OR(N257&lt;1,N257&gt;5)),1,0)</f>
        <v>0</v>
      </c>
      <c r="AA257" s="9" t="n">
        <f aca="false">IF(AND(M257&lt;&gt;"",OR(M257&lt;5,M257&gt;180)),1,0)</f>
        <v>0</v>
      </c>
      <c r="AB257" s="7" t="str">
        <f aca="false">IF(P257="DUP","Exact duplicate row",IF(T257=1,"Missing Order ID",IF(S257="DROP","Duplicate Order ID (less complete row)",IF(U257=1,"Missing Customer ID",IF(V257=1,"Missing Restaurant name",IF(W257=1,"Invalid/outlier quantity",IF(X257=1,"Invalid/outlier unit price",IF(Y257=1,"Discount greater than order value",""))))))))</f>
        <v/>
      </c>
      <c r="AC257" s="7" t="str">
        <f aca="false">IF(AB257="","KEEP","DROP")</f>
        <v>KEEP</v>
      </c>
      <c r="AD257" s="7" t="str">
        <f aca="false">IF(TRIM(F257)="",IFERROR(INDEX(Map_Tables!$I$4:$I$37,MATCH(TRIM(E257),Map_Tables!$G$4:$G$37,0)),""),IFERROR(INDEX(Map_Tables!$B$4:$B$18,MATCH(TRIM(F257),Map_Tables!$A$4:$A$18,0)),"CHECK"))</f>
        <v>Chennai</v>
      </c>
      <c r="AE257" s="7" t="str">
        <f aca="false">IF(TRIM(E257)="","",IFERROR(INDEX(Map_Tables!$H$4:$H$37,MATCH(TRIM(E257),Map_Tables!$G$4:$G$37,0)),"CHECK"))</f>
        <v>Madras Biryani Co</v>
      </c>
      <c r="AF257" s="7" t="str">
        <f aca="false">IF(TRIM(K257)="","Unknown",IFERROR(INDEX(Map_Tables!$E$4:$E$15,MATCH(TRIM(K257),Map_Tables!$D$4:$D$15,0)),"CHECK"))</f>
        <v>UPI</v>
      </c>
      <c r="AG257" s="7" t="str">
        <f aca="false">IF(LEFT(LOWER(TRIM(L257)),6)="cancel","Cancelled","Delivered")</f>
        <v>Delivered</v>
      </c>
      <c r="AH257" s="10" t="n">
        <f aca="false">IF(ISNUMBER(SEARCH("/",B257)),DATE(VALUE(RIGHT(B257,4)),VALUE(MID(B257,4,2)),VALUE(LEFT(B257,2))),IF(MID(B257,5,1)="-",DATE(VALUE(LEFT(B257,4)),VALUE(MID(B257,6,2)),VALUE(RIGHT(B257,2))),DATE(VALUE(RIGHT(B257,4)),MATCH(MID(B257,4,3),{"Jan","Feb","Mar","Apr","May","Jun","Jul","Aug","Sep","Oct","Nov","Dec"},0),VALUE(LEFT(B257,2)))))</f>
        <v>45744</v>
      </c>
    </row>
    <row r="258" customFormat="false" ht="15" hidden="false" customHeight="false" outlineLevel="0" collapsed="false">
      <c r="A258" s="7" t="s">
        <v>1135</v>
      </c>
      <c r="B258" s="7" t="s">
        <v>1136</v>
      </c>
      <c r="C258" s="7" t="s">
        <v>1137</v>
      </c>
      <c r="D258" s="7" t="s">
        <v>1138</v>
      </c>
      <c r="E258" s="7" t="s">
        <v>138</v>
      </c>
      <c r="F258" s="7" t="s">
        <v>110</v>
      </c>
      <c r="G258" s="7" t="s">
        <v>139</v>
      </c>
      <c r="H258" s="7" t="n">
        <v>3</v>
      </c>
      <c r="I258" s="7" t="n">
        <v>185</v>
      </c>
      <c r="J258" s="7" t="n">
        <v>20</v>
      </c>
      <c r="K258" s="7" t="s">
        <v>112</v>
      </c>
      <c r="L258" s="7" t="s">
        <v>194</v>
      </c>
      <c r="M258" s="7" t="n">
        <v>29</v>
      </c>
      <c r="N258" s="7" t="n">
        <v>3</v>
      </c>
      <c r="O258" s="7" t="str">
        <f aca="false">A258&amp;"|"&amp;B258&amp;"|"&amp;C258&amp;"|"&amp;D258&amp;"|"&amp;E258&amp;"|"&amp;F258&amp;"|"&amp;G258&amp;"|"&amp;H258&amp;"|"&amp;I258&amp;"|"&amp;J258&amp;"|"&amp;K258&amp;"|"&amp;L258&amp;"|"&amp;M258&amp;"|"&amp;N258</f>
        <v>ORD11978|2025-09-13|18:04|C1428|Burger Barn|Delhi|Burgers|3|185|20|Cash on Delivery|Delivered|29|3</v>
      </c>
      <c r="P258" s="7" t="str">
        <f aca="false">IF(COUNTIF($O$2:O258,O258)&gt;1,"DUP","OK")</f>
        <v>OK</v>
      </c>
      <c r="Q258" s="7" t="n">
        <f aca="false">COUNTBLANK(A258:N258)</f>
        <v>0</v>
      </c>
      <c r="R258" s="7" t="n">
        <f aca="false">IF(A258="",0,COUNTIFS($A$2:$A$3058,A258,$P$2:$P$3058,"OK"))</f>
        <v>1</v>
      </c>
      <c r="S258" s="7" t="str">
        <f aca="false">IF(OR(A258="",P258="DUP",R258&lt;2),"",IF(Q258=_xlfn.MINIFS($Q$2:$Q$3058,$A$2:$A$3058,A258,$P$2:$P$3058,"OK"),"KEEP","DROP"))</f>
        <v/>
      </c>
      <c r="T258" s="9" t="n">
        <f aca="false">IF(A258="",1,0)</f>
        <v>0</v>
      </c>
      <c r="U258" s="9" t="n">
        <f aca="false">IF(D258="",1,0)</f>
        <v>0</v>
      </c>
      <c r="V258" s="9" t="n">
        <f aca="false">IF(E258="",1,0)</f>
        <v>0</v>
      </c>
      <c r="W258" s="9" t="n">
        <f aca="false">IF(OR(H258&lt;1,H258&gt;10),1,0)</f>
        <v>0</v>
      </c>
      <c r="X258" s="9" t="n">
        <f aca="false">IF(OR(I258&lt;=0,I258&gt;1500),1,0)</f>
        <v>0</v>
      </c>
      <c r="Y258" s="9" t="n">
        <f aca="false">IF(J258&gt;H258*I258,1,0)</f>
        <v>0</v>
      </c>
      <c r="Z258" s="9" t="n">
        <f aca="false">IF(AND(N258&lt;&gt;"",OR(N258&lt;1,N258&gt;5)),1,0)</f>
        <v>0</v>
      </c>
      <c r="AA258" s="9" t="n">
        <f aca="false">IF(AND(M258&lt;&gt;"",OR(M258&lt;5,M258&gt;180)),1,0)</f>
        <v>0</v>
      </c>
      <c r="AB258" s="7" t="str">
        <f aca="false">IF(P258="DUP","Exact duplicate row",IF(T258=1,"Missing Order ID",IF(S258="DROP","Duplicate Order ID (less complete row)",IF(U258=1,"Missing Customer ID",IF(V258=1,"Missing Restaurant name",IF(W258=1,"Invalid/outlier quantity",IF(X258=1,"Invalid/outlier unit price",IF(Y258=1,"Discount greater than order value",""))))))))</f>
        <v/>
      </c>
      <c r="AC258" s="7" t="str">
        <f aca="false">IF(AB258="","KEEP","DROP")</f>
        <v>KEEP</v>
      </c>
      <c r="AD258" s="7" t="str">
        <f aca="false">IF(TRIM(F258)="",IFERROR(INDEX(Map_Tables!$I$4:$I$37,MATCH(TRIM(E258),Map_Tables!$G$4:$G$37,0)),""),IFERROR(INDEX(Map_Tables!$B$4:$B$18,MATCH(TRIM(F258),Map_Tables!$A$4:$A$18,0)),"CHECK"))</f>
        <v>Delhi</v>
      </c>
      <c r="AE258" s="7" t="str">
        <f aca="false">IF(TRIM(E258)="","",IFERROR(INDEX(Map_Tables!$H$4:$H$37,MATCH(TRIM(E258),Map_Tables!$G$4:$G$37,0)),"CHECK"))</f>
        <v>Burger Barn</v>
      </c>
      <c r="AF258" s="7" t="str">
        <f aca="false">IF(TRIM(K258)="","Unknown",IFERROR(INDEX(Map_Tables!$E$4:$E$15,MATCH(TRIM(K258),Map_Tables!$D$4:$D$15,0)),"CHECK"))</f>
        <v>Cash on Delivery</v>
      </c>
      <c r="AG258" s="7" t="str">
        <f aca="false">IF(LEFT(LOWER(TRIM(L258)),6)="cancel","Cancelled","Delivered")</f>
        <v>Delivered</v>
      </c>
      <c r="AH258" s="10" t="n">
        <f aca="false">IF(ISNUMBER(SEARCH("/",B258)),DATE(VALUE(RIGHT(B258,4)),VALUE(MID(B258,4,2)),VALUE(LEFT(B258,2))),IF(MID(B258,5,1)="-",DATE(VALUE(LEFT(B258,4)),VALUE(MID(B258,6,2)),VALUE(RIGHT(B258,2))),DATE(VALUE(RIGHT(B258,4)),MATCH(MID(B258,4,3),{"Jan","Feb","Mar","Apr","May","Jun","Jul","Aug","Sep","Oct","Nov","Dec"},0),VALUE(LEFT(B258,2)))))</f>
        <v>45913</v>
      </c>
    </row>
    <row r="259" customFormat="false" ht="15" hidden="false" customHeight="false" outlineLevel="0" collapsed="false">
      <c r="A259" s="7" t="s">
        <v>1139</v>
      </c>
      <c r="B259" s="7" t="s">
        <v>300</v>
      </c>
      <c r="C259" s="7" t="s">
        <v>1140</v>
      </c>
      <c r="D259" s="7" t="s">
        <v>1141</v>
      </c>
      <c r="E259" s="7" t="s">
        <v>1142</v>
      </c>
      <c r="F259" s="7" t="s">
        <v>101</v>
      </c>
      <c r="G259" s="7" t="s">
        <v>105</v>
      </c>
      <c r="H259" s="7" t="n">
        <v>3</v>
      </c>
      <c r="I259" s="7" t="n">
        <v>205</v>
      </c>
      <c r="J259" s="7" t="n">
        <v>0</v>
      </c>
      <c r="K259" s="7" t="s">
        <v>88</v>
      </c>
      <c r="L259" s="7" t="s">
        <v>194</v>
      </c>
      <c r="M259" s="7" t="n">
        <v>41</v>
      </c>
      <c r="N259" s="7" t="n">
        <v>5</v>
      </c>
      <c r="O259" s="7" t="str">
        <f aca="false">A259&amp;"|"&amp;B259&amp;"|"&amp;C259&amp;"|"&amp;D259&amp;"|"&amp;E259&amp;"|"&amp;F259&amp;"|"&amp;G259&amp;"|"&amp;H259&amp;"|"&amp;I259&amp;"|"&amp;J259&amp;"|"&amp;K259&amp;"|"&amp;L259&amp;"|"&amp;M259&amp;"|"&amp;N259</f>
        <v>ORD11491|2025-07-13|11:04|C1393|Dragon  Express|Mumbai|Chinese|3|205|0|UPI|Delivered|41|5</v>
      </c>
      <c r="P259" s="7" t="str">
        <f aca="false">IF(COUNTIF($O$2:O259,O259)&gt;1,"DUP","OK")</f>
        <v>OK</v>
      </c>
      <c r="Q259" s="7" t="n">
        <f aca="false">COUNTBLANK(A259:N259)</f>
        <v>0</v>
      </c>
      <c r="R259" s="7" t="n">
        <f aca="false">IF(A259="",0,COUNTIFS($A$2:$A$3058,A259,$P$2:$P$3058,"OK"))</f>
        <v>1</v>
      </c>
      <c r="S259" s="7" t="str">
        <f aca="false">IF(OR(A259="",P259="DUP",R259&lt;2),"",IF(Q259=_xlfn.MINIFS($Q$2:$Q$3058,$A$2:$A$3058,A259,$P$2:$P$3058,"OK"),"KEEP","DROP"))</f>
        <v/>
      </c>
      <c r="T259" s="9" t="n">
        <f aca="false">IF(A259="",1,0)</f>
        <v>0</v>
      </c>
      <c r="U259" s="9" t="n">
        <f aca="false">IF(D259="",1,0)</f>
        <v>0</v>
      </c>
      <c r="V259" s="9" t="n">
        <f aca="false">IF(E259="",1,0)</f>
        <v>0</v>
      </c>
      <c r="W259" s="9" t="n">
        <f aca="false">IF(OR(H259&lt;1,H259&gt;10),1,0)</f>
        <v>0</v>
      </c>
      <c r="X259" s="9" t="n">
        <f aca="false">IF(OR(I259&lt;=0,I259&gt;1500),1,0)</f>
        <v>0</v>
      </c>
      <c r="Y259" s="9" t="n">
        <f aca="false">IF(J259&gt;H259*I259,1,0)</f>
        <v>0</v>
      </c>
      <c r="Z259" s="9" t="n">
        <f aca="false">IF(AND(N259&lt;&gt;"",OR(N259&lt;1,N259&gt;5)),1,0)</f>
        <v>0</v>
      </c>
      <c r="AA259" s="9" t="n">
        <f aca="false">IF(AND(M259&lt;&gt;"",OR(M259&lt;5,M259&gt;180)),1,0)</f>
        <v>0</v>
      </c>
      <c r="AB259" s="7" t="str">
        <f aca="false">IF(P259="DUP","Exact duplicate row",IF(T259=1,"Missing Order ID",IF(S259="DROP","Duplicate Order ID (less complete row)",IF(U259=1,"Missing Customer ID",IF(V259=1,"Missing Restaurant name",IF(W259=1,"Invalid/outlier quantity",IF(X259=1,"Invalid/outlier unit price",IF(Y259=1,"Discount greater than order value",""))))))))</f>
        <v/>
      </c>
      <c r="AC259" s="7" t="str">
        <f aca="false">IF(AB259="","KEEP","DROP")</f>
        <v>KEEP</v>
      </c>
      <c r="AD259" s="7" t="str">
        <f aca="false">IF(TRIM(F259)="",IFERROR(INDEX(Map_Tables!$I$4:$I$37,MATCH(TRIM(E259),Map_Tables!$G$4:$G$37,0)),""),IFERROR(INDEX(Map_Tables!$B$4:$B$18,MATCH(TRIM(F259),Map_Tables!$A$4:$A$18,0)),"CHECK"))</f>
        <v>Mumbai</v>
      </c>
      <c r="AE259" s="7" t="str">
        <f aca="false">IF(TRIM(E259)="","",IFERROR(INDEX(Map_Tables!$H$4:$H$37,MATCH(TRIM(E259),Map_Tables!$G$4:$G$37,0)),"CHECK"))</f>
        <v>Dragon Express</v>
      </c>
      <c r="AF259" s="7" t="str">
        <f aca="false">IF(TRIM(K259)="","Unknown",IFERROR(INDEX(Map_Tables!$E$4:$E$15,MATCH(TRIM(K259),Map_Tables!$D$4:$D$15,0)),"CHECK"))</f>
        <v>UPI</v>
      </c>
      <c r="AG259" s="7" t="str">
        <f aca="false">IF(LEFT(LOWER(TRIM(L259)),6)="cancel","Cancelled","Delivered")</f>
        <v>Delivered</v>
      </c>
      <c r="AH259" s="10" t="n">
        <f aca="false">IF(ISNUMBER(SEARCH("/",B259)),DATE(VALUE(RIGHT(B259,4)),VALUE(MID(B259,4,2)),VALUE(LEFT(B259,2))),IF(MID(B259,5,1)="-",DATE(VALUE(LEFT(B259,4)),VALUE(MID(B259,6,2)),VALUE(RIGHT(B259,2))),DATE(VALUE(RIGHT(B259,4)),MATCH(MID(B259,4,3),{"Jan","Feb","Mar","Apr","May","Jun","Jul","Aug","Sep","Oct","Nov","Dec"},0),VALUE(LEFT(B259,2)))))</f>
        <v>45851</v>
      </c>
    </row>
    <row r="260" customFormat="false" ht="15" hidden="false" customHeight="false" outlineLevel="0" collapsed="false">
      <c r="A260" s="7" t="s">
        <v>1143</v>
      </c>
      <c r="B260" s="7" t="s">
        <v>1144</v>
      </c>
      <c r="C260" s="7" t="s">
        <v>1145</v>
      </c>
      <c r="D260" s="7" t="s">
        <v>1146</v>
      </c>
      <c r="E260" s="7" t="s">
        <v>130</v>
      </c>
      <c r="F260" s="7" t="s">
        <v>110</v>
      </c>
      <c r="G260" s="7" t="s">
        <v>90</v>
      </c>
      <c r="H260" s="7" t="n">
        <v>1</v>
      </c>
      <c r="I260" s="7" t="n">
        <v>275</v>
      </c>
      <c r="J260" s="7" t="n">
        <v>0</v>
      </c>
      <c r="K260" s="7" t="s">
        <v>93</v>
      </c>
      <c r="L260" s="7" t="s">
        <v>194</v>
      </c>
      <c r="M260" s="7" t="n">
        <v>32</v>
      </c>
      <c r="N260" s="7" t="n">
        <v>4</v>
      </c>
      <c r="O260" s="7" t="str">
        <f aca="false">A260&amp;"|"&amp;B260&amp;"|"&amp;C260&amp;"|"&amp;D260&amp;"|"&amp;E260&amp;"|"&amp;F260&amp;"|"&amp;G260&amp;"|"&amp;H260&amp;"|"&amp;I260&amp;"|"&amp;J260&amp;"|"&amp;K260&amp;"|"&amp;L260&amp;"|"&amp;M260&amp;"|"&amp;N260</f>
        <v>ORD11437|2025-07-05|18:47|C1110|Tandoor Tales|Delhi|North Indian|1|275|0|Credit Card|Delivered|32|4</v>
      </c>
      <c r="P260" s="7" t="str">
        <f aca="false">IF(COUNTIF($O$2:O260,O260)&gt;1,"DUP","OK")</f>
        <v>OK</v>
      </c>
      <c r="Q260" s="7" t="n">
        <f aca="false">COUNTBLANK(A260:N260)</f>
        <v>0</v>
      </c>
      <c r="R260" s="7" t="n">
        <f aca="false">IF(A260="",0,COUNTIFS($A$2:$A$3058,A260,$P$2:$P$3058,"OK"))</f>
        <v>1</v>
      </c>
      <c r="S260" s="7" t="str">
        <f aca="false">IF(OR(A260="",P260="DUP",R260&lt;2),"",IF(Q260=_xlfn.MINIFS($Q$2:$Q$3058,$A$2:$A$3058,A260,$P$2:$P$3058,"OK"),"KEEP","DROP"))</f>
        <v/>
      </c>
      <c r="T260" s="9" t="n">
        <f aca="false">IF(A260="",1,0)</f>
        <v>0</v>
      </c>
      <c r="U260" s="9" t="n">
        <f aca="false">IF(D260="",1,0)</f>
        <v>0</v>
      </c>
      <c r="V260" s="9" t="n">
        <f aca="false">IF(E260="",1,0)</f>
        <v>0</v>
      </c>
      <c r="W260" s="9" t="n">
        <f aca="false">IF(OR(H260&lt;1,H260&gt;10),1,0)</f>
        <v>0</v>
      </c>
      <c r="X260" s="9" t="n">
        <f aca="false">IF(OR(I260&lt;=0,I260&gt;1500),1,0)</f>
        <v>0</v>
      </c>
      <c r="Y260" s="9" t="n">
        <f aca="false">IF(J260&gt;H260*I260,1,0)</f>
        <v>0</v>
      </c>
      <c r="Z260" s="9" t="n">
        <f aca="false">IF(AND(N260&lt;&gt;"",OR(N260&lt;1,N260&gt;5)),1,0)</f>
        <v>0</v>
      </c>
      <c r="AA260" s="9" t="n">
        <f aca="false">IF(AND(M260&lt;&gt;"",OR(M260&lt;5,M260&gt;180)),1,0)</f>
        <v>0</v>
      </c>
      <c r="AB260" s="7" t="str">
        <f aca="false">IF(P260="DUP","Exact duplicate row",IF(T260=1,"Missing Order ID",IF(S260="DROP","Duplicate Order ID (less complete row)",IF(U260=1,"Missing Customer ID",IF(V260=1,"Missing Restaurant name",IF(W260=1,"Invalid/outlier quantity",IF(X260=1,"Invalid/outlier unit price",IF(Y260=1,"Discount greater than order value",""))))))))</f>
        <v/>
      </c>
      <c r="AC260" s="7" t="str">
        <f aca="false">IF(AB260="","KEEP","DROP")</f>
        <v>KEEP</v>
      </c>
      <c r="AD260" s="7" t="str">
        <f aca="false">IF(TRIM(F260)="",IFERROR(INDEX(Map_Tables!$I$4:$I$37,MATCH(TRIM(E260),Map_Tables!$G$4:$G$37,0)),""),IFERROR(INDEX(Map_Tables!$B$4:$B$18,MATCH(TRIM(F260),Map_Tables!$A$4:$A$18,0)),"CHECK"))</f>
        <v>Delhi</v>
      </c>
      <c r="AE260" s="7" t="str">
        <f aca="false">IF(TRIM(E260)="","",IFERROR(INDEX(Map_Tables!$H$4:$H$37,MATCH(TRIM(E260),Map_Tables!$G$4:$G$37,0)),"CHECK"))</f>
        <v>Tandoor Tales</v>
      </c>
      <c r="AF260" s="7" t="str">
        <f aca="false">IF(TRIM(K260)="","Unknown",IFERROR(INDEX(Map_Tables!$E$4:$E$15,MATCH(TRIM(K260),Map_Tables!$D$4:$D$15,0)),"CHECK"))</f>
        <v>Credit Card</v>
      </c>
      <c r="AG260" s="7" t="str">
        <f aca="false">IF(LEFT(LOWER(TRIM(L260)),6)="cancel","Cancelled","Delivered")</f>
        <v>Delivered</v>
      </c>
      <c r="AH260" s="10" t="n">
        <f aca="false">IF(ISNUMBER(SEARCH("/",B260)),DATE(VALUE(RIGHT(B260,4)),VALUE(MID(B260,4,2)),VALUE(LEFT(B260,2))),IF(MID(B260,5,1)="-",DATE(VALUE(LEFT(B260,4)),VALUE(MID(B260,6,2)),VALUE(RIGHT(B260,2))),DATE(VALUE(RIGHT(B260,4)),MATCH(MID(B260,4,3),{"Jan","Feb","Mar","Apr","May","Jun","Jul","Aug","Sep","Oct","Nov","Dec"},0),VALUE(LEFT(B260,2)))))</f>
        <v>45843</v>
      </c>
    </row>
    <row r="261" customFormat="false" ht="15" hidden="false" customHeight="false" outlineLevel="0" collapsed="false">
      <c r="A261" s="7" t="s">
        <v>1147</v>
      </c>
      <c r="B261" s="7" t="s">
        <v>625</v>
      </c>
      <c r="C261" s="7" t="s">
        <v>661</v>
      </c>
      <c r="D261" s="7" t="s">
        <v>1148</v>
      </c>
      <c r="E261" s="7" t="s">
        <v>144</v>
      </c>
      <c r="F261" s="7" t="s">
        <v>312</v>
      </c>
      <c r="G261" s="7" t="s">
        <v>99</v>
      </c>
      <c r="H261" s="7" t="n">
        <v>3</v>
      </c>
      <c r="I261" s="7" t="n">
        <v>345</v>
      </c>
      <c r="J261" s="7" t="n">
        <v>125</v>
      </c>
      <c r="K261" s="7" t="s">
        <v>88</v>
      </c>
      <c r="L261" s="7" t="s">
        <v>194</v>
      </c>
      <c r="M261" s="7" t="n">
        <v>31</v>
      </c>
      <c r="N261" s="7"/>
      <c r="O261" s="7" t="str">
        <f aca="false">A261&amp;"|"&amp;B261&amp;"|"&amp;C261&amp;"|"&amp;D261&amp;"|"&amp;E261&amp;"|"&amp;F261&amp;"|"&amp;G261&amp;"|"&amp;H261&amp;"|"&amp;I261&amp;"|"&amp;J261&amp;"|"&amp;K261&amp;"|"&amp;L261&amp;"|"&amp;M261&amp;"|"&amp;N261</f>
        <v>ORD11741|2025-08-16|12:35|C0341|Hyderabad Dum Biryani|Hyd|Biryani|3|345|125|UPI|Delivered|31|</v>
      </c>
      <c r="P261" s="7" t="str">
        <f aca="false">IF(COUNTIF($O$2:O261,O261)&gt;1,"DUP","OK")</f>
        <v>OK</v>
      </c>
      <c r="Q261" s="7" t="n">
        <f aca="false">COUNTBLANK(A261:N261)</f>
        <v>1</v>
      </c>
      <c r="R261" s="7" t="n">
        <f aca="false">IF(A261="",0,COUNTIFS($A$2:$A$3058,A261,$P$2:$P$3058,"OK"))</f>
        <v>1</v>
      </c>
      <c r="S261" s="7" t="str">
        <f aca="false">IF(OR(A261="",P261="DUP",R261&lt;2),"",IF(Q261=_xlfn.MINIFS($Q$2:$Q$3058,$A$2:$A$3058,A261,$P$2:$P$3058,"OK"),"KEEP","DROP"))</f>
        <v/>
      </c>
      <c r="T261" s="9" t="n">
        <f aca="false">IF(A261="",1,0)</f>
        <v>0</v>
      </c>
      <c r="U261" s="9" t="n">
        <f aca="false">IF(D261="",1,0)</f>
        <v>0</v>
      </c>
      <c r="V261" s="9" t="n">
        <f aca="false">IF(E261="",1,0)</f>
        <v>0</v>
      </c>
      <c r="W261" s="9" t="n">
        <f aca="false">IF(OR(H261&lt;1,H261&gt;10),1,0)</f>
        <v>0</v>
      </c>
      <c r="X261" s="9" t="n">
        <f aca="false">IF(OR(I261&lt;=0,I261&gt;1500),1,0)</f>
        <v>0</v>
      </c>
      <c r="Y261" s="9" t="n">
        <f aca="false">IF(J261&gt;H261*I261,1,0)</f>
        <v>0</v>
      </c>
      <c r="Z261" s="9" t="n">
        <f aca="false">IF(AND(N261&lt;&gt;"",OR(N261&lt;1,N261&gt;5)),1,0)</f>
        <v>0</v>
      </c>
      <c r="AA261" s="9" t="n">
        <f aca="false">IF(AND(M261&lt;&gt;"",OR(M261&lt;5,M261&gt;180)),1,0)</f>
        <v>0</v>
      </c>
      <c r="AB261" s="7" t="str">
        <f aca="false">IF(P261="DUP","Exact duplicate row",IF(T261=1,"Missing Order ID",IF(S261="DROP","Duplicate Order ID (less complete row)",IF(U261=1,"Missing Customer ID",IF(V261=1,"Missing Restaurant name",IF(W261=1,"Invalid/outlier quantity",IF(X261=1,"Invalid/outlier unit price",IF(Y261=1,"Discount greater than order value",""))))))))</f>
        <v/>
      </c>
      <c r="AC261" s="7" t="str">
        <f aca="false">IF(AB261="","KEEP","DROP")</f>
        <v>KEEP</v>
      </c>
      <c r="AD261" s="7" t="str">
        <f aca="false">IF(TRIM(F261)="",IFERROR(INDEX(Map_Tables!$I$4:$I$37,MATCH(TRIM(E261),Map_Tables!$G$4:$G$37,0)),""),IFERROR(INDEX(Map_Tables!$B$4:$B$18,MATCH(TRIM(F261),Map_Tables!$A$4:$A$18,0)),"CHECK"))</f>
        <v>Hyderabad</v>
      </c>
      <c r="AE261" s="7" t="str">
        <f aca="false">IF(TRIM(E261)="","",IFERROR(INDEX(Map_Tables!$H$4:$H$37,MATCH(TRIM(E261),Map_Tables!$G$4:$G$37,0)),"CHECK"))</f>
        <v>Hyderabad Dum Biryani</v>
      </c>
      <c r="AF261" s="7" t="str">
        <f aca="false">IF(TRIM(K261)="","Unknown",IFERROR(INDEX(Map_Tables!$E$4:$E$15,MATCH(TRIM(K261),Map_Tables!$D$4:$D$15,0)),"CHECK"))</f>
        <v>UPI</v>
      </c>
      <c r="AG261" s="7" t="str">
        <f aca="false">IF(LEFT(LOWER(TRIM(L261)),6)="cancel","Cancelled","Delivered")</f>
        <v>Delivered</v>
      </c>
      <c r="AH261" s="10" t="n">
        <f aca="false">IF(ISNUMBER(SEARCH("/",B261)),DATE(VALUE(RIGHT(B261,4)),VALUE(MID(B261,4,2)),VALUE(LEFT(B261,2))),IF(MID(B261,5,1)="-",DATE(VALUE(LEFT(B261,4)),VALUE(MID(B261,6,2)),VALUE(RIGHT(B261,2))),DATE(VALUE(RIGHT(B261,4)),MATCH(MID(B261,4,3),{"Jan","Feb","Mar","Apr","May","Jun","Jul","Aug","Sep","Oct","Nov","Dec"},0),VALUE(LEFT(B261,2)))))</f>
        <v>45885</v>
      </c>
    </row>
    <row r="262" customFormat="false" ht="15" hidden="false" customHeight="false" outlineLevel="0" collapsed="false">
      <c r="A262" s="7" t="s">
        <v>1149</v>
      </c>
      <c r="B262" s="7" t="s">
        <v>1150</v>
      </c>
      <c r="C262" s="7" t="s">
        <v>1151</v>
      </c>
      <c r="D262" s="7" t="s">
        <v>374</v>
      </c>
      <c r="E262" s="7" t="s">
        <v>164</v>
      </c>
      <c r="F262" s="7" t="s">
        <v>141</v>
      </c>
      <c r="G262" s="7" t="s">
        <v>150</v>
      </c>
      <c r="H262" s="7" t="n">
        <v>2</v>
      </c>
      <c r="I262" s="7" t="n">
        <v>135</v>
      </c>
      <c r="J262" s="7" t="n">
        <v>0</v>
      </c>
      <c r="K262" s="7" t="s">
        <v>133</v>
      </c>
      <c r="L262" s="7" t="s">
        <v>194</v>
      </c>
      <c r="M262" s="7" t="n">
        <v>27</v>
      </c>
      <c r="N262" s="7"/>
      <c r="O262" s="7" t="str">
        <f aca="false">A262&amp;"|"&amp;B262&amp;"|"&amp;C262&amp;"|"&amp;D262&amp;"|"&amp;E262&amp;"|"&amp;F262&amp;"|"&amp;G262&amp;"|"&amp;H262&amp;"|"&amp;I262&amp;"|"&amp;J262&amp;"|"&amp;K262&amp;"|"&amp;L262&amp;"|"&amp;M262&amp;"|"&amp;N262</f>
        <v>ORD10537|2025-03-10|14:03|C0254|Mishti Mandir|Kolkata|Desserts|2|135|0|Net Banking|Delivered|27|</v>
      </c>
      <c r="P262" s="7" t="str">
        <f aca="false">IF(COUNTIF($O$2:O262,O262)&gt;1,"DUP","OK")</f>
        <v>OK</v>
      </c>
      <c r="Q262" s="7" t="n">
        <f aca="false">COUNTBLANK(A262:N262)</f>
        <v>1</v>
      </c>
      <c r="R262" s="7" t="n">
        <f aca="false">IF(A262="",0,COUNTIFS($A$2:$A$3058,A262,$P$2:$P$3058,"OK"))</f>
        <v>1</v>
      </c>
      <c r="S262" s="7" t="str">
        <f aca="false">IF(OR(A262="",P262="DUP",R262&lt;2),"",IF(Q262=_xlfn.MINIFS($Q$2:$Q$3058,$A$2:$A$3058,A262,$P$2:$P$3058,"OK"),"KEEP","DROP"))</f>
        <v/>
      </c>
      <c r="T262" s="9" t="n">
        <f aca="false">IF(A262="",1,0)</f>
        <v>0</v>
      </c>
      <c r="U262" s="9" t="n">
        <f aca="false">IF(D262="",1,0)</f>
        <v>0</v>
      </c>
      <c r="V262" s="9" t="n">
        <f aca="false">IF(E262="",1,0)</f>
        <v>0</v>
      </c>
      <c r="W262" s="9" t="n">
        <f aca="false">IF(OR(H262&lt;1,H262&gt;10),1,0)</f>
        <v>0</v>
      </c>
      <c r="X262" s="9" t="n">
        <f aca="false">IF(OR(I262&lt;=0,I262&gt;1500),1,0)</f>
        <v>0</v>
      </c>
      <c r="Y262" s="9" t="n">
        <f aca="false">IF(J262&gt;H262*I262,1,0)</f>
        <v>0</v>
      </c>
      <c r="Z262" s="9" t="n">
        <f aca="false">IF(AND(N262&lt;&gt;"",OR(N262&lt;1,N262&gt;5)),1,0)</f>
        <v>0</v>
      </c>
      <c r="AA262" s="9" t="n">
        <f aca="false">IF(AND(M262&lt;&gt;"",OR(M262&lt;5,M262&gt;180)),1,0)</f>
        <v>0</v>
      </c>
      <c r="AB262" s="7" t="str">
        <f aca="false">IF(P262="DUP","Exact duplicate row",IF(T262=1,"Missing Order ID",IF(S262="DROP","Duplicate Order ID (less complete row)",IF(U262=1,"Missing Customer ID",IF(V262=1,"Missing Restaurant name",IF(W262=1,"Invalid/outlier quantity",IF(X262=1,"Invalid/outlier unit price",IF(Y262=1,"Discount greater than order value",""))))))))</f>
        <v/>
      </c>
      <c r="AC262" s="7" t="str">
        <f aca="false">IF(AB262="","KEEP","DROP")</f>
        <v>KEEP</v>
      </c>
      <c r="AD262" s="7" t="str">
        <f aca="false">IF(TRIM(F262)="",IFERROR(INDEX(Map_Tables!$I$4:$I$37,MATCH(TRIM(E262),Map_Tables!$G$4:$G$37,0)),""),IFERROR(INDEX(Map_Tables!$B$4:$B$18,MATCH(TRIM(F262),Map_Tables!$A$4:$A$18,0)),"CHECK"))</f>
        <v>Kolkata</v>
      </c>
      <c r="AE262" s="7" t="str">
        <f aca="false">IF(TRIM(E262)="","",IFERROR(INDEX(Map_Tables!$H$4:$H$37,MATCH(TRIM(E262),Map_Tables!$G$4:$G$37,0)),"CHECK"))</f>
        <v>Mishti Mandir</v>
      </c>
      <c r="AF262" s="7" t="str">
        <f aca="false">IF(TRIM(K262)="","Unknown",IFERROR(INDEX(Map_Tables!$E$4:$E$15,MATCH(TRIM(K262),Map_Tables!$D$4:$D$15,0)),"CHECK"))</f>
        <v>Net Banking</v>
      </c>
      <c r="AG262" s="7" t="str">
        <f aca="false">IF(LEFT(LOWER(TRIM(L262)),6)="cancel","Cancelled","Delivered")</f>
        <v>Delivered</v>
      </c>
      <c r="AH262" s="10" t="n">
        <f aca="false">IF(ISNUMBER(SEARCH("/",B262)),DATE(VALUE(RIGHT(B262,4)),VALUE(MID(B262,4,2)),VALUE(LEFT(B262,2))),IF(MID(B262,5,1)="-",DATE(VALUE(LEFT(B262,4)),VALUE(MID(B262,6,2)),VALUE(RIGHT(B262,2))),DATE(VALUE(RIGHT(B262,4)),MATCH(MID(B262,4,3),{"Jan","Feb","Mar","Apr","May","Jun","Jul","Aug","Sep","Oct","Nov","Dec"},0),VALUE(LEFT(B262,2)))))</f>
        <v>45726</v>
      </c>
    </row>
    <row r="263" customFormat="false" ht="15" hidden="false" customHeight="false" outlineLevel="0" collapsed="false">
      <c r="A263" s="7" t="s">
        <v>1152</v>
      </c>
      <c r="B263" s="7" t="s">
        <v>865</v>
      </c>
      <c r="C263" s="7" t="s">
        <v>1153</v>
      </c>
      <c r="D263" s="7" t="s">
        <v>1154</v>
      </c>
      <c r="E263" s="7" t="s">
        <v>1155</v>
      </c>
      <c r="F263" s="7" t="s">
        <v>110</v>
      </c>
      <c r="G263" s="7" t="s">
        <v>105</v>
      </c>
      <c r="H263" s="7" t="n">
        <v>1</v>
      </c>
      <c r="I263" s="7" t="n">
        <v>180</v>
      </c>
      <c r="J263" s="7" t="n">
        <v>0</v>
      </c>
      <c r="K263" s="7" t="s">
        <v>112</v>
      </c>
      <c r="L263" s="7" t="s">
        <v>194</v>
      </c>
      <c r="M263" s="7" t="n">
        <v>55</v>
      </c>
      <c r="N263" s="7"/>
      <c r="O263" s="7" t="str">
        <f aca="false">A263&amp;"|"&amp;B263&amp;"|"&amp;C263&amp;"|"&amp;D263&amp;"|"&amp;E263&amp;"|"&amp;F263&amp;"|"&amp;G263&amp;"|"&amp;H263&amp;"|"&amp;I263&amp;"|"&amp;J263&amp;"|"&amp;K263&amp;"|"&amp;L263&amp;"|"&amp;M263&amp;"|"&amp;N263</f>
        <v>ORD12640|2025-11-22|20:45|C1318| Momo Magic|Delhi|Chinese|1|180|0|Cash on Delivery|Delivered|55|</v>
      </c>
      <c r="P263" s="7" t="str">
        <f aca="false">IF(COUNTIF($O$2:O263,O263)&gt;1,"DUP","OK")</f>
        <v>OK</v>
      </c>
      <c r="Q263" s="7" t="n">
        <f aca="false">COUNTBLANK(A263:N263)</f>
        <v>1</v>
      </c>
      <c r="R263" s="7" t="n">
        <f aca="false">IF(A263="",0,COUNTIFS($A$2:$A$3058,A263,$P$2:$P$3058,"OK"))</f>
        <v>1</v>
      </c>
      <c r="S263" s="7" t="str">
        <f aca="false">IF(OR(A263="",P263="DUP",R263&lt;2),"",IF(Q263=_xlfn.MINIFS($Q$2:$Q$3058,$A$2:$A$3058,A263,$P$2:$P$3058,"OK"),"KEEP","DROP"))</f>
        <v/>
      </c>
      <c r="T263" s="9" t="n">
        <f aca="false">IF(A263="",1,0)</f>
        <v>0</v>
      </c>
      <c r="U263" s="9" t="n">
        <f aca="false">IF(D263="",1,0)</f>
        <v>0</v>
      </c>
      <c r="V263" s="9" t="n">
        <f aca="false">IF(E263="",1,0)</f>
        <v>0</v>
      </c>
      <c r="W263" s="9" t="n">
        <f aca="false">IF(OR(H263&lt;1,H263&gt;10),1,0)</f>
        <v>0</v>
      </c>
      <c r="X263" s="9" t="n">
        <f aca="false">IF(OR(I263&lt;=0,I263&gt;1500),1,0)</f>
        <v>0</v>
      </c>
      <c r="Y263" s="9" t="n">
        <f aca="false">IF(J263&gt;H263*I263,1,0)</f>
        <v>0</v>
      </c>
      <c r="Z263" s="9" t="n">
        <f aca="false">IF(AND(N263&lt;&gt;"",OR(N263&lt;1,N263&gt;5)),1,0)</f>
        <v>0</v>
      </c>
      <c r="AA263" s="9" t="n">
        <f aca="false">IF(AND(M263&lt;&gt;"",OR(M263&lt;5,M263&gt;180)),1,0)</f>
        <v>0</v>
      </c>
      <c r="AB263" s="7" t="str">
        <f aca="false">IF(P263="DUP","Exact duplicate row",IF(T263=1,"Missing Order ID",IF(S263="DROP","Duplicate Order ID (less complete row)",IF(U263=1,"Missing Customer ID",IF(V263=1,"Missing Restaurant name",IF(W263=1,"Invalid/outlier quantity",IF(X263=1,"Invalid/outlier unit price",IF(Y263=1,"Discount greater than order value",""))))))))</f>
        <v/>
      </c>
      <c r="AC263" s="7" t="str">
        <f aca="false">IF(AB263="","KEEP","DROP")</f>
        <v>KEEP</v>
      </c>
      <c r="AD263" s="7" t="str">
        <f aca="false">IF(TRIM(F263)="",IFERROR(INDEX(Map_Tables!$I$4:$I$37,MATCH(TRIM(E263),Map_Tables!$G$4:$G$37,0)),""),IFERROR(INDEX(Map_Tables!$B$4:$B$18,MATCH(TRIM(F263),Map_Tables!$A$4:$A$18,0)),"CHECK"))</f>
        <v>Delhi</v>
      </c>
      <c r="AE263" s="7" t="str">
        <f aca="false">IF(TRIM(E263)="","",IFERROR(INDEX(Map_Tables!$H$4:$H$37,MATCH(TRIM(E263),Map_Tables!$G$4:$G$37,0)),"CHECK"))</f>
        <v>Momo Magic</v>
      </c>
      <c r="AF263" s="7" t="str">
        <f aca="false">IF(TRIM(K263)="","Unknown",IFERROR(INDEX(Map_Tables!$E$4:$E$15,MATCH(TRIM(K263),Map_Tables!$D$4:$D$15,0)),"CHECK"))</f>
        <v>Cash on Delivery</v>
      </c>
      <c r="AG263" s="7" t="str">
        <f aca="false">IF(LEFT(LOWER(TRIM(L263)),6)="cancel","Cancelled","Delivered")</f>
        <v>Delivered</v>
      </c>
      <c r="AH263" s="10" t="n">
        <f aca="false">IF(ISNUMBER(SEARCH("/",B263)),DATE(VALUE(RIGHT(B263,4)),VALUE(MID(B263,4,2)),VALUE(LEFT(B263,2))),IF(MID(B263,5,1)="-",DATE(VALUE(LEFT(B263,4)),VALUE(MID(B263,6,2)),VALUE(RIGHT(B263,2))),DATE(VALUE(RIGHT(B263,4)),MATCH(MID(B263,4,3),{"Jan","Feb","Mar","Apr","May","Jun","Jul","Aug","Sep","Oct","Nov","Dec"},0),VALUE(LEFT(B263,2)))))</f>
        <v>45983</v>
      </c>
    </row>
    <row r="264" customFormat="false" ht="15" hidden="false" customHeight="false" outlineLevel="0" collapsed="false">
      <c r="A264" s="7" t="s">
        <v>1156</v>
      </c>
      <c r="B264" s="7" t="s">
        <v>240</v>
      </c>
      <c r="C264" s="7" t="s">
        <v>1157</v>
      </c>
      <c r="D264" s="7" t="s">
        <v>1158</v>
      </c>
      <c r="E264" s="7" t="s">
        <v>134</v>
      </c>
      <c r="F264" s="7" t="s">
        <v>110</v>
      </c>
      <c r="G264" s="7" t="s">
        <v>117</v>
      </c>
      <c r="H264" s="7" t="n">
        <v>2</v>
      </c>
      <c r="I264" s="7" t="n">
        <v>100</v>
      </c>
      <c r="J264" s="7" t="n">
        <v>0</v>
      </c>
      <c r="K264" s="7" t="s">
        <v>92</v>
      </c>
      <c r="L264" s="7" t="s">
        <v>238</v>
      </c>
      <c r="M264" s="7"/>
      <c r="N264" s="7"/>
      <c r="O264" s="7" t="str">
        <f aca="false">A264&amp;"|"&amp;B264&amp;"|"&amp;C264&amp;"|"&amp;D264&amp;"|"&amp;E264&amp;"|"&amp;F264&amp;"|"&amp;G264&amp;"|"&amp;H264&amp;"|"&amp;I264&amp;"|"&amp;J264&amp;"|"&amp;K264&amp;"|"&amp;L264&amp;"|"&amp;M264&amp;"|"&amp;N264</f>
        <v>ORD12144|2025-10-02|01:14|C0928|Chaat Corner|Delhi|Street Food|2|100|0|credit card|Cancelled||</v>
      </c>
      <c r="P264" s="7" t="str">
        <f aca="false">IF(COUNTIF($O$2:O264,O264)&gt;1,"DUP","OK")</f>
        <v>OK</v>
      </c>
      <c r="Q264" s="7" t="n">
        <f aca="false">COUNTBLANK(A264:N264)</f>
        <v>2</v>
      </c>
      <c r="R264" s="7" t="n">
        <f aca="false">IF(A264="",0,COUNTIFS($A$2:$A$3058,A264,$P$2:$P$3058,"OK"))</f>
        <v>1</v>
      </c>
      <c r="S264" s="7" t="str">
        <f aca="false">IF(OR(A264="",P264="DUP",R264&lt;2),"",IF(Q264=_xlfn.MINIFS($Q$2:$Q$3058,$A$2:$A$3058,A264,$P$2:$P$3058,"OK"),"KEEP","DROP"))</f>
        <v/>
      </c>
      <c r="T264" s="9" t="n">
        <f aca="false">IF(A264="",1,0)</f>
        <v>0</v>
      </c>
      <c r="U264" s="9" t="n">
        <f aca="false">IF(D264="",1,0)</f>
        <v>0</v>
      </c>
      <c r="V264" s="9" t="n">
        <f aca="false">IF(E264="",1,0)</f>
        <v>0</v>
      </c>
      <c r="W264" s="9" t="n">
        <f aca="false">IF(OR(H264&lt;1,H264&gt;10),1,0)</f>
        <v>0</v>
      </c>
      <c r="X264" s="9" t="n">
        <f aca="false">IF(OR(I264&lt;=0,I264&gt;1500),1,0)</f>
        <v>0</v>
      </c>
      <c r="Y264" s="9" t="n">
        <f aca="false">IF(J264&gt;H264*I264,1,0)</f>
        <v>0</v>
      </c>
      <c r="Z264" s="9" t="n">
        <f aca="false">IF(AND(N264&lt;&gt;"",OR(N264&lt;1,N264&gt;5)),1,0)</f>
        <v>0</v>
      </c>
      <c r="AA264" s="9" t="n">
        <f aca="false">IF(AND(M264&lt;&gt;"",OR(M264&lt;5,M264&gt;180)),1,0)</f>
        <v>0</v>
      </c>
      <c r="AB264" s="7" t="str">
        <f aca="false">IF(P264="DUP","Exact duplicate row",IF(T264=1,"Missing Order ID",IF(S264="DROP","Duplicate Order ID (less complete row)",IF(U264=1,"Missing Customer ID",IF(V264=1,"Missing Restaurant name",IF(W264=1,"Invalid/outlier quantity",IF(X264=1,"Invalid/outlier unit price",IF(Y264=1,"Discount greater than order value",""))))))))</f>
        <v/>
      </c>
      <c r="AC264" s="7" t="str">
        <f aca="false">IF(AB264="","KEEP","DROP")</f>
        <v>KEEP</v>
      </c>
      <c r="AD264" s="7" t="str">
        <f aca="false">IF(TRIM(F264)="",IFERROR(INDEX(Map_Tables!$I$4:$I$37,MATCH(TRIM(E264),Map_Tables!$G$4:$G$37,0)),""),IFERROR(INDEX(Map_Tables!$B$4:$B$18,MATCH(TRIM(F264),Map_Tables!$A$4:$A$18,0)),"CHECK"))</f>
        <v>Delhi</v>
      </c>
      <c r="AE264" s="7" t="str">
        <f aca="false">IF(TRIM(E264)="","",IFERROR(INDEX(Map_Tables!$H$4:$H$37,MATCH(TRIM(E264),Map_Tables!$G$4:$G$37,0)),"CHECK"))</f>
        <v>Chaat Corner</v>
      </c>
      <c r="AF264" s="7" t="str">
        <f aca="false">IF(TRIM(K264)="","Unknown",IFERROR(INDEX(Map_Tables!$E$4:$E$15,MATCH(TRIM(K264),Map_Tables!$D$4:$D$15,0)),"CHECK"))</f>
        <v>Credit Card</v>
      </c>
      <c r="AG264" s="7" t="str">
        <f aca="false">IF(LEFT(LOWER(TRIM(L264)),6)="cancel","Cancelled","Delivered")</f>
        <v>Cancelled</v>
      </c>
      <c r="AH264" s="10" t="n">
        <f aca="false">IF(ISNUMBER(SEARCH("/",B264)),DATE(VALUE(RIGHT(B264,4)),VALUE(MID(B264,4,2)),VALUE(LEFT(B264,2))),IF(MID(B264,5,1)="-",DATE(VALUE(LEFT(B264,4)),VALUE(MID(B264,6,2)),VALUE(RIGHT(B264,2))),DATE(VALUE(RIGHT(B264,4)),MATCH(MID(B264,4,3),{"Jan","Feb","Mar","Apr","May","Jun","Jul","Aug","Sep","Oct","Nov","Dec"},0),VALUE(LEFT(B264,2)))))</f>
        <v>45932</v>
      </c>
    </row>
    <row r="265" customFormat="false" ht="15" hidden="false" customHeight="false" outlineLevel="0" collapsed="false">
      <c r="A265" s="7" t="s">
        <v>1159</v>
      </c>
      <c r="B265" s="7" t="s">
        <v>1160</v>
      </c>
      <c r="C265" s="7" t="s">
        <v>1161</v>
      </c>
      <c r="D265" s="7" t="s">
        <v>721</v>
      </c>
      <c r="E265" s="7" t="s">
        <v>147</v>
      </c>
      <c r="F265" s="7" t="s">
        <v>119</v>
      </c>
      <c r="G265" s="7" t="s">
        <v>95</v>
      </c>
      <c r="H265" s="7" t="n">
        <v>2</v>
      </c>
      <c r="I265" s="7" t="n">
        <v>135</v>
      </c>
      <c r="J265" s="7" t="n">
        <v>30</v>
      </c>
      <c r="K265" s="7" t="s">
        <v>112</v>
      </c>
      <c r="L265" s="7" t="s">
        <v>194</v>
      </c>
      <c r="M265" s="7" t="n">
        <v>35</v>
      </c>
      <c r="N265" s="7"/>
      <c r="O265" s="7" t="str">
        <f aca="false">A265&amp;"|"&amp;B265&amp;"|"&amp;C265&amp;"|"&amp;D265&amp;"|"&amp;E265&amp;"|"&amp;F265&amp;"|"&amp;G265&amp;"|"&amp;H265&amp;"|"&amp;I265&amp;"|"&amp;J265&amp;"|"&amp;K265&amp;"|"&amp;L265&amp;"|"&amp;M265&amp;"|"&amp;N265</f>
        <v>ORD10548|2025-03-11|13:17|C1430|Andhra Meals Mess|Hyderabad|South Indian|2|135|30|Cash on Delivery|Delivered|35|</v>
      </c>
      <c r="P265" s="7" t="str">
        <f aca="false">IF(COUNTIF($O$2:O265,O265)&gt;1,"DUP","OK")</f>
        <v>OK</v>
      </c>
      <c r="Q265" s="7" t="n">
        <f aca="false">COUNTBLANK(A265:N265)</f>
        <v>1</v>
      </c>
      <c r="R265" s="7" t="n">
        <f aca="false">IF(A265="",0,COUNTIFS($A$2:$A$3058,A265,$P$2:$P$3058,"OK"))</f>
        <v>1</v>
      </c>
      <c r="S265" s="7" t="str">
        <f aca="false">IF(OR(A265="",P265="DUP",R265&lt;2),"",IF(Q265=_xlfn.MINIFS($Q$2:$Q$3058,$A$2:$A$3058,A265,$P$2:$P$3058,"OK"),"KEEP","DROP"))</f>
        <v/>
      </c>
      <c r="T265" s="9" t="n">
        <f aca="false">IF(A265="",1,0)</f>
        <v>0</v>
      </c>
      <c r="U265" s="9" t="n">
        <f aca="false">IF(D265="",1,0)</f>
        <v>0</v>
      </c>
      <c r="V265" s="9" t="n">
        <f aca="false">IF(E265="",1,0)</f>
        <v>0</v>
      </c>
      <c r="W265" s="9" t="n">
        <f aca="false">IF(OR(H265&lt;1,H265&gt;10),1,0)</f>
        <v>0</v>
      </c>
      <c r="X265" s="9" t="n">
        <f aca="false">IF(OR(I265&lt;=0,I265&gt;1500),1,0)</f>
        <v>0</v>
      </c>
      <c r="Y265" s="9" t="n">
        <f aca="false">IF(J265&gt;H265*I265,1,0)</f>
        <v>0</v>
      </c>
      <c r="Z265" s="9" t="n">
        <f aca="false">IF(AND(N265&lt;&gt;"",OR(N265&lt;1,N265&gt;5)),1,0)</f>
        <v>0</v>
      </c>
      <c r="AA265" s="9" t="n">
        <f aca="false">IF(AND(M265&lt;&gt;"",OR(M265&lt;5,M265&gt;180)),1,0)</f>
        <v>0</v>
      </c>
      <c r="AB265" s="7" t="str">
        <f aca="false">IF(P265="DUP","Exact duplicate row",IF(T265=1,"Missing Order ID",IF(S265="DROP","Duplicate Order ID (less complete row)",IF(U265=1,"Missing Customer ID",IF(V265=1,"Missing Restaurant name",IF(W265=1,"Invalid/outlier quantity",IF(X265=1,"Invalid/outlier unit price",IF(Y265=1,"Discount greater than order value",""))))))))</f>
        <v/>
      </c>
      <c r="AC265" s="7" t="str">
        <f aca="false">IF(AB265="","KEEP","DROP")</f>
        <v>KEEP</v>
      </c>
      <c r="AD265" s="7" t="str">
        <f aca="false">IF(TRIM(F265)="",IFERROR(INDEX(Map_Tables!$I$4:$I$37,MATCH(TRIM(E265),Map_Tables!$G$4:$G$37,0)),""),IFERROR(INDEX(Map_Tables!$B$4:$B$18,MATCH(TRIM(F265),Map_Tables!$A$4:$A$18,0)),"CHECK"))</f>
        <v>Hyderabad</v>
      </c>
      <c r="AE265" s="7" t="str">
        <f aca="false">IF(TRIM(E265)="","",IFERROR(INDEX(Map_Tables!$H$4:$H$37,MATCH(TRIM(E265),Map_Tables!$G$4:$G$37,0)),"CHECK"))</f>
        <v>Andhra Meals Mess</v>
      </c>
      <c r="AF265" s="7" t="str">
        <f aca="false">IF(TRIM(K265)="","Unknown",IFERROR(INDEX(Map_Tables!$E$4:$E$15,MATCH(TRIM(K265),Map_Tables!$D$4:$D$15,0)),"CHECK"))</f>
        <v>Cash on Delivery</v>
      </c>
      <c r="AG265" s="7" t="str">
        <f aca="false">IF(LEFT(LOWER(TRIM(L265)),6)="cancel","Cancelled","Delivered")</f>
        <v>Delivered</v>
      </c>
      <c r="AH265" s="10" t="n">
        <f aca="false">IF(ISNUMBER(SEARCH("/",B265)),DATE(VALUE(RIGHT(B265,4)),VALUE(MID(B265,4,2)),VALUE(LEFT(B265,2))),IF(MID(B265,5,1)="-",DATE(VALUE(LEFT(B265,4)),VALUE(MID(B265,6,2)),VALUE(RIGHT(B265,2))),DATE(VALUE(RIGHT(B265,4)),MATCH(MID(B265,4,3),{"Jan","Feb","Mar","Apr","May","Jun","Jul","Aug","Sep","Oct","Nov","Dec"},0),VALUE(LEFT(B265,2)))))</f>
        <v>45727</v>
      </c>
    </row>
    <row r="266" customFormat="false" ht="15" hidden="false" customHeight="false" outlineLevel="0" collapsed="false">
      <c r="A266" s="7" t="s">
        <v>1162</v>
      </c>
      <c r="B266" s="7" t="s">
        <v>1163</v>
      </c>
      <c r="C266" s="7" t="s">
        <v>1164</v>
      </c>
      <c r="D266" s="7" t="s">
        <v>1165</v>
      </c>
      <c r="E266" s="7" t="s">
        <v>122</v>
      </c>
      <c r="F266" s="7" t="s">
        <v>101</v>
      </c>
      <c r="G266" s="7" t="s">
        <v>123</v>
      </c>
      <c r="H266" s="7" t="n">
        <v>2</v>
      </c>
      <c r="I266" s="7" t="n">
        <v>310</v>
      </c>
      <c r="J266" s="7" t="n">
        <v>20</v>
      </c>
      <c r="K266" s="7" t="s">
        <v>421</v>
      </c>
      <c r="L266" s="7" t="s">
        <v>194</v>
      </c>
      <c r="M266" s="7" t="n">
        <v>43</v>
      </c>
      <c r="N266" s="7"/>
      <c r="O266" s="7" t="str">
        <f aca="false">A266&amp;"|"&amp;B266&amp;"|"&amp;C266&amp;"|"&amp;D266&amp;"|"&amp;E266&amp;"|"&amp;F266&amp;"|"&amp;G266&amp;"|"&amp;H266&amp;"|"&amp;I266&amp;"|"&amp;J266&amp;"|"&amp;K266&amp;"|"&amp;L266&amp;"|"&amp;M266&amp;"|"&amp;N266</f>
        <v>ORD12201|2025-10-07|13:25|C0719|Mumbai Pizza Co|Mumbai|Pizza|2|310|20|UPI |Delivered|43|</v>
      </c>
      <c r="P266" s="7" t="str">
        <f aca="false">IF(COUNTIF($O$2:O266,O266)&gt;1,"DUP","OK")</f>
        <v>OK</v>
      </c>
      <c r="Q266" s="7" t="n">
        <f aca="false">COUNTBLANK(A266:N266)</f>
        <v>1</v>
      </c>
      <c r="R266" s="7" t="n">
        <f aca="false">IF(A266="",0,COUNTIFS($A$2:$A$3058,A266,$P$2:$P$3058,"OK"))</f>
        <v>1</v>
      </c>
      <c r="S266" s="7" t="str">
        <f aca="false">IF(OR(A266="",P266="DUP",R266&lt;2),"",IF(Q266=_xlfn.MINIFS($Q$2:$Q$3058,$A$2:$A$3058,A266,$P$2:$P$3058,"OK"),"KEEP","DROP"))</f>
        <v/>
      </c>
      <c r="T266" s="9" t="n">
        <f aca="false">IF(A266="",1,0)</f>
        <v>0</v>
      </c>
      <c r="U266" s="9" t="n">
        <f aca="false">IF(D266="",1,0)</f>
        <v>0</v>
      </c>
      <c r="V266" s="9" t="n">
        <f aca="false">IF(E266="",1,0)</f>
        <v>0</v>
      </c>
      <c r="W266" s="9" t="n">
        <f aca="false">IF(OR(H266&lt;1,H266&gt;10),1,0)</f>
        <v>0</v>
      </c>
      <c r="X266" s="9" t="n">
        <f aca="false">IF(OR(I266&lt;=0,I266&gt;1500),1,0)</f>
        <v>0</v>
      </c>
      <c r="Y266" s="9" t="n">
        <f aca="false">IF(J266&gt;H266*I266,1,0)</f>
        <v>0</v>
      </c>
      <c r="Z266" s="9" t="n">
        <f aca="false">IF(AND(N266&lt;&gt;"",OR(N266&lt;1,N266&gt;5)),1,0)</f>
        <v>0</v>
      </c>
      <c r="AA266" s="9" t="n">
        <f aca="false">IF(AND(M266&lt;&gt;"",OR(M266&lt;5,M266&gt;180)),1,0)</f>
        <v>0</v>
      </c>
      <c r="AB266" s="7" t="str">
        <f aca="false">IF(P266="DUP","Exact duplicate row",IF(T266=1,"Missing Order ID",IF(S266="DROP","Duplicate Order ID (less complete row)",IF(U266=1,"Missing Customer ID",IF(V266=1,"Missing Restaurant name",IF(W266=1,"Invalid/outlier quantity",IF(X266=1,"Invalid/outlier unit price",IF(Y266=1,"Discount greater than order value",""))))))))</f>
        <v/>
      </c>
      <c r="AC266" s="7" t="str">
        <f aca="false">IF(AB266="","KEEP","DROP")</f>
        <v>KEEP</v>
      </c>
      <c r="AD266" s="7" t="str">
        <f aca="false">IF(TRIM(F266)="",IFERROR(INDEX(Map_Tables!$I$4:$I$37,MATCH(TRIM(E266),Map_Tables!$G$4:$G$37,0)),""),IFERROR(INDEX(Map_Tables!$B$4:$B$18,MATCH(TRIM(F266),Map_Tables!$A$4:$A$18,0)),"CHECK"))</f>
        <v>Mumbai</v>
      </c>
      <c r="AE266" s="7" t="str">
        <f aca="false">IF(TRIM(E266)="","",IFERROR(INDEX(Map_Tables!$H$4:$H$37,MATCH(TRIM(E266),Map_Tables!$G$4:$G$37,0)),"CHECK"))</f>
        <v>Mumbai Pizza Co</v>
      </c>
      <c r="AF266" s="7" t="str">
        <f aca="false">IF(TRIM(K266)="","Unknown",IFERROR(INDEX(Map_Tables!$E$4:$E$15,MATCH(TRIM(K266),Map_Tables!$D$4:$D$15,0)),"CHECK"))</f>
        <v>UPI</v>
      </c>
      <c r="AG266" s="7" t="str">
        <f aca="false">IF(LEFT(LOWER(TRIM(L266)),6)="cancel","Cancelled","Delivered")</f>
        <v>Delivered</v>
      </c>
      <c r="AH266" s="10" t="n">
        <f aca="false">IF(ISNUMBER(SEARCH("/",B266)),DATE(VALUE(RIGHT(B266,4)),VALUE(MID(B266,4,2)),VALUE(LEFT(B266,2))),IF(MID(B266,5,1)="-",DATE(VALUE(LEFT(B266,4)),VALUE(MID(B266,6,2)),VALUE(RIGHT(B266,2))),DATE(VALUE(RIGHT(B266,4)),MATCH(MID(B266,4,3),{"Jan","Feb","Mar","Apr","May","Jun","Jul","Aug","Sep","Oct","Nov","Dec"},0),VALUE(LEFT(B266,2)))))</f>
        <v>45937</v>
      </c>
    </row>
    <row r="267" customFormat="false" ht="15" hidden="false" customHeight="false" outlineLevel="0" collapsed="false">
      <c r="A267" s="7" t="s">
        <v>1166</v>
      </c>
      <c r="B267" s="7" t="s">
        <v>1167</v>
      </c>
      <c r="C267" s="7" t="s">
        <v>1168</v>
      </c>
      <c r="D267" s="7" t="s">
        <v>1169</v>
      </c>
      <c r="E267" s="7" t="s">
        <v>138</v>
      </c>
      <c r="F267" s="7" t="s">
        <v>110</v>
      </c>
      <c r="G267" s="7" t="s">
        <v>139</v>
      </c>
      <c r="H267" s="7" t="n">
        <v>1</v>
      </c>
      <c r="I267" s="7" t="n">
        <v>210</v>
      </c>
      <c r="J267" s="7" t="n">
        <v>30</v>
      </c>
      <c r="K267" s="7" t="s">
        <v>88</v>
      </c>
      <c r="L267" s="7" t="s">
        <v>194</v>
      </c>
      <c r="M267" s="7" t="n">
        <v>31</v>
      </c>
      <c r="N267" s="7"/>
      <c r="O267" s="7" t="str">
        <f aca="false">A267&amp;"|"&amp;B267&amp;"|"&amp;C267&amp;"|"&amp;D267&amp;"|"&amp;E267&amp;"|"&amp;F267&amp;"|"&amp;G267&amp;"|"&amp;H267&amp;"|"&amp;I267&amp;"|"&amp;J267&amp;"|"&amp;K267&amp;"|"&amp;L267&amp;"|"&amp;M267&amp;"|"&amp;N267</f>
        <v>ORD12355|2025-10-23|18:56|C1070|Burger Barn|Delhi|Burgers|1|210|30|UPI|Delivered|31|</v>
      </c>
      <c r="P267" s="7" t="str">
        <f aca="false">IF(COUNTIF($O$2:O267,O267)&gt;1,"DUP","OK")</f>
        <v>OK</v>
      </c>
      <c r="Q267" s="7" t="n">
        <f aca="false">COUNTBLANK(A267:N267)</f>
        <v>1</v>
      </c>
      <c r="R267" s="7" t="n">
        <f aca="false">IF(A267="",0,COUNTIFS($A$2:$A$3058,A267,$P$2:$P$3058,"OK"))</f>
        <v>1</v>
      </c>
      <c r="S267" s="7" t="str">
        <f aca="false">IF(OR(A267="",P267="DUP",R267&lt;2),"",IF(Q267=_xlfn.MINIFS($Q$2:$Q$3058,$A$2:$A$3058,A267,$P$2:$P$3058,"OK"),"KEEP","DROP"))</f>
        <v/>
      </c>
      <c r="T267" s="9" t="n">
        <f aca="false">IF(A267="",1,0)</f>
        <v>0</v>
      </c>
      <c r="U267" s="9" t="n">
        <f aca="false">IF(D267="",1,0)</f>
        <v>0</v>
      </c>
      <c r="V267" s="9" t="n">
        <f aca="false">IF(E267="",1,0)</f>
        <v>0</v>
      </c>
      <c r="W267" s="9" t="n">
        <f aca="false">IF(OR(H267&lt;1,H267&gt;10),1,0)</f>
        <v>0</v>
      </c>
      <c r="X267" s="9" t="n">
        <f aca="false">IF(OR(I267&lt;=0,I267&gt;1500),1,0)</f>
        <v>0</v>
      </c>
      <c r="Y267" s="9" t="n">
        <f aca="false">IF(J267&gt;H267*I267,1,0)</f>
        <v>0</v>
      </c>
      <c r="Z267" s="9" t="n">
        <f aca="false">IF(AND(N267&lt;&gt;"",OR(N267&lt;1,N267&gt;5)),1,0)</f>
        <v>0</v>
      </c>
      <c r="AA267" s="9" t="n">
        <f aca="false">IF(AND(M267&lt;&gt;"",OR(M267&lt;5,M267&gt;180)),1,0)</f>
        <v>0</v>
      </c>
      <c r="AB267" s="7" t="str">
        <f aca="false">IF(P267="DUP","Exact duplicate row",IF(T267=1,"Missing Order ID",IF(S267="DROP","Duplicate Order ID (less complete row)",IF(U267=1,"Missing Customer ID",IF(V267=1,"Missing Restaurant name",IF(W267=1,"Invalid/outlier quantity",IF(X267=1,"Invalid/outlier unit price",IF(Y267=1,"Discount greater than order value",""))))))))</f>
        <v/>
      </c>
      <c r="AC267" s="7" t="str">
        <f aca="false">IF(AB267="","KEEP","DROP")</f>
        <v>KEEP</v>
      </c>
      <c r="AD267" s="7" t="str">
        <f aca="false">IF(TRIM(F267)="",IFERROR(INDEX(Map_Tables!$I$4:$I$37,MATCH(TRIM(E267),Map_Tables!$G$4:$G$37,0)),""),IFERROR(INDEX(Map_Tables!$B$4:$B$18,MATCH(TRIM(F267),Map_Tables!$A$4:$A$18,0)),"CHECK"))</f>
        <v>Delhi</v>
      </c>
      <c r="AE267" s="7" t="str">
        <f aca="false">IF(TRIM(E267)="","",IFERROR(INDEX(Map_Tables!$H$4:$H$37,MATCH(TRIM(E267),Map_Tables!$G$4:$G$37,0)),"CHECK"))</f>
        <v>Burger Barn</v>
      </c>
      <c r="AF267" s="7" t="str">
        <f aca="false">IF(TRIM(K267)="","Unknown",IFERROR(INDEX(Map_Tables!$E$4:$E$15,MATCH(TRIM(K267),Map_Tables!$D$4:$D$15,0)),"CHECK"))</f>
        <v>UPI</v>
      </c>
      <c r="AG267" s="7" t="str">
        <f aca="false">IF(LEFT(LOWER(TRIM(L267)),6)="cancel","Cancelled","Delivered")</f>
        <v>Delivered</v>
      </c>
      <c r="AH267" s="10" t="n">
        <f aca="false">IF(ISNUMBER(SEARCH("/",B267)),DATE(VALUE(RIGHT(B267,4)),VALUE(MID(B267,4,2)),VALUE(LEFT(B267,2))),IF(MID(B267,5,1)="-",DATE(VALUE(LEFT(B267,4)),VALUE(MID(B267,6,2)),VALUE(RIGHT(B267,2))),DATE(VALUE(RIGHT(B267,4)),MATCH(MID(B267,4,3),{"Jan","Feb","Mar","Apr","May","Jun","Jul","Aug","Sep","Oct","Nov","Dec"},0),VALUE(LEFT(B267,2)))))</f>
        <v>45953</v>
      </c>
    </row>
    <row r="268" customFormat="false" ht="15" hidden="false" customHeight="false" outlineLevel="0" collapsed="false">
      <c r="A268" s="7" t="s">
        <v>1170</v>
      </c>
      <c r="B268" s="7" t="s">
        <v>1171</v>
      </c>
      <c r="C268" s="7" t="s">
        <v>399</v>
      </c>
      <c r="D268" s="7" t="s">
        <v>1172</v>
      </c>
      <c r="E268" s="7" t="s">
        <v>89</v>
      </c>
      <c r="F268" s="7" t="s">
        <v>86</v>
      </c>
      <c r="G268" s="7" t="s">
        <v>90</v>
      </c>
      <c r="H268" s="7" t="n">
        <v>1</v>
      </c>
      <c r="I268" s="7" t="n">
        <v>210</v>
      </c>
      <c r="J268" s="7" t="n">
        <v>0</v>
      </c>
      <c r="K268" s="7" t="s">
        <v>1173</v>
      </c>
      <c r="L268" s="7" t="s">
        <v>194</v>
      </c>
      <c r="M268" s="7" t="n">
        <v>48</v>
      </c>
      <c r="N268" s="7"/>
      <c r="O268" s="7" t="str">
        <f aca="false">A268&amp;"|"&amp;B268&amp;"|"&amp;C268&amp;"|"&amp;D268&amp;"|"&amp;E268&amp;"|"&amp;F268&amp;"|"&amp;G268&amp;"|"&amp;H268&amp;"|"&amp;I268&amp;"|"&amp;J268&amp;"|"&amp;K268&amp;"|"&amp;L268&amp;"|"&amp;M268&amp;"|"&amp;N268</f>
        <v>ORD12172|2025-10-04|12:43|C0443|Spice Junction|Bengaluru|North Indian|1|210|0|E-Wallet|Delivered|48|</v>
      </c>
      <c r="P268" s="7" t="str">
        <f aca="false">IF(COUNTIF($O$2:O268,O268)&gt;1,"DUP","OK")</f>
        <v>OK</v>
      </c>
      <c r="Q268" s="7" t="n">
        <f aca="false">COUNTBLANK(A268:N268)</f>
        <v>1</v>
      </c>
      <c r="R268" s="7" t="n">
        <f aca="false">IF(A268="",0,COUNTIFS($A$2:$A$3058,A268,$P$2:$P$3058,"OK"))</f>
        <v>1</v>
      </c>
      <c r="S268" s="7" t="str">
        <f aca="false">IF(OR(A268="",P268="DUP",R268&lt;2),"",IF(Q268=_xlfn.MINIFS($Q$2:$Q$3058,$A$2:$A$3058,A268,$P$2:$P$3058,"OK"),"KEEP","DROP"))</f>
        <v/>
      </c>
      <c r="T268" s="9" t="n">
        <f aca="false">IF(A268="",1,0)</f>
        <v>0</v>
      </c>
      <c r="U268" s="9" t="n">
        <f aca="false">IF(D268="",1,0)</f>
        <v>0</v>
      </c>
      <c r="V268" s="9" t="n">
        <f aca="false">IF(E268="",1,0)</f>
        <v>0</v>
      </c>
      <c r="W268" s="9" t="n">
        <f aca="false">IF(OR(H268&lt;1,H268&gt;10),1,0)</f>
        <v>0</v>
      </c>
      <c r="X268" s="9" t="n">
        <f aca="false">IF(OR(I268&lt;=0,I268&gt;1500),1,0)</f>
        <v>0</v>
      </c>
      <c r="Y268" s="9" t="n">
        <f aca="false">IF(J268&gt;H268*I268,1,0)</f>
        <v>0</v>
      </c>
      <c r="Z268" s="9" t="n">
        <f aca="false">IF(AND(N268&lt;&gt;"",OR(N268&lt;1,N268&gt;5)),1,0)</f>
        <v>0</v>
      </c>
      <c r="AA268" s="9" t="n">
        <f aca="false">IF(AND(M268&lt;&gt;"",OR(M268&lt;5,M268&gt;180)),1,0)</f>
        <v>0</v>
      </c>
      <c r="AB268" s="7" t="str">
        <f aca="false">IF(P268="DUP","Exact duplicate row",IF(T268=1,"Missing Order ID",IF(S268="DROP","Duplicate Order ID (less complete row)",IF(U268=1,"Missing Customer ID",IF(V268=1,"Missing Restaurant name",IF(W268=1,"Invalid/outlier quantity",IF(X268=1,"Invalid/outlier unit price",IF(Y268=1,"Discount greater than order value",""))))))))</f>
        <v/>
      </c>
      <c r="AC268" s="7" t="str">
        <f aca="false">IF(AB268="","KEEP","DROP")</f>
        <v>KEEP</v>
      </c>
      <c r="AD268" s="7" t="str">
        <f aca="false">IF(TRIM(F268)="",IFERROR(INDEX(Map_Tables!$I$4:$I$37,MATCH(TRIM(E268),Map_Tables!$G$4:$G$37,0)),""),IFERROR(INDEX(Map_Tables!$B$4:$B$18,MATCH(TRIM(F268),Map_Tables!$A$4:$A$18,0)),"CHECK"))</f>
        <v>Bengaluru</v>
      </c>
      <c r="AE268" s="7" t="str">
        <f aca="false">IF(TRIM(E268)="","",IFERROR(INDEX(Map_Tables!$H$4:$H$37,MATCH(TRIM(E268),Map_Tables!$G$4:$G$37,0)),"CHECK"))</f>
        <v>Spice Junction</v>
      </c>
      <c r="AF268" s="7" t="str">
        <f aca="false">IF(TRIM(K268)="","Unknown",IFERROR(INDEX(Map_Tables!$E$4:$E$15,MATCH(TRIM(K268),Map_Tables!$D$4:$D$15,0)),"CHECK"))</f>
        <v>Wallet</v>
      </c>
      <c r="AG268" s="7" t="str">
        <f aca="false">IF(LEFT(LOWER(TRIM(L268)),6)="cancel","Cancelled","Delivered")</f>
        <v>Delivered</v>
      </c>
      <c r="AH268" s="10" t="n">
        <f aca="false">IF(ISNUMBER(SEARCH("/",B268)),DATE(VALUE(RIGHT(B268,4)),VALUE(MID(B268,4,2)),VALUE(LEFT(B268,2))),IF(MID(B268,5,1)="-",DATE(VALUE(LEFT(B268,4)),VALUE(MID(B268,6,2)),VALUE(RIGHT(B268,2))),DATE(VALUE(RIGHT(B268,4)),MATCH(MID(B268,4,3),{"Jan","Feb","Mar","Apr","May","Jun","Jul","Aug","Sep","Oct","Nov","Dec"},0),VALUE(LEFT(B268,2)))))</f>
        <v>45934</v>
      </c>
    </row>
    <row r="269" customFormat="false" ht="15" hidden="false" customHeight="false" outlineLevel="0" collapsed="false">
      <c r="A269" s="7" t="s">
        <v>1174</v>
      </c>
      <c r="B269" s="7" t="s">
        <v>1175</v>
      </c>
      <c r="C269" s="7" t="s">
        <v>606</v>
      </c>
      <c r="D269" s="7" t="s">
        <v>1176</v>
      </c>
      <c r="E269" s="7" t="s">
        <v>1177</v>
      </c>
      <c r="F269" s="7" t="s">
        <v>136</v>
      </c>
      <c r="G269" s="7" t="s">
        <v>90</v>
      </c>
      <c r="H269" s="7" t="n">
        <v>2</v>
      </c>
      <c r="I269" s="7" t="n">
        <v>275</v>
      </c>
      <c r="J269" s="7" t="n">
        <v>30</v>
      </c>
      <c r="K269" s="7" t="s">
        <v>112</v>
      </c>
      <c r="L269" s="7" t="s">
        <v>194</v>
      </c>
      <c r="M269" s="7" t="n">
        <v>28</v>
      </c>
      <c r="N269" s="7" t="n">
        <v>3</v>
      </c>
      <c r="O269" s="7" t="str">
        <f aca="false">A269&amp;"|"&amp;B269&amp;"|"&amp;C269&amp;"|"&amp;D269&amp;"|"&amp;E269&amp;"|"&amp;F269&amp;"|"&amp;G269&amp;"|"&amp;H269&amp;"|"&amp;I269&amp;"|"&amp;J269&amp;"|"&amp;K269&amp;"|"&amp;L269&amp;"|"&amp;M269&amp;"|"&amp;N269</f>
        <v>ORD11295|2025-06-15|11:12|C1077|MARATHA THALI HOUSE|Pune|North Indian|2|275|30|Cash on Delivery|Delivered|28|3</v>
      </c>
      <c r="P269" s="7" t="str">
        <f aca="false">IF(COUNTIF($O$2:O269,O269)&gt;1,"DUP","OK")</f>
        <v>OK</v>
      </c>
      <c r="Q269" s="7" t="n">
        <f aca="false">COUNTBLANK(A269:N269)</f>
        <v>0</v>
      </c>
      <c r="R269" s="7" t="n">
        <f aca="false">IF(A269="",0,COUNTIFS($A$2:$A$3058,A269,$P$2:$P$3058,"OK"))</f>
        <v>1</v>
      </c>
      <c r="S269" s="7" t="str">
        <f aca="false">IF(OR(A269="",P269="DUP",R269&lt;2),"",IF(Q269=_xlfn.MINIFS($Q$2:$Q$3058,$A$2:$A$3058,A269,$P$2:$P$3058,"OK"),"KEEP","DROP"))</f>
        <v/>
      </c>
      <c r="T269" s="9" t="n">
        <f aca="false">IF(A269="",1,0)</f>
        <v>0</v>
      </c>
      <c r="U269" s="9" t="n">
        <f aca="false">IF(D269="",1,0)</f>
        <v>0</v>
      </c>
      <c r="V269" s="9" t="n">
        <f aca="false">IF(E269="",1,0)</f>
        <v>0</v>
      </c>
      <c r="W269" s="9" t="n">
        <f aca="false">IF(OR(H269&lt;1,H269&gt;10),1,0)</f>
        <v>0</v>
      </c>
      <c r="X269" s="9" t="n">
        <f aca="false">IF(OR(I269&lt;=0,I269&gt;1500),1,0)</f>
        <v>0</v>
      </c>
      <c r="Y269" s="9" t="n">
        <f aca="false">IF(J269&gt;H269*I269,1,0)</f>
        <v>0</v>
      </c>
      <c r="Z269" s="9" t="n">
        <f aca="false">IF(AND(N269&lt;&gt;"",OR(N269&lt;1,N269&gt;5)),1,0)</f>
        <v>0</v>
      </c>
      <c r="AA269" s="9" t="n">
        <f aca="false">IF(AND(M269&lt;&gt;"",OR(M269&lt;5,M269&gt;180)),1,0)</f>
        <v>0</v>
      </c>
      <c r="AB269" s="7" t="str">
        <f aca="false">IF(P269="DUP","Exact duplicate row",IF(T269=1,"Missing Order ID",IF(S269="DROP","Duplicate Order ID (less complete row)",IF(U269=1,"Missing Customer ID",IF(V269=1,"Missing Restaurant name",IF(W269=1,"Invalid/outlier quantity",IF(X269=1,"Invalid/outlier unit price",IF(Y269=1,"Discount greater than order value",""))))))))</f>
        <v/>
      </c>
      <c r="AC269" s="7" t="str">
        <f aca="false">IF(AB269="","KEEP","DROP")</f>
        <v>KEEP</v>
      </c>
      <c r="AD269" s="7" t="str">
        <f aca="false">IF(TRIM(F269)="",IFERROR(INDEX(Map_Tables!$I$4:$I$37,MATCH(TRIM(E269),Map_Tables!$G$4:$G$37,0)),""),IFERROR(INDEX(Map_Tables!$B$4:$B$18,MATCH(TRIM(F269),Map_Tables!$A$4:$A$18,0)),"CHECK"))</f>
        <v>Pune</v>
      </c>
      <c r="AE269" s="7" t="str">
        <f aca="false">IF(TRIM(E269)="","",IFERROR(INDEX(Map_Tables!$H$4:$H$37,MATCH(TRIM(E269),Map_Tables!$G$4:$G$37,0)),"CHECK"))</f>
        <v>Maratha Thali House</v>
      </c>
      <c r="AF269" s="7" t="str">
        <f aca="false">IF(TRIM(K269)="","Unknown",IFERROR(INDEX(Map_Tables!$E$4:$E$15,MATCH(TRIM(K269),Map_Tables!$D$4:$D$15,0)),"CHECK"))</f>
        <v>Cash on Delivery</v>
      </c>
      <c r="AG269" s="7" t="str">
        <f aca="false">IF(LEFT(LOWER(TRIM(L269)),6)="cancel","Cancelled","Delivered")</f>
        <v>Delivered</v>
      </c>
      <c r="AH269" s="10" t="n">
        <f aca="false">IF(ISNUMBER(SEARCH("/",B269)),DATE(VALUE(RIGHT(B269,4)),VALUE(MID(B269,4,2)),VALUE(LEFT(B269,2))),IF(MID(B269,5,1)="-",DATE(VALUE(LEFT(B269,4)),VALUE(MID(B269,6,2)),VALUE(RIGHT(B269,2))),DATE(VALUE(RIGHT(B269,4)),MATCH(MID(B269,4,3),{"Jan","Feb","Mar","Apr","May","Jun","Jul","Aug","Sep","Oct","Nov","Dec"},0),VALUE(LEFT(B269,2)))))</f>
        <v>45823</v>
      </c>
    </row>
    <row r="270" customFormat="false" ht="15" hidden="false" customHeight="false" outlineLevel="0" collapsed="false">
      <c r="A270" s="7" t="s">
        <v>1178</v>
      </c>
      <c r="B270" s="7" t="s">
        <v>1179</v>
      </c>
      <c r="C270" s="7" t="s">
        <v>1180</v>
      </c>
      <c r="D270" s="7" t="s">
        <v>1181</v>
      </c>
      <c r="E270" s="7" t="s">
        <v>163</v>
      </c>
      <c r="F270" s="7" t="s">
        <v>141</v>
      </c>
      <c r="G270" s="7" t="s">
        <v>99</v>
      </c>
      <c r="H270" s="7" t="n">
        <v>1</v>
      </c>
      <c r="I270" s="7" t="n">
        <v>300</v>
      </c>
      <c r="J270" s="7" t="n">
        <v>100</v>
      </c>
      <c r="K270" s="7" t="s">
        <v>103</v>
      </c>
      <c r="L270" s="7" t="s">
        <v>194</v>
      </c>
      <c r="M270" s="7" t="n">
        <v>32</v>
      </c>
      <c r="N270" s="7" t="n">
        <v>4</v>
      </c>
      <c r="O270" s="7" t="str">
        <f aca="false">A270&amp;"|"&amp;B270&amp;"|"&amp;C270&amp;"|"&amp;D270&amp;"|"&amp;E270&amp;"|"&amp;F270&amp;"|"&amp;G270&amp;"|"&amp;H270&amp;"|"&amp;I270&amp;"|"&amp;J270&amp;"|"&amp;K270&amp;"|"&amp;L270&amp;"|"&amp;M270&amp;"|"&amp;N270</f>
        <v>ORD12876|18/12/2025|21:07|C0857|Biryani Baadshah|Kolkata|Biryani|1|300|100|Debit Card|Delivered|32|4</v>
      </c>
      <c r="P270" s="7" t="str">
        <f aca="false">IF(COUNTIF($O$2:O270,O270)&gt;1,"DUP","OK")</f>
        <v>OK</v>
      </c>
      <c r="Q270" s="7" t="n">
        <f aca="false">COUNTBLANK(A270:N270)</f>
        <v>0</v>
      </c>
      <c r="R270" s="7" t="n">
        <f aca="false">IF(A270="",0,COUNTIFS($A$2:$A$3058,A270,$P$2:$P$3058,"OK"))</f>
        <v>1</v>
      </c>
      <c r="S270" s="7" t="str">
        <f aca="false">IF(OR(A270="",P270="DUP",R270&lt;2),"",IF(Q270=_xlfn.MINIFS($Q$2:$Q$3058,$A$2:$A$3058,A270,$P$2:$P$3058,"OK"),"KEEP","DROP"))</f>
        <v/>
      </c>
      <c r="T270" s="9" t="n">
        <f aca="false">IF(A270="",1,0)</f>
        <v>0</v>
      </c>
      <c r="U270" s="9" t="n">
        <f aca="false">IF(D270="",1,0)</f>
        <v>0</v>
      </c>
      <c r="V270" s="9" t="n">
        <f aca="false">IF(E270="",1,0)</f>
        <v>0</v>
      </c>
      <c r="W270" s="9" t="n">
        <f aca="false">IF(OR(H270&lt;1,H270&gt;10),1,0)</f>
        <v>0</v>
      </c>
      <c r="X270" s="9" t="n">
        <f aca="false">IF(OR(I270&lt;=0,I270&gt;1500),1,0)</f>
        <v>0</v>
      </c>
      <c r="Y270" s="9" t="n">
        <f aca="false">IF(J270&gt;H270*I270,1,0)</f>
        <v>0</v>
      </c>
      <c r="Z270" s="9" t="n">
        <f aca="false">IF(AND(N270&lt;&gt;"",OR(N270&lt;1,N270&gt;5)),1,0)</f>
        <v>0</v>
      </c>
      <c r="AA270" s="9" t="n">
        <f aca="false">IF(AND(M270&lt;&gt;"",OR(M270&lt;5,M270&gt;180)),1,0)</f>
        <v>0</v>
      </c>
      <c r="AB270" s="7" t="str">
        <f aca="false">IF(P270="DUP","Exact duplicate row",IF(T270=1,"Missing Order ID",IF(S270="DROP","Duplicate Order ID (less complete row)",IF(U270=1,"Missing Customer ID",IF(V270=1,"Missing Restaurant name",IF(W270=1,"Invalid/outlier quantity",IF(X270=1,"Invalid/outlier unit price",IF(Y270=1,"Discount greater than order value",""))))))))</f>
        <v/>
      </c>
      <c r="AC270" s="7" t="str">
        <f aca="false">IF(AB270="","KEEP","DROP")</f>
        <v>KEEP</v>
      </c>
      <c r="AD270" s="7" t="str">
        <f aca="false">IF(TRIM(F270)="",IFERROR(INDEX(Map_Tables!$I$4:$I$37,MATCH(TRIM(E270),Map_Tables!$G$4:$G$37,0)),""),IFERROR(INDEX(Map_Tables!$B$4:$B$18,MATCH(TRIM(F270),Map_Tables!$A$4:$A$18,0)),"CHECK"))</f>
        <v>Kolkata</v>
      </c>
      <c r="AE270" s="7" t="str">
        <f aca="false">IF(TRIM(E270)="","",IFERROR(INDEX(Map_Tables!$H$4:$H$37,MATCH(TRIM(E270),Map_Tables!$G$4:$G$37,0)),"CHECK"))</f>
        <v>Biryani Baadshah</v>
      </c>
      <c r="AF270" s="7" t="str">
        <f aca="false">IF(TRIM(K270)="","Unknown",IFERROR(INDEX(Map_Tables!$E$4:$E$15,MATCH(TRIM(K270),Map_Tables!$D$4:$D$15,0)),"CHECK"))</f>
        <v>Debit Card</v>
      </c>
      <c r="AG270" s="7" t="str">
        <f aca="false">IF(LEFT(LOWER(TRIM(L270)),6)="cancel","Cancelled","Delivered")</f>
        <v>Delivered</v>
      </c>
      <c r="AH270" s="10" t="n">
        <f aca="false">IF(ISNUMBER(SEARCH("/",B270)),DATE(VALUE(RIGHT(B270,4)),VALUE(MID(B270,4,2)),VALUE(LEFT(B270,2))),IF(MID(B270,5,1)="-",DATE(VALUE(LEFT(B270,4)),VALUE(MID(B270,6,2)),VALUE(RIGHT(B270,2))),DATE(VALUE(RIGHT(B270,4)),MATCH(MID(B270,4,3),{"Jan","Feb","Mar","Apr","May","Jun","Jul","Aug","Sep","Oct","Nov","Dec"},0),VALUE(LEFT(B270,2)))))</f>
        <v>46009</v>
      </c>
    </row>
    <row r="271" customFormat="false" ht="15" hidden="false" customHeight="false" outlineLevel="0" collapsed="false">
      <c r="A271" s="7" t="s">
        <v>1182</v>
      </c>
      <c r="B271" s="7" t="s">
        <v>1183</v>
      </c>
      <c r="C271" s="7" t="s">
        <v>1184</v>
      </c>
      <c r="D271" s="7" t="s">
        <v>1185</v>
      </c>
      <c r="E271" s="7" t="s">
        <v>126</v>
      </c>
      <c r="F271" s="7" t="s">
        <v>101</v>
      </c>
      <c r="G271" s="7" t="s">
        <v>105</v>
      </c>
      <c r="H271" s="7" t="n">
        <v>3</v>
      </c>
      <c r="I271" s="7" t="n">
        <v>230</v>
      </c>
      <c r="J271" s="7" t="n">
        <v>30</v>
      </c>
      <c r="K271" s="7" t="s">
        <v>526</v>
      </c>
      <c r="L271" s="7" t="s">
        <v>194</v>
      </c>
      <c r="M271" s="7" t="n">
        <v>34</v>
      </c>
      <c r="N271" s="7"/>
      <c r="O271" s="7" t="str">
        <f aca="false">A271&amp;"|"&amp;B271&amp;"|"&amp;C271&amp;"|"&amp;D271&amp;"|"&amp;E271&amp;"|"&amp;F271&amp;"|"&amp;G271&amp;"|"&amp;H271&amp;"|"&amp;I271&amp;"|"&amp;J271&amp;"|"&amp;K271&amp;"|"&amp;L271&amp;"|"&amp;M271&amp;"|"&amp;N271</f>
        <v>ORD11590|2025-07-26|23:35|C0147|Dragon Express|Mumbai|Chinese|3|230|30|DC|Delivered|34|</v>
      </c>
      <c r="P271" s="7" t="str">
        <f aca="false">IF(COUNTIF($O$2:O271,O271)&gt;1,"DUP","OK")</f>
        <v>OK</v>
      </c>
      <c r="Q271" s="7" t="n">
        <f aca="false">COUNTBLANK(A271:N271)</f>
        <v>1</v>
      </c>
      <c r="R271" s="7" t="n">
        <f aca="false">IF(A271="",0,COUNTIFS($A$2:$A$3058,A271,$P$2:$P$3058,"OK"))</f>
        <v>1</v>
      </c>
      <c r="S271" s="7" t="str">
        <f aca="false">IF(OR(A271="",P271="DUP",R271&lt;2),"",IF(Q271=_xlfn.MINIFS($Q$2:$Q$3058,$A$2:$A$3058,A271,$P$2:$P$3058,"OK"),"KEEP","DROP"))</f>
        <v/>
      </c>
      <c r="T271" s="9" t="n">
        <f aca="false">IF(A271="",1,0)</f>
        <v>0</v>
      </c>
      <c r="U271" s="9" t="n">
        <f aca="false">IF(D271="",1,0)</f>
        <v>0</v>
      </c>
      <c r="V271" s="9" t="n">
        <f aca="false">IF(E271="",1,0)</f>
        <v>0</v>
      </c>
      <c r="W271" s="9" t="n">
        <f aca="false">IF(OR(H271&lt;1,H271&gt;10),1,0)</f>
        <v>0</v>
      </c>
      <c r="X271" s="9" t="n">
        <f aca="false">IF(OR(I271&lt;=0,I271&gt;1500),1,0)</f>
        <v>0</v>
      </c>
      <c r="Y271" s="9" t="n">
        <f aca="false">IF(J271&gt;H271*I271,1,0)</f>
        <v>0</v>
      </c>
      <c r="Z271" s="9" t="n">
        <f aca="false">IF(AND(N271&lt;&gt;"",OR(N271&lt;1,N271&gt;5)),1,0)</f>
        <v>0</v>
      </c>
      <c r="AA271" s="9" t="n">
        <f aca="false">IF(AND(M271&lt;&gt;"",OR(M271&lt;5,M271&gt;180)),1,0)</f>
        <v>0</v>
      </c>
      <c r="AB271" s="7" t="str">
        <f aca="false">IF(P271="DUP","Exact duplicate row",IF(T271=1,"Missing Order ID",IF(S271="DROP","Duplicate Order ID (less complete row)",IF(U271=1,"Missing Customer ID",IF(V271=1,"Missing Restaurant name",IF(W271=1,"Invalid/outlier quantity",IF(X271=1,"Invalid/outlier unit price",IF(Y271=1,"Discount greater than order value",""))))))))</f>
        <v/>
      </c>
      <c r="AC271" s="7" t="str">
        <f aca="false">IF(AB271="","KEEP","DROP")</f>
        <v>KEEP</v>
      </c>
      <c r="AD271" s="7" t="str">
        <f aca="false">IF(TRIM(F271)="",IFERROR(INDEX(Map_Tables!$I$4:$I$37,MATCH(TRIM(E271),Map_Tables!$G$4:$G$37,0)),""),IFERROR(INDEX(Map_Tables!$B$4:$B$18,MATCH(TRIM(F271),Map_Tables!$A$4:$A$18,0)),"CHECK"))</f>
        <v>Mumbai</v>
      </c>
      <c r="AE271" s="7" t="str">
        <f aca="false">IF(TRIM(E271)="","",IFERROR(INDEX(Map_Tables!$H$4:$H$37,MATCH(TRIM(E271),Map_Tables!$G$4:$G$37,0)),"CHECK"))</f>
        <v>Dragon Express</v>
      </c>
      <c r="AF271" s="7" t="str">
        <f aca="false">IF(TRIM(K271)="","Unknown",IFERROR(INDEX(Map_Tables!$E$4:$E$15,MATCH(TRIM(K271),Map_Tables!$D$4:$D$15,0)),"CHECK"))</f>
        <v>Debit Card</v>
      </c>
      <c r="AG271" s="7" t="str">
        <f aca="false">IF(LEFT(LOWER(TRIM(L271)),6)="cancel","Cancelled","Delivered")</f>
        <v>Delivered</v>
      </c>
      <c r="AH271" s="10" t="n">
        <f aca="false">IF(ISNUMBER(SEARCH("/",B271)),DATE(VALUE(RIGHT(B271,4)),VALUE(MID(B271,4,2)),VALUE(LEFT(B271,2))),IF(MID(B271,5,1)="-",DATE(VALUE(LEFT(B271,4)),VALUE(MID(B271,6,2)),VALUE(RIGHT(B271,2))),DATE(VALUE(RIGHT(B271,4)),MATCH(MID(B271,4,3),{"Jan","Feb","Mar","Apr","May","Jun","Jul","Aug","Sep","Oct","Nov","Dec"},0),VALUE(LEFT(B271,2)))))</f>
        <v>45864</v>
      </c>
    </row>
    <row r="272" customFormat="false" ht="15" hidden="false" customHeight="false" outlineLevel="0" collapsed="false">
      <c r="A272" s="7" t="s">
        <v>1186</v>
      </c>
      <c r="B272" s="7" t="s">
        <v>1187</v>
      </c>
      <c r="C272" s="7" t="s">
        <v>697</v>
      </c>
      <c r="D272" s="7" t="s">
        <v>1188</v>
      </c>
      <c r="E272" s="7" t="s">
        <v>159</v>
      </c>
      <c r="F272" s="7" t="s">
        <v>135</v>
      </c>
      <c r="G272" s="7" t="s">
        <v>90</v>
      </c>
      <c r="H272" s="7" t="n">
        <v>1</v>
      </c>
      <c r="I272" s="7" t="n">
        <v>220</v>
      </c>
      <c r="J272" s="7" t="n">
        <v>0</v>
      </c>
      <c r="K272" s="7" t="s">
        <v>93</v>
      </c>
      <c r="L272" s="7" t="s">
        <v>194</v>
      </c>
      <c r="M272" s="7" t="n">
        <v>45</v>
      </c>
      <c r="N272" s="7" t="n">
        <v>4</v>
      </c>
      <c r="O272" s="7" t="str">
        <f aca="false">A272&amp;"|"&amp;B272&amp;"|"&amp;C272&amp;"|"&amp;D272&amp;"|"&amp;E272&amp;"|"&amp;F272&amp;"|"&amp;G272&amp;"|"&amp;H272&amp;"|"&amp;I272&amp;"|"&amp;J272&amp;"|"&amp;K272&amp;"|"&amp;L272&amp;"|"&amp;M272&amp;"|"&amp;N272</f>
        <v>ORD11956|2025-09-11|11:46|C0440|Maratha Thali House|pune|North Indian|1|220|0|Credit Card|Delivered|45|4</v>
      </c>
      <c r="P272" s="7" t="str">
        <f aca="false">IF(COUNTIF($O$2:O272,O272)&gt;1,"DUP","OK")</f>
        <v>OK</v>
      </c>
      <c r="Q272" s="7" t="n">
        <f aca="false">COUNTBLANK(A272:N272)</f>
        <v>0</v>
      </c>
      <c r="R272" s="7" t="n">
        <f aca="false">IF(A272="",0,COUNTIFS($A$2:$A$3058,A272,$P$2:$P$3058,"OK"))</f>
        <v>1</v>
      </c>
      <c r="S272" s="7" t="str">
        <f aca="false">IF(OR(A272="",P272="DUP",R272&lt;2),"",IF(Q272=_xlfn.MINIFS($Q$2:$Q$3058,$A$2:$A$3058,A272,$P$2:$P$3058,"OK"),"KEEP","DROP"))</f>
        <v/>
      </c>
      <c r="T272" s="9" t="n">
        <f aca="false">IF(A272="",1,0)</f>
        <v>0</v>
      </c>
      <c r="U272" s="9" t="n">
        <f aca="false">IF(D272="",1,0)</f>
        <v>0</v>
      </c>
      <c r="V272" s="9" t="n">
        <f aca="false">IF(E272="",1,0)</f>
        <v>0</v>
      </c>
      <c r="W272" s="9" t="n">
        <f aca="false">IF(OR(H272&lt;1,H272&gt;10),1,0)</f>
        <v>0</v>
      </c>
      <c r="X272" s="9" t="n">
        <f aca="false">IF(OR(I272&lt;=0,I272&gt;1500),1,0)</f>
        <v>0</v>
      </c>
      <c r="Y272" s="9" t="n">
        <f aca="false">IF(J272&gt;H272*I272,1,0)</f>
        <v>0</v>
      </c>
      <c r="Z272" s="9" t="n">
        <f aca="false">IF(AND(N272&lt;&gt;"",OR(N272&lt;1,N272&gt;5)),1,0)</f>
        <v>0</v>
      </c>
      <c r="AA272" s="9" t="n">
        <f aca="false">IF(AND(M272&lt;&gt;"",OR(M272&lt;5,M272&gt;180)),1,0)</f>
        <v>0</v>
      </c>
      <c r="AB272" s="7" t="str">
        <f aca="false">IF(P272="DUP","Exact duplicate row",IF(T272=1,"Missing Order ID",IF(S272="DROP","Duplicate Order ID (less complete row)",IF(U272=1,"Missing Customer ID",IF(V272=1,"Missing Restaurant name",IF(W272=1,"Invalid/outlier quantity",IF(X272=1,"Invalid/outlier unit price",IF(Y272=1,"Discount greater than order value",""))))))))</f>
        <v/>
      </c>
      <c r="AC272" s="7" t="str">
        <f aca="false">IF(AB272="","KEEP","DROP")</f>
        <v>KEEP</v>
      </c>
      <c r="AD272" s="7" t="str">
        <f aca="false">IF(TRIM(F272)="",IFERROR(INDEX(Map_Tables!$I$4:$I$37,MATCH(TRIM(E272),Map_Tables!$G$4:$G$37,0)),""),IFERROR(INDEX(Map_Tables!$B$4:$B$18,MATCH(TRIM(F272),Map_Tables!$A$4:$A$18,0)),"CHECK"))</f>
        <v>Pune</v>
      </c>
      <c r="AE272" s="7" t="str">
        <f aca="false">IF(TRIM(E272)="","",IFERROR(INDEX(Map_Tables!$H$4:$H$37,MATCH(TRIM(E272),Map_Tables!$G$4:$G$37,0)),"CHECK"))</f>
        <v>Maratha Thali House</v>
      </c>
      <c r="AF272" s="7" t="str">
        <f aca="false">IF(TRIM(K272)="","Unknown",IFERROR(INDEX(Map_Tables!$E$4:$E$15,MATCH(TRIM(K272),Map_Tables!$D$4:$D$15,0)),"CHECK"))</f>
        <v>Credit Card</v>
      </c>
      <c r="AG272" s="7" t="str">
        <f aca="false">IF(LEFT(LOWER(TRIM(L272)),6)="cancel","Cancelled","Delivered")</f>
        <v>Delivered</v>
      </c>
      <c r="AH272" s="10" t="n">
        <f aca="false">IF(ISNUMBER(SEARCH("/",B272)),DATE(VALUE(RIGHT(B272,4)),VALUE(MID(B272,4,2)),VALUE(LEFT(B272,2))),IF(MID(B272,5,1)="-",DATE(VALUE(LEFT(B272,4)),VALUE(MID(B272,6,2)),VALUE(RIGHT(B272,2))),DATE(VALUE(RIGHT(B272,4)),MATCH(MID(B272,4,3),{"Jan","Feb","Mar","Apr","May","Jun","Jul","Aug","Sep","Oct","Nov","Dec"},0),VALUE(LEFT(B272,2)))))</f>
        <v>45911</v>
      </c>
    </row>
    <row r="273" customFormat="false" ht="15" hidden="false" customHeight="false" outlineLevel="0" collapsed="false">
      <c r="A273" s="7" t="s">
        <v>1189</v>
      </c>
      <c r="B273" s="7" t="s">
        <v>1190</v>
      </c>
      <c r="C273" s="7" t="s">
        <v>1191</v>
      </c>
      <c r="D273" s="7" t="s">
        <v>1192</v>
      </c>
      <c r="E273" s="7" t="s">
        <v>104</v>
      </c>
      <c r="F273" s="7" t="s">
        <v>449</v>
      </c>
      <c r="G273" s="7" t="s">
        <v>105</v>
      </c>
      <c r="H273" s="7" t="n">
        <v>4</v>
      </c>
      <c r="I273" s="7" t="n">
        <v>165</v>
      </c>
      <c r="J273" s="7" t="n">
        <v>0</v>
      </c>
      <c r="K273" s="7" t="s">
        <v>103</v>
      </c>
      <c r="L273" s="7" t="s">
        <v>194</v>
      </c>
      <c r="M273" s="7" t="n">
        <v>29</v>
      </c>
      <c r="N273" s="7"/>
      <c r="O273" s="7" t="str">
        <f aca="false">A273&amp;"|"&amp;B273&amp;"|"&amp;C273&amp;"|"&amp;D273&amp;"|"&amp;E273&amp;"|"&amp;F273&amp;"|"&amp;G273&amp;"|"&amp;H273&amp;"|"&amp;I273&amp;"|"&amp;J273&amp;"|"&amp;K273&amp;"|"&amp;L273&amp;"|"&amp;M273&amp;"|"&amp;N273</f>
        <v>ORD10191|2025-01-26|10:59|C0409|Wok &amp; Roll|BLR|Chinese|4|165|0|Debit Card|Delivered|29|</v>
      </c>
      <c r="P273" s="7" t="str">
        <f aca="false">IF(COUNTIF($O$2:O273,O273)&gt;1,"DUP","OK")</f>
        <v>OK</v>
      </c>
      <c r="Q273" s="7" t="n">
        <f aca="false">COUNTBLANK(A273:N273)</f>
        <v>1</v>
      </c>
      <c r="R273" s="7" t="n">
        <f aca="false">IF(A273="",0,COUNTIFS($A$2:$A$3058,A273,$P$2:$P$3058,"OK"))</f>
        <v>1</v>
      </c>
      <c r="S273" s="7" t="str">
        <f aca="false">IF(OR(A273="",P273="DUP",R273&lt;2),"",IF(Q273=_xlfn.MINIFS($Q$2:$Q$3058,$A$2:$A$3058,A273,$P$2:$P$3058,"OK"),"KEEP","DROP"))</f>
        <v/>
      </c>
      <c r="T273" s="9" t="n">
        <f aca="false">IF(A273="",1,0)</f>
        <v>0</v>
      </c>
      <c r="U273" s="9" t="n">
        <f aca="false">IF(D273="",1,0)</f>
        <v>0</v>
      </c>
      <c r="V273" s="9" t="n">
        <f aca="false">IF(E273="",1,0)</f>
        <v>0</v>
      </c>
      <c r="W273" s="9" t="n">
        <f aca="false">IF(OR(H273&lt;1,H273&gt;10),1,0)</f>
        <v>0</v>
      </c>
      <c r="X273" s="9" t="n">
        <f aca="false">IF(OR(I273&lt;=0,I273&gt;1500),1,0)</f>
        <v>0</v>
      </c>
      <c r="Y273" s="9" t="n">
        <f aca="false">IF(J273&gt;H273*I273,1,0)</f>
        <v>0</v>
      </c>
      <c r="Z273" s="9" t="n">
        <f aca="false">IF(AND(N273&lt;&gt;"",OR(N273&lt;1,N273&gt;5)),1,0)</f>
        <v>0</v>
      </c>
      <c r="AA273" s="9" t="n">
        <f aca="false">IF(AND(M273&lt;&gt;"",OR(M273&lt;5,M273&gt;180)),1,0)</f>
        <v>0</v>
      </c>
      <c r="AB273" s="7" t="str">
        <f aca="false">IF(P273="DUP","Exact duplicate row",IF(T273=1,"Missing Order ID",IF(S273="DROP","Duplicate Order ID (less complete row)",IF(U273=1,"Missing Customer ID",IF(V273=1,"Missing Restaurant name",IF(W273=1,"Invalid/outlier quantity",IF(X273=1,"Invalid/outlier unit price",IF(Y273=1,"Discount greater than order value",""))))))))</f>
        <v/>
      </c>
      <c r="AC273" s="7" t="str">
        <f aca="false">IF(AB273="","KEEP","DROP")</f>
        <v>KEEP</v>
      </c>
      <c r="AD273" s="7" t="str">
        <f aca="false">IF(TRIM(F273)="",IFERROR(INDEX(Map_Tables!$I$4:$I$37,MATCH(TRIM(E273),Map_Tables!$G$4:$G$37,0)),""),IFERROR(INDEX(Map_Tables!$B$4:$B$18,MATCH(TRIM(F273),Map_Tables!$A$4:$A$18,0)),"CHECK"))</f>
        <v>Bengaluru</v>
      </c>
      <c r="AE273" s="7" t="str">
        <f aca="false">IF(TRIM(E273)="","",IFERROR(INDEX(Map_Tables!$H$4:$H$37,MATCH(TRIM(E273),Map_Tables!$G$4:$G$37,0)),"CHECK"))</f>
        <v>Wok &amp; Roll</v>
      </c>
      <c r="AF273" s="7" t="str">
        <f aca="false">IF(TRIM(K273)="","Unknown",IFERROR(INDEX(Map_Tables!$E$4:$E$15,MATCH(TRIM(K273),Map_Tables!$D$4:$D$15,0)),"CHECK"))</f>
        <v>Debit Card</v>
      </c>
      <c r="AG273" s="7" t="str">
        <f aca="false">IF(LEFT(LOWER(TRIM(L273)),6)="cancel","Cancelled","Delivered")</f>
        <v>Delivered</v>
      </c>
      <c r="AH273" s="10" t="n">
        <f aca="false">IF(ISNUMBER(SEARCH("/",B273)),DATE(VALUE(RIGHT(B273,4)),VALUE(MID(B273,4,2)),VALUE(LEFT(B273,2))),IF(MID(B273,5,1)="-",DATE(VALUE(LEFT(B273,4)),VALUE(MID(B273,6,2)),VALUE(RIGHT(B273,2))),DATE(VALUE(RIGHT(B273,4)),MATCH(MID(B273,4,3),{"Jan","Feb","Mar","Apr","May","Jun","Jul","Aug","Sep","Oct","Nov","Dec"},0),VALUE(LEFT(B273,2)))))</f>
        <v>45683</v>
      </c>
    </row>
    <row r="274" customFormat="false" ht="15" hidden="false" customHeight="false" outlineLevel="0" collapsed="false">
      <c r="A274" s="7" t="s">
        <v>1193</v>
      </c>
      <c r="B274" s="7" t="s">
        <v>240</v>
      </c>
      <c r="C274" s="7" t="s">
        <v>1194</v>
      </c>
      <c r="D274" s="7" t="s">
        <v>1195</v>
      </c>
      <c r="E274" s="7" t="s">
        <v>138</v>
      </c>
      <c r="F274" s="7" t="s">
        <v>756</v>
      </c>
      <c r="G274" s="7" t="s">
        <v>139</v>
      </c>
      <c r="H274" s="7" t="n">
        <v>2</v>
      </c>
      <c r="I274" s="7" t="n">
        <v>240</v>
      </c>
      <c r="J274" s="7" t="n">
        <v>0</v>
      </c>
      <c r="K274" s="7" t="s">
        <v>121</v>
      </c>
      <c r="L274" s="7" t="s">
        <v>194</v>
      </c>
      <c r="M274" s="7" t="n">
        <v>35</v>
      </c>
      <c r="N274" s="7" t="n">
        <v>4</v>
      </c>
      <c r="O274" s="7" t="str">
        <f aca="false">A274&amp;"|"&amp;B274&amp;"|"&amp;C274&amp;"|"&amp;D274&amp;"|"&amp;E274&amp;"|"&amp;F274&amp;"|"&amp;G274&amp;"|"&amp;H274&amp;"|"&amp;I274&amp;"|"&amp;J274&amp;"|"&amp;K274&amp;"|"&amp;L274&amp;"|"&amp;M274&amp;"|"&amp;N274</f>
        <v>ORD12150|2025-10-02|18:44|C0359|Burger Barn|Delhi |Burgers|2|240|0|Wallet|Delivered|35|4</v>
      </c>
      <c r="P274" s="7" t="str">
        <f aca="false">IF(COUNTIF($O$2:O274,O274)&gt;1,"DUP","OK")</f>
        <v>OK</v>
      </c>
      <c r="Q274" s="7" t="n">
        <f aca="false">COUNTBLANK(A274:N274)</f>
        <v>0</v>
      </c>
      <c r="R274" s="7" t="n">
        <f aca="false">IF(A274="",0,COUNTIFS($A$2:$A$3058,A274,$P$2:$P$3058,"OK"))</f>
        <v>1</v>
      </c>
      <c r="S274" s="7" t="str">
        <f aca="false">IF(OR(A274="",P274="DUP",R274&lt;2),"",IF(Q274=_xlfn.MINIFS($Q$2:$Q$3058,$A$2:$A$3058,A274,$P$2:$P$3058,"OK"),"KEEP","DROP"))</f>
        <v/>
      </c>
      <c r="T274" s="9" t="n">
        <f aca="false">IF(A274="",1,0)</f>
        <v>0</v>
      </c>
      <c r="U274" s="9" t="n">
        <f aca="false">IF(D274="",1,0)</f>
        <v>0</v>
      </c>
      <c r="V274" s="9" t="n">
        <f aca="false">IF(E274="",1,0)</f>
        <v>0</v>
      </c>
      <c r="W274" s="9" t="n">
        <f aca="false">IF(OR(H274&lt;1,H274&gt;10),1,0)</f>
        <v>0</v>
      </c>
      <c r="X274" s="9" t="n">
        <f aca="false">IF(OR(I274&lt;=0,I274&gt;1500),1,0)</f>
        <v>0</v>
      </c>
      <c r="Y274" s="9" t="n">
        <f aca="false">IF(J274&gt;H274*I274,1,0)</f>
        <v>0</v>
      </c>
      <c r="Z274" s="9" t="n">
        <f aca="false">IF(AND(N274&lt;&gt;"",OR(N274&lt;1,N274&gt;5)),1,0)</f>
        <v>0</v>
      </c>
      <c r="AA274" s="9" t="n">
        <f aca="false">IF(AND(M274&lt;&gt;"",OR(M274&lt;5,M274&gt;180)),1,0)</f>
        <v>0</v>
      </c>
      <c r="AB274" s="7" t="str">
        <f aca="false">IF(P274="DUP","Exact duplicate row",IF(T274=1,"Missing Order ID",IF(S274="DROP","Duplicate Order ID (less complete row)",IF(U274=1,"Missing Customer ID",IF(V274=1,"Missing Restaurant name",IF(W274=1,"Invalid/outlier quantity",IF(X274=1,"Invalid/outlier unit price",IF(Y274=1,"Discount greater than order value",""))))))))</f>
        <v/>
      </c>
      <c r="AC274" s="7" t="str">
        <f aca="false">IF(AB274="","KEEP","DROP")</f>
        <v>KEEP</v>
      </c>
      <c r="AD274" s="7" t="str">
        <f aca="false">IF(TRIM(F274)="",IFERROR(INDEX(Map_Tables!$I$4:$I$37,MATCH(TRIM(E274),Map_Tables!$G$4:$G$37,0)),""),IFERROR(INDEX(Map_Tables!$B$4:$B$18,MATCH(TRIM(F274),Map_Tables!$A$4:$A$18,0)),"CHECK"))</f>
        <v>Delhi</v>
      </c>
      <c r="AE274" s="7" t="str">
        <f aca="false">IF(TRIM(E274)="","",IFERROR(INDEX(Map_Tables!$H$4:$H$37,MATCH(TRIM(E274),Map_Tables!$G$4:$G$37,0)),"CHECK"))</f>
        <v>Burger Barn</v>
      </c>
      <c r="AF274" s="7" t="str">
        <f aca="false">IF(TRIM(K274)="","Unknown",IFERROR(INDEX(Map_Tables!$E$4:$E$15,MATCH(TRIM(K274),Map_Tables!$D$4:$D$15,0)),"CHECK"))</f>
        <v>Wallet</v>
      </c>
      <c r="AG274" s="7" t="str">
        <f aca="false">IF(LEFT(LOWER(TRIM(L274)),6)="cancel","Cancelled","Delivered")</f>
        <v>Delivered</v>
      </c>
      <c r="AH274" s="10" t="n">
        <f aca="false">IF(ISNUMBER(SEARCH("/",B274)),DATE(VALUE(RIGHT(B274,4)),VALUE(MID(B274,4,2)),VALUE(LEFT(B274,2))),IF(MID(B274,5,1)="-",DATE(VALUE(LEFT(B274,4)),VALUE(MID(B274,6,2)),VALUE(RIGHT(B274,2))),DATE(VALUE(RIGHT(B274,4)),MATCH(MID(B274,4,3),{"Jan","Feb","Mar","Apr","May","Jun","Jul","Aug","Sep","Oct","Nov","Dec"},0),VALUE(LEFT(B274,2)))))</f>
        <v>45932</v>
      </c>
    </row>
    <row r="275" customFormat="false" ht="15" hidden="false" customHeight="false" outlineLevel="0" collapsed="false">
      <c r="A275" s="7" t="s">
        <v>1196</v>
      </c>
      <c r="B275" s="7" t="s">
        <v>235</v>
      </c>
      <c r="C275" s="7" t="s">
        <v>1197</v>
      </c>
      <c r="D275" s="7" t="s">
        <v>1198</v>
      </c>
      <c r="E275" s="7" t="s">
        <v>98</v>
      </c>
      <c r="F275" s="7" t="s">
        <v>86</v>
      </c>
      <c r="G275" s="7" t="s">
        <v>1199</v>
      </c>
      <c r="H275" s="7" t="n">
        <v>1</v>
      </c>
      <c r="I275" s="7" t="n">
        <v>230</v>
      </c>
      <c r="J275" s="7" t="n">
        <v>0</v>
      </c>
      <c r="K275" s="7" t="s">
        <v>103</v>
      </c>
      <c r="L275" s="7" t="s">
        <v>194</v>
      </c>
      <c r="M275" s="7" t="n">
        <v>33</v>
      </c>
      <c r="N275" s="7"/>
      <c r="O275" s="7" t="str">
        <f aca="false">A275&amp;"|"&amp;B275&amp;"|"&amp;C275&amp;"|"&amp;D275&amp;"|"&amp;E275&amp;"|"&amp;F275&amp;"|"&amp;G275&amp;"|"&amp;H275&amp;"|"&amp;I275&amp;"|"&amp;J275&amp;"|"&amp;K275&amp;"|"&amp;L275&amp;"|"&amp;M275&amp;"|"&amp;N275</f>
        <v>ORD10431|2025-02-27|23:20|C1403|Nawabi Biryani House|Bengaluru|biryani|1|230|0|Debit Card|Delivered|33|</v>
      </c>
      <c r="P275" s="7" t="str">
        <f aca="false">IF(COUNTIF($O$2:O275,O275)&gt;1,"DUP","OK")</f>
        <v>OK</v>
      </c>
      <c r="Q275" s="7" t="n">
        <f aca="false">COUNTBLANK(A275:N275)</f>
        <v>1</v>
      </c>
      <c r="R275" s="7" t="n">
        <f aca="false">IF(A275="",0,COUNTIFS($A$2:$A$3058,A275,$P$2:$P$3058,"OK"))</f>
        <v>1</v>
      </c>
      <c r="S275" s="7" t="str">
        <f aca="false">IF(OR(A275="",P275="DUP",R275&lt;2),"",IF(Q275=_xlfn.MINIFS($Q$2:$Q$3058,$A$2:$A$3058,A275,$P$2:$P$3058,"OK"),"KEEP","DROP"))</f>
        <v/>
      </c>
      <c r="T275" s="9" t="n">
        <f aca="false">IF(A275="",1,0)</f>
        <v>0</v>
      </c>
      <c r="U275" s="9" t="n">
        <f aca="false">IF(D275="",1,0)</f>
        <v>0</v>
      </c>
      <c r="V275" s="9" t="n">
        <f aca="false">IF(E275="",1,0)</f>
        <v>0</v>
      </c>
      <c r="W275" s="9" t="n">
        <f aca="false">IF(OR(H275&lt;1,H275&gt;10),1,0)</f>
        <v>0</v>
      </c>
      <c r="X275" s="9" t="n">
        <f aca="false">IF(OR(I275&lt;=0,I275&gt;1500),1,0)</f>
        <v>0</v>
      </c>
      <c r="Y275" s="9" t="n">
        <f aca="false">IF(J275&gt;H275*I275,1,0)</f>
        <v>0</v>
      </c>
      <c r="Z275" s="9" t="n">
        <f aca="false">IF(AND(N275&lt;&gt;"",OR(N275&lt;1,N275&gt;5)),1,0)</f>
        <v>0</v>
      </c>
      <c r="AA275" s="9" t="n">
        <f aca="false">IF(AND(M275&lt;&gt;"",OR(M275&lt;5,M275&gt;180)),1,0)</f>
        <v>0</v>
      </c>
      <c r="AB275" s="7" t="str">
        <f aca="false">IF(P275="DUP","Exact duplicate row",IF(T275=1,"Missing Order ID",IF(S275="DROP","Duplicate Order ID (less complete row)",IF(U275=1,"Missing Customer ID",IF(V275=1,"Missing Restaurant name",IF(W275=1,"Invalid/outlier quantity",IF(X275=1,"Invalid/outlier unit price",IF(Y275=1,"Discount greater than order value",""))))))))</f>
        <v/>
      </c>
      <c r="AC275" s="7" t="str">
        <f aca="false">IF(AB275="","KEEP","DROP")</f>
        <v>KEEP</v>
      </c>
      <c r="AD275" s="7" t="str">
        <f aca="false">IF(TRIM(F275)="",IFERROR(INDEX(Map_Tables!$I$4:$I$37,MATCH(TRIM(E275),Map_Tables!$G$4:$G$37,0)),""),IFERROR(INDEX(Map_Tables!$B$4:$B$18,MATCH(TRIM(F275),Map_Tables!$A$4:$A$18,0)),"CHECK"))</f>
        <v>Bengaluru</v>
      </c>
      <c r="AE275" s="7" t="str">
        <f aca="false">IF(TRIM(E275)="","",IFERROR(INDEX(Map_Tables!$H$4:$H$37,MATCH(TRIM(E275),Map_Tables!$G$4:$G$37,0)),"CHECK"))</f>
        <v>Nawabi Biryani House</v>
      </c>
      <c r="AF275" s="7" t="str">
        <f aca="false">IF(TRIM(K275)="","Unknown",IFERROR(INDEX(Map_Tables!$E$4:$E$15,MATCH(TRIM(K275),Map_Tables!$D$4:$D$15,0)),"CHECK"))</f>
        <v>Debit Card</v>
      </c>
      <c r="AG275" s="7" t="str">
        <f aca="false">IF(LEFT(LOWER(TRIM(L275)),6)="cancel","Cancelled","Delivered")</f>
        <v>Delivered</v>
      </c>
      <c r="AH275" s="10" t="n">
        <f aca="false">IF(ISNUMBER(SEARCH("/",B275)),DATE(VALUE(RIGHT(B275,4)),VALUE(MID(B275,4,2)),VALUE(LEFT(B275,2))),IF(MID(B275,5,1)="-",DATE(VALUE(LEFT(B275,4)),VALUE(MID(B275,6,2)),VALUE(RIGHT(B275,2))),DATE(VALUE(RIGHT(B275,4)),MATCH(MID(B275,4,3),{"Jan","Feb","Mar","Apr","May","Jun","Jul","Aug","Sep","Oct","Nov","Dec"},0),VALUE(LEFT(B275,2)))))</f>
        <v>45715</v>
      </c>
    </row>
    <row r="276" customFormat="false" ht="15" hidden="false" customHeight="false" outlineLevel="0" collapsed="false">
      <c r="A276" s="7" t="s">
        <v>1200</v>
      </c>
      <c r="B276" s="7" t="s">
        <v>1201</v>
      </c>
      <c r="C276" s="7" t="s">
        <v>361</v>
      </c>
      <c r="D276" s="7" t="s">
        <v>1202</v>
      </c>
      <c r="E276" s="7" t="s">
        <v>158</v>
      </c>
      <c r="F276" s="7" t="s">
        <v>136</v>
      </c>
      <c r="G276" s="7" t="s">
        <v>139</v>
      </c>
      <c r="H276" s="7" t="n">
        <v>5</v>
      </c>
      <c r="I276" s="7" t="n">
        <v>195</v>
      </c>
      <c r="J276" s="7" t="n">
        <v>30</v>
      </c>
      <c r="K276" s="7" t="s">
        <v>88</v>
      </c>
      <c r="L276" s="7" t="s">
        <v>194</v>
      </c>
      <c r="M276" s="7" t="n">
        <v>22</v>
      </c>
      <c r="N276" s="7" t="n">
        <v>3</v>
      </c>
      <c r="O276" s="7" t="str">
        <f aca="false">A276&amp;"|"&amp;B276&amp;"|"&amp;C276&amp;"|"&amp;D276&amp;"|"&amp;E276&amp;"|"&amp;F276&amp;"|"&amp;G276&amp;"|"&amp;H276&amp;"|"&amp;I276&amp;"|"&amp;J276&amp;"|"&amp;K276&amp;"|"&amp;L276&amp;"|"&amp;M276&amp;"|"&amp;N276</f>
        <v>ORD12620|2025-11-20|11:08|C1423|Pune Burger Hub|Pune|Burgers|5|195|30|UPI|Delivered|22|3</v>
      </c>
      <c r="P276" s="7" t="str">
        <f aca="false">IF(COUNTIF($O$2:O276,O276)&gt;1,"DUP","OK")</f>
        <v>OK</v>
      </c>
      <c r="Q276" s="7" t="n">
        <f aca="false">COUNTBLANK(A276:N276)</f>
        <v>0</v>
      </c>
      <c r="R276" s="7" t="n">
        <f aca="false">IF(A276="",0,COUNTIFS($A$2:$A$3058,A276,$P$2:$P$3058,"OK"))</f>
        <v>1</v>
      </c>
      <c r="S276" s="7" t="str">
        <f aca="false">IF(OR(A276="",P276="DUP",R276&lt;2),"",IF(Q276=_xlfn.MINIFS($Q$2:$Q$3058,$A$2:$A$3058,A276,$P$2:$P$3058,"OK"),"KEEP","DROP"))</f>
        <v/>
      </c>
      <c r="T276" s="9" t="n">
        <f aca="false">IF(A276="",1,0)</f>
        <v>0</v>
      </c>
      <c r="U276" s="9" t="n">
        <f aca="false">IF(D276="",1,0)</f>
        <v>0</v>
      </c>
      <c r="V276" s="9" t="n">
        <f aca="false">IF(E276="",1,0)</f>
        <v>0</v>
      </c>
      <c r="W276" s="9" t="n">
        <f aca="false">IF(OR(H276&lt;1,H276&gt;10),1,0)</f>
        <v>0</v>
      </c>
      <c r="X276" s="9" t="n">
        <f aca="false">IF(OR(I276&lt;=0,I276&gt;1500),1,0)</f>
        <v>0</v>
      </c>
      <c r="Y276" s="9" t="n">
        <f aca="false">IF(J276&gt;H276*I276,1,0)</f>
        <v>0</v>
      </c>
      <c r="Z276" s="9" t="n">
        <f aca="false">IF(AND(N276&lt;&gt;"",OR(N276&lt;1,N276&gt;5)),1,0)</f>
        <v>0</v>
      </c>
      <c r="AA276" s="9" t="n">
        <f aca="false">IF(AND(M276&lt;&gt;"",OR(M276&lt;5,M276&gt;180)),1,0)</f>
        <v>0</v>
      </c>
      <c r="AB276" s="7" t="str">
        <f aca="false">IF(P276="DUP","Exact duplicate row",IF(T276=1,"Missing Order ID",IF(S276="DROP","Duplicate Order ID (less complete row)",IF(U276=1,"Missing Customer ID",IF(V276=1,"Missing Restaurant name",IF(W276=1,"Invalid/outlier quantity",IF(X276=1,"Invalid/outlier unit price",IF(Y276=1,"Discount greater than order value",""))))))))</f>
        <v/>
      </c>
      <c r="AC276" s="7" t="str">
        <f aca="false">IF(AB276="","KEEP","DROP")</f>
        <v>KEEP</v>
      </c>
      <c r="AD276" s="7" t="str">
        <f aca="false">IF(TRIM(F276)="",IFERROR(INDEX(Map_Tables!$I$4:$I$37,MATCH(TRIM(E276),Map_Tables!$G$4:$G$37,0)),""),IFERROR(INDEX(Map_Tables!$B$4:$B$18,MATCH(TRIM(F276),Map_Tables!$A$4:$A$18,0)),"CHECK"))</f>
        <v>Pune</v>
      </c>
      <c r="AE276" s="7" t="str">
        <f aca="false">IF(TRIM(E276)="","",IFERROR(INDEX(Map_Tables!$H$4:$H$37,MATCH(TRIM(E276),Map_Tables!$G$4:$G$37,0)),"CHECK"))</f>
        <v>Pune Burger Hub</v>
      </c>
      <c r="AF276" s="7" t="str">
        <f aca="false">IF(TRIM(K276)="","Unknown",IFERROR(INDEX(Map_Tables!$E$4:$E$15,MATCH(TRIM(K276),Map_Tables!$D$4:$D$15,0)),"CHECK"))</f>
        <v>UPI</v>
      </c>
      <c r="AG276" s="7" t="str">
        <f aca="false">IF(LEFT(LOWER(TRIM(L276)),6)="cancel","Cancelled","Delivered")</f>
        <v>Delivered</v>
      </c>
      <c r="AH276" s="10" t="n">
        <f aca="false">IF(ISNUMBER(SEARCH("/",B276)),DATE(VALUE(RIGHT(B276,4)),VALUE(MID(B276,4,2)),VALUE(LEFT(B276,2))),IF(MID(B276,5,1)="-",DATE(VALUE(LEFT(B276,4)),VALUE(MID(B276,6,2)),VALUE(RIGHT(B276,2))),DATE(VALUE(RIGHT(B276,4)),MATCH(MID(B276,4,3),{"Jan","Feb","Mar","Apr","May","Jun","Jul","Aug","Sep","Oct","Nov","Dec"},0),VALUE(LEFT(B276,2)))))</f>
        <v>45981</v>
      </c>
    </row>
    <row r="277" customFormat="false" ht="15" hidden="false" customHeight="false" outlineLevel="0" collapsed="false">
      <c r="A277" s="7" t="s">
        <v>1203</v>
      </c>
      <c r="B277" s="7" t="s">
        <v>390</v>
      </c>
      <c r="C277" s="7" t="s">
        <v>1204</v>
      </c>
      <c r="D277" s="7" t="s">
        <v>1205</v>
      </c>
      <c r="E277" s="7" t="s">
        <v>108</v>
      </c>
      <c r="F277" s="7" t="s">
        <v>86</v>
      </c>
      <c r="G277" s="7" t="s">
        <v>105</v>
      </c>
      <c r="H277" s="7" t="n">
        <v>2</v>
      </c>
      <c r="I277" s="7" t="n">
        <v>195</v>
      </c>
      <c r="J277" s="7" t="n">
        <v>150</v>
      </c>
      <c r="K277" s="7" t="s">
        <v>112</v>
      </c>
      <c r="L277" s="7" t="s">
        <v>238</v>
      </c>
      <c r="M277" s="7"/>
      <c r="N277" s="7"/>
      <c r="O277" s="7" t="str">
        <f aca="false">A277&amp;"|"&amp;B277&amp;"|"&amp;C277&amp;"|"&amp;D277&amp;"|"&amp;E277&amp;"|"&amp;F277&amp;"|"&amp;G277&amp;"|"&amp;H277&amp;"|"&amp;I277&amp;"|"&amp;J277&amp;"|"&amp;K277&amp;"|"&amp;L277&amp;"|"&amp;M277&amp;"|"&amp;N277</f>
        <v>ORD11235|2025-06-06|17:31|C0294|Wok and Roll|Bengaluru|Chinese|2|195|150|Cash on Delivery|Cancelled||</v>
      </c>
      <c r="P277" s="7" t="str">
        <f aca="false">IF(COUNTIF($O$2:O277,O277)&gt;1,"DUP","OK")</f>
        <v>OK</v>
      </c>
      <c r="Q277" s="7" t="n">
        <f aca="false">COUNTBLANK(A277:N277)</f>
        <v>2</v>
      </c>
      <c r="R277" s="7" t="n">
        <f aca="false">IF(A277="",0,COUNTIFS($A$2:$A$3058,A277,$P$2:$P$3058,"OK"))</f>
        <v>1</v>
      </c>
      <c r="S277" s="7" t="str">
        <f aca="false">IF(OR(A277="",P277="DUP",R277&lt;2),"",IF(Q277=_xlfn.MINIFS($Q$2:$Q$3058,$A$2:$A$3058,A277,$P$2:$P$3058,"OK"),"KEEP","DROP"))</f>
        <v/>
      </c>
      <c r="T277" s="9" t="n">
        <f aca="false">IF(A277="",1,0)</f>
        <v>0</v>
      </c>
      <c r="U277" s="9" t="n">
        <f aca="false">IF(D277="",1,0)</f>
        <v>0</v>
      </c>
      <c r="V277" s="9" t="n">
        <f aca="false">IF(E277="",1,0)</f>
        <v>0</v>
      </c>
      <c r="W277" s="9" t="n">
        <f aca="false">IF(OR(H277&lt;1,H277&gt;10),1,0)</f>
        <v>0</v>
      </c>
      <c r="X277" s="9" t="n">
        <f aca="false">IF(OR(I277&lt;=0,I277&gt;1500),1,0)</f>
        <v>0</v>
      </c>
      <c r="Y277" s="9" t="n">
        <f aca="false">IF(J277&gt;H277*I277,1,0)</f>
        <v>0</v>
      </c>
      <c r="Z277" s="9" t="n">
        <f aca="false">IF(AND(N277&lt;&gt;"",OR(N277&lt;1,N277&gt;5)),1,0)</f>
        <v>0</v>
      </c>
      <c r="AA277" s="9" t="n">
        <f aca="false">IF(AND(M277&lt;&gt;"",OR(M277&lt;5,M277&gt;180)),1,0)</f>
        <v>0</v>
      </c>
      <c r="AB277" s="7" t="str">
        <f aca="false">IF(P277="DUP","Exact duplicate row",IF(T277=1,"Missing Order ID",IF(S277="DROP","Duplicate Order ID (less complete row)",IF(U277=1,"Missing Customer ID",IF(V277=1,"Missing Restaurant name",IF(W277=1,"Invalid/outlier quantity",IF(X277=1,"Invalid/outlier unit price",IF(Y277=1,"Discount greater than order value",""))))))))</f>
        <v/>
      </c>
      <c r="AC277" s="7" t="str">
        <f aca="false">IF(AB277="","KEEP","DROP")</f>
        <v>KEEP</v>
      </c>
      <c r="AD277" s="7" t="str">
        <f aca="false">IF(TRIM(F277)="",IFERROR(INDEX(Map_Tables!$I$4:$I$37,MATCH(TRIM(E277),Map_Tables!$G$4:$G$37,0)),""),IFERROR(INDEX(Map_Tables!$B$4:$B$18,MATCH(TRIM(F277),Map_Tables!$A$4:$A$18,0)),"CHECK"))</f>
        <v>Bengaluru</v>
      </c>
      <c r="AE277" s="7" t="str">
        <f aca="false">IF(TRIM(E277)="","",IFERROR(INDEX(Map_Tables!$H$4:$H$37,MATCH(TRIM(E277),Map_Tables!$G$4:$G$37,0)),"CHECK"))</f>
        <v>Wok &amp; Roll</v>
      </c>
      <c r="AF277" s="7" t="str">
        <f aca="false">IF(TRIM(K277)="","Unknown",IFERROR(INDEX(Map_Tables!$E$4:$E$15,MATCH(TRIM(K277),Map_Tables!$D$4:$D$15,0)),"CHECK"))</f>
        <v>Cash on Delivery</v>
      </c>
      <c r="AG277" s="7" t="str">
        <f aca="false">IF(LEFT(LOWER(TRIM(L277)),6)="cancel","Cancelled","Delivered")</f>
        <v>Cancelled</v>
      </c>
      <c r="AH277" s="10" t="n">
        <f aca="false">IF(ISNUMBER(SEARCH("/",B277)),DATE(VALUE(RIGHT(B277,4)),VALUE(MID(B277,4,2)),VALUE(LEFT(B277,2))),IF(MID(B277,5,1)="-",DATE(VALUE(LEFT(B277,4)),VALUE(MID(B277,6,2)),VALUE(RIGHT(B277,2))),DATE(VALUE(RIGHT(B277,4)),MATCH(MID(B277,4,3),{"Jan","Feb","Mar","Apr","May","Jun","Jul","Aug","Sep","Oct","Nov","Dec"},0),VALUE(LEFT(B277,2)))))</f>
        <v>45814</v>
      </c>
    </row>
    <row r="278" customFormat="false" ht="15" hidden="false" customHeight="false" outlineLevel="0" collapsed="false">
      <c r="A278" s="7" t="s">
        <v>1206</v>
      </c>
      <c r="B278" s="7" t="s">
        <v>523</v>
      </c>
      <c r="C278" s="7" t="s">
        <v>551</v>
      </c>
      <c r="D278" s="7" t="s">
        <v>1207</v>
      </c>
      <c r="E278" s="7" t="s">
        <v>1208</v>
      </c>
      <c r="F278" s="7" t="s">
        <v>86</v>
      </c>
      <c r="G278" s="7" t="s">
        <v>99</v>
      </c>
      <c r="H278" s="7" t="n">
        <v>3</v>
      </c>
      <c r="I278" s="7" t="n">
        <v>290</v>
      </c>
      <c r="J278" s="7" t="n">
        <v>0</v>
      </c>
      <c r="K278" s="7" t="s">
        <v>93</v>
      </c>
      <c r="L278" s="7" t="s">
        <v>194</v>
      </c>
      <c r="M278" s="7" t="n">
        <v>33</v>
      </c>
      <c r="N278" s="7" t="n">
        <v>4</v>
      </c>
      <c r="O278" s="7" t="str">
        <f aca="false">A278&amp;"|"&amp;B278&amp;"|"&amp;C278&amp;"|"&amp;D278&amp;"|"&amp;E278&amp;"|"&amp;F278&amp;"|"&amp;G278&amp;"|"&amp;H278&amp;"|"&amp;I278&amp;"|"&amp;J278&amp;"|"&amp;K278&amp;"|"&amp;L278&amp;"|"&amp;M278&amp;"|"&amp;N278</f>
        <v>ORD11833|2025-08-27|17:41|C0732| Nawabi Biryani House|Bengaluru|Biryani|3|290|0|Credit Card|Delivered|33|4</v>
      </c>
      <c r="P278" s="7" t="str">
        <f aca="false">IF(COUNTIF($O$2:O278,O278)&gt;1,"DUP","OK")</f>
        <v>OK</v>
      </c>
      <c r="Q278" s="7" t="n">
        <f aca="false">COUNTBLANK(A278:N278)</f>
        <v>0</v>
      </c>
      <c r="R278" s="7" t="n">
        <f aca="false">IF(A278="",0,COUNTIFS($A$2:$A$3058,A278,$P$2:$P$3058,"OK"))</f>
        <v>1</v>
      </c>
      <c r="S278" s="7" t="str">
        <f aca="false">IF(OR(A278="",P278="DUP",R278&lt;2),"",IF(Q278=_xlfn.MINIFS($Q$2:$Q$3058,$A$2:$A$3058,A278,$P$2:$P$3058,"OK"),"KEEP","DROP"))</f>
        <v/>
      </c>
      <c r="T278" s="9" t="n">
        <f aca="false">IF(A278="",1,0)</f>
        <v>0</v>
      </c>
      <c r="U278" s="9" t="n">
        <f aca="false">IF(D278="",1,0)</f>
        <v>0</v>
      </c>
      <c r="V278" s="9" t="n">
        <f aca="false">IF(E278="",1,0)</f>
        <v>0</v>
      </c>
      <c r="W278" s="9" t="n">
        <f aca="false">IF(OR(H278&lt;1,H278&gt;10),1,0)</f>
        <v>0</v>
      </c>
      <c r="X278" s="9" t="n">
        <f aca="false">IF(OR(I278&lt;=0,I278&gt;1500),1,0)</f>
        <v>0</v>
      </c>
      <c r="Y278" s="9" t="n">
        <f aca="false">IF(J278&gt;H278*I278,1,0)</f>
        <v>0</v>
      </c>
      <c r="Z278" s="9" t="n">
        <f aca="false">IF(AND(N278&lt;&gt;"",OR(N278&lt;1,N278&gt;5)),1,0)</f>
        <v>0</v>
      </c>
      <c r="AA278" s="9" t="n">
        <f aca="false">IF(AND(M278&lt;&gt;"",OR(M278&lt;5,M278&gt;180)),1,0)</f>
        <v>0</v>
      </c>
      <c r="AB278" s="7" t="str">
        <f aca="false">IF(P278="DUP","Exact duplicate row",IF(T278=1,"Missing Order ID",IF(S278="DROP","Duplicate Order ID (less complete row)",IF(U278=1,"Missing Customer ID",IF(V278=1,"Missing Restaurant name",IF(W278=1,"Invalid/outlier quantity",IF(X278=1,"Invalid/outlier unit price",IF(Y278=1,"Discount greater than order value",""))))))))</f>
        <v/>
      </c>
      <c r="AC278" s="7" t="str">
        <f aca="false">IF(AB278="","KEEP","DROP")</f>
        <v>KEEP</v>
      </c>
      <c r="AD278" s="7" t="str">
        <f aca="false">IF(TRIM(F278)="",IFERROR(INDEX(Map_Tables!$I$4:$I$37,MATCH(TRIM(E278),Map_Tables!$G$4:$G$37,0)),""),IFERROR(INDEX(Map_Tables!$B$4:$B$18,MATCH(TRIM(F278),Map_Tables!$A$4:$A$18,0)),"CHECK"))</f>
        <v>Bengaluru</v>
      </c>
      <c r="AE278" s="7" t="str">
        <f aca="false">IF(TRIM(E278)="","",IFERROR(INDEX(Map_Tables!$H$4:$H$37,MATCH(TRIM(E278),Map_Tables!$G$4:$G$37,0)),"CHECK"))</f>
        <v>Nawabi Biryani House</v>
      </c>
      <c r="AF278" s="7" t="str">
        <f aca="false">IF(TRIM(K278)="","Unknown",IFERROR(INDEX(Map_Tables!$E$4:$E$15,MATCH(TRIM(K278),Map_Tables!$D$4:$D$15,0)),"CHECK"))</f>
        <v>Credit Card</v>
      </c>
      <c r="AG278" s="7" t="str">
        <f aca="false">IF(LEFT(LOWER(TRIM(L278)),6)="cancel","Cancelled","Delivered")</f>
        <v>Delivered</v>
      </c>
      <c r="AH278" s="10" t="n">
        <f aca="false">IF(ISNUMBER(SEARCH("/",B278)),DATE(VALUE(RIGHT(B278,4)),VALUE(MID(B278,4,2)),VALUE(LEFT(B278,2))),IF(MID(B278,5,1)="-",DATE(VALUE(LEFT(B278,4)),VALUE(MID(B278,6,2)),VALUE(RIGHT(B278,2))),DATE(VALUE(RIGHT(B278,4)),MATCH(MID(B278,4,3),{"Jan","Feb","Mar","Apr","May","Jun","Jul","Aug","Sep","Oct","Nov","Dec"},0),VALUE(LEFT(B278,2)))))</f>
        <v>45896</v>
      </c>
    </row>
    <row r="279" customFormat="false" ht="15" hidden="false" customHeight="false" outlineLevel="0" collapsed="false">
      <c r="A279" s="7" t="s">
        <v>1209</v>
      </c>
      <c r="B279" s="7" t="s">
        <v>1210</v>
      </c>
      <c r="C279" s="7" t="s">
        <v>1211</v>
      </c>
      <c r="D279" s="7" t="s">
        <v>1212</v>
      </c>
      <c r="E279" s="7" t="s">
        <v>152</v>
      </c>
      <c r="F279" s="7" t="s">
        <v>128</v>
      </c>
      <c r="G279" s="7" t="s">
        <v>95</v>
      </c>
      <c r="H279" s="7" t="n">
        <v>2</v>
      </c>
      <c r="I279" s="7" t="n">
        <v>90</v>
      </c>
      <c r="J279" s="7" t="n">
        <v>72</v>
      </c>
      <c r="K279" s="7" t="s">
        <v>93</v>
      </c>
      <c r="L279" s="7" t="s">
        <v>194</v>
      </c>
      <c r="M279" s="7" t="n">
        <v>37</v>
      </c>
      <c r="N279" s="7" t="n">
        <v>5</v>
      </c>
      <c r="O279" s="7" t="str">
        <f aca="false">A279&amp;"|"&amp;B279&amp;"|"&amp;C279&amp;"|"&amp;D279&amp;"|"&amp;E279&amp;"|"&amp;F279&amp;"|"&amp;G279&amp;"|"&amp;H279&amp;"|"&amp;I279&amp;"|"&amp;J279&amp;"|"&amp;K279&amp;"|"&amp;L279&amp;"|"&amp;M279&amp;"|"&amp;N279</f>
        <v>ORD12453|04-Nov-2025|20:42|C1123|Filter Coffee &amp; Tiffin|Chennai|South Indian|2|90|72|Credit Card|Delivered|37|5</v>
      </c>
      <c r="P279" s="7" t="str">
        <f aca="false">IF(COUNTIF($O$2:O279,O279)&gt;1,"DUP","OK")</f>
        <v>OK</v>
      </c>
      <c r="Q279" s="7" t="n">
        <f aca="false">COUNTBLANK(A279:N279)</f>
        <v>0</v>
      </c>
      <c r="R279" s="7" t="n">
        <f aca="false">IF(A279="",0,COUNTIFS($A$2:$A$3058,A279,$P$2:$P$3058,"OK"))</f>
        <v>1</v>
      </c>
      <c r="S279" s="7" t="str">
        <f aca="false">IF(OR(A279="",P279="DUP",R279&lt;2),"",IF(Q279=_xlfn.MINIFS($Q$2:$Q$3058,$A$2:$A$3058,A279,$P$2:$P$3058,"OK"),"KEEP","DROP"))</f>
        <v/>
      </c>
      <c r="T279" s="9" t="n">
        <f aca="false">IF(A279="",1,0)</f>
        <v>0</v>
      </c>
      <c r="U279" s="9" t="n">
        <f aca="false">IF(D279="",1,0)</f>
        <v>0</v>
      </c>
      <c r="V279" s="9" t="n">
        <f aca="false">IF(E279="",1,0)</f>
        <v>0</v>
      </c>
      <c r="W279" s="9" t="n">
        <f aca="false">IF(OR(H279&lt;1,H279&gt;10),1,0)</f>
        <v>0</v>
      </c>
      <c r="X279" s="9" t="n">
        <f aca="false">IF(OR(I279&lt;=0,I279&gt;1500),1,0)</f>
        <v>0</v>
      </c>
      <c r="Y279" s="9" t="n">
        <f aca="false">IF(J279&gt;H279*I279,1,0)</f>
        <v>0</v>
      </c>
      <c r="Z279" s="9" t="n">
        <f aca="false">IF(AND(N279&lt;&gt;"",OR(N279&lt;1,N279&gt;5)),1,0)</f>
        <v>0</v>
      </c>
      <c r="AA279" s="9" t="n">
        <f aca="false">IF(AND(M279&lt;&gt;"",OR(M279&lt;5,M279&gt;180)),1,0)</f>
        <v>0</v>
      </c>
      <c r="AB279" s="7" t="str">
        <f aca="false">IF(P279="DUP","Exact duplicate row",IF(T279=1,"Missing Order ID",IF(S279="DROP","Duplicate Order ID (less complete row)",IF(U279=1,"Missing Customer ID",IF(V279=1,"Missing Restaurant name",IF(W279=1,"Invalid/outlier quantity",IF(X279=1,"Invalid/outlier unit price",IF(Y279=1,"Discount greater than order value",""))))))))</f>
        <v/>
      </c>
      <c r="AC279" s="7" t="str">
        <f aca="false">IF(AB279="","KEEP","DROP")</f>
        <v>KEEP</v>
      </c>
      <c r="AD279" s="7" t="str">
        <f aca="false">IF(TRIM(F279)="",IFERROR(INDEX(Map_Tables!$I$4:$I$37,MATCH(TRIM(E279),Map_Tables!$G$4:$G$37,0)),""),IFERROR(INDEX(Map_Tables!$B$4:$B$18,MATCH(TRIM(F279),Map_Tables!$A$4:$A$18,0)),"CHECK"))</f>
        <v>Chennai</v>
      </c>
      <c r="AE279" s="7" t="str">
        <f aca="false">IF(TRIM(E279)="","",IFERROR(INDEX(Map_Tables!$H$4:$H$37,MATCH(TRIM(E279),Map_Tables!$G$4:$G$37,0)),"CHECK"))</f>
        <v>Filter Coffee &amp; Tiffin</v>
      </c>
      <c r="AF279" s="7" t="str">
        <f aca="false">IF(TRIM(K279)="","Unknown",IFERROR(INDEX(Map_Tables!$E$4:$E$15,MATCH(TRIM(K279),Map_Tables!$D$4:$D$15,0)),"CHECK"))</f>
        <v>Credit Card</v>
      </c>
      <c r="AG279" s="7" t="str">
        <f aca="false">IF(LEFT(LOWER(TRIM(L279)),6)="cancel","Cancelled","Delivered")</f>
        <v>Delivered</v>
      </c>
      <c r="AH279" s="10" t="n">
        <f aca="false">IF(ISNUMBER(SEARCH("/",B279)),DATE(VALUE(RIGHT(B279,4)),VALUE(MID(B279,4,2)),VALUE(LEFT(B279,2))),IF(MID(B279,5,1)="-",DATE(VALUE(LEFT(B279,4)),VALUE(MID(B279,6,2)),VALUE(RIGHT(B279,2))),DATE(VALUE(RIGHT(B279,4)),MATCH(MID(B279,4,3),{"Jan","Feb","Mar","Apr","May","Jun","Jul","Aug","Sep","Oct","Nov","Dec"},0),VALUE(LEFT(B279,2)))))</f>
        <v>45965</v>
      </c>
    </row>
    <row r="280" customFormat="false" ht="15" hidden="false" customHeight="false" outlineLevel="0" collapsed="false">
      <c r="A280" s="7" t="s">
        <v>1213</v>
      </c>
      <c r="B280" s="7" t="s">
        <v>1214</v>
      </c>
      <c r="C280" s="7" t="s">
        <v>1215</v>
      </c>
      <c r="D280" s="7" t="s">
        <v>1216</v>
      </c>
      <c r="E280" s="7" t="s">
        <v>159</v>
      </c>
      <c r="F280" s="7" t="s">
        <v>136</v>
      </c>
      <c r="G280" s="7" t="s">
        <v>90</v>
      </c>
      <c r="H280" s="7" t="n">
        <v>1</v>
      </c>
      <c r="I280" s="7" t="n">
        <v>295</v>
      </c>
      <c r="J280" s="7" t="n">
        <v>0</v>
      </c>
      <c r="K280" s="7" t="s">
        <v>93</v>
      </c>
      <c r="L280" s="7" t="s">
        <v>194</v>
      </c>
      <c r="M280" s="7" t="n">
        <v>31</v>
      </c>
      <c r="N280" s="7" t="n">
        <v>4</v>
      </c>
      <c r="O280" s="7" t="str">
        <f aca="false">A280&amp;"|"&amp;B280&amp;"|"&amp;C280&amp;"|"&amp;D280&amp;"|"&amp;E280&amp;"|"&amp;F280&amp;"|"&amp;G280&amp;"|"&amp;H280&amp;"|"&amp;I280&amp;"|"&amp;J280&amp;"|"&amp;K280&amp;"|"&amp;L280&amp;"|"&amp;M280&amp;"|"&amp;N280</f>
        <v>ORD11375|2025-06-26|21:22|C0460|Maratha Thali House|Pune|North Indian|1|295|0|Credit Card|Delivered|31|4</v>
      </c>
      <c r="P280" s="7" t="str">
        <f aca="false">IF(COUNTIF($O$2:O280,O280)&gt;1,"DUP","OK")</f>
        <v>OK</v>
      </c>
      <c r="Q280" s="7" t="n">
        <f aca="false">COUNTBLANK(A280:N280)</f>
        <v>0</v>
      </c>
      <c r="R280" s="7" t="n">
        <f aca="false">IF(A280="",0,COUNTIFS($A$2:$A$3058,A280,$P$2:$P$3058,"OK"))</f>
        <v>1</v>
      </c>
      <c r="S280" s="7" t="str">
        <f aca="false">IF(OR(A280="",P280="DUP",R280&lt;2),"",IF(Q280=_xlfn.MINIFS($Q$2:$Q$3058,$A$2:$A$3058,A280,$P$2:$P$3058,"OK"),"KEEP","DROP"))</f>
        <v/>
      </c>
      <c r="T280" s="9" t="n">
        <f aca="false">IF(A280="",1,0)</f>
        <v>0</v>
      </c>
      <c r="U280" s="9" t="n">
        <f aca="false">IF(D280="",1,0)</f>
        <v>0</v>
      </c>
      <c r="V280" s="9" t="n">
        <f aca="false">IF(E280="",1,0)</f>
        <v>0</v>
      </c>
      <c r="W280" s="9" t="n">
        <f aca="false">IF(OR(H280&lt;1,H280&gt;10),1,0)</f>
        <v>0</v>
      </c>
      <c r="X280" s="9" t="n">
        <f aca="false">IF(OR(I280&lt;=0,I280&gt;1500),1,0)</f>
        <v>0</v>
      </c>
      <c r="Y280" s="9" t="n">
        <f aca="false">IF(J280&gt;H280*I280,1,0)</f>
        <v>0</v>
      </c>
      <c r="Z280" s="9" t="n">
        <f aca="false">IF(AND(N280&lt;&gt;"",OR(N280&lt;1,N280&gt;5)),1,0)</f>
        <v>0</v>
      </c>
      <c r="AA280" s="9" t="n">
        <f aca="false">IF(AND(M280&lt;&gt;"",OR(M280&lt;5,M280&gt;180)),1,0)</f>
        <v>0</v>
      </c>
      <c r="AB280" s="7" t="str">
        <f aca="false">IF(P280="DUP","Exact duplicate row",IF(T280=1,"Missing Order ID",IF(S280="DROP","Duplicate Order ID (less complete row)",IF(U280=1,"Missing Customer ID",IF(V280=1,"Missing Restaurant name",IF(W280=1,"Invalid/outlier quantity",IF(X280=1,"Invalid/outlier unit price",IF(Y280=1,"Discount greater than order value",""))))))))</f>
        <v/>
      </c>
      <c r="AC280" s="7" t="str">
        <f aca="false">IF(AB280="","KEEP","DROP")</f>
        <v>KEEP</v>
      </c>
      <c r="AD280" s="7" t="str">
        <f aca="false">IF(TRIM(F280)="",IFERROR(INDEX(Map_Tables!$I$4:$I$37,MATCH(TRIM(E280),Map_Tables!$G$4:$G$37,0)),""),IFERROR(INDEX(Map_Tables!$B$4:$B$18,MATCH(TRIM(F280),Map_Tables!$A$4:$A$18,0)),"CHECK"))</f>
        <v>Pune</v>
      </c>
      <c r="AE280" s="7" t="str">
        <f aca="false">IF(TRIM(E280)="","",IFERROR(INDEX(Map_Tables!$H$4:$H$37,MATCH(TRIM(E280),Map_Tables!$G$4:$G$37,0)),"CHECK"))</f>
        <v>Maratha Thali House</v>
      </c>
      <c r="AF280" s="7" t="str">
        <f aca="false">IF(TRIM(K280)="","Unknown",IFERROR(INDEX(Map_Tables!$E$4:$E$15,MATCH(TRIM(K280),Map_Tables!$D$4:$D$15,0)),"CHECK"))</f>
        <v>Credit Card</v>
      </c>
      <c r="AG280" s="7" t="str">
        <f aca="false">IF(LEFT(LOWER(TRIM(L280)),6)="cancel","Cancelled","Delivered")</f>
        <v>Delivered</v>
      </c>
      <c r="AH280" s="10" t="n">
        <f aca="false">IF(ISNUMBER(SEARCH("/",B280)),DATE(VALUE(RIGHT(B280,4)),VALUE(MID(B280,4,2)),VALUE(LEFT(B280,2))),IF(MID(B280,5,1)="-",DATE(VALUE(LEFT(B280,4)),VALUE(MID(B280,6,2)),VALUE(RIGHT(B280,2))),DATE(VALUE(RIGHT(B280,4)),MATCH(MID(B280,4,3),{"Jan","Feb","Mar","Apr","May","Jun","Jul","Aug","Sep","Oct","Nov","Dec"},0),VALUE(LEFT(B280,2)))))</f>
        <v>45834</v>
      </c>
    </row>
    <row r="281" customFormat="false" ht="15" hidden="false" customHeight="false" outlineLevel="0" collapsed="false">
      <c r="A281" s="7" t="s">
        <v>1217</v>
      </c>
      <c r="B281" s="7" t="s">
        <v>1218</v>
      </c>
      <c r="C281" s="7" t="s">
        <v>1219</v>
      </c>
      <c r="D281" s="7" t="s">
        <v>1220</v>
      </c>
      <c r="E281" s="7" t="s">
        <v>1221</v>
      </c>
      <c r="F281" s="7" t="s">
        <v>141</v>
      </c>
      <c r="G281" s="7" t="s">
        <v>99</v>
      </c>
      <c r="H281" s="7" t="n">
        <v>1</v>
      </c>
      <c r="I281" s="7" t="n">
        <v>250</v>
      </c>
      <c r="J281" s="7" t="n">
        <v>100</v>
      </c>
      <c r="K281" s="7" t="s">
        <v>112</v>
      </c>
      <c r="L281" s="7" t="s">
        <v>194</v>
      </c>
      <c r="M281" s="7" t="n">
        <v>15</v>
      </c>
      <c r="N281" s="7" t="n">
        <v>3</v>
      </c>
      <c r="O281" s="7" t="str">
        <f aca="false">A281&amp;"|"&amp;B281&amp;"|"&amp;C281&amp;"|"&amp;D281&amp;"|"&amp;E281&amp;"|"&amp;F281&amp;"|"&amp;G281&amp;"|"&amp;H281&amp;"|"&amp;I281&amp;"|"&amp;J281&amp;"|"&amp;K281&amp;"|"&amp;L281&amp;"|"&amp;M281&amp;"|"&amp;N281</f>
        <v>ORD10003|2025-01-01|17:07|C1470| Biryani Baadshah|Kolkata|Biryani|1|250|100|Cash on Delivery|Delivered|15|3</v>
      </c>
      <c r="P281" s="7" t="str">
        <f aca="false">IF(COUNTIF($O$2:O281,O281)&gt;1,"DUP","OK")</f>
        <v>OK</v>
      </c>
      <c r="Q281" s="7" t="n">
        <f aca="false">COUNTBLANK(A281:N281)</f>
        <v>0</v>
      </c>
      <c r="R281" s="7" t="n">
        <f aca="false">IF(A281="",0,COUNTIFS($A$2:$A$3058,A281,$P$2:$P$3058,"OK"))</f>
        <v>1</v>
      </c>
      <c r="S281" s="7" t="str">
        <f aca="false">IF(OR(A281="",P281="DUP",R281&lt;2),"",IF(Q281=_xlfn.MINIFS($Q$2:$Q$3058,$A$2:$A$3058,A281,$P$2:$P$3058,"OK"),"KEEP","DROP"))</f>
        <v/>
      </c>
      <c r="T281" s="9" t="n">
        <f aca="false">IF(A281="",1,0)</f>
        <v>0</v>
      </c>
      <c r="U281" s="9" t="n">
        <f aca="false">IF(D281="",1,0)</f>
        <v>0</v>
      </c>
      <c r="V281" s="9" t="n">
        <f aca="false">IF(E281="",1,0)</f>
        <v>0</v>
      </c>
      <c r="W281" s="9" t="n">
        <f aca="false">IF(OR(H281&lt;1,H281&gt;10),1,0)</f>
        <v>0</v>
      </c>
      <c r="X281" s="9" t="n">
        <f aca="false">IF(OR(I281&lt;=0,I281&gt;1500),1,0)</f>
        <v>0</v>
      </c>
      <c r="Y281" s="9" t="n">
        <f aca="false">IF(J281&gt;H281*I281,1,0)</f>
        <v>0</v>
      </c>
      <c r="Z281" s="9" t="n">
        <f aca="false">IF(AND(N281&lt;&gt;"",OR(N281&lt;1,N281&gt;5)),1,0)</f>
        <v>0</v>
      </c>
      <c r="AA281" s="9" t="n">
        <f aca="false">IF(AND(M281&lt;&gt;"",OR(M281&lt;5,M281&gt;180)),1,0)</f>
        <v>0</v>
      </c>
      <c r="AB281" s="7" t="str">
        <f aca="false">IF(P281="DUP","Exact duplicate row",IF(T281=1,"Missing Order ID",IF(S281="DROP","Duplicate Order ID (less complete row)",IF(U281=1,"Missing Customer ID",IF(V281=1,"Missing Restaurant name",IF(W281=1,"Invalid/outlier quantity",IF(X281=1,"Invalid/outlier unit price",IF(Y281=1,"Discount greater than order value",""))))))))</f>
        <v/>
      </c>
      <c r="AC281" s="7" t="str">
        <f aca="false">IF(AB281="","KEEP","DROP")</f>
        <v>KEEP</v>
      </c>
      <c r="AD281" s="7" t="str">
        <f aca="false">IF(TRIM(F281)="",IFERROR(INDEX(Map_Tables!$I$4:$I$37,MATCH(TRIM(E281),Map_Tables!$G$4:$G$37,0)),""),IFERROR(INDEX(Map_Tables!$B$4:$B$18,MATCH(TRIM(F281),Map_Tables!$A$4:$A$18,0)),"CHECK"))</f>
        <v>Kolkata</v>
      </c>
      <c r="AE281" s="7" t="str">
        <f aca="false">IF(TRIM(E281)="","",IFERROR(INDEX(Map_Tables!$H$4:$H$37,MATCH(TRIM(E281),Map_Tables!$G$4:$G$37,0)),"CHECK"))</f>
        <v>Biryani Baadshah</v>
      </c>
      <c r="AF281" s="7" t="str">
        <f aca="false">IF(TRIM(K281)="","Unknown",IFERROR(INDEX(Map_Tables!$E$4:$E$15,MATCH(TRIM(K281),Map_Tables!$D$4:$D$15,0)),"CHECK"))</f>
        <v>Cash on Delivery</v>
      </c>
      <c r="AG281" s="7" t="str">
        <f aca="false">IF(LEFT(LOWER(TRIM(L281)),6)="cancel","Cancelled","Delivered")</f>
        <v>Delivered</v>
      </c>
      <c r="AH281" s="10" t="n">
        <f aca="false">IF(ISNUMBER(SEARCH("/",B281)),DATE(VALUE(RIGHT(B281,4)),VALUE(MID(B281,4,2)),VALUE(LEFT(B281,2))),IF(MID(B281,5,1)="-",DATE(VALUE(LEFT(B281,4)),VALUE(MID(B281,6,2)),VALUE(RIGHT(B281,2))),DATE(VALUE(RIGHT(B281,4)),MATCH(MID(B281,4,3),{"Jan","Feb","Mar","Apr","May","Jun","Jul","Aug","Sep","Oct","Nov","Dec"},0),VALUE(LEFT(B281,2)))))</f>
        <v>45658</v>
      </c>
    </row>
    <row r="282" customFormat="false" ht="15" hidden="false" customHeight="false" outlineLevel="0" collapsed="false">
      <c r="A282" s="7" t="s">
        <v>1222</v>
      </c>
      <c r="B282" s="7" t="s">
        <v>1223</v>
      </c>
      <c r="C282" s="7" t="s">
        <v>1224</v>
      </c>
      <c r="D282" s="7" t="s">
        <v>1225</v>
      </c>
      <c r="E282" s="7" t="s">
        <v>159</v>
      </c>
      <c r="F282" s="7" t="s">
        <v>1226</v>
      </c>
      <c r="G282" s="7" t="s">
        <v>90</v>
      </c>
      <c r="H282" s="7" t="n">
        <v>1</v>
      </c>
      <c r="I282" s="7" t="n">
        <v>275</v>
      </c>
      <c r="J282" s="7" t="n">
        <v>30</v>
      </c>
      <c r="K282" s="7" t="s">
        <v>88</v>
      </c>
      <c r="L282" s="7" t="s">
        <v>194</v>
      </c>
      <c r="M282" s="7" t="n">
        <v>37</v>
      </c>
      <c r="N282" s="7" t="n">
        <v>5</v>
      </c>
      <c r="O282" s="7" t="str">
        <f aca="false">A282&amp;"|"&amp;B282&amp;"|"&amp;C282&amp;"|"&amp;D282&amp;"|"&amp;E282&amp;"|"&amp;F282&amp;"|"&amp;G282&amp;"|"&amp;H282&amp;"|"&amp;I282&amp;"|"&amp;J282&amp;"|"&amp;K282&amp;"|"&amp;L282&amp;"|"&amp;M282&amp;"|"&amp;N282</f>
        <v>ORD11160|2025-05-28|00:36|C0034|Maratha Thali House|Pune |North Indian|1|275|30|UPI|Delivered|37|5</v>
      </c>
      <c r="P282" s="7" t="str">
        <f aca="false">IF(COUNTIF($O$2:O282,O282)&gt;1,"DUP","OK")</f>
        <v>OK</v>
      </c>
      <c r="Q282" s="7" t="n">
        <f aca="false">COUNTBLANK(A282:N282)</f>
        <v>0</v>
      </c>
      <c r="R282" s="7" t="n">
        <f aca="false">IF(A282="",0,COUNTIFS($A$2:$A$3058,A282,$P$2:$P$3058,"OK"))</f>
        <v>1</v>
      </c>
      <c r="S282" s="7" t="str">
        <f aca="false">IF(OR(A282="",P282="DUP",R282&lt;2),"",IF(Q282=_xlfn.MINIFS($Q$2:$Q$3058,$A$2:$A$3058,A282,$P$2:$P$3058,"OK"),"KEEP","DROP"))</f>
        <v/>
      </c>
      <c r="T282" s="9" t="n">
        <f aca="false">IF(A282="",1,0)</f>
        <v>0</v>
      </c>
      <c r="U282" s="9" t="n">
        <f aca="false">IF(D282="",1,0)</f>
        <v>0</v>
      </c>
      <c r="V282" s="9" t="n">
        <f aca="false">IF(E282="",1,0)</f>
        <v>0</v>
      </c>
      <c r="W282" s="9" t="n">
        <f aca="false">IF(OR(H282&lt;1,H282&gt;10),1,0)</f>
        <v>0</v>
      </c>
      <c r="X282" s="9" t="n">
        <f aca="false">IF(OR(I282&lt;=0,I282&gt;1500),1,0)</f>
        <v>0</v>
      </c>
      <c r="Y282" s="9" t="n">
        <f aca="false">IF(J282&gt;H282*I282,1,0)</f>
        <v>0</v>
      </c>
      <c r="Z282" s="9" t="n">
        <f aca="false">IF(AND(N282&lt;&gt;"",OR(N282&lt;1,N282&gt;5)),1,0)</f>
        <v>0</v>
      </c>
      <c r="AA282" s="9" t="n">
        <f aca="false">IF(AND(M282&lt;&gt;"",OR(M282&lt;5,M282&gt;180)),1,0)</f>
        <v>0</v>
      </c>
      <c r="AB282" s="7" t="str">
        <f aca="false">IF(P282="DUP","Exact duplicate row",IF(T282=1,"Missing Order ID",IF(S282="DROP","Duplicate Order ID (less complete row)",IF(U282=1,"Missing Customer ID",IF(V282=1,"Missing Restaurant name",IF(W282=1,"Invalid/outlier quantity",IF(X282=1,"Invalid/outlier unit price",IF(Y282=1,"Discount greater than order value",""))))))))</f>
        <v/>
      </c>
      <c r="AC282" s="7" t="str">
        <f aca="false">IF(AB282="","KEEP","DROP")</f>
        <v>KEEP</v>
      </c>
      <c r="AD282" s="7" t="str">
        <f aca="false">IF(TRIM(F282)="",IFERROR(INDEX(Map_Tables!$I$4:$I$37,MATCH(TRIM(E282),Map_Tables!$G$4:$G$37,0)),""),IFERROR(INDEX(Map_Tables!$B$4:$B$18,MATCH(TRIM(F282),Map_Tables!$A$4:$A$18,0)),"CHECK"))</f>
        <v>Pune</v>
      </c>
      <c r="AE282" s="7" t="str">
        <f aca="false">IF(TRIM(E282)="","",IFERROR(INDEX(Map_Tables!$H$4:$H$37,MATCH(TRIM(E282),Map_Tables!$G$4:$G$37,0)),"CHECK"))</f>
        <v>Maratha Thali House</v>
      </c>
      <c r="AF282" s="7" t="str">
        <f aca="false">IF(TRIM(K282)="","Unknown",IFERROR(INDEX(Map_Tables!$E$4:$E$15,MATCH(TRIM(K282),Map_Tables!$D$4:$D$15,0)),"CHECK"))</f>
        <v>UPI</v>
      </c>
      <c r="AG282" s="7" t="str">
        <f aca="false">IF(LEFT(LOWER(TRIM(L282)),6)="cancel","Cancelled","Delivered")</f>
        <v>Delivered</v>
      </c>
      <c r="AH282" s="10" t="n">
        <f aca="false">IF(ISNUMBER(SEARCH("/",B282)),DATE(VALUE(RIGHT(B282,4)),VALUE(MID(B282,4,2)),VALUE(LEFT(B282,2))),IF(MID(B282,5,1)="-",DATE(VALUE(LEFT(B282,4)),VALUE(MID(B282,6,2)),VALUE(RIGHT(B282,2))),DATE(VALUE(RIGHT(B282,4)),MATCH(MID(B282,4,3),{"Jan","Feb","Mar","Apr","May","Jun","Jul","Aug","Sep","Oct","Nov","Dec"},0),VALUE(LEFT(B282,2)))))</f>
        <v>45805</v>
      </c>
    </row>
    <row r="283" customFormat="false" ht="15" hidden="false" customHeight="false" outlineLevel="0" collapsed="false">
      <c r="A283" s="7" t="s">
        <v>1227</v>
      </c>
      <c r="B283" s="7" t="s">
        <v>1029</v>
      </c>
      <c r="C283" s="7" t="s">
        <v>1228</v>
      </c>
      <c r="D283" s="7" t="s">
        <v>1229</v>
      </c>
      <c r="E283" s="7" t="s">
        <v>126</v>
      </c>
      <c r="F283" s="7" t="s">
        <v>101</v>
      </c>
      <c r="G283" s="7" t="s">
        <v>105</v>
      </c>
      <c r="H283" s="7" t="n">
        <v>4</v>
      </c>
      <c r="I283" s="7" t="n">
        <v>255</v>
      </c>
      <c r="J283" s="7" t="n">
        <v>0</v>
      </c>
      <c r="K283" s="7" t="s">
        <v>121</v>
      </c>
      <c r="L283" s="7" t="s">
        <v>194</v>
      </c>
      <c r="M283" s="7" t="n">
        <v>58</v>
      </c>
      <c r="N283" s="7" t="n">
        <v>4</v>
      </c>
      <c r="O283" s="7" t="str">
        <f aca="false">A283&amp;"|"&amp;B283&amp;"|"&amp;C283&amp;"|"&amp;D283&amp;"|"&amp;E283&amp;"|"&amp;F283&amp;"|"&amp;G283&amp;"|"&amp;H283&amp;"|"&amp;I283&amp;"|"&amp;J283&amp;"|"&amp;K283&amp;"|"&amp;L283&amp;"|"&amp;M283&amp;"|"&amp;N283</f>
        <v>ORD10315|2025-02-11|21:00|C1324|Dragon Express|Mumbai|Chinese|4|255|0|Wallet|Delivered|58|4</v>
      </c>
      <c r="P283" s="7" t="str">
        <f aca="false">IF(COUNTIF($O$2:O283,O283)&gt;1,"DUP","OK")</f>
        <v>OK</v>
      </c>
      <c r="Q283" s="7" t="n">
        <f aca="false">COUNTBLANK(A283:N283)</f>
        <v>0</v>
      </c>
      <c r="R283" s="7" t="n">
        <f aca="false">IF(A283="",0,COUNTIFS($A$2:$A$3058,A283,$P$2:$P$3058,"OK"))</f>
        <v>1</v>
      </c>
      <c r="S283" s="7" t="str">
        <f aca="false">IF(OR(A283="",P283="DUP",R283&lt;2),"",IF(Q283=_xlfn.MINIFS($Q$2:$Q$3058,$A$2:$A$3058,A283,$P$2:$P$3058,"OK"),"KEEP","DROP"))</f>
        <v/>
      </c>
      <c r="T283" s="9" t="n">
        <f aca="false">IF(A283="",1,0)</f>
        <v>0</v>
      </c>
      <c r="U283" s="9" t="n">
        <f aca="false">IF(D283="",1,0)</f>
        <v>0</v>
      </c>
      <c r="V283" s="9" t="n">
        <f aca="false">IF(E283="",1,0)</f>
        <v>0</v>
      </c>
      <c r="W283" s="9" t="n">
        <f aca="false">IF(OR(H283&lt;1,H283&gt;10),1,0)</f>
        <v>0</v>
      </c>
      <c r="X283" s="9" t="n">
        <f aca="false">IF(OR(I283&lt;=0,I283&gt;1500),1,0)</f>
        <v>0</v>
      </c>
      <c r="Y283" s="9" t="n">
        <f aca="false">IF(J283&gt;H283*I283,1,0)</f>
        <v>0</v>
      </c>
      <c r="Z283" s="9" t="n">
        <f aca="false">IF(AND(N283&lt;&gt;"",OR(N283&lt;1,N283&gt;5)),1,0)</f>
        <v>0</v>
      </c>
      <c r="AA283" s="9" t="n">
        <f aca="false">IF(AND(M283&lt;&gt;"",OR(M283&lt;5,M283&gt;180)),1,0)</f>
        <v>0</v>
      </c>
      <c r="AB283" s="7" t="str">
        <f aca="false">IF(P283="DUP","Exact duplicate row",IF(T283=1,"Missing Order ID",IF(S283="DROP","Duplicate Order ID (less complete row)",IF(U283=1,"Missing Customer ID",IF(V283=1,"Missing Restaurant name",IF(W283=1,"Invalid/outlier quantity",IF(X283=1,"Invalid/outlier unit price",IF(Y283=1,"Discount greater than order value",""))))))))</f>
        <v/>
      </c>
      <c r="AC283" s="7" t="str">
        <f aca="false">IF(AB283="","KEEP","DROP")</f>
        <v>KEEP</v>
      </c>
      <c r="AD283" s="7" t="str">
        <f aca="false">IF(TRIM(F283)="",IFERROR(INDEX(Map_Tables!$I$4:$I$37,MATCH(TRIM(E283),Map_Tables!$G$4:$G$37,0)),""),IFERROR(INDEX(Map_Tables!$B$4:$B$18,MATCH(TRIM(F283),Map_Tables!$A$4:$A$18,0)),"CHECK"))</f>
        <v>Mumbai</v>
      </c>
      <c r="AE283" s="7" t="str">
        <f aca="false">IF(TRIM(E283)="","",IFERROR(INDEX(Map_Tables!$H$4:$H$37,MATCH(TRIM(E283),Map_Tables!$G$4:$G$37,0)),"CHECK"))</f>
        <v>Dragon Express</v>
      </c>
      <c r="AF283" s="7" t="str">
        <f aca="false">IF(TRIM(K283)="","Unknown",IFERROR(INDEX(Map_Tables!$E$4:$E$15,MATCH(TRIM(K283),Map_Tables!$D$4:$D$15,0)),"CHECK"))</f>
        <v>Wallet</v>
      </c>
      <c r="AG283" s="7" t="str">
        <f aca="false">IF(LEFT(LOWER(TRIM(L283)),6)="cancel","Cancelled","Delivered")</f>
        <v>Delivered</v>
      </c>
      <c r="AH283" s="10" t="n">
        <f aca="false">IF(ISNUMBER(SEARCH("/",B283)),DATE(VALUE(RIGHT(B283,4)),VALUE(MID(B283,4,2)),VALUE(LEFT(B283,2))),IF(MID(B283,5,1)="-",DATE(VALUE(LEFT(B283,4)),VALUE(MID(B283,6,2)),VALUE(RIGHT(B283,2))),DATE(VALUE(RIGHT(B283,4)),MATCH(MID(B283,4,3),{"Jan","Feb","Mar","Apr","May","Jun","Jul","Aug","Sep","Oct","Nov","Dec"},0),VALUE(LEFT(B283,2)))))</f>
        <v>45699</v>
      </c>
    </row>
    <row r="284" customFormat="false" ht="15" hidden="false" customHeight="false" outlineLevel="0" collapsed="false">
      <c r="A284" s="7" t="s">
        <v>1230</v>
      </c>
      <c r="B284" s="7" t="s">
        <v>1163</v>
      </c>
      <c r="C284" s="7" t="s">
        <v>1231</v>
      </c>
      <c r="D284" s="7" t="s">
        <v>1232</v>
      </c>
      <c r="E284" s="7" t="s">
        <v>159</v>
      </c>
      <c r="F284" s="7" t="s">
        <v>136</v>
      </c>
      <c r="G284" s="7" t="s">
        <v>90</v>
      </c>
      <c r="H284" s="7" t="n">
        <v>1</v>
      </c>
      <c r="I284" s="7" t="n">
        <v>260</v>
      </c>
      <c r="J284" s="7" t="n">
        <v>0</v>
      </c>
      <c r="K284" s="7" t="s">
        <v>103</v>
      </c>
      <c r="L284" s="7" t="s">
        <v>1233</v>
      </c>
      <c r="M284" s="7"/>
      <c r="N284" s="7"/>
      <c r="O284" s="7" t="str">
        <f aca="false">A284&amp;"|"&amp;B284&amp;"|"&amp;C284&amp;"|"&amp;D284&amp;"|"&amp;E284&amp;"|"&amp;F284&amp;"|"&amp;G284&amp;"|"&amp;H284&amp;"|"&amp;I284&amp;"|"&amp;J284&amp;"|"&amp;K284&amp;"|"&amp;L284&amp;"|"&amp;M284&amp;"|"&amp;N284</f>
        <v>ORD12202|2025-10-07|14:22|C0512|Maratha Thali House|Pune|North Indian|1|260|0|Debit Card|CANCELLED||</v>
      </c>
      <c r="P284" s="7" t="str">
        <f aca="false">IF(COUNTIF($O$2:O284,O284)&gt;1,"DUP","OK")</f>
        <v>OK</v>
      </c>
      <c r="Q284" s="7" t="n">
        <f aca="false">COUNTBLANK(A284:N284)</f>
        <v>2</v>
      </c>
      <c r="R284" s="7" t="n">
        <f aca="false">IF(A284="",0,COUNTIFS($A$2:$A$3058,A284,$P$2:$P$3058,"OK"))</f>
        <v>1</v>
      </c>
      <c r="S284" s="7" t="str">
        <f aca="false">IF(OR(A284="",P284="DUP",R284&lt;2),"",IF(Q284=_xlfn.MINIFS($Q$2:$Q$3058,$A$2:$A$3058,A284,$P$2:$P$3058,"OK"),"KEEP","DROP"))</f>
        <v/>
      </c>
      <c r="T284" s="9" t="n">
        <f aca="false">IF(A284="",1,0)</f>
        <v>0</v>
      </c>
      <c r="U284" s="9" t="n">
        <f aca="false">IF(D284="",1,0)</f>
        <v>0</v>
      </c>
      <c r="V284" s="9" t="n">
        <f aca="false">IF(E284="",1,0)</f>
        <v>0</v>
      </c>
      <c r="W284" s="9" t="n">
        <f aca="false">IF(OR(H284&lt;1,H284&gt;10),1,0)</f>
        <v>0</v>
      </c>
      <c r="X284" s="9" t="n">
        <f aca="false">IF(OR(I284&lt;=0,I284&gt;1500),1,0)</f>
        <v>0</v>
      </c>
      <c r="Y284" s="9" t="n">
        <f aca="false">IF(J284&gt;H284*I284,1,0)</f>
        <v>0</v>
      </c>
      <c r="Z284" s="9" t="n">
        <f aca="false">IF(AND(N284&lt;&gt;"",OR(N284&lt;1,N284&gt;5)),1,0)</f>
        <v>0</v>
      </c>
      <c r="AA284" s="9" t="n">
        <f aca="false">IF(AND(M284&lt;&gt;"",OR(M284&lt;5,M284&gt;180)),1,0)</f>
        <v>0</v>
      </c>
      <c r="AB284" s="7" t="str">
        <f aca="false">IF(P284="DUP","Exact duplicate row",IF(T284=1,"Missing Order ID",IF(S284="DROP","Duplicate Order ID (less complete row)",IF(U284=1,"Missing Customer ID",IF(V284=1,"Missing Restaurant name",IF(W284=1,"Invalid/outlier quantity",IF(X284=1,"Invalid/outlier unit price",IF(Y284=1,"Discount greater than order value",""))))))))</f>
        <v/>
      </c>
      <c r="AC284" s="7" t="str">
        <f aca="false">IF(AB284="","KEEP","DROP")</f>
        <v>KEEP</v>
      </c>
      <c r="AD284" s="7" t="str">
        <f aca="false">IF(TRIM(F284)="",IFERROR(INDEX(Map_Tables!$I$4:$I$37,MATCH(TRIM(E284),Map_Tables!$G$4:$G$37,0)),""),IFERROR(INDEX(Map_Tables!$B$4:$B$18,MATCH(TRIM(F284),Map_Tables!$A$4:$A$18,0)),"CHECK"))</f>
        <v>Pune</v>
      </c>
      <c r="AE284" s="7" t="str">
        <f aca="false">IF(TRIM(E284)="","",IFERROR(INDEX(Map_Tables!$H$4:$H$37,MATCH(TRIM(E284),Map_Tables!$G$4:$G$37,0)),"CHECK"))</f>
        <v>Maratha Thali House</v>
      </c>
      <c r="AF284" s="7" t="str">
        <f aca="false">IF(TRIM(K284)="","Unknown",IFERROR(INDEX(Map_Tables!$E$4:$E$15,MATCH(TRIM(K284),Map_Tables!$D$4:$D$15,0)),"CHECK"))</f>
        <v>Debit Card</v>
      </c>
      <c r="AG284" s="7" t="str">
        <f aca="false">IF(LEFT(LOWER(TRIM(L284)),6)="cancel","Cancelled","Delivered")</f>
        <v>Cancelled</v>
      </c>
      <c r="AH284" s="10" t="n">
        <f aca="false">IF(ISNUMBER(SEARCH("/",B284)),DATE(VALUE(RIGHT(B284,4)),VALUE(MID(B284,4,2)),VALUE(LEFT(B284,2))),IF(MID(B284,5,1)="-",DATE(VALUE(LEFT(B284,4)),VALUE(MID(B284,6,2)),VALUE(RIGHT(B284,2))),DATE(VALUE(RIGHT(B284,4)),MATCH(MID(B284,4,3),{"Jan","Feb","Mar","Apr","May","Jun","Jul","Aug","Sep","Oct","Nov","Dec"},0),VALUE(LEFT(B284,2)))))</f>
        <v>45937</v>
      </c>
    </row>
    <row r="285" customFormat="false" ht="15" hidden="false" customHeight="false" outlineLevel="0" collapsed="false">
      <c r="A285" s="7" t="s">
        <v>1234</v>
      </c>
      <c r="B285" s="7" t="s">
        <v>257</v>
      </c>
      <c r="C285" s="7" t="s">
        <v>1235</v>
      </c>
      <c r="D285" s="7" t="s">
        <v>1236</v>
      </c>
      <c r="E285" s="7" t="s">
        <v>154</v>
      </c>
      <c r="F285" s="7" t="s">
        <v>702</v>
      </c>
      <c r="G285" s="7" t="s">
        <v>99</v>
      </c>
      <c r="H285" s="7" t="n">
        <v>3</v>
      </c>
      <c r="I285" s="7" t="n">
        <v>225</v>
      </c>
      <c r="J285" s="7" t="n">
        <v>0</v>
      </c>
      <c r="K285" s="7" t="s">
        <v>103</v>
      </c>
      <c r="L285" s="7" t="s">
        <v>194</v>
      </c>
      <c r="M285" s="7" t="n">
        <v>37</v>
      </c>
      <c r="N285" s="7" t="n">
        <v>4</v>
      </c>
      <c r="O285" s="7" t="str">
        <f aca="false">A285&amp;"|"&amp;B285&amp;"|"&amp;C285&amp;"|"&amp;D285&amp;"|"&amp;E285&amp;"|"&amp;F285&amp;"|"&amp;G285&amp;"|"&amp;H285&amp;"|"&amp;I285&amp;"|"&amp;J285&amp;"|"&amp;K285&amp;"|"&amp;L285&amp;"|"&amp;M285&amp;"|"&amp;N285</f>
        <v>ORD10359|2025-02-17|17:36|C0388|Madras Biryani Co|CHENNAI |Biryani|3|225|0|Debit Card|Delivered|37|4</v>
      </c>
      <c r="P285" s="7" t="str">
        <f aca="false">IF(COUNTIF($O$2:O285,O285)&gt;1,"DUP","OK")</f>
        <v>OK</v>
      </c>
      <c r="Q285" s="7" t="n">
        <f aca="false">COUNTBLANK(A285:N285)</f>
        <v>0</v>
      </c>
      <c r="R285" s="7" t="n">
        <f aca="false">IF(A285="",0,COUNTIFS($A$2:$A$3058,A285,$P$2:$P$3058,"OK"))</f>
        <v>1</v>
      </c>
      <c r="S285" s="7" t="str">
        <f aca="false">IF(OR(A285="",P285="DUP",R285&lt;2),"",IF(Q285=_xlfn.MINIFS($Q$2:$Q$3058,$A$2:$A$3058,A285,$P$2:$P$3058,"OK"),"KEEP","DROP"))</f>
        <v/>
      </c>
      <c r="T285" s="9" t="n">
        <f aca="false">IF(A285="",1,0)</f>
        <v>0</v>
      </c>
      <c r="U285" s="9" t="n">
        <f aca="false">IF(D285="",1,0)</f>
        <v>0</v>
      </c>
      <c r="V285" s="9" t="n">
        <f aca="false">IF(E285="",1,0)</f>
        <v>0</v>
      </c>
      <c r="W285" s="9" t="n">
        <f aca="false">IF(OR(H285&lt;1,H285&gt;10),1,0)</f>
        <v>0</v>
      </c>
      <c r="X285" s="9" t="n">
        <f aca="false">IF(OR(I285&lt;=0,I285&gt;1500),1,0)</f>
        <v>0</v>
      </c>
      <c r="Y285" s="9" t="n">
        <f aca="false">IF(J285&gt;H285*I285,1,0)</f>
        <v>0</v>
      </c>
      <c r="Z285" s="9" t="n">
        <f aca="false">IF(AND(N285&lt;&gt;"",OR(N285&lt;1,N285&gt;5)),1,0)</f>
        <v>0</v>
      </c>
      <c r="AA285" s="9" t="n">
        <f aca="false">IF(AND(M285&lt;&gt;"",OR(M285&lt;5,M285&gt;180)),1,0)</f>
        <v>0</v>
      </c>
      <c r="AB285" s="7" t="str">
        <f aca="false">IF(P285="DUP","Exact duplicate row",IF(T285=1,"Missing Order ID",IF(S285="DROP","Duplicate Order ID (less complete row)",IF(U285=1,"Missing Customer ID",IF(V285=1,"Missing Restaurant name",IF(W285=1,"Invalid/outlier quantity",IF(X285=1,"Invalid/outlier unit price",IF(Y285=1,"Discount greater than order value",""))))))))</f>
        <v/>
      </c>
      <c r="AC285" s="7" t="str">
        <f aca="false">IF(AB285="","KEEP","DROP")</f>
        <v>KEEP</v>
      </c>
      <c r="AD285" s="7" t="str">
        <f aca="false">IF(TRIM(F285)="",IFERROR(INDEX(Map_Tables!$I$4:$I$37,MATCH(TRIM(E285),Map_Tables!$G$4:$G$37,0)),""),IFERROR(INDEX(Map_Tables!$B$4:$B$18,MATCH(TRIM(F285),Map_Tables!$A$4:$A$18,0)),"CHECK"))</f>
        <v>Chennai</v>
      </c>
      <c r="AE285" s="7" t="str">
        <f aca="false">IF(TRIM(E285)="","",IFERROR(INDEX(Map_Tables!$H$4:$H$37,MATCH(TRIM(E285),Map_Tables!$G$4:$G$37,0)),"CHECK"))</f>
        <v>Madras Biryani Co</v>
      </c>
      <c r="AF285" s="7" t="str">
        <f aca="false">IF(TRIM(K285)="","Unknown",IFERROR(INDEX(Map_Tables!$E$4:$E$15,MATCH(TRIM(K285),Map_Tables!$D$4:$D$15,0)),"CHECK"))</f>
        <v>Debit Card</v>
      </c>
      <c r="AG285" s="7" t="str">
        <f aca="false">IF(LEFT(LOWER(TRIM(L285)),6)="cancel","Cancelled","Delivered")</f>
        <v>Delivered</v>
      </c>
      <c r="AH285" s="10" t="n">
        <f aca="false">IF(ISNUMBER(SEARCH("/",B285)),DATE(VALUE(RIGHT(B285,4)),VALUE(MID(B285,4,2)),VALUE(LEFT(B285,2))),IF(MID(B285,5,1)="-",DATE(VALUE(LEFT(B285,4)),VALUE(MID(B285,6,2)),VALUE(RIGHT(B285,2))),DATE(VALUE(RIGHT(B285,4)),MATCH(MID(B285,4,3),{"Jan","Feb","Mar","Apr","May","Jun","Jul","Aug","Sep","Oct","Nov","Dec"},0),VALUE(LEFT(B285,2)))))</f>
        <v>45705</v>
      </c>
    </row>
    <row r="286" customFormat="false" ht="15" hidden="false" customHeight="false" outlineLevel="0" collapsed="false">
      <c r="A286" s="7" t="s">
        <v>1237</v>
      </c>
      <c r="B286" s="7" t="s">
        <v>1238</v>
      </c>
      <c r="C286" s="7" t="s">
        <v>886</v>
      </c>
      <c r="D286" s="7" t="s">
        <v>412</v>
      </c>
      <c r="E286" s="7" t="s">
        <v>138</v>
      </c>
      <c r="F286" s="7" t="s">
        <v>110</v>
      </c>
      <c r="G286" s="7" t="s">
        <v>139</v>
      </c>
      <c r="H286" s="7" t="n">
        <v>5</v>
      </c>
      <c r="I286" s="7" t="n">
        <v>185</v>
      </c>
      <c r="J286" s="7" t="n">
        <v>0</v>
      </c>
      <c r="K286" s="7" t="s">
        <v>93</v>
      </c>
      <c r="L286" s="7" t="s">
        <v>194</v>
      </c>
      <c r="M286" s="7" t="n">
        <v>38</v>
      </c>
      <c r="N286" s="7" t="n">
        <v>4</v>
      </c>
      <c r="O286" s="7" t="str">
        <f aca="false">A286&amp;"|"&amp;B286&amp;"|"&amp;C286&amp;"|"&amp;D286&amp;"|"&amp;E286&amp;"|"&amp;F286&amp;"|"&amp;G286&amp;"|"&amp;H286&amp;"|"&amp;I286&amp;"|"&amp;J286&amp;"|"&amp;K286&amp;"|"&amp;L286&amp;"|"&amp;M286&amp;"|"&amp;N286</f>
        <v>ORD10569|2025-03-14|12:47|C1426|Burger Barn|Delhi|Burgers|5|185|0|Credit Card|Delivered|38|4</v>
      </c>
      <c r="P286" s="7" t="str">
        <f aca="false">IF(COUNTIF($O$2:O286,O286)&gt;1,"DUP","OK")</f>
        <v>OK</v>
      </c>
      <c r="Q286" s="7" t="n">
        <f aca="false">COUNTBLANK(A286:N286)</f>
        <v>0</v>
      </c>
      <c r="R286" s="7" t="n">
        <f aca="false">IF(A286="",0,COUNTIFS($A$2:$A$3058,A286,$P$2:$P$3058,"OK"))</f>
        <v>1</v>
      </c>
      <c r="S286" s="7" t="str">
        <f aca="false">IF(OR(A286="",P286="DUP",R286&lt;2),"",IF(Q286=_xlfn.MINIFS($Q$2:$Q$3058,$A$2:$A$3058,A286,$P$2:$P$3058,"OK"),"KEEP","DROP"))</f>
        <v/>
      </c>
      <c r="T286" s="9" t="n">
        <f aca="false">IF(A286="",1,0)</f>
        <v>0</v>
      </c>
      <c r="U286" s="9" t="n">
        <f aca="false">IF(D286="",1,0)</f>
        <v>0</v>
      </c>
      <c r="V286" s="9" t="n">
        <f aca="false">IF(E286="",1,0)</f>
        <v>0</v>
      </c>
      <c r="W286" s="9" t="n">
        <f aca="false">IF(OR(H286&lt;1,H286&gt;10),1,0)</f>
        <v>0</v>
      </c>
      <c r="X286" s="9" t="n">
        <f aca="false">IF(OR(I286&lt;=0,I286&gt;1500),1,0)</f>
        <v>0</v>
      </c>
      <c r="Y286" s="9" t="n">
        <f aca="false">IF(J286&gt;H286*I286,1,0)</f>
        <v>0</v>
      </c>
      <c r="Z286" s="9" t="n">
        <f aca="false">IF(AND(N286&lt;&gt;"",OR(N286&lt;1,N286&gt;5)),1,0)</f>
        <v>0</v>
      </c>
      <c r="AA286" s="9" t="n">
        <f aca="false">IF(AND(M286&lt;&gt;"",OR(M286&lt;5,M286&gt;180)),1,0)</f>
        <v>0</v>
      </c>
      <c r="AB286" s="7" t="str">
        <f aca="false">IF(P286="DUP","Exact duplicate row",IF(T286=1,"Missing Order ID",IF(S286="DROP","Duplicate Order ID (less complete row)",IF(U286=1,"Missing Customer ID",IF(V286=1,"Missing Restaurant name",IF(W286=1,"Invalid/outlier quantity",IF(X286=1,"Invalid/outlier unit price",IF(Y286=1,"Discount greater than order value",""))))))))</f>
        <v/>
      </c>
      <c r="AC286" s="7" t="str">
        <f aca="false">IF(AB286="","KEEP","DROP")</f>
        <v>KEEP</v>
      </c>
      <c r="AD286" s="7" t="str">
        <f aca="false">IF(TRIM(F286)="",IFERROR(INDEX(Map_Tables!$I$4:$I$37,MATCH(TRIM(E286),Map_Tables!$G$4:$G$37,0)),""),IFERROR(INDEX(Map_Tables!$B$4:$B$18,MATCH(TRIM(F286),Map_Tables!$A$4:$A$18,0)),"CHECK"))</f>
        <v>Delhi</v>
      </c>
      <c r="AE286" s="7" t="str">
        <f aca="false">IF(TRIM(E286)="","",IFERROR(INDEX(Map_Tables!$H$4:$H$37,MATCH(TRIM(E286),Map_Tables!$G$4:$G$37,0)),"CHECK"))</f>
        <v>Burger Barn</v>
      </c>
      <c r="AF286" s="7" t="str">
        <f aca="false">IF(TRIM(K286)="","Unknown",IFERROR(INDEX(Map_Tables!$E$4:$E$15,MATCH(TRIM(K286),Map_Tables!$D$4:$D$15,0)),"CHECK"))</f>
        <v>Credit Card</v>
      </c>
      <c r="AG286" s="7" t="str">
        <f aca="false">IF(LEFT(LOWER(TRIM(L286)),6)="cancel","Cancelled","Delivered")</f>
        <v>Delivered</v>
      </c>
      <c r="AH286" s="10" t="n">
        <f aca="false">IF(ISNUMBER(SEARCH("/",B286)),DATE(VALUE(RIGHT(B286,4)),VALUE(MID(B286,4,2)),VALUE(LEFT(B286,2))),IF(MID(B286,5,1)="-",DATE(VALUE(LEFT(B286,4)),VALUE(MID(B286,6,2)),VALUE(RIGHT(B286,2))),DATE(VALUE(RIGHT(B286,4)),MATCH(MID(B286,4,3),{"Jan","Feb","Mar","Apr","May","Jun","Jul","Aug","Sep","Oct","Nov","Dec"},0),VALUE(LEFT(B286,2)))))</f>
        <v>45730</v>
      </c>
    </row>
    <row r="287" customFormat="false" ht="15" hidden="false" customHeight="false" outlineLevel="0" collapsed="false">
      <c r="A287" s="7" t="s">
        <v>1239</v>
      </c>
      <c r="B287" s="7" t="s">
        <v>1240</v>
      </c>
      <c r="C287" s="7" t="s">
        <v>661</v>
      </c>
      <c r="D287" s="7" t="s">
        <v>1241</v>
      </c>
      <c r="E287" s="7" t="s">
        <v>122</v>
      </c>
      <c r="F287" s="7" t="s">
        <v>101</v>
      </c>
      <c r="G287" s="7" t="s">
        <v>123</v>
      </c>
      <c r="H287" s="7" t="n">
        <v>2</v>
      </c>
      <c r="I287" s="7" t="n">
        <v>375</v>
      </c>
      <c r="J287" s="7" t="n">
        <v>0</v>
      </c>
      <c r="K287" s="7" t="s">
        <v>88</v>
      </c>
      <c r="L287" s="7" t="s">
        <v>194</v>
      </c>
      <c r="M287" s="7" t="n">
        <v>41</v>
      </c>
      <c r="N287" s="7" t="n">
        <v>2</v>
      </c>
      <c r="O287" s="7" t="str">
        <f aca="false">A287&amp;"|"&amp;B287&amp;"|"&amp;C287&amp;"|"&amp;D287&amp;"|"&amp;E287&amp;"|"&amp;F287&amp;"|"&amp;G287&amp;"|"&amp;H287&amp;"|"&amp;I287&amp;"|"&amp;J287&amp;"|"&amp;K287&amp;"|"&amp;L287&amp;"|"&amp;M287&amp;"|"&amp;N287</f>
        <v>ORD11583|26/07/2025|12:35|C0616|Mumbai Pizza Co|Mumbai|Pizza|2|375|0|UPI|Delivered|41|2</v>
      </c>
      <c r="P287" s="7" t="str">
        <f aca="false">IF(COUNTIF($O$2:O287,O287)&gt;1,"DUP","OK")</f>
        <v>OK</v>
      </c>
      <c r="Q287" s="7" t="n">
        <f aca="false">COUNTBLANK(A287:N287)</f>
        <v>0</v>
      </c>
      <c r="R287" s="7" t="n">
        <f aca="false">IF(A287="",0,COUNTIFS($A$2:$A$3058,A287,$P$2:$P$3058,"OK"))</f>
        <v>1</v>
      </c>
      <c r="S287" s="7" t="str">
        <f aca="false">IF(OR(A287="",P287="DUP",R287&lt;2),"",IF(Q287=_xlfn.MINIFS($Q$2:$Q$3058,$A$2:$A$3058,A287,$P$2:$P$3058,"OK"),"KEEP","DROP"))</f>
        <v/>
      </c>
      <c r="T287" s="9" t="n">
        <f aca="false">IF(A287="",1,0)</f>
        <v>0</v>
      </c>
      <c r="U287" s="9" t="n">
        <f aca="false">IF(D287="",1,0)</f>
        <v>0</v>
      </c>
      <c r="V287" s="9" t="n">
        <f aca="false">IF(E287="",1,0)</f>
        <v>0</v>
      </c>
      <c r="W287" s="9" t="n">
        <f aca="false">IF(OR(H287&lt;1,H287&gt;10),1,0)</f>
        <v>0</v>
      </c>
      <c r="X287" s="9" t="n">
        <f aca="false">IF(OR(I287&lt;=0,I287&gt;1500),1,0)</f>
        <v>0</v>
      </c>
      <c r="Y287" s="9" t="n">
        <f aca="false">IF(J287&gt;H287*I287,1,0)</f>
        <v>0</v>
      </c>
      <c r="Z287" s="9" t="n">
        <f aca="false">IF(AND(N287&lt;&gt;"",OR(N287&lt;1,N287&gt;5)),1,0)</f>
        <v>0</v>
      </c>
      <c r="AA287" s="9" t="n">
        <f aca="false">IF(AND(M287&lt;&gt;"",OR(M287&lt;5,M287&gt;180)),1,0)</f>
        <v>0</v>
      </c>
      <c r="AB287" s="7" t="str">
        <f aca="false">IF(P287="DUP","Exact duplicate row",IF(T287=1,"Missing Order ID",IF(S287="DROP","Duplicate Order ID (less complete row)",IF(U287=1,"Missing Customer ID",IF(V287=1,"Missing Restaurant name",IF(W287=1,"Invalid/outlier quantity",IF(X287=1,"Invalid/outlier unit price",IF(Y287=1,"Discount greater than order value",""))))))))</f>
        <v/>
      </c>
      <c r="AC287" s="7" t="str">
        <f aca="false">IF(AB287="","KEEP","DROP")</f>
        <v>KEEP</v>
      </c>
      <c r="AD287" s="7" t="str">
        <f aca="false">IF(TRIM(F287)="",IFERROR(INDEX(Map_Tables!$I$4:$I$37,MATCH(TRIM(E287),Map_Tables!$G$4:$G$37,0)),""),IFERROR(INDEX(Map_Tables!$B$4:$B$18,MATCH(TRIM(F287),Map_Tables!$A$4:$A$18,0)),"CHECK"))</f>
        <v>Mumbai</v>
      </c>
      <c r="AE287" s="7" t="str">
        <f aca="false">IF(TRIM(E287)="","",IFERROR(INDEX(Map_Tables!$H$4:$H$37,MATCH(TRIM(E287),Map_Tables!$G$4:$G$37,0)),"CHECK"))</f>
        <v>Mumbai Pizza Co</v>
      </c>
      <c r="AF287" s="7" t="str">
        <f aca="false">IF(TRIM(K287)="","Unknown",IFERROR(INDEX(Map_Tables!$E$4:$E$15,MATCH(TRIM(K287),Map_Tables!$D$4:$D$15,0)),"CHECK"))</f>
        <v>UPI</v>
      </c>
      <c r="AG287" s="7" t="str">
        <f aca="false">IF(LEFT(LOWER(TRIM(L287)),6)="cancel","Cancelled","Delivered")</f>
        <v>Delivered</v>
      </c>
      <c r="AH287" s="10" t="n">
        <f aca="false">IF(ISNUMBER(SEARCH("/",B287)),DATE(VALUE(RIGHT(B287,4)),VALUE(MID(B287,4,2)),VALUE(LEFT(B287,2))),IF(MID(B287,5,1)="-",DATE(VALUE(LEFT(B287,4)),VALUE(MID(B287,6,2)),VALUE(RIGHT(B287,2))),DATE(VALUE(RIGHT(B287,4)),MATCH(MID(B287,4,3),{"Jan","Feb","Mar","Apr","May","Jun","Jul","Aug","Sep","Oct","Nov","Dec"},0),VALUE(LEFT(B287,2)))))</f>
        <v>45864</v>
      </c>
    </row>
    <row r="288" customFormat="false" ht="15" hidden="false" customHeight="false" outlineLevel="0" collapsed="false">
      <c r="A288" s="7" t="s">
        <v>1242</v>
      </c>
      <c r="B288" s="7" t="s">
        <v>406</v>
      </c>
      <c r="C288" s="7" t="s">
        <v>1243</v>
      </c>
      <c r="D288" s="7" t="s">
        <v>1244</v>
      </c>
      <c r="E288" s="7" t="s">
        <v>98</v>
      </c>
      <c r="F288" s="7" t="s">
        <v>86</v>
      </c>
      <c r="G288" s="7" t="s">
        <v>99</v>
      </c>
      <c r="H288" s="7" t="n">
        <v>1</v>
      </c>
      <c r="I288" s="7" t="n">
        <v>310</v>
      </c>
      <c r="J288" s="7" t="n">
        <v>124</v>
      </c>
      <c r="K288" s="7" t="s">
        <v>88</v>
      </c>
      <c r="L288" s="7" t="s">
        <v>194</v>
      </c>
      <c r="M288" s="7" t="n">
        <v>51</v>
      </c>
      <c r="N288" s="7" t="n">
        <v>5</v>
      </c>
      <c r="O288" s="7" t="str">
        <f aca="false">A288&amp;"|"&amp;B288&amp;"|"&amp;C288&amp;"|"&amp;D288&amp;"|"&amp;E288&amp;"|"&amp;F288&amp;"|"&amp;G288&amp;"|"&amp;H288&amp;"|"&amp;I288&amp;"|"&amp;J288&amp;"|"&amp;K288&amp;"|"&amp;L288&amp;"|"&amp;M288&amp;"|"&amp;N288</f>
        <v>ORD10717|2025-04-01|21:46|C0850|Nawabi Biryani House|Bengaluru|Biryani|1|310|124|UPI|Delivered|51|5</v>
      </c>
      <c r="P288" s="7" t="str">
        <f aca="false">IF(COUNTIF($O$2:O288,O288)&gt;1,"DUP","OK")</f>
        <v>OK</v>
      </c>
      <c r="Q288" s="7" t="n">
        <f aca="false">COUNTBLANK(A288:N288)</f>
        <v>0</v>
      </c>
      <c r="R288" s="7" t="n">
        <f aca="false">IF(A288="",0,COUNTIFS($A$2:$A$3058,A288,$P$2:$P$3058,"OK"))</f>
        <v>1</v>
      </c>
      <c r="S288" s="7" t="str">
        <f aca="false">IF(OR(A288="",P288="DUP",R288&lt;2),"",IF(Q288=_xlfn.MINIFS($Q$2:$Q$3058,$A$2:$A$3058,A288,$P$2:$P$3058,"OK"),"KEEP","DROP"))</f>
        <v/>
      </c>
      <c r="T288" s="9" t="n">
        <f aca="false">IF(A288="",1,0)</f>
        <v>0</v>
      </c>
      <c r="U288" s="9" t="n">
        <f aca="false">IF(D288="",1,0)</f>
        <v>0</v>
      </c>
      <c r="V288" s="9" t="n">
        <f aca="false">IF(E288="",1,0)</f>
        <v>0</v>
      </c>
      <c r="W288" s="9" t="n">
        <f aca="false">IF(OR(H288&lt;1,H288&gt;10),1,0)</f>
        <v>0</v>
      </c>
      <c r="X288" s="9" t="n">
        <f aca="false">IF(OR(I288&lt;=0,I288&gt;1500),1,0)</f>
        <v>0</v>
      </c>
      <c r="Y288" s="9" t="n">
        <f aca="false">IF(J288&gt;H288*I288,1,0)</f>
        <v>0</v>
      </c>
      <c r="Z288" s="9" t="n">
        <f aca="false">IF(AND(N288&lt;&gt;"",OR(N288&lt;1,N288&gt;5)),1,0)</f>
        <v>0</v>
      </c>
      <c r="AA288" s="9" t="n">
        <f aca="false">IF(AND(M288&lt;&gt;"",OR(M288&lt;5,M288&gt;180)),1,0)</f>
        <v>0</v>
      </c>
      <c r="AB288" s="7" t="str">
        <f aca="false">IF(P288="DUP","Exact duplicate row",IF(T288=1,"Missing Order ID",IF(S288="DROP","Duplicate Order ID (less complete row)",IF(U288=1,"Missing Customer ID",IF(V288=1,"Missing Restaurant name",IF(W288=1,"Invalid/outlier quantity",IF(X288=1,"Invalid/outlier unit price",IF(Y288=1,"Discount greater than order value",""))))))))</f>
        <v/>
      </c>
      <c r="AC288" s="7" t="str">
        <f aca="false">IF(AB288="","KEEP","DROP")</f>
        <v>KEEP</v>
      </c>
      <c r="AD288" s="7" t="str">
        <f aca="false">IF(TRIM(F288)="",IFERROR(INDEX(Map_Tables!$I$4:$I$37,MATCH(TRIM(E288),Map_Tables!$G$4:$G$37,0)),""),IFERROR(INDEX(Map_Tables!$B$4:$B$18,MATCH(TRIM(F288),Map_Tables!$A$4:$A$18,0)),"CHECK"))</f>
        <v>Bengaluru</v>
      </c>
      <c r="AE288" s="7" t="str">
        <f aca="false">IF(TRIM(E288)="","",IFERROR(INDEX(Map_Tables!$H$4:$H$37,MATCH(TRIM(E288),Map_Tables!$G$4:$G$37,0)),"CHECK"))</f>
        <v>Nawabi Biryani House</v>
      </c>
      <c r="AF288" s="7" t="str">
        <f aca="false">IF(TRIM(K288)="","Unknown",IFERROR(INDEX(Map_Tables!$E$4:$E$15,MATCH(TRIM(K288),Map_Tables!$D$4:$D$15,0)),"CHECK"))</f>
        <v>UPI</v>
      </c>
      <c r="AG288" s="7" t="str">
        <f aca="false">IF(LEFT(LOWER(TRIM(L288)),6)="cancel","Cancelled","Delivered")</f>
        <v>Delivered</v>
      </c>
      <c r="AH288" s="10" t="n">
        <f aca="false">IF(ISNUMBER(SEARCH("/",B288)),DATE(VALUE(RIGHT(B288,4)),VALUE(MID(B288,4,2)),VALUE(LEFT(B288,2))),IF(MID(B288,5,1)="-",DATE(VALUE(LEFT(B288,4)),VALUE(MID(B288,6,2)),VALUE(RIGHT(B288,2))),DATE(VALUE(RIGHT(B288,4)),MATCH(MID(B288,4,3),{"Jan","Feb","Mar","Apr","May","Jun","Jul","Aug","Sep","Oct","Nov","Dec"},0),VALUE(LEFT(B288,2)))))</f>
        <v>45748</v>
      </c>
    </row>
    <row r="289" customFormat="false" ht="15" hidden="false" customHeight="false" outlineLevel="0" collapsed="false">
      <c r="A289" s="7" t="s">
        <v>1245</v>
      </c>
      <c r="B289" s="7" t="s">
        <v>1246</v>
      </c>
      <c r="C289" s="7" t="s">
        <v>268</v>
      </c>
      <c r="D289" s="7" t="s">
        <v>1247</v>
      </c>
      <c r="E289" s="7" t="s">
        <v>160</v>
      </c>
      <c r="F289" s="7" t="s">
        <v>136</v>
      </c>
      <c r="G289" s="7" t="s">
        <v>150</v>
      </c>
      <c r="H289" s="7" t="n">
        <v>1</v>
      </c>
      <c r="I289" s="7" t="n">
        <v>195</v>
      </c>
      <c r="J289" s="7" t="n">
        <v>0</v>
      </c>
      <c r="K289" s="7" t="s">
        <v>112</v>
      </c>
      <c r="L289" s="7" t="s">
        <v>194</v>
      </c>
      <c r="M289" s="7" t="n">
        <v>21</v>
      </c>
      <c r="N289" s="7" t="n">
        <v>3</v>
      </c>
      <c r="O289" s="7" t="str">
        <f aca="false">A289&amp;"|"&amp;B289&amp;"|"&amp;C289&amp;"|"&amp;D289&amp;"|"&amp;E289&amp;"|"&amp;F289&amp;"|"&amp;G289&amp;"|"&amp;H289&amp;"|"&amp;I289&amp;"|"&amp;J289&amp;"|"&amp;K289&amp;"|"&amp;L289&amp;"|"&amp;M289&amp;"|"&amp;N289</f>
        <v>ORD11280|2025-06-12|19:16|C1084|Cake Walk|Pune|Desserts|1|195|0|Cash on Delivery|Delivered|21|3</v>
      </c>
      <c r="P289" s="7" t="str">
        <f aca="false">IF(COUNTIF($O$2:O289,O289)&gt;1,"DUP","OK")</f>
        <v>OK</v>
      </c>
      <c r="Q289" s="7" t="n">
        <f aca="false">COUNTBLANK(A289:N289)</f>
        <v>0</v>
      </c>
      <c r="R289" s="7" t="n">
        <f aca="false">IF(A289="",0,COUNTIFS($A$2:$A$3058,A289,$P$2:$P$3058,"OK"))</f>
        <v>1</v>
      </c>
      <c r="S289" s="7" t="str">
        <f aca="false">IF(OR(A289="",P289="DUP",R289&lt;2),"",IF(Q289=_xlfn.MINIFS($Q$2:$Q$3058,$A$2:$A$3058,A289,$P$2:$P$3058,"OK"),"KEEP","DROP"))</f>
        <v/>
      </c>
      <c r="T289" s="9" t="n">
        <f aca="false">IF(A289="",1,0)</f>
        <v>0</v>
      </c>
      <c r="U289" s="9" t="n">
        <f aca="false">IF(D289="",1,0)</f>
        <v>0</v>
      </c>
      <c r="V289" s="9" t="n">
        <f aca="false">IF(E289="",1,0)</f>
        <v>0</v>
      </c>
      <c r="W289" s="9" t="n">
        <f aca="false">IF(OR(H289&lt;1,H289&gt;10),1,0)</f>
        <v>0</v>
      </c>
      <c r="X289" s="9" t="n">
        <f aca="false">IF(OR(I289&lt;=0,I289&gt;1500),1,0)</f>
        <v>0</v>
      </c>
      <c r="Y289" s="9" t="n">
        <f aca="false">IF(J289&gt;H289*I289,1,0)</f>
        <v>0</v>
      </c>
      <c r="Z289" s="9" t="n">
        <f aca="false">IF(AND(N289&lt;&gt;"",OR(N289&lt;1,N289&gt;5)),1,0)</f>
        <v>0</v>
      </c>
      <c r="AA289" s="9" t="n">
        <f aca="false">IF(AND(M289&lt;&gt;"",OR(M289&lt;5,M289&gt;180)),1,0)</f>
        <v>0</v>
      </c>
      <c r="AB289" s="7" t="str">
        <f aca="false">IF(P289="DUP","Exact duplicate row",IF(T289=1,"Missing Order ID",IF(S289="DROP","Duplicate Order ID (less complete row)",IF(U289=1,"Missing Customer ID",IF(V289=1,"Missing Restaurant name",IF(W289=1,"Invalid/outlier quantity",IF(X289=1,"Invalid/outlier unit price",IF(Y289=1,"Discount greater than order value",""))))))))</f>
        <v/>
      </c>
      <c r="AC289" s="7" t="str">
        <f aca="false">IF(AB289="","KEEP","DROP")</f>
        <v>KEEP</v>
      </c>
      <c r="AD289" s="7" t="str">
        <f aca="false">IF(TRIM(F289)="",IFERROR(INDEX(Map_Tables!$I$4:$I$37,MATCH(TRIM(E289),Map_Tables!$G$4:$G$37,0)),""),IFERROR(INDEX(Map_Tables!$B$4:$B$18,MATCH(TRIM(F289),Map_Tables!$A$4:$A$18,0)),"CHECK"))</f>
        <v>Pune</v>
      </c>
      <c r="AE289" s="7" t="str">
        <f aca="false">IF(TRIM(E289)="","",IFERROR(INDEX(Map_Tables!$H$4:$H$37,MATCH(TRIM(E289),Map_Tables!$G$4:$G$37,0)),"CHECK"))</f>
        <v>Cake Walk</v>
      </c>
      <c r="AF289" s="7" t="str">
        <f aca="false">IF(TRIM(K289)="","Unknown",IFERROR(INDEX(Map_Tables!$E$4:$E$15,MATCH(TRIM(K289),Map_Tables!$D$4:$D$15,0)),"CHECK"))</f>
        <v>Cash on Delivery</v>
      </c>
      <c r="AG289" s="7" t="str">
        <f aca="false">IF(LEFT(LOWER(TRIM(L289)),6)="cancel","Cancelled","Delivered")</f>
        <v>Delivered</v>
      </c>
      <c r="AH289" s="10" t="n">
        <f aca="false">IF(ISNUMBER(SEARCH("/",B289)),DATE(VALUE(RIGHT(B289,4)),VALUE(MID(B289,4,2)),VALUE(LEFT(B289,2))),IF(MID(B289,5,1)="-",DATE(VALUE(LEFT(B289,4)),VALUE(MID(B289,6,2)),VALUE(RIGHT(B289,2))),DATE(VALUE(RIGHT(B289,4)),MATCH(MID(B289,4,3),{"Jan","Feb","Mar","Apr","May","Jun","Jul","Aug","Sep","Oct","Nov","Dec"},0),VALUE(LEFT(B289,2)))))</f>
        <v>45820</v>
      </c>
    </row>
    <row r="290" customFormat="false" ht="15" hidden="false" customHeight="false" outlineLevel="0" collapsed="false">
      <c r="A290" s="7" t="s">
        <v>1248</v>
      </c>
      <c r="B290" s="7" t="s">
        <v>1249</v>
      </c>
      <c r="C290" s="7" t="s">
        <v>1250</v>
      </c>
      <c r="D290" s="7" t="s">
        <v>1251</v>
      </c>
      <c r="E290" s="7" t="s">
        <v>148</v>
      </c>
      <c r="F290" s="7" t="s">
        <v>119</v>
      </c>
      <c r="G290" s="7" t="s">
        <v>123</v>
      </c>
      <c r="H290" s="7" t="n">
        <v>2</v>
      </c>
      <c r="I290" s="7" t="n">
        <v>350</v>
      </c>
      <c r="J290" s="7" t="n">
        <v>20</v>
      </c>
      <c r="K290" s="7" t="s">
        <v>526</v>
      </c>
      <c r="L290" s="7" t="s">
        <v>194</v>
      </c>
      <c r="M290" s="7" t="n">
        <v>25</v>
      </c>
      <c r="N290" s="7" t="n">
        <v>5</v>
      </c>
      <c r="O290" s="7" t="str">
        <f aca="false">A290&amp;"|"&amp;B290&amp;"|"&amp;C290&amp;"|"&amp;D290&amp;"|"&amp;E290&amp;"|"&amp;F290&amp;"|"&amp;G290&amp;"|"&amp;H290&amp;"|"&amp;I290&amp;"|"&amp;J290&amp;"|"&amp;K290&amp;"|"&amp;L290&amp;"|"&amp;M290&amp;"|"&amp;N290</f>
        <v>ORD11610|2025-07-29|12:02|C0595|Pizza Palace|Hyderabad|Pizza|2|350|20|DC|Delivered|25|5</v>
      </c>
      <c r="P290" s="7" t="str">
        <f aca="false">IF(COUNTIF($O$2:O290,O290)&gt;1,"DUP","OK")</f>
        <v>OK</v>
      </c>
      <c r="Q290" s="7" t="n">
        <f aca="false">COUNTBLANK(A290:N290)</f>
        <v>0</v>
      </c>
      <c r="R290" s="7" t="n">
        <f aca="false">IF(A290="",0,COUNTIFS($A$2:$A$3058,A290,$P$2:$P$3058,"OK"))</f>
        <v>1</v>
      </c>
      <c r="S290" s="7" t="str">
        <f aca="false">IF(OR(A290="",P290="DUP",R290&lt;2),"",IF(Q290=_xlfn.MINIFS($Q$2:$Q$3058,$A$2:$A$3058,A290,$P$2:$P$3058,"OK"),"KEEP","DROP"))</f>
        <v/>
      </c>
      <c r="T290" s="9" t="n">
        <f aca="false">IF(A290="",1,0)</f>
        <v>0</v>
      </c>
      <c r="U290" s="9" t="n">
        <f aca="false">IF(D290="",1,0)</f>
        <v>0</v>
      </c>
      <c r="V290" s="9" t="n">
        <f aca="false">IF(E290="",1,0)</f>
        <v>0</v>
      </c>
      <c r="W290" s="9" t="n">
        <f aca="false">IF(OR(H290&lt;1,H290&gt;10),1,0)</f>
        <v>0</v>
      </c>
      <c r="X290" s="9" t="n">
        <f aca="false">IF(OR(I290&lt;=0,I290&gt;1500),1,0)</f>
        <v>0</v>
      </c>
      <c r="Y290" s="9" t="n">
        <f aca="false">IF(J290&gt;H290*I290,1,0)</f>
        <v>0</v>
      </c>
      <c r="Z290" s="9" t="n">
        <f aca="false">IF(AND(N290&lt;&gt;"",OR(N290&lt;1,N290&gt;5)),1,0)</f>
        <v>0</v>
      </c>
      <c r="AA290" s="9" t="n">
        <f aca="false">IF(AND(M290&lt;&gt;"",OR(M290&lt;5,M290&gt;180)),1,0)</f>
        <v>0</v>
      </c>
      <c r="AB290" s="7" t="str">
        <f aca="false">IF(P290="DUP","Exact duplicate row",IF(T290=1,"Missing Order ID",IF(S290="DROP","Duplicate Order ID (less complete row)",IF(U290=1,"Missing Customer ID",IF(V290=1,"Missing Restaurant name",IF(W290=1,"Invalid/outlier quantity",IF(X290=1,"Invalid/outlier unit price",IF(Y290=1,"Discount greater than order value",""))))))))</f>
        <v/>
      </c>
      <c r="AC290" s="7" t="str">
        <f aca="false">IF(AB290="","KEEP","DROP")</f>
        <v>KEEP</v>
      </c>
      <c r="AD290" s="7" t="str">
        <f aca="false">IF(TRIM(F290)="",IFERROR(INDEX(Map_Tables!$I$4:$I$37,MATCH(TRIM(E290),Map_Tables!$G$4:$G$37,0)),""),IFERROR(INDEX(Map_Tables!$B$4:$B$18,MATCH(TRIM(F290),Map_Tables!$A$4:$A$18,0)),"CHECK"))</f>
        <v>Hyderabad</v>
      </c>
      <c r="AE290" s="7" t="str">
        <f aca="false">IF(TRIM(E290)="","",IFERROR(INDEX(Map_Tables!$H$4:$H$37,MATCH(TRIM(E290),Map_Tables!$G$4:$G$37,0)),"CHECK"))</f>
        <v>Pizza Palace</v>
      </c>
      <c r="AF290" s="7" t="str">
        <f aca="false">IF(TRIM(K290)="","Unknown",IFERROR(INDEX(Map_Tables!$E$4:$E$15,MATCH(TRIM(K290),Map_Tables!$D$4:$D$15,0)),"CHECK"))</f>
        <v>Debit Card</v>
      </c>
      <c r="AG290" s="7" t="str">
        <f aca="false">IF(LEFT(LOWER(TRIM(L290)),6)="cancel","Cancelled","Delivered")</f>
        <v>Delivered</v>
      </c>
      <c r="AH290" s="10" t="n">
        <f aca="false">IF(ISNUMBER(SEARCH("/",B290)),DATE(VALUE(RIGHT(B290,4)),VALUE(MID(B290,4,2)),VALUE(LEFT(B290,2))),IF(MID(B290,5,1)="-",DATE(VALUE(LEFT(B290,4)),VALUE(MID(B290,6,2)),VALUE(RIGHT(B290,2))),DATE(VALUE(RIGHT(B290,4)),MATCH(MID(B290,4,3),{"Jan","Feb","Mar","Apr","May","Jun","Jul","Aug","Sep","Oct","Nov","Dec"},0),VALUE(LEFT(B290,2)))))</f>
        <v>45867</v>
      </c>
    </row>
    <row r="291" customFormat="false" ht="15" hidden="false" customHeight="false" outlineLevel="0" collapsed="false">
      <c r="A291" s="7" t="s">
        <v>1252</v>
      </c>
      <c r="B291" s="7" t="s">
        <v>795</v>
      </c>
      <c r="C291" s="7" t="s">
        <v>1253</v>
      </c>
      <c r="D291" s="7" t="s">
        <v>1254</v>
      </c>
      <c r="E291" s="7" t="s">
        <v>104</v>
      </c>
      <c r="F291" s="7" t="s">
        <v>86</v>
      </c>
      <c r="G291" s="7" t="s">
        <v>105</v>
      </c>
      <c r="H291" s="7" t="n">
        <v>2</v>
      </c>
      <c r="I291" s="7" t="n">
        <v>210</v>
      </c>
      <c r="J291" s="7" t="n">
        <v>50</v>
      </c>
      <c r="K291" s="7" t="s">
        <v>93</v>
      </c>
      <c r="L291" s="7" t="s">
        <v>194</v>
      </c>
      <c r="M291" s="7" t="n">
        <v>42</v>
      </c>
      <c r="N291" s="7" t="n">
        <v>3</v>
      </c>
      <c r="O291" s="7" t="str">
        <f aca="false">A291&amp;"|"&amp;B291&amp;"|"&amp;C291&amp;"|"&amp;D291&amp;"|"&amp;E291&amp;"|"&amp;F291&amp;"|"&amp;G291&amp;"|"&amp;H291&amp;"|"&amp;I291&amp;"|"&amp;J291&amp;"|"&amp;K291&amp;"|"&amp;L291&amp;"|"&amp;M291&amp;"|"&amp;N291</f>
        <v>ORD11486|2025-07-12|17:02|C0514|Wok &amp; Roll|Bengaluru|Chinese|2|210|50|Credit Card|Delivered|42|3</v>
      </c>
      <c r="P291" s="7" t="str">
        <f aca="false">IF(COUNTIF($O$2:O291,O291)&gt;1,"DUP","OK")</f>
        <v>OK</v>
      </c>
      <c r="Q291" s="7" t="n">
        <f aca="false">COUNTBLANK(A291:N291)</f>
        <v>0</v>
      </c>
      <c r="R291" s="7" t="n">
        <f aca="false">IF(A291="",0,COUNTIFS($A$2:$A$3058,A291,$P$2:$P$3058,"OK"))</f>
        <v>1</v>
      </c>
      <c r="S291" s="7" t="str">
        <f aca="false">IF(OR(A291="",P291="DUP",R291&lt;2),"",IF(Q291=_xlfn.MINIFS($Q$2:$Q$3058,$A$2:$A$3058,A291,$P$2:$P$3058,"OK"),"KEEP","DROP"))</f>
        <v/>
      </c>
      <c r="T291" s="9" t="n">
        <f aca="false">IF(A291="",1,0)</f>
        <v>0</v>
      </c>
      <c r="U291" s="9" t="n">
        <f aca="false">IF(D291="",1,0)</f>
        <v>0</v>
      </c>
      <c r="V291" s="9" t="n">
        <f aca="false">IF(E291="",1,0)</f>
        <v>0</v>
      </c>
      <c r="W291" s="9" t="n">
        <f aca="false">IF(OR(H291&lt;1,H291&gt;10),1,0)</f>
        <v>0</v>
      </c>
      <c r="X291" s="9" t="n">
        <f aca="false">IF(OR(I291&lt;=0,I291&gt;1500),1,0)</f>
        <v>0</v>
      </c>
      <c r="Y291" s="9" t="n">
        <f aca="false">IF(J291&gt;H291*I291,1,0)</f>
        <v>0</v>
      </c>
      <c r="Z291" s="9" t="n">
        <f aca="false">IF(AND(N291&lt;&gt;"",OR(N291&lt;1,N291&gt;5)),1,0)</f>
        <v>0</v>
      </c>
      <c r="AA291" s="9" t="n">
        <f aca="false">IF(AND(M291&lt;&gt;"",OR(M291&lt;5,M291&gt;180)),1,0)</f>
        <v>0</v>
      </c>
      <c r="AB291" s="7" t="str">
        <f aca="false">IF(P291="DUP","Exact duplicate row",IF(T291=1,"Missing Order ID",IF(S291="DROP","Duplicate Order ID (less complete row)",IF(U291=1,"Missing Customer ID",IF(V291=1,"Missing Restaurant name",IF(W291=1,"Invalid/outlier quantity",IF(X291=1,"Invalid/outlier unit price",IF(Y291=1,"Discount greater than order value",""))))))))</f>
        <v/>
      </c>
      <c r="AC291" s="7" t="str">
        <f aca="false">IF(AB291="","KEEP","DROP")</f>
        <v>KEEP</v>
      </c>
      <c r="AD291" s="7" t="str">
        <f aca="false">IF(TRIM(F291)="",IFERROR(INDEX(Map_Tables!$I$4:$I$37,MATCH(TRIM(E291),Map_Tables!$G$4:$G$37,0)),""),IFERROR(INDEX(Map_Tables!$B$4:$B$18,MATCH(TRIM(F291),Map_Tables!$A$4:$A$18,0)),"CHECK"))</f>
        <v>Bengaluru</v>
      </c>
      <c r="AE291" s="7" t="str">
        <f aca="false">IF(TRIM(E291)="","",IFERROR(INDEX(Map_Tables!$H$4:$H$37,MATCH(TRIM(E291),Map_Tables!$G$4:$G$37,0)),"CHECK"))</f>
        <v>Wok &amp; Roll</v>
      </c>
      <c r="AF291" s="7" t="str">
        <f aca="false">IF(TRIM(K291)="","Unknown",IFERROR(INDEX(Map_Tables!$E$4:$E$15,MATCH(TRIM(K291),Map_Tables!$D$4:$D$15,0)),"CHECK"))</f>
        <v>Credit Card</v>
      </c>
      <c r="AG291" s="7" t="str">
        <f aca="false">IF(LEFT(LOWER(TRIM(L291)),6)="cancel","Cancelled","Delivered")</f>
        <v>Delivered</v>
      </c>
      <c r="AH291" s="10" t="n">
        <f aca="false">IF(ISNUMBER(SEARCH("/",B291)),DATE(VALUE(RIGHT(B291,4)),VALUE(MID(B291,4,2)),VALUE(LEFT(B291,2))),IF(MID(B291,5,1)="-",DATE(VALUE(LEFT(B291,4)),VALUE(MID(B291,6,2)),VALUE(RIGHT(B291,2))),DATE(VALUE(RIGHT(B291,4)),MATCH(MID(B291,4,3),{"Jan","Feb","Mar","Apr","May","Jun","Jul","Aug","Sep","Oct","Nov","Dec"},0),VALUE(LEFT(B291,2)))))</f>
        <v>45850</v>
      </c>
    </row>
    <row r="292" customFormat="false" ht="15" hidden="false" customHeight="false" outlineLevel="0" collapsed="false">
      <c r="A292" s="7" t="s">
        <v>1255</v>
      </c>
      <c r="B292" s="7" t="s">
        <v>537</v>
      </c>
      <c r="C292" s="7" t="s">
        <v>1256</v>
      </c>
      <c r="D292" s="7" t="s">
        <v>1257</v>
      </c>
      <c r="E292" s="7" t="s">
        <v>98</v>
      </c>
      <c r="F292" s="7" t="s">
        <v>86</v>
      </c>
      <c r="G292" s="7" t="s">
        <v>99</v>
      </c>
      <c r="H292" s="7" t="n">
        <v>1</v>
      </c>
      <c r="I292" s="7" t="n">
        <v>280</v>
      </c>
      <c r="J292" s="7" t="n">
        <v>100</v>
      </c>
      <c r="K292" s="7" t="s">
        <v>88</v>
      </c>
      <c r="L292" s="7" t="s">
        <v>194</v>
      </c>
      <c r="M292" s="7" t="n">
        <v>47</v>
      </c>
      <c r="N292" s="7" t="n">
        <v>4</v>
      </c>
      <c r="O292" s="7" t="str">
        <f aca="false">A292&amp;"|"&amp;B292&amp;"|"&amp;C292&amp;"|"&amp;D292&amp;"|"&amp;E292&amp;"|"&amp;F292&amp;"|"&amp;G292&amp;"|"&amp;H292&amp;"|"&amp;I292&amp;"|"&amp;J292&amp;"|"&amp;K292&amp;"|"&amp;L292&amp;"|"&amp;M292&amp;"|"&amp;N292</f>
        <v>ORD12037|2025-09-20|18:59|C0909|Nawabi Biryani House|Bengaluru|Biryani|1|280|100|UPI|Delivered|47|4</v>
      </c>
      <c r="P292" s="7" t="str">
        <f aca="false">IF(COUNTIF($O$2:O292,O292)&gt;1,"DUP","OK")</f>
        <v>OK</v>
      </c>
      <c r="Q292" s="7" t="n">
        <f aca="false">COUNTBLANK(A292:N292)</f>
        <v>0</v>
      </c>
      <c r="R292" s="7" t="n">
        <f aca="false">IF(A292="",0,COUNTIFS($A$2:$A$3058,A292,$P$2:$P$3058,"OK"))</f>
        <v>1</v>
      </c>
      <c r="S292" s="7" t="str">
        <f aca="false">IF(OR(A292="",P292="DUP",R292&lt;2),"",IF(Q292=_xlfn.MINIFS($Q$2:$Q$3058,$A$2:$A$3058,A292,$P$2:$P$3058,"OK"),"KEEP","DROP"))</f>
        <v/>
      </c>
      <c r="T292" s="9" t="n">
        <f aca="false">IF(A292="",1,0)</f>
        <v>0</v>
      </c>
      <c r="U292" s="9" t="n">
        <f aca="false">IF(D292="",1,0)</f>
        <v>0</v>
      </c>
      <c r="V292" s="9" t="n">
        <f aca="false">IF(E292="",1,0)</f>
        <v>0</v>
      </c>
      <c r="W292" s="9" t="n">
        <f aca="false">IF(OR(H292&lt;1,H292&gt;10),1,0)</f>
        <v>0</v>
      </c>
      <c r="X292" s="9" t="n">
        <f aca="false">IF(OR(I292&lt;=0,I292&gt;1500),1,0)</f>
        <v>0</v>
      </c>
      <c r="Y292" s="9" t="n">
        <f aca="false">IF(J292&gt;H292*I292,1,0)</f>
        <v>0</v>
      </c>
      <c r="Z292" s="9" t="n">
        <f aca="false">IF(AND(N292&lt;&gt;"",OR(N292&lt;1,N292&gt;5)),1,0)</f>
        <v>0</v>
      </c>
      <c r="AA292" s="9" t="n">
        <f aca="false">IF(AND(M292&lt;&gt;"",OR(M292&lt;5,M292&gt;180)),1,0)</f>
        <v>0</v>
      </c>
      <c r="AB292" s="7" t="str">
        <f aca="false">IF(P292="DUP","Exact duplicate row",IF(T292=1,"Missing Order ID",IF(S292="DROP","Duplicate Order ID (less complete row)",IF(U292=1,"Missing Customer ID",IF(V292=1,"Missing Restaurant name",IF(W292=1,"Invalid/outlier quantity",IF(X292=1,"Invalid/outlier unit price",IF(Y292=1,"Discount greater than order value",""))))))))</f>
        <v/>
      </c>
      <c r="AC292" s="7" t="str">
        <f aca="false">IF(AB292="","KEEP","DROP")</f>
        <v>KEEP</v>
      </c>
      <c r="AD292" s="7" t="str">
        <f aca="false">IF(TRIM(F292)="",IFERROR(INDEX(Map_Tables!$I$4:$I$37,MATCH(TRIM(E292),Map_Tables!$G$4:$G$37,0)),""),IFERROR(INDEX(Map_Tables!$B$4:$B$18,MATCH(TRIM(F292),Map_Tables!$A$4:$A$18,0)),"CHECK"))</f>
        <v>Bengaluru</v>
      </c>
      <c r="AE292" s="7" t="str">
        <f aca="false">IF(TRIM(E292)="","",IFERROR(INDEX(Map_Tables!$H$4:$H$37,MATCH(TRIM(E292),Map_Tables!$G$4:$G$37,0)),"CHECK"))</f>
        <v>Nawabi Biryani House</v>
      </c>
      <c r="AF292" s="7" t="str">
        <f aca="false">IF(TRIM(K292)="","Unknown",IFERROR(INDEX(Map_Tables!$E$4:$E$15,MATCH(TRIM(K292),Map_Tables!$D$4:$D$15,0)),"CHECK"))</f>
        <v>UPI</v>
      </c>
      <c r="AG292" s="7" t="str">
        <f aca="false">IF(LEFT(LOWER(TRIM(L292)),6)="cancel","Cancelled","Delivered")</f>
        <v>Delivered</v>
      </c>
      <c r="AH292" s="10" t="n">
        <f aca="false">IF(ISNUMBER(SEARCH("/",B292)),DATE(VALUE(RIGHT(B292,4)),VALUE(MID(B292,4,2)),VALUE(LEFT(B292,2))),IF(MID(B292,5,1)="-",DATE(VALUE(LEFT(B292,4)),VALUE(MID(B292,6,2)),VALUE(RIGHT(B292,2))),DATE(VALUE(RIGHT(B292,4)),MATCH(MID(B292,4,3),{"Jan","Feb","Mar","Apr","May","Jun","Jul","Aug","Sep","Oct","Nov","Dec"},0),VALUE(LEFT(B292,2)))))</f>
        <v>45920</v>
      </c>
    </row>
    <row r="293" customFormat="false" ht="15" hidden="false" customHeight="false" outlineLevel="0" collapsed="false">
      <c r="A293" s="7" t="s">
        <v>1258</v>
      </c>
      <c r="B293" s="7" t="s">
        <v>727</v>
      </c>
      <c r="C293" s="7" t="s">
        <v>809</v>
      </c>
      <c r="D293" s="7" t="s">
        <v>565</v>
      </c>
      <c r="E293" s="7" t="s">
        <v>94</v>
      </c>
      <c r="F293" s="7" t="s">
        <v>86</v>
      </c>
      <c r="G293" s="7" t="s">
        <v>95</v>
      </c>
      <c r="H293" s="7" t="n">
        <v>2</v>
      </c>
      <c r="I293" s="7" t="n">
        <v>115</v>
      </c>
      <c r="J293" s="7" t="n">
        <v>92</v>
      </c>
      <c r="K293" s="7" t="s">
        <v>88</v>
      </c>
      <c r="L293" s="7" t="s">
        <v>194</v>
      </c>
      <c r="M293" s="7" t="n">
        <v>33</v>
      </c>
      <c r="N293" s="7" t="n">
        <v>5</v>
      </c>
      <c r="O293" s="7" t="str">
        <f aca="false">A293&amp;"|"&amp;B293&amp;"|"&amp;C293&amp;"|"&amp;D293&amp;"|"&amp;E293&amp;"|"&amp;F293&amp;"|"&amp;G293&amp;"|"&amp;H293&amp;"|"&amp;I293&amp;"|"&amp;J293&amp;"|"&amp;K293&amp;"|"&amp;L293&amp;"|"&amp;M293&amp;"|"&amp;N293</f>
        <v>ORD10633|2025-03-21|19:49|C1051|Dosa Darbar|Bengaluru|South Indian|2|115|92|UPI|Delivered|33|5</v>
      </c>
      <c r="P293" s="7" t="str">
        <f aca="false">IF(COUNTIF($O$2:O293,O293)&gt;1,"DUP","OK")</f>
        <v>OK</v>
      </c>
      <c r="Q293" s="7" t="n">
        <f aca="false">COUNTBLANK(A293:N293)</f>
        <v>0</v>
      </c>
      <c r="R293" s="7" t="n">
        <f aca="false">IF(A293="",0,COUNTIFS($A$2:$A$3058,A293,$P$2:$P$3058,"OK"))</f>
        <v>1</v>
      </c>
      <c r="S293" s="7" t="str">
        <f aca="false">IF(OR(A293="",P293="DUP",R293&lt;2),"",IF(Q293=_xlfn.MINIFS($Q$2:$Q$3058,$A$2:$A$3058,A293,$P$2:$P$3058,"OK"),"KEEP","DROP"))</f>
        <v/>
      </c>
      <c r="T293" s="9" t="n">
        <f aca="false">IF(A293="",1,0)</f>
        <v>0</v>
      </c>
      <c r="U293" s="9" t="n">
        <f aca="false">IF(D293="",1,0)</f>
        <v>0</v>
      </c>
      <c r="V293" s="9" t="n">
        <f aca="false">IF(E293="",1,0)</f>
        <v>0</v>
      </c>
      <c r="W293" s="9" t="n">
        <f aca="false">IF(OR(H293&lt;1,H293&gt;10),1,0)</f>
        <v>0</v>
      </c>
      <c r="X293" s="9" t="n">
        <f aca="false">IF(OR(I293&lt;=0,I293&gt;1500),1,0)</f>
        <v>0</v>
      </c>
      <c r="Y293" s="9" t="n">
        <f aca="false">IF(J293&gt;H293*I293,1,0)</f>
        <v>0</v>
      </c>
      <c r="Z293" s="9" t="n">
        <f aca="false">IF(AND(N293&lt;&gt;"",OR(N293&lt;1,N293&gt;5)),1,0)</f>
        <v>0</v>
      </c>
      <c r="AA293" s="9" t="n">
        <f aca="false">IF(AND(M293&lt;&gt;"",OR(M293&lt;5,M293&gt;180)),1,0)</f>
        <v>0</v>
      </c>
      <c r="AB293" s="7" t="str">
        <f aca="false">IF(P293="DUP","Exact duplicate row",IF(T293=1,"Missing Order ID",IF(S293="DROP","Duplicate Order ID (less complete row)",IF(U293=1,"Missing Customer ID",IF(V293=1,"Missing Restaurant name",IF(W293=1,"Invalid/outlier quantity",IF(X293=1,"Invalid/outlier unit price",IF(Y293=1,"Discount greater than order value",""))))))))</f>
        <v/>
      </c>
      <c r="AC293" s="7" t="str">
        <f aca="false">IF(AB293="","KEEP","DROP")</f>
        <v>KEEP</v>
      </c>
      <c r="AD293" s="7" t="str">
        <f aca="false">IF(TRIM(F293)="",IFERROR(INDEX(Map_Tables!$I$4:$I$37,MATCH(TRIM(E293),Map_Tables!$G$4:$G$37,0)),""),IFERROR(INDEX(Map_Tables!$B$4:$B$18,MATCH(TRIM(F293),Map_Tables!$A$4:$A$18,0)),"CHECK"))</f>
        <v>Bengaluru</v>
      </c>
      <c r="AE293" s="7" t="str">
        <f aca="false">IF(TRIM(E293)="","",IFERROR(INDEX(Map_Tables!$H$4:$H$37,MATCH(TRIM(E293),Map_Tables!$G$4:$G$37,0)),"CHECK"))</f>
        <v>Dosa Darbar</v>
      </c>
      <c r="AF293" s="7" t="str">
        <f aca="false">IF(TRIM(K293)="","Unknown",IFERROR(INDEX(Map_Tables!$E$4:$E$15,MATCH(TRIM(K293),Map_Tables!$D$4:$D$15,0)),"CHECK"))</f>
        <v>UPI</v>
      </c>
      <c r="AG293" s="7" t="str">
        <f aca="false">IF(LEFT(LOWER(TRIM(L293)),6)="cancel","Cancelled","Delivered")</f>
        <v>Delivered</v>
      </c>
      <c r="AH293" s="10" t="n">
        <f aca="false">IF(ISNUMBER(SEARCH("/",B293)),DATE(VALUE(RIGHT(B293,4)),VALUE(MID(B293,4,2)),VALUE(LEFT(B293,2))),IF(MID(B293,5,1)="-",DATE(VALUE(LEFT(B293,4)),VALUE(MID(B293,6,2)),VALUE(RIGHT(B293,2))),DATE(VALUE(RIGHT(B293,4)),MATCH(MID(B293,4,3),{"Jan","Feb","Mar","Apr","May","Jun","Jul","Aug","Sep","Oct","Nov","Dec"},0),VALUE(LEFT(B293,2)))))</f>
        <v>45737</v>
      </c>
    </row>
    <row r="294" customFormat="false" ht="15" hidden="false" customHeight="false" outlineLevel="0" collapsed="false">
      <c r="A294" s="7" t="s">
        <v>1259</v>
      </c>
      <c r="B294" s="7" t="s">
        <v>1260</v>
      </c>
      <c r="C294" s="7" t="s">
        <v>622</v>
      </c>
      <c r="D294" s="7" t="s">
        <v>1261</v>
      </c>
      <c r="E294" s="7" t="s">
        <v>104</v>
      </c>
      <c r="F294" s="7" t="s">
        <v>785</v>
      </c>
      <c r="G294" s="7" t="s">
        <v>105</v>
      </c>
      <c r="H294" s="7" t="n">
        <v>2</v>
      </c>
      <c r="I294" s="7" t="n">
        <v>225</v>
      </c>
      <c r="J294" s="7" t="n">
        <v>0</v>
      </c>
      <c r="K294" s="7" t="s">
        <v>88</v>
      </c>
      <c r="L294" s="7" t="s">
        <v>194</v>
      </c>
      <c r="M294" s="7" t="n">
        <v>40</v>
      </c>
      <c r="N294" s="7" t="n">
        <v>4</v>
      </c>
      <c r="O294" s="7" t="str">
        <f aca="false">A294&amp;"|"&amp;B294&amp;"|"&amp;C294&amp;"|"&amp;D294&amp;"|"&amp;E294&amp;"|"&amp;F294&amp;"|"&amp;G294&amp;"|"&amp;H294&amp;"|"&amp;I294&amp;"|"&amp;J294&amp;"|"&amp;K294&amp;"|"&amp;L294&amp;"|"&amp;M294&amp;"|"&amp;N294</f>
        <v>ORD12365|2025-10-25|19:04|C0889|Wok &amp; Roll|Bengaluru |Chinese|2|225|0|UPI|Delivered|40|4</v>
      </c>
      <c r="P294" s="7" t="str">
        <f aca="false">IF(COUNTIF($O$2:O294,O294)&gt;1,"DUP","OK")</f>
        <v>OK</v>
      </c>
      <c r="Q294" s="7" t="n">
        <f aca="false">COUNTBLANK(A294:N294)</f>
        <v>0</v>
      </c>
      <c r="R294" s="7" t="n">
        <f aca="false">IF(A294="",0,COUNTIFS($A$2:$A$3058,A294,$P$2:$P$3058,"OK"))</f>
        <v>1</v>
      </c>
      <c r="S294" s="7" t="str">
        <f aca="false">IF(OR(A294="",P294="DUP",R294&lt;2),"",IF(Q294=_xlfn.MINIFS($Q$2:$Q$3058,$A$2:$A$3058,A294,$P$2:$P$3058,"OK"),"KEEP","DROP"))</f>
        <v/>
      </c>
      <c r="T294" s="9" t="n">
        <f aca="false">IF(A294="",1,0)</f>
        <v>0</v>
      </c>
      <c r="U294" s="9" t="n">
        <f aca="false">IF(D294="",1,0)</f>
        <v>0</v>
      </c>
      <c r="V294" s="9" t="n">
        <f aca="false">IF(E294="",1,0)</f>
        <v>0</v>
      </c>
      <c r="W294" s="9" t="n">
        <f aca="false">IF(OR(H294&lt;1,H294&gt;10),1,0)</f>
        <v>0</v>
      </c>
      <c r="X294" s="9" t="n">
        <f aca="false">IF(OR(I294&lt;=0,I294&gt;1500),1,0)</f>
        <v>0</v>
      </c>
      <c r="Y294" s="9" t="n">
        <f aca="false">IF(J294&gt;H294*I294,1,0)</f>
        <v>0</v>
      </c>
      <c r="Z294" s="9" t="n">
        <f aca="false">IF(AND(N294&lt;&gt;"",OR(N294&lt;1,N294&gt;5)),1,0)</f>
        <v>0</v>
      </c>
      <c r="AA294" s="9" t="n">
        <f aca="false">IF(AND(M294&lt;&gt;"",OR(M294&lt;5,M294&gt;180)),1,0)</f>
        <v>0</v>
      </c>
      <c r="AB294" s="7" t="str">
        <f aca="false">IF(P294="DUP","Exact duplicate row",IF(T294=1,"Missing Order ID",IF(S294="DROP","Duplicate Order ID (less complete row)",IF(U294=1,"Missing Customer ID",IF(V294=1,"Missing Restaurant name",IF(W294=1,"Invalid/outlier quantity",IF(X294=1,"Invalid/outlier unit price",IF(Y294=1,"Discount greater than order value",""))))))))</f>
        <v/>
      </c>
      <c r="AC294" s="7" t="str">
        <f aca="false">IF(AB294="","KEEP","DROP")</f>
        <v>KEEP</v>
      </c>
      <c r="AD294" s="7" t="str">
        <f aca="false">IF(TRIM(F294)="",IFERROR(INDEX(Map_Tables!$I$4:$I$37,MATCH(TRIM(E294),Map_Tables!$G$4:$G$37,0)),""),IFERROR(INDEX(Map_Tables!$B$4:$B$18,MATCH(TRIM(F294),Map_Tables!$A$4:$A$18,0)),"CHECK"))</f>
        <v>Bengaluru</v>
      </c>
      <c r="AE294" s="7" t="str">
        <f aca="false">IF(TRIM(E294)="","",IFERROR(INDEX(Map_Tables!$H$4:$H$37,MATCH(TRIM(E294),Map_Tables!$G$4:$G$37,0)),"CHECK"))</f>
        <v>Wok &amp; Roll</v>
      </c>
      <c r="AF294" s="7" t="str">
        <f aca="false">IF(TRIM(K294)="","Unknown",IFERROR(INDEX(Map_Tables!$E$4:$E$15,MATCH(TRIM(K294),Map_Tables!$D$4:$D$15,0)),"CHECK"))</f>
        <v>UPI</v>
      </c>
      <c r="AG294" s="7" t="str">
        <f aca="false">IF(LEFT(LOWER(TRIM(L294)),6)="cancel","Cancelled","Delivered")</f>
        <v>Delivered</v>
      </c>
      <c r="AH294" s="10" t="n">
        <f aca="false">IF(ISNUMBER(SEARCH("/",B294)),DATE(VALUE(RIGHT(B294,4)),VALUE(MID(B294,4,2)),VALUE(LEFT(B294,2))),IF(MID(B294,5,1)="-",DATE(VALUE(LEFT(B294,4)),VALUE(MID(B294,6,2)),VALUE(RIGHT(B294,2))),DATE(VALUE(RIGHT(B294,4)),MATCH(MID(B294,4,3),{"Jan","Feb","Mar","Apr","May","Jun","Jul","Aug","Sep","Oct","Nov","Dec"},0),VALUE(LEFT(B294,2)))))</f>
        <v>45955</v>
      </c>
    </row>
    <row r="295" customFormat="false" ht="15" hidden="false" customHeight="false" outlineLevel="0" collapsed="false">
      <c r="A295" s="7" t="s">
        <v>1262</v>
      </c>
      <c r="B295" s="7" t="s">
        <v>406</v>
      </c>
      <c r="C295" s="7" t="s">
        <v>1263</v>
      </c>
      <c r="D295" s="7" t="s">
        <v>1264</v>
      </c>
      <c r="E295" s="7" t="s">
        <v>159</v>
      </c>
      <c r="F295" s="7" t="s">
        <v>136</v>
      </c>
      <c r="G295" s="7" t="s">
        <v>90</v>
      </c>
      <c r="H295" s="7" t="n">
        <v>3</v>
      </c>
      <c r="I295" s="7" t="n">
        <v>245</v>
      </c>
      <c r="J295" s="7" t="n">
        <v>0</v>
      </c>
      <c r="K295" s="7" t="s">
        <v>103</v>
      </c>
      <c r="L295" s="7" t="s">
        <v>1265</v>
      </c>
      <c r="M295" s="7" t="n">
        <v>24</v>
      </c>
      <c r="N295" s="7" t="n">
        <v>4</v>
      </c>
      <c r="O295" s="7" t="str">
        <f aca="false">A295&amp;"|"&amp;B295&amp;"|"&amp;C295&amp;"|"&amp;D295&amp;"|"&amp;E295&amp;"|"&amp;F295&amp;"|"&amp;G295&amp;"|"&amp;H295&amp;"|"&amp;I295&amp;"|"&amp;J295&amp;"|"&amp;K295&amp;"|"&amp;L295&amp;"|"&amp;M295&amp;"|"&amp;N295</f>
        <v>ORD10714|2025-04-01|19:19|C0773|Maratha Thali House|Pune|North Indian|3|245|0|Debit Card|delivered|24|4</v>
      </c>
      <c r="P295" s="7" t="str">
        <f aca="false">IF(COUNTIF($O$2:O295,O295)&gt;1,"DUP","OK")</f>
        <v>OK</v>
      </c>
      <c r="Q295" s="7" t="n">
        <f aca="false">COUNTBLANK(A295:N295)</f>
        <v>0</v>
      </c>
      <c r="R295" s="7" t="n">
        <f aca="false">IF(A295="",0,COUNTIFS($A$2:$A$3058,A295,$P$2:$P$3058,"OK"))</f>
        <v>1</v>
      </c>
      <c r="S295" s="7" t="str">
        <f aca="false">IF(OR(A295="",P295="DUP",R295&lt;2),"",IF(Q295=_xlfn.MINIFS($Q$2:$Q$3058,$A$2:$A$3058,A295,$P$2:$P$3058,"OK"),"KEEP","DROP"))</f>
        <v/>
      </c>
      <c r="T295" s="9" t="n">
        <f aca="false">IF(A295="",1,0)</f>
        <v>0</v>
      </c>
      <c r="U295" s="9" t="n">
        <f aca="false">IF(D295="",1,0)</f>
        <v>0</v>
      </c>
      <c r="V295" s="9" t="n">
        <f aca="false">IF(E295="",1,0)</f>
        <v>0</v>
      </c>
      <c r="W295" s="9" t="n">
        <f aca="false">IF(OR(H295&lt;1,H295&gt;10),1,0)</f>
        <v>0</v>
      </c>
      <c r="X295" s="9" t="n">
        <f aca="false">IF(OR(I295&lt;=0,I295&gt;1500),1,0)</f>
        <v>0</v>
      </c>
      <c r="Y295" s="9" t="n">
        <f aca="false">IF(J295&gt;H295*I295,1,0)</f>
        <v>0</v>
      </c>
      <c r="Z295" s="9" t="n">
        <f aca="false">IF(AND(N295&lt;&gt;"",OR(N295&lt;1,N295&gt;5)),1,0)</f>
        <v>0</v>
      </c>
      <c r="AA295" s="9" t="n">
        <f aca="false">IF(AND(M295&lt;&gt;"",OR(M295&lt;5,M295&gt;180)),1,0)</f>
        <v>0</v>
      </c>
      <c r="AB295" s="7" t="str">
        <f aca="false">IF(P295="DUP","Exact duplicate row",IF(T295=1,"Missing Order ID",IF(S295="DROP","Duplicate Order ID (less complete row)",IF(U295=1,"Missing Customer ID",IF(V295=1,"Missing Restaurant name",IF(W295=1,"Invalid/outlier quantity",IF(X295=1,"Invalid/outlier unit price",IF(Y295=1,"Discount greater than order value",""))))))))</f>
        <v/>
      </c>
      <c r="AC295" s="7" t="str">
        <f aca="false">IF(AB295="","KEEP","DROP")</f>
        <v>KEEP</v>
      </c>
      <c r="AD295" s="7" t="str">
        <f aca="false">IF(TRIM(F295)="",IFERROR(INDEX(Map_Tables!$I$4:$I$37,MATCH(TRIM(E295),Map_Tables!$G$4:$G$37,0)),""),IFERROR(INDEX(Map_Tables!$B$4:$B$18,MATCH(TRIM(F295),Map_Tables!$A$4:$A$18,0)),"CHECK"))</f>
        <v>Pune</v>
      </c>
      <c r="AE295" s="7" t="str">
        <f aca="false">IF(TRIM(E295)="","",IFERROR(INDEX(Map_Tables!$H$4:$H$37,MATCH(TRIM(E295),Map_Tables!$G$4:$G$37,0)),"CHECK"))</f>
        <v>Maratha Thali House</v>
      </c>
      <c r="AF295" s="7" t="str">
        <f aca="false">IF(TRIM(K295)="","Unknown",IFERROR(INDEX(Map_Tables!$E$4:$E$15,MATCH(TRIM(K295),Map_Tables!$D$4:$D$15,0)),"CHECK"))</f>
        <v>Debit Card</v>
      </c>
      <c r="AG295" s="7" t="str">
        <f aca="false">IF(LEFT(LOWER(TRIM(L295)),6)="cancel","Cancelled","Delivered")</f>
        <v>Delivered</v>
      </c>
      <c r="AH295" s="10" t="n">
        <f aca="false">IF(ISNUMBER(SEARCH("/",B295)),DATE(VALUE(RIGHT(B295,4)),VALUE(MID(B295,4,2)),VALUE(LEFT(B295,2))),IF(MID(B295,5,1)="-",DATE(VALUE(LEFT(B295,4)),VALUE(MID(B295,6,2)),VALUE(RIGHT(B295,2))),DATE(VALUE(RIGHT(B295,4)),MATCH(MID(B295,4,3),{"Jan","Feb","Mar","Apr","May","Jun","Jul","Aug","Sep","Oct","Nov","Dec"},0),VALUE(LEFT(B295,2)))))</f>
        <v>45748</v>
      </c>
    </row>
    <row r="296" customFormat="false" ht="15" hidden="false" customHeight="false" outlineLevel="0" collapsed="false">
      <c r="A296" s="7" t="s">
        <v>1266</v>
      </c>
      <c r="B296" s="7" t="s">
        <v>1267</v>
      </c>
      <c r="C296" s="7" t="s">
        <v>655</v>
      </c>
      <c r="D296" s="7" t="s">
        <v>479</v>
      </c>
      <c r="E296" s="7" t="s">
        <v>130</v>
      </c>
      <c r="F296" s="7" t="s">
        <v>294</v>
      </c>
      <c r="G296" s="7" t="s">
        <v>90</v>
      </c>
      <c r="H296" s="7" t="n">
        <v>1</v>
      </c>
      <c r="I296" s="7" t="n">
        <v>280</v>
      </c>
      <c r="J296" s="7" t="n">
        <v>0</v>
      </c>
      <c r="K296" s="7" t="s">
        <v>88</v>
      </c>
      <c r="L296" s="7" t="s">
        <v>194</v>
      </c>
      <c r="M296" s="7" t="n">
        <v>34</v>
      </c>
      <c r="N296" s="7" t="n">
        <v>4</v>
      </c>
      <c r="O296" s="7" t="str">
        <f aca="false">A296&amp;"|"&amp;B296&amp;"|"&amp;C296&amp;"|"&amp;D296&amp;"|"&amp;E296&amp;"|"&amp;F296&amp;"|"&amp;G296&amp;"|"&amp;H296&amp;"|"&amp;I296&amp;"|"&amp;J296&amp;"|"&amp;K296&amp;"|"&amp;L296&amp;"|"&amp;M296&amp;"|"&amp;N296</f>
        <v>ORD10486|2025-03-05|19:22|C0989|Tandoor Tales|New Delhi|North Indian|1|280|0|UPI|Delivered|34|4</v>
      </c>
      <c r="P296" s="7" t="str">
        <f aca="false">IF(COUNTIF($O$2:O296,O296)&gt;1,"DUP","OK")</f>
        <v>OK</v>
      </c>
      <c r="Q296" s="7" t="n">
        <f aca="false">COUNTBLANK(A296:N296)</f>
        <v>0</v>
      </c>
      <c r="R296" s="7" t="n">
        <f aca="false">IF(A296="",0,COUNTIFS($A$2:$A$3058,A296,$P$2:$P$3058,"OK"))</f>
        <v>1</v>
      </c>
      <c r="S296" s="7" t="str">
        <f aca="false">IF(OR(A296="",P296="DUP",R296&lt;2),"",IF(Q296=_xlfn.MINIFS($Q$2:$Q$3058,$A$2:$A$3058,A296,$P$2:$P$3058,"OK"),"KEEP","DROP"))</f>
        <v/>
      </c>
      <c r="T296" s="9" t="n">
        <f aca="false">IF(A296="",1,0)</f>
        <v>0</v>
      </c>
      <c r="U296" s="9" t="n">
        <f aca="false">IF(D296="",1,0)</f>
        <v>0</v>
      </c>
      <c r="V296" s="9" t="n">
        <f aca="false">IF(E296="",1,0)</f>
        <v>0</v>
      </c>
      <c r="W296" s="9" t="n">
        <f aca="false">IF(OR(H296&lt;1,H296&gt;10),1,0)</f>
        <v>0</v>
      </c>
      <c r="X296" s="9" t="n">
        <f aca="false">IF(OR(I296&lt;=0,I296&gt;1500),1,0)</f>
        <v>0</v>
      </c>
      <c r="Y296" s="9" t="n">
        <f aca="false">IF(J296&gt;H296*I296,1,0)</f>
        <v>0</v>
      </c>
      <c r="Z296" s="9" t="n">
        <f aca="false">IF(AND(N296&lt;&gt;"",OR(N296&lt;1,N296&gt;5)),1,0)</f>
        <v>0</v>
      </c>
      <c r="AA296" s="9" t="n">
        <f aca="false">IF(AND(M296&lt;&gt;"",OR(M296&lt;5,M296&gt;180)),1,0)</f>
        <v>0</v>
      </c>
      <c r="AB296" s="7" t="str">
        <f aca="false">IF(P296="DUP","Exact duplicate row",IF(T296=1,"Missing Order ID",IF(S296="DROP","Duplicate Order ID (less complete row)",IF(U296=1,"Missing Customer ID",IF(V296=1,"Missing Restaurant name",IF(W296=1,"Invalid/outlier quantity",IF(X296=1,"Invalid/outlier unit price",IF(Y296=1,"Discount greater than order value",""))))))))</f>
        <v/>
      </c>
      <c r="AC296" s="7" t="str">
        <f aca="false">IF(AB296="","KEEP","DROP")</f>
        <v>KEEP</v>
      </c>
      <c r="AD296" s="7" t="str">
        <f aca="false">IF(TRIM(F296)="",IFERROR(INDEX(Map_Tables!$I$4:$I$37,MATCH(TRIM(E296),Map_Tables!$G$4:$G$37,0)),""),IFERROR(INDEX(Map_Tables!$B$4:$B$18,MATCH(TRIM(F296),Map_Tables!$A$4:$A$18,0)),"CHECK"))</f>
        <v>Delhi</v>
      </c>
      <c r="AE296" s="7" t="str">
        <f aca="false">IF(TRIM(E296)="","",IFERROR(INDEX(Map_Tables!$H$4:$H$37,MATCH(TRIM(E296),Map_Tables!$G$4:$G$37,0)),"CHECK"))</f>
        <v>Tandoor Tales</v>
      </c>
      <c r="AF296" s="7" t="str">
        <f aca="false">IF(TRIM(K296)="","Unknown",IFERROR(INDEX(Map_Tables!$E$4:$E$15,MATCH(TRIM(K296),Map_Tables!$D$4:$D$15,0)),"CHECK"))</f>
        <v>UPI</v>
      </c>
      <c r="AG296" s="7" t="str">
        <f aca="false">IF(LEFT(LOWER(TRIM(L296)),6)="cancel","Cancelled","Delivered")</f>
        <v>Delivered</v>
      </c>
      <c r="AH296" s="10" t="n">
        <f aca="false">IF(ISNUMBER(SEARCH("/",B296)),DATE(VALUE(RIGHT(B296,4)),VALUE(MID(B296,4,2)),VALUE(LEFT(B296,2))),IF(MID(B296,5,1)="-",DATE(VALUE(LEFT(B296,4)),VALUE(MID(B296,6,2)),VALUE(RIGHT(B296,2))),DATE(VALUE(RIGHT(B296,4)),MATCH(MID(B296,4,3),{"Jan","Feb","Mar","Apr","May","Jun","Jul","Aug","Sep","Oct","Nov","Dec"},0),VALUE(LEFT(B296,2)))))</f>
        <v>45721</v>
      </c>
    </row>
    <row r="297" customFormat="false" ht="15" hidden="false" customHeight="false" outlineLevel="0" collapsed="false">
      <c r="A297" s="7" t="s">
        <v>1268</v>
      </c>
      <c r="B297" s="7" t="s">
        <v>787</v>
      </c>
      <c r="C297" s="7" t="s">
        <v>1269</v>
      </c>
      <c r="D297" s="7" t="s">
        <v>281</v>
      </c>
      <c r="E297" s="7" t="s">
        <v>94</v>
      </c>
      <c r="F297" s="7" t="s">
        <v>86</v>
      </c>
      <c r="G297" s="7" t="s">
        <v>95</v>
      </c>
      <c r="H297" s="7" t="n">
        <v>2</v>
      </c>
      <c r="I297" s="7" t="n">
        <v>95</v>
      </c>
      <c r="J297" s="7" t="n">
        <v>40</v>
      </c>
      <c r="K297" s="7" t="s">
        <v>88</v>
      </c>
      <c r="L297" s="7" t="s">
        <v>194</v>
      </c>
      <c r="M297" s="7" t="n">
        <v>38</v>
      </c>
      <c r="N297" s="7" t="n">
        <v>4</v>
      </c>
      <c r="O297" s="7" t="str">
        <f aca="false">A297&amp;"|"&amp;B297&amp;"|"&amp;C297&amp;"|"&amp;D297&amp;"|"&amp;E297&amp;"|"&amp;F297&amp;"|"&amp;G297&amp;"|"&amp;H297&amp;"|"&amp;I297&amp;"|"&amp;J297&amp;"|"&amp;K297&amp;"|"&amp;L297&amp;"|"&amp;M297&amp;"|"&amp;N297</f>
        <v>ORD12864|17/12/2025|10:42|C0984|Dosa Darbar|Bengaluru|South Indian|2|95|40|UPI|Delivered|38|4</v>
      </c>
      <c r="P297" s="7" t="str">
        <f aca="false">IF(COUNTIF($O$2:O297,O297)&gt;1,"DUP","OK")</f>
        <v>OK</v>
      </c>
      <c r="Q297" s="7" t="n">
        <f aca="false">COUNTBLANK(A297:N297)</f>
        <v>0</v>
      </c>
      <c r="R297" s="7" t="n">
        <f aca="false">IF(A297="",0,COUNTIFS($A$2:$A$3058,A297,$P$2:$P$3058,"OK"))</f>
        <v>1</v>
      </c>
      <c r="S297" s="7" t="str">
        <f aca="false">IF(OR(A297="",P297="DUP",R297&lt;2),"",IF(Q297=_xlfn.MINIFS($Q$2:$Q$3058,$A$2:$A$3058,A297,$P$2:$P$3058,"OK"),"KEEP","DROP"))</f>
        <v/>
      </c>
      <c r="T297" s="9" t="n">
        <f aca="false">IF(A297="",1,0)</f>
        <v>0</v>
      </c>
      <c r="U297" s="9" t="n">
        <f aca="false">IF(D297="",1,0)</f>
        <v>0</v>
      </c>
      <c r="V297" s="9" t="n">
        <f aca="false">IF(E297="",1,0)</f>
        <v>0</v>
      </c>
      <c r="W297" s="9" t="n">
        <f aca="false">IF(OR(H297&lt;1,H297&gt;10),1,0)</f>
        <v>0</v>
      </c>
      <c r="X297" s="9" t="n">
        <f aca="false">IF(OR(I297&lt;=0,I297&gt;1500),1,0)</f>
        <v>0</v>
      </c>
      <c r="Y297" s="9" t="n">
        <f aca="false">IF(J297&gt;H297*I297,1,0)</f>
        <v>0</v>
      </c>
      <c r="Z297" s="9" t="n">
        <f aca="false">IF(AND(N297&lt;&gt;"",OR(N297&lt;1,N297&gt;5)),1,0)</f>
        <v>0</v>
      </c>
      <c r="AA297" s="9" t="n">
        <f aca="false">IF(AND(M297&lt;&gt;"",OR(M297&lt;5,M297&gt;180)),1,0)</f>
        <v>0</v>
      </c>
      <c r="AB297" s="7" t="str">
        <f aca="false">IF(P297="DUP","Exact duplicate row",IF(T297=1,"Missing Order ID",IF(S297="DROP","Duplicate Order ID (less complete row)",IF(U297=1,"Missing Customer ID",IF(V297=1,"Missing Restaurant name",IF(W297=1,"Invalid/outlier quantity",IF(X297=1,"Invalid/outlier unit price",IF(Y297=1,"Discount greater than order value",""))))))))</f>
        <v/>
      </c>
      <c r="AC297" s="7" t="str">
        <f aca="false">IF(AB297="","KEEP","DROP")</f>
        <v>KEEP</v>
      </c>
      <c r="AD297" s="7" t="str">
        <f aca="false">IF(TRIM(F297)="",IFERROR(INDEX(Map_Tables!$I$4:$I$37,MATCH(TRIM(E297),Map_Tables!$G$4:$G$37,0)),""),IFERROR(INDEX(Map_Tables!$B$4:$B$18,MATCH(TRIM(F297),Map_Tables!$A$4:$A$18,0)),"CHECK"))</f>
        <v>Bengaluru</v>
      </c>
      <c r="AE297" s="7" t="str">
        <f aca="false">IF(TRIM(E297)="","",IFERROR(INDEX(Map_Tables!$H$4:$H$37,MATCH(TRIM(E297),Map_Tables!$G$4:$G$37,0)),"CHECK"))</f>
        <v>Dosa Darbar</v>
      </c>
      <c r="AF297" s="7" t="str">
        <f aca="false">IF(TRIM(K297)="","Unknown",IFERROR(INDEX(Map_Tables!$E$4:$E$15,MATCH(TRIM(K297),Map_Tables!$D$4:$D$15,0)),"CHECK"))</f>
        <v>UPI</v>
      </c>
      <c r="AG297" s="7" t="str">
        <f aca="false">IF(LEFT(LOWER(TRIM(L297)),6)="cancel","Cancelled","Delivered")</f>
        <v>Delivered</v>
      </c>
      <c r="AH297" s="10" t="n">
        <f aca="false">IF(ISNUMBER(SEARCH("/",B297)),DATE(VALUE(RIGHT(B297,4)),VALUE(MID(B297,4,2)),VALUE(LEFT(B297,2))),IF(MID(B297,5,1)="-",DATE(VALUE(LEFT(B297,4)),VALUE(MID(B297,6,2)),VALUE(RIGHT(B297,2))),DATE(VALUE(RIGHT(B297,4)),MATCH(MID(B297,4,3),{"Jan","Feb","Mar","Apr","May","Jun","Jul","Aug","Sep","Oct","Nov","Dec"},0),VALUE(LEFT(B297,2)))))</f>
        <v>46008</v>
      </c>
    </row>
    <row r="298" customFormat="false" ht="15" hidden="false" customHeight="false" outlineLevel="0" collapsed="false">
      <c r="A298" s="7" t="s">
        <v>1270</v>
      </c>
      <c r="B298" s="7" t="s">
        <v>960</v>
      </c>
      <c r="C298" s="7" t="s">
        <v>1271</v>
      </c>
      <c r="D298" s="7" t="s">
        <v>1272</v>
      </c>
      <c r="E298" s="7" t="s">
        <v>94</v>
      </c>
      <c r="F298" s="7" t="s">
        <v>449</v>
      </c>
      <c r="G298" s="7" t="s">
        <v>95</v>
      </c>
      <c r="H298" s="7" t="n">
        <v>1</v>
      </c>
      <c r="I298" s="7" t="n">
        <v>130</v>
      </c>
      <c r="J298" s="7" t="n">
        <v>52</v>
      </c>
      <c r="K298" s="7" t="s">
        <v>93</v>
      </c>
      <c r="L298" s="7" t="s">
        <v>194</v>
      </c>
      <c r="M298" s="7" t="n">
        <v>42</v>
      </c>
      <c r="N298" s="7" t="n">
        <v>5</v>
      </c>
      <c r="O298" s="7" t="str">
        <f aca="false">A298&amp;"|"&amp;B298&amp;"|"&amp;C298&amp;"|"&amp;D298&amp;"|"&amp;E298&amp;"|"&amp;F298&amp;"|"&amp;G298&amp;"|"&amp;H298&amp;"|"&amp;I298&amp;"|"&amp;J298&amp;"|"&amp;K298&amp;"|"&amp;L298&amp;"|"&amp;M298&amp;"|"&amp;N298</f>
        <v>ORD10934|2025-04-28|14:30|C0717|Dosa Darbar|BLR|South Indian|1|130|52|Credit Card|Delivered|42|5</v>
      </c>
      <c r="P298" s="7" t="str">
        <f aca="false">IF(COUNTIF($O$2:O298,O298)&gt;1,"DUP","OK")</f>
        <v>OK</v>
      </c>
      <c r="Q298" s="7" t="n">
        <f aca="false">COUNTBLANK(A298:N298)</f>
        <v>0</v>
      </c>
      <c r="R298" s="7" t="n">
        <f aca="false">IF(A298="",0,COUNTIFS($A$2:$A$3058,A298,$P$2:$P$3058,"OK"))</f>
        <v>1</v>
      </c>
      <c r="S298" s="7" t="str">
        <f aca="false">IF(OR(A298="",P298="DUP",R298&lt;2),"",IF(Q298=_xlfn.MINIFS($Q$2:$Q$3058,$A$2:$A$3058,A298,$P$2:$P$3058,"OK"),"KEEP","DROP"))</f>
        <v/>
      </c>
      <c r="T298" s="9" t="n">
        <f aca="false">IF(A298="",1,0)</f>
        <v>0</v>
      </c>
      <c r="U298" s="9" t="n">
        <f aca="false">IF(D298="",1,0)</f>
        <v>0</v>
      </c>
      <c r="V298" s="9" t="n">
        <f aca="false">IF(E298="",1,0)</f>
        <v>0</v>
      </c>
      <c r="W298" s="9" t="n">
        <f aca="false">IF(OR(H298&lt;1,H298&gt;10),1,0)</f>
        <v>0</v>
      </c>
      <c r="X298" s="9" t="n">
        <f aca="false">IF(OR(I298&lt;=0,I298&gt;1500),1,0)</f>
        <v>0</v>
      </c>
      <c r="Y298" s="9" t="n">
        <f aca="false">IF(J298&gt;H298*I298,1,0)</f>
        <v>0</v>
      </c>
      <c r="Z298" s="9" t="n">
        <f aca="false">IF(AND(N298&lt;&gt;"",OR(N298&lt;1,N298&gt;5)),1,0)</f>
        <v>0</v>
      </c>
      <c r="AA298" s="9" t="n">
        <f aca="false">IF(AND(M298&lt;&gt;"",OR(M298&lt;5,M298&gt;180)),1,0)</f>
        <v>0</v>
      </c>
      <c r="AB298" s="7" t="str">
        <f aca="false">IF(P298="DUP","Exact duplicate row",IF(T298=1,"Missing Order ID",IF(S298="DROP","Duplicate Order ID (less complete row)",IF(U298=1,"Missing Customer ID",IF(V298=1,"Missing Restaurant name",IF(W298=1,"Invalid/outlier quantity",IF(X298=1,"Invalid/outlier unit price",IF(Y298=1,"Discount greater than order value",""))))))))</f>
        <v/>
      </c>
      <c r="AC298" s="7" t="str">
        <f aca="false">IF(AB298="","KEEP","DROP")</f>
        <v>KEEP</v>
      </c>
      <c r="AD298" s="7" t="str">
        <f aca="false">IF(TRIM(F298)="",IFERROR(INDEX(Map_Tables!$I$4:$I$37,MATCH(TRIM(E298),Map_Tables!$G$4:$G$37,0)),""),IFERROR(INDEX(Map_Tables!$B$4:$B$18,MATCH(TRIM(F298),Map_Tables!$A$4:$A$18,0)),"CHECK"))</f>
        <v>Bengaluru</v>
      </c>
      <c r="AE298" s="7" t="str">
        <f aca="false">IF(TRIM(E298)="","",IFERROR(INDEX(Map_Tables!$H$4:$H$37,MATCH(TRIM(E298),Map_Tables!$G$4:$G$37,0)),"CHECK"))</f>
        <v>Dosa Darbar</v>
      </c>
      <c r="AF298" s="7" t="str">
        <f aca="false">IF(TRIM(K298)="","Unknown",IFERROR(INDEX(Map_Tables!$E$4:$E$15,MATCH(TRIM(K298),Map_Tables!$D$4:$D$15,0)),"CHECK"))</f>
        <v>Credit Card</v>
      </c>
      <c r="AG298" s="7" t="str">
        <f aca="false">IF(LEFT(LOWER(TRIM(L298)),6)="cancel","Cancelled","Delivered")</f>
        <v>Delivered</v>
      </c>
      <c r="AH298" s="10" t="n">
        <f aca="false">IF(ISNUMBER(SEARCH("/",B298)),DATE(VALUE(RIGHT(B298,4)),VALUE(MID(B298,4,2)),VALUE(LEFT(B298,2))),IF(MID(B298,5,1)="-",DATE(VALUE(LEFT(B298,4)),VALUE(MID(B298,6,2)),VALUE(RIGHT(B298,2))),DATE(VALUE(RIGHT(B298,4)),MATCH(MID(B298,4,3),{"Jan","Feb","Mar","Apr","May","Jun","Jul","Aug","Sep","Oct","Nov","Dec"},0),VALUE(LEFT(B298,2)))))</f>
        <v>45775</v>
      </c>
    </row>
    <row r="299" customFormat="false" ht="15" hidden="false" customHeight="false" outlineLevel="0" collapsed="false">
      <c r="A299" s="7" t="s">
        <v>1273</v>
      </c>
      <c r="B299" s="7" t="s">
        <v>615</v>
      </c>
      <c r="C299" s="7" t="s">
        <v>1274</v>
      </c>
      <c r="D299" s="7" t="s">
        <v>242</v>
      </c>
      <c r="E299" s="7" t="s">
        <v>168</v>
      </c>
      <c r="F299" s="7" t="s">
        <v>901</v>
      </c>
      <c r="G299" s="7" t="s">
        <v>123</v>
      </c>
      <c r="H299" s="7" t="n">
        <v>1</v>
      </c>
      <c r="I299" s="7" t="n">
        <v>365</v>
      </c>
      <c r="J299" s="7" t="n">
        <v>0</v>
      </c>
      <c r="K299" s="7" t="s">
        <v>88</v>
      </c>
      <c r="L299" s="7" t="s">
        <v>194</v>
      </c>
      <c r="M299" s="7" t="n">
        <v>34</v>
      </c>
      <c r="N299" s="7" t="n">
        <v>4</v>
      </c>
      <c r="O299" s="7" t="str">
        <f aca="false">A299&amp;"|"&amp;B299&amp;"|"&amp;C299&amp;"|"&amp;D299&amp;"|"&amp;E299&amp;"|"&amp;F299&amp;"|"&amp;G299&amp;"|"&amp;H299&amp;"|"&amp;I299&amp;"|"&amp;J299&amp;"|"&amp;K299&amp;"|"&amp;L299&amp;"|"&amp;M299&amp;"|"&amp;N299</f>
        <v>ORD11991|2025-09-14|22:32|C1117|Cheesy Slice|AHMEDABAD|Pizza|1|365|0|UPI|Delivered|34|4</v>
      </c>
      <c r="P299" s="7" t="str">
        <f aca="false">IF(COUNTIF($O$2:O299,O299)&gt;1,"DUP","OK")</f>
        <v>OK</v>
      </c>
      <c r="Q299" s="7" t="n">
        <f aca="false">COUNTBLANK(A299:N299)</f>
        <v>0</v>
      </c>
      <c r="R299" s="7" t="n">
        <f aca="false">IF(A299="",0,COUNTIFS($A$2:$A$3058,A299,$P$2:$P$3058,"OK"))</f>
        <v>1</v>
      </c>
      <c r="S299" s="7" t="str">
        <f aca="false">IF(OR(A299="",P299="DUP",R299&lt;2),"",IF(Q299=_xlfn.MINIFS($Q$2:$Q$3058,$A$2:$A$3058,A299,$P$2:$P$3058,"OK"),"KEEP","DROP"))</f>
        <v/>
      </c>
      <c r="T299" s="9" t="n">
        <f aca="false">IF(A299="",1,0)</f>
        <v>0</v>
      </c>
      <c r="U299" s="9" t="n">
        <f aca="false">IF(D299="",1,0)</f>
        <v>0</v>
      </c>
      <c r="V299" s="9" t="n">
        <f aca="false">IF(E299="",1,0)</f>
        <v>0</v>
      </c>
      <c r="W299" s="9" t="n">
        <f aca="false">IF(OR(H299&lt;1,H299&gt;10),1,0)</f>
        <v>0</v>
      </c>
      <c r="X299" s="9" t="n">
        <f aca="false">IF(OR(I299&lt;=0,I299&gt;1500),1,0)</f>
        <v>0</v>
      </c>
      <c r="Y299" s="9" t="n">
        <f aca="false">IF(J299&gt;H299*I299,1,0)</f>
        <v>0</v>
      </c>
      <c r="Z299" s="9" t="n">
        <f aca="false">IF(AND(N299&lt;&gt;"",OR(N299&lt;1,N299&gt;5)),1,0)</f>
        <v>0</v>
      </c>
      <c r="AA299" s="9" t="n">
        <f aca="false">IF(AND(M299&lt;&gt;"",OR(M299&lt;5,M299&gt;180)),1,0)</f>
        <v>0</v>
      </c>
      <c r="AB299" s="7" t="str">
        <f aca="false">IF(P299="DUP","Exact duplicate row",IF(T299=1,"Missing Order ID",IF(S299="DROP","Duplicate Order ID (less complete row)",IF(U299=1,"Missing Customer ID",IF(V299=1,"Missing Restaurant name",IF(W299=1,"Invalid/outlier quantity",IF(X299=1,"Invalid/outlier unit price",IF(Y299=1,"Discount greater than order value",""))))))))</f>
        <v/>
      </c>
      <c r="AC299" s="7" t="str">
        <f aca="false">IF(AB299="","KEEP","DROP")</f>
        <v>KEEP</v>
      </c>
      <c r="AD299" s="7" t="str">
        <f aca="false">IF(TRIM(F299)="",IFERROR(INDEX(Map_Tables!$I$4:$I$37,MATCH(TRIM(E299),Map_Tables!$G$4:$G$37,0)),""),IFERROR(INDEX(Map_Tables!$B$4:$B$18,MATCH(TRIM(F299),Map_Tables!$A$4:$A$18,0)),"CHECK"))</f>
        <v>Ahmedabad</v>
      </c>
      <c r="AE299" s="7" t="str">
        <f aca="false">IF(TRIM(E299)="","",IFERROR(INDEX(Map_Tables!$H$4:$H$37,MATCH(TRIM(E299),Map_Tables!$G$4:$G$37,0)),"CHECK"))</f>
        <v>Cheesy Slice</v>
      </c>
      <c r="AF299" s="7" t="str">
        <f aca="false">IF(TRIM(K299)="","Unknown",IFERROR(INDEX(Map_Tables!$E$4:$E$15,MATCH(TRIM(K299),Map_Tables!$D$4:$D$15,0)),"CHECK"))</f>
        <v>UPI</v>
      </c>
      <c r="AG299" s="7" t="str">
        <f aca="false">IF(LEFT(LOWER(TRIM(L299)),6)="cancel","Cancelled","Delivered")</f>
        <v>Delivered</v>
      </c>
      <c r="AH299" s="10" t="n">
        <f aca="false">IF(ISNUMBER(SEARCH("/",B299)),DATE(VALUE(RIGHT(B299,4)),VALUE(MID(B299,4,2)),VALUE(LEFT(B299,2))),IF(MID(B299,5,1)="-",DATE(VALUE(LEFT(B299,4)),VALUE(MID(B299,6,2)),VALUE(RIGHT(B299,2))),DATE(VALUE(RIGHT(B299,4)),MATCH(MID(B299,4,3),{"Jan","Feb","Mar","Apr","May","Jun","Jul","Aug","Sep","Oct","Nov","Dec"},0),VALUE(LEFT(B299,2)))))</f>
        <v>45914</v>
      </c>
    </row>
    <row r="300" customFormat="false" ht="15" hidden="false" customHeight="false" outlineLevel="0" collapsed="false">
      <c r="A300" s="7" t="s">
        <v>1275</v>
      </c>
      <c r="B300" s="7" t="s">
        <v>1276</v>
      </c>
      <c r="C300" s="7" t="s">
        <v>1277</v>
      </c>
      <c r="D300" s="7" t="s">
        <v>1278</v>
      </c>
      <c r="E300" s="7" t="s">
        <v>94</v>
      </c>
      <c r="F300" s="7" t="s">
        <v>85</v>
      </c>
      <c r="G300" s="7" t="s">
        <v>95</v>
      </c>
      <c r="H300" s="7" t="n">
        <v>2</v>
      </c>
      <c r="I300" s="7" t="n">
        <v>145</v>
      </c>
      <c r="J300" s="7" t="n">
        <v>0</v>
      </c>
      <c r="K300" s="7" t="s">
        <v>103</v>
      </c>
      <c r="L300" s="7" t="s">
        <v>194</v>
      </c>
      <c r="M300" s="7" t="n">
        <v>54</v>
      </c>
      <c r="N300" s="7" t="n">
        <v>5</v>
      </c>
      <c r="O300" s="7" t="str">
        <f aca="false">A300&amp;"|"&amp;B300&amp;"|"&amp;C300&amp;"|"&amp;D300&amp;"|"&amp;E300&amp;"|"&amp;F300&amp;"|"&amp;G300&amp;"|"&amp;H300&amp;"|"&amp;I300&amp;"|"&amp;J300&amp;"|"&amp;K300&amp;"|"&amp;L300&amp;"|"&amp;M300&amp;"|"&amp;N300</f>
        <v>ORD11692|2025-08-09|22:46|C1060|Dosa Darbar|bangalore|South Indian|2|145|0|Debit Card|Delivered|54|5</v>
      </c>
      <c r="P300" s="7" t="str">
        <f aca="false">IF(COUNTIF($O$2:O300,O300)&gt;1,"DUP","OK")</f>
        <v>OK</v>
      </c>
      <c r="Q300" s="7" t="n">
        <f aca="false">COUNTBLANK(A300:N300)</f>
        <v>0</v>
      </c>
      <c r="R300" s="7" t="n">
        <f aca="false">IF(A300="",0,COUNTIFS($A$2:$A$3058,A300,$P$2:$P$3058,"OK"))</f>
        <v>1</v>
      </c>
      <c r="S300" s="7" t="str">
        <f aca="false">IF(OR(A300="",P300="DUP",R300&lt;2),"",IF(Q300=_xlfn.MINIFS($Q$2:$Q$3058,$A$2:$A$3058,A300,$P$2:$P$3058,"OK"),"KEEP","DROP"))</f>
        <v/>
      </c>
      <c r="T300" s="9" t="n">
        <f aca="false">IF(A300="",1,0)</f>
        <v>0</v>
      </c>
      <c r="U300" s="9" t="n">
        <f aca="false">IF(D300="",1,0)</f>
        <v>0</v>
      </c>
      <c r="V300" s="9" t="n">
        <f aca="false">IF(E300="",1,0)</f>
        <v>0</v>
      </c>
      <c r="W300" s="9" t="n">
        <f aca="false">IF(OR(H300&lt;1,H300&gt;10),1,0)</f>
        <v>0</v>
      </c>
      <c r="X300" s="9" t="n">
        <f aca="false">IF(OR(I300&lt;=0,I300&gt;1500),1,0)</f>
        <v>0</v>
      </c>
      <c r="Y300" s="9" t="n">
        <f aca="false">IF(J300&gt;H300*I300,1,0)</f>
        <v>0</v>
      </c>
      <c r="Z300" s="9" t="n">
        <f aca="false">IF(AND(N300&lt;&gt;"",OR(N300&lt;1,N300&gt;5)),1,0)</f>
        <v>0</v>
      </c>
      <c r="AA300" s="9" t="n">
        <f aca="false">IF(AND(M300&lt;&gt;"",OR(M300&lt;5,M300&gt;180)),1,0)</f>
        <v>0</v>
      </c>
      <c r="AB300" s="7" t="str">
        <f aca="false">IF(P300="DUP","Exact duplicate row",IF(T300=1,"Missing Order ID",IF(S300="DROP","Duplicate Order ID (less complete row)",IF(U300=1,"Missing Customer ID",IF(V300=1,"Missing Restaurant name",IF(W300=1,"Invalid/outlier quantity",IF(X300=1,"Invalid/outlier unit price",IF(Y300=1,"Discount greater than order value",""))))))))</f>
        <v/>
      </c>
      <c r="AC300" s="7" t="str">
        <f aca="false">IF(AB300="","KEEP","DROP")</f>
        <v>KEEP</v>
      </c>
      <c r="AD300" s="7" t="str">
        <f aca="false">IF(TRIM(F300)="",IFERROR(INDEX(Map_Tables!$I$4:$I$37,MATCH(TRIM(E300),Map_Tables!$G$4:$G$37,0)),""),IFERROR(INDEX(Map_Tables!$B$4:$B$18,MATCH(TRIM(F300),Map_Tables!$A$4:$A$18,0)),"CHECK"))</f>
        <v>Bengaluru</v>
      </c>
      <c r="AE300" s="7" t="str">
        <f aca="false">IF(TRIM(E300)="","",IFERROR(INDEX(Map_Tables!$H$4:$H$37,MATCH(TRIM(E300),Map_Tables!$G$4:$G$37,0)),"CHECK"))</f>
        <v>Dosa Darbar</v>
      </c>
      <c r="AF300" s="7" t="str">
        <f aca="false">IF(TRIM(K300)="","Unknown",IFERROR(INDEX(Map_Tables!$E$4:$E$15,MATCH(TRIM(K300),Map_Tables!$D$4:$D$15,0)),"CHECK"))</f>
        <v>Debit Card</v>
      </c>
      <c r="AG300" s="7" t="str">
        <f aca="false">IF(LEFT(LOWER(TRIM(L300)),6)="cancel","Cancelled","Delivered")</f>
        <v>Delivered</v>
      </c>
      <c r="AH300" s="10" t="n">
        <f aca="false">IF(ISNUMBER(SEARCH("/",B300)),DATE(VALUE(RIGHT(B300,4)),VALUE(MID(B300,4,2)),VALUE(LEFT(B300,2))),IF(MID(B300,5,1)="-",DATE(VALUE(LEFT(B300,4)),VALUE(MID(B300,6,2)),VALUE(RIGHT(B300,2))),DATE(VALUE(RIGHT(B300,4)),MATCH(MID(B300,4,3),{"Jan","Feb","Mar","Apr","May","Jun","Jul","Aug","Sep","Oct","Nov","Dec"},0),VALUE(LEFT(B300,2)))))</f>
        <v>45878</v>
      </c>
    </row>
    <row r="301" customFormat="false" ht="15" hidden="false" customHeight="false" outlineLevel="0" collapsed="false">
      <c r="A301" s="7" t="s">
        <v>1279</v>
      </c>
      <c r="B301" s="7" t="s">
        <v>1108</v>
      </c>
      <c r="C301" s="7" t="s">
        <v>1280</v>
      </c>
      <c r="D301" s="7" t="s">
        <v>1236</v>
      </c>
      <c r="E301" s="7" t="s">
        <v>98</v>
      </c>
      <c r="F301" s="7" t="s">
        <v>86</v>
      </c>
      <c r="G301" s="7" t="s">
        <v>99</v>
      </c>
      <c r="H301" s="7" t="n">
        <v>3</v>
      </c>
      <c r="I301" s="7" t="n">
        <v>275</v>
      </c>
      <c r="J301" s="7" t="n">
        <v>0</v>
      </c>
      <c r="K301" s="7" t="s">
        <v>102</v>
      </c>
      <c r="L301" s="7" t="s">
        <v>194</v>
      </c>
      <c r="M301" s="7" t="n">
        <v>49</v>
      </c>
      <c r="N301" s="7" t="n">
        <v>4</v>
      </c>
      <c r="O301" s="7" t="str">
        <f aca="false">A301&amp;"|"&amp;B301&amp;"|"&amp;C301&amp;"|"&amp;D301&amp;"|"&amp;E301&amp;"|"&amp;F301&amp;"|"&amp;G301&amp;"|"&amp;H301&amp;"|"&amp;I301&amp;"|"&amp;J301&amp;"|"&amp;K301&amp;"|"&amp;L301&amp;"|"&amp;M301&amp;"|"&amp;N301</f>
        <v>ORD12611|2025-11-19|12:21|C0388|Nawabi Biryani House|Bengaluru|Biryani|3|275|0|debit card|Delivered|49|4</v>
      </c>
      <c r="P301" s="7" t="str">
        <f aca="false">IF(COUNTIF($O$2:O301,O301)&gt;1,"DUP","OK")</f>
        <v>OK</v>
      </c>
      <c r="Q301" s="7" t="n">
        <f aca="false">COUNTBLANK(A301:N301)</f>
        <v>0</v>
      </c>
      <c r="R301" s="7" t="n">
        <f aca="false">IF(A301="",0,COUNTIFS($A$2:$A$3058,A301,$P$2:$P$3058,"OK"))</f>
        <v>1</v>
      </c>
      <c r="S301" s="7" t="str">
        <f aca="false">IF(OR(A301="",P301="DUP",R301&lt;2),"",IF(Q301=_xlfn.MINIFS($Q$2:$Q$3058,$A$2:$A$3058,A301,$P$2:$P$3058,"OK"),"KEEP","DROP"))</f>
        <v/>
      </c>
      <c r="T301" s="9" t="n">
        <f aca="false">IF(A301="",1,0)</f>
        <v>0</v>
      </c>
      <c r="U301" s="9" t="n">
        <f aca="false">IF(D301="",1,0)</f>
        <v>0</v>
      </c>
      <c r="V301" s="9" t="n">
        <f aca="false">IF(E301="",1,0)</f>
        <v>0</v>
      </c>
      <c r="W301" s="9" t="n">
        <f aca="false">IF(OR(H301&lt;1,H301&gt;10),1,0)</f>
        <v>0</v>
      </c>
      <c r="X301" s="9" t="n">
        <f aca="false">IF(OR(I301&lt;=0,I301&gt;1500),1,0)</f>
        <v>0</v>
      </c>
      <c r="Y301" s="9" t="n">
        <f aca="false">IF(J301&gt;H301*I301,1,0)</f>
        <v>0</v>
      </c>
      <c r="Z301" s="9" t="n">
        <f aca="false">IF(AND(N301&lt;&gt;"",OR(N301&lt;1,N301&gt;5)),1,0)</f>
        <v>0</v>
      </c>
      <c r="AA301" s="9" t="n">
        <f aca="false">IF(AND(M301&lt;&gt;"",OR(M301&lt;5,M301&gt;180)),1,0)</f>
        <v>0</v>
      </c>
      <c r="AB301" s="7" t="str">
        <f aca="false">IF(P301="DUP","Exact duplicate row",IF(T301=1,"Missing Order ID",IF(S301="DROP","Duplicate Order ID (less complete row)",IF(U301=1,"Missing Customer ID",IF(V301=1,"Missing Restaurant name",IF(W301=1,"Invalid/outlier quantity",IF(X301=1,"Invalid/outlier unit price",IF(Y301=1,"Discount greater than order value",""))))))))</f>
        <v/>
      </c>
      <c r="AC301" s="7" t="str">
        <f aca="false">IF(AB301="","KEEP","DROP")</f>
        <v>KEEP</v>
      </c>
      <c r="AD301" s="7" t="str">
        <f aca="false">IF(TRIM(F301)="",IFERROR(INDEX(Map_Tables!$I$4:$I$37,MATCH(TRIM(E301),Map_Tables!$G$4:$G$37,0)),""),IFERROR(INDEX(Map_Tables!$B$4:$B$18,MATCH(TRIM(F301),Map_Tables!$A$4:$A$18,0)),"CHECK"))</f>
        <v>Bengaluru</v>
      </c>
      <c r="AE301" s="7" t="str">
        <f aca="false">IF(TRIM(E301)="","",IFERROR(INDEX(Map_Tables!$H$4:$H$37,MATCH(TRIM(E301),Map_Tables!$G$4:$G$37,0)),"CHECK"))</f>
        <v>Nawabi Biryani House</v>
      </c>
      <c r="AF301" s="7" t="str">
        <f aca="false">IF(TRIM(K301)="","Unknown",IFERROR(INDEX(Map_Tables!$E$4:$E$15,MATCH(TRIM(K301),Map_Tables!$D$4:$D$15,0)),"CHECK"))</f>
        <v>Debit Card</v>
      </c>
      <c r="AG301" s="7" t="str">
        <f aca="false">IF(LEFT(LOWER(TRIM(L301)),6)="cancel","Cancelled","Delivered")</f>
        <v>Delivered</v>
      </c>
      <c r="AH301" s="10" t="n">
        <f aca="false">IF(ISNUMBER(SEARCH("/",B301)),DATE(VALUE(RIGHT(B301,4)),VALUE(MID(B301,4,2)),VALUE(LEFT(B301,2))),IF(MID(B301,5,1)="-",DATE(VALUE(LEFT(B301,4)),VALUE(MID(B301,6,2)),VALUE(RIGHT(B301,2))),DATE(VALUE(RIGHT(B301,4)),MATCH(MID(B301,4,3),{"Jan","Feb","Mar","Apr","May","Jun","Jul","Aug","Sep","Oct","Nov","Dec"},0),VALUE(LEFT(B301,2)))))</f>
        <v>45980</v>
      </c>
    </row>
    <row r="302" customFormat="false" ht="15" hidden="false" customHeight="false" outlineLevel="0" collapsed="false">
      <c r="A302" s="7" t="s">
        <v>1281</v>
      </c>
      <c r="B302" s="7" t="s">
        <v>1282</v>
      </c>
      <c r="C302" s="7" t="s">
        <v>1133</v>
      </c>
      <c r="D302" s="7" t="s">
        <v>1283</v>
      </c>
      <c r="E302" s="7" t="s">
        <v>151</v>
      </c>
      <c r="F302" s="7" t="s">
        <v>128</v>
      </c>
      <c r="G302" s="7" t="s">
        <v>95</v>
      </c>
      <c r="H302" s="7" t="n">
        <v>2</v>
      </c>
      <c r="I302" s="7" t="n">
        <v>195</v>
      </c>
      <c r="J302" s="7" t="n">
        <v>150</v>
      </c>
      <c r="K302" s="7" t="s">
        <v>88</v>
      </c>
      <c r="L302" s="7" t="s">
        <v>194</v>
      </c>
      <c r="M302" s="7" t="n">
        <v>35</v>
      </c>
      <c r="N302" s="7" t="n">
        <v>4</v>
      </c>
      <c r="O302" s="7" t="str">
        <f aca="false">A302&amp;"|"&amp;B302&amp;"|"&amp;C302&amp;"|"&amp;D302&amp;"|"&amp;E302&amp;"|"&amp;F302&amp;"|"&amp;G302&amp;"|"&amp;H302&amp;"|"&amp;I302&amp;"|"&amp;J302&amp;"|"&amp;K302&amp;"|"&amp;L302&amp;"|"&amp;M302&amp;"|"&amp;N302</f>
        <v>ORD12454|2025-11-04|20:44|C1215|Chettinad House|Chennai|South Indian|2|195|150|UPI|Delivered|35|4</v>
      </c>
      <c r="P302" s="7" t="str">
        <f aca="false">IF(COUNTIF($O$2:O302,O302)&gt;1,"DUP","OK")</f>
        <v>OK</v>
      </c>
      <c r="Q302" s="7" t="n">
        <f aca="false">COUNTBLANK(A302:N302)</f>
        <v>0</v>
      </c>
      <c r="R302" s="7" t="n">
        <f aca="false">IF(A302="",0,COUNTIFS($A$2:$A$3058,A302,$P$2:$P$3058,"OK"))</f>
        <v>1</v>
      </c>
      <c r="S302" s="7" t="str">
        <f aca="false">IF(OR(A302="",P302="DUP",R302&lt;2),"",IF(Q302=_xlfn.MINIFS($Q$2:$Q$3058,$A$2:$A$3058,A302,$P$2:$P$3058,"OK"),"KEEP","DROP"))</f>
        <v/>
      </c>
      <c r="T302" s="9" t="n">
        <f aca="false">IF(A302="",1,0)</f>
        <v>0</v>
      </c>
      <c r="U302" s="9" t="n">
        <f aca="false">IF(D302="",1,0)</f>
        <v>0</v>
      </c>
      <c r="V302" s="9" t="n">
        <f aca="false">IF(E302="",1,0)</f>
        <v>0</v>
      </c>
      <c r="W302" s="9" t="n">
        <f aca="false">IF(OR(H302&lt;1,H302&gt;10),1,0)</f>
        <v>0</v>
      </c>
      <c r="X302" s="9" t="n">
        <f aca="false">IF(OR(I302&lt;=0,I302&gt;1500),1,0)</f>
        <v>0</v>
      </c>
      <c r="Y302" s="9" t="n">
        <f aca="false">IF(J302&gt;H302*I302,1,0)</f>
        <v>0</v>
      </c>
      <c r="Z302" s="9" t="n">
        <f aca="false">IF(AND(N302&lt;&gt;"",OR(N302&lt;1,N302&gt;5)),1,0)</f>
        <v>0</v>
      </c>
      <c r="AA302" s="9" t="n">
        <f aca="false">IF(AND(M302&lt;&gt;"",OR(M302&lt;5,M302&gt;180)),1,0)</f>
        <v>0</v>
      </c>
      <c r="AB302" s="7" t="str">
        <f aca="false">IF(P302="DUP","Exact duplicate row",IF(T302=1,"Missing Order ID",IF(S302="DROP","Duplicate Order ID (less complete row)",IF(U302=1,"Missing Customer ID",IF(V302=1,"Missing Restaurant name",IF(W302=1,"Invalid/outlier quantity",IF(X302=1,"Invalid/outlier unit price",IF(Y302=1,"Discount greater than order value",""))))))))</f>
        <v/>
      </c>
      <c r="AC302" s="7" t="str">
        <f aca="false">IF(AB302="","KEEP","DROP")</f>
        <v>KEEP</v>
      </c>
      <c r="AD302" s="7" t="str">
        <f aca="false">IF(TRIM(F302)="",IFERROR(INDEX(Map_Tables!$I$4:$I$37,MATCH(TRIM(E302),Map_Tables!$G$4:$G$37,0)),""),IFERROR(INDEX(Map_Tables!$B$4:$B$18,MATCH(TRIM(F302),Map_Tables!$A$4:$A$18,0)),"CHECK"))</f>
        <v>Chennai</v>
      </c>
      <c r="AE302" s="7" t="str">
        <f aca="false">IF(TRIM(E302)="","",IFERROR(INDEX(Map_Tables!$H$4:$H$37,MATCH(TRIM(E302),Map_Tables!$G$4:$G$37,0)),"CHECK"))</f>
        <v>Chettinad House</v>
      </c>
      <c r="AF302" s="7" t="str">
        <f aca="false">IF(TRIM(K302)="","Unknown",IFERROR(INDEX(Map_Tables!$E$4:$E$15,MATCH(TRIM(K302),Map_Tables!$D$4:$D$15,0)),"CHECK"))</f>
        <v>UPI</v>
      </c>
      <c r="AG302" s="7" t="str">
        <f aca="false">IF(LEFT(LOWER(TRIM(L302)),6)="cancel","Cancelled","Delivered")</f>
        <v>Delivered</v>
      </c>
      <c r="AH302" s="10" t="n">
        <f aca="false">IF(ISNUMBER(SEARCH("/",B302)),DATE(VALUE(RIGHT(B302,4)),VALUE(MID(B302,4,2)),VALUE(LEFT(B302,2))),IF(MID(B302,5,1)="-",DATE(VALUE(LEFT(B302,4)),VALUE(MID(B302,6,2)),VALUE(RIGHT(B302,2))),DATE(VALUE(RIGHT(B302,4)),MATCH(MID(B302,4,3),{"Jan","Feb","Mar","Apr","May","Jun","Jul","Aug","Sep","Oct","Nov","Dec"},0),VALUE(LEFT(B302,2)))))</f>
        <v>45965</v>
      </c>
    </row>
    <row r="303" customFormat="false" ht="15" hidden="false" customHeight="false" outlineLevel="0" collapsed="false">
      <c r="A303" s="7" t="s">
        <v>1284</v>
      </c>
      <c r="B303" s="7" t="s">
        <v>808</v>
      </c>
      <c r="C303" s="7" t="s">
        <v>1285</v>
      </c>
      <c r="D303" s="7" t="s">
        <v>592</v>
      </c>
      <c r="E303" s="7" t="s">
        <v>134</v>
      </c>
      <c r="F303" s="7" t="s">
        <v>110</v>
      </c>
      <c r="G303" s="7" t="s">
        <v>117</v>
      </c>
      <c r="H303" s="7" t="n">
        <v>2</v>
      </c>
      <c r="I303" s="7" t="n">
        <v>120</v>
      </c>
      <c r="J303" s="7" t="n">
        <v>50</v>
      </c>
      <c r="K303" s="7" t="s">
        <v>88</v>
      </c>
      <c r="L303" s="7" t="s">
        <v>194</v>
      </c>
      <c r="M303" s="7" t="n">
        <v>40</v>
      </c>
      <c r="N303" s="7"/>
      <c r="O303" s="7" t="str">
        <f aca="false">A303&amp;"|"&amp;B303&amp;"|"&amp;C303&amp;"|"&amp;D303&amp;"|"&amp;E303&amp;"|"&amp;F303&amp;"|"&amp;G303&amp;"|"&amp;H303&amp;"|"&amp;I303&amp;"|"&amp;J303&amp;"|"&amp;K303&amp;"|"&amp;L303&amp;"|"&amp;M303&amp;"|"&amp;N303</f>
        <v>ORD12581|2025-11-16|14:27|C0228|Chaat Corner|Delhi|Street Food|2|120|50|UPI|Delivered|40|</v>
      </c>
      <c r="P303" s="7" t="str">
        <f aca="false">IF(COUNTIF($O$2:O303,O303)&gt;1,"DUP","OK")</f>
        <v>OK</v>
      </c>
      <c r="Q303" s="7" t="n">
        <f aca="false">COUNTBLANK(A303:N303)</f>
        <v>1</v>
      </c>
      <c r="R303" s="7" t="n">
        <f aca="false">IF(A303="",0,COUNTIFS($A$2:$A$3058,A303,$P$2:$P$3058,"OK"))</f>
        <v>1</v>
      </c>
      <c r="S303" s="7" t="str">
        <f aca="false">IF(OR(A303="",P303="DUP",R303&lt;2),"",IF(Q303=_xlfn.MINIFS($Q$2:$Q$3058,$A$2:$A$3058,A303,$P$2:$P$3058,"OK"),"KEEP","DROP"))</f>
        <v/>
      </c>
      <c r="T303" s="9" t="n">
        <f aca="false">IF(A303="",1,0)</f>
        <v>0</v>
      </c>
      <c r="U303" s="9" t="n">
        <f aca="false">IF(D303="",1,0)</f>
        <v>0</v>
      </c>
      <c r="V303" s="9" t="n">
        <f aca="false">IF(E303="",1,0)</f>
        <v>0</v>
      </c>
      <c r="W303" s="9" t="n">
        <f aca="false">IF(OR(H303&lt;1,H303&gt;10),1,0)</f>
        <v>0</v>
      </c>
      <c r="X303" s="9" t="n">
        <f aca="false">IF(OR(I303&lt;=0,I303&gt;1500),1,0)</f>
        <v>0</v>
      </c>
      <c r="Y303" s="9" t="n">
        <f aca="false">IF(J303&gt;H303*I303,1,0)</f>
        <v>0</v>
      </c>
      <c r="Z303" s="9" t="n">
        <f aca="false">IF(AND(N303&lt;&gt;"",OR(N303&lt;1,N303&gt;5)),1,0)</f>
        <v>0</v>
      </c>
      <c r="AA303" s="9" t="n">
        <f aca="false">IF(AND(M303&lt;&gt;"",OR(M303&lt;5,M303&gt;180)),1,0)</f>
        <v>0</v>
      </c>
      <c r="AB303" s="7" t="str">
        <f aca="false">IF(P303="DUP","Exact duplicate row",IF(T303=1,"Missing Order ID",IF(S303="DROP","Duplicate Order ID (less complete row)",IF(U303=1,"Missing Customer ID",IF(V303=1,"Missing Restaurant name",IF(W303=1,"Invalid/outlier quantity",IF(X303=1,"Invalid/outlier unit price",IF(Y303=1,"Discount greater than order value",""))))))))</f>
        <v/>
      </c>
      <c r="AC303" s="7" t="str">
        <f aca="false">IF(AB303="","KEEP","DROP")</f>
        <v>KEEP</v>
      </c>
      <c r="AD303" s="7" t="str">
        <f aca="false">IF(TRIM(F303)="",IFERROR(INDEX(Map_Tables!$I$4:$I$37,MATCH(TRIM(E303),Map_Tables!$G$4:$G$37,0)),""),IFERROR(INDEX(Map_Tables!$B$4:$B$18,MATCH(TRIM(F303),Map_Tables!$A$4:$A$18,0)),"CHECK"))</f>
        <v>Delhi</v>
      </c>
      <c r="AE303" s="7" t="str">
        <f aca="false">IF(TRIM(E303)="","",IFERROR(INDEX(Map_Tables!$H$4:$H$37,MATCH(TRIM(E303),Map_Tables!$G$4:$G$37,0)),"CHECK"))</f>
        <v>Chaat Corner</v>
      </c>
      <c r="AF303" s="7" t="str">
        <f aca="false">IF(TRIM(K303)="","Unknown",IFERROR(INDEX(Map_Tables!$E$4:$E$15,MATCH(TRIM(K303),Map_Tables!$D$4:$D$15,0)),"CHECK"))</f>
        <v>UPI</v>
      </c>
      <c r="AG303" s="7" t="str">
        <f aca="false">IF(LEFT(LOWER(TRIM(L303)),6)="cancel","Cancelled","Delivered")</f>
        <v>Delivered</v>
      </c>
      <c r="AH303" s="10" t="n">
        <f aca="false">IF(ISNUMBER(SEARCH("/",B303)),DATE(VALUE(RIGHT(B303,4)),VALUE(MID(B303,4,2)),VALUE(LEFT(B303,2))),IF(MID(B303,5,1)="-",DATE(VALUE(LEFT(B303,4)),VALUE(MID(B303,6,2)),VALUE(RIGHT(B303,2))),DATE(VALUE(RIGHT(B303,4)),MATCH(MID(B303,4,3),{"Jan","Feb","Mar","Apr","May","Jun","Jul","Aug","Sep","Oct","Nov","Dec"},0),VALUE(LEFT(B303,2)))))</f>
        <v>45977</v>
      </c>
    </row>
    <row r="304" customFormat="false" ht="15" hidden="false" customHeight="false" outlineLevel="0" collapsed="false">
      <c r="A304" s="7" t="s">
        <v>1286</v>
      </c>
      <c r="B304" s="7" t="s">
        <v>1287</v>
      </c>
      <c r="C304" s="7" t="s">
        <v>1288</v>
      </c>
      <c r="D304" s="7" t="s">
        <v>1289</v>
      </c>
      <c r="E304" s="7" t="s">
        <v>149</v>
      </c>
      <c r="F304" s="7" t="s">
        <v>119</v>
      </c>
      <c r="G304" s="7" t="s">
        <v>1290</v>
      </c>
      <c r="H304" s="7" t="n">
        <v>3</v>
      </c>
      <c r="I304" s="7" t="n">
        <v>185</v>
      </c>
      <c r="J304" s="7" t="n">
        <v>0</v>
      </c>
      <c r="K304" s="7" t="s">
        <v>112</v>
      </c>
      <c r="L304" s="7" t="s">
        <v>194</v>
      </c>
      <c r="M304" s="7" t="n">
        <v>35</v>
      </c>
      <c r="N304" s="7" t="n">
        <v>2</v>
      </c>
      <c r="O304" s="7" t="str">
        <f aca="false">A304&amp;"|"&amp;B304&amp;"|"&amp;C304&amp;"|"&amp;D304&amp;"|"&amp;E304&amp;"|"&amp;F304&amp;"|"&amp;G304&amp;"|"&amp;H304&amp;"|"&amp;I304&amp;"|"&amp;J304&amp;"|"&amp;K304&amp;"|"&amp;L304&amp;"|"&amp;M304&amp;"|"&amp;N304</f>
        <v>ORD12953|2025-12-26|20:54|C0766|Sweet Tooth Studio|Hyderabad|DESSERTS|3|185|0|Cash on Delivery|Delivered|35|2</v>
      </c>
      <c r="P304" s="7" t="str">
        <f aca="false">IF(COUNTIF($O$2:O304,O304)&gt;1,"DUP","OK")</f>
        <v>OK</v>
      </c>
      <c r="Q304" s="7" t="n">
        <f aca="false">COUNTBLANK(A304:N304)</f>
        <v>0</v>
      </c>
      <c r="R304" s="7" t="n">
        <f aca="false">IF(A304="",0,COUNTIFS($A$2:$A$3058,A304,$P$2:$P$3058,"OK"))</f>
        <v>1</v>
      </c>
      <c r="S304" s="7" t="str">
        <f aca="false">IF(OR(A304="",P304="DUP",R304&lt;2),"",IF(Q304=_xlfn.MINIFS($Q$2:$Q$3058,$A$2:$A$3058,A304,$P$2:$P$3058,"OK"),"KEEP","DROP"))</f>
        <v/>
      </c>
      <c r="T304" s="9" t="n">
        <f aca="false">IF(A304="",1,0)</f>
        <v>0</v>
      </c>
      <c r="U304" s="9" t="n">
        <f aca="false">IF(D304="",1,0)</f>
        <v>0</v>
      </c>
      <c r="V304" s="9" t="n">
        <f aca="false">IF(E304="",1,0)</f>
        <v>0</v>
      </c>
      <c r="W304" s="9" t="n">
        <f aca="false">IF(OR(H304&lt;1,H304&gt;10),1,0)</f>
        <v>0</v>
      </c>
      <c r="X304" s="9" t="n">
        <f aca="false">IF(OR(I304&lt;=0,I304&gt;1500),1,0)</f>
        <v>0</v>
      </c>
      <c r="Y304" s="9" t="n">
        <f aca="false">IF(J304&gt;H304*I304,1,0)</f>
        <v>0</v>
      </c>
      <c r="Z304" s="9" t="n">
        <f aca="false">IF(AND(N304&lt;&gt;"",OR(N304&lt;1,N304&gt;5)),1,0)</f>
        <v>0</v>
      </c>
      <c r="AA304" s="9" t="n">
        <f aca="false">IF(AND(M304&lt;&gt;"",OR(M304&lt;5,M304&gt;180)),1,0)</f>
        <v>0</v>
      </c>
      <c r="AB304" s="7" t="str">
        <f aca="false">IF(P304="DUP","Exact duplicate row",IF(T304=1,"Missing Order ID",IF(S304="DROP","Duplicate Order ID (less complete row)",IF(U304=1,"Missing Customer ID",IF(V304=1,"Missing Restaurant name",IF(W304=1,"Invalid/outlier quantity",IF(X304=1,"Invalid/outlier unit price",IF(Y304=1,"Discount greater than order value",""))))))))</f>
        <v/>
      </c>
      <c r="AC304" s="7" t="str">
        <f aca="false">IF(AB304="","KEEP","DROP")</f>
        <v>KEEP</v>
      </c>
      <c r="AD304" s="7" t="str">
        <f aca="false">IF(TRIM(F304)="",IFERROR(INDEX(Map_Tables!$I$4:$I$37,MATCH(TRIM(E304),Map_Tables!$G$4:$G$37,0)),""),IFERROR(INDEX(Map_Tables!$B$4:$B$18,MATCH(TRIM(F304),Map_Tables!$A$4:$A$18,0)),"CHECK"))</f>
        <v>Hyderabad</v>
      </c>
      <c r="AE304" s="7" t="str">
        <f aca="false">IF(TRIM(E304)="","",IFERROR(INDEX(Map_Tables!$H$4:$H$37,MATCH(TRIM(E304),Map_Tables!$G$4:$G$37,0)),"CHECK"))</f>
        <v>Sweet Tooth Studio</v>
      </c>
      <c r="AF304" s="7" t="str">
        <f aca="false">IF(TRIM(K304)="","Unknown",IFERROR(INDEX(Map_Tables!$E$4:$E$15,MATCH(TRIM(K304),Map_Tables!$D$4:$D$15,0)),"CHECK"))</f>
        <v>Cash on Delivery</v>
      </c>
      <c r="AG304" s="7" t="str">
        <f aca="false">IF(LEFT(LOWER(TRIM(L304)),6)="cancel","Cancelled","Delivered")</f>
        <v>Delivered</v>
      </c>
      <c r="AH304" s="10" t="n">
        <f aca="false">IF(ISNUMBER(SEARCH("/",B304)),DATE(VALUE(RIGHT(B304,4)),VALUE(MID(B304,4,2)),VALUE(LEFT(B304,2))),IF(MID(B304,5,1)="-",DATE(VALUE(LEFT(B304,4)),VALUE(MID(B304,6,2)),VALUE(RIGHT(B304,2))),DATE(VALUE(RIGHT(B304,4)),MATCH(MID(B304,4,3),{"Jan","Feb","Mar","Apr","May","Jun","Jul","Aug","Sep","Oct","Nov","Dec"},0),VALUE(LEFT(B304,2)))))</f>
        <v>46017</v>
      </c>
    </row>
    <row r="305" customFormat="false" ht="15" hidden="false" customHeight="false" outlineLevel="0" collapsed="false">
      <c r="A305" s="7" t="s">
        <v>1291</v>
      </c>
      <c r="B305" s="7" t="s">
        <v>1292</v>
      </c>
      <c r="C305" s="7" t="s">
        <v>310</v>
      </c>
      <c r="D305" s="7" t="s">
        <v>1293</v>
      </c>
      <c r="E305" s="7" t="s">
        <v>98</v>
      </c>
      <c r="F305" s="7" t="s">
        <v>86</v>
      </c>
      <c r="G305" s="7" t="s">
        <v>99</v>
      </c>
      <c r="H305" s="7" t="n">
        <v>1</v>
      </c>
      <c r="I305" s="7" t="n">
        <v>255</v>
      </c>
      <c r="J305" s="7" t="n">
        <v>40</v>
      </c>
      <c r="K305" s="7" t="s">
        <v>88</v>
      </c>
      <c r="L305" s="7" t="s">
        <v>194</v>
      </c>
      <c r="M305" s="7" t="n">
        <v>39</v>
      </c>
      <c r="N305" s="7" t="n">
        <v>3</v>
      </c>
      <c r="O305" s="7" t="str">
        <f aca="false">A305&amp;"|"&amp;B305&amp;"|"&amp;C305&amp;"|"&amp;D305&amp;"|"&amp;E305&amp;"|"&amp;F305&amp;"|"&amp;G305&amp;"|"&amp;H305&amp;"|"&amp;I305&amp;"|"&amp;J305&amp;"|"&amp;K305&amp;"|"&amp;L305&amp;"|"&amp;M305&amp;"|"&amp;N305</f>
        <v>ORD10451|2025-03-01|19:09|C1412|Nawabi Biryani House|Bengaluru|Biryani|1|255|40|UPI|Delivered|39|3</v>
      </c>
      <c r="P305" s="7" t="str">
        <f aca="false">IF(COUNTIF($O$2:O305,O305)&gt;1,"DUP","OK")</f>
        <v>OK</v>
      </c>
      <c r="Q305" s="7" t="n">
        <f aca="false">COUNTBLANK(A305:N305)</f>
        <v>0</v>
      </c>
      <c r="R305" s="7" t="n">
        <f aca="false">IF(A305="",0,COUNTIFS($A$2:$A$3058,A305,$P$2:$P$3058,"OK"))</f>
        <v>1</v>
      </c>
      <c r="S305" s="7" t="str">
        <f aca="false">IF(OR(A305="",P305="DUP",R305&lt;2),"",IF(Q305=_xlfn.MINIFS($Q$2:$Q$3058,$A$2:$A$3058,A305,$P$2:$P$3058,"OK"),"KEEP","DROP"))</f>
        <v/>
      </c>
      <c r="T305" s="9" t="n">
        <f aca="false">IF(A305="",1,0)</f>
        <v>0</v>
      </c>
      <c r="U305" s="9" t="n">
        <f aca="false">IF(D305="",1,0)</f>
        <v>0</v>
      </c>
      <c r="V305" s="9" t="n">
        <f aca="false">IF(E305="",1,0)</f>
        <v>0</v>
      </c>
      <c r="W305" s="9" t="n">
        <f aca="false">IF(OR(H305&lt;1,H305&gt;10),1,0)</f>
        <v>0</v>
      </c>
      <c r="X305" s="9" t="n">
        <f aca="false">IF(OR(I305&lt;=0,I305&gt;1500),1,0)</f>
        <v>0</v>
      </c>
      <c r="Y305" s="9" t="n">
        <f aca="false">IF(J305&gt;H305*I305,1,0)</f>
        <v>0</v>
      </c>
      <c r="Z305" s="9" t="n">
        <f aca="false">IF(AND(N305&lt;&gt;"",OR(N305&lt;1,N305&gt;5)),1,0)</f>
        <v>0</v>
      </c>
      <c r="AA305" s="9" t="n">
        <f aca="false">IF(AND(M305&lt;&gt;"",OR(M305&lt;5,M305&gt;180)),1,0)</f>
        <v>0</v>
      </c>
      <c r="AB305" s="7" t="str">
        <f aca="false">IF(P305="DUP","Exact duplicate row",IF(T305=1,"Missing Order ID",IF(S305="DROP","Duplicate Order ID (less complete row)",IF(U305=1,"Missing Customer ID",IF(V305=1,"Missing Restaurant name",IF(W305=1,"Invalid/outlier quantity",IF(X305=1,"Invalid/outlier unit price",IF(Y305=1,"Discount greater than order value",""))))))))</f>
        <v/>
      </c>
      <c r="AC305" s="7" t="str">
        <f aca="false">IF(AB305="","KEEP","DROP")</f>
        <v>KEEP</v>
      </c>
      <c r="AD305" s="7" t="str">
        <f aca="false">IF(TRIM(F305)="",IFERROR(INDEX(Map_Tables!$I$4:$I$37,MATCH(TRIM(E305),Map_Tables!$G$4:$G$37,0)),""),IFERROR(INDEX(Map_Tables!$B$4:$B$18,MATCH(TRIM(F305),Map_Tables!$A$4:$A$18,0)),"CHECK"))</f>
        <v>Bengaluru</v>
      </c>
      <c r="AE305" s="7" t="str">
        <f aca="false">IF(TRIM(E305)="","",IFERROR(INDEX(Map_Tables!$H$4:$H$37,MATCH(TRIM(E305),Map_Tables!$G$4:$G$37,0)),"CHECK"))</f>
        <v>Nawabi Biryani House</v>
      </c>
      <c r="AF305" s="7" t="str">
        <f aca="false">IF(TRIM(K305)="","Unknown",IFERROR(INDEX(Map_Tables!$E$4:$E$15,MATCH(TRIM(K305),Map_Tables!$D$4:$D$15,0)),"CHECK"))</f>
        <v>UPI</v>
      </c>
      <c r="AG305" s="7" t="str">
        <f aca="false">IF(LEFT(LOWER(TRIM(L305)),6)="cancel","Cancelled","Delivered")</f>
        <v>Delivered</v>
      </c>
      <c r="AH305" s="10" t="n">
        <f aca="false">IF(ISNUMBER(SEARCH("/",B305)),DATE(VALUE(RIGHT(B305,4)),VALUE(MID(B305,4,2)),VALUE(LEFT(B305,2))),IF(MID(B305,5,1)="-",DATE(VALUE(LEFT(B305,4)),VALUE(MID(B305,6,2)),VALUE(RIGHT(B305,2))),DATE(VALUE(RIGHT(B305,4)),MATCH(MID(B305,4,3),{"Jan","Feb","Mar","Apr","May","Jun","Jul","Aug","Sep","Oct","Nov","Dec"},0),VALUE(LEFT(B305,2)))))</f>
        <v>45717</v>
      </c>
    </row>
    <row r="306" customFormat="false" ht="15" hidden="false" customHeight="false" outlineLevel="0" collapsed="false">
      <c r="A306" s="7" t="s">
        <v>1294</v>
      </c>
      <c r="B306" s="7" t="s">
        <v>731</v>
      </c>
      <c r="C306" s="7" t="s">
        <v>559</v>
      </c>
      <c r="D306" s="7" t="s">
        <v>1295</v>
      </c>
      <c r="E306" s="7" t="s">
        <v>130</v>
      </c>
      <c r="F306" s="7" t="s">
        <v>110</v>
      </c>
      <c r="G306" s="7" t="s">
        <v>90</v>
      </c>
      <c r="H306" s="7" t="n">
        <v>1</v>
      </c>
      <c r="I306" s="7" t="n">
        <v>290</v>
      </c>
      <c r="J306" s="7" t="n">
        <v>30</v>
      </c>
      <c r="K306" s="7" t="s">
        <v>88</v>
      </c>
      <c r="L306" s="7" t="s">
        <v>194</v>
      </c>
      <c r="M306" s="7" t="n">
        <v>33</v>
      </c>
      <c r="N306" s="7" t="n">
        <v>1</v>
      </c>
      <c r="O306" s="7" t="str">
        <f aca="false">A306&amp;"|"&amp;B306&amp;"|"&amp;C306&amp;"|"&amp;D306&amp;"|"&amp;E306&amp;"|"&amp;F306&amp;"|"&amp;G306&amp;"|"&amp;H306&amp;"|"&amp;I306&amp;"|"&amp;J306&amp;"|"&amp;K306&amp;"|"&amp;L306&amp;"|"&amp;M306&amp;"|"&amp;N306</f>
        <v>ORD12223|2025-10-09|20:25|C1413|Tandoor Tales|Delhi|North Indian|1|290|30|UPI|Delivered|33|1</v>
      </c>
      <c r="P306" s="7" t="str">
        <f aca="false">IF(COUNTIF($O$2:O306,O306)&gt;1,"DUP","OK")</f>
        <v>OK</v>
      </c>
      <c r="Q306" s="7" t="n">
        <f aca="false">COUNTBLANK(A306:N306)</f>
        <v>0</v>
      </c>
      <c r="R306" s="7" t="n">
        <f aca="false">IF(A306="",0,COUNTIFS($A$2:$A$3058,A306,$P$2:$P$3058,"OK"))</f>
        <v>1</v>
      </c>
      <c r="S306" s="7" t="str">
        <f aca="false">IF(OR(A306="",P306="DUP",R306&lt;2),"",IF(Q306=_xlfn.MINIFS($Q$2:$Q$3058,$A$2:$A$3058,A306,$P$2:$P$3058,"OK"),"KEEP","DROP"))</f>
        <v/>
      </c>
      <c r="T306" s="9" t="n">
        <f aca="false">IF(A306="",1,0)</f>
        <v>0</v>
      </c>
      <c r="U306" s="9" t="n">
        <f aca="false">IF(D306="",1,0)</f>
        <v>0</v>
      </c>
      <c r="V306" s="9" t="n">
        <f aca="false">IF(E306="",1,0)</f>
        <v>0</v>
      </c>
      <c r="W306" s="9" t="n">
        <f aca="false">IF(OR(H306&lt;1,H306&gt;10),1,0)</f>
        <v>0</v>
      </c>
      <c r="X306" s="9" t="n">
        <f aca="false">IF(OR(I306&lt;=0,I306&gt;1500),1,0)</f>
        <v>0</v>
      </c>
      <c r="Y306" s="9" t="n">
        <f aca="false">IF(J306&gt;H306*I306,1,0)</f>
        <v>0</v>
      </c>
      <c r="Z306" s="9" t="n">
        <f aca="false">IF(AND(N306&lt;&gt;"",OR(N306&lt;1,N306&gt;5)),1,0)</f>
        <v>0</v>
      </c>
      <c r="AA306" s="9" t="n">
        <f aca="false">IF(AND(M306&lt;&gt;"",OR(M306&lt;5,M306&gt;180)),1,0)</f>
        <v>0</v>
      </c>
      <c r="AB306" s="7" t="str">
        <f aca="false">IF(P306="DUP","Exact duplicate row",IF(T306=1,"Missing Order ID",IF(S306="DROP","Duplicate Order ID (less complete row)",IF(U306=1,"Missing Customer ID",IF(V306=1,"Missing Restaurant name",IF(W306=1,"Invalid/outlier quantity",IF(X306=1,"Invalid/outlier unit price",IF(Y306=1,"Discount greater than order value",""))))))))</f>
        <v/>
      </c>
      <c r="AC306" s="7" t="str">
        <f aca="false">IF(AB306="","KEEP","DROP")</f>
        <v>KEEP</v>
      </c>
      <c r="AD306" s="7" t="str">
        <f aca="false">IF(TRIM(F306)="",IFERROR(INDEX(Map_Tables!$I$4:$I$37,MATCH(TRIM(E306),Map_Tables!$G$4:$G$37,0)),""),IFERROR(INDEX(Map_Tables!$B$4:$B$18,MATCH(TRIM(F306),Map_Tables!$A$4:$A$18,0)),"CHECK"))</f>
        <v>Delhi</v>
      </c>
      <c r="AE306" s="7" t="str">
        <f aca="false">IF(TRIM(E306)="","",IFERROR(INDEX(Map_Tables!$H$4:$H$37,MATCH(TRIM(E306),Map_Tables!$G$4:$G$37,0)),"CHECK"))</f>
        <v>Tandoor Tales</v>
      </c>
      <c r="AF306" s="7" t="str">
        <f aca="false">IF(TRIM(K306)="","Unknown",IFERROR(INDEX(Map_Tables!$E$4:$E$15,MATCH(TRIM(K306),Map_Tables!$D$4:$D$15,0)),"CHECK"))</f>
        <v>UPI</v>
      </c>
      <c r="AG306" s="7" t="str">
        <f aca="false">IF(LEFT(LOWER(TRIM(L306)),6)="cancel","Cancelled","Delivered")</f>
        <v>Delivered</v>
      </c>
      <c r="AH306" s="10" t="n">
        <f aca="false">IF(ISNUMBER(SEARCH("/",B306)),DATE(VALUE(RIGHT(B306,4)),VALUE(MID(B306,4,2)),VALUE(LEFT(B306,2))),IF(MID(B306,5,1)="-",DATE(VALUE(LEFT(B306,4)),VALUE(MID(B306,6,2)),VALUE(RIGHT(B306,2))),DATE(VALUE(RIGHT(B306,4)),MATCH(MID(B306,4,3),{"Jan","Feb","Mar","Apr","May","Jun","Jul","Aug","Sep","Oct","Nov","Dec"},0),VALUE(LEFT(B306,2)))))</f>
        <v>45939</v>
      </c>
    </row>
    <row r="307" customFormat="false" ht="15" hidden="false" customHeight="false" outlineLevel="0" collapsed="false">
      <c r="A307" s="7" t="s">
        <v>1296</v>
      </c>
      <c r="B307" s="7" t="s">
        <v>1297</v>
      </c>
      <c r="C307" s="7" t="s">
        <v>1298</v>
      </c>
      <c r="D307" s="7" t="s">
        <v>1299</v>
      </c>
      <c r="E307" s="7" t="s">
        <v>113</v>
      </c>
      <c r="F307" s="7" t="s">
        <v>101</v>
      </c>
      <c r="G307" s="7" t="s">
        <v>90</v>
      </c>
      <c r="H307" s="7" t="n">
        <v>5</v>
      </c>
      <c r="I307" s="7" t="n">
        <v>240</v>
      </c>
      <c r="J307" s="7" t="n">
        <v>0</v>
      </c>
      <c r="K307" s="7" t="s">
        <v>88</v>
      </c>
      <c r="L307" s="7" t="s">
        <v>194</v>
      </c>
      <c r="M307" s="7"/>
      <c r="N307" s="7" t="n">
        <v>4</v>
      </c>
      <c r="O307" s="7" t="str">
        <f aca="false">A307&amp;"|"&amp;B307&amp;"|"&amp;C307&amp;"|"&amp;D307&amp;"|"&amp;E307&amp;"|"&amp;F307&amp;"|"&amp;G307&amp;"|"&amp;H307&amp;"|"&amp;I307&amp;"|"&amp;J307&amp;"|"&amp;K307&amp;"|"&amp;L307&amp;"|"&amp;M307&amp;"|"&amp;N307</f>
        <v>ORD11264|2025-06-10|23:55|C0070|Curry Leaf Kitchen|Mumbai|North Indian|5|240|0|UPI|Delivered||4</v>
      </c>
      <c r="P307" s="7" t="str">
        <f aca="false">IF(COUNTIF($O$2:O307,O307)&gt;1,"DUP","OK")</f>
        <v>OK</v>
      </c>
      <c r="Q307" s="7" t="n">
        <f aca="false">COUNTBLANK(A307:N307)</f>
        <v>1</v>
      </c>
      <c r="R307" s="7" t="n">
        <f aca="false">IF(A307="",0,COUNTIFS($A$2:$A$3058,A307,$P$2:$P$3058,"OK"))</f>
        <v>1</v>
      </c>
      <c r="S307" s="7" t="str">
        <f aca="false">IF(OR(A307="",P307="DUP",R307&lt;2),"",IF(Q307=_xlfn.MINIFS($Q$2:$Q$3058,$A$2:$A$3058,A307,$P$2:$P$3058,"OK"),"KEEP","DROP"))</f>
        <v/>
      </c>
      <c r="T307" s="9" t="n">
        <f aca="false">IF(A307="",1,0)</f>
        <v>0</v>
      </c>
      <c r="U307" s="9" t="n">
        <f aca="false">IF(D307="",1,0)</f>
        <v>0</v>
      </c>
      <c r="V307" s="9" t="n">
        <f aca="false">IF(E307="",1,0)</f>
        <v>0</v>
      </c>
      <c r="W307" s="9" t="n">
        <f aca="false">IF(OR(H307&lt;1,H307&gt;10),1,0)</f>
        <v>0</v>
      </c>
      <c r="X307" s="9" t="n">
        <f aca="false">IF(OR(I307&lt;=0,I307&gt;1500),1,0)</f>
        <v>0</v>
      </c>
      <c r="Y307" s="9" t="n">
        <f aca="false">IF(J307&gt;H307*I307,1,0)</f>
        <v>0</v>
      </c>
      <c r="Z307" s="9" t="n">
        <f aca="false">IF(AND(N307&lt;&gt;"",OR(N307&lt;1,N307&gt;5)),1,0)</f>
        <v>0</v>
      </c>
      <c r="AA307" s="9" t="n">
        <f aca="false">IF(AND(M307&lt;&gt;"",OR(M307&lt;5,M307&gt;180)),1,0)</f>
        <v>0</v>
      </c>
      <c r="AB307" s="7" t="str">
        <f aca="false">IF(P307="DUP","Exact duplicate row",IF(T307=1,"Missing Order ID",IF(S307="DROP","Duplicate Order ID (less complete row)",IF(U307=1,"Missing Customer ID",IF(V307=1,"Missing Restaurant name",IF(W307=1,"Invalid/outlier quantity",IF(X307=1,"Invalid/outlier unit price",IF(Y307=1,"Discount greater than order value",""))))))))</f>
        <v/>
      </c>
      <c r="AC307" s="7" t="str">
        <f aca="false">IF(AB307="","KEEP","DROP")</f>
        <v>KEEP</v>
      </c>
      <c r="AD307" s="7" t="str">
        <f aca="false">IF(TRIM(F307)="",IFERROR(INDEX(Map_Tables!$I$4:$I$37,MATCH(TRIM(E307),Map_Tables!$G$4:$G$37,0)),""),IFERROR(INDEX(Map_Tables!$B$4:$B$18,MATCH(TRIM(F307),Map_Tables!$A$4:$A$18,0)),"CHECK"))</f>
        <v>Mumbai</v>
      </c>
      <c r="AE307" s="7" t="str">
        <f aca="false">IF(TRIM(E307)="","",IFERROR(INDEX(Map_Tables!$H$4:$H$37,MATCH(TRIM(E307),Map_Tables!$G$4:$G$37,0)),"CHECK"))</f>
        <v>Curry Leaf Kitchen</v>
      </c>
      <c r="AF307" s="7" t="str">
        <f aca="false">IF(TRIM(K307)="","Unknown",IFERROR(INDEX(Map_Tables!$E$4:$E$15,MATCH(TRIM(K307),Map_Tables!$D$4:$D$15,0)),"CHECK"))</f>
        <v>UPI</v>
      </c>
      <c r="AG307" s="7" t="str">
        <f aca="false">IF(LEFT(LOWER(TRIM(L307)),6)="cancel","Cancelled","Delivered")</f>
        <v>Delivered</v>
      </c>
      <c r="AH307" s="10" t="n">
        <f aca="false">IF(ISNUMBER(SEARCH("/",B307)),DATE(VALUE(RIGHT(B307,4)),VALUE(MID(B307,4,2)),VALUE(LEFT(B307,2))),IF(MID(B307,5,1)="-",DATE(VALUE(LEFT(B307,4)),VALUE(MID(B307,6,2)),VALUE(RIGHT(B307,2))),DATE(VALUE(RIGHT(B307,4)),MATCH(MID(B307,4,3),{"Jan","Feb","Mar","Apr","May","Jun","Jul","Aug","Sep","Oct","Nov","Dec"},0),VALUE(LEFT(B307,2)))))</f>
        <v>45818</v>
      </c>
    </row>
    <row r="308" customFormat="false" ht="15" hidden="false" customHeight="false" outlineLevel="0" collapsed="false">
      <c r="A308" s="7" t="s">
        <v>1300</v>
      </c>
      <c r="B308" s="7" t="s">
        <v>196</v>
      </c>
      <c r="C308" s="7" t="s">
        <v>1301</v>
      </c>
      <c r="D308" s="7" t="s">
        <v>1302</v>
      </c>
      <c r="E308" s="7" t="s">
        <v>144</v>
      </c>
      <c r="F308" s="7" t="s">
        <v>119</v>
      </c>
      <c r="G308" s="7" t="s">
        <v>99</v>
      </c>
      <c r="H308" s="7" t="n">
        <v>2</v>
      </c>
      <c r="I308" s="7" t="n">
        <v>265</v>
      </c>
      <c r="J308" s="7" t="n">
        <v>0</v>
      </c>
      <c r="K308" s="7" t="s">
        <v>88</v>
      </c>
      <c r="L308" s="7" t="s">
        <v>194</v>
      </c>
      <c r="M308" s="7" t="n">
        <v>40</v>
      </c>
      <c r="N308" s="7" t="n">
        <v>4</v>
      </c>
      <c r="O308" s="7" t="str">
        <f aca="false">A308&amp;"|"&amp;B308&amp;"|"&amp;C308&amp;"|"&amp;D308&amp;"|"&amp;E308&amp;"|"&amp;F308&amp;"|"&amp;G308&amp;"|"&amp;H308&amp;"|"&amp;I308&amp;"|"&amp;J308&amp;"|"&amp;K308&amp;"|"&amp;L308&amp;"|"&amp;M308&amp;"|"&amp;N308</f>
        <v>ORD12667|2025-11-24|20:27|C1347|Hyderabad Dum Biryani|Hyderabad|Biryani|2|265|0|UPI|Delivered|40|4</v>
      </c>
      <c r="P308" s="7" t="str">
        <f aca="false">IF(COUNTIF($O$2:O308,O308)&gt;1,"DUP","OK")</f>
        <v>OK</v>
      </c>
      <c r="Q308" s="7" t="n">
        <f aca="false">COUNTBLANK(A308:N308)</f>
        <v>0</v>
      </c>
      <c r="R308" s="7" t="n">
        <f aca="false">IF(A308="",0,COUNTIFS($A$2:$A$3058,A308,$P$2:$P$3058,"OK"))</f>
        <v>1</v>
      </c>
      <c r="S308" s="7" t="str">
        <f aca="false">IF(OR(A308="",P308="DUP",R308&lt;2),"",IF(Q308=_xlfn.MINIFS($Q$2:$Q$3058,$A$2:$A$3058,A308,$P$2:$P$3058,"OK"),"KEEP","DROP"))</f>
        <v/>
      </c>
      <c r="T308" s="9" t="n">
        <f aca="false">IF(A308="",1,0)</f>
        <v>0</v>
      </c>
      <c r="U308" s="9" t="n">
        <f aca="false">IF(D308="",1,0)</f>
        <v>0</v>
      </c>
      <c r="V308" s="9" t="n">
        <f aca="false">IF(E308="",1,0)</f>
        <v>0</v>
      </c>
      <c r="W308" s="9" t="n">
        <f aca="false">IF(OR(H308&lt;1,H308&gt;10),1,0)</f>
        <v>0</v>
      </c>
      <c r="X308" s="9" t="n">
        <f aca="false">IF(OR(I308&lt;=0,I308&gt;1500),1,0)</f>
        <v>0</v>
      </c>
      <c r="Y308" s="9" t="n">
        <f aca="false">IF(J308&gt;H308*I308,1,0)</f>
        <v>0</v>
      </c>
      <c r="Z308" s="9" t="n">
        <f aca="false">IF(AND(N308&lt;&gt;"",OR(N308&lt;1,N308&gt;5)),1,0)</f>
        <v>0</v>
      </c>
      <c r="AA308" s="9" t="n">
        <f aca="false">IF(AND(M308&lt;&gt;"",OR(M308&lt;5,M308&gt;180)),1,0)</f>
        <v>0</v>
      </c>
      <c r="AB308" s="7" t="str">
        <f aca="false">IF(P308="DUP","Exact duplicate row",IF(T308=1,"Missing Order ID",IF(S308="DROP","Duplicate Order ID (less complete row)",IF(U308=1,"Missing Customer ID",IF(V308=1,"Missing Restaurant name",IF(W308=1,"Invalid/outlier quantity",IF(X308=1,"Invalid/outlier unit price",IF(Y308=1,"Discount greater than order value",""))))))))</f>
        <v/>
      </c>
      <c r="AC308" s="7" t="str">
        <f aca="false">IF(AB308="","KEEP","DROP")</f>
        <v>KEEP</v>
      </c>
      <c r="AD308" s="7" t="str">
        <f aca="false">IF(TRIM(F308)="",IFERROR(INDEX(Map_Tables!$I$4:$I$37,MATCH(TRIM(E308),Map_Tables!$G$4:$G$37,0)),""),IFERROR(INDEX(Map_Tables!$B$4:$B$18,MATCH(TRIM(F308),Map_Tables!$A$4:$A$18,0)),"CHECK"))</f>
        <v>Hyderabad</v>
      </c>
      <c r="AE308" s="7" t="str">
        <f aca="false">IF(TRIM(E308)="","",IFERROR(INDEX(Map_Tables!$H$4:$H$37,MATCH(TRIM(E308),Map_Tables!$G$4:$G$37,0)),"CHECK"))</f>
        <v>Hyderabad Dum Biryani</v>
      </c>
      <c r="AF308" s="7" t="str">
        <f aca="false">IF(TRIM(K308)="","Unknown",IFERROR(INDEX(Map_Tables!$E$4:$E$15,MATCH(TRIM(K308),Map_Tables!$D$4:$D$15,0)),"CHECK"))</f>
        <v>UPI</v>
      </c>
      <c r="AG308" s="7" t="str">
        <f aca="false">IF(LEFT(LOWER(TRIM(L308)),6)="cancel","Cancelled","Delivered")</f>
        <v>Delivered</v>
      </c>
      <c r="AH308" s="10" t="n">
        <f aca="false">IF(ISNUMBER(SEARCH("/",B308)),DATE(VALUE(RIGHT(B308,4)),VALUE(MID(B308,4,2)),VALUE(LEFT(B308,2))),IF(MID(B308,5,1)="-",DATE(VALUE(LEFT(B308,4)),VALUE(MID(B308,6,2)),VALUE(RIGHT(B308,2))),DATE(VALUE(RIGHT(B308,4)),MATCH(MID(B308,4,3),{"Jan","Feb","Mar","Apr","May","Jun","Jul","Aug","Sep","Oct","Nov","Dec"},0),VALUE(LEFT(B308,2)))))</f>
        <v>45985</v>
      </c>
    </row>
    <row r="309" customFormat="false" ht="15" hidden="false" customHeight="false" outlineLevel="0" collapsed="false">
      <c r="A309" s="7" t="s">
        <v>1303</v>
      </c>
      <c r="B309" s="7" t="s">
        <v>1304</v>
      </c>
      <c r="C309" s="7" t="s">
        <v>762</v>
      </c>
      <c r="D309" s="7" t="s">
        <v>1305</v>
      </c>
      <c r="E309" s="7" t="s">
        <v>104</v>
      </c>
      <c r="F309" s="7" t="s">
        <v>86</v>
      </c>
      <c r="G309" s="7" t="s">
        <v>105</v>
      </c>
      <c r="H309" s="7" t="n">
        <v>5</v>
      </c>
      <c r="I309" s="7" t="n">
        <v>230</v>
      </c>
      <c r="J309" s="7" t="n">
        <v>75</v>
      </c>
      <c r="K309" s="7" t="s">
        <v>88</v>
      </c>
      <c r="L309" s="7" t="s">
        <v>194</v>
      </c>
      <c r="M309" s="7" t="n">
        <v>46</v>
      </c>
      <c r="N309" s="7" t="n">
        <v>5</v>
      </c>
      <c r="O309" s="7" t="str">
        <f aca="false">A309&amp;"|"&amp;B309&amp;"|"&amp;C309&amp;"|"&amp;D309&amp;"|"&amp;E309&amp;"|"&amp;F309&amp;"|"&amp;G309&amp;"|"&amp;H309&amp;"|"&amp;I309&amp;"|"&amp;J309&amp;"|"&amp;K309&amp;"|"&amp;L309&amp;"|"&amp;M309&amp;"|"&amp;N309</f>
        <v>ORD11796|2025-08-22|13:50|C1345|Wok &amp; Roll|Bengaluru|Chinese|5|230|75|UPI|Delivered|46|5</v>
      </c>
      <c r="P309" s="7" t="str">
        <f aca="false">IF(COUNTIF($O$2:O309,O309)&gt;1,"DUP","OK")</f>
        <v>OK</v>
      </c>
      <c r="Q309" s="7" t="n">
        <f aca="false">COUNTBLANK(A309:N309)</f>
        <v>0</v>
      </c>
      <c r="R309" s="7" t="n">
        <f aca="false">IF(A309="",0,COUNTIFS($A$2:$A$3058,A309,$P$2:$P$3058,"OK"))</f>
        <v>1</v>
      </c>
      <c r="S309" s="7" t="str">
        <f aca="false">IF(OR(A309="",P309="DUP",R309&lt;2),"",IF(Q309=_xlfn.MINIFS($Q$2:$Q$3058,$A$2:$A$3058,A309,$P$2:$P$3058,"OK"),"KEEP","DROP"))</f>
        <v/>
      </c>
      <c r="T309" s="9" t="n">
        <f aca="false">IF(A309="",1,0)</f>
        <v>0</v>
      </c>
      <c r="U309" s="9" t="n">
        <f aca="false">IF(D309="",1,0)</f>
        <v>0</v>
      </c>
      <c r="V309" s="9" t="n">
        <f aca="false">IF(E309="",1,0)</f>
        <v>0</v>
      </c>
      <c r="W309" s="9" t="n">
        <f aca="false">IF(OR(H309&lt;1,H309&gt;10),1,0)</f>
        <v>0</v>
      </c>
      <c r="X309" s="9" t="n">
        <f aca="false">IF(OR(I309&lt;=0,I309&gt;1500),1,0)</f>
        <v>0</v>
      </c>
      <c r="Y309" s="9" t="n">
        <f aca="false">IF(J309&gt;H309*I309,1,0)</f>
        <v>0</v>
      </c>
      <c r="Z309" s="9" t="n">
        <f aca="false">IF(AND(N309&lt;&gt;"",OR(N309&lt;1,N309&gt;5)),1,0)</f>
        <v>0</v>
      </c>
      <c r="AA309" s="9" t="n">
        <f aca="false">IF(AND(M309&lt;&gt;"",OR(M309&lt;5,M309&gt;180)),1,0)</f>
        <v>0</v>
      </c>
      <c r="AB309" s="7" t="str">
        <f aca="false">IF(P309="DUP","Exact duplicate row",IF(T309=1,"Missing Order ID",IF(S309="DROP","Duplicate Order ID (less complete row)",IF(U309=1,"Missing Customer ID",IF(V309=1,"Missing Restaurant name",IF(W309=1,"Invalid/outlier quantity",IF(X309=1,"Invalid/outlier unit price",IF(Y309=1,"Discount greater than order value",""))))))))</f>
        <v/>
      </c>
      <c r="AC309" s="7" t="str">
        <f aca="false">IF(AB309="","KEEP","DROP")</f>
        <v>KEEP</v>
      </c>
      <c r="AD309" s="7" t="str">
        <f aca="false">IF(TRIM(F309)="",IFERROR(INDEX(Map_Tables!$I$4:$I$37,MATCH(TRIM(E309),Map_Tables!$G$4:$G$37,0)),""),IFERROR(INDEX(Map_Tables!$B$4:$B$18,MATCH(TRIM(F309),Map_Tables!$A$4:$A$18,0)),"CHECK"))</f>
        <v>Bengaluru</v>
      </c>
      <c r="AE309" s="7" t="str">
        <f aca="false">IF(TRIM(E309)="","",IFERROR(INDEX(Map_Tables!$H$4:$H$37,MATCH(TRIM(E309),Map_Tables!$G$4:$G$37,0)),"CHECK"))</f>
        <v>Wok &amp; Roll</v>
      </c>
      <c r="AF309" s="7" t="str">
        <f aca="false">IF(TRIM(K309)="","Unknown",IFERROR(INDEX(Map_Tables!$E$4:$E$15,MATCH(TRIM(K309),Map_Tables!$D$4:$D$15,0)),"CHECK"))</f>
        <v>UPI</v>
      </c>
      <c r="AG309" s="7" t="str">
        <f aca="false">IF(LEFT(LOWER(TRIM(L309)),6)="cancel","Cancelled","Delivered")</f>
        <v>Delivered</v>
      </c>
      <c r="AH309" s="10" t="n">
        <f aca="false">IF(ISNUMBER(SEARCH("/",B309)),DATE(VALUE(RIGHT(B309,4)),VALUE(MID(B309,4,2)),VALUE(LEFT(B309,2))),IF(MID(B309,5,1)="-",DATE(VALUE(LEFT(B309,4)),VALUE(MID(B309,6,2)),VALUE(RIGHT(B309,2))),DATE(VALUE(RIGHT(B309,4)),MATCH(MID(B309,4,3),{"Jan","Feb","Mar","Apr","May","Jun","Jul","Aug","Sep","Oct","Nov","Dec"},0),VALUE(LEFT(B309,2)))))</f>
        <v>45891</v>
      </c>
    </row>
    <row r="310" customFormat="false" ht="15" hidden="false" customHeight="false" outlineLevel="0" collapsed="false">
      <c r="A310" s="7" t="s">
        <v>1306</v>
      </c>
      <c r="B310" s="7" t="s">
        <v>410</v>
      </c>
      <c r="C310" s="7" t="s">
        <v>559</v>
      </c>
      <c r="D310" s="7" t="s">
        <v>1307</v>
      </c>
      <c r="E310" s="7" t="s">
        <v>130</v>
      </c>
      <c r="F310" s="7" t="s">
        <v>110</v>
      </c>
      <c r="G310" s="7" t="s">
        <v>90</v>
      </c>
      <c r="H310" s="7" t="n">
        <v>1</v>
      </c>
      <c r="I310" s="7" t="n">
        <v>335</v>
      </c>
      <c r="J310" s="7" t="n">
        <v>20</v>
      </c>
      <c r="K310" s="7" t="s">
        <v>112</v>
      </c>
      <c r="L310" s="7" t="s">
        <v>194</v>
      </c>
      <c r="M310" s="7" t="n">
        <v>51</v>
      </c>
      <c r="N310" s="7" t="n">
        <v>4</v>
      </c>
      <c r="O310" s="7" t="str">
        <f aca="false">A310&amp;"|"&amp;B310&amp;"|"&amp;C310&amp;"|"&amp;D310&amp;"|"&amp;E310&amp;"|"&amp;F310&amp;"|"&amp;G310&amp;"|"&amp;H310&amp;"|"&amp;I310&amp;"|"&amp;J310&amp;"|"&amp;K310&amp;"|"&amp;L310&amp;"|"&amp;M310&amp;"|"&amp;N310</f>
        <v>ORD10279|2025-02-07|20:25|C0112|Tandoor Tales|Delhi|North Indian|1|335|20|Cash on Delivery|Delivered|51|4</v>
      </c>
      <c r="P310" s="7" t="str">
        <f aca="false">IF(COUNTIF($O$2:O310,O310)&gt;1,"DUP","OK")</f>
        <v>OK</v>
      </c>
      <c r="Q310" s="7" t="n">
        <f aca="false">COUNTBLANK(A310:N310)</f>
        <v>0</v>
      </c>
      <c r="R310" s="7" t="n">
        <f aca="false">IF(A310="",0,COUNTIFS($A$2:$A$3058,A310,$P$2:$P$3058,"OK"))</f>
        <v>1</v>
      </c>
      <c r="S310" s="7" t="str">
        <f aca="false">IF(OR(A310="",P310="DUP",R310&lt;2),"",IF(Q310=_xlfn.MINIFS($Q$2:$Q$3058,$A$2:$A$3058,A310,$P$2:$P$3058,"OK"),"KEEP","DROP"))</f>
        <v/>
      </c>
      <c r="T310" s="9" t="n">
        <f aca="false">IF(A310="",1,0)</f>
        <v>0</v>
      </c>
      <c r="U310" s="9" t="n">
        <f aca="false">IF(D310="",1,0)</f>
        <v>0</v>
      </c>
      <c r="V310" s="9" t="n">
        <f aca="false">IF(E310="",1,0)</f>
        <v>0</v>
      </c>
      <c r="W310" s="9" t="n">
        <f aca="false">IF(OR(H310&lt;1,H310&gt;10),1,0)</f>
        <v>0</v>
      </c>
      <c r="X310" s="9" t="n">
        <f aca="false">IF(OR(I310&lt;=0,I310&gt;1500),1,0)</f>
        <v>0</v>
      </c>
      <c r="Y310" s="9" t="n">
        <f aca="false">IF(J310&gt;H310*I310,1,0)</f>
        <v>0</v>
      </c>
      <c r="Z310" s="9" t="n">
        <f aca="false">IF(AND(N310&lt;&gt;"",OR(N310&lt;1,N310&gt;5)),1,0)</f>
        <v>0</v>
      </c>
      <c r="AA310" s="9" t="n">
        <f aca="false">IF(AND(M310&lt;&gt;"",OR(M310&lt;5,M310&gt;180)),1,0)</f>
        <v>0</v>
      </c>
      <c r="AB310" s="7" t="str">
        <f aca="false">IF(P310="DUP","Exact duplicate row",IF(T310=1,"Missing Order ID",IF(S310="DROP","Duplicate Order ID (less complete row)",IF(U310=1,"Missing Customer ID",IF(V310=1,"Missing Restaurant name",IF(W310=1,"Invalid/outlier quantity",IF(X310=1,"Invalid/outlier unit price",IF(Y310=1,"Discount greater than order value",""))))))))</f>
        <v/>
      </c>
      <c r="AC310" s="7" t="str">
        <f aca="false">IF(AB310="","KEEP","DROP")</f>
        <v>KEEP</v>
      </c>
      <c r="AD310" s="7" t="str">
        <f aca="false">IF(TRIM(F310)="",IFERROR(INDEX(Map_Tables!$I$4:$I$37,MATCH(TRIM(E310),Map_Tables!$G$4:$G$37,0)),""),IFERROR(INDEX(Map_Tables!$B$4:$B$18,MATCH(TRIM(F310),Map_Tables!$A$4:$A$18,0)),"CHECK"))</f>
        <v>Delhi</v>
      </c>
      <c r="AE310" s="7" t="str">
        <f aca="false">IF(TRIM(E310)="","",IFERROR(INDEX(Map_Tables!$H$4:$H$37,MATCH(TRIM(E310),Map_Tables!$G$4:$G$37,0)),"CHECK"))</f>
        <v>Tandoor Tales</v>
      </c>
      <c r="AF310" s="7" t="str">
        <f aca="false">IF(TRIM(K310)="","Unknown",IFERROR(INDEX(Map_Tables!$E$4:$E$15,MATCH(TRIM(K310),Map_Tables!$D$4:$D$15,0)),"CHECK"))</f>
        <v>Cash on Delivery</v>
      </c>
      <c r="AG310" s="7" t="str">
        <f aca="false">IF(LEFT(LOWER(TRIM(L310)),6)="cancel","Cancelled","Delivered")</f>
        <v>Delivered</v>
      </c>
      <c r="AH310" s="10" t="n">
        <f aca="false">IF(ISNUMBER(SEARCH("/",B310)),DATE(VALUE(RIGHT(B310,4)),VALUE(MID(B310,4,2)),VALUE(LEFT(B310,2))),IF(MID(B310,5,1)="-",DATE(VALUE(LEFT(B310,4)),VALUE(MID(B310,6,2)),VALUE(RIGHT(B310,2))),DATE(VALUE(RIGHT(B310,4)),MATCH(MID(B310,4,3),{"Jan","Feb","Mar","Apr","May","Jun","Jul","Aug","Sep","Oct","Nov","Dec"},0),VALUE(LEFT(B310,2)))))</f>
        <v>45695</v>
      </c>
    </row>
    <row r="311" customFormat="false" ht="15" hidden="false" customHeight="false" outlineLevel="0" collapsed="false">
      <c r="A311" s="7" t="s">
        <v>1308</v>
      </c>
      <c r="B311" s="7" t="s">
        <v>1309</v>
      </c>
      <c r="C311" s="7" t="s">
        <v>1125</v>
      </c>
      <c r="D311" s="7" t="s">
        <v>1310</v>
      </c>
      <c r="E311" s="7" t="s">
        <v>113</v>
      </c>
      <c r="F311" s="7" t="s">
        <v>101</v>
      </c>
      <c r="G311" s="7" t="s">
        <v>90</v>
      </c>
      <c r="H311" s="7" t="n">
        <v>5</v>
      </c>
      <c r="I311" s="7" t="n">
        <v>245</v>
      </c>
      <c r="J311" s="7" t="n">
        <v>0</v>
      </c>
      <c r="K311" s="7" t="s">
        <v>93</v>
      </c>
      <c r="L311" s="7" t="s">
        <v>194</v>
      </c>
      <c r="M311" s="7" t="n">
        <v>47</v>
      </c>
      <c r="N311" s="7" t="n">
        <v>3</v>
      </c>
      <c r="O311" s="7" t="str">
        <f aca="false">A311&amp;"|"&amp;B311&amp;"|"&amp;C311&amp;"|"&amp;D311&amp;"|"&amp;E311&amp;"|"&amp;F311&amp;"|"&amp;G311&amp;"|"&amp;H311&amp;"|"&amp;I311&amp;"|"&amp;J311&amp;"|"&amp;K311&amp;"|"&amp;L311&amp;"|"&amp;M311&amp;"|"&amp;N311</f>
        <v>ORD10152|2025-01-20|11:49|C0474|Curry Leaf Kitchen|Mumbai|North Indian|5|245|0|Credit Card|Delivered|47|3</v>
      </c>
      <c r="P311" s="7" t="str">
        <f aca="false">IF(COUNTIF($O$2:O311,O311)&gt;1,"DUP","OK")</f>
        <v>OK</v>
      </c>
      <c r="Q311" s="7" t="n">
        <f aca="false">COUNTBLANK(A311:N311)</f>
        <v>0</v>
      </c>
      <c r="R311" s="7" t="n">
        <f aca="false">IF(A311="",0,COUNTIFS($A$2:$A$3058,A311,$P$2:$P$3058,"OK"))</f>
        <v>1</v>
      </c>
      <c r="S311" s="7" t="str">
        <f aca="false">IF(OR(A311="",P311="DUP",R311&lt;2),"",IF(Q311=_xlfn.MINIFS($Q$2:$Q$3058,$A$2:$A$3058,A311,$P$2:$P$3058,"OK"),"KEEP","DROP"))</f>
        <v/>
      </c>
      <c r="T311" s="9" t="n">
        <f aca="false">IF(A311="",1,0)</f>
        <v>0</v>
      </c>
      <c r="U311" s="9" t="n">
        <f aca="false">IF(D311="",1,0)</f>
        <v>0</v>
      </c>
      <c r="V311" s="9" t="n">
        <f aca="false">IF(E311="",1,0)</f>
        <v>0</v>
      </c>
      <c r="W311" s="9" t="n">
        <f aca="false">IF(OR(H311&lt;1,H311&gt;10),1,0)</f>
        <v>0</v>
      </c>
      <c r="X311" s="9" t="n">
        <f aca="false">IF(OR(I311&lt;=0,I311&gt;1500),1,0)</f>
        <v>0</v>
      </c>
      <c r="Y311" s="9" t="n">
        <f aca="false">IF(J311&gt;H311*I311,1,0)</f>
        <v>0</v>
      </c>
      <c r="Z311" s="9" t="n">
        <f aca="false">IF(AND(N311&lt;&gt;"",OR(N311&lt;1,N311&gt;5)),1,0)</f>
        <v>0</v>
      </c>
      <c r="AA311" s="9" t="n">
        <f aca="false">IF(AND(M311&lt;&gt;"",OR(M311&lt;5,M311&gt;180)),1,0)</f>
        <v>0</v>
      </c>
      <c r="AB311" s="7" t="str">
        <f aca="false">IF(P311="DUP","Exact duplicate row",IF(T311=1,"Missing Order ID",IF(S311="DROP","Duplicate Order ID (less complete row)",IF(U311=1,"Missing Customer ID",IF(V311=1,"Missing Restaurant name",IF(W311=1,"Invalid/outlier quantity",IF(X311=1,"Invalid/outlier unit price",IF(Y311=1,"Discount greater than order value",""))))))))</f>
        <v/>
      </c>
      <c r="AC311" s="7" t="str">
        <f aca="false">IF(AB311="","KEEP","DROP")</f>
        <v>KEEP</v>
      </c>
      <c r="AD311" s="7" t="str">
        <f aca="false">IF(TRIM(F311)="",IFERROR(INDEX(Map_Tables!$I$4:$I$37,MATCH(TRIM(E311),Map_Tables!$G$4:$G$37,0)),""),IFERROR(INDEX(Map_Tables!$B$4:$B$18,MATCH(TRIM(F311),Map_Tables!$A$4:$A$18,0)),"CHECK"))</f>
        <v>Mumbai</v>
      </c>
      <c r="AE311" s="7" t="str">
        <f aca="false">IF(TRIM(E311)="","",IFERROR(INDEX(Map_Tables!$H$4:$H$37,MATCH(TRIM(E311),Map_Tables!$G$4:$G$37,0)),"CHECK"))</f>
        <v>Curry Leaf Kitchen</v>
      </c>
      <c r="AF311" s="7" t="str">
        <f aca="false">IF(TRIM(K311)="","Unknown",IFERROR(INDEX(Map_Tables!$E$4:$E$15,MATCH(TRIM(K311),Map_Tables!$D$4:$D$15,0)),"CHECK"))</f>
        <v>Credit Card</v>
      </c>
      <c r="AG311" s="7" t="str">
        <f aca="false">IF(LEFT(LOWER(TRIM(L311)),6)="cancel","Cancelled","Delivered")</f>
        <v>Delivered</v>
      </c>
      <c r="AH311" s="10" t="n">
        <f aca="false">IF(ISNUMBER(SEARCH("/",B311)),DATE(VALUE(RIGHT(B311,4)),VALUE(MID(B311,4,2)),VALUE(LEFT(B311,2))),IF(MID(B311,5,1)="-",DATE(VALUE(LEFT(B311,4)),VALUE(MID(B311,6,2)),VALUE(RIGHT(B311,2))),DATE(VALUE(RIGHT(B311,4)),MATCH(MID(B311,4,3),{"Jan","Feb","Mar","Apr","May","Jun","Jul","Aug","Sep","Oct","Nov","Dec"},0),VALUE(LEFT(B311,2)))))</f>
        <v>45677</v>
      </c>
    </row>
    <row r="312" customFormat="false" ht="15" hidden="false" customHeight="false" outlineLevel="0" collapsed="false">
      <c r="A312" s="7" t="s">
        <v>1311</v>
      </c>
      <c r="B312" s="7" t="s">
        <v>1312</v>
      </c>
      <c r="C312" s="7" t="s">
        <v>1313</v>
      </c>
      <c r="D312" s="7" t="s">
        <v>1314</v>
      </c>
      <c r="E312" s="7" t="s">
        <v>94</v>
      </c>
      <c r="F312" s="7" t="s">
        <v>86</v>
      </c>
      <c r="G312" s="7" t="s">
        <v>95</v>
      </c>
      <c r="H312" s="7" t="n">
        <v>5</v>
      </c>
      <c r="I312" s="7" t="n">
        <v>125</v>
      </c>
      <c r="J312" s="7" t="n">
        <v>50</v>
      </c>
      <c r="K312" s="7" t="s">
        <v>93</v>
      </c>
      <c r="L312" s="7" t="s">
        <v>194</v>
      </c>
      <c r="M312" s="7" t="n">
        <v>38</v>
      </c>
      <c r="N312" s="7" t="n">
        <v>4</v>
      </c>
      <c r="O312" s="7" t="str">
        <f aca="false">A312&amp;"|"&amp;B312&amp;"|"&amp;C312&amp;"|"&amp;D312&amp;"|"&amp;E312&amp;"|"&amp;F312&amp;"|"&amp;G312&amp;"|"&amp;H312&amp;"|"&amp;I312&amp;"|"&amp;J312&amp;"|"&amp;K312&amp;"|"&amp;L312&amp;"|"&amp;M312&amp;"|"&amp;N312</f>
        <v>ORD11103|2025-05-19|20:52|C1120|Dosa Darbar|Bengaluru|South Indian|5|125|50|Credit Card|Delivered|38|4</v>
      </c>
      <c r="P312" s="7" t="str">
        <f aca="false">IF(COUNTIF($O$2:O312,O312)&gt;1,"DUP","OK")</f>
        <v>OK</v>
      </c>
      <c r="Q312" s="7" t="n">
        <f aca="false">COUNTBLANK(A312:N312)</f>
        <v>0</v>
      </c>
      <c r="R312" s="7" t="n">
        <f aca="false">IF(A312="",0,COUNTIFS($A$2:$A$3058,A312,$P$2:$P$3058,"OK"))</f>
        <v>1</v>
      </c>
      <c r="S312" s="7" t="str">
        <f aca="false">IF(OR(A312="",P312="DUP",R312&lt;2),"",IF(Q312=_xlfn.MINIFS($Q$2:$Q$3058,$A$2:$A$3058,A312,$P$2:$P$3058,"OK"),"KEEP","DROP"))</f>
        <v/>
      </c>
      <c r="T312" s="9" t="n">
        <f aca="false">IF(A312="",1,0)</f>
        <v>0</v>
      </c>
      <c r="U312" s="9" t="n">
        <f aca="false">IF(D312="",1,0)</f>
        <v>0</v>
      </c>
      <c r="V312" s="9" t="n">
        <f aca="false">IF(E312="",1,0)</f>
        <v>0</v>
      </c>
      <c r="W312" s="9" t="n">
        <f aca="false">IF(OR(H312&lt;1,H312&gt;10),1,0)</f>
        <v>0</v>
      </c>
      <c r="X312" s="9" t="n">
        <f aca="false">IF(OR(I312&lt;=0,I312&gt;1500),1,0)</f>
        <v>0</v>
      </c>
      <c r="Y312" s="9" t="n">
        <f aca="false">IF(J312&gt;H312*I312,1,0)</f>
        <v>0</v>
      </c>
      <c r="Z312" s="9" t="n">
        <f aca="false">IF(AND(N312&lt;&gt;"",OR(N312&lt;1,N312&gt;5)),1,0)</f>
        <v>0</v>
      </c>
      <c r="AA312" s="9" t="n">
        <f aca="false">IF(AND(M312&lt;&gt;"",OR(M312&lt;5,M312&gt;180)),1,0)</f>
        <v>0</v>
      </c>
      <c r="AB312" s="7" t="str">
        <f aca="false">IF(P312="DUP","Exact duplicate row",IF(T312=1,"Missing Order ID",IF(S312="DROP","Duplicate Order ID (less complete row)",IF(U312=1,"Missing Customer ID",IF(V312=1,"Missing Restaurant name",IF(W312=1,"Invalid/outlier quantity",IF(X312=1,"Invalid/outlier unit price",IF(Y312=1,"Discount greater than order value",""))))))))</f>
        <v/>
      </c>
      <c r="AC312" s="7" t="str">
        <f aca="false">IF(AB312="","KEEP","DROP")</f>
        <v>KEEP</v>
      </c>
      <c r="AD312" s="7" t="str">
        <f aca="false">IF(TRIM(F312)="",IFERROR(INDEX(Map_Tables!$I$4:$I$37,MATCH(TRIM(E312),Map_Tables!$G$4:$G$37,0)),""),IFERROR(INDEX(Map_Tables!$B$4:$B$18,MATCH(TRIM(F312),Map_Tables!$A$4:$A$18,0)),"CHECK"))</f>
        <v>Bengaluru</v>
      </c>
      <c r="AE312" s="7" t="str">
        <f aca="false">IF(TRIM(E312)="","",IFERROR(INDEX(Map_Tables!$H$4:$H$37,MATCH(TRIM(E312),Map_Tables!$G$4:$G$37,0)),"CHECK"))</f>
        <v>Dosa Darbar</v>
      </c>
      <c r="AF312" s="7" t="str">
        <f aca="false">IF(TRIM(K312)="","Unknown",IFERROR(INDEX(Map_Tables!$E$4:$E$15,MATCH(TRIM(K312),Map_Tables!$D$4:$D$15,0)),"CHECK"))</f>
        <v>Credit Card</v>
      </c>
      <c r="AG312" s="7" t="str">
        <f aca="false">IF(LEFT(LOWER(TRIM(L312)),6)="cancel","Cancelled","Delivered")</f>
        <v>Delivered</v>
      </c>
      <c r="AH312" s="10" t="n">
        <f aca="false">IF(ISNUMBER(SEARCH("/",B312)),DATE(VALUE(RIGHT(B312,4)),VALUE(MID(B312,4,2)),VALUE(LEFT(B312,2))),IF(MID(B312,5,1)="-",DATE(VALUE(LEFT(B312,4)),VALUE(MID(B312,6,2)),VALUE(RIGHT(B312,2))),DATE(VALUE(RIGHT(B312,4)),MATCH(MID(B312,4,3),{"Jan","Feb","Mar","Apr","May","Jun","Jul","Aug","Sep","Oct","Nov","Dec"},0),VALUE(LEFT(B312,2)))))</f>
        <v>45796</v>
      </c>
    </row>
    <row r="313" customFormat="false" ht="15" hidden="false" customHeight="false" outlineLevel="0" collapsed="false">
      <c r="A313" s="7" t="s">
        <v>1315</v>
      </c>
      <c r="B313" s="7" t="s">
        <v>1316</v>
      </c>
      <c r="C313" s="7" t="s">
        <v>1317</v>
      </c>
      <c r="D313" s="7" t="s">
        <v>1318</v>
      </c>
      <c r="E313" s="7" t="s">
        <v>1319</v>
      </c>
      <c r="F313" s="7" t="s">
        <v>86</v>
      </c>
      <c r="G313" s="7" t="s">
        <v>95</v>
      </c>
      <c r="H313" s="7" t="n">
        <v>2</v>
      </c>
      <c r="I313" s="7" t="n">
        <v>110</v>
      </c>
      <c r="J313" s="7" t="n">
        <v>0</v>
      </c>
      <c r="K313" s="7" t="s">
        <v>88</v>
      </c>
      <c r="L313" s="7" t="s">
        <v>194</v>
      </c>
      <c r="M313" s="7" t="n">
        <v>35</v>
      </c>
      <c r="N313" s="7" t="n">
        <v>4</v>
      </c>
      <c r="O313" s="7" t="str">
        <f aca="false">A313&amp;"|"&amp;B313&amp;"|"&amp;C313&amp;"|"&amp;D313&amp;"|"&amp;E313&amp;"|"&amp;F313&amp;"|"&amp;G313&amp;"|"&amp;H313&amp;"|"&amp;I313&amp;"|"&amp;J313&amp;"|"&amp;K313&amp;"|"&amp;L313&amp;"|"&amp;M313&amp;"|"&amp;N313</f>
        <v>ORD11514|2025-07-15|20:35|C1290|DOSA DARBAR|Bengaluru|South Indian|2|110|0|UPI|Delivered|35|4</v>
      </c>
      <c r="P313" s="7" t="str">
        <f aca="false">IF(COUNTIF($O$2:O313,O313)&gt;1,"DUP","OK")</f>
        <v>OK</v>
      </c>
      <c r="Q313" s="7" t="n">
        <f aca="false">COUNTBLANK(A313:N313)</f>
        <v>0</v>
      </c>
      <c r="R313" s="7" t="n">
        <f aca="false">IF(A313="",0,COUNTIFS($A$2:$A$3058,A313,$P$2:$P$3058,"OK"))</f>
        <v>1</v>
      </c>
      <c r="S313" s="7" t="str">
        <f aca="false">IF(OR(A313="",P313="DUP",R313&lt;2),"",IF(Q313=_xlfn.MINIFS($Q$2:$Q$3058,$A$2:$A$3058,A313,$P$2:$P$3058,"OK"),"KEEP","DROP"))</f>
        <v/>
      </c>
      <c r="T313" s="9" t="n">
        <f aca="false">IF(A313="",1,0)</f>
        <v>0</v>
      </c>
      <c r="U313" s="9" t="n">
        <f aca="false">IF(D313="",1,0)</f>
        <v>0</v>
      </c>
      <c r="V313" s="9" t="n">
        <f aca="false">IF(E313="",1,0)</f>
        <v>0</v>
      </c>
      <c r="W313" s="9" t="n">
        <f aca="false">IF(OR(H313&lt;1,H313&gt;10),1,0)</f>
        <v>0</v>
      </c>
      <c r="X313" s="9" t="n">
        <f aca="false">IF(OR(I313&lt;=0,I313&gt;1500),1,0)</f>
        <v>0</v>
      </c>
      <c r="Y313" s="9" t="n">
        <f aca="false">IF(J313&gt;H313*I313,1,0)</f>
        <v>0</v>
      </c>
      <c r="Z313" s="9" t="n">
        <f aca="false">IF(AND(N313&lt;&gt;"",OR(N313&lt;1,N313&gt;5)),1,0)</f>
        <v>0</v>
      </c>
      <c r="AA313" s="9" t="n">
        <f aca="false">IF(AND(M313&lt;&gt;"",OR(M313&lt;5,M313&gt;180)),1,0)</f>
        <v>0</v>
      </c>
      <c r="AB313" s="7" t="str">
        <f aca="false">IF(P313="DUP","Exact duplicate row",IF(T313=1,"Missing Order ID",IF(S313="DROP","Duplicate Order ID (less complete row)",IF(U313=1,"Missing Customer ID",IF(V313=1,"Missing Restaurant name",IF(W313=1,"Invalid/outlier quantity",IF(X313=1,"Invalid/outlier unit price",IF(Y313=1,"Discount greater than order value",""))))))))</f>
        <v/>
      </c>
      <c r="AC313" s="7" t="str">
        <f aca="false">IF(AB313="","KEEP","DROP")</f>
        <v>KEEP</v>
      </c>
      <c r="AD313" s="7" t="str">
        <f aca="false">IF(TRIM(F313)="",IFERROR(INDEX(Map_Tables!$I$4:$I$37,MATCH(TRIM(E313),Map_Tables!$G$4:$G$37,0)),""),IFERROR(INDEX(Map_Tables!$B$4:$B$18,MATCH(TRIM(F313),Map_Tables!$A$4:$A$18,0)),"CHECK"))</f>
        <v>Bengaluru</v>
      </c>
      <c r="AE313" s="7" t="str">
        <f aca="false">IF(TRIM(E313)="","",IFERROR(INDEX(Map_Tables!$H$4:$H$37,MATCH(TRIM(E313),Map_Tables!$G$4:$G$37,0)),"CHECK"))</f>
        <v>Dosa Darbar</v>
      </c>
      <c r="AF313" s="7" t="str">
        <f aca="false">IF(TRIM(K313)="","Unknown",IFERROR(INDEX(Map_Tables!$E$4:$E$15,MATCH(TRIM(K313),Map_Tables!$D$4:$D$15,0)),"CHECK"))</f>
        <v>UPI</v>
      </c>
      <c r="AG313" s="7" t="str">
        <f aca="false">IF(LEFT(LOWER(TRIM(L313)),6)="cancel","Cancelled","Delivered")</f>
        <v>Delivered</v>
      </c>
      <c r="AH313" s="10" t="n">
        <f aca="false">IF(ISNUMBER(SEARCH("/",B313)),DATE(VALUE(RIGHT(B313,4)),VALUE(MID(B313,4,2)),VALUE(LEFT(B313,2))),IF(MID(B313,5,1)="-",DATE(VALUE(LEFT(B313,4)),VALUE(MID(B313,6,2)),VALUE(RIGHT(B313,2))),DATE(VALUE(RIGHT(B313,4)),MATCH(MID(B313,4,3),{"Jan","Feb","Mar","Apr","May","Jun","Jul","Aug","Sep","Oct","Nov","Dec"},0),VALUE(LEFT(B313,2)))))</f>
        <v>45853</v>
      </c>
    </row>
    <row r="314" customFormat="false" ht="15" hidden="false" customHeight="false" outlineLevel="0" collapsed="false">
      <c r="A314" s="7" t="s">
        <v>1320</v>
      </c>
      <c r="B314" s="7" t="s">
        <v>1079</v>
      </c>
      <c r="C314" s="7" t="s">
        <v>1321</v>
      </c>
      <c r="D314" s="7" t="s">
        <v>1322</v>
      </c>
      <c r="E314" s="7" t="s">
        <v>94</v>
      </c>
      <c r="F314" s="7" t="s">
        <v>86</v>
      </c>
      <c r="G314" s="7" t="s">
        <v>95</v>
      </c>
      <c r="H314" s="7" t="n">
        <v>1</v>
      </c>
      <c r="I314" s="7" t="n">
        <v>145</v>
      </c>
      <c r="J314" s="7" t="n">
        <v>0</v>
      </c>
      <c r="K314" s="7" t="s">
        <v>88</v>
      </c>
      <c r="L314" s="7" t="s">
        <v>194</v>
      </c>
      <c r="M314" s="7" t="n">
        <v>38</v>
      </c>
      <c r="N314" s="7"/>
      <c r="O314" s="7" t="str">
        <f aca="false">A314&amp;"|"&amp;B314&amp;"|"&amp;C314&amp;"|"&amp;D314&amp;"|"&amp;E314&amp;"|"&amp;F314&amp;"|"&amp;G314&amp;"|"&amp;H314&amp;"|"&amp;I314&amp;"|"&amp;J314&amp;"|"&amp;K314&amp;"|"&amp;L314&amp;"|"&amp;M314&amp;"|"&amp;N314</f>
        <v>ORD12313|2025-10-19|09:39|C1310|Dosa Darbar|Bengaluru|South Indian|1|145|0|UPI|Delivered|38|</v>
      </c>
      <c r="P314" s="7" t="str">
        <f aca="false">IF(COUNTIF($O$2:O314,O314)&gt;1,"DUP","OK")</f>
        <v>OK</v>
      </c>
      <c r="Q314" s="7" t="n">
        <f aca="false">COUNTBLANK(A314:N314)</f>
        <v>1</v>
      </c>
      <c r="R314" s="7" t="n">
        <f aca="false">IF(A314="",0,COUNTIFS($A$2:$A$3058,A314,$P$2:$P$3058,"OK"))</f>
        <v>1</v>
      </c>
      <c r="S314" s="7" t="str">
        <f aca="false">IF(OR(A314="",P314="DUP",R314&lt;2),"",IF(Q314=_xlfn.MINIFS($Q$2:$Q$3058,$A$2:$A$3058,A314,$P$2:$P$3058,"OK"),"KEEP","DROP"))</f>
        <v/>
      </c>
      <c r="T314" s="9" t="n">
        <f aca="false">IF(A314="",1,0)</f>
        <v>0</v>
      </c>
      <c r="U314" s="9" t="n">
        <f aca="false">IF(D314="",1,0)</f>
        <v>0</v>
      </c>
      <c r="V314" s="9" t="n">
        <f aca="false">IF(E314="",1,0)</f>
        <v>0</v>
      </c>
      <c r="W314" s="9" t="n">
        <f aca="false">IF(OR(H314&lt;1,H314&gt;10),1,0)</f>
        <v>0</v>
      </c>
      <c r="X314" s="9" t="n">
        <f aca="false">IF(OR(I314&lt;=0,I314&gt;1500),1,0)</f>
        <v>0</v>
      </c>
      <c r="Y314" s="9" t="n">
        <f aca="false">IF(J314&gt;H314*I314,1,0)</f>
        <v>0</v>
      </c>
      <c r="Z314" s="9" t="n">
        <f aca="false">IF(AND(N314&lt;&gt;"",OR(N314&lt;1,N314&gt;5)),1,0)</f>
        <v>0</v>
      </c>
      <c r="AA314" s="9" t="n">
        <f aca="false">IF(AND(M314&lt;&gt;"",OR(M314&lt;5,M314&gt;180)),1,0)</f>
        <v>0</v>
      </c>
      <c r="AB314" s="7" t="str">
        <f aca="false">IF(P314="DUP","Exact duplicate row",IF(T314=1,"Missing Order ID",IF(S314="DROP","Duplicate Order ID (less complete row)",IF(U314=1,"Missing Customer ID",IF(V314=1,"Missing Restaurant name",IF(W314=1,"Invalid/outlier quantity",IF(X314=1,"Invalid/outlier unit price",IF(Y314=1,"Discount greater than order value",""))))))))</f>
        <v/>
      </c>
      <c r="AC314" s="7" t="str">
        <f aca="false">IF(AB314="","KEEP","DROP")</f>
        <v>KEEP</v>
      </c>
      <c r="AD314" s="7" t="str">
        <f aca="false">IF(TRIM(F314)="",IFERROR(INDEX(Map_Tables!$I$4:$I$37,MATCH(TRIM(E314),Map_Tables!$G$4:$G$37,0)),""),IFERROR(INDEX(Map_Tables!$B$4:$B$18,MATCH(TRIM(F314),Map_Tables!$A$4:$A$18,0)),"CHECK"))</f>
        <v>Bengaluru</v>
      </c>
      <c r="AE314" s="7" t="str">
        <f aca="false">IF(TRIM(E314)="","",IFERROR(INDEX(Map_Tables!$H$4:$H$37,MATCH(TRIM(E314),Map_Tables!$G$4:$G$37,0)),"CHECK"))</f>
        <v>Dosa Darbar</v>
      </c>
      <c r="AF314" s="7" t="str">
        <f aca="false">IF(TRIM(K314)="","Unknown",IFERROR(INDEX(Map_Tables!$E$4:$E$15,MATCH(TRIM(K314),Map_Tables!$D$4:$D$15,0)),"CHECK"))</f>
        <v>UPI</v>
      </c>
      <c r="AG314" s="7" t="str">
        <f aca="false">IF(LEFT(LOWER(TRIM(L314)),6)="cancel","Cancelled","Delivered")</f>
        <v>Delivered</v>
      </c>
      <c r="AH314" s="10" t="n">
        <f aca="false">IF(ISNUMBER(SEARCH("/",B314)),DATE(VALUE(RIGHT(B314,4)),VALUE(MID(B314,4,2)),VALUE(LEFT(B314,2))),IF(MID(B314,5,1)="-",DATE(VALUE(LEFT(B314,4)),VALUE(MID(B314,6,2)),VALUE(RIGHT(B314,2))),DATE(VALUE(RIGHT(B314,4)),MATCH(MID(B314,4,3),{"Jan","Feb","Mar","Apr","May","Jun","Jul","Aug","Sep","Oct","Nov","Dec"},0),VALUE(LEFT(B314,2)))))</f>
        <v>45949</v>
      </c>
    </row>
    <row r="315" customFormat="false" ht="15" hidden="false" customHeight="false" outlineLevel="0" collapsed="false">
      <c r="A315" s="7" t="s">
        <v>1323</v>
      </c>
      <c r="B315" s="7" t="s">
        <v>1324</v>
      </c>
      <c r="C315" s="7" t="s">
        <v>1325</v>
      </c>
      <c r="D315" s="7" t="s">
        <v>1326</v>
      </c>
      <c r="E315" s="7" t="s">
        <v>168</v>
      </c>
      <c r="F315" s="7" t="s">
        <v>1327</v>
      </c>
      <c r="G315" s="7" t="s">
        <v>123</v>
      </c>
      <c r="H315" s="7" t="n">
        <v>2</v>
      </c>
      <c r="I315" s="7" t="n">
        <v>300</v>
      </c>
      <c r="J315" s="7" t="n">
        <v>150</v>
      </c>
      <c r="K315" s="7" t="s">
        <v>133</v>
      </c>
      <c r="L315" s="7" t="s">
        <v>194</v>
      </c>
      <c r="M315" s="7" t="n">
        <v>31</v>
      </c>
      <c r="N315" s="7" t="n">
        <v>4</v>
      </c>
      <c r="O315" s="7" t="str">
        <f aca="false">A315&amp;"|"&amp;B315&amp;"|"&amp;C315&amp;"|"&amp;D315&amp;"|"&amp;E315&amp;"|"&amp;F315&amp;"|"&amp;G315&amp;"|"&amp;H315&amp;"|"&amp;I315&amp;"|"&amp;J315&amp;"|"&amp;K315&amp;"|"&amp;L315&amp;"|"&amp;M315&amp;"|"&amp;N315</f>
        <v>ORD10774|2025-04-08|16:26|C0009|Cheesy Slice|Ahmedabad |Pizza|2|300|150|Net Banking|Delivered|31|4</v>
      </c>
      <c r="P315" s="7" t="str">
        <f aca="false">IF(COUNTIF($O$2:O315,O315)&gt;1,"DUP","OK")</f>
        <v>OK</v>
      </c>
      <c r="Q315" s="7" t="n">
        <f aca="false">COUNTBLANK(A315:N315)</f>
        <v>0</v>
      </c>
      <c r="R315" s="7" t="n">
        <f aca="false">IF(A315="",0,COUNTIFS($A$2:$A$3058,A315,$P$2:$P$3058,"OK"))</f>
        <v>1</v>
      </c>
      <c r="S315" s="7" t="str">
        <f aca="false">IF(OR(A315="",P315="DUP",R315&lt;2),"",IF(Q315=_xlfn.MINIFS($Q$2:$Q$3058,$A$2:$A$3058,A315,$P$2:$P$3058,"OK"),"KEEP","DROP"))</f>
        <v/>
      </c>
      <c r="T315" s="9" t="n">
        <f aca="false">IF(A315="",1,0)</f>
        <v>0</v>
      </c>
      <c r="U315" s="9" t="n">
        <f aca="false">IF(D315="",1,0)</f>
        <v>0</v>
      </c>
      <c r="V315" s="9" t="n">
        <f aca="false">IF(E315="",1,0)</f>
        <v>0</v>
      </c>
      <c r="W315" s="9" t="n">
        <f aca="false">IF(OR(H315&lt;1,H315&gt;10),1,0)</f>
        <v>0</v>
      </c>
      <c r="X315" s="9" t="n">
        <f aca="false">IF(OR(I315&lt;=0,I315&gt;1500),1,0)</f>
        <v>0</v>
      </c>
      <c r="Y315" s="9" t="n">
        <f aca="false">IF(J315&gt;H315*I315,1,0)</f>
        <v>0</v>
      </c>
      <c r="Z315" s="9" t="n">
        <f aca="false">IF(AND(N315&lt;&gt;"",OR(N315&lt;1,N315&gt;5)),1,0)</f>
        <v>0</v>
      </c>
      <c r="AA315" s="9" t="n">
        <f aca="false">IF(AND(M315&lt;&gt;"",OR(M315&lt;5,M315&gt;180)),1,0)</f>
        <v>0</v>
      </c>
      <c r="AB315" s="7" t="str">
        <f aca="false">IF(P315="DUP","Exact duplicate row",IF(T315=1,"Missing Order ID",IF(S315="DROP","Duplicate Order ID (less complete row)",IF(U315=1,"Missing Customer ID",IF(V315=1,"Missing Restaurant name",IF(W315=1,"Invalid/outlier quantity",IF(X315=1,"Invalid/outlier unit price",IF(Y315=1,"Discount greater than order value",""))))))))</f>
        <v/>
      </c>
      <c r="AC315" s="7" t="str">
        <f aca="false">IF(AB315="","KEEP","DROP")</f>
        <v>KEEP</v>
      </c>
      <c r="AD315" s="7" t="str">
        <f aca="false">IF(TRIM(F315)="",IFERROR(INDEX(Map_Tables!$I$4:$I$37,MATCH(TRIM(E315),Map_Tables!$G$4:$G$37,0)),""),IFERROR(INDEX(Map_Tables!$B$4:$B$18,MATCH(TRIM(F315),Map_Tables!$A$4:$A$18,0)),"CHECK"))</f>
        <v>Ahmedabad</v>
      </c>
      <c r="AE315" s="7" t="str">
        <f aca="false">IF(TRIM(E315)="","",IFERROR(INDEX(Map_Tables!$H$4:$H$37,MATCH(TRIM(E315),Map_Tables!$G$4:$G$37,0)),"CHECK"))</f>
        <v>Cheesy Slice</v>
      </c>
      <c r="AF315" s="7" t="str">
        <f aca="false">IF(TRIM(K315)="","Unknown",IFERROR(INDEX(Map_Tables!$E$4:$E$15,MATCH(TRIM(K315),Map_Tables!$D$4:$D$15,0)),"CHECK"))</f>
        <v>Net Banking</v>
      </c>
      <c r="AG315" s="7" t="str">
        <f aca="false">IF(LEFT(LOWER(TRIM(L315)),6)="cancel","Cancelled","Delivered")</f>
        <v>Delivered</v>
      </c>
      <c r="AH315" s="10" t="n">
        <f aca="false">IF(ISNUMBER(SEARCH("/",B315)),DATE(VALUE(RIGHT(B315,4)),VALUE(MID(B315,4,2)),VALUE(LEFT(B315,2))),IF(MID(B315,5,1)="-",DATE(VALUE(LEFT(B315,4)),VALUE(MID(B315,6,2)),VALUE(RIGHT(B315,2))),DATE(VALUE(RIGHT(B315,4)),MATCH(MID(B315,4,3),{"Jan","Feb","Mar","Apr","May","Jun","Jul","Aug","Sep","Oct","Nov","Dec"},0),VALUE(LEFT(B315,2)))))</f>
        <v>45755</v>
      </c>
    </row>
    <row r="316" customFormat="false" ht="15" hidden="false" customHeight="false" outlineLevel="0" collapsed="false">
      <c r="A316" s="7" t="s">
        <v>1328</v>
      </c>
      <c r="B316" s="7" t="s">
        <v>1329</v>
      </c>
      <c r="C316" s="7" t="s">
        <v>1330</v>
      </c>
      <c r="D316" s="7" t="s">
        <v>1331</v>
      </c>
      <c r="E316" s="7" t="s">
        <v>158</v>
      </c>
      <c r="F316" s="7" t="s">
        <v>135</v>
      </c>
      <c r="G316" s="7" t="s">
        <v>139</v>
      </c>
      <c r="H316" s="7" t="n">
        <v>2</v>
      </c>
      <c r="I316" s="7" t="n">
        <v>155</v>
      </c>
      <c r="J316" s="7" t="n">
        <v>50</v>
      </c>
      <c r="K316" s="7" t="s">
        <v>103</v>
      </c>
      <c r="L316" s="7" t="s">
        <v>194</v>
      </c>
      <c r="M316" s="7" t="n">
        <v>34</v>
      </c>
      <c r="N316" s="7" t="n">
        <v>4</v>
      </c>
      <c r="O316" s="7" t="str">
        <f aca="false">A316&amp;"|"&amp;B316&amp;"|"&amp;C316&amp;"|"&amp;D316&amp;"|"&amp;E316&amp;"|"&amp;F316&amp;"|"&amp;G316&amp;"|"&amp;H316&amp;"|"&amp;I316&amp;"|"&amp;J316&amp;"|"&amp;K316&amp;"|"&amp;L316&amp;"|"&amp;M316&amp;"|"&amp;N316</f>
        <v>ORD11180|2025-05-30|13:03|C0478|Pune Burger Hub|pune|Burgers|2|155|50|Debit Card|Delivered|34|4</v>
      </c>
      <c r="P316" s="7" t="str">
        <f aca="false">IF(COUNTIF($O$2:O316,O316)&gt;1,"DUP","OK")</f>
        <v>OK</v>
      </c>
      <c r="Q316" s="7" t="n">
        <f aca="false">COUNTBLANK(A316:N316)</f>
        <v>0</v>
      </c>
      <c r="R316" s="7" t="n">
        <f aca="false">IF(A316="",0,COUNTIFS($A$2:$A$3058,A316,$P$2:$P$3058,"OK"))</f>
        <v>1</v>
      </c>
      <c r="S316" s="7" t="str">
        <f aca="false">IF(OR(A316="",P316="DUP",R316&lt;2),"",IF(Q316=_xlfn.MINIFS($Q$2:$Q$3058,$A$2:$A$3058,A316,$P$2:$P$3058,"OK"),"KEEP","DROP"))</f>
        <v/>
      </c>
      <c r="T316" s="9" t="n">
        <f aca="false">IF(A316="",1,0)</f>
        <v>0</v>
      </c>
      <c r="U316" s="9" t="n">
        <f aca="false">IF(D316="",1,0)</f>
        <v>0</v>
      </c>
      <c r="V316" s="9" t="n">
        <f aca="false">IF(E316="",1,0)</f>
        <v>0</v>
      </c>
      <c r="W316" s="9" t="n">
        <f aca="false">IF(OR(H316&lt;1,H316&gt;10),1,0)</f>
        <v>0</v>
      </c>
      <c r="X316" s="9" t="n">
        <f aca="false">IF(OR(I316&lt;=0,I316&gt;1500),1,0)</f>
        <v>0</v>
      </c>
      <c r="Y316" s="9" t="n">
        <f aca="false">IF(J316&gt;H316*I316,1,0)</f>
        <v>0</v>
      </c>
      <c r="Z316" s="9" t="n">
        <f aca="false">IF(AND(N316&lt;&gt;"",OR(N316&lt;1,N316&gt;5)),1,0)</f>
        <v>0</v>
      </c>
      <c r="AA316" s="9" t="n">
        <f aca="false">IF(AND(M316&lt;&gt;"",OR(M316&lt;5,M316&gt;180)),1,0)</f>
        <v>0</v>
      </c>
      <c r="AB316" s="7" t="str">
        <f aca="false">IF(P316="DUP","Exact duplicate row",IF(T316=1,"Missing Order ID",IF(S316="DROP","Duplicate Order ID (less complete row)",IF(U316=1,"Missing Customer ID",IF(V316=1,"Missing Restaurant name",IF(W316=1,"Invalid/outlier quantity",IF(X316=1,"Invalid/outlier unit price",IF(Y316=1,"Discount greater than order value",""))))))))</f>
        <v/>
      </c>
      <c r="AC316" s="7" t="str">
        <f aca="false">IF(AB316="","KEEP","DROP")</f>
        <v>KEEP</v>
      </c>
      <c r="AD316" s="7" t="str">
        <f aca="false">IF(TRIM(F316)="",IFERROR(INDEX(Map_Tables!$I$4:$I$37,MATCH(TRIM(E316),Map_Tables!$G$4:$G$37,0)),""),IFERROR(INDEX(Map_Tables!$B$4:$B$18,MATCH(TRIM(F316),Map_Tables!$A$4:$A$18,0)),"CHECK"))</f>
        <v>Pune</v>
      </c>
      <c r="AE316" s="7" t="str">
        <f aca="false">IF(TRIM(E316)="","",IFERROR(INDEX(Map_Tables!$H$4:$H$37,MATCH(TRIM(E316),Map_Tables!$G$4:$G$37,0)),"CHECK"))</f>
        <v>Pune Burger Hub</v>
      </c>
      <c r="AF316" s="7" t="str">
        <f aca="false">IF(TRIM(K316)="","Unknown",IFERROR(INDEX(Map_Tables!$E$4:$E$15,MATCH(TRIM(K316),Map_Tables!$D$4:$D$15,0)),"CHECK"))</f>
        <v>Debit Card</v>
      </c>
      <c r="AG316" s="7" t="str">
        <f aca="false">IF(LEFT(LOWER(TRIM(L316)),6)="cancel","Cancelled","Delivered")</f>
        <v>Delivered</v>
      </c>
      <c r="AH316" s="10" t="n">
        <f aca="false">IF(ISNUMBER(SEARCH("/",B316)),DATE(VALUE(RIGHT(B316,4)),VALUE(MID(B316,4,2)),VALUE(LEFT(B316,2))),IF(MID(B316,5,1)="-",DATE(VALUE(LEFT(B316,4)),VALUE(MID(B316,6,2)),VALUE(RIGHT(B316,2))),DATE(VALUE(RIGHT(B316,4)),MATCH(MID(B316,4,3),{"Jan","Feb","Mar","Apr","May","Jun","Jul","Aug","Sep","Oct","Nov","Dec"},0),VALUE(LEFT(B316,2)))))</f>
        <v>45807</v>
      </c>
    </row>
    <row r="317" customFormat="false" ht="15" hidden="false" customHeight="false" outlineLevel="0" collapsed="false">
      <c r="A317" s="7" t="s">
        <v>1332</v>
      </c>
      <c r="B317" s="7" t="s">
        <v>660</v>
      </c>
      <c r="C317" s="7" t="s">
        <v>769</v>
      </c>
      <c r="D317" s="7" t="s">
        <v>1333</v>
      </c>
      <c r="E317" s="7" t="s">
        <v>134</v>
      </c>
      <c r="F317" s="7" t="s">
        <v>110</v>
      </c>
      <c r="G317" s="7" t="s">
        <v>117</v>
      </c>
      <c r="H317" s="7" t="n">
        <v>2</v>
      </c>
      <c r="I317" s="7" t="n">
        <v>125</v>
      </c>
      <c r="J317" s="7" t="n">
        <v>0</v>
      </c>
      <c r="K317" s="7" t="s">
        <v>115</v>
      </c>
      <c r="L317" s="7" t="s">
        <v>194</v>
      </c>
      <c r="M317" s="7" t="n">
        <v>49</v>
      </c>
      <c r="N317" s="7" t="n">
        <v>4</v>
      </c>
      <c r="O317" s="7" t="str">
        <f aca="false">A317&amp;"|"&amp;B317&amp;"|"&amp;C317&amp;"|"&amp;D317&amp;"|"&amp;E317&amp;"|"&amp;F317&amp;"|"&amp;G317&amp;"|"&amp;H317&amp;"|"&amp;I317&amp;"|"&amp;J317&amp;"|"&amp;K317&amp;"|"&amp;L317&amp;"|"&amp;M317&amp;"|"&amp;N317</f>
        <v>ORD12982|2025-12-29|20:43|C0411|Chaat Corner|Delhi|Street Food|2|125|0|cash on delivery|Delivered|49|4</v>
      </c>
      <c r="P317" s="7" t="str">
        <f aca="false">IF(COUNTIF($O$2:O317,O317)&gt;1,"DUP","OK")</f>
        <v>OK</v>
      </c>
      <c r="Q317" s="7" t="n">
        <f aca="false">COUNTBLANK(A317:N317)</f>
        <v>0</v>
      </c>
      <c r="R317" s="7" t="n">
        <f aca="false">IF(A317="",0,COUNTIFS($A$2:$A$3058,A317,$P$2:$P$3058,"OK"))</f>
        <v>1</v>
      </c>
      <c r="S317" s="7" t="str">
        <f aca="false">IF(OR(A317="",P317="DUP",R317&lt;2),"",IF(Q317=_xlfn.MINIFS($Q$2:$Q$3058,$A$2:$A$3058,A317,$P$2:$P$3058,"OK"),"KEEP","DROP"))</f>
        <v/>
      </c>
      <c r="T317" s="9" t="n">
        <f aca="false">IF(A317="",1,0)</f>
        <v>0</v>
      </c>
      <c r="U317" s="9" t="n">
        <f aca="false">IF(D317="",1,0)</f>
        <v>0</v>
      </c>
      <c r="V317" s="9" t="n">
        <f aca="false">IF(E317="",1,0)</f>
        <v>0</v>
      </c>
      <c r="W317" s="9" t="n">
        <f aca="false">IF(OR(H317&lt;1,H317&gt;10),1,0)</f>
        <v>0</v>
      </c>
      <c r="X317" s="9" t="n">
        <f aca="false">IF(OR(I317&lt;=0,I317&gt;1500),1,0)</f>
        <v>0</v>
      </c>
      <c r="Y317" s="9" t="n">
        <f aca="false">IF(J317&gt;H317*I317,1,0)</f>
        <v>0</v>
      </c>
      <c r="Z317" s="9" t="n">
        <f aca="false">IF(AND(N317&lt;&gt;"",OR(N317&lt;1,N317&gt;5)),1,0)</f>
        <v>0</v>
      </c>
      <c r="AA317" s="9" t="n">
        <f aca="false">IF(AND(M317&lt;&gt;"",OR(M317&lt;5,M317&gt;180)),1,0)</f>
        <v>0</v>
      </c>
      <c r="AB317" s="7" t="str">
        <f aca="false">IF(P317="DUP","Exact duplicate row",IF(T317=1,"Missing Order ID",IF(S317="DROP","Duplicate Order ID (less complete row)",IF(U317=1,"Missing Customer ID",IF(V317=1,"Missing Restaurant name",IF(W317=1,"Invalid/outlier quantity",IF(X317=1,"Invalid/outlier unit price",IF(Y317=1,"Discount greater than order value",""))))))))</f>
        <v/>
      </c>
      <c r="AC317" s="7" t="str">
        <f aca="false">IF(AB317="","KEEP","DROP")</f>
        <v>KEEP</v>
      </c>
      <c r="AD317" s="7" t="str">
        <f aca="false">IF(TRIM(F317)="",IFERROR(INDEX(Map_Tables!$I$4:$I$37,MATCH(TRIM(E317),Map_Tables!$G$4:$G$37,0)),""),IFERROR(INDEX(Map_Tables!$B$4:$B$18,MATCH(TRIM(F317),Map_Tables!$A$4:$A$18,0)),"CHECK"))</f>
        <v>Delhi</v>
      </c>
      <c r="AE317" s="7" t="str">
        <f aca="false">IF(TRIM(E317)="","",IFERROR(INDEX(Map_Tables!$H$4:$H$37,MATCH(TRIM(E317),Map_Tables!$G$4:$G$37,0)),"CHECK"))</f>
        <v>Chaat Corner</v>
      </c>
      <c r="AF317" s="7" t="str">
        <f aca="false">IF(TRIM(K317)="","Unknown",IFERROR(INDEX(Map_Tables!$E$4:$E$15,MATCH(TRIM(K317),Map_Tables!$D$4:$D$15,0)),"CHECK"))</f>
        <v>Cash on Delivery</v>
      </c>
      <c r="AG317" s="7" t="str">
        <f aca="false">IF(LEFT(LOWER(TRIM(L317)),6)="cancel","Cancelled","Delivered")</f>
        <v>Delivered</v>
      </c>
      <c r="AH317" s="10" t="n">
        <f aca="false">IF(ISNUMBER(SEARCH("/",B317)),DATE(VALUE(RIGHT(B317,4)),VALUE(MID(B317,4,2)),VALUE(LEFT(B317,2))),IF(MID(B317,5,1)="-",DATE(VALUE(LEFT(B317,4)),VALUE(MID(B317,6,2)),VALUE(RIGHT(B317,2))),DATE(VALUE(RIGHT(B317,4)),MATCH(MID(B317,4,3),{"Jan","Feb","Mar","Apr","May","Jun","Jul","Aug","Sep","Oct","Nov","Dec"},0),VALUE(LEFT(B317,2)))))</f>
        <v>46020</v>
      </c>
    </row>
    <row r="318" customFormat="false" ht="15" hidden="false" customHeight="false" outlineLevel="0" collapsed="false">
      <c r="A318" s="7" t="s">
        <v>1334</v>
      </c>
      <c r="B318" s="7" t="s">
        <v>1335</v>
      </c>
      <c r="C318" s="7" t="s">
        <v>1336</v>
      </c>
      <c r="D318" s="7" t="s">
        <v>1337</v>
      </c>
      <c r="E318" s="7" t="s">
        <v>138</v>
      </c>
      <c r="F318" s="7" t="s">
        <v>110</v>
      </c>
      <c r="G318" s="7" t="s">
        <v>251</v>
      </c>
      <c r="H318" s="7" t="n">
        <v>5</v>
      </c>
      <c r="I318" s="7" t="n">
        <v>165</v>
      </c>
      <c r="J318" s="7" t="n">
        <v>0</v>
      </c>
      <c r="K318" s="7" t="s">
        <v>88</v>
      </c>
      <c r="L318" s="7" t="s">
        <v>194</v>
      </c>
      <c r="M318" s="7" t="n">
        <v>37</v>
      </c>
      <c r="N318" s="7" t="n">
        <v>3</v>
      </c>
      <c r="O318" s="7" t="str">
        <f aca="false">A318&amp;"|"&amp;B318&amp;"|"&amp;C318&amp;"|"&amp;D318&amp;"|"&amp;E318&amp;"|"&amp;F318&amp;"|"&amp;G318&amp;"|"&amp;H318&amp;"|"&amp;I318&amp;"|"&amp;J318&amp;"|"&amp;K318&amp;"|"&amp;L318&amp;"|"&amp;M318&amp;"|"&amp;N318</f>
        <v>ORD11369|2025-06-25|19:17|C0268|Burger Barn|Delhi|burgers|5|165|0|UPI|Delivered|37|3</v>
      </c>
      <c r="P318" s="7" t="str">
        <f aca="false">IF(COUNTIF($O$2:O318,O318)&gt;1,"DUP","OK")</f>
        <v>OK</v>
      </c>
      <c r="Q318" s="7" t="n">
        <f aca="false">COUNTBLANK(A318:N318)</f>
        <v>0</v>
      </c>
      <c r="R318" s="7" t="n">
        <f aca="false">IF(A318="",0,COUNTIFS($A$2:$A$3058,A318,$P$2:$P$3058,"OK"))</f>
        <v>1</v>
      </c>
      <c r="S318" s="7" t="str">
        <f aca="false">IF(OR(A318="",P318="DUP",R318&lt;2),"",IF(Q318=_xlfn.MINIFS($Q$2:$Q$3058,$A$2:$A$3058,A318,$P$2:$P$3058,"OK"),"KEEP","DROP"))</f>
        <v/>
      </c>
      <c r="T318" s="9" t="n">
        <f aca="false">IF(A318="",1,0)</f>
        <v>0</v>
      </c>
      <c r="U318" s="9" t="n">
        <f aca="false">IF(D318="",1,0)</f>
        <v>0</v>
      </c>
      <c r="V318" s="9" t="n">
        <f aca="false">IF(E318="",1,0)</f>
        <v>0</v>
      </c>
      <c r="W318" s="9" t="n">
        <f aca="false">IF(OR(H318&lt;1,H318&gt;10),1,0)</f>
        <v>0</v>
      </c>
      <c r="X318" s="9" t="n">
        <f aca="false">IF(OR(I318&lt;=0,I318&gt;1500),1,0)</f>
        <v>0</v>
      </c>
      <c r="Y318" s="9" t="n">
        <f aca="false">IF(J318&gt;H318*I318,1,0)</f>
        <v>0</v>
      </c>
      <c r="Z318" s="9" t="n">
        <f aca="false">IF(AND(N318&lt;&gt;"",OR(N318&lt;1,N318&gt;5)),1,0)</f>
        <v>0</v>
      </c>
      <c r="AA318" s="9" t="n">
        <f aca="false">IF(AND(M318&lt;&gt;"",OR(M318&lt;5,M318&gt;180)),1,0)</f>
        <v>0</v>
      </c>
      <c r="AB318" s="7" t="str">
        <f aca="false">IF(P318="DUP","Exact duplicate row",IF(T318=1,"Missing Order ID",IF(S318="DROP","Duplicate Order ID (less complete row)",IF(U318=1,"Missing Customer ID",IF(V318=1,"Missing Restaurant name",IF(W318=1,"Invalid/outlier quantity",IF(X318=1,"Invalid/outlier unit price",IF(Y318=1,"Discount greater than order value",""))))))))</f>
        <v/>
      </c>
      <c r="AC318" s="7" t="str">
        <f aca="false">IF(AB318="","KEEP","DROP")</f>
        <v>KEEP</v>
      </c>
      <c r="AD318" s="7" t="str">
        <f aca="false">IF(TRIM(F318)="",IFERROR(INDEX(Map_Tables!$I$4:$I$37,MATCH(TRIM(E318),Map_Tables!$G$4:$G$37,0)),""),IFERROR(INDEX(Map_Tables!$B$4:$B$18,MATCH(TRIM(F318),Map_Tables!$A$4:$A$18,0)),"CHECK"))</f>
        <v>Delhi</v>
      </c>
      <c r="AE318" s="7" t="str">
        <f aca="false">IF(TRIM(E318)="","",IFERROR(INDEX(Map_Tables!$H$4:$H$37,MATCH(TRIM(E318),Map_Tables!$G$4:$G$37,0)),"CHECK"))</f>
        <v>Burger Barn</v>
      </c>
      <c r="AF318" s="7" t="str">
        <f aca="false">IF(TRIM(K318)="","Unknown",IFERROR(INDEX(Map_Tables!$E$4:$E$15,MATCH(TRIM(K318),Map_Tables!$D$4:$D$15,0)),"CHECK"))</f>
        <v>UPI</v>
      </c>
      <c r="AG318" s="7" t="str">
        <f aca="false">IF(LEFT(LOWER(TRIM(L318)),6)="cancel","Cancelled","Delivered")</f>
        <v>Delivered</v>
      </c>
      <c r="AH318" s="10" t="n">
        <f aca="false">IF(ISNUMBER(SEARCH("/",B318)),DATE(VALUE(RIGHT(B318,4)),VALUE(MID(B318,4,2)),VALUE(LEFT(B318,2))),IF(MID(B318,5,1)="-",DATE(VALUE(LEFT(B318,4)),VALUE(MID(B318,6,2)),VALUE(RIGHT(B318,2))),DATE(VALUE(RIGHT(B318,4)),MATCH(MID(B318,4,3),{"Jan","Feb","Mar","Apr","May","Jun","Jul","Aug","Sep","Oct","Nov","Dec"},0),VALUE(LEFT(B318,2)))))</f>
        <v>45833</v>
      </c>
    </row>
    <row r="319" customFormat="false" ht="15" hidden="false" customHeight="false" outlineLevel="0" collapsed="false">
      <c r="A319" s="7" t="s">
        <v>1338</v>
      </c>
      <c r="B319" s="7" t="s">
        <v>1339</v>
      </c>
      <c r="C319" s="7" t="s">
        <v>1340</v>
      </c>
      <c r="D319" s="7" t="s">
        <v>1341</v>
      </c>
      <c r="E319" s="7" t="s">
        <v>163</v>
      </c>
      <c r="F319" s="7" t="s">
        <v>141</v>
      </c>
      <c r="G319" s="7" t="s">
        <v>99</v>
      </c>
      <c r="H319" s="7" t="n">
        <v>2</v>
      </c>
      <c r="I319" s="7" t="n">
        <v>205</v>
      </c>
      <c r="J319" s="7" t="n">
        <v>0</v>
      </c>
      <c r="K319" s="7" t="s">
        <v>93</v>
      </c>
      <c r="L319" s="7" t="s">
        <v>194</v>
      </c>
      <c r="M319" s="7" t="n">
        <v>47</v>
      </c>
      <c r="N319" s="7" t="n">
        <v>2</v>
      </c>
      <c r="O319" s="7" t="str">
        <f aca="false">A319&amp;"|"&amp;B319&amp;"|"&amp;C319&amp;"|"&amp;D319&amp;"|"&amp;E319&amp;"|"&amp;F319&amp;"|"&amp;G319&amp;"|"&amp;H319&amp;"|"&amp;I319&amp;"|"&amp;J319&amp;"|"&amp;K319&amp;"|"&amp;L319&amp;"|"&amp;M319&amp;"|"&amp;N319</f>
        <v>ORD12824|11/12/2025|20:34|C0804|Biryani Baadshah|Kolkata|Biryani|2|205|0|Credit Card|Delivered|47|2</v>
      </c>
      <c r="P319" s="7" t="str">
        <f aca="false">IF(COUNTIF($O$2:O319,O319)&gt;1,"DUP","OK")</f>
        <v>OK</v>
      </c>
      <c r="Q319" s="7" t="n">
        <f aca="false">COUNTBLANK(A319:N319)</f>
        <v>0</v>
      </c>
      <c r="R319" s="7" t="n">
        <f aca="false">IF(A319="",0,COUNTIFS($A$2:$A$3058,A319,$P$2:$P$3058,"OK"))</f>
        <v>1</v>
      </c>
      <c r="S319" s="7" t="str">
        <f aca="false">IF(OR(A319="",P319="DUP",R319&lt;2),"",IF(Q319=_xlfn.MINIFS($Q$2:$Q$3058,$A$2:$A$3058,A319,$P$2:$P$3058,"OK"),"KEEP","DROP"))</f>
        <v/>
      </c>
      <c r="T319" s="9" t="n">
        <f aca="false">IF(A319="",1,0)</f>
        <v>0</v>
      </c>
      <c r="U319" s="9" t="n">
        <f aca="false">IF(D319="",1,0)</f>
        <v>0</v>
      </c>
      <c r="V319" s="9" t="n">
        <f aca="false">IF(E319="",1,0)</f>
        <v>0</v>
      </c>
      <c r="W319" s="9" t="n">
        <f aca="false">IF(OR(H319&lt;1,H319&gt;10),1,0)</f>
        <v>0</v>
      </c>
      <c r="X319" s="9" t="n">
        <f aca="false">IF(OR(I319&lt;=0,I319&gt;1500),1,0)</f>
        <v>0</v>
      </c>
      <c r="Y319" s="9" t="n">
        <f aca="false">IF(J319&gt;H319*I319,1,0)</f>
        <v>0</v>
      </c>
      <c r="Z319" s="9" t="n">
        <f aca="false">IF(AND(N319&lt;&gt;"",OR(N319&lt;1,N319&gt;5)),1,0)</f>
        <v>0</v>
      </c>
      <c r="AA319" s="9" t="n">
        <f aca="false">IF(AND(M319&lt;&gt;"",OR(M319&lt;5,M319&gt;180)),1,0)</f>
        <v>0</v>
      </c>
      <c r="AB319" s="7" t="str">
        <f aca="false">IF(P319="DUP","Exact duplicate row",IF(T319=1,"Missing Order ID",IF(S319="DROP","Duplicate Order ID (less complete row)",IF(U319=1,"Missing Customer ID",IF(V319=1,"Missing Restaurant name",IF(W319=1,"Invalid/outlier quantity",IF(X319=1,"Invalid/outlier unit price",IF(Y319=1,"Discount greater than order value",""))))))))</f>
        <v/>
      </c>
      <c r="AC319" s="7" t="str">
        <f aca="false">IF(AB319="","KEEP","DROP")</f>
        <v>KEEP</v>
      </c>
      <c r="AD319" s="7" t="str">
        <f aca="false">IF(TRIM(F319)="",IFERROR(INDEX(Map_Tables!$I$4:$I$37,MATCH(TRIM(E319),Map_Tables!$G$4:$G$37,0)),""),IFERROR(INDEX(Map_Tables!$B$4:$B$18,MATCH(TRIM(F319),Map_Tables!$A$4:$A$18,0)),"CHECK"))</f>
        <v>Kolkata</v>
      </c>
      <c r="AE319" s="7" t="str">
        <f aca="false">IF(TRIM(E319)="","",IFERROR(INDEX(Map_Tables!$H$4:$H$37,MATCH(TRIM(E319),Map_Tables!$G$4:$G$37,0)),"CHECK"))</f>
        <v>Biryani Baadshah</v>
      </c>
      <c r="AF319" s="7" t="str">
        <f aca="false">IF(TRIM(K319)="","Unknown",IFERROR(INDEX(Map_Tables!$E$4:$E$15,MATCH(TRIM(K319),Map_Tables!$D$4:$D$15,0)),"CHECK"))</f>
        <v>Credit Card</v>
      </c>
      <c r="AG319" s="7" t="str">
        <f aca="false">IF(LEFT(LOWER(TRIM(L319)),6)="cancel","Cancelled","Delivered")</f>
        <v>Delivered</v>
      </c>
      <c r="AH319" s="10" t="n">
        <f aca="false">IF(ISNUMBER(SEARCH("/",B319)),DATE(VALUE(RIGHT(B319,4)),VALUE(MID(B319,4,2)),VALUE(LEFT(B319,2))),IF(MID(B319,5,1)="-",DATE(VALUE(LEFT(B319,4)),VALUE(MID(B319,6,2)),VALUE(RIGHT(B319,2))),DATE(VALUE(RIGHT(B319,4)),MATCH(MID(B319,4,3),{"Jan","Feb","Mar","Apr","May","Jun","Jul","Aug","Sep","Oct","Nov","Dec"},0),VALUE(LEFT(B319,2)))))</f>
        <v>46002</v>
      </c>
    </row>
    <row r="320" customFormat="false" ht="15" hidden="false" customHeight="false" outlineLevel="0" collapsed="false">
      <c r="A320" s="7" t="s">
        <v>1342</v>
      </c>
      <c r="B320" s="7" t="s">
        <v>808</v>
      </c>
      <c r="C320" s="7" t="s">
        <v>564</v>
      </c>
      <c r="D320" s="7" t="s">
        <v>1343</v>
      </c>
      <c r="E320" s="7" t="s">
        <v>1208</v>
      </c>
      <c r="F320" s="7" t="s">
        <v>86</v>
      </c>
      <c r="G320" s="7" t="s">
        <v>99</v>
      </c>
      <c r="H320" s="7" t="n">
        <v>2</v>
      </c>
      <c r="I320" s="7" t="n">
        <v>305</v>
      </c>
      <c r="J320" s="7" t="n">
        <v>50</v>
      </c>
      <c r="K320" s="7" t="s">
        <v>93</v>
      </c>
      <c r="L320" s="7" t="s">
        <v>194</v>
      </c>
      <c r="M320" s="7" t="n">
        <v>55</v>
      </c>
      <c r="N320" s="7" t="n">
        <v>5</v>
      </c>
      <c r="O320" s="7" t="str">
        <f aca="false">A320&amp;"|"&amp;B320&amp;"|"&amp;C320&amp;"|"&amp;D320&amp;"|"&amp;E320&amp;"|"&amp;F320&amp;"|"&amp;G320&amp;"|"&amp;H320&amp;"|"&amp;I320&amp;"|"&amp;J320&amp;"|"&amp;K320&amp;"|"&amp;L320&amp;"|"&amp;M320&amp;"|"&amp;N320</f>
        <v>ORD12582|2025-11-16|16:18|C0753| Nawabi Biryani House|Bengaluru|Biryani|2|305|50|Credit Card|Delivered|55|5</v>
      </c>
      <c r="P320" s="7" t="str">
        <f aca="false">IF(COUNTIF($O$2:O320,O320)&gt;1,"DUP","OK")</f>
        <v>OK</v>
      </c>
      <c r="Q320" s="7" t="n">
        <f aca="false">COUNTBLANK(A320:N320)</f>
        <v>0</v>
      </c>
      <c r="R320" s="7" t="n">
        <f aca="false">IF(A320="",0,COUNTIFS($A$2:$A$3058,A320,$P$2:$P$3058,"OK"))</f>
        <v>1</v>
      </c>
      <c r="S320" s="7" t="str">
        <f aca="false">IF(OR(A320="",P320="DUP",R320&lt;2),"",IF(Q320=_xlfn.MINIFS($Q$2:$Q$3058,$A$2:$A$3058,A320,$P$2:$P$3058,"OK"),"KEEP","DROP"))</f>
        <v/>
      </c>
      <c r="T320" s="9" t="n">
        <f aca="false">IF(A320="",1,0)</f>
        <v>0</v>
      </c>
      <c r="U320" s="9" t="n">
        <f aca="false">IF(D320="",1,0)</f>
        <v>0</v>
      </c>
      <c r="V320" s="9" t="n">
        <f aca="false">IF(E320="",1,0)</f>
        <v>0</v>
      </c>
      <c r="W320" s="9" t="n">
        <f aca="false">IF(OR(H320&lt;1,H320&gt;10),1,0)</f>
        <v>0</v>
      </c>
      <c r="X320" s="9" t="n">
        <f aca="false">IF(OR(I320&lt;=0,I320&gt;1500),1,0)</f>
        <v>0</v>
      </c>
      <c r="Y320" s="9" t="n">
        <f aca="false">IF(J320&gt;H320*I320,1,0)</f>
        <v>0</v>
      </c>
      <c r="Z320" s="9" t="n">
        <f aca="false">IF(AND(N320&lt;&gt;"",OR(N320&lt;1,N320&gt;5)),1,0)</f>
        <v>0</v>
      </c>
      <c r="AA320" s="9" t="n">
        <f aca="false">IF(AND(M320&lt;&gt;"",OR(M320&lt;5,M320&gt;180)),1,0)</f>
        <v>0</v>
      </c>
      <c r="AB320" s="7" t="str">
        <f aca="false">IF(P320="DUP","Exact duplicate row",IF(T320=1,"Missing Order ID",IF(S320="DROP","Duplicate Order ID (less complete row)",IF(U320=1,"Missing Customer ID",IF(V320=1,"Missing Restaurant name",IF(W320=1,"Invalid/outlier quantity",IF(X320=1,"Invalid/outlier unit price",IF(Y320=1,"Discount greater than order value",""))))))))</f>
        <v/>
      </c>
      <c r="AC320" s="7" t="str">
        <f aca="false">IF(AB320="","KEEP","DROP")</f>
        <v>KEEP</v>
      </c>
      <c r="AD320" s="7" t="str">
        <f aca="false">IF(TRIM(F320)="",IFERROR(INDEX(Map_Tables!$I$4:$I$37,MATCH(TRIM(E320),Map_Tables!$G$4:$G$37,0)),""),IFERROR(INDEX(Map_Tables!$B$4:$B$18,MATCH(TRIM(F320),Map_Tables!$A$4:$A$18,0)),"CHECK"))</f>
        <v>Bengaluru</v>
      </c>
      <c r="AE320" s="7" t="str">
        <f aca="false">IF(TRIM(E320)="","",IFERROR(INDEX(Map_Tables!$H$4:$H$37,MATCH(TRIM(E320),Map_Tables!$G$4:$G$37,0)),"CHECK"))</f>
        <v>Nawabi Biryani House</v>
      </c>
      <c r="AF320" s="7" t="str">
        <f aca="false">IF(TRIM(K320)="","Unknown",IFERROR(INDEX(Map_Tables!$E$4:$E$15,MATCH(TRIM(K320),Map_Tables!$D$4:$D$15,0)),"CHECK"))</f>
        <v>Credit Card</v>
      </c>
      <c r="AG320" s="7" t="str">
        <f aca="false">IF(LEFT(LOWER(TRIM(L320)),6)="cancel","Cancelled","Delivered")</f>
        <v>Delivered</v>
      </c>
      <c r="AH320" s="10" t="n">
        <f aca="false">IF(ISNUMBER(SEARCH("/",B320)),DATE(VALUE(RIGHT(B320,4)),VALUE(MID(B320,4,2)),VALUE(LEFT(B320,2))),IF(MID(B320,5,1)="-",DATE(VALUE(LEFT(B320,4)),VALUE(MID(B320,6,2)),VALUE(RIGHT(B320,2))),DATE(VALUE(RIGHT(B320,4)),MATCH(MID(B320,4,3),{"Jan","Feb","Mar","Apr","May","Jun","Jul","Aug","Sep","Oct","Nov","Dec"},0),VALUE(LEFT(B320,2)))))</f>
        <v>45977</v>
      </c>
    </row>
    <row r="321" customFormat="false" ht="15" hidden="false" customHeight="false" outlineLevel="0" collapsed="false">
      <c r="A321" s="7" t="s">
        <v>1344</v>
      </c>
      <c r="B321" s="7" t="s">
        <v>1345</v>
      </c>
      <c r="C321" s="7" t="s">
        <v>1346</v>
      </c>
      <c r="D321" s="7" t="s">
        <v>1347</v>
      </c>
      <c r="E321" s="7" t="s">
        <v>561</v>
      </c>
      <c r="F321" s="7" t="s">
        <v>101</v>
      </c>
      <c r="G321" s="7" t="s">
        <v>123</v>
      </c>
      <c r="H321" s="7" t="n">
        <v>2</v>
      </c>
      <c r="I321" s="7" t="n">
        <v>350</v>
      </c>
      <c r="J321" s="7" t="n">
        <v>125</v>
      </c>
      <c r="K321" s="7" t="s">
        <v>88</v>
      </c>
      <c r="L321" s="7" t="s">
        <v>194</v>
      </c>
      <c r="M321" s="7" t="n">
        <v>32</v>
      </c>
      <c r="N321" s="7" t="n">
        <v>4</v>
      </c>
      <c r="O321" s="7" t="str">
        <f aca="false">A321&amp;"|"&amp;B321&amp;"|"&amp;C321&amp;"|"&amp;D321&amp;"|"&amp;E321&amp;"|"&amp;F321&amp;"|"&amp;G321&amp;"|"&amp;H321&amp;"|"&amp;I321&amp;"|"&amp;J321&amp;"|"&amp;K321&amp;"|"&amp;L321&amp;"|"&amp;M321&amp;"|"&amp;N321</f>
        <v>ORD10387|2025-02-21|00:03|C0590|mumbai pizza co|Mumbai|Pizza|2|350|125|UPI|Delivered|32|4</v>
      </c>
      <c r="P321" s="7" t="str">
        <f aca="false">IF(COUNTIF($O$2:O321,O321)&gt;1,"DUP","OK")</f>
        <v>OK</v>
      </c>
      <c r="Q321" s="7" t="n">
        <f aca="false">COUNTBLANK(A321:N321)</f>
        <v>0</v>
      </c>
      <c r="R321" s="7" t="n">
        <f aca="false">IF(A321="",0,COUNTIFS($A$2:$A$3058,A321,$P$2:$P$3058,"OK"))</f>
        <v>1</v>
      </c>
      <c r="S321" s="7" t="str">
        <f aca="false">IF(OR(A321="",P321="DUP",R321&lt;2),"",IF(Q321=_xlfn.MINIFS($Q$2:$Q$3058,$A$2:$A$3058,A321,$P$2:$P$3058,"OK"),"KEEP","DROP"))</f>
        <v/>
      </c>
      <c r="T321" s="9" t="n">
        <f aca="false">IF(A321="",1,0)</f>
        <v>0</v>
      </c>
      <c r="U321" s="9" t="n">
        <f aca="false">IF(D321="",1,0)</f>
        <v>0</v>
      </c>
      <c r="V321" s="9" t="n">
        <f aca="false">IF(E321="",1,0)</f>
        <v>0</v>
      </c>
      <c r="W321" s="9" t="n">
        <f aca="false">IF(OR(H321&lt;1,H321&gt;10),1,0)</f>
        <v>0</v>
      </c>
      <c r="X321" s="9" t="n">
        <f aca="false">IF(OR(I321&lt;=0,I321&gt;1500),1,0)</f>
        <v>0</v>
      </c>
      <c r="Y321" s="9" t="n">
        <f aca="false">IF(J321&gt;H321*I321,1,0)</f>
        <v>0</v>
      </c>
      <c r="Z321" s="9" t="n">
        <f aca="false">IF(AND(N321&lt;&gt;"",OR(N321&lt;1,N321&gt;5)),1,0)</f>
        <v>0</v>
      </c>
      <c r="AA321" s="9" t="n">
        <f aca="false">IF(AND(M321&lt;&gt;"",OR(M321&lt;5,M321&gt;180)),1,0)</f>
        <v>0</v>
      </c>
      <c r="AB321" s="7" t="str">
        <f aca="false">IF(P321="DUP","Exact duplicate row",IF(T321=1,"Missing Order ID",IF(S321="DROP","Duplicate Order ID (less complete row)",IF(U321=1,"Missing Customer ID",IF(V321=1,"Missing Restaurant name",IF(W321=1,"Invalid/outlier quantity",IF(X321=1,"Invalid/outlier unit price",IF(Y321=1,"Discount greater than order value",""))))))))</f>
        <v/>
      </c>
      <c r="AC321" s="7" t="str">
        <f aca="false">IF(AB321="","KEEP","DROP")</f>
        <v>KEEP</v>
      </c>
      <c r="AD321" s="7" t="str">
        <f aca="false">IF(TRIM(F321)="",IFERROR(INDEX(Map_Tables!$I$4:$I$37,MATCH(TRIM(E321),Map_Tables!$G$4:$G$37,0)),""),IFERROR(INDEX(Map_Tables!$B$4:$B$18,MATCH(TRIM(F321),Map_Tables!$A$4:$A$18,0)),"CHECK"))</f>
        <v>Mumbai</v>
      </c>
      <c r="AE321" s="7" t="str">
        <f aca="false">IF(TRIM(E321)="","",IFERROR(INDEX(Map_Tables!$H$4:$H$37,MATCH(TRIM(E321),Map_Tables!$G$4:$G$37,0)),"CHECK"))</f>
        <v>Mumbai Pizza Co</v>
      </c>
      <c r="AF321" s="7" t="str">
        <f aca="false">IF(TRIM(K321)="","Unknown",IFERROR(INDEX(Map_Tables!$E$4:$E$15,MATCH(TRIM(K321),Map_Tables!$D$4:$D$15,0)),"CHECK"))</f>
        <v>UPI</v>
      </c>
      <c r="AG321" s="7" t="str">
        <f aca="false">IF(LEFT(LOWER(TRIM(L321)),6)="cancel","Cancelled","Delivered")</f>
        <v>Delivered</v>
      </c>
      <c r="AH321" s="10" t="n">
        <f aca="false">IF(ISNUMBER(SEARCH("/",B321)),DATE(VALUE(RIGHT(B321,4)),VALUE(MID(B321,4,2)),VALUE(LEFT(B321,2))),IF(MID(B321,5,1)="-",DATE(VALUE(LEFT(B321,4)),VALUE(MID(B321,6,2)),VALUE(RIGHT(B321,2))),DATE(VALUE(RIGHT(B321,4)),MATCH(MID(B321,4,3),{"Jan","Feb","Mar","Apr","May","Jun","Jul","Aug","Sep","Oct","Nov","Dec"},0),VALUE(LEFT(B321,2)))))</f>
        <v>45709</v>
      </c>
    </row>
    <row r="322" customFormat="false" ht="15" hidden="false" customHeight="false" outlineLevel="0" collapsed="false">
      <c r="A322" s="7" t="s">
        <v>1348</v>
      </c>
      <c r="B322" s="7" t="s">
        <v>542</v>
      </c>
      <c r="C322" s="7" t="s">
        <v>433</v>
      </c>
      <c r="D322" s="7" t="s">
        <v>1349</v>
      </c>
      <c r="E322" s="7" t="s">
        <v>138</v>
      </c>
      <c r="F322" s="7" t="s">
        <v>110</v>
      </c>
      <c r="G322" s="7" t="s">
        <v>1003</v>
      </c>
      <c r="H322" s="7" t="n">
        <v>2</v>
      </c>
      <c r="I322" s="7" t="n">
        <v>205</v>
      </c>
      <c r="J322" s="7" t="n">
        <v>0</v>
      </c>
      <c r="K322" s="7" t="s">
        <v>88</v>
      </c>
      <c r="L322" s="7" t="s">
        <v>194</v>
      </c>
      <c r="M322" s="7" t="n">
        <v>26</v>
      </c>
      <c r="N322" s="7" t="n">
        <v>3</v>
      </c>
      <c r="O322" s="7" t="str">
        <f aca="false">A322&amp;"|"&amp;B322&amp;"|"&amp;C322&amp;"|"&amp;D322&amp;"|"&amp;E322&amp;"|"&amp;F322&amp;"|"&amp;G322&amp;"|"&amp;H322&amp;"|"&amp;I322&amp;"|"&amp;J322&amp;"|"&amp;K322&amp;"|"&amp;L322&amp;"|"&amp;M322&amp;"|"&amp;N322</f>
        <v>ORD12334|2025-10-21|19:43|C1314|Burger Barn|Delhi|BURGERS|2|205|0|UPI|Delivered|26|3</v>
      </c>
      <c r="P322" s="7" t="str">
        <f aca="false">IF(COUNTIF($O$2:O322,O322)&gt;1,"DUP","OK")</f>
        <v>OK</v>
      </c>
      <c r="Q322" s="7" t="n">
        <f aca="false">COUNTBLANK(A322:N322)</f>
        <v>0</v>
      </c>
      <c r="R322" s="7" t="n">
        <f aca="false">IF(A322="",0,COUNTIFS($A$2:$A$3058,A322,$P$2:$P$3058,"OK"))</f>
        <v>1</v>
      </c>
      <c r="S322" s="7" t="str">
        <f aca="false">IF(OR(A322="",P322="DUP",R322&lt;2),"",IF(Q322=_xlfn.MINIFS($Q$2:$Q$3058,$A$2:$A$3058,A322,$P$2:$P$3058,"OK"),"KEEP","DROP"))</f>
        <v/>
      </c>
      <c r="T322" s="9" t="n">
        <f aca="false">IF(A322="",1,0)</f>
        <v>0</v>
      </c>
      <c r="U322" s="9" t="n">
        <f aca="false">IF(D322="",1,0)</f>
        <v>0</v>
      </c>
      <c r="V322" s="9" t="n">
        <f aca="false">IF(E322="",1,0)</f>
        <v>0</v>
      </c>
      <c r="W322" s="9" t="n">
        <f aca="false">IF(OR(H322&lt;1,H322&gt;10),1,0)</f>
        <v>0</v>
      </c>
      <c r="X322" s="9" t="n">
        <f aca="false">IF(OR(I322&lt;=0,I322&gt;1500),1,0)</f>
        <v>0</v>
      </c>
      <c r="Y322" s="9" t="n">
        <f aca="false">IF(J322&gt;H322*I322,1,0)</f>
        <v>0</v>
      </c>
      <c r="Z322" s="9" t="n">
        <f aca="false">IF(AND(N322&lt;&gt;"",OR(N322&lt;1,N322&gt;5)),1,0)</f>
        <v>0</v>
      </c>
      <c r="AA322" s="9" t="n">
        <f aca="false">IF(AND(M322&lt;&gt;"",OR(M322&lt;5,M322&gt;180)),1,0)</f>
        <v>0</v>
      </c>
      <c r="AB322" s="7" t="str">
        <f aca="false">IF(P322="DUP","Exact duplicate row",IF(T322=1,"Missing Order ID",IF(S322="DROP","Duplicate Order ID (less complete row)",IF(U322=1,"Missing Customer ID",IF(V322=1,"Missing Restaurant name",IF(W322=1,"Invalid/outlier quantity",IF(X322=1,"Invalid/outlier unit price",IF(Y322=1,"Discount greater than order value",""))))))))</f>
        <v/>
      </c>
      <c r="AC322" s="7" t="str">
        <f aca="false">IF(AB322="","KEEP","DROP")</f>
        <v>KEEP</v>
      </c>
      <c r="AD322" s="7" t="str">
        <f aca="false">IF(TRIM(F322)="",IFERROR(INDEX(Map_Tables!$I$4:$I$37,MATCH(TRIM(E322),Map_Tables!$G$4:$G$37,0)),""),IFERROR(INDEX(Map_Tables!$B$4:$B$18,MATCH(TRIM(F322),Map_Tables!$A$4:$A$18,0)),"CHECK"))</f>
        <v>Delhi</v>
      </c>
      <c r="AE322" s="7" t="str">
        <f aca="false">IF(TRIM(E322)="","",IFERROR(INDEX(Map_Tables!$H$4:$H$37,MATCH(TRIM(E322),Map_Tables!$G$4:$G$37,0)),"CHECK"))</f>
        <v>Burger Barn</v>
      </c>
      <c r="AF322" s="7" t="str">
        <f aca="false">IF(TRIM(K322)="","Unknown",IFERROR(INDEX(Map_Tables!$E$4:$E$15,MATCH(TRIM(K322),Map_Tables!$D$4:$D$15,0)),"CHECK"))</f>
        <v>UPI</v>
      </c>
      <c r="AG322" s="7" t="str">
        <f aca="false">IF(LEFT(LOWER(TRIM(L322)),6)="cancel","Cancelled","Delivered")</f>
        <v>Delivered</v>
      </c>
      <c r="AH322" s="10" t="n">
        <f aca="false">IF(ISNUMBER(SEARCH("/",B322)),DATE(VALUE(RIGHT(B322,4)),VALUE(MID(B322,4,2)),VALUE(LEFT(B322,2))),IF(MID(B322,5,1)="-",DATE(VALUE(LEFT(B322,4)),VALUE(MID(B322,6,2)),VALUE(RIGHT(B322,2))),DATE(VALUE(RIGHT(B322,4)),MATCH(MID(B322,4,3),{"Jan","Feb","Mar","Apr","May","Jun","Jul","Aug","Sep","Oct","Nov","Dec"},0),VALUE(LEFT(B322,2)))))</f>
        <v>45951</v>
      </c>
    </row>
    <row r="323" customFormat="false" ht="15" hidden="false" customHeight="false" outlineLevel="0" collapsed="false">
      <c r="A323" s="7" t="s">
        <v>1350</v>
      </c>
      <c r="B323" s="7" t="s">
        <v>1351</v>
      </c>
      <c r="C323" s="7" t="s">
        <v>415</v>
      </c>
      <c r="D323" s="7" t="s">
        <v>1352</v>
      </c>
      <c r="E323" s="7" t="s">
        <v>130</v>
      </c>
      <c r="F323" s="7" t="s">
        <v>110</v>
      </c>
      <c r="G323" s="7" t="s">
        <v>90</v>
      </c>
      <c r="H323" s="7" t="n">
        <v>2</v>
      </c>
      <c r="I323" s="7" t="n">
        <v>210</v>
      </c>
      <c r="J323" s="7" t="n">
        <v>20</v>
      </c>
      <c r="K323" s="7" t="s">
        <v>379</v>
      </c>
      <c r="L323" s="7" t="s">
        <v>194</v>
      </c>
      <c r="M323" s="7" t="n">
        <v>40</v>
      </c>
      <c r="N323" s="7" t="n">
        <v>3</v>
      </c>
      <c r="O323" s="7" t="str">
        <f aca="false">A323&amp;"|"&amp;B323&amp;"|"&amp;C323&amp;"|"&amp;D323&amp;"|"&amp;E323&amp;"|"&amp;F323&amp;"|"&amp;G323&amp;"|"&amp;H323&amp;"|"&amp;I323&amp;"|"&amp;J323&amp;"|"&amp;K323&amp;"|"&amp;L323&amp;"|"&amp;M323&amp;"|"&amp;N323</f>
        <v>ORD11421|2025-07-04|18:58|C0985|Tandoor Tales|Delhi|North Indian|2|210|20|Credit card|Delivered|40|3</v>
      </c>
      <c r="P323" s="7" t="str">
        <f aca="false">IF(COUNTIF($O$2:O323,O323)&gt;1,"DUP","OK")</f>
        <v>OK</v>
      </c>
      <c r="Q323" s="7" t="n">
        <f aca="false">COUNTBLANK(A323:N323)</f>
        <v>0</v>
      </c>
      <c r="R323" s="7" t="n">
        <f aca="false">IF(A323="",0,COUNTIFS($A$2:$A$3058,A323,$P$2:$P$3058,"OK"))</f>
        <v>1</v>
      </c>
      <c r="S323" s="7" t="str">
        <f aca="false">IF(OR(A323="",P323="DUP",R323&lt;2),"",IF(Q323=_xlfn.MINIFS($Q$2:$Q$3058,$A$2:$A$3058,A323,$P$2:$P$3058,"OK"),"KEEP","DROP"))</f>
        <v/>
      </c>
      <c r="T323" s="9" t="n">
        <f aca="false">IF(A323="",1,0)</f>
        <v>0</v>
      </c>
      <c r="U323" s="9" t="n">
        <f aca="false">IF(D323="",1,0)</f>
        <v>0</v>
      </c>
      <c r="V323" s="9" t="n">
        <f aca="false">IF(E323="",1,0)</f>
        <v>0</v>
      </c>
      <c r="W323" s="9" t="n">
        <f aca="false">IF(OR(H323&lt;1,H323&gt;10),1,0)</f>
        <v>0</v>
      </c>
      <c r="X323" s="9" t="n">
        <f aca="false">IF(OR(I323&lt;=0,I323&gt;1500),1,0)</f>
        <v>0</v>
      </c>
      <c r="Y323" s="9" t="n">
        <f aca="false">IF(J323&gt;H323*I323,1,0)</f>
        <v>0</v>
      </c>
      <c r="Z323" s="9" t="n">
        <f aca="false">IF(AND(N323&lt;&gt;"",OR(N323&lt;1,N323&gt;5)),1,0)</f>
        <v>0</v>
      </c>
      <c r="AA323" s="9" t="n">
        <f aca="false">IF(AND(M323&lt;&gt;"",OR(M323&lt;5,M323&gt;180)),1,0)</f>
        <v>0</v>
      </c>
      <c r="AB323" s="7" t="str">
        <f aca="false">IF(P323="DUP","Exact duplicate row",IF(T323=1,"Missing Order ID",IF(S323="DROP","Duplicate Order ID (less complete row)",IF(U323=1,"Missing Customer ID",IF(V323=1,"Missing Restaurant name",IF(W323=1,"Invalid/outlier quantity",IF(X323=1,"Invalid/outlier unit price",IF(Y323=1,"Discount greater than order value",""))))))))</f>
        <v/>
      </c>
      <c r="AC323" s="7" t="str">
        <f aca="false">IF(AB323="","KEEP","DROP")</f>
        <v>KEEP</v>
      </c>
      <c r="AD323" s="7" t="str">
        <f aca="false">IF(TRIM(F323)="",IFERROR(INDEX(Map_Tables!$I$4:$I$37,MATCH(TRIM(E323),Map_Tables!$G$4:$G$37,0)),""),IFERROR(INDEX(Map_Tables!$B$4:$B$18,MATCH(TRIM(F323),Map_Tables!$A$4:$A$18,0)),"CHECK"))</f>
        <v>Delhi</v>
      </c>
      <c r="AE323" s="7" t="str">
        <f aca="false">IF(TRIM(E323)="","",IFERROR(INDEX(Map_Tables!$H$4:$H$37,MATCH(TRIM(E323),Map_Tables!$G$4:$G$37,0)),"CHECK"))</f>
        <v>Tandoor Tales</v>
      </c>
      <c r="AF323" s="7" t="str">
        <f aca="false">IF(TRIM(K323)="","Unknown",IFERROR(INDEX(Map_Tables!$E$4:$E$15,MATCH(TRIM(K323),Map_Tables!$D$4:$D$15,0)),"CHECK"))</f>
        <v>Credit Card</v>
      </c>
      <c r="AG323" s="7" t="str">
        <f aca="false">IF(LEFT(LOWER(TRIM(L323)),6)="cancel","Cancelled","Delivered")</f>
        <v>Delivered</v>
      </c>
      <c r="AH323" s="10" t="n">
        <f aca="false">IF(ISNUMBER(SEARCH("/",B323)),DATE(VALUE(RIGHT(B323,4)),VALUE(MID(B323,4,2)),VALUE(LEFT(B323,2))),IF(MID(B323,5,1)="-",DATE(VALUE(LEFT(B323,4)),VALUE(MID(B323,6,2)),VALUE(RIGHT(B323,2))),DATE(VALUE(RIGHT(B323,4)),MATCH(MID(B323,4,3),{"Jan","Feb","Mar","Apr","May","Jun","Jul","Aug","Sep","Oct","Nov","Dec"},0),VALUE(LEFT(B323,2)))))</f>
        <v>45842</v>
      </c>
    </row>
    <row r="324" customFormat="false" ht="15" hidden="false" customHeight="false" outlineLevel="0" collapsed="false">
      <c r="A324" s="7" t="s">
        <v>1353</v>
      </c>
      <c r="B324" s="7" t="s">
        <v>1354</v>
      </c>
      <c r="C324" s="7" t="s">
        <v>697</v>
      </c>
      <c r="D324" s="7" t="s">
        <v>1355</v>
      </c>
      <c r="E324" s="7" t="s">
        <v>142</v>
      </c>
      <c r="F324" s="7" t="s">
        <v>294</v>
      </c>
      <c r="G324" s="7" t="s">
        <v>105</v>
      </c>
      <c r="H324" s="7" t="n">
        <v>1</v>
      </c>
      <c r="I324" s="7" t="n">
        <v>140</v>
      </c>
      <c r="J324" s="7" t="n">
        <v>56</v>
      </c>
      <c r="K324" s="7" t="s">
        <v>112</v>
      </c>
      <c r="L324" s="7" t="s">
        <v>194</v>
      </c>
      <c r="M324" s="7" t="n">
        <v>36</v>
      </c>
      <c r="N324" s="7" t="n">
        <v>5</v>
      </c>
      <c r="O324" s="7" t="str">
        <f aca="false">A324&amp;"|"&amp;B324&amp;"|"&amp;C324&amp;"|"&amp;D324&amp;"|"&amp;E324&amp;"|"&amp;F324&amp;"|"&amp;G324&amp;"|"&amp;H324&amp;"|"&amp;I324&amp;"|"&amp;J324&amp;"|"&amp;K324&amp;"|"&amp;L324&amp;"|"&amp;M324&amp;"|"&amp;N324</f>
        <v>ORD10143|2025-01-19|11:46|C0752|Momo Magic|New Delhi|Chinese|1|140|56|Cash on Delivery|Delivered|36|5</v>
      </c>
      <c r="P324" s="7" t="str">
        <f aca="false">IF(COUNTIF($O$2:O324,O324)&gt;1,"DUP","OK")</f>
        <v>OK</v>
      </c>
      <c r="Q324" s="7" t="n">
        <f aca="false">COUNTBLANK(A324:N324)</f>
        <v>0</v>
      </c>
      <c r="R324" s="7" t="n">
        <f aca="false">IF(A324="",0,COUNTIFS($A$2:$A$3058,A324,$P$2:$P$3058,"OK"))</f>
        <v>1</v>
      </c>
      <c r="S324" s="7" t="str">
        <f aca="false">IF(OR(A324="",P324="DUP",R324&lt;2),"",IF(Q324=_xlfn.MINIFS($Q$2:$Q$3058,$A$2:$A$3058,A324,$P$2:$P$3058,"OK"),"KEEP","DROP"))</f>
        <v/>
      </c>
      <c r="T324" s="9" t="n">
        <f aca="false">IF(A324="",1,0)</f>
        <v>0</v>
      </c>
      <c r="U324" s="9" t="n">
        <f aca="false">IF(D324="",1,0)</f>
        <v>0</v>
      </c>
      <c r="V324" s="9" t="n">
        <f aca="false">IF(E324="",1,0)</f>
        <v>0</v>
      </c>
      <c r="W324" s="9" t="n">
        <f aca="false">IF(OR(H324&lt;1,H324&gt;10),1,0)</f>
        <v>0</v>
      </c>
      <c r="X324" s="9" t="n">
        <f aca="false">IF(OR(I324&lt;=0,I324&gt;1500),1,0)</f>
        <v>0</v>
      </c>
      <c r="Y324" s="9" t="n">
        <f aca="false">IF(J324&gt;H324*I324,1,0)</f>
        <v>0</v>
      </c>
      <c r="Z324" s="9" t="n">
        <f aca="false">IF(AND(N324&lt;&gt;"",OR(N324&lt;1,N324&gt;5)),1,0)</f>
        <v>0</v>
      </c>
      <c r="AA324" s="9" t="n">
        <f aca="false">IF(AND(M324&lt;&gt;"",OR(M324&lt;5,M324&gt;180)),1,0)</f>
        <v>0</v>
      </c>
      <c r="AB324" s="7" t="str">
        <f aca="false">IF(P324="DUP","Exact duplicate row",IF(T324=1,"Missing Order ID",IF(S324="DROP","Duplicate Order ID (less complete row)",IF(U324=1,"Missing Customer ID",IF(V324=1,"Missing Restaurant name",IF(W324=1,"Invalid/outlier quantity",IF(X324=1,"Invalid/outlier unit price",IF(Y324=1,"Discount greater than order value",""))))))))</f>
        <v/>
      </c>
      <c r="AC324" s="7" t="str">
        <f aca="false">IF(AB324="","KEEP","DROP")</f>
        <v>KEEP</v>
      </c>
      <c r="AD324" s="7" t="str">
        <f aca="false">IF(TRIM(F324)="",IFERROR(INDEX(Map_Tables!$I$4:$I$37,MATCH(TRIM(E324),Map_Tables!$G$4:$G$37,0)),""),IFERROR(INDEX(Map_Tables!$B$4:$B$18,MATCH(TRIM(F324),Map_Tables!$A$4:$A$18,0)),"CHECK"))</f>
        <v>Delhi</v>
      </c>
      <c r="AE324" s="7" t="str">
        <f aca="false">IF(TRIM(E324)="","",IFERROR(INDEX(Map_Tables!$H$4:$H$37,MATCH(TRIM(E324),Map_Tables!$G$4:$G$37,0)),"CHECK"))</f>
        <v>Momo Magic</v>
      </c>
      <c r="AF324" s="7" t="str">
        <f aca="false">IF(TRIM(K324)="","Unknown",IFERROR(INDEX(Map_Tables!$E$4:$E$15,MATCH(TRIM(K324),Map_Tables!$D$4:$D$15,0)),"CHECK"))</f>
        <v>Cash on Delivery</v>
      </c>
      <c r="AG324" s="7" t="str">
        <f aca="false">IF(LEFT(LOWER(TRIM(L324)),6)="cancel","Cancelled","Delivered")</f>
        <v>Delivered</v>
      </c>
      <c r="AH324" s="10" t="n">
        <f aca="false">IF(ISNUMBER(SEARCH("/",B324)),DATE(VALUE(RIGHT(B324,4)),VALUE(MID(B324,4,2)),VALUE(LEFT(B324,2))),IF(MID(B324,5,1)="-",DATE(VALUE(LEFT(B324,4)),VALUE(MID(B324,6,2)),VALUE(RIGHT(B324,2))),DATE(VALUE(RIGHT(B324,4)),MATCH(MID(B324,4,3),{"Jan","Feb","Mar","Apr","May","Jun","Jul","Aug","Sep","Oct","Nov","Dec"},0),VALUE(LEFT(B324,2)))))</f>
        <v>45676</v>
      </c>
    </row>
    <row r="325" customFormat="false" ht="15" hidden="false" customHeight="false" outlineLevel="0" collapsed="false">
      <c r="A325" s="7" t="s">
        <v>1356</v>
      </c>
      <c r="B325" s="7" t="s">
        <v>1357</v>
      </c>
      <c r="C325" s="7" t="s">
        <v>1358</v>
      </c>
      <c r="D325" s="7" t="s">
        <v>1359</v>
      </c>
      <c r="E325" s="7" t="s">
        <v>142</v>
      </c>
      <c r="F325" s="7" t="s">
        <v>110</v>
      </c>
      <c r="G325" s="7" t="s">
        <v>105</v>
      </c>
      <c r="H325" s="7" t="n">
        <v>2</v>
      </c>
      <c r="I325" s="7" t="n">
        <v>195</v>
      </c>
      <c r="J325" s="7" t="n">
        <v>0</v>
      </c>
      <c r="K325" s="7" t="s">
        <v>132</v>
      </c>
      <c r="L325" s="7" t="s">
        <v>194</v>
      </c>
      <c r="M325" s="7" t="n">
        <v>35</v>
      </c>
      <c r="N325" s="7" t="n">
        <v>5</v>
      </c>
      <c r="O325" s="7" t="str">
        <f aca="false">A325&amp;"|"&amp;B325&amp;"|"&amp;C325&amp;"|"&amp;D325&amp;"|"&amp;E325&amp;"|"&amp;F325&amp;"|"&amp;G325&amp;"|"&amp;H325&amp;"|"&amp;I325&amp;"|"&amp;J325&amp;"|"&amp;K325&amp;"|"&amp;L325&amp;"|"&amp;M325&amp;"|"&amp;N325</f>
        <v>ORD12041|2025-09-21|20:23|C0952|Momo Magic|Delhi|Chinese|2|195|0|net banking|Delivered|35|5</v>
      </c>
      <c r="P325" s="7" t="str">
        <f aca="false">IF(COUNTIF($O$2:O325,O325)&gt;1,"DUP","OK")</f>
        <v>OK</v>
      </c>
      <c r="Q325" s="7" t="n">
        <f aca="false">COUNTBLANK(A325:N325)</f>
        <v>0</v>
      </c>
      <c r="R325" s="7" t="n">
        <f aca="false">IF(A325="",0,COUNTIFS($A$2:$A$3058,A325,$P$2:$P$3058,"OK"))</f>
        <v>1</v>
      </c>
      <c r="S325" s="7" t="str">
        <f aca="false">IF(OR(A325="",P325="DUP",R325&lt;2),"",IF(Q325=_xlfn.MINIFS($Q$2:$Q$3058,$A$2:$A$3058,A325,$P$2:$P$3058,"OK"),"KEEP","DROP"))</f>
        <v/>
      </c>
      <c r="T325" s="9" t="n">
        <f aca="false">IF(A325="",1,0)</f>
        <v>0</v>
      </c>
      <c r="U325" s="9" t="n">
        <f aca="false">IF(D325="",1,0)</f>
        <v>0</v>
      </c>
      <c r="V325" s="9" t="n">
        <f aca="false">IF(E325="",1,0)</f>
        <v>0</v>
      </c>
      <c r="W325" s="9" t="n">
        <f aca="false">IF(OR(H325&lt;1,H325&gt;10),1,0)</f>
        <v>0</v>
      </c>
      <c r="X325" s="9" t="n">
        <f aca="false">IF(OR(I325&lt;=0,I325&gt;1500),1,0)</f>
        <v>0</v>
      </c>
      <c r="Y325" s="9" t="n">
        <f aca="false">IF(J325&gt;H325*I325,1,0)</f>
        <v>0</v>
      </c>
      <c r="Z325" s="9" t="n">
        <f aca="false">IF(AND(N325&lt;&gt;"",OR(N325&lt;1,N325&gt;5)),1,0)</f>
        <v>0</v>
      </c>
      <c r="AA325" s="9" t="n">
        <f aca="false">IF(AND(M325&lt;&gt;"",OR(M325&lt;5,M325&gt;180)),1,0)</f>
        <v>0</v>
      </c>
      <c r="AB325" s="7" t="str">
        <f aca="false">IF(P325="DUP","Exact duplicate row",IF(T325=1,"Missing Order ID",IF(S325="DROP","Duplicate Order ID (less complete row)",IF(U325=1,"Missing Customer ID",IF(V325=1,"Missing Restaurant name",IF(W325=1,"Invalid/outlier quantity",IF(X325=1,"Invalid/outlier unit price",IF(Y325=1,"Discount greater than order value",""))))))))</f>
        <v/>
      </c>
      <c r="AC325" s="7" t="str">
        <f aca="false">IF(AB325="","KEEP","DROP")</f>
        <v>KEEP</v>
      </c>
      <c r="AD325" s="7" t="str">
        <f aca="false">IF(TRIM(F325)="",IFERROR(INDEX(Map_Tables!$I$4:$I$37,MATCH(TRIM(E325),Map_Tables!$G$4:$G$37,0)),""),IFERROR(INDEX(Map_Tables!$B$4:$B$18,MATCH(TRIM(F325),Map_Tables!$A$4:$A$18,0)),"CHECK"))</f>
        <v>Delhi</v>
      </c>
      <c r="AE325" s="7" t="str">
        <f aca="false">IF(TRIM(E325)="","",IFERROR(INDEX(Map_Tables!$H$4:$H$37,MATCH(TRIM(E325),Map_Tables!$G$4:$G$37,0)),"CHECK"))</f>
        <v>Momo Magic</v>
      </c>
      <c r="AF325" s="7" t="str">
        <f aca="false">IF(TRIM(K325)="","Unknown",IFERROR(INDEX(Map_Tables!$E$4:$E$15,MATCH(TRIM(K325),Map_Tables!$D$4:$D$15,0)),"CHECK"))</f>
        <v>Net Banking</v>
      </c>
      <c r="AG325" s="7" t="str">
        <f aca="false">IF(LEFT(LOWER(TRIM(L325)),6)="cancel","Cancelled","Delivered")</f>
        <v>Delivered</v>
      </c>
      <c r="AH325" s="10" t="n">
        <f aca="false">IF(ISNUMBER(SEARCH("/",B325)),DATE(VALUE(RIGHT(B325,4)),VALUE(MID(B325,4,2)),VALUE(LEFT(B325,2))),IF(MID(B325,5,1)="-",DATE(VALUE(LEFT(B325,4)),VALUE(MID(B325,6,2)),VALUE(RIGHT(B325,2))),DATE(VALUE(RIGHT(B325,4)),MATCH(MID(B325,4,3),{"Jan","Feb","Mar","Apr","May","Jun","Jul","Aug","Sep","Oct","Nov","Dec"},0),VALUE(LEFT(B325,2)))))</f>
        <v>45921</v>
      </c>
    </row>
    <row r="326" customFormat="false" ht="15" hidden="false" customHeight="false" outlineLevel="0" collapsed="false">
      <c r="A326" s="7" t="s">
        <v>1360</v>
      </c>
      <c r="B326" s="7" t="s">
        <v>1361</v>
      </c>
      <c r="C326" s="7" t="s">
        <v>689</v>
      </c>
      <c r="D326" s="7" t="s">
        <v>1362</v>
      </c>
      <c r="E326" s="7" t="s">
        <v>142</v>
      </c>
      <c r="F326" s="7" t="s">
        <v>110</v>
      </c>
      <c r="G326" s="7" t="s">
        <v>105</v>
      </c>
      <c r="H326" s="7" t="n">
        <v>1</v>
      </c>
      <c r="I326" s="7" t="n">
        <v>170</v>
      </c>
      <c r="J326" s="7" t="n">
        <v>0</v>
      </c>
      <c r="K326" s="7" t="s">
        <v>88</v>
      </c>
      <c r="L326" s="7" t="s">
        <v>194</v>
      </c>
      <c r="M326" s="7" t="n">
        <v>52</v>
      </c>
      <c r="N326" s="7" t="n">
        <v>3</v>
      </c>
      <c r="O326" s="7" t="str">
        <f aca="false">A326&amp;"|"&amp;B326&amp;"|"&amp;C326&amp;"|"&amp;D326&amp;"|"&amp;E326&amp;"|"&amp;F326&amp;"|"&amp;G326&amp;"|"&amp;H326&amp;"|"&amp;I326&amp;"|"&amp;J326&amp;"|"&amp;K326&amp;"|"&amp;L326&amp;"|"&amp;M326&amp;"|"&amp;N326</f>
        <v>ORD10706|2025-03-30|18:16|C0900|Momo Magic|Delhi|Chinese|1|170|0|UPI|Delivered|52|3</v>
      </c>
      <c r="P326" s="7" t="str">
        <f aca="false">IF(COUNTIF($O$2:O326,O326)&gt;1,"DUP","OK")</f>
        <v>OK</v>
      </c>
      <c r="Q326" s="7" t="n">
        <f aca="false">COUNTBLANK(A326:N326)</f>
        <v>0</v>
      </c>
      <c r="R326" s="7" t="n">
        <f aca="false">IF(A326="",0,COUNTIFS($A$2:$A$3058,A326,$P$2:$P$3058,"OK"))</f>
        <v>1</v>
      </c>
      <c r="S326" s="7" t="str">
        <f aca="false">IF(OR(A326="",P326="DUP",R326&lt;2),"",IF(Q326=_xlfn.MINIFS($Q$2:$Q$3058,$A$2:$A$3058,A326,$P$2:$P$3058,"OK"),"KEEP","DROP"))</f>
        <v/>
      </c>
      <c r="T326" s="9" t="n">
        <f aca="false">IF(A326="",1,0)</f>
        <v>0</v>
      </c>
      <c r="U326" s="9" t="n">
        <f aca="false">IF(D326="",1,0)</f>
        <v>0</v>
      </c>
      <c r="V326" s="9" t="n">
        <f aca="false">IF(E326="",1,0)</f>
        <v>0</v>
      </c>
      <c r="W326" s="9" t="n">
        <f aca="false">IF(OR(H326&lt;1,H326&gt;10),1,0)</f>
        <v>0</v>
      </c>
      <c r="X326" s="9" t="n">
        <f aca="false">IF(OR(I326&lt;=0,I326&gt;1500),1,0)</f>
        <v>0</v>
      </c>
      <c r="Y326" s="9" t="n">
        <f aca="false">IF(J326&gt;H326*I326,1,0)</f>
        <v>0</v>
      </c>
      <c r="Z326" s="9" t="n">
        <f aca="false">IF(AND(N326&lt;&gt;"",OR(N326&lt;1,N326&gt;5)),1,0)</f>
        <v>0</v>
      </c>
      <c r="AA326" s="9" t="n">
        <f aca="false">IF(AND(M326&lt;&gt;"",OR(M326&lt;5,M326&gt;180)),1,0)</f>
        <v>0</v>
      </c>
      <c r="AB326" s="7" t="str">
        <f aca="false">IF(P326="DUP","Exact duplicate row",IF(T326=1,"Missing Order ID",IF(S326="DROP","Duplicate Order ID (less complete row)",IF(U326=1,"Missing Customer ID",IF(V326=1,"Missing Restaurant name",IF(W326=1,"Invalid/outlier quantity",IF(X326=1,"Invalid/outlier unit price",IF(Y326=1,"Discount greater than order value",""))))))))</f>
        <v/>
      </c>
      <c r="AC326" s="7" t="str">
        <f aca="false">IF(AB326="","KEEP","DROP")</f>
        <v>KEEP</v>
      </c>
      <c r="AD326" s="7" t="str">
        <f aca="false">IF(TRIM(F326)="",IFERROR(INDEX(Map_Tables!$I$4:$I$37,MATCH(TRIM(E326),Map_Tables!$G$4:$G$37,0)),""),IFERROR(INDEX(Map_Tables!$B$4:$B$18,MATCH(TRIM(F326),Map_Tables!$A$4:$A$18,0)),"CHECK"))</f>
        <v>Delhi</v>
      </c>
      <c r="AE326" s="7" t="str">
        <f aca="false">IF(TRIM(E326)="","",IFERROR(INDEX(Map_Tables!$H$4:$H$37,MATCH(TRIM(E326),Map_Tables!$G$4:$G$37,0)),"CHECK"))</f>
        <v>Momo Magic</v>
      </c>
      <c r="AF326" s="7" t="str">
        <f aca="false">IF(TRIM(K326)="","Unknown",IFERROR(INDEX(Map_Tables!$E$4:$E$15,MATCH(TRIM(K326),Map_Tables!$D$4:$D$15,0)),"CHECK"))</f>
        <v>UPI</v>
      </c>
      <c r="AG326" s="7" t="str">
        <f aca="false">IF(LEFT(LOWER(TRIM(L326)),6)="cancel","Cancelled","Delivered")</f>
        <v>Delivered</v>
      </c>
      <c r="AH326" s="10" t="n">
        <f aca="false">IF(ISNUMBER(SEARCH("/",B326)),DATE(VALUE(RIGHT(B326,4)),VALUE(MID(B326,4,2)),VALUE(LEFT(B326,2))),IF(MID(B326,5,1)="-",DATE(VALUE(LEFT(B326,4)),VALUE(MID(B326,6,2)),VALUE(RIGHT(B326,2))),DATE(VALUE(RIGHT(B326,4)),MATCH(MID(B326,4,3),{"Jan","Feb","Mar","Apr","May","Jun","Jul","Aug","Sep","Oct","Nov","Dec"},0),VALUE(LEFT(B326,2)))))</f>
        <v>45746</v>
      </c>
    </row>
    <row r="327" customFormat="false" ht="15" hidden="false" customHeight="false" outlineLevel="0" collapsed="false">
      <c r="A327" s="7" t="s">
        <v>1363</v>
      </c>
      <c r="B327" s="7" t="s">
        <v>1364</v>
      </c>
      <c r="C327" s="7" t="s">
        <v>1365</v>
      </c>
      <c r="D327" s="7" t="s">
        <v>1366</v>
      </c>
      <c r="E327" s="7" t="s">
        <v>89</v>
      </c>
      <c r="F327" s="7" t="s">
        <v>86</v>
      </c>
      <c r="G327" s="7" t="s">
        <v>90</v>
      </c>
      <c r="H327" s="7" t="n">
        <v>2</v>
      </c>
      <c r="I327" s="7" t="n">
        <v>225</v>
      </c>
      <c r="J327" s="7" t="n">
        <v>0</v>
      </c>
      <c r="K327" s="7" t="s">
        <v>88</v>
      </c>
      <c r="L327" s="7" t="s">
        <v>194</v>
      </c>
      <c r="M327" s="7" t="n">
        <v>43</v>
      </c>
      <c r="N327" s="7" t="n">
        <v>4</v>
      </c>
      <c r="O327" s="7" t="str">
        <f aca="false">A327&amp;"|"&amp;B327&amp;"|"&amp;C327&amp;"|"&amp;D327&amp;"|"&amp;E327&amp;"|"&amp;F327&amp;"|"&amp;G327&amp;"|"&amp;H327&amp;"|"&amp;I327&amp;"|"&amp;J327&amp;"|"&amp;K327&amp;"|"&amp;L327&amp;"|"&amp;M327&amp;"|"&amp;N327</f>
        <v>ORD10100|2025-01-13|18:11|C1112|Spice Junction|Bengaluru|North Indian|2|225|0|UPI|Delivered|43|4</v>
      </c>
      <c r="P327" s="7" t="str">
        <f aca="false">IF(COUNTIF($O$2:O327,O327)&gt;1,"DUP","OK")</f>
        <v>OK</v>
      </c>
      <c r="Q327" s="7" t="n">
        <f aca="false">COUNTBLANK(A327:N327)</f>
        <v>0</v>
      </c>
      <c r="R327" s="7" t="n">
        <f aca="false">IF(A327="",0,COUNTIFS($A$2:$A$3058,A327,$P$2:$P$3058,"OK"))</f>
        <v>1</v>
      </c>
      <c r="S327" s="7" t="str">
        <f aca="false">IF(OR(A327="",P327="DUP",R327&lt;2),"",IF(Q327=_xlfn.MINIFS($Q$2:$Q$3058,$A$2:$A$3058,A327,$P$2:$P$3058,"OK"),"KEEP","DROP"))</f>
        <v/>
      </c>
      <c r="T327" s="9" t="n">
        <f aca="false">IF(A327="",1,0)</f>
        <v>0</v>
      </c>
      <c r="U327" s="9" t="n">
        <f aca="false">IF(D327="",1,0)</f>
        <v>0</v>
      </c>
      <c r="V327" s="9" t="n">
        <f aca="false">IF(E327="",1,0)</f>
        <v>0</v>
      </c>
      <c r="W327" s="9" t="n">
        <f aca="false">IF(OR(H327&lt;1,H327&gt;10),1,0)</f>
        <v>0</v>
      </c>
      <c r="X327" s="9" t="n">
        <f aca="false">IF(OR(I327&lt;=0,I327&gt;1500),1,0)</f>
        <v>0</v>
      </c>
      <c r="Y327" s="9" t="n">
        <f aca="false">IF(J327&gt;H327*I327,1,0)</f>
        <v>0</v>
      </c>
      <c r="Z327" s="9" t="n">
        <f aca="false">IF(AND(N327&lt;&gt;"",OR(N327&lt;1,N327&gt;5)),1,0)</f>
        <v>0</v>
      </c>
      <c r="AA327" s="9" t="n">
        <f aca="false">IF(AND(M327&lt;&gt;"",OR(M327&lt;5,M327&gt;180)),1,0)</f>
        <v>0</v>
      </c>
      <c r="AB327" s="7" t="str">
        <f aca="false">IF(P327="DUP","Exact duplicate row",IF(T327=1,"Missing Order ID",IF(S327="DROP","Duplicate Order ID (less complete row)",IF(U327=1,"Missing Customer ID",IF(V327=1,"Missing Restaurant name",IF(W327=1,"Invalid/outlier quantity",IF(X327=1,"Invalid/outlier unit price",IF(Y327=1,"Discount greater than order value",""))))))))</f>
        <v/>
      </c>
      <c r="AC327" s="7" t="str">
        <f aca="false">IF(AB327="","KEEP","DROP")</f>
        <v>KEEP</v>
      </c>
      <c r="AD327" s="7" t="str">
        <f aca="false">IF(TRIM(F327)="",IFERROR(INDEX(Map_Tables!$I$4:$I$37,MATCH(TRIM(E327),Map_Tables!$G$4:$G$37,0)),""),IFERROR(INDEX(Map_Tables!$B$4:$B$18,MATCH(TRIM(F327),Map_Tables!$A$4:$A$18,0)),"CHECK"))</f>
        <v>Bengaluru</v>
      </c>
      <c r="AE327" s="7" t="str">
        <f aca="false">IF(TRIM(E327)="","",IFERROR(INDEX(Map_Tables!$H$4:$H$37,MATCH(TRIM(E327),Map_Tables!$G$4:$G$37,0)),"CHECK"))</f>
        <v>Spice Junction</v>
      </c>
      <c r="AF327" s="7" t="str">
        <f aca="false">IF(TRIM(K327)="","Unknown",IFERROR(INDEX(Map_Tables!$E$4:$E$15,MATCH(TRIM(K327),Map_Tables!$D$4:$D$15,0)),"CHECK"))</f>
        <v>UPI</v>
      </c>
      <c r="AG327" s="7" t="str">
        <f aca="false">IF(LEFT(LOWER(TRIM(L327)),6)="cancel","Cancelled","Delivered")</f>
        <v>Delivered</v>
      </c>
      <c r="AH327" s="10" t="n">
        <f aca="false">IF(ISNUMBER(SEARCH("/",B327)),DATE(VALUE(RIGHT(B327,4)),VALUE(MID(B327,4,2)),VALUE(LEFT(B327,2))),IF(MID(B327,5,1)="-",DATE(VALUE(LEFT(B327,4)),VALUE(MID(B327,6,2)),VALUE(RIGHT(B327,2))),DATE(VALUE(RIGHT(B327,4)),MATCH(MID(B327,4,3),{"Jan","Feb","Mar","Apr","May","Jun","Jul","Aug","Sep","Oct","Nov","Dec"},0),VALUE(LEFT(B327,2)))))</f>
        <v>45670</v>
      </c>
    </row>
    <row r="328" customFormat="false" ht="15" hidden="false" customHeight="false" outlineLevel="0" collapsed="false">
      <c r="A328" s="7" t="s">
        <v>1367</v>
      </c>
      <c r="B328" s="7" t="s">
        <v>1368</v>
      </c>
      <c r="C328" s="7" t="s">
        <v>306</v>
      </c>
      <c r="D328" s="7" t="s">
        <v>1369</v>
      </c>
      <c r="E328" s="7" t="s">
        <v>116</v>
      </c>
      <c r="F328" s="7" t="s">
        <v>101</v>
      </c>
      <c r="G328" s="7" t="s">
        <v>117</v>
      </c>
      <c r="H328" s="7" t="n">
        <v>1</v>
      </c>
      <c r="I328" s="7" t="n">
        <v>105</v>
      </c>
      <c r="J328" s="7" t="n">
        <v>0</v>
      </c>
      <c r="K328" s="7" t="s">
        <v>1173</v>
      </c>
      <c r="L328" s="7" t="s">
        <v>194</v>
      </c>
      <c r="M328" s="7" t="n">
        <v>39</v>
      </c>
      <c r="N328" s="7" t="n">
        <v>4</v>
      </c>
      <c r="O328" s="7" t="str">
        <f aca="false">A328&amp;"|"&amp;B328&amp;"|"&amp;C328&amp;"|"&amp;D328&amp;"|"&amp;E328&amp;"|"&amp;F328&amp;"|"&amp;G328&amp;"|"&amp;H328&amp;"|"&amp;I328&amp;"|"&amp;J328&amp;"|"&amp;K328&amp;"|"&amp;L328&amp;"|"&amp;M328&amp;"|"&amp;N328</f>
        <v>ORD11700|2025-08-11|20:06|C0964|Pav Bhaji Point|Mumbai|Street Food|1|105|0|E-Wallet|Delivered|39|4</v>
      </c>
      <c r="P328" s="7" t="str">
        <f aca="false">IF(COUNTIF($O$2:O328,O328)&gt;1,"DUP","OK")</f>
        <v>OK</v>
      </c>
      <c r="Q328" s="7" t="n">
        <f aca="false">COUNTBLANK(A328:N328)</f>
        <v>0</v>
      </c>
      <c r="R328" s="7" t="n">
        <f aca="false">IF(A328="",0,COUNTIFS($A$2:$A$3058,A328,$P$2:$P$3058,"OK"))</f>
        <v>1</v>
      </c>
      <c r="S328" s="7" t="str">
        <f aca="false">IF(OR(A328="",P328="DUP",R328&lt;2),"",IF(Q328=_xlfn.MINIFS($Q$2:$Q$3058,$A$2:$A$3058,A328,$P$2:$P$3058,"OK"),"KEEP","DROP"))</f>
        <v/>
      </c>
      <c r="T328" s="9" t="n">
        <f aca="false">IF(A328="",1,0)</f>
        <v>0</v>
      </c>
      <c r="U328" s="9" t="n">
        <f aca="false">IF(D328="",1,0)</f>
        <v>0</v>
      </c>
      <c r="V328" s="9" t="n">
        <f aca="false">IF(E328="",1,0)</f>
        <v>0</v>
      </c>
      <c r="W328" s="9" t="n">
        <f aca="false">IF(OR(H328&lt;1,H328&gt;10),1,0)</f>
        <v>0</v>
      </c>
      <c r="X328" s="9" t="n">
        <f aca="false">IF(OR(I328&lt;=0,I328&gt;1500),1,0)</f>
        <v>0</v>
      </c>
      <c r="Y328" s="9" t="n">
        <f aca="false">IF(J328&gt;H328*I328,1,0)</f>
        <v>0</v>
      </c>
      <c r="Z328" s="9" t="n">
        <f aca="false">IF(AND(N328&lt;&gt;"",OR(N328&lt;1,N328&gt;5)),1,0)</f>
        <v>0</v>
      </c>
      <c r="AA328" s="9" t="n">
        <f aca="false">IF(AND(M328&lt;&gt;"",OR(M328&lt;5,M328&gt;180)),1,0)</f>
        <v>0</v>
      </c>
      <c r="AB328" s="7" t="str">
        <f aca="false">IF(P328="DUP","Exact duplicate row",IF(T328=1,"Missing Order ID",IF(S328="DROP","Duplicate Order ID (less complete row)",IF(U328=1,"Missing Customer ID",IF(V328=1,"Missing Restaurant name",IF(W328=1,"Invalid/outlier quantity",IF(X328=1,"Invalid/outlier unit price",IF(Y328=1,"Discount greater than order value",""))))))))</f>
        <v/>
      </c>
      <c r="AC328" s="7" t="str">
        <f aca="false">IF(AB328="","KEEP","DROP")</f>
        <v>KEEP</v>
      </c>
      <c r="AD328" s="7" t="str">
        <f aca="false">IF(TRIM(F328)="",IFERROR(INDEX(Map_Tables!$I$4:$I$37,MATCH(TRIM(E328),Map_Tables!$G$4:$G$37,0)),""),IFERROR(INDEX(Map_Tables!$B$4:$B$18,MATCH(TRIM(F328),Map_Tables!$A$4:$A$18,0)),"CHECK"))</f>
        <v>Mumbai</v>
      </c>
      <c r="AE328" s="7" t="str">
        <f aca="false">IF(TRIM(E328)="","",IFERROR(INDEX(Map_Tables!$H$4:$H$37,MATCH(TRIM(E328),Map_Tables!$G$4:$G$37,0)),"CHECK"))</f>
        <v>Pav Bhaji Point</v>
      </c>
      <c r="AF328" s="7" t="str">
        <f aca="false">IF(TRIM(K328)="","Unknown",IFERROR(INDEX(Map_Tables!$E$4:$E$15,MATCH(TRIM(K328),Map_Tables!$D$4:$D$15,0)),"CHECK"))</f>
        <v>Wallet</v>
      </c>
      <c r="AG328" s="7" t="str">
        <f aca="false">IF(LEFT(LOWER(TRIM(L328)),6)="cancel","Cancelled","Delivered")</f>
        <v>Delivered</v>
      </c>
      <c r="AH328" s="10" t="n">
        <f aca="false">IF(ISNUMBER(SEARCH("/",B328)),DATE(VALUE(RIGHT(B328,4)),VALUE(MID(B328,4,2)),VALUE(LEFT(B328,2))),IF(MID(B328,5,1)="-",DATE(VALUE(LEFT(B328,4)),VALUE(MID(B328,6,2)),VALUE(RIGHT(B328,2))),DATE(VALUE(RIGHT(B328,4)),MATCH(MID(B328,4,3),{"Jan","Feb","Mar","Apr","May","Jun","Jul","Aug","Sep","Oct","Nov","Dec"},0),VALUE(LEFT(B328,2)))))</f>
        <v>45880</v>
      </c>
    </row>
    <row r="329" customFormat="false" ht="15" hidden="false" customHeight="false" outlineLevel="0" collapsed="false">
      <c r="A329" s="7" t="s">
        <v>1370</v>
      </c>
      <c r="B329" s="7" t="s">
        <v>892</v>
      </c>
      <c r="C329" s="7" t="s">
        <v>346</v>
      </c>
      <c r="D329" s="7" t="s">
        <v>1371</v>
      </c>
      <c r="E329" s="7" t="s">
        <v>126</v>
      </c>
      <c r="F329" s="7" t="s">
        <v>101</v>
      </c>
      <c r="G329" s="7" t="s">
        <v>105</v>
      </c>
      <c r="H329" s="7" t="n">
        <v>2</v>
      </c>
      <c r="I329" s="7" t="n">
        <v>210</v>
      </c>
      <c r="J329" s="7" t="n">
        <v>30</v>
      </c>
      <c r="K329" s="7" t="s">
        <v>421</v>
      </c>
      <c r="L329" s="7" t="s">
        <v>194</v>
      </c>
      <c r="M329" s="7" t="n">
        <v>49</v>
      </c>
      <c r="N329" s="7" t="n">
        <v>5</v>
      </c>
      <c r="O329" s="7" t="str">
        <f aca="false">A329&amp;"|"&amp;B329&amp;"|"&amp;C329&amp;"|"&amp;D329&amp;"|"&amp;E329&amp;"|"&amp;F329&amp;"|"&amp;G329&amp;"|"&amp;H329&amp;"|"&amp;I329&amp;"|"&amp;J329&amp;"|"&amp;K329&amp;"|"&amp;L329&amp;"|"&amp;M329&amp;"|"&amp;N329</f>
        <v>ORD12532|2025-11-12|19:18|C0663|Dragon Express|Mumbai|Chinese|2|210|30|UPI |Delivered|49|5</v>
      </c>
      <c r="P329" s="7" t="str">
        <f aca="false">IF(COUNTIF($O$2:O329,O329)&gt;1,"DUP","OK")</f>
        <v>OK</v>
      </c>
      <c r="Q329" s="7" t="n">
        <f aca="false">COUNTBLANK(A329:N329)</f>
        <v>0</v>
      </c>
      <c r="R329" s="7" t="n">
        <f aca="false">IF(A329="",0,COUNTIFS($A$2:$A$3058,A329,$P$2:$P$3058,"OK"))</f>
        <v>1</v>
      </c>
      <c r="S329" s="7" t="str">
        <f aca="false">IF(OR(A329="",P329="DUP",R329&lt;2),"",IF(Q329=_xlfn.MINIFS($Q$2:$Q$3058,$A$2:$A$3058,A329,$P$2:$P$3058,"OK"),"KEEP","DROP"))</f>
        <v/>
      </c>
      <c r="T329" s="9" t="n">
        <f aca="false">IF(A329="",1,0)</f>
        <v>0</v>
      </c>
      <c r="U329" s="9" t="n">
        <f aca="false">IF(D329="",1,0)</f>
        <v>0</v>
      </c>
      <c r="V329" s="9" t="n">
        <f aca="false">IF(E329="",1,0)</f>
        <v>0</v>
      </c>
      <c r="W329" s="9" t="n">
        <f aca="false">IF(OR(H329&lt;1,H329&gt;10),1,0)</f>
        <v>0</v>
      </c>
      <c r="X329" s="9" t="n">
        <f aca="false">IF(OR(I329&lt;=0,I329&gt;1500),1,0)</f>
        <v>0</v>
      </c>
      <c r="Y329" s="9" t="n">
        <f aca="false">IF(J329&gt;H329*I329,1,0)</f>
        <v>0</v>
      </c>
      <c r="Z329" s="9" t="n">
        <f aca="false">IF(AND(N329&lt;&gt;"",OR(N329&lt;1,N329&gt;5)),1,0)</f>
        <v>0</v>
      </c>
      <c r="AA329" s="9" t="n">
        <f aca="false">IF(AND(M329&lt;&gt;"",OR(M329&lt;5,M329&gt;180)),1,0)</f>
        <v>0</v>
      </c>
      <c r="AB329" s="7" t="str">
        <f aca="false">IF(P329="DUP","Exact duplicate row",IF(T329=1,"Missing Order ID",IF(S329="DROP","Duplicate Order ID (less complete row)",IF(U329=1,"Missing Customer ID",IF(V329=1,"Missing Restaurant name",IF(W329=1,"Invalid/outlier quantity",IF(X329=1,"Invalid/outlier unit price",IF(Y329=1,"Discount greater than order value",""))))))))</f>
        <v/>
      </c>
      <c r="AC329" s="7" t="str">
        <f aca="false">IF(AB329="","KEEP","DROP")</f>
        <v>KEEP</v>
      </c>
      <c r="AD329" s="7" t="str">
        <f aca="false">IF(TRIM(F329)="",IFERROR(INDEX(Map_Tables!$I$4:$I$37,MATCH(TRIM(E329),Map_Tables!$G$4:$G$37,0)),""),IFERROR(INDEX(Map_Tables!$B$4:$B$18,MATCH(TRIM(F329),Map_Tables!$A$4:$A$18,0)),"CHECK"))</f>
        <v>Mumbai</v>
      </c>
      <c r="AE329" s="7" t="str">
        <f aca="false">IF(TRIM(E329)="","",IFERROR(INDEX(Map_Tables!$H$4:$H$37,MATCH(TRIM(E329),Map_Tables!$G$4:$G$37,0)),"CHECK"))</f>
        <v>Dragon Express</v>
      </c>
      <c r="AF329" s="7" t="str">
        <f aca="false">IF(TRIM(K329)="","Unknown",IFERROR(INDEX(Map_Tables!$E$4:$E$15,MATCH(TRIM(K329),Map_Tables!$D$4:$D$15,0)),"CHECK"))</f>
        <v>UPI</v>
      </c>
      <c r="AG329" s="7" t="str">
        <f aca="false">IF(LEFT(LOWER(TRIM(L329)),6)="cancel","Cancelled","Delivered")</f>
        <v>Delivered</v>
      </c>
      <c r="AH329" s="10" t="n">
        <f aca="false">IF(ISNUMBER(SEARCH("/",B329)),DATE(VALUE(RIGHT(B329,4)),VALUE(MID(B329,4,2)),VALUE(LEFT(B329,2))),IF(MID(B329,5,1)="-",DATE(VALUE(LEFT(B329,4)),VALUE(MID(B329,6,2)),VALUE(RIGHT(B329,2))),DATE(VALUE(RIGHT(B329,4)),MATCH(MID(B329,4,3),{"Jan","Feb","Mar","Apr","May","Jun","Jul","Aug","Sep","Oct","Nov","Dec"},0),VALUE(LEFT(B329,2)))))</f>
        <v>45973</v>
      </c>
    </row>
    <row r="330" customFormat="false" ht="15" hidden="false" customHeight="false" outlineLevel="0" collapsed="false">
      <c r="A330" s="7" t="s">
        <v>1372</v>
      </c>
      <c r="B330" s="7" t="s">
        <v>1373</v>
      </c>
      <c r="C330" s="7" t="s">
        <v>1374</v>
      </c>
      <c r="D330" s="7" t="s">
        <v>784</v>
      </c>
      <c r="E330" s="7" t="s">
        <v>147</v>
      </c>
      <c r="F330" s="7" t="s">
        <v>119</v>
      </c>
      <c r="G330" s="7" t="s">
        <v>95</v>
      </c>
      <c r="H330" s="7" t="n">
        <v>2</v>
      </c>
      <c r="I330" s="7" t="n">
        <v>140</v>
      </c>
      <c r="J330" s="7" t="n">
        <v>112</v>
      </c>
      <c r="K330" s="7" t="s">
        <v>88</v>
      </c>
      <c r="L330" s="7" t="s">
        <v>194</v>
      </c>
      <c r="M330" s="7" t="n">
        <v>32</v>
      </c>
      <c r="N330" s="7" t="n">
        <v>4</v>
      </c>
      <c r="O330" s="7" t="str">
        <f aca="false">A330&amp;"|"&amp;B330&amp;"|"&amp;C330&amp;"|"&amp;D330&amp;"|"&amp;E330&amp;"|"&amp;F330&amp;"|"&amp;G330&amp;"|"&amp;H330&amp;"|"&amp;I330&amp;"|"&amp;J330&amp;"|"&amp;K330&amp;"|"&amp;L330&amp;"|"&amp;M330&amp;"|"&amp;N330</f>
        <v>ORD11889|2025-09-03|13:55|C0674|Andhra Meals Mess|Hyderabad|South Indian|2|140|112|UPI|Delivered|32|4</v>
      </c>
      <c r="P330" s="7" t="str">
        <f aca="false">IF(COUNTIF($O$2:O330,O330)&gt;1,"DUP","OK")</f>
        <v>OK</v>
      </c>
      <c r="Q330" s="7" t="n">
        <f aca="false">COUNTBLANK(A330:N330)</f>
        <v>0</v>
      </c>
      <c r="R330" s="7" t="n">
        <f aca="false">IF(A330="",0,COUNTIFS($A$2:$A$3058,A330,$P$2:$P$3058,"OK"))</f>
        <v>1</v>
      </c>
      <c r="S330" s="7" t="str">
        <f aca="false">IF(OR(A330="",P330="DUP",R330&lt;2),"",IF(Q330=_xlfn.MINIFS($Q$2:$Q$3058,$A$2:$A$3058,A330,$P$2:$P$3058,"OK"),"KEEP","DROP"))</f>
        <v/>
      </c>
      <c r="T330" s="9" t="n">
        <f aca="false">IF(A330="",1,0)</f>
        <v>0</v>
      </c>
      <c r="U330" s="9" t="n">
        <f aca="false">IF(D330="",1,0)</f>
        <v>0</v>
      </c>
      <c r="V330" s="9" t="n">
        <f aca="false">IF(E330="",1,0)</f>
        <v>0</v>
      </c>
      <c r="W330" s="9" t="n">
        <f aca="false">IF(OR(H330&lt;1,H330&gt;10),1,0)</f>
        <v>0</v>
      </c>
      <c r="X330" s="9" t="n">
        <f aca="false">IF(OR(I330&lt;=0,I330&gt;1500),1,0)</f>
        <v>0</v>
      </c>
      <c r="Y330" s="9" t="n">
        <f aca="false">IF(J330&gt;H330*I330,1,0)</f>
        <v>0</v>
      </c>
      <c r="Z330" s="9" t="n">
        <f aca="false">IF(AND(N330&lt;&gt;"",OR(N330&lt;1,N330&gt;5)),1,0)</f>
        <v>0</v>
      </c>
      <c r="AA330" s="9" t="n">
        <f aca="false">IF(AND(M330&lt;&gt;"",OR(M330&lt;5,M330&gt;180)),1,0)</f>
        <v>0</v>
      </c>
      <c r="AB330" s="7" t="str">
        <f aca="false">IF(P330="DUP","Exact duplicate row",IF(T330=1,"Missing Order ID",IF(S330="DROP","Duplicate Order ID (less complete row)",IF(U330=1,"Missing Customer ID",IF(V330=1,"Missing Restaurant name",IF(W330=1,"Invalid/outlier quantity",IF(X330=1,"Invalid/outlier unit price",IF(Y330=1,"Discount greater than order value",""))))))))</f>
        <v/>
      </c>
      <c r="AC330" s="7" t="str">
        <f aca="false">IF(AB330="","KEEP","DROP")</f>
        <v>KEEP</v>
      </c>
      <c r="AD330" s="7" t="str">
        <f aca="false">IF(TRIM(F330)="",IFERROR(INDEX(Map_Tables!$I$4:$I$37,MATCH(TRIM(E330),Map_Tables!$G$4:$G$37,0)),""),IFERROR(INDEX(Map_Tables!$B$4:$B$18,MATCH(TRIM(F330),Map_Tables!$A$4:$A$18,0)),"CHECK"))</f>
        <v>Hyderabad</v>
      </c>
      <c r="AE330" s="7" t="str">
        <f aca="false">IF(TRIM(E330)="","",IFERROR(INDEX(Map_Tables!$H$4:$H$37,MATCH(TRIM(E330),Map_Tables!$G$4:$G$37,0)),"CHECK"))</f>
        <v>Andhra Meals Mess</v>
      </c>
      <c r="AF330" s="7" t="str">
        <f aca="false">IF(TRIM(K330)="","Unknown",IFERROR(INDEX(Map_Tables!$E$4:$E$15,MATCH(TRIM(K330),Map_Tables!$D$4:$D$15,0)),"CHECK"))</f>
        <v>UPI</v>
      </c>
      <c r="AG330" s="7" t="str">
        <f aca="false">IF(LEFT(LOWER(TRIM(L330)),6)="cancel","Cancelled","Delivered")</f>
        <v>Delivered</v>
      </c>
      <c r="AH330" s="10" t="n">
        <f aca="false">IF(ISNUMBER(SEARCH("/",B330)),DATE(VALUE(RIGHT(B330,4)),VALUE(MID(B330,4,2)),VALUE(LEFT(B330,2))),IF(MID(B330,5,1)="-",DATE(VALUE(LEFT(B330,4)),VALUE(MID(B330,6,2)),VALUE(RIGHT(B330,2))),DATE(VALUE(RIGHT(B330,4)),MATCH(MID(B330,4,3),{"Jan","Feb","Mar","Apr","May","Jun","Jul","Aug","Sep","Oct","Nov","Dec"},0),VALUE(LEFT(B330,2)))))</f>
        <v>45903</v>
      </c>
    </row>
    <row r="331" customFormat="false" ht="15" hidden="false" customHeight="false" outlineLevel="0" collapsed="false">
      <c r="A331" s="7" t="s">
        <v>1375</v>
      </c>
      <c r="B331" s="7" t="s">
        <v>1376</v>
      </c>
      <c r="C331" s="7" t="s">
        <v>1058</v>
      </c>
      <c r="D331" s="7" t="s">
        <v>1377</v>
      </c>
      <c r="E331" s="7" t="s">
        <v>116</v>
      </c>
      <c r="F331" s="7"/>
      <c r="G331" s="7" t="s">
        <v>117</v>
      </c>
      <c r="H331" s="7" t="n">
        <v>3</v>
      </c>
      <c r="I331" s="7" t="n">
        <v>125</v>
      </c>
      <c r="J331" s="7" t="n">
        <v>125</v>
      </c>
      <c r="K331" s="7" t="s">
        <v>88</v>
      </c>
      <c r="L331" s="7" t="s">
        <v>194</v>
      </c>
      <c r="M331" s="7" t="n">
        <v>48</v>
      </c>
      <c r="N331" s="7" t="n">
        <v>5</v>
      </c>
      <c r="O331" s="7" t="str">
        <f aca="false">A331&amp;"|"&amp;B331&amp;"|"&amp;C331&amp;"|"&amp;D331&amp;"|"&amp;E331&amp;"|"&amp;F331&amp;"|"&amp;G331&amp;"|"&amp;H331&amp;"|"&amp;I331&amp;"|"&amp;J331&amp;"|"&amp;K331&amp;"|"&amp;L331&amp;"|"&amp;M331&amp;"|"&amp;N331</f>
        <v>ORD11006|2025-05-07|20:49|C0465|Pav Bhaji Point||Street Food|3|125|125|UPI|Delivered|48|5</v>
      </c>
      <c r="P331" s="7" t="str">
        <f aca="false">IF(COUNTIF($O$2:O331,O331)&gt;1,"DUP","OK")</f>
        <v>OK</v>
      </c>
      <c r="Q331" s="7" t="n">
        <f aca="false">COUNTBLANK(A331:N331)</f>
        <v>1</v>
      </c>
      <c r="R331" s="7" t="n">
        <f aca="false">IF(A331="",0,COUNTIFS($A$2:$A$3058,A331,$P$2:$P$3058,"OK"))</f>
        <v>1</v>
      </c>
      <c r="S331" s="7" t="str">
        <f aca="false">IF(OR(A331="",P331="DUP",R331&lt;2),"",IF(Q331=_xlfn.MINIFS($Q$2:$Q$3058,$A$2:$A$3058,A331,$P$2:$P$3058,"OK"),"KEEP","DROP"))</f>
        <v/>
      </c>
      <c r="T331" s="9" t="n">
        <f aca="false">IF(A331="",1,0)</f>
        <v>0</v>
      </c>
      <c r="U331" s="9" t="n">
        <f aca="false">IF(D331="",1,0)</f>
        <v>0</v>
      </c>
      <c r="V331" s="9" t="n">
        <f aca="false">IF(E331="",1,0)</f>
        <v>0</v>
      </c>
      <c r="W331" s="9" t="n">
        <f aca="false">IF(OR(H331&lt;1,H331&gt;10),1,0)</f>
        <v>0</v>
      </c>
      <c r="X331" s="9" t="n">
        <f aca="false">IF(OR(I331&lt;=0,I331&gt;1500),1,0)</f>
        <v>0</v>
      </c>
      <c r="Y331" s="9" t="n">
        <f aca="false">IF(J331&gt;H331*I331,1,0)</f>
        <v>0</v>
      </c>
      <c r="Z331" s="9" t="n">
        <f aca="false">IF(AND(N331&lt;&gt;"",OR(N331&lt;1,N331&gt;5)),1,0)</f>
        <v>0</v>
      </c>
      <c r="AA331" s="9" t="n">
        <f aca="false">IF(AND(M331&lt;&gt;"",OR(M331&lt;5,M331&gt;180)),1,0)</f>
        <v>0</v>
      </c>
      <c r="AB331" s="7" t="str">
        <f aca="false">IF(P331="DUP","Exact duplicate row",IF(T331=1,"Missing Order ID",IF(S331="DROP","Duplicate Order ID (less complete row)",IF(U331=1,"Missing Customer ID",IF(V331=1,"Missing Restaurant name",IF(W331=1,"Invalid/outlier quantity",IF(X331=1,"Invalid/outlier unit price",IF(Y331=1,"Discount greater than order value",""))))))))</f>
        <v/>
      </c>
      <c r="AC331" s="7" t="str">
        <f aca="false">IF(AB331="","KEEP","DROP")</f>
        <v>KEEP</v>
      </c>
      <c r="AD331" s="7" t="str">
        <f aca="false">IF(TRIM(F331)="",IFERROR(INDEX(Map_Tables!$I$4:$I$37,MATCH(TRIM(E331),Map_Tables!$G$4:$G$37,0)),""),IFERROR(INDEX(Map_Tables!$B$4:$B$18,MATCH(TRIM(F331),Map_Tables!$A$4:$A$18,0)),"CHECK"))</f>
        <v>Mumbai</v>
      </c>
      <c r="AE331" s="7" t="str">
        <f aca="false">IF(TRIM(E331)="","",IFERROR(INDEX(Map_Tables!$H$4:$H$37,MATCH(TRIM(E331),Map_Tables!$G$4:$G$37,0)),"CHECK"))</f>
        <v>Pav Bhaji Point</v>
      </c>
      <c r="AF331" s="7" t="str">
        <f aca="false">IF(TRIM(K331)="","Unknown",IFERROR(INDEX(Map_Tables!$E$4:$E$15,MATCH(TRIM(K331),Map_Tables!$D$4:$D$15,0)),"CHECK"))</f>
        <v>UPI</v>
      </c>
      <c r="AG331" s="7" t="str">
        <f aca="false">IF(LEFT(LOWER(TRIM(L331)),6)="cancel","Cancelled","Delivered")</f>
        <v>Delivered</v>
      </c>
      <c r="AH331" s="10" t="n">
        <f aca="false">IF(ISNUMBER(SEARCH("/",B331)),DATE(VALUE(RIGHT(B331,4)),VALUE(MID(B331,4,2)),VALUE(LEFT(B331,2))),IF(MID(B331,5,1)="-",DATE(VALUE(LEFT(B331,4)),VALUE(MID(B331,6,2)),VALUE(RIGHT(B331,2))),DATE(VALUE(RIGHT(B331,4)),MATCH(MID(B331,4,3),{"Jan","Feb","Mar","Apr","May","Jun","Jul","Aug","Sep","Oct","Nov","Dec"},0),VALUE(LEFT(B331,2)))))</f>
        <v>45784</v>
      </c>
    </row>
    <row r="332" customFormat="false" ht="15" hidden="false" customHeight="false" outlineLevel="0" collapsed="false">
      <c r="A332" s="7" t="s">
        <v>1378</v>
      </c>
      <c r="B332" s="7" t="s">
        <v>341</v>
      </c>
      <c r="C332" s="7" t="s">
        <v>1379</v>
      </c>
      <c r="D332" s="7" t="s">
        <v>1380</v>
      </c>
      <c r="E332" s="7" t="s">
        <v>160</v>
      </c>
      <c r="F332" s="7" t="s">
        <v>136</v>
      </c>
      <c r="G332" s="7" t="s">
        <v>150</v>
      </c>
      <c r="H332" s="7" t="n">
        <v>2</v>
      </c>
      <c r="I332" s="7" t="n">
        <v>185</v>
      </c>
      <c r="J332" s="7" t="n">
        <v>0</v>
      </c>
      <c r="K332" s="7" t="s">
        <v>87</v>
      </c>
      <c r="L332" s="7" t="s">
        <v>194</v>
      </c>
      <c r="M332" s="7" t="n">
        <v>31</v>
      </c>
      <c r="N332" s="7" t="n">
        <v>3</v>
      </c>
      <c r="O332" s="7" t="str">
        <f aca="false">A332&amp;"|"&amp;B332&amp;"|"&amp;C332&amp;"|"&amp;D332&amp;"|"&amp;E332&amp;"|"&amp;F332&amp;"|"&amp;G332&amp;"|"&amp;H332&amp;"|"&amp;I332&amp;"|"&amp;J332&amp;"|"&amp;K332&amp;"|"&amp;L332&amp;"|"&amp;M332&amp;"|"&amp;N332</f>
        <v>ORD10326|2025-02-12|19:23|C1442|Cake Walk|Pune|Desserts|2|185|0|upi|Delivered|31|3</v>
      </c>
      <c r="P332" s="7" t="str">
        <f aca="false">IF(COUNTIF($O$2:O332,O332)&gt;1,"DUP","OK")</f>
        <v>OK</v>
      </c>
      <c r="Q332" s="7" t="n">
        <f aca="false">COUNTBLANK(A332:N332)</f>
        <v>0</v>
      </c>
      <c r="R332" s="7" t="n">
        <f aca="false">IF(A332="",0,COUNTIFS($A$2:$A$3058,A332,$P$2:$P$3058,"OK"))</f>
        <v>1</v>
      </c>
      <c r="S332" s="7" t="str">
        <f aca="false">IF(OR(A332="",P332="DUP",R332&lt;2),"",IF(Q332=_xlfn.MINIFS($Q$2:$Q$3058,$A$2:$A$3058,A332,$P$2:$P$3058,"OK"),"KEEP","DROP"))</f>
        <v/>
      </c>
      <c r="T332" s="9" t="n">
        <f aca="false">IF(A332="",1,0)</f>
        <v>0</v>
      </c>
      <c r="U332" s="9" t="n">
        <f aca="false">IF(D332="",1,0)</f>
        <v>0</v>
      </c>
      <c r="V332" s="9" t="n">
        <f aca="false">IF(E332="",1,0)</f>
        <v>0</v>
      </c>
      <c r="W332" s="9" t="n">
        <f aca="false">IF(OR(H332&lt;1,H332&gt;10),1,0)</f>
        <v>0</v>
      </c>
      <c r="X332" s="9" t="n">
        <f aca="false">IF(OR(I332&lt;=0,I332&gt;1500),1,0)</f>
        <v>0</v>
      </c>
      <c r="Y332" s="9" t="n">
        <f aca="false">IF(J332&gt;H332*I332,1,0)</f>
        <v>0</v>
      </c>
      <c r="Z332" s="9" t="n">
        <f aca="false">IF(AND(N332&lt;&gt;"",OR(N332&lt;1,N332&gt;5)),1,0)</f>
        <v>0</v>
      </c>
      <c r="AA332" s="9" t="n">
        <f aca="false">IF(AND(M332&lt;&gt;"",OR(M332&lt;5,M332&gt;180)),1,0)</f>
        <v>0</v>
      </c>
      <c r="AB332" s="7" t="str">
        <f aca="false">IF(P332="DUP","Exact duplicate row",IF(T332=1,"Missing Order ID",IF(S332="DROP","Duplicate Order ID (less complete row)",IF(U332=1,"Missing Customer ID",IF(V332=1,"Missing Restaurant name",IF(W332=1,"Invalid/outlier quantity",IF(X332=1,"Invalid/outlier unit price",IF(Y332=1,"Discount greater than order value",""))))))))</f>
        <v/>
      </c>
      <c r="AC332" s="7" t="str">
        <f aca="false">IF(AB332="","KEEP","DROP")</f>
        <v>KEEP</v>
      </c>
      <c r="AD332" s="7" t="str">
        <f aca="false">IF(TRIM(F332)="",IFERROR(INDEX(Map_Tables!$I$4:$I$37,MATCH(TRIM(E332),Map_Tables!$G$4:$G$37,0)),""),IFERROR(INDEX(Map_Tables!$B$4:$B$18,MATCH(TRIM(F332),Map_Tables!$A$4:$A$18,0)),"CHECK"))</f>
        <v>Pune</v>
      </c>
      <c r="AE332" s="7" t="str">
        <f aca="false">IF(TRIM(E332)="","",IFERROR(INDEX(Map_Tables!$H$4:$H$37,MATCH(TRIM(E332),Map_Tables!$G$4:$G$37,0)),"CHECK"))</f>
        <v>Cake Walk</v>
      </c>
      <c r="AF332" s="7" t="str">
        <f aca="false">IF(TRIM(K332)="","Unknown",IFERROR(INDEX(Map_Tables!$E$4:$E$15,MATCH(TRIM(K332),Map_Tables!$D$4:$D$15,0)),"CHECK"))</f>
        <v>UPI</v>
      </c>
      <c r="AG332" s="7" t="str">
        <f aca="false">IF(LEFT(LOWER(TRIM(L332)),6)="cancel","Cancelled","Delivered")</f>
        <v>Delivered</v>
      </c>
      <c r="AH332" s="10" t="n">
        <f aca="false">IF(ISNUMBER(SEARCH("/",B332)),DATE(VALUE(RIGHT(B332,4)),VALUE(MID(B332,4,2)),VALUE(LEFT(B332,2))),IF(MID(B332,5,1)="-",DATE(VALUE(LEFT(B332,4)),VALUE(MID(B332,6,2)),VALUE(RIGHT(B332,2))),DATE(VALUE(RIGHT(B332,4)),MATCH(MID(B332,4,3),{"Jan","Feb","Mar","Apr","May","Jun","Jul","Aug","Sep","Oct","Nov","Dec"},0),VALUE(LEFT(B332,2)))))</f>
        <v>45700</v>
      </c>
    </row>
    <row r="333" customFormat="false" ht="15" hidden="false" customHeight="false" outlineLevel="0" collapsed="false">
      <c r="A333" s="7" t="s">
        <v>1381</v>
      </c>
      <c r="B333" s="7" t="s">
        <v>1096</v>
      </c>
      <c r="C333" s="7" t="s">
        <v>218</v>
      </c>
      <c r="D333" s="7" t="s">
        <v>569</v>
      </c>
      <c r="E333" s="7" t="s">
        <v>158</v>
      </c>
      <c r="F333" s="7" t="s">
        <v>136</v>
      </c>
      <c r="G333" s="7" t="s">
        <v>139</v>
      </c>
      <c r="H333" s="7" t="n">
        <v>5</v>
      </c>
      <c r="I333" s="7" t="n">
        <v>220</v>
      </c>
      <c r="J333" s="7" t="n">
        <v>20</v>
      </c>
      <c r="K333" s="7" t="s">
        <v>88</v>
      </c>
      <c r="L333" s="7" t="s">
        <v>220</v>
      </c>
      <c r="M333" s="7" t="n">
        <v>36</v>
      </c>
      <c r="N333" s="7" t="n">
        <v>5</v>
      </c>
      <c r="O333" s="7" t="str">
        <f aca="false">A333&amp;"|"&amp;B333&amp;"|"&amp;C333&amp;"|"&amp;D333&amp;"|"&amp;E333&amp;"|"&amp;F333&amp;"|"&amp;G333&amp;"|"&amp;H333&amp;"|"&amp;I333&amp;"|"&amp;J333&amp;"|"&amp;K333&amp;"|"&amp;L333&amp;"|"&amp;M333&amp;"|"&amp;N333</f>
        <v>ORD12370|2025-10-26|12:48|C0668|Pune Burger Hub|Pune|Burgers|5|220|20|UPI|DELIVERED|36|5</v>
      </c>
      <c r="P333" s="7" t="str">
        <f aca="false">IF(COUNTIF($O$2:O333,O333)&gt;1,"DUP","OK")</f>
        <v>OK</v>
      </c>
      <c r="Q333" s="7" t="n">
        <f aca="false">COUNTBLANK(A333:N333)</f>
        <v>0</v>
      </c>
      <c r="R333" s="7" t="n">
        <f aca="false">IF(A333="",0,COUNTIFS($A$2:$A$3058,A333,$P$2:$P$3058,"OK"))</f>
        <v>1</v>
      </c>
      <c r="S333" s="7" t="str">
        <f aca="false">IF(OR(A333="",P333="DUP",R333&lt;2),"",IF(Q333=_xlfn.MINIFS($Q$2:$Q$3058,$A$2:$A$3058,A333,$P$2:$P$3058,"OK"),"KEEP","DROP"))</f>
        <v/>
      </c>
      <c r="T333" s="9" t="n">
        <f aca="false">IF(A333="",1,0)</f>
        <v>0</v>
      </c>
      <c r="U333" s="9" t="n">
        <f aca="false">IF(D333="",1,0)</f>
        <v>0</v>
      </c>
      <c r="V333" s="9" t="n">
        <f aca="false">IF(E333="",1,0)</f>
        <v>0</v>
      </c>
      <c r="W333" s="9" t="n">
        <f aca="false">IF(OR(H333&lt;1,H333&gt;10),1,0)</f>
        <v>0</v>
      </c>
      <c r="X333" s="9" t="n">
        <f aca="false">IF(OR(I333&lt;=0,I333&gt;1500),1,0)</f>
        <v>0</v>
      </c>
      <c r="Y333" s="9" t="n">
        <f aca="false">IF(J333&gt;H333*I333,1,0)</f>
        <v>0</v>
      </c>
      <c r="Z333" s="9" t="n">
        <f aca="false">IF(AND(N333&lt;&gt;"",OR(N333&lt;1,N333&gt;5)),1,0)</f>
        <v>0</v>
      </c>
      <c r="AA333" s="9" t="n">
        <f aca="false">IF(AND(M333&lt;&gt;"",OR(M333&lt;5,M333&gt;180)),1,0)</f>
        <v>0</v>
      </c>
      <c r="AB333" s="7" t="str">
        <f aca="false">IF(P333="DUP","Exact duplicate row",IF(T333=1,"Missing Order ID",IF(S333="DROP","Duplicate Order ID (less complete row)",IF(U333=1,"Missing Customer ID",IF(V333=1,"Missing Restaurant name",IF(W333=1,"Invalid/outlier quantity",IF(X333=1,"Invalid/outlier unit price",IF(Y333=1,"Discount greater than order value",""))))))))</f>
        <v/>
      </c>
      <c r="AC333" s="7" t="str">
        <f aca="false">IF(AB333="","KEEP","DROP")</f>
        <v>KEEP</v>
      </c>
      <c r="AD333" s="7" t="str">
        <f aca="false">IF(TRIM(F333)="",IFERROR(INDEX(Map_Tables!$I$4:$I$37,MATCH(TRIM(E333),Map_Tables!$G$4:$G$37,0)),""),IFERROR(INDEX(Map_Tables!$B$4:$B$18,MATCH(TRIM(F333),Map_Tables!$A$4:$A$18,0)),"CHECK"))</f>
        <v>Pune</v>
      </c>
      <c r="AE333" s="7" t="str">
        <f aca="false">IF(TRIM(E333)="","",IFERROR(INDEX(Map_Tables!$H$4:$H$37,MATCH(TRIM(E333),Map_Tables!$G$4:$G$37,0)),"CHECK"))</f>
        <v>Pune Burger Hub</v>
      </c>
      <c r="AF333" s="7" t="str">
        <f aca="false">IF(TRIM(K333)="","Unknown",IFERROR(INDEX(Map_Tables!$E$4:$E$15,MATCH(TRIM(K333),Map_Tables!$D$4:$D$15,0)),"CHECK"))</f>
        <v>UPI</v>
      </c>
      <c r="AG333" s="7" t="str">
        <f aca="false">IF(LEFT(LOWER(TRIM(L333)),6)="cancel","Cancelled","Delivered")</f>
        <v>Delivered</v>
      </c>
      <c r="AH333" s="10" t="n">
        <f aca="false">IF(ISNUMBER(SEARCH("/",B333)),DATE(VALUE(RIGHT(B333,4)),VALUE(MID(B333,4,2)),VALUE(LEFT(B333,2))),IF(MID(B333,5,1)="-",DATE(VALUE(LEFT(B333,4)),VALUE(MID(B333,6,2)),VALUE(RIGHT(B333,2))),DATE(VALUE(RIGHT(B333,4)),MATCH(MID(B333,4,3),{"Jan","Feb","Mar","Apr","May","Jun","Jul","Aug","Sep","Oct","Nov","Dec"},0),VALUE(LEFT(B333,2)))))</f>
        <v>45956</v>
      </c>
    </row>
    <row r="334" customFormat="false" ht="15" hidden="false" customHeight="false" outlineLevel="0" collapsed="false">
      <c r="A334" s="7" t="s">
        <v>1382</v>
      </c>
      <c r="B334" s="7" t="s">
        <v>1383</v>
      </c>
      <c r="C334" s="7" t="s">
        <v>1384</v>
      </c>
      <c r="D334" s="7" t="s">
        <v>1385</v>
      </c>
      <c r="E334" s="7" t="s">
        <v>122</v>
      </c>
      <c r="F334" s="7" t="s">
        <v>101</v>
      </c>
      <c r="G334" s="7" t="s">
        <v>123</v>
      </c>
      <c r="H334" s="7" t="n">
        <v>2</v>
      </c>
      <c r="I334" s="7" t="n">
        <v>300</v>
      </c>
      <c r="J334" s="7" t="n">
        <v>125</v>
      </c>
      <c r="K334" s="7" t="s">
        <v>112</v>
      </c>
      <c r="L334" s="7" t="s">
        <v>194</v>
      </c>
      <c r="M334" s="7" t="n">
        <v>47</v>
      </c>
      <c r="N334" s="7" t="n">
        <v>5</v>
      </c>
      <c r="O334" s="7" t="str">
        <f aca="false">A334&amp;"|"&amp;B334&amp;"|"&amp;C334&amp;"|"&amp;D334&amp;"|"&amp;E334&amp;"|"&amp;F334&amp;"|"&amp;G334&amp;"|"&amp;H334&amp;"|"&amp;I334&amp;"|"&amp;J334&amp;"|"&amp;K334&amp;"|"&amp;L334&amp;"|"&amp;M334&amp;"|"&amp;N334</f>
        <v>ORD12466|06/11/2025|12:24|C0178|Mumbai Pizza Co|Mumbai|Pizza|2|300|125|Cash on Delivery|Delivered|47|5</v>
      </c>
      <c r="P334" s="7" t="str">
        <f aca="false">IF(COUNTIF($O$2:O334,O334)&gt;1,"DUP","OK")</f>
        <v>OK</v>
      </c>
      <c r="Q334" s="7" t="n">
        <f aca="false">COUNTBLANK(A334:N334)</f>
        <v>0</v>
      </c>
      <c r="R334" s="7" t="n">
        <f aca="false">IF(A334="",0,COUNTIFS($A$2:$A$3058,A334,$P$2:$P$3058,"OK"))</f>
        <v>1</v>
      </c>
      <c r="S334" s="7" t="str">
        <f aca="false">IF(OR(A334="",P334="DUP",R334&lt;2),"",IF(Q334=_xlfn.MINIFS($Q$2:$Q$3058,$A$2:$A$3058,A334,$P$2:$P$3058,"OK"),"KEEP","DROP"))</f>
        <v/>
      </c>
      <c r="T334" s="9" t="n">
        <f aca="false">IF(A334="",1,0)</f>
        <v>0</v>
      </c>
      <c r="U334" s="9" t="n">
        <f aca="false">IF(D334="",1,0)</f>
        <v>0</v>
      </c>
      <c r="V334" s="9" t="n">
        <f aca="false">IF(E334="",1,0)</f>
        <v>0</v>
      </c>
      <c r="W334" s="9" t="n">
        <f aca="false">IF(OR(H334&lt;1,H334&gt;10),1,0)</f>
        <v>0</v>
      </c>
      <c r="X334" s="9" t="n">
        <f aca="false">IF(OR(I334&lt;=0,I334&gt;1500),1,0)</f>
        <v>0</v>
      </c>
      <c r="Y334" s="9" t="n">
        <f aca="false">IF(J334&gt;H334*I334,1,0)</f>
        <v>0</v>
      </c>
      <c r="Z334" s="9" t="n">
        <f aca="false">IF(AND(N334&lt;&gt;"",OR(N334&lt;1,N334&gt;5)),1,0)</f>
        <v>0</v>
      </c>
      <c r="AA334" s="9" t="n">
        <f aca="false">IF(AND(M334&lt;&gt;"",OR(M334&lt;5,M334&gt;180)),1,0)</f>
        <v>0</v>
      </c>
      <c r="AB334" s="7" t="str">
        <f aca="false">IF(P334="DUP","Exact duplicate row",IF(T334=1,"Missing Order ID",IF(S334="DROP","Duplicate Order ID (less complete row)",IF(U334=1,"Missing Customer ID",IF(V334=1,"Missing Restaurant name",IF(W334=1,"Invalid/outlier quantity",IF(X334=1,"Invalid/outlier unit price",IF(Y334=1,"Discount greater than order value",""))))))))</f>
        <v/>
      </c>
      <c r="AC334" s="7" t="str">
        <f aca="false">IF(AB334="","KEEP","DROP")</f>
        <v>KEEP</v>
      </c>
      <c r="AD334" s="7" t="str">
        <f aca="false">IF(TRIM(F334)="",IFERROR(INDEX(Map_Tables!$I$4:$I$37,MATCH(TRIM(E334),Map_Tables!$G$4:$G$37,0)),""),IFERROR(INDEX(Map_Tables!$B$4:$B$18,MATCH(TRIM(F334),Map_Tables!$A$4:$A$18,0)),"CHECK"))</f>
        <v>Mumbai</v>
      </c>
      <c r="AE334" s="7" t="str">
        <f aca="false">IF(TRIM(E334)="","",IFERROR(INDEX(Map_Tables!$H$4:$H$37,MATCH(TRIM(E334),Map_Tables!$G$4:$G$37,0)),"CHECK"))</f>
        <v>Mumbai Pizza Co</v>
      </c>
      <c r="AF334" s="7" t="str">
        <f aca="false">IF(TRIM(K334)="","Unknown",IFERROR(INDEX(Map_Tables!$E$4:$E$15,MATCH(TRIM(K334),Map_Tables!$D$4:$D$15,0)),"CHECK"))</f>
        <v>Cash on Delivery</v>
      </c>
      <c r="AG334" s="7" t="str">
        <f aca="false">IF(LEFT(LOWER(TRIM(L334)),6)="cancel","Cancelled","Delivered")</f>
        <v>Delivered</v>
      </c>
      <c r="AH334" s="10" t="n">
        <f aca="false">IF(ISNUMBER(SEARCH("/",B334)),DATE(VALUE(RIGHT(B334,4)),VALUE(MID(B334,4,2)),VALUE(LEFT(B334,2))),IF(MID(B334,5,1)="-",DATE(VALUE(LEFT(B334,4)),VALUE(MID(B334,6,2)),VALUE(RIGHT(B334,2))),DATE(VALUE(RIGHT(B334,4)),MATCH(MID(B334,4,3),{"Jan","Feb","Mar","Apr","May","Jun","Jul","Aug","Sep","Oct","Nov","Dec"},0),VALUE(LEFT(B334,2)))))</f>
        <v>45967</v>
      </c>
    </row>
    <row r="335" customFormat="false" ht="15" hidden="false" customHeight="false" outlineLevel="0" collapsed="false">
      <c r="A335" s="7" t="s">
        <v>1386</v>
      </c>
      <c r="B335" s="7" t="s">
        <v>345</v>
      </c>
      <c r="C335" s="7" t="s">
        <v>1387</v>
      </c>
      <c r="D335" s="7" t="s">
        <v>673</v>
      </c>
      <c r="E335" s="7" t="s">
        <v>122</v>
      </c>
      <c r="F335" s="7" t="s">
        <v>498</v>
      </c>
      <c r="G335" s="7" t="s">
        <v>123</v>
      </c>
      <c r="H335" s="7" t="n">
        <v>3</v>
      </c>
      <c r="I335" s="7" t="n">
        <v>390</v>
      </c>
      <c r="J335" s="7" t="n">
        <v>30</v>
      </c>
      <c r="K335" s="7" t="s">
        <v>112</v>
      </c>
      <c r="L335" s="7" t="s">
        <v>194</v>
      </c>
      <c r="M335" s="7" t="n">
        <v>51</v>
      </c>
      <c r="N335" s="7" t="n">
        <v>5</v>
      </c>
      <c r="O335" s="7" t="str">
        <f aca="false">A335&amp;"|"&amp;B335&amp;"|"&amp;C335&amp;"|"&amp;D335&amp;"|"&amp;E335&amp;"|"&amp;F335&amp;"|"&amp;G335&amp;"|"&amp;H335&amp;"|"&amp;I335&amp;"|"&amp;J335&amp;"|"&amp;K335&amp;"|"&amp;L335&amp;"|"&amp;M335&amp;"|"&amp;N335</f>
        <v>ORD10892|2025-04-22|20:59|C1316|Mumbai Pizza Co|Bombay|Pizza|3|390|30|Cash on Delivery|Delivered|51|5</v>
      </c>
      <c r="P335" s="7" t="str">
        <f aca="false">IF(COUNTIF($O$2:O335,O335)&gt;1,"DUP","OK")</f>
        <v>OK</v>
      </c>
      <c r="Q335" s="7" t="n">
        <f aca="false">COUNTBLANK(A335:N335)</f>
        <v>0</v>
      </c>
      <c r="R335" s="7" t="n">
        <f aca="false">IF(A335="",0,COUNTIFS($A$2:$A$3058,A335,$P$2:$P$3058,"OK"))</f>
        <v>1</v>
      </c>
      <c r="S335" s="7" t="str">
        <f aca="false">IF(OR(A335="",P335="DUP",R335&lt;2),"",IF(Q335=_xlfn.MINIFS($Q$2:$Q$3058,$A$2:$A$3058,A335,$P$2:$P$3058,"OK"),"KEEP","DROP"))</f>
        <v/>
      </c>
      <c r="T335" s="9" t="n">
        <f aca="false">IF(A335="",1,0)</f>
        <v>0</v>
      </c>
      <c r="U335" s="9" t="n">
        <f aca="false">IF(D335="",1,0)</f>
        <v>0</v>
      </c>
      <c r="V335" s="9" t="n">
        <f aca="false">IF(E335="",1,0)</f>
        <v>0</v>
      </c>
      <c r="W335" s="9" t="n">
        <f aca="false">IF(OR(H335&lt;1,H335&gt;10),1,0)</f>
        <v>0</v>
      </c>
      <c r="X335" s="9" t="n">
        <f aca="false">IF(OR(I335&lt;=0,I335&gt;1500),1,0)</f>
        <v>0</v>
      </c>
      <c r="Y335" s="9" t="n">
        <f aca="false">IF(J335&gt;H335*I335,1,0)</f>
        <v>0</v>
      </c>
      <c r="Z335" s="9" t="n">
        <f aca="false">IF(AND(N335&lt;&gt;"",OR(N335&lt;1,N335&gt;5)),1,0)</f>
        <v>0</v>
      </c>
      <c r="AA335" s="9" t="n">
        <f aca="false">IF(AND(M335&lt;&gt;"",OR(M335&lt;5,M335&gt;180)),1,0)</f>
        <v>0</v>
      </c>
      <c r="AB335" s="7" t="str">
        <f aca="false">IF(P335="DUP","Exact duplicate row",IF(T335=1,"Missing Order ID",IF(S335="DROP","Duplicate Order ID (less complete row)",IF(U335=1,"Missing Customer ID",IF(V335=1,"Missing Restaurant name",IF(W335=1,"Invalid/outlier quantity",IF(X335=1,"Invalid/outlier unit price",IF(Y335=1,"Discount greater than order value",""))))))))</f>
        <v/>
      </c>
      <c r="AC335" s="7" t="str">
        <f aca="false">IF(AB335="","KEEP","DROP")</f>
        <v>KEEP</v>
      </c>
      <c r="AD335" s="7" t="str">
        <f aca="false">IF(TRIM(F335)="",IFERROR(INDEX(Map_Tables!$I$4:$I$37,MATCH(TRIM(E335),Map_Tables!$G$4:$G$37,0)),""),IFERROR(INDEX(Map_Tables!$B$4:$B$18,MATCH(TRIM(F335),Map_Tables!$A$4:$A$18,0)),"CHECK"))</f>
        <v>Mumbai</v>
      </c>
      <c r="AE335" s="7" t="str">
        <f aca="false">IF(TRIM(E335)="","",IFERROR(INDEX(Map_Tables!$H$4:$H$37,MATCH(TRIM(E335),Map_Tables!$G$4:$G$37,0)),"CHECK"))</f>
        <v>Mumbai Pizza Co</v>
      </c>
      <c r="AF335" s="7" t="str">
        <f aca="false">IF(TRIM(K335)="","Unknown",IFERROR(INDEX(Map_Tables!$E$4:$E$15,MATCH(TRIM(K335),Map_Tables!$D$4:$D$15,0)),"CHECK"))</f>
        <v>Cash on Delivery</v>
      </c>
      <c r="AG335" s="7" t="str">
        <f aca="false">IF(LEFT(LOWER(TRIM(L335)),6)="cancel","Cancelled","Delivered")</f>
        <v>Delivered</v>
      </c>
      <c r="AH335" s="10" t="n">
        <f aca="false">IF(ISNUMBER(SEARCH("/",B335)),DATE(VALUE(RIGHT(B335,4)),VALUE(MID(B335,4,2)),VALUE(LEFT(B335,2))),IF(MID(B335,5,1)="-",DATE(VALUE(LEFT(B335,4)),VALUE(MID(B335,6,2)),VALUE(RIGHT(B335,2))),DATE(VALUE(RIGHT(B335,4)),MATCH(MID(B335,4,3),{"Jan","Feb","Mar","Apr","May","Jun","Jul","Aug","Sep","Oct","Nov","Dec"},0),VALUE(LEFT(B335,2)))))</f>
        <v>45769</v>
      </c>
    </row>
    <row r="336" customFormat="false" ht="15" hidden="false" customHeight="false" outlineLevel="0" collapsed="false">
      <c r="A336" s="7" t="s">
        <v>1388</v>
      </c>
      <c r="B336" s="7" t="s">
        <v>1389</v>
      </c>
      <c r="C336" s="7" t="s">
        <v>1390</v>
      </c>
      <c r="D336" s="7" t="s">
        <v>1059</v>
      </c>
      <c r="E336" s="7" t="s">
        <v>165</v>
      </c>
      <c r="F336" s="7" t="s">
        <v>146</v>
      </c>
      <c r="G336" s="7" t="s">
        <v>1391</v>
      </c>
      <c r="H336" s="7" t="n">
        <v>1</v>
      </c>
      <c r="I336" s="7" t="n">
        <v>205</v>
      </c>
      <c r="J336" s="7" t="n">
        <v>82</v>
      </c>
      <c r="K336" s="7" t="s">
        <v>88</v>
      </c>
      <c r="L336" s="7" t="s">
        <v>194</v>
      </c>
      <c r="M336" s="7" t="n">
        <v>24</v>
      </c>
      <c r="N336" s="7" t="n">
        <v>5</v>
      </c>
      <c r="O336" s="7" t="str">
        <f aca="false">A336&amp;"|"&amp;B336&amp;"|"&amp;C336&amp;"|"&amp;D336&amp;"|"&amp;E336&amp;"|"&amp;F336&amp;"|"&amp;G336&amp;"|"&amp;H336&amp;"|"&amp;I336&amp;"|"&amp;J336&amp;"|"&amp;K336&amp;"|"&amp;L336&amp;"|"&amp;M336&amp;"|"&amp;N336</f>
        <v>ORD11204|2025-06-01|23:25|C1149|Gujarati Thali Ghar|Ahmedabad|NORTH INDIAN|1|205|82|UPI|Delivered|24|5</v>
      </c>
      <c r="P336" s="7" t="str">
        <f aca="false">IF(COUNTIF($O$2:O336,O336)&gt;1,"DUP","OK")</f>
        <v>OK</v>
      </c>
      <c r="Q336" s="7" t="n">
        <f aca="false">COUNTBLANK(A336:N336)</f>
        <v>0</v>
      </c>
      <c r="R336" s="7" t="n">
        <f aca="false">IF(A336="",0,COUNTIFS($A$2:$A$3058,A336,$P$2:$P$3058,"OK"))</f>
        <v>1</v>
      </c>
      <c r="S336" s="7" t="str">
        <f aca="false">IF(OR(A336="",P336="DUP",R336&lt;2),"",IF(Q336=_xlfn.MINIFS($Q$2:$Q$3058,$A$2:$A$3058,A336,$P$2:$P$3058,"OK"),"KEEP","DROP"))</f>
        <v/>
      </c>
      <c r="T336" s="9" t="n">
        <f aca="false">IF(A336="",1,0)</f>
        <v>0</v>
      </c>
      <c r="U336" s="9" t="n">
        <f aca="false">IF(D336="",1,0)</f>
        <v>0</v>
      </c>
      <c r="V336" s="9" t="n">
        <f aca="false">IF(E336="",1,0)</f>
        <v>0</v>
      </c>
      <c r="W336" s="9" t="n">
        <f aca="false">IF(OR(H336&lt;1,H336&gt;10),1,0)</f>
        <v>0</v>
      </c>
      <c r="X336" s="9" t="n">
        <f aca="false">IF(OR(I336&lt;=0,I336&gt;1500),1,0)</f>
        <v>0</v>
      </c>
      <c r="Y336" s="9" t="n">
        <f aca="false">IF(J336&gt;H336*I336,1,0)</f>
        <v>0</v>
      </c>
      <c r="Z336" s="9" t="n">
        <f aca="false">IF(AND(N336&lt;&gt;"",OR(N336&lt;1,N336&gt;5)),1,0)</f>
        <v>0</v>
      </c>
      <c r="AA336" s="9" t="n">
        <f aca="false">IF(AND(M336&lt;&gt;"",OR(M336&lt;5,M336&gt;180)),1,0)</f>
        <v>0</v>
      </c>
      <c r="AB336" s="7" t="str">
        <f aca="false">IF(P336="DUP","Exact duplicate row",IF(T336=1,"Missing Order ID",IF(S336="DROP","Duplicate Order ID (less complete row)",IF(U336=1,"Missing Customer ID",IF(V336=1,"Missing Restaurant name",IF(W336=1,"Invalid/outlier quantity",IF(X336=1,"Invalid/outlier unit price",IF(Y336=1,"Discount greater than order value",""))))))))</f>
        <v/>
      </c>
      <c r="AC336" s="7" t="str">
        <f aca="false">IF(AB336="","KEEP","DROP")</f>
        <v>KEEP</v>
      </c>
      <c r="AD336" s="7" t="str">
        <f aca="false">IF(TRIM(F336)="",IFERROR(INDEX(Map_Tables!$I$4:$I$37,MATCH(TRIM(E336),Map_Tables!$G$4:$G$37,0)),""),IFERROR(INDEX(Map_Tables!$B$4:$B$18,MATCH(TRIM(F336),Map_Tables!$A$4:$A$18,0)),"CHECK"))</f>
        <v>Ahmedabad</v>
      </c>
      <c r="AE336" s="7" t="str">
        <f aca="false">IF(TRIM(E336)="","",IFERROR(INDEX(Map_Tables!$H$4:$H$37,MATCH(TRIM(E336),Map_Tables!$G$4:$G$37,0)),"CHECK"))</f>
        <v>Gujarati Thali Ghar</v>
      </c>
      <c r="AF336" s="7" t="str">
        <f aca="false">IF(TRIM(K336)="","Unknown",IFERROR(INDEX(Map_Tables!$E$4:$E$15,MATCH(TRIM(K336),Map_Tables!$D$4:$D$15,0)),"CHECK"))</f>
        <v>UPI</v>
      </c>
      <c r="AG336" s="7" t="str">
        <f aca="false">IF(LEFT(LOWER(TRIM(L336)),6)="cancel","Cancelled","Delivered")</f>
        <v>Delivered</v>
      </c>
      <c r="AH336" s="10" t="n">
        <f aca="false">IF(ISNUMBER(SEARCH("/",B336)),DATE(VALUE(RIGHT(B336,4)),VALUE(MID(B336,4,2)),VALUE(LEFT(B336,2))),IF(MID(B336,5,1)="-",DATE(VALUE(LEFT(B336,4)),VALUE(MID(B336,6,2)),VALUE(RIGHT(B336,2))),DATE(VALUE(RIGHT(B336,4)),MATCH(MID(B336,4,3),{"Jan","Feb","Mar","Apr","May","Jun","Jul","Aug","Sep","Oct","Nov","Dec"},0),VALUE(LEFT(B336,2)))))</f>
        <v>45809</v>
      </c>
    </row>
    <row r="337" customFormat="false" ht="15" hidden="false" customHeight="false" outlineLevel="0" collapsed="false">
      <c r="A337" s="7" t="s">
        <v>1392</v>
      </c>
      <c r="B337" s="7" t="s">
        <v>1393</v>
      </c>
      <c r="C337" s="7" t="s">
        <v>591</v>
      </c>
      <c r="D337" s="7" t="s">
        <v>255</v>
      </c>
      <c r="E337" s="7" t="s">
        <v>1394</v>
      </c>
      <c r="F337" s="7" t="s">
        <v>86</v>
      </c>
      <c r="G337" s="7" t="s">
        <v>105</v>
      </c>
      <c r="H337" s="7" t="n">
        <v>2</v>
      </c>
      <c r="I337" s="7" t="n">
        <v>205</v>
      </c>
      <c r="J337" s="7" t="n">
        <v>0</v>
      </c>
      <c r="K337" s="7" t="s">
        <v>88</v>
      </c>
      <c r="L337" s="7" t="s">
        <v>194</v>
      </c>
      <c r="M337" s="7" t="n">
        <v>42</v>
      </c>
      <c r="N337" s="7" t="n">
        <v>4</v>
      </c>
      <c r="O337" s="7" t="str">
        <f aca="false">A337&amp;"|"&amp;B337&amp;"|"&amp;C337&amp;"|"&amp;D337&amp;"|"&amp;E337&amp;"|"&amp;F337&amp;"|"&amp;G337&amp;"|"&amp;H337&amp;"|"&amp;I337&amp;"|"&amp;J337&amp;"|"&amp;K337&amp;"|"&amp;L337&amp;"|"&amp;M337&amp;"|"&amp;N337</f>
        <v>ORD10514|2025-03-08|14:31|C0821|WOK &amp; ROLL|Bengaluru|Chinese|2|205|0|UPI|Delivered|42|4</v>
      </c>
      <c r="P337" s="7" t="str">
        <f aca="false">IF(COUNTIF($O$2:O337,O337)&gt;1,"DUP","OK")</f>
        <v>OK</v>
      </c>
      <c r="Q337" s="7" t="n">
        <f aca="false">COUNTBLANK(A337:N337)</f>
        <v>0</v>
      </c>
      <c r="R337" s="7" t="n">
        <f aca="false">IF(A337="",0,COUNTIFS($A$2:$A$3058,A337,$P$2:$P$3058,"OK"))</f>
        <v>1</v>
      </c>
      <c r="S337" s="7" t="str">
        <f aca="false">IF(OR(A337="",P337="DUP",R337&lt;2),"",IF(Q337=_xlfn.MINIFS($Q$2:$Q$3058,$A$2:$A$3058,A337,$P$2:$P$3058,"OK"),"KEEP","DROP"))</f>
        <v/>
      </c>
      <c r="T337" s="9" t="n">
        <f aca="false">IF(A337="",1,0)</f>
        <v>0</v>
      </c>
      <c r="U337" s="9" t="n">
        <f aca="false">IF(D337="",1,0)</f>
        <v>0</v>
      </c>
      <c r="V337" s="9" t="n">
        <f aca="false">IF(E337="",1,0)</f>
        <v>0</v>
      </c>
      <c r="W337" s="9" t="n">
        <f aca="false">IF(OR(H337&lt;1,H337&gt;10),1,0)</f>
        <v>0</v>
      </c>
      <c r="X337" s="9" t="n">
        <f aca="false">IF(OR(I337&lt;=0,I337&gt;1500),1,0)</f>
        <v>0</v>
      </c>
      <c r="Y337" s="9" t="n">
        <f aca="false">IF(J337&gt;H337*I337,1,0)</f>
        <v>0</v>
      </c>
      <c r="Z337" s="9" t="n">
        <f aca="false">IF(AND(N337&lt;&gt;"",OR(N337&lt;1,N337&gt;5)),1,0)</f>
        <v>0</v>
      </c>
      <c r="AA337" s="9" t="n">
        <f aca="false">IF(AND(M337&lt;&gt;"",OR(M337&lt;5,M337&gt;180)),1,0)</f>
        <v>0</v>
      </c>
      <c r="AB337" s="7" t="str">
        <f aca="false">IF(P337="DUP","Exact duplicate row",IF(T337=1,"Missing Order ID",IF(S337="DROP","Duplicate Order ID (less complete row)",IF(U337=1,"Missing Customer ID",IF(V337=1,"Missing Restaurant name",IF(W337=1,"Invalid/outlier quantity",IF(X337=1,"Invalid/outlier unit price",IF(Y337=1,"Discount greater than order value",""))))))))</f>
        <v/>
      </c>
      <c r="AC337" s="7" t="str">
        <f aca="false">IF(AB337="","KEEP","DROP")</f>
        <v>KEEP</v>
      </c>
      <c r="AD337" s="7" t="str">
        <f aca="false">IF(TRIM(F337)="",IFERROR(INDEX(Map_Tables!$I$4:$I$37,MATCH(TRIM(E337),Map_Tables!$G$4:$G$37,0)),""),IFERROR(INDEX(Map_Tables!$B$4:$B$18,MATCH(TRIM(F337),Map_Tables!$A$4:$A$18,0)),"CHECK"))</f>
        <v>Bengaluru</v>
      </c>
      <c r="AE337" s="7" t="str">
        <f aca="false">IF(TRIM(E337)="","",IFERROR(INDEX(Map_Tables!$H$4:$H$37,MATCH(TRIM(E337),Map_Tables!$G$4:$G$37,0)),"CHECK"))</f>
        <v>Wok &amp; Roll</v>
      </c>
      <c r="AF337" s="7" t="str">
        <f aca="false">IF(TRIM(K337)="","Unknown",IFERROR(INDEX(Map_Tables!$E$4:$E$15,MATCH(TRIM(K337),Map_Tables!$D$4:$D$15,0)),"CHECK"))</f>
        <v>UPI</v>
      </c>
      <c r="AG337" s="7" t="str">
        <f aca="false">IF(LEFT(LOWER(TRIM(L337)),6)="cancel","Cancelled","Delivered")</f>
        <v>Delivered</v>
      </c>
      <c r="AH337" s="10" t="n">
        <f aca="false">IF(ISNUMBER(SEARCH("/",B337)),DATE(VALUE(RIGHT(B337,4)),VALUE(MID(B337,4,2)),VALUE(LEFT(B337,2))),IF(MID(B337,5,1)="-",DATE(VALUE(LEFT(B337,4)),VALUE(MID(B337,6,2)),VALUE(RIGHT(B337,2))),DATE(VALUE(RIGHT(B337,4)),MATCH(MID(B337,4,3),{"Jan","Feb","Mar","Apr","May","Jun","Jul","Aug","Sep","Oct","Nov","Dec"},0),VALUE(LEFT(B337,2)))))</f>
        <v>45724</v>
      </c>
    </row>
    <row r="338" customFormat="false" ht="15" hidden="false" customHeight="false" outlineLevel="0" collapsed="false">
      <c r="A338" s="7" t="s">
        <v>1395</v>
      </c>
      <c r="B338" s="7" t="s">
        <v>257</v>
      </c>
      <c r="C338" s="7" t="s">
        <v>1396</v>
      </c>
      <c r="D338" s="7" t="s">
        <v>1397</v>
      </c>
      <c r="E338" s="7" t="s">
        <v>113</v>
      </c>
      <c r="F338" s="7" t="s">
        <v>101</v>
      </c>
      <c r="G338" s="7" t="s">
        <v>90</v>
      </c>
      <c r="H338" s="7" t="n">
        <v>1</v>
      </c>
      <c r="I338" s="7" t="n">
        <v>265</v>
      </c>
      <c r="J338" s="7" t="n">
        <v>0</v>
      </c>
      <c r="K338" s="7" t="s">
        <v>92</v>
      </c>
      <c r="L338" s="7" t="s">
        <v>194</v>
      </c>
      <c r="M338" s="7" t="n">
        <v>40</v>
      </c>
      <c r="N338" s="7" t="n">
        <v>5</v>
      </c>
      <c r="O338" s="7" t="str">
        <f aca="false">A338&amp;"|"&amp;B338&amp;"|"&amp;C338&amp;"|"&amp;D338&amp;"|"&amp;E338&amp;"|"&amp;F338&amp;"|"&amp;G338&amp;"|"&amp;H338&amp;"|"&amp;I338&amp;"|"&amp;J338&amp;"|"&amp;K338&amp;"|"&amp;L338&amp;"|"&amp;M338&amp;"|"&amp;N338</f>
        <v>ORD10357|2025-02-17|14:06|C1301|Curry Leaf Kitchen|Mumbai|North Indian|1|265|0|credit card|Delivered|40|5</v>
      </c>
      <c r="P338" s="7" t="str">
        <f aca="false">IF(COUNTIF($O$2:O338,O338)&gt;1,"DUP","OK")</f>
        <v>OK</v>
      </c>
      <c r="Q338" s="7" t="n">
        <f aca="false">COUNTBLANK(A338:N338)</f>
        <v>0</v>
      </c>
      <c r="R338" s="7" t="n">
        <f aca="false">IF(A338="",0,COUNTIFS($A$2:$A$3058,A338,$P$2:$P$3058,"OK"))</f>
        <v>1</v>
      </c>
      <c r="S338" s="7" t="str">
        <f aca="false">IF(OR(A338="",P338="DUP",R338&lt;2),"",IF(Q338=_xlfn.MINIFS($Q$2:$Q$3058,$A$2:$A$3058,A338,$P$2:$P$3058,"OK"),"KEEP","DROP"))</f>
        <v/>
      </c>
      <c r="T338" s="9" t="n">
        <f aca="false">IF(A338="",1,0)</f>
        <v>0</v>
      </c>
      <c r="U338" s="9" t="n">
        <f aca="false">IF(D338="",1,0)</f>
        <v>0</v>
      </c>
      <c r="V338" s="9" t="n">
        <f aca="false">IF(E338="",1,0)</f>
        <v>0</v>
      </c>
      <c r="W338" s="9" t="n">
        <f aca="false">IF(OR(H338&lt;1,H338&gt;10),1,0)</f>
        <v>0</v>
      </c>
      <c r="X338" s="9" t="n">
        <f aca="false">IF(OR(I338&lt;=0,I338&gt;1500),1,0)</f>
        <v>0</v>
      </c>
      <c r="Y338" s="9" t="n">
        <f aca="false">IF(J338&gt;H338*I338,1,0)</f>
        <v>0</v>
      </c>
      <c r="Z338" s="9" t="n">
        <f aca="false">IF(AND(N338&lt;&gt;"",OR(N338&lt;1,N338&gt;5)),1,0)</f>
        <v>0</v>
      </c>
      <c r="AA338" s="9" t="n">
        <f aca="false">IF(AND(M338&lt;&gt;"",OR(M338&lt;5,M338&gt;180)),1,0)</f>
        <v>0</v>
      </c>
      <c r="AB338" s="7" t="str">
        <f aca="false">IF(P338="DUP","Exact duplicate row",IF(T338=1,"Missing Order ID",IF(S338="DROP","Duplicate Order ID (less complete row)",IF(U338=1,"Missing Customer ID",IF(V338=1,"Missing Restaurant name",IF(W338=1,"Invalid/outlier quantity",IF(X338=1,"Invalid/outlier unit price",IF(Y338=1,"Discount greater than order value",""))))))))</f>
        <v/>
      </c>
      <c r="AC338" s="7" t="str">
        <f aca="false">IF(AB338="","KEEP","DROP")</f>
        <v>KEEP</v>
      </c>
      <c r="AD338" s="7" t="str">
        <f aca="false">IF(TRIM(F338)="",IFERROR(INDEX(Map_Tables!$I$4:$I$37,MATCH(TRIM(E338),Map_Tables!$G$4:$G$37,0)),""),IFERROR(INDEX(Map_Tables!$B$4:$B$18,MATCH(TRIM(F338),Map_Tables!$A$4:$A$18,0)),"CHECK"))</f>
        <v>Mumbai</v>
      </c>
      <c r="AE338" s="7" t="str">
        <f aca="false">IF(TRIM(E338)="","",IFERROR(INDEX(Map_Tables!$H$4:$H$37,MATCH(TRIM(E338),Map_Tables!$G$4:$G$37,0)),"CHECK"))</f>
        <v>Curry Leaf Kitchen</v>
      </c>
      <c r="AF338" s="7" t="str">
        <f aca="false">IF(TRIM(K338)="","Unknown",IFERROR(INDEX(Map_Tables!$E$4:$E$15,MATCH(TRIM(K338),Map_Tables!$D$4:$D$15,0)),"CHECK"))</f>
        <v>Credit Card</v>
      </c>
      <c r="AG338" s="7" t="str">
        <f aca="false">IF(LEFT(LOWER(TRIM(L338)),6)="cancel","Cancelled","Delivered")</f>
        <v>Delivered</v>
      </c>
      <c r="AH338" s="10" t="n">
        <f aca="false">IF(ISNUMBER(SEARCH("/",B338)),DATE(VALUE(RIGHT(B338,4)),VALUE(MID(B338,4,2)),VALUE(LEFT(B338,2))),IF(MID(B338,5,1)="-",DATE(VALUE(LEFT(B338,4)),VALUE(MID(B338,6,2)),VALUE(RIGHT(B338,2))),DATE(VALUE(RIGHT(B338,4)),MATCH(MID(B338,4,3),{"Jan","Feb","Mar","Apr","May","Jun","Jul","Aug","Sep","Oct","Nov","Dec"},0),VALUE(LEFT(B338,2)))))</f>
        <v>45705</v>
      </c>
    </row>
    <row r="339" customFormat="false" ht="15" hidden="false" customHeight="false" outlineLevel="0" collapsed="false">
      <c r="A339" s="7" t="s">
        <v>1398</v>
      </c>
      <c r="B339" s="7" t="s">
        <v>1399</v>
      </c>
      <c r="C339" s="7" t="s">
        <v>1400</v>
      </c>
      <c r="D339" s="7" t="s">
        <v>1401</v>
      </c>
      <c r="E339" s="7" t="s">
        <v>1402</v>
      </c>
      <c r="F339" s="7" t="s">
        <v>146</v>
      </c>
      <c r="G339" s="7" t="s">
        <v>156</v>
      </c>
      <c r="H339" s="7" t="n">
        <v>2</v>
      </c>
      <c r="I339" s="7" t="n">
        <v>310</v>
      </c>
      <c r="J339" s="7" t="n">
        <v>150</v>
      </c>
      <c r="K339" s="7" t="s">
        <v>112</v>
      </c>
      <c r="L339" s="7" t="s">
        <v>194</v>
      </c>
      <c r="M339" s="7" t="n">
        <v>39</v>
      </c>
      <c r="N339" s="7" t="n">
        <v>3</v>
      </c>
      <c r="O339" s="7" t="str">
        <f aca="false">A339&amp;"|"&amp;B339&amp;"|"&amp;C339&amp;"|"&amp;D339&amp;"|"&amp;E339&amp;"|"&amp;F339&amp;"|"&amp;G339&amp;"|"&amp;H339&amp;"|"&amp;I339&amp;"|"&amp;J339&amp;"|"&amp;K339&amp;"|"&amp;L339&amp;"|"&amp;M339&amp;"|"&amp;N339</f>
        <v>ORD12875|2025-12-18|20:32|C1367|Fit Fuel Kitchen |Ahmedabad|Healthy Food|2|310|150|Cash on Delivery|Delivered|39|3</v>
      </c>
      <c r="P339" s="7" t="str">
        <f aca="false">IF(COUNTIF($O$2:O339,O339)&gt;1,"DUP","OK")</f>
        <v>OK</v>
      </c>
      <c r="Q339" s="7" t="n">
        <f aca="false">COUNTBLANK(A339:N339)</f>
        <v>0</v>
      </c>
      <c r="R339" s="7" t="n">
        <f aca="false">IF(A339="",0,COUNTIFS($A$2:$A$3058,A339,$P$2:$P$3058,"OK"))</f>
        <v>1</v>
      </c>
      <c r="S339" s="7" t="str">
        <f aca="false">IF(OR(A339="",P339="DUP",R339&lt;2),"",IF(Q339=_xlfn.MINIFS($Q$2:$Q$3058,$A$2:$A$3058,A339,$P$2:$P$3058,"OK"),"KEEP","DROP"))</f>
        <v/>
      </c>
      <c r="T339" s="9" t="n">
        <f aca="false">IF(A339="",1,0)</f>
        <v>0</v>
      </c>
      <c r="U339" s="9" t="n">
        <f aca="false">IF(D339="",1,0)</f>
        <v>0</v>
      </c>
      <c r="V339" s="9" t="n">
        <f aca="false">IF(E339="",1,0)</f>
        <v>0</v>
      </c>
      <c r="W339" s="9" t="n">
        <f aca="false">IF(OR(H339&lt;1,H339&gt;10),1,0)</f>
        <v>0</v>
      </c>
      <c r="X339" s="9" t="n">
        <f aca="false">IF(OR(I339&lt;=0,I339&gt;1500),1,0)</f>
        <v>0</v>
      </c>
      <c r="Y339" s="9" t="n">
        <f aca="false">IF(J339&gt;H339*I339,1,0)</f>
        <v>0</v>
      </c>
      <c r="Z339" s="9" t="n">
        <f aca="false">IF(AND(N339&lt;&gt;"",OR(N339&lt;1,N339&gt;5)),1,0)</f>
        <v>0</v>
      </c>
      <c r="AA339" s="9" t="n">
        <f aca="false">IF(AND(M339&lt;&gt;"",OR(M339&lt;5,M339&gt;180)),1,0)</f>
        <v>0</v>
      </c>
      <c r="AB339" s="7" t="str">
        <f aca="false">IF(P339="DUP","Exact duplicate row",IF(T339=1,"Missing Order ID",IF(S339="DROP","Duplicate Order ID (less complete row)",IF(U339=1,"Missing Customer ID",IF(V339=1,"Missing Restaurant name",IF(W339=1,"Invalid/outlier quantity",IF(X339=1,"Invalid/outlier unit price",IF(Y339=1,"Discount greater than order value",""))))))))</f>
        <v/>
      </c>
      <c r="AC339" s="7" t="str">
        <f aca="false">IF(AB339="","KEEP","DROP")</f>
        <v>KEEP</v>
      </c>
      <c r="AD339" s="7" t="str">
        <f aca="false">IF(TRIM(F339)="",IFERROR(INDEX(Map_Tables!$I$4:$I$37,MATCH(TRIM(E339),Map_Tables!$G$4:$G$37,0)),""),IFERROR(INDEX(Map_Tables!$B$4:$B$18,MATCH(TRIM(F339),Map_Tables!$A$4:$A$18,0)),"CHECK"))</f>
        <v>Ahmedabad</v>
      </c>
      <c r="AE339" s="7" t="str">
        <f aca="false">IF(TRIM(E339)="","",IFERROR(INDEX(Map_Tables!$H$4:$H$37,MATCH(TRIM(E339),Map_Tables!$G$4:$G$37,0)),"CHECK"))</f>
        <v>Fit Fuel Kitchen</v>
      </c>
      <c r="AF339" s="7" t="str">
        <f aca="false">IF(TRIM(K339)="","Unknown",IFERROR(INDEX(Map_Tables!$E$4:$E$15,MATCH(TRIM(K339),Map_Tables!$D$4:$D$15,0)),"CHECK"))</f>
        <v>Cash on Delivery</v>
      </c>
      <c r="AG339" s="7" t="str">
        <f aca="false">IF(LEFT(LOWER(TRIM(L339)),6)="cancel","Cancelled","Delivered")</f>
        <v>Delivered</v>
      </c>
      <c r="AH339" s="10" t="n">
        <f aca="false">IF(ISNUMBER(SEARCH("/",B339)),DATE(VALUE(RIGHT(B339,4)),VALUE(MID(B339,4,2)),VALUE(LEFT(B339,2))),IF(MID(B339,5,1)="-",DATE(VALUE(LEFT(B339,4)),VALUE(MID(B339,6,2)),VALUE(RIGHT(B339,2))),DATE(VALUE(RIGHT(B339,4)),MATCH(MID(B339,4,3),{"Jan","Feb","Mar","Apr","May","Jun","Jul","Aug","Sep","Oct","Nov","Dec"},0),VALUE(LEFT(B339,2)))))</f>
        <v>46009</v>
      </c>
    </row>
    <row r="340" customFormat="false" ht="15" hidden="false" customHeight="false" outlineLevel="0" collapsed="false">
      <c r="A340" s="7" t="s">
        <v>1403</v>
      </c>
      <c r="B340" s="7" t="s">
        <v>731</v>
      </c>
      <c r="C340" s="7" t="s">
        <v>1404</v>
      </c>
      <c r="D340" s="7" t="s">
        <v>1405</v>
      </c>
      <c r="E340" s="7" t="s">
        <v>130</v>
      </c>
      <c r="F340" s="7" t="s">
        <v>110</v>
      </c>
      <c r="G340" s="7" t="s">
        <v>90</v>
      </c>
      <c r="H340" s="7" t="n">
        <v>2</v>
      </c>
      <c r="I340" s="7" t="n">
        <v>295</v>
      </c>
      <c r="J340" s="7" t="n">
        <v>0</v>
      </c>
      <c r="K340" s="7" t="s">
        <v>88</v>
      </c>
      <c r="L340" s="7" t="s">
        <v>194</v>
      </c>
      <c r="M340" s="7" t="n">
        <v>38</v>
      </c>
      <c r="N340" s="7" t="n">
        <v>5</v>
      </c>
      <c r="O340" s="7" t="str">
        <f aca="false">A340&amp;"|"&amp;B340&amp;"|"&amp;C340&amp;"|"&amp;D340&amp;"|"&amp;E340&amp;"|"&amp;F340&amp;"|"&amp;G340&amp;"|"&amp;H340&amp;"|"&amp;I340&amp;"|"&amp;J340&amp;"|"&amp;K340&amp;"|"&amp;L340&amp;"|"&amp;M340&amp;"|"&amp;N340</f>
        <v>ORD12218|2025-10-09|14:56|C0621|Tandoor Tales|Delhi|North Indian|2|295|0|UPI|Delivered|38|5</v>
      </c>
      <c r="P340" s="7" t="str">
        <f aca="false">IF(COUNTIF($O$2:O340,O340)&gt;1,"DUP","OK")</f>
        <v>OK</v>
      </c>
      <c r="Q340" s="7" t="n">
        <f aca="false">COUNTBLANK(A340:N340)</f>
        <v>0</v>
      </c>
      <c r="R340" s="7" t="n">
        <f aca="false">IF(A340="",0,COUNTIFS($A$2:$A$3058,A340,$P$2:$P$3058,"OK"))</f>
        <v>1</v>
      </c>
      <c r="S340" s="7" t="str">
        <f aca="false">IF(OR(A340="",P340="DUP",R340&lt;2),"",IF(Q340=_xlfn.MINIFS($Q$2:$Q$3058,$A$2:$A$3058,A340,$P$2:$P$3058,"OK"),"KEEP","DROP"))</f>
        <v/>
      </c>
      <c r="T340" s="9" t="n">
        <f aca="false">IF(A340="",1,0)</f>
        <v>0</v>
      </c>
      <c r="U340" s="9" t="n">
        <f aca="false">IF(D340="",1,0)</f>
        <v>0</v>
      </c>
      <c r="V340" s="9" t="n">
        <f aca="false">IF(E340="",1,0)</f>
        <v>0</v>
      </c>
      <c r="W340" s="9" t="n">
        <f aca="false">IF(OR(H340&lt;1,H340&gt;10),1,0)</f>
        <v>0</v>
      </c>
      <c r="X340" s="9" t="n">
        <f aca="false">IF(OR(I340&lt;=0,I340&gt;1500),1,0)</f>
        <v>0</v>
      </c>
      <c r="Y340" s="9" t="n">
        <f aca="false">IF(J340&gt;H340*I340,1,0)</f>
        <v>0</v>
      </c>
      <c r="Z340" s="9" t="n">
        <f aca="false">IF(AND(N340&lt;&gt;"",OR(N340&lt;1,N340&gt;5)),1,0)</f>
        <v>0</v>
      </c>
      <c r="AA340" s="9" t="n">
        <f aca="false">IF(AND(M340&lt;&gt;"",OR(M340&lt;5,M340&gt;180)),1,0)</f>
        <v>0</v>
      </c>
      <c r="AB340" s="7" t="str">
        <f aca="false">IF(P340="DUP","Exact duplicate row",IF(T340=1,"Missing Order ID",IF(S340="DROP","Duplicate Order ID (less complete row)",IF(U340=1,"Missing Customer ID",IF(V340=1,"Missing Restaurant name",IF(W340=1,"Invalid/outlier quantity",IF(X340=1,"Invalid/outlier unit price",IF(Y340=1,"Discount greater than order value",""))))))))</f>
        <v/>
      </c>
      <c r="AC340" s="7" t="str">
        <f aca="false">IF(AB340="","KEEP","DROP")</f>
        <v>KEEP</v>
      </c>
      <c r="AD340" s="7" t="str">
        <f aca="false">IF(TRIM(F340)="",IFERROR(INDEX(Map_Tables!$I$4:$I$37,MATCH(TRIM(E340),Map_Tables!$G$4:$G$37,0)),""),IFERROR(INDEX(Map_Tables!$B$4:$B$18,MATCH(TRIM(F340),Map_Tables!$A$4:$A$18,0)),"CHECK"))</f>
        <v>Delhi</v>
      </c>
      <c r="AE340" s="7" t="str">
        <f aca="false">IF(TRIM(E340)="","",IFERROR(INDEX(Map_Tables!$H$4:$H$37,MATCH(TRIM(E340),Map_Tables!$G$4:$G$37,0)),"CHECK"))</f>
        <v>Tandoor Tales</v>
      </c>
      <c r="AF340" s="7" t="str">
        <f aca="false">IF(TRIM(K340)="","Unknown",IFERROR(INDEX(Map_Tables!$E$4:$E$15,MATCH(TRIM(K340),Map_Tables!$D$4:$D$15,0)),"CHECK"))</f>
        <v>UPI</v>
      </c>
      <c r="AG340" s="7" t="str">
        <f aca="false">IF(LEFT(LOWER(TRIM(L340)),6)="cancel","Cancelled","Delivered")</f>
        <v>Delivered</v>
      </c>
      <c r="AH340" s="10" t="n">
        <f aca="false">IF(ISNUMBER(SEARCH("/",B340)),DATE(VALUE(RIGHT(B340,4)),VALUE(MID(B340,4,2)),VALUE(LEFT(B340,2))),IF(MID(B340,5,1)="-",DATE(VALUE(LEFT(B340,4)),VALUE(MID(B340,6,2)),VALUE(RIGHT(B340,2))),DATE(VALUE(RIGHT(B340,4)),MATCH(MID(B340,4,3),{"Jan","Feb","Mar","Apr","May","Jun","Jul","Aug","Sep","Oct","Nov","Dec"},0),VALUE(LEFT(B340,2)))))</f>
        <v>45939</v>
      </c>
    </row>
    <row r="341" customFormat="false" ht="15" hidden="false" customHeight="false" outlineLevel="0" collapsed="false">
      <c r="A341" s="7" t="s">
        <v>1406</v>
      </c>
      <c r="B341" s="7" t="s">
        <v>231</v>
      </c>
      <c r="C341" s="7" t="s">
        <v>1407</v>
      </c>
      <c r="D341" s="7" t="s">
        <v>544</v>
      </c>
      <c r="E341" s="7" t="s">
        <v>104</v>
      </c>
      <c r="F341" s="7" t="s">
        <v>86</v>
      </c>
      <c r="G341" s="7" t="s">
        <v>105</v>
      </c>
      <c r="H341" s="7" t="n">
        <v>3</v>
      </c>
      <c r="I341" s="7" t="n">
        <v>215</v>
      </c>
      <c r="J341" s="7" t="n">
        <v>0</v>
      </c>
      <c r="K341" s="7" t="s">
        <v>103</v>
      </c>
      <c r="L341" s="7" t="s">
        <v>194</v>
      </c>
      <c r="M341" s="7" t="n">
        <v>19</v>
      </c>
      <c r="N341" s="7" t="n">
        <v>4</v>
      </c>
      <c r="O341" s="7" t="str">
        <f aca="false">A341&amp;"|"&amp;B341&amp;"|"&amp;C341&amp;"|"&amp;D341&amp;"|"&amp;E341&amp;"|"&amp;F341&amp;"|"&amp;G341&amp;"|"&amp;H341&amp;"|"&amp;I341&amp;"|"&amp;J341&amp;"|"&amp;K341&amp;"|"&amp;L341&amp;"|"&amp;M341&amp;"|"&amp;N341</f>
        <v>ORD12719|2025-11-30|18:21|C0530|Wok &amp; Roll|Bengaluru|Chinese|3|215|0|Debit Card|Delivered|19|4</v>
      </c>
      <c r="P341" s="7" t="str">
        <f aca="false">IF(COUNTIF($O$2:O341,O341)&gt;1,"DUP","OK")</f>
        <v>OK</v>
      </c>
      <c r="Q341" s="7" t="n">
        <f aca="false">COUNTBLANK(A341:N341)</f>
        <v>0</v>
      </c>
      <c r="R341" s="7" t="n">
        <f aca="false">IF(A341="",0,COUNTIFS($A$2:$A$3058,A341,$P$2:$P$3058,"OK"))</f>
        <v>1</v>
      </c>
      <c r="S341" s="7" t="str">
        <f aca="false">IF(OR(A341="",P341="DUP",R341&lt;2),"",IF(Q341=_xlfn.MINIFS($Q$2:$Q$3058,$A$2:$A$3058,A341,$P$2:$P$3058,"OK"),"KEEP","DROP"))</f>
        <v/>
      </c>
      <c r="T341" s="9" t="n">
        <f aca="false">IF(A341="",1,0)</f>
        <v>0</v>
      </c>
      <c r="U341" s="9" t="n">
        <f aca="false">IF(D341="",1,0)</f>
        <v>0</v>
      </c>
      <c r="V341" s="9" t="n">
        <f aca="false">IF(E341="",1,0)</f>
        <v>0</v>
      </c>
      <c r="W341" s="9" t="n">
        <f aca="false">IF(OR(H341&lt;1,H341&gt;10),1,0)</f>
        <v>0</v>
      </c>
      <c r="X341" s="9" t="n">
        <f aca="false">IF(OR(I341&lt;=0,I341&gt;1500),1,0)</f>
        <v>0</v>
      </c>
      <c r="Y341" s="9" t="n">
        <f aca="false">IF(J341&gt;H341*I341,1,0)</f>
        <v>0</v>
      </c>
      <c r="Z341" s="9" t="n">
        <f aca="false">IF(AND(N341&lt;&gt;"",OR(N341&lt;1,N341&gt;5)),1,0)</f>
        <v>0</v>
      </c>
      <c r="AA341" s="9" t="n">
        <f aca="false">IF(AND(M341&lt;&gt;"",OR(M341&lt;5,M341&gt;180)),1,0)</f>
        <v>0</v>
      </c>
      <c r="AB341" s="7" t="str">
        <f aca="false">IF(P341="DUP","Exact duplicate row",IF(T341=1,"Missing Order ID",IF(S341="DROP","Duplicate Order ID (less complete row)",IF(U341=1,"Missing Customer ID",IF(V341=1,"Missing Restaurant name",IF(W341=1,"Invalid/outlier quantity",IF(X341=1,"Invalid/outlier unit price",IF(Y341=1,"Discount greater than order value",""))))))))</f>
        <v/>
      </c>
      <c r="AC341" s="7" t="str">
        <f aca="false">IF(AB341="","KEEP","DROP")</f>
        <v>KEEP</v>
      </c>
      <c r="AD341" s="7" t="str">
        <f aca="false">IF(TRIM(F341)="",IFERROR(INDEX(Map_Tables!$I$4:$I$37,MATCH(TRIM(E341),Map_Tables!$G$4:$G$37,0)),""),IFERROR(INDEX(Map_Tables!$B$4:$B$18,MATCH(TRIM(F341),Map_Tables!$A$4:$A$18,0)),"CHECK"))</f>
        <v>Bengaluru</v>
      </c>
      <c r="AE341" s="7" t="str">
        <f aca="false">IF(TRIM(E341)="","",IFERROR(INDEX(Map_Tables!$H$4:$H$37,MATCH(TRIM(E341),Map_Tables!$G$4:$G$37,0)),"CHECK"))</f>
        <v>Wok &amp; Roll</v>
      </c>
      <c r="AF341" s="7" t="str">
        <f aca="false">IF(TRIM(K341)="","Unknown",IFERROR(INDEX(Map_Tables!$E$4:$E$15,MATCH(TRIM(K341),Map_Tables!$D$4:$D$15,0)),"CHECK"))</f>
        <v>Debit Card</v>
      </c>
      <c r="AG341" s="7" t="str">
        <f aca="false">IF(LEFT(LOWER(TRIM(L341)),6)="cancel","Cancelled","Delivered")</f>
        <v>Delivered</v>
      </c>
      <c r="AH341" s="10" t="n">
        <f aca="false">IF(ISNUMBER(SEARCH("/",B341)),DATE(VALUE(RIGHT(B341,4)),VALUE(MID(B341,4,2)),VALUE(LEFT(B341,2))),IF(MID(B341,5,1)="-",DATE(VALUE(LEFT(B341,4)),VALUE(MID(B341,6,2)),VALUE(RIGHT(B341,2))),DATE(VALUE(RIGHT(B341,4)),MATCH(MID(B341,4,3),{"Jan","Feb","Mar","Apr","May","Jun","Jul","Aug","Sep","Oct","Nov","Dec"},0),VALUE(LEFT(B341,2)))))</f>
        <v>45991</v>
      </c>
    </row>
    <row r="342" customFormat="false" ht="15" hidden="false" customHeight="false" outlineLevel="0" collapsed="false">
      <c r="A342" s="7" t="s">
        <v>1408</v>
      </c>
      <c r="B342" s="7" t="s">
        <v>1223</v>
      </c>
      <c r="C342" s="7" t="s">
        <v>1409</v>
      </c>
      <c r="D342" s="7" t="s">
        <v>1410</v>
      </c>
      <c r="E342" s="7" t="s">
        <v>138</v>
      </c>
      <c r="F342" s="7" t="s">
        <v>109</v>
      </c>
      <c r="G342" s="7" t="s">
        <v>139</v>
      </c>
      <c r="H342" s="7" t="n">
        <v>1</v>
      </c>
      <c r="I342" s="7" t="n">
        <v>215</v>
      </c>
      <c r="J342" s="7" t="n">
        <v>75</v>
      </c>
      <c r="K342" s="7" t="s">
        <v>88</v>
      </c>
      <c r="L342" s="7" t="s">
        <v>194</v>
      </c>
      <c r="M342" s="7" t="n">
        <v>34</v>
      </c>
      <c r="N342" s="7" t="n">
        <v>4</v>
      </c>
      <c r="O342" s="7" t="str">
        <f aca="false">A342&amp;"|"&amp;B342&amp;"|"&amp;C342&amp;"|"&amp;D342&amp;"|"&amp;E342&amp;"|"&amp;F342&amp;"|"&amp;G342&amp;"|"&amp;H342&amp;"|"&amp;I342&amp;"|"&amp;J342&amp;"|"&amp;K342&amp;"|"&amp;L342&amp;"|"&amp;M342&amp;"|"&amp;N342</f>
        <v>ORD11168|2025-05-28|23:14|C0726|Burger Barn|delhi|Burgers|1|215|75|UPI|Delivered|34|4</v>
      </c>
      <c r="P342" s="7" t="str">
        <f aca="false">IF(COUNTIF($O$2:O342,O342)&gt;1,"DUP","OK")</f>
        <v>OK</v>
      </c>
      <c r="Q342" s="7" t="n">
        <f aca="false">COUNTBLANK(A342:N342)</f>
        <v>0</v>
      </c>
      <c r="R342" s="7" t="n">
        <f aca="false">IF(A342="",0,COUNTIFS($A$2:$A$3058,A342,$P$2:$P$3058,"OK"))</f>
        <v>1</v>
      </c>
      <c r="S342" s="7" t="str">
        <f aca="false">IF(OR(A342="",P342="DUP",R342&lt;2),"",IF(Q342=_xlfn.MINIFS($Q$2:$Q$3058,$A$2:$A$3058,A342,$P$2:$P$3058,"OK"),"KEEP","DROP"))</f>
        <v/>
      </c>
      <c r="T342" s="9" t="n">
        <f aca="false">IF(A342="",1,0)</f>
        <v>0</v>
      </c>
      <c r="U342" s="9" t="n">
        <f aca="false">IF(D342="",1,0)</f>
        <v>0</v>
      </c>
      <c r="V342" s="9" t="n">
        <f aca="false">IF(E342="",1,0)</f>
        <v>0</v>
      </c>
      <c r="W342" s="9" t="n">
        <f aca="false">IF(OR(H342&lt;1,H342&gt;10),1,0)</f>
        <v>0</v>
      </c>
      <c r="X342" s="9" t="n">
        <f aca="false">IF(OR(I342&lt;=0,I342&gt;1500),1,0)</f>
        <v>0</v>
      </c>
      <c r="Y342" s="9" t="n">
        <f aca="false">IF(J342&gt;H342*I342,1,0)</f>
        <v>0</v>
      </c>
      <c r="Z342" s="9" t="n">
        <f aca="false">IF(AND(N342&lt;&gt;"",OR(N342&lt;1,N342&gt;5)),1,0)</f>
        <v>0</v>
      </c>
      <c r="AA342" s="9" t="n">
        <f aca="false">IF(AND(M342&lt;&gt;"",OR(M342&lt;5,M342&gt;180)),1,0)</f>
        <v>0</v>
      </c>
      <c r="AB342" s="7" t="str">
        <f aca="false">IF(P342="DUP","Exact duplicate row",IF(T342=1,"Missing Order ID",IF(S342="DROP","Duplicate Order ID (less complete row)",IF(U342=1,"Missing Customer ID",IF(V342=1,"Missing Restaurant name",IF(W342=1,"Invalid/outlier quantity",IF(X342=1,"Invalid/outlier unit price",IF(Y342=1,"Discount greater than order value",""))))))))</f>
        <v/>
      </c>
      <c r="AC342" s="7" t="str">
        <f aca="false">IF(AB342="","KEEP","DROP")</f>
        <v>KEEP</v>
      </c>
      <c r="AD342" s="7" t="str">
        <f aca="false">IF(TRIM(F342)="",IFERROR(INDEX(Map_Tables!$I$4:$I$37,MATCH(TRIM(E342),Map_Tables!$G$4:$G$37,0)),""),IFERROR(INDEX(Map_Tables!$B$4:$B$18,MATCH(TRIM(F342),Map_Tables!$A$4:$A$18,0)),"CHECK"))</f>
        <v>Delhi</v>
      </c>
      <c r="AE342" s="7" t="str">
        <f aca="false">IF(TRIM(E342)="","",IFERROR(INDEX(Map_Tables!$H$4:$H$37,MATCH(TRIM(E342),Map_Tables!$G$4:$G$37,0)),"CHECK"))</f>
        <v>Burger Barn</v>
      </c>
      <c r="AF342" s="7" t="str">
        <f aca="false">IF(TRIM(K342)="","Unknown",IFERROR(INDEX(Map_Tables!$E$4:$E$15,MATCH(TRIM(K342),Map_Tables!$D$4:$D$15,0)),"CHECK"))</f>
        <v>UPI</v>
      </c>
      <c r="AG342" s="7" t="str">
        <f aca="false">IF(LEFT(LOWER(TRIM(L342)),6)="cancel","Cancelled","Delivered")</f>
        <v>Delivered</v>
      </c>
      <c r="AH342" s="10" t="n">
        <f aca="false">IF(ISNUMBER(SEARCH("/",B342)),DATE(VALUE(RIGHT(B342,4)),VALUE(MID(B342,4,2)),VALUE(LEFT(B342,2))),IF(MID(B342,5,1)="-",DATE(VALUE(LEFT(B342,4)),VALUE(MID(B342,6,2)),VALUE(RIGHT(B342,2))),DATE(VALUE(RIGHT(B342,4)),MATCH(MID(B342,4,3),{"Jan","Feb","Mar","Apr","May","Jun","Jul","Aug","Sep","Oct","Nov","Dec"},0),VALUE(LEFT(B342,2)))))</f>
        <v>45805</v>
      </c>
    </row>
    <row r="343" customFormat="false" ht="15" hidden="false" customHeight="false" outlineLevel="0" collapsed="false">
      <c r="A343" s="7" t="s">
        <v>1411</v>
      </c>
      <c r="B343" s="7" t="s">
        <v>267</v>
      </c>
      <c r="C343" s="7" t="s">
        <v>1412</v>
      </c>
      <c r="D343" s="7" t="s">
        <v>1401</v>
      </c>
      <c r="E343" s="7" t="s">
        <v>152</v>
      </c>
      <c r="F343" s="7" t="s">
        <v>702</v>
      </c>
      <c r="G343" s="7" t="s">
        <v>95</v>
      </c>
      <c r="H343" s="7" t="n">
        <v>1</v>
      </c>
      <c r="I343" s="7" t="n">
        <v>105</v>
      </c>
      <c r="J343" s="7" t="n">
        <v>20</v>
      </c>
      <c r="K343" s="7" t="s">
        <v>93</v>
      </c>
      <c r="L343" s="7" t="s">
        <v>194</v>
      </c>
      <c r="M343" s="7" t="n">
        <v>26</v>
      </c>
      <c r="N343" s="7" t="n">
        <v>4</v>
      </c>
      <c r="O343" s="7" t="str">
        <f aca="false">A343&amp;"|"&amp;B343&amp;"|"&amp;C343&amp;"|"&amp;D343&amp;"|"&amp;E343&amp;"|"&amp;F343&amp;"|"&amp;G343&amp;"|"&amp;H343&amp;"|"&amp;I343&amp;"|"&amp;J343&amp;"|"&amp;K343&amp;"|"&amp;L343&amp;"|"&amp;M343&amp;"|"&amp;N343</f>
        <v>ORD11219|2025-06-03|22:25|C1367|Filter Coffee &amp; Tiffin|CHENNAI |South Indian|1|105|20|Credit Card|Delivered|26|4</v>
      </c>
      <c r="P343" s="7" t="str">
        <f aca="false">IF(COUNTIF($O$2:O343,O343)&gt;1,"DUP","OK")</f>
        <v>OK</v>
      </c>
      <c r="Q343" s="7" t="n">
        <f aca="false">COUNTBLANK(A343:N343)</f>
        <v>0</v>
      </c>
      <c r="R343" s="7" t="n">
        <f aca="false">IF(A343="",0,COUNTIFS($A$2:$A$3058,A343,$P$2:$P$3058,"OK"))</f>
        <v>1</v>
      </c>
      <c r="S343" s="7" t="str">
        <f aca="false">IF(OR(A343="",P343="DUP",R343&lt;2),"",IF(Q343=_xlfn.MINIFS($Q$2:$Q$3058,$A$2:$A$3058,A343,$P$2:$P$3058,"OK"),"KEEP","DROP"))</f>
        <v/>
      </c>
      <c r="T343" s="9" t="n">
        <f aca="false">IF(A343="",1,0)</f>
        <v>0</v>
      </c>
      <c r="U343" s="9" t="n">
        <f aca="false">IF(D343="",1,0)</f>
        <v>0</v>
      </c>
      <c r="V343" s="9" t="n">
        <f aca="false">IF(E343="",1,0)</f>
        <v>0</v>
      </c>
      <c r="W343" s="9" t="n">
        <f aca="false">IF(OR(H343&lt;1,H343&gt;10),1,0)</f>
        <v>0</v>
      </c>
      <c r="X343" s="9" t="n">
        <f aca="false">IF(OR(I343&lt;=0,I343&gt;1500),1,0)</f>
        <v>0</v>
      </c>
      <c r="Y343" s="9" t="n">
        <f aca="false">IF(J343&gt;H343*I343,1,0)</f>
        <v>0</v>
      </c>
      <c r="Z343" s="9" t="n">
        <f aca="false">IF(AND(N343&lt;&gt;"",OR(N343&lt;1,N343&gt;5)),1,0)</f>
        <v>0</v>
      </c>
      <c r="AA343" s="9" t="n">
        <f aca="false">IF(AND(M343&lt;&gt;"",OR(M343&lt;5,M343&gt;180)),1,0)</f>
        <v>0</v>
      </c>
      <c r="AB343" s="7" t="str">
        <f aca="false">IF(P343="DUP","Exact duplicate row",IF(T343=1,"Missing Order ID",IF(S343="DROP","Duplicate Order ID (less complete row)",IF(U343=1,"Missing Customer ID",IF(V343=1,"Missing Restaurant name",IF(W343=1,"Invalid/outlier quantity",IF(X343=1,"Invalid/outlier unit price",IF(Y343=1,"Discount greater than order value",""))))))))</f>
        <v/>
      </c>
      <c r="AC343" s="7" t="str">
        <f aca="false">IF(AB343="","KEEP","DROP")</f>
        <v>KEEP</v>
      </c>
      <c r="AD343" s="7" t="str">
        <f aca="false">IF(TRIM(F343)="",IFERROR(INDEX(Map_Tables!$I$4:$I$37,MATCH(TRIM(E343),Map_Tables!$G$4:$G$37,0)),""),IFERROR(INDEX(Map_Tables!$B$4:$B$18,MATCH(TRIM(F343),Map_Tables!$A$4:$A$18,0)),"CHECK"))</f>
        <v>Chennai</v>
      </c>
      <c r="AE343" s="7" t="str">
        <f aca="false">IF(TRIM(E343)="","",IFERROR(INDEX(Map_Tables!$H$4:$H$37,MATCH(TRIM(E343),Map_Tables!$G$4:$G$37,0)),"CHECK"))</f>
        <v>Filter Coffee &amp; Tiffin</v>
      </c>
      <c r="AF343" s="7" t="str">
        <f aca="false">IF(TRIM(K343)="","Unknown",IFERROR(INDEX(Map_Tables!$E$4:$E$15,MATCH(TRIM(K343),Map_Tables!$D$4:$D$15,0)),"CHECK"))</f>
        <v>Credit Card</v>
      </c>
      <c r="AG343" s="7" t="str">
        <f aca="false">IF(LEFT(LOWER(TRIM(L343)),6)="cancel","Cancelled","Delivered")</f>
        <v>Delivered</v>
      </c>
      <c r="AH343" s="10" t="n">
        <f aca="false">IF(ISNUMBER(SEARCH("/",B343)),DATE(VALUE(RIGHT(B343,4)),VALUE(MID(B343,4,2)),VALUE(LEFT(B343,2))),IF(MID(B343,5,1)="-",DATE(VALUE(LEFT(B343,4)),VALUE(MID(B343,6,2)),VALUE(RIGHT(B343,2))),DATE(VALUE(RIGHT(B343,4)),MATCH(MID(B343,4,3),{"Jan","Feb","Mar","Apr","May","Jun","Jul","Aug","Sep","Oct","Nov","Dec"},0),VALUE(LEFT(B343,2)))))</f>
        <v>45811</v>
      </c>
    </row>
    <row r="344" customFormat="false" ht="15" hidden="false" customHeight="false" outlineLevel="0" collapsed="false">
      <c r="A344" s="7" t="s">
        <v>1413</v>
      </c>
      <c r="B344" s="7" t="s">
        <v>768</v>
      </c>
      <c r="C344" s="7" t="s">
        <v>1414</v>
      </c>
      <c r="D344" s="7" t="s">
        <v>1146</v>
      </c>
      <c r="E344" s="7" t="s">
        <v>358</v>
      </c>
      <c r="F344" s="7" t="s">
        <v>136</v>
      </c>
      <c r="G344" s="7" t="s">
        <v>90</v>
      </c>
      <c r="H344" s="7" t="n">
        <v>1</v>
      </c>
      <c r="I344" s="7" t="n">
        <v>235</v>
      </c>
      <c r="J344" s="7" t="n">
        <v>0</v>
      </c>
      <c r="K344" s="7" t="s">
        <v>121</v>
      </c>
      <c r="L344" s="7" t="s">
        <v>238</v>
      </c>
      <c r="M344" s="7"/>
      <c r="N344" s="7"/>
      <c r="O344" s="7" t="str">
        <f aca="false">A344&amp;"|"&amp;B344&amp;"|"&amp;C344&amp;"|"&amp;D344&amp;"|"&amp;E344&amp;"|"&amp;F344&amp;"|"&amp;G344&amp;"|"&amp;H344&amp;"|"&amp;I344&amp;"|"&amp;J344&amp;"|"&amp;K344&amp;"|"&amp;L344&amp;"|"&amp;M344&amp;"|"&amp;N344</f>
        <v>ORD12571|2025-11-15|19:24|C1110|maratha thali house|Pune|North Indian|1|235|0|Wallet|Cancelled||</v>
      </c>
      <c r="P344" s="7" t="str">
        <f aca="false">IF(COUNTIF($O$2:O344,O344)&gt;1,"DUP","OK")</f>
        <v>OK</v>
      </c>
      <c r="Q344" s="7" t="n">
        <f aca="false">COUNTBLANK(A344:N344)</f>
        <v>2</v>
      </c>
      <c r="R344" s="7" t="n">
        <f aca="false">IF(A344="",0,COUNTIFS($A$2:$A$3058,A344,$P$2:$P$3058,"OK"))</f>
        <v>1</v>
      </c>
      <c r="S344" s="7" t="str">
        <f aca="false">IF(OR(A344="",P344="DUP",R344&lt;2),"",IF(Q344=_xlfn.MINIFS($Q$2:$Q$3058,$A$2:$A$3058,A344,$P$2:$P$3058,"OK"),"KEEP","DROP"))</f>
        <v/>
      </c>
      <c r="T344" s="9" t="n">
        <f aca="false">IF(A344="",1,0)</f>
        <v>0</v>
      </c>
      <c r="U344" s="9" t="n">
        <f aca="false">IF(D344="",1,0)</f>
        <v>0</v>
      </c>
      <c r="V344" s="9" t="n">
        <f aca="false">IF(E344="",1,0)</f>
        <v>0</v>
      </c>
      <c r="W344" s="9" t="n">
        <f aca="false">IF(OR(H344&lt;1,H344&gt;10),1,0)</f>
        <v>0</v>
      </c>
      <c r="X344" s="9" t="n">
        <f aca="false">IF(OR(I344&lt;=0,I344&gt;1500),1,0)</f>
        <v>0</v>
      </c>
      <c r="Y344" s="9" t="n">
        <f aca="false">IF(J344&gt;H344*I344,1,0)</f>
        <v>0</v>
      </c>
      <c r="Z344" s="9" t="n">
        <f aca="false">IF(AND(N344&lt;&gt;"",OR(N344&lt;1,N344&gt;5)),1,0)</f>
        <v>0</v>
      </c>
      <c r="AA344" s="9" t="n">
        <f aca="false">IF(AND(M344&lt;&gt;"",OR(M344&lt;5,M344&gt;180)),1,0)</f>
        <v>0</v>
      </c>
      <c r="AB344" s="7" t="str">
        <f aca="false">IF(P344="DUP","Exact duplicate row",IF(T344=1,"Missing Order ID",IF(S344="DROP","Duplicate Order ID (less complete row)",IF(U344=1,"Missing Customer ID",IF(V344=1,"Missing Restaurant name",IF(W344=1,"Invalid/outlier quantity",IF(X344=1,"Invalid/outlier unit price",IF(Y344=1,"Discount greater than order value",""))))))))</f>
        <v/>
      </c>
      <c r="AC344" s="7" t="str">
        <f aca="false">IF(AB344="","KEEP","DROP")</f>
        <v>KEEP</v>
      </c>
      <c r="AD344" s="7" t="str">
        <f aca="false">IF(TRIM(F344)="",IFERROR(INDEX(Map_Tables!$I$4:$I$37,MATCH(TRIM(E344),Map_Tables!$G$4:$G$37,0)),""),IFERROR(INDEX(Map_Tables!$B$4:$B$18,MATCH(TRIM(F344),Map_Tables!$A$4:$A$18,0)),"CHECK"))</f>
        <v>Pune</v>
      </c>
      <c r="AE344" s="7" t="str">
        <f aca="false">IF(TRIM(E344)="","",IFERROR(INDEX(Map_Tables!$H$4:$H$37,MATCH(TRIM(E344),Map_Tables!$G$4:$G$37,0)),"CHECK"))</f>
        <v>Maratha Thali House</v>
      </c>
      <c r="AF344" s="7" t="str">
        <f aca="false">IF(TRIM(K344)="","Unknown",IFERROR(INDEX(Map_Tables!$E$4:$E$15,MATCH(TRIM(K344),Map_Tables!$D$4:$D$15,0)),"CHECK"))</f>
        <v>Wallet</v>
      </c>
      <c r="AG344" s="7" t="str">
        <f aca="false">IF(LEFT(LOWER(TRIM(L344)),6)="cancel","Cancelled","Delivered")</f>
        <v>Cancelled</v>
      </c>
      <c r="AH344" s="10" t="n">
        <f aca="false">IF(ISNUMBER(SEARCH("/",B344)),DATE(VALUE(RIGHT(B344,4)),VALUE(MID(B344,4,2)),VALUE(LEFT(B344,2))),IF(MID(B344,5,1)="-",DATE(VALUE(LEFT(B344,4)),VALUE(MID(B344,6,2)),VALUE(RIGHT(B344,2))),DATE(VALUE(RIGHT(B344,4)),MATCH(MID(B344,4,3),{"Jan","Feb","Mar","Apr","May","Jun","Jul","Aug","Sep","Oct","Nov","Dec"},0),VALUE(LEFT(B344,2)))))</f>
        <v>45976</v>
      </c>
    </row>
    <row r="345" customFormat="false" ht="15" hidden="false" customHeight="false" outlineLevel="0" collapsed="false">
      <c r="A345" s="7" t="s">
        <v>1415</v>
      </c>
      <c r="B345" s="7" t="s">
        <v>1079</v>
      </c>
      <c r="C345" s="7" t="s">
        <v>961</v>
      </c>
      <c r="D345" s="7" t="s">
        <v>1416</v>
      </c>
      <c r="E345" s="7" t="s">
        <v>98</v>
      </c>
      <c r="F345" s="7" t="s">
        <v>86</v>
      </c>
      <c r="G345" s="7" t="s">
        <v>99</v>
      </c>
      <c r="H345" s="7" t="n">
        <v>1</v>
      </c>
      <c r="I345" s="7" t="n">
        <v>305</v>
      </c>
      <c r="J345" s="7" t="n">
        <v>30</v>
      </c>
      <c r="K345" s="7" t="s">
        <v>88</v>
      </c>
      <c r="L345" s="7" t="s">
        <v>194</v>
      </c>
      <c r="M345" s="7" t="n">
        <v>50</v>
      </c>
      <c r="N345" s="7" t="n">
        <v>5</v>
      </c>
      <c r="O345" s="7" t="str">
        <f aca="false">A345&amp;"|"&amp;B345&amp;"|"&amp;C345&amp;"|"&amp;D345&amp;"|"&amp;E345&amp;"|"&amp;F345&amp;"|"&amp;G345&amp;"|"&amp;H345&amp;"|"&amp;I345&amp;"|"&amp;J345&amp;"|"&amp;K345&amp;"|"&amp;L345&amp;"|"&amp;M345&amp;"|"&amp;N345</f>
        <v>ORD12318|2025-10-19|20:00|C1461|Nawabi Biryani House|Bengaluru|Biryani|1|305|30|UPI|Delivered|50|5</v>
      </c>
      <c r="P345" s="7" t="str">
        <f aca="false">IF(COUNTIF($O$2:O345,O345)&gt;1,"DUP","OK")</f>
        <v>OK</v>
      </c>
      <c r="Q345" s="7" t="n">
        <f aca="false">COUNTBLANK(A345:N345)</f>
        <v>0</v>
      </c>
      <c r="R345" s="7" t="n">
        <f aca="false">IF(A345="",0,COUNTIFS($A$2:$A$3058,A345,$P$2:$P$3058,"OK"))</f>
        <v>1</v>
      </c>
      <c r="S345" s="7" t="str">
        <f aca="false">IF(OR(A345="",P345="DUP",R345&lt;2),"",IF(Q345=_xlfn.MINIFS($Q$2:$Q$3058,$A$2:$A$3058,A345,$P$2:$P$3058,"OK"),"KEEP","DROP"))</f>
        <v/>
      </c>
      <c r="T345" s="9" t="n">
        <f aca="false">IF(A345="",1,0)</f>
        <v>0</v>
      </c>
      <c r="U345" s="9" t="n">
        <f aca="false">IF(D345="",1,0)</f>
        <v>0</v>
      </c>
      <c r="V345" s="9" t="n">
        <f aca="false">IF(E345="",1,0)</f>
        <v>0</v>
      </c>
      <c r="W345" s="9" t="n">
        <f aca="false">IF(OR(H345&lt;1,H345&gt;10),1,0)</f>
        <v>0</v>
      </c>
      <c r="X345" s="9" t="n">
        <f aca="false">IF(OR(I345&lt;=0,I345&gt;1500),1,0)</f>
        <v>0</v>
      </c>
      <c r="Y345" s="9" t="n">
        <f aca="false">IF(J345&gt;H345*I345,1,0)</f>
        <v>0</v>
      </c>
      <c r="Z345" s="9" t="n">
        <f aca="false">IF(AND(N345&lt;&gt;"",OR(N345&lt;1,N345&gt;5)),1,0)</f>
        <v>0</v>
      </c>
      <c r="AA345" s="9" t="n">
        <f aca="false">IF(AND(M345&lt;&gt;"",OR(M345&lt;5,M345&gt;180)),1,0)</f>
        <v>0</v>
      </c>
      <c r="AB345" s="7" t="str">
        <f aca="false">IF(P345="DUP","Exact duplicate row",IF(T345=1,"Missing Order ID",IF(S345="DROP","Duplicate Order ID (less complete row)",IF(U345=1,"Missing Customer ID",IF(V345=1,"Missing Restaurant name",IF(W345=1,"Invalid/outlier quantity",IF(X345=1,"Invalid/outlier unit price",IF(Y345=1,"Discount greater than order value",""))))))))</f>
        <v/>
      </c>
      <c r="AC345" s="7" t="str">
        <f aca="false">IF(AB345="","KEEP","DROP")</f>
        <v>KEEP</v>
      </c>
      <c r="AD345" s="7" t="str">
        <f aca="false">IF(TRIM(F345)="",IFERROR(INDEX(Map_Tables!$I$4:$I$37,MATCH(TRIM(E345),Map_Tables!$G$4:$G$37,0)),""),IFERROR(INDEX(Map_Tables!$B$4:$B$18,MATCH(TRIM(F345),Map_Tables!$A$4:$A$18,0)),"CHECK"))</f>
        <v>Bengaluru</v>
      </c>
      <c r="AE345" s="7" t="str">
        <f aca="false">IF(TRIM(E345)="","",IFERROR(INDEX(Map_Tables!$H$4:$H$37,MATCH(TRIM(E345),Map_Tables!$G$4:$G$37,0)),"CHECK"))</f>
        <v>Nawabi Biryani House</v>
      </c>
      <c r="AF345" s="7" t="str">
        <f aca="false">IF(TRIM(K345)="","Unknown",IFERROR(INDEX(Map_Tables!$E$4:$E$15,MATCH(TRIM(K345),Map_Tables!$D$4:$D$15,0)),"CHECK"))</f>
        <v>UPI</v>
      </c>
      <c r="AG345" s="7" t="str">
        <f aca="false">IF(LEFT(LOWER(TRIM(L345)),6)="cancel","Cancelled","Delivered")</f>
        <v>Delivered</v>
      </c>
      <c r="AH345" s="10" t="n">
        <f aca="false">IF(ISNUMBER(SEARCH("/",B345)),DATE(VALUE(RIGHT(B345,4)),VALUE(MID(B345,4,2)),VALUE(LEFT(B345,2))),IF(MID(B345,5,1)="-",DATE(VALUE(LEFT(B345,4)),VALUE(MID(B345,6,2)),VALUE(RIGHT(B345,2))),DATE(VALUE(RIGHT(B345,4)),MATCH(MID(B345,4,3),{"Jan","Feb","Mar","Apr","May","Jun","Jul","Aug","Sep","Oct","Nov","Dec"},0),VALUE(LEFT(B345,2)))))</f>
        <v>45949</v>
      </c>
    </row>
    <row r="346" customFormat="false" ht="15" hidden="false" customHeight="false" outlineLevel="0" collapsed="false">
      <c r="A346" s="7" t="s">
        <v>1417</v>
      </c>
      <c r="B346" s="7" t="s">
        <v>1418</v>
      </c>
      <c r="C346" s="7" t="s">
        <v>1419</v>
      </c>
      <c r="D346" s="7" t="s">
        <v>1420</v>
      </c>
      <c r="E346" s="7" t="s">
        <v>161</v>
      </c>
      <c r="F346" s="7" t="s">
        <v>141</v>
      </c>
      <c r="G346" s="7" t="s">
        <v>117</v>
      </c>
      <c r="H346" s="7" t="n">
        <v>3</v>
      </c>
      <c r="I346" s="7" t="n">
        <v>135</v>
      </c>
      <c r="J346" s="7" t="n">
        <v>40</v>
      </c>
      <c r="K346" s="7" t="s">
        <v>103</v>
      </c>
      <c r="L346" s="7" t="s">
        <v>194</v>
      </c>
      <c r="M346" s="7" t="n">
        <v>40</v>
      </c>
      <c r="N346" s="7" t="n">
        <v>4</v>
      </c>
      <c r="O346" s="7" t="str">
        <f aca="false">A346&amp;"|"&amp;B346&amp;"|"&amp;C346&amp;"|"&amp;D346&amp;"|"&amp;E346&amp;"|"&amp;F346&amp;"|"&amp;G346&amp;"|"&amp;H346&amp;"|"&amp;I346&amp;"|"&amp;J346&amp;"|"&amp;K346&amp;"|"&amp;L346&amp;"|"&amp;M346&amp;"|"&amp;N346</f>
        <v>ORD10963|02/05/2025|11:21|C0306|Bengal Bites|Kolkata|Street Food|3|135|40|Debit Card|Delivered|40|4</v>
      </c>
      <c r="P346" s="7" t="str">
        <f aca="false">IF(COUNTIF($O$2:O346,O346)&gt;1,"DUP","OK")</f>
        <v>OK</v>
      </c>
      <c r="Q346" s="7" t="n">
        <f aca="false">COUNTBLANK(A346:N346)</f>
        <v>0</v>
      </c>
      <c r="R346" s="7" t="n">
        <f aca="false">IF(A346="",0,COUNTIFS($A$2:$A$3058,A346,$P$2:$P$3058,"OK"))</f>
        <v>1</v>
      </c>
      <c r="S346" s="7" t="str">
        <f aca="false">IF(OR(A346="",P346="DUP",R346&lt;2),"",IF(Q346=_xlfn.MINIFS($Q$2:$Q$3058,$A$2:$A$3058,A346,$P$2:$P$3058,"OK"),"KEEP","DROP"))</f>
        <v/>
      </c>
      <c r="T346" s="9" t="n">
        <f aca="false">IF(A346="",1,0)</f>
        <v>0</v>
      </c>
      <c r="U346" s="9" t="n">
        <f aca="false">IF(D346="",1,0)</f>
        <v>0</v>
      </c>
      <c r="V346" s="9" t="n">
        <f aca="false">IF(E346="",1,0)</f>
        <v>0</v>
      </c>
      <c r="W346" s="9" t="n">
        <f aca="false">IF(OR(H346&lt;1,H346&gt;10),1,0)</f>
        <v>0</v>
      </c>
      <c r="X346" s="9" t="n">
        <f aca="false">IF(OR(I346&lt;=0,I346&gt;1500),1,0)</f>
        <v>0</v>
      </c>
      <c r="Y346" s="9" t="n">
        <f aca="false">IF(J346&gt;H346*I346,1,0)</f>
        <v>0</v>
      </c>
      <c r="Z346" s="9" t="n">
        <f aca="false">IF(AND(N346&lt;&gt;"",OR(N346&lt;1,N346&gt;5)),1,0)</f>
        <v>0</v>
      </c>
      <c r="AA346" s="9" t="n">
        <f aca="false">IF(AND(M346&lt;&gt;"",OR(M346&lt;5,M346&gt;180)),1,0)</f>
        <v>0</v>
      </c>
      <c r="AB346" s="7" t="str">
        <f aca="false">IF(P346="DUP","Exact duplicate row",IF(T346=1,"Missing Order ID",IF(S346="DROP","Duplicate Order ID (less complete row)",IF(U346=1,"Missing Customer ID",IF(V346=1,"Missing Restaurant name",IF(W346=1,"Invalid/outlier quantity",IF(X346=1,"Invalid/outlier unit price",IF(Y346=1,"Discount greater than order value",""))))))))</f>
        <v/>
      </c>
      <c r="AC346" s="7" t="str">
        <f aca="false">IF(AB346="","KEEP","DROP")</f>
        <v>KEEP</v>
      </c>
      <c r="AD346" s="7" t="str">
        <f aca="false">IF(TRIM(F346)="",IFERROR(INDEX(Map_Tables!$I$4:$I$37,MATCH(TRIM(E346),Map_Tables!$G$4:$G$37,0)),""),IFERROR(INDEX(Map_Tables!$B$4:$B$18,MATCH(TRIM(F346),Map_Tables!$A$4:$A$18,0)),"CHECK"))</f>
        <v>Kolkata</v>
      </c>
      <c r="AE346" s="7" t="str">
        <f aca="false">IF(TRIM(E346)="","",IFERROR(INDEX(Map_Tables!$H$4:$H$37,MATCH(TRIM(E346),Map_Tables!$G$4:$G$37,0)),"CHECK"))</f>
        <v>Bengal Bites</v>
      </c>
      <c r="AF346" s="7" t="str">
        <f aca="false">IF(TRIM(K346)="","Unknown",IFERROR(INDEX(Map_Tables!$E$4:$E$15,MATCH(TRIM(K346),Map_Tables!$D$4:$D$15,0)),"CHECK"))</f>
        <v>Debit Card</v>
      </c>
      <c r="AG346" s="7" t="str">
        <f aca="false">IF(LEFT(LOWER(TRIM(L346)),6)="cancel","Cancelled","Delivered")</f>
        <v>Delivered</v>
      </c>
      <c r="AH346" s="10" t="n">
        <f aca="false">IF(ISNUMBER(SEARCH("/",B346)),DATE(VALUE(RIGHT(B346,4)),VALUE(MID(B346,4,2)),VALUE(LEFT(B346,2))),IF(MID(B346,5,1)="-",DATE(VALUE(LEFT(B346,4)),VALUE(MID(B346,6,2)),VALUE(RIGHT(B346,2))),DATE(VALUE(RIGHT(B346,4)),MATCH(MID(B346,4,3),{"Jan","Feb","Mar","Apr","May","Jun","Jul","Aug","Sep","Oct","Nov","Dec"},0),VALUE(LEFT(B346,2)))))</f>
        <v>45779</v>
      </c>
    </row>
    <row r="347" customFormat="false" ht="15" hidden="false" customHeight="false" outlineLevel="0" collapsed="false">
      <c r="A347" s="7" t="s">
        <v>1421</v>
      </c>
      <c r="B347" s="7" t="s">
        <v>1422</v>
      </c>
      <c r="C347" s="7" t="s">
        <v>1423</v>
      </c>
      <c r="D347" s="7" t="s">
        <v>1424</v>
      </c>
      <c r="E347" s="7" t="s">
        <v>148</v>
      </c>
      <c r="F347" s="7" t="s">
        <v>119</v>
      </c>
      <c r="G347" s="7" t="s">
        <v>123</v>
      </c>
      <c r="H347" s="7" t="n">
        <v>1</v>
      </c>
      <c r="I347" s="7" t="n">
        <v>340</v>
      </c>
      <c r="J347" s="7" t="n">
        <v>0</v>
      </c>
      <c r="K347" s="7" t="s">
        <v>88</v>
      </c>
      <c r="L347" s="7" t="s">
        <v>194</v>
      </c>
      <c r="M347" s="7" t="n">
        <v>28</v>
      </c>
      <c r="N347" s="7" t="n">
        <v>3</v>
      </c>
      <c r="O347" s="7" t="str">
        <f aca="false">A347&amp;"|"&amp;B347&amp;"|"&amp;C347&amp;"|"&amp;D347&amp;"|"&amp;E347&amp;"|"&amp;F347&amp;"|"&amp;G347&amp;"|"&amp;H347&amp;"|"&amp;I347&amp;"|"&amp;J347&amp;"|"&amp;K347&amp;"|"&amp;L347&amp;"|"&amp;M347&amp;"|"&amp;N347</f>
        <v>ORD12402|30/10/2025|18:57|C1256|Pizza Palace|Hyderabad|Pizza|1|340|0|UPI|Delivered|28|3</v>
      </c>
      <c r="P347" s="7" t="str">
        <f aca="false">IF(COUNTIF($O$2:O347,O347)&gt;1,"DUP","OK")</f>
        <v>OK</v>
      </c>
      <c r="Q347" s="7" t="n">
        <f aca="false">COUNTBLANK(A347:N347)</f>
        <v>0</v>
      </c>
      <c r="R347" s="7" t="n">
        <f aca="false">IF(A347="",0,COUNTIFS($A$2:$A$3058,A347,$P$2:$P$3058,"OK"))</f>
        <v>1</v>
      </c>
      <c r="S347" s="7" t="str">
        <f aca="false">IF(OR(A347="",P347="DUP",R347&lt;2),"",IF(Q347=_xlfn.MINIFS($Q$2:$Q$3058,$A$2:$A$3058,A347,$P$2:$P$3058,"OK"),"KEEP","DROP"))</f>
        <v/>
      </c>
      <c r="T347" s="9" t="n">
        <f aca="false">IF(A347="",1,0)</f>
        <v>0</v>
      </c>
      <c r="U347" s="9" t="n">
        <f aca="false">IF(D347="",1,0)</f>
        <v>0</v>
      </c>
      <c r="V347" s="9" t="n">
        <f aca="false">IF(E347="",1,0)</f>
        <v>0</v>
      </c>
      <c r="W347" s="9" t="n">
        <f aca="false">IF(OR(H347&lt;1,H347&gt;10),1,0)</f>
        <v>0</v>
      </c>
      <c r="X347" s="9" t="n">
        <f aca="false">IF(OR(I347&lt;=0,I347&gt;1500),1,0)</f>
        <v>0</v>
      </c>
      <c r="Y347" s="9" t="n">
        <f aca="false">IF(J347&gt;H347*I347,1,0)</f>
        <v>0</v>
      </c>
      <c r="Z347" s="9" t="n">
        <f aca="false">IF(AND(N347&lt;&gt;"",OR(N347&lt;1,N347&gt;5)),1,0)</f>
        <v>0</v>
      </c>
      <c r="AA347" s="9" t="n">
        <f aca="false">IF(AND(M347&lt;&gt;"",OR(M347&lt;5,M347&gt;180)),1,0)</f>
        <v>0</v>
      </c>
      <c r="AB347" s="7" t="str">
        <f aca="false">IF(P347="DUP","Exact duplicate row",IF(T347=1,"Missing Order ID",IF(S347="DROP","Duplicate Order ID (less complete row)",IF(U347=1,"Missing Customer ID",IF(V347=1,"Missing Restaurant name",IF(W347=1,"Invalid/outlier quantity",IF(X347=1,"Invalid/outlier unit price",IF(Y347=1,"Discount greater than order value",""))))))))</f>
        <v/>
      </c>
      <c r="AC347" s="7" t="str">
        <f aca="false">IF(AB347="","KEEP","DROP")</f>
        <v>KEEP</v>
      </c>
      <c r="AD347" s="7" t="str">
        <f aca="false">IF(TRIM(F347)="",IFERROR(INDEX(Map_Tables!$I$4:$I$37,MATCH(TRIM(E347),Map_Tables!$G$4:$G$37,0)),""),IFERROR(INDEX(Map_Tables!$B$4:$B$18,MATCH(TRIM(F347),Map_Tables!$A$4:$A$18,0)),"CHECK"))</f>
        <v>Hyderabad</v>
      </c>
      <c r="AE347" s="7" t="str">
        <f aca="false">IF(TRIM(E347)="","",IFERROR(INDEX(Map_Tables!$H$4:$H$37,MATCH(TRIM(E347),Map_Tables!$G$4:$G$37,0)),"CHECK"))</f>
        <v>Pizza Palace</v>
      </c>
      <c r="AF347" s="7" t="str">
        <f aca="false">IF(TRIM(K347)="","Unknown",IFERROR(INDEX(Map_Tables!$E$4:$E$15,MATCH(TRIM(K347),Map_Tables!$D$4:$D$15,0)),"CHECK"))</f>
        <v>UPI</v>
      </c>
      <c r="AG347" s="7" t="str">
        <f aca="false">IF(LEFT(LOWER(TRIM(L347)),6)="cancel","Cancelled","Delivered")</f>
        <v>Delivered</v>
      </c>
      <c r="AH347" s="10" t="n">
        <f aca="false">IF(ISNUMBER(SEARCH("/",B347)),DATE(VALUE(RIGHT(B347,4)),VALUE(MID(B347,4,2)),VALUE(LEFT(B347,2))),IF(MID(B347,5,1)="-",DATE(VALUE(LEFT(B347,4)),VALUE(MID(B347,6,2)),VALUE(RIGHT(B347,2))),DATE(VALUE(RIGHT(B347,4)),MATCH(MID(B347,4,3),{"Jan","Feb","Mar","Apr","May","Jun","Jul","Aug","Sep","Oct","Nov","Dec"},0),VALUE(LEFT(B347,2)))))</f>
        <v>45960</v>
      </c>
    </row>
    <row r="348" customFormat="false" ht="15" hidden="false" customHeight="false" outlineLevel="0" collapsed="false">
      <c r="A348" s="7" t="s">
        <v>1425</v>
      </c>
      <c r="B348" s="7" t="s">
        <v>1426</v>
      </c>
      <c r="C348" s="7" t="s">
        <v>1427</v>
      </c>
      <c r="D348" s="7" t="s">
        <v>277</v>
      </c>
      <c r="E348" s="7" t="s">
        <v>113</v>
      </c>
      <c r="F348" s="7" t="s">
        <v>101</v>
      </c>
      <c r="G348" s="7" t="s">
        <v>90</v>
      </c>
      <c r="H348" s="7" t="n">
        <v>2</v>
      </c>
      <c r="I348" s="7" t="n">
        <v>175</v>
      </c>
      <c r="J348" s="7" t="n">
        <v>0</v>
      </c>
      <c r="K348" s="7" t="s">
        <v>93</v>
      </c>
      <c r="L348" s="7" t="s">
        <v>194</v>
      </c>
      <c r="M348" s="7" t="n">
        <v>47</v>
      </c>
      <c r="N348" s="7" t="n">
        <v>4</v>
      </c>
      <c r="O348" s="7" t="str">
        <f aca="false">A348&amp;"|"&amp;B348&amp;"|"&amp;C348&amp;"|"&amp;D348&amp;"|"&amp;E348&amp;"|"&amp;F348&amp;"|"&amp;G348&amp;"|"&amp;H348&amp;"|"&amp;I348&amp;"|"&amp;J348&amp;"|"&amp;K348&amp;"|"&amp;L348&amp;"|"&amp;M348&amp;"|"&amp;N348</f>
        <v>ORD10037|06/01/2025|08:27|C0365|Curry Leaf Kitchen|Mumbai|North Indian|2|175|0|Credit Card|Delivered|47|4</v>
      </c>
      <c r="P348" s="7" t="str">
        <f aca="false">IF(COUNTIF($O$2:O348,O348)&gt;1,"DUP","OK")</f>
        <v>OK</v>
      </c>
      <c r="Q348" s="7" t="n">
        <f aca="false">COUNTBLANK(A348:N348)</f>
        <v>0</v>
      </c>
      <c r="R348" s="7" t="n">
        <f aca="false">IF(A348="",0,COUNTIFS($A$2:$A$3058,A348,$P$2:$P$3058,"OK"))</f>
        <v>1</v>
      </c>
      <c r="S348" s="7" t="str">
        <f aca="false">IF(OR(A348="",P348="DUP",R348&lt;2),"",IF(Q348=_xlfn.MINIFS($Q$2:$Q$3058,$A$2:$A$3058,A348,$P$2:$P$3058,"OK"),"KEEP","DROP"))</f>
        <v/>
      </c>
      <c r="T348" s="9" t="n">
        <f aca="false">IF(A348="",1,0)</f>
        <v>0</v>
      </c>
      <c r="U348" s="9" t="n">
        <f aca="false">IF(D348="",1,0)</f>
        <v>0</v>
      </c>
      <c r="V348" s="9" t="n">
        <f aca="false">IF(E348="",1,0)</f>
        <v>0</v>
      </c>
      <c r="W348" s="9" t="n">
        <f aca="false">IF(OR(H348&lt;1,H348&gt;10),1,0)</f>
        <v>0</v>
      </c>
      <c r="X348" s="9" t="n">
        <f aca="false">IF(OR(I348&lt;=0,I348&gt;1500),1,0)</f>
        <v>0</v>
      </c>
      <c r="Y348" s="9" t="n">
        <f aca="false">IF(J348&gt;H348*I348,1,0)</f>
        <v>0</v>
      </c>
      <c r="Z348" s="9" t="n">
        <f aca="false">IF(AND(N348&lt;&gt;"",OR(N348&lt;1,N348&gt;5)),1,0)</f>
        <v>0</v>
      </c>
      <c r="AA348" s="9" t="n">
        <f aca="false">IF(AND(M348&lt;&gt;"",OR(M348&lt;5,M348&gt;180)),1,0)</f>
        <v>0</v>
      </c>
      <c r="AB348" s="7" t="str">
        <f aca="false">IF(P348="DUP","Exact duplicate row",IF(T348=1,"Missing Order ID",IF(S348="DROP","Duplicate Order ID (less complete row)",IF(U348=1,"Missing Customer ID",IF(V348=1,"Missing Restaurant name",IF(W348=1,"Invalid/outlier quantity",IF(X348=1,"Invalid/outlier unit price",IF(Y348=1,"Discount greater than order value",""))))))))</f>
        <v/>
      </c>
      <c r="AC348" s="7" t="str">
        <f aca="false">IF(AB348="","KEEP","DROP")</f>
        <v>KEEP</v>
      </c>
      <c r="AD348" s="7" t="str">
        <f aca="false">IF(TRIM(F348)="",IFERROR(INDEX(Map_Tables!$I$4:$I$37,MATCH(TRIM(E348),Map_Tables!$G$4:$G$37,0)),""),IFERROR(INDEX(Map_Tables!$B$4:$B$18,MATCH(TRIM(F348),Map_Tables!$A$4:$A$18,0)),"CHECK"))</f>
        <v>Mumbai</v>
      </c>
      <c r="AE348" s="7" t="str">
        <f aca="false">IF(TRIM(E348)="","",IFERROR(INDEX(Map_Tables!$H$4:$H$37,MATCH(TRIM(E348),Map_Tables!$G$4:$G$37,0)),"CHECK"))</f>
        <v>Curry Leaf Kitchen</v>
      </c>
      <c r="AF348" s="7" t="str">
        <f aca="false">IF(TRIM(K348)="","Unknown",IFERROR(INDEX(Map_Tables!$E$4:$E$15,MATCH(TRIM(K348),Map_Tables!$D$4:$D$15,0)),"CHECK"))</f>
        <v>Credit Card</v>
      </c>
      <c r="AG348" s="7" t="str">
        <f aca="false">IF(LEFT(LOWER(TRIM(L348)),6)="cancel","Cancelled","Delivered")</f>
        <v>Delivered</v>
      </c>
      <c r="AH348" s="10" t="n">
        <f aca="false">IF(ISNUMBER(SEARCH("/",B348)),DATE(VALUE(RIGHT(B348,4)),VALUE(MID(B348,4,2)),VALUE(LEFT(B348,2))),IF(MID(B348,5,1)="-",DATE(VALUE(LEFT(B348,4)),VALUE(MID(B348,6,2)),VALUE(RIGHT(B348,2))),DATE(VALUE(RIGHT(B348,4)),MATCH(MID(B348,4,3),{"Jan","Feb","Mar","Apr","May","Jun","Jul","Aug","Sep","Oct","Nov","Dec"},0),VALUE(LEFT(B348,2)))))</f>
        <v>45663</v>
      </c>
    </row>
    <row r="349" customFormat="false" ht="15" hidden="false" customHeight="false" outlineLevel="0" collapsed="false">
      <c r="A349" s="7" t="s">
        <v>1428</v>
      </c>
      <c r="B349" s="7" t="s">
        <v>1429</v>
      </c>
      <c r="C349" s="7" t="s">
        <v>1430</v>
      </c>
      <c r="D349" s="7" t="s">
        <v>1431</v>
      </c>
      <c r="E349" s="7" t="s">
        <v>138</v>
      </c>
      <c r="F349" s="7" t="s">
        <v>110</v>
      </c>
      <c r="G349" s="7" t="s">
        <v>139</v>
      </c>
      <c r="H349" s="7" t="n">
        <v>3</v>
      </c>
      <c r="I349" s="7" t="n">
        <v>145</v>
      </c>
      <c r="J349" s="7" t="n">
        <v>75</v>
      </c>
      <c r="K349" s="7" t="s">
        <v>88</v>
      </c>
      <c r="L349" s="7" t="s">
        <v>194</v>
      </c>
      <c r="M349" s="7" t="n">
        <v>350</v>
      </c>
      <c r="N349" s="7" t="n">
        <v>3</v>
      </c>
      <c r="O349" s="7" t="str">
        <f aca="false">A349&amp;"|"&amp;B349&amp;"|"&amp;C349&amp;"|"&amp;D349&amp;"|"&amp;E349&amp;"|"&amp;F349&amp;"|"&amp;G349&amp;"|"&amp;H349&amp;"|"&amp;I349&amp;"|"&amp;J349&amp;"|"&amp;K349&amp;"|"&amp;L349&amp;"|"&amp;M349&amp;"|"&amp;N349</f>
        <v>ORD12895|2025-12-20|21:21|C0692|Burger Barn|Delhi|Burgers|3|145|75|UPI|Delivered|350|3</v>
      </c>
      <c r="P349" s="7" t="str">
        <f aca="false">IF(COUNTIF($O$2:O349,O349)&gt;1,"DUP","OK")</f>
        <v>OK</v>
      </c>
      <c r="Q349" s="7" t="n">
        <f aca="false">COUNTBLANK(A349:N349)</f>
        <v>0</v>
      </c>
      <c r="R349" s="7" t="n">
        <f aca="false">IF(A349="",0,COUNTIFS($A$2:$A$3058,A349,$P$2:$P$3058,"OK"))</f>
        <v>1</v>
      </c>
      <c r="S349" s="7" t="str">
        <f aca="false">IF(OR(A349="",P349="DUP",R349&lt;2),"",IF(Q349=_xlfn.MINIFS($Q$2:$Q$3058,$A$2:$A$3058,A349,$P$2:$P$3058,"OK"),"KEEP","DROP"))</f>
        <v/>
      </c>
      <c r="T349" s="9" t="n">
        <f aca="false">IF(A349="",1,0)</f>
        <v>0</v>
      </c>
      <c r="U349" s="9" t="n">
        <f aca="false">IF(D349="",1,0)</f>
        <v>0</v>
      </c>
      <c r="V349" s="9" t="n">
        <f aca="false">IF(E349="",1,0)</f>
        <v>0</v>
      </c>
      <c r="W349" s="9" t="n">
        <f aca="false">IF(OR(H349&lt;1,H349&gt;10),1,0)</f>
        <v>0</v>
      </c>
      <c r="X349" s="9" t="n">
        <f aca="false">IF(OR(I349&lt;=0,I349&gt;1500),1,0)</f>
        <v>0</v>
      </c>
      <c r="Y349" s="9" t="n">
        <f aca="false">IF(J349&gt;H349*I349,1,0)</f>
        <v>0</v>
      </c>
      <c r="Z349" s="9" t="n">
        <f aca="false">IF(AND(N349&lt;&gt;"",OR(N349&lt;1,N349&gt;5)),1,0)</f>
        <v>0</v>
      </c>
      <c r="AA349" s="9" t="n">
        <f aca="false">IF(AND(M349&lt;&gt;"",OR(M349&lt;5,M349&gt;180)),1,0)</f>
        <v>1</v>
      </c>
      <c r="AB349" s="7" t="str">
        <f aca="false">IF(P349="DUP","Exact duplicate row",IF(T349=1,"Missing Order ID",IF(S349="DROP","Duplicate Order ID (less complete row)",IF(U349=1,"Missing Customer ID",IF(V349=1,"Missing Restaurant name",IF(W349=1,"Invalid/outlier quantity",IF(X349=1,"Invalid/outlier unit price",IF(Y349=1,"Discount greater than order value",""))))))))</f>
        <v/>
      </c>
      <c r="AC349" s="7" t="str">
        <f aca="false">IF(AB349="","KEEP","DROP")</f>
        <v>KEEP</v>
      </c>
      <c r="AD349" s="7" t="str">
        <f aca="false">IF(TRIM(F349)="",IFERROR(INDEX(Map_Tables!$I$4:$I$37,MATCH(TRIM(E349),Map_Tables!$G$4:$G$37,0)),""),IFERROR(INDEX(Map_Tables!$B$4:$B$18,MATCH(TRIM(F349),Map_Tables!$A$4:$A$18,0)),"CHECK"))</f>
        <v>Delhi</v>
      </c>
      <c r="AE349" s="7" t="str">
        <f aca="false">IF(TRIM(E349)="","",IFERROR(INDEX(Map_Tables!$H$4:$H$37,MATCH(TRIM(E349),Map_Tables!$G$4:$G$37,0)),"CHECK"))</f>
        <v>Burger Barn</v>
      </c>
      <c r="AF349" s="7" t="str">
        <f aca="false">IF(TRIM(K349)="","Unknown",IFERROR(INDEX(Map_Tables!$E$4:$E$15,MATCH(TRIM(K349),Map_Tables!$D$4:$D$15,0)),"CHECK"))</f>
        <v>UPI</v>
      </c>
      <c r="AG349" s="7" t="str">
        <f aca="false">IF(LEFT(LOWER(TRIM(L349)),6)="cancel","Cancelled","Delivered")</f>
        <v>Delivered</v>
      </c>
      <c r="AH349" s="10" t="n">
        <f aca="false">IF(ISNUMBER(SEARCH("/",B349)),DATE(VALUE(RIGHT(B349,4)),VALUE(MID(B349,4,2)),VALUE(LEFT(B349,2))),IF(MID(B349,5,1)="-",DATE(VALUE(LEFT(B349,4)),VALUE(MID(B349,6,2)),VALUE(RIGHT(B349,2))),DATE(VALUE(RIGHT(B349,4)),MATCH(MID(B349,4,3),{"Jan","Feb","Mar","Apr","May","Jun","Jul","Aug","Sep","Oct","Nov","Dec"},0),VALUE(LEFT(B349,2)))))</f>
        <v>46011</v>
      </c>
    </row>
    <row r="350" customFormat="false" ht="15" hidden="false" customHeight="false" outlineLevel="0" collapsed="false">
      <c r="A350" s="7" t="s">
        <v>1432</v>
      </c>
      <c r="B350" s="7" t="s">
        <v>1433</v>
      </c>
      <c r="C350" s="7" t="s">
        <v>1434</v>
      </c>
      <c r="D350" s="7" t="s">
        <v>1435</v>
      </c>
      <c r="E350" s="7" t="s">
        <v>154</v>
      </c>
      <c r="F350" s="7" t="s">
        <v>128</v>
      </c>
      <c r="G350" s="7" t="s">
        <v>99</v>
      </c>
      <c r="H350" s="7" t="n">
        <v>5</v>
      </c>
      <c r="I350" s="7" t="n">
        <v>285</v>
      </c>
      <c r="J350" s="7" t="n">
        <v>50</v>
      </c>
      <c r="K350" s="7" t="s">
        <v>88</v>
      </c>
      <c r="L350" s="7" t="s">
        <v>194</v>
      </c>
      <c r="M350" s="7" t="n">
        <v>32</v>
      </c>
      <c r="N350" s="7" t="n">
        <v>3</v>
      </c>
      <c r="O350" s="7" t="str">
        <f aca="false">A350&amp;"|"&amp;B350&amp;"|"&amp;C350&amp;"|"&amp;D350&amp;"|"&amp;E350&amp;"|"&amp;F350&amp;"|"&amp;G350&amp;"|"&amp;H350&amp;"|"&amp;I350&amp;"|"&amp;J350&amp;"|"&amp;K350&amp;"|"&amp;L350&amp;"|"&amp;M350&amp;"|"&amp;N350</f>
        <v>ORD12064|2025-09-23|21:05|C0137|Madras Biryani Co|Chennai|Biryani|5|285|50|UPI|Delivered|32|3</v>
      </c>
      <c r="P350" s="7" t="str">
        <f aca="false">IF(COUNTIF($O$2:O350,O350)&gt;1,"DUP","OK")</f>
        <v>OK</v>
      </c>
      <c r="Q350" s="7" t="n">
        <f aca="false">COUNTBLANK(A350:N350)</f>
        <v>0</v>
      </c>
      <c r="R350" s="7" t="n">
        <f aca="false">IF(A350="",0,COUNTIFS($A$2:$A$3058,A350,$P$2:$P$3058,"OK"))</f>
        <v>1</v>
      </c>
      <c r="S350" s="7" t="str">
        <f aca="false">IF(OR(A350="",P350="DUP",R350&lt;2),"",IF(Q350=_xlfn.MINIFS($Q$2:$Q$3058,$A$2:$A$3058,A350,$P$2:$P$3058,"OK"),"KEEP","DROP"))</f>
        <v/>
      </c>
      <c r="T350" s="9" t="n">
        <f aca="false">IF(A350="",1,0)</f>
        <v>0</v>
      </c>
      <c r="U350" s="9" t="n">
        <f aca="false">IF(D350="",1,0)</f>
        <v>0</v>
      </c>
      <c r="V350" s="9" t="n">
        <f aca="false">IF(E350="",1,0)</f>
        <v>0</v>
      </c>
      <c r="W350" s="9" t="n">
        <f aca="false">IF(OR(H350&lt;1,H350&gt;10),1,0)</f>
        <v>0</v>
      </c>
      <c r="X350" s="9" t="n">
        <f aca="false">IF(OR(I350&lt;=0,I350&gt;1500),1,0)</f>
        <v>0</v>
      </c>
      <c r="Y350" s="9" t="n">
        <f aca="false">IF(J350&gt;H350*I350,1,0)</f>
        <v>0</v>
      </c>
      <c r="Z350" s="9" t="n">
        <f aca="false">IF(AND(N350&lt;&gt;"",OR(N350&lt;1,N350&gt;5)),1,0)</f>
        <v>0</v>
      </c>
      <c r="AA350" s="9" t="n">
        <f aca="false">IF(AND(M350&lt;&gt;"",OR(M350&lt;5,M350&gt;180)),1,0)</f>
        <v>0</v>
      </c>
      <c r="AB350" s="7" t="str">
        <f aca="false">IF(P350="DUP","Exact duplicate row",IF(T350=1,"Missing Order ID",IF(S350="DROP","Duplicate Order ID (less complete row)",IF(U350=1,"Missing Customer ID",IF(V350=1,"Missing Restaurant name",IF(W350=1,"Invalid/outlier quantity",IF(X350=1,"Invalid/outlier unit price",IF(Y350=1,"Discount greater than order value",""))))))))</f>
        <v/>
      </c>
      <c r="AC350" s="7" t="str">
        <f aca="false">IF(AB350="","KEEP","DROP")</f>
        <v>KEEP</v>
      </c>
      <c r="AD350" s="7" t="str">
        <f aca="false">IF(TRIM(F350)="",IFERROR(INDEX(Map_Tables!$I$4:$I$37,MATCH(TRIM(E350),Map_Tables!$G$4:$G$37,0)),""),IFERROR(INDEX(Map_Tables!$B$4:$B$18,MATCH(TRIM(F350),Map_Tables!$A$4:$A$18,0)),"CHECK"))</f>
        <v>Chennai</v>
      </c>
      <c r="AE350" s="7" t="str">
        <f aca="false">IF(TRIM(E350)="","",IFERROR(INDEX(Map_Tables!$H$4:$H$37,MATCH(TRIM(E350),Map_Tables!$G$4:$G$37,0)),"CHECK"))</f>
        <v>Madras Biryani Co</v>
      </c>
      <c r="AF350" s="7" t="str">
        <f aca="false">IF(TRIM(K350)="","Unknown",IFERROR(INDEX(Map_Tables!$E$4:$E$15,MATCH(TRIM(K350),Map_Tables!$D$4:$D$15,0)),"CHECK"))</f>
        <v>UPI</v>
      </c>
      <c r="AG350" s="7" t="str">
        <f aca="false">IF(LEFT(LOWER(TRIM(L350)),6)="cancel","Cancelled","Delivered")</f>
        <v>Delivered</v>
      </c>
      <c r="AH350" s="10" t="n">
        <f aca="false">IF(ISNUMBER(SEARCH("/",B350)),DATE(VALUE(RIGHT(B350,4)),VALUE(MID(B350,4,2)),VALUE(LEFT(B350,2))),IF(MID(B350,5,1)="-",DATE(VALUE(LEFT(B350,4)),VALUE(MID(B350,6,2)),VALUE(RIGHT(B350,2))),DATE(VALUE(RIGHT(B350,4)),MATCH(MID(B350,4,3),{"Jan","Feb","Mar","Apr","May","Jun","Jul","Aug","Sep","Oct","Nov","Dec"},0),VALUE(LEFT(B350,2)))))</f>
        <v>45923</v>
      </c>
    </row>
    <row r="351" customFormat="false" ht="15" hidden="false" customHeight="false" outlineLevel="0" collapsed="false">
      <c r="A351" s="7" t="s">
        <v>1436</v>
      </c>
      <c r="B351" s="7" t="s">
        <v>1437</v>
      </c>
      <c r="C351" s="7" t="s">
        <v>1438</v>
      </c>
      <c r="D351" s="7" t="s">
        <v>1059</v>
      </c>
      <c r="E351" s="7" t="s">
        <v>168</v>
      </c>
      <c r="F351" s="7" t="s">
        <v>146</v>
      </c>
      <c r="G351" s="7" t="s">
        <v>123</v>
      </c>
      <c r="H351" s="7" t="n">
        <v>5</v>
      </c>
      <c r="I351" s="7" t="n">
        <v>350</v>
      </c>
      <c r="J351" s="7" t="n">
        <v>40</v>
      </c>
      <c r="K351" s="7" t="s">
        <v>88</v>
      </c>
      <c r="L351" s="7" t="s">
        <v>194</v>
      </c>
      <c r="M351" s="7" t="n">
        <v>22</v>
      </c>
      <c r="N351" s="7" t="n">
        <v>5</v>
      </c>
      <c r="O351" s="7" t="str">
        <f aca="false">A351&amp;"|"&amp;B351&amp;"|"&amp;C351&amp;"|"&amp;D351&amp;"|"&amp;E351&amp;"|"&amp;F351&amp;"|"&amp;G351&amp;"|"&amp;H351&amp;"|"&amp;I351&amp;"|"&amp;J351&amp;"|"&amp;K351&amp;"|"&amp;L351&amp;"|"&amp;M351&amp;"|"&amp;N351</f>
        <v>ORD11636|2025-08-02|09:47|C1149|Cheesy Slice|Ahmedabad|Pizza|5|350|40|UPI|Delivered|22|5</v>
      </c>
      <c r="P351" s="7" t="str">
        <f aca="false">IF(COUNTIF($O$2:O351,O351)&gt;1,"DUP","OK")</f>
        <v>OK</v>
      </c>
      <c r="Q351" s="7" t="n">
        <f aca="false">COUNTBLANK(A351:N351)</f>
        <v>0</v>
      </c>
      <c r="R351" s="7" t="n">
        <f aca="false">IF(A351="",0,COUNTIFS($A$2:$A$3058,A351,$P$2:$P$3058,"OK"))</f>
        <v>1</v>
      </c>
      <c r="S351" s="7" t="str">
        <f aca="false">IF(OR(A351="",P351="DUP",R351&lt;2),"",IF(Q351=_xlfn.MINIFS($Q$2:$Q$3058,$A$2:$A$3058,A351,$P$2:$P$3058,"OK"),"KEEP","DROP"))</f>
        <v/>
      </c>
      <c r="T351" s="9" t="n">
        <f aca="false">IF(A351="",1,0)</f>
        <v>0</v>
      </c>
      <c r="U351" s="9" t="n">
        <f aca="false">IF(D351="",1,0)</f>
        <v>0</v>
      </c>
      <c r="V351" s="9" t="n">
        <f aca="false">IF(E351="",1,0)</f>
        <v>0</v>
      </c>
      <c r="W351" s="9" t="n">
        <f aca="false">IF(OR(H351&lt;1,H351&gt;10),1,0)</f>
        <v>0</v>
      </c>
      <c r="X351" s="9" t="n">
        <f aca="false">IF(OR(I351&lt;=0,I351&gt;1500),1,0)</f>
        <v>0</v>
      </c>
      <c r="Y351" s="9" t="n">
        <f aca="false">IF(J351&gt;H351*I351,1,0)</f>
        <v>0</v>
      </c>
      <c r="Z351" s="9" t="n">
        <f aca="false">IF(AND(N351&lt;&gt;"",OR(N351&lt;1,N351&gt;5)),1,0)</f>
        <v>0</v>
      </c>
      <c r="AA351" s="9" t="n">
        <f aca="false">IF(AND(M351&lt;&gt;"",OR(M351&lt;5,M351&gt;180)),1,0)</f>
        <v>0</v>
      </c>
      <c r="AB351" s="7" t="str">
        <f aca="false">IF(P351="DUP","Exact duplicate row",IF(T351=1,"Missing Order ID",IF(S351="DROP","Duplicate Order ID (less complete row)",IF(U351=1,"Missing Customer ID",IF(V351=1,"Missing Restaurant name",IF(W351=1,"Invalid/outlier quantity",IF(X351=1,"Invalid/outlier unit price",IF(Y351=1,"Discount greater than order value",""))))))))</f>
        <v/>
      </c>
      <c r="AC351" s="7" t="str">
        <f aca="false">IF(AB351="","KEEP","DROP")</f>
        <v>KEEP</v>
      </c>
      <c r="AD351" s="7" t="str">
        <f aca="false">IF(TRIM(F351)="",IFERROR(INDEX(Map_Tables!$I$4:$I$37,MATCH(TRIM(E351),Map_Tables!$G$4:$G$37,0)),""),IFERROR(INDEX(Map_Tables!$B$4:$B$18,MATCH(TRIM(F351),Map_Tables!$A$4:$A$18,0)),"CHECK"))</f>
        <v>Ahmedabad</v>
      </c>
      <c r="AE351" s="7" t="str">
        <f aca="false">IF(TRIM(E351)="","",IFERROR(INDEX(Map_Tables!$H$4:$H$37,MATCH(TRIM(E351),Map_Tables!$G$4:$G$37,0)),"CHECK"))</f>
        <v>Cheesy Slice</v>
      </c>
      <c r="AF351" s="7" t="str">
        <f aca="false">IF(TRIM(K351)="","Unknown",IFERROR(INDEX(Map_Tables!$E$4:$E$15,MATCH(TRIM(K351),Map_Tables!$D$4:$D$15,0)),"CHECK"))</f>
        <v>UPI</v>
      </c>
      <c r="AG351" s="7" t="str">
        <f aca="false">IF(LEFT(LOWER(TRIM(L351)),6)="cancel","Cancelled","Delivered")</f>
        <v>Delivered</v>
      </c>
      <c r="AH351" s="10" t="n">
        <f aca="false">IF(ISNUMBER(SEARCH("/",B351)),DATE(VALUE(RIGHT(B351,4)),VALUE(MID(B351,4,2)),VALUE(LEFT(B351,2))),IF(MID(B351,5,1)="-",DATE(VALUE(LEFT(B351,4)),VALUE(MID(B351,6,2)),VALUE(RIGHT(B351,2))),DATE(VALUE(RIGHT(B351,4)),MATCH(MID(B351,4,3),{"Jan","Feb","Mar","Apr","May","Jun","Jul","Aug","Sep","Oct","Nov","Dec"},0),VALUE(LEFT(B351,2)))))</f>
        <v>45871</v>
      </c>
    </row>
    <row r="352" customFormat="false" ht="15" hidden="false" customHeight="false" outlineLevel="0" collapsed="false">
      <c r="A352" s="7" t="s">
        <v>1439</v>
      </c>
      <c r="B352" s="7" t="s">
        <v>1223</v>
      </c>
      <c r="C352" s="7" t="s">
        <v>301</v>
      </c>
      <c r="D352" s="7" t="s">
        <v>1440</v>
      </c>
      <c r="E352" s="7" t="s">
        <v>126</v>
      </c>
      <c r="F352" s="7" t="s">
        <v>101</v>
      </c>
      <c r="G352" s="7" t="s">
        <v>105</v>
      </c>
      <c r="H352" s="7" t="n">
        <v>4</v>
      </c>
      <c r="I352" s="7" t="n">
        <v>215</v>
      </c>
      <c r="J352" s="7" t="n">
        <v>30</v>
      </c>
      <c r="K352" s="7" t="s">
        <v>88</v>
      </c>
      <c r="L352" s="7" t="s">
        <v>194</v>
      </c>
      <c r="M352" s="7" t="n">
        <v>47</v>
      </c>
      <c r="N352" s="7" t="n">
        <v>5</v>
      </c>
      <c r="O352" s="7" t="str">
        <f aca="false">A352&amp;"|"&amp;B352&amp;"|"&amp;C352&amp;"|"&amp;D352&amp;"|"&amp;E352&amp;"|"&amp;F352&amp;"|"&amp;G352&amp;"|"&amp;H352&amp;"|"&amp;I352&amp;"|"&amp;J352&amp;"|"&amp;K352&amp;"|"&amp;L352&amp;"|"&amp;M352&amp;"|"&amp;N352</f>
        <v>ORD11167|2025-05-28|21:58|C0975|Dragon Express|Mumbai|Chinese|4|215|30|UPI|Delivered|47|5</v>
      </c>
      <c r="P352" s="7" t="str">
        <f aca="false">IF(COUNTIF($O$2:O352,O352)&gt;1,"DUP","OK")</f>
        <v>OK</v>
      </c>
      <c r="Q352" s="7" t="n">
        <f aca="false">COUNTBLANK(A352:N352)</f>
        <v>0</v>
      </c>
      <c r="R352" s="7" t="n">
        <f aca="false">IF(A352="",0,COUNTIFS($A$2:$A$3058,A352,$P$2:$P$3058,"OK"))</f>
        <v>1</v>
      </c>
      <c r="S352" s="7" t="str">
        <f aca="false">IF(OR(A352="",P352="DUP",R352&lt;2),"",IF(Q352=_xlfn.MINIFS($Q$2:$Q$3058,$A$2:$A$3058,A352,$P$2:$P$3058,"OK"),"KEEP","DROP"))</f>
        <v/>
      </c>
      <c r="T352" s="9" t="n">
        <f aca="false">IF(A352="",1,0)</f>
        <v>0</v>
      </c>
      <c r="U352" s="9" t="n">
        <f aca="false">IF(D352="",1,0)</f>
        <v>0</v>
      </c>
      <c r="V352" s="9" t="n">
        <f aca="false">IF(E352="",1,0)</f>
        <v>0</v>
      </c>
      <c r="W352" s="9" t="n">
        <f aca="false">IF(OR(H352&lt;1,H352&gt;10),1,0)</f>
        <v>0</v>
      </c>
      <c r="X352" s="9" t="n">
        <f aca="false">IF(OR(I352&lt;=0,I352&gt;1500),1,0)</f>
        <v>0</v>
      </c>
      <c r="Y352" s="9" t="n">
        <f aca="false">IF(J352&gt;H352*I352,1,0)</f>
        <v>0</v>
      </c>
      <c r="Z352" s="9" t="n">
        <f aca="false">IF(AND(N352&lt;&gt;"",OR(N352&lt;1,N352&gt;5)),1,0)</f>
        <v>0</v>
      </c>
      <c r="AA352" s="9" t="n">
        <f aca="false">IF(AND(M352&lt;&gt;"",OR(M352&lt;5,M352&gt;180)),1,0)</f>
        <v>0</v>
      </c>
      <c r="AB352" s="7" t="str">
        <f aca="false">IF(P352="DUP","Exact duplicate row",IF(T352=1,"Missing Order ID",IF(S352="DROP","Duplicate Order ID (less complete row)",IF(U352=1,"Missing Customer ID",IF(V352=1,"Missing Restaurant name",IF(W352=1,"Invalid/outlier quantity",IF(X352=1,"Invalid/outlier unit price",IF(Y352=1,"Discount greater than order value",""))))))))</f>
        <v/>
      </c>
      <c r="AC352" s="7" t="str">
        <f aca="false">IF(AB352="","KEEP","DROP")</f>
        <v>KEEP</v>
      </c>
      <c r="AD352" s="7" t="str">
        <f aca="false">IF(TRIM(F352)="",IFERROR(INDEX(Map_Tables!$I$4:$I$37,MATCH(TRIM(E352),Map_Tables!$G$4:$G$37,0)),""),IFERROR(INDEX(Map_Tables!$B$4:$B$18,MATCH(TRIM(F352),Map_Tables!$A$4:$A$18,0)),"CHECK"))</f>
        <v>Mumbai</v>
      </c>
      <c r="AE352" s="7" t="str">
        <f aca="false">IF(TRIM(E352)="","",IFERROR(INDEX(Map_Tables!$H$4:$H$37,MATCH(TRIM(E352),Map_Tables!$G$4:$G$37,0)),"CHECK"))</f>
        <v>Dragon Express</v>
      </c>
      <c r="AF352" s="7" t="str">
        <f aca="false">IF(TRIM(K352)="","Unknown",IFERROR(INDEX(Map_Tables!$E$4:$E$15,MATCH(TRIM(K352),Map_Tables!$D$4:$D$15,0)),"CHECK"))</f>
        <v>UPI</v>
      </c>
      <c r="AG352" s="7" t="str">
        <f aca="false">IF(LEFT(LOWER(TRIM(L352)),6)="cancel","Cancelled","Delivered")</f>
        <v>Delivered</v>
      </c>
      <c r="AH352" s="10" t="n">
        <f aca="false">IF(ISNUMBER(SEARCH("/",B352)),DATE(VALUE(RIGHT(B352,4)),VALUE(MID(B352,4,2)),VALUE(LEFT(B352,2))),IF(MID(B352,5,1)="-",DATE(VALUE(LEFT(B352,4)),VALUE(MID(B352,6,2)),VALUE(RIGHT(B352,2))),DATE(VALUE(RIGHT(B352,4)),MATCH(MID(B352,4,3),{"Jan","Feb","Mar","Apr","May","Jun","Jul","Aug","Sep","Oct","Nov","Dec"},0),VALUE(LEFT(B352,2)))))</f>
        <v>45805</v>
      </c>
    </row>
    <row r="353" customFormat="false" ht="15" hidden="false" customHeight="false" outlineLevel="0" collapsed="false">
      <c r="A353" s="7" t="s">
        <v>1441</v>
      </c>
      <c r="B353" s="7" t="s">
        <v>584</v>
      </c>
      <c r="C353" s="7" t="s">
        <v>630</v>
      </c>
      <c r="D353" s="7" t="s">
        <v>766</v>
      </c>
      <c r="E353" s="7" t="s">
        <v>89</v>
      </c>
      <c r="F353" s="7" t="s">
        <v>86</v>
      </c>
      <c r="G353" s="7" t="s">
        <v>1391</v>
      </c>
      <c r="H353" s="7" t="n">
        <v>3</v>
      </c>
      <c r="I353" s="7" t="n">
        <v>195</v>
      </c>
      <c r="J353" s="7" t="n">
        <v>30</v>
      </c>
      <c r="K353" s="7" t="s">
        <v>112</v>
      </c>
      <c r="L353" s="7" t="s">
        <v>194</v>
      </c>
      <c r="M353" s="7" t="n">
        <v>39</v>
      </c>
      <c r="N353" s="7" t="n">
        <v>4</v>
      </c>
      <c r="O353" s="7" t="str">
        <f aca="false">A353&amp;"|"&amp;B353&amp;"|"&amp;C353&amp;"|"&amp;D353&amp;"|"&amp;E353&amp;"|"&amp;F353&amp;"|"&amp;G353&amp;"|"&amp;H353&amp;"|"&amp;I353&amp;"|"&amp;J353&amp;"|"&amp;K353&amp;"|"&amp;L353&amp;"|"&amp;M353&amp;"|"&amp;N353</f>
        <v>ORD11921|2025-09-06|20:09|C1437|Spice Junction|Bengaluru|NORTH INDIAN|3|195|30|Cash on Delivery|Delivered|39|4</v>
      </c>
      <c r="P353" s="7" t="str">
        <f aca="false">IF(COUNTIF($O$2:O353,O353)&gt;1,"DUP","OK")</f>
        <v>OK</v>
      </c>
      <c r="Q353" s="7" t="n">
        <f aca="false">COUNTBLANK(A353:N353)</f>
        <v>0</v>
      </c>
      <c r="R353" s="7" t="n">
        <f aca="false">IF(A353="",0,COUNTIFS($A$2:$A$3058,A353,$P$2:$P$3058,"OK"))</f>
        <v>1</v>
      </c>
      <c r="S353" s="7" t="str">
        <f aca="false">IF(OR(A353="",P353="DUP",R353&lt;2),"",IF(Q353=_xlfn.MINIFS($Q$2:$Q$3058,$A$2:$A$3058,A353,$P$2:$P$3058,"OK"),"KEEP","DROP"))</f>
        <v/>
      </c>
      <c r="T353" s="9" t="n">
        <f aca="false">IF(A353="",1,0)</f>
        <v>0</v>
      </c>
      <c r="U353" s="9" t="n">
        <f aca="false">IF(D353="",1,0)</f>
        <v>0</v>
      </c>
      <c r="V353" s="9" t="n">
        <f aca="false">IF(E353="",1,0)</f>
        <v>0</v>
      </c>
      <c r="W353" s="9" t="n">
        <f aca="false">IF(OR(H353&lt;1,H353&gt;10),1,0)</f>
        <v>0</v>
      </c>
      <c r="X353" s="9" t="n">
        <f aca="false">IF(OR(I353&lt;=0,I353&gt;1500),1,0)</f>
        <v>0</v>
      </c>
      <c r="Y353" s="9" t="n">
        <f aca="false">IF(J353&gt;H353*I353,1,0)</f>
        <v>0</v>
      </c>
      <c r="Z353" s="9" t="n">
        <f aca="false">IF(AND(N353&lt;&gt;"",OR(N353&lt;1,N353&gt;5)),1,0)</f>
        <v>0</v>
      </c>
      <c r="AA353" s="9" t="n">
        <f aca="false">IF(AND(M353&lt;&gt;"",OR(M353&lt;5,M353&gt;180)),1,0)</f>
        <v>0</v>
      </c>
      <c r="AB353" s="7" t="str">
        <f aca="false">IF(P353="DUP","Exact duplicate row",IF(T353=1,"Missing Order ID",IF(S353="DROP","Duplicate Order ID (less complete row)",IF(U353=1,"Missing Customer ID",IF(V353=1,"Missing Restaurant name",IF(W353=1,"Invalid/outlier quantity",IF(X353=1,"Invalid/outlier unit price",IF(Y353=1,"Discount greater than order value",""))))))))</f>
        <v/>
      </c>
      <c r="AC353" s="7" t="str">
        <f aca="false">IF(AB353="","KEEP","DROP")</f>
        <v>KEEP</v>
      </c>
      <c r="AD353" s="7" t="str">
        <f aca="false">IF(TRIM(F353)="",IFERROR(INDEX(Map_Tables!$I$4:$I$37,MATCH(TRIM(E353),Map_Tables!$G$4:$G$37,0)),""),IFERROR(INDEX(Map_Tables!$B$4:$B$18,MATCH(TRIM(F353),Map_Tables!$A$4:$A$18,0)),"CHECK"))</f>
        <v>Bengaluru</v>
      </c>
      <c r="AE353" s="7" t="str">
        <f aca="false">IF(TRIM(E353)="","",IFERROR(INDEX(Map_Tables!$H$4:$H$37,MATCH(TRIM(E353),Map_Tables!$G$4:$G$37,0)),"CHECK"))</f>
        <v>Spice Junction</v>
      </c>
      <c r="AF353" s="7" t="str">
        <f aca="false">IF(TRIM(K353)="","Unknown",IFERROR(INDEX(Map_Tables!$E$4:$E$15,MATCH(TRIM(K353),Map_Tables!$D$4:$D$15,0)),"CHECK"))</f>
        <v>Cash on Delivery</v>
      </c>
      <c r="AG353" s="7" t="str">
        <f aca="false">IF(LEFT(LOWER(TRIM(L353)),6)="cancel","Cancelled","Delivered")</f>
        <v>Delivered</v>
      </c>
      <c r="AH353" s="10" t="n">
        <f aca="false">IF(ISNUMBER(SEARCH("/",B353)),DATE(VALUE(RIGHT(B353,4)),VALUE(MID(B353,4,2)),VALUE(LEFT(B353,2))),IF(MID(B353,5,1)="-",DATE(VALUE(LEFT(B353,4)),VALUE(MID(B353,6,2)),VALUE(RIGHT(B353,2))),DATE(VALUE(RIGHT(B353,4)),MATCH(MID(B353,4,3),{"Jan","Feb","Mar","Apr","May","Jun","Jul","Aug","Sep","Oct","Nov","Dec"},0),VALUE(LEFT(B353,2)))))</f>
        <v>45906</v>
      </c>
    </row>
    <row r="354" customFormat="false" ht="15" hidden="false" customHeight="false" outlineLevel="0" collapsed="false">
      <c r="A354" s="7" t="s">
        <v>1442</v>
      </c>
      <c r="B354" s="7" t="s">
        <v>1399</v>
      </c>
      <c r="C354" s="7" t="s">
        <v>1443</v>
      </c>
      <c r="D354" s="7" t="s">
        <v>1444</v>
      </c>
      <c r="E354" s="7" t="s">
        <v>163</v>
      </c>
      <c r="F354" s="7" t="s">
        <v>141</v>
      </c>
      <c r="G354" s="7" t="s">
        <v>99</v>
      </c>
      <c r="H354" s="7" t="n">
        <v>1</v>
      </c>
      <c r="I354" s="7" t="n">
        <v>230</v>
      </c>
      <c r="J354" s="7" t="n">
        <v>0</v>
      </c>
      <c r="K354" s="7" t="s">
        <v>120</v>
      </c>
      <c r="L354" s="7" t="s">
        <v>194</v>
      </c>
      <c r="M354" s="7" t="n">
        <v>44</v>
      </c>
      <c r="N354" s="7" t="n">
        <v>4</v>
      </c>
      <c r="O354" s="7" t="str">
        <f aca="false">A354&amp;"|"&amp;B354&amp;"|"&amp;C354&amp;"|"&amp;D354&amp;"|"&amp;E354&amp;"|"&amp;F354&amp;"|"&amp;G354&amp;"|"&amp;H354&amp;"|"&amp;I354&amp;"|"&amp;J354&amp;"|"&amp;K354&amp;"|"&amp;L354&amp;"|"&amp;M354&amp;"|"&amp;N354</f>
        <v>ORD12873|2025-12-18|15:14|C1202|Biryani Baadshah|Kolkata|Biryani|1|230|0|wallet|Delivered|44|4</v>
      </c>
      <c r="P354" s="7" t="str">
        <f aca="false">IF(COUNTIF($O$2:O354,O354)&gt;1,"DUP","OK")</f>
        <v>OK</v>
      </c>
      <c r="Q354" s="7" t="n">
        <f aca="false">COUNTBLANK(A354:N354)</f>
        <v>0</v>
      </c>
      <c r="R354" s="7" t="n">
        <f aca="false">IF(A354="",0,COUNTIFS($A$2:$A$3058,A354,$P$2:$P$3058,"OK"))</f>
        <v>1</v>
      </c>
      <c r="S354" s="7" t="str">
        <f aca="false">IF(OR(A354="",P354="DUP",R354&lt;2),"",IF(Q354=_xlfn.MINIFS($Q$2:$Q$3058,$A$2:$A$3058,A354,$P$2:$P$3058,"OK"),"KEEP","DROP"))</f>
        <v/>
      </c>
      <c r="T354" s="9" t="n">
        <f aca="false">IF(A354="",1,0)</f>
        <v>0</v>
      </c>
      <c r="U354" s="9" t="n">
        <f aca="false">IF(D354="",1,0)</f>
        <v>0</v>
      </c>
      <c r="V354" s="9" t="n">
        <f aca="false">IF(E354="",1,0)</f>
        <v>0</v>
      </c>
      <c r="W354" s="9" t="n">
        <f aca="false">IF(OR(H354&lt;1,H354&gt;10),1,0)</f>
        <v>0</v>
      </c>
      <c r="X354" s="9" t="n">
        <f aca="false">IF(OR(I354&lt;=0,I354&gt;1500),1,0)</f>
        <v>0</v>
      </c>
      <c r="Y354" s="9" t="n">
        <f aca="false">IF(J354&gt;H354*I354,1,0)</f>
        <v>0</v>
      </c>
      <c r="Z354" s="9" t="n">
        <f aca="false">IF(AND(N354&lt;&gt;"",OR(N354&lt;1,N354&gt;5)),1,0)</f>
        <v>0</v>
      </c>
      <c r="AA354" s="9" t="n">
        <f aca="false">IF(AND(M354&lt;&gt;"",OR(M354&lt;5,M354&gt;180)),1,0)</f>
        <v>0</v>
      </c>
      <c r="AB354" s="7" t="str">
        <f aca="false">IF(P354="DUP","Exact duplicate row",IF(T354=1,"Missing Order ID",IF(S354="DROP","Duplicate Order ID (less complete row)",IF(U354=1,"Missing Customer ID",IF(V354=1,"Missing Restaurant name",IF(W354=1,"Invalid/outlier quantity",IF(X354=1,"Invalid/outlier unit price",IF(Y354=1,"Discount greater than order value",""))))))))</f>
        <v/>
      </c>
      <c r="AC354" s="7" t="str">
        <f aca="false">IF(AB354="","KEEP","DROP")</f>
        <v>KEEP</v>
      </c>
      <c r="AD354" s="7" t="str">
        <f aca="false">IF(TRIM(F354)="",IFERROR(INDEX(Map_Tables!$I$4:$I$37,MATCH(TRIM(E354),Map_Tables!$G$4:$G$37,0)),""),IFERROR(INDEX(Map_Tables!$B$4:$B$18,MATCH(TRIM(F354),Map_Tables!$A$4:$A$18,0)),"CHECK"))</f>
        <v>Kolkata</v>
      </c>
      <c r="AE354" s="7" t="str">
        <f aca="false">IF(TRIM(E354)="","",IFERROR(INDEX(Map_Tables!$H$4:$H$37,MATCH(TRIM(E354),Map_Tables!$G$4:$G$37,0)),"CHECK"))</f>
        <v>Biryani Baadshah</v>
      </c>
      <c r="AF354" s="7" t="str">
        <f aca="false">IF(TRIM(K354)="","Unknown",IFERROR(INDEX(Map_Tables!$E$4:$E$15,MATCH(TRIM(K354),Map_Tables!$D$4:$D$15,0)),"CHECK"))</f>
        <v>Wallet</v>
      </c>
      <c r="AG354" s="7" t="str">
        <f aca="false">IF(LEFT(LOWER(TRIM(L354)),6)="cancel","Cancelled","Delivered")</f>
        <v>Delivered</v>
      </c>
      <c r="AH354" s="10" t="n">
        <f aca="false">IF(ISNUMBER(SEARCH("/",B354)),DATE(VALUE(RIGHT(B354,4)),VALUE(MID(B354,4,2)),VALUE(LEFT(B354,2))),IF(MID(B354,5,1)="-",DATE(VALUE(LEFT(B354,4)),VALUE(MID(B354,6,2)),VALUE(RIGHT(B354,2))),DATE(VALUE(RIGHT(B354,4)),MATCH(MID(B354,4,3),{"Jan","Feb","Mar","Apr","May","Jun","Jul","Aug","Sep","Oct","Nov","Dec"},0),VALUE(LEFT(B354,2)))))</f>
        <v>46009</v>
      </c>
    </row>
    <row r="355" customFormat="false" ht="15" hidden="false" customHeight="false" outlineLevel="0" collapsed="false">
      <c r="A355" s="7" t="s">
        <v>1445</v>
      </c>
      <c r="B355" s="7" t="s">
        <v>1446</v>
      </c>
      <c r="C355" s="7" t="s">
        <v>377</v>
      </c>
      <c r="D355" s="7" t="s">
        <v>1447</v>
      </c>
      <c r="E355" s="7" t="s">
        <v>147</v>
      </c>
      <c r="F355" s="7" t="s">
        <v>119</v>
      </c>
      <c r="G355" s="7" t="s">
        <v>95</v>
      </c>
      <c r="H355" s="7" t="n">
        <v>2</v>
      </c>
      <c r="I355" s="7" t="n">
        <v>195</v>
      </c>
      <c r="J355" s="7" t="n">
        <v>40</v>
      </c>
      <c r="K355" s="7" t="s">
        <v>112</v>
      </c>
      <c r="L355" s="7" t="s">
        <v>194</v>
      </c>
      <c r="M355" s="7" t="n">
        <v>33</v>
      </c>
      <c r="N355" s="7"/>
      <c r="O355" s="7" t="str">
        <f aca="false">A355&amp;"|"&amp;B355&amp;"|"&amp;C355&amp;"|"&amp;D355&amp;"|"&amp;E355&amp;"|"&amp;F355&amp;"|"&amp;G355&amp;"|"&amp;H355&amp;"|"&amp;I355&amp;"|"&amp;J355&amp;"|"&amp;K355&amp;"|"&amp;L355&amp;"|"&amp;M355&amp;"|"&amp;N355</f>
        <v>ORD10563|2025-03-13|12:00|C0050|Andhra Meals Mess|Hyderabad|South Indian|2|195|40|Cash on Delivery|Delivered|33|</v>
      </c>
      <c r="P355" s="7" t="str">
        <f aca="false">IF(COUNTIF($O$2:O355,O355)&gt;1,"DUP","OK")</f>
        <v>OK</v>
      </c>
      <c r="Q355" s="7" t="n">
        <f aca="false">COUNTBLANK(A355:N355)</f>
        <v>1</v>
      </c>
      <c r="R355" s="7" t="n">
        <f aca="false">IF(A355="",0,COUNTIFS($A$2:$A$3058,A355,$P$2:$P$3058,"OK"))</f>
        <v>1</v>
      </c>
      <c r="S355" s="7" t="str">
        <f aca="false">IF(OR(A355="",P355="DUP",R355&lt;2),"",IF(Q355=_xlfn.MINIFS($Q$2:$Q$3058,$A$2:$A$3058,A355,$P$2:$P$3058,"OK"),"KEEP","DROP"))</f>
        <v/>
      </c>
      <c r="T355" s="9" t="n">
        <f aca="false">IF(A355="",1,0)</f>
        <v>0</v>
      </c>
      <c r="U355" s="9" t="n">
        <f aca="false">IF(D355="",1,0)</f>
        <v>0</v>
      </c>
      <c r="V355" s="9" t="n">
        <f aca="false">IF(E355="",1,0)</f>
        <v>0</v>
      </c>
      <c r="W355" s="9" t="n">
        <f aca="false">IF(OR(H355&lt;1,H355&gt;10),1,0)</f>
        <v>0</v>
      </c>
      <c r="X355" s="9" t="n">
        <f aca="false">IF(OR(I355&lt;=0,I355&gt;1500),1,0)</f>
        <v>0</v>
      </c>
      <c r="Y355" s="9" t="n">
        <f aca="false">IF(J355&gt;H355*I355,1,0)</f>
        <v>0</v>
      </c>
      <c r="Z355" s="9" t="n">
        <f aca="false">IF(AND(N355&lt;&gt;"",OR(N355&lt;1,N355&gt;5)),1,0)</f>
        <v>0</v>
      </c>
      <c r="AA355" s="9" t="n">
        <f aca="false">IF(AND(M355&lt;&gt;"",OR(M355&lt;5,M355&gt;180)),1,0)</f>
        <v>0</v>
      </c>
      <c r="AB355" s="7" t="str">
        <f aca="false">IF(P355="DUP","Exact duplicate row",IF(T355=1,"Missing Order ID",IF(S355="DROP","Duplicate Order ID (less complete row)",IF(U355=1,"Missing Customer ID",IF(V355=1,"Missing Restaurant name",IF(W355=1,"Invalid/outlier quantity",IF(X355=1,"Invalid/outlier unit price",IF(Y355=1,"Discount greater than order value",""))))))))</f>
        <v/>
      </c>
      <c r="AC355" s="7" t="str">
        <f aca="false">IF(AB355="","KEEP","DROP")</f>
        <v>KEEP</v>
      </c>
      <c r="AD355" s="7" t="str">
        <f aca="false">IF(TRIM(F355)="",IFERROR(INDEX(Map_Tables!$I$4:$I$37,MATCH(TRIM(E355),Map_Tables!$G$4:$G$37,0)),""),IFERROR(INDEX(Map_Tables!$B$4:$B$18,MATCH(TRIM(F355),Map_Tables!$A$4:$A$18,0)),"CHECK"))</f>
        <v>Hyderabad</v>
      </c>
      <c r="AE355" s="7" t="str">
        <f aca="false">IF(TRIM(E355)="","",IFERROR(INDEX(Map_Tables!$H$4:$H$37,MATCH(TRIM(E355),Map_Tables!$G$4:$G$37,0)),"CHECK"))</f>
        <v>Andhra Meals Mess</v>
      </c>
      <c r="AF355" s="7" t="str">
        <f aca="false">IF(TRIM(K355)="","Unknown",IFERROR(INDEX(Map_Tables!$E$4:$E$15,MATCH(TRIM(K355),Map_Tables!$D$4:$D$15,0)),"CHECK"))</f>
        <v>Cash on Delivery</v>
      </c>
      <c r="AG355" s="7" t="str">
        <f aca="false">IF(LEFT(LOWER(TRIM(L355)),6)="cancel","Cancelled","Delivered")</f>
        <v>Delivered</v>
      </c>
      <c r="AH355" s="10" t="n">
        <f aca="false">IF(ISNUMBER(SEARCH("/",B355)),DATE(VALUE(RIGHT(B355,4)),VALUE(MID(B355,4,2)),VALUE(LEFT(B355,2))),IF(MID(B355,5,1)="-",DATE(VALUE(LEFT(B355,4)),VALUE(MID(B355,6,2)),VALUE(RIGHT(B355,2))),DATE(VALUE(RIGHT(B355,4)),MATCH(MID(B355,4,3),{"Jan","Feb","Mar","Apr","May","Jun","Jul","Aug","Sep","Oct","Nov","Dec"},0),VALUE(LEFT(B355,2)))))</f>
        <v>45729</v>
      </c>
    </row>
    <row r="356" customFormat="false" ht="15" hidden="false" customHeight="false" outlineLevel="0" collapsed="false">
      <c r="A356" s="7" t="s">
        <v>1448</v>
      </c>
      <c r="B356" s="7" t="s">
        <v>849</v>
      </c>
      <c r="C356" s="7" t="s">
        <v>1449</v>
      </c>
      <c r="D356" s="7" t="s">
        <v>1450</v>
      </c>
      <c r="E356" s="7" t="s">
        <v>152</v>
      </c>
      <c r="F356" s="7" t="s">
        <v>128</v>
      </c>
      <c r="G356" s="7" t="s">
        <v>95</v>
      </c>
      <c r="H356" s="7" t="n">
        <v>2</v>
      </c>
      <c r="I356" s="7" t="n">
        <v>85</v>
      </c>
      <c r="J356" s="7" t="n">
        <v>40</v>
      </c>
      <c r="K356" s="7" t="s">
        <v>121</v>
      </c>
      <c r="L356" s="7" t="s">
        <v>194</v>
      </c>
      <c r="M356" s="7" t="n">
        <v>36</v>
      </c>
      <c r="N356" s="7" t="n">
        <v>4</v>
      </c>
      <c r="O356" s="7" t="str">
        <f aca="false">A356&amp;"|"&amp;B356&amp;"|"&amp;C356&amp;"|"&amp;D356&amp;"|"&amp;E356&amp;"|"&amp;F356&amp;"|"&amp;G356&amp;"|"&amp;H356&amp;"|"&amp;I356&amp;"|"&amp;J356&amp;"|"&amp;K356&amp;"|"&amp;L356&amp;"|"&amp;M356&amp;"|"&amp;N356</f>
        <v>ORD12843|2025-12-14|11:58|C0250|Filter Coffee &amp; Tiffin|Chennai|South Indian|2|85|40|Wallet|Delivered|36|4</v>
      </c>
      <c r="P356" s="7" t="str">
        <f aca="false">IF(COUNTIF($O$2:O356,O356)&gt;1,"DUP","OK")</f>
        <v>OK</v>
      </c>
      <c r="Q356" s="7" t="n">
        <f aca="false">COUNTBLANK(A356:N356)</f>
        <v>0</v>
      </c>
      <c r="R356" s="7" t="n">
        <f aca="false">IF(A356="",0,COUNTIFS($A$2:$A$3058,A356,$P$2:$P$3058,"OK"))</f>
        <v>1</v>
      </c>
      <c r="S356" s="7" t="str">
        <f aca="false">IF(OR(A356="",P356="DUP",R356&lt;2),"",IF(Q356=_xlfn.MINIFS($Q$2:$Q$3058,$A$2:$A$3058,A356,$P$2:$P$3058,"OK"),"KEEP","DROP"))</f>
        <v/>
      </c>
      <c r="T356" s="9" t="n">
        <f aca="false">IF(A356="",1,0)</f>
        <v>0</v>
      </c>
      <c r="U356" s="9" t="n">
        <f aca="false">IF(D356="",1,0)</f>
        <v>0</v>
      </c>
      <c r="V356" s="9" t="n">
        <f aca="false">IF(E356="",1,0)</f>
        <v>0</v>
      </c>
      <c r="W356" s="9" t="n">
        <f aca="false">IF(OR(H356&lt;1,H356&gt;10),1,0)</f>
        <v>0</v>
      </c>
      <c r="X356" s="9" t="n">
        <f aca="false">IF(OR(I356&lt;=0,I356&gt;1500),1,0)</f>
        <v>0</v>
      </c>
      <c r="Y356" s="9" t="n">
        <f aca="false">IF(J356&gt;H356*I356,1,0)</f>
        <v>0</v>
      </c>
      <c r="Z356" s="9" t="n">
        <f aca="false">IF(AND(N356&lt;&gt;"",OR(N356&lt;1,N356&gt;5)),1,0)</f>
        <v>0</v>
      </c>
      <c r="AA356" s="9" t="n">
        <f aca="false">IF(AND(M356&lt;&gt;"",OR(M356&lt;5,M356&gt;180)),1,0)</f>
        <v>0</v>
      </c>
      <c r="AB356" s="7" t="str">
        <f aca="false">IF(P356="DUP","Exact duplicate row",IF(T356=1,"Missing Order ID",IF(S356="DROP","Duplicate Order ID (less complete row)",IF(U356=1,"Missing Customer ID",IF(V356=1,"Missing Restaurant name",IF(W356=1,"Invalid/outlier quantity",IF(X356=1,"Invalid/outlier unit price",IF(Y356=1,"Discount greater than order value",""))))))))</f>
        <v/>
      </c>
      <c r="AC356" s="7" t="str">
        <f aca="false">IF(AB356="","KEEP","DROP")</f>
        <v>KEEP</v>
      </c>
      <c r="AD356" s="7" t="str">
        <f aca="false">IF(TRIM(F356)="",IFERROR(INDEX(Map_Tables!$I$4:$I$37,MATCH(TRIM(E356),Map_Tables!$G$4:$G$37,0)),""),IFERROR(INDEX(Map_Tables!$B$4:$B$18,MATCH(TRIM(F356),Map_Tables!$A$4:$A$18,0)),"CHECK"))</f>
        <v>Chennai</v>
      </c>
      <c r="AE356" s="7" t="str">
        <f aca="false">IF(TRIM(E356)="","",IFERROR(INDEX(Map_Tables!$H$4:$H$37,MATCH(TRIM(E356),Map_Tables!$G$4:$G$37,0)),"CHECK"))</f>
        <v>Filter Coffee &amp; Tiffin</v>
      </c>
      <c r="AF356" s="7" t="str">
        <f aca="false">IF(TRIM(K356)="","Unknown",IFERROR(INDEX(Map_Tables!$E$4:$E$15,MATCH(TRIM(K356),Map_Tables!$D$4:$D$15,0)),"CHECK"))</f>
        <v>Wallet</v>
      </c>
      <c r="AG356" s="7" t="str">
        <f aca="false">IF(LEFT(LOWER(TRIM(L356)),6)="cancel","Cancelled","Delivered")</f>
        <v>Delivered</v>
      </c>
      <c r="AH356" s="10" t="n">
        <f aca="false">IF(ISNUMBER(SEARCH("/",B356)),DATE(VALUE(RIGHT(B356,4)),VALUE(MID(B356,4,2)),VALUE(LEFT(B356,2))),IF(MID(B356,5,1)="-",DATE(VALUE(LEFT(B356,4)),VALUE(MID(B356,6,2)),VALUE(RIGHT(B356,2))),DATE(VALUE(RIGHT(B356,4)),MATCH(MID(B356,4,3),{"Jan","Feb","Mar","Apr","May","Jun","Jul","Aug","Sep","Oct","Nov","Dec"},0),VALUE(LEFT(B356,2)))))</f>
        <v>46005</v>
      </c>
    </row>
    <row r="357" customFormat="false" ht="15" hidden="false" customHeight="false" outlineLevel="0" collapsed="false">
      <c r="A357" s="7" t="s">
        <v>1451</v>
      </c>
      <c r="B357" s="7" t="s">
        <v>1312</v>
      </c>
      <c r="C357" s="7" t="s">
        <v>1452</v>
      </c>
      <c r="D357" s="7" t="s">
        <v>1453</v>
      </c>
      <c r="E357" s="7" t="s">
        <v>147</v>
      </c>
      <c r="F357" s="7" t="s">
        <v>119</v>
      </c>
      <c r="G357" s="7" t="s">
        <v>95</v>
      </c>
      <c r="H357" s="7" t="n">
        <v>4</v>
      </c>
      <c r="I357" s="7" t="n">
        <v>165</v>
      </c>
      <c r="J357" s="7" t="n">
        <v>20</v>
      </c>
      <c r="K357" s="7" t="s">
        <v>133</v>
      </c>
      <c r="L357" s="7" t="s">
        <v>194</v>
      </c>
      <c r="M357" s="7" t="n">
        <v>47</v>
      </c>
      <c r="N357" s="7" t="n">
        <v>3</v>
      </c>
      <c r="O357" s="7" t="str">
        <f aca="false">A357&amp;"|"&amp;B357&amp;"|"&amp;C357&amp;"|"&amp;D357&amp;"|"&amp;E357&amp;"|"&amp;F357&amp;"|"&amp;G357&amp;"|"&amp;H357&amp;"|"&amp;I357&amp;"|"&amp;J357&amp;"|"&amp;K357&amp;"|"&amp;L357&amp;"|"&amp;M357&amp;"|"&amp;N357</f>
        <v>ORD11097|2025-05-19|18:22|C1152|Andhra Meals Mess|Hyderabad|South Indian|4|165|20|Net Banking|Delivered|47|3</v>
      </c>
      <c r="P357" s="7" t="str">
        <f aca="false">IF(COUNTIF($O$2:O357,O357)&gt;1,"DUP","OK")</f>
        <v>OK</v>
      </c>
      <c r="Q357" s="7" t="n">
        <f aca="false">COUNTBLANK(A357:N357)</f>
        <v>0</v>
      </c>
      <c r="R357" s="7" t="n">
        <f aca="false">IF(A357="",0,COUNTIFS($A$2:$A$3058,A357,$P$2:$P$3058,"OK"))</f>
        <v>1</v>
      </c>
      <c r="S357" s="7" t="str">
        <f aca="false">IF(OR(A357="",P357="DUP",R357&lt;2),"",IF(Q357=_xlfn.MINIFS($Q$2:$Q$3058,$A$2:$A$3058,A357,$P$2:$P$3058,"OK"),"KEEP","DROP"))</f>
        <v/>
      </c>
      <c r="T357" s="9" t="n">
        <f aca="false">IF(A357="",1,0)</f>
        <v>0</v>
      </c>
      <c r="U357" s="9" t="n">
        <f aca="false">IF(D357="",1,0)</f>
        <v>0</v>
      </c>
      <c r="V357" s="9" t="n">
        <f aca="false">IF(E357="",1,0)</f>
        <v>0</v>
      </c>
      <c r="W357" s="9" t="n">
        <f aca="false">IF(OR(H357&lt;1,H357&gt;10),1,0)</f>
        <v>0</v>
      </c>
      <c r="X357" s="9" t="n">
        <f aca="false">IF(OR(I357&lt;=0,I357&gt;1500),1,0)</f>
        <v>0</v>
      </c>
      <c r="Y357" s="9" t="n">
        <f aca="false">IF(J357&gt;H357*I357,1,0)</f>
        <v>0</v>
      </c>
      <c r="Z357" s="9" t="n">
        <f aca="false">IF(AND(N357&lt;&gt;"",OR(N357&lt;1,N357&gt;5)),1,0)</f>
        <v>0</v>
      </c>
      <c r="AA357" s="9" t="n">
        <f aca="false">IF(AND(M357&lt;&gt;"",OR(M357&lt;5,M357&gt;180)),1,0)</f>
        <v>0</v>
      </c>
      <c r="AB357" s="7" t="str">
        <f aca="false">IF(P357="DUP","Exact duplicate row",IF(T357=1,"Missing Order ID",IF(S357="DROP","Duplicate Order ID (less complete row)",IF(U357=1,"Missing Customer ID",IF(V357=1,"Missing Restaurant name",IF(W357=1,"Invalid/outlier quantity",IF(X357=1,"Invalid/outlier unit price",IF(Y357=1,"Discount greater than order value",""))))))))</f>
        <v/>
      </c>
      <c r="AC357" s="7" t="str">
        <f aca="false">IF(AB357="","KEEP","DROP")</f>
        <v>KEEP</v>
      </c>
      <c r="AD357" s="7" t="str">
        <f aca="false">IF(TRIM(F357)="",IFERROR(INDEX(Map_Tables!$I$4:$I$37,MATCH(TRIM(E357),Map_Tables!$G$4:$G$37,0)),""),IFERROR(INDEX(Map_Tables!$B$4:$B$18,MATCH(TRIM(F357),Map_Tables!$A$4:$A$18,0)),"CHECK"))</f>
        <v>Hyderabad</v>
      </c>
      <c r="AE357" s="7" t="str">
        <f aca="false">IF(TRIM(E357)="","",IFERROR(INDEX(Map_Tables!$H$4:$H$37,MATCH(TRIM(E357),Map_Tables!$G$4:$G$37,0)),"CHECK"))</f>
        <v>Andhra Meals Mess</v>
      </c>
      <c r="AF357" s="7" t="str">
        <f aca="false">IF(TRIM(K357)="","Unknown",IFERROR(INDEX(Map_Tables!$E$4:$E$15,MATCH(TRIM(K357),Map_Tables!$D$4:$D$15,0)),"CHECK"))</f>
        <v>Net Banking</v>
      </c>
      <c r="AG357" s="7" t="str">
        <f aca="false">IF(LEFT(LOWER(TRIM(L357)),6)="cancel","Cancelled","Delivered")</f>
        <v>Delivered</v>
      </c>
      <c r="AH357" s="10" t="n">
        <f aca="false">IF(ISNUMBER(SEARCH("/",B357)),DATE(VALUE(RIGHT(B357,4)),VALUE(MID(B357,4,2)),VALUE(LEFT(B357,2))),IF(MID(B357,5,1)="-",DATE(VALUE(LEFT(B357,4)),VALUE(MID(B357,6,2)),VALUE(RIGHT(B357,2))),DATE(VALUE(RIGHT(B357,4)),MATCH(MID(B357,4,3),{"Jan","Feb","Mar","Apr","May","Jun","Jul","Aug","Sep","Oct","Nov","Dec"},0),VALUE(LEFT(B357,2)))))</f>
        <v>45796</v>
      </c>
    </row>
    <row r="358" customFormat="false" ht="15" hidden="false" customHeight="false" outlineLevel="0" collapsed="false">
      <c r="A358" s="7" t="s">
        <v>1454</v>
      </c>
      <c r="B358" s="7" t="s">
        <v>1455</v>
      </c>
      <c r="C358" s="7" t="s">
        <v>1456</v>
      </c>
      <c r="D358" s="7" t="s">
        <v>931</v>
      </c>
      <c r="E358" s="7" t="s">
        <v>126</v>
      </c>
      <c r="F358" s="7" t="s">
        <v>101</v>
      </c>
      <c r="G358" s="7" t="s">
        <v>105</v>
      </c>
      <c r="H358" s="7" t="n">
        <v>1</v>
      </c>
      <c r="I358" s="7" t="n">
        <v>290</v>
      </c>
      <c r="J358" s="7" t="n">
        <v>40</v>
      </c>
      <c r="K358" s="7" t="s">
        <v>121</v>
      </c>
      <c r="L358" s="7" t="s">
        <v>194</v>
      </c>
      <c r="M358" s="7" t="n">
        <v>45</v>
      </c>
      <c r="N358" s="7" t="n">
        <v>4</v>
      </c>
      <c r="O358" s="7" t="str">
        <f aca="false">A358&amp;"|"&amp;B358&amp;"|"&amp;C358&amp;"|"&amp;D358&amp;"|"&amp;E358&amp;"|"&amp;F358&amp;"|"&amp;G358&amp;"|"&amp;H358&amp;"|"&amp;I358&amp;"|"&amp;J358&amp;"|"&amp;K358&amp;"|"&amp;L358&amp;"|"&amp;M358&amp;"|"&amp;N358</f>
        <v>ORD12343|22/10/2025|18:30|C0490|Dragon Express|Mumbai|Chinese|1|290|40|Wallet|Delivered|45|4</v>
      </c>
      <c r="P358" s="7" t="str">
        <f aca="false">IF(COUNTIF($O$2:O358,O358)&gt;1,"DUP","OK")</f>
        <v>OK</v>
      </c>
      <c r="Q358" s="7" t="n">
        <f aca="false">COUNTBLANK(A358:N358)</f>
        <v>0</v>
      </c>
      <c r="R358" s="7" t="n">
        <f aca="false">IF(A358="",0,COUNTIFS($A$2:$A$3058,A358,$P$2:$P$3058,"OK"))</f>
        <v>1</v>
      </c>
      <c r="S358" s="7" t="str">
        <f aca="false">IF(OR(A358="",P358="DUP",R358&lt;2),"",IF(Q358=_xlfn.MINIFS($Q$2:$Q$3058,$A$2:$A$3058,A358,$P$2:$P$3058,"OK"),"KEEP","DROP"))</f>
        <v/>
      </c>
      <c r="T358" s="9" t="n">
        <f aca="false">IF(A358="",1,0)</f>
        <v>0</v>
      </c>
      <c r="U358" s="9" t="n">
        <f aca="false">IF(D358="",1,0)</f>
        <v>0</v>
      </c>
      <c r="V358" s="9" t="n">
        <f aca="false">IF(E358="",1,0)</f>
        <v>0</v>
      </c>
      <c r="W358" s="9" t="n">
        <f aca="false">IF(OR(H358&lt;1,H358&gt;10),1,0)</f>
        <v>0</v>
      </c>
      <c r="X358" s="9" t="n">
        <f aca="false">IF(OR(I358&lt;=0,I358&gt;1500),1,0)</f>
        <v>0</v>
      </c>
      <c r="Y358" s="9" t="n">
        <f aca="false">IF(J358&gt;H358*I358,1,0)</f>
        <v>0</v>
      </c>
      <c r="Z358" s="9" t="n">
        <f aca="false">IF(AND(N358&lt;&gt;"",OR(N358&lt;1,N358&gt;5)),1,0)</f>
        <v>0</v>
      </c>
      <c r="AA358" s="9" t="n">
        <f aca="false">IF(AND(M358&lt;&gt;"",OR(M358&lt;5,M358&gt;180)),1,0)</f>
        <v>0</v>
      </c>
      <c r="AB358" s="7" t="str">
        <f aca="false">IF(P358="DUP","Exact duplicate row",IF(T358=1,"Missing Order ID",IF(S358="DROP","Duplicate Order ID (less complete row)",IF(U358=1,"Missing Customer ID",IF(V358=1,"Missing Restaurant name",IF(W358=1,"Invalid/outlier quantity",IF(X358=1,"Invalid/outlier unit price",IF(Y358=1,"Discount greater than order value",""))))))))</f>
        <v/>
      </c>
      <c r="AC358" s="7" t="str">
        <f aca="false">IF(AB358="","KEEP","DROP")</f>
        <v>KEEP</v>
      </c>
      <c r="AD358" s="7" t="str">
        <f aca="false">IF(TRIM(F358)="",IFERROR(INDEX(Map_Tables!$I$4:$I$37,MATCH(TRIM(E358),Map_Tables!$G$4:$G$37,0)),""),IFERROR(INDEX(Map_Tables!$B$4:$B$18,MATCH(TRIM(F358),Map_Tables!$A$4:$A$18,0)),"CHECK"))</f>
        <v>Mumbai</v>
      </c>
      <c r="AE358" s="7" t="str">
        <f aca="false">IF(TRIM(E358)="","",IFERROR(INDEX(Map_Tables!$H$4:$H$37,MATCH(TRIM(E358),Map_Tables!$G$4:$G$37,0)),"CHECK"))</f>
        <v>Dragon Express</v>
      </c>
      <c r="AF358" s="7" t="str">
        <f aca="false">IF(TRIM(K358)="","Unknown",IFERROR(INDEX(Map_Tables!$E$4:$E$15,MATCH(TRIM(K358),Map_Tables!$D$4:$D$15,0)),"CHECK"))</f>
        <v>Wallet</v>
      </c>
      <c r="AG358" s="7" t="str">
        <f aca="false">IF(LEFT(LOWER(TRIM(L358)),6)="cancel","Cancelled","Delivered")</f>
        <v>Delivered</v>
      </c>
      <c r="AH358" s="10" t="n">
        <f aca="false">IF(ISNUMBER(SEARCH("/",B358)),DATE(VALUE(RIGHT(B358,4)),VALUE(MID(B358,4,2)),VALUE(LEFT(B358,2))),IF(MID(B358,5,1)="-",DATE(VALUE(LEFT(B358,4)),VALUE(MID(B358,6,2)),VALUE(RIGHT(B358,2))),DATE(VALUE(RIGHT(B358,4)),MATCH(MID(B358,4,3),{"Jan","Feb","Mar","Apr","May","Jun","Jul","Aug","Sep","Oct","Nov","Dec"},0),VALUE(LEFT(B358,2)))))</f>
        <v>45952</v>
      </c>
    </row>
    <row r="359" customFormat="false" ht="15" hidden="false" customHeight="false" outlineLevel="0" collapsed="false">
      <c r="A359" s="7" t="s">
        <v>1457</v>
      </c>
      <c r="B359" s="7" t="s">
        <v>1458</v>
      </c>
      <c r="C359" s="7" t="s">
        <v>263</v>
      </c>
      <c r="D359" s="7" t="s">
        <v>1459</v>
      </c>
      <c r="E359" s="7" t="s">
        <v>94</v>
      </c>
      <c r="F359" s="7" t="s">
        <v>86</v>
      </c>
      <c r="G359" s="7" t="s">
        <v>95</v>
      </c>
      <c r="H359" s="7" t="n">
        <v>3</v>
      </c>
      <c r="I359" s="7" t="n">
        <v>125</v>
      </c>
      <c r="J359" s="7" t="n">
        <v>125</v>
      </c>
      <c r="K359" s="7" t="s">
        <v>112</v>
      </c>
      <c r="L359" s="7" t="s">
        <v>194</v>
      </c>
      <c r="M359" s="7" t="n">
        <v>34</v>
      </c>
      <c r="N359" s="7" t="n">
        <v>4</v>
      </c>
      <c r="O359" s="7" t="str">
        <f aca="false">A359&amp;"|"&amp;B359&amp;"|"&amp;C359&amp;"|"&amp;D359&amp;"|"&amp;E359&amp;"|"&amp;F359&amp;"|"&amp;G359&amp;"|"&amp;H359&amp;"|"&amp;I359&amp;"|"&amp;J359&amp;"|"&amp;K359&amp;"|"&amp;L359&amp;"|"&amp;M359&amp;"|"&amp;N359</f>
        <v>ORD11023|2025-05-10|11:22|C1177|Dosa Darbar|Bengaluru|South Indian|3|125|125|Cash on Delivery|Delivered|34|4</v>
      </c>
      <c r="P359" s="7" t="str">
        <f aca="false">IF(COUNTIF($O$2:O359,O359)&gt;1,"DUP","OK")</f>
        <v>OK</v>
      </c>
      <c r="Q359" s="7" t="n">
        <f aca="false">COUNTBLANK(A359:N359)</f>
        <v>0</v>
      </c>
      <c r="R359" s="7" t="n">
        <f aca="false">IF(A359="",0,COUNTIFS($A$2:$A$3058,A359,$P$2:$P$3058,"OK"))</f>
        <v>1</v>
      </c>
      <c r="S359" s="7" t="str">
        <f aca="false">IF(OR(A359="",P359="DUP",R359&lt;2),"",IF(Q359=_xlfn.MINIFS($Q$2:$Q$3058,$A$2:$A$3058,A359,$P$2:$P$3058,"OK"),"KEEP","DROP"))</f>
        <v/>
      </c>
      <c r="T359" s="9" t="n">
        <f aca="false">IF(A359="",1,0)</f>
        <v>0</v>
      </c>
      <c r="U359" s="9" t="n">
        <f aca="false">IF(D359="",1,0)</f>
        <v>0</v>
      </c>
      <c r="V359" s="9" t="n">
        <f aca="false">IF(E359="",1,0)</f>
        <v>0</v>
      </c>
      <c r="W359" s="9" t="n">
        <f aca="false">IF(OR(H359&lt;1,H359&gt;10),1,0)</f>
        <v>0</v>
      </c>
      <c r="X359" s="9" t="n">
        <f aca="false">IF(OR(I359&lt;=0,I359&gt;1500),1,0)</f>
        <v>0</v>
      </c>
      <c r="Y359" s="9" t="n">
        <f aca="false">IF(J359&gt;H359*I359,1,0)</f>
        <v>0</v>
      </c>
      <c r="Z359" s="9" t="n">
        <f aca="false">IF(AND(N359&lt;&gt;"",OR(N359&lt;1,N359&gt;5)),1,0)</f>
        <v>0</v>
      </c>
      <c r="AA359" s="9" t="n">
        <f aca="false">IF(AND(M359&lt;&gt;"",OR(M359&lt;5,M359&gt;180)),1,0)</f>
        <v>0</v>
      </c>
      <c r="AB359" s="7" t="str">
        <f aca="false">IF(P359="DUP","Exact duplicate row",IF(T359=1,"Missing Order ID",IF(S359="DROP","Duplicate Order ID (less complete row)",IF(U359=1,"Missing Customer ID",IF(V359=1,"Missing Restaurant name",IF(W359=1,"Invalid/outlier quantity",IF(X359=1,"Invalid/outlier unit price",IF(Y359=1,"Discount greater than order value",""))))))))</f>
        <v/>
      </c>
      <c r="AC359" s="7" t="str">
        <f aca="false">IF(AB359="","KEEP","DROP")</f>
        <v>KEEP</v>
      </c>
      <c r="AD359" s="7" t="str">
        <f aca="false">IF(TRIM(F359)="",IFERROR(INDEX(Map_Tables!$I$4:$I$37,MATCH(TRIM(E359),Map_Tables!$G$4:$G$37,0)),""),IFERROR(INDEX(Map_Tables!$B$4:$B$18,MATCH(TRIM(F359),Map_Tables!$A$4:$A$18,0)),"CHECK"))</f>
        <v>Bengaluru</v>
      </c>
      <c r="AE359" s="7" t="str">
        <f aca="false">IF(TRIM(E359)="","",IFERROR(INDEX(Map_Tables!$H$4:$H$37,MATCH(TRIM(E359),Map_Tables!$G$4:$G$37,0)),"CHECK"))</f>
        <v>Dosa Darbar</v>
      </c>
      <c r="AF359" s="7" t="str">
        <f aca="false">IF(TRIM(K359)="","Unknown",IFERROR(INDEX(Map_Tables!$E$4:$E$15,MATCH(TRIM(K359),Map_Tables!$D$4:$D$15,0)),"CHECK"))</f>
        <v>Cash on Delivery</v>
      </c>
      <c r="AG359" s="7" t="str">
        <f aca="false">IF(LEFT(LOWER(TRIM(L359)),6)="cancel","Cancelled","Delivered")</f>
        <v>Delivered</v>
      </c>
      <c r="AH359" s="10" t="n">
        <f aca="false">IF(ISNUMBER(SEARCH("/",B359)),DATE(VALUE(RIGHT(B359,4)),VALUE(MID(B359,4,2)),VALUE(LEFT(B359,2))),IF(MID(B359,5,1)="-",DATE(VALUE(LEFT(B359,4)),VALUE(MID(B359,6,2)),VALUE(RIGHT(B359,2))),DATE(VALUE(RIGHT(B359,4)),MATCH(MID(B359,4,3),{"Jan","Feb","Mar","Apr","May","Jun","Jul","Aug","Sep","Oct","Nov","Dec"},0),VALUE(LEFT(B359,2)))))</f>
        <v>45787</v>
      </c>
    </row>
    <row r="360" customFormat="false" ht="15" hidden="false" customHeight="false" outlineLevel="0" collapsed="false">
      <c r="A360" s="7" t="s">
        <v>1460</v>
      </c>
      <c r="B360" s="7" t="s">
        <v>469</v>
      </c>
      <c r="C360" s="7" t="s">
        <v>1269</v>
      </c>
      <c r="D360" s="7" t="s">
        <v>1093</v>
      </c>
      <c r="E360" s="7" t="s">
        <v>104</v>
      </c>
      <c r="F360" s="7" t="s">
        <v>86</v>
      </c>
      <c r="G360" s="7" t="s">
        <v>105</v>
      </c>
      <c r="H360" s="7" t="n">
        <v>2</v>
      </c>
      <c r="I360" s="7" t="n">
        <v>190</v>
      </c>
      <c r="J360" s="7" t="n">
        <v>40</v>
      </c>
      <c r="K360" s="7" t="s">
        <v>421</v>
      </c>
      <c r="L360" s="7" t="s">
        <v>194</v>
      </c>
      <c r="M360" s="7" t="n">
        <v>36</v>
      </c>
      <c r="N360" s="7" t="n">
        <v>4</v>
      </c>
      <c r="O360" s="7" t="str">
        <f aca="false">A360&amp;"|"&amp;B360&amp;"|"&amp;C360&amp;"|"&amp;D360&amp;"|"&amp;E360&amp;"|"&amp;F360&amp;"|"&amp;G360&amp;"|"&amp;H360&amp;"|"&amp;I360&amp;"|"&amp;J360&amp;"|"&amp;K360&amp;"|"&amp;L360&amp;"|"&amp;M360&amp;"|"&amp;N360</f>
        <v>ORD11682|2025-08-08|10:42|C0057|Wok &amp; Roll|Bengaluru|Chinese|2|190|40|UPI |Delivered|36|4</v>
      </c>
      <c r="P360" s="7" t="str">
        <f aca="false">IF(COUNTIF($O$2:O360,O360)&gt;1,"DUP","OK")</f>
        <v>OK</v>
      </c>
      <c r="Q360" s="7" t="n">
        <f aca="false">COUNTBLANK(A360:N360)</f>
        <v>0</v>
      </c>
      <c r="R360" s="7" t="n">
        <f aca="false">IF(A360="",0,COUNTIFS($A$2:$A$3058,A360,$P$2:$P$3058,"OK"))</f>
        <v>1</v>
      </c>
      <c r="S360" s="7" t="str">
        <f aca="false">IF(OR(A360="",P360="DUP",R360&lt;2),"",IF(Q360=_xlfn.MINIFS($Q$2:$Q$3058,$A$2:$A$3058,A360,$P$2:$P$3058,"OK"),"KEEP","DROP"))</f>
        <v/>
      </c>
      <c r="T360" s="9" t="n">
        <f aca="false">IF(A360="",1,0)</f>
        <v>0</v>
      </c>
      <c r="U360" s="9" t="n">
        <f aca="false">IF(D360="",1,0)</f>
        <v>0</v>
      </c>
      <c r="V360" s="9" t="n">
        <f aca="false">IF(E360="",1,0)</f>
        <v>0</v>
      </c>
      <c r="W360" s="9" t="n">
        <f aca="false">IF(OR(H360&lt;1,H360&gt;10),1,0)</f>
        <v>0</v>
      </c>
      <c r="X360" s="9" t="n">
        <f aca="false">IF(OR(I360&lt;=0,I360&gt;1500),1,0)</f>
        <v>0</v>
      </c>
      <c r="Y360" s="9" t="n">
        <f aca="false">IF(J360&gt;H360*I360,1,0)</f>
        <v>0</v>
      </c>
      <c r="Z360" s="9" t="n">
        <f aca="false">IF(AND(N360&lt;&gt;"",OR(N360&lt;1,N360&gt;5)),1,0)</f>
        <v>0</v>
      </c>
      <c r="AA360" s="9" t="n">
        <f aca="false">IF(AND(M360&lt;&gt;"",OR(M360&lt;5,M360&gt;180)),1,0)</f>
        <v>0</v>
      </c>
      <c r="AB360" s="7" t="str">
        <f aca="false">IF(P360="DUP","Exact duplicate row",IF(T360=1,"Missing Order ID",IF(S360="DROP","Duplicate Order ID (less complete row)",IF(U360=1,"Missing Customer ID",IF(V360=1,"Missing Restaurant name",IF(W360=1,"Invalid/outlier quantity",IF(X360=1,"Invalid/outlier unit price",IF(Y360=1,"Discount greater than order value",""))))))))</f>
        <v/>
      </c>
      <c r="AC360" s="7" t="str">
        <f aca="false">IF(AB360="","KEEP","DROP")</f>
        <v>KEEP</v>
      </c>
      <c r="AD360" s="7" t="str">
        <f aca="false">IF(TRIM(F360)="",IFERROR(INDEX(Map_Tables!$I$4:$I$37,MATCH(TRIM(E360),Map_Tables!$G$4:$G$37,0)),""),IFERROR(INDEX(Map_Tables!$B$4:$B$18,MATCH(TRIM(F360),Map_Tables!$A$4:$A$18,0)),"CHECK"))</f>
        <v>Bengaluru</v>
      </c>
      <c r="AE360" s="7" t="str">
        <f aca="false">IF(TRIM(E360)="","",IFERROR(INDEX(Map_Tables!$H$4:$H$37,MATCH(TRIM(E360),Map_Tables!$G$4:$G$37,0)),"CHECK"))</f>
        <v>Wok &amp; Roll</v>
      </c>
      <c r="AF360" s="7" t="str">
        <f aca="false">IF(TRIM(K360)="","Unknown",IFERROR(INDEX(Map_Tables!$E$4:$E$15,MATCH(TRIM(K360),Map_Tables!$D$4:$D$15,0)),"CHECK"))</f>
        <v>UPI</v>
      </c>
      <c r="AG360" s="7" t="str">
        <f aca="false">IF(LEFT(LOWER(TRIM(L360)),6)="cancel","Cancelled","Delivered")</f>
        <v>Delivered</v>
      </c>
      <c r="AH360" s="10" t="n">
        <f aca="false">IF(ISNUMBER(SEARCH("/",B360)),DATE(VALUE(RIGHT(B360,4)),VALUE(MID(B360,4,2)),VALUE(LEFT(B360,2))),IF(MID(B360,5,1)="-",DATE(VALUE(LEFT(B360,4)),VALUE(MID(B360,6,2)),VALUE(RIGHT(B360,2))),DATE(VALUE(RIGHT(B360,4)),MATCH(MID(B360,4,3),{"Jan","Feb","Mar","Apr","May","Jun","Jul","Aug","Sep","Oct","Nov","Dec"},0),VALUE(LEFT(B360,2)))))</f>
        <v>45877</v>
      </c>
    </row>
    <row r="361" customFormat="false" ht="15" hidden="false" customHeight="false" outlineLevel="0" collapsed="false">
      <c r="A361" s="7" t="s">
        <v>1461</v>
      </c>
      <c r="B361" s="7" t="s">
        <v>190</v>
      </c>
      <c r="C361" s="7" t="s">
        <v>661</v>
      </c>
      <c r="D361" s="7" t="s">
        <v>1462</v>
      </c>
      <c r="E361" s="7" t="s">
        <v>159</v>
      </c>
      <c r="F361" s="7" t="s">
        <v>136</v>
      </c>
      <c r="G361" s="7" t="s">
        <v>90</v>
      </c>
      <c r="H361" s="7" t="n">
        <v>1</v>
      </c>
      <c r="I361" s="7" t="n">
        <v>230</v>
      </c>
      <c r="J361" s="7" t="n">
        <v>50</v>
      </c>
      <c r="K361" s="7" t="s">
        <v>112</v>
      </c>
      <c r="L361" s="7" t="s">
        <v>194</v>
      </c>
      <c r="M361" s="7" t="n">
        <v>18</v>
      </c>
      <c r="N361" s="7" t="n">
        <v>4</v>
      </c>
      <c r="O361" s="7" t="str">
        <f aca="false">A361&amp;"|"&amp;B361&amp;"|"&amp;C361&amp;"|"&amp;D361&amp;"|"&amp;E361&amp;"|"&amp;F361&amp;"|"&amp;G361&amp;"|"&amp;H361&amp;"|"&amp;I361&amp;"|"&amp;J361&amp;"|"&amp;K361&amp;"|"&amp;L361&amp;"|"&amp;M361&amp;"|"&amp;N361</f>
        <v>ORD10673|2025-03-27|12:35|C0907|Maratha Thali House|Pune|North Indian|1|230|50|Cash on Delivery|Delivered|18|4</v>
      </c>
      <c r="P361" s="7" t="str">
        <f aca="false">IF(COUNTIF($O$2:O361,O361)&gt;1,"DUP","OK")</f>
        <v>OK</v>
      </c>
      <c r="Q361" s="7" t="n">
        <f aca="false">COUNTBLANK(A361:N361)</f>
        <v>0</v>
      </c>
      <c r="R361" s="7" t="n">
        <f aca="false">IF(A361="",0,COUNTIFS($A$2:$A$3058,A361,$P$2:$P$3058,"OK"))</f>
        <v>1</v>
      </c>
      <c r="S361" s="7" t="str">
        <f aca="false">IF(OR(A361="",P361="DUP",R361&lt;2),"",IF(Q361=_xlfn.MINIFS($Q$2:$Q$3058,$A$2:$A$3058,A361,$P$2:$P$3058,"OK"),"KEEP","DROP"))</f>
        <v/>
      </c>
      <c r="T361" s="9" t="n">
        <f aca="false">IF(A361="",1,0)</f>
        <v>0</v>
      </c>
      <c r="U361" s="9" t="n">
        <f aca="false">IF(D361="",1,0)</f>
        <v>0</v>
      </c>
      <c r="V361" s="9" t="n">
        <f aca="false">IF(E361="",1,0)</f>
        <v>0</v>
      </c>
      <c r="W361" s="9" t="n">
        <f aca="false">IF(OR(H361&lt;1,H361&gt;10),1,0)</f>
        <v>0</v>
      </c>
      <c r="X361" s="9" t="n">
        <f aca="false">IF(OR(I361&lt;=0,I361&gt;1500),1,0)</f>
        <v>0</v>
      </c>
      <c r="Y361" s="9" t="n">
        <f aca="false">IF(J361&gt;H361*I361,1,0)</f>
        <v>0</v>
      </c>
      <c r="Z361" s="9" t="n">
        <f aca="false">IF(AND(N361&lt;&gt;"",OR(N361&lt;1,N361&gt;5)),1,0)</f>
        <v>0</v>
      </c>
      <c r="AA361" s="9" t="n">
        <f aca="false">IF(AND(M361&lt;&gt;"",OR(M361&lt;5,M361&gt;180)),1,0)</f>
        <v>0</v>
      </c>
      <c r="AB361" s="7" t="str">
        <f aca="false">IF(P361="DUP","Exact duplicate row",IF(T361=1,"Missing Order ID",IF(S361="DROP","Duplicate Order ID (less complete row)",IF(U361=1,"Missing Customer ID",IF(V361=1,"Missing Restaurant name",IF(W361=1,"Invalid/outlier quantity",IF(X361=1,"Invalid/outlier unit price",IF(Y361=1,"Discount greater than order value",""))))))))</f>
        <v/>
      </c>
      <c r="AC361" s="7" t="str">
        <f aca="false">IF(AB361="","KEEP","DROP")</f>
        <v>KEEP</v>
      </c>
      <c r="AD361" s="7" t="str">
        <f aca="false">IF(TRIM(F361)="",IFERROR(INDEX(Map_Tables!$I$4:$I$37,MATCH(TRIM(E361),Map_Tables!$G$4:$G$37,0)),""),IFERROR(INDEX(Map_Tables!$B$4:$B$18,MATCH(TRIM(F361),Map_Tables!$A$4:$A$18,0)),"CHECK"))</f>
        <v>Pune</v>
      </c>
      <c r="AE361" s="7" t="str">
        <f aca="false">IF(TRIM(E361)="","",IFERROR(INDEX(Map_Tables!$H$4:$H$37,MATCH(TRIM(E361),Map_Tables!$G$4:$G$37,0)),"CHECK"))</f>
        <v>Maratha Thali House</v>
      </c>
      <c r="AF361" s="7" t="str">
        <f aca="false">IF(TRIM(K361)="","Unknown",IFERROR(INDEX(Map_Tables!$E$4:$E$15,MATCH(TRIM(K361),Map_Tables!$D$4:$D$15,0)),"CHECK"))</f>
        <v>Cash on Delivery</v>
      </c>
      <c r="AG361" s="7" t="str">
        <f aca="false">IF(LEFT(LOWER(TRIM(L361)),6)="cancel","Cancelled","Delivered")</f>
        <v>Delivered</v>
      </c>
      <c r="AH361" s="10" t="n">
        <f aca="false">IF(ISNUMBER(SEARCH("/",B361)),DATE(VALUE(RIGHT(B361,4)),VALUE(MID(B361,4,2)),VALUE(LEFT(B361,2))),IF(MID(B361,5,1)="-",DATE(VALUE(LEFT(B361,4)),VALUE(MID(B361,6,2)),VALUE(RIGHT(B361,2))),DATE(VALUE(RIGHT(B361,4)),MATCH(MID(B361,4,3),{"Jan","Feb","Mar","Apr","May","Jun","Jul","Aug","Sep","Oct","Nov","Dec"},0),VALUE(LEFT(B361,2)))))</f>
        <v>45743</v>
      </c>
    </row>
    <row r="362" customFormat="false" ht="15" hidden="false" customHeight="false" outlineLevel="0" collapsed="false">
      <c r="A362" s="7" t="s">
        <v>1463</v>
      </c>
      <c r="B362" s="7" t="s">
        <v>648</v>
      </c>
      <c r="C362" s="7" t="s">
        <v>268</v>
      </c>
      <c r="D362" s="7" t="s">
        <v>1464</v>
      </c>
      <c r="E362" s="7" t="s">
        <v>138</v>
      </c>
      <c r="F362" s="7" t="s">
        <v>110</v>
      </c>
      <c r="G362" s="7" t="s">
        <v>1003</v>
      </c>
      <c r="H362" s="7" t="n">
        <v>3</v>
      </c>
      <c r="I362" s="7" t="n">
        <v>200</v>
      </c>
      <c r="J362" s="7" t="n">
        <v>0</v>
      </c>
      <c r="K362" s="7" t="s">
        <v>112</v>
      </c>
      <c r="L362" s="7" t="s">
        <v>194</v>
      </c>
      <c r="M362" s="7" t="n">
        <v>50</v>
      </c>
      <c r="N362" s="7" t="n">
        <v>3</v>
      </c>
      <c r="O362" s="7" t="str">
        <f aca="false">A362&amp;"|"&amp;B362&amp;"|"&amp;C362&amp;"|"&amp;D362&amp;"|"&amp;E362&amp;"|"&amp;F362&amp;"|"&amp;G362&amp;"|"&amp;H362&amp;"|"&amp;I362&amp;"|"&amp;J362&amp;"|"&amp;K362&amp;"|"&amp;L362&amp;"|"&amp;M362&amp;"|"&amp;N362</f>
        <v>ORD11207|2025-06-02|19:16|C1352|Burger Barn|Delhi|BURGERS|3|200|0|Cash on Delivery|Delivered|50|3</v>
      </c>
      <c r="P362" s="7" t="str">
        <f aca="false">IF(COUNTIF($O$2:O362,O362)&gt;1,"DUP","OK")</f>
        <v>OK</v>
      </c>
      <c r="Q362" s="7" t="n">
        <f aca="false">COUNTBLANK(A362:N362)</f>
        <v>0</v>
      </c>
      <c r="R362" s="7" t="n">
        <f aca="false">IF(A362="",0,COUNTIFS($A$2:$A$3058,A362,$P$2:$P$3058,"OK"))</f>
        <v>1</v>
      </c>
      <c r="S362" s="7" t="str">
        <f aca="false">IF(OR(A362="",P362="DUP",R362&lt;2),"",IF(Q362=_xlfn.MINIFS($Q$2:$Q$3058,$A$2:$A$3058,A362,$P$2:$P$3058,"OK"),"KEEP","DROP"))</f>
        <v/>
      </c>
      <c r="T362" s="9" t="n">
        <f aca="false">IF(A362="",1,0)</f>
        <v>0</v>
      </c>
      <c r="U362" s="9" t="n">
        <f aca="false">IF(D362="",1,0)</f>
        <v>0</v>
      </c>
      <c r="V362" s="9" t="n">
        <f aca="false">IF(E362="",1,0)</f>
        <v>0</v>
      </c>
      <c r="W362" s="9" t="n">
        <f aca="false">IF(OR(H362&lt;1,H362&gt;10),1,0)</f>
        <v>0</v>
      </c>
      <c r="X362" s="9" t="n">
        <f aca="false">IF(OR(I362&lt;=0,I362&gt;1500),1,0)</f>
        <v>0</v>
      </c>
      <c r="Y362" s="9" t="n">
        <f aca="false">IF(J362&gt;H362*I362,1,0)</f>
        <v>0</v>
      </c>
      <c r="Z362" s="9" t="n">
        <f aca="false">IF(AND(N362&lt;&gt;"",OR(N362&lt;1,N362&gt;5)),1,0)</f>
        <v>0</v>
      </c>
      <c r="AA362" s="9" t="n">
        <f aca="false">IF(AND(M362&lt;&gt;"",OR(M362&lt;5,M362&gt;180)),1,0)</f>
        <v>0</v>
      </c>
      <c r="AB362" s="7" t="str">
        <f aca="false">IF(P362="DUP","Exact duplicate row",IF(T362=1,"Missing Order ID",IF(S362="DROP","Duplicate Order ID (less complete row)",IF(U362=1,"Missing Customer ID",IF(V362=1,"Missing Restaurant name",IF(W362=1,"Invalid/outlier quantity",IF(X362=1,"Invalid/outlier unit price",IF(Y362=1,"Discount greater than order value",""))))))))</f>
        <v/>
      </c>
      <c r="AC362" s="7" t="str">
        <f aca="false">IF(AB362="","KEEP","DROP")</f>
        <v>KEEP</v>
      </c>
      <c r="AD362" s="7" t="str">
        <f aca="false">IF(TRIM(F362)="",IFERROR(INDEX(Map_Tables!$I$4:$I$37,MATCH(TRIM(E362),Map_Tables!$G$4:$G$37,0)),""),IFERROR(INDEX(Map_Tables!$B$4:$B$18,MATCH(TRIM(F362),Map_Tables!$A$4:$A$18,0)),"CHECK"))</f>
        <v>Delhi</v>
      </c>
      <c r="AE362" s="7" t="str">
        <f aca="false">IF(TRIM(E362)="","",IFERROR(INDEX(Map_Tables!$H$4:$H$37,MATCH(TRIM(E362),Map_Tables!$G$4:$G$37,0)),"CHECK"))</f>
        <v>Burger Barn</v>
      </c>
      <c r="AF362" s="7" t="str">
        <f aca="false">IF(TRIM(K362)="","Unknown",IFERROR(INDEX(Map_Tables!$E$4:$E$15,MATCH(TRIM(K362),Map_Tables!$D$4:$D$15,0)),"CHECK"))</f>
        <v>Cash on Delivery</v>
      </c>
      <c r="AG362" s="7" t="str">
        <f aca="false">IF(LEFT(LOWER(TRIM(L362)),6)="cancel","Cancelled","Delivered")</f>
        <v>Delivered</v>
      </c>
      <c r="AH362" s="10" t="n">
        <f aca="false">IF(ISNUMBER(SEARCH("/",B362)),DATE(VALUE(RIGHT(B362,4)),VALUE(MID(B362,4,2)),VALUE(LEFT(B362,2))),IF(MID(B362,5,1)="-",DATE(VALUE(LEFT(B362,4)),VALUE(MID(B362,6,2)),VALUE(RIGHT(B362,2))),DATE(VALUE(RIGHT(B362,4)),MATCH(MID(B362,4,3),{"Jan","Feb","Mar","Apr","May","Jun","Jul","Aug","Sep","Oct","Nov","Dec"},0),VALUE(LEFT(B362,2)))))</f>
        <v>45810</v>
      </c>
    </row>
    <row r="363" customFormat="false" ht="15" hidden="false" customHeight="false" outlineLevel="0" collapsed="false">
      <c r="A363" s="7" t="s">
        <v>1465</v>
      </c>
      <c r="B363" s="7" t="s">
        <v>576</v>
      </c>
      <c r="C363" s="7" t="s">
        <v>1466</v>
      </c>
      <c r="D363" s="7" t="s">
        <v>1467</v>
      </c>
      <c r="E363" s="7" t="s">
        <v>138</v>
      </c>
      <c r="F363" s="7" t="s">
        <v>294</v>
      </c>
      <c r="G363" s="7" t="s">
        <v>139</v>
      </c>
      <c r="H363" s="7" t="n">
        <v>1</v>
      </c>
      <c r="I363" s="7" t="n">
        <v>145</v>
      </c>
      <c r="J363" s="7" t="n">
        <v>0</v>
      </c>
      <c r="K363" s="7" t="s">
        <v>88</v>
      </c>
      <c r="L363" s="7" t="s">
        <v>194</v>
      </c>
      <c r="M363" s="7" t="n">
        <v>38</v>
      </c>
      <c r="N363" s="7" t="n">
        <v>4</v>
      </c>
      <c r="O363" s="7" t="str">
        <f aca="false">A363&amp;"|"&amp;B363&amp;"|"&amp;C363&amp;"|"&amp;D363&amp;"|"&amp;E363&amp;"|"&amp;F363&amp;"|"&amp;G363&amp;"|"&amp;H363&amp;"|"&amp;I363&amp;"|"&amp;J363&amp;"|"&amp;K363&amp;"|"&amp;L363&amp;"|"&amp;M363&amp;"|"&amp;N363</f>
        <v>ORD12271|2025-10-15|09:22|C0191|Burger Barn|New Delhi|Burgers|1|145|0|UPI|Delivered|38|4</v>
      </c>
      <c r="P363" s="7" t="str">
        <f aca="false">IF(COUNTIF($O$2:O363,O363)&gt;1,"DUP","OK")</f>
        <v>OK</v>
      </c>
      <c r="Q363" s="7" t="n">
        <f aca="false">COUNTBLANK(A363:N363)</f>
        <v>0</v>
      </c>
      <c r="R363" s="7" t="n">
        <f aca="false">IF(A363="",0,COUNTIFS($A$2:$A$3058,A363,$P$2:$P$3058,"OK"))</f>
        <v>1</v>
      </c>
      <c r="S363" s="7" t="str">
        <f aca="false">IF(OR(A363="",P363="DUP",R363&lt;2),"",IF(Q363=_xlfn.MINIFS($Q$2:$Q$3058,$A$2:$A$3058,A363,$P$2:$P$3058,"OK"),"KEEP","DROP"))</f>
        <v/>
      </c>
      <c r="T363" s="9" t="n">
        <f aca="false">IF(A363="",1,0)</f>
        <v>0</v>
      </c>
      <c r="U363" s="9" t="n">
        <f aca="false">IF(D363="",1,0)</f>
        <v>0</v>
      </c>
      <c r="V363" s="9" t="n">
        <f aca="false">IF(E363="",1,0)</f>
        <v>0</v>
      </c>
      <c r="W363" s="9" t="n">
        <f aca="false">IF(OR(H363&lt;1,H363&gt;10),1,0)</f>
        <v>0</v>
      </c>
      <c r="X363" s="9" t="n">
        <f aca="false">IF(OR(I363&lt;=0,I363&gt;1500),1,0)</f>
        <v>0</v>
      </c>
      <c r="Y363" s="9" t="n">
        <f aca="false">IF(J363&gt;H363*I363,1,0)</f>
        <v>0</v>
      </c>
      <c r="Z363" s="9" t="n">
        <f aca="false">IF(AND(N363&lt;&gt;"",OR(N363&lt;1,N363&gt;5)),1,0)</f>
        <v>0</v>
      </c>
      <c r="AA363" s="9" t="n">
        <f aca="false">IF(AND(M363&lt;&gt;"",OR(M363&lt;5,M363&gt;180)),1,0)</f>
        <v>0</v>
      </c>
      <c r="AB363" s="7" t="str">
        <f aca="false">IF(P363="DUP","Exact duplicate row",IF(T363=1,"Missing Order ID",IF(S363="DROP","Duplicate Order ID (less complete row)",IF(U363=1,"Missing Customer ID",IF(V363=1,"Missing Restaurant name",IF(W363=1,"Invalid/outlier quantity",IF(X363=1,"Invalid/outlier unit price",IF(Y363=1,"Discount greater than order value",""))))))))</f>
        <v/>
      </c>
      <c r="AC363" s="7" t="str">
        <f aca="false">IF(AB363="","KEEP","DROP")</f>
        <v>KEEP</v>
      </c>
      <c r="AD363" s="7" t="str">
        <f aca="false">IF(TRIM(F363)="",IFERROR(INDEX(Map_Tables!$I$4:$I$37,MATCH(TRIM(E363),Map_Tables!$G$4:$G$37,0)),""),IFERROR(INDEX(Map_Tables!$B$4:$B$18,MATCH(TRIM(F363),Map_Tables!$A$4:$A$18,0)),"CHECK"))</f>
        <v>Delhi</v>
      </c>
      <c r="AE363" s="7" t="str">
        <f aca="false">IF(TRIM(E363)="","",IFERROR(INDEX(Map_Tables!$H$4:$H$37,MATCH(TRIM(E363),Map_Tables!$G$4:$G$37,0)),"CHECK"))</f>
        <v>Burger Barn</v>
      </c>
      <c r="AF363" s="7" t="str">
        <f aca="false">IF(TRIM(K363)="","Unknown",IFERROR(INDEX(Map_Tables!$E$4:$E$15,MATCH(TRIM(K363),Map_Tables!$D$4:$D$15,0)),"CHECK"))</f>
        <v>UPI</v>
      </c>
      <c r="AG363" s="7" t="str">
        <f aca="false">IF(LEFT(LOWER(TRIM(L363)),6)="cancel","Cancelled","Delivered")</f>
        <v>Delivered</v>
      </c>
      <c r="AH363" s="10" t="n">
        <f aca="false">IF(ISNUMBER(SEARCH("/",B363)),DATE(VALUE(RIGHT(B363,4)),VALUE(MID(B363,4,2)),VALUE(LEFT(B363,2))),IF(MID(B363,5,1)="-",DATE(VALUE(LEFT(B363,4)),VALUE(MID(B363,6,2)),VALUE(RIGHT(B363,2))),DATE(VALUE(RIGHT(B363,4)),MATCH(MID(B363,4,3),{"Jan","Feb","Mar","Apr","May","Jun","Jul","Aug","Sep","Oct","Nov","Dec"},0),VALUE(LEFT(B363,2)))))</f>
        <v>45945</v>
      </c>
    </row>
    <row r="364" customFormat="false" ht="15" hidden="false" customHeight="false" outlineLevel="0" collapsed="false">
      <c r="A364" s="7" t="s">
        <v>1468</v>
      </c>
      <c r="B364" s="7" t="s">
        <v>1469</v>
      </c>
      <c r="C364" s="7" t="s">
        <v>1128</v>
      </c>
      <c r="D364" s="7" t="s">
        <v>1470</v>
      </c>
      <c r="E364" s="7" t="s">
        <v>130</v>
      </c>
      <c r="F364" s="7" t="s">
        <v>110</v>
      </c>
      <c r="G364" s="7" t="s">
        <v>90</v>
      </c>
      <c r="H364" s="7" t="n">
        <v>1</v>
      </c>
      <c r="I364" s="7" t="n">
        <v>225</v>
      </c>
      <c r="J364" s="7" t="n">
        <v>0</v>
      </c>
      <c r="K364" s="7" t="s">
        <v>88</v>
      </c>
      <c r="L364" s="7" t="s">
        <v>194</v>
      </c>
      <c r="M364" s="7" t="n">
        <v>29</v>
      </c>
      <c r="N364" s="7" t="n">
        <v>2</v>
      </c>
      <c r="O364" s="7" t="str">
        <f aca="false">A364&amp;"|"&amp;B364&amp;"|"&amp;C364&amp;"|"&amp;D364&amp;"|"&amp;E364&amp;"|"&amp;F364&amp;"|"&amp;G364&amp;"|"&amp;H364&amp;"|"&amp;I364&amp;"|"&amp;J364&amp;"|"&amp;K364&amp;"|"&amp;L364&amp;"|"&amp;M364&amp;"|"&amp;N364</f>
        <v>ORD11059|2025-05-14|10:43|C1068|Tandoor Tales|Delhi|North Indian|1|225|0|UPI|Delivered|29|2</v>
      </c>
      <c r="P364" s="7" t="str">
        <f aca="false">IF(COUNTIF($O$2:O364,O364)&gt;1,"DUP","OK")</f>
        <v>OK</v>
      </c>
      <c r="Q364" s="7" t="n">
        <f aca="false">COUNTBLANK(A364:N364)</f>
        <v>0</v>
      </c>
      <c r="R364" s="7" t="n">
        <f aca="false">IF(A364="",0,COUNTIFS($A$2:$A$3058,A364,$P$2:$P$3058,"OK"))</f>
        <v>1</v>
      </c>
      <c r="S364" s="7" t="str">
        <f aca="false">IF(OR(A364="",P364="DUP",R364&lt;2),"",IF(Q364=_xlfn.MINIFS($Q$2:$Q$3058,$A$2:$A$3058,A364,$P$2:$P$3058,"OK"),"KEEP","DROP"))</f>
        <v/>
      </c>
      <c r="T364" s="9" t="n">
        <f aca="false">IF(A364="",1,0)</f>
        <v>0</v>
      </c>
      <c r="U364" s="9" t="n">
        <f aca="false">IF(D364="",1,0)</f>
        <v>0</v>
      </c>
      <c r="V364" s="9" t="n">
        <f aca="false">IF(E364="",1,0)</f>
        <v>0</v>
      </c>
      <c r="W364" s="9" t="n">
        <f aca="false">IF(OR(H364&lt;1,H364&gt;10),1,0)</f>
        <v>0</v>
      </c>
      <c r="X364" s="9" t="n">
        <f aca="false">IF(OR(I364&lt;=0,I364&gt;1500),1,0)</f>
        <v>0</v>
      </c>
      <c r="Y364" s="9" t="n">
        <f aca="false">IF(J364&gt;H364*I364,1,0)</f>
        <v>0</v>
      </c>
      <c r="Z364" s="9" t="n">
        <f aca="false">IF(AND(N364&lt;&gt;"",OR(N364&lt;1,N364&gt;5)),1,0)</f>
        <v>0</v>
      </c>
      <c r="AA364" s="9" t="n">
        <f aca="false">IF(AND(M364&lt;&gt;"",OR(M364&lt;5,M364&gt;180)),1,0)</f>
        <v>0</v>
      </c>
      <c r="AB364" s="7" t="str">
        <f aca="false">IF(P364="DUP","Exact duplicate row",IF(T364=1,"Missing Order ID",IF(S364="DROP","Duplicate Order ID (less complete row)",IF(U364=1,"Missing Customer ID",IF(V364=1,"Missing Restaurant name",IF(W364=1,"Invalid/outlier quantity",IF(X364=1,"Invalid/outlier unit price",IF(Y364=1,"Discount greater than order value",""))))))))</f>
        <v/>
      </c>
      <c r="AC364" s="7" t="str">
        <f aca="false">IF(AB364="","KEEP","DROP")</f>
        <v>KEEP</v>
      </c>
      <c r="AD364" s="7" t="str">
        <f aca="false">IF(TRIM(F364)="",IFERROR(INDEX(Map_Tables!$I$4:$I$37,MATCH(TRIM(E364),Map_Tables!$G$4:$G$37,0)),""),IFERROR(INDEX(Map_Tables!$B$4:$B$18,MATCH(TRIM(F364),Map_Tables!$A$4:$A$18,0)),"CHECK"))</f>
        <v>Delhi</v>
      </c>
      <c r="AE364" s="7" t="str">
        <f aca="false">IF(TRIM(E364)="","",IFERROR(INDEX(Map_Tables!$H$4:$H$37,MATCH(TRIM(E364),Map_Tables!$G$4:$G$37,0)),"CHECK"))</f>
        <v>Tandoor Tales</v>
      </c>
      <c r="AF364" s="7" t="str">
        <f aca="false">IF(TRIM(K364)="","Unknown",IFERROR(INDEX(Map_Tables!$E$4:$E$15,MATCH(TRIM(K364),Map_Tables!$D$4:$D$15,0)),"CHECK"))</f>
        <v>UPI</v>
      </c>
      <c r="AG364" s="7" t="str">
        <f aca="false">IF(LEFT(LOWER(TRIM(L364)),6)="cancel","Cancelled","Delivered")</f>
        <v>Delivered</v>
      </c>
      <c r="AH364" s="10" t="n">
        <f aca="false">IF(ISNUMBER(SEARCH("/",B364)),DATE(VALUE(RIGHT(B364,4)),VALUE(MID(B364,4,2)),VALUE(LEFT(B364,2))),IF(MID(B364,5,1)="-",DATE(VALUE(LEFT(B364,4)),VALUE(MID(B364,6,2)),VALUE(RIGHT(B364,2))),DATE(VALUE(RIGHT(B364,4)),MATCH(MID(B364,4,3),{"Jan","Feb","Mar","Apr","May","Jun","Jul","Aug","Sep","Oct","Nov","Dec"},0),VALUE(LEFT(B364,2)))))</f>
        <v>45791</v>
      </c>
    </row>
    <row r="365" customFormat="false" ht="15" hidden="false" customHeight="false" outlineLevel="0" collapsed="false">
      <c r="A365" s="7" t="s">
        <v>1471</v>
      </c>
      <c r="B365" s="7" t="s">
        <v>196</v>
      </c>
      <c r="C365" s="7" t="s">
        <v>1472</v>
      </c>
      <c r="D365" s="7" t="s">
        <v>589</v>
      </c>
      <c r="E365" s="7" t="s">
        <v>159</v>
      </c>
      <c r="F365" s="7" t="s">
        <v>136</v>
      </c>
      <c r="G365" s="7" t="s">
        <v>90</v>
      </c>
      <c r="H365" s="7" t="n">
        <v>3</v>
      </c>
      <c r="I365" s="7" t="n">
        <v>175</v>
      </c>
      <c r="J365" s="7" t="n">
        <v>150</v>
      </c>
      <c r="K365" s="7" t="s">
        <v>121</v>
      </c>
      <c r="L365" s="7" t="s">
        <v>194</v>
      </c>
      <c r="M365" s="7" t="n">
        <v>39</v>
      </c>
      <c r="N365" s="7" t="n">
        <v>5</v>
      </c>
      <c r="O365" s="7" t="str">
        <f aca="false">A365&amp;"|"&amp;B365&amp;"|"&amp;C365&amp;"|"&amp;D365&amp;"|"&amp;E365&amp;"|"&amp;F365&amp;"|"&amp;G365&amp;"|"&amp;H365&amp;"|"&amp;I365&amp;"|"&amp;J365&amp;"|"&amp;K365&amp;"|"&amp;L365&amp;"|"&amp;M365&amp;"|"&amp;N365</f>
        <v>ORD12664|2025-11-24|18:18|C0703|Maratha Thali House|Pune|North Indian|3|175|150|Wallet|Delivered|39|5</v>
      </c>
      <c r="P365" s="7" t="str">
        <f aca="false">IF(COUNTIF($O$2:O365,O365)&gt;1,"DUP","OK")</f>
        <v>OK</v>
      </c>
      <c r="Q365" s="7" t="n">
        <f aca="false">COUNTBLANK(A365:N365)</f>
        <v>0</v>
      </c>
      <c r="R365" s="7" t="n">
        <f aca="false">IF(A365="",0,COUNTIFS($A$2:$A$3058,A365,$P$2:$P$3058,"OK"))</f>
        <v>1</v>
      </c>
      <c r="S365" s="7" t="str">
        <f aca="false">IF(OR(A365="",P365="DUP",R365&lt;2),"",IF(Q365=_xlfn.MINIFS($Q$2:$Q$3058,$A$2:$A$3058,A365,$P$2:$P$3058,"OK"),"KEEP","DROP"))</f>
        <v/>
      </c>
      <c r="T365" s="9" t="n">
        <f aca="false">IF(A365="",1,0)</f>
        <v>0</v>
      </c>
      <c r="U365" s="9" t="n">
        <f aca="false">IF(D365="",1,0)</f>
        <v>0</v>
      </c>
      <c r="V365" s="9" t="n">
        <f aca="false">IF(E365="",1,0)</f>
        <v>0</v>
      </c>
      <c r="W365" s="9" t="n">
        <f aca="false">IF(OR(H365&lt;1,H365&gt;10),1,0)</f>
        <v>0</v>
      </c>
      <c r="X365" s="9" t="n">
        <f aca="false">IF(OR(I365&lt;=0,I365&gt;1500),1,0)</f>
        <v>0</v>
      </c>
      <c r="Y365" s="9" t="n">
        <f aca="false">IF(J365&gt;H365*I365,1,0)</f>
        <v>0</v>
      </c>
      <c r="Z365" s="9" t="n">
        <f aca="false">IF(AND(N365&lt;&gt;"",OR(N365&lt;1,N365&gt;5)),1,0)</f>
        <v>0</v>
      </c>
      <c r="AA365" s="9" t="n">
        <f aca="false">IF(AND(M365&lt;&gt;"",OR(M365&lt;5,M365&gt;180)),1,0)</f>
        <v>0</v>
      </c>
      <c r="AB365" s="7" t="str">
        <f aca="false">IF(P365="DUP","Exact duplicate row",IF(T365=1,"Missing Order ID",IF(S365="DROP","Duplicate Order ID (less complete row)",IF(U365=1,"Missing Customer ID",IF(V365=1,"Missing Restaurant name",IF(W365=1,"Invalid/outlier quantity",IF(X365=1,"Invalid/outlier unit price",IF(Y365=1,"Discount greater than order value",""))))))))</f>
        <v/>
      </c>
      <c r="AC365" s="7" t="str">
        <f aca="false">IF(AB365="","KEEP","DROP")</f>
        <v>KEEP</v>
      </c>
      <c r="AD365" s="7" t="str">
        <f aca="false">IF(TRIM(F365)="",IFERROR(INDEX(Map_Tables!$I$4:$I$37,MATCH(TRIM(E365),Map_Tables!$G$4:$G$37,0)),""),IFERROR(INDEX(Map_Tables!$B$4:$B$18,MATCH(TRIM(F365),Map_Tables!$A$4:$A$18,0)),"CHECK"))</f>
        <v>Pune</v>
      </c>
      <c r="AE365" s="7" t="str">
        <f aca="false">IF(TRIM(E365)="","",IFERROR(INDEX(Map_Tables!$H$4:$H$37,MATCH(TRIM(E365),Map_Tables!$G$4:$G$37,0)),"CHECK"))</f>
        <v>Maratha Thali House</v>
      </c>
      <c r="AF365" s="7" t="str">
        <f aca="false">IF(TRIM(K365)="","Unknown",IFERROR(INDEX(Map_Tables!$E$4:$E$15,MATCH(TRIM(K365),Map_Tables!$D$4:$D$15,0)),"CHECK"))</f>
        <v>Wallet</v>
      </c>
      <c r="AG365" s="7" t="str">
        <f aca="false">IF(LEFT(LOWER(TRIM(L365)),6)="cancel","Cancelled","Delivered")</f>
        <v>Delivered</v>
      </c>
      <c r="AH365" s="10" t="n">
        <f aca="false">IF(ISNUMBER(SEARCH("/",B365)),DATE(VALUE(RIGHT(B365,4)),VALUE(MID(B365,4,2)),VALUE(LEFT(B365,2))),IF(MID(B365,5,1)="-",DATE(VALUE(LEFT(B365,4)),VALUE(MID(B365,6,2)),VALUE(RIGHT(B365,2))),DATE(VALUE(RIGHT(B365,4)),MATCH(MID(B365,4,3),{"Jan","Feb","Mar","Apr","May","Jun","Jul","Aug","Sep","Oct","Nov","Dec"},0),VALUE(LEFT(B365,2)))))</f>
        <v>45985</v>
      </c>
    </row>
    <row r="366" customFormat="false" ht="15" hidden="false" customHeight="false" outlineLevel="0" collapsed="false">
      <c r="A366" s="7" t="s">
        <v>1473</v>
      </c>
      <c r="B366" s="7" t="s">
        <v>563</v>
      </c>
      <c r="C366" s="7" t="s">
        <v>1474</v>
      </c>
      <c r="D366" s="7" t="s">
        <v>1475</v>
      </c>
      <c r="E366" s="7" t="s">
        <v>122</v>
      </c>
      <c r="F366" s="7" t="s">
        <v>101</v>
      </c>
      <c r="G366" s="7" t="s">
        <v>123</v>
      </c>
      <c r="H366" s="7" t="n">
        <v>1</v>
      </c>
      <c r="I366" s="7" t="n">
        <v>330</v>
      </c>
      <c r="J366" s="7" t="n">
        <v>0</v>
      </c>
      <c r="K366" s="7" t="s">
        <v>112</v>
      </c>
      <c r="L366" s="7" t="s">
        <v>194</v>
      </c>
      <c r="M366" s="7" t="n">
        <v>40</v>
      </c>
      <c r="N366" s="7" t="n">
        <v>3</v>
      </c>
      <c r="O366" s="7" t="str">
        <f aca="false">A366&amp;"|"&amp;B366&amp;"|"&amp;C366&amp;"|"&amp;D366&amp;"|"&amp;E366&amp;"|"&amp;F366&amp;"|"&amp;G366&amp;"|"&amp;H366&amp;"|"&amp;I366&amp;"|"&amp;J366&amp;"|"&amp;K366&amp;"|"&amp;L366&amp;"|"&amp;M366&amp;"|"&amp;N366</f>
        <v>ORD11783|2025-08-20|19:37|C0781|Mumbai Pizza Co|Mumbai|Pizza|1|330|0|Cash on Delivery|Delivered|40|3</v>
      </c>
      <c r="P366" s="7" t="str">
        <f aca="false">IF(COUNTIF($O$2:O366,O366)&gt;1,"DUP","OK")</f>
        <v>OK</v>
      </c>
      <c r="Q366" s="7" t="n">
        <f aca="false">COUNTBLANK(A366:N366)</f>
        <v>0</v>
      </c>
      <c r="R366" s="7" t="n">
        <f aca="false">IF(A366="",0,COUNTIFS($A$2:$A$3058,A366,$P$2:$P$3058,"OK"))</f>
        <v>1</v>
      </c>
      <c r="S366" s="7" t="str">
        <f aca="false">IF(OR(A366="",P366="DUP",R366&lt;2),"",IF(Q366=_xlfn.MINIFS($Q$2:$Q$3058,$A$2:$A$3058,A366,$P$2:$P$3058,"OK"),"KEEP","DROP"))</f>
        <v/>
      </c>
      <c r="T366" s="9" t="n">
        <f aca="false">IF(A366="",1,0)</f>
        <v>0</v>
      </c>
      <c r="U366" s="9" t="n">
        <f aca="false">IF(D366="",1,0)</f>
        <v>0</v>
      </c>
      <c r="V366" s="9" t="n">
        <f aca="false">IF(E366="",1,0)</f>
        <v>0</v>
      </c>
      <c r="W366" s="9" t="n">
        <f aca="false">IF(OR(H366&lt;1,H366&gt;10),1,0)</f>
        <v>0</v>
      </c>
      <c r="X366" s="9" t="n">
        <f aca="false">IF(OR(I366&lt;=0,I366&gt;1500),1,0)</f>
        <v>0</v>
      </c>
      <c r="Y366" s="9" t="n">
        <f aca="false">IF(J366&gt;H366*I366,1,0)</f>
        <v>0</v>
      </c>
      <c r="Z366" s="9" t="n">
        <f aca="false">IF(AND(N366&lt;&gt;"",OR(N366&lt;1,N366&gt;5)),1,0)</f>
        <v>0</v>
      </c>
      <c r="AA366" s="9" t="n">
        <f aca="false">IF(AND(M366&lt;&gt;"",OR(M366&lt;5,M366&gt;180)),1,0)</f>
        <v>0</v>
      </c>
      <c r="AB366" s="7" t="str">
        <f aca="false">IF(P366="DUP","Exact duplicate row",IF(T366=1,"Missing Order ID",IF(S366="DROP","Duplicate Order ID (less complete row)",IF(U366=1,"Missing Customer ID",IF(V366=1,"Missing Restaurant name",IF(W366=1,"Invalid/outlier quantity",IF(X366=1,"Invalid/outlier unit price",IF(Y366=1,"Discount greater than order value",""))))))))</f>
        <v/>
      </c>
      <c r="AC366" s="7" t="str">
        <f aca="false">IF(AB366="","KEEP","DROP")</f>
        <v>KEEP</v>
      </c>
      <c r="AD366" s="7" t="str">
        <f aca="false">IF(TRIM(F366)="",IFERROR(INDEX(Map_Tables!$I$4:$I$37,MATCH(TRIM(E366),Map_Tables!$G$4:$G$37,0)),""),IFERROR(INDEX(Map_Tables!$B$4:$B$18,MATCH(TRIM(F366),Map_Tables!$A$4:$A$18,0)),"CHECK"))</f>
        <v>Mumbai</v>
      </c>
      <c r="AE366" s="7" t="str">
        <f aca="false">IF(TRIM(E366)="","",IFERROR(INDEX(Map_Tables!$H$4:$H$37,MATCH(TRIM(E366),Map_Tables!$G$4:$G$37,0)),"CHECK"))</f>
        <v>Mumbai Pizza Co</v>
      </c>
      <c r="AF366" s="7" t="str">
        <f aca="false">IF(TRIM(K366)="","Unknown",IFERROR(INDEX(Map_Tables!$E$4:$E$15,MATCH(TRIM(K366),Map_Tables!$D$4:$D$15,0)),"CHECK"))</f>
        <v>Cash on Delivery</v>
      </c>
      <c r="AG366" s="7" t="str">
        <f aca="false">IF(LEFT(LOWER(TRIM(L366)),6)="cancel","Cancelled","Delivered")</f>
        <v>Delivered</v>
      </c>
      <c r="AH366" s="10" t="n">
        <f aca="false">IF(ISNUMBER(SEARCH("/",B366)),DATE(VALUE(RIGHT(B366,4)),VALUE(MID(B366,4,2)),VALUE(LEFT(B366,2))),IF(MID(B366,5,1)="-",DATE(VALUE(LEFT(B366,4)),VALUE(MID(B366,6,2)),VALUE(RIGHT(B366,2))),DATE(VALUE(RIGHT(B366,4)),MATCH(MID(B366,4,3),{"Jan","Feb","Mar","Apr","May","Jun","Jul","Aug","Sep","Oct","Nov","Dec"},0),VALUE(LEFT(B366,2)))))</f>
        <v>45889</v>
      </c>
    </row>
    <row r="367" customFormat="false" ht="15" hidden="false" customHeight="false" outlineLevel="0" collapsed="false">
      <c r="A367" s="7" t="s">
        <v>1476</v>
      </c>
      <c r="B367" s="7" t="s">
        <v>1477</v>
      </c>
      <c r="C367" s="7" t="s">
        <v>1478</v>
      </c>
      <c r="D367" s="7" t="s">
        <v>1479</v>
      </c>
      <c r="E367" s="7" t="s">
        <v>126</v>
      </c>
      <c r="F367" s="7" t="s">
        <v>101</v>
      </c>
      <c r="G367" s="7" t="s">
        <v>105</v>
      </c>
      <c r="H367" s="7" t="n">
        <v>2</v>
      </c>
      <c r="I367" s="7" t="n">
        <v>180</v>
      </c>
      <c r="J367" s="7" t="n">
        <v>0</v>
      </c>
      <c r="K367" s="7" t="s">
        <v>103</v>
      </c>
      <c r="L367" s="7" t="s">
        <v>194</v>
      </c>
      <c r="M367" s="7" t="n">
        <v>49</v>
      </c>
      <c r="N367" s="7" t="n">
        <v>3</v>
      </c>
      <c r="O367" s="7" t="str">
        <f aca="false">A367&amp;"|"&amp;B367&amp;"|"&amp;C367&amp;"|"&amp;D367&amp;"|"&amp;E367&amp;"|"&amp;F367&amp;"|"&amp;G367&amp;"|"&amp;H367&amp;"|"&amp;I367&amp;"|"&amp;J367&amp;"|"&amp;K367&amp;"|"&amp;L367&amp;"|"&amp;M367&amp;"|"&amp;N367</f>
        <v>ORD10588|16/03/2025|13:16|C0931|Dragon Express|Mumbai|Chinese|2|180|0|Debit Card|Delivered|49|3</v>
      </c>
      <c r="P367" s="7" t="str">
        <f aca="false">IF(COUNTIF($O$2:O367,O367)&gt;1,"DUP","OK")</f>
        <v>OK</v>
      </c>
      <c r="Q367" s="7" t="n">
        <f aca="false">COUNTBLANK(A367:N367)</f>
        <v>0</v>
      </c>
      <c r="R367" s="7" t="n">
        <f aca="false">IF(A367="",0,COUNTIFS($A$2:$A$3058,A367,$P$2:$P$3058,"OK"))</f>
        <v>1</v>
      </c>
      <c r="S367" s="7" t="str">
        <f aca="false">IF(OR(A367="",P367="DUP",R367&lt;2),"",IF(Q367=_xlfn.MINIFS($Q$2:$Q$3058,$A$2:$A$3058,A367,$P$2:$P$3058,"OK"),"KEEP","DROP"))</f>
        <v/>
      </c>
      <c r="T367" s="9" t="n">
        <f aca="false">IF(A367="",1,0)</f>
        <v>0</v>
      </c>
      <c r="U367" s="9" t="n">
        <f aca="false">IF(D367="",1,0)</f>
        <v>0</v>
      </c>
      <c r="V367" s="9" t="n">
        <f aca="false">IF(E367="",1,0)</f>
        <v>0</v>
      </c>
      <c r="W367" s="9" t="n">
        <f aca="false">IF(OR(H367&lt;1,H367&gt;10),1,0)</f>
        <v>0</v>
      </c>
      <c r="X367" s="9" t="n">
        <f aca="false">IF(OR(I367&lt;=0,I367&gt;1500),1,0)</f>
        <v>0</v>
      </c>
      <c r="Y367" s="9" t="n">
        <f aca="false">IF(J367&gt;H367*I367,1,0)</f>
        <v>0</v>
      </c>
      <c r="Z367" s="9" t="n">
        <f aca="false">IF(AND(N367&lt;&gt;"",OR(N367&lt;1,N367&gt;5)),1,0)</f>
        <v>0</v>
      </c>
      <c r="AA367" s="9" t="n">
        <f aca="false">IF(AND(M367&lt;&gt;"",OR(M367&lt;5,M367&gt;180)),1,0)</f>
        <v>0</v>
      </c>
      <c r="AB367" s="7" t="str">
        <f aca="false">IF(P367="DUP","Exact duplicate row",IF(T367=1,"Missing Order ID",IF(S367="DROP","Duplicate Order ID (less complete row)",IF(U367=1,"Missing Customer ID",IF(V367=1,"Missing Restaurant name",IF(W367=1,"Invalid/outlier quantity",IF(X367=1,"Invalid/outlier unit price",IF(Y367=1,"Discount greater than order value",""))))))))</f>
        <v/>
      </c>
      <c r="AC367" s="7" t="str">
        <f aca="false">IF(AB367="","KEEP","DROP")</f>
        <v>KEEP</v>
      </c>
      <c r="AD367" s="7" t="str">
        <f aca="false">IF(TRIM(F367)="",IFERROR(INDEX(Map_Tables!$I$4:$I$37,MATCH(TRIM(E367),Map_Tables!$G$4:$G$37,0)),""),IFERROR(INDEX(Map_Tables!$B$4:$B$18,MATCH(TRIM(F367),Map_Tables!$A$4:$A$18,0)),"CHECK"))</f>
        <v>Mumbai</v>
      </c>
      <c r="AE367" s="7" t="str">
        <f aca="false">IF(TRIM(E367)="","",IFERROR(INDEX(Map_Tables!$H$4:$H$37,MATCH(TRIM(E367),Map_Tables!$G$4:$G$37,0)),"CHECK"))</f>
        <v>Dragon Express</v>
      </c>
      <c r="AF367" s="7" t="str">
        <f aca="false">IF(TRIM(K367)="","Unknown",IFERROR(INDEX(Map_Tables!$E$4:$E$15,MATCH(TRIM(K367),Map_Tables!$D$4:$D$15,0)),"CHECK"))</f>
        <v>Debit Card</v>
      </c>
      <c r="AG367" s="7" t="str">
        <f aca="false">IF(LEFT(LOWER(TRIM(L367)),6)="cancel","Cancelled","Delivered")</f>
        <v>Delivered</v>
      </c>
      <c r="AH367" s="10" t="n">
        <f aca="false">IF(ISNUMBER(SEARCH("/",B367)),DATE(VALUE(RIGHT(B367,4)),VALUE(MID(B367,4,2)),VALUE(LEFT(B367,2))),IF(MID(B367,5,1)="-",DATE(VALUE(LEFT(B367,4)),VALUE(MID(B367,6,2)),VALUE(RIGHT(B367,2))),DATE(VALUE(RIGHT(B367,4)),MATCH(MID(B367,4,3),{"Jan","Feb","Mar","Apr","May","Jun","Jul","Aug","Sep","Oct","Nov","Dec"},0),VALUE(LEFT(B367,2)))))</f>
        <v>45732</v>
      </c>
    </row>
    <row r="368" customFormat="false" ht="15" hidden="false" customHeight="false" outlineLevel="0" collapsed="false">
      <c r="A368" s="7" t="s">
        <v>1480</v>
      </c>
      <c r="B368" s="7" t="s">
        <v>869</v>
      </c>
      <c r="C368" s="7" t="s">
        <v>1481</v>
      </c>
      <c r="D368" s="7" t="s">
        <v>1482</v>
      </c>
      <c r="E368" s="7" t="s">
        <v>147</v>
      </c>
      <c r="F368" s="7" t="s">
        <v>118</v>
      </c>
      <c r="G368" s="7" t="s">
        <v>95</v>
      </c>
      <c r="H368" s="7" t="n">
        <v>2</v>
      </c>
      <c r="I368" s="7" t="n">
        <v>155</v>
      </c>
      <c r="J368" s="7" t="n">
        <v>0</v>
      </c>
      <c r="K368" s="7" t="s">
        <v>112</v>
      </c>
      <c r="L368" s="7" t="s">
        <v>194</v>
      </c>
      <c r="M368" s="7" t="n">
        <v>32</v>
      </c>
      <c r="N368" s="7" t="n">
        <v>5</v>
      </c>
      <c r="O368" s="7" t="str">
        <f aca="false">A368&amp;"|"&amp;B368&amp;"|"&amp;C368&amp;"|"&amp;D368&amp;"|"&amp;E368&amp;"|"&amp;F368&amp;"|"&amp;G368&amp;"|"&amp;H368&amp;"|"&amp;I368&amp;"|"&amp;J368&amp;"|"&amp;K368&amp;"|"&amp;L368&amp;"|"&amp;M368&amp;"|"&amp;N368</f>
        <v>ORD11316|2025-06-19|15:26|C0082|Andhra Meals Mess|hyderabad|South Indian|2|155|0|Cash on Delivery|Delivered|32|5</v>
      </c>
      <c r="P368" s="7" t="str">
        <f aca="false">IF(COUNTIF($O$2:O368,O368)&gt;1,"DUP","OK")</f>
        <v>OK</v>
      </c>
      <c r="Q368" s="7" t="n">
        <f aca="false">COUNTBLANK(A368:N368)</f>
        <v>0</v>
      </c>
      <c r="R368" s="7" t="n">
        <f aca="false">IF(A368="",0,COUNTIFS($A$2:$A$3058,A368,$P$2:$P$3058,"OK"))</f>
        <v>1</v>
      </c>
      <c r="S368" s="7" t="str">
        <f aca="false">IF(OR(A368="",P368="DUP",R368&lt;2),"",IF(Q368=_xlfn.MINIFS($Q$2:$Q$3058,$A$2:$A$3058,A368,$P$2:$P$3058,"OK"),"KEEP","DROP"))</f>
        <v/>
      </c>
      <c r="T368" s="9" t="n">
        <f aca="false">IF(A368="",1,0)</f>
        <v>0</v>
      </c>
      <c r="U368" s="9" t="n">
        <f aca="false">IF(D368="",1,0)</f>
        <v>0</v>
      </c>
      <c r="V368" s="9" t="n">
        <f aca="false">IF(E368="",1,0)</f>
        <v>0</v>
      </c>
      <c r="W368" s="9" t="n">
        <f aca="false">IF(OR(H368&lt;1,H368&gt;10),1,0)</f>
        <v>0</v>
      </c>
      <c r="X368" s="9" t="n">
        <f aca="false">IF(OR(I368&lt;=0,I368&gt;1500),1,0)</f>
        <v>0</v>
      </c>
      <c r="Y368" s="9" t="n">
        <f aca="false">IF(J368&gt;H368*I368,1,0)</f>
        <v>0</v>
      </c>
      <c r="Z368" s="9" t="n">
        <f aca="false">IF(AND(N368&lt;&gt;"",OR(N368&lt;1,N368&gt;5)),1,0)</f>
        <v>0</v>
      </c>
      <c r="AA368" s="9" t="n">
        <f aca="false">IF(AND(M368&lt;&gt;"",OR(M368&lt;5,M368&gt;180)),1,0)</f>
        <v>0</v>
      </c>
      <c r="AB368" s="7" t="str">
        <f aca="false">IF(P368="DUP","Exact duplicate row",IF(T368=1,"Missing Order ID",IF(S368="DROP","Duplicate Order ID (less complete row)",IF(U368=1,"Missing Customer ID",IF(V368=1,"Missing Restaurant name",IF(W368=1,"Invalid/outlier quantity",IF(X368=1,"Invalid/outlier unit price",IF(Y368=1,"Discount greater than order value",""))))))))</f>
        <v/>
      </c>
      <c r="AC368" s="7" t="str">
        <f aca="false">IF(AB368="","KEEP","DROP")</f>
        <v>KEEP</v>
      </c>
      <c r="AD368" s="7" t="str">
        <f aca="false">IF(TRIM(F368)="",IFERROR(INDEX(Map_Tables!$I$4:$I$37,MATCH(TRIM(E368),Map_Tables!$G$4:$G$37,0)),""),IFERROR(INDEX(Map_Tables!$B$4:$B$18,MATCH(TRIM(F368),Map_Tables!$A$4:$A$18,0)),"CHECK"))</f>
        <v>Hyderabad</v>
      </c>
      <c r="AE368" s="7" t="str">
        <f aca="false">IF(TRIM(E368)="","",IFERROR(INDEX(Map_Tables!$H$4:$H$37,MATCH(TRIM(E368),Map_Tables!$G$4:$G$37,0)),"CHECK"))</f>
        <v>Andhra Meals Mess</v>
      </c>
      <c r="AF368" s="7" t="str">
        <f aca="false">IF(TRIM(K368)="","Unknown",IFERROR(INDEX(Map_Tables!$E$4:$E$15,MATCH(TRIM(K368),Map_Tables!$D$4:$D$15,0)),"CHECK"))</f>
        <v>Cash on Delivery</v>
      </c>
      <c r="AG368" s="7" t="str">
        <f aca="false">IF(LEFT(LOWER(TRIM(L368)),6)="cancel","Cancelled","Delivered")</f>
        <v>Delivered</v>
      </c>
      <c r="AH368" s="10" t="n">
        <f aca="false">IF(ISNUMBER(SEARCH("/",B368)),DATE(VALUE(RIGHT(B368,4)),VALUE(MID(B368,4,2)),VALUE(LEFT(B368,2))),IF(MID(B368,5,1)="-",DATE(VALUE(LEFT(B368,4)),VALUE(MID(B368,6,2)),VALUE(RIGHT(B368,2))),DATE(VALUE(RIGHT(B368,4)),MATCH(MID(B368,4,3),{"Jan","Feb","Mar","Apr","May","Jun","Jul","Aug","Sep","Oct","Nov","Dec"},0),VALUE(LEFT(B368,2)))))</f>
        <v>45827</v>
      </c>
    </row>
    <row r="369" customFormat="false" ht="15" hidden="false" customHeight="false" outlineLevel="0" collapsed="false">
      <c r="A369" s="7" t="s">
        <v>1483</v>
      </c>
      <c r="B369" s="7" t="s">
        <v>364</v>
      </c>
      <c r="C369" s="7" t="s">
        <v>1301</v>
      </c>
      <c r="D369" s="7" t="s">
        <v>1484</v>
      </c>
      <c r="E369" s="7" t="s">
        <v>126</v>
      </c>
      <c r="F369" s="7" t="s">
        <v>101</v>
      </c>
      <c r="G369" s="7" t="s">
        <v>105</v>
      </c>
      <c r="H369" s="7" t="n">
        <v>3</v>
      </c>
      <c r="I369" s="7" t="n">
        <v>210</v>
      </c>
      <c r="J369" s="7" t="n">
        <v>75</v>
      </c>
      <c r="K369" s="7" t="s">
        <v>121</v>
      </c>
      <c r="L369" s="7" t="s">
        <v>194</v>
      </c>
      <c r="M369" s="7" t="n">
        <v>49</v>
      </c>
      <c r="N369" s="7" t="n">
        <v>3</v>
      </c>
      <c r="O369" s="7" t="str">
        <f aca="false">A369&amp;"|"&amp;B369&amp;"|"&amp;C369&amp;"|"&amp;D369&amp;"|"&amp;E369&amp;"|"&amp;F369&amp;"|"&amp;G369&amp;"|"&amp;H369&amp;"|"&amp;I369&amp;"|"&amp;J369&amp;"|"&amp;K369&amp;"|"&amp;L369&amp;"|"&amp;M369&amp;"|"&amp;N369</f>
        <v>ORD11417|2025-07-03|20:27|C0283|Dragon Express|Mumbai|Chinese|3|210|75|Wallet|Delivered|49|3</v>
      </c>
      <c r="P369" s="7" t="str">
        <f aca="false">IF(COUNTIF($O$2:O369,O369)&gt;1,"DUP","OK")</f>
        <v>OK</v>
      </c>
      <c r="Q369" s="7" t="n">
        <f aca="false">COUNTBLANK(A369:N369)</f>
        <v>0</v>
      </c>
      <c r="R369" s="7" t="n">
        <f aca="false">IF(A369="",0,COUNTIFS($A$2:$A$3058,A369,$P$2:$P$3058,"OK"))</f>
        <v>1</v>
      </c>
      <c r="S369" s="7" t="str">
        <f aca="false">IF(OR(A369="",P369="DUP",R369&lt;2),"",IF(Q369=_xlfn.MINIFS($Q$2:$Q$3058,$A$2:$A$3058,A369,$P$2:$P$3058,"OK"),"KEEP","DROP"))</f>
        <v/>
      </c>
      <c r="T369" s="9" t="n">
        <f aca="false">IF(A369="",1,0)</f>
        <v>0</v>
      </c>
      <c r="U369" s="9" t="n">
        <f aca="false">IF(D369="",1,0)</f>
        <v>0</v>
      </c>
      <c r="V369" s="9" t="n">
        <f aca="false">IF(E369="",1,0)</f>
        <v>0</v>
      </c>
      <c r="W369" s="9" t="n">
        <f aca="false">IF(OR(H369&lt;1,H369&gt;10),1,0)</f>
        <v>0</v>
      </c>
      <c r="X369" s="9" t="n">
        <f aca="false">IF(OR(I369&lt;=0,I369&gt;1500),1,0)</f>
        <v>0</v>
      </c>
      <c r="Y369" s="9" t="n">
        <f aca="false">IF(J369&gt;H369*I369,1,0)</f>
        <v>0</v>
      </c>
      <c r="Z369" s="9" t="n">
        <f aca="false">IF(AND(N369&lt;&gt;"",OR(N369&lt;1,N369&gt;5)),1,0)</f>
        <v>0</v>
      </c>
      <c r="AA369" s="9" t="n">
        <f aca="false">IF(AND(M369&lt;&gt;"",OR(M369&lt;5,M369&gt;180)),1,0)</f>
        <v>0</v>
      </c>
      <c r="AB369" s="7" t="str">
        <f aca="false">IF(P369="DUP","Exact duplicate row",IF(T369=1,"Missing Order ID",IF(S369="DROP","Duplicate Order ID (less complete row)",IF(U369=1,"Missing Customer ID",IF(V369=1,"Missing Restaurant name",IF(W369=1,"Invalid/outlier quantity",IF(X369=1,"Invalid/outlier unit price",IF(Y369=1,"Discount greater than order value",""))))))))</f>
        <v/>
      </c>
      <c r="AC369" s="7" t="str">
        <f aca="false">IF(AB369="","KEEP","DROP")</f>
        <v>KEEP</v>
      </c>
      <c r="AD369" s="7" t="str">
        <f aca="false">IF(TRIM(F369)="",IFERROR(INDEX(Map_Tables!$I$4:$I$37,MATCH(TRIM(E369),Map_Tables!$G$4:$G$37,0)),""),IFERROR(INDEX(Map_Tables!$B$4:$B$18,MATCH(TRIM(F369),Map_Tables!$A$4:$A$18,0)),"CHECK"))</f>
        <v>Mumbai</v>
      </c>
      <c r="AE369" s="7" t="str">
        <f aca="false">IF(TRIM(E369)="","",IFERROR(INDEX(Map_Tables!$H$4:$H$37,MATCH(TRIM(E369),Map_Tables!$G$4:$G$37,0)),"CHECK"))</f>
        <v>Dragon Express</v>
      </c>
      <c r="AF369" s="7" t="str">
        <f aca="false">IF(TRIM(K369)="","Unknown",IFERROR(INDEX(Map_Tables!$E$4:$E$15,MATCH(TRIM(K369),Map_Tables!$D$4:$D$15,0)),"CHECK"))</f>
        <v>Wallet</v>
      </c>
      <c r="AG369" s="7" t="str">
        <f aca="false">IF(LEFT(LOWER(TRIM(L369)),6)="cancel","Cancelled","Delivered")</f>
        <v>Delivered</v>
      </c>
      <c r="AH369" s="10" t="n">
        <f aca="false">IF(ISNUMBER(SEARCH("/",B369)),DATE(VALUE(RIGHT(B369,4)),VALUE(MID(B369,4,2)),VALUE(LEFT(B369,2))),IF(MID(B369,5,1)="-",DATE(VALUE(LEFT(B369,4)),VALUE(MID(B369,6,2)),VALUE(RIGHT(B369,2))),DATE(VALUE(RIGHT(B369,4)),MATCH(MID(B369,4,3),{"Jan","Feb","Mar","Apr","May","Jun","Jul","Aug","Sep","Oct","Nov","Dec"},0),VALUE(LEFT(B369,2)))))</f>
        <v>45841</v>
      </c>
    </row>
    <row r="370" customFormat="false" ht="15" hidden="false" customHeight="false" outlineLevel="0" collapsed="false">
      <c r="A370" s="7" t="s">
        <v>1485</v>
      </c>
      <c r="B370" s="7" t="s">
        <v>731</v>
      </c>
      <c r="C370" s="7" t="s">
        <v>1486</v>
      </c>
      <c r="D370" s="7" t="s">
        <v>1487</v>
      </c>
      <c r="E370" s="7" t="s">
        <v>154</v>
      </c>
      <c r="F370" s="7" t="s">
        <v>128</v>
      </c>
      <c r="G370" s="7" t="s">
        <v>99</v>
      </c>
      <c r="H370" s="7" t="n">
        <v>2</v>
      </c>
      <c r="I370" s="7" t="n">
        <v>255</v>
      </c>
      <c r="J370" s="7" t="n">
        <v>0</v>
      </c>
      <c r="K370" s="7" t="s">
        <v>103</v>
      </c>
      <c r="L370" s="7" t="s">
        <v>238</v>
      </c>
      <c r="M370" s="7"/>
      <c r="N370" s="7"/>
      <c r="O370" s="7" t="str">
        <f aca="false">A370&amp;"|"&amp;B370&amp;"|"&amp;C370&amp;"|"&amp;D370&amp;"|"&amp;E370&amp;"|"&amp;F370&amp;"|"&amp;G370&amp;"|"&amp;H370&amp;"|"&amp;I370&amp;"|"&amp;J370&amp;"|"&amp;K370&amp;"|"&amp;L370&amp;"|"&amp;M370&amp;"|"&amp;N370</f>
        <v>ORD12216|2025-10-09|11:43|C1053|Madras Biryani Co|Chennai|Biryani|2|255|0|Debit Card|Cancelled||</v>
      </c>
      <c r="P370" s="7" t="str">
        <f aca="false">IF(COUNTIF($O$2:O370,O370)&gt;1,"DUP","OK")</f>
        <v>OK</v>
      </c>
      <c r="Q370" s="7" t="n">
        <f aca="false">COUNTBLANK(A370:N370)</f>
        <v>2</v>
      </c>
      <c r="R370" s="7" t="n">
        <f aca="false">IF(A370="",0,COUNTIFS($A$2:$A$3058,A370,$P$2:$P$3058,"OK"))</f>
        <v>1</v>
      </c>
      <c r="S370" s="7" t="str">
        <f aca="false">IF(OR(A370="",P370="DUP",R370&lt;2),"",IF(Q370=_xlfn.MINIFS($Q$2:$Q$3058,$A$2:$A$3058,A370,$P$2:$P$3058,"OK"),"KEEP","DROP"))</f>
        <v/>
      </c>
      <c r="T370" s="9" t="n">
        <f aca="false">IF(A370="",1,0)</f>
        <v>0</v>
      </c>
      <c r="U370" s="9" t="n">
        <f aca="false">IF(D370="",1,0)</f>
        <v>0</v>
      </c>
      <c r="V370" s="9" t="n">
        <f aca="false">IF(E370="",1,0)</f>
        <v>0</v>
      </c>
      <c r="W370" s="9" t="n">
        <f aca="false">IF(OR(H370&lt;1,H370&gt;10),1,0)</f>
        <v>0</v>
      </c>
      <c r="X370" s="9" t="n">
        <f aca="false">IF(OR(I370&lt;=0,I370&gt;1500),1,0)</f>
        <v>0</v>
      </c>
      <c r="Y370" s="9" t="n">
        <f aca="false">IF(J370&gt;H370*I370,1,0)</f>
        <v>0</v>
      </c>
      <c r="Z370" s="9" t="n">
        <f aca="false">IF(AND(N370&lt;&gt;"",OR(N370&lt;1,N370&gt;5)),1,0)</f>
        <v>0</v>
      </c>
      <c r="AA370" s="9" t="n">
        <f aca="false">IF(AND(M370&lt;&gt;"",OR(M370&lt;5,M370&gt;180)),1,0)</f>
        <v>0</v>
      </c>
      <c r="AB370" s="7" t="str">
        <f aca="false">IF(P370="DUP","Exact duplicate row",IF(T370=1,"Missing Order ID",IF(S370="DROP","Duplicate Order ID (less complete row)",IF(U370=1,"Missing Customer ID",IF(V370=1,"Missing Restaurant name",IF(W370=1,"Invalid/outlier quantity",IF(X370=1,"Invalid/outlier unit price",IF(Y370=1,"Discount greater than order value",""))))))))</f>
        <v/>
      </c>
      <c r="AC370" s="7" t="str">
        <f aca="false">IF(AB370="","KEEP","DROP")</f>
        <v>KEEP</v>
      </c>
      <c r="AD370" s="7" t="str">
        <f aca="false">IF(TRIM(F370)="",IFERROR(INDEX(Map_Tables!$I$4:$I$37,MATCH(TRIM(E370),Map_Tables!$G$4:$G$37,0)),""),IFERROR(INDEX(Map_Tables!$B$4:$B$18,MATCH(TRIM(F370),Map_Tables!$A$4:$A$18,0)),"CHECK"))</f>
        <v>Chennai</v>
      </c>
      <c r="AE370" s="7" t="str">
        <f aca="false">IF(TRIM(E370)="","",IFERROR(INDEX(Map_Tables!$H$4:$H$37,MATCH(TRIM(E370),Map_Tables!$G$4:$G$37,0)),"CHECK"))</f>
        <v>Madras Biryani Co</v>
      </c>
      <c r="AF370" s="7" t="str">
        <f aca="false">IF(TRIM(K370)="","Unknown",IFERROR(INDEX(Map_Tables!$E$4:$E$15,MATCH(TRIM(K370),Map_Tables!$D$4:$D$15,0)),"CHECK"))</f>
        <v>Debit Card</v>
      </c>
      <c r="AG370" s="7" t="str">
        <f aca="false">IF(LEFT(LOWER(TRIM(L370)),6)="cancel","Cancelled","Delivered")</f>
        <v>Cancelled</v>
      </c>
      <c r="AH370" s="10" t="n">
        <f aca="false">IF(ISNUMBER(SEARCH("/",B370)),DATE(VALUE(RIGHT(B370,4)),VALUE(MID(B370,4,2)),VALUE(LEFT(B370,2))),IF(MID(B370,5,1)="-",DATE(VALUE(LEFT(B370,4)),VALUE(MID(B370,6,2)),VALUE(RIGHT(B370,2))),DATE(VALUE(RIGHT(B370,4)),MATCH(MID(B370,4,3),{"Jan","Feb","Mar","Apr","May","Jun","Jul","Aug","Sep","Oct","Nov","Dec"},0),VALUE(LEFT(B370,2)))))</f>
        <v>45939</v>
      </c>
    </row>
    <row r="371" customFormat="false" ht="15" hidden="false" customHeight="false" outlineLevel="0" collapsed="false">
      <c r="A371" s="7" t="s">
        <v>1488</v>
      </c>
      <c r="B371" s="7" t="s">
        <v>1489</v>
      </c>
      <c r="C371" s="7" t="s">
        <v>1490</v>
      </c>
      <c r="D371" s="7" t="s">
        <v>1491</v>
      </c>
      <c r="E371" s="7" t="s">
        <v>260</v>
      </c>
      <c r="F371" s="7" t="s">
        <v>110</v>
      </c>
      <c r="G371" s="7" t="s">
        <v>139</v>
      </c>
      <c r="H371" s="7" t="n">
        <v>2</v>
      </c>
      <c r="I371" s="7" t="n">
        <v>205</v>
      </c>
      <c r="J371" s="7" t="n">
        <v>125</v>
      </c>
      <c r="K371" s="7" t="s">
        <v>121</v>
      </c>
      <c r="L371" s="7" t="s">
        <v>238</v>
      </c>
      <c r="M371" s="7"/>
      <c r="N371" s="7"/>
      <c r="O371" s="7" t="str">
        <f aca="false">A371&amp;"|"&amp;B371&amp;"|"&amp;C371&amp;"|"&amp;D371&amp;"|"&amp;E371&amp;"|"&amp;F371&amp;"|"&amp;G371&amp;"|"&amp;H371&amp;"|"&amp;I371&amp;"|"&amp;J371&amp;"|"&amp;K371&amp;"|"&amp;L371&amp;"|"&amp;M371&amp;"|"&amp;N371</f>
        <v>ORD12003|2025-09-17|10:51|C0046| Burger Barn|Delhi|Burgers|2|205|125|Wallet|Cancelled||</v>
      </c>
      <c r="P371" s="7" t="str">
        <f aca="false">IF(COUNTIF($O$2:O371,O371)&gt;1,"DUP","OK")</f>
        <v>OK</v>
      </c>
      <c r="Q371" s="7" t="n">
        <f aca="false">COUNTBLANK(A371:N371)</f>
        <v>2</v>
      </c>
      <c r="R371" s="7" t="n">
        <f aca="false">IF(A371="",0,COUNTIFS($A$2:$A$3058,A371,$P$2:$P$3058,"OK"))</f>
        <v>1</v>
      </c>
      <c r="S371" s="7" t="str">
        <f aca="false">IF(OR(A371="",P371="DUP",R371&lt;2),"",IF(Q371=_xlfn.MINIFS($Q$2:$Q$3058,$A$2:$A$3058,A371,$P$2:$P$3058,"OK"),"KEEP","DROP"))</f>
        <v/>
      </c>
      <c r="T371" s="9" t="n">
        <f aca="false">IF(A371="",1,0)</f>
        <v>0</v>
      </c>
      <c r="U371" s="9" t="n">
        <f aca="false">IF(D371="",1,0)</f>
        <v>0</v>
      </c>
      <c r="V371" s="9" t="n">
        <f aca="false">IF(E371="",1,0)</f>
        <v>0</v>
      </c>
      <c r="W371" s="9" t="n">
        <f aca="false">IF(OR(H371&lt;1,H371&gt;10),1,0)</f>
        <v>0</v>
      </c>
      <c r="X371" s="9" t="n">
        <f aca="false">IF(OR(I371&lt;=0,I371&gt;1500),1,0)</f>
        <v>0</v>
      </c>
      <c r="Y371" s="9" t="n">
        <f aca="false">IF(J371&gt;H371*I371,1,0)</f>
        <v>0</v>
      </c>
      <c r="Z371" s="9" t="n">
        <f aca="false">IF(AND(N371&lt;&gt;"",OR(N371&lt;1,N371&gt;5)),1,0)</f>
        <v>0</v>
      </c>
      <c r="AA371" s="9" t="n">
        <f aca="false">IF(AND(M371&lt;&gt;"",OR(M371&lt;5,M371&gt;180)),1,0)</f>
        <v>0</v>
      </c>
      <c r="AB371" s="7" t="str">
        <f aca="false">IF(P371="DUP","Exact duplicate row",IF(T371=1,"Missing Order ID",IF(S371="DROP","Duplicate Order ID (less complete row)",IF(U371=1,"Missing Customer ID",IF(V371=1,"Missing Restaurant name",IF(W371=1,"Invalid/outlier quantity",IF(X371=1,"Invalid/outlier unit price",IF(Y371=1,"Discount greater than order value",""))))))))</f>
        <v/>
      </c>
      <c r="AC371" s="7" t="str">
        <f aca="false">IF(AB371="","KEEP","DROP")</f>
        <v>KEEP</v>
      </c>
      <c r="AD371" s="7" t="str">
        <f aca="false">IF(TRIM(F371)="",IFERROR(INDEX(Map_Tables!$I$4:$I$37,MATCH(TRIM(E371),Map_Tables!$G$4:$G$37,0)),""),IFERROR(INDEX(Map_Tables!$B$4:$B$18,MATCH(TRIM(F371),Map_Tables!$A$4:$A$18,0)),"CHECK"))</f>
        <v>Delhi</v>
      </c>
      <c r="AE371" s="7" t="str">
        <f aca="false">IF(TRIM(E371)="","",IFERROR(INDEX(Map_Tables!$H$4:$H$37,MATCH(TRIM(E371),Map_Tables!$G$4:$G$37,0)),"CHECK"))</f>
        <v>Burger Barn</v>
      </c>
      <c r="AF371" s="7" t="str">
        <f aca="false">IF(TRIM(K371)="","Unknown",IFERROR(INDEX(Map_Tables!$E$4:$E$15,MATCH(TRIM(K371),Map_Tables!$D$4:$D$15,0)),"CHECK"))</f>
        <v>Wallet</v>
      </c>
      <c r="AG371" s="7" t="str">
        <f aca="false">IF(LEFT(LOWER(TRIM(L371)),6)="cancel","Cancelled","Delivered")</f>
        <v>Cancelled</v>
      </c>
      <c r="AH371" s="10" t="n">
        <f aca="false">IF(ISNUMBER(SEARCH("/",B371)),DATE(VALUE(RIGHT(B371,4)),VALUE(MID(B371,4,2)),VALUE(LEFT(B371,2))),IF(MID(B371,5,1)="-",DATE(VALUE(LEFT(B371,4)),VALUE(MID(B371,6,2)),VALUE(RIGHT(B371,2))),DATE(VALUE(RIGHT(B371,4)),MATCH(MID(B371,4,3),{"Jan","Feb","Mar","Apr","May","Jun","Jul","Aug","Sep","Oct","Nov","Dec"},0),VALUE(LEFT(B371,2)))))</f>
        <v>45917</v>
      </c>
    </row>
    <row r="372" customFormat="false" ht="15" hidden="false" customHeight="false" outlineLevel="0" collapsed="false">
      <c r="A372" s="7" t="s">
        <v>1492</v>
      </c>
      <c r="B372" s="7" t="s">
        <v>1144</v>
      </c>
      <c r="C372" s="7" t="s">
        <v>675</v>
      </c>
      <c r="D372" s="7" t="s">
        <v>1493</v>
      </c>
      <c r="E372" s="7" t="s">
        <v>165</v>
      </c>
      <c r="F372" s="7" t="s">
        <v>146</v>
      </c>
      <c r="G372" s="7" t="s">
        <v>90</v>
      </c>
      <c r="H372" s="7" t="n">
        <v>1</v>
      </c>
      <c r="I372" s="7" t="n">
        <v>195</v>
      </c>
      <c r="J372" s="7" t="n">
        <v>40</v>
      </c>
      <c r="K372" s="7" t="s">
        <v>103</v>
      </c>
      <c r="L372" s="7" t="s">
        <v>194</v>
      </c>
      <c r="M372" s="7" t="n">
        <v>36</v>
      </c>
      <c r="N372" s="7" t="n">
        <v>2</v>
      </c>
      <c r="O372" s="7" t="str">
        <f aca="false">A372&amp;"|"&amp;B372&amp;"|"&amp;C372&amp;"|"&amp;D372&amp;"|"&amp;E372&amp;"|"&amp;F372&amp;"|"&amp;G372&amp;"|"&amp;H372&amp;"|"&amp;I372&amp;"|"&amp;J372&amp;"|"&amp;K372&amp;"|"&amp;L372&amp;"|"&amp;M372&amp;"|"&amp;N372</f>
        <v>ORD11431|2025-07-05|12:32|C0300|Gujarati Thali Ghar|Ahmedabad|North Indian|1|195|40|Debit Card|Delivered|36|2</v>
      </c>
      <c r="P372" s="7" t="str">
        <f aca="false">IF(COUNTIF($O$2:O372,O372)&gt;1,"DUP","OK")</f>
        <v>OK</v>
      </c>
      <c r="Q372" s="7" t="n">
        <f aca="false">COUNTBLANK(A372:N372)</f>
        <v>0</v>
      </c>
      <c r="R372" s="7" t="n">
        <f aca="false">IF(A372="",0,COUNTIFS($A$2:$A$3058,A372,$P$2:$P$3058,"OK"))</f>
        <v>1</v>
      </c>
      <c r="S372" s="7" t="str">
        <f aca="false">IF(OR(A372="",P372="DUP",R372&lt;2),"",IF(Q372=_xlfn.MINIFS($Q$2:$Q$3058,$A$2:$A$3058,A372,$P$2:$P$3058,"OK"),"KEEP","DROP"))</f>
        <v/>
      </c>
      <c r="T372" s="9" t="n">
        <f aca="false">IF(A372="",1,0)</f>
        <v>0</v>
      </c>
      <c r="U372" s="9" t="n">
        <f aca="false">IF(D372="",1,0)</f>
        <v>0</v>
      </c>
      <c r="V372" s="9" t="n">
        <f aca="false">IF(E372="",1,0)</f>
        <v>0</v>
      </c>
      <c r="W372" s="9" t="n">
        <f aca="false">IF(OR(H372&lt;1,H372&gt;10),1,0)</f>
        <v>0</v>
      </c>
      <c r="X372" s="9" t="n">
        <f aca="false">IF(OR(I372&lt;=0,I372&gt;1500),1,0)</f>
        <v>0</v>
      </c>
      <c r="Y372" s="9" t="n">
        <f aca="false">IF(J372&gt;H372*I372,1,0)</f>
        <v>0</v>
      </c>
      <c r="Z372" s="9" t="n">
        <f aca="false">IF(AND(N372&lt;&gt;"",OR(N372&lt;1,N372&gt;5)),1,0)</f>
        <v>0</v>
      </c>
      <c r="AA372" s="9" t="n">
        <f aca="false">IF(AND(M372&lt;&gt;"",OR(M372&lt;5,M372&gt;180)),1,0)</f>
        <v>0</v>
      </c>
      <c r="AB372" s="7" t="str">
        <f aca="false">IF(P372="DUP","Exact duplicate row",IF(T372=1,"Missing Order ID",IF(S372="DROP","Duplicate Order ID (less complete row)",IF(U372=1,"Missing Customer ID",IF(V372=1,"Missing Restaurant name",IF(W372=1,"Invalid/outlier quantity",IF(X372=1,"Invalid/outlier unit price",IF(Y372=1,"Discount greater than order value",""))))))))</f>
        <v/>
      </c>
      <c r="AC372" s="7" t="str">
        <f aca="false">IF(AB372="","KEEP","DROP")</f>
        <v>KEEP</v>
      </c>
      <c r="AD372" s="7" t="str">
        <f aca="false">IF(TRIM(F372)="",IFERROR(INDEX(Map_Tables!$I$4:$I$37,MATCH(TRIM(E372),Map_Tables!$G$4:$G$37,0)),""),IFERROR(INDEX(Map_Tables!$B$4:$B$18,MATCH(TRIM(F372),Map_Tables!$A$4:$A$18,0)),"CHECK"))</f>
        <v>Ahmedabad</v>
      </c>
      <c r="AE372" s="7" t="str">
        <f aca="false">IF(TRIM(E372)="","",IFERROR(INDEX(Map_Tables!$H$4:$H$37,MATCH(TRIM(E372),Map_Tables!$G$4:$G$37,0)),"CHECK"))</f>
        <v>Gujarati Thali Ghar</v>
      </c>
      <c r="AF372" s="7" t="str">
        <f aca="false">IF(TRIM(K372)="","Unknown",IFERROR(INDEX(Map_Tables!$E$4:$E$15,MATCH(TRIM(K372),Map_Tables!$D$4:$D$15,0)),"CHECK"))</f>
        <v>Debit Card</v>
      </c>
      <c r="AG372" s="7" t="str">
        <f aca="false">IF(LEFT(LOWER(TRIM(L372)),6)="cancel","Cancelled","Delivered")</f>
        <v>Delivered</v>
      </c>
      <c r="AH372" s="10" t="n">
        <f aca="false">IF(ISNUMBER(SEARCH("/",B372)),DATE(VALUE(RIGHT(B372,4)),VALUE(MID(B372,4,2)),VALUE(LEFT(B372,2))),IF(MID(B372,5,1)="-",DATE(VALUE(LEFT(B372,4)),VALUE(MID(B372,6,2)),VALUE(RIGHT(B372,2))),DATE(VALUE(RIGHT(B372,4)),MATCH(MID(B372,4,3),{"Jan","Feb","Mar","Apr","May","Jun","Jul","Aug","Sep","Oct","Nov","Dec"},0),VALUE(LEFT(B372,2)))))</f>
        <v>45843</v>
      </c>
    </row>
    <row r="373" customFormat="false" ht="15" hidden="false" customHeight="false" outlineLevel="0" collapsed="false">
      <c r="A373" s="7" t="s">
        <v>1494</v>
      </c>
      <c r="B373" s="7" t="s">
        <v>739</v>
      </c>
      <c r="C373" s="7" t="s">
        <v>1495</v>
      </c>
      <c r="D373" s="7" t="s">
        <v>453</v>
      </c>
      <c r="E373" s="7" t="s">
        <v>130</v>
      </c>
      <c r="F373" s="7" t="s">
        <v>110</v>
      </c>
      <c r="G373" s="7" t="s">
        <v>90</v>
      </c>
      <c r="H373" s="7" t="n">
        <v>3</v>
      </c>
      <c r="I373" s="7" t="n">
        <v>255</v>
      </c>
      <c r="J373" s="7" t="n">
        <v>40</v>
      </c>
      <c r="K373" s="7" t="s">
        <v>103</v>
      </c>
      <c r="L373" s="7" t="s">
        <v>194</v>
      </c>
      <c r="M373" s="7" t="n">
        <v>47</v>
      </c>
      <c r="N373" s="7" t="n">
        <v>3</v>
      </c>
      <c r="O373" s="7" t="str">
        <f aca="false">A373&amp;"|"&amp;B373&amp;"|"&amp;C373&amp;"|"&amp;D373&amp;"|"&amp;E373&amp;"|"&amp;F373&amp;"|"&amp;G373&amp;"|"&amp;H373&amp;"|"&amp;I373&amp;"|"&amp;J373&amp;"|"&amp;K373&amp;"|"&amp;L373&amp;"|"&amp;M373&amp;"|"&amp;N373</f>
        <v>ORD10799|2025-04-11|21:51|C0965|Tandoor Tales|Delhi|North Indian|3|255|40|Debit Card|Delivered|47|3</v>
      </c>
      <c r="P373" s="7" t="str">
        <f aca="false">IF(COUNTIF($O$2:O373,O373)&gt;1,"DUP","OK")</f>
        <v>OK</v>
      </c>
      <c r="Q373" s="7" t="n">
        <f aca="false">COUNTBLANK(A373:N373)</f>
        <v>0</v>
      </c>
      <c r="R373" s="7" t="n">
        <f aca="false">IF(A373="",0,COUNTIFS($A$2:$A$3058,A373,$P$2:$P$3058,"OK"))</f>
        <v>1</v>
      </c>
      <c r="S373" s="7" t="str">
        <f aca="false">IF(OR(A373="",P373="DUP",R373&lt;2),"",IF(Q373=_xlfn.MINIFS($Q$2:$Q$3058,$A$2:$A$3058,A373,$P$2:$P$3058,"OK"),"KEEP","DROP"))</f>
        <v/>
      </c>
      <c r="T373" s="9" t="n">
        <f aca="false">IF(A373="",1,0)</f>
        <v>0</v>
      </c>
      <c r="U373" s="9" t="n">
        <f aca="false">IF(D373="",1,0)</f>
        <v>0</v>
      </c>
      <c r="V373" s="9" t="n">
        <f aca="false">IF(E373="",1,0)</f>
        <v>0</v>
      </c>
      <c r="W373" s="9" t="n">
        <f aca="false">IF(OR(H373&lt;1,H373&gt;10),1,0)</f>
        <v>0</v>
      </c>
      <c r="X373" s="9" t="n">
        <f aca="false">IF(OR(I373&lt;=0,I373&gt;1500),1,0)</f>
        <v>0</v>
      </c>
      <c r="Y373" s="9" t="n">
        <f aca="false">IF(J373&gt;H373*I373,1,0)</f>
        <v>0</v>
      </c>
      <c r="Z373" s="9" t="n">
        <f aca="false">IF(AND(N373&lt;&gt;"",OR(N373&lt;1,N373&gt;5)),1,0)</f>
        <v>0</v>
      </c>
      <c r="AA373" s="9" t="n">
        <f aca="false">IF(AND(M373&lt;&gt;"",OR(M373&lt;5,M373&gt;180)),1,0)</f>
        <v>0</v>
      </c>
      <c r="AB373" s="7" t="str">
        <f aca="false">IF(P373="DUP","Exact duplicate row",IF(T373=1,"Missing Order ID",IF(S373="DROP","Duplicate Order ID (less complete row)",IF(U373=1,"Missing Customer ID",IF(V373=1,"Missing Restaurant name",IF(W373=1,"Invalid/outlier quantity",IF(X373=1,"Invalid/outlier unit price",IF(Y373=1,"Discount greater than order value",""))))))))</f>
        <v/>
      </c>
      <c r="AC373" s="7" t="str">
        <f aca="false">IF(AB373="","KEEP","DROP")</f>
        <v>KEEP</v>
      </c>
      <c r="AD373" s="7" t="str">
        <f aca="false">IF(TRIM(F373)="",IFERROR(INDEX(Map_Tables!$I$4:$I$37,MATCH(TRIM(E373),Map_Tables!$G$4:$G$37,0)),""),IFERROR(INDEX(Map_Tables!$B$4:$B$18,MATCH(TRIM(F373),Map_Tables!$A$4:$A$18,0)),"CHECK"))</f>
        <v>Delhi</v>
      </c>
      <c r="AE373" s="7" t="str">
        <f aca="false">IF(TRIM(E373)="","",IFERROR(INDEX(Map_Tables!$H$4:$H$37,MATCH(TRIM(E373),Map_Tables!$G$4:$G$37,0)),"CHECK"))</f>
        <v>Tandoor Tales</v>
      </c>
      <c r="AF373" s="7" t="str">
        <f aca="false">IF(TRIM(K373)="","Unknown",IFERROR(INDEX(Map_Tables!$E$4:$E$15,MATCH(TRIM(K373),Map_Tables!$D$4:$D$15,0)),"CHECK"))</f>
        <v>Debit Card</v>
      </c>
      <c r="AG373" s="7" t="str">
        <f aca="false">IF(LEFT(LOWER(TRIM(L373)),6)="cancel","Cancelled","Delivered")</f>
        <v>Delivered</v>
      </c>
      <c r="AH373" s="10" t="n">
        <f aca="false">IF(ISNUMBER(SEARCH("/",B373)),DATE(VALUE(RIGHT(B373,4)),VALUE(MID(B373,4,2)),VALUE(LEFT(B373,2))),IF(MID(B373,5,1)="-",DATE(VALUE(LEFT(B373,4)),VALUE(MID(B373,6,2)),VALUE(RIGHT(B373,2))),DATE(VALUE(RIGHT(B373,4)),MATCH(MID(B373,4,3),{"Jan","Feb","Mar","Apr","May","Jun","Jul","Aug","Sep","Oct","Nov","Dec"},0),VALUE(LEFT(B373,2)))))</f>
        <v>45758</v>
      </c>
    </row>
    <row r="374" customFormat="false" ht="15" hidden="false" customHeight="false" outlineLevel="0" collapsed="false">
      <c r="A374" s="7" t="s">
        <v>1496</v>
      </c>
      <c r="B374" s="7" t="s">
        <v>1497</v>
      </c>
      <c r="C374" s="7" t="s">
        <v>519</v>
      </c>
      <c r="D374" s="7" t="s">
        <v>1498</v>
      </c>
      <c r="E374" s="7" t="s">
        <v>104</v>
      </c>
      <c r="F374" s="7" t="s">
        <v>86</v>
      </c>
      <c r="G374" s="7" t="s">
        <v>105</v>
      </c>
      <c r="H374" s="7" t="n">
        <v>2</v>
      </c>
      <c r="I374" s="7" t="n">
        <v>165</v>
      </c>
      <c r="J374" s="7" t="n">
        <v>20</v>
      </c>
      <c r="K374" s="7" t="s">
        <v>88</v>
      </c>
      <c r="L374" s="7" t="s">
        <v>194</v>
      </c>
      <c r="M374" s="7" t="n">
        <v>38</v>
      </c>
      <c r="N374" s="7" t="n">
        <v>4</v>
      </c>
      <c r="O374" s="7" t="str">
        <f aca="false">A374&amp;"|"&amp;B374&amp;"|"&amp;C374&amp;"|"&amp;D374&amp;"|"&amp;E374&amp;"|"&amp;F374&amp;"|"&amp;G374&amp;"|"&amp;H374&amp;"|"&amp;I374&amp;"|"&amp;J374&amp;"|"&amp;K374&amp;"|"&amp;L374&amp;"|"&amp;M374&amp;"|"&amp;N374</f>
        <v>ORD10072|10-Jan-2025|19:06|C1133|Wok &amp; Roll|Bengaluru|Chinese|2|165|20|UPI|Delivered|38|4</v>
      </c>
      <c r="P374" s="7" t="str">
        <f aca="false">IF(COUNTIF($O$2:O374,O374)&gt;1,"DUP","OK")</f>
        <v>OK</v>
      </c>
      <c r="Q374" s="7" t="n">
        <f aca="false">COUNTBLANK(A374:N374)</f>
        <v>0</v>
      </c>
      <c r="R374" s="7" t="n">
        <f aca="false">IF(A374="",0,COUNTIFS($A$2:$A$3058,A374,$P$2:$P$3058,"OK"))</f>
        <v>1</v>
      </c>
      <c r="S374" s="7" t="str">
        <f aca="false">IF(OR(A374="",P374="DUP",R374&lt;2),"",IF(Q374=_xlfn.MINIFS($Q$2:$Q$3058,$A$2:$A$3058,A374,$P$2:$P$3058,"OK"),"KEEP","DROP"))</f>
        <v/>
      </c>
      <c r="T374" s="9" t="n">
        <f aca="false">IF(A374="",1,0)</f>
        <v>0</v>
      </c>
      <c r="U374" s="9" t="n">
        <f aca="false">IF(D374="",1,0)</f>
        <v>0</v>
      </c>
      <c r="V374" s="9" t="n">
        <f aca="false">IF(E374="",1,0)</f>
        <v>0</v>
      </c>
      <c r="W374" s="9" t="n">
        <f aca="false">IF(OR(H374&lt;1,H374&gt;10),1,0)</f>
        <v>0</v>
      </c>
      <c r="X374" s="9" t="n">
        <f aca="false">IF(OR(I374&lt;=0,I374&gt;1500),1,0)</f>
        <v>0</v>
      </c>
      <c r="Y374" s="9" t="n">
        <f aca="false">IF(J374&gt;H374*I374,1,0)</f>
        <v>0</v>
      </c>
      <c r="Z374" s="9" t="n">
        <f aca="false">IF(AND(N374&lt;&gt;"",OR(N374&lt;1,N374&gt;5)),1,0)</f>
        <v>0</v>
      </c>
      <c r="AA374" s="9" t="n">
        <f aca="false">IF(AND(M374&lt;&gt;"",OR(M374&lt;5,M374&gt;180)),1,0)</f>
        <v>0</v>
      </c>
      <c r="AB374" s="7" t="str">
        <f aca="false">IF(P374="DUP","Exact duplicate row",IF(T374=1,"Missing Order ID",IF(S374="DROP","Duplicate Order ID (less complete row)",IF(U374=1,"Missing Customer ID",IF(V374=1,"Missing Restaurant name",IF(W374=1,"Invalid/outlier quantity",IF(X374=1,"Invalid/outlier unit price",IF(Y374=1,"Discount greater than order value",""))))))))</f>
        <v/>
      </c>
      <c r="AC374" s="7" t="str">
        <f aca="false">IF(AB374="","KEEP","DROP")</f>
        <v>KEEP</v>
      </c>
      <c r="AD374" s="7" t="str">
        <f aca="false">IF(TRIM(F374)="",IFERROR(INDEX(Map_Tables!$I$4:$I$37,MATCH(TRIM(E374),Map_Tables!$G$4:$G$37,0)),""),IFERROR(INDEX(Map_Tables!$B$4:$B$18,MATCH(TRIM(F374),Map_Tables!$A$4:$A$18,0)),"CHECK"))</f>
        <v>Bengaluru</v>
      </c>
      <c r="AE374" s="7" t="str">
        <f aca="false">IF(TRIM(E374)="","",IFERROR(INDEX(Map_Tables!$H$4:$H$37,MATCH(TRIM(E374),Map_Tables!$G$4:$G$37,0)),"CHECK"))</f>
        <v>Wok &amp; Roll</v>
      </c>
      <c r="AF374" s="7" t="str">
        <f aca="false">IF(TRIM(K374)="","Unknown",IFERROR(INDEX(Map_Tables!$E$4:$E$15,MATCH(TRIM(K374),Map_Tables!$D$4:$D$15,0)),"CHECK"))</f>
        <v>UPI</v>
      </c>
      <c r="AG374" s="7" t="str">
        <f aca="false">IF(LEFT(LOWER(TRIM(L374)),6)="cancel","Cancelled","Delivered")</f>
        <v>Delivered</v>
      </c>
      <c r="AH374" s="10" t="n">
        <f aca="false">IF(ISNUMBER(SEARCH("/",B374)),DATE(VALUE(RIGHT(B374,4)),VALUE(MID(B374,4,2)),VALUE(LEFT(B374,2))),IF(MID(B374,5,1)="-",DATE(VALUE(LEFT(B374,4)),VALUE(MID(B374,6,2)),VALUE(RIGHT(B374,2))),DATE(VALUE(RIGHT(B374,4)),MATCH(MID(B374,4,3),{"Jan","Feb","Mar","Apr","May","Jun","Jul","Aug","Sep","Oct","Nov","Dec"},0),VALUE(LEFT(B374,2)))))</f>
        <v>45667</v>
      </c>
    </row>
    <row r="375" customFormat="false" ht="15" hidden="false" customHeight="false" outlineLevel="0" collapsed="false">
      <c r="A375" s="7" t="s">
        <v>1499</v>
      </c>
      <c r="B375" s="7" t="s">
        <v>1500</v>
      </c>
      <c r="C375" s="7" t="s">
        <v>1501</v>
      </c>
      <c r="D375" s="7" t="s">
        <v>1447</v>
      </c>
      <c r="E375" s="7" t="s">
        <v>152</v>
      </c>
      <c r="F375" s="7" t="s">
        <v>702</v>
      </c>
      <c r="G375" s="7" t="s">
        <v>95</v>
      </c>
      <c r="H375" s="7" t="n">
        <v>1</v>
      </c>
      <c r="I375" s="7" t="n">
        <v>120</v>
      </c>
      <c r="J375" s="7" t="n">
        <v>40</v>
      </c>
      <c r="K375" s="7" t="s">
        <v>93</v>
      </c>
      <c r="L375" s="7" t="s">
        <v>194</v>
      </c>
      <c r="M375" s="7" t="n">
        <v>41</v>
      </c>
      <c r="N375" s="7" t="n">
        <v>3</v>
      </c>
      <c r="O375" s="7" t="str">
        <f aca="false">A375&amp;"|"&amp;B375&amp;"|"&amp;C375&amp;"|"&amp;D375&amp;"|"&amp;E375&amp;"|"&amp;F375&amp;"|"&amp;G375&amp;"|"&amp;H375&amp;"|"&amp;I375&amp;"|"&amp;J375&amp;"|"&amp;K375&amp;"|"&amp;L375&amp;"|"&amp;M375&amp;"|"&amp;N375</f>
        <v>ORD11658|2025-08-04|20:40|C0050|Filter Coffee &amp; Tiffin|CHENNAI |South Indian|1|120|40|Credit Card|Delivered|41|3</v>
      </c>
      <c r="P375" s="7" t="str">
        <f aca="false">IF(COUNTIF($O$2:O375,O375)&gt;1,"DUP","OK")</f>
        <v>OK</v>
      </c>
      <c r="Q375" s="7" t="n">
        <f aca="false">COUNTBLANK(A375:N375)</f>
        <v>0</v>
      </c>
      <c r="R375" s="7" t="n">
        <f aca="false">IF(A375="",0,COUNTIFS($A$2:$A$3058,A375,$P$2:$P$3058,"OK"))</f>
        <v>1</v>
      </c>
      <c r="S375" s="7" t="str">
        <f aca="false">IF(OR(A375="",P375="DUP",R375&lt;2),"",IF(Q375=_xlfn.MINIFS($Q$2:$Q$3058,$A$2:$A$3058,A375,$P$2:$P$3058,"OK"),"KEEP","DROP"))</f>
        <v/>
      </c>
      <c r="T375" s="9" t="n">
        <f aca="false">IF(A375="",1,0)</f>
        <v>0</v>
      </c>
      <c r="U375" s="9" t="n">
        <f aca="false">IF(D375="",1,0)</f>
        <v>0</v>
      </c>
      <c r="V375" s="9" t="n">
        <f aca="false">IF(E375="",1,0)</f>
        <v>0</v>
      </c>
      <c r="W375" s="9" t="n">
        <f aca="false">IF(OR(H375&lt;1,H375&gt;10),1,0)</f>
        <v>0</v>
      </c>
      <c r="X375" s="9" t="n">
        <f aca="false">IF(OR(I375&lt;=0,I375&gt;1500),1,0)</f>
        <v>0</v>
      </c>
      <c r="Y375" s="9" t="n">
        <f aca="false">IF(J375&gt;H375*I375,1,0)</f>
        <v>0</v>
      </c>
      <c r="Z375" s="9" t="n">
        <f aca="false">IF(AND(N375&lt;&gt;"",OR(N375&lt;1,N375&gt;5)),1,0)</f>
        <v>0</v>
      </c>
      <c r="AA375" s="9" t="n">
        <f aca="false">IF(AND(M375&lt;&gt;"",OR(M375&lt;5,M375&gt;180)),1,0)</f>
        <v>0</v>
      </c>
      <c r="AB375" s="7" t="str">
        <f aca="false">IF(P375="DUP","Exact duplicate row",IF(T375=1,"Missing Order ID",IF(S375="DROP","Duplicate Order ID (less complete row)",IF(U375=1,"Missing Customer ID",IF(V375=1,"Missing Restaurant name",IF(W375=1,"Invalid/outlier quantity",IF(X375=1,"Invalid/outlier unit price",IF(Y375=1,"Discount greater than order value",""))))))))</f>
        <v/>
      </c>
      <c r="AC375" s="7" t="str">
        <f aca="false">IF(AB375="","KEEP","DROP")</f>
        <v>KEEP</v>
      </c>
      <c r="AD375" s="7" t="str">
        <f aca="false">IF(TRIM(F375)="",IFERROR(INDEX(Map_Tables!$I$4:$I$37,MATCH(TRIM(E375),Map_Tables!$G$4:$G$37,0)),""),IFERROR(INDEX(Map_Tables!$B$4:$B$18,MATCH(TRIM(F375),Map_Tables!$A$4:$A$18,0)),"CHECK"))</f>
        <v>Chennai</v>
      </c>
      <c r="AE375" s="7" t="str">
        <f aca="false">IF(TRIM(E375)="","",IFERROR(INDEX(Map_Tables!$H$4:$H$37,MATCH(TRIM(E375),Map_Tables!$G$4:$G$37,0)),"CHECK"))</f>
        <v>Filter Coffee &amp; Tiffin</v>
      </c>
      <c r="AF375" s="7" t="str">
        <f aca="false">IF(TRIM(K375)="","Unknown",IFERROR(INDEX(Map_Tables!$E$4:$E$15,MATCH(TRIM(K375),Map_Tables!$D$4:$D$15,0)),"CHECK"))</f>
        <v>Credit Card</v>
      </c>
      <c r="AG375" s="7" t="str">
        <f aca="false">IF(LEFT(LOWER(TRIM(L375)),6)="cancel","Cancelled","Delivered")</f>
        <v>Delivered</v>
      </c>
      <c r="AH375" s="10" t="n">
        <f aca="false">IF(ISNUMBER(SEARCH("/",B375)),DATE(VALUE(RIGHT(B375,4)),VALUE(MID(B375,4,2)),VALUE(LEFT(B375,2))),IF(MID(B375,5,1)="-",DATE(VALUE(LEFT(B375,4)),VALUE(MID(B375,6,2)),VALUE(RIGHT(B375,2))),DATE(VALUE(RIGHT(B375,4)),MATCH(MID(B375,4,3),{"Jan","Feb","Mar","Apr","May","Jun","Jul","Aug","Sep","Oct","Nov","Dec"},0),VALUE(LEFT(B375,2)))))</f>
        <v>45873</v>
      </c>
    </row>
    <row r="376" customFormat="false" ht="15" hidden="false" customHeight="false" outlineLevel="0" collapsed="false">
      <c r="A376" s="7" t="s">
        <v>1502</v>
      </c>
      <c r="B376" s="7" t="s">
        <v>1201</v>
      </c>
      <c r="C376" s="7" t="s">
        <v>1503</v>
      </c>
      <c r="D376" s="7" t="s">
        <v>1504</v>
      </c>
      <c r="E376" s="7" t="s">
        <v>113</v>
      </c>
      <c r="F376" s="7" t="s">
        <v>101</v>
      </c>
      <c r="G376" s="7" t="s">
        <v>90</v>
      </c>
      <c r="H376" s="7" t="n">
        <v>3</v>
      </c>
      <c r="I376" s="7" t="n">
        <v>265</v>
      </c>
      <c r="J376" s="7" t="n">
        <v>150</v>
      </c>
      <c r="K376" s="7" t="s">
        <v>133</v>
      </c>
      <c r="L376" s="7" t="s">
        <v>194</v>
      </c>
      <c r="M376" s="7" t="n">
        <v>43</v>
      </c>
      <c r="N376" s="7" t="n">
        <v>3</v>
      </c>
      <c r="O376" s="7" t="str">
        <f aca="false">A376&amp;"|"&amp;B376&amp;"|"&amp;C376&amp;"|"&amp;D376&amp;"|"&amp;E376&amp;"|"&amp;F376&amp;"|"&amp;G376&amp;"|"&amp;H376&amp;"|"&amp;I376&amp;"|"&amp;J376&amp;"|"&amp;K376&amp;"|"&amp;L376&amp;"|"&amp;M376&amp;"|"&amp;N376</f>
        <v>ORD12627|2025-11-20|18:54|C0190|Curry Leaf Kitchen|Mumbai|North Indian|3|265|150|Net Banking|Delivered|43|3</v>
      </c>
      <c r="P376" s="7" t="str">
        <f aca="false">IF(COUNTIF($O$2:O376,O376)&gt;1,"DUP","OK")</f>
        <v>OK</v>
      </c>
      <c r="Q376" s="7" t="n">
        <f aca="false">COUNTBLANK(A376:N376)</f>
        <v>0</v>
      </c>
      <c r="R376" s="7" t="n">
        <f aca="false">IF(A376="",0,COUNTIFS($A$2:$A$3058,A376,$P$2:$P$3058,"OK"))</f>
        <v>1</v>
      </c>
      <c r="S376" s="7" t="str">
        <f aca="false">IF(OR(A376="",P376="DUP",R376&lt;2),"",IF(Q376=_xlfn.MINIFS($Q$2:$Q$3058,$A$2:$A$3058,A376,$P$2:$P$3058,"OK"),"KEEP","DROP"))</f>
        <v/>
      </c>
      <c r="T376" s="9" t="n">
        <f aca="false">IF(A376="",1,0)</f>
        <v>0</v>
      </c>
      <c r="U376" s="9" t="n">
        <f aca="false">IF(D376="",1,0)</f>
        <v>0</v>
      </c>
      <c r="V376" s="9" t="n">
        <f aca="false">IF(E376="",1,0)</f>
        <v>0</v>
      </c>
      <c r="W376" s="9" t="n">
        <f aca="false">IF(OR(H376&lt;1,H376&gt;10),1,0)</f>
        <v>0</v>
      </c>
      <c r="X376" s="9" t="n">
        <f aca="false">IF(OR(I376&lt;=0,I376&gt;1500),1,0)</f>
        <v>0</v>
      </c>
      <c r="Y376" s="9" t="n">
        <f aca="false">IF(J376&gt;H376*I376,1,0)</f>
        <v>0</v>
      </c>
      <c r="Z376" s="9" t="n">
        <f aca="false">IF(AND(N376&lt;&gt;"",OR(N376&lt;1,N376&gt;5)),1,0)</f>
        <v>0</v>
      </c>
      <c r="AA376" s="9" t="n">
        <f aca="false">IF(AND(M376&lt;&gt;"",OR(M376&lt;5,M376&gt;180)),1,0)</f>
        <v>0</v>
      </c>
      <c r="AB376" s="7" t="str">
        <f aca="false">IF(P376="DUP","Exact duplicate row",IF(T376=1,"Missing Order ID",IF(S376="DROP","Duplicate Order ID (less complete row)",IF(U376=1,"Missing Customer ID",IF(V376=1,"Missing Restaurant name",IF(W376=1,"Invalid/outlier quantity",IF(X376=1,"Invalid/outlier unit price",IF(Y376=1,"Discount greater than order value",""))))))))</f>
        <v/>
      </c>
      <c r="AC376" s="7" t="str">
        <f aca="false">IF(AB376="","KEEP","DROP")</f>
        <v>KEEP</v>
      </c>
      <c r="AD376" s="7" t="str">
        <f aca="false">IF(TRIM(F376)="",IFERROR(INDEX(Map_Tables!$I$4:$I$37,MATCH(TRIM(E376),Map_Tables!$G$4:$G$37,0)),""),IFERROR(INDEX(Map_Tables!$B$4:$B$18,MATCH(TRIM(F376),Map_Tables!$A$4:$A$18,0)),"CHECK"))</f>
        <v>Mumbai</v>
      </c>
      <c r="AE376" s="7" t="str">
        <f aca="false">IF(TRIM(E376)="","",IFERROR(INDEX(Map_Tables!$H$4:$H$37,MATCH(TRIM(E376),Map_Tables!$G$4:$G$37,0)),"CHECK"))</f>
        <v>Curry Leaf Kitchen</v>
      </c>
      <c r="AF376" s="7" t="str">
        <f aca="false">IF(TRIM(K376)="","Unknown",IFERROR(INDEX(Map_Tables!$E$4:$E$15,MATCH(TRIM(K376),Map_Tables!$D$4:$D$15,0)),"CHECK"))</f>
        <v>Net Banking</v>
      </c>
      <c r="AG376" s="7" t="str">
        <f aca="false">IF(LEFT(LOWER(TRIM(L376)),6)="cancel","Cancelled","Delivered")</f>
        <v>Delivered</v>
      </c>
      <c r="AH376" s="10" t="n">
        <f aca="false">IF(ISNUMBER(SEARCH("/",B376)),DATE(VALUE(RIGHT(B376,4)),VALUE(MID(B376,4,2)),VALUE(LEFT(B376,2))),IF(MID(B376,5,1)="-",DATE(VALUE(LEFT(B376,4)),VALUE(MID(B376,6,2)),VALUE(RIGHT(B376,2))),DATE(VALUE(RIGHT(B376,4)),MATCH(MID(B376,4,3),{"Jan","Feb","Mar","Apr","May","Jun","Jul","Aug","Sep","Oct","Nov","Dec"},0),VALUE(LEFT(B376,2)))))</f>
        <v>45981</v>
      </c>
    </row>
    <row r="377" customFormat="false" ht="15" hidden="false" customHeight="false" outlineLevel="0" collapsed="false">
      <c r="A377" s="7" t="s">
        <v>1505</v>
      </c>
      <c r="B377" s="7" t="s">
        <v>1506</v>
      </c>
      <c r="C377" s="7" t="s">
        <v>1501</v>
      </c>
      <c r="D377" s="7" t="s">
        <v>766</v>
      </c>
      <c r="E377" s="7" t="s">
        <v>138</v>
      </c>
      <c r="F377" s="7" t="s">
        <v>110</v>
      </c>
      <c r="G377" s="7" t="s">
        <v>139</v>
      </c>
      <c r="H377" s="7" t="n">
        <v>2</v>
      </c>
      <c r="I377" s="7" t="n">
        <v>210</v>
      </c>
      <c r="J377" s="7" t="n">
        <v>150</v>
      </c>
      <c r="K377" s="7" t="s">
        <v>103</v>
      </c>
      <c r="L377" s="7" t="s">
        <v>194</v>
      </c>
      <c r="M377" s="7" t="n">
        <v>43</v>
      </c>
      <c r="N377" s="7" t="n">
        <v>5</v>
      </c>
      <c r="O377" s="7" t="str">
        <f aca="false">A377&amp;"|"&amp;B377&amp;"|"&amp;C377&amp;"|"&amp;D377&amp;"|"&amp;E377&amp;"|"&amp;F377&amp;"|"&amp;G377&amp;"|"&amp;H377&amp;"|"&amp;I377&amp;"|"&amp;J377&amp;"|"&amp;K377&amp;"|"&amp;L377&amp;"|"&amp;M377&amp;"|"&amp;N377</f>
        <v>ORD10417|25-Feb-2025|20:40|C1437|Burger Barn|Delhi|Burgers|2|210|150|Debit Card|Delivered|43|5</v>
      </c>
      <c r="P377" s="7" t="str">
        <f aca="false">IF(COUNTIF($O$2:O377,O377)&gt;1,"DUP","OK")</f>
        <v>OK</v>
      </c>
      <c r="Q377" s="7" t="n">
        <f aca="false">COUNTBLANK(A377:N377)</f>
        <v>0</v>
      </c>
      <c r="R377" s="7" t="n">
        <f aca="false">IF(A377="",0,COUNTIFS($A$2:$A$3058,A377,$P$2:$P$3058,"OK"))</f>
        <v>1</v>
      </c>
      <c r="S377" s="7" t="str">
        <f aca="false">IF(OR(A377="",P377="DUP",R377&lt;2),"",IF(Q377=_xlfn.MINIFS($Q$2:$Q$3058,$A$2:$A$3058,A377,$P$2:$P$3058,"OK"),"KEEP","DROP"))</f>
        <v/>
      </c>
      <c r="T377" s="9" t="n">
        <f aca="false">IF(A377="",1,0)</f>
        <v>0</v>
      </c>
      <c r="U377" s="9" t="n">
        <f aca="false">IF(D377="",1,0)</f>
        <v>0</v>
      </c>
      <c r="V377" s="9" t="n">
        <f aca="false">IF(E377="",1,0)</f>
        <v>0</v>
      </c>
      <c r="W377" s="9" t="n">
        <f aca="false">IF(OR(H377&lt;1,H377&gt;10),1,0)</f>
        <v>0</v>
      </c>
      <c r="X377" s="9" t="n">
        <f aca="false">IF(OR(I377&lt;=0,I377&gt;1500),1,0)</f>
        <v>0</v>
      </c>
      <c r="Y377" s="9" t="n">
        <f aca="false">IF(J377&gt;H377*I377,1,0)</f>
        <v>0</v>
      </c>
      <c r="Z377" s="9" t="n">
        <f aca="false">IF(AND(N377&lt;&gt;"",OR(N377&lt;1,N377&gt;5)),1,0)</f>
        <v>0</v>
      </c>
      <c r="AA377" s="9" t="n">
        <f aca="false">IF(AND(M377&lt;&gt;"",OR(M377&lt;5,M377&gt;180)),1,0)</f>
        <v>0</v>
      </c>
      <c r="AB377" s="7" t="str">
        <f aca="false">IF(P377="DUP","Exact duplicate row",IF(T377=1,"Missing Order ID",IF(S377="DROP","Duplicate Order ID (less complete row)",IF(U377=1,"Missing Customer ID",IF(V377=1,"Missing Restaurant name",IF(W377=1,"Invalid/outlier quantity",IF(X377=1,"Invalid/outlier unit price",IF(Y377=1,"Discount greater than order value",""))))))))</f>
        <v/>
      </c>
      <c r="AC377" s="7" t="str">
        <f aca="false">IF(AB377="","KEEP","DROP")</f>
        <v>KEEP</v>
      </c>
      <c r="AD377" s="7" t="str">
        <f aca="false">IF(TRIM(F377)="",IFERROR(INDEX(Map_Tables!$I$4:$I$37,MATCH(TRIM(E377),Map_Tables!$G$4:$G$37,0)),""),IFERROR(INDEX(Map_Tables!$B$4:$B$18,MATCH(TRIM(F377),Map_Tables!$A$4:$A$18,0)),"CHECK"))</f>
        <v>Delhi</v>
      </c>
      <c r="AE377" s="7" t="str">
        <f aca="false">IF(TRIM(E377)="","",IFERROR(INDEX(Map_Tables!$H$4:$H$37,MATCH(TRIM(E377),Map_Tables!$G$4:$G$37,0)),"CHECK"))</f>
        <v>Burger Barn</v>
      </c>
      <c r="AF377" s="7" t="str">
        <f aca="false">IF(TRIM(K377)="","Unknown",IFERROR(INDEX(Map_Tables!$E$4:$E$15,MATCH(TRIM(K377),Map_Tables!$D$4:$D$15,0)),"CHECK"))</f>
        <v>Debit Card</v>
      </c>
      <c r="AG377" s="7" t="str">
        <f aca="false">IF(LEFT(LOWER(TRIM(L377)),6)="cancel","Cancelled","Delivered")</f>
        <v>Delivered</v>
      </c>
      <c r="AH377" s="10" t="n">
        <f aca="false">IF(ISNUMBER(SEARCH("/",B377)),DATE(VALUE(RIGHT(B377,4)),VALUE(MID(B377,4,2)),VALUE(LEFT(B377,2))),IF(MID(B377,5,1)="-",DATE(VALUE(LEFT(B377,4)),VALUE(MID(B377,6,2)),VALUE(RIGHT(B377,2))),DATE(VALUE(RIGHT(B377,4)),MATCH(MID(B377,4,3),{"Jan","Feb","Mar","Apr","May","Jun","Jul","Aug","Sep","Oct","Nov","Dec"},0),VALUE(LEFT(B377,2)))))</f>
        <v>45713</v>
      </c>
    </row>
    <row r="378" customFormat="false" ht="15" hidden="false" customHeight="false" outlineLevel="0" collapsed="false">
      <c r="A378" s="7" t="s">
        <v>1507</v>
      </c>
      <c r="B378" s="7" t="s">
        <v>546</v>
      </c>
      <c r="C378" s="7" t="s">
        <v>386</v>
      </c>
      <c r="D378" s="7" t="s">
        <v>1508</v>
      </c>
      <c r="E378" s="7" t="s">
        <v>353</v>
      </c>
      <c r="F378" s="7" t="s">
        <v>86</v>
      </c>
      <c r="G378" s="7" t="s">
        <v>95</v>
      </c>
      <c r="H378" s="7" t="n">
        <v>4</v>
      </c>
      <c r="I378" s="7" t="n">
        <v>135</v>
      </c>
      <c r="J378" s="7" t="n">
        <v>0</v>
      </c>
      <c r="K378" s="7" t="s">
        <v>88</v>
      </c>
      <c r="L378" s="7" t="s">
        <v>194</v>
      </c>
      <c r="M378" s="7" t="n">
        <v>33</v>
      </c>
      <c r="N378" s="7" t="n">
        <v>4</v>
      </c>
      <c r="O378" s="7" t="str">
        <f aca="false">A378&amp;"|"&amp;B378&amp;"|"&amp;C378&amp;"|"&amp;D378&amp;"|"&amp;E378&amp;"|"&amp;F378&amp;"|"&amp;G378&amp;"|"&amp;H378&amp;"|"&amp;I378&amp;"|"&amp;J378&amp;"|"&amp;K378&amp;"|"&amp;L378&amp;"|"&amp;M378&amp;"|"&amp;N378</f>
        <v>ORD12602|2025-11-18|11:53|C0337|Dosa Darbar |Bengaluru|South Indian|4|135|0|UPI|Delivered|33|4</v>
      </c>
      <c r="P378" s="7" t="str">
        <f aca="false">IF(COUNTIF($O$2:O378,O378)&gt;1,"DUP","OK")</f>
        <v>OK</v>
      </c>
      <c r="Q378" s="7" t="n">
        <f aca="false">COUNTBLANK(A378:N378)</f>
        <v>0</v>
      </c>
      <c r="R378" s="7" t="n">
        <f aca="false">IF(A378="",0,COUNTIFS($A$2:$A$3058,A378,$P$2:$P$3058,"OK"))</f>
        <v>1</v>
      </c>
      <c r="S378" s="7" t="str">
        <f aca="false">IF(OR(A378="",P378="DUP",R378&lt;2),"",IF(Q378=_xlfn.MINIFS($Q$2:$Q$3058,$A$2:$A$3058,A378,$P$2:$P$3058,"OK"),"KEEP","DROP"))</f>
        <v/>
      </c>
      <c r="T378" s="9" t="n">
        <f aca="false">IF(A378="",1,0)</f>
        <v>0</v>
      </c>
      <c r="U378" s="9" t="n">
        <f aca="false">IF(D378="",1,0)</f>
        <v>0</v>
      </c>
      <c r="V378" s="9" t="n">
        <f aca="false">IF(E378="",1,0)</f>
        <v>0</v>
      </c>
      <c r="W378" s="9" t="n">
        <f aca="false">IF(OR(H378&lt;1,H378&gt;10),1,0)</f>
        <v>0</v>
      </c>
      <c r="X378" s="9" t="n">
        <f aca="false">IF(OR(I378&lt;=0,I378&gt;1500),1,0)</f>
        <v>0</v>
      </c>
      <c r="Y378" s="9" t="n">
        <f aca="false">IF(J378&gt;H378*I378,1,0)</f>
        <v>0</v>
      </c>
      <c r="Z378" s="9" t="n">
        <f aca="false">IF(AND(N378&lt;&gt;"",OR(N378&lt;1,N378&gt;5)),1,0)</f>
        <v>0</v>
      </c>
      <c r="AA378" s="9" t="n">
        <f aca="false">IF(AND(M378&lt;&gt;"",OR(M378&lt;5,M378&gt;180)),1,0)</f>
        <v>0</v>
      </c>
      <c r="AB378" s="7" t="str">
        <f aca="false">IF(P378="DUP","Exact duplicate row",IF(T378=1,"Missing Order ID",IF(S378="DROP","Duplicate Order ID (less complete row)",IF(U378=1,"Missing Customer ID",IF(V378=1,"Missing Restaurant name",IF(W378=1,"Invalid/outlier quantity",IF(X378=1,"Invalid/outlier unit price",IF(Y378=1,"Discount greater than order value",""))))))))</f>
        <v/>
      </c>
      <c r="AC378" s="7" t="str">
        <f aca="false">IF(AB378="","KEEP","DROP")</f>
        <v>KEEP</v>
      </c>
      <c r="AD378" s="7" t="str">
        <f aca="false">IF(TRIM(F378)="",IFERROR(INDEX(Map_Tables!$I$4:$I$37,MATCH(TRIM(E378),Map_Tables!$G$4:$G$37,0)),""),IFERROR(INDEX(Map_Tables!$B$4:$B$18,MATCH(TRIM(F378),Map_Tables!$A$4:$A$18,0)),"CHECK"))</f>
        <v>Bengaluru</v>
      </c>
      <c r="AE378" s="7" t="str">
        <f aca="false">IF(TRIM(E378)="","",IFERROR(INDEX(Map_Tables!$H$4:$H$37,MATCH(TRIM(E378),Map_Tables!$G$4:$G$37,0)),"CHECK"))</f>
        <v>Dosa Darbar</v>
      </c>
      <c r="AF378" s="7" t="str">
        <f aca="false">IF(TRIM(K378)="","Unknown",IFERROR(INDEX(Map_Tables!$E$4:$E$15,MATCH(TRIM(K378),Map_Tables!$D$4:$D$15,0)),"CHECK"))</f>
        <v>UPI</v>
      </c>
      <c r="AG378" s="7" t="str">
        <f aca="false">IF(LEFT(LOWER(TRIM(L378)),6)="cancel","Cancelled","Delivered")</f>
        <v>Delivered</v>
      </c>
      <c r="AH378" s="10" t="n">
        <f aca="false">IF(ISNUMBER(SEARCH("/",B378)),DATE(VALUE(RIGHT(B378,4)),VALUE(MID(B378,4,2)),VALUE(LEFT(B378,2))),IF(MID(B378,5,1)="-",DATE(VALUE(LEFT(B378,4)),VALUE(MID(B378,6,2)),VALUE(RIGHT(B378,2))),DATE(VALUE(RIGHT(B378,4)),MATCH(MID(B378,4,3),{"Jan","Feb","Mar","Apr","May","Jun","Jul","Aug","Sep","Oct","Nov","Dec"},0),VALUE(LEFT(B378,2)))))</f>
        <v>45979</v>
      </c>
    </row>
    <row r="379" customFormat="false" ht="15" hidden="false" customHeight="false" outlineLevel="0" collapsed="false">
      <c r="A379" s="7" t="s">
        <v>1509</v>
      </c>
      <c r="B379" s="7" t="s">
        <v>485</v>
      </c>
      <c r="C379" s="7" t="s">
        <v>331</v>
      </c>
      <c r="D379" s="7" t="s">
        <v>1510</v>
      </c>
      <c r="E379" s="7" t="s">
        <v>160</v>
      </c>
      <c r="F379" s="7" t="s">
        <v>136</v>
      </c>
      <c r="G379" s="7" t="s">
        <v>150</v>
      </c>
      <c r="H379" s="7" t="n">
        <v>1</v>
      </c>
      <c r="I379" s="7" t="n">
        <v>175</v>
      </c>
      <c r="J379" s="7" t="n">
        <v>0</v>
      </c>
      <c r="K379" s="7" t="s">
        <v>88</v>
      </c>
      <c r="L379" s="7" t="s">
        <v>194</v>
      </c>
      <c r="M379" s="7" t="n">
        <v>35</v>
      </c>
      <c r="N379" s="7" t="n">
        <v>3</v>
      </c>
      <c r="O379" s="7" t="str">
        <f aca="false">A379&amp;"|"&amp;B379&amp;"|"&amp;C379&amp;"|"&amp;D379&amp;"|"&amp;E379&amp;"|"&amp;F379&amp;"|"&amp;G379&amp;"|"&amp;H379&amp;"|"&amp;I379&amp;"|"&amp;J379&amp;"|"&amp;K379&amp;"|"&amp;L379&amp;"|"&amp;M379&amp;"|"&amp;N379</f>
        <v>ORD12537|12/11/2025|22:04|C0287|Cake Walk|Pune|Desserts|1|175|0|UPI|Delivered|35|3</v>
      </c>
      <c r="P379" s="7" t="str">
        <f aca="false">IF(COUNTIF($O$2:O379,O379)&gt;1,"DUP","OK")</f>
        <v>OK</v>
      </c>
      <c r="Q379" s="7" t="n">
        <f aca="false">COUNTBLANK(A379:N379)</f>
        <v>0</v>
      </c>
      <c r="R379" s="7" t="n">
        <f aca="false">IF(A379="",0,COUNTIFS($A$2:$A$3058,A379,$P$2:$P$3058,"OK"))</f>
        <v>1</v>
      </c>
      <c r="S379" s="7" t="str">
        <f aca="false">IF(OR(A379="",P379="DUP",R379&lt;2),"",IF(Q379=_xlfn.MINIFS($Q$2:$Q$3058,$A$2:$A$3058,A379,$P$2:$P$3058,"OK"),"KEEP","DROP"))</f>
        <v/>
      </c>
      <c r="T379" s="9" t="n">
        <f aca="false">IF(A379="",1,0)</f>
        <v>0</v>
      </c>
      <c r="U379" s="9" t="n">
        <f aca="false">IF(D379="",1,0)</f>
        <v>0</v>
      </c>
      <c r="V379" s="9" t="n">
        <f aca="false">IF(E379="",1,0)</f>
        <v>0</v>
      </c>
      <c r="W379" s="9" t="n">
        <f aca="false">IF(OR(H379&lt;1,H379&gt;10),1,0)</f>
        <v>0</v>
      </c>
      <c r="X379" s="9" t="n">
        <f aca="false">IF(OR(I379&lt;=0,I379&gt;1500),1,0)</f>
        <v>0</v>
      </c>
      <c r="Y379" s="9" t="n">
        <f aca="false">IF(J379&gt;H379*I379,1,0)</f>
        <v>0</v>
      </c>
      <c r="Z379" s="9" t="n">
        <f aca="false">IF(AND(N379&lt;&gt;"",OR(N379&lt;1,N379&gt;5)),1,0)</f>
        <v>0</v>
      </c>
      <c r="AA379" s="9" t="n">
        <f aca="false">IF(AND(M379&lt;&gt;"",OR(M379&lt;5,M379&gt;180)),1,0)</f>
        <v>0</v>
      </c>
      <c r="AB379" s="7" t="str">
        <f aca="false">IF(P379="DUP","Exact duplicate row",IF(T379=1,"Missing Order ID",IF(S379="DROP","Duplicate Order ID (less complete row)",IF(U379=1,"Missing Customer ID",IF(V379=1,"Missing Restaurant name",IF(W379=1,"Invalid/outlier quantity",IF(X379=1,"Invalid/outlier unit price",IF(Y379=1,"Discount greater than order value",""))))))))</f>
        <v/>
      </c>
      <c r="AC379" s="7" t="str">
        <f aca="false">IF(AB379="","KEEP","DROP")</f>
        <v>KEEP</v>
      </c>
      <c r="AD379" s="7" t="str">
        <f aca="false">IF(TRIM(F379)="",IFERROR(INDEX(Map_Tables!$I$4:$I$37,MATCH(TRIM(E379),Map_Tables!$G$4:$G$37,0)),""),IFERROR(INDEX(Map_Tables!$B$4:$B$18,MATCH(TRIM(F379),Map_Tables!$A$4:$A$18,0)),"CHECK"))</f>
        <v>Pune</v>
      </c>
      <c r="AE379" s="7" t="str">
        <f aca="false">IF(TRIM(E379)="","",IFERROR(INDEX(Map_Tables!$H$4:$H$37,MATCH(TRIM(E379),Map_Tables!$G$4:$G$37,0)),"CHECK"))</f>
        <v>Cake Walk</v>
      </c>
      <c r="AF379" s="7" t="str">
        <f aca="false">IF(TRIM(K379)="","Unknown",IFERROR(INDEX(Map_Tables!$E$4:$E$15,MATCH(TRIM(K379),Map_Tables!$D$4:$D$15,0)),"CHECK"))</f>
        <v>UPI</v>
      </c>
      <c r="AG379" s="7" t="str">
        <f aca="false">IF(LEFT(LOWER(TRIM(L379)),6)="cancel","Cancelled","Delivered")</f>
        <v>Delivered</v>
      </c>
      <c r="AH379" s="10" t="n">
        <f aca="false">IF(ISNUMBER(SEARCH("/",B379)),DATE(VALUE(RIGHT(B379,4)),VALUE(MID(B379,4,2)),VALUE(LEFT(B379,2))),IF(MID(B379,5,1)="-",DATE(VALUE(LEFT(B379,4)),VALUE(MID(B379,6,2)),VALUE(RIGHT(B379,2))),DATE(VALUE(RIGHT(B379,4)),MATCH(MID(B379,4,3),{"Jan","Feb","Mar","Apr","May","Jun","Jul","Aug","Sep","Oct","Nov","Dec"},0),VALUE(LEFT(B379,2)))))</f>
        <v>45973</v>
      </c>
    </row>
    <row r="380" customFormat="false" ht="15" hidden="false" customHeight="false" outlineLevel="0" collapsed="false">
      <c r="A380" s="7" t="s">
        <v>1511</v>
      </c>
      <c r="B380" s="7" t="s">
        <v>1512</v>
      </c>
      <c r="C380" s="7" t="s">
        <v>529</v>
      </c>
      <c r="D380" s="7" t="s">
        <v>1513</v>
      </c>
      <c r="E380" s="7" t="s">
        <v>1514</v>
      </c>
      <c r="F380" s="7" t="s">
        <v>110</v>
      </c>
      <c r="G380" s="7" t="s">
        <v>105</v>
      </c>
      <c r="H380" s="7" t="n">
        <v>2</v>
      </c>
      <c r="I380" s="7" t="n">
        <v>170</v>
      </c>
      <c r="J380" s="7" t="n">
        <v>0</v>
      </c>
      <c r="K380" s="7" t="s">
        <v>121</v>
      </c>
      <c r="L380" s="7" t="s">
        <v>194</v>
      </c>
      <c r="M380" s="7" t="n">
        <v>39</v>
      </c>
      <c r="N380" s="7" t="n">
        <v>4</v>
      </c>
      <c r="O380" s="7" t="str">
        <f aca="false">A380&amp;"|"&amp;B380&amp;"|"&amp;C380&amp;"|"&amp;D380&amp;"|"&amp;E380&amp;"|"&amp;F380&amp;"|"&amp;G380&amp;"|"&amp;H380&amp;"|"&amp;I380&amp;"|"&amp;J380&amp;"|"&amp;K380&amp;"|"&amp;L380&amp;"|"&amp;M380&amp;"|"&amp;N380</f>
        <v>ORD12769|2025-12-04|18:36|C1027|MOMO MAGIC|Delhi|Chinese|2|170|0|Wallet|Delivered|39|4</v>
      </c>
      <c r="P380" s="7" t="str">
        <f aca="false">IF(COUNTIF($O$2:O380,O380)&gt;1,"DUP","OK")</f>
        <v>OK</v>
      </c>
      <c r="Q380" s="7" t="n">
        <f aca="false">COUNTBLANK(A380:N380)</f>
        <v>0</v>
      </c>
      <c r="R380" s="7" t="n">
        <f aca="false">IF(A380="",0,COUNTIFS($A$2:$A$3058,A380,$P$2:$P$3058,"OK"))</f>
        <v>1</v>
      </c>
      <c r="S380" s="7" t="str">
        <f aca="false">IF(OR(A380="",P380="DUP",R380&lt;2),"",IF(Q380=_xlfn.MINIFS($Q$2:$Q$3058,$A$2:$A$3058,A380,$P$2:$P$3058,"OK"),"KEEP","DROP"))</f>
        <v/>
      </c>
      <c r="T380" s="9" t="n">
        <f aca="false">IF(A380="",1,0)</f>
        <v>0</v>
      </c>
      <c r="U380" s="9" t="n">
        <f aca="false">IF(D380="",1,0)</f>
        <v>0</v>
      </c>
      <c r="V380" s="9" t="n">
        <f aca="false">IF(E380="",1,0)</f>
        <v>0</v>
      </c>
      <c r="W380" s="9" t="n">
        <f aca="false">IF(OR(H380&lt;1,H380&gt;10),1,0)</f>
        <v>0</v>
      </c>
      <c r="X380" s="9" t="n">
        <f aca="false">IF(OR(I380&lt;=0,I380&gt;1500),1,0)</f>
        <v>0</v>
      </c>
      <c r="Y380" s="9" t="n">
        <f aca="false">IF(J380&gt;H380*I380,1,0)</f>
        <v>0</v>
      </c>
      <c r="Z380" s="9" t="n">
        <f aca="false">IF(AND(N380&lt;&gt;"",OR(N380&lt;1,N380&gt;5)),1,0)</f>
        <v>0</v>
      </c>
      <c r="AA380" s="9" t="n">
        <f aca="false">IF(AND(M380&lt;&gt;"",OR(M380&lt;5,M380&gt;180)),1,0)</f>
        <v>0</v>
      </c>
      <c r="AB380" s="7" t="str">
        <f aca="false">IF(P380="DUP","Exact duplicate row",IF(T380=1,"Missing Order ID",IF(S380="DROP","Duplicate Order ID (less complete row)",IF(U380=1,"Missing Customer ID",IF(V380=1,"Missing Restaurant name",IF(W380=1,"Invalid/outlier quantity",IF(X380=1,"Invalid/outlier unit price",IF(Y380=1,"Discount greater than order value",""))))))))</f>
        <v/>
      </c>
      <c r="AC380" s="7" t="str">
        <f aca="false">IF(AB380="","KEEP","DROP")</f>
        <v>KEEP</v>
      </c>
      <c r="AD380" s="7" t="str">
        <f aca="false">IF(TRIM(F380)="",IFERROR(INDEX(Map_Tables!$I$4:$I$37,MATCH(TRIM(E380),Map_Tables!$G$4:$G$37,0)),""),IFERROR(INDEX(Map_Tables!$B$4:$B$18,MATCH(TRIM(F380),Map_Tables!$A$4:$A$18,0)),"CHECK"))</f>
        <v>Delhi</v>
      </c>
      <c r="AE380" s="7" t="str">
        <f aca="false">IF(TRIM(E380)="","",IFERROR(INDEX(Map_Tables!$H$4:$H$37,MATCH(TRIM(E380),Map_Tables!$G$4:$G$37,0)),"CHECK"))</f>
        <v>Momo Magic</v>
      </c>
      <c r="AF380" s="7" t="str">
        <f aca="false">IF(TRIM(K380)="","Unknown",IFERROR(INDEX(Map_Tables!$E$4:$E$15,MATCH(TRIM(K380),Map_Tables!$D$4:$D$15,0)),"CHECK"))</f>
        <v>Wallet</v>
      </c>
      <c r="AG380" s="7" t="str">
        <f aca="false">IF(LEFT(LOWER(TRIM(L380)),6)="cancel","Cancelled","Delivered")</f>
        <v>Delivered</v>
      </c>
      <c r="AH380" s="10" t="n">
        <f aca="false">IF(ISNUMBER(SEARCH("/",B380)),DATE(VALUE(RIGHT(B380,4)),VALUE(MID(B380,4,2)),VALUE(LEFT(B380,2))),IF(MID(B380,5,1)="-",DATE(VALUE(LEFT(B380,4)),VALUE(MID(B380,6,2)),VALUE(RIGHT(B380,2))),DATE(VALUE(RIGHT(B380,4)),MATCH(MID(B380,4,3),{"Jan","Feb","Mar","Apr","May","Jun","Jul","Aug","Sep","Oct","Nov","Dec"},0),VALUE(LEFT(B380,2)))))</f>
        <v>45995</v>
      </c>
    </row>
    <row r="381" customFormat="false" ht="15" hidden="false" customHeight="false" outlineLevel="0" collapsed="false">
      <c r="A381" s="7" t="s">
        <v>1515</v>
      </c>
      <c r="B381" s="7" t="s">
        <v>1516</v>
      </c>
      <c r="C381" s="7" t="s">
        <v>1517</v>
      </c>
      <c r="D381" s="7" t="s">
        <v>1518</v>
      </c>
      <c r="E381" s="7" t="s">
        <v>104</v>
      </c>
      <c r="F381" s="7" t="s">
        <v>86</v>
      </c>
      <c r="G381" s="7" t="s">
        <v>105</v>
      </c>
      <c r="H381" s="7" t="n">
        <v>2</v>
      </c>
      <c r="I381" s="7" t="n">
        <v>175</v>
      </c>
      <c r="J381" s="7" t="n">
        <v>140</v>
      </c>
      <c r="K381" s="7" t="s">
        <v>88</v>
      </c>
      <c r="L381" s="7" t="s">
        <v>194</v>
      </c>
      <c r="M381" s="7" t="n">
        <v>47</v>
      </c>
      <c r="N381" s="7" t="n">
        <v>5</v>
      </c>
      <c r="O381" s="7" t="str">
        <f aca="false">A381&amp;"|"&amp;B381&amp;"|"&amp;C381&amp;"|"&amp;D381&amp;"|"&amp;E381&amp;"|"&amp;F381&amp;"|"&amp;G381&amp;"|"&amp;H381&amp;"|"&amp;I381&amp;"|"&amp;J381&amp;"|"&amp;K381&amp;"|"&amp;L381&amp;"|"&amp;M381&amp;"|"&amp;N381</f>
        <v>ORD11630|2025-07-31|22:43|C0711|Wok &amp; Roll|Bengaluru|Chinese|2|175|140|UPI|Delivered|47|5</v>
      </c>
      <c r="P381" s="7" t="str">
        <f aca="false">IF(COUNTIF($O$2:O381,O381)&gt;1,"DUP","OK")</f>
        <v>OK</v>
      </c>
      <c r="Q381" s="7" t="n">
        <f aca="false">COUNTBLANK(A381:N381)</f>
        <v>0</v>
      </c>
      <c r="R381" s="7" t="n">
        <f aca="false">IF(A381="",0,COUNTIFS($A$2:$A$3058,A381,$P$2:$P$3058,"OK"))</f>
        <v>1</v>
      </c>
      <c r="S381" s="7" t="str">
        <f aca="false">IF(OR(A381="",P381="DUP",R381&lt;2),"",IF(Q381=_xlfn.MINIFS($Q$2:$Q$3058,$A$2:$A$3058,A381,$P$2:$P$3058,"OK"),"KEEP","DROP"))</f>
        <v/>
      </c>
      <c r="T381" s="9" t="n">
        <f aca="false">IF(A381="",1,0)</f>
        <v>0</v>
      </c>
      <c r="U381" s="9" t="n">
        <f aca="false">IF(D381="",1,0)</f>
        <v>0</v>
      </c>
      <c r="V381" s="9" t="n">
        <f aca="false">IF(E381="",1,0)</f>
        <v>0</v>
      </c>
      <c r="W381" s="9" t="n">
        <f aca="false">IF(OR(H381&lt;1,H381&gt;10),1,0)</f>
        <v>0</v>
      </c>
      <c r="X381" s="9" t="n">
        <f aca="false">IF(OR(I381&lt;=0,I381&gt;1500),1,0)</f>
        <v>0</v>
      </c>
      <c r="Y381" s="9" t="n">
        <f aca="false">IF(J381&gt;H381*I381,1,0)</f>
        <v>0</v>
      </c>
      <c r="Z381" s="9" t="n">
        <f aca="false">IF(AND(N381&lt;&gt;"",OR(N381&lt;1,N381&gt;5)),1,0)</f>
        <v>0</v>
      </c>
      <c r="AA381" s="9" t="n">
        <f aca="false">IF(AND(M381&lt;&gt;"",OR(M381&lt;5,M381&gt;180)),1,0)</f>
        <v>0</v>
      </c>
      <c r="AB381" s="7" t="str">
        <f aca="false">IF(P381="DUP","Exact duplicate row",IF(T381=1,"Missing Order ID",IF(S381="DROP","Duplicate Order ID (less complete row)",IF(U381=1,"Missing Customer ID",IF(V381=1,"Missing Restaurant name",IF(W381=1,"Invalid/outlier quantity",IF(X381=1,"Invalid/outlier unit price",IF(Y381=1,"Discount greater than order value",""))))))))</f>
        <v/>
      </c>
      <c r="AC381" s="7" t="str">
        <f aca="false">IF(AB381="","KEEP","DROP")</f>
        <v>KEEP</v>
      </c>
      <c r="AD381" s="7" t="str">
        <f aca="false">IF(TRIM(F381)="",IFERROR(INDEX(Map_Tables!$I$4:$I$37,MATCH(TRIM(E381),Map_Tables!$G$4:$G$37,0)),""),IFERROR(INDEX(Map_Tables!$B$4:$B$18,MATCH(TRIM(F381),Map_Tables!$A$4:$A$18,0)),"CHECK"))</f>
        <v>Bengaluru</v>
      </c>
      <c r="AE381" s="7" t="str">
        <f aca="false">IF(TRIM(E381)="","",IFERROR(INDEX(Map_Tables!$H$4:$H$37,MATCH(TRIM(E381),Map_Tables!$G$4:$G$37,0)),"CHECK"))</f>
        <v>Wok &amp; Roll</v>
      </c>
      <c r="AF381" s="7" t="str">
        <f aca="false">IF(TRIM(K381)="","Unknown",IFERROR(INDEX(Map_Tables!$E$4:$E$15,MATCH(TRIM(K381),Map_Tables!$D$4:$D$15,0)),"CHECK"))</f>
        <v>UPI</v>
      </c>
      <c r="AG381" s="7" t="str">
        <f aca="false">IF(LEFT(LOWER(TRIM(L381)),6)="cancel","Cancelled","Delivered")</f>
        <v>Delivered</v>
      </c>
      <c r="AH381" s="10" t="n">
        <f aca="false">IF(ISNUMBER(SEARCH("/",B381)),DATE(VALUE(RIGHT(B381,4)),VALUE(MID(B381,4,2)),VALUE(LEFT(B381,2))),IF(MID(B381,5,1)="-",DATE(VALUE(LEFT(B381,4)),VALUE(MID(B381,6,2)),VALUE(RIGHT(B381,2))),DATE(VALUE(RIGHT(B381,4)),MATCH(MID(B381,4,3),{"Jan","Feb","Mar","Apr","May","Jun","Jul","Aug","Sep","Oct","Nov","Dec"},0),VALUE(LEFT(B381,2)))))</f>
        <v>45869</v>
      </c>
    </row>
    <row r="382" customFormat="false" ht="15" hidden="false" customHeight="false" outlineLevel="0" collapsed="false">
      <c r="A382" s="7" t="s">
        <v>1519</v>
      </c>
      <c r="B382" s="7" t="s">
        <v>1324</v>
      </c>
      <c r="C382" s="7" t="s">
        <v>1520</v>
      </c>
      <c r="D382" s="7" t="s">
        <v>1521</v>
      </c>
      <c r="E382" s="7" t="s">
        <v>151</v>
      </c>
      <c r="F382" s="7" t="s">
        <v>128</v>
      </c>
      <c r="G382" s="7" t="s">
        <v>95</v>
      </c>
      <c r="H382" s="7" t="n">
        <v>1</v>
      </c>
      <c r="I382" s="7" t="n">
        <v>195</v>
      </c>
      <c r="J382" s="7" t="n">
        <v>30</v>
      </c>
      <c r="K382" s="7" t="s">
        <v>88</v>
      </c>
      <c r="L382" s="7" t="s">
        <v>194</v>
      </c>
      <c r="M382" s="7" t="n">
        <v>33</v>
      </c>
      <c r="N382" s="7" t="n">
        <v>5</v>
      </c>
      <c r="O382" s="7" t="str">
        <f aca="false">A382&amp;"|"&amp;B382&amp;"|"&amp;C382&amp;"|"&amp;D382&amp;"|"&amp;E382&amp;"|"&amp;F382&amp;"|"&amp;G382&amp;"|"&amp;H382&amp;"|"&amp;I382&amp;"|"&amp;J382&amp;"|"&amp;K382&amp;"|"&amp;L382&amp;"|"&amp;M382&amp;"|"&amp;N382</f>
        <v>ORD10771|2025-04-08|12:11|C0475|Chettinad House|Chennai|South Indian|1|195|30|UPI|Delivered|33|5</v>
      </c>
      <c r="P382" s="7" t="str">
        <f aca="false">IF(COUNTIF($O$2:O382,O382)&gt;1,"DUP","OK")</f>
        <v>OK</v>
      </c>
      <c r="Q382" s="7" t="n">
        <f aca="false">COUNTBLANK(A382:N382)</f>
        <v>0</v>
      </c>
      <c r="R382" s="7" t="n">
        <f aca="false">IF(A382="",0,COUNTIFS($A$2:$A$3058,A382,$P$2:$P$3058,"OK"))</f>
        <v>1</v>
      </c>
      <c r="S382" s="7" t="str">
        <f aca="false">IF(OR(A382="",P382="DUP",R382&lt;2),"",IF(Q382=_xlfn.MINIFS($Q$2:$Q$3058,$A$2:$A$3058,A382,$P$2:$P$3058,"OK"),"KEEP","DROP"))</f>
        <v/>
      </c>
      <c r="T382" s="9" t="n">
        <f aca="false">IF(A382="",1,0)</f>
        <v>0</v>
      </c>
      <c r="U382" s="9" t="n">
        <f aca="false">IF(D382="",1,0)</f>
        <v>0</v>
      </c>
      <c r="V382" s="9" t="n">
        <f aca="false">IF(E382="",1,0)</f>
        <v>0</v>
      </c>
      <c r="W382" s="9" t="n">
        <f aca="false">IF(OR(H382&lt;1,H382&gt;10),1,0)</f>
        <v>0</v>
      </c>
      <c r="X382" s="9" t="n">
        <f aca="false">IF(OR(I382&lt;=0,I382&gt;1500),1,0)</f>
        <v>0</v>
      </c>
      <c r="Y382" s="9" t="n">
        <f aca="false">IF(J382&gt;H382*I382,1,0)</f>
        <v>0</v>
      </c>
      <c r="Z382" s="9" t="n">
        <f aca="false">IF(AND(N382&lt;&gt;"",OR(N382&lt;1,N382&gt;5)),1,0)</f>
        <v>0</v>
      </c>
      <c r="AA382" s="9" t="n">
        <f aca="false">IF(AND(M382&lt;&gt;"",OR(M382&lt;5,M382&gt;180)),1,0)</f>
        <v>0</v>
      </c>
      <c r="AB382" s="7" t="str">
        <f aca="false">IF(P382="DUP","Exact duplicate row",IF(T382=1,"Missing Order ID",IF(S382="DROP","Duplicate Order ID (less complete row)",IF(U382=1,"Missing Customer ID",IF(V382=1,"Missing Restaurant name",IF(W382=1,"Invalid/outlier quantity",IF(X382=1,"Invalid/outlier unit price",IF(Y382=1,"Discount greater than order value",""))))))))</f>
        <v/>
      </c>
      <c r="AC382" s="7" t="str">
        <f aca="false">IF(AB382="","KEEP","DROP")</f>
        <v>KEEP</v>
      </c>
      <c r="AD382" s="7" t="str">
        <f aca="false">IF(TRIM(F382)="",IFERROR(INDEX(Map_Tables!$I$4:$I$37,MATCH(TRIM(E382),Map_Tables!$G$4:$G$37,0)),""),IFERROR(INDEX(Map_Tables!$B$4:$B$18,MATCH(TRIM(F382),Map_Tables!$A$4:$A$18,0)),"CHECK"))</f>
        <v>Chennai</v>
      </c>
      <c r="AE382" s="7" t="str">
        <f aca="false">IF(TRIM(E382)="","",IFERROR(INDEX(Map_Tables!$H$4:$H$37,MATCH(TRIM(E382),Map_Tables!$G$4:$G$37,0)),"CHECK"))</f>
        <v>Chettinad House</v>
      </c>
      <c r="AF382" s="7" t="str">
        <f aca="false">IF(TRIM(K382)="","Unknown",IFERROR(INDEX(Map_Tables!$E$4:$E$15,MATCH(TRIM(K382),Map_Tables!$D$4:$D$15,0)),"CHECK"))</f>
        <v>UPI</v>
      </c>
      <c r="AG382" s="7" t="str">
        <f aca="false">IF(LEFT(LOWER(TRIM(L382)),6)="cancel","Cancelled","Delivered")</f>
        <v>Delivered</v>
      </c>
      <c r="AH382" s="10" t="n">
        <f aca="false">IF(ISNUMBER(SEARCH("/",B382)),DATE(VALUE(RIGHT(B382,4)),VALUE(MID(B382,4,2)),VALUE(LEFT(B382,2))),IF(MID(B382,5,1)="-",DATE(VALUE(LEFT(B382,4)),VALUE(MID(B382,6,2)),VALUE(RIGHT(B382,2))),DATE(VALUE(RIGHT(B382,4)),MATCH(MID(B382,4,3),{"Jan","Feb","Mar","Apr","May","Jun","Jul","Aug","Sep","Oct","Nov","Dec"},0),VALUE(LEFT(B382,2)))))</f>
        <v>45755</v>
      </c>
    </row>
    <row r="383" customFormat="false" ht="15" hidden="false" customHeight="false" outlineLevel="0" collapsed="false">
      <c r="A383" s="7" t="s">
        <v>1522</v>
      </c>
      <c r="B383" s="7" t="s">
        <v>800</v>
      </c>
      <c r="C383" s="7" t="s">
        <v>1523</v>
      </c>
      <c r="D383" s="7" t="s">
        <v>1524</v>
      </c>
      <c r="E383" s="7" t="s">
        <v>168</v>
      </c>
      <c r="F383" s="7" t="s">
        <v>146</v>
      </c>
      <c r="G383" s="7" t="s">
        <v>123</v>
      </c>
      <c r="H383" s="7" t="n">
        <v>2</v>
      </c>
      <c r="I383" s="7" t="n">
        <v>310</v>
      </c>
      <c r="J383" s="7" t="n">
        <v>0</v>
      </c>
      <c r="K383" s="7" t="s">
        <v>88</v>
      </c>
      <c r="L383" s="7" t="s">
        <v>194</v>
      </c>
      <c r="M383" s="7" t="n">
        <v>24</v>
      </c>
      <c r="N383" s="7" t="n">
        <v>4</v>
      </c>
      <c r="O383" s="7" t="str">
        <f aca="false">A383&amp;"|"&amp;B383&amp;"|"&amp;C383&amp;"|"&amp;D383&amp;"|"&amp;E383&amp;"|"&amp;F383&amp;"|"&amp;G383&amp;"|"&amp;H383&amp;"|"&amp;I383&amp;"|"&amp;J383&amp;"|"&amp;K383&amp;"|"&amp;L383&amp;"|"&amp;M383&amp;"|"&amp;N383</f>
        <v>ORD11141|2025-05-24|23:36|C0770|Cheesy Slice|Ahmedabad|Pizza|2|310|0|UPI|Delivered|24|4</v>
      </c>
      <c r="P383" s="7" t="str">
        <f aca="false">IF(COUNTIF($O$2:O383,O383)&gt;1,"DUP","OK")</f>
        <v>OK</v>
      </c>
      <c r="Q383" s="7" t="n">
        <f aca="false">COUNTBLANK(A383:N383)</f>
        <v>0</v>
      </c>
      <c r="R383" s="7" t="n">
        <f aca="false">IF(A383="",0,COUNTIFS($A$2:$A$3058,A383,$P$2:$P$3058,"OK"))</f>
        <v>1</v>
      </c>
      <c r="S383" s="7" t="str">
        <f aca="false">IF(OR(A383="",P383="DUP",R383&lt;2),"",IF(Q383=_xlfn.MINIFS($Q$2:$Q$3058,$A$2:$A$3058,A383,$P$2:$P$3058,"OK"),"KEEP","DROP"))</f>
        <v/>
      </c>
      <c r="T383" s="9" t="n">
        <f aca="false">IF(A383="",1,0)</f>
        <v>0</v>
      </c>
      <c r="U383" s="9" t="n">
        <f aca="false">IF(D383="",1,0)</f>
        <v>0</v>
      </c>
      <c r="V383" s="9" t="n">
        <f aca="false">IF(E383="",1,0)</f>
        <v>0</v>
      </c>
      <c r="W383" s="9" t="n">
        <f aca="false">IF(OR(H383&lt;1,H383&gt;10),1,0)</f>
        <v>0</v>
      </c>
      <c r="X383" s="9" t="n">
        <f aca="false">IF(OR(I383&lt;=0,I383&gt;1500),1,0)</f>
        <v>0</v>
      </c>
      <c r="Y383" s="9" t="n">
        <f aca="false">IF(J383&gt;H383*I383,1,0)</f>
        <v>0</v>
      </c>
      <c r="Z383" s="9" t="n">
        <f aca="false">IF(AND(N383&lt;&gt;"",OR(N383&lt;1,N383&gt;5)),1,0)</f>
        <v>0</v>
      </c>
      <c r="AA383" s="9" t="n">
        <f aca="false">IF(AND(M383&lt;&gt;"",OR(M383&lt;5,M383&gt;180)),1,0)</f>
        <v>0</v>
      </c>
      <c r="AB383" s="7" t="str">
        <f aca="false">IF(P383="DUP","Exact duplicate row",IF(T383=1,"Missing Order ID",IF(S383="DROP","Duplicate Order ID (less complete row)",IF(U383=1,"Missing Customer ID",IF(V383=1,"Missing Restaurant name",IF(W383=1,"Invalid/outlier quantity",IF(X383=1,"Invalid/outlier unit price",IF(Y383=1,"Discount greater than order value",""))))))))</f>
        <v/>
      </c>
      <c r="AC383" s="7" t="str">
        <f aca="false">IF(AB383="","KEEP","DROP")</f>
        <v>KEEP</v>
      </c>
      <c r="AD383" s="7" t="str">
        <f aca="false">IF(TRIM(F383)="",IFERROR(INDEX(Map_Tables!$I$4:$I$37,MATCH(TRIM(E383),Map_Tables!$G$4:$G$37,0)),""),IFERROR(INDEX(Map_Tables!$B$4:$B$18,MATCH(TRIM(F383),Map_Tables!$A$4:$A$18,0)),"CHECK"))</f>
        <v>Ahmedabad</v>
      </c>
      <c r="AE383" s="7" t="str">
        <f aca="false">IF(TRIM(E383)="","",IFERROR(INDEX(Map_Tables!$H$4:$H$37,MATCH(TRIM(E383),Map_Tables!$G$4:$G$37,0)),"CHECK"))</f>
        <v>Cheesy Slice</v>
      </c>
      <c r="AF383" s="7" t="str">
        <f aca="false">IF(TRIM(K383)="","Unknown",IFERROR(INDEX(Map_Tables!$E$4:$E$15,MATCH(TRIM(K383),Map_Tables!$D$4:$D$15,0)),"CHECK"))</f>
        <v>UPI</v>
      </c>
      <c r="AG383" s="7" t="str">
        <f aca="false">IF(LEFT(LOWER(TRIM(L383)),6)="cancel","Cancelled","Delivered")</f>
        <v>Delivered</v>
      </c>
      <c r="AH383" s="10" t="n">
        <f aca="false">IF(ISNUMBER(SEARCH("/",B383)),DATE(VALUE(RIGHT(B383,4)),VALUE(MID(B383,4,2)),VALUE(LEFT(B383,2))),IF(MID(B383,5,1)="-",DATE(VALUE(LEFT(B383,4)),VALUE(MID(B383,6,2)),VALUE(RIGHT(B383,2))),DATE(VALUE(RIGHT(B383,4)),MATCH(MID(B383,4,3),{"Jan","Feb","Mar","Apr","May","Jun","Jul","Aug","Sep","Oct","Nov","Dec"},0),VALUE(LEFT(B383,2)))))</f>
        <v>45801</v>
      </c>
    </row>
    <row r="384" customFormat="false" ht="15" hidden="false" customHeight="false" outlineLevel="0" collapsed="false">
      <c r="A384" s="7" t="s">
        <v>1525</v>
      </c>
      <c r="B384" s="7" t="s">
        <v>368</v>
      </c>
      <c r="C384" s="7" t="s">
        <v>1526</v>
      </c>
      <c r="D384" s="7" t="s">
        <v>977</v>
      </c>
      <c r="E384" s="7" t="s">
        <v>144</v>
      </c>
      <c r="F384" s="7" t="s">
        <v>119</v>
      </c>
      <c r="G384" s="7" t="s">
        <v>99</v>
      </c>
      <c r="H384" s="7" t="n">
        <v>3</v>
      </c>
      <c r="I384" s="7" t="n">
        <v>330</v>
      </c>
      <c r="J384" s="7" t="n">
        <v>0</v>
      </c>
      <c r="K384" s="7" t="s">
        <v>121</v>
      </c>
      <c r="L384" s="7" t="s">
        <v>194</v>
      </c>
      <c r="M384" s="7" t="n">
        <v>33</v>
      </c>
      <c r="N384" s="7" t="n">
        <v>5</v>
      </c>
      <c r="O384" s="7" t="str">
        <f aca="false">A384&amp;"|"&amp;B384&amp;"|"&amp;C384&amp;"|"&amp;D384&amp;"|"&amp;E384&amp;"|"&amp;F384&amp;"|"&amp;G384&amp;"|"&amp;H384&amp;"|"&amp;I384&amp;"|"&amp;J384&amp;"|"&amp;K384&amp;"|"&amp;L384&amp;"|"&amp;M384&amp;"|"&amp;N384</f>
        <v>ORD10179|2025-01-24|13:26|C0720|Hyderabad Dum Biryani|Hyderabad|Biryani|3|330|0|Wallet|Delivered|33|5</v>
      </c>
      <c r="P384" s="7" t="str">
        <f aca="false">IF(COUNTIF($O$2:O384,O384)&gt;1,"DUP","OK")</f>
        <v>OK</v>
      </c>
      <c r="Q384" s="7" t="n">
        <f aca="false">COUNTBLANK(A384:N384)</f>
        <v>0</v>
      </c>
      <c r="R384" s="7" t="n">
        <f aca="false">IF(A384="",0,COUNTIFS($A$2:$A$3058,A384,$P$2:$P$3058,"OK"))</f>
        <v>1</v>
      </c>
      <c r="S384" s="7" t="str">
        <f aca="false">IF(OR(A384="",P384="DUP",R384&lt;2),"",IF(Q384=_xlfn.MINIFS($Q$2:$Q$3058,$A$2:$A$3058,A384,$P$2:$P$3058,"OK"),"KEEP","DROP"))</f>
        <v/>
      </c>
      <c r="T384" s="9" t="n">
        <f aca="false">IF(A384="",1,0)</f>
        <v>0</v>
      </c>
      <c r="U384" s="9" t="n">
        <f aca="false">IF(D384="",1,0)</f>
        <v>0</v>
      </c>
      <c r="V384" s="9" t="n">
        <f aca="false">IF(E384="",1,0)</f>
        <v>0</v>
      </c>
      <c r="W384" s="9" t="n">
        <f aca="false">IF(OR(H384&lt;1,H384&gt;10),1,0)</f>
        <v>0</v>
      </c>
      <c r="X384" s="9" t="n">
        <f aca="false">IF(OR(I384&lt;=0,I384&gt;1500),1,0)</f>
        <v>0</v>
      </c>
      <c r="Y384" s="9" t="n">
        <f aca="false">IF(J384&gt;H384*I384,1,0)</f>
        <v>0</v>
      </c>
      <c r="Z384" s="9" t="n">
        <f aca="false">IF(AND(N384&lt;&gt;"",OR(N384&lt;1,N384&gt;5)),1,0)</f>
        <v>0</v>
      </c>
      <c r="AA384" s="9" t="n">
        <f aca="false">IF(AND(M384&lt;&gt;"",OR(M384&lt;5,M384&gt;180)),1,0)</f>
        <v>0</v>
      </c>
      <c r="AB384" s="7" t="str">
        <f aca="false">IF(P384="DUP","Exact duplicate row",IF(T384=1,"Missing Order ID",IF(S384="DROP","Duplicate Order ID (less complete row)",IF(U384=1,"Missing Customer ID",IF(V384=1,"Missing Restaurant name",IF(W384=1,"Invalid/outlier quantity",IF(X384=1,"Invalid/outlier unit price",IF(Y384=1,"Discount greater than order value",""))))))))</f>
        <v/>
      </c>
      <c r="AC384" s="7" t="str">
        <f aca="false">IF(AB384="","KEEP","DROP")</f>
        <v>KEEP</v>
      </c>
      <c r="AD384" s="7" t="str">
        <f aca="false">IF(TRIM(F384)="",IFERROR(INDEX(Map_Tables!$I$4:$I$37,MATCH(TRIM(E384),Map_Tables!$G$4:$G$37,0)),""),IFERROR(INDEX(Map_Tables!$B$4:$B$18,MATCH(TRIM(F384),Map_Tables!$A$4:$A$18,0)),"CHECK"))</f>
        <v>Hyderabad</v>
      </c>
      <c r="AE384" s="7" t="str">
        <f aca="false">IF(TRIM(E384)="","",IFERROR(INDEX(Map_Tables!$H$4:$H$37,MATCH(TRIM(E384),Map_Tables!$G$4:$G$37,0)),"CHECK"))</f>
        <v>Hyderabad Dum Biryani</v>
      </c>
      <c r="AF384" s="7" t="str">
        <f aca="false">IF(TRIM(K384)="","Unknown",IFERROR(INDEX(Map_Tables!$E$4:$E$15,MATCH(TRIM(K384),Map_Tables!$D$4:$D$15,0)),"CHECK"))</f>
        <v>Wallet</v>
      </c>
      <c r="AG384" s="7" t="str">
        <f aca="false">IF(LEFT(LOWER(TRIM(L384)),6)="cancel","Cancelled","Delivered")</f>
        <v>Delivered</v>
      </c>
      <c r="AH384" s="10" t="n">
        <f aca="false">IF(ISNUMBER(SEARCH("/",B384)),DATE(VALUE(RIGHT(B384,4)),VALUE(MID(B384,4,2)),VALUE(LEFT(B384,2))),IF(MID(B384,5,1)="-",DATE(VALUE(LEFT(B384,4)),VALUE(MID(B384,6,2)),VALUE(RIGHT(B384,2))),DATE(VALUE(RIGHT(B384,4)),MATCH(MID(B384,4,3),{"Jan","Feb","Mar","Apr","May","Jun","Jul","Aug","Sep","Oct","Nov","Dec"},0),VALUE(LEFT(B384,2)))))</f>
        <v>45681</v>
      </c>
    </row>
    <row r="385" customFormat="false" ht="15" hidden="false" customHeight="false" outlineLevel="0" collapsed="false">
      <c r="A385" s="7" t="s">
        <v>1527</v>
      </c>
      <c r="B385" s="7" t="s">
        <v>1528</v>
      </c>
      <c r="C385" s="7" t="s">
        <v>1529</v>
      </c>
      <c r="D385" s="7" t="s">
        <v>1530</v>
      </c>
      <c r="E385" s="7" t="s">
        <v>142</v>
      </c>
      <c r="F385" s="7" t="s">
        <v>110</v>
      </c>
      <c r="G385" s="7" t="s">
        <v>105</v>
      </c>
      <c r="H385" s="7" t="n">
        <v>1</v>
      </c>
      <c r="I385" s="7" t="n">
        <v>155</v>
      </c>
      <c r="J385" s="7" t="n">
        <v>0</v>
      </c>
      <c r="K385" s="7" t="s">
        <v>112</v>
      </c>
      <c r="L385" s="7" t="s">
        <v>238</v>
      </c>
      <c r="M385" s="7"/>
      <c r="N385" s="7"/>
      <c r="O385" s="7" t="str">
        <f aca="false">A385&amp;"|"&amp;B385&amp;"|"&amp;C385&amp;"|"&amp;D385&amp;"|"&amp;E385&amp;"|"&amp;F385&amp;"|"&amp;G385&amp;"|"&amp;H385&amp;"|"&amp;I385&amp;"|"&amp;J385&amp;"|"&amp;K385&amp;"|"&amp;L385&amp;"|"&amp;M385&amp;"|"&amp;N385</f>
        <v>ORD12458|2025-11-05|12:45|C1370|Momo Magic|Delhi|Chinese|1|155|0|Cash on Delivery|Cancelled||</v>
      </c>
      <c r="P385" s="7" t="str">
        <f aca="false">IF(COUNTIF($O$2:O385,O385)&gt;1,"DUP","OK")</f>
        <v>OK</v>
      </c>
      <c r="Q385" s="7" t="n">
        <f aca="false">COUNTBLANK(A385:N385)</f>
        <v>2</v>
      </c>
      <c r="R385" s="7" t="n">
        <f aca="false">IF(A385="",0,COUNTIFS($A$2:$A$3058,A385,$P$2:$P$3058,"OK"))</f>
        <v>1</v>
      </c>
      <c r="S385" s="7" t="str">
        <f aca="false">IF(OR(A385="",P385="DUP",R385&lt;2),"",IF(Q385=_xlfn.MINIFS($Q$2:$Q$3058,$A$2:$A$3058,A385,$P$2:$P$3058,"OK"),"KEEP","DROP"))</f>
        <v/>
      </c>
      <c r="T385" s="9" t="n">
        <f aca="false">IF(A385="",1,0)</f>
        <v>0</v>
      </c>
      <c r="U385" s="9" t="n">
        <f aca="false">IF(D385="",1,0)</f>
        <v>0</v>
      </c>
      <c r="V385" s="9" t="n">
        <f aca="false">IF(E385="",1,0)</f>
        <v>0</v>
      </c>
      <c r="W385" s="9" t="n">
        <f aca="false">IF(OR(H385&lt;1,H385&gt;10),1,0)</f>
        <v>0</v>
      </c>
      <c r="X385" s="9" t="n">
        <f aca="false">IF(OR(I385&lt;=0,I385&gt;1500),1,0)</f>
        <v>0</v>
      </c>
      <c r="Y385" s="9" t="n">
        <f aca="false">IF(J385&gt;H385*I385,1,0)</f>
        <v>0</v>
      </c>
      <c r="Z385" s="9" t="n">
        <f aca="false">IF(AND(N385&lt;&gt;"",OR(N385&lt;1,N385&gt;5)),1,0)</f>
        <v>0</v>
      </c>
      <c r="AA385" s="9" t="n">
        <f aca="false">IF(AND(M385&lt;&gt;"",OR(M385&lt;5,M385&gt;180)),1,0)</f>
        <v>0</v>
      </c>
      <c r="AB385" s="7" t="str">
        <f aca="false">IF(P385="DUP","Exact duplicate row",IF(T385=1,"Missing Order ID",IF(S385="DROP","Duplicate Order ID (less complete row)",IF(U385=1,"Missing Customer ID",IF(V385=1,"Missing Restaurant name",IF(W385=1,"Invalid/outlier quantity",IF(X385=1,"Invalid/outlier unit price",IF(Y385=1,"Discount greater than order value",""))))))))</f>
        <v/>
      </c>
      <c r="AC385" s="7" t="str">
        <f aca="false">IF(AB385="","KEEP","DROP")</f>
        <v>KEEP</v>
      </c>
      <c r="AD385" s="7" t="str">
        <f aca="false">IF(TRIM(F385)="",IFERROR(INDEX(Map_Tables!$I$4:$I$37,MATCH(TRIM(E385),Map_Tables!$G$4:$G$37,0)),""),IFERROR(INDEX(Map_Tables!$B$4:$B$18,MATCH(TRIM(F385),Map_Tables!$A$4:$A$18,0)),"CHECK"))</f>
        <v>Delhi</v>
      </c>
      <c r="AE385" s="7" t="str">
        <f aca="false">IF(TRIM(E385)="","",IFERROR(INDEX(Map_Tables!$H$4:$H$37,MATCH(TRIM(E385),Map_Tables!$G$4:$G$37,0)),"CHECK"))</f>
        <v>Momo Magic</v>
      </c>
      <c r="AF385" s="7" t="str">
        <f aca="false">IF(TRIM(K385)="","Unknown",IFERROR(INDEX(Map_Tables!$E$4:$E$15,MATCH(TRIM(K385),Map_Tables!$D$4:$D$15,0)),"CHECK"))</f>
        <v>Cash on Delivery</v>
      </c>
      <c r="AG385" s="7" t="str">
        <f aca="false">IF(LEFT(LOWER(TRIM(L385)),6)="cancel","Cancelled","Delivered")</f>
        <v>Cancelled</v>
      </c>
      <c r="AH385" s="10" t="n">
        <f aca="false">IF(ISNUMBER(SEARCH("/",B385)),DATE(VALUE(RIGHT(B385,4)),VALUE(MID(B385,4,2)),VALUE(LEFT(B385,2))),IF(MID(B385,5,1)="-",DATE(VALUE(LEFT(B385,4)),VALUE(MID(B385,6,2)),VALUE(RIGHT(B385,2))),DATE(VALUE(RIGHT(B385,4)),MATCH(MID(B385,4,3),{"Jan","Feb","Mar","Apr","May","Jun","Jul","Aug","Sep","Oct","Nov","Dec"},0),VALUE(LEFT(B385,2)))))</f>
        <v>45966</v>
      </c>
    </row>
    <row r="386" customFormat="false" ht="15" hidden="false" customHeight="false" outlineLevel="0" collapsed="false">
      <c r="A386" s="7" t="s">
        <v>1531</v>
      </c>
      <c r="B386" s="7" t="s">
        <v>1532</v>
      </c>
      <c r="C386" s="7" t="s">
        <v>1423</v>
      </c>
      <c r="D386" s="7" t="s">
        <v>1533</v>
      </c>
      <c r="E386" s="7" t="s">
        <v>89</v>
      </c>
      <c r="F386" s="7" t="s">
        <v>86</v>
      </c>
      <c r="G386" s="7" t="s">
        <v>90</v>
      </c>
      <c r="H386" s="7" t="n">
        <v>1</v>
      </c>
      <c r="I386" s="7" t="n">
        <v>200</v>
      </c>
      <c r="J386" s="7" t="n">
        <v>30</v>
      </c>
      <c r="K386" s="7" t="s">
        <v>87</v>
      </c>
      <c r="L386" s="7" t="s">
        <v>194</v>
      </c>
      <c r="M386" s="7" t="n">
        <v>42</v>
      </c>
      <c r="N386" s="7"/>
      <c r="O386" s="7" t="str">
        <f aca="false">A386&amp;"|"&amp;B386&amp;"|"&amp;C386&amp;"|"&amp;D386&amp;"|"&amp;E386&amp;"|"&amp;F386&amp;"|"&amp;G386&amp;"|"&amp;H386&amp;"|"&amp;I386&amp;"|"&amp;J386&amp;"|"&amp;K386&amp;"|"&amp;L386&amp;"|"&amp;M386&amp;"|"&amp;N386</f>
        <v>ORD10880|2025-04-21|18:57|C0968|Spice Junction|Bengaluru|North Indian|1|200|30|upi|Delivered|42|</v>
      </c>
      <c r="P386" s="7" t="str">
        <f aca="false">IF(COUNTIF($O$2:O386,O386)&gt;1,"DUP","OK")</f>
        <v>OK</v>
      </c>
      <c r="Q386" s="7" t="n">
        <f aca="false">COUNTBLANK(A386:N386)</f>
        <v>1</v>
      </c>
      <c r="R386" s="7" t="n">
        <f aca="false">IF(A386="",0,COUNTIFS($A$2:$A$3058,A386,$P$2:$P$3058,"OK"))</f>
        <v>1</v>
      </c>
      <c r="S386" s="7" t="str">
        <f aca="false">IF(OR(A386="",P386="DUP",R386&lt;2),"",IF(Q386=_xlfn.MINIFS($Q$2:$Q$3058,$A$2:$A$3058,A386,$P$2:$P$3058,"OK"),"KEEP","DROP"))</f>
        <v/>
      </c>
      <c r="T386" s="9" t="n">
        <f aca="false">IF(A386="",1,0)</f>
        <v>0</v>
      </c>
      <c r="U386" s="9" t="n">
        <f aca="false">IF(D386="",1,0)</f>
        <v>0</v>
      </c>
      <c r="V386" s="9" t="n">
        <f aca="false">IF(E386="",1,0)</f>
        <v>0</v>
      </c>
      <c r="W386" s="9" t="n">
        <f aca="false">IF(OR(H386&lt;1,H386&gt;10),1,0)</f>
        <v>0</v>
      </c>
      <c r="X386" s="9" t="n">
        <f aca="false">IF(OR(I386&lt;=0,I386&gt;1500),1,0)</f>
        <v>0</v>
      </c>
      <c r="Y386" s="9" t="n">
        <f aca="false">IF(J386&gt;H386*I386,1,0)</f>
        <v>0</v>
      </c>
      <c r="Z386" s="9" t="n">
        <f aca="false">IF(AND(N386&lt;&gt;"",OR(N386&lt;1,N386&gt;5)),1,0)</f>
        <v>0</v>
      </c>
      <c r="AA386" s="9" t="n">
        <f aca="false">IF(AND(M386&lt;&gt;"",OR(M386&lt;5,M386&gt;180)),1,0)</f>
        <v>0</v>
      </c>
      <c r="AB386" s="7" t="str">
        <f aca="false">IF(P386="DUP","Exact duplicate row",IF(T386=1,"Missing Order ID",IF(S386="DROP","Duplicate Order ID (less complete row)",IF(U386=1,"Missing Customer ID",IF(V386=1,"Missing Restaurant name",IF(W386=1,"Invalid/outlier quantity",IF(X386=1,"Invalid/outlier unit price",IF(Y386=1,"Discount greater than order value",""))))))))</f>
        <v/>
      </c>
      <c r="AC386" s="7" t="str">
        <f aca="false">IF(AB386="","KEEP","DROP")</f>
        <v>KEEP</v>
      </c>
      <c r="AD386" s="7" t="str">
        <f aca="false">IF(TRIM(F386)="",IFERROR(INDEX(Map_Tables!$I$4:$I$37,MATCH(TRIM(E386),Map_Tables!$G$4:$G$37,0)),""),IFERROR(INDEX(Map_Tables!$B$4:$B$18,MATCH(TRIM(F386),Map_Tables!$A$4:$A$18,0)),"CHECK"))</f>
        <v>Bengaluru</v>
      </c>
      <c r="AE386" s="7" t="str">
        <f aca="false">IF(TRIM(E386)="","",IFERROR(INDEX(Map_Tables!$H$4:$H$37,MATCH(TRIM(E386),Map_Tables!$G$4:$G$37,0)),"CHECK"))</f>
        <v>Spice Junction</v>
      </c>
      <c r="AF386" s="7" t="str">
        <f aca="false">IF(TRIM(K386)="","Unknown",IFERROR(INDEX(Map_Tables!$E$4:$E$15,MATCH(TRIM(K386),Map_Tables!$D$4:$D$15,0)),"CHECK"))</f>
        <v>UPI</v>
      </c>
      <c r="AG386" s="7" t="str">
        <f aca="false">IF(LEFT(LOWER(TRIM(L386)),6)="cancel","Cancelled","Delivered")</f>
        <v>Delivered</v>
      </c>
      <c r="AH386" s="10" t="n">
        <f aca="false">IF(ISNUMBER(SEARCH("/",B386)),DATE(VALUE(RIGHT(B386,4)),VALUE(MID(B386,4,2)),VALUE(LEFT(B386,2))),IF(MID(B386,5,1)="-",DATE(VALUE(LEFT(B386,4)),VALUE(MID(B386,6,2)),VALUE(RIGHT(B386,2))),DATE(VALUE(RIGHT(B386,4)),MATCH(MID(B386,4,3),{"Jan","Feb","Mar","Apr","May","Jun","Jul","Aug","Sep","Oct","Nov","Dec"},0),VALUE(LEFT(B386,2)))))</f>
        <v>45768</v>
      </c>
    </row>
    <row r="387" customFormat="false" ht="15" hidden="false" customHeight="false" outlineLevel="0" collapsed="false">
      <c r="A387" s="7" t="s">
        <v>1534</v>
      </c>
      <c r="B387" s="7" t="s">
        <v>1535</v>
      </c>
      <c r="C387" s="7" t="s">
        <v>870</v>
      </c>
      <c r="D387" s="7" t="s">
        <v>1536</v>
      </c>
      <c r="E387" s="7" t="s">
        <v>130</v>
      </c>
      <c r="F387" s="7" t="s">
        <v>110</v>
      </c>
      <c r="G387" s="7" t="s">
        <v>90</v>
      </c>
      <c r="H387" s="7" t="n">
        <v>4</v>
      </c>
      <c r="I387" s="7" t="n">
        <v>250</v>
      </c>
      <c r="J387" s="7" t="n">
        <v>0</v>
      </c>
      <c r="K387" s="7" t="s">
        <v>93</v>
      </c>
      <c r="L387" s="7" t="s">
        <v>194</v>
      </c>
      <c r="M387" s="7" t="n">
        <v>53</v>
      </c>
      <c r="N387" s="7" t="n">
        <v>4</v>
      </c>
      <c r="O387" s="7" t="str">
        <f aca="false">A387&amp;"|"&amp;B387&amp;"|"&amp;C387&amp;"|"&amp;D387&amp;"|"&amp;E387&amp;"|"&amp;F387&amp;"|"&amp;G387&amp;"|"&amp;H387&amp;"|"&amp;I387&amp;"|"&amp;J387&amp;"|"&amp;K387&amp;"|"&amp;L387&amp;"|"&amp;M387&amp;"|"&amp;N387</f>
        <v>ORD12024|2025-09-18|22:14|C1132|Tandoor Tales|Delhi|North Indian|4|250|0|Credit Card|Delivered|53|4</v>
      </c>
      <c r="P387" s="7" t="str">
        <f aca="false">IF(COUNTIF($O$2:O387,O387)&gt;1,"DUP","OK")</f>
        <v>OK</v>
      </c>
      <c r="Q387" s="7" t="n">
        <f aca="false">COUNTBLANK(A387:N387)</f>
        <v>0</v>
      </c>
      <c r="R387" s="7" t="n">
        <f aca="false">IF(A387="",0,COUNTIFS($A$2:$A$3058,A387,$P$2:$P$3058,"OK"))</f>
        <v>1</v>
      </c>
      <c r="S387" s="7" t="str">
        <f aca="false">IF(OR(A387="",P387="DUP",R387&lt;2),"",IF(Q387=_xlfn.MINIFS($Q$2:$Q$3058,$A$2:$A$3058,A387,$P$2:$P$3058,"OK"),"KEEP","DROP"))</f>
        <v/>
      </c>
      <c r="T387" s="9" t="n">
        <f aca="false">IF(A387="",1,0)</f>
        <v>0</v>
      </c>
      <c r="U387" s="9" t="n">
        <f aca="false">IF(D387="",1,0)</f>
        <v>0</v>
      </c>
      <c r="V387" s="9" t="n">
        <f aca="false">IF(E387="",1,0)</f>
        <v>0</v>
      </c>
      <c r="W387" s="9" t="n">
        <f aca="false">IF(OR(H387&lt;1,H387&gt;10),1,0)</f>
        <v>0</v>
      </c>
      <c r="X387" s="9" t="n">
        <f aca="false">IF(OR(I387&lt;=0,I387&gt;1500),1,0)</f>
        <v>0</v>
      </c>
      <c r="Y387" s="9" t="n">
        <f aca="false">IF(J387&gt;H387*I387,1,0)</f>
        <v>0</v>
      </c>
      <c r="Z387" s="9" t="n">
        <f aca="false">IF(AND(N387&lt;&gt;"",OR(N387&lt;1,N387&gt;5)),1,0)</f>
        <v>0</v>
      </c>
      <c r="AA387" s="9" t="n">
        <f aca="false">IF(AND(M387&lt;&gt;"",OR(M387&lt;5,M387&gt;180)),1,0)</f>
        <v>0</v>
      </c>
      <c r="AB387" s="7" t="str">
        <f aca="false">IF(P387="DUP","Exact duplicate row",IF(T387=1,"Missing Order ID",IF(S387="DROP","Duplicate Order ID (less complete row)",IF(U387=1,"Missing Customer ID",IF(V387=1,"Missing Restaurant name",IF(W387=1,"Invalid/outlier quantity",IF(X387=1,"Invalid/outlier unit price",IF(Y387=1,"Discount greater than order value",""))))))))</f>
        <v/>
      </c>
      <c r="AC387" s="7" t="str">
        <f aca="false">IF(AB387="","KEEP","DROP")</f>
        <v>KEEP</v>
      </c>
      <c r="AD387" s="7" t="str">
        <f aca="false">IF(TRIM(F387)="",IFERROR(INDEX(Map_Tables!$I$4:$I$37,MATCH(TRIM(E387),Map_Tables!$G$4:$G$37,0)),""),IFERROR(INDEX(Map_Tables!$B$4:$B$18,MATCH(TRIM(F387),Map_Tables!$A$4:$A$18,0)),"CHECK"))</f>
        <v>Delhi</v>
      </c>
      <c r="AE387" s="7" t="str">
        <f aca="false">IF(TRIM(E387)="","",IFERROR(INDEX(Map_Tables!$H$4:$H$37,MATCH(TRIM(E387),Map_Tables!$G$4:$G$37,0)),"CHECK"))</f>
        <v>Tandoor Tales</v>
      </c>
      <c r="AF387" s="7" t="str">
        <f aca="false">IF(TRIM(K387)="","Unknown",IFERROR(INDEX(Map_Tables!$E$4:$E$15,MATCH(TRIM(K387),Map_Tables!$D$4:$D$15,0)),"CHECK"))</f>
        <v>Credit Card</v>
      </c>
      <c r="AG387" s="7" t="str">
        <f aca="false">IF(LEFT(LOWER(TRIM(L387)),6)="cancel","Cancelled","Delivered")</f>
        <v>Delivered</v>
      </c>
      <c r="AH387" s="10" t="n">
        <f aca="false">IF(ISNUMBER(SEARCH("/",B387)),DATE(VALUE(RIGHT(B387,4)),VALUE(MID(B387,4,2)),VALUE(LEFT(B387,2))),IF(MID(B387,5,1)="-",DATE(VALUE(LEFT(B387,4)),VALUE(MID(B387,6,2)),VALUE(RIGHT(B387,2))),DATE(VALUE(RIGHT(B387,4)),MATCH(MID(B387,4,3),{"Jan","Feb","Mar","Apr","May","Jun","Jul","Aug","Sep","Oct","Nov","Dec"},0),VALUE(LEFT(B387,2)))))</f>
        <v>45918</v>
      </c>
    </row>
    <row r="388" customFormat="false" ht="15" hidden="false" customHeight="false" outlineLevel="0" collapsed="false">
      <c r="A388" s="7" t="s">
        <v>1537</v>
      </c>
      <c r="B388" s="7" t="s">
        <v>1538</v>
      </c>
      <c r="C388" s="7" t="s">
        <v>1539</v>
      </c>
      <c r="D388" s="7" t="s">
        <v>416</v>
      </c>
      <c r="E388" s="7" t="s">
        <v>98</v>
      </c>
      <c r="F388" s="7" t="s">
        <v>86</v>
      </c>
      <c r="G388" s="7" t="s">
        <v>99</v>
      </c>
      <c r="H388" s="7" t="n">
        <v>2</v>
      </c>
      <c r="I388" s="7" t="n">
        <v>265</v>
      </c>
      <c r="J388" s="7" t="n">
        <v>0</v>
      </c>
      <c r="K388" s="7" t="s">
        <v>103</v>
      </c>
      <c r="L388" s="7" t="s">
        <v>194</v>
      </c>
      <c r="M388" s="7" t="n">
        <v>46</v>
      </c>
      <c r="N388" s="7" t="n">
        <v>3</v>
      </c>
      <c r="O388" s="7" t="str">
        <f aca="false">A388&amp;"|"&amp;B388&amp;"|"&amp;C388&amp;"|"&amp;D388&amp;"|"&amp;E388&amp;"|"&amp;F388&amp;"|"&amp;G388&amp;"|"&amp;H388&amp;"|"&amp;I388&amp;"|"&amp;J388&amp;"|"&amp;K388&amp;"|"&amp;L388&amp;"|"&amp;M388&amp;"|"&amp;N388</f>
        <v>ORD11839|2025-08-28|11:32|C0410|Nawabi Biryani House|Bengaluru|Biryani|2|265|0|Debit Card|Delivered|46|3</v>
      </c>
      <c r="P388" s="7" t="str">
        <f aca="false">IF(COUNTIF($O$2:O388,O388)&gt;1,"DUP","OK")</f>
        <v>OK</v>
      </c>
      <c r="Q388" s="7" t="n">
        <f aca="false">COUNTBLANK(A388:N388)</f>
        <v>0</v>
      </c>
      <c r="R388" s="7" t="n">
        <f aca="false">IF(A388="",0,COUNTIFS($A$2:$A$3058,A388,$P$2:$P$3058,"OK"))</f>
        <v>1</v>
      </c>
      <c r="S388" s="7" t="str">
        <f aca="false">IF(OR(A388="",P388="DUP",R388&lt;2),"",IF(Q388=_xlfn.MINIFS($Q$2:$Q$3058,$A$2:$A$3058,A388,$P$2:$P$3058,"OK"),"KEEP","DROP"))</f>
        <v/>
      </c>
      <c r="T388" s="9" t="n">
        <f aca="false">IF(A388="",1,0)</f>
        <v>0</v>
      </c>
      <c r="U388" s="9" t="n">
        <f aca="false">IF(D388="",1,0)</f>
        <v>0</v>
      </c>
      <c r="V388" s="9" t="n">
        <f aca="false">IF(E388="",1,0)</f>
        <v>0</v>
      </c>
      <c r="W388" s="9" t="n">
        <f aca="false">IF(OR(H388&lt;1,H388&gt;10),1,0)</f>
        <v>0</v>
      </c>
      <c r="X388" s="9" t="n">
        <f aca="false">IF(OR(I388&lt;=0,I388&gt;1500),1,0)</f>
        <v>0</v>
      </c>
      <c r="Y388" s="9" t="n">
        <f aca="false">IF(J388&gt;H388*I388,1,0)</f>
        <v>0</v>
      </c>
      <c r="Z388" s="9" t="n">
        <f aca="false">IF(AND(N388&lt;&gt;"",OR(N388&lt;1,N388&gt;5)),1,0)</f>
        <v>0</v>
      </c>
      <c r="AA388" s="9" t="n">
        <f aca="false">IF(AND(M388&lt;&gt;"",OR(M388&lt;5,M388&gt;180)),1,0)</f>
        <v>0</v>
      </c>
      <c r="AB388" s="7" t="str">
        <f aca="false">IF(P388="DUP","Exact duplicate row",IF(T388=1,"Missing Order ID",IF(S388="DROP","Duplicate Order ID (less complete row)",IF(U388=1,"Missing Customer ID",IF(V388=1,"Missing Restaurant name",IF(W388=1,"Invalid/outlier quantity",IF(X388=1,"Invalid/outlier unit price",IF(Y388=1,"Discount greater than order value",""))))))))</f>
        <v/>
      </c>
      <c r="AC388" s="7" t="str">
        <f aca="false">IF(AB388="","KEEP","DROP")</f>
        <v>KEEP</v>
      </c>
      <c r="AD388" s="7" t="str">
        <f aca="false">IF(TRIM(F388)="",IFERROR(INDEX(Map_Tables!$I$4:$I$37,MATCH(TRIM(E388),Map_Tables!$G$4:$G$37,0)),""),IFERROR(INDEX(Map_Tables!$B$4:$B$18,MATCH(TRIM(F388),Map_Tables!$A$4:$A$18,0)),"CHECK"))</f>
        <v>Bengaluru</v>
      </c>
      <c r="AE388" s="7" t="str">
        <f aca="false">IF(TRIM(E388)="","",IFERROR(INDEX(Map_Tables!$H$4:$H$37,MATCH(TRIM(E388),Map_Tables!$G$4:$G$37,0)),"CHECK"))</f>
        <v>Nawabi Biryani House</v>
      </c>
      <c r="AF388" s="7" t="str">
        <f aca="false">IF(TRIM(K388)="","Unknown",IFERROR(INDEX(Map_Tables!$E$4:$E$15,MATCH(TRIM(K388),Map_Tables!$D$4:$D$15,0)),"CHECK"))</f>
        <v>Debit Card</v>
      </c>
      <c r="AG388" s="7" t="str">
        <f aca="false">IF(LEFT(LOWER(TRIM(L388)),6)="cancel","Cancelled","Delivered")</f>
        <v>Delivered</v>
      </c>
      <c r="AH388" s="10" t="n">
        <f aca="false">IF(ISNUMBER(SEARCH("/",B388)),DATE(VALUE(RIGHT(B388,4)),VALUE(MID(B388,4,2)),VALUE(LEFT(B388,2))),IF(MID(B388,5,1)="-",DATE(VALUE(LEFT(B388,4)),VALUE(MID(B388,6,2)),VALUE(RIGHT(B388,2))),DATE(VALUE(RIGHT(B388,4)),MATCH(MID(B388,4,3),{"Jan","Feb","Mar","Apr","May","Jun","Jul","Aug","Sep","Oct","Nov","Dec"},0),VALUE(LEFT(B388,2)))))</f>
        <v>45897</v>
      </c>
    </row>
    <row r="389" customFormat="false" ht="15" hidden="false" customHeight="false" outlineLevel="0" collapsed="false">
      <c r="A389" s="7" t="s">
        <v>1540</v>
      </c>
      <c r="B389" s="7" t="s">
        <v>1541</v>
      </c>
      <c r="C389" s="7" t="s">
        <v>1542</v>
      </c>
      <c r="D389" s="7" t="s">
        <v>1543</v>
      </c>
      <c r="E389" s="7" t="s">
        <v>154</v>
      </c>
      <c r="F389" s="7" t="s">
        <v>128</v>
      </c>
      <c r="G389" s="7" t="s">
        <v>99</v>
      </c>
      <c r="H389" s="7" t="n">
        <v>2</v>
      </c>
      <c r="I389" s="7" t="n">
        <v>285</v>
      </c>
      <c r="J389" s="7" t="n">
        <v>0</v>
      </c>
      <c r="K389" s="7" t="s">
        <v>93</v>
      </c>
      <c r="L389" s="7" t="s">
        <v>194</v>
      </c>
      <c r="M389" s="7" t="n">
        <v>31</v>
      </c>
      <c r="N389" s="7" t="n">
        <v>3</v>
      </c>
      <c r="O389" s="7" t="str">
        <f aca="false">A389&amp;"|"&amp;B389&amp;"|"&amp;C389&amp;"|"&amp;D389&amp;"|"&amp;E389&amp;"|"&amp;F389&amp;"|"&amp;G389&amp;"|"&amp;H389&amp;"|"&amp;I389&amp;"|"&amp;J389&amp;"|"&amp;K389&amp;"|"&amp;L389&amp;"|"&amp;M389&amp;"|"&amp;N389</f>
        <v>ORD10842|2025-04-17|09:53|C0486|Madras Biryani Co|Chennai|Biryani|2|285|0|Credit Card|Delivered|31|3</v>
      </c>
      <c r="P389" s="7" t="str">
        <f aca="false">IF(COUNTIF($O$2:O389,O389)&gt;1,"DUP","OK")</f>
        <v>OK</v>
      </c>
      <c r="Q389" s="7" t="n">
        <f aca="false">COUNTBLANK(A389:N389)</f>
        <v>0</v>
      </c>
      <c r="R389" s="7" t="n">
        <f aca="false">IF(A389="",0,COUNTIFS($A$2:$A$3058,A389,$P$2:$P$3058,"OK"))</f>
        <v>1</v>
      </c>
      <c r="S389" s="7" t="str">
        <f aca="false">IF(OR(A389="",P389="DUP",R389&lt;2),"",IF(Q389=_xlfn.MINIFS($Q$2:$Q$3058,$A$2:$A$3058,A389,$P$2:$P$3058,"OK"),"KEEP","DROP"))</f>
        <v/>
      </c>
      <c r="T389" s="9" t="n">
        <f aca="false">IF(A389="",1,0)</f>
        <v>0</v>
      </c>
      <c r="U389" s="9" t="n">
        <f aca="false">IF(D389="",1,0)</f>
        <v>0</v>
      </c>
      <c r="V389" s="9" t="n">
        <f aca="false">IF(E389="",1,0)</f>
        <v>0</v>
      </c>
      <c r="W389" s="9" t="n">
        <f aca="false">IF(OR(H389&lt;1,H389&gt;10),1,0)</f>
        <v>0</v>
      </c>
      <c r="X389" s="9" t="n">
        <f aca="false">IF(OR(I389&lt;=0,I389&gt;1500),1,0)</f>
        <v>0</v>
      </c>
      <c r="Y389" s="9" t="n">
        <f aca="false">IF(J389&gt;H389*I389,1,0)</f>
        <v>0</v>
      </c>
      <c r="Z389" s="9" t="n">
        <f aca="false">IF(AND(N389&lt;&gt;"",OR(N389&lt;1,N389&gt;5)),1,0)</f>
        <v>0</v>
      </c>
      <c r="AA389" s="9" t="n">
        <f aca="false">IF(AND(M389&lt;&gt;"",OR(M389&lt;5,M389&gt;180)),1,0)</f>
        <v>0</v>
      </c>
      <c r="AB389" s="7" t="str">
        <f aca="false">IF(P389="DUP","Exact duplicate row",IF(T389=1,"Missing Order ID",IF(S389="DROP","Duplicate Order ID (less complete row)",IF(U389=1,"Missing Customer ID",IF(V389=1,"Missing Restaurant name",IF(W389=1,"Invalid/outlier quantity",IF(X389=1,"Invalid/outlier unit price",IF(Y389=1,"Discount greater than order value",""))))))))</f>
        <v/>
      </c>
      <c r="AC389" s="7" t="str">
        <f aca="false">IF(AB389="","KEEP","DROP")</f>
        <v>KEEP</v>
      </c>
      <c r="AD389" s="7" t="str">
        <f aca="false">IF(TRIM(F389)="",IFERROR(INDEX(Map_Tables!$I$4:$I$37,MATCH(TRIM(E389),Map_Tables!$G$4:$G$37,0)),""),IFERROR(INDEX(Map_Tables!$B$4:$B$18,MATCH(TRIM(F389),Map_Tables!$A$4:$A$18,0)),"CHECK"))</f>
        <v>Chennai</v>
      </c>
      <c r="AE389" s="7" t="str">
        <f aca="false">IF(TRIM(E389)="","",IFERROR(INDEX(Map_Tables!$H$4:$H$37,MATCH(TRIM(E389),Map_Tables!$G$4:$G$37,0)),"CHECK"))</f>
        <v>Madras Biryani Co</v>
      </c>
      <c r="AF389" s="7" t="str">
        <f aca="false">IF(TRIM(K389)="","Unknown",IFERROR(INDEX(Map_Tables!$E$4:$E$15,MATCH(TRIM(K389),Map_Tables!$D$4:$D$15,0)),"CHECK"))</f>
        <v>Credit Card</v>
      </c>
      <c r="AG389" s="7" t="str">
        <f aca="false">IF(LEFT(LOWER(TRIM(L389)),6)="cancel","Cancelled","Delivered")</f>
        <v>Delivered</v>
      </c>
      <c r="AH389" s="10" t="n">
        <f aca="false">IF(ISNUMBER(SEARCH("/",B389)),DATE(VALUE(RIGHT(B389,4)),VALUE(MID(B389,4,2)),VALUE(LEFT(B389,2))),IF(MID(B389,5,1)="-",DATE(VALUE(LEFT(B389,4)),VALUE(MID(B389,6,2)),VALUE(RIGHT(B389,2))),DATE(VALUE(RIGHT(B389,4)),MATCH(MID(B389,4,3),{"Jan","Feb","Mar","Apr","May","Jun","Jul","Aug","Sep","Oct","Nov","Dec"},0),VALUE(LEFT(B389,2)))))</f>
        <v>45764</v>
      </c>
    </row>
    <row r="390" customFormat="false" ht="15" hidden="false" customHeight="false" outlineLevel="0" collapsed="false">
      <c r="A390" s="7" t="s">
        <v>1544</v>
      </c>
      <c r="B390" s="7" t="s">
        <v>1469</v>
      </c>
      <c r="C390" s="7" t="s">
        <v>1545</v>
      </c>
      <c r="D390" s="7" t="s">
        <v>1546</v>
      </c>
      <c r="E390" s="7" t="s">
        <v>98</v>
      </c>
      <c r="F390" s="7" t="s">
        <v>86</v>
      </c>
      <c r="G390" s="7" t="s">
        <v>99</v>
      </c>
      <c r="H390" s="7" t="n">
        <v>1</v>
      </c>
      <c r="I390" s="7" t="n">
        <v>295</v>
      </c>
      <c r="J390" s="7" t="n">
        <v>0</v>
      </c>
      <c r="K390" s="7" t="s">
        <v>93</v>
      </c>
      <c r="L390" s="7" t="s">
        <v>194</v>
      </c>
      <c r="M390" s="7" t="n">
        <v>41</v>
      </c>
      <c r="N390" s="7" t="n">
        <v>0</v>
      </c>
      <c r="O390" s="7" t="str">
        <f aca="false">A390&amp;"|"&amp;B390&amp;"|"&amp;C390&amp;"|"&amp;D390&amp;"|"&amp;E390&amp;"|"&amp;F390&amp;"|"&amp;G390&amp;"|"&amp;H390&amp;"|"&amp;I390&amp;"|"&amp;J390&amp;"|"&amp;K390&amp;"|"&amp;L390&amp;"|"&amp;M390&amp;"|"&amp;N390</f>
        <v>ORD11062|2025-05-14|22:02|C0127|Nawabi Biryani House|Bengaluru|Biryani|1|295|0|Credit Card|Delivered|41|0</v>
      </c>
      <c r="P390" s="7" t="str">
        <f aca="false">IF(COUNTIF($O$2:O390,O390)&gt;1,"DUP","OK")</f>
        <v>OK</v>
      </c>
      <c r="Q390" s="7" t="n">
        <f aca="false">COUNTBLANK(A390:N390)</f>
        <v>0</v>
      </c>
      <c r="R390" s="7" t="n">
        <f aca="false">IF(A390="",0,COUNTIFS($A$2:$A$3058,A390,$P$2:$P$3058,"OK"))</f>
        <v>1</v>
      </c>
      <c r="S390" s="7" t="str">
        <f aca="false">IF(OR(A390="",P390="DUP",R390&lt;2),"",IF(Q390=_xlfn.MINIFS($Q$2:$Q$3058,$A$2:$A$3058,A390,$P$2:$P$3058,"OK"),"KEEP","DROP"))</f>
        <v/>
      </c>
      <c r="T390" s="9" t="n">
        <f aca="false">IF(A390="",1,0)</f>
        <v>0</v>
      </c>
      <c r="U390" s="9" t="n">
        <f aca="false">IF(D390="",1,0)</f>
        <v>0</v>
      </c>
      <c r="V390" s="9" t="n">
        <f aca="false">IF(E390="",1,0)</f>
        <v>0</v>
      </c>
      <c r="W390" s="9" t="n">
        <f aca="false">IF(OR(H390&lt;1,H390&gt;10),1,0)</f>
        <v>0</v>
      </c>
      <c r="X390" s="9" t="n">
        <f aca="false">IF(OR(I390&lt;=0,I390&gt;1500),1,0)</f>
        <v>0</v>
      </c>
      <c r="Y390" s="9" t="n">
        <f aca="false">IF(J390&gt;H390*I390,1,0)</f>
        <v>0</v>
      </c>
      <c r="Z390" s="9" t="n">
        <f aca="false">IF(AND(N390&lt;&gt;"",OR(N390&lt;1,N390&gt;5)),1,0)</f>
        <v>1</v>
      </c>
      <c r="AA390" s="9" t="n">
        <f aca="false">IF(AND(M390&lt;&gt;"",OR(M390&lt;5,M390&gt;180)),1,0)</f>
        <v>0</v>
      </c>
      <c r="AB390" s="7" t="str">
        <f aca="false">IF(P390="DUP","Exact duplicate row",IF(T390=1,"Missing Order ID",IF(S390="DROP","Duplicate Order ID (less complete row)",IF(U390=1,"Missing Customer ID",IF(V390=1,"Missing Restaurant name",IF(W390=1,"Invalid/outlier quantity",IF(X390=1,"Invalid/outlier unit price",IF(Y390=1,"Discount greater than order value",""))))))))</f>
        <v/>
      </c>
      <c r="AC390" s="7" t="str">
        <f aca="false">IF(AB390="","KEEP","DROP")</f>
        <v>KEEP</v>
      </c>
      <c r="AD390" s="7" t="str">
        <f aca="false">IF(TRIM(F390)="",IFERROR(INDEX(Map_Tables!$I$4:$I$37,MATCH(TRIM(E390),Map_Tables!$G$4:$G$37,0)),""),IFERROR(INDEX(Map_Tables!$B$4:$B$18,MATCH(TRIM(F390),Map_Tables!$A$4:$A$18,0)),"CHECK"))</f>
        <v>Bengaluru</v>
      </c>
      <c r="AE390" s="7" t="str">
        <f aca="false">IF(TRIM(E390)="","",IFERROR(INDEX(Map_Tables!$H$4:$H$37,MATCH(TRIM(E390),Map_Tables!$G$4:$G$37,0)),"CHECK"))</f>
        <v>Nawabi Biryani House</v>
      </c>
      <c r="AF390" s="7" t="str">
        <f aca="false">IF(TRIM(K390)="","Unknown",IFERROR(INDEX(Map_Tables!$E$4:$E$15,MATCH(TRIM(K390),Map_Tables!$D$4:$D$15,0)),"CHECK"))</f>
        <v>Credit Card</v>
      </c>
      <c r="AG390" s="7" t="str">
        <f aca="false">IF(LEFT(LOWER(TRIM(L390)),6)="cancel","Cancelled","Delivered")</f>
        <v>Delivered</v>
      </c>
      <c r="AH390" s="10" t="n">
        <f aca="false">IF(ISNUMBER(SEARCH("/",B390)),DATE(VALUE(RIGHT(B390,4)),VALUE(MID(B390,4,2)),VALUE(LEFT(B390,2))),IF(MID(B390,5,1)="-",DATE(VALUE(LEFT(B390,4)),VALUE(MID(B390,6,2)),VALUE(RIGHT(B390,2))),DATE(VALUE(RIGHT(B390,4)),MATCH(MID(B390,4,3),{"Jan","Feb","Mar","Apr","May","Jun","Jul","Aug","Sep","Oct","Nov","Dec"},0),VALUE(LEFT(B390,2)))))</f>
        <v>45791</v>
      </c>
    </row>
    <row r="391" customFormat="false" ht="15" hidden="false" customHeight="false" outlineLevel="0" collapsed="false">
      <c r="A391" s="7" t="s">
        <v>1547</v>
      </c>
      <c r="B391" s="7" t="s">
        <v>1548</v>
      </c>
      <c r="C391" s="7" t="s">
        <v>883</v>
      </c>
      <c r="D391" s="7" t="s">
        <v>1549</v>
      </c>
      <c r="E391" s="7" t="s">
        <v>260</v>
      </c>
      <c r="F391" s="7" t="s">
        <v>110</v>
      </c>
      <c r="G391" s="7" t="s">
        <v>139</v>
      </c>
      <c r="H391" s="7" t="n">
        <v>3</v>
      </c>
      <c r="I391" s="7" t="n">
        <v>140</v>
      </c>
      <c r="J391" s="7" t="n">
        <v>40</v>
      </c>
      <c r="K391" s="7" t="s">
        <v>88</v>
      </c>
      <c r="L391" s="7" t="s">
        <v>194</v>
      </c>
      <c r="M391" s="7" t="n">
        <v>40</v>
      </c>
      <c r="N391" s="7" t="n">
        <v>5</v>
      </c>
      <c r="O391" s="7" t="str">
        <f aca="false">A391&amp;"|"&amp;B391&amp;"|"&amp;C391&amp;"|"&amp;D391&amp;"|"&amp;E391&amp;"|"&amp;F391&amp;"|"&amp;G391&amp;"|"&amp;H391&amp;"|"&amp;I391&amp;"|"&amp;J391&amp;"|"&amp;K391&amp;"|"&amp;L391&amp;"|"&amp;M391&amp;"|"&amp;N391</f>
        <v>ORD12259|2025-10-13|13:42|C0207| Burger Barn|Delhi|Burgers|3|140|40|UPI|Delivered|40|5</v>
      </c>
      <c r="P391" s="7" t="str">
        <f aca="false">IF(COUNTIF($O$2:O391,O391)&gt;1,"DUP","OK")</f>
        <v>OK</v>
      </c>
      <c r="Q391" s="7" t="n">
        <f aca="false">COUNTBLANK(A391:N391)</f>
        <v>0</v>
      </c>
      <c r="R391" s="7" t="n">
        <f aca="false">IF(A391="",0,COUNTIFS($A$2:$A$3058,A391,$P$2:$P$3058,"OK"))</f>
        <v>1</v>
      </c>
      <c r="S391" s="7" t="str">
        <f aca="false">IF(OR(A391="",P391="DUP",R391&lt;2),"",IF(Q391=_xlfn.MINIFS($Q$2:$Q$3058,$A$2:$A$3058,A391,$P$2:$P$3058,"OK"),"KEEP","DROP"))</f>
        <v/>
      </c>
      <c r="T391" s="9" t="n">
        <f aca="false">IF(A391="",1,0)</f>
        <v>0</v>
      </c>
      <c r="U391" s="9" t="n">
        <f aca="false">IF(D391="",1,0)</f>
        <v>0</v>
      </c>
      <c r="V391" s="9" t="n">
        <f aca="false">IF(E391="",1,0)</f>
        <v>0</v>
      </c>
      <c r="W391" s="9" t="n">
        <f aca="false">IF(OR(H391&lt;1,H391&gt;10),1,0)</f>
        <v>0</v>
      </c>
      <c r="X391" s="9" t="n">
        <f aca="false">IF(OR(I391&lt;=0,I391&gt;1500),1,0)</f>
        <v>0</v>
      </c>
      <c r="Y391" s="9" t="n">
        <f aca="false">IF(J391&gt;H391*I391,1,0)</f>
        <v>0</v>
      </c>
      <c r="Z391" s="9" t="n">
        <f aca="false">IF(AND(N391&lt;&gt;"",OR(N391&lt;1,N391&gt;5)),1,0)</f>
        <v>0</v>
      </c>
      <c r="AA391" s="9" t="n">
        <f aca="false">IF(AND(M391&lt;&gt;"",OR(M391&lt;5,M391&gt;180)),1,0)</f>
        <v>0</v>
      </c>
      <c r="AB391" s="7" t="str">
        <f aca="false">IF(P391="DUP","Exact duplicate row",IF(T391=1,"Missing Order ID",IF(S391="DROP","Duplicate Order ID (less complete row)",IF(U391=1,"Missing Customer ID",IF(V391=1,"Missing Restaurant name",IF(W391=1,"Invalid/outlier quantity",IF(X391=1,"Invalid/outlier unit price",IF(Y391=1,"Discount greater than order value",""))))))))</f>
        <v/>
      </c>
      <c r="AC391" s="7" t="str">
        <f aca="false">IF(AB391="","KEEP","DROP")</f>
        <v>KEEP</v>
      </c>
      <c r="AD391" s="7" t="str">
        <f aca="false">IF(TRIM(F391)="",IFERROR(INDEX(Map_Tables!$I$4:$I$37,MATCH(TRIM(E391),Map_Tables!$G$4:$G$37,0)),""),IFERROR(INDEX(Map_Tables!$B$4:$B$18,MATCH(TRIM(F391),Map_Tables!$A$4:$A$18,0)),"CHECK"))</f>
        <v>Delhi</v>
      </c>
      <c r="AE391" s="7" t="str">
        <f aca="false">IF(TRIM(E391)="","",IFERROR(INDEX(Map_Tables!$H$4:$H$37,MATCH(TRIM(E391),Map_Tables!$G$4:$G$37,0)),"CHECK"))</f>
        <v>Burger Barn</v>
      </c>
      <c r="AF391" s="7" t="str">
        <f aca="false">IF(TRIM(K391)="","Unknown",IFERROR(INDEX(Map_Tables!$E$4:$E$15,MATCH(TRIM(K391),Map_Tables!$D$4:$D$15,0)),"CHECK"))</f>
        <v>UPI</v>
      </c>
      <c r="AG391" s="7" t="str">
        <f aca="false">IF(LEFT(LOWER(TRIM(L391)),6)="cancel","Cancelled","Delivered")</f>
        <v>Delivered</v>
      </c>
      <c r="AH391" s="10" t="n">
        <f aca="false">IF(ISNUMBER(SEARCH("/",B391)),DATE(VALUE(RIGHT(B391,4)),VALUE(MID(B391,4,2)),VALUE(LEFT(B391,2))),IF(MID(B391,5,1)="-",DATE(VALUE(LEFT(B391,4)),VALUE(MID(B391,6,2)),VALUE(RIGHT(B391,2))),DATE(VALUE(RIGHT(B391,4)),MATCH(MID(B391,4,3),{"Jan","Feb","Mar","Apr","May","Jun","Jul","Aug","Sep","Oct","Nov","Dec"},0),VALUE(LEFT(B391,2)))))</f>
        <v>45943</v>
      </c>
    </row>
    <row r="392" customFormat="false" ht="15" hidden="false" customHeight="false" outlineLevel="0" collapsed="false">
      <c r="A392" s="7" t="s">
        <v>1550</v>
      </c>
      <c r="B392" s="7" t="s">
        <v>1551</v>
      </c>
      <c r="C392" s="7" t="s">
        <v>1552</v>
      </c>
      <c r="D392" s="7" t="s">
        <v>1553</v>
      </c>
      <c r="E392" s="7" t="s">
        <v>130</v>
      </c>
      <c r="F392" s="7" t="s">
        <v>110</v>
      </c>
      <c r="G392" s="7" t="s">
        <v>90</v>
      </c>
      <c r="H392" s="7" t="n">
        <v>4</v>
      </c>
      <c r="I392" s="7" t="n">
        <v>265</v>
      </c>
      <c r="J392" s="7" t="n">
        <v>0</v>
      </c>
      <c r="K392" s="7" t="s">
        <v>88</v>
      </c>
      <c r="L392" s="7" t="s">
        <v>194</v>
      </c>
      <c r="M392" s="7" t="n">
        <v>37</v>
      </c>
      <c r="N392" s="7" t="n">
        <v>4</v>
      </c>
      <c r="O392" s="7" t="str">
        <f aca="false">A392&amp;"|"&amp;B392&amp;"|"&amp;C392&amp;"|"&amp;D392&amp;"|"&amp;E392&amp;"|"&amp;F392&amp;"|"&amp;G392&amp;"|"&amp;H392&amp;"|"&amp;I392&amp;"|"&amp;J392&amp;"|"&amp;K392&amp;"|"&amp;L392&amp;"|"&amp;M392&amp;"|"&amp;N392</f>
        <v>ORD12281|16/10/2025|11:25|C1498|Tandoor Tales|Delhi|North Indian|4|265|0|UPI|Delivered|37|4</v>
      </c>
      <c r="P392" s="7" t="str">
        <f aca="false">IF(COUNTIF($O$2:O392,O392)&gt;1,"DUP","OK")</f>
        <v>OK</v>
      </c>
      <c r="Q392" s="7" t="n">
        <f aca="false">COUNTBLANK(A392:N392)</f>
        <v>0</v>
      </c>
      <c r="R392" s="7" t="n">
        <f aca="false">IF(A392="",0,COUNTIFS($A$2:$A$3058,A392,$P$2:$P$3058,"OK"))</f>
        <v>1</v>
      </c>
      <c r="S392" s="7" t="str">
        <f aca="false">IF(OR(A392="",P392="DUP",R392&lt;2),"",IF(Q392=_xlfn.MINIFS($Q$2:$Q$3058,$A$2:$A$3058,A392,$P$2:$P$3058,"OK"),"KEEP","DROP"))</f>
        <v/>
      </c>
      <c r="T392" s="9" t="n">
        <f aca="false">IF(A392="",1,0)</f>
        <v>0</v>
      </c>
      <c r="U392" s="9" t="n">
        <f aca="false">IF(D392="",1,0)</f>
        <v>0</v>
      </c>
      <c r="V392" s="9" t="n">
        <f aca="false">IF(E392="",1,0)</f>
        <v>0</v>
      </c>
      <c r="W392" s="9" t="n">
        <f aca="false">IF(OR(H392&lt;1,H392&gt;10),1,0)</f>
        <v>0</v>
      </c>
      <c r="X392" s="9" t="n">
        <f aca="false">IF(OR(I392&lt;=0,I392&gt;1500),1,0)</f>
        <v>0</v>
      </c>
      <c r="Y392" s="9" t="n">
        <f aca="false">IF(J392&gt;H392*I392,1,0)</f>
        <v>0</v>
      </c>
      <c r="Z392" s="9" t="n">
        <f aca="false">IF(AND(N392&lt;&gt;"",OR(N392&lt;1,N392&gt;5)),1,0)</f>
        <v>0</v>
      </c>
      <c r="AA392" s="9" t="n">
        <f aca="false">IF(AND(M392&lt;&gt;"",OR(M392&lt;5,M392&gt;180)),1,0)</f>
        <v>0</v>
      </c>
      <c r="AB392" s="7" t="str">
        <f aca="false">IF(P392="DUP","Exact duplicate row",IF(T392=1,"Missing Order ID",IF(S392="DROP","Duplicate Order ID (less complete row)",IF(U392=1,"Missing Customer ID",IF(V392=1,"Missing Restaurant name",IF(W392=1,"Invalid/outlier quantity",IF(X392=1,"Invalid/outlier unit price",IF(Y392=1,"Discount greater than order value",""))))))))</f>
        <v/>
      </c>
      <c r="AC392" s="7" t="str">
        <f aca="false">IF(AB392="","KEEP","DROP")</f>
        <v>KEEP</v>
      </c>
      <c r="AD392" s="7" t="str">
        <f aca="false">IF(TRIM(F392)="",IFERROR(INDEX(Map_Tables!$I$4:$I$37,MATCH(TRIM(E392),Map_Tables!$G$4:$G$37,0)),""),IFERROR(INDEX(Map_Tables!$B$4:$B$18,MATCH(TRIM(F392),Map_Tables!$A$4:$A$18,0)),"CHECK"))</f>
        <v>Delhi</v>
      </c>
      <c r="AE392" s="7" t="str">
        <f aca="false">IF(TRIM(E392)="","",IFERROR(INDEX(Map_Tables!$H$4:$H$37,MATCH(TRIM(E392),Map_Tables!$G$4:$G$37,0)),"CHECK"))</f>
        <v>Tandoor Tales</v>
      </c>
      <c r="AF392" s="7" t="str">
        <f aca="false">IF(TRIM(K392)="","Unknown",IFERROR(INDEX(Map_Tables!$E$4:$E$15,MATCH(TRIM(K392),Map_Tables!$D$4:$D$15,0)),"CHECK"))</f>
        <v>UPI</v>
      </c>
      <c r="AG392" s="7" t="str">
        <f aca="false">IF(LEFT(LOWER(TRIM(L392)),6)="cancel","Cancelled","Delivered")</f>
        <v>Delivered</v>
      </c>
      <c r="AH392" s="10" t="n">
        <f aca="false">IF(ISNUMBER(SEARCH("/",B392)),DATE(VALUE(RIGHT(B392,4)),VALUE(MID(B392,4,2)),VALUE(LEFT(B392,2))),IF(MID(B392,5,1)="-",DATE(VALUE(LEFT(B392,4)),VALUE(MID(B392,6,2)),VALUE(RIGHT(B392,2))),DATE(VALUE(RIGHT(B392,4)),MATCH(MID(B392,4,3),{"Jan","Feb","Mar","Apr","May","Jun","Jul","Aug","Sep","Oct","Nov","Dec"},0),VALUE(LEFT(B392,2)))))</f>
        <v>45946</v>
      </c>
    </row>
    <row r="393" customFormat="false" ht="15" hidden="false" customHeight="false" outlineLevel="0" collapsed="false">
      <c r="A393" s="7" t="s">
        <v>1554</v>
      </c>
      <c r="B393" s="7" t="s">
        <v>436</v>
      </c>
      <c r="C393" s="7" t="s">
        <v>1555</v>
      </c>
      <c r="D393" s="7" t="s">
        <v>1556</v>
      </c>
      <c r="E393" s="7" t="s">
        <v>113</v>
      </c>
      <c r="F393" s="7" t="s">
        <v>1557</v>
      </c>
      <c r="G393" s="7" t="s">
        <v>90</v>
      </c>
      <c r="H393" s="7" t="n">
        <v>1</v>
      </c>
      <c r="I393" s="7" t="n">
        <v>240</v>
      </c>
      <c r="J393" s="7" t="n">
        <v>96</v>
      </c>
      <c r="K393" s="7" t="s">
        <v>88</v>
      </c>
      <c r="L393" s="7" t="s">
        <v>238</v>
      </c>
      <c r="M393" s="7"/>
      <c r="N393" s="7"/>
      <c r="O393" s="7" t="str">
        <f aca="false">A393&amp;"|"&amp;B393&amp;"|"&amp;C393&amp;"|"&amp;D393&amp;"|"&amp;E393&amp;"|"&amp;F393&amp;"|"&amp;G393&amp;"|"&amp;H393&amp;"|"&amp;I393&amp;"|"&amp;J393&amp;"|"&amp;K393&amp;"|"&amp;L393&amp;"|"&amp;M393&amp;"|"&amp;N393</f>
        <v>ORD10088|2025-01-12|18:42|C1362|Curry Leaf Kitchen|Mumbai |North Indian|1|240|96|UPI|Cancelled||</v>
      </c>
      <c r="P393" s="7" t="str">
        <f aca="false">IF(COUNTIF($O$2:O393,O393)&gt;1,"DUP","OK")</f>
        <v>OK</v>
      </c>
      <c r="Q393" s="7" t="n">
        <f aca="false">COUNTBLANK(A393:N393)</f>
        <v>2</v>
      </c>
      <c r="R393" s="7" t="n">
        <f aca="false">IF(A393="",0,COUNTIFS($A$2:$A$3058,A393,$P$2:$P$3058,"OK"))</f>
        <v>1</v>
      </c>
      <c r="S393" s="7" t="str">
        <f aca="false">IF(OR(A393="",P393="DUP",R393&lt;2),"",IF(Q393=_xlfn.MINIFS($Q$2:$Q$3058,$A$2:$A$3058,A393,$P$2:$P$3058,"OK"),"KEEP","DROP"))</f>
        <v/>
      </c>
      <c r="T393" s="9" t="n">
        <f aca="false">IF(A393="",1,0)</f>
        <v>0</v>
      </c>
      <c r="U393" s="9" t="n">
        <f aca="false">IF(D393="",1,0)</f>
        <v>0</v>
      </c>
      <c r="V393" s="9" t="n">
        <f aca="false">IF(E393="",1,0)</f>
        <v>0</v>
      </c>
      <c r="W393" s="9" t="n">
        <f aca="false">IF(OR(H393&lt;1,H393&gt;10),1,0)</f>
        <v>0</v>
      </c>
      <c r="X393" s="9" t="n">
        <f aca="false">IF(OR(I393&lt;=0,I393&gt;1500),1,0)</f>
        <v>0</v>
      </c>
      <c r="Y393" s="9" t="n">
        <f aca="false">IF(J393&gt;H393*I393,1,0)</f>
        <v>0</v>
      </c>
      <c r="Z393" s="9" t="n">
        <f aca="false">IF(AND(N393&lt;&gt;"",OR(N393&lt;1,N393&gt;5)),1,0)</f>
        <v>0</v>
      </c>
      <c r="AA393" s="9" t="n">
        <f aca="false">IF(AND(M393&lt;&gt;"",OR(M393&lt;5,M393&gt;180)),1,0)</f>
        <v>0</v>
      </c>
      <c r="AB393" s="7" t="str">
        <f aca="false">IF(P393="DUP","Exact duplicate row",IF(T393=1,"Missing Order ID",IF(S393="DROP","Duplicate Order ID (less complete row)",IF(U393=1,"Missing Customer ID",IF(V393=1,"Missing Restaurant name",IF(W393=1,"Invalid/outlier quantity",IF(X393=1,"Invalid/outlier unit price",IF(Y393=1,"Discount greater than order value",""))))))))</f>
        <v/>
      </c>
      <c r="AC393" s="7" t="str">
        <f aca="false">IF(AB393="","KEEP","DROP")</f>
        <v>KEEP</v>
      </c>
      <c r="AD393" s="7" t="str">
        <f aca="false">IF(TRIM(F393)="",IFERROR(INDEX(Map_Tables!$I$4:$I$37,MATCH(TRIM(E393),Map_Tables!$G$4:$G$37,0)),""),IFERROR(INDEX(Map_Tables!$B$4:$B$18,MATCH(TRIM(F393),Map_Tables!$A$4:$A$18,0)),"CHECK"))</f>
        <v>Mumbai</v>
      </c>
      <c r="AE393" s="7" t="str">
        <f aca="false">IF(TRIM(E393)="","",IFERROR(INDEX(Map_Tables!$H$4:$H$37,MATCH(TRIM(E393),Map_Tables!$G$4:$G$37,0)),"CHECK"))</f>
        <v>Curry Leaf Kitchen</v>
      </c>
      <c r="AF393" s="7" t="str">
        <f aca="false">IF(TRIM(K393)="","Unknown",IFERROR(INDEX(Map_Tables!$E$4:$E$15,MATCH(TRIM(K393),Map_Tables!$D$4:$D$15,0)),"CHECK"))</f>
        <v>UPI</v>
      </c>
      <c r="AG393" s="7" t="str">
        <f aca="false">IF(LEFT(LOWER(TRIM(L393)),6)="cancel","Cancelled","Delivered")</f>
        <v>Cancelled</v>
      </c>
      <c r="AH393" s="10" t="n">
        <f aca="false">IF(ISNUMBER(SEARCH("/",B393)),DATE(VALUE(RIGHT(B393,4)),VALUE(MID(B393,4,2)),VALUE(LEFT(B393,2))),IF(MID(B393,5,1)="-",DATE(VALUE(LEFT(B393,4)),VALUE(MID(B393,6,2)),VALUE(RIGHT(B393,2))),DATE(VALUE(RIGHT(B393,4)),MATCH(MID(B393,4,3),{"Jan","Feb","Mar","Apr","May","Jun","Jul","Aug","Sep","Oct","Nov","Dec"},0),VALUE(LEFT(B393,2)))))</f>
        <v>45669</v>
      </c>
    </row>
    <row r="394" customFormat="false" ht="15" hidden="false" customHeight="false" outlineLevel="0" collapsed="false">
      <c r="A394" s="7" t="s">
        <v>1558</v>
      </c>
      <c r="B394" s="7" t="s">
        <v>345</v>
      </c>
      <c r="C394" s="7" t="s">
        <v>1559</v>
      </c>
      <c r="D394" s="7" t="s">
        <v>1033</v>
      </c>
      <c r="E394" s="7" t="s">
        <v>138</v>
      </c>
      <c r="F394" s="7" t="s">
        <v>110</v>
      </c>
      <c r="G394" s="7" t="s">
        <v>139</v>
      </c>
      <c r="H394" s="7" t="n">
        <v>2</v>
      </c>
      <c r="I394" s="7" t="n">
        <v>185</v>
      </c>
      <c r="J394" s="7" t="n">
        <v>0</v>
      </c>
      <c r="K394" s="7" t="s">
        <v>112</v>
      </c>
      <c r="L394" s="7" t="s">
        <v>194</v>
      </c>
      <c r="M394" s="7" t="n">
        <v>37</v>
      </c>
      <c r="N394" s="7" t="n">
        <v>3</v>
      </c>
      <c r="O394" s="7" t="str">
        <f aca="false">A394&amp;"|"&amp;B394&amp;"|"&amp;C394&amp;"|"&amp;D394&amp;"|"&amp;E394&amp;"|"&amp;F394&amp;"|"&amp;G394&amp;"|"&amp;H394&amp;"|"&amp;I394&amp;"|"&amp;J394&amp;"|"&amp;K394&amp;"|"&amp;L394&amp;"|"&amp;M394&amp;"|"&amp;N394</f>
        <v>ORD10884|2025-04-22|09:02|C0097|Burger Barn|Delhi|Burgers|2|185|0|Cash on Delivery|Delivered|37|3</v>
      </c>
      <c r="P394" s="7" t="str">
        <f aca="false">IF(COUNTIF($O$2:O394,O394)&gt;1,"DUP","OK")</f>
        <v>OK</v>
      </c>
      <c r="Q394" s="7" t="n">
        <f aca="false">COUNTBLANK(A394:N394)</f>
        <v>0</v>
      </c>
      <c r="R394" s="7" t="n">
        <f aca="false">IF(A394="",0,COUNTIFS($A$2:$A$3058,A394,$P$2:$P$3058,"OK"))</f>
        <v>1</v>
      </c>
      <c r="S394" s="7" t="str">
        <f aca="false">IF(OR(A394="",P394="DUP",R394&lt;2),"",IF(Q394=_xlfn.MINIFS($Q$2:$Q$3058,$A$2:$A$3058,A394,$P$2:$P$3058,"OK"),"KEEP","DROP"))</f>
        <v/>
      </c>
      <c r="T394" s="9" t="n">
        <f aca="false">IF(A394="",1,0)</f>
        <v>0</v>
      </c>
      <c r="U394" s="9" t="n">
        <f aca="false">IF(D394="",1,0)</f>
        <v>0</v>
      </c>
      <c r="V394" s="9" t="n">
        <f aca="false">IF(E394="",1,0)</f>
        <v>0</v>
      </c>
      <c r="W394" s="9" t="n">
        <f aca="false">IF(OR(H394&lt;1,H394&gt;10),1,0)</f>
        <v>0</v>
      </c>
      <c r="X394" s="9" t="n">
        <f aca="false">IF(OR(I394&lt;=0,I394&gt;1500),1,0)</f>
        <v>0</v>
      </c>
      <c r="Y394" s="9" t="n">
        <f aca="false">IF(J394&gt;H394*I394,1,0)</f>
        <v>0</v>
      </c>
      <c r="Z394" s="9" t="n">
        <f aca="false">IF(AND(N394&lt;&gt;"",OR(N394&lt;1,N394&gt;5)),1,0)</f>
        <v>0</v>
      </c>
      <c r="AA394" s="9" t="n">
        <f aca="false">IF(AND(M394&lt;&gt;"",OR(M394&lt;5,M394&gt;180)),1,0)</f>
        <v>0</v>
      </c>
      <c r="AB394" s="7" t="str">
        <f aca="false">IF(P394="DUP","Exact duplicate row",IF(T394=1,"Missing Order ID",IF(S394="DROP","Duplicate Order ID (less complete row)",IF(U394=1,"Missing Customer ID",IF(V394=1,"Missing Restaurant name",IF(W394=1,"Invalid/outlier quantity",IF(X394=1,"Invalid/outlier unit price",IF(Y394=1,"Discount greater than order value",""))))))))</f>
        <v/>
      </c>
      <c r="AC394" s="7" t="str">
        <f aca="false">IF(AB394="","KEEP","DROP")</f>
        <v>KEEP</v>
      </c>
      <c r="AD394" s="7" t="str">
        <f aca="false">IF(TRIM(F394)="",IFERROR(INDEX(Map_Tables!$I$4:$I$37,MATCH(TRIM(E394),Map_Tables!$G$4:$G$37,0)),""),IFERROR(INDEX(Map_Tables!$B$4:$B$18,MATCH(TRIM(F394),Map_Tables!$A$4:$A$18,0)),"CHECK"))</f>
        <v>Delhi</v>
      </c>
      <c r="AE394" s="7" t="str">
        <f aca="false">IF(TRIM(E394)="","",IFERROR(INDEX(Map_Tables!$H$4:$H$37,MATCH(TRIM(E394),Map_Tables!$G$4:$G$37,0)),"CHECK"))</f>
        <v>Burger Barn</v>
      </c>
      <c r="AF394" s="7" t="str">
        <f aca="false">IF(TRIM(K394)="","Unknown",IFERROR(INDEX(Map_Tables!$E$4:$E$15,MATCH(TRIM(K394),Map_Tables!$D$4:$D$15,0)),"CHECK"))</f>
        <v>Cash on Delivery</v>
      </c>
      <c r="AG394" s="7" t="str">
        <f aca="false">IF(LEFT(LOWER(TRIM(L394)),6)="cancel","Cancelled","Delivered")</f>
        <v>Delivered</v>
      </c>
      <c r="AH394" s="10" t="n">
        <f aca="false">IF(ISNUMBER(SEARCH("/",B394)),DATE(VALUE(RIGHT(B394,4)),VALUE(MID(B394,4,2)),VALUE(LEFT(B394,2))),IF(MID(B394,5,1)="-",DATE(VALUE(LEFT(B394,4)),VALUE(MID(B394,6,2)),VALUE(RIGHT(B394,2))),DATE(VALUE(RIGHT(B394,4)),MATCH(MID(B394,4,3),{"Jan","Feb","Mar","Apr","May","Jun","Jul","Aug","Sep","Oct","Nov","Dec"},0),VALUE(LEFT(B394,2)))))</f>
        <v>45769</v>
      </c>
    </row>
    <row r="395" customFormat="false" ht="15" hidden="false" customHeight="false" outlineLevel="0" collapsed="false">
      <c r="A395" s="7" t="s">
        <v>1560</v>
      </c>
      <c r="B395" s="7" t="s">
        <v>1561</v>
      </c>
      <c r="C395" s="7" t="s">
        <v>1562</v>
      </c>
      <c r="D395" s="7" t="s">
        <v>1563</v>
      </c>
      <c r="E395" s="7" t="s">
        <v>122</v>
      </c>
      <c r="F395" s="7" t="s">
        <v>101</v>
      </c>
      <c r="G395" s="7" t="s">
        <v>123</v>
      </c>
      <c r="H395" s="7" t="n">
        <v>1</v>
      </c>
      <c r="I395" s="7" t="n">
        <v>405</v>
      </c>
      <c r="J395" s="7" t="n">
        <v>0</v>
      </c>
      <c r="K395" s="7" t="s">
        <v>102</v>
      </c>
      <c r="L395" s="7" t="s">
        <v>194</v>
      </c>
      <c r="M395" s="7" t="n">
        <v>38</v>
      </c>
      <c r="N395" s="7" t="n">
        <v>3</v>
      </c>
      <c r="O395" s="7" t="str">
        <f aca="false">A395&amp;"|"&amp;B395&amp;"|"&amp;C395&amp;"|"&amp;D395&amp;"|"&amp;E395&amp;"|"&amp;F395&amp;"|"&amp;G395&amp;"|"&amp;H395&amp;"|"&amp;I395&amp;"|"&amp;J395&amp;"|"&amp;K395&amp;"|"&amp;L395&amp;"|"&amp;M395&amp;"|"&amp;N395</f>
        <v>ORD11732|2025-08-15|20:07|C0868|Mumbai Pizza Co|Mumbai|Pizza|1|405|0|debit card|Delivered|38|3</v>
      </c>
      <c r="P395" s="7" t="str">
        <f aca="false">IF(COUNTIF($O$2:O395,O395)&gt;1,"DUP","OK")</f>
        <v>OK</v>
      </c>
      <c r="Q395" s="7" t="n">
        <f aca="false">COUNTBLANK(A395:N395)</f>
        <v>0</v>
      </c>
      <c r="R395" s="7" t="n">
        <f aca="false">IF(A395="",0,COUNTIFS($A$2:$A$3058,A395,$P$2:$P$3058,"OK"))</f>
        <v>1</v>
      </c>
      <c r="S395" s="7" t="str">
        <f aca="false">IF(OR(A395="",P395="DUP",R395&lt;2),"",IF(Q395=_xlfn.MINIFS($Q$2:$Q$3058,$A$2:$A$3058,A395,$P$2:$P$3058,"OK"),"KEEP","DROP"))</f>
        <v/>
      </c>
      <c r="T395" s="9" t="n">
        <f aca="false">IF(A395="",1,0)</f>
        <v>0</v>
      </c>
      <c r="U395" s="9" t="n">
        <f aca="false">IF(D395="",1,0)</f>
        <v>0</v>
      </c>
      <c r="V395" s="9" t="n">
        <f aca="false">IF(E395="",1,0)</f>
        <v>0</v>
      </c>
      <c r="W395" s="9" t="n">
        <f aca="false">IF(OR(H395&lt;1,H395&gt;10),1,0)</f>
        <v>0</v>
      </c>
      <c r="X395" s="9" t="n">
        <f aca="false">IF(OR(I395&lt;=0,I395&gt;1500),1,0)</f>
        <v>0</v>
      </c>
      <c r="Y395" s="9" t="n">
        <f aca="false">IF(J395&gt;H395*I395,1,0)</f>
        <v>0</v>
      </c>
      <c r="Z395" s="9" t="n">
        <f aca="false">IF(AND(N395&lt;&gt;"",OR(N395&lt;1,N395&gt;5)),1,0)</f>
        <v>0</v>
      </c>
      <c r="AA395" s="9" t="n">
        <f aca="false">IF(AND(M395&lt;&gt;"",OR(M395&lt;5,M395&gt;180)),1,0)</f>
        <v>0</v>
      </c>
      <c r="AB395" s="7" t="str">
        <f aca="false">IF(P395="DUP","Exact duplicate row",IF(T395=1,"Missing Order ID",IF(S395="DROP","Duplicate Order ID (less complete row)",IF(U395=1,"Missing Customer ID",IF(V395=1,"Missing Restaurant name",IF(W395=1,"Invalid/outlier quantity",IF(X395=1,"Invalid/outlier unit price",IF(Y395=1,"Discount greater than order value",""))))))))</f>
        <v/>
      </c>
      <c r="AC395" s="7" t="str">
        <f aca="false">IF(AB395="","KEEP","DROP")</f>
        <v>KEEP</v>
      </c>
      <c r="AD395" s="7" t="str">
        <f aca="false">IF(TRIM(F395)="",IFERROR(INDEX(Map_Tables!$I$4:$I$37,MATCH(TRIM(E395),Map_Tables!$G$4:$G$37,0)),""),IFERROR(INDEX(Map_Tables!$B$4:$B$18,MATCH(TRIM(F395),Map_Tables!$A$4:$A$18,0)),"CHECK"))</f>
        <v>Mumbai</v>
      </c>
      <c r="AE395" s="7" t="str">
        <f aca="false">IF(TRIM(E395)="","",IFERROR(INDEX(Map_Tables!$H$4:$H$37,MATCH(TRIM(E395),Map_Tables!$G$4:$G$37,0)),"CHECK"))</f>
        <v>Mumbai Pizza Co</v>
      </c>
      <c r="AF395" s="7" t="str">
        <f aca="false">IF(TRIM(K395)="","Unknown",IFERROR(INDEX(Map_Tables!$E$4:$E$15,MATCH(TRIM(K395),Map_Tables!$D$4:$D$15,0)),"CHECK"))</f>
        <v>Debit Card</v>
      </c>
      <c r="AG395" s="7" t="str">
        <f aca="false">IF(LEFT(LOWER(TRIM(L395)),6)="cancel","Cancelled","Delivered")</f>
        <v>Delivered</v>
      </c>
      <c r="AH395" s="10" t="n">
        <f aca="false">IF(ISNUMBER(SEARCH("/",B395)),DATE(VALUE(RIGHT(B395,4)),VALUE(MID(B395,4,2)),VALUE(LEFT(B395,2))),IF(MID(B395,5,1)="-",DATE(VALUE(LEFT(B395,4)),VALUE(MID(B395,6,2)),VALUE(RIGHT(B395,2))),DATE(VALUE(RIGHT(B395,4)),MATCH(MID(B395,4,3),{"Jan","Feb","Mar","Apr","May","Jun","Jul","Aug","Sep","Oct","Nov","Dec"},0),VALUE(LEFT(B395,2)))))</f>
        <v>45884</v>
      </c>
    </row>
    <row r="396" customFormat="false" ht="15" hidden="false" customHeight="false" outlineLevel="0" collapsed="false">
      <c r="A396" s="7" t="s">
        <v>1564</v>
      </c>
      <c r="B396" s="7" t="s">
        <v>309</v>
      </c>
      <c r="C396" s="7" t="s">
        <v>1565</v>
      </c>
      <c r="D396" s="7" t="s">
        <v>1566</v>
      </c>
      <c r="E396" s="7" t="s">
        <v>168</v>
      </c>
      <c r="F396" s="7" t="s">
        <v>146</v>
      </c>
      <c r="G396" s="7" t="s">
        <v>123</v>
      </c>
      <c r="H396" s="7" t="n">
        <v>2</v>
      </c>
      <c r="I396" s="7" t="n">
        <v>380</v>
      </c>
      <c r="J396" s="7" t="n">
        <v>0</v>
      </c>
      <c r="K396" s="7" t="s">
        <v>93</v>
      </c>
      <c r="L396" s="7" t="s">
        <v>194</v>
      </c>
      <c r="M396" s="7" t="n">
        <v>26</v>
      </c>
      <c r="N396" s="7" t="n">
        <v>4</v>
      </c>
      <c r="O396" s="7" t="str">
        <f aca="false">A396&amp;"|"&amp;B396&amp;"|"&amp;C396&amp;"|"&amp;D396&amp;"|"&amp;E396&amp;"|"&amp;F396&amp;"|"&amp;G396&amp;"|"&amp;H396&amp;"|"&amp;I396&amp;"|"&amp;J396&amp;"|"&amp;K396&amp;"|"&amp;L396&amp;"|"&amp;M396&amp;"|"&amp;N396</f>
        <v>ORD12825|2025-12-11|21:30|C0035|Cheesy Slice|Ahmedabad|Pizza|2|380|0|Credit Card|Delivered|26|4</v>
      </c>
      <c r="P396" s="7" t="str">
        <f aca="false">IF(COUNTIF($O$2:O396,O396)&gt;1,"DUP","OK")</f>
        <v>OK</v>
      </c>
      <c r="Q396" s="7" t="n">
        <f aca="false">COUNTBLANK(A396:N396)</f>
        <v>0</v>
      </c>
      <c r="R396" s="7" t="n">
        <f aca="false">IF(A396="",0,COUNTIFS($A$2:$A$3058,A396,$P$2:$P$3058,"OK"))</f>
        <v>1</v>
      </c>
      <c r="S396" s="7" t="str">
        <f aca="false">IF(OR(A396="",P396="DUP",R396&lt;2),"",IF(Q396=_xlfn.MINIFS($Q$2:$Q$3058,$A$2:$A$3058,A396,$P$2:$P$3058,"OK"),"KEEP","DROP"))</f>
        <v/>
      </c>
      <c r="T396" s="9" t="n">
        <f aca="false">IF(A396="",1,0)</f>
        <v>0</v>
      </c>
      <c r="U396" s="9" t="n">
        <f aca="false">IF(D396="",1,0)</f>
        <v>0</v>
      </c>
      <c r="V396" s="9" t="n">
        <f aca="false">IF(E396="",1,0)</f>
        <v>0</v>
      </c>
      <c r="W396" s="9" t="n">
        <f aca="false">IF(OR(H396&lt;1,H396&gt;10),1,0)</f>
        <v>0</v>
      </c>
      <c r="X396" s="9" t="n">
        <f aca="false">IF(OR(I396&lt;=0,I396&gt;1500),1,0)</f>
        <v>0</v>
      </c>
      <c r="Y396" s="9" t="n">
        <f aca="false">IF(J396&gt;H396*I396,1,0)</f>
        <v>0</v>
      </c>
      <c r="Z396" s="9" t="n">
        <f aca="false">IF(AND(N396&lt;&gt;"",OR(N396&lt;1,N396&gt;5)),1,0)</f>
        <v>0</v>
      </c>
      <c r="AA396" s="9" t="n">
        <f aca="false">IF(AND(M396&lt;&gt;"",OR(M396&lt;5,M396&gt;180)),1,0)</f>
        <v>0</v>
      </c>
      <c r="AB396" s="7" t="str">
        <f aca="false">IF(P396="DUP","Exact duplicate row",IF(T396=1,"Missing Order ID",IF(S396="DROP","Duplicate Order ID (less complete row)",IF(U396=1,"Missing Customer ID",IF(V396=1,"Missing Restaurant name",IF(W396=1,"Invalid/outlier quantity",IF(X396=1,"Invalid/outlier unit price",IF(Y396=1,"Discount greater than order value",""))))))))</f>
        <v/>
      </c>
      <c r="AC396" s="7" t="str">
        <f aca="false">IF(AB396="","KEEP","DROP")</f>
        <v>KEEP</v>
      </c>
      <c r="AD396" s="7" t="str">
        <f aca="false">IF(TRIM(F396)="",IFERROR(INDEX(Map_Tables!$I$4:$I$37,MATCH(TRIM(E396),Map_Tables!$G$4:$G$37,0)),""),IFERROR(INDEX(Map_Tables!$B$4:$B$18,MATCH(TRIM(F396),Map_Tables!$A$4:$A$18,0)),"CHECK"))</f>
        <v>Ahmedabad</v>
      </c>
      <c r="AE396" s="7" t="str">
        <f aca="false">IF(TRIM(E396)="","",IFERROR(INDEX(Map_Tables!$H$4:$H$37,MATCH(TRIM(E396),Map_Tables!$G$4:$G$37,0)),"CHECK"))</f>
        <v>Cheesy Slice</v>
      </c>
      <c r="AF396" s="7" t="str">
        <f aca="false">IF(TRIM(K396)="","Unknown",IFERROR(INDEX(Map_Tables!$E$4:$E$15,MATCH(TRIM(K396),Map_Tables!$D$4:$D$15,0)),"CHECK"))</f>
        <v>Credit Card</v>
      </c>
      <c r="AG396" s="7" t="str">
        <f aca="false">IF(LEFT(LOWER(TRIM(L396)),6)="cancel","Cancelled","Delivered")</f>
        <v>Delivered</v>
      </c>
      <c r="AH396" s="10" t="n">
        <f aca="false">IF(ISNUMBER(SEARCH("/",B396)),DATE(VALUE(RIGHT(B396,4)),VALUE(MID(B396,4,2)),VALUE(LEFT(B396,2))),IF(MID(B396,5,1)="-",DATE(VALUE(LEFT(B396,4)),VALUE(MID(B396,6,2)),VALUE(RIGHT(B396,2))),DATE(VALUE(RIGHT(B396,4)),MATCH(MID(B396,4,3),{"Jan","Feb","Mar","Apr","May","Jun","Jul","Aug","Sep","Oct","Nov","Dec"},0),VALUE(LEFT(B396,2)))))</f>
        <v>46002</v>
      </c>
    </row>
    <row r="397" customFormat="false" ht="15" hidden="false" customHeight="false" outlineLevel="0" collapsed="false">
      <c r="A397" s="7" t="s">
        <v>1567</v>
      </c>
      <c r="B397" s="7" t="s">
        <v>1568</v>
      </c>
      <c r="C397" s="7" t="s">
        <v>1569</v>
      </c>
      <c r="D397" s="7" t="s">
        <v>1570</v>
      </c>
      <c r="E397" s="7" t="s">
        <v>104</v>
      </c>
      <c r="F397" s="7" t="s">
        <v>86</v>
      </c>
      <c r="G397" s="7" t="s">
        <v>105</v>
      </c>
      <c r="H397" s="7" t="n">
        <v>2</v>
      </c>
      <c r="I397" s="7" t="n">
        <v>240</v>
      </c>
      <c r="J397" s="7" t="n">
        <v>0</v>
      </c>
      <c r="K397" s="7" t="s">
        <v>112</v>
      </c>
      <c r="L397" s="7" t="s">
        <v>194</v>
      </c>
      <c r="M397" s="7" t="n">
        <v>49</v>
      </c>
      <c r="N397" s="7" t="n">
        <v>2</v>
      </c>
      <c r="O397" s="7" t="str">
        <f aca="false">A397&amp;"|"&amp;B397&amp;"|"&amp;C397&amp;"|"&amp;D397&amp;"|"&amp;E397&amp;"|"&amp;F397&amp;"|"&amp;G397&amp;"|"&amp;H397&amp;"|"&amp;I397&amp;"|"&amp;J397&amp;"|"&amp;K397&amp;"|"&amp;L397&amp;"|"&amp;M397&amp;"|"&amp;N397</f>
        <v>ORD10653|24/03/2025|10:18|C0163|Wok &amp; Roll|Bengaluru|Chinese|2|240|0|Cash on Delivery|Delivered|49|2</v>
      </c>
      <c r="P397" s="7" t="str">
        <f aca="false">IF(COUNTIF($O$2:O397,O397)&gt;1,"DUP","OK")</f>
        <v>OK</v>
      </c>
      <c r="Q397" s="7" t="n">
        <f aca="false">COUNTBLANK(A397:N397)</f>
        <v>0</v>
      </c>
      <c r="R397" s="7" t="n">
        <f aca="false">IF(A397="",0,COUNTIFS($A$2:$A$3058,A397,$P$2:$P$3058,"OK"))</f>
        <v>1</v>
      </c>
      <c r="S397" s="7" t="str">
        <f aca="false">IF(OR(A397="",P397="DUP",R397&lt;2),"",IF(Q397=_xlfn.MINIFS($Q$2:$Q$3058,$A$2:$A$3058,A397,$P$2:$P$3058,"OK"),"KEEP","DROP"))</f>
        <v/>
      </c>
      <c r="T397" s="9" t="n">
        <f aca="false">IF(A397="",1,0)</f>
        <v>0</v>
      </c>
      <c r="U397" s="9" t="n">
        <f aca="false">IF(D397="",1,0)</f>
        <v>0</v>
      </c>
      <c r="V397" s="9" t="n">
        <f aca="false">IF(E397="",1,0)</f>
        <v>0</v>
      </c>
      <c r="W397" s="9" t="n">
        <f aca="false">IF(OR(H397&lt;1,H397&gt;10),1,0)</f>
        <v>0</v>
      </c>
      <c r="X397" s="9" t="n">
        <f aca="false">IF(OR(I397&lt;=0,I397&gt;1500),1,0)</f>
        <v>0</v>
      </c>
      <c r="Y397" s="9" t="n">
        <f aca="false">IF(J397&gt;H397*I397,1,0)</f>
        <v>0</v>
      </c>
      <c r="Z397" s="9" t="n">
        <f aca="false">IF(AND(N397&lt;&gt;"",OR(N397&lt;1,N397&gt;5)),1,0)</f>
        <v>0</v>
      </c>
      <c r="AA397" s="9" t="n">
        <f aca="false">IF(AND(M397&lt;&gt;"",OR(M397&lt;5,M397&gt;180)),1,0)</f>
        <v>0</v>
      </c>
      <c r="AB397" s="7" t="str">
        <f aca="false">IF(P397="DUP","Exact duplicate row",IF(T397=1,"Missing Order ID",IF(S397="DROP","Duplicate Order ID (less complete row)",IF(U397=1,"Missing Customer ID",IF(V397=1,"Missing Restaurant name",IF(W397=1,"Invalid/outlier quantity",IF(X397=1,"Invalid/outlier unit price",IF(Y397=1,"Discount greater than order value",""))))))))</f>
        <v/>
      </c>
      <c r="AC397" s="7" t="str">
        <f aca="false">IF(AB397="","KEEP","DROP")</f>
        <v>KEEP</v>
      </c>
      <c r="AD397" s="7" t="str">
        <f aca="false">IF(TRIM(F397)="",IFERROR(INDEX(Map_Tables!$I$4:$I$37,MATCH(TRIM(E397),Map_Tables!$G$4:$G$37,0)),""),IFERROR(INDEX(Map_Tables!$B$4:$B$18,MATCH(TRIM(F397),Map_Tables!$A$4:$A$18,0)),"CHECK"))</f>
        <v>Bengaluru</v>
      </c>
      <c r="AE397" s="7" t="str">
        <f aca="false">IF(TRIM(E397)="","",IFERROR(INDEX(Map_Tables!$H$4:$H$37,MATCH(TRIM(E397),Map_Tables!$G$4:$G$37,0)),"CHECK"))</f>
        <v>Wok &amp; Roll</v>
      </c>
      <c r="AF397" s="7" t="str">
        <f aca="false">IF(TRIM(K397)="","Unknown",IFERROR(INDEX(Map_Tables!$E$4:$E$15,MATCH(TRIM(K397),Map_Tables!$D$4:$D$15,0)),"CHECK"))</f>
        <v>Cash on Delivery</v>
      </c>
      <c r="AG397" s="7" t="str">
        <f aca="false">IF(LEFT(LOWER(TRIM(L397)),6)="cancel","Cancelled","Delivered")</f>
        <v>Delivered</v>
      </c>
      <c r="AH397" s="10" t="n">
        <f aca="false">IF(ISNUMBER(SEARCH("/",B397)),DATE(VALUE(RIGHT(B397,4)),VALUE(MID(B397,4,2)),VALUE(LEFT(B397,2))),IF(MID(B397,5,1)="-",DATE(VALUE(LEFT(B397,4)),VALUE(MID(B397,6,2)),VALUE(RIGHT(B397,2))),DATE(VALUE(RIGHT(B397,4)),MATCH(MID(B397,4,3),{"Jan","Feb","Mar","Apr","May","Jun","Jul","Aug","Sep","Oct","Nov","Dec"},0),VALUE(LEFT(B397,2)))))</f>
        <v>45740</v>
      </c>
    </row>
    <row r="398" customFormat="false" ht="15" hidden="false" customHeight="false" outlineLevel="0" collapsed="false">
      <c r="A398" s="7" t="s">
        <v>1571</v>
      </c>
      <c r="B398" s="7" t="s">
        <v>1316</v>
      </c>
      <c r="C398" s="7" t="s">
        <v>1572</v>
      </c>
      <c r="D398" s="7" t="s">
        <v>1573</v>
      </c>
      <c r="E398" s="7" t="s">
        <v>167</v>
      </c>
      <c r="F398" s="7" t="s">
        <v>146</v>
      </c>
      <c r="G398" s="7" t="s">
        <v>156</v>
      </c>
      <c r="H398" s="7" t="n">
        <v>2</v>
      </c>
      <c r="I398" s="7" t="n">
        <v>265</v>
      </c>
      <c r="J398" s="7" t="n">
        <v>0</v>
      </c>
      <c r="K398" s="7" t="s">
        <v>88</v>
      </c>
      <c r="L398" s="7" t="s">
        <v>457</v>
      </c>
      <c r="M398" s="7" t="n">
        <v>36</v>
      </c>
      <c r="N398" s="7" t="n">
        <v>3</v>
      </c>
      <c r="O398" s="7" t="str">
        <f aca="false">A398&amp;"|"&amp;B398&amp;"|"&amp;C398&amp;"|"&amp;D398&amp;"|"&amp;E398&amp;"|"&amp;F398&amp;"|"&amp;G398&amp;"|"&amp;H398&amp;"|"&amp;I398&amp;"|"&amp;J398&amp;"|"&amp;K398&amp;"|"&amp;L398&amp;"|"&amp;M398&amp;"|"&amp;N398</f>
        <v>ORD11516|2025-07-15|20:41|C0084|Fit Fuel Kitchen|Ahmedabad|Healthy Food|2|265|0|UPI|Delivered |36|3</v>
      </c>
      <c r="P398" s="7" t="str">
        <f aca="false">IF(COUNTIF($O$2:O398,O398)&gt;1,"DUP","OK")</f>
        <v>OK</v>
      </c>
      <c r="Q398" s="7" t="n">
        <f aca="false">COUNTBLANK(A398:N398)</f>
        <v>0</v>
      </c>
      <c r="R398" s="7" t="n">
        <f aca="false">IF(A398="",0,COUNTIFS($A$2:$A$3058,A398,$P$2:$P$3058,"OK"))</f>
        <v>1</v>
      </c>
      <c r="S398" s="7" t="str">
        <f aca="false">IF(OR(A398="",P398="DUP",R398&lt;2),"",IF(Q398=_xlfn.MINIFS($Q$2:$Q$3058,$A$2:$A$3058,A398,$P$2:$P$3058,"OK"),"KEEP","DROP"))</f>
        <v/>
      </c>
      <c r="T398" s="9" t="n">
        <f aca="false">IF(A398="",1,0)</f>
        <v>0</v>
      </c>
      <c r="U398" s="9" t="n">
        <f aca="false">IF(D398="",1,0)</f>
        <v>0</v>
      </c>
      <c r="V398" s="9" t="n">
        <f aca="false">IF(E398="",1,0)</f>
        <v>0</v>
      </c>
      <c r="W398" s="9" t="n">
        <f aca="false">IF(OR(H398&lt;1,H398&gt;10),1,0)</f>
        <v>0</v>
      </c>
      <c r="X398" s="9" t="n">
        <f aca="false">IF(OR(I398&lt;=0,I398&gt;1500),1,0)</f>
        <v>0</v>
      </c>
      <c r="Y398" s="9" t="n">
        <f aca="false">IF(J398&gt;H398*I398,1,0)</f>
        <v>0</v>
      </c>
      <c r="Z398" s="9" t="n">
        <f aca="false">IF(AND(N398&lt;&gt;"",OR(N398&lt;1,N398&gt;5)),1,0)</f>
        <v>0</v>
      </c>
      <c r="AA398" s="9" t="n">
        <f aca="false">IF(AND(M398&lt;&gt;"",OR(M398&lt;5,M398&gt;180)),1,0)</f>
        <v>0</v>
      </c>
      <c r="AB398" s="7" t="str">
        <f aca="false">IF(P398="DUP","Exact duplicate row",IF(T398=1,"Missing Order ID",IF(S398="DROP","Duplicate Order ID (less complete row)",IF(U398=1,"Missing Customer ID",IF(V398=1,"Missing Restaurant name",IF(W398=1,"Invalid/outlier quantity",IF(X398=1,"Invalid/outlier unit price",IF(Y398=1,"Discount greater than order value",""))))))))</f>
        <v/>
      </c>
      <c r="AC398" s="7" t="str">
        <f aca="false">IF(AB398="","KEEP","DROP")</f>
        <v>KEEP</v>
      </c>
      <c r="AD398" s="7" t="str">
        <f aca="false">IF(TRIM(F398)="",IFERROR(INDEX(Map_Tables!$I$4:$I$37,MATCH(TRIM(E398),Map_Tables!$G$4:$G$37,0)),""),IFERROR(INDEX(Map_Tables!$B$4:$B$18,MATCH(TRIM(F398),Map_Tables!$A$4:$A$18,0)),"CHECK"))</f>
        <v>Ahmedabad</v>
      </c>
      <c r="AE398" s="7" t="str">
        <f aca="false">IF(TRIM(E398)="","",IFERROR(INDEX(Map_Tables!$H$4:$H$37,MATCH(TRIM(E398),Map_Tables!$G$4:$G$37,0)),"CHECK"))</f>
        <v>Fit Fuel Kitchen</v>
      </c>
      <c r="AF398" s="7" t="str">
        <f aca="false">IF(TRIM(K398)="","Unknown",IFERROR(INDEX(Map_Tables!$E$4:$E$15,MATCH(TRIM(K398),Map_Tables!$D$4:$D$15,0)),"CHECK"))</f>
        <v>UPI</v>
      </c>
      <c r="AG398" s="7" t="str">
        <f aca="false">IF(LEFT(LOWER(TRIM(L398)),6)="cancel","Cancelled","Delivered")</f>
        <v>Delivered</v>
      </c>
      <c r="AH398" s="10" t="n">
        <f aca="false">IF(ISNUMBER(SEARCH("/",B398)),DATE(VALUE(RIGHT(B398,4)),VALUE(MID(B398,4,2)),VALUE(LEFT(B398,2))),IF(MID(B398,5,1)="-",DATE(VALUE(LEFT(B398,4)),VALUE(MID(B398,6,2)),VALUE(RIGHT(B398,2))),DATE(VALUE(RIGHT(B398,4)),MATCH(MID(B398,4,3),{"Jan","Feb","Mar","Apr","May","Jun","Jul","Aug","Sep","Oct","Nov","Dec"},0),VALUE(LEFT(B398,2)))))</f>
        <v>45853</v>
      </c>
    </row>
    <row r="399" customFormat="false" ht="15" hidden="false" customHeight="false" outlineLevel="0" collapsed="false">
      <c r="A399" s="7" t="s">
        <v>1574</v>
      </c>
      <c r="B399" s="7" t="s">
        <v>1575</v>
      </c>
      <c r="C399" s="7" t="s">
        <v>839</v>
      </c>
      <c r="D399" s="7" t="s">
        <v>1576</v>
      </c>
      <c r="E399" s="7" t="s">
        <v>116</v>
      </c>
      <c r="F399" s="7" t="s">
        <v>101</v>
      </c>
      <c r="G399" s="7" t="s">
        <v>117</v>
      </c>
      <c r="H399" s="7" t="n">
        <v>2</v>
      </c>
      <c r="I399" s="7" t="n">
        <v>130</v>
      </c>
      <c r="J399" s="7" t="n">
        <v>104</v>
      </c>
      <c r="K399" s="7" t="s">
        <v>88</v>
      </c>
      <c r="L399" s="7" t="s">
        <v>194</v>
      </c>
      <c r="M399" s="7" t="n">
        <v>45</v>
      </c>
      <c r="N399" s="7" t="n">
        <v>3</v>
      </c>
      <c r="O399" s="7" t="str">
        <f aca="false">A399&amp;"|"&amp;B399&amp;"|"&amp;C399&amp;"|"&amp;D399&amp;"|"&amp;E399&amp;"|"&amp;F399&amp;"|"&amp;G399&amp;"|"&amp;H399&amp;"|"&amp;I399&amp;"|"&amp;J399&amp;"|"&amp;K399&amp;"|"&amp;L399&amp;"|"&amp;M399&amp;"|"&amp;N399</f>
        <v>ORD10527|09/03/2025|19:46|C0444|Pav Bhaji Point|Mumbai|Street Food|2|130|104|UPI|Delivered|45|3</v>
      </c>
      <c r="P399" s="7" t="str">
        <f aca="false">IF(COUNTIF($O$2:O399,O399)&gt;1,"DUP","OK")</f>
        <v>OK</v>
      </c>
      <c r="Q399" s="7" t="n">
        <f aca="false">COUNTBLANK(A399:N399)</f>
        <v>0</v>
      </c>
      <c r="R399" s="7" t="n">
        <f aca="false">IF(A399="",0,COUNTIFS($A$2:$A$3058,A399,$P$2:$P$3058,"OK"))</f>
        <v>1</v>
      </c>
      <c r="S399" s="7" t="str">
        <f aca="false">IF(OR(A399="",P399="DUP",R399&lt;2),"",IF(Q399=_xlfn.MINIFS($Q$2:$Q$3058,$A$2:$A$3058,A399,$P$2:$P$3058,"OK"),"KEEP","DROP"))</f>
        <v/>
      </c>
      <c r="T399" s="9" t="n">
        <f aca="false">IF(A399="",1,0)</f>
        <v>0</v>
      </c>
      <c r="U399" s="9" t="n">
        <f aca="false">IF(D399="",1,0)</f>
        <v>0</v>
      </c>
      <c r="V399" s="9" t="n">
        <f aca="false">IF(E399="",1,0)</f>
        <v>0</v>
      </c>
      <c r="W399" s="9" t="n">
        <f aca="false">IF(OR(H399&lt;1,H399&gt;10),1,0)</f>
        <v>0</v>
      </c>
      <c r="X399" s="9" t="n">
        <f aca="false">IF(OR(I399&lt;=0,I399&gt;1500),1,0)</f>
        <v>0</v>
      </c>
      <c r="Y399" s="9" t="n">
        <f aca="false">IF(J399&gt;H399*I399,1,0)</f>
        <v>0</v>
      </c>
      <c r="Z399" s="9" t="n">
        <f aca="false">IF(AND(N399&lt;&gt;"",OR(N399&lt;1,N399&gt;5)),1,0)</f>
        <v>0</v>
      </c>
      <c r="AA399" s="9" t="n">
        <f aca="false">IF(AND(M399&lt;&gt;"",OR(M399&lt;5,M399&gt;180)),1,0)</f>
        <v>0</v>
      </c>
      <c r="AB399" s="7" t="str">
        <f aca="false">IF(P399="DUP","Exact duplicate row",IF(T399=1,"Missing Order ID",IF(S399="DROP","Duplicate Order ID (less complete row)",IF(U399=1,"Missing Customer ID",IF(V399=1,"Missing Restaurant name",IF(W399=1,"Invalid/outlier quantity",IF(X399=1,"Invalid/outlier unit price",IF(Y399=1,"Discount greater than order value",""))))))))</f>
        <v/>
      </c>
      <c r="AC399" s="7" t="str">
        <f aca="false">IF(AB399="","KEEP","DROP")</f>
        <v>KEEP</v>
      </c>
      <c r="AD399" s="7" t="str">
        <f aca="false">IF(TRIM(F399)="",IFERROR(INDEX(Map_Tables!$I$4:$I$37,MATCH(TRIM(E399),Map_Tables!$G$4:$G$37,0)),""),IFERROR(INDEX(Map_Tables!$B$4:$B$18,MATCH(TRIM(F399),Map_Tables!$A$4:$A$18,0)),"CHECK"))</f>
        <v>Mumbai</v>
      </c>
      <c r="AE399" s="7" t="str">
        <f aca="false">IF(TRIM(E399)="","",IFERROR(INDEX(Map_Tables!$H$4:$H$37,MATCH(TRIM(E399),Map_Tables!$G$4:$G$37,0)),"CHECK"))</f>
        <v>Pav Bhaji Point</v>
      </c>
      <c r="AF399" s="7" t="str">
        <f aca="false">IF(TRIM(K399)="","Unknown",IFERROR(INDEX(Map_Tables!$E$4:$E$15,MATCH(TRIM(K399),Map_Tables!$D$4:$D$15,0)),"CHECK"))</f>
        <v>UPI</v>
      </c>
      <c r="AG399" s="7" t="str">
        <f aca="false">IF(LEFT(LOWER(TRIM(L399)),6)="cancel","Cancelled","Delivered")</f>
        <v>Delivered</v>
      </c>
      <c r="AH399" s="10" t="n">
        <f aca="false">IF(ISNUMBER(SEARCH("/",B399)),DATE(VALUE(RIGHT(B399,4)),VALUE(MID(B399,4,2)),VALUE(LEFT(B399,2))),IF(MID(B399,5,1)="-",DATE(VALUE(LEFT(B399,4)),VALUE(MID(B399,6,2)),VALUE(RIGHT(B399,2))),DATE(VALUE(RIGHT(B399,4)),MATCH(MID(B399,4,3),{"Jan","Feb","Mar","Apr","May","Jun","Jul","Aug","Sep","Oct","Nov","Dec"},0),VALUE(LEFT(B399,2)))))</f>
        <v>45725</v>
      </c>
    </row>
    <row r="400" customFormat="false" ht="15" hidden="false" customHeight="false" outlineLevel="0" collapsed="false">
      <c r="A400" s="7" t="s">
        <v>1577</v>
      </c>
      <c r="B400" s="7" t="s">
        <v>1538</v>
      </c>
      <c r="C400" s="7" t="s">
        <v>1578</v>
      </c>
      <c r="D400" s="7" t="s">
        <v>1579</v>
      </c>
      <c r="E400" s="7" t="s">
        <v>116</v>
      </c>
      <c r="F400" s="7" t="s">
        <v>101</v>
      </c>
      <c r="G400" s="7" t="s">
        <v>117</v>
      </c>
      <c r="H400" s="7" t="n">
        <v>3</v>
      </c>
      <c r="I400" s="7" t="n">
        <v>125</v>
      </c>
      <c r="J400" s="7" t="n">
        <v>0</v>
      </c>
      <c r="K400" s="7" t="s">
        <v>88</v>
      </c>
      <c r="L400" s="7" t="s">
        <v>194</v>
      </c>
      <c r="M400" s="7" t="n">
        <v>42</v>
      </c>
      <c r="N400" s="7" t="n">
        <v>4</v>
      </c>
      <c r="O400" s="7" t="str">
        <f aca="false">A400&amp;"|"&amp;B400&amp;"|"&amp;C400&amp;"|"&amp;D400&amp;"|"&amp;E400&amp;"|"&amp;F400&amp;"|"&amp;G400&amp;"|"&amp;H400&amp;"|"&amp;I400&amp;"|"&amp;J400&amp;"|"&amp;K400&amp;"|"&amp;L400&amp;"|"&amp;M400&amp;"|"&amp;N400</f>
        <v>ORD11847|2025-08-28|21:28|C0319|Pav Bhaji Point|Mumbai|Street Food|3|125|0|UPI|Delivered|42|4</v>
      </c>
      <c r="P400" s="7" t="str">
        <f aca="false">IF(COUNTIF($O$2:O400,O400)&gt;1,"DUP","OK")</f>
        <v>OK</v>
      </c>
      <c r="Q400" s="7" t="n">
        <f aca="false">COUNTBLANK(A400:N400)</f>
        <v>0</v>
      </c>
      <c r="R400" s="7" t="n">
        <f aca="false">IF(A400="",0,COUNTIFS($A$2:$A$3058,A400,$P$2:$P$3058,"OK"))</f>
        <v>1</v>
      </c>
      <c r="S400" s="7" t="str">
        <f aca="false">IF(OR(A400="",P400="DUP",R400&lt;2),"",IF(Q400=_xlfn.MINIFS($Q$2:$Q$3058,$A$2:$A$3058,A400,$P$2:$P$3058,"OK"),"KEEP","DROP"))</f>
        <v/>
      </c>
      <c r="T400" s="9" t="n">
        <f aca="false">IF(A400="",1,0)</f>
        <v>0</v>
      </c>
      <c r="U400" s="9" t="n">
        <f aca="false">IF(D400="",1,0)</f>
        <v>0</v>
      </c>
      <c r="V400" s="9" t="n">
        <f aca="false">IF(E400="",1,0)</f>
        <v>0</v>
      </c>
      <c r="W400" s="9" t="n">
        <f aca="false">IF(OR(H400&lt;1,H400&gt;10),1,0)</f>
        <v>0</v>
      </c>
      <c r="X400" s="9" t="n">
        <f aca="false">IF(OR(I400&lt;=0,I400&gt;1500),1,0)</f>
        <v>0</v>
      </c>
      <c r="Y400" s="9" t="n">
        <f aca="false">IF(J400&gt;H400*I400,1,0)</f>
        <v>0</v>
      </c>
      <c r="Z400" s="9" t="n">
        <f aca="false">IF(AND(N400&lt;&gt;"",OR(N400&lt;1,N400&gt;5)),1,0)</f>
        <v>0</v>
      </c>
      <c r="AA400" s="9" t="n">
        <f aca="false">IF(AND(M400&lt;&gt;"",OR(M400&lt;5,M400&gt;180)),1,0)</f>
        <v>0</v>
      </c>
      <c r="AB400" s="7" t="str">
        <f aca="false">IF(P400="DUP","Exact duplicate row",IF(T400=1,"Missing Order ID",IF(S400="DROP","Duplicate Order ID (less complete row)",IF(U400=1,"Missing Customer ID",IF(V400=1,"Missing Restaurant name",IF(W400=1,"Invalid/outlier quantity",IF(X400=1,"Invalid/outlier unit price",IF(Y400=1,"Discount greater than order value",""))))))))</f>
        <v/>
      </c>
      <c r="AC400" s="7" t="str">
        <f aca="false">IF(AB400="","KEEP","DROP")</f>
        <v>KEEP</v>
      </c>
      <c r="AD400" s="7" t="str">
        <f aca="false">IF(TRIM(F400)="",IFERROR(INDEX(Map_Tables!$I$4:$I$37,MATCH(TRIM(E400),Map_Tables!$G$4:$G$37,0)),""),IFERROR(INDEX(Map_Tables!$B$4:$B$18,MATCH(TRIM(F400),Map_Tables!$A$4:$A$18,0)),"CHECK"))</f>
        <v>Mumbai</v>
      </c>
      <c r="AE400" s="7" t="str">
        <f aca="false">IF(TRIM(E400)="","",IFERROR(INDEX(Map_Tables!$H$4:$H$37,MATCH(TRIM(E400),Map_Tables!$G$4:$G$37,0)),"CHECK"))</f>
        <v>Pav Bhaji Point</v>
      </c>
      <c r="AF400" s="7" t="str">
        <f aca="false">IF(TRIM(K400)="","Unknown",IFERROR(INDEX(Map_Tables!$E$4:$E$15,MATCH(TRIM(K400),Map_Tables!$D$4:$D$15,0)),"CHECK"))</f>
        <v>UPI</v>
      </c>
      <c r="AG400" s="7" t="str">
        <f aca="false">IF(LEFT(LOWER(TRIM(L400)),6)="cancel","Cancelled","Delivered")</f>
        <v>Delivered</v>
      </c>
      <c r="AH400" s="10" t="n">
        <f aca="false">IF(ISNUMBER(SEARCH("/",B400)),DATE(VALUE(RIGHT(B400,4)),VALUE(MID(B400,4,2)),VALUE(LEFT(B400,2))),IF(MID(B400,5,1)="-",DATE(VALUE(LEFT(B400,4)),VALUE(MID(B400,6,2)),VALUE(RIGHT(B400,2))),DATE(VALUE(RIGHT(B400,4)),MATCH(MID(B400,4,3),{"Jan","Feb","Mar","Apr","May","Jun","Jul","Aug","Sep","Oct","Nov","Dec"},0),VALUE(LEFT(B400,2)))))</f>
        <v>45897</v>
      </c>
    </row>
    <row r="401" customFormat="false" ht="15" hidden="false" customHeight="false" outlineLevel="0" collapsed="false">
      <c r="A401" s="7" t="s">
        <v>1580</v>
      </c>
      <c r="B401" s="7" t="s">
        <v>637</v>
      </c>
      <c r="C401" s="7" t="s">
        <v>1581</v>
      </c>
      <c r="D401" s="7" t="s">
        <v>520</v>
      </c>
      <c r="E401" s="7" t="s">
        <v>1582</v>
      </c>
      <c r="F401" s="7" t="s">
        <v>128</v>
      </c>
      <c r="G401" s="7" t="s">
        <v>95</v>
      </c>
      <c r="H401" s="7" t="n">
        <v>5</v>
      </c>
      <c r="I401" s="7" t="n">
        <v>185</v>
      </c>
      <c r="J401" s="7" t="n">
        <v>0</v>
      </c>
      <c r="K401" s="7" t="s">
        <v>112</v>
      </c>
      <c r="L401" s="7" t="s">
        <v>194</v>
      </c>
      <c r="M401" s="7" t="n">
        <v>29</v>
      </c>
      <c r="N401" s="7" t="n">
        <v>4</v>
      </c>
      <c r="O401" s="7" t="str">
        <f aca="false">A401&amp;"|"&amp;B401&amp;"|"&amp;C401&amp;"|"&amp;D401&amp;"|"&amp;E401&amp;"|"&amp;F401&amp;"|"&amp;G401&amp;"|"&amp;H401&amp;"|"&amp;I401&amp;"|"&amp;J401&amp;"|"&amp;K401&amp;"|"&amp;L401&amp;"|"&amp;M401&amp;"|"&amp;N401</f>
        <v>ORD12755|2025-12-02|23:53|C1338|Chettinad House |Chennai|South Indian|5|185|0|Cash on Delivery|Delivered|29|4</v>
      </c>
      <c r="P401" s="7" t="str">
        <f aca="false">IF(COUNTIF($O$2:O401,O401)&gt;1,"DUP","OK")</f>
        <v>OK</v>
      </c>
      <c r="Q401" s="7" t="n">
        <f aca="false">COUNTBLANK(A401:N401)</f>
        <v>0</v>
      </c>
      <c r="R401" s="7" t="n">
        <f aca="false">IF(A401="",0,COUNTIFS($A$2:$A$3058,A401,$P$2:$P$3058,"OK"))</f>
        <v>1</v>
      </c>
      <c r="S401" s="7" t="str">
        <f aca="false">IF(OR(A401="",P401="DUP",R401&lt;2),"",IF(Q401=_xlfn.MINIFS($Q$2:$Q$3058,$A$2:$A$3058,A401,$P$2:$P$3058,"OK"),"KEEP","DROP"))</f>
        <v/>
      </c>
      <c r="T401" s="9" t="n">
        <f aca="false">IF(A401="",1,0)</f>
        <v>0</v>
      </c>
      <c r="U401" s="9" t="n">
        <f aca="false">IF(D401="",1,0)</f>
        <v>0</v>
      </c>
      <c r="V401" s="9" t="n">
        <f aca="false">IF(E401="",1,0)</f>
        <v>0</v>
      </c>
      <c r="W401" s="9" t="n">
        <f aca="false">IF(OR(H401&lt;1,H401&gt;10),1,0)</f>
        <v>0</v>
      </c>
      <c r="X401" s="9" t="n">
        <f aca="false">IF(OR(I401&lt;=0,I401&gt;1500),1,0)</f>
        <v>0</v>
      </c>
      <c r="Y401" s="9" t="n">
        <f aca="false">IF(J401&gt;H401*I401,1,0)</f>
        <v>0</v>
      </c>
      <c r="Z401" s="9" t="n">
        <f aca="false">IF(AND(N401&lt;&gt;"",OR(N401&lt;1,N401&gt;5)),1,0)</f>
        <v>0</v>
      </c>
      <c r="AA401" s="9" t="n">
        <f aca="false">IF(AND(M401&lt;&gt;"",OR(M401&lt;5,M401&gt;180)),1,0)</f>
        <v>0</v>
      </c>
      <c r="AB401" s="7" t="str">
        <f aca="false">IF(P401="DUP","Exact duplicate row",IF(T401=1,"Missing Order ID",IF(S401="DROP","Duplicate Order ID (less complete row)",IF(U401=1,"Missing Customer ID",IF(V401=1,"Missing Restaurant name",IF(W401=1,"Invalid/outlier quantity",IF(X401=1,"Invalid/outlier unit price",IF(Y401=1,"Discount greater than order value",""))))))))</f>
        <v/>
      </c>
      <c r="AC401" s="7" t="str">
        <f aca="false">IF(AB401="","KEEP","DROP")</f>
        <v>KEEP</v>
      </c>
      <c r="AD401" s="7" t="str">
        <f aca="false">IF(TRIM(F401)="",IFERROR(INDEX(Map_Tables!$I$4:$I$37,MATCH(TRIM(E401),Map_Tables!$G$4:$G$37,0)),""),IFERROR(INDEX(Map_Tables!$B$4:$B$18,MATCH(TRIM(F401),Map_Tables!$A$4:$A$18,0)),"CHECK"))</f>
        <v>Chennai</v>
      </c>
      <c r="AE401" s="7" t="str">
        <f aca="false">IF(TRIM(E401)="","",IFERROR(INDEX(Map_Tables!$H$4:$H$37,MATCH(TRIM(E401),Map_Tables!$G$4:$G$37,0)),"CHECK"))</f>
        <v>Chettinad House</v>
      </c>
      <c r="AF401" s="7" t="str">
        <f aca="false">IF(TRIM(K401)="","Unknown",IFERROR(INDEX(Map_Tables!$E$4:$E$15,MATCH(TRIM(K401),Map_Tables!$D$4:$D$15,0)),"CHECK"))</f>
        <v>Cash on Delivery</v>
      </c>
      <c r="AG401" s="7" t="str">
        <f aca="false">IF(LEFT(LOWER(TRIM(L401)),6)="cancel","Cancelled","Delivered")</f>
        <v>Delivered</v>
      </c>
      <c r="AH401" s="10" t="n">
        <f aca="false">IF(ISNUMBER(SEARCH("/",B401)),DATE(VALUE(RIGHT(B401,4)),VALUE(MID(B401,4,2)),VALUE(LEFT(B401,2))),IF(MID(B401,5,1)="-",DATE(VALUE(LEFT(B401,4)),VALUE(MID(B401,6,2)),VALUE(RIGHT(B401,2))),DATE(VALUE(RIGHT(B401,4)),MATCH(MID(B401,4,3),{"Jan","Feb","Mar","Apr","May","Jun","Jul","Aug","Sep","Oct","Nov","Dec"},0),VALUE(LEFT(B401,2)))))</f>
        <v>45993</v>
      </c>
    </row>
    <row r="402" customFormat="false" ht="15" hidden="false" customHeight="false" outlineLevel="0" collapsed="false">
      <c r="A402" s="7" t="s">
        <v>1583</v>
      </c>
      <c r="B402" s="7" t="s">
        <v>1150</v>
      </c>
      <c r="C402" s="7" t="s">
        <v>1269</v>
      </c>
      <c r="D402" s="7" t="s">
        <v>1584</v>
      </c>
      <c r="E402" s="7" t="s">
        <v>158</v>
      </c>
      <c r="F402" s="7" t="s">
        <v>136</v>
      </c>
      <c r="G402" s="7" t="s">
        <v>139</v>
      </c>
      <c r="H402" s="7" t="n">
        <v>5</v>
      </c>
      <c r="I402" s="7" t="n">
        <v>225</v>
      </c>
      <c r="J402" s="7" t="n">
        <v>40</v>
      </c>
      <c r="K402" s="7" t="s">
        <v>87</v>
      </c>
      <c r="L402" s="7" t="s">
        <v>194</v>
      </c>
      <c r="M402" s="7" t="n">
        <v>35</v>
      </c>
      <c r="N402" s="7" t="n">
        <v>5</v>
      </c>
      <c r="O402" s="7" t="str">
        <f aca="false">A402&amp;"|"&amp;B402&amp;"|"&amp;C402&amp;"|"&amp;D402&amp;"|"&amp;E402&amp;"|"&amp;F402&amp;"|"&amp;G402&amp;"|"&amp;H402&amp;"|"&amp;I402&amp;"|"&amp;J402&amp;"|"&amp;K402&amp;"|"&amp;L402&amp;"|"&amp;M402&amp;"|"&amp;N402</f>
        <v>ORD10533|2025-03-10|10:42|C0707|Pune Burger Hub|Pune|Burgers|5|225|40|upi|Delivered|35|5</v>
      </c>
      <c r="P402" s="7" t="str">
        <f aca="false">IF(COUNTIF($O$2:O402,O402)&gt;1,"DUP","OK")</f>
        <v>OK</v>
      </c>
      <c r="Q402" s="7" t="n">
        <f aca="false">COUNTBLANK(A402:N402)</f>
        <v>0</v>
      </c>
      <c r="R402" s="7" t="n">
        <f aca="false">IF(A402="",0,COUNTIFS($A$2:$A$3058,A402,$P$2:$P$3058,"OK"))</f>
        <v>1</v>
      </c>
      <c r="S402" s="7" t="str">
        <f aca="false">IF(OR(A402="",P402="DUP",R402&lt;2),"",IF(Q402=_xlfn.MINIFS($Q$2:$Q$3058,$A$2:$A$3058,A402,$P$2:$P$3058,"OK"),"KEEP","DROP"))</f>
        <v/>
      </c>
      <c r="T402" s="9" t="n">
        <f aca="false">IF(A402="",1,0)</f>
        <v>0</v>
      </c>
      <c r="U402" s="9" t="n">
        <f aca="false">IF(D402="",1,0)</f>
        <v>0</v>
      </c>
      <c r="V402" s="9" t="n">
        <f aca="false">IF(E402="",1,0)</f>
        <v>0</v>
      </c>
      <c r="W402" s="9" t="n">
        <f aca="false">IF(OR(H402&lt;1,H402&gt;10),1,0)</f>
        <v>0</v>
      </c>
      <c r="X402" s="9" t="n">
        <f aca="false">IF(OR(I402&lt;=0,I402&gt;1500),1,0)</f>
        <v>0</v>
      </c>
      <c r="Y402" s="9" t="n">
        <f aca="false">IF(J402&gt;H402*I402,1,0)</f>
        <v>0</v>
      </c>
      <c r="Z402" s="9" t="n">
        <f aca="false">IF(AND(N402&lt;&gt;"",OR(N402&lt;1,N402&gt;5)),1,0)</f>
        <v>0</v>
      </c>
      <c r="AA402" s="9" t="n">
        <f aca="false">IF(AND(M402&lt;&gt;"",OR(M402&lt;5,M402&gt;180)),1,0)</f>
        <v>0</v>
      </c>
      <c r="AB402" s="7" t="str">
        <f aca="false">IF(P402="DUP","Exact duplicate row",IF(T402=1,"Missing Order ID",IF(S402="DROP","Duplicate Order ID (less complete row)",IF(U402=1,"Missing Customer ID",IF(V402=1,"Missing Restaurant name",IF(W402=1,"Invalid/outlier quantity",IF(X402=1,"Invalid/outlier unit price",IF(Y402=1,"Discount greater than order value",""))))))))</f>
        <v/>
      </c>
      <c r="AC402" s="7" t="str">
        <f aca="false">IF(AB402="","KEEP","DROP")</f>
        <v>KEEP</v>
      </c>
      <c r="AD402" s="7" t="str">
        <f aca="false">IF(TRIM(F402)="",IFERROR(INDEX(Map_Tables!$I$4:$I$37,MATCH(TRIM(E402),Map_Tables!$G$4:$G$37,0)),""),IFERROR(INDEX(Map_Tables!$B$4:$B$18,MATCH(TRIM(F402),Map_Tables!$A$4:$A$18,0)),"CHECK"))</f>
        <v>Pune</v>
      </c>
      <c r="AE402" s="7" t="str">
        <f aca="false">IF(TRIM(E402)="","",IFERROR(INDEX(Map_Tables!$H$4:$H$37,MATCH(TRIM(E402),Map_Tables!$G$4:$G$37,0)),"CHECK"))</f>
        <v>Pune Burger Hub</v>
      </c>
      <c r="AF402" s="7" t="str">
        <f aca="false">IF(TRIM(K402)="","Unknown",IFERROR(INDEX(Map_Tables!$E$4:$E$15,MATCH(TRIM(K402),Map_Tables!$D$4:$D$15,0)),"CHECK"))</f>
        <v>UPI</v>
      </c>
      <c r="AG402" s="7" t="str">
        <f aca="false">IF(LEFT(LOWER(TRIM(L402)),6)="cancel","Cancelled","Delivered")</f>
        <v>Delivered</v>
      </c>
      <c r="AH402" s="10" t="n">
        <f aca="false">IF(ISNUMBER(SEARCH("/",B402)),DATE(VALUE(RIGHT(B402,4)),VALUE(MID(B402,4,2)),VALUE(LEFT(B402,2))),IF(MID(B402,5,1)="-",DATE(VALUE(LEFT(B402,4)),VALUE(MID(B402,6,2)),VALUE(RIGHT(B402,2))),DATE(VALUE(RIGHT(B402,4)),MATCH(MID(B402,4,3),{"Jan","Feb","Mar","Apr","May","Jun","Jul","Aug","Sep","Oct","Nov","Dec"},0),VALUE(LEFT(B402,2)))))</f>
        <v>45726</v>
      </c>
    </row>
    <row r="403" customFormat="false" ht="15" hidden="false" customHeight="false" outlineLevel="0" collapsed="false">
      <c r="A403" s="7" t="s">
        <v>1585</v>
      </c>
      <c r="B403" s="7" t="s">
        <v>795</v>
      </c>
      <c r="C403" s="7" t="s">
        <v>1586</v>
      </c>
      <c r="D403" s="7" t="s">
        <v>1587</v>
      </c>
      <c r="E403" s="7" t="s">
        <v>94</v>
      </c>
      <c r="F403" s="7" t="s">
        <v>86</v>
      </c>
      <c r="G403" s="7" t="s">
        <v>95</v>
      </c>
      <c r="H403" s="7" t="n">
        <v>4</v>
      </c>
      <c r="I403" s="7" t="n">
        <v>120</v>
      </c>
      <c r="J403" s="7" t="n">
        <v>100</v>
      </c>
      <c r="K403" s="7" t="s">
        <v>103</v>
      </c>
      <c r="L403" s="7" t="s">
        <v>194</v>
      </c>
      <c r="M403" s="7" t="n">
        <v>37</v>
      </c>
      <c r="N403" s="7"/>
      <c r="O403" s="7" t="str">
        <f aca="false">A403&amp;"|"&amp;B403&amp;"|"&amp;C403&amp;"|"&amp;D403&amp;"|"&amp;E403&amp;"|"&amp;F403&amp;"|"&amp;G403&amp;"|"&amp;H403&amp;"|"&amp;I403&amp;"|"&amp;J403&amp;"|"&amp;K403&amp;"|"&amp;L403&amp;"|"&amp;M403&amp;"|"&amp;N403</f>
        <v>ORD11482|2025-07-12|10:02|C1356|Dosa Darbar|Bengaluru|South Indian|4|120|100|Debit Card|Delivered|37|</v>
      </c>
      <c r="P403" s="7" t="str">
        <f aca="false">IF(COUNTIF($O$2:O403,O403)&gt;1,"DUP","OK")</f>
        <v>OK</v>
      </c>
      <c r="Q403" s="7" t="n">
        <f aca="false">COUNTBLANK(A403:N403)</f>
        <v>1</v>
      </c>
      <c r="R403" s="7" t="n">
        <f aca="false">IF(A403="",0,COUNTIFS($A$2:$A$3058,A403,$P$2:$P$3058,"OK"))</f>
        <v>1</v>
      </c>
      <c r="S403" s="7" t="str">
        <f aca="false">IF(OR(A403="",P403="DUP",R403&lt;2),"",IF(Q403=_xlfn.MINIFS($Q$2:$Q$3058,$A$2:$A$3058,A403,$P$2:$P$3058,"OK"),"KEEP","DROP"))</f>
        <v/>
      </c>
      <c r="T403" s="9" t="n">
        <f aca="false">IF(A403="",1,0)</f>
        <v>0</v>
      </c>
      <c r="U403" s="9" t="n">
        <f aca="false">IF(D403="",1,0)</f>
        <v>0</v>
      </c>
      <c r="V403" s="9" t="n">
        <f aca="false">IF(E403="",1,0)</f>
        <v>0</v>
      </c>
      <c r="W403" s="9" t="n">
        <f aca="false">IF(OR(H403&lt;1,H403&gt;10),1,0)</f>
        <v>0</v>
      </c>
      <c r="X403" s="9" t="n">
        <f aca="false">IF(OR(I403&lt;=0,I403&gt;1500),1,0)</f>
        <v>0</v>
      </c>
      <c r="Y403" s="9" t="n">
        <f aca="false">IF(J403&gt;H403*I403,1,0)</f>
        <v>0</v>
      </c>
      <c r="Z403" s="9" t="n">
        <f aca="false">IF(AND(N403&lt;&gt;"",OR(N403&lt;1,N403&gt;5)),1,0)</f>
        <v>0</v>
      </c>
      <c r="AA403" s="9" t="n">
        <f aca="false">IF(AND(M403&lt;&gt;"",OR(M403&lt;5,M403&gt;180)),1,0)</f>
        <v>0</v>
      </c>
      <c r="AB403" s="7" t="str">
        <f aca="false">IF(P403="DUP","Exact duplicate row",IF(T403=1,"Missing Order ID",IF(S403="DROP","Duplicate Order ID (less complete row)",IF(U403=1,"Missing Customer ID",IF(V403=1,"Missing Restaurant name",IF(W403=1,"Invalid/outlier quantity",IF(X403=1,"Invalid/outlier unit price",IF(Y403=1,"Discount greater than order value",""))))))))</f>
        <v/>
      </c>
      <c r="AC403" s="7" t="str">
        <f aca="false">IF(AB403="","KEEP","DROP")</f>
        <v>KEEP</v>
      </c>
      <c r="AD403" s="7" t="str">
        <f aca="false">IF(TRIM(F403)="",IFERROR(INDEX(Map_Tables!$I$4:$I$37,MATCH(TRIM(E403),Map_Tables!$G$4:$G$37,0)),""),IFERROR(INDEX(Map_Tables!$B$4:$B$18,MATCH(TRIM(F403),Map_Tables!$A$4:$A$18,0)),"CHECK"))</f>
        <v>Bengaluru</v>
      </c>
      <c r="AE403" s="7" t="str">
        <f aca="false">IF(TRIM(E403)="","",IFERROR(INDEX(Map_Tables!$H$4:$H$37,MATCH(TRIM(E403),Map_Tables!$G$4:$G$37,0)),"CHECK"))</f>
        <v>Dosa Darbar</v>
      </c>
      <c r="AF403" s="7" t="str">
        <f aca="false">IF(TRIM(K403)="","Unknown",IFERROR(INDEX(Map_Tables!$E$4:$E$15,MATCH(TRIM(K403),Map_Tables!$D$4:$D$15,0)),"CHECK"))</f>
        <v>Debit Card</v>
      </c>
      <c r="AG403" s="7" t="str">
        <f aca="false">IF(LEFT(LOWER(TRIM(L403)),6)="cancel","Cancelled","Delivered")</f>
        <v>Delivered</v>
      </c>
      <c r="AH403" s="10" t="n">
        <f aca="false">IF(ISNUMBER(SEARCH("/",B403)),DATE(VALUE(RIGHT(B403,4)),VALUE(MID(B403,4,2)),VALUE(LEFT(B403,2))),IF(MID(B403,5,1)="-",DATE(VALUE(LEFT(B403,4)),VALUE(MID(B403,6,2)),VALUE(RIGHT(B403,2))),DATE(VALUE(RIGHT(B403,4)),MATCH(MID(B403,4,3),{"Jan","Feb","Mar","Apr","May","Jun","Jul","Aug","Sep","Oct","Nov","Dec"},0),VALUE(LEFT(B403,2)))))</f>
        <v>45850</v>
      </c>
    </row>
    <row r="404" customFormat="false" ht="15" hidden="false" customHeight="false" outlineLevel="0" collapsed="false">
      <c r="A404" s="7" t="s">
        <v>1588</v>
      </c>
      <c r="B404" s="7" t="s">
        <v>629</v>
      </c>
      <c r="C404" s="7" t="s">
        <v>1589</v>
      </c>
      <c r="D404" s="7" t="s">
        <v>1590</v>
      </c>
      <c r="E404" s="7" t="s">
        <v>94</v>
      </c>
      <c r="F404" s="7" t="s">
        <v>86</v>
      </c>
      <c r="G404" s="7" t="s">
        <v>95</v>
      </c>
      <c r="H404" s="7" t="n">
        <v>4</v>
      </c>
      <c r="I404" s="7" t="n">
        <v>110</v>
      </c>
      <c r="J404" s="7" t="n">
        <v>50</v>
      </c>
      <c r="K404" s="7" t="s">
        <v>88</v>
      </c>
      <c r="L404" s="7" t="s">
        <v>194</v>
      </c>
      <c r="M404" s="7" t="n">
        <v>38</v>
      </c>
      <c r="N404" s="7" t="n">
        <v>5</v>
      </c>
      <c r="O404" s="7" t="str">
        <f aca="false">A404&amp;"|"&amp;B404&amp;"|"&amp;C404&amp;"|"&amp;D404&amp;"|"&amp;E404&amp;"|"&amp;F404&amp;"|"&amp;G404&amp;"|"&amp;H404&amp;"|"&amp;I404&amp;"|"&amp;J404&amp;"|"&amp;K404&amp;"|"&amp;L404&amp;"|"&amp;M404&amp;"|"&amp;N404</f>
        <v>ORD12089|2025-09-26|16:12|C1023|Dosa Darbar|Bengaluru|South Indian|4|110|50|UPI|Delivered|38|5</v>
      </c>
      <c r="P404" s="7" t="str">
        <f aca="false">IF(COUNTIF($O$2:O404,O404)&gt;1,"DUP","OK")</f>
        <v>OK</v>
      </c>
      <c r="Q404" s="7" t="n">
        <f aca="false">COUNTBLANK(A404:N404)</f>
        <v>0</v>
      </c>
      <c r="R404" s="7" t="n">
        <f aca="false">IF(A404="",0,COUNTIFS($A$2:$A$3058,A404,$P$2:$P$3058,"OK"))</f>
        <v>1</v>
      </c>
      <c r="S404" s="7" t="str">
        <f aca="false">IF(OR(A404="",P404="DUP",R404&lt;2),"",IF(Q404=_xlfn.MINIFS($Q$2:$Q$3058,$A$2:$A$3058,A404,$P$2:$P$3058,"OK"),"KEEP","DROP"))</f>
        <v/>
      </c>
      <c r="T404" s="9" t="n">
        <f aca="false">IF(A404="",1,0)</f>
        <v>0</v>
      </c>
      <c r="U404" s="9" t="n">
        <f aca="false">IF(D404="",1,0)</f>
        <v>0</v>
      </c>
      <c r="V404" s="9" t="n">
        <f aca="false">IF(E404="",1,0)</f>
        <v>0</v>
      </c>
      <c r="W404" s="9" t="n">
        <f aca="false">IF(OR(H404&lt;1,H404&gt;10),1,0)</f>
        <v>0</v>
      </c>
      <c r="X404" s="9" t="n">
        <f aca="false">IF(OR(I404&lt;=0,I404&gt;1500),1,0)</f>
        <v>0</v>
      </c>
      <c r="Y404" s="9" t="n">
        <f aca="false">IF(J404&gt;H404*I404,1,0)</f>
        <v>0</v>
      </c>
      <c r="Z404" s="9" t="n">
        <f aca="false">IF(AND(N404&lt;&gt;"",OR(N404&lt;1,N404&gt;5)),1,0)</f>
        <v>0</v>
      </c>
      <c r="AA404" s="9" t="n">
        <f aca="false">IF(AND(M404&lt;&gt;"",OR(M404&lt;5,M404&gt;180)),1,0)</f>
        <v>0</v>
      </c>
      <c r="AB404" s="7" t="str">
        <f aca="false">IF(P404="DUP","Exact duplicate row",IF(T404=1,"Missing Order ID",IF(S404="DROP","Duplicate Order ID (less complete row)",IF(U404=1,"Missing Customer ID",IF(V404=1,"Missing Restaurant name",IF(W404=1,"Invalid/outlier quantity",IF(X404=1,"Invalid/outlier unit price",IF(Y404=1,"Discount greater than order value",""))))))))</f>
        <v/>
      </c>
      <c r="AC404" s="7" t="str">
        <f aca="false">IF(AB404="","KEEP","DROP")</f>
        <v>KEEP</v>
      </c>
      <c r="AD404" s="7" t="str">
        <f aca="false">IF(TRIM(F404)="",IFERROR(INDEX(Map_Tables!$I$4:$I$37,MATCH(TRIM(E404),Map_Tables!$G$4:$G$37,0)),""),IFERROR(INDEX(Map_Tables!$B$4:$B$18,MATCH(TRIM(F404),Map_Tables!$A$4:$A$18,0)),"CHECK"))</f>
        <v>Bengaluru</v>
      </c>
      <c r="AE404" s="7" t="str">
        <f aca="false">IF(TRIM(E404)="","",IFERROR(INDEX(Map_Tables!$H$4:$H$37,MATCH(TRIM(E404),Map_Tables!$G$4:$G$37,0)),"CHECK"))</f>
        <v>Dosa Darbar</v>
      </c>
      <c r="AF404" s="7" t="str">
        <f aca="false">IF(TRIM(K404)="","Unknown",IFERROR(INDEX(Map_Tables!$E$4:$E$15,MATCH(TRIM(K404),Map_Tables!$D$4:$D$15,0)),"CHECK"))</f>
        <v>UPI</v>
      </c>
      <c r="AG404" s="7" t="str">
        <f aca="false">IF(LEFT(LOWER(TRIM(L404)),6)="cancel","Cancelled","Delivered")</f>
        <v>Delivered</v>
      </c>
      <c r="AH404" s="10" t="n">
        <f aca="false">IF(ISNUMBER(SEARCH("/",B404)),DATE(VALUE(RIGHT(B404,4)),VALUE(MID(B404,4,2)),VALUE(LEFT(B404,2))),IF(MID(B404,5,1)="-",DATE(VALUE(LEFT(B404,4)),VALUE(MID(B404,6,2)),VALUE(RIGHT(B404,2))),DATE(VALUE(RIGHT(B404,4)),MATCH(MID(B404,4,3),{"Jan","Feb","Mar","Apr","May","Jun","Jul","Aug","Sep","Oct","Nov","Dec"},0),VALUE(LEFT(B404,2)))))</f>
        <v>45926</v>
      </c>
    </row>
    <row r="405" customFormat="false" ht="15" hidden="false" customHeight="false" outlineLevel="0" collapsed="false">
      <c r="A405" s="7" t="s">
        <v>1591</v>
      </c>
      <c r="B405" s="7" t="s">
        <v>1592</v>
      </c>
      <c r="C405" s="7" t="s">
        <v>1593</v>
      </c>
      <c r="D405" s="7" t="s">
        <v>1594</v>
      </c>
      <c r="E405" s="7" t="s">
        <v>1595</v>
      </c>
      <c r="F405" s="7" t="s">
        <v>136</v>
      </c>
      <c r="G405" s="7" t="s">
        <v>139</v>
      </c>
      <c r="H405" s="7" t="n">
        <v>1</v>
      </c>
      <c r="I405" s="7" t="n">
        <v>195</v>
      </c>
      <c r="J405" s="7" t="n">
        <v>20</v>
      </c>
      <c r="K405" s="7" t="s">
        <v>112</v>
      </c>
      <c r="L405" s="7" t="s">
        <v>194</v>
      </c>
      <c r="M405" s="7" t="n">
        <v>40</v>
      </c>
      <c r="N405" s="7" t="n">
        <v>4</v>
      </c>
      <c r="O405" s="7" t="str">
        <f aca="false">A405&amp;"|"&amp;B405&amp;"|"&amp;C405&amp;"|"&amp;D405&amp;"|"&amp;E405&amp;"|"&amp;F405&amp;"|"&amp;G405&amp;"|"&amp;H405&amp;"|"&amp;I405&amp;"|"&amp;J405&amp;"|"&amp;K405&amp;"|"&amp;L405&amp;"|"&amp;M405&amp;"|"&amp;N405</f>
        <v>ORD12327|2025-10-20|22:28|C0869|PUNE BURGER HUB|Pune|Burgers|1|195|20|Cash on Delivery|Delivered|40|4</v>
      </c>
      <c r="P405" s="7" t="str">
        <f aca="false">IF(COUNTIF($O$2:O405,O405)&gt;1,"DUP","OK")</f>
        <v>OK</v>
      </c>
      <c r="Q405" s="7" t="n">
        <f aca="false">COUNTBLANK(A405:N405)</f>
        <v>0</v>
      </c>
      <c r="R405" s="7" t="n">
        <f aca="false">IF(A405="",0,COUNTIFS($A$2:$A$3058,A405,$P$2:$P$3058,"OK"))</f>
        <v>1</v>
      </c>
      <c r="S405" s="7" t="str">
        <f aca="false">IF(OR(A405="",P405="DUP",R405&lt;2),"",IF(Q405=_xlfn.MINIFS($Q$2:$Q$3058,$A$2:$A$3058,A405,$P$2:$P$3058,"OK"),"KEEP","DROP"))</f>
        <v/>
      </c>
      <c r="T405" s="9" t="n">
        <f aca="false">IF(A405="",1,0)</f>
        <v>0</v>
      </c>
      <c r="U405" s="9" t="n">
        <f aca="false">IF(D405="",1,0)</f>
        <v>0</v>
      </c>
      <c r="V405" s="9" t="n">
        <f aca="false">IF(E405="",1,0)</f>
        <v>0</v>
      </c>
      <c r="W405" s="9" t="n">
        <f aca="false">IF(OR(H405&lt;1,H405&gt;10),1,0)</f>
        <v>0</v>
      </c>
      <c r="X405" s="9" t="n">
        <f aca="false">IF(OR(I405&lt;=0,I405&gt;1500),1,0)</f>
        <v>0</v>
      </c>
      <c r="Y405" s="9" t="n">
        <f aca="false">IF(J405&gt;H405*I405,1,0)</f>
        <v>0</v>
      </c>
      <c r="Z405" s="9" t="n">
        <f aca="false">IF(AND(N405&lt;&gt;"",OR(N405&lt;1,N405&gt;5)),1,0)</f>
        <v>0</v>
      </c>
      <c r="AA405" s="9" t="n">
        <f aca="false">IF(AND(M405&lt;&gt;"",OR(M405&lt;5,M405&gt;180)),1,0)</f>
        <v>0</v>
      </c>
      <c r="AB405" s="7" t="str">
        <f aca="false">IF(P405="DUP","Exact duplicate row",IF(T405=1,"Missing Order ID",IF(S405="DROP","Duplicate Order ID (less complete row)",IF(U405=1,"Missing Customer ID",IF(V405=1,"Missing Restaurant name",IF(W405=1,"Invalid/outlier quantity",IF(X405=1,"Invalid/outlier unit price",IF(Y405=1,"Discount greater than order value",""))))))))</f>
        <v/>
      </c>
      <c r="AC405" s="7" t="str">
        <f aca="false">IF(AB405="","KEEP","DROP")</f>
        <v>KEEP</v>
      </c>
      <c r="AD405" s="7" t="str">
        <f aca="false">IF(TRIM(F405)="",IFERROR(INDEX(Map_Tables!$I$4:$I$37,MATCH(TRIM(E405),Map_Tables!$G$4:$G$37,0)),""),IFERROR(INDEX(Map_Tables!$B$4:$B$18,MATCH(TRIM(F405),Map_Tables!$A$4:$A$18,0)),"CHECK"))</f>
        <v>Pune</v>
      </c>
      <c r="AE405" s="7" t="str">
        <f aca="false">IF(TRIM(E405)="","",IFERROR(INDEX(Map_Tables!$H$4:$H$37,MATCH(TRIM(E405),Map_Tables!$G$4:$G$37,0)),"CHECK"))</f>
        <v>Pune Burger Hub</v>
      </c>
      <c r="AF405" s="7" t="str">
        <f aca="false">IF(TRIM(K405)="","Unknown",IFERROR(INDEX(Map_Tables!$E$4:$E$15,MATCH(TRIM(K405),Map_Tables!$D$4:$D$15,0)),"CHECK"))</f>
        <v>Cash on Delivery</v>
      </c>
      <c r="AG405" s="7" t="str">
        <f aca="false">IF(LEFT(LOWER(TRIM(L405)),6)="cancel","Cancelled","Delivered")</f>
        <v>Delivered</v>
      </c>
      <c r="AH405" s="10" t="n">
        <f aca="false">IF(ISNUMBER(SEARCH("/",B405)),DATE(VALUE(RIGHT(B405,4)),VALUE(MID(B405,4,2)),VALUE(LEFT(B405,2))),IF(MID(B405,5,1)="-",DATE(VALUE(LEFT(B405,4)),VALUE(MID(B405,6,2)),VALUE(RIGHT(B405,2))),DATE(VALUE(RIGHT(B405,4)),MATCH(MID(B405,4,3),{"Jan","Feb","Mar","Apr","May","Jun","Jul","Aug","Sep","Oct","Nov","Dec"},0),VALUE(LEFT(B405,2)))))</f>
        <v>45950</v>
      </c>
    </row>
    <row r="406" customFormat="false" ht="15" hidden="false" customHeight="false" outlineLevel="0" collapsed="false">
      <c r="A406" s="7" t="s">
        <v>1596</v>
      </c>
      <c r="B406" s="7" t="s">
        <v>955</v>
      </c>
      <c r="C406" s="7" t="s">
        <v>1597</v>
      </c>
      <c r="D406" s="7" t="s">
        <v>1598</v>
      </c>
      <c r="E406" s="7" t="s">
        <v>94</v>
      </c>
      <c r="F406" s="7" t="s">
        <v>86</v>
      </c>
      <c r="G406" s="7" t="s">
        <v>95</v>
      </c>
      <c r="H406" s="7" t="n">
        <v>2</v>
      </c>
      <c r="I406" s="7" t="n">
        <v>100</v>
      </c>
      <c r="J406" s="7" t="n">
        <v>0</v>
      </c>
      <c r="K406" s="7" t="s">
        <v>112</v>
      </c>
      <c r="L406" s="7" t="s">
        <v>194</v>
      </c>
      <c r="M406" s="7" t="n">
        <v>34</v>
      </c>
      <c r="N406" s="7" t="n">
        <v>5</v>
      </c>
      <c r="O406" s="7" t="str">
        <f aca="false">A406&amp;"|"&amp;B406&amp;"|"&amp;C406&amp;"|"&amp;D406&amp;"|"&amp;E406&amp;"|"&amp;F406&amp;"|"&amp;G406&amp;"|"&amp;H406&amp;"|"&amp;I406&amp;"|"&amp;J406&amp;"|"&amp;K406&amp;"|"&amp;L406&amp;"|"&amp;M406&amp;"|"&amp;N406</f>
        <v>ORD11444|2025-07-07|09:58|C1178|Dosa Darbar|Bengaluru|South Indian|2|100|0|Cash on Delivery|Delivered|34|5</v>
      </c>
      <c r="P406" s="7" t="str">
        <f aca="false">IF(COUNTIF($O$2:O406,O406)&gt;1,"DUP","OK")</f>
        <v>OK</v>
      </c>
      <c r="Q406" s="7" t="n">
        <f aca="false">COUNTBLANK(A406:N406)</f>
        <v>0</v>
      </c>
      <c r="R406" s="7" t="n">
        <f aca="false">IF(A406="",0,COUNTIFS($A$2:$A$3058,A406,$P$2:$P$3058,"OK"))</f>
        <v>1</v>
      </c>
      <c r="S406" s="7" t="str">
        <f aca="false">IF(OR(A406="",P406="DUP",R406&lt;2),"",IF(Q406=_xlfn.MINIFS($Q$2:$Q$3058,$A$2:$A$3058,A406,$P$2:$P$3058,"OK"),"KEEP","DROP"))</f>
        <v/>
      </c>
      <c r="T406" s="9" t="n">
        <f aca="false">IF(A406="",1,0)</f>
        <v>0</v>
      </c>
      <c r="U406" s="9" t="n">
        <f aca="false">IF(D406="",1,0)</f>
        <v>0</v>
      </c>
      <c r="V406" s="9" t="n">
        <f aca="false">IF(E406="",1,0)</f>
        <v>0</v>
      </c>
      <c r="W406" s="9" t="n">
        <f aca="false">IF(OR(H406&lt;1,H406&gt;10),1,0)</f>
        <v>0</v>
      </c>
      <c r="X406" s="9" t="n">
        <f aca="false">IF(OR(I406&lt;=0,I406&gt;1500),1,0)</f>
        <v>0</v>
      </c>
      <c r="Y406" s="9" t="n">
        <f aca="false">IF(J406&gt;H406*I406,1,0)</f>
        <v>0</v>
      </c>
      <c r="Z406" s="9" t="n">
        <f aca="false">IF(AND(N406&lt;&gt;"",OR(N406&lt;1,N406&gt;5)),1,0)</f>
        <v>0</v>
      </c>
      <c r="AA406" s="9" t="n">
        <f aca="false">IF(AND(M406&lt;&gt;"",OR(M406&lt;5,M406&gt;180)),1,0)</f>
        <v>0</v>
      </c>
      <c r="AB406" s="7" t="str">
        <f aca="false">IF(P406="DUP","Exact duplicate row",IF(T406=1,"Missing Order ID",IF(S406="DROP","Duplicate Order ID (less complete row)",IF(U406=1,"Missing Customer ID",IF(V406=1,"Missing Restaurant name",IF(W406=1,"Invalid/outlier quantity",IF(X406=1,"Invalid/outlier unit price",IF(Y406=1,"Discount greater than order value",""))))))))</f>
        <v/>
      </c>
      <c r="AC406" s="7" t="str">
        <f aca="false">IF(AB406="","KEEP","DROP")</f>
        <v>KEEP</v>
      </c>
      <c r="AD406" s="7" t="str">
        <f aca="false">IF(TRIM(F406)="",IFERROR(INDEX(Map_Tables!$I$4:$I$37,MATCH(TRIM(E406),Map_Tables!$G$4:$G$37,0)),""),IFERROR(INDEX(Map_Tables!$B$4:$B$18,MATCH(TRIM(F406),Map_Tables!$A$4:$A$18,0)),"CHECK"))</f>
        <v>Bengaluru</v>
      </c>
      <c r="AE406" s="7" t="str">
        <f aca="false">IF(TRIM(E406)="","",IFERROR(INDEX(Map_Tables!$H$4:$H$37,MATCH(TRIM(E406),Map_Tables!$G$4:$G$37,0)),"CHECK"))</f>
        <v>Dosa Darbar</v>
      </c>
      <c r="AF406" s="7" t="str">
        <f aca="false">IF(TRIM(K406)="","Unknown",IFERROR(INDEX(Map_Tables!$E$4:$E$15,MATCH(TRIM(K406),Map_Tables!$D$4:$D$15,0)),"CHECK"))</f>
        <v>Cash on Delivery</v>
      </c>
      <c r="AG406" s="7" t="str">
        <f aca="false">IF(LEFT(LOWER(TRIM(L406)),6)="cancel","Cancelled","Delivered")</f>
        <v>Delivered</v>
      </c>
      <c r="AH406" s="10" t="n">
        <f aca="false">IF(ISNUMBER(SEARCH("/",B406)),DATE(VALUE(RIGHT(B406,4)),VALUE(MID(B406,4,2)),VALUE(LEFT(B406,2))),IF(MID(B406,5,1)="-",DATE(VALUE(LEFT(B406,4)),VALUE(MID(B406,6,2)),VALUE(RIGHT(B406,2))),DATE(VALUE(RIGHT(B406,4)),MATCH(MID(B406,4,3),{"Jan","Feb","Mar","Apr","May","Jun","Jul","Aug","Sep","Oct","Nov","Dec"},0),VALUE(LEFT(B406,2)))))</f>
        <v>45845</v>
      </c>
    </row>
    <row r="407" customFormat="false" ht="15" hidden="false" customHeight="false" outlineLevel="0" collapsed="false">
      <c r="A407" s="7" t="s">
        <v>1599</v>
      </c>
      <c r="B407" s="7" t="s">
        <v>1600</v>
      </c>
      <c r="C407" s="7" t="s">
        <v>486</v>
      </c>
      <c r="D407" s="7" t="s">
        <v>1601</v>
      </c>
      <c r="E407" s="7" t="s">
        <v>166</v>
      </c>
      <c r="F407" s="7" t="s">
        <v>146</v>
      </c>
      <c r="G407" s="7" t="s">
        <v>117</v>
      </c>
      <c r="H407" s="7" t="n">
        <v>2</v>
      </c>
      <c r="I407" s="7" t="n">
        <v>95</v>
      </c>
      <c r="J407" s="7" t="n">
        <v>0</v>
      </c>
      <c r="K407" s="7" t="s">
        <v>93</v>
      </c>
      <c r="L407" s="7" t="s">
        <v>194</v>
      </c>
      <c r="M407" s="7" t="n">
        <v>28</v>
      </c>
      <c r="N407" s="7" t="n">
        <v>3</v>
      </c>
      <c r="O407" s="7" t="str">
        <f aca="false">A407&amp;"|"&amp;B407&amp;"|"&amp;C407&amp;"|"&amp;D407&amp;"|"&amp;E407&amp;"|"&amp;F407&amp;"|"&amp;G407&amp;"|"&amp;H407&amp;"|"&amp;I407&amp;"|"&amp;J407&amp;"|"&amp;K407&amp;"|"&amp;L407&amp;"|"&amp;M407&amp;"|"&amp;N407</f>
        <v>ORD12552|14/11/2025|12:46|C0739|Dhokla Delight|Ahmedabad|Street Food|2|95|0|Credit Card|Delivered|28|3</v>
      </c>
      <c r="P407" s="7" t="str">
        <f aca="false">IF(COUNTIF($O$2:O407,O407)&gt;1,"DUP","OK")</f>
        <v>OK</v>
      </c>
      <c r="Q407" s="7" t="n">
        <f aca="false">COUNTBLANK(A407:N407)</f>
        <v>0</v>
      </c>
      <c r="R407" s="7" t="n">
        <f aca="false">IF(A407="",0,COUNTIFS($A$2:$A$3058,A407,$P$2:$P$3058,"OK"))</f>
        <v>1</v>
      </c>
      <c r="S407" s="7" t="str">
        <f aca="false">IF(OR(A407="",P407="DUP",R407&lt;2),"",IF(Q407=_xlfn.MINIFS($Q$2:$Q$3058,$A$2:$A$3058,A407,$P$2:$P$3058,"OK"),"KEEP","DROP"))</f>
        <v/>
      </c>
      <c r="T407" s="9" t="n">
        <f aca="false">IF(A407="",1,0)</f>
        <v>0</v>
      </c>
      <c r="U407" s="9" t="n">
        <f aca="false">IF(D407="",1,0)</f>
        <v>0</v>
      </c>
      <c r="V407" s="9" t="n">
        <f aca="false">IF(E407="",1,0)</f>
        <v>0</v>
      </c>
      <c r="W407" s="9" t="n">
        <f aca="false">IF(OR(H407&lt;1,H407&gt;10),1,0)</f>
        <v>0</v>
      </c>
      <c r="X407" s="9" t="n">
        <f aca="false">IF(OR(I407&lt;=0,I407&gt;1500),1,0)</f>
        <v>0</v>
      </c>
      <c r="Y407" s="9" t="n">
        <f aca="false">IF(J407&gt;H407*I407,1,0)</f>
        <v>0</v>
      </c>
      <c r="Z407" s="9" t="n">
        <f aca="false">IF(AND(N407&lt;&gt;"",OR(N407&lt;1,N407&gt;5)),1,0)</f>
        <v>0</v>
      </c>
      <c r="AA407" s="9" t="n">
        <f aca="false">IF(AND(M407&lt;&gt;"",OR(M407&lt;5,M407&gt;180)),1,0)</f>
        <v>0</v>
      </c>
      <c r="AB407" s="7" t="str">
        <f aca="false">IF(P407="DUP","Exact duplicate row",IF(T407=1,"Missing Order ID",IF(S407="DROP","Duplicate Order ID (less complete row)",IF(U407=1,"Missing Customer ID",IF(V407=1,"Missing Restaurant name",IF(W407=1,"Invalid/outlier quantity",IF(X407=1,"Invalid/outlier unit price",IF(Y407=1,"Discount greater than order value",""))))))))</f>
        <v/>
      </c>
      <c r="AC407" s="7" t="str">
        <f aca="false">IF(AB407="","KEEP","DROP")</f>
        <v>KEEP</v>
      </c>
      <c r="AD407" s="7" t="str">
        <f aca="false">IF(TRIM(F407)="",IFERROR(INDEX(Map_Tables!$I$4:$I$37,MATCH(TRIM(E407),Map_Tables!$G$4:$G$37,0)),""),IFERROR(INDEX(Map_Tables!$B$4:$B$18,MATCH(TRIM(F407),Map_Tables!$A$4:$A$18,0)),"CHECK"))</f>
        <v>Ahmedabad</v>
      </c>
      <c r="AE407" s="7" t="str">
        <f aca="false">IF(TRIM(E407)="","",IFERROR(INDEX(Map_Tables!$H$4:$H$37,MATCH(TRIM(E407),Map_Tables!$G$4:$G$37,0)),"CHECK"))</f>
        <v>Dhokla Delight</v>
      </c>
      <c r="AF407" s="7" t="str">
        <f aca="false">IF(TRIM(K407)="","Unknown",IFERROR(INDEX(Map_Tables!$E$4:$E$15,MATCH(TRIM(K407),Map_Tables!$D$4:$D$15,0)),"CHECK"))</f>
        <v>Credit Card</v>
      </c>
      <c r="AG407" s="7" t="str">
        <f aca="false">IF(LEFT(LOWER(TRIM(L407)),6)="cancel","Cancelled","Delivered")</f>
        <v>Delivered</v>
      </c>
      <c r="AH407" s="10" t="n">
        <f aca="false">IF(ISNUMBER(SEARCH("/",B407)),DATE(VALUE(RIGHT(B407,4)),VALUE(MID(B407,4,2)),VALUE(LEFT(B407,2))),IF(MID(B407,5,1)="-",DATE(VALUE(LEFT(B407,4)),VALUE(MID(B407,6,2)),VALUE(RIGHT(B407,2))),DATE(VALUE(RIGHT(B407,4)),MATCH(MID(B407,4,3),{"Jan","Feb","Mar","Apr","May","Jun","Jul","Aug","Sep","Oct","Nov","Dec"},0),VALUE(LEFT(B407,2)))))</f>
        <v>45975</v>
      </c>
    </row>
    <row r="408" customFormat="false" ht="15" hidden="false" customHeight="false" outlineLevel="0" collapsed="false">
      <c r="A408" s="7" t="s">
        <v>1602</v>
      </c>
      <c r="B408" s="7" t="s">
        <v>1603</v>
      </c>
      <c r="C408" s="7" t="s">
        <v>1604</v>
      </c>
      <c r="D408" s="7" t="s">
        <v>1605</v>
      </c>
      <c r="E408" s="7" t="s">
        <v>142</v>
      </c>
      <c r="F408" s="7" t="s">
        <v>110</v>
      </c>
      <c r="G408" s="7" t="s">
        <v>105</v>
      </c>
      <c r="H408" s="7" t="n">
        <v>1</v>
      </c>
      <c r="I408" s="7" t="n">
        <v>160</v>
      </c>
      <c r="J408" s="7" t="n">
        <v>0</v>
      </c>
      <c r="K408" s="7" t="s">
        <v>133</v>
      </c>
      <c r="L408" s="7" t="s">
        <v>194</v>
      </c>
      <c r="M408" s="7" t="n">
        <v>40</v>
      </c>
      <c r="N408" s="7" t="n">
        <v>4</v>
      </c>
      <c r="O408" s="7" t="str">
        <f aca="false">A408&amp;"|"&amp;B408&amp;"|"&amp;C408&amp;"|"&amp;D408&amp;"|"&amp;E408&amp;"|"&amp;F408&amp;"|"&amp;G408&amp;"|"&amp;H408&amp;"|"&amp;I408&amp;"|"&amp;J408&amp;"|"&amp;K408&amp;"|"&amp;L408&amp;"|"&amp;M408&amp;"|"&amp;N408</f>
        <v>ORD12985|2025-12-30|08:47|C1421|Momo Magic|Delhi|Chinese|1|160|0|Net Banking|Delivered|40|4</v>
      </c>
      <c r="P408" s="7" t="str">
        <f aca="false">IF(COUNTIF($O$2:O408,O408)&gt;1,"DUP","OK")</f>
        <v>OK</v>
      </c>
      <c r="Q408" s="7" t="n">
        <f aca="false">COUNTBLANK(A408:N408)</f>
        <v>0</v>
      </c>
      <c r="R408" s="7" t="n">
        <f aca="false">IF(A408="",0,COUNTIFS($A$2:$A$3058,A408,$P$2:$P$3058,"OK"))</f>
        <v>1</v>
      </c>
      <c r="S408" s="7" t="str">
        <f aca="false">IF(OR(A408="",P408="DUP",R408&lt;2),"",IF(Q408=_xlfn.MINIFS($Q$2:$Q$3058,$A$2:$A$3058,A408,$P$2:$P$3058,"OK"),"KEEP","DROP"))</f>
        <v/>
      </c>
      <c r="T408" s="9" t="n">
        <f aca="false">IF(A408="",1,0)</f>
        <v>0</v>
      </c>
      <c r="U408" s="9" t="n">
        <f aca="false">IF(D408="",1,0)</f>
        <v>0</v>
      </c>
      <c r="V408" s="9" t="n">
        <f aca="false">IF(E408="",1,0)</f>
        <v>0</v>
      </c>
      <c r="W408" s="9" t="n">
        <f aca="false">IF(OR(H408&lt;1,H408&gt;10),1,0)</f>
        <v>0</v>
      </c>
      <c r="X408" s="9" t="n">
        <f aca="false">IF(OR(I408&lt;=0,I408&gt;1500),1,0)</f>
        <v>0</v>
      </c>
      <c r="Y408" s="9" t="n">
        <f aca="false">IF(J408&gt;H408*I408,1,0)</f>
        <v>0</v>
      </c>
      <c r="Z408" s="9" t="n">
        <f aca="false">IF(AND(N408&lt;&gt;"",OR(N408&lt;1,N408&gt;5)),1,0)</f>
        <v>0</v>
      </c>
      <c r="AA408" s="9" t="n">
        <f aca="false">IF(AND(M408&lt;&gt;"",OR(M408&lt;5,M408&gt;180)),1,0)</f>
        <v>0</v>
      </c>
      <c r="AB408" s="7" t="str">
        <f aca="false">IF(P408="DUP","Exact duplicate row",IF(T408=1,"Missing Order ID",IF(S408="DROP","Duplicate Order ID (less complete row)",IF(U408=1,"Missing Customer ID",IF(V408=1,"Missing Restaurant name",IF(W408=1,"Invalid/outlier quantity",IF(X408=1,"Invalid/outlier unit price",IF(Y408=1,"Discount greater than order value",""))))))))</f>
        <v/>
      </c>
      <c r="AC408" s="7" t="str">
        <f aca="false">IF(AB408="","KEEP","DROP")</f>
        <v>KEEP</v>
      </c>
      <c r="AD408" s="7" t="str">
        <f aca="false">IF(TRIM(F408)="",IFERROR(INDEX(Map_Tables!$I$4:$I$37,MATCH(TRIM(E408),Map_Tables!$G$4:$G$37,0)),""),IFERROR(INDEX(Map_Tables!$B$4:$B$18,MATCH(TRIM(F408),Map_Tables!$A$4:$A$18,0)),"CHECK"))</f>
        <v>Delhi</v>
      </c>
      <c r="AE408" s="7" t="str">
        <f aca="false">IF(TRIM(E408)="","",IFERROR(INDEX(Map_Tables!$H$4:$H$37,MATCH(TRIM(E408),Map_Tables!$G$4:$G$37,0)),"CHECK"))</f>
        <v>Momo Magic</v>
      </c>
      <c r="AF408" s="7" t="str">
        <f aca="false">IF(TRIM(K408)="","Unknown",IFERROR(INDEX(Map_Tables!$E$4:$E$15,MATCH(TRIM(K408),Map_Tables!$D$4:$D$15,0)),"CHECK"))</f>
        <v>Net Banking</v>
      </c>
      <c r="AG408" s="7" t="str">
        <f aca="false">IF(LEFT(LOWER(TRIM(L408)),6)="cancel","Cancelled","Delivered")</f>
        <v>Delivered</v>
      </c>
      <c r="AH408" s="10" t="n">
        <f aca="false">IF(ISNUMBER(SEARCH("/",B408)),DATE(VALUE(RIGHT(B408,4)),VALUE(MID(B408,4,2)),VALUE(LEFT(B408,2))),IF(MID(B408,5,1)="-",DATE(VALUE(LEFT(B408,4)),VALUE(MID(B408,6,2)),VALUE(RIGHT(B408,2))),DATE(VALUE(RIGHT(B408,4)),MATCH(MID(B408,4,3),{"Jan","Feb","Mar","Apr","May","Jun","Jul","Aug","Sep","Oct","Nov","Dec"},0),VALUE(LEFT(B408,2)))))</f>
        <v>46021</v>
      </c>
    </row>
    <row r="409" customFormat="false" ht="15" hidden="false" customHeight="false" outlineLevel="0" collapsed="false">
      <c r="A409" s="7" t="s">
        <v>1606</v>
      </c>
      <c r="B409" s="7" t="s">
        <v>1061</v>
      </c>
      <c r="C409" s="7" t="s">
        <v>1607</v>
      </c>
      <c r="D409" s="7" t="s">
        <v>922</v>
      </c>
      <c r="E409" s="7" t="s">
        <v>1608</v>
      </c>
      <c r="F409" s="7" t="s">
        <v>110</v>
      </c>
      <c r="G409" s="7" t="s">
        <v>105</v>
      </c>
      <c r="H409" s="7" t="n">
        <v>2</v>
      </c>
      <c r="I409" s="7" t="n">
        <v>180</v>
      </c>
      <c r="J409" s="7" t="n">
        <v>0</v>
      </c>
      <c r="K409" s="7" t="s">
        <v>112</v>
      </c>
      <c r="L409" s="7" t="s">
        <v>194</v>
      </c>
      <c r="M409" s="7" t="n">
        <v>43</v>
      </c>
      <c r="N409" s="7" t="n">
        <v>4</v>
      </c>
      <c r="O409" s="7" t="str">
        <f aca="false">A409&amp;"|"&amp;B409&amp;"|"&amp;C409&amp;"|"&amp;D409&amp;"|"&amp;E409&amp;"|"&amp;F409&amp;"|"&amp;G409&amp;"|"&amp;H409&amp;"|"&amp;I409&amp;"|"&amp;J409&amp;"|"&amp;K409&amp;"|"&amp;L409&amp;"|"&amp;M409&amp;"|"&amp;N409</f>
        <v>ORD12518|2025-11-11|20:26|C0562|Momo  Magic|Delhi|Chinese|2|180|0|Cash on Delivery|Delivered|43|4</v>
      </c>
      <c r="P409" s="7" t="str">
        <f aca="false">IF(COUNTIF($O$2:O409,O409)&gt;1,"DUP","OK")</f>
        <v>OK</v>
      </c>
      <c r="Q409" s="7" t="n">
        <f aca="false">COUNTBLANK(A409:N409)</f>
        <v>0</v>
      </c>
      <c r="R409" s="7" t="n">
        <f aca="false">IF(A409="",0,COUNTIFS($A$2:$A$3058,A409,$P$2:$P$3058,"OK"))</f>
        <v>1</v>
      </c>
      <c r="S409" s="7" t="str">
        <f aca="false">IF(OR(A409="",P409="DUP",R409&lt;2),"",IF(Q409=_xlfn.MINIFS($Q$2:$Q$3058,$A$2:$A$3058,A409,$P$2:$P$3058,"OK"),"KEEP","DROP"))</f>
        <v/>
      </c>
      <c r="T409" s="9" t="n">
        <f aca="false">IF(A409="",1,0)</f>
        <v>0</v>
      </c>
      <c r="U409" s="9" t="n">
        <f aca="false">IF(D409="",1,0)</f>
        <v>0</v>
      </c>
      <c r="V409" s="9" t="n">
        <f aca="false">IF(E409="",1,0)</f>
        <v>0</v>
      </c>
      <c r="W409" s="9" t="n">
        <f aca="false">IF(OR(H409&lt;1,H409&gt;10),1,0)</f>
        <v>0</v>
      </c>
      <c r="X409" s="9" t="n">
        <f aca="false">IF(OR(I409&lt;=0,I409&gt;1500),1,0)</f>
        <v>0</v>
      </c>
      <c r="Y409" s="9" t="n">
        <f aca="false">IF(J409&gt;H409*I409,1,0)</f>
        <v>0</v>
      </c>
      <c r="Z409" s="9" t="n">
        <f aca="false">IF(AND(N409&lt;&gt;"",OR(N409&lt;1,N409&gt;5)),1,0)</f>
        <v>0</v>
      </c>
      <c r="AA409" s="9" t="n">
        <f aca="false">IF(AND(M409&lt;&gt;"",OR(M409&lt;5,M409&gt;180)),1,0)</f>
        <v>0</v>
      </c>
      <c r="AB409" s="7" t="str">
        <f aca="false">IF(P409="DUP","Exact duplicate row",IF(T409=1,"Missing Order ID",IF(S409="DROP","Duplicate Order ID (less complete row)",IF(U409=1,"Missing Customer ID",IF(V409=1,"Missing Restaurant name",IF(W409=1,"Invalid/outlier quantity",IF(X409=1,"Invalid/outlier unit price",IF(Y409=1,"Discount greater than order value",""))))))))</f>
        <v/>
      </c>
      <c r="AC409" s="7" t="str">
        <f aca="false">IF(AB409="","KEEP","DROP")</f>
        <v>KEEP</v>
      </c>
      <c r="AD409" s="7" t="str">
        <f aca="false">IF(TRIM(F409)="",IFERROR(INDEX(Map_Tables!$I$4:$I$37,MATCH(TRIM(E409),Map_Tables!$G$4:$G$37,0)),""),IFERROR(INDEX(Map_Tables!$B$4:$B$18,MATCH(TRIM(F409),Map_Tables!$A$4:$A$18,0)),"CHECK"))</f>
        <v>Delhi</v>
      </c>
      <c r="AE409" s="7" t="str">
        <f aca="false">IF(TRIM(E409)="","",IFERROR(INDEX(Map_Tables!$H$4:$H$37,MATCH(TRIM(E409),Map_Tables!$G$4:$G$37,0)),"CHECK"))</f>
        <v>Momo Magic</v>
      </c>
      <c r="AF409" s="7" t="str">
        <f aca="false">IF(TRIM(K409)="","Unknown",IFERROR(INDEX(Map_Tables!$E$4:$E$15,MATCH(TRIM(K409),Map_Tables!$D$4:$D$15,0)),"CHECK"))</f>
        <v>Cash on Delivery</v>
      </c>
      <c r="AG409" s="7" t="str">
        <f aca="false">IF(LEFT(LOWER(TRIM(L409)),6)="cancel","Cancelled","Delivered")</f>
        <v>Delivered</v>
      </c>
      <c r="AH409" s="10" t="n">
        <f aca="false">IF(ISNUMBER(SEARCH("/",B409)),DATE(VALUE(RIGHT(B409,4)),VALUE(MID(B409,4,2)),VALUE(LEFT(B409,2))),IF(MID(B409,5,1)="-",DATE(VALUE(LEFT(B409,4)),VALUE(MID(B409,6,2)),VALUE(RIGHT(B409,2))),DATE(VALUE(RIGHT(B409,4)),MATCH(MID(B409,4,3),{"Jan","Feb","Mar","Apr","May","Jun","Jul","Aug","Sep","Oct","Nov","Dec"},0),VALUE(LEFT(B409,2)))))</f>
        <v>45972</v>
      </c>
    </row>
    <row r="410" customFormat="false" ht="15" hidden="false" customHeight="false" outlineLevel="0" collapsed="false">
      <c r="A410" s="7" t="s">
        <v>1609</v>
      </c>
      <c r="B410" s="7" t="s">
        <v>1357</v>
      </c>
      <c r="C410" s="7" t="s">
        <v>1610</v>
      </c>
      <c r="D410" s="7" t="s">
        <v>206</v>
      </c>
      <c r="E410" s="7" t="s">
        <v>151</v>
      </c>
      <c r="F410" s="7" t="s">
        <v>128</v>
      </c>
      <c r="G410" s="7" t="s">
        <v>95</v>
      </c>
      <c r="H410" s="7" t="n">
        <v>3</v>
      </c>
      <c r="I410" s="7" t="n">
        <v>160</v>
      </c>
      <c r="J410" s="7" t="n">
        <v>0</v>
      </c>
      <c r="K410" s="7" t="s">
        <v>88</v>
      </c>
      <c r="L410" s="7" t="s">
        <v>194</v>
      </c>
      <c r="M410" s="7" t="n">
        <v>15</v>
      </c>
      <c r="N410" s="7" t="n">
        <v>5</v>
      </c>
      <c r="O410" s="7" t="str">
        <f aca="false">A410&amp;"|"&amp;B410&amp;"|"&amp;C410&amp;"|"&amp;D410&amp;"|"&amp;E410&amp;"|"&amp;F410&amp;"|"&amp;G410&amp;"|"&amp;H410&amp;"|"&amp;I410&amp;"|"&amp;J410&amp;"|"&amp;K410&amp;"|"&amp;L410&amp;"|"&amp;M410&amp;"|"&amp;N410</f>
        <v>ORD12044|2025-09-21|22:10|C0164|Chettinad House|Chennai|South Indian|3|160|0|UPI|Delivered|15|5</v>
      </c>
      <c r="P410" s="7" t="str">
        <f aca="false">IF(COUNTIF($O$2:O410,O410)&gt;1,"DUP","OK")</f>
        <v>OK</v>
      </c>
      <c r="Q410" s="7" t="n">
        <f aca="false">COUNTBLANK(A410:N410)</f>
        <v>0</v>
      </c>
      <c r="R410" s="7" t="n">
        <f aca="false">IF(A410="",0,COUNTIFS($A$2:$A$3058,A410,$P$2:$P$3058,"OK"))</f>
        <v>1</v>
      </c>
      <c r="S410" s="7" t="str">
        <f aca="false">IF(OR(A410="",P410="DUP",R410&lt;2),"",IF(Q410=_xlfn.MINIFS($Q$2:$Q$3058,$A$2:$A$3058,A410,$P$2:$P$3058,"OK"),"KEEP","DROP"))</f>
        <v/>
      </c>
      <c r="T410" s="9" t="n">
        <f aca="false">IF(A410="",1,0)</f>
        <v>0</v>
      </c>
      <c r="U410" s="9" t="n">
        <f aca="false">IF(D410="",1,0)</f>
        <v>0</v>
      </c>
      <c r="V410" s="9" t="n">
        <f aca="false">IF(E410="",1,0)</f>
        <v>0</v>
      </c>
      <c r="W410" s="9" t="n">
        <f aca="false">IF(OR(H410&lt;1,H410&gt;10),1,0)</f>
        <v>0</v>
      </c>
      <c r="X410" s="9" t="n">
        <f aca="false">IF(OR(I410&lt;=0,I410&gt;1500),1,0)</f>
        <v>0</v>
      </c>
      <c r="Y410" s="9" t="n">
        <f aca="false">IF(J410&gt;H410*I410,1,0)</f>
        <v>0</v>
      </c>
      <c r="Z410" s="9" t="n">
        <f aca="false">IF(AND(N410&lt;&gt;"",OR(N410&lt;1,N410&gt;5)),1,0)</f>
        <v>0</v>
      </c>
      <c r="AA410" s="9" t="n">
        <f aca="false">IF(AND(M410&lt;&gt;"",OR(M410&lt;5,M410&gt;180)),1,0)</f>
        <v>0</v>
      </c>
      <c r="AB410" s="7" t="str">
        <f aca="false">IF(P410="DUP","Exact duplicate row",IF(T410=1,"Missing Order ID",IF(S410="DROP","Duplicate Order ID (less complete row)",IF(U410=1,"Missing Customer ID",IF(V410=1,"Missing Restaurant name",IF(W410=1,"Invalid/outlier quantity",IF(X410=1,"Invalid/outlier unit price",IF(Y410=1,"Discount greater than order value",""))))))))</f>
        <v/>
      </c>
      <c r="AC410" s="7" t="str">
        <f aca="false">IF(AB410="","KEEP","DROP")</f>
        <v>KEEP</v>
      </c>
      <c r="AD410" s="7" t="str">
        <f aca="false">IF(TRIM(F410)="",IFERROR(INDEX(Map_Tables!$I$4:$I$37,MATCH(TRIM(E410),Map_Tables!$G$4:$G$37,0)),""),IFERROR(INDEX(Map_Tables!$B$4:$B$18,MATCH(TRIM(F410),Map_Tables!$A$4:$A$18,0)),"CHECK"))</f>
        <v>Chennai</v>
      </c>
      <c r="AE410" s="7" t="str">
        <f aca="false">IF(TRIM(E410)="","",IFERROR(INDEX(Map_Tables!$H$4:$H$37,MATCH(TRIM(E410),Map_Tables!$G$4:$G$37,0)),"CHECK"))</f>
        <v>Chettinad House</v>
      </c>
      <c r="AF410" s="7" t="str">
        <f aca="false">IF(TRIM(K410)="","Unknown",IFERROR(INDEX(Map_Tables!$E$4:$E$15,MATCH(TRIM(K410),Map_Tables!$D$4:$D$15,0)),"CHECK"))</f>
        <v>UPI</v>
      </c>
      <c r="AG410" s="7" t="str">
        <f aca="false">IF(LEFT(LOWER(TRIM(L410)),6)="cancel","Cancelled","Delivered")</f>
        <v>Delivered</v>
      </c>
      <c r="AH410" s="10" t="n">
        <f aca="false">IF(ISNUMBER(SEARCH("/",B410)),DATE(VALUE(RIGHT(B410,4)),VALUE(MID(B410,4,2)),VALUE(LEFT(B410,2))),IF(MID(B410,5,1)="-",DATE(VALUE(LEFT(B410,4)),VALUE(MID(B410,6,2)),VALUE(RIGHT(B410,2))),DATE(VALUE(RIGHT(B410,4)),MATCH(MID(B410,4,3),{"Jan","Feb","Mar","Apr","May","Jun","Jul","Aug","Sep","Oct","Nov","Dec"},0),VALUE(LEFT(B410,2)))))</f>
        <v>45921</v>
      </c>
    </row>
    <row r="411" customFormat="false" ht="15" hidden="false" customHeight="false" outlineLevel="0" collapsed="false">
      <c r="A411" s="7" t="s">
        <v>1611</v>
      </c>
      <c r="B411" s="7" t="s">
        <v>326</v>
      </c>
      <c r="C411" s="7" t="s">
        <v>825</v>
      </c>
      <c r="D411" s="7" t="s">
        <v>1612</v>
      </c>
      <c r="E411" s="7" t="s">
        <v>126</v>
      </c>
      <c r="F411" s="7" t="s">
        <v>101</v>
      </c>
      <c r="G411" s="7" t="s">
        <v>531</v>
      </c>
      <c r="H411" s="7" t="n">
        <v>3</v>
      </c>
      <c r="I411" s="7" t="n">
        <v>215</v>
      </c>
      <c r="J411" s="7" t="n">
        <v>150</v>
      </c>
      <c r="K411" s="7" t="s">
        <v>93</v>
      </c>
      <c r="L411" s="7" t="s">
        <v>194</v>
      </c>
      <c r="M411" s="7" t="n">
        <v>40</v>
      </c>
      <c r="N411" s="7" t="n">
        <v>3</v>
      </c>
      <c r="O411" s="7" t="str">
        <f aca="false">A411&amp;"|"&amp;B411&amp;"|"&amp;C411&amp;"|"&amp;D411&amp;"|"&amp;E411&amp;"|"&amp;F411&amp;"|"&amp;G411&amp;"|"&amp;H411&amp;"|"&amp;I411&amp;"|"&amp;J411&amp;"|"&amp;K411&amp;"|"&amp;L411&amp;"|"&amp;M411&amp;"|"&amp;N411</f>
        <v>ORD12431|2025-11-02|15:36|C1157|Dragon Express|Mumbai|CHINESE|3|215|150|Credit Card|Delivered|40|3</v>
      </c>
      <c r="P411" s="7" t="str">
        <f aca="false">IF(COUNTIF($O$2:O411,O411)&gt;1,"DUP","OK")</f>
        <v>OK</v>
      </c>
      <c r="Q411" s="7" t="n">
        <f aca="false">COUNTBLANK(A411:N411)</f>
        <v>0</v>
      </c>
      <c r="R411" s="7" t="n">
        <f aca="false">IF(A411="",0,COUNTIFS($A$2:$A$3058,A411,$P$2:$P$3058,"OK"))</f>
        <v>1</v>
      </c>
      <c r="S411" s="7" t="str">
        <f aca="false">IF(OR(A411="",P411="DUP",R411&lt;2),"",IF(Q411=_xlfn.MINIFS($Q$2:$Q$3058,$A$2:$A$3058,A411,$P$2:$P$3058,"OK"),"KEEP","DROP"))</f>
        <v/>
      </c>
      <c r="T411" s="9" t="n">
        <f aca="false">IF(A411="",1,0)</f>
        <v>0</v>
      </c>
      <c r="U411" s="9" t="n">
        <f aca="false">IF(D411="",1,0)</f>
        <v>0</v>
      </c>
      <c r="V411" s="9" t="n">
        <f aca="false">IF(E411="",1,0)</f>
        <v>0</v>
      </c>
      <c r="W411" s="9" t="n">
        <f aca="false">IF(OR(H411&lt;1,H411&gt;10),1,0)</f>
        <v>0</v>
      </c>
      <c r="X411" s="9" t="n">
        <f aca="false">IF(OR(I411&lt;=0,I411&gt;1500),1,0)</f>
        <v>0</v>
      </c>
      <c r="Y411" s="9" t="n">
        <f aca="false">IF(J411&gt;H411*I411,1,0)</f>
        <v>0</v>
      </c>
      <c r="Z411" s="9" t="n">
        <f aca="false">IF(AND(N411&lt;&gt;"",OR(N411&lt;1,N411&gt;5)),1,0)</f>
        <v>0</v>
      </c>
      <c r="AA411" s="9" t="n">
        <f aca="false">IF(AND(M411&lt;&gt;"",OR(M411&lt;5,M411&gt;180)),1,0)</f>
        <v>0</v>
      </c>
      <c r="AB411" s="7" t="str">
        <f aca="false">IF(P411="DUP","Exact duplicate row",IF(T411=1,"Missing Order ID",IF(S411="DROP","Duplicate Order ID (less complete row)",IF(U411=1,"Missing Customer ID",IF(V411=1,"Missing Restaurant name",IF(W411=1,"Invalid/outlier quantity",IF(X411=1,"Invalid/outlier unit price",IF(Y411=1,"Discount greater than order value",""))))))))</f>
        <v/>
      </c>
      <c r="AC411" s="7" t="str">
        <f aca="false">IF(AB411="","KEEP","DROP")</f>
        <v>KEEP</v>
      </c>
      <c r="AD411" s="7" t="str">
        <f aca="false">IF(TRIM(F411)="",IFERROR(INDEX(Map_Tables!$I$4:$I$37,MATCH(TRIM(E411),Map_Tables!$G$4:$G$37,0)),""),IFERROR(INDEX(Map_Tables!$B$4:$B$18,MATCH(TRIM(F411),Map_Tables!$A$4:$A$18,0)),"CHECK"))</f>
        <v>Mumbai</v>
      </c>
      <c r="AE411" s="7" t="str">
        <f aca="false">IF(TRIM(E411)="","",IFERROR(INDEX(Map_Tables!$H$4:$H$37,MATCH(TRIM(E411),Map_Tables!$G$4:$G$37,0)),"CHECK"))</f>
        <v>Dragon Express</v>
      </c>
      <c r="AF411" s="7" t="str">
        <f aca="false">IF(TRIM(K411)="","Unknown",IFERROR(INDEX(Map_Tables!$E$4:$E$15,MATCH(TRIM(K411),Map_Tables!$D$4:$D$15,0)),"CHECK"))</f>
        <v>Credit Card</v>
      </c>
      <c r="AG411" s="7" t="str">
        <f aca="false">IF(LEFT(LOWER(TRIM(L411)),6)="cancel","Cancelled","Delivered")</f>
        <v>Delivered</v>
      </c>
      <c r="AH411" s="10" t="n">
        <f aca="false">IF(ISNUMBER(SEARCH("/",B411)),DATE(VALUE(RIGHT(B411,4)),VALUE(MID(B411,4,2)),VALUE(LEFT(B411,2))),IF(MID(B411,5,1)="-",DATE(VALUE(LEFT(B411,4)),VALUE(MID(B411,6,2)),VALUE(RIGHT(B411,2))),DATE(VALUE(RIGHT(B411,4)),MATCH(MID(B411,4,3),{"Jan","Feb","Mar","Apr","May","Jun","Jul","Aug","Sep","Oct","Nov","Dec"},0),VALUE(LEFT(B411,2)))))</f>
        <v>45963</v>
      </c>
    </row>
    <row r="412" customFormat="false" ht="15" hidden="false" customHeight="false" outlineLevel="0" collapsed="false">
      <c r="A412" s="7" t="s">
        <v>1613</v>
      </c>
      <c r="B412" s="7" t="s">
        <v>1614</v>
      </c>
      <c r="C412" s="7" t="s">
        <v>1615</v>
      </c>
      <c r="D412" s="7" t="s">
        <v>396</v>
      </c>
      <c r="E412" s="7" t="s">
        <v>1616</v>
      </c>
      <c r="F412" s="7" t="s">
        <v>86</v>
      </c>
      <c r="G412" s="7" t="s">
        <v>105</v>
      </c>
      <c r="H412" s="7" t="n">
        <v>4</v>
      </c>
      <c r="I412" s="7" t="n">
        <v>245</v>
      </c>
      <c r="J412" s="7" t="n">
        <v>100</v>
      </c>
      <c r="K412" s="7" t="s">
        <v>103</v>
      </c>
      <c r="L412" s="7" t="s">
        <v>194</v>
      </c>
      <c r="M412" s="7" t="n">
        <v>24</v>
      </c>
      <c r="N412" s="7" t="n">
        <v>4</v>
      </c>
      <c r="O412" s="7" t="str">
        <f aca="false">A412&amp;"|"&amp;B412&amp;"|"&amp;C412&amp;"|"&amp;D412&amp;"|"&amp;E412&amp;"|"&amp;F412&amp;"|"&amp;G412&amp;"|"&amp;H412&amp;"|"&amp;I412&amp;"|"&amp;J412&amp;"|"&amp;K412&amp;"|"&amp;L412&amp;"|"&amp;M412&amp;"|"&amp;N412</f>
        <v>ORD11562|2025-07-23|13:07|C0312|wok &amp; roll|Bengaluru|Chinese|4|245|100|Debit Card|Delivered|24|4</v>
      </c>
      <c r="P412" s="7" t="str">
        <f aca="false">IF(COUNTIF($O$2:O412,O412)&gt;1,"DUP","OK")</f>
        <v>OK</v>
      </c>
      <c r="Q412" s="7" t="n">
        <f aca="false">COUNTBLANK(A412:N412)</f>
        <v>0</v>
      </c>
      <c r="R412" s="7" t="n">
        <f aca="false">IF(A412="",0,COUNTIFS($A$2:$A$3058,A412,$P$2:$P$3058,"OK"))</f>
        <v>1</v>
      </c>
      <c r="S412" s="7" t="str">
        <f aca="false">IF(OR(A412="",P412="DUP",R412&lt;2),"",IF(Q412=_xlfn.MINIFS($Q$2:$Q$3058,$A$2:$A$3058,A412,$P$2:$P$3058,"OK"),"KEEP","DROP"))</f>
        <v/>
      </c>
      <c r="T412" s="9" t="n">
        <f aca="false">IF(A412="",1,0)</f>
        <v>0</v>
      </c>
      <c r="U412" s="9" t="n">
        <f aca="false">IF(D412="",1,0)</f>
        <v>0</v>
      </c>
      <c r="V412" s="9" t="n">
        <f aca="false">IF(E412="",1,0)</f>
        <v>0</v>
      </c>
      <c r="W412" s="9" t="n">
        <f aca="false">IF(OR(H412&lt;1,H412&gt;10),1,0)</f>
        <v>0</v>
      </c>
      <c r="X412" s="9" t="n">
        <f aca="false">IF(OR(I412&lt;=0,I412&gt;1500),1,0)</f>
        <v>0</v>
      </c>
      <c r="Y412" s="9" t="n">
        <f aca="false">IF(J412&gt;H412*I412,1,0)</f>
        <v>0</v>
      </c>
      <c r="Z412" s="9" t="n">
        <f aca="false">IF(AND(N412&lt;&gt;"",OR(N412&lt;1,N412&gt;5)),1,0)</f>
        <v>0</v>
      </c>
      <c r="AA412" s="9" t="n">
        <f aca="false">IF(AND(M412&lt;&gt;"",OR(M412&lt;5,M412&gt;180)),1,0)</f>
        <v>0</v>
      </c>
      <c r="AB412" s="7" t="str">
        <f aca="false">IF(P412="DUP","Exact duplicate row",IF(T412=1,"Missing Order ID",IF(S412="DROP","Duplicate Order ID (less complete row)",IF(U412=1,"Missing Customer ID",IF(V412=1,"Missing Restaurant name",IF(W412=1,"Invalid/outlier quantity",IF(X412=1,"Invalid/outlier unit price",IF(Y412=1,"Discount greater than order value",""))))))))</f>
        <v/>
      </c>
      <c r="AC412" s="7" t="str">
        <f aca="false">IF(AB412="","KEEP","DROP")</f>
        <v>KEEP</v>
      </c>
      <c r="AD412" s="7" t="str">
        <f aca="false">IF(TRIM(F412)="",IFERROR(INDEX(Map_Tables!$I$4:$I$37,MATCH(TRIM(E412),Map_Tables!$G$4:$G$37,0)),""),IFERROR(INDEX(Map_Tables!$B$4:$B$18,MATCH(TRIM(F412),Map_Tables!$A$4:$A$18,0)),"CHECK"))</f>
        <v>Bengaluru</v>
      </c>
      <c r="AE412" s="7" t="str">
        <f aca="false">IF(TRIM(E412)="","",IFERROR(INDEX(Map_Tables!$H$4:$H$37,MATCH(TRIM(E412),Map_Tables!$G$4:$G$37,0)),"CHECK"))</f>
        <v>Wok &amp; Roll</v>
      </c>
      <c r="AF412" s="7" t="str">
        <f aca="false">IF(TRIM(K412)="","Unknown",IFERROR(INDEX(Map_Tables!$E$4:$E$15,MATCH(TRIM(K412),Map_Tables!$D$4:$D$15,0)),"CHECK"))</f>
        <v>Debit Card</v>
      </c>
      <c r="AG412" s="7" t="str">
        <f aca="false">IF(LEFT(LOWER(TRIM(L412)),6)="cancel","Cancelled","Delivered")</f>
        <v>Delivered</v>
      </c>
      <c r="AH412" s="10" t="n">
        <f aca="false">IF(ISNUMBER(SEARCH("/",B412)),DATE(VALUE(RIGHT(B412,4)),VALUE(MID(B412,4,2)),VALUE(LEFT(B412,2))),IF(MID(B412,5,1)="-",DATE(VALUE(LEFT(B412,4)),VALUE(MID(B412,6,2)),VALUE(RIGHT(B412,2))),DATE(VALUE(RIGHT(B412,4)),MATCH(MID(B412,4,3),{"Jan","Feb","Mar","Apr","May","Jun","Jul","Aug","Sep","Oct","Nov","Dec"},0),VALUE(LEFT(B412,2)))))</f>
        <v>45861</v>
      </c>
    </row>
    <row r="413" customFormat="false" ht="15" hidden="false" customHeight="false" outlineLevel="0" collapsed="false">
      <c r="A413" s="7" t="s">
        <v>1617</v>
      </c>
      <c r="B413" s="7" t="s">
        <v>835</v>
      </c>
      <c r="C413" s="7" t="s">
        <v>1050</v>
      </c>
      <c r="D413" s="7" t="s">
        <v>1618</v>
      </c>
      <c r="E413" s="7" t="s">
        <v>116</v>
      </c>
      <c r="F413" s="7" t="s">
        <v>101</v>
      </c>
      <c r="G413" s="7" t="s">
        <v>117</v>
      </c>
      <c r="H413" s="7" t="n">
        <v>3</v>
      </c>
      <c r="I413" s="7" t="n">
        <v>120</v>
      </c>
      <c r="J413" s="7" t="n">
        <v>125</v>
      </c>
      <c r="K413" s="7" t="s">
        <v>115</v>
      </c>
      <c r="L413" s="7" t="s">
        <v>194</v>
      </c>
      <c r="M413" s="7" t="n">
        <v>38</v>
      </c>
      <c r="N413" s="7" t="n">
        <v>3</v>
      </c>
      <c r="O413" s="7" t="str">
        <f aca="false">A413&amp;"|"&amp;B413&amp;"|"&amp;C413&amp;"|"&amp;D413&amp;"|"&amp;E413&amp;"|"&amp;F413&amp;"|"&amp;G413&amp;"|"&amp;H413&amp;"|"&amp;I413&amp;"|"&amp;J413&amp;"|"&amp;K413&amp;"|"&amp;L413&amp;"|"&amp;M413&amp;"|"&amp;N413</f>
        <v>ORD12964|2025-12-28|12:29|C0263|Pav Bhaji Point|Mumbai|Street Food|3|120|125|cash on delivery|Delivered|38|3</v>
      </c>
      <c r="P413" s="7" t="str">
        <f aca="false">IF(COUNTIF($O$2:O413,O413)&gt;1,"DUP","OK")</f>
        <v>OK</v>
      </c>
      <c r="Q413" s="7" t="n">
        <f aca="false">COUNTBLANK(A413:N413)</f>
        <v>0</v>
      </c>
      <c r="R413" s="7" t="n">
        <f aca="false">IF(A413="",0,COUNTIFS($A$2:$A$3058,A413,$P$2:$P$3058,"OK"))</f>
        <v>1</v>
      </c>
      <c r="S413" s="7" t="str">
        <f aca="false">IF(OR(A413="",P413="DUP",R413&lt;2),"",IF(Q413=_xlfn.MINIFS($Q$2:$Q$3058,$A$2:$A$3058,A413,$P$2:$P$3058,"OK"),"KEEP","DROP"))</f>
        <v/>
      </c>
      <c r="T413" s="9" t="n">
        <f aca="false">IF(A413="",1,0)</f>
        <v>0</v>
      </c>
      <c r="U413" s="9" t="n">
        <f aca="false">IF(D413="",1,0)</f>
        <v>0</v>
      </c>
      <c r="V413" s="9" t="n">
        <f aca="false">IF(E413="",1,0)</f>
        <v>0</v>
      </c>
      <c r="W413" s="9" t="n">
        <f aca="false">IF(OR(H413&lt;1,H413&gt;10),1,0)</f>
        <v>0</v>
      </c>
      <c r="X413" s="9" t="n">
        <f aca="false">IF(OR(I413&lt;=0,I413&gt;1500),1,0)</f>
        <v>0</v>
      </c>
      <c r="Y413" s="9" t="n">
        <f aca="false">IF(J413&gt;H413*I413,1,0)</f>
        <v>0</v>
      </c>
      <c r="Z413" s="9" t="n">
        <f aca="false">IF(AND(N413&lt;&gt;"",OR(N413&lt;1,N413&gt;5)),1,0)</f>
        <v>0</v>
      </c>
      <c r="AA413" s="9" t="n">
        <f aca="false">IF(AND(M413&lt;&gt;"",OR(M413&lt;5,M413&gt;180)),1,0)</f>
        <v>0</v>
      </c>
      <c r="AB413" s="7" t="str">
        <f aca="false">IF(P413="DUP","Exact duplicate row",IF(T413=1,"Missing Order ID",IF(S413="DROP","Duplicate Order ID (less complete row)",IF(U413=1,"Missing Customer ID",IF(V413=1,"Missing Restaurant name",IF(W413=1,"Invalid/outlier quantity",IF(X413=1,"Invalid/outlier unit price",IF(Y413=1,"Discount greater than order value",""))))))))</f>
        <v/>
      </c>
      <c r="AC413" s="7" t="str">
        <f aca="false">IF(AB413="","KEEP","DROP")</f>
        <v>KEEP</v>
      </c>
      <c r="AD413" s="7" t="str">
        <f aca="false">IF(TRIM(F413)="",IFERROR(INDEX(Map_Tables!$I$4:$I$37,MATCH(TRIM(E413),Map_Tables!$G$4:$G$37,0)),""),IFERROR(INDEX(Map_Tables!$B$4:$B$18,MATCH(TRIM(F413),Map_Tables!$A$4:$A$18,0)),"CHECK"))</f>
        <v>Mumbai</v>
      </c>
      <c r="AE413" s="7" t="str">
        <f aca="false">IF(TRIM(E413)="","",IFERROR(INDEX(Map_Tables!$H$4:$H$37,MATCH(TRIM(E413),Map_Tables!$G$4:$G$37,0)),"CHECK"))</f>
        <v>Pav Bhaji Point</v>
      </c>
      <c r="AF413" s="7" t="str">
        <f aca="false">IF(TRIM(K413)="","Unknown",IFERROR(INDEX(Map_Tables!$E$4:$E$15,MATCH(TRIM(K413),Map_Tables!$D$4:$D$15,0)),"CHECK"))</f>
        <v>Cash on Delivery</v>
      </c>
      <c r="AG413" s="7" t="str">
        <f aca="false">IF(LEFT(LOWER(TRIM(L413)),6)="cancel","Cancelled","Delivered")</f>
        <v>Delivered</v>
      </c>
      <c r="AH413" s="10" t="n">
        <f aca="false">IF(ISNUMBER(SEARCH("/",B413)),DATE(VALUE(RIGHT(B413,4)),VALUE(MID(B413,4,2)),VALUE(LEFT(B413,2))),IF(MID(B413,5,1)="-",DATE(VALUE(LEFT(B413,4)),VALUE(MID(B413,6,2)),VALUE(RIGHT(B413,2))),DATE(VALUE(RIGHT(B413,4)),MATCH(MID(B413,4,3),{"Jan","Feb","Mar","Apr","May","Jun","Jul","Aug","Sep","Oct","Nov","Dec"},0),VALUE(LEFT(B413,2)))))</f>
        <v>46019</v>
      </c>
    </row>
    <row r="414" customFormat="false" ht="15" hidden="false" customHeight="false" outlineLevel="0" collapsed="false">
      <c r="A414" s="7" t="s">
        <v>1619</v>
      </c>
      <c r="B414" s="7" t="s">
        <v>350</v>
      </c>
      <c r="C414" s="7" t="s">
        <v>1620</v>
      </c>
      <c r="D414" s="7" t="s">
        <v>1621</v>
      </c>
      <c r="E414" s="7" t="s">
        <v>94</v>
      </c>
      <c r="F414" s="7" t="s">
        <v>86</v>
      </c>
      <c r="G414" s="7" t="s">
        <v>95</v>
      </c>
      <c r="H414" s="7" t="n">
        <v>2</v>
      </c>
      <c r="I414" s="7" t="n">
        <v>125</v>
      </c>
      <c r="J414" s="7" t="n">
        <v>75</v>
      </c>
      <c r="K414" s="7" t="s">
        <v>229</v>
      </c>
      <c r="L414" s="7" t="s">
        <v>194</v>
      </c>
      <c r="M414" s="7" t="n">
        <v>33</v>
      </c>
      <c r="N414" s="7" t="n">
        <v>3</v>
      </c>
      <c r="O414" s="7" t="str">
        <f aca="false">A414&amp;"|"&amp;B414&amp;"|"&amp;C414&amp;"|"&amp;D414&amp;"|"&amp;E414&amp;"|"&amp;F414&amp;"|"&amp;G414&amp;"|"&amp;H414&amp;"|"&amp;I414&amp;"|"&amp;J414&amp;"|"&amp;K414&amp;"|"&amp;L414&amp;"|"&amp;M414&amp;"|"&amp;N414</f>
        <v>ORD10702|2025-03-29|21:37|C0260|Dosa Darbar|Bengaluru|South Indian|2|125|75|Upi|Delivered|33|3</v>
      </c>
      <c r="P414" s="7" t="str">
        <f aca="false">IF(COUNTIF($O$2:O414,O414)&gt;1,"DUP","OK")</f>
        <v>OK</v>
      </c>
      <c r="Q414" s="7" t="n">
        <f aca="false">COUNTBLANK(A414:N414)</f>
        <v>0</v>
      </c>
      <c r="R414" s="7" t="n">
        <f aca="false">IF(A414="",0,COUNTIFS($A$2:$A$3058,A414,$P$2:$P$3058,"OK"))</f>
        <v>1</v>
      </c>
      <c r="S414" s="7" t="str">
        <f aca="false">IF(OR(A414="",P414="DUP",R414&lt;2),"",IF(Q414=_xlfn.MINIFS($Q$2:$Q$3058,$A$2:$A$3058,A414,$P$2:$P$3058,"OK"),"KEEP","DROP"))</f>
        <v/>
      </c>
      <c r="T414" s="9" t="n">
        <f aca="false">IF(A414="",1,0)</f>
        <v>0</v>
      </c>
      <c r="U414" s="9" t="n">
        <f aca="false">IF(D414="",1,0)</f>
        <v>0</v>
      </c>
      <c r="V414" s="9" t="n">
        <f aca="false">IF(E414="",1,0)</f>
        <v>0</v>
      </c>
      <c r="W414" s="9" t="n">
        <f aca="false">IF(OR(H414&lt;1,H414&gt;10),1,0)</f>
        <v>0</v>
      </c>
      <c r="X414" s="9" t="n">
        <f aca="false">IF(OR(I414&lt;=0,I414&gt;1500),1,0)</f>
        <v>0</v>
      </c>
      <c r="Y414" s="9" t="n">
        <f aca="false">IF(J414&gt;H414*I414,1,0)</f>
        <v>0</v>
      </c>
      <c r="Z414" s="9" t="n">
        <f aca="false">IF(AND(N414&lt;&gt;"",OR(N414&lt;1,N414&gt;5)),1,0)</f>
        <v>0</v>
      </c>
      <c r="AA414" s="9" t="n">
        <f aca="false">IF(AND(M414&lt;&gt;"",OR(M414&lt;5,M414&gt;180)),1,0)</f>
        <v>0</v>
      </c>
      <c r="AB414" s="7" t="str">
        <f aca="false">IF(P414="DUP","Exact duplicate row",IF(T414=1,"Missing Order ID",IF(S414="DROP","Duplicate Order ID (less complete row)",IF(U414=1,"Missing Customer ID",IF(V414=1,"Missing Restaurant name",IF(W414=1,"Invalid/outlier quantity",IF(X414=1,"Invalid/outlier unit price",IF(Y414=1,"Discount greater than order value",""))))))))</f>
        <v/>
      </c>
      <c r="AC414" s="7" t="str">
        <f aca="false">IF(AB414="","KEEP","DROP")</f>
        <v>KEEP</v>
      </c>
      <c r="AD414" s="7" t="str">
        <f aca="false">IF(TRIM(F414)="",IFERROR(INDEX(Map_Tables!$I$4:$I$37,MATCH(TRIM(E414),Map_Tables!$G$4:$G$37,0)),""),IFERROR(INDEX(Map_Tables!$B$4:$B$18,MATCH(TRIM(F414),Map_Tables!$A$4:$A$18,0)),"CHECK"))</f>
        <v>Bengaluru</v>
      </c>
      <c r="AE414" s="7" t="str">
        <f aca="false">IF(TRIM(E414)="","",IFERROR(INDEX(Map_Tables!$H$4:$H$37,MATCH(TRIM(E414),Map_Tables!$G$4:$G$37,0)),"CHECK"))</f>
        <v>Dosa Darbar</v>
      </c>
      <c r="AF414" s="7" t="str">
        <f aca="false">IF(TRIM(K414)="","Unknown",IFERROR(INDEX(Map_Tables!$E$4:$E$15,MATCH(TRIM(K414),Map_Tables!$D$4:$D$15,0)),"CHECK"))</f>
        <v>UPI</v>
      </c>
      <c r="AG414" s="7" t="str">
        <f aca="false">IF(LEFT(LOWER(TRIM(L414)),6)="cancel","Cancelled","Delivered")</f>
        <v>Delivered</v>
      </c>
      <c r="AH414" s="10" t="n">
        <f aca="false">IF(ISNUMBER(SEARCH("/",B414)),DATE(VALUE(RIGHT(B414,4)),VALUE(MID(B414,4,2)),VALUE(LEFT(B414,2))),IF(MID(B414,5,1)="-",DATE(VALUE(LEFT(B414,4)),VALUE(MID(B414,6,2)),VALUE(RIGHT(B414,2))),DATE(VALUE(RIGHT(B414,4)),MATCH(MID(B414,4,3),{"Jan","Feb","Mar","Apr","May","Jun","Jul","Aug","Sep","Oct","Nov","Dec"},0),VALUE(LEFT(B414,2)))))</f>
        <v>45745</v>
      </c>
    </row>
    <row r="415" customFormat="false" ht="15" hidden="false" customHeight="false" outlineLevel="0" collapsed="false">
      <c r="A415" s="7" t="s">
        <v>1622</v>
      </c>
      <c r="B415" s="7" t="s">
        <v>1623</v>
      </c>
      <c r="C415" s="7" t="s">
        <v>1624</v>
      </c>
      <c r="D415" s="7" t="s">
        <v>387</v>
      </c>
      <c r="E415" s="7" t="s">
        <v>147</v>
      </c>
      <c r="F415" s="7" t="s">
        <v>119</v>
      </c>
      <c r="G415" s="7" t="s">
        <v>95</v>
      </c>
      <c r="H415" s="7" t="n">
        <v>3</v>
      </c>
      <c r="I415" s="7" t="n">
        <v>135</v>
      </c>
      <c r="J415" s="7" t="n">
        <v>20</v>
      </c>
      <c r="K415" s="7" t="s">
        <v>88</v>
      </c>
      <c r="L415" s="7" t="s">
        <v>194</v>
      </c>
      <c r="M415" s="7" t="n">
        <v>35</v>
      </c>
      <c r="N415" s="7" t="n">
        <v>3</v>
      </c>
      <c r="O415" s="7" t="str">
        <f aca="false">A415&amp;"|"&amp;B415&amp;"|"&amp;C415&amp;"|"&amp;D415&amp;"|"&amp;E415&amp;"|"&amp;F415&amp;"|"&amp;G415&amp;"|"&amp;H415&amp;"|"&amp;I415&amp;"|"&amp;J415&amp;"|"&amp;K415&amp;"|"&amp;L415&amp;"|"&amp;M415&amp;"|"&amp;N415</f>
        <v>ORD12390|2025-10-28|20:31|C0754|Andhra Meals Mess|Hyderabad|South Indian|3|135|20|UPI|Delivered|35|3</v>
      </c>
      <c r="P415" s="7" t="str">
        <f aca="false">IF(COUNTIF($O$2:O415,O415)&gt;1,"DUP","OK")</f>
        <v>OK</v>
      </c>
      <c r="Q415" s="7" t="n">
        <f aca="false">COUNTBLANK(A415:N415)</f>
        <v>0</v>
      </c>
      <c r="R415" s="7" t="n">
        <f aca="false">IF(A415="",0,COUNTIFS($A$2:$A$3058,A415,$P$2:$P$3058,"OK"))</f>
        <v>1</v>
      </c>
      <c r="S415" s="7" t="str">
        <f aca="false">IF(OR(A415="",P415="DUP",R415&lt;2),"",IF(Q415=_xlfn.MINIFS($Q$2:$Q$3058,$A$2:$A$3058,A415,$P$2:$P$3058,"OK"),"KEEP","DROP"))</f>
        <v/>
      </c>
      <c r="T415" s="9" t="n">
        <f aca="false">IF(A415="",1,0)</f>
        <v>0</v>
      </c>
      <c r="U415" s="9" t="n">
        <f aca="false">IF(D415="",1,0)</f>
        <v>0</v>
      </c>
      <c r="V415" s="9" t="n">
        <f aca="false">IF(E415="",1,0)</f>
        <v>0</v>
      </c>
      <c r="W415" s="9" t="n">
        <f aca="false">IF(OR(H415&lt;1,H415&gt;10),1,0)</f>
        <v>0</v>
      </c>
      <c r="X415" s="9" t="n">
        <f aca="false">IF(OR(I415&lt;=0,I415&gt;1500),1,0)</f>
        <v>0</v>
      </c>
      <c r="Y415" s="9" t="n">
        <f aca="false">IF(J415&gt;H415*I415,1,0)</f>
        <v>0</v>
      </c>
      <c r="Z415" s="9" t="n">
        <f aca="false">IF(AND(N415&lt;&gt;"",OR(N415&lt;1,N415&gt;5)),1,0)</f>
        <v>0</v>
      </c>
      <c r="AA415" s="9" t="n">
        <f aca="false">IF(AND(M415&lt;&gt;"",OR(M415&lt;5,M415&gt;180)),1,0)</f>
        <v>0</v>
      </c>
      <c r="AB415" s="7" t="str">
        <f aca="false">IF(P415="DUP","Exact duplicate row",IF(T415=1,"Missing Order ID",IF(S415="DROP","Duplicate Order ID (less complete row)",IF(U415=1,"Missing Customer ID",IF(V415=1,"Missing Restaurant name",IF(W415=1,"Invalid/outlier quantity",IF(X415=1,"Invalid/outlier unit price",IF(Y415=1,"Discount greater than order value",""))))))))</f>
        <v/>
      </c>
      <c r="AC415" s="7" t="str">
        <f aca="false">IF(AB415="","KEEP","DROP")</f>
        <v>KEEP</v>
      </c>
      <c r="AD415" s="7" t="str">
        <f aca="false">IF(TRIM(F415)="",IFERROR(INDEX(Map_Tables!$I$4:$I$37,MATCH(TRIM(E415),Map_Tables!$G$4:$G$37,0)),""),IFERROR(INDEX(Map_Tables!$B$4:$B$18,MATCH(TRIM(F415),Map_Tables!$A$4:$A$18,0)),"CHECK"))</f>
        <v>Hyderabad</v>
      </c>
      <c r="AE415" s="7" t="str">
        <f aca="false">IF(TRIM(E415)="","",IFERROR(INDEX(Map_Tables!$H$4:$H$37,MATCH(TRIM(E415),Map_Tables!$G$4:$G$37,0)),"CHECK"))</f>
        <v>Andhra Meals Mess</v>
      </c>
      <c r="AF415" s="7" t="str">
        <f aca="false">IF(TRIM(K415)="","Unknown",IFERROR(INDEX(Map_Tables!$E$4:$E$15,MATCH(TRIM(K415),Map_Tables!$D$4:$D$15,0)),"CHECK"))</f>
        <v>UPI</v>
      </c>
      <c r="AG415" s="7" t="str">
        <f aca="false">IF(LEFT(LOWER(TRIM(L415)),6)="cancel","Cancelled","Delivered")</f>
        <v>Delivered</v>
      </c>
      <c r="AH415" s="10" t="n">
        <f aca="false">IF(ISNUMBER(SEARCH("/",B415)),DATE(VALUE(RIGHT(B415,4)),VALUE(MID(B415,4,2)),VALUE(LEFT(B415,2))),IF(MID(B415,5,1)="-",DATE(VALUE(LEFT(B415,4)),VALUE(MID(B415,6,2)),VALUE(RIGHT(B415,2))),DATE(VALUE(RIGHT(B415,4)),MATCH(MID(B415,4,3),{"Jan","Feb","Mar","Apr","May","Jun","Jul","Aug","Sep","Oct","Nov","Dec"},0),VALUE(LEFT(B415,2)))))</f>
        <v>45958</v>
      </c>
    </row>
    <row r="416" customFormat="false" ht="15" hidden="false" customHeight="false" outlineLevel="0" collapsed="false">
      <c r="A416" s="7" t="s">
        <v>1625</v>
      </c>
      <c r="B416" s="7" t="s">
        <v>758</v>
      </c>
      <c r="C416" s="7" t="s">
        <v>1626</v>
      </c>
      <c r="D416" s="7" t="s">
        <v>1627</v>
      </c>
      <c r="E416" s="7" t="s">
        <v>157</v>
      </c>
      <c r="F416" s="7" t="s">
        <v>136</v>
      </c>
      <c r="G416" s="7" t="s">
        <v>117</v>
      </c>
      <c r="H416" s="7" t="n">
        <v>1</v>
      </c>
      <c r="I416" s="7" t="n">
        <v>130</v>
      </c>
      <c r="J416" s="7" t="n">
        <v>52</v>
      </c>
      <c r="K416" s="7" t="s">
        <v>298</v>
      </c>
      <c r="L416" s="7" t="s">
        <v>194</v>
      </c>
      <c r="M416" s="7" t="n">
        <v>25</v>
      </c>
      <c r="N416" s="7" t="n">
        <v>5</v>
      </c>
      <c r="O416" s="7" t="str">
        <f aca="false">A416&amp;"|"&amp;B416&amp;"|"&amp;C416&amp;"|"&amp;D416&amp;"|"&amp;E416&amp;"|"&amp;F416&amp;"|"&amp;G416&amp;"|"&amp;H416&amp;"|"&amp;I416&amp;"|"&amp;J416&amp;"|"&amp;K416&amp;"|"&amp;L416&amp;"|"&amp;M416&amp;"|"&amp;N416</f>
        <v>ORD12809|2025-12-10|11:40|C1420|Misal Mantra|Pune|Street Food|1|130|52|Cash On Delivery|Delivered|25|5</v>
      </c>
      <c r="P416" s="7" t="str">
        <f aca="false">IF(COUNTIF($O$2:O416,O416)&gt;1,"DUP","OK")</f>
        <v>OK</v>
      </c>
      <c r="Q416" s="7" t="n">
        <f aca="false">COUNTBLANK(A416:N416)</f>
        <v>0</v>
      </c>
      <c r="R416" s="7" t="n">
        <f aca="false">IF(A416="",0,COUNTIFS($A$2:$A$3058,A416,$P$2:$P$3058,"OK"))</f>
        <v>1</v>
      </c>
      <c r="S416" s="7" t="str">
        <f aca="false">IF(OR(A416="",P416="DUP",R416&lt;2),"",IF(Q416=_xlfn.MINIFS($Q$2:$Q$3058,$A$2:$A$3058,A416,$P$2:$P$3058,"OK"),"KEEP","DROP"))</f>
        <v/>
      </c>
      <c r="T416" s="9" t="n">
        <f aca="false">IF(A416="",1,0)</f>
        <v>0</v>
      </c>
      <c r="U416" s="9" t="n">
        <f aca="false">IF(D416="",1,0)</f>
        <v>0</v>
      </c>
      <c r="V416" s="9" t="n">
        <f aca="false">IF(E416="",1,0)</f>
        <v>0</v>
      </c>
      <c r="W416" s="9" t="n">
        <f aca="false">IF(OR(H416&lt;1,H416&gt;10),1,0)</f>
        <v>0</v>
      </c>
      <c r="X416" s="9" t="n">
        <f aca="false">IF(OR(I416&lt;=0,I416&gt;1500),1,0)</f>
        <v>0</v>
      </c>
      <c r="Y416" s="9" t="n">
        <f aca="false">IF(J416&gt;H416*I416,1,0)</f>
        <v>0</v>
      </c>
      <c r="Z416" s="9" t="n">
        <f aca="false">IF(AND(N416&lt;&gt;"",OR(N416&lt;1,N416&gt;5)),1,0)</f>
        <v>0</v>
      </c>
      <c r="AA416" s="9" t="n">
        <f aca="false">IF(AND(M416&lt;&gt;"",OR(M416&lt;5,M416&gt;180)),1,0)</f>
        <v>0</v>
      </c>
      <c r="AB416" s="7" t="str">
        <f aca="false">IF(P416="DUP","Exact duplicate row",IF(T416=1,"Missing Order ID",IF(S416="DROP","Duplicate Order ID (less complete row)",IF(U416=1,"Missing Customer ID",IF(V416=1,"Missing Restaurant name",IF(W416=1,"Invalid/outlier quantity",IF(X416=1,"Invalid/outlier unit price",IF(Y416=1,"Discount greater than order value",""))))))))</f>
        <v/>
      </c>
      <c r="AC416" s="7" t="str">
        <f aca="false">IF(AB416="","KEEP","DROP")</f>
        <v>KEEP</v>
      </c>
      <c r="AD416" s="7" t="str">
        <f aca="false">IF(TRIM(F416)="",IFERROR(INDEX(Map_Tables!$I$4:$I$37,MATCH(TRIM(E416),Map_Tables!$G$4:$G$37,0)),""),IFERROR(INDEX(Map_Tables!$B$4:$B$18,MATCH(TRIM(F416),Map_Tables!$A$4:$A$18,0)),"CHECK"))</f>
        <v>Pune</v>
      </c>
      <c r="AE416" s="7" t="str">
        <f aca="false">IF(TRIM(E416)="","",IFERROR(INDEX(Map_Tables!$H$4:$H$37,MATCH(TRIM(E416),Map_Tables!$G$4:$G$37,0)),"CHECK"))</f>
        <v>Misal Mantra</v>
      </c>
      <c r="AF416" s="7" t="str">
        <f aca="false">IF(TRIM(K416)="","Unknown",IFERROR(INDEX(Map_Tables!$E$4:$E$15,MATCH(TRIM(K416),Map_Tables!$D$4:$D$15,0)),"CHECK"))</f>
        <v>Cash on Delivery</v>
      </c>
      <c r="AG416" s="7" t="str">
        <f aca="false">IF(LEFT(LOWER(TRIM(L416)),6)="cancel","Cancelled","Delivered")</f>
        <v>Delivered</v>
      </c>
      <c r="AH416" s="10" t="n">
        <f aca="false">IF(ISNUMBER(SEARCH("/",B416)),DATE(VALUE(RIGHT(B416,4)),VALUE(MID(B416,4,2)),VALUE(LEFT(B416,2))),IF(MID(B416,5,1)="-",DATE(VALUE(LEFT(B416,4)),VALUE(MID(B416,6,2)),VALUE(RIGHT(B416,2))),DATE(VALUE(RIGHT(B416,4)),MATCH(MID(B416,4,3),{"Jan","Feb","Mar","Apr","May","Jun","Jul","Aug","Sep","Oct","Nov","Dec"},0),VALUE(LEFT(B416,2)))))</f>
        <v>46001</v>
      </c>
    </row>
    <row r="417" customFormat="false" ht="15" hidden="false" customHeight="false" outlineLevel="0" collapsed="false">
      <c r="A417" s="7" t="s">
        <v>1628</v>
      </c>
      <c r="B417" s="7" t="s">
        <v>1108</v>
      </c>
      <c r="C417" s="7" t="s">
        <v>1211</v>
      </c>
      <c r="D417" s="7" t="s">
        <v>818</v>
      </c>
      <c r="E417" s="7" t="s">
        <v>113</v>
      </c>
      <c r="F417" s="7" t="s">
        <v>101</v>
      </c>
      <c r="G417" s="7" t="s">
        <v>90</v>
      </c>
      <c r="H417" s="7" t="n">
        <v>5</v>
      </c>
      <c r="I417" s="7" t="n">
        <v>265</v>
      </c>
      <c r="J417" s="7" t="n">
        <v>125</v>
      </c>
      <c r="K417" s="7" t="s">
        <v>93</v>
      </c>
      <c r="L417" s="7" t="s">
        <v>194</v>
      </c>
      <c r="M417" s="7" t="n">
        <v>49</v>
      </c>
      <c r="N417" s="7" t="n">
        <v>2</v>
      </c>
      <c r="O417" s="7" t="str">
        <f aca="false">A417&amp;"|"&amp;B417&amp;"|"&amp;C417&amp;"|"&amp;D417&amp;"|"&amp;E417&amp;"|"&amp;F417&amp;"|"&amp;G417&amp;"|"&amp;H417&amp;"|"&amp;I417&amp;"|"&amp;J417&amp;"|"&amp;K417&amp;"|"&amp;L417&amp;"|"&amp;M417&amp;"|"&amp;N417</f>
        <v>ORD12617|2025-11-19|20:42|C0355|Curry Leaf Kitchen|Mumbai|North Indian|5|265|125|Credit Card|Delivered|49|2</v>
      </c>
      <c r="P417" s="7" t="str">
        <f aca="false">IF(COUNTIF($O$2:O417,O417)&gt;1,"DUP","OK")</f>
        <v>OK</v>
      </c>
      <c r="Q417" s="7" t="n">
        <f aca="false">COUNTBLANK(A417:N417)</f>
        <v>0</v>
      </c>
      <c r="R417" s="7" t="n">
        <f aca="false">IF(A417="",0,COUNTIFS($A$2:$A$3058,A417,$P$2:$P$3058,"OK"))</f>
        <v>1</v>
      </c>
      <c r="S417" s="7" t="str">
        <f aca="false">IF(OR(A417="",P417="DUP",R417&lt;2),"",IF(Q417=_xlfn.MINIFS($Q$2:$Q$3058,$A$2:$A$3058,A417,$P$2:$P$3058,"OK"),"KEEP","DROP"))</f>
        <v/>
      </c>
      <c r="T417" s="9" t="n">
        <f aca="false">IF(A417="",1,0)</f>
        <v>0</v>
      </c>
      <c r="U417" s="9" t="n">
        <f aca="false">IF(D417="",1,0)</f>
        <v>0</v>
      </c>
      <c r="V417" s="9" t="n">
        <f aca="false">IF(E417="",1,0)</f>
        <v>0</v>
      </c>
      <c r="W417" s="9" t="n">
        <f aca="false">IF(OR(H417&lt;1,H417&gt;10),1,0)</f>
        <v>0</v>
      </c>
      <c r="X417" s="9" t="n">
        <f aca="false">IF(OR(I417&lt;=0,I417&gt;1500),1,0)</f>
        <v>0</v>
      </c>
      <c r="Y417" s="9" t="n">
        <f aca="false">IF(J417&gt;H417*I417,1,0)</f>
        <v>0</v>
      </c>
      <c r="Z417" s="9" t="n">
        <f aca="false">IF(AND(N417&lt;&gt;"",OR(N417&lt;1,N417&gt;5)),1,0)</f>
        <v>0</v>
      </c>
      <c r="AA417" s="9" t="n">
        <f aca="false">IF(AND(M417&lt;&gt;"",OR(M417&lt;5,M417&gt;180)),1,0)</f>
        <v>0</v>
      </c>
      <c r="AB417" s="7" t="str">
        <f aca="false">IF(P417="DUP","Exact duplicate row",IF(T417=1,"Missing Order ID",IF(S417="DROP","Duplicate Order ID (less complete row)",IF(U417=1,"Missing Customer ID",IF(V417=1,"Missing Restaurant name",IF(W417=1,"Invalid/outlier quantity",IF(X417=1,"Invalid/outlier unit price",IF(Y417=1,"Discount greater than order value",""))))))))</f>
        <v/>
      </c>
      <c r="AC417" s="7" t="str">
        <f aca="false">IF(AB417="","KEEP","DROP")</f>
        <v>KEEP</v>
      </c>
      <c r="AD417" s="7" t="str">
        <f aca="false">IF(TRIM(F417)="",IFERROR(INDEX(Map_Tables!$I$4:$I$37,MATCH(TRIM(E417),Map_Tables!$G$4:$G$37,0)),""),IFERROR(INDEX(Map_Tables!$B$4:$B$18,MATCH(TRIM(F417),Map_Tables!$A$4:$A$18,0)),"CHECK"))</f>
        <v>Mumbai</v>
      </c>
      <c r="AE417" s="7" t="str">
        <f aca="false">IF(TRIM(E417)="","",IFERROR(INDEX(Map_Tables!$H$4:$H$37,MATCH(TRIM(E417),Map_Tables!$G$4:$G$37,0)),"CHECK"))</f>
        <v>Curry Leaf Kitchen</v>
      </c>
      <c r="AF417" s="7" t="str">
        <f aca="false">IF(TRIM(K417)="","Unknown",IFERROR(INDEX(Map_Tables!$E$4:$E$15,MATCH(TRIM(K417),Map_Tables!$D$4:$D$15,0)),"CHECK"))</f>
        <v>Credit Card</v>
      </c>
      <c r="AG417" s="7" t="str">
        <f aca="false">IF(LEFT(LOWER(TRIM(L417)),6)="cancel","Cancelled","Delivered")</f>
        <v>Delivered</v>
      </c>
      <c r="AH417" s="10" t="n">
        <f aca="false">IF(ISNUMBER(SEARCH("/",B417)),DATE(VALUE(RIGHT(B417,4)),VALUE(MID(B417,4,2)),VALUE(LEFT(B417,2))),IF(MID(B417,5,1)="-",DATE(VALUE(LEFT(B417,4)),VALUE(MID(B417,6,2)),VALUE(RIGHT(B417,2))),DATE(VALUE(RIGHT(B417,4)),MATCH(MID(B417,4,3),{"Jan","Feb","Mar","Apr","May","Jun","Jul","Aug","Sep","Oct","Nov","Dec"},0),VALUE(LEFT(B417,2)))))</f>
        <v>45980</v>
      </c>
    </row>
    <row r="418" customFormat="false" ht="15" hidden="false" customHeight="false" outlineLevel="0" collapsed="false">
      <c r="A418" s="7" t="s">
        <v>1629</v>
      </c>
      <c r="B418" s="7" t="s">
        <v>493</v>
      </c>
      <c r="C418" s="7" t="s">
        <v>382</v>
      </c>
      <c r="D418" s="7" t="s">
        <v>366</v>
      </c>
      <c r="E418" s="7" t="s">
        <v>113</v>
      </c>
      <c r="F418" s="7" t="s">
        <v>1557</v>
      </c>
      <c r="G418" s="7" t="s">
        <v>90</v>
      </c>
      <c r="H418" s="7" t="n">
        <v>1</v>
      </c>
      <c r="I418" s="7" t="n">
        <v>280</v>
      </c>
      <c r="J418" s="7" t="n">
        <v>0</v>
      </c>
      <c r="K418" s="7" t="s">
        <v>112</v>
      </c>
      <c r="L418" s="7" t="s">
        <v>194</v>
      </c>
      <c r="M418" s="7" t="n">
        <v>23</v>
      </c>
      <c r="N418" s="7" t="n">
        <v>3</v>
      </c>
      <c r="O418" s="7" t="str">
        <f aca="false">A418&amp;"|"&amp;B418&amp;"|"&amp;C418&amp;"|"&amp;D418&amp;"|"&amp;E418&amp;"|"&amp;F418&amp;"|"&amp;G418&amp;"|"&amp;H418&amp;"|"&amp;I418&amp;"|"&amp;J418&amp;"|"&amp;K418&amp;"|"&amp;L418&amp;"|"&amp;M418&amp;"|"&amp;N418</f>
        <v>ORD10227|2025-01-31|18:26|C0187|Curry Leaf Kitchen|Mumbai |North Indian|1|280|0|Cash on Delivery|Delivered|23|3</v>
      </c>
      <c r="P418" s="7" t="str">
        <f aca="false">IF(COUNTIF($O$2:O418,O418)&gt;1,"DUP","OK")</f>
        <v>OK</v>
      </c>
      <c r="Q418" s="7" t="n">
        <f aca="false">COUNTBLANK(A418:N418)</f>
        <v>0</v>
      </c>
      <c r="R418" s="7" t="n">
        <f aca="false">IF(A418="",0,COUNTIFS($A$2:$A$3058,A418,$P$2:$P$3058,"OK"))</f>
        <v>1</v>
      </c>
      <c r="S418" s="7" t="str">
        <f aca="false">IF(OR(A418="",P418="DUP",R418&lt;2),"",IF(Q418=_xlfn.MINIFS($Q$2:$Q$3058,$A$2:$A$3058,A418,$P$2:$P$3058,"OK"),"KEEP","DROP"))</f>
        <v/>
      </c>
      <c r="T418" s="9" t="n">
        <f aca="false">IF(A418="",1,0)</f>
        <v>0</v>
      </c>
      <c r="U418" s="9" t="n">
        <f aca="false">IF(D418="",1,0)</f>
        <v>0</v>
      </c>
      <c r="V418" s="9" t="n">
        <f aca="false">IF(E418="",1,0)</f>
        <v>0</v>
      </c>
      <c r="W418" s="9" t="n">
        <f aca="false">IF(OR(H418&lt;1,H418&gt;10),1,0)</f>
        <v>0</v>
      </c>
      <c r="X418" s="9" t="n">
        <f aca="false">IF(OR(I418&lt;=0,I418&gt;1500),1,0)</f>
        <v>0</v>
      </c>
      <c r="Y418" s="9" t="n">
        <f aca="false">IF(J418&gt;H418*I418,1,0)</f>
        <v>0</v>
      </c>
      <c r="Z418" s="9" t="n">
        <f aca="false">IF(AND(N418&lt;&gt;"",OR(N418&lt;1,N418&gt;5)),1,0)</f>
        <v>0</v>
      </c>
      <c r="AA418" s="9" t="n">
        <f aca="false">IF(AND(M418&lt;&gt;"",OR(M418&lt;5,M418&gt;180)),1,0)</f>
        <v>0</v>
      </c>
      <c r="AB418" s="7" t="str">
        <f aca="false">IF(P418="DUP","Exact duplicate row",IF(T418=1,"Missing Order ID",IF(S418="DROP","Duplicate Order ID (less complete row)",IF(U418=1,"Missing Customer ID",IF(V418=1,"Missing Restaurant name",IF(W418=1,"Invalid/outlier quantity",IF(X418=1,"Invalid/outlier unit price",IF(Y418=1,"Discount greater than order value",""))))))))</f>
        <v/>
      </c>
      <c r="AC418" s="7" t="str">
        <f aca="false">IF(AB418="","KEEP","DROP")</f>
        <v>KEEP</v>
      </c>
      <c r="AD418" s="7" t="str">
        <f aca="false">IF(TRIM(F418)="",IFERROR(INDEX(Map_Tables!$I$4:$I$37,MATCH(TRIM(E418),Map_Tables!$G$4:$G$37,0)),""),IFERROR(INDEX(Map_Tables!$B$4:$B$18,MATCH(TRIM(F418),Map_Tables!$A$4:$A$18,0)),"CHECK"))</f>
        <v>Mumbai</v>
      </c>
      <c r="AE418" s="7" t="str">
        <f aca="false">IF(TRIM(E418)="","",IFERROR(INDEX(Map_Tables!$H$4:$H$37,MATCH(TRIM(E418),Map_Tables!$G$4:$G$37,0)),"CHECK"))</f>
        <v>Curry Leaf Kitchen</v>
      </c>
      <c r="AF418" s="7" t="str">
        <f aca="false">IF(TRIM(K418)="","Unknown",IFERROR(INDEX(Map_Tables!$E$4:$E$15,MATCH(TRIM(K418),Map_Tables!$D$4:$D$15,0)),"CHECK"))</f>
        <v>Cash on Delivery</v>
      </c>
      <c r="AG418" s="7" t="str">
        <f aca="false">IF(LEFT(LOWER(TRIM(L418)),6)="cancel","Cancelled","Delivered")</f>
        <v>Delivered</v>
      </c>
      <c r="AH418" s="10" t="n">
        <f aca="false">IF(ISNUMBER(SEARCH("/",B418)),DATE(VALUE(RIGHT(B418,4)),VALUE(MID(B418,4,2)),VALUE(LEFT(B418,2))),IF(MID(B418,5,1)="-",DATE(VALUE(LEFT(B418,4)),VALUE(MID(B418,6,2)),VALUE(RIGHT(B418,2))),DATE(VALUE(RIGHT(B418,4)),MATCH(MID(B418,4,3),{"Jan","Feb","Mar","Apr","May","Jun","Jul","Aug","Sep","Oct","Nov","Dec"},0),VALUE(LEFT(B418,2)))))</f>
        <v>45688</v>
      </c>
    </row>
    <row r="419" customFormat="false" ht="15" hidden="false" customHeight="false" outlineLevel="0" collapsed="false">
      <c r="A419" s="7" t="s">
        <v>1630</v>
      </c>
      <c r="B419" s="7" t="s">
        <v>459</v>
      </c>
      <c r="C419" s="7" t="s">
        <v>1631</v>
      </c>
      <c r="D419" s="7" t="s">
        <v>1632</v>
      </c>
      <c r="E419" s="7" t="s">
        <v>148</v>
      </c>
      <c r="F419" s="7" t="s">
        <v>119</v>
      </c>
      <c r="G419" s="7" t="s">
        <v>123</v>
      </c>
      <c r="H419" s="7" t="n">
        <v>2</v>
      </c>
      <c r="I419" s="7" t="n">
        <v>315</v>
      </c>
      <c r="J419" s="7" t="n">
        <v>0</v>
      </c>
      <c r="K419" s="7" t="s">
        <v>87</v>
      </c>
      <c r="L419" s="7" t="s">
        <v>194</v>
      </c>
      <c r="M419" s="7" t="n">
        <v>37</v>
      </c>
      <c r="N419" s="7" t="n">
        <v>3</v>
      </c>
      <c r="O419" s="7" t="str">
        <f aca="false">A419&amp;"|"&amp;B419&amp;"|"&amp;C419&amp;"|"&amp;D419&amp;"|"&amp;E419&amp;"|"&amp;F419&amp;"|"&amp;G419&amp;"|"&amp;H419&amp;"|"&amp;I419&amp;"|"&amp;J419&amp;"|"&amp;K419&amp;"|"&amp;L419&amp;"|"&amp;M419&amp;"|"&amp;N419</f>
        <v>ORD11544|2025-07-20|19:53|C0540|Pizza Palace|Hyderabad|Pizza|2|315|0|upi|Delivered|37|3</v>
      </c>
      <c r="P419" s="7" t="str">
        <f aca="false">IF(COUNTIF($O$2:O419,O419)&gt;1,"DUP","OK")</f>
        <v>OK</v>
      </c>
      <c r="Q419" s="7" t="n">
        <f aca="false">COUNTBLANK(A419:N419)</f>
        <v>0</v>
      </c>
      <c r="R419" s="7" t="n">
        <f aca="false">IF(A419="",0,COUNTIFS($A$2:$A$3058,A419,$P$2:$P$3058,"OK"))</f>
        <v>1</v>
      </c>
      <c r="S419" s="7" t="str">
        <f aca="false">IF(OR(A419="",P419="DUP",R419&lt;2),"",IF(Q419=_xlfn.MINIFS($Q$2:$Q$3058,$A$2:$A$3058,A419,$P$2:$P$3058,"OK"),"KEEP","DROP"))</f>
        <v/>
      </c>
      <c r="T419" s="9" t="n">
        <f aca="false">IF(A419="",1,0)</f>
        <v>0</v>
      </c>
      <c r="U419" s="9" t="n">
        <f aca="false">IF(D419="",1,0)</f>
        <v>0</v>
      </c>
      <c r="V419" s="9" t="n">
        <f aca="false">IF(E419="",1,0)</f>
        <v>0</v>
      </c>
      <c r="W419" s="9" t="n">
        <f aca="false">IF(OR(H419&lt;1,H419&gt;10),1,0)</f>
        <v>0</v>
      </c>
      <c r="X419" s="9" t="n">
        <f aca="false">IF(OR(I419&lt;=0,I419&gt;1500),1,0)</f>
        <v>0</v>
      </c>
      <c r="Y419" s="9" t="n">
        <f aca="false">IF(J419&gt;H419*I419,1,0)</f>
        <v>0</v>
      </c>
      <c r="Z419" s="9" t="n">
        <f aca="false">IF(AND(N419&lt;&gt;"",OR(N419&lt;1,N419&gt;5)),1,0)</f>
        <v>0</v>
      </c>
      <c r="AA419" s="9" t="n">
        <f aca="false">IF(AND(M419&lt;&gt;"",OR(M419&lt;5,M419&gt;180)),1,0)</f>
        <v>0</v>
      </c>
      <c r="AB419" s="7" t="str">
        <f aca="false">IF(P419="DUP","Exact duplicate row",IF(T419=1,"Missing Order ID",IF(S419="DROP","Duplicate Order ID (less complete row)",IF(U419=1,"Missing Customer ID",IF(V419=1,"Missing Restaurant name",IF(W419=1,"Invalid/outlier quantity",IF(X419=1,"Invalid/outlier unit price",IF(Y419=1,"Discount greater than order value",""))))))))</f>
        <v/>
      </c>
      <c r="AC419" s="7" t="str">
        <f aca="false">IF(AB419="","KEEP","DROP")</f>
        <v>KEEP</v>
      </c>
      <c r="AD419" s="7" t="str">
        <f aca="false">IF(TRIM(F419)="",IFERROR(INDEX(Map_Tables!$I$4:$I$37,MATCH(TRIM(E419),Map_Tables!$G$4:$G$37,0)),""),IFERROR(INDEX(Map_Tables!$B$4:$B$18,MATCH(TRIM(F419),Map_Tables!$A$4:$A$18,0)),"CHECK"))</f>
        <v>Hyderabad</v>
      </c>
      <c r="AE419" s="7" t="str">
        <f aca="false">IF(TRIM(E419)="","",IFERROR(INDEX(Map_Tables!$H$4:$H$37,MATCH(TRIM(E419),Map_Tables!$G$4:$G$37,0)),"CHECK"))</f>
        <v>Pizza Palace</v>
      </c>
      <c r="AF419" s="7" t="str">
        <f aca="false">IF(TRIM(K419)="","Unknown",IFERROR(INDEX(Map_Tables!$E$4:$E$15,MATCH(TRIM(K419),Map_Tables!$D$4:$D$15,0)),"CHECK"))</f>
        <v>UPI</v>
      </c>
      <c r="AG419" s="7" t="str">
        <f aca="false">IF(LEFT(LOWER(TRIM(L419)),6)="cancel","Cancelled","Delivered")</f>
        <v>Delivered</v>
      </c>
      <c r="AH419" s="10" t="n">
        <f aca="false">IF(ISNUMBER(SEARCH("/",B419)),DATE(VALUE(RIGHT(B419,4)),VALUE(MID(B419,4,2)),VALUE(LEFT(B419,2))),IF(MID(B419,5,1)="-",DATE(VALUE(LEFT(B419,4)),VALUE(MID(B419,6,2)),VALUE(RIGHT(B419,2))),DATE(VALUE(RIGHT(B419,4)),MATCH(MID(B419,4,3),{"Jan","Feb","Mar","Apr","May","Jun","Jul","Aug","Sep","Oct","Nov","Dec"},0),VALUE(LEFT(B419,2)))))</f>
        <v>45858</v>
      </c>
    </row>
    <row r="420" customFormat="false" ht="15" hidden="false" customHeight="false" outlineLevel="0" collapsed="false">
      <c r="A420" s="7" t="s">
        <v>1633</v>
      </c>
      <c r="B420" s="7" t="s">
        <v>1634</v>
      </c>
      <c r="C420" s="7" t="s">
        <v>1635</v>
      </c>
      <c r="D420" s="7" t="s">
        <v>1636</v>
      </c>
      <c r="E420" s="7" t="s">
        <v>1637</v>
      </c>
      <c r="F420" s="7" t="s">
        <v>86</v>
      </c>
      <c r="G420" s="7" t="s">
        <v>99</v>
      </c>
      <c r="H420" s="7" t="n">
        <v>3</v>
      </c>
      <c r="I420" s="7" t="n">
        <v>295</v>
      </c>
      <c r="J420" s="7" t="n">
        <v>0</v>
      </c>
      <c r="K420" s="7" t="s">
        <v>88</v>
      </c>
      <c r="L420" s="7" t="s">
        <v>194</v>
      </c>
      <c r="M420" s="7" t="n">
        <v>53</v>
      </c>
      <c r="N420" s="7" t="n">
        <v>4</v>
      </c>
      <c r="O420" s="7" t="str">
        <f aca="false">A420&amp;"|"&amp;B420&amp;"|"&amp;C420&amp;"|"&amp;D420&amp;"|"&amp;E420&amp;"|"&amp;F420&amp;"|"&amp;G420&amp;"|"&amp;H420&amp;"|"&amp;I420&amp;"|"&amp;J420&amp;"|"&amp;K420&amp;"|"&amp;L420&amp;"|"&amp;M420&amp;"|"&amp;N420</f>
        <v>ORD11804|2025-08-23|21:31|C0980|Nawabi  Biryani House|Bengaluru|Biryani|3|295|0|UPI|Delivered|53|4</v>
      </c>
      <c r="P420" s="7" t="str">
        <f aca="false">IF(COUNTIF($O$2:O420,O420)&gt;1,"DUP","OK")</f>
        <v>OK</v>
      </c>
      <c r="Q420" s="7" t="n">
        <f aca="false">COUNTBLANK(A420:N420)</f>
        <v>0</v>
      </c>
      <c r="R420" s="7" t="n">
        <f aca="false">IF(A420="",0,COUNTIFS($A$2:$A$3058,A420,$P$2:$P$3058,"OK"))</f>
        <v>1</v>
      </c>
      <c r="S420" s="7" t="str">
        <f aca="false">IF(OR(A420="",P420="DUP",R420&lt;2),"",IF(Q420=_xlfn.MINIFS($Q$2:$Q$3058,$A$2:$A$3058,A420,$P$2:$P$3058,"OK"),"KEEP","DROP"))</f>
        <v/>
      </c>
      <c r="T420" s="9" t="n">
        <f aca="false">IF(A420="",1,0)</f>
        <v>0</v>
      </c>
      <c r="U420" s="9" t="n">
        <f aca="false">IF(D420="",1,0)</f>
        <v>0</v>
      </c>
      <c r="V420" s="9" t="n">
        <f aca="false">IF(E420="",1,0)</f>
        <v>0</v>
      </c>
      <c r="W420" s="9" t="n">
        <f aca="false">IF(OR(H420&lt;1,H420&gt;10),1,0)</f>
        <v>0</v>
      </c>
      <c r="X420" s="9" t="n">
        <f aca="false">IF(OR(I420&lt;=0,I420&gt;1500),1,0)</f>
        <v>0</v>
      </c>
      <c r="Y420" s="9" t="n">
        <f aca="false">IF(J420&gt;H420*I420,1,0)</f>
        <v>0</v>
      </c>
      <c r="Z420" s="9" t="n">
        <f aca="false">IF(AND(N420&lt;&gt;"",OR(N420&lt;1,N420&gt;5)),1,0)</f>
        <v>0</v>
      </c>
      <c r="AA420" s="9" t="n">
        <f aca="false">IF(AND(M420&lt;&gt;"",OR(M420&lt;5,M420&gt;180)),1,0)</f>
        <v>0</v>
      </c>
      <c r="AB420" s="7" t="str">
        <f aca="false">IF(P420="DUP","Exact duplicate row",IF(T420=1,"Missing Order ID",IF(S420="DROP","Duplicate Order ID (less complete row)",IF(U420=1,"Missing Customer ID",IF(V420=1,"Missing Restaurant name",IF(W420=1,"Invalid/outlier quantity",IF(X420=1,"Invalid/outlier unit price",IF(Y420=1,"Discount greater than order value",""))))))))</f>
        <v/>
      </c>
      <c r="AC420" s="7" t="str">
        <f aca="false">IF(AB420="","KEEP","DROP")</f>
        <v>KEEP</v>
      </c>
      <c r="AD420" s="7" t="str">
        <f aca="false">IF(TRIM(F420)="",IFERROR(INDEX(Map_Tables!$I$4:$I$37,MATCH(TRIM(E420),Map_Tables!$G$4:$G$37,0)),""),IFERROR(INDEX(Map_Tables!$B$4:$B$18,MATCH(TRIM(F420),Map_Tables!$A$4:$A$18,0)),"CHECK"))</f>
        <v>Bengaluru</v>
      </c>
      <c r="AE420" s="7" t="str">
        <f aca="false">IF(TRIM(E420)="","",IFERROR(INDEX(Map_Tables!$H$4:$H$37,MATCH(TRIM(E420),Map_Tables!$G$4:$G$37,0)),"CHECK"))</f>
        <v>Nawabi Biryani House</v>
      </c>
      <c r="AF420" s="7" t="str">
        <f aca="false">IF(TRIM(K420)="","Unknown",IFERROR(INDEX(Map_Tables!$E$4:$E$15,MATCH(TRIM(K420),Map_Tables!$D$4:$D$15,0)),"CHECK"))</f>
        <v>UPI</v>
      </c>
      <c r="AG420" s="7" t="str">
        <f aca="false">IF(LEFT(LOWER(TRIM(L420)),6)="cancel","Cancelled","Delivered")</f>
        <v>Delivered</v>
      </c>
      <c r="AH420" s="10" t="n">
        <f aca="false">IF(ISNUMBER(SEARCH("/",B420)),DATE(VALUE(RIGHT(B420,4)),VALUE(MID(B420,4,2)),VALUE(LEFT(B420,2))),IF(MID(B420,5,1)="-",DATE(VALUE(LEFT(B420,4)),VALUE(MID(B420,6,2)),VALUE(RIGHT(B420,2))),DATE(VALUE(RIGHT(B420,4)),MATCH(MID(B420,4,3),{"Jan","Feb","Mar","Apr","May","Jun","Jul","Aug","Sep","Oct","Nov","Dec"},0),VALUE(LEFT(B420,2)))))</f>
        <v>45892</v>
      </c>
    </row>
    <row r="421" customFormat="false" ht="15" hidden="false" customHeight="false" outlineLevel="0" collapsed="false">
      <c r="A421" s="7" t="s">
        <v>1638</v>
      </c>
      <c r="B421" s="7" t="s">
        <v>1639</v>
      </c>
      <c r="C421" s="7" t="s">
        <v>1640</v>
      </c>
      <c r="D421" s="7" t="s">
        <v>1641</v>
      </c>
      <c r="E421" s="7" t="s">
        <v>122</v>
      </c>
      <c r="F421" s="7" t="s">
        <v>101</v>
      </c>
      <c r="G421" s="7" t="s">
        <v>123</v>
      </c>
      <c r="H421" s="7" t="n">
        <v>2</v>
      </c>
      <c r="I421" s="7" t="n">
        <v>395</v>
      </c>
      <c r="J421" s="7" t="n">
        <v>0</v>
      </c>
      <c r="K421" s="7" t="s">
        <v>88</v>
      </c>
      <c r="L421" s="7" t="s">
        <v>194</v>
      </c>
      <c r="M421" s="7" t="n">
        <v>41</v>
      </c>
      <c r="N421" s="7"/>
      <c r="O421" s="7" t="str">
        <f aca="false">A421&amp;"|"&amp;B421&amp;"|"&amp;C421&amp;"|"&amp;D421&amp;"|"&amp;E421&amp;"|"&amp;F421&amp;"|"&amp;G421&amp;"|"&amp;H421&amp;"|"&amp;I421&amp;"|"&amp;J421&amp;"|"&amp;K421&amp;"|"&amp;L421&amp;"|"&amp;M421&amp;"|"&amp;N421</f>
        <v>ORD10401|2025-02-22|19:52|C0879|Mumbai Pizza Co|Mumbai|Pizza|2|395|0|UPI|Delivered|41|</v>
      </c>
      <c r="P421" s="7" t="str">
        <f aca="false">IF(COUNTIF($O$2:O421,O421)&gt;1,"DUP","OK")</f>
        <v>OK</v>
      </c>
      <c r="Q421" s="7" t="n">
        <f aca="false">COUNTBLANK(A421:N421)</f>
        <v>1</v>
      </c>
      <c r="R421" s="7" t="n">
        <f aca="false">IF(A421="",0,COUNTIFS($A$2:$A$3058,A421,$P$2:$P$3058,"OK"))</f>
        <v>1</v>
      </c>
      <c r="S421" s="7" t="str">
        <f aca="false">IF(OR(A421="",P421="DUP",R421&lt;2),"",IF(Q421=_xlfn.MINIFS($Q$2:$Q$3058,$A$2:$A$3058,A421,$P$2:$P$3058,"OK"),"KEEP","DROP"))</f>
        <v/>
      </c>
      <c r="T421" s="9" t="n">
        <f aca="false">IF(A421="",1,0)</f>
        <v>0</v>
      </c>
      <c r="U421" s="9" t="n">
        <f aca="false">IF(D421="",1,0)</f>
        <v>0</v>
      </c>
      <c r="V421" s="9" t="n">
        <f aca="false">IF(E421="",1,0)</f>
        <v>0</v>
      </c>
      <c r="W421" s="9" t="n">
        <f aca="false">IF(OR(H421&lt;1,H421&gt;10),1,0)</f>
        <v>0</v>
      </c>
      <c r="X421" s="9" t="n">
        <f aca="false">IF(OR(I421&lt;=0,I421&gt;1500),1,0)</f>
        <v>0</v>
      </c>
      <c r="Y421" s="9" t="n">
        <f aca="false">IF(J421&gt;H421*I421,1,0)</f>
        <v>0</v>
      </c>
      <c r="Z421" s="9" t="n">
        <f aca="false">IF(AND(N421&lt;&gt;"",OR(N421&lt;1,N421&gt;5)),1,0)</f>
        <v>0</v>
      </c>
      <c r="AA421" s="9" t="n">
        <f aca="false">IF(AND(M421&lt;&gt;"",OR(M421&lt;5,M421&gt;180)),1,0)</f>
        <v>0</v>
      </c>
      <c r="AB421" s="7" t="str">
        <f aca="false">IF(P421="DUP","Exact duplicate row",IF(T421=1,"Missing Order ID",IF(S421="DROP","Duplicate Order ID (less complete row)",IF(U421=1,"Missing Customer ID",IF(V421=1,"Missing Restaurant name",IF(W421=1,"Invalid/outlier quantity",IF(X421=1,"Invalid/outlier unit price",IF(Y421=1,"Discount greater than order value",""))))))))</f>
        <v/>
      </c>
      <c r="AC421" s="7" t="str">
        <f aca="false">IF(AB421="","KEEP","DROP")</f>
        <v>KEEP</v>
      </c>
      <c r="AD421" s="7" t="str">
        <f aca="false">IF(TRIM(F421)="",IFERROR(INDEX(Map_Tables!$I$4:$I$37,MATCH(TRIM(E421),Map_Tables!$G$4:$G$37,0)),""),IFERROR(INDEX(Map_Tables!$B$4:$B$18,MATCH(TRIM(F421),Map_Tables!$A$4:$A$18,0)),"CHECK"))</f>
        <v>Mumbai</v>
      </c>
      <c r="AE421" s="7" t="str">
        <f aca="false">IF(TRIM(E421)="","",IFERROR(INDEX(Map_Tables!$H$4:$H$37,MATCH(TRIM(E421),Map_Tables!$G$4:$G$37,0)),"CHECK"))</f>
        <v>Mumbai Pizza Co</v>
      </c>
      <c r="AF421" s="7" t="str">
        <f aca="false">IF(TRIM(K421)="","Unknown",IFERROR(INDEX(Map_Tables!$E$4:$E$15,MATCH(TRIM(K421),Map_Tables!$D$4:$D$15,0)),"CHECK"))</f>
        <v>UPI</v>
      </c>
      <c r="AG421" s="7" t="str">
        <f aca="false">IF(LEFT(LOWER(TRIM(L421)),6)="cancel","Cancelled","Delivered")</f>
        <v>Delivered</v>
      </c>
      <c r="AH421" s="10" t="n">
        <f aca="false">IF(ISNUMBER(SEARCH("/",B421)),DATE(VALUE(RIGHT(B421,4)),VALUE(MID(B421,4,2)),VALUE(LEFT(B421,2))),IF(MID(B421,5,1)="-",DATE(VALUE(LEFT(B421,4)),VALUE(MID(B421,6,2)),VALUE(RIGHT(B421,2))),DATE(VALUE(RIGHT(B421,4)),MATCH(MID(B421,4,3),{"Jan","Feb","Mar","Apr","May","Jun","Jul","Aug","Sep","Oct","Nov","Dec"},0),VALUE(LEFT(B421,2)))))</f>
        <v>45710</v>
      </c>
    </row>
    <row r="422" customFormat="false" ht="15" hidden="false" customHeight="false" outlineLevel="0" collapsed="false">
      <c r="A422" s="7" t="s">
        <v>1642</v>
      </c>
      <c r="B422" s="7" t="s">
        <v>217</v>
      </c>
      <c r="C422" s="7" t="s">
        <v>1643</v>
      </c>
      <c r="D422" s="7" t="s">
        <v>1462</v>
      </c>
      <c r="E422" s="7" t="s">
        <v>168</v>
      </c>
      <c r="F422" s="7" t="s">
        <v>145</v>
      </c>
      <c r="G422" s="7" t="s">
        <v>123</v>
      </c>
      <c r="H422" s="7" t="n">
        <v>2</v>
      </c>
      <c r="I422" s="7" t="n">
        <v>375</v>
      </c>
      <c r="J422" s="7" t="n">
        <v>0</v>
      </c>
      <c r="K422" s="7" t="s">
        <v>88</v>
      </c>
      <c r="L422" s="7" t="s">
        <v>194</v>
      </c>
      <c r="M422" s="7" t="n">
        <v>24</v>
      </c>
      <c r="N422" s="7" t="n">
        <v>4</v>
      </c>
      <c r="O422" s="7" t="str">
        <f aca="false">A422&amp;"|"&amp;B422&amp;"|"&amp;C422&amp;"|"&amp;D422&amp;"|"&amp;E422&amp;"|"&amp;F422&amp;"|"&amp;G422&amp;"|"&amp;H422&amp;"|"&amp;I422&amp;"|"&amp;J422&amp;"|"&amp;K422&amp;"|"&amp;L422&amp;"|"&amp;M422&amp;"|"&amp;N422</f>
        <v>ORD10856|2025-04-18|18:31|C0907|Cheesy Slice|ahmedabad|Pizza|2|375|0|UPI|Delivered|24|4</v>
      </c>
      <c r="P422" s="7" t="str">
        <f aca="false">IF(COUNTIF($O$2:O422,O422)&gt;1,"DUP","OK")</f>
        <v>OK</v>
      </c>
      <c r="Q422" s="7" t="n">
        <f aca="false">COUNTBLANK(A422:N422)</f>
        <v>0</v>
      </c>
      <c r="R422" s="7" t="n">
        <f aca="false">IF(A422="",0,COUNTIFS($A$2:$A$3058,A422,$P$2:$P$3058,"OK"))</f>
        <v>1</v>
      </c>
      <c r="S422" s="7" t="str">
        <f aca="false">IF(OR(A422="",P422="DUP",R422&lt;2),"",IF(Q422=_xlfn.MINIFS($Q$2:$Q$3058,$A$2:$A$3058,A422,$P$2:$P$3058,"OK"),"KEEP","DROP"))</f>
        <v/>
      </c>
      <c r="T422" s="9" t="n">
        <f aca="false">IF(A422="",1,0)</f>
        <v>0</v>
      </c>
      <c r="U422" s="9" t="n">
        <f aca="false">IF(D422="",1,0)</f>
        <v>0</v>
      </c>
      <c r="V422" s="9" t="n">
        <f aca="false">IF(E422="",1,0)</f>
        <v>0</v>
      </c>
      <c r="W422" s="9" t="n">
        <f aca="false">IF(OR(H422&lt;1,H422&gt;10),1,0)</f>
        <v>0</v>
      </c>
      <c r="X422" s="9" t="n">
        <f aca="false">IF(OR(I422&lt;=0,I422&gt;1500),1,0)</f>
        <v>0</v>
      </c>
      <c r="Y422" s="9" t="n">
        <f aca="false">IF(J422&gt;H422*I422,1,0)</f>
        <v>0</v>
      </c>
      <c r="Z422" s="9" t="n">
        <f aca="false">IF(AND(N422&lt;&gt;"",OR(N422&lt;1,N422&gt;5)),1,0)</f>
        <v>0</v>
      </c>
      <c r="AA422" s="9" t="n">
        <f aca="false">IF(AND(M422&lt;&gt;"",OR(M422&lt;5,M422&gt;180)),1,0)</f>
        <v>0</v>
      </c>
      <c r="AB422" s="7" t="str">
        <f aca="false">IF(P422="DUP","Exact duplicate row",IF(T422=1,"Missing Order ID",IF(S422="DROP","Duplicate Order ID (less complete row)",IF(U422=1,"Missing Customer ID",IF(V422=1,"Missing Restaurant name",IF(W422=1,"Invalid/outlier quantity",IF(X422=1,"Invalid/outlier unit price",IF(Y422=1,"Discount greater than order value",""))))))))</f>
        <v/>
      </c>
      <c r="AC422" s="7" t="str">
        <f aca="false">IF(AB422="","KEEP","DROP")</f>
        <v>KEEP</v>
      </c>
      <c r="AD422" s="7" t="str">
        <f aca="false">IF(TRIM(F422)="",IFERROR(INDEX(Map_Tables!$I$4:$I$37,MATCH(TRIM(E422),Map_Tables!$G$4:$G$37,0)),""),IFERROR(INDEX(Map_Tables!$B$4:$B$18,MATCH(TRIM(F422),Map_Tables!$A$4:$A$18,0)),"CHECK"))</f>
        <v>Ahmedabad</v>
      </c>
      <c r="AE422" s="7" t="str">
        <f aca="false">IF(TRIM(E422)="","",IFERROR(INDEX(Map_Tables!$H$4:$H$37,MATCH(TRIM(E422),Map_Tables!$G$4:$G$37,0)),"CHECK"))</f>
        <v>Cheesy Slice</v>
      </c>
      <c r="AF422" s="7" t="str">
        <f aca="false">IF(TRIM(K422)="","Unknown",IFERROR(INDEX(Map_Tables!$E$4:$E$15,MATCH(TRIM(K422),Map_Tables!$D$4:$D$15,0)),"CHECK"))</f>
        <v>UPI</v>
      </c>
      <c r="AG422" s="7" t="str">
        <f aca="false">IF(LEFT(LOWER(TRIM(L422)),6)="cancel","Cancelled","Delivered")</f>
        <v>Delivered</v>
      </c>
      <c r="AH422" s="10" t="n">
        <f aca="false">IF(ISNUMBER(SEARCH("/",B422)),DATE(VALUE(RIGHT(B422,4)),VALUE(MID(B422,4,2)),VALUE(LEFT(B422,2))),IF(MID(B422,5,1)="-",DATE(VALUE(LEFT(B422,4)),VALUE(MID(B422,6,2)),VALUE(RIGHT(B422,2))),DATE(VALUE(RIGHT(B422,4)),MATCH(MID(B422,4,3),{"Jan","Feb","Mar","Apr","May","Jun","Jul","Aug","Sep","Oct","Nov","Dec"},0),VALUE(LEFT(B422,2)))))</f>
        <v>45765</v>
      </c>
    </row>
    <row r="423" customFormat="false" ht="15" hidden="false" customHeight="false" outlineLevel="0" collapsed="false">
      <c r="A423" s="7" t="s">
        <v>1644</v>
      </c>
      <c r="B423" s="7" t="s">
        <v>1645</v>
      </c>
      <c r="C423" s="7" t="s">
        <v>327</v>
      </c>
      <c r="D423" s="7" t="s">
        <v>1646</v>
      </c>
      <c r="E423" s="7" t="s">
        <v>116</v>
      </c>
      <c r="F423" s="7" t="s">
        <v>101</v>
      </c>
      <c r="G423" s="7" t="s">
        <v>117</v>
      </c>
      <c r="H423" s="7" t="n">
        <v>1</v>
      </c>
      <c r="I423" s="7" t="n">
        <v>155</v>
      </c>
      <c r="J423" s="7" t="n">
        <v>30</v>
      </c>
      <c r="K423" s="7" t="s">
        <v>88</v>
      </c>
      <c r="L423" s="7" t="s">
        <v>194</v>
      </c>
      <c r="M423" s="7" t="n">
        <v>32</v>
      </c>
      <c r="N423" s="7" t="n">
        <v>3</v>
      </c>
      <c r="O423" s="7" t="str">
        <f aca="false">A423&amp;"|"&amp;B423&amp;"|"&amp;C423&amp;"|"&amp;D423&amp;"|"&amp;E423&amp;"|"&amp;F423&amp;"|"&amp;G423&amp;"|"&amp;H423&amp;"|"&amp;I423&amp;"|"&amp;J423&amp;"|"&amp;K423&amp;"|"&amp;L423&amp;"|"&amp;M423&amp;"|"&amp;N423</f>
        <v>ORD11596|2025-07-27|19:10|C0727|Pav Bhaji Point|Mumbai|Street Food|1|155|30|UPI|Delivered|32|3</v>
      </c>
      <c r="P423" s="7" t="str">
        <f aca="false">IF(COUNTIF($O$2:O423,O423)&gt;1,"DUP","OK")</f>
        <v>OK</v>
      </c>
      <c r="Q423" s="7" t="n">
        <f aca="false">COUNTBLANK(A423:N423)</f>
        <v>0</v>
      </c>
      <c r="R423" s="7" t="n">
        <f aca="false">IF(A423="",0,COUNTIFS($A$2:$A$3058,A423,$P$2:$P$3058,"OK"))</f>
        <v>1</v>
      </c>
      <c r="S423" s="7" t="str">
        <f aca="false">IF(OR(A423="",P423="DUP",R423&lt;2),"",IF(Q423=_xlfn.MINIFS($Q$2:$Q$3058,$A$2:$A$3058,A423,$P$2:$P$3058,"OK"),"KEEP","DROP"))</f>
        <v/>
      </c>
      <c r="T423" s="9" t="n">
        <f aca="false">IF(A423="",1,0)</f>
        <v>0</v>
      </c>
      <c r="U423" s="9" t="n">
        <f aca="false">IF(D423="",1,0)</f>
        <v>0</v>
      </c>
      <c r="V423" s="9" t="n">
        <f aca="false">IF(E423="",1,0)</f>
        <v>0</v>
      </c>
      <c r="W423" s="9" t="n">
        <f aca="false">IF(OR(H423&lt;1,H423&gt;10),1,0)</f>
        <v>0</v>
      </c>
      <c r="X423" s="9" t="n">
        <f aca="false">IF(OR(I423&lt;=0,I423&gt;1500),1,0)</f>
        <v>0</v>
      </c>
      <c r="Y423" s="9" t="n">
        <f aca="false">IF(J423&gt;H423*I423,1,0)</f>
        <v>0</v>
      </c>
      <c r="Z423" s="9" t="n">
        <f aca="false">IF(AND(N423&lt;&gt;"",OR(N423&lt;1,N423&gt;5)),1,0)</f>
        <v>0</v>
      </c>
      <c r="AA423" s="9" t="n">
        <f aca="false">IF(AND(M423&lt;&gt;"",OR(M423&lt;5,M423&gt;180)),1,0)</f>
        <v>0</v>
      </c>
      <c r="AB423" s="7" t="str">
        <f aca="false">IF(P423="DUP","Exact duplicate row",IF(T423=1,"Missing Order ID",IF(S423="DROP","Duplicate Order ID (less complete row)",IF(U423=1,"Missing Customer ID",IF(V423=1,"Missing Restaurant name",IF(W423=1,"Invalid/outlier quantity",IF(X423=1,"Invalid/outlier unit price",IF(Y423=1,"Discount greater than order value",""))))))))</f>
        <v/>
      </c>
      <c r="AC423" s="7" t="str">
        <f aca="false">IF(AB423="","KEEP","DROP")</f>
        <v>KEEP</v>
      </c>
      <c r="AD423" s="7" t="str">
        <f aca="false">IF(TRIM(F423)="",IFERROR(INDEX(Map_Tables!$I$4:$I$37,MATCH(TRIM(E423),Map_Tables!$G$4:$G$37,0)),""),IFERROR(INDEX(Map_Tables!$B$4:$B$18,MATCH(TRIM(F423),Map_Tables!$A$4:$A$18,0)),"CHECK"))</f>
        <v>Mumbai</v>
      </c>
      <c r="AE423" s="7" t="str">
        <f aca="false">IF(TRIM(E423)="","",IFERROR(INDEX(Map_Tables!$H$4:$H$37,MATCH(TRIM(E423),Map_Tables!$G$4:$G$37,0)),"CHECK"))</f>
        <v>Pav Bhaji Point</v>
      </c>
      <c r="AF423" s="7" t="str">
        <f aca="false">IF(TRIM(K423)="","Unknown",IFERROR(INDEX(Map_Tables!$E$4:$E$15,MATCH(TRIM(K423),Map_Tables!$D$4:$D$15,0)),"CHECK"))</f>
        <v>UPI</v>
      </c>
      <c r="AG423" s="7" t="str">
        <f aca="false">IF(LEFT(LOWER(TRIM(L423)),6)="cancel","Cancelled","Delivered")</f>
        <v>Delivered</v>
      </c>
      <c r="AH423" s="10" t="n">
        <f aca="false">IF(ISNUMBER(SEARCH("/",B423)),DATE(VALUE(RIGHT(B423,4)),VALUE(MID(B423,4,2)),VALUE(LEFT(B423,2))),IF(MID(B423,5,1)="-",DATE(VALUE(LEFT(B423,4)),VALUE(MID(B423,6,2)),VALUE(RIGHT(B423,2))),DATE(VALUE(RIGHT(B423,4)),MATCH(MID(B423,4,3),{"Jan","Feb","Mar","Apr","May","Jun","Jul","Aug","Sep","Oct","Nov","Dec"},0),VALUE(LEFT(B423,2)))))</f>
        <v>45865</v>
      </c>
    </row>
    <row r="424" customFormat="false" ht="15" hidden="false" customHeight="false" outlineLevel="0" collapsed="false">
      <c r="A424" s="7" t="s">
        <v>1647</v>
      </c>
      <c r="B424" s="7" t="s">
        <v>1648</v>
      </c>
      <c r="C424" s="7" t="s">
        <v>952</v>
      </c>
      <c r="D424" s="7" t="s">
        <v>1369</v>
      </c>
      <c r="E424" s="7" t="s">
        <v>113</v>
      </c>
      <c r="F424" s="7" t="s">
        <v>101</v>
      </c>
      <c r="G424" s="7" t="s">
        <v>90</v>
      </c>
      <c r="H424" s="7" t="n">
        <v>2</v>
      </c>
      <c r="I424" s="7" t="n">
        <v>230</v>
      </c>
      <c r="J424" s="7" t="n">
        <v>0</v>
      </c>
      <c r="K424" s="7" t="s">
        <v>88</v>
      </c>
      <c r="L424" s="7" t="s">
        <v>194</v>
      </c>
      <c r="M424" s="7" t="n">
        <v>42</v>
      </c>
      <c r="N424" s="7" t="n">
        <v>4</v>
      </c>
      <c r="O424" s="7" t="str">
        <f aca="false">A424&amp;"|"&amp;B424&amp;"|"&amp;C424&amp;"|"&amp;D424&amp;"|"&amp;E424&amp;"|"&amp;F424&amp;"|"&amp;G424&amp;"|"&amp;H424&amp;"|"&amp;I424&amp;"|"&amp;J424&amp;"|"&amp;K424&amp;"|"&amp;L424&amp;"|"&amp;M424&amp;"|"&amp;N424</f>
        <v>ORD12245|12-Oct-2025|10:48|C0964|Curry Leaf Kitchen|Mumbai|North Indian|2|230|0|UPI|Delivered|42|4</v>
      </c>
      <c r="P424" s="7" t="str">
        <f aca="false">IF(COUNTIF($O$2:O424,O424)&gt;1,"DUP","OK")</f>
        <v>OK</v>
      </c>
      <c r="Q424" s="7" t="n">
        <f aca="false">COUNTBLANK(A424:N424)</f>
        <v>0</v>
      </c>
      <c r="R424" s="7" t="n">
        <f aca="false">IF(A424="",0,COUNTIFS($A$2:$A$3058,A424,$P$2:$P$3058,"OK"))</f>
        <v>1</v>
      </c>
      <c r="S424" s="7" t="str">
        <f aca="false">IF(OR(A424="",P424="DUP",R424&lt;2),"",IF(Q424=_xlfn.MINIFS($Q$2:$Q$3058,$A$2:$A$3058,A424,$P$2:$P$3058,"OK"),"KEEP","DROP"))</f>
        <v/>
      </c>
      <c r="T424" s="9" t="n">
        <f aca="false">IF(A424="",1,0)</f>
        <v>0</v>
      </c>
      <c r="U424" s="9" t="n">
        <f aca="false">IF(D424="",1,0)</f>
        <v>0</v>
      </c>
      <c r="V424" s="9" t="n">
        <f aca="false">IF(E424="",1,0)</f>
        <v>0</v>
      </c>
      <c r="W424" s="9" t="n">
        <f aca="false">IF(OR(H424&lt;1,H424&gt;10),1,0)</f>
        <v>0</v>
      </c>
      <c r="X424" s="9" t="n">
        <f aca="false">IF(OR(I424&lt;=0,I424&gt;1500),1,0)</f>
        <v>0</v>
      </c>
      <c r="Y424" s="9" t="n">
        <f aca="false">IF(J424&gt;H424*I424,1,0)</f>
        <v>0</v>
      </c>
      <c r="Z424" s="9" t="n">
        <f aca="false">IF(AND(N424&lt;&gt;"",OR(N424&lt;1,N424&gt;5)),1,0)</f>
        <v>0</v>
      </c>
      <c r="AA424" s="9" t="n">
        <f aca="false">IF(AND(M424&lt;&gt;"",OR(M424&lt;5,M424&gt;180)),1,0)</f>
        <v>0</v>
      </c>
      <c r="AB424" s="7" t="str">
        <f aca="false">IF(P424="DUP","Exact duplicate row",IF(T424=1,"Missing Order ID",IF(S424="DROP","Duplicate Order ID (less complete row)",IF(U424=1,"Missing Customer ID",IF(V424=1,"Missing Restaurant name",IF(W424=1,"Invalid/outlier quantity",IF(X424=1,"Invalid/outlier unit price",IF(Y424=1,"Discount greater than order value",""))))))))</f>
        <v/>
      </c>
      <c r="AC424" s="7" t="str">
        <f aca="false">IF(AB424="","KEEP","DROP")</f>
        <v>KEEP</v>
      </c>
      <c r="AD424" s="7" t="str">
        <f aca="false">IF(TRIM(F424)="",IFERROR(INDEX(Map_Tables!$I$4:$I$37,MATCH(TRIM(E424),Map_Tables!$G$4:$G$37,0)),""),IFERROR(INDEX(Map_Tables!$B$4:$B$18,MATCH(TRIM(F424),Map_Tables!$A$4:$A$18,0)),"CHECK"))</f>
        <v>Mumbai</v>
      </c>
      <c r="AE424" s="7" t="str">
        <f aca="false">IF(TRIM(E424)="","",IFERROR(INDEX(Map_Tables!$H$4:$H$37,MATCH(TRIM(E424),Map_Tables!$G$4:$G$37,0)),"CHECK"))</f>
        <v>Curry Leaf Kitchen</v>
      </c>
      <c r="AF424" s="7" t="str">
        <f aca="false">IF(TRIM(K424)="","Unknown",IFERROR(INDEX(Map_Tables!$E$4:$E$15,MATCH(TRIM(K424),Map_Tables!$D$4:$D$15,0)),"CHECK"))</f>
        <v>UPI</v>
      </c>
      <c r="AG424" s="7" t="str">
        <f aca="false">IF(LEFT(LOWER(TRIM(L424)),6)="cancel","Cancelled","Delivered")</f>
        <v>Delivered</v>
      </c>
      <c r="AH424" s="10" t="n">
        <f aca="false">IF(ISNUMBER(SEARCH("/",B424)),DATE(VALUE(RIGHT(B424,4)),VALUE(MID(B424,4,2)),VALUE(LEFT(B424,2))),IF(MID(B424,5,1)="-",DATE(VALUE(LEFT(B424,4)),VALUE(MID(B424,6,2)),VALUE(RIGHT(B424,2))),DATE(VALUE(RIGHT(B424,4)),MATCH(MID(B424,4,3),{"Jan","Feb","Mar","Apr","May","Jun","Jul","Aug","Sep","Oct","Nov","Dec"},0),VALUE(LEFT(B424,2)))))</f>
        <v>45942</v>
      </c>
    </row>
    <row r="425" customFormat="false" ht="15" hidden="false" customHeight="false" outlineLevel="0" collapsed="false">
      <c r="A425" s="7" t="s">
        <v>1649</v>
      </c>
      <c r="B425" s="7" t="s">
        <v>1650</v>
      </c>
      <c r="C425" s="7" t="s">
        <v>1651</v>
      </c>
      <c r="D425" s="7" t="s">
        <v>1652</v>
      </c>
      <c r="E425" s="7" t="s">
        <v>138</v>
      </c>
      <c r="F425" s="7" t="s">
        <v>110</v>
      </c>
      <c r="G425" s="7" t="s">
        <v>139</v>
      </c>
      <c r="H425" s="7" t="n">
        <v>1</v>
      </c>
      <c r="I425" s="7" t="n">
        <v>185</v>
      </c>
      <c r="J425" s="7" t="n">
        <v>0</v>
      </c>
      <c r="K425" s="7" t="s">
        <v>88</v>
      </c>
      <c r="L425" s="7" t="s">
        <v>194</v>
      </c>
      <c r="M425" s="7" t="n">
        <v>44</v>
      </c>
      <c r="N425" s="7"/>
      <c r="O425" s="7" t="str">
        <f aca="false">A425&amp;"|"&amp;B425&amp;"|"&amp;C425&amp;"|"&amp;D425&amp;"|"&amp;E425&amp;"|"&amp;F425&amp;"|"&amp;G425&amp;"|"&amp;H425&amp;"|"&amp;I425&amp;"|"&amp;J425&amp;"|"&amp;K425&amp;"|"&amp;L425&amp;"|"&amp;M425&amp;"|"&amp;N425</f>
        <v>ORD12957|2025-12-27|17:40|C1125|Burger Barn|Delhi|Burgers|1|185|0|UPI|Delivered|44|</v>
      </c>
      <c r="P425" s="7" t="str">
        <f aca="false">IF(COUNTIF($O$2:O425,O425)&gt;1,"DUP","OK")</f>
        <v>OK</v>
      </c>
      <c r="Q425" s="7" t="n">
        <f aca="false">COUNTBLANK(A425:N425)</f>
        <v>1</v>
      </c>
      <c r="R425" s="7" t="n">
        <f aca="false">IF(A425="",0,COUNTIFS($A$2:$A$3058,A425,$P$2:$P$3058,"OK"))</f>
        <v>1</v>
      </c>
      <c r="S425" s="7" t="str">
        <f aca="false">IF(OR(A425="",P425="DUP",R425&lt;2),"",IF(Q425=_xlfn.MINIFS($Q$2:$Q$3058,$A$2:$A$3058,A425,$P$2:$P$3058,"OK"),"KEEP","DROP"))</f>
        <v/>
      </c>
      <c r="T425" s="9" t="n">
        <f aca="false">IF(A425="",1,0)</f>
        <v>0</v>
      </c>
      <c r="U425" s="9" t="n">
        <f aca="false">IF(D425="",1,0)</f>
        <v>0</v>
      </c>
      <c r="V425" s="9" t="n">
        <f aca="false">IF(E425="",1,0)</f>
        <v>0</v>
      </c>
      <c r="W425" s="9" t="n">
        <f aca="false">IF(OR(H425&lt;1,H425&gt;10),1,0)</f>
        <v>0</v>
      </c>
      <c r="X425" s="9" t="n">
        <f aca="false">IF(OR(I425&lt;=0,I425&gt;1500),1,0)</f>
        <v>0</v>
      </c>
      <c r="Y425" s="9" t="n">
        <f aca="false">IF(J425&gt;H425*I425,1,0)</f>
        <v>0</v>
      </c>
      <c r="Z425" s="9" t="n">
        <f aca="false">IF(AND(N425&lt;&gt;"",OR(N425&lt;1,N425&gt;5)),1,0)</f>
        <v>0</v>
      </c>
      <c r="AA425" s="9" t="n">
        <f aca="false">IF(AND(M425&lt;&gt;"",OR(M425&lt;5,M425&gt;180)),1,0)</f>
        <v>0</v>
      </c>
      <c r="AB425" s="7" t="str">
        <f aca="false">IF(P425="DUP","Exact duplicate row",IF(T425=1,"Missing Order ID",IF(S425="DROP","Duplicate Order ID (less complete row)",IF(U425=1,"Missing Customer ID",IF(V425=1,"Missing Restaurant name",IF(W425=1,"Invalid/outlier quantity",IF(X425=1,"Invalid/outlier unit price",IF(Y425=1,"Discount greater than order value",""))))))))</f>
        <v/>
      </c>
      <c r="AC425" s="7" t="str">
        <f aca="false">IF(AB425="","KEEP","DROP")</f>
        <v>KEEP</v>
      </c>
      <c r="AD425" s="7" t="str">
        <f aca="false">IF(TRIM(F425)="",IFERROR(INDEX(Map_Tables!$I$4:$I$37,MATCH(TRIM(E425),Map_Tables!$G$4:$G$37,0)),""),IFERROR(INDEX(Map_Tables!$B$4:$B$18,MATCH(TRIM(F425),Map_Tables!$A$4:$A$18,0)),"CHECK"))</f>
        <v>Delhi</v>
      </c>
      <c r="AE425" s="7" t="str">
        <f aca="false">IF(TRIM(E425)="","",IFERROR(INDEX(Map_Tables!$H$4:$H$37,MATCH(TRIM(E425),Map_Tables!$G$4:$G$37,0)),"CHECK"))</f>
        <v>Burger Barn</v>
      </c>
      <c r="AF425" s="7" t="str">
        <f aca="false">IF(TRIM(K425)="","Unknown",IFERROR(INDEX(Map_Tables!$E$4:$E$15,MATCH(TRIM(K425),Map_Tables!$D$4:$D$15,0)),"CHECK"))</f>
        <v>UPI</v>
      </c>
      <c r="AG425" s="7" t="str">
        <f aca="false">IF(LEFT(LOWER(TRIM(L425)),6)="cancel","Cancelled","Delivered")</f>
        <v>Delivered</v>
      </c>
      <c r="AH425" s="10" t="n">
        <f aca="false">IF(ISNUMBER(SEARCH("/",B425)),DATE(VALUE(RIGHT(B425,4)),VALUE(MID(B425,4,2)),VALUE(LEFT(B425,2))),IF(MID(B425,5,1)="-",DATE(VALUE(LEFT(B425,4)),VALUE(MID(B425,6,2)),VALUE(RIGHT(B425,2))),DATE(VALUE(RIGHT(B425,4)),MATCH(MID(B425,4,3),{"Jan","Feb","Mar","Apr","May","Jun","Jul","Aug","Sep","Oct","Nov","Dec"},0),VALUE(LEFT(B425,2)))))</f>
        <v>46018</v>
      </c>
    </row>
    <row r="426" customFormat="false" ht="15" hidden="false" customHeight="false" outlineLevel="0" collapsed="false">
      <c r="A426" s="7" t="s">
        <v>1653</v>
      </c>
      <c r="B426" s="7" t="s">
        <v>758</v>
      </c>
      <c r="C426" s="7" t="s">
        <v>1654</v>
      </c>
      <c r="D426" s="7" t="s">
        <v>1655</v>
      </c>
      <c r="E426" s="7" t="s">
        <v>138</v>
      </c>
      <c r="F426" s="7" t="s">
        <v>110</v>
      </c>
      <c r="G426" s="7" t="s">
        <v>139</v>
      </c>
      <c r="H426" s="7" t="n">
        <v>1</v>
      </c>
      <c r="I426" s="7" t="n">
        <v>170</v>
      </c>
      <c r="J426" s="7" t="n">
        <v>68</v>
      </c>
      <c r="K426" s="7" t="s">
        <v>93</v>
      </c>
      <c r="L426" s="7" t="s">
        <v>238</v>
      </c>
      <c r="M426" s="7"/>
      <c r="N426" s="7"/>
      <c r="O426" s="7" t="str">
        <f aca="false">A426&amp;"|"&amp;B426&amp;"|"&amp;C426&amp;"|"&amp;D426&amp;"|"&amp;E426&amp;"|"&amp;F426&amp;"|"&amp;G426&amp;"|"&amp;H426&amp;"|"&amp;I426&amp;"|"&amp;J426&amp;"|"&amp;K426&amp;"|"&amp;L426&amp;"|"&amp;M426&amp;"|"&amp;N426</f>
        <v>ORD12817|2025-12-10|23:41|C0195|Burger Barn|Delhi|Burgers|1|170|68|Credit Card|Cancelled||</v>
      </c>
      <c r="P426" s="7" t="str">
        <f aca="false">IF(COUNTIF($O$2:O426,O426)&gt;1,"DUP","OK")</f>
        <v>OK</v>
      </c>
      <c r="Q426" s="7" t="n">
        <f aca="false">COUNTBLANK(A426:N426)</f>
        <v>2</v>
      </c>
      <c r="R426" s="7" t="n">
        <f aca="false">IF(A426="",0,COUNTIFS($A$2:$A$3058,A426,$P$2:$P$3058,"OK"))</f>
        <v>1</v>
      </c>
      <c r="S426" s="7" t="str">
        <f aca="false">IF(OR(A426="",P426="DUP",R426&lt;2),"",IF(Q426=_xlfn.MINIFS($Q$2:$Q$3058,$A$2:$A$3058,A426,$P$2:$P$3058,"OK"),"KEEP","DROP"))</f>
        <v/>
      </c>
      <c r="T426" s="9" t="n">
        <f aca="false">IF(A426="",1,0)</f>
        <v>0</v>
      </c>
      <c r="U426" s="9" t="n">
        <f aca="false">IF(D426="",1,0)</f>
        <v>0</v>
      </c>
      <c r="V426" s="9" t="n">
        <f aca="false">IF(E426="",1,0)</f>
        <v>0</v>
      </c>
      <c r="W426" s="9" t="n">
        <f aca="false">IF(OR(H426&lt;1,H426&gt;10),1,0)</f>
        <v>0</v>
      </c>
      <c r="X426" s="9" t="n">
        <f aca="false">IF(OR(I426&lt;=0,I426&gt;1500),1,0)</f>
        <v>0</v>
      </c>
      <c r="Y426" s="9" t="n">
        <f aca="false">IF(J426&gt;H426*I426,1,0)</f>
        <v>0</v>
      </c>
      <c r="Z426" s="9" t="n">
        <f aca="false">IF(AND(N426&lt;&gt;"",OR(N426&lt;1,N426&gt;5)),1,0)</f>
        <v>0</v>
      </c>
      <c r="AA426" s="9" t="n">
        <f aca="false">IF(AND(M426&lt;&gt;"",OR(M426&lt;5,M426&gt;180)),1,0)</f>
        <v>0</v>
      </c>
      <c r="AB426" s="7" t="str">
        <f aca="false">IF(P426="DUP","Exact duplicate row",IF(T426=1,"Missing Order ID",IF(S426="DROP","Duplicate Order ID (less complete row)",IF(U426=1,"Missing Customer ID",IF(V426=1,"Missing Restaurant name",IF(W426=1,"Invalid/outlier quantity",IF(X426=1,"Invalid/outlier unit price",IF(Y426=1,"Discount greater than order value",""))))))))</f>
        <v/>
      </c>
      <c r="AC426" s="7" t="str">
        <f aca="false">IF(AB426="","KEEP","DROP")</f>
        <v>KEEP</v>
      </c>
      <c r="AD426" s="7" t="str">
        <f aca="false">IF(TRIM(F426)="",IFERROR(INDEX(Map_Tables!$I$4:$I$37,MATCH(TRIM(E426),Map_Tables!$G$4:$G$37,0)),""),IFERROR(INDEX(Map_Tables!$B$4:$B$18,MATCH(TRIM(F426),Map_Tables!$A$4:$A$18,0)),"CHECK"))</f>
        <v>Delhi</v>
      </c>
      <c r="AE426" s="7" t="str">
        <f aca="false">IF(TRIM(E426)="","",IFERROR(INDEX(Map_Tables!$H$4:$H$37,MATCH(TRIM(E426),Map_Tables!$G$4:$G$37,0)),"CHECK"))</f>
        <v>Burger Barn</v>
      </c>
      <c r="AF426" s="7" t="str">
        <f aca="false">IF(TRIM(K426)="","Unknown",IFERROR(INDEX(Map_Tables!$E$4:$E$15,MATCH(TRIM(K426),Map_Tables!$D$4:$D$15,0)),"CHECK"))</f>
        <v>Credit Card</v>
      </c>
      <c r="AG426" s="7" t="str">
        <f aca="false">IF(LEFT(LOWER(TRIM(L426)),6)="cancel","Cancelled","Delivered")</f>
        <v>Cancelled</v>
      </c>
      <c r="AH426" s="10" t="n">
        <f aca="false">IF(ISNUMBER(SEARCH("/",B426)),DATE(VALUE(RIGHT(B426,4)),VALUE(MID(B426,4,2)),VALUE(LEFT(B426,2))),IF(MID(B426,5,1)="-",DATE(VALUE(LEFT(B426,4)),VALUE(MID(B426,6,2)),VALUE(RIGHT(B426,2))),DATE(VALUE(RIGHT(B426,4)),MATCH(MID(B426,4,3),{"Jan","Feb","Mar","Apr","May","Jun","Jul","Aug","Sep","Oct","Nov","Dec"},0),VALUE(LEFT(B426,2)))))</f>
        <v>46001</v>
      </c>
    </row>
    <row r="427" customFormat="false" ht="15" hidden="false" customHeight="false" outlineLevel="0" collapsed="false">
      <c r="A427" s="7" t="s">
        <v>1656</v>
      </c>
      <c r="B427" s="7" t="s">
        <v>1657</v>
      </c>
      <c r="C427" s="7" t="s">
        <v>1640</v>
      </c>
      <c r="D427" s="7" t="s">
        <v>1658</v>
      </c>
      <c r="E427" s="7" t="s">
        <v>89</v>
      </c>
      <c r="F427" s="7" t="s">
        <v>86</v>
      </c>
      <c r="G427" s="7" t="s">
        <v>90</v>
      </c>
      <c r="H427" s="7" t="n">
        <v>2</v>
      </c>
      <c r="I427" s="7" t="n">
        <v>285</v>
      </c>
      <c r="J427" s="7" t="n">
        <v>0</v>
      </c>
      <c r="K427" s="7" t="s">
        <v>88</v>
      </c>
      <c r="L427" s="7" t="s">
        <v>194</v>
      </c>
      <c r="M427" s="7" t="n">
        <v>35</v>
      </c>
      <c r="N427" s="7" t="n">
        <v>3</v>
      </c>
      <c r="O427" s="7" t="str">
        <f aca="false">A427&amp;"|"&amp;B427&amp;"|"&amp;C427&amp;"|"&amp;D427&amp;"|"&amp;E427&amp;"|"&amp;F427&amp;"|"&amp;G427&amp;"|"&amp;H427&amp;"|"&amp;I427&amp;"|"&amp;J427&amp;"|"&amp;K427&amp;"|"&amp;L427&amp;"|"&amp;M427&amp;"|"&amp;N427</f>
        <v>ORD11864|2025-08-31|19:52|C1233|Spice Junction|Bengaluru|North Indian|2|285|0|UPI|Delivered|35|3</v>
      </c>
      <c r="P427" s="7" t="str">
        <f aca="false">IF(COUNTIF($O$2:O427,O427)&gt;1,"DUP","OK")</f>
        <v>OK</v>
      </c>
      <c r="Q427" s="7" t="n">
        <f aca="false">COUNTBLANK(A427:N427)</f>
        <v>0</v>
      </c>
      <c r="R427" s="7" t="n">
        <f aca="false">IF(A427="",0,COUNTIFS($A$2:$A$3058,A427,$P$2:$P$3058,"OK"))</f>
        <v>1</v>
      </c>
      <c r="S427" s="7" t="str">
        <f aca="false">IF(OR(A427="",P427="DUP",R427&lt;2),"",IF(Q427=_xlfn.MINIFS($Q$2:$Q$3058,$A$2:$A$3058,A427,$P$2:$P$3058,"OK"),"KEEP","DROP"))</f>
        <v/>
      </c>
      <c r="T427" s="9" t="n">
        <f aca="false">IF(A427="",1,0)</f>
        <v>0</v>
      </c>
      <c r="U427" s="9" t="n">
        <f aca="false">IF(D427="",1,0)</f>
        <v>0</v>
      </c>
      <c r="V427" s="9" t="n">
        <f aca="false">IF(E427="",1,0)</f>
        <v>0</v>
      </c>
      <c r="W427" s="9" t="n">
        <f aca="false">IF(OR(H427&lt;1,H427&gt;10),1,0)</f>
        <v>0</v>
      </c>
      <c r="X427" s="9" t="n">
        <f aca="false">IF(OR(I427&lt;=0,I427&gt;1500),1,0)</f>
        <v>0</v>
      </c>
      <c r="Y427" s="9" t="n">
        <f aca="false">IF(J427&gt;H427*I427,1,0)</f>
        <v>0</v>
      </c>
      <c r="Z427" s="9" t="n">
        <f aca="false">IF(AND(N427&lt;&gt;"",OR(N427&lt;1,N427&gt;5)),1,0)</f>
        <v>0</v>
      </c>
      <c r="AA427" s="9" t="n">
        <f aca="false">IF(AND(M427&lt;&gt;"",OR(M427&lt;5,M427&gt;180)),1,0)</f>
        <v>0</v>
      </c>
      <c r="AB427" s="7" t="str">
        <f aca="false">IF(P427="DUP","Exact duplicate row",IF(T427=1,"Missing Order ID",IF(S427="DROP","Duplicate Order ID (less complete row)",IF(U427=1,"Missing Customer ID",IF(V427=1,"Missing Restaurant name",IF(W427=1,"Invalid/outlier quantity",IF(X427=1,"Invalid/outlier unit price",IF(Y427=1,"Discount greater than order value",""))))))))</f>
        <v/>
      </c>
      <c r="AC427" s="7" t="str">
        <f aca="false">IF(AB427="","KEEP","DROP")</f>
        <v>KEEP</v>
      </c>
      <c r="AD427" s="7" t="str">
        <f aca="false">IF(TRIM(F427)="",IFERROR(INDEX(Map_Tables!$I$4:$I$37,MATCH(TRIM(E427),Map_Tables!$G$4:$G$37,0)),""),IFERROR(INDEX(Map_Tables!$B$4:$B$18,MATCH(TRIM(F427),Map_Tables!$A$4:$A$18,0)),"CHECK"))</f>
        <v>Bengaluru</v>
      </c>
      <c r="AE427" s="7" t="str">
        <f aca="false">IF(TRIM(E427)="","",IFERROR(INDEX(Map_Tables!$H$4:$H$37,MATCH(TRIM(E427),Map_Tables!$G$4:$G$37,0)),"CHECK"))</f>
        <v>Spice Junction</v>
      </c>
      <c r="AF427" s="7" t="str">
        <f aca="false">IF(TRIM(K427)="","Unknown",IFERROR(INDEX(Map_Tables!$E$4:$E$15,MATCH(TRIM(K427),Map_Tables!$D$4:$D$15,0)),"CHECK"))</f>
        <v>UPI</v>
      </c>
      <c r="AG427" s="7" t="str">
        <f aca="false">IF(LEFT(LOWER(TRIM(L427)),6)="cancel","Cancelled","Delivered")</f>
        <v>Delivered</v>
      </c>
      <c r="AH427" s="10" t="n">
        <f aca="false">IF(ISNUMBER(SEARCH("/",B427)),DATE(VALUE(RIGHT(B427,4)),VALUE(MID(B427,4,2)),VALUE(LEFT(B427,2))),IF(MID(B427,5,1)="-",DATE(VALUE(LEFT(B427,4)),VALUE(MID(B427,6,2)),VALUE(RIGHT(B427,2))),DATE(VALUE(RIGHT(B427,4)),MATCH(MID(B427,4,3),{"Jan","Feb","Mar","Apr","May","Jun","Jul","Aug","Sep","Oct","Nov","Dec"},0),VALUE(LEFT(B427,2)))))</f>
        <v>45900</v>
      </c>
    </row>
    <row r="428" customFormat="false" ht="15" hidden="false" customHeight="false" outlineLevel="0" collapsed="false">
      <c r="A428" s="7" t="s">
        <v>1659</v>
      </c>
      <c r="B428" s="7" t="s">
        <v>824</v>
      </c>
      <c r="C428" s="7" t="s">
        <v>1660</v>
      </c>
      <c r="D428" s="7" t="s">
        <v>1661</v>
      </c>
      <c r="E428" s="7" t="s">
        <v>134</v>
      </c>
      <c r="F428" s="7" t="s">
        <v>756</v>
      </c>
      <c r="G428" s="7" t="s">
        <v>117</v>
      </c>
      <c r="H428" s="7" t="n">
        <v>1</v>
      </c>
      <c r="I428" s="7" t="n">
        <v>120</v>
      </c>
      <c r="J428" s="7" t="n">
        <v>48</v>
      </c>
      <c r="K428" s="7" t="s">
        <v>93</v>
      </c>
      <c r="L428" s="7" t="s">
        <v>194</v>
      </c>
      <c r="M428" s="7" t="n">
        <v>42</v>
      </c>
      <c r="N428" s="7" t="n">
        <v>4</v>
      </c>
      <c r="O428" s="7" t="str">
        <f aca="false">A428&amp;"|"&amp;B428&amp;"|"&amp;C428&amp;"|"&amp;D428&amp;"|"&amp;E428&amp;"|"&amp;F428&amp;"|"&amp;G428&amp;"|"&amp;H428&amp;"|"&amp;I428&amp;"|"&amp;J428&amp;"|"&amp;K428&amp;"|"&amp;L428&amp;"|"&amp;M428&amp;"|"&amp;N428</f>
        <v>ORD12772|2025-12-05|13:45|C0848|Chaat Corner|Delhi |Street Food|1|120|48|Credit Card|Delivered|42|4</v>
      </c>
      <c r="P428" s="7" t="str">
        <f aca="false">IF(COUNTIF($O$2:O428,O428)&gt;1,"DUP","OK")</f>
        <v>OK</v>
      </c>
      <c r="Q428" s="7" t="n">
        <f aca="false">COUNTBLANK(A428:N428)</f>
        <v>0</v>
      </c>
      <c r="R428" s="7" t="n">
        <f aca="false">IF(A428="",0,COUNTIFS($A$2:$A$3058,A428,$P$2:$P$3058,"OK"))</f>
        <v>1</v>
      </c>
      <c r="S428" s="7" t="str">
        <f aca="false">IF(OR(A428="",P428="DUP",R428&lt;2),"",IF(Q428=_xlfn.MINIFS($Q$2:$Q$3058,$A$2:$A$3058,A428,$P$2:$P$3058,"OK"),"KEEP","DROP"))</f>
        <v/>
      </c>
      <c r="T428" s="9" t="n">
        <f aca="false">IF(A428="",1,0)</f>
        <v>0</v>
      </c>
      <c r="U428" s="9" t="n">
        <f aca="false">IF(D428="",1,0)</f>
        <v>0</v>
      </c>
      <c r="V428" s="9" t="n">
        <f aca="false">IF(E428="",1,0)</f>
        <v>0</v>
      </c>
      <c r="W428" s="9" t="n">
        <f aca="false">IF(OR(H428&lt;1,H428&gt;10),1,0)</f>
        <v>0</v>
      </c>
      <c r="X428" s="9" t="n">
        <f aca="false">IF(OR(I428&lt;=0,I428&gt;1500),1,0)</f>
        <v>0</v>
      </c>
      <c r="Y428" s="9" t="n">
        <f aca="false">IF(J428&gt;H428*I428,1,0)</f>
        <v>0</v>
      </c>
      <c r="Z428" s="9" t="n">
        <f aca="false">IF(AND(N428&lt;&gt;"",OR(N428&lt;1,N428&gt;5)),1,0)</f>
        <v>0</v>
      </c>
      <c r="AA428" s="9" t="n">
        <f aca="false">IF(AND(M428&lt;&gt;"",OR(M428&lt;5,M428&gt;180)),1,0)</f>
        <v>0</v>
      </c>
      <c r="AB428" s="7" t="str">
        <f aca="false">IF(P428="DUP","Exact duplicate row",IF(T428=1,"Missing Order ID",IF(S428="DROP","Duplicate Order ID (less complete row)",IF(U428=1,"Missing Customer ID",IF(V428=1,"Missing Restaurant name",IF(W428=1,"Invalid/outlier quantity",IF(X428=1,"Invalid/outlier unit price",IF(Y428=1,"Discount greater than order value",""))))))))</f>
        <v/>
      </c>
      <c r="AC428" s="7" t="str">
        <f aca="false">IF(AB428="","KEEP","DROP")</f>
        <v>KEEP</v>
      </c>
      <c r="AD428" s="7" t="str">
        <f aca="false">IF(TRIM(F428)="",IFERROR(INDEX(Map_Tables!$I$4:$I$37,MATCH(TRIM(E428),Map_Tables!$G$4:$G$37,0)),""),IFERROR(INDEX(Map_Tables!$B$4:$B$18,MATCH(TRIM(F428),Map_Tables!$A$4:$A$18,0)),"CHECK"))</f>
        <v>Delhi</v>
      </c>
      <c r="AE428" s="7" t="str">
        <f aca="false">IF(TRIM(E428)="","",IFERROR(INDEX(Map_Tables!$H$4:$H$37,MATCH(TRIM(E428),Map_Tables!$G$4:$G$37,0)),"CHECK"))</f>
        <v>Chaat Corner</v>
      </c>
      <c r="AF428" s="7" t="str">
        <f aca="false">IF(TRIM(K428)="","Unknown",IFERROR(INDEX(Map_Tables!$E$4:$E$15,MATCH(TRIM(K428),Map_Tables!$D$4:$D$15,0)),"CHECK"))</f>
        <v>Credit Card</v>
      </c>
      <c r="AG428" s="7" t="str">
        <f aca="false">IF(LEFT(LOWER(TRIM(L428)),6)="cancel","Cancelled","Delivered")</f>
        <v>Delivered</v>
      </c>
      <c r="AH428" s="10" t="n">
        <f aca="false">IF(ISNUMBER(SEARCH("/",B428)),DATE(VALUE(RIGHT(B428,4)),VALUE(MID(B428,4,2)),VALUE(LEFT(B428,2))),IF(MID(B428,5,1)="-",DATE(VALUE(LEFT(B428,4)),VALUE(MID(B428,6,2)),VALUE(RIGHT(B428,2))),DATE(VALUE(RIGHT(B428,4)),MATCH(MID(B428,4,3),{"Jan","Feb","Mar","Apr","May","Jun","Jul","Aug","Sep","Oct","Nov","Dec"},0),VALUE(LEFT(B428,2)))))</f>
        <v>45996</v>
      </c>
    </row>
    <row r="429" customFormat="false" ht="15" hidden="false" customHeight="false" outlineLevel="0" collapsed="false">
      <c r="A429" s="7" t="s">
        <v>1662</v>
      </c>
      <c r="B429" s="7" t="s">
        <v>1663</v>
      </c>
      <c r="C429" s="7" t="s">
        <v>1664</v>
      </c>
      <c r="D429" s="7" t="s">
        <v>1665</v>
      </c>
      <c r="E429" s="7" t="s">
        <v>134</v>
      </c>
      <c r="F429" s="7" t="s">
        <v>110</v>
      </c>
      <c r="G429" s="7" t="s">
        <v>117</v>
      </c>
      <c r="H429" s="7" t="n">
        <v>3</v>
      </c>
      <c r="I429" s="7" t="n">
        <v>115</v>
      </c>
      <c r="J429" s="7" t="n">
        <v>138</v>
      </c>
      <c r="K429" s="7" t="s">
        <v>93</v>
      </c>
      <c r="L429" s="7" t="s">
        <v>194</v>
      </c>
      <c r="M429" s="7" t="n">
        <v>32</v>
      </c>
      <c r="N429" s="7" t="n">
        <v>4</v>
      </c>
      <c r="O429" s="7" t="str">
        <f aca="false">A429&amp;"|"&amp;B429&amp;"|"&amp;C429&amp;"|"&amp;D429&amp;"|"&amp;E429&amp;"|"&amp;F429&amp;"|"&amp;G429&amp;"|"&amp;H429&amp;"|"&amp;I429&amp;"|"&amp;J429&amp;"|"&amp;K429&amp;"|"&amp;L429&amp;"|"&amp;M429&amp;"|"&amp;N429</f>
        <v>ORD11082|2025-05-17|18:35|C0151|Chaat Corner|Delhi|Street Food|3|115|138|Credit Card|Delivered|32|4</v>
      </c>
      <c r="P429" s="7" t="str">
        <f aca="false">IF(COUNTIF($O$2:O429,O429)&gt;1,"DUP","OK")</f>
        <v>OK</v>
      </c>
      <c r="Q429" s="7" t="n">
        <f aca="false">COUNTBLANK(A429:N429)</f>
        <v>0</v>
      </c>
      <c r="R429" s="7" t="n">
        <f aca="false">IF(A429="",0,COUNTIFS($A$2:$A$3058,A429,$P$2:$P$3058,"OK"))</f>
        <v>1</v>
      </c>
      <c r="S429" s="7" t="str">
        <f aca="false">IF(OR(A429="",P429="DUP",R429&lt;2),"",IF(Q429=_xlfn.MINIFS($Q$2:$Q$3058,$A$2:$A$3058,A429,$P$2:$P$3058,"OK"),"KEEP","DROP"))</f>
        <v/>
      </c>
      <c r="T429" s="9" t="n">
        <f aca="false">IF(A429="",1,0)</f>
        <v>0</v>
      </c>
      <c r="U429" s="9" t="n">
        <f aca="false">IF(D429="",1,0)</f>
        <v>0</v>
      </c>
      <c r="V429" s="9" t="n">
        <f aca="false">IF(E429="",1,0)</f>
        <v>0</v>
      </c>
      <c r="W429" s="9" t="n">
        <f aca="false">IF(OR(H429&lt;1,H429&gt;10),1,0)</f>
        <v>0</v>
      </c>
      <c r="X429" s="9" t="n">
        <f aca="false">IF(OR(I429&lt;=0,I429&gt;1500),1,0)</f>
        <v>0</v>
      </c>
      <c r="Y429" s="9" t="n">
        <f aca="false">IF(J429&gt;H429*I429,1,0)</f>
        <v>0</v>
      </c>
      <c r="Z429" s="9" t="n">
        <f aca="false">IF(AND(N429&lt;&gt;"",OR(N429&lt;1,N429&gt;5)),1,0)</f>
        <v>0</v>
      </c>
      <c r="AA429" s="9" t="n">
        <f aca="false">IF(AND(M429&lt;&gt;"",OR(M429&lt;5,M429&gt;180)),1,0)</f>
        <v>0</v>
      </c>
      <c r="AB429" s="7" t="str">
        <f aca="false">IF(P429="DUP","Exact duplicate row",IF(T429=1,"Missing Order ID",IF(S429="DROP","Duplicate Order ID (less complete row)",IF(U429=1,"Missing Customer ID",IF(V429=1,"Missing Restaurant name",IF(W429=1,"Invalid/outlier quantity",IF(X429=1,"Invalid/outlier unit price",IF(Y429=1,"Discount greater than order value",""))))))))</f>
        <v/>
      </c>
      <c r="AC429" s="7" t="str">
        <f aca="false">IF(AB429="","KEEP","DROP")</f>
        <v>KEEP</v>
      </c>
      <c r="AD429" s="7" t="str">
        <f aca="false">IF(TRIM(F429)="",IFERROR(INDEX(Map_Tables!$I$4:$I$37,MATCH(TRIM(E429),Map_Tables!$G$4:$G$37,0)),""),IFERROR(INDEX(Map_Tables!$B$4:$B$18,MATCH(TRIM(F429),Map_Tables!$A$4:$A$18,0)),"CHECK"))</f>
        <v>Delhi</v>
      </c>
      <c r="AE429" s="7" t="str">
        <f aca="false">IF(TRIM(E429)="","",IFERROR(INDEX(Map_Tables!$H$4:$H$37,MATCH(TRIM(E429),Map_Tables!$G$4:$G$37,0)),"CHECK"))</f>
        <v>Chaat Corner</v>
      </c>
      <c r="AF429" s="7" t="str">
        <f aca="false">IF(TRIM(K429)="","Unknown",IFERROR(INDEX(Map_Tables!$E$4:$E$15,MATCH(TRIM(K429),Map_Tables!$D$4:$D$15,0)),"CHECK"))</f>
        <v>Credit Card</v>
      </c>
      <c r="AG429" s="7" t="str">
        <f aca="false">IF(LEFT(LOWER(TRIM(L429)),6)="cancel","Cancelled","Delivered")</f>
        <v>Delivered</v>
      </c>
      <c r="AH429" s="10" t="n">
        <f aca="false">IF(ISNUMBER(SEARCH("/",B429)),DATE(VALUE(RIGHT(B429,4)),VALUE(MID(B429,4,2)),VALUE(LEFT(B429,2))),IF(MID(B429,5,1)="-",DATE(VALUE(LEFT(B429,4)),VALUE(MID(B429,6,2)),VALUE(RIGHT(B429,2))),DATE(VALUE(RIGHT(B429,4)),MATCH(MID(B429,4,3),{"Jan","Feb","Mar","Apr","May","Jun","Jul","Aug","Sep","Oct","Nov","Dec"},0),VALUE(LEFT(B429,2)))))</f>
        <v>45794</v>
      </c>
    </row>
    <row r="430" customFormat="false" ht="15" hidden="false" customHeight="false" outlineLevel="0" collapsed="false">
      <c r="A430" s="7" t="s">
        <v>1666</v>
      </c>
      <c r="B430" s="7" t="s">
        <v>1667</v>
      </c>
      <c r="C430" s="7" t="s">
        <v>1133</v>
      </c>
      <c r="D430" s="7" t="s">
        <v>1668</v>
      </c>
      <c r="E430" s="7" t="s">
        <v>94</v>
      </c>
      <c r="F430" s="7" t="s">
        <v>86</v>
      </c>
      <c r="G430" s="7" t="s">
        <v>95</v>
      </c>
      <c r="H430" s="7" t="n">
        <v>2</v>
      </c>
      <c r="I430" s="7" t="n">
        <v>125</v>
      </c>
      <c r="J430" s="7" t="n">
        <v>0</v>
      </c>
      <c r="K430" s="7" t="s">
        <v>88</v>
      </c>
      <c r="L430" s="7" t="s">
        <v>194</v>
      </c>
      <c r="M430" s="7" t="n">
        <v>49</v>
      </c>
      <c r="N430" s="7" t="n">
        <v>3</v>
      </c>
      <c r="O430" s="7" t="str">
        <f aca="false">A430&amp;"|"&amp;B430&amp;"|"&amp;C430&amp;"|"&amp;D430&amp;"|"&amp;E430&amp;"|"&amp;F430&amp;"|"&amp;G430&amp;"|"&amp;H430&amp;"|"&amp;I430&amp;"|"&amp;J430&amp;"|"&amp;K430&amp;"|"&amp;L430&amp;"|"&amp;M430&amp;"|"&amp;N430</f>
        <v>ORD11574|2025-07-24|20:44|C0221|Dosa Darbar|Bengaluru|South Indian|2|125|0|UPI|Delivered|49|3</v>
      </c>
      <c r="P430" s="7" t="str">
        <f aca="false">IF(COUNTIF($O$2:O430,O430)&gt;1,"DUP","OK")</f>
        <v>OK</v>
      </c>
      <c r="Q430" s="7" t="n">
        <f aca="false">COUNTBLANK(A430:N430)</f>
        <v>0</v>
      </c>
      <c r="R430" s="7" t="n">
        <f aca="false">IF(A430="",0,COUNTIFS($A$2:$A$3058,A430,$P$2:$P$3058,"OK"))</f>
        <v>1</v>
      </c>
      <c r="S430" s="7" t="str">
        <f aca="false">IF(OR(A430="",P430="DUP",R430&lt;2),"",IF(Q430=_xlfn.MINIFS($Q$2:$Q$3058,$A$2:$A$3058,A430,$P$2:$P$3058,"OK"),"KEEP","DROP"))</f>
        <v/>
      </c>
      <c r="T430" s="9" t="n">
        <f aca="false">IF(A430="",1,0)</f>
        <v>0</v>
      </c>
      <c r="U430" s="9" t="n">
        <f aca="false">IF(D430="",1,0)</f>
        <v>0</v>
      </c>
      <c r="V430" s="9" t="n">
        <f aca="false">IF(E430="",1,0)</f>
        <v>0</v>
      </c>
      <c r="W430" s="9" t="n">
        <f aca="false">IF(OR(H430&lt;1,H430&gt;10),1,0)</f>
        <v>0</v>
      </c>
      <c r="X430" s="9" t="n">
        <f aca="false">IF(OR(I430&lt;=0,I430&gt;1500),1,0)</f>
        <v>0</v>
      </c>
      <c r="Y430" s="9" t="n">
        <f aca="false">IF(J430&gt;H430*I430,1,0)</f>
        <v>0</v>
      </c>
      <c r="Z430" s="9" t="n">
        <f aca="false">IF(AND(N430&lt;&gt;"",OR(N430&lt;1,N430&gt;5)),1,0)</f>
        <v>0</v>
      </c>
      <c r="AA430" s="9" t="n">
        <f aca="false">IF(AND(M430&lt;&gt;"",OR(M430&lt;5,M430&gt;180)),1,0)</f>
        <v>0</v>
      </c>
      <c r="AB430" s="7" t="str">
        <f aca="false">IF(P430="DUP","Exact duplicate row",IF(T430=1,"Missing Order ID",IF(S430="DROP","Duplicate Order ID (less complete row)",IF(U430=1,"Missing Customer ID",IF(V430=1,"Missing Restaurant name",IF(W430=1,"Invalid/outlier quantity",IF(X430=1,"Invalid/outlier unit price",IF(Y430=1,"Discount greater than order value",""))))))))</f>
        <v/>
      </c>
      <c r="AC430" s="7" t="str">
        <f aca="false">IF(AB430="","KEEP","DROP")</f>
        <v>KEEP</v>
      </c>
      <c r="AD430" s="7" t="str">
        <f aca="false">IF(TRIM(F430)="",IFERROR(INDEX(Map_Tables!$I$4:$I$37,MATCH(TRIM(E430),Map_Tables!$G$4:$G$37,0)),""),IFERROR(INDEX(Map_Tables!$B$4:$B$18,MATCH(TRIM(F430),Map_Tables!$A$4:$A$18,0)),"CHECK"))</f>
        <v>Bengaluru</v>
      </c>
      <c r="AE430" s="7" t="str">
        <f aca="false">IF(TRIM(E430)="","",IFERROR(INDEX(Map_Tables!$H$4:$H$37,MATCH(TRIM(E430),Map_Tables!$G$4:$G$37,0)),"CHECK"))</f>
        <v>Dosa Darbar</v>
      </c>
      <c r="AF430" s="7" t="str">
        <f aca="false">IF(TRIM(K430)="","Unknown",IFERROR(INDEX(Map_Tables!$E$4:$E$15,MATCH(TRIM(K430),Map_Tables!$D$4:$D$15,0)),"CHECK"))</f>
        <v>UPI</v>
      </c>
      <c r="AG430" s="7" t="str">
        <f aca="false">IF(LEFT(LOWER(TRIM(L430)),6)="cancel","Cancelled","Delivered")</f>
        <v>Delivered</v>
      </c>
      <c r="AH430" s="10" t="n">
        <f aca="false">IF(ISNUMBER(SEARCH("/",B430)),DATE(VALUE(RIGHT(B430,4)),VALUE(MID(B430,4,2)),VALUE(LEFT(B430,2))),IF(MID(B430,5,1)="-",DATE(VALUE(LEFT(B430,4)),VALUE(MID(B430,6,2)),VALUE(RIGHT(B430,2))),DATE(VALUE(RIGHT(B430,4)),MATCH(MID(B430,4,3),{"Jan","Feb","Mar","Apr","May","Jun","Jul","Aug","Sep","Oct","Nov","Dec"},0),VALUE(LEFT(B430,2)))))</f>
        <v>45862</v>
      </c>
    </row>
    <row r="431" customFormat="false" ht="15" hidden="false" customHeight="false" outlineLevel="0" collapsed="false">
      <c r="A431" s="7" t="s">
        <v>1669</v>
      </c>
      <c r="B431" s="7" t="s">
        <v>1670</v>
      </c>
      <c r="C431" s="7" t="s">
        <v>1671</v>
      </c>
      <c r="D431" s="7" t="s">
        <v>1672</v>
      </c>
      <c r="E431" s="7" t="s">
        <v>138</v>
      </c>
      <c r="F431" s="7" t="s">
        <v>110</v>
      </c>
      <c r="G431" s="7" t="s">
        <v>139</v>
      </c>
      <c r="H431" s="7" t="n">
        <v>3</v>
      </c>
      <c r="I431" s="7" t="n">
        <v>195</v>
      </c>
      <c r="J431" s="7" t="n">
        <v>50</v>
      </c>
      <c r="K431" s="7" t="s">
        <v>87</v>
      </c>
      <c r="L431" s="7" t="s">
        <v>194</v>
      </c>
      <c r="M431" s="7" t="n">
        <v>43</v>
      </c>
      <c r="N431" s="7" t="n">
        <v>2</v>
      </c>
      <c r="O431" s="7" t="str">
        <f aca="false">A431&amp;"|"&amp;B431&amp;"|"&amp;C431&amp;"|"&amp;D431&amp;"|"&amp;E431&amp;"|"&amp;F431&amp;"|"&amp;G431&amp;"|"&amp;H431&amp;"|"&amp;I431&amp;"|"&amp;J431&amp;"|"&amp;K431&amp;"|"&amp;L431&amp;"|"&amp;M431&amp;"|"&amp;N431</f>
        <v>ORD11722|2025-08-14|13:13|C1239|Burger Barn|Delhi|Burgers|3|195|50|upi|Delivered|43|2</v>
      </c>
      <c r="P431" s="7" t="str">
        <f aca="false">IF(COUNTIF($O$2:O431,O431)&gt;1,"DUP","OK")</f>
        <v>OK</v>
      </c>
      <c r="Q431" s="7" t="n">
        <f aca="false">COUNTBLANK(A431:N431)</f>
        <v>0</v>
      </c>
      <c r="R431" s="7" t="n">
        <f aca="false">IF(A431="",0,COUNTIFS($A$2:$A$3058,A431,$P$2:$P$3058,"OK"))</f>
        <v>1</v>
      </c>
      <c r="S431" s="7" t="str">
        <f aca="false">IF(OR(A431="",P431="DUP",R431&lt;2),"",IF(Q431=_xlfn.MINIFS($Q$2:$Q$3058,$A$2:$A$3058,A431,$P$2:$P$3058,"OK"),"KEEP","DROP"))</f>
        <v/>
      </c>
      <c r="T431" s="9" t="n">
        <f aca="false">IF(A431="",1,0)</f>
        <v>0</v>
      </c>
      <c r="U431" s="9" t="n">
        <f aca="false">IF(D431="",1,0)</f>
        <v>0</v>
      </c>
      <c r="V431" s="9" t="n">
        <f aca="false">IF(E431="",1,0)</f>
        <v>0</v>
      </c>
      <c r="W431" s="9" t="n">
        <f aca="false">IF(OR(H431&lt;1,H431&gt;10),1,0)</f>
        <v>0</v>
      </c>
      <c r="X431" s="9" t="n">
        <f aca="false">IF(OR(I431&lt;=0,I431&gt;1500),1,0)</f>
        <v>0</v>
      </c>
      <c r="Y431" s="9" t="n">
        <f aca="false">IF(J431&gt;H431*I431,1,0)</f>
        <v>0</v>
      </c>
      <c r="Z431" s="9" t="n">
        <f aca="false">IF(AND(N431&lt;&gt;"",OR(N431&lt;1,N431&gt;5)),1,0)</f>
        <v>0</v>
      </c>
      <c r="AA431" s="9" t="n">
        <f aca="false">IF(AND(M431&lt;&gt;"",OR(M431&lt;5,M431&gt;180)),1,0)</f>
        <v>0</v>
      </c>
      <c r="AB431" s="7" t="str">
        <f aca="false">IF(P431="DUP","Exact duplicate row",IF(T431=1,"Missing Order ID",IF(S431="DROP","Duplicate Order ID (less complete row)",IF(U431=1,"Missing Customer ID",IF(V431=1,"Missing Restaurant name",IF(W431=1,"Invalid/outlier quantity",IF(X431=1,"Invalid/outlier unit price",IF(Y431=1,"Discount greater than order value",""))))))))</f>
        <v/>
      </c>
      <c r="AC431" s="7" t="str">
        <f aca="false">IF(AB431="","KEEP","DROP")</f>
        <v>KEEP</v>
      </c>
      <c r="AD431" s="7" t="str">
        <f aca="false">IF(TRIM(F431)="",IFERROR(INDEX(Map_Tables!$I$4:$I$37,MATCH(TRIM(E431),Map_Tables!$G$4:$G$37,0)),""),IFERROR(INDEX(Map_Tables!$B$4:$B$18,MATCH(TRIM(F431),Map_Tables!$A$4:$A$18,0)),"CHECK"))</f>
        <v>Delhi</v>
      </c>
      <c r="AE431" s="7" t="str">
        <f aca="false">IF(TRIM(E431)="","",IFERROR(INDEX(Map_Tables!$H$4:$H$37,MATCH(TRIM(E431),Map_Tables!$G$4:$G$37,0)),"CHECK"))</f>
        <v>Burger Barn</v>
      </c>
      <c r="AF431" s="7" t="str">
        <f aca="false">IF(TRIM(K431)="","Unknown",IFERROR(INDEX(Map_Tables!$E$4:$E$15,MATCH(TRIM(K431),Map_Tables!$D$4:$D$15,0)),"CHECK"))</f>
        <v>UPI</v>
      </c>
      <c r="AG431" s="7" t="str">
        <f aca="false">IF(LEFT(LOWER(TRIM(L431)),6)="cancel","Cancelled","Delivered")</f>
        <v>Delivered</v>
      </c>
      <c r="AH431" s="10" t="n">
        <f aca="false">IF(ISNUMBER(SEARCH("/",B431)),DATE(VALUE(RIGHT(B431,4)),VALUE(MID(B431,4,2)),VALUE(LEFT(B431,2))),IF(MID(B431,5,1)="-",DATE(VALUE(LEFT(B431,4)),VALUE(MID(B431,6,2)),VALUE(RIGHT(B431,2))),DATE(VALUE(RIGHT(B431,4)),MATCH(MID(B431,4,3),{"Jan","Feb","Mar","Apr","May","Jun","Jul","Aug","Sep","Oct","Nov","Dec"},0),VALUE(LEFT(B431,2)))))</f>
        <v>45883</v>
      </c>
    </row>
    <row r="432" customFormat="false" ht="15" hidden="false" customHeight="false" outlineLevel="0" collapsed="false">
      <c r="A432" s="7" t="s">
        <v>1673</v>
      </c>
      <c r="B432" s="7" t="s">
        <v>248</v>
      </c>
      <c r="C432" s="7" t="s">
        <v>1674</v>
      </c>
      <c r="D432" s="7" t="s">
        <v>1675</v>
      </c>
      <c r="E432" s="7" t="s">
        <v>160</v>
      </c>
      <c r="F432" s="7" t="s">
        <v>1226</v>
      </c>
      <c r="G432" s="7" t="s">
        <v>150</v>
      </c>
      <c r="H432" s="7" t="n">
        <v>3</v>
      </c>
      <c r="I432" s="7" t="n">
        <v>165</v>
      </c>
      <c r="J432" s="7" t="n">
        <v>75</v>
      </c>
      <c r="K432" s="7" t="s">
        <v>103</v>
      </c>
      <c r="L432" s="7" t="s">
        <v>194</v>
      </c>
      <c r="M432" s="7" t="n">
        <v>42</v>
      </c>
      <c r="N432" s="7" t="n">
        <v>5</v>
      </c>
      <c r="O432" s="7" t="str">
        <f aca="false">A432&amp;"|"&amp;B432&amp;"|"&amp;C432&amp;"|"&amp;D432&amp;"|"&amp;E432&amp;"|"&amp;F432&amp;"|"&amp;G432&amp;"|"&amp;H432&amp;"|"&amp;I432&amp;"|"&amp;J432&amp;"|"&amp;K432&amp;"|"&amp;L432&amp;"|"&amp;M432&amp;"|"&amp;N432</f>
        <v>ORD10457|2025-03-02|17:34|C0015|Cake Walk|Pune |Desserts|3|165|75|Debit Card|Delivered|42|5</v>
      </c>
      <c r="P432" s="7" t="str">
        <f aca="false">IF(COUNTIF($O$2:O432,O432)&gt;1,"DUP","OK")</f>
        <v>OK</v>
      </c>
      <c r="Q432" s="7" t="n">
        <f aca="false">COUNTBLANK(A432:N432)</f>
        <v>0</v>
      </c>
      <c r="R432" s="7" t="n">
        <f aca="false">IF(A432="",0,COUNTIFS($A$2:$A$3058,A432,$P$2:$P$3058,"OK"))</f>
        <v>1</v>
      </c>
      <c r="S432" s="7" t="str">
        <f aca="false">IF(OR(A432="",P432="DUP",R432&lt;2),"",IF(Q432=_xlfn.MINIFS($Q$2:$Q$3058,$A$2:$A$3058,A432,$P$2:$P$3058,"OK"),"KEEP","DROP"))</f>
        <v/>
      </c>
      <c r="T432" s="9" t="n">
        <f aca="false">IF(A432="",1,0)</f>
        <v>0</v>
      </c>
      <c r="U432" s="9" t="n">
        <f aca="false">IF(D432="",1,0)</f>
        <v>0</v>
      </c>
      <c r="V432" s="9" t="n">
        <f aca="false">IF(E432="",1,0)</f>
        <v>0</v>
      </c>
      <c r="W432" s="9" t="n">
        <f aca="false">IF(OR(H432&lt;1,H432&gt;10),1,0)</f>
        <v>0</v>
      </c>
      <c r="X432" s="9" t="n">
        <f aca="false">IF(OR(I432&lt;=0,I432&gt;1500),1,0)</f>
        <v>0</v>
      </c>
      <c r="Y432" s="9" t="n">
        <f aca="false">IF(J432&gt;H432*I432,1,0)</f>
        <v>0</v>
      </c>
      <c r="Z432" s="9" t="n">
        <f aca="false">IF(AND(N432&lt;&gt;"",OR(N432&lt;1,N432&gt;5)),1,0)</f>
        <v>0</v>
      </c>
      <c r="AA432" s="9" t="n">
        <f aca="false">IF(AND(M432&lt;&gt;"",OR(M432&lt;5,M432&gt;180)),1,0)</f>
        <v>0</v>
      </c>
      <c r="AB432" s="7" t="str">
        <f aca="false">IF(P432="DUP","Exact duplicate row",IF(T432=1,"Missing Order ID",IF(S432="DROP","Duplicate Order ID (less complete row)",IF(U432=1,"Missing Customer ID",IF(V432=1,"Missing Restaurant name",IF(W432=1,"Invalid/outlier quantity",IF(X432=1,"Invalid/outlier unit price",IF(Y432=1,"Discount greater than order value",""))))))))</f>
        <v/>
      </c>
      <c r="AC432" s="7" t="str">
        <f aca="false">IF(AB432="","KEEP","DROP")</f>
        <v>KEEP</v>
      </c>
      <c r="AD432" s="7" t="str">
        <f aca="false">IF(TRIM(F432)="",IFERROR(INDEX(Map_Tables!$I$4:$I$37,MATCH(TRIM(E432),Map_Tables!$G$4:$G$37,0)),""),IFERROR(INDEX(Map_Tables!$B$4:$B$18,MATCH(TRIM(F432),Map_Tables!$A$4:$A$18,0)),"CHECK"))</f>
        <v>Pune</v>
      </c>
      <c r="AE432" s="7" t="str">
        <f aca="false">IF(TRIM(E432)="","",IFERROR(INDEX(Map_Tables!$H$4:$H$37,MATCH(TRIM(E432),Map_Tables!$G$4:$G$37,0)),"CHECK"))</f>
        <v>Cake Walk</v>
      </c>
      <c r="AF432" s="7" t="str">
        <f aca="false">IF(TRIM(K432)="","Unknown",IFERROR(INDEX(Map_Tables!$E$4:$E$15,MATCH(TRIM(K432),Map_Tables!$D$4:$D$15,0)),"CHECK"))</f>
        <v>Debit Card</v>
      </c>
      <c r="AG432" s="7" t="str">
        <f aca="false">IF(LEFT(LOWER(TRIM(L432)),6)="cancel","Cancelled","Delivered")</f>
        <v>Delivered</v>
      </c>
      <c r="AH432" s="10" t="n">
        <f aca="false">IF(ISNUMBER(SEARCH("/",B432)),DATE(VALUE(RIGHT(B432,4)),VALUE(MID(B432,4,2)),VALUE(LEFT(B432,2))),IF(MID(B432,5,1)="-",DATE(VALUE(LEFT(B432,4)),VALUE(MID(B432,6,2)),VALUE(RIGHT(B432,2))),DATE(VALUE(RIGHT(B432,4)),MATCH(MID(B432,4,3),{"Jan","Feb","Mar","Apr","May","Jun","Jul","Aug","Sep","Oct","Nov","Dec"},0),VALUE(LEFT(B432,2)))))</f>
        <v>45718</v>
      </c>
    </row>
    <row r="433" customFormat="false" ht="15" hidden="false" customHeight="false" outlineLevel="0" collapsed="false">
      <c r="A433" s="7" t="s">
        <v>1676</v>
      </c>
      <c r="B433" s="7" t="s">
        <v>1074</v>
      </c>
      <c r="C433" s="7" t="s">
        <v>1677</v>
      </c>
      <c r="D433" s="7" t="s">
        <v>1678</v>
      </c>
      <c r="E433" s="7" t="s">
        <v>113</v>
      </c>
      <c r="F433" s="7" t="s">
        <v>101</v>
      </c>
      <c r="G433" s="7" t="s">
        <v>90</v>
      </c>
      <c r="H433" s="7" t="n">
        <v>3</v>
      </c>
      <c r="I433" s="7" t="n">
        <v>260</v>
      </c>
      <c r="J433" s="7" t="n">
        <v>40</v>
      </c>
      <c r="K433" s="7" t="s">
        <v>88</v>
      </c>
      <c r="L433" s="7" t="s">
        <v>194</v>
      </c>
      <c r="M433" s="7" t="n">
        <v>39</v>
      </c>
      <c r="N433" s="7" t="n">
        <v>3</v>
      </c>
      <c r="O433" s="7" t="str">
        <f aca="false">A433&amp;"|"&amp;B433&amp;"|"&amp;C433&amp;"|"&amp;D433&amp;"|"&amp;E433&amp;"|"&amp;F433&amp;"|"&amp;G433&amp;"|"&amp;H433&amp;"|"&amp;I433&amp;"|"&amp;J433&amp;"|"&amp;K433&amp;"|"&amp;L433&amp;"|"&amp;M433&amp;"|"&amp;N433</f>
        <v>ORD10843|17/04/2025|10:19|C0598|Curry Leaf Kitchen|Mumbai|North Indian|3|260|40|UPI|Delivered|39|3</v>
      </c>
      <c r="P433" s="7" t="str">
        <f aca="false">IF(COUNTIF($O$2:O433,O433)&gt;1,"DUP","OK")</f>
        <v>OK</v>
      </c>
      <c r="Q433" s="7" t="n">
        <f aca="false">COUNTBLANK(A433:N433)</f>
        <v>0</v>
      </c>
      <c r="R433" s="7" t="n">
        <f aca="false">IF(A433="",0,COUNTIFS($A$2:$A$3058,A433,$P$2:$P$3058,"OK"))</f>
        <v>1</v>
      </c>
      <c r="S433" s="7" t="str">
        <f aca="false">IF(OR(A433="",P433="DUP",R433&lt;2),"",IF(Q433=_xlfn.MINIFS($Q$2:$Q$3058,$A$2:$A$3058,A433,$P$2:$P$3058,"OK"),"KEEP","DROP"))</f>
        <v/>
      </c>
      <c r="T433" s="9" t="n">
        <f aca="false">IF(A433="",1,0)</f>
        <v>0</v>
      </c>
      <c r="U433" s="9" t="n">
        <f aca="false">IF(D433="",1,0)</f>
        <v>0</v>
      </c>
      <c r="V433" s="9" t="n">
        <f aca="false">IF(E433="",1,0)</f>
        <v>0</v>
      </c>
      <c r="W433" s="9" t="n">
        <f aca="false">IF(OR(H433&lt;1,H433&gt;10),1,0)</f>
        <v>0</v>
      </c>
      <c r="X433" s="9" t="n">
        <f aca="false">IF(OR(I433&lt;=0,I433&gt;1500),1,0)</f>
        <v>0</v>
      </c>
      <c r="Y433" s="9" t="n">
        <f aca="false">IF(J433&gt;H433*I433,1,0)</f>
        <v>0</v>
      </c>
      <c r="Z433" s="9" t="n">
        <f aca="false">IF(AND(N433&lt;&gt;"",OR(N433&lt;1,N433&gt;5)),1,0)</f>
        <v>0</v>
      </c>
      <c r="AA433" s="9" t="n">
        <f aca="false">IF(AND(M433&lt;&gt;"",OR(M433&lt;5,M433&gt;180)),1,0)</f>
        <v>0</v>
      </c>
      <c r="AB433" s="7" t="str">
        <f aca="false">IF(P433="DUP","Exact duplicate row",IF(T433=1,"Missing Order ID",IF(S433="DROP","Duplicate Order ID (less complete row)",IF(U433=1,"Missing Customer ID",IF(V433=1,"Missing Restaurant name",IF(W433=1,"Invalid/outlier quantity",IF(X433=1,"Invalid/outlier unit price",IF(Y433=1,"Discount greater than order value",""))))))))</f>
        <v/>
      </c>
      <c r="AC433" s="7" t="str">
        <f aca="false">IF(AB433="","KEEP","DROP")</f>
        <v>KEEP</v>
      </c>
      <c r="AD433" s="7" t="str">
        <f aca="false">IF(TRIM(F433)="",IFERROR(INDEX(Map_Tables!$I$4:$I$37,MATCH(TRIM(E433),Map_Tables!$G$4:$G$37,0)),""),IFERROR(INDEX(Map_Tables!$B$4:$B$18,MATCH(TRIM(F433),Map_Tables!$A$4:$A$18,0)),"CHECK"))</f>
        <v>Mumbai</v>
      </c>
      <c r="AE433" s="7" t="str">
        <f aca="false">IF(TRIM(E433)="","",IFERROR(INDEX(Map_Tables!$H$4:$H$37,MATCH(TRIM(E433),Map_Tables!$G$4:$G$37,0)),"CHECK"))</f>
        <v>Curry Leaf Kitchen</v>
      </c>
      <c r="AF433" s="7" t="str">
        <f aca="false">IF(TRIM(K433)="","Unknown",IFERROR(INDEX(Map_Tables!$E$4:$E$15,MATCH(TRIM(K433),Map_Tables!$D$4:$D$15,0)),"CHECK"))</f>
        <v>UPI</v>
      </c>
      <c r="AG433" s="7" t="str">
        <f aca="false">IF(LEFT(LOWER(TRIM(L433)),6)="cancel","Cancelled","Delivered")</f>
        <v>Delivered</v>
      </c>
      <c r="AH433" s="10" t="n">
        <f aca="false">IF(ISNUMBER(SEARCH("/",B433)),DATE(VALUE(RIGHT(B433,4)),VALUE(MID(B433,4,2)),VALUE(LEFT(B433,2))),IF(MID(B433,5,1)="-",DATE(VALUE(LEFT(B433,4)),VALUE(MID(B433,6,2)),VALUE(RIGHT(B433,2))),DATE(VALUE(RIGHT(B433,4)),MATCH(MID(B433,4,3),{"Jan","Feb","Mar","Apr","May","Jun","Jul","Aug","Sep","Oct","Nov","Dec"},0),VALUE(LEFT(B433,2)))))</f>
        <v>45764</v>
      </c>
    </row>
    <row r="434" customFormat="false" ht="15" hidden="false" customHeight="false" outlineLevel="0" collapsed="false">
      <c r="A434" s="7" t="s">
        <v>1679</v>
      </c>
      <c r="B434" s="7" t="s">
        <v>1680</v>
      </c>
      <c r="C434" s="7" t="s">
        <v>1215</v>
      </c>
      <c r="D434" s="7" t="s">
        <v>1681</v>
      </c>
      <c r="E434" s="7" t="s">
        <v>160</v>
      </c>
      <c r="F434" s="7" t="s">
        <v>136</v>
      </c>
      <c r="G434" s="7" t="s">
        <v>150</v>
      </c>
      <c r="H434" s="7" t="n">
        <v>3</v>
      </c>
      <c r="I434" s="7" t="n">
        <v>150</v>
      </c>
      <c r="J434" s="7" t="n">
        <v>50</v>
      </c>
      <c r="K434" s="7"/>
      <c r="L434" s="7" t="s">
        <v>194</v>
      </c>
      <c r="M434" s="7" t="n">
        <v>35</v>
      </c>
      <c r="N434" s="7" t="n">
        <v>4</v>
      </c>
      <c r="O434" s="7" t="str">
        <f aca="false">A434&amp;"|"&amp;B434&amp;"|"&amp;C434&amp;"|"&amp;D434&amp;"|"&amp;E434&amp;"|"&amp;F434&amp;"|"&amp;G434&amp;"|"&amp;H434&amp;"|"&amp;I434&amp;"|"&amp;J434&amp;"|"&amp;K434&amp;"|"&amp;L434&amp;"|"&amp;M434&amp;"|"&amp;N434</f>
        <v>ORD11719|2025-08-13|21:22|C0792|Cake Walk|Pune|Desserts|3|150|50||Delivered|35|4</v>
      </c>
      <c r="P434" s="7" t="str">
        <f aca="false">IF(COUNTIF($O$2:O434,O434)&gt;1,"DUP","OK")</f>
        <v>OK</v>
      </c>
      <c r="Q434" s="7" t="n">
        <f aca="false">COUNTBLANK(A434:N434)</f>
        <v>1</v>
      </c>
      <c r="R434" s="7" t="n">
        <f aca="false">IF(A434="",0,COUNTIFS($A$2:$A$3058,A434,$P$2:$P$3058,"OK"))</f>
        <v>1</v>
      </c>
      <c r="S434" s="7" t="str">
        <f aca="false">IF(OR(A434="",P434="DUP",R434&lt;2),"",IF(Q434=_xlfn.MINIFS($Q$2:$Q$3058,$A$2:$A$3058,A434,$P$2:$P$3058,"OK"),"KEEP","DROP"))</f>
        <v/>
      </c>
      <c r="T434" s="9" t="n">
        <f aca="false">IF(A434="",1,0)</f>
        <v>0</v>
      </c>
      <c r="U434" s="9" t="n">
        <f aca="false">IF(D434="",1,0)</f>
        <v>0</v>
      </c>
      <c r="V434" s="9" t="n">
        <f aca="false">IF(E434="",1,0)</f>
        <v>0</v>
      </c>
      <c r="W434" s="9" t="n">
        <f aca="false">IF(OR(H434&lt;1,H434&gt;10),1,0)</f>
        <v>0</v>
      </c>
      <c r="X434" s="9" t="n">
        <f aca="false">IF(OR(I434&lt;=0,I434&gt;1500),1,0)</f>
        <v>0</v>
      </c>
      <c r="Y434" s="9" t="n">
        <f aca="false">IF(J434&gt;H434*I434,1,0)</f>
        <v>0</v>
      </c>
      <c r="Z434" s="9" t="n">
        <f aca="false">IF(AND(N434&lt;&gt;"",OR(N434&lt;1,N434&gt;5)),1,0)</f>
        <v>0</v>
      </c>
      <c r="AA434" s="9" t="n">
        <f aca="false">IF(AND(M434&lt;&gt;"",OR(M434&lt;5,M434&gt;180)),1,0)</f>
        <v>0</v>
      </c>
      <c r="AB434" s="7" t="str">
        <f aca="false">IF(P434="DUP","Exact duplicate row",IF(T434=1,"Missing Order ID",IF(S434="DROP","Duplicate Order ID (less complete row)",IF(U434=1,"Missing Customer ID",IF(V434=1,"Missing Restaurant name",IF(W434=1,"Invalid/outlier quantity",IF(X434=1,"Invalid/outlier unit price",IF(Y434=1,"Discount greater than order value",""))))))))</f>
        <v/>
      </c>
      <c r="AC434" s="7" t="str">
        <f aca="false">IF(AB434="","KEEP","DROP")</f>
        <v>KEEP</v>
      </c>
      <c r="AD434" s="7" t="str">
        <f aca="false">IF(TRIM(F434)="",IFERROR(INDEX(Map_Tables!$I$4:$I$37,MATCH(TRIM(E434),Map_Tables!$G$4:$G$37,0)),""),IFERROR(INDEX(Map_Tables!$B$4:$B$18,MATCH(TRIM(F434),Map_Tables!$A$4:$A$18,0)),"CHECK"))</f>
        <v>Pune</v>
      </c>
      <c r="AE434" s="7" t="str">
        <f aca="false">IF(TRIM(E434)="","",IFERROR(INDEX(Map_Tables!$H$4:$H$37,MATCH(TRIM(E434),Map_Tables!$G$4:$G$37,0)),"CHECK"))</f>
        <v>Cake Walk</v>
      </c>
      <c r="AF434" s="7" t="str">
        <f aca="false">IF(TRIM(K434)="","Unknown",IFERROR(INDEX(Map_Tables!$E$4:$E$15,MATCH(TRIM(K434),Map_Tables!$D$4:$D$15,0)),"CHECK"))</f>
        <v>Unknown</v>
      </c>
      <c r="AG434" s="7" t="str">
        <f aca="false">IF(LEFT(LOWER(TRIM(L434)),6)="cancel","Cancelled","Delivered")</f>
        <v>Delivered</v>
      </c>
      <c r="AH434" s="10" t="n">
        <f aca="false">IF(ISNUMBER(SEARCH("/",B434)),DATE(VALUE(RIGHT(B434,4)),VALUE(MID(B434,4,2)),VALUE(LEFT(B434,2))),IF(MID(B434,5,1)="-",DATE(VALUE(LEFT(B434,4)),VALUE(MID(B434,6,2)),VALUE(RIGHT(B434,2))),DATE(VALUE(RIGHT(B434,4)),MATCH(MID(B434,4,3),{"Jan","Feb","Mar","Apr","May","Jun","Jul","Aug","Sep","Oct","Nov","Dec"},0),VALUE(LEFT(B434,2)))))</f>
        <v>45882</v>
      </c>
    </row>
    <row r="435" customFormat="false" ht="15" hidden="false" customHeight="false" outlineLevel="0" collapsed="false">
      <c r="A435" s="7" t="s">
        <v>1682</v>
      </c>
      <c r="B435" s="7" t="s">
        <v>1683</v>
      </c>
      <c r="C435" s="7" t="s">
        <v>1684</v>
      </c>
      <c r="D435" s="7" t="s">
        <v>1685</v>
      </c>
      <c r="E435" s="7" t="s">
        <v>89</v>
      </c>
      <c r="F435" s="7" t="s">
        <v>86</v>
      </c>
      <c r="G435" s="7" t="s">
        <v>90</v>
      </c>
      <c r="H435" s="7" t="n">
        <v>4</v>
      </c>
      <c r="I435" s="7" t="n">
        <v>195</v>
      </c>
      <c r="J435" s="7" t="n">
        <v>0</v>
      </c>
      <c r="K435" s="7" t="s">
        <v>112</v>
      </c>
      <c r="L435" s="7" t="s">
        <v>194</v>
      </c>
      <c r="M435" s="7" t="n">
        <v>43</v>
      </c>
      <c r="N435" s="7" t="n">
        <v>4</v>
      </c>
      <c r="O435" s="7" t="str">
        <f aca="false">A435&amp;"|"&amp;B435&amp;"|"&amp;C435&amp;"|"&amp;D435&amp;"|"&amp;E435&amp;"|"&amp;F435&amp;"|"&amp;G435&amp;"|"&amp;H435&amp;"|"&amp;I435&amp;"|"&amp;J435&amp;"|"&amp;K435&amp;"|"&amp;L435&amp;"|"&amp;M435&amp;"|"&amp;N435</f>
        <v>ORD10339|15-Feb-2025|11:30|C1253|Spice Junction|Bengaluru|North Indian|4|195|0|Cash on Delivery|Delivered|43|4</v>
      </c>
      <c r="P435" s="7" t="str">
        <f aca="false">IF(COUNTIF($O$2:O435,O435)&gt;1,"DUP","OK")</f>
        <v>OK</v>
      </c>
      <c r="Q435" s="7" t="n">
        <f aca="false">COUNTBLANK(A435:N435)</f>
        <v>0</v>
      </c>
      <c r="R435" s="7" t="n">
        <f aca="false">IF(A435="",0,COUNTIFS($A$2:$A$3058,A435,$P$2:$P$3058,"OK"))</f>
        <v>1</v>
      </c>
      <c r="S435" s="7" t="str">
        <f aca="false">IF(OR(A435="",P435="DUP",R435&lt;2),"",IF(Q435=_xlfn.MINIFS($Q$2:$Q$3058,$A$2:$A$3058,A435,$P$2:$P$3058,"OK"),"KEEP","DROP"))</f>
        <v/>
      </c>
      <c r="T435" s="9" t="n">
        <f aca="false">IF(A435="",1,0)</f>
        <v>0</v>
      </c>
      <c r="U435" s="9" t="n">
        <f aca="false">IF(D435="",1,0)</f>
        <v>0</v>
      </c>
      <c r="V435" s="9" t="n">
        <f aca="false">IF(E435="",1,0)</f>
        <v>0</v>
      </c>
      <c r="W435" s="9" t="n">
        <f aca="false">IF(OR(H435&lt;1,H435&gt;10),1,0)</f>
        <v>0</v>
      </c>
      <c r="X435" s="9" t="n">
        <f aca="false">IF(OR(I435&lt;=0,I435&gt;1500),1,0)</f>
        <v>0</v>
      </c>
      <c r="Y435" s="9" t="n">
        <f aca="false">IF(J435&gt;H435*I435,1,0)</f>
        <v>0</v>
      </c>
      <c r="Z435" s="9" t="n">
        <f aca="false">IF(AND(N435&lt;&gt;"",OR(N435&lt;1,N435&gt;5)),1,0)</f>
        <v>0</v>
      </c>
      <c r="AA435" s="9" t="n">
        <f aca="false">IF(AND(M435&lt;&gt;"",OR(M435&lt;5,M435&gt;180)),1,0)</f>
        <v>0</v>
      </c>
      <c r="AB435" s="7" t="str">
        <f aca="false">IF(P435="DUP","Exact duplicate row",IF(T435=1,"Missing Order ID",IF(S435="DROP","Duplicate Order ID (less complete row)",IF(U435=1,"Missing Customer ID",IF(V435=1,"Missing Restaurant name",IF(W435=1,"Invalid/outlier quantity",IF(X435=1,"Invalid/outlier unit price",IF(Y435=1,"Discount greater than order value",""))))))))</f>
        <v/>
      </c>
      <c r="AC435" s="7" t="str">
        <f aca="false">IF(AB435="","KEEP","DROP")</f>
        <v>KEEP</v>
      </c>
      <c r="AD435" s="7" t="str">
        <f aca="false">IF(TRIM(F435)="",IFERROR(INDEX(Map_Tables!$I$4:$I$37,MATCH(TRIM(E435),Map_Tables!$G$4:$G$37,0)),""),IFERROR(INDEX(Map_Tables!$B$4:$B$18,MATCH(TRIM(F435),Map_Tables!$A$4:$A$18,0)),"CHECK"))</f>
        <v>Bengaluru</v>
      </c>
      <c r="AE435" s="7" t="str">
        <f aca="false">IF(TRIM(E435)="","",IFERROR(INDEX(Map_Tables!$H$4:$H$37,MATCH(TRIM(E435),Map_Tables!$G$4:$G$37,0)),"CHECK"))</f>
        <v>Spice Junction</v>
      </c>
      <c r="AF435" s="7" t="str">
        <f aca="false">IF(TRIM(K435)="","Unknown",IFERROR(INDEX(Map_Tables!$E$4:$E$15,MATCH(TRIM(K435),Map_Tables!$D$4:$D$15,0)),"CHECK"))</f>
        <v>Cash on Delivery</v>
      </c>
      <c r="AG435" s="7" t="str">
        <f aca="false">IF(LEFT(LOWER(TRIM(L435)),6)="cancel","Cancelled","Delivered")</f>
        <v>Delivered</v>
      </c>
      <c r="AH435" s="10" t="n">
        <f aca="false">IF(ISNUMBER(SEARCH("/",B435)),DATE(VALUE(RIGHT(B435,4)),VALUE(MID(B435,4,2)),VALUE(LEFT(B435,2))),IF(MID(B435,5,1)="-",DATE(VALUE(LEFT(B435,4)),VALUE(MID(B435,6,2)),VALUE(RIGHT(B435,2))),DATE(VALUE(RIGHT(B435,4)),MATCH(MID(B435,4,3),{"Jan","Feb","Mar","Apr","May","Jun","Jul","Aug","Sep","Oct","Nov","Dec"},0),VALUE(LEFT(B435,2)))))</f>
        <v>45703</v>
      </c>
    </row>
    <row r="436" customFormat="false" ht="15" hidden="false" customHeight="false" outlineLevel="0" collapsed="false">
      <c r="A436" s="7" t="s">
        <v>1686</v>
      </c>
      <c r="B436" s="7" t="s">
        <v>1687</v>
      </c>
      <c r="C436" s="7" t="s">
        <v>1688</v>
      </c>
      <c r="D436" s="7" t="s">
        <v>370</v>
      </c>
      <c r="E436" s="7" t="s">
        <v>116</v>
      </c>
      <c r="F436" s="7" t="s">
        <v>101</v>
      </c>
      <c r="G436" s="7" t="s">
        <v>117</v>
      </c>
      <c r="H436" s="7" t="n">
        <v>4</v>
      </c>
      <c r="I436" s="7" t="n">
        <v>125</v>
      </c>
      <c r="J436" s="7" t="n">
        <v>75</v>
      </c>
      <c r="K436" s="7" t="s">
        <v>121</v>
      </c>
      <c r="L436" s="7" t="s">
        <v>194</v>
      </c>
      <c r="M436" s="7" t="n">
        <v>42</v>
      </c>
      <c r="N436" s="7" t="n">
        <v>4</v>
      </c>
      <c r="O436" s="7" t="str">
        <f aca="false">A436&amp;"|"&amp;B436&amp;"|"&amp;C436&amp;"|"&amp;D436&amp;"|"&amp;E436&amp;"|"&amp;F436&amp;"|"&amp;G436&amp;"|"&amp;H436&amp;"|"&amp;I436&amp;"|"&amp;J436&amp;"|"&amp;K436&amp;"|"&amp;L436&amp;"|"&amp;M436&amp;"|"&amp;N436</f>
        <v>ORD10027|2025-01-04|19:44|C0092|Pav Bhaji Point|Mumbai|Street Food|4|125|75|Wallet|Delivered|42|4</v>
      </c>
      <c r="P436" s="7" t="str">
        <f aca="false">IF(COUNTIF($O$2:O436,O436)&gt;1,"DUP","OK")</f>
        <v>OK</v>
      </c>
      <c r="Q436" s="7" t="n">
        <f aca="false">COUNTBLANK(A436:N436)</f>
        <v>0</v>
      </c>
      <c r="R436" s="7" t="n">
        <f aca="false">IF(A436="",0,COUNTIFS($A$2:$A$3058,A436,$P$2:$P$3058,"OK"))</f>
        <v>1</v>
      </c>
      <c r="S436" s="7" t="str">
        <f aca="false">IF(OR(A436="",P436="DUP",R436&lt;2),"",IF(Q436=_xlfn.MINIFS($Q$2:$Q$3058,$A$2:$A$3058,A436,$P$2:$P$3058,"OK"),"KEEP","DROP"))</f>
        <v/>
      </c>
      <c r="T436" s="9" t="n">
        <f aca="false">IF(A436="",1,0)</f>
        <v>0</v>
      </c>
      <c r="U436" s="9" t="n">
        <f aca="false">IF(D436="",1,0)</f>
        <v>0</v>
      </c>
      <c r="V436" s="9" t="n">
        <f aca="false">IF(E436="",1,0)</f>
        <v>0</v>
      </c>
      <c r="W436" s="9" t="n">
        <f aca="false">IF(OR(H436&lt;1,H436&gt;10),1,0)</f>
        <v>0</v>
      </c>
      <c r="X436" s="9" t="n">
        <f aca="false">IF(OR(I436&lt;=0,I436&gt;1500),1,0)</f>
        <v>0</v>
      </c>
      <c r="Y436" s="9" t="n">
        <f aca="false">IF(J436&gt;H436*I436,1,0)</f>
        <v>0</v>
      </c>
      <c r="Z436" s="9" t="n">
        <f aca="false">IF(AND(N436&lt;&gt;"",OR(N436&lt;1,N436&gt;5)),1,0)</f>
        <v>0</v>
      </c>
      <c r="AA436" s="9" t="n">
        <f aca="false">IF(AND(M436&lt;&gt;"",OR(M436&lt;5,M436&gt;180)),1,0)</f>
        <v>0</v>
      </c>
      <c r="AB436" s="7" t="str">
        <f aca="false">IF(P436="DUP","Exact duplicate row",IF(T436=1,"Missing Order ID",IF(S436="DROP","Duplicate Order ID (less complete row)",IF(U436=1,"Missing Customer ID",IF(V436=1,"Missing Restaurant name",IF(W436=1,"Invalid/outlier quantity",IF(X436=1,"Invalid/outlier unit price",IF(Y436=1,"Discount greater than order value",""))))))))</f>
        <v/>
      </c>
      <c r="AC436" s="7" t="str">
        <f aca="false">IF(AB436="","KEEP","DROP")</f>
        <v>KEEP</v>
      </c>
      <c r="AD436" s="7" t="str">
        <f aca="false">IF(TRIM(F436)="",IFERROR(INDEX(Map_Tables!$I$4:$I$37,MATCH(TRIM(E436),Map_Tables!$G$4:$G$37,0)),""),IFERROR(INDEX(Map_Tables!$B$4:$B$18,MATCH(TRIM(F436),Map_Tables!$A$4:$A$18,0)),"CHECK"))</f>
        <v>Mumbai</v>
      </c>
      <c r="AE436" s="7" t="str">
        <f aca="false">IF(TRIM(E436)="","",IFERROR(INDEX(Map_Tables!$H$4:$H$37,MATCH(TRIM(E436),Map_Tables!$G$4:$G$37,0)),"CHECK"))</f>
        <v>Pav Bhaji Point</v>
      </c>
      <c r="AF436" s="7" t="str">
        <f aca="false">IF(TRIM(K436)="","Unknown",IFERROR(INDEX(Map_Tables!$E$4:$E$15,MATCH(TRIM(K436),Map_Tables!$D$4:$D$15,0)),"CHECK"))</f>
        <v>Wallet</v>
      </c>
      <c r="AG436" s="7" t="str">
        <f aca="false">IF(LEFT(LOWER(TRIM(L436)),6)="cancel","Cancelled","Delivered")</f>
        <v>Delivered</v>
      </c>
      <c r="AH436" s="10" t="n">
        <f aca="false">IF(ISNUMBER(SEARCH("/",B436)),DATE(VALUE(RIGHT(B436,4)),VALUE(MID(B436,4,2)),VALUE(LEFT(B436,2))),IF(MID(B436,5,1)="-",DATE(VALUE(LEFT(B436,4)),VALUE(MID(B436,6,2)),VALUE(RIGHT(B436,2))),DATE(VALUE(RIGHT(B436,4)),MATCH(MID(B436,4,3),{"Jan","Feb","Mar","Apr","May","Jun","Jul","Aug","Sep","Oct","Nov","Dec"},0),VALUE(LEFT(B436,2)))))</f>
        <v>45661</v>
      </c>
    </row>
    <row r="437" customFormat="false" ht="15" hidden="false" customHeight="false" outlineLevel="0" collapsed="false">
      <c r="A437" s="7" t="s">
        <v>1689</v>
      </c>
      <c r="B437" s="7" t="s">
        <v>1121</v>
      </c>
      <c r="C437" s="7" t="s">
        <v>952</v>
      </c>
      <c r="D437" s="7" t="s">
        <v>948</v>
      </c>
      <c r="E437" s="7" t="s">
        <v>134</v>
      </c>
      <c r="F437" s="7" t="s">
        <v>110</v>
      </c>
      <c r="G437" s="7" t="s">
        <v>117</v>
      </c>
      <c r="H437" s="7" t="n">
        <v>1</v>
      </c>
      <c r="I437" s="7" t="n">
        <v>85</v>
      </c>
      <c r="J437" s="7" t="n">
        <v>0</v>
      </c>
      <c r="K437" s="7" t="s">
        <v>121</v>
      </c>
      <c r="L437" s="7" t="s">
        <v>194</v>
      </c>
      <c r="M437" s="7" t="n">
        <v>34</v>
      </c>
      <c r="N437" s="7" t="n">
        <v>4</v>
      </c>
      <c r="O437" s="7" t="str">
        <f aca="false">A437&amp;"|"&amp;B437&amp;"|"&amp;C437&amp;"|"&amp;D437&amp;"|"&amp;E437&amp;"|"&amp;F437&amp;"|"&amp;G437&amp;"|"&amp;H437&amp;"|"&amp;I437&amp;"|"&amp;J437&amp;"|"&amp;K437&amp;"|"&amp;L437&amp;"|"&amp;M437&amp;"|"&amp;N437</f>
        <v>ORD11184|2025-05-31|10:48|C0622|Chaat Corner|Delhi|Street Food|1|85|0|Wallet|Delivered|34|4</v>
      </c>
      <c r="P437" s="7" t="str">
        <f aca="false">IF(COUNTIF($O$2:O437,O437)&gt;1,"DUP","OK")</f>
        <v>OK</v>
      </c>
      <c r="Q437" s="7" t="n">
        <f aca="false">COUNTBLANK(A437:N437)</f>
        <v>0</v>
      </c>
      <c r="R437" s="7" t="n">
        <f aca="false">IF(A437="",0,COUNTIFS($A$2:$A$3058,A437,$P$2:$P$3058,"OK"))</f>
        <v>1</v>
      </c>
      <c r="S437" s="7" t="str">
        <f aca="false">IF(OR(A437="",P437="DUP",R437&lt;2),"",IF(Q437=_xlfn.MINIFS($Q$2:$Q$3058,$A$2:$A$3058,A437,$P$2:$P$3058,"OK"),"KEEP","DROP"))</f>
        <v/>
      </c>
      <c r="T437" s="9" t="n">
        <f aca="false">IF(A437="",1,0)</f>
        <v>0</v>
      </c>
      <c r="U437" s="9" t="n">
        <f aca="false">IF(D437="",1,0)</f>
        <v>0</v>
      </c>
      <c r="V437" s="9" t="n">
        <f aca="false">IF(E437="",1,0)</f>
        <v>0</v>
      </c>
      <c r="W437" s="9" t="n">
        <f aca="false">IF(OR(H437&lt;1,H437&gt;10),1,0)</f>
        <v>0</v>
      </c>
      <c r="X437" s="9" t="n">
        <f aca="false">IF(OR(I437&lt;=0,I437&gt;1500),1,0)</f>
        <v>0</v>
      </c>
      <c r="Y437" s="9" t="n">
        <f aca="false">IF(J437&gt;H437*I437,1,0)</f>
        <v>0</v>
      </c>
      <c r="Z437" s="9" t="n">
        <f aca="false">IF(AND(N437&lt;&gt;"",OR(N437&lt;1,N437&gt;5)),1,0)</f>
        <v>0</v>
      </c>
      <c r="AA437" s="9" t="n">
        <f aca="false">IF(AND(M437&lt;&gt;"",OR(M437&lt;5,M437&gt;180)),1,0)</f>
        <v>0</v>
      </c>
      <c r="AB437" s="7" t="str">
        <f aca="false">IF(P437="DUP","Exact duplicate row",IF(T437=1,"Missing Order ID",IF(S437="DROP","Duplicate Order ID (less complete row)",IF(U437=1,"Missing Customer ID",IF(V437=1,"Missing Restaurant name",IF(W437=1,"Invalid/outlier quantity",IF(X437=1,"Invalid/outlier unit price",IF(Y437=1,"Discount greater than order value",""))))))))</f>
        <v/>
      </c>
      <c r="AC437" s="7" t="str">
        <f aca="false">IF(AB437="","KEEP","DROP")</f>
        <v>KEEP</v>
      </c>
      <c r="AD437" s="7" t="str">
        <f aca="false">IF(TRIM(F437)="",IFERROR(INDEX(Map_Tables!$I$4:$I$37,MATCH(TRIM(E437),Map_Tables!$G$4:$G$37,0)),""),IFERROR(INDEX(Map_Tables!$B$4:$B$18,MATCH(TRIM(F437),Map_Tables!$A$4:$A$18,0)),"CHECK"))</f>
        <v>Delhi</v>
      </c>
      <c r="AE437" s="7" t="str">
        <f aca="false">IF(TRIM(E437)="","",IFERROR(INDEX(Map_Tables!$H$4:$H$37,MATCH(TRIM(E437),Map_Tables!$G$4:$G$37,0)),"CHECK"))</f>
        <v>Chaat Corner</v>
      </c>
      <c r="AF437" s="7" t="str">
        <f aca="false">IF(TRIM(K437)="","Unknown",IFERROR(INDEX(Map_Tables!$E$4:$E$15,MATCH(TRIM(K437),Map_Tables!$D$4:$D$15,0)),"CHECK"))</f>
        <v>Wallet</v>
      </c>
      <c r="AG437" s="7" t="str">
        <f aca="false">IF(LEFT(LOWER(TRIM(L437)),6)="cancel","Cancelled","Delivered")</f>
        <v>Delivered</v>
      </c>
      <c r="AH437" s="10" t="n">
        <f aca="false">IF(ISNUMBER(SEARCH("/",B437)),DATE(VALUE(RIGHT(B437,4)),VALUE(MID(B437,4,2)),VALUE(LEFT(B437,2))),IF(MID(B437,5,1)="-",DATE(VALUE(LEFT(B437,4)),VALUE(MID(B437,6,2)),VALUE(RIGHT(B437,2))),DATE(VALUE(RIGHT(B437,4)),MATCH(MID(B437,4,3),{"Jan","Feb","Mar","Apr","May","Jun","Jul","Aug","Sep","Oct","Nov","Dec"},0),VALUE(LEFT(B437,2)))))</f>
        <v>45808</v>
      </c>
    </row>
    <row r="438" customFormat="false" ht="15" hidden="false" customHeight="false" outlineLevel="0" collapsed="false">
      <c r="A438" s="7" t="s">
        <v>1690</v>
      </c>
      <c r="B438" s="7" t="s">
        <v>1691</v>
      </c>
      <c r="C438" s="7" t="s">
        <v>1692</v>
      </c>
      <c r="D438" s="7" t="s">
        <v>662</v>
      </c>
      <c r="E438" s="7" t="s">
        <v>134</v>
      </c>
      <c r="F438" s="7" t="s">
        <v>110</v>
      </c>
      <c r="G438" s="7" t="s">
        <v>117</v>
      </c>
      <c r="H438" s="7" t="n">
        <v>1</v>
      </c>
      <c r="I438" s="7" t="n">
        <v>95</v>
      </c>
      <c r="J438" s="7" t="n">
        <v>30</v>
      </c>
      <c r="K438" s="7" t="s">
        <v>88</v>
      </c>
      <c r="L438" s="7" t="s">
        <v>194</v>
      </c>
      <c r="M438" s="7" t="n">
        <v>42</v>
      </c>
      <c r="N438" s="7"/>
      <c r="O438" s="7" t="str">
        <f aca="false">A438&amp;"|"&amp;B438&amp;"|"&amp;C438&amp;"|"&amp;D438&amp;"|"&amp;E438&amp;"|"&amp;F438&amp;"|"&amp;G438&amp;"|"&amp;H438&amp;"|"&amp;I438&amp;"|"&amp;J438&amp;"|"&amp;K438&amp;"|"&amp;L438&amp;"|"&amp;M438&amp;"|"&amp;N438</f>
        <v>ORD11684|08/08/2025|12:03|C0894|Chaat Corner|Delhi|Street Food|1|95|30|UPI|Delivered|42|</v>
      </c>
      <c r="P438" s="7" t="str">
        <f aca="false">IF(COUNTIF($O$2:O438,O438)&gt;1,"DUP","OK")</f>
        <v>OK</v>
      </c>
      <c r="Q438" s="7" t="n">
        <f aca="false">COUNTBLANK(A438:N438)</f>
        <v>1</v>
      </c>
      <c r="R438" s="7" t="n">
        <f aca="false">IF(A438="",0,COUNTIFS($A$2:$A$3058,A438,$P$2:$P$3058,"OK"))</f>
        <v>1</v>
      </c>
      <c r="S438" s="7" t="str">
        <f aca="false">IF(OR(A438="",P438="DUP",R438&lt;2),"",IF(Q438=_xlfn.MINIFS($Q$2:$Q$3058,$A$2:$A$3058,A438,$P$2:$P$3058,"OK"),"KEEP","DROP"))</f>
        <v/>
      </c>
      <c r="T438" s="9" t="n">
        <f aca="false">IF(A438="",1,0)</f>
        <v>0</v>
      </c>
      <c r="U438" s="9" t="n">
        <f aca="false">IF(D438="",1,0)</f>
        <v>0</v>
      </c>
      <c r="V438" s="9" t="n">
        <f aca="false">IF(E438="",1,0)</f>
        <v>0</v>
      </c>
      <c r="W438" s="9" t="n">
        <f aca="false">IF(OR(H438&lt;1,H438&gt;10),1,0)</f>
        <v>0</v>
      </c>
      <c r="X438" s="9" t="n">
        <f aca="false">IF(OR(I438&lt;=0,I438&gt;1500),1,0)</f>
        <v>0</v>
      </c>
      <c r="Y438" s="9" t="n">
        <f aca="false">IF(J438&gt;H438*I438,1,0)</f>
        <v>0</v>
      </c>
      <c r="Z438" s="9" t="n">
        <f aca="false">IF(AND(N438&lt;&gt;"",OR(N438&lt;1,N438&gt;5)),1,0)</f>
        <v>0</v>
      </c>
      <c r="AA438" s="9" t="n">
        <f aca="false">IF(AND(M438&lt;&gt;"",OR(M438&lt;5,M438&gt;180)),1,0)</f>
        <v>0</v>
      </c>
      <c r="AB438" s="7" t="str">
        <f aca="false">IF(P438="DUP","Exact duplicate row",IF(T438=1,"Missing Order ID",IF(S438="DROP","Duplicate Order ID (less complete row)",IF(U438=1,"Missing Customer ID",IF(V438=1,"Missing Restaurant name",IF(W438=1,"Invalid/outlier quantity",IF(X438=1,"Invalid/outlier unit price",IF(Y438=1,"Discount greater than order value",""))))))))</f>
        <v/>
      </c>
      <c r="AC438" s="7" t="str">
        <f aca="false">IF(AB438="","KEEP","DROP")</f>
        <v>KEEP</v>
      </c>
      <c r="AD438" s="7" t="str">
        <f aca="false">IF(TRIM(F438)="",IFERROR(INDEX(Map_Tables!$I$4:$I$37,MATCH(TRIM(E438),Map_Tables!$G$4:$G$37,0)),""),IFERROR(INDEX(Map_Tables!$B$4:$B$18,MATCH(TRIM(F438),Map_Tables!$A$4:$A$18,0)),"CHECK"))</f>
        <v>Delhi</v>
      </c>
      <c r="AE438" s="7" t="str">
        <f aca="false">IF(TRIM(E438)="","",IFERROR(INDEX(Map_Tables!$H$4:$H$37,MATCH(TRIM(E438),Map_Tables!$G$4:$G$37,0)),"CHECK"))</f>
        <v>Chaat Corner</v>
      </c>
      <c r="AF438" s="7" t="str">
        <f aca="false">IF(TRIM(K438)="","Unknown",IFERROR(INDEX(Map_Tables!$E$4:$E$15,MATCH(TRIM(K438),Map_Tables!$D$4:$D$15,0)),"CHECK"))</f>
        <v>UPI</v>
      </c>
      <c r="AG438" s="7" t="str">
        <f aca="false">IF(LEFT(LOWER(TRIM(L438)),6)="cancel","Cancelled","Delivered")</f>
        <v>Delivered</v>
      </c>
      <c r="AH438" s="10" t="n">
        <f aca="false">IF(ISNUMBER(SEARCH("/",B438)),DATE(VALUE(RIGHT(B438,4)),VALUE(MID(B438,4,2)),VALUE(LEFT(B438,2))),IF(MID(B438,5,1)="-",DATE(VALUE(LEFT(B438,4)),VALUE(MID(B438,6,2)),VALUE(RIGHT(B438,2))),DATE(VALUE(RIGHT(B438,4)),MATCH(MID(B438,4,3),{"Jan","Feb","Mar","Apr","May","Jun","Jul","Aug","Sep","Oct","Nov","Dec"},0),VALUE(LEFT(B438,2)))))</f>
        <v>45877</v>
      </c>
    </row>
    <row r="439" customFormat="false" ht="15" hidden="false" customHeight="false" outlineLevel="0" collapsed="false">
      <c r="A439" s="7" t="s">
        <v>1693</v>
      </c>
      <c r="B439" s="7" t="s">
        <v>1687</v>
      </c>
      <c r="C439" s="7" t="s">
        <v>1694</v>
      </c>
      <c r="D439" s="7" t="s">
        <v>1695</v>
      </c>
      <c r="E439" s="7" t="s">
        <v>89</v>
      </c>
      <c r="F439" s="7" t="s">
        <v>86</v>
      </c>
      <c r="G439" s="7" t="s">
        <v>90</v>
      </c>
      <c r="H439" s="7" t="n">
        <v>3</v>
      </c>
      <c r="I439" s="7" t="n">
        <v>245</v>
      </c>
      <c r="J439" s="7" t="n">
        <v>150</v>
      </c>
      <c r="K439" s="7" t="s">
        <v>229</v>
      </c>
      <c r="L439" s="7" t="s">
        <v>194</v>
      </c>
      <c r="M439" s="7" t="n">
        <v>37</v>
      </c>
      <c r="N439" s="7" t="n">
        <v>3</v>
      </c>
      <c r="O439" s="7" t="str">
        <f aca="false">A439&amp;"|"&amp;B439&amp;"|"&amp;C439&amp;"|"&amp;D439&amp;"|"&amp;E439&amp;"|"&amp;F439&amp;"|"&amp;G439&amp;"|"&amp;H439&amp;"|"&amp;I439&amp;"|"&amp;J439&amp;"|"&amp;K439&amp;"|"&amp;L439&amp;"|"&amp;M439&amp;"|"&amp;N439</f>
        <v>ORD10025|2025-01-04|17:51|C1456|Spice Junction|Bengaluru|North Indian|3|245|150|Upi|Delivered|37|3</v>
      </c>
      <c r="P439" s="7" t="str">
        <f aca="false">IF(COUNTIF($O$2:O439,O439)&gt;1,"DUP","OK")</f>
        <v>OK</v>
      </c>
      <c r="Q439" s="7" t="n">
        <f aca="false">COUNTBLANK(A439:N439)</f>
        <v>0</v>
      </c>
      <c r="R439" s="7" t="n">
        <f aca="false">IF(A439="",0,COUNTIFS($A$2:$A$3058,A439,$P$2:$P$3058,"OK"))</f>
        <v>1</v>
      </c>
      <c r="S439" s="7" t="str">
        <f aca="false">IF(OR(A439="",P439="DUP",R439&lt;2),"",IF(Q439=_xlfn.MINIFS($Q$2:$Q$3058,$A$2:$A$3058,A439,$P$2:$P$3058,"OK"),"KEEP","DROP"))</f>
        <v/>
      </c>
      <c r="T439" s="9" t="n">
        <f aca="false">IF(A439="",1,0)</f>
        <v>0</v>
      </c>
      <c r="U439" s="9" t="n">
        <f aca="false">IF(D439="",1,0)</f>
        <v>0</v>
      </c>
      <c r="V439" s="9" t="n">
        <f aca="false">IF(E439="",1,0)</f>
        <v>0</v>
      </c>
      <c r="W439" s="9" t="n">
        <f aca="false">IF(OR(H439&lt;1,H439&gt;10),1,0)</f>
        <v>0</v>
      </c>
      <c r="X439" s="9" t="n">
        <f aca="false">IF(OR(I439&lt;=0,I439&gt;1500),1,0)</f>
        <v>0</v>
      </c>
      <c r="Y439" s="9" t="n">
        <f aca="false">IF(J439&gt;H439*I439,1,0)</f>
        <v>0</v>
      </c>
      <c r="Z439" s="9" t="n">
        <f aca="false">IF(AND(N439&lt;&gt;"",OR(N439&lt;1,N439&gt;5)),1,0)</f>
        <v>0</v>
      </c>
      <c r="AA439" s="9" t="n">
        <f aca="false">IF(AND(M439&lt;&gt;"",OR(M439&lt;5,M439&gt;180)),1,0)</f>
        <v>0</v>
      </c>
      <c r="AB439" s="7" t="str">
        <f aca="false">IF(P439="DUP","Exact duplicate row",IF(T439=1,"Missing Order ID",IF(S439="DROP","Duplicate Order ID (less complete row)",IF(U439=1,"Missing Customer ID",IF(V439=1,"Missing Restaurant name",IF(W439=1,"Invalid/outlier quantity",IF(X439=1,"Invalid/outlier unit price",IF(Y439=1,"Discount greater than order value",""))))))))</f>
        <v/>
      </c>
      <c r="AC439" s="7" t="str">
        <f aca="false">IF(AB439="","KEEP","DROP")</f>
        <v>KEEP</v>
      </c>
      <c r="AD439" s="7" t="str">
        <f aca="false">IF(TRIM(F439)="",IFERROR(INDEX(Map_Tables!$I$4:$I$37,MATCH(TRIM(E439),Map_Tables!$G$4:$G$37,0)),""),IFERROR(INDEX(Map_Tables!$B$4:$B$18,MATCH(TRIM(F439),Map_Tables!$A$4:$A$18,0)),"CHECK"))</f>
        <v>Bengaluru</v>
      </c>
      <c r="AE439" s="7" t="str">
        <f aca="false">IF(TRIM(E439)="","",IFERROR(INDEX(Map_Tables!$H$4:$H$37,MATCH(TRIM(E439),Map_Tables!$G$4:$G$37,0)),"CHECK"))</f>
        <v>Spice Junction</v>
      </c>
      <c r="AF439" s="7" t="str">
        <f aca="false">IF(TRIM(K439)="","Unknown",IFERROR(INDEX(Map_Tables!$E$4:$E$15,MATCH(TRIM(K439),Map_Tables!$D$4:$D$15,0)),"CHECK"))</f>
        <v>UPI</v>
      </c>
      <c r="AG439" s="7" t="str">
        <f aca="false">IF(LEFT(LOWER(TRIM(L439)),6)="cancel","Cancelled","Delivered")</f>
        <v>Delivered</v>
      </c>
      <c r="AH439" s="10" t="n">
        <f aca="false">IF(ISNUMBER(SEARCH("/",B439)),DATE(VALUE(RIGHT(B439,4)),VALUE(MID(B439,4,2)),VALUE(LEFT(B439,2))),IF(MID(B439,5,1)="-",DATE(VALUE(LEFT(B439,4)),VALUE(MID(B439,6,2)),VALUE(RIGHT(B439,2))),DATE(VALUE(RIGHT(B439,4)),MATCH(MID(B439,4,3),{"Jan","Feb","Mar","Apr","May","Jun","Jul","Aug","Sep","Oct","Nov","Dec"},0),VALUE(LEFT(B439,2)))))</f>
        <v>45661</v>
      </c>
    </row>
    <row r="440" customFormat="false" ht="15" hidden="false" customHeight="false" outlineLevel="0" collapsed="false">
      <c r="A440" s="7" t="s">
        <v>1696</v>
      </c>
      <c r="B440" s="7" t="s">
        <v>518</v>
      </c>
      <c r="C440" s="7" t="s">
        <v>1414</v>
      </c>
      <c r="D440" s="7" t="s">
        <v>1148</v>
      </c>
      <c r="E440" s="7" t="s">
        <v>138</v>
      </c>
      <c r="F440" s="7" t="s">
        <v>110</v>
      </c>
      <c r="G440" s="7" t="s">
        <v>139</v>
      </c>
      <c r="H440" s="7" t="n">
        <v>3</v>
      </c>
      <c r="I440" s="7" t="n">
        <v>255</v>
      </c>
      <c r="J440" s="7" t="n">
        <v>40</v>
      </c>
      <c r="K440" s="7" t="s">
        <v>298</v>
      </c>
      <c r="L440" s="7" t="s">
        <v>194</v>
      </c>
      <c r="M440" s="7" t="n">
        <v>45</v>
      </c>
      <c r="N440" s="7" t="n">
        <v>3</v>
      </c>
      <c r="O440" s="7" t="str">
        <f aca="false">A440&amp;"|"&amp;B440&amp;"|"&amp;C440&amp;"|"&amp;D440&amp;"|"&amp;E440&amp;"|"&amp;F440&amp;"|"&amp;G440&amp;"|"&amp;H440&amp;"|"&amp;I440&amp;"|"&amp;J440&amp;"|"&amp;K440&amp;"|"&amp;L440&amp;"|"&amp;M440&amp;"|"&amp;N440</f>
        <v>ORD11460|2025-07-09|19:24|C0341|Burger Barn|Delhi|Burgers|3|255|40|Cash On Delivery|Delivered|45|3</v>
      </c>
      <c r="P440" s="7" t="str">
        <f aca="false">IF(COUNTIF($O$2:O440,O440)&gt;1,"DUP","OK")</f>
        <v>OK</v>
      </c>
      <c r="Q440" s="7" t="n">
        <f aca="false">COUNTBLANK(A440:N440)</f>
        <v>0</v>
      </c>
      <c r="R440" s="7" t="n">
        <f aca="false">IF(A440="",0,COUNTIFS($A$2:$A$3058,A440,$P$2:$P$3058,"OK"))</f>
        <v>1</v>
      </c>
      <c r="S440" s="7" t="str">
        <f aca="false">IF(OR(A440="",P440="DUP",R440&lt;2),"",IF(Q440=_xlfn.MINIFS($Q$2:$Q$3058,$A$2:$A$3058,A440,$P$2:$P$3058,"OK"),"KEEP","DROP"))</f>
        <v/>
      </c>
      <c r="T440" s="9" t="n">
        <f aca="false">IF(A440="",1,0)</f>
        <v>0</v>
      </c>
      <c r="U440" s="9" t="n">
        <f aca="false">IF(D440="",1,0)</f>
        <v>0</v>
      </c>
      <c r="V440" s="9" t="n">
        <f aca="false">IF(E440="",1,0)</f>
        <v>0</v>
      </c>
      <c r="W440" s="9" t="n">
        <f aca="false">IF(OR(H440&lt;1,H440&gt;10),1,0)</f>
        <v>0</v>
      </c>
      <c r="X440" s="9" t="n">
        <f aca="false">IF(OR(I440&lt;=0,I440&gt;1500),1,0)</f>
        <v>0</v>
      </c>
      <c r="Y440" s="9" t="n">
        <f aca="false">IF(J440&gt;H440*I440,1,0)</f>
        <v>0</v>
      </c>
      <c r="Z440" s="9" t="n">
        <f aca="false">IF(AND(N440&lt;&gt;"",OR(N440&lt;1,N440&gt;5)),1,0)</f>
        <v>0</v>
      </c>
      <c r="AA440" s="9" t="n">
        <f aca="false">IF(AND(M440&lt;&gt;"",OR(M440&lt;5,M440&gt;180)),1,0)</f>
        <v>0</v>
      </c>
      <c r="AB440" s="7" t="str">
        <f aca="false">IF(P440="DUP","Exact duplicate row",IF(T440=1,"Missing Order ID",IF(S440="DROP","Duplicate Order ID (less complete row)",IF(U440=1,"Missing Customer ID",IF(V440=1,"Missing Restaurant name",IF(W440=1,"Invalid/outlier quantity",IF(X440=1,"Invalid/outlier unit price",IF(Y440=1,"Discount greater than order value",""))))))))</f>
        <v/>
      </c>
      <c r="AC440" s="7" t="str">
        <f aca="false">IF(AB440="","KEEP","DROP")</f>
        <v>KEEP</v>
      </c>
      <c r="AD440" s="7" t="str">
        <f aca="false">IF(TRIM(F440)="",IFERROR(INDEX(Map_Tables!$I$4:$I$37,MATCH(TRIM(E440),Map_Tables!$G$4:$G$37,0)),""),IFERROR(INDEX(Map_Tables!$B$4:$B$18,MATCH(TRIM(F440),Map_Tables!$A$4:$A$18,0)),"CHECK"))</f>
        <v>Delhi</v>
      </c>
      <c r="AE440" s="7" t="str">
        <f aca="false">IF(TRIM(E440)="","",IFERROR(INDEX(Map_Tables!$H$4:$H$37,MATCH(TRIM(E440),Map_Tables!$G$4:$G$37,0)),"CHECK"))</f>
        <v>Burger Barn</v>
      </c>
      <c r="AF440" s="7" t="str">
        <f aca="false">IF(TRIM(K440)="","Unknown",IFERROR(INDEX(Map_Tables!$E$4:$E$15,MATCH(TRIM(K440),Map_Tables!$D$4:$D$15,0)),"CHECK"))</f>
        <v>Cash on Delivery</v>
      </c>
      <c r="AG440" s="7" t="str">
        <f aca="false">IF(LEFT(LOWER(TRIM(L440)),6)="cancel","Cancelled","Delivered")</f>
        <v>Delivered</v>
      </c>
      <c r="AH440" s="10" t="n">
        <f aca="false">IF(ISNUMBER(SEARCH("/",B440)),DATE(VALUE(RIGHT(B440,4)),VALUE(MID(B440,4,2)),VALUE(LEFT(B440,2))),IF(MID(B440,5,1)="-",DATE(VALUE(LEFT(B440,4)),VALUE(MID(B440,6,2)),VALUE(RIGHT(B440,2))),DATE(VALUE(RIGHT(B440,4)),MATCH(MID(B440,4,3),{"Jan","Feb","Mar","Apr","May","Jun","Jul","Aug","Sep","Oct","Nov","Dec"},0),VALUE(LEFT(B440,2)))))</f>
        <v>45847</v>
      </c>
    </row>
    <row r="441" customFormat="false" ht="15" hidden="false" customHeight="false" outlineLevel="0" collapsed="false">
      <c r="A441" s="7" t="s">
        <v>1697</v>
      </c>
      <c r="B441" s="7" t="s">
        <v>1698</v>
      </c>
      <c r="C441" s="7" t="s">
        <v>1699</v>
      </c>
      <c r="D441" s="7" t="s">
        <v>1039</v>
      </c>
      <c r="E441" s="7" t="s">
        <v>167</v>
      </c>
      <c r="F441" s="7" t="s">
        <v>146</v>
      </c>
      <c r="G441" s="7" t="s">
        <v>156</v>
      </c>
      <c r="H441" s="7" t="n">
        <v>2</v>
      </c>
      <c r="I441" s="7" t="n">
        <v>260</v>
      </c>
      <c r="J441" s="7" t="n">
        <v>0</v>
      </c>
      <c r="K441" s="7" t="s">
        <v>112</v>
      </c>
      <c r="L441" s="7" t="s">
        <v>194</v>
      </c>
      <c r="M441" s="7" t="n">
        <v>16</v>
      </c>
      <c r="N441" s="7" t="n">
        <v>2</v>
      </c>
      <c r="O441" s="7" t="str">
        <f aca="false">A441&amp;"|"&amp;B441&amp;"|"&amp;C441&amp;"|"&amp;D441&amp;"|"&amp;E441&amp;"|"&amp;F441&amp;"|"&amp;G441&amp;"|"&amp;H441&amp;"|"&amp;I441&amp;"|"&amp;J441&amp;"|"&amp;K441&amp;"|"&amp;L441&amp;"|"&amp;M441&amp;"|"&amp;N441</f>
        <v>ORD12179|2025-10-05|08:11|C0107|Fit Fuel Kitchen|Ahmedabad|Healthy Food|2|260|0|Cash on Delivery|Delivered|16|2</v>
      </c>
      <c r="P441" s="7" t="str">
        <f aca="false">IF(COUNTIF($O$2:O441,O441)&gt;1,"DUP","OK")</f>
        <v>OK</v>
      </c>
      <c r="Q441" s="7" t="n">
        <f aca="false">COUNTBLANK(A441:N441)</f>
        <v>0</v>
      </c>
      <c r="R441" s="7" t="n">
        <f aca="false">IF(A441="",0,COUNTIFS($A$2:$A$3058,A441,$P$2:$P$3058,"OK"))</f>
        <v>1</v>
      </c>
      <c r="S441" s="7" t="str">
        <f aca="false">IF(OR(A441="",P441="DUP",R441&lt;2),"",IF(Q441=_xlfn.MINIFS($Q$2:$Q$3058,$A$2:$A$3058,A441,$P$2:$P$3058,"OK"),"KEEP","DROP"))</f>
        <v/>
      </c>
      <c r="T441" s="9" t="n">
        <f aca="false">IF(A441="",1,0)</f>
        <v>0</v>
      </c>
      <c r="U441" s="9" t="n">
        <f aca="false">IF(D441="",1,0)</f>
        <v>0</v>
      </c>
      <c r="V441" s="9" t="n">
        <f aca="false">IF(E441="",1,0)</f>
        <v>0</v>
      </c>
      <c r="W441" s="9" t="n">
        <f aca="false">IF(OR(H441&lt;1,H441&gt;10),1,0)</f>
        <v>0</v>
      </c>
      <c r="X441" s="9" t="n">
        <f aca="false">IF(OR(I441&lt;=0,I441&gt;1500),1,0)</f>
        <v>0</v>
      </c>
      <c r="Y441" s="9" t="n">
        <f aca="false">IF(J441&gt;H441*I441,1,0)</f>
        <v>0</v>
      </c>
      <c r="Z441" s="9" t="n">
        <f aca="false">IF(AND(N441&lt;&gt;"",OR(N441&lt;1,N441&gt;5)),1,0)</f>
        <v>0</v>
      </c>
      <c r="AA441" s="9" t="n">
        <f aca="false">IF(AND(M441&lt;&gt;"",OR(M441&lt;5,M441&gt;180)),1,0)</f>
        <v>0</v>
      </c>
      <c r="AB441" s="7" t="str">
        <f aca="false">IF(P441="DUP","Exact duplicate row",IF(T441=1,"Missing Order ID",IF(S441="DROP","Duplicate Order ID (less complete row)",IF(U441=1,"Missing Customer ID",IF(V441=1,"Missing Restaurant name",IF(W441=1,"Invalid/outlier quantity",IF(X441=1,"Invalid/outlier unit price",IF(Y441=1,"Discount greater than order value",""))))))))</f>
        <v/>
      </c>
      <c r="AC441" s="7" t="str">
        <f aca="false">IF(AB441="","KEEP","DROP")</f>
        <v>KEEP</v>
      </c>
      <c r="AD441" s="7" t="str">
        <f aca="false">IF(TRIM(F441)="",IFERROR(INDEX(Map_Tables!$I$4:$I$37,MATCH(TRIM(E441),Map_Tables!$G$4:$G$37,0)),""),IFERROR(INDEX(Map_Tables!$B$4:$B$18,MATCH(TRIM(F441),Map_Tables!$A$4:$A$18,0)),"CHECK"))</f>
        <v>Ahmedabad</v>
      </c>
      <c r="AE441" s="7" t="str">
        <f aca="false">IF(TRIM(E441)="","",IFERROR(INDEX(Map_Tables!$H$4:$H$37,MATCH(TRIM(E441),Map_Tables!$G$4:$G$37,0)),"CHECK"))</f>
        <v>Fit Fuel Kitchen</v>
      </c>
      <c r="AF441" s="7" t="str">
        <f aca="false">IF(TRIM(K441)="","Unknown",IFERROR(INDEX(Map_Tables!$E$4:$E$15,MATCH(TRIM(K441),Map_Tables!$D$4:$D$15,0)),"CHECK"))</f>
        <v>Cash on Delivery</v>
      </c>
      <c r="AG441" s="7" t="str">
        <f aca="false">IF(LEFT(LOWER(TRIM(L441)),6)="cancel","Cancelled","Delivered")</f>
        <v>Delivered</v>
      </c>
      <c r="AH441" s="10" t="n">
        <f aca="false">IF(ISNUMBER(SEARCH("/",B441)),DATE(VALUE(RIGHT(B441,4)),VALUE(MID(B441,4,2)),VALUE(LEFT(B441,2))),IF(MID(B441,5,1)="-",DATE(VALUE(LEFT(B441,4)),VALUE(MID(B441,6,2)),VALUE(RIGHT(B441,2))),DATE(VALUE(RIGHT(B441,4)),MATCH(MID(B441,4,3),{"Jan","Feb","Mar","Apr","May","Jun","Jul","Aug","Sep","Oct","Nov","Dec"},0),VALUE(LEFT(B441,2)))))</f>
        <v>45935</v>
      </c>
    </row>
    <row r="442" customFormat="false" ht="15" hidden="false" customHeight="false" outlineLevel="0" collapsed="false">
      <c r="A442" s="7" t="s">
        <v>1700</v>
      </c>
      <c r="B442" s="7" t="s">
        <v>1623</v>
      </c>
      <c r="C442" s="7" t="s">
        <v>559</v>
      </c>
      <c r="D442" s="7" t="s">
        <v>277</v>
      </c>
      <c r="E442" s="7" t="s">
        <v>113</v>
      </c>
      <c r="F442" s="7" t="s">
        <v>101</v>
      </c>
      <c r="G442" s="7" t="s">
        <v>90</v>
      </c>
      <c r="H442" s="7" t="n">
        <v>2</v>
      </c>
      <c r="I442" s="7" t="n">
        <v>280</v>
      </c>
      <c r="J442" s="7" t="n">
        <v>0</v>
      </c>
      <c r="K442" s="7" t="s">
        <v>88</v>
      </c>
      <c r="L442" s="7" t="s">
        <v>194</v>
      </c>
      <c r="M442" s="7" t="n">
        <v>47</v>
      </c>
      <c r="N442" s="7" t="n">
        <v>4</v>
      </c>
      <c r="O442" s="7" t="str">
        <f aca="false">A442&amp;"|"&amp;B442&amp;"|"&amp;C442&amp;"|"&amp;D442&amp;"|"&amp;E442&amp;"|"&amp;F442&amp;"|"&amp;G442&amp;"|"&amp;H442&amp;"|"&amp;I442&amp;"|"&amp;J442&amp;"|"&amp;K442&amp;"|"&amp;L442&amp;"|"&amp;M442&amp;"|"&amp;N442</f>
        <v>ORD12388|2025-10-28|20:25|C0365|Curry Leaf Kitchen|Mumbai|North Indian|2|280|0|UPI|Delivered|47|4</v>
      </c>
      <c r="P442" s="7" t="str">
        <f aca="false">IF(COUNTIF($O$2:O442,O442)&gt;1,"DUP","OK")</f>
        <v>OK</v>
      </c>
      <c r="Q442" s="7" t="n">
        <f aca="false">COUNTBLANK(A442:N442)</f>
        <v>0</v>
      </c>
      <c r="R442" s="7" t="n">
        <f aca="false">IF(A442="",0,COUNTIFS($A$2:$A$3058,A442,$P$2:$P$3058,"OK"))</f>
        <v>1</v>
      </c>
      <c r="S442" s="7" t="str">
        <f aca="false">IF(OR(A442="",P442="DUP",R442&lt;2),"",IF(Q442=_xlfn.MINIFS($Q$2:$Q$3058,$A$2:$A$3058,A442,$P$2:$P$3058,"OK"),"KEEP","DROP"))</f>
        <v/>
      </c>
      <c r="T442" s="9" t="n">
        <f aca="false">IF(A442="",1,0)</f>
        <v>0</v>
      </c>
      <c r="U442" s="9" t="n">
        <f aca="false">IF(D442="",1,0)</f>
        <v>0</v>
      </c>
      <c r="V442" s="9" t="n">
        <f aca="false">IF(E442="",1,0)</f>
        <v>0</v>
      </c>
      <c r="W442" s="9" t="n">
        <f aca="false">IF(OR(H442&lt;1,H442&gt;10),1,0)</f>
        <v>0</v>
      </c>
      <c r="X442" s="9" t="n">
        <f aca="false">IF(OR(I442&lt;=0,I442&gt;1500),1,0)</f>
        <v>0</v>
      </c>
      <c r="Y442" s="9" t="n">
        <f aca="false">IF(J442&gt;H442*I442,1,0)</f>
        <v>0</v>
      </c>
      <c r="Z442" s="9" t="n">
        <f aca="false">IF(AND(N442&lt;&gt;"",OR(N442&lt;1,N442&gt;5)),1,0)</f>
        <v>0</v>
      </c>
      <c r="AA442" s="9" t="n">
        <f aca="false">IF(AND(M442&lt;&gt;"",OR(M442&lt;5,M442&gt;180)),1,0)</f>
        <v>0</v>
      </c>
      <c r="AB442" s="7" t="str">
        <f aca="false">IF(P442="DUP","Exact duplicate row",IF(T442=1,"Missing Order ID",IF(S442="DROP","Duplicate Order ID (less complete row)",IF(U442=1,"Missing Customer ID",IF(V442=1,"Missing Restaurant name",IF(W442=1,"Invalid/outlier quantity",IF(X442=1,"Invalid/outlier unit price",IF(Y442=1,"Discount greater than order value",""))))))))</f>
        <v/>
      </c>
      <c r="AC442" s="7" t="str">
        <f aca="false">IF(AB442="","KEEP","DROP")</f>
        <v>KEEP</v>
      </c>
      <c r="AD442" s="7" t="str">
        <f aca="false">IF(TRIM(F442)="",IFERROR(INDEX(Map_Tables!$I$4:$I$37,MATCH(TRIM(E442),Map_Tables!$G$4:$G$37,0)),""),IFERROR(INDEX(Map_Tables!$B$4:$B$18,MATCH(TRIM(F442),Map_Tables!$A$4:$A$18,0)),"CHECK"))</f>
        <v>Mumbai</v>
      </c>
      <c r="AE442" s="7" t="str">
        <f aca="false">IF(TRIM(E442)="","",IFERROR(INDEX(Map_Tables!$H$4:$H$37,MATCH(TRIM(E442),Map_Tables!$G$4:$G$37,0)),"CHECK"))</f>
        <v>Curry Leaf Kitchen</v>
      </c>
      <c r="AF442" s="7" t="str">
        <f aca="false">IF(TRIM(K442)="","Unknown",IFERROR(INDEX(Map_Tables!$E$4:$E$15,MATCH(TRIM(K442),Map_Tables!$D$4:$D$15,0)),"CHECK"))</f>
        <v>UPI</v>
      </c>
      <c r="AG442" s="7" t="str">
        <f aca="false">IF(LEFT(LOWER(TRIM(L442)),6)="cancel","Cancelled","Delivered")</f>
        <v>Delivered</v>
      </c>
      <c r="AH442" s="10" t="n">
        <f aca="false">IF(ISNUMBER(SEARCH("/",B442)),DATE(VALUE(RIGHT(B442,4)),VALUE(MID(B442,4,2)),VALUE(LEFT(B442,2))),IF(MID(B442,5,1)="-",DATE(VALUE(LEFT(B442,4)),VALUE(MID(B442,6,2)),VALUE(RIGHT(B442,2))),DATE(VALUE(RIGHT(B442,4)),MATCH(MID(B442,4,3),{"Jan","Feb","Mar","Apr","May","Jun","Jul","Aug","Sep","Oct","Nov","Dec"},0),VALUE(LEFT(B442,2)))))</f>
        <v>45958</v>
      </c>
    </row>
    <row r="443" customFormat="false" ht="15" hidden="false" customHeight="false" outlineLevel="0" collapsed="false">
      <c r="A443" s="7" t="s">
        <v>1701</v>
      </c>
      <c r="B443" s="7" t="s">
        <v>1218</v>
      </c>
      <c r="C443" s="7" t="s">
        <v>547</v>
      </c>
      <c r="D443" s="7" t="s">
        <v>1702</v>
      </c>
      <c r="E443" s="7" t="s">
        <v>98</v>
      </c>
      <c r="F443" s="7" t="s">
        <v>86</v>
      </c>
      <c r="G443" s="7" t="s">
        <v>99</v>
      </c>
      <c r="H443" s="7" t="n">
        <v>2</v>
      </c>
      <c r="I443" s="7" t="n">
        <v>285</v>
      </c>
      <c r="J443" s="7" t="n">
        <v>125</v>
      </c>
      <c r="K443" s="7" t="s">
        <v>88</v>
      </c>
      <c r="L443" s="7" t="s">
        <v>194</v>
      </c>
      <c r="M443" s="7" t="n">
        <v>33</v>
      </c>
      <c r="N443" s="7" t="n">
        <v>3</v>
      </c>
      <c r="O443" s="7" t="str">
        <f aca="false">A443&amp;"|"&amp;B443&amp;"|"&amp;C443&amp;"|"&amp;D443&amp;"|"&amp;E443&amp;"|"&amp;F443&amp;"|"&amp;G443&amp;"|"&amp;H443&amp;"|"&amp;I443&amp;"|"&amp;J443&amp;"|"&amp;K443&amp;"|"&amp;L443&amp;"|"&amp;M443&amp;"|"&amp;N443</f>
        <v>ORD10001|2025-01-01|11:20|C0845|Nawabi Biryani House|Bengaluru|Biryani|2|285|125|UPI|Delivered|33|3</v>
      </c>
      <c r="P443" s="7" t="str">
        <f aca="false">IF(COUNTIF($O$2:O443,O443)&gt;1,"DUP","OK")</f>
        <v>OK</v>
      </c>
      <c r="Q443" s="7" t="n">
        <f aca="false">COUNTBLANK(A443:N443)</f>
        <v>0</v>
      </c>
      <c r="R443" s="7" t="n">
        <f aca="false">IF(A443="",0,COUNTIFS($A$2:$A$3058,A443,$P$2:$P$3058,"OK"))</f>
        <v>1</v>
      </c>
      <c r="S443" s="7" t="str">
        <f aca="false">IF(OR(A443="",P443="DUP",R443&lt;2),"",IF(Q443=_xlfn.MINIFS($Q$2:$Q$3058,$A$2:$A$3058,A443,$P$2:$P$3058,"OK"),"KEEP","DROP"))</f>
        <v/>
      </c>
      <c r="T443" s="9" t="n">
        <f aca="false">IF(A443="",1,0)</f>
        <v>0</v>
      </c>
      <c r="U443" s="9" t="n">
        <f aca="false">IF(D443="",1,0)</f>
        <v>0</v>
      </c>
      <c r="V443" s="9" t="n">
        <f aca="false">IF(E443="",1,0)</f>
        <v>0</v>
      </c>
      <c r="W443" s="9" t="n">
        <f aca="false">IF(OR(H443&lt;1,H443&gt;10),1,0)</f>
        <v>0</v>
      </c>
      <c r="X443" s="9" t="n">
        <f aca="false">IF(OR(I443&lt;=0,I443&gt;1500),1,0)</f>
        <v>0</v>
      </c>
      <c r="Y443" s="9" t="n">
        <f aca="false">IF(J443&gt;H443*I443,1,0)</f>
        <v>0</v>
      </c>
      <c r="Z443" s="9" t="n">
        <f aca="false">IF(AND(N443&lt;&gt;"",OR(N443&lt;1,N443&gt;5)),1,0)</f>
        <v>0</v>
      </c>
      <c r="AA443" s="9" t="n">
        <f aca="false">IF(AND(M443&lt;&gt;"",OR(M443&lt;5,M443&gt;180)),1,0)</f>
        <v>0</v>
      </c>
      <c r="AB443" s="7" t="str">
        <f aca="false">IF(P443="DUP","Exact duplicate row",IF(T443=1,"Missing Order ID",IF(S443="DROP","Duplicate Order ID (less complete row)",IF(U443=1,"Missing Customer ID",IF(V443=1,"Missing Restaurant name",IF(W443=1,"Invalid/outlier quantity",IF(X443=1,"Invalid/outlier unit price",IF(Y443=1,"Discount greater than order value",""))))))))</f>
        <v/>
      </c>
      <c r="AC443" s="7" t="str">
        <f aca="false">IF(AB443="","KEEP","DROP")</f>
        <v>KEEP</v>
      </c>
      <c r="AD443" s="7" t="str">
        <f aca="false">IF(TRIM(F443)="",IFERROR(INDEX(Map_Tables!$I$4:$I$37,MATCH(TRIM(E443),Map_Tables!$G$4:$G$37,0)),""),IFERROR(INDEX(Map_Tables!$B$4:$B$18,MATCH(TRIM(F443),Map_Tables!$A$4:$A$18,0)),"CHECK"))</f>
        <v>Bengaluru</v>
      </c>
      <c r="AE443" s="7" t="str">
        <f aca="false">IF(TRIM(E443)="","",IFERROR(INDEX(Map_Tables!$H$4:$H$37,MATCH(TRIM(E443),Map_Tables!$G$4:$G$37,0)),"CHECK"))</f>
        <v>Nawabi Biryani House</v>
      </c>
      <c r="AF443" s="7" t="str">
        <f aca="false">IF(TRIM(K443)="","Unknown",IFERROR(INDEX(Map_Tables!$E$4:$E$15,MATCH(TRIM(K443),Map_Tables!$D$4:$D$15,0)),"CHECK"))</f>
        <v>UPI</v>
      </c>
      <c r="AG443" s="7" t="str">
        <f aca="false">IF(LEFT(LOWER(TRIM(L443)),6)="cancel","Cancelled","Delivered")</f>
        <v>Delivered</v>
      </c>
      <c r="AH443" s="10" t="n">
        <f aca="false">IF(ISNUMBER(SEARCH("/",B443)),DATE(VALUE(RIGHT(B443,4)),VALUE(MID(B443,4,2)),VALUE(LEFT(B443,2))),IF(MID(B443,5,1)="-",DATE(VALUE(LEFT(B443,4)),VALUE(MID(B443,6,2)),VALUE(RIGHT(B443,2))),DATE(VALUE(RIGHT(B443,4)),MATCH(MID(B443,4,3),{"Jan","Feb","Mar","Apr","May","Jun","Jul","Aug","Sep","Oct","Nov","Dec"},0),VALUE(LEFT(B443,2)))))</f>
        <v>45658</v>
      </c>
    </row>
    <row r="444" customFormat="false" ht="15" hidden="false" customHeight="false" outlineLevel="0" collapsed="false">
      <c r="A444" s="7" t="s">
        <v>1703</v>
      </c>
      <c r="B444" s="7" t="s">
        <v>402</v>
      </c>
      <c r="C444" s="7" t="s">
        <v>1704</v>
      </c>
      <c r="D444" s="7" t="s">
        <v>1705</v>
      </c>
      <c r="E444" s="7" t="s">
        <v>159</v>
      </c>
      <c r="F444" s="7" t="s">
        <v>136</v>
      </c>
      <c r="G444" s="7" t="s">
        <v>90</v>
      </c>
      <c r="H444" s="7" t="n">
        <v>5</v>
      </c>
      <c r="I444" s="7" t="n">
        <v>260</v>
      </c>
      <c r="J444" s="7" t="n">
        <v>40</v>
      </c>
      <c r="K444" s="7" t="s">
        <v>88</v>
      </c>
      <c r="L444" s="7" t="s">
        <v>194</v>
      </c>
      <c r="M444" s="7" t="n">
        <v>28</v>
      </c>
      <c r="N444" s="7" t="n">
        <v>3</v>
      </c>
      <c r="O444" s="7" t="str">
        <f aca="false">A444&amp;"|"&amp;B444&amp;"|"&amp;C444&amp;"|"&amp;D444&amp;"|"&amp;E444&amp;"|"&amp;F444&amp;"|"&amp;G444&amp;"|"&amp;H444&amp;"|"&amp;I444&amp;"|"&amp;J444&amp;"|"&amp;K444&amp;"|"&amp;L444&amp;"|"&amp;M444&amp;"|"&amp;N444</f>
        <v>ORD12109|2025-09-28|20:01|C1181|Maratha Thali House|Pune|North Indian|5|260|40|UPI|Delivered|28|3</v>
      </c>
      <c r="P444" s="7" t="str">
        <f aca="false">IF(COUNTIF($O$2:O444,O444)&gt;1,"DUP","OK")</f>
        <v>OK</v>
      </c>
      <c r="Q444" s="7" t="n">
        <f aca="false">COUNTBLANK(A444:N444)</f>
        <v>0</v>
      </c>
      <c r="R444" s="7" t="n">
        <f aca="false">IF(A444="",0,COUNTIFS($A$2:$A$3058,A444,$P$2:$P$3058,"OK"))</f>
        <v>1</v>
      </c>
      <c r="S444" s="7" t="str">
        <f aca="false">IF(OR(A444="",P444="DUP",R444&lt;2),"",IF(Q444=_xlfn.MINIFS($Q$2:$Q$3058,$A$2:$A$3058,A444,$P$2:$P$3058,"OK"),"KEEP","DROP"))</f>
        <v/>
      </c>
      <c r="T444" s="9" t="n">
        <f aca="false">IF(A444="",1,0)</f>
        <v>0</v>
      </c>
      <c r="U444" s="9" t="n">
        <f aca="false">IF(D444="",1,0)</f>
        <v>0</v>
      </c>
      <c r="V444" s="9" t="n">
        <f aca="false">IF(E444="",1,0)</f>
        <v>0</v>
      </c>
      <c r="W444" s="9" t="n">
        <f aca="false">IF(OR(H444&lt;1,H444&gt;10),1,0)</f>
        <v>0</v>
      </c>
      <c r="X444" s="9" t="n">
        <f aca="false">IF(OR(I444&lt;=0,I444&gt;1500),1,0)</f>
        <v>0</v>
      </c>
      <c r="Y444" s="9" t="n">
        <f aca="false">IF(J444&gt;H444*I444,1,0)</f>
        <v>0</v>
      </c>
      <c r="Z444" s="9" t="n">
        <f aca="false">IF(AND(N444&lt;&gt;"",OR(N444&lt;1,N444&gt;5)),1,0)</f>
        <v>0</v>
      </c>
      <c r="AA444" s="9" t="n">
        <f aca="false">IF(AND(M444&lt;&gt;"",OR(M444&lt;5,M444&gt;180)),1,0)</f>
        <v>0</v>
      </c>
      <c r="AB444" s="7" t="str">
        <f aca="false">IF(P444="DUP","Exact duplicate row",IF(T444=1,"Missing Order ID",IF(S444="DROP","Duplicate Order ID (less complete row)",IF(U444=1,"Missing Customer ID",IF(V444=1,"Missing Restaurant name",IF(W444=1,"Invalid/outlier quantity",IF(X444=1,"Invalid/outlier unit price",IF(Y444=1,"Discount greater than order value",""))))))))</f>
        <v/>
      </c>
      <c r="AC444" s="7" t="str">
        <f aca="false">IF(AB444="","KEEP","DROP")</f>
        <v>KEEP</v>
      </c>
      <c r="AD444" s="7" t="str">
        <f aca="false">IF(TRIM(F444)="",IFERROR(INDEX(Map_Tables!$I$4:$I$37,MATCH(TRIM(E444),Map_Tables!$G$4:$G$37,0)),""),IFERROR(INDEX(Map_Tables!$B$4:$B$18,MATCH(TRIM(F444),Map_Tables!$A$4:$A$18,0)),"CHECK"))</f>
        <v>Pune</v>
      </c>
      <c r="AE444" s="7" t="str">
        <f aca="false">IF(TRIM(E444)="","",IFERROR(INDEX(Map_Tables!$H$4:$H$37,MATCH(TRIM(E444),Map_Tables!$G$4:$G$37,0)),"CHECK"))</f>
        <v>Maratha Thali House</v>
      </c>
      <c r="AF444" s="7" t="str">
        <f aca="false">IF(TRIM(K444)="","Unknown",IFERROR(INDEX(Map_Tables!$E$4:$E$15,MATCH(TRIM(K444),Map_Tables!$D$4:$D$15,0)),"CHECK"))</f>
        <v>UPI</v>
      </c>
      <c r="AG444" s="7" t="str">
        <f aca="false">IF(LEFT(LOWER(TRIM(L444)),6)="cancel","Cancelled","Delivered")</f>
        <v>Delivered</v>
      </c>
      <c r="AH444" s="10" t="n">
        <f aca="false">IF(ISNUMBER(SEARCH("/",B444)),DATE(VALUE(RIGHT(B444,4)),VALUE(MID(B444,4,2)),VALUE(LEFT(B444,2))),IF(MID(B444,5,1)="-",DATE(VALUE(LEFT(B444,4)),VALUE(MID(B444,6,2)),VALUE(RIGHT(B444,2))),DATE(VALUE(RIGHT(B444,4)),MATCH(MID(B444,4,3),{"Jan","Feb","Mar","Apr","May","Jun","Jul","Aug","Sep","Oct","Nov","Dec"},0),VALUE(LEFT(B444,2)))))</f>
        <v>45928</v>
      </c>
    </row>
    <row r="445" customFormat="false" ht="15" hidden="false" customHeight="false" outlineLevel="0" collapsed="false">
      <c r="A445" s="7" t="s">
        <v>1706</v>
      </c>
      <c r="B445" s="7" t="s">
        <v>1707</v>
      </c>
      <c r="C445" s="7" t="s">
        <v>1708</v>
      </c>
      <c r="D445" s="7" t="s">
        <v>277</v>
      </c>
      <c r="E445" s="7" t="s">
        <v>161</v>
      </c>
      <c r="F445" s="7" t="s">
        <v>141</v>
      </c>
      <c r="G445" s="7" t="s">
        <v>117</v>
      </c>
      <c r="H445" s="7" t="n">
        <v>3</v>
      </c>
      <c r="I445" s="7" t="n">
        <v>120</v>
      </c>
      <c r="J445" s="7" t="n">
        <v>50</v>
      </c>
      <c r="K445" s="7" t="s">
        <v>112</v>
      </c>
      <c r="L445" s="7" t="s">
        <v>194</v>
      </c>
      <c r="M445" s="7" t="n">
        <v>45</v>
      </c>
      <c r="N445" s="7" t="n">
        <v>4</v>
      </c>
      <c r="O445" s="7" t="str">
        <f aca="false">A445&amp;"|"&amp;B445&amp;"|"&amp;C445&amp;"|"&amp;D445&amp;"|"&amp;E445&amp;"|"&amp;F445&amp;"|"&amp;G445&amp;"|"&amp;H445&amp;"|"&amp;I445&amp;"|"&amp;J445&amp;"|"&amp;K445&amp;"|"&amp;L445&amp;"|"&amp;M445&amp;"|"&amp;N445</f>
        <v>ORD12828|12/12/2025|17:47|C0365|Bengal Bites|Kolkata|Street Food|3|120|50|Cash on Delivery|Delivered|45|4</v>
      </c>
      <c r="P445" s="7" t="str">
        <f aca="false">IF(COUNTIF($O$2:O445,O445)&gt;1,"DUP","OK")</f>
        <v>OK</v>
      </c>
      <c r="Q445" s="7" t="n">
        <f aca="false">COUNTBLANK(A445:N445)</f>
        <v>0</v>
      </c>
      <c r="R445" s="7" t="n">
        <f aca="false">IF(A445="",0,COUNTIFS($A$2:$A$3058,A445,$P$2:$P$3058,"OK"))</f>
        <v>1</v>
      </c>
      <c r="S445" s="7" t="str">
        <f aca="false">IF(OR(A445="",P445="DUP",R445&lt;2),"",IF(Q445=_xlfn.MINIFS($Q$2:$Q$3058,$A$2:$A$3058,A445,$P$2:$P$3058,"OK"),"KEEP","DROP"))</f>
        <v/>
      </c>
      <c r="T445" s="9" t="n">
        <f aca="false">IF(A445="",1,0)</f>
        <v>0</v>
      </c>
      <c r="U445" s="9" t="n">
        <f aca="false">IF(D445="",1,0)</f>
        <v>0</v>
      </c>
      <c r="V445" s="9" t="n">
        <f aca="false">IF(E445="",1,0)</f>
        <v>0</v>
      </c>
      <c r="W445" s="9" t="n">
        <f aca="false">IF(OR(H445&lt;1,H445&gt;10),1,0)</f>
        <v>0</v>
      </c>
      <c r="X445" s="9" t="n">
        <f aca="false">IF(OR(I445&lt;=0,I445&gt;1500),1,0)</f>
        <v>0</v>
      </c>
      <c r="Y445" s="9" t="n">
        <f aca="false">IF(J445&gt;H445*I445,1,0)</f>
        <v>0</v>
      </c>
      <c r="Z445" s="9" t="n">
        <f aca="false">IF(AND(N445&lt;&gt;"",OR(N445&lt;1,N445&gt;5)),1,0)</f>
        <v>0</v>
      </c>
      <c r="AA445" s="9" t="n">
        <f aca="false">IF(AND(M445&lt;&gt;"",OR(M445&lt;5,M445&gt;180)),1,0)</f>
        <v>0</v>
      </c>
      <c r="AB445" s="7" t="str">
        <f aca="false">IF(P445="DUP","Exact duplicate row",IF(T445=1,"Missing Order ID",IF(S445="DROP","Duplicate Order ID (less complete row)",IF(U445=1,"Missing Customer ID",IF(V445=1,"Missing Restaurant name",IF(W445=1,"Invalid/outlier quantity",IF(X445=1,"Invalid/outlier unit price",IF(Y445=1,"Discount greater than order value",""))))))))</f>
        <v/>
      </c>
      <c r="AC445" s="7" t="str">
        <f aca="false">IF(AB445="","KEEP","DROP")</f>
        <v>KEEP</v>
      </c>
      <c r="AD445" s="7" t="str">
        <f aca="false">IF(TRIM(F445)="",IFERROR(INDEX(Map_Tables!$I$4:$I$37,MATCH(TRIM(E445),Map_Tables!$G$4:$G$37,0)),""),IFERROR(INDEX(Map_Tables!$B$4:$B$18,MATCH(TRIM(F445),Map_Tables!$A$4:$A$18,0)),"CHECK"))</f>
        <v>Kolkata</v>
      </c>
      <c r="AE445" s="7" t="str">
        <f aca="false">IF(TRIM(E445)="","",IFERROR(INDEX(Map_Tables!$H$4:$H$37,MATCH(TRIM(E445),Map_Tables!$G$4:$G$37,0)),"CHECK"))</f>
        <v>Bengal Bites</v>
      </c>
      <c r="AF445" s="7" t="str">
        <f aca="false">IF(TRIM(K445)="","Unknown",IFERROR(INDEX(Map_Tables!$E$4:$E$15,MATCH(TRIM(K445),Map_Tables!$D$4:$D$15,0)),"CHECK"))</f>
        <v>Cash on Delivery</v>
      </c>
      <c r="AG445" s="7" t="str">
        <f aca="false">IF(LEFT(LOWER(TRIM(L445)),6)="cancel","Cancelled","Delivered")</f>
        <v>Delivered</v>
      </c>
      <c r="AH445" s="10" t="n">
        <f aca="false">IF(ISNUMBER(SEARCH("/",B445)),DATE(VALUE(RIGHT(B445,4)),VALUE(MID(B445,4,2)),VALUE(LEFT(B445,2))),IF(MID(B445,5,1)="-",DATE(VALUE(LEFT(B445,4)),VALUE(MID(B445,6,2)),VALUE(RIGHT(B445,2))),DATE(VALUE(RIGHT(B445,4)),MATCH(MID(B445,4,3),{"Jan","Feb","Mar","Apr","May","Jun","Jul","Aug","Sep","Oct","Nov","Dec"},0),VALUE(LEFT(B445,2)))))</f>
        <v>46003</v>
      </c>
    </row>
    <row r="446" customFormat="false" ht="15" hidden="false" customHeight="false" outlineLevel="0" collapsed="false">
      <c r="A446" s="7" t="s">
        <v>1709</v>
      </c>
      <c r="B446" s="7" t="s">
        <v>546</v>
      </c>
      <c r="C446" s="7" t="s">
        <v>1019</v>
      </c>
      <c r="D446" s="7" t="s">
        <v>1225</v>
      </c>
      <c r="E446" s="7" t="s">
        <v>157</v>
      </c>
      <c r="F446" s="7" t="s">
        <v>136</v>
      </c>
      <c r="G446" s="7" t="s">
        <v>117</v>
      </c>
      <c r="H446" s="7" t="n">
        <v>4</v>
      </c>
      <c r="I446" s="7" t="n">
        <v>105</v>
      </c>
      <c r="J446" s="7" t="n">
        <v>20</v>
      </c>
      <c r="K446" s="7" t="s">
        <v>103</v>
      </c>
      <c r="L446" s="7" t="s">
        <v>194</v>
      </c>
      <c r="M446" s="7" t="n">
        <v>36</v>
      </c>
      <c r="N446" s="7" t="n">
        <v>4</v>
      </c>
      <c r="O446" s="7" t="str">
        <f aca="false">A446&amp;"|"&amp;B446&amp;"|"&amp;C446&amp;"|"&amp;D446&amp;"|"&amp;E446&amp;"|"&amp;F446&amp;"|"&amp;G446&amp;"|"&amp;H446&amp;"|"&amp;I446&amp;"|"&amp;J446&amp;"|"&amp;K446&amp;"|"&amp;L446&amp;"|"&amp;M446&amp;"|"&amp;N446</f>
        <v>ORD12607|2025-11-18|19:25|C0034|Misal Mantra|Pune|Street Food|4|105|20|Debit Card|Delivered|36|4</v>
      </c>
      <c r="P446" s="7" t="str">
        <f aca="false">IF(COUNTIF($O$2:O446,O446)&gt;1,"DUP","OK")</f>
        <v>OK</v>
      </c>
      <c r="Q446" s="7" t="n">
        <f aca="false">COUNTBLANK(A446:N446)</f>
        <v>0</v>
      </c>
      <c r="R446" s="7" t="n">
        <f aca="false">IF(A446="",0,COUNTIFS($A$2:$A$3058,A446,$P$2:$P$3058,"OK"))</f>
        <v>1</v>
      </c>
      <c r="S446" s="7" t="str">
        <f aca="false">IF(OR(A446="",P446="DUP",R446&lt;2),"",IF(Q446=_xlfn.MINIFS($Q$2:$Q$3058,$A$2:$A$3058,A446,$P$2:$P$3058,"OK"),"KEEP","DROP"))</f>
        <v/>
      </c>
      <c r="T446" s="9" t="n">
        <f aca="false">IF(A446="",1,0)</f>
        <v>0</v>
      </c>
      <c r="U446" s="9" t="n">
        <f aca="false">IF(D446="",1,0)</f>
        <v>0</v>
      </c>
      <c r="V446" s="9" t="n">
        <f aca="false">IF(E446="",1,0)</f>
        <v>0</v>
      </c>
      <c r="W446" s="9" t="n">
        <f aca="false">IF(OR(H446&lt;1,H446&gt;10),1,0)</f>
        <v>0</v>
      </c>
      <c r="X446" s="9" t="n">
        <f aca="false">IF(OR(I446&lt;=0,I446&gt;1500),1,0)</f>
        <v>0</v>
      </c>
      <c r="Y446" s="9" t="n">
        <f aca="false">IF(J446&gt;H446*I446,1,0)</f>
        <v>0</v>
      </c>
      <c r="Z446" s="9" t="n">
        <f aca="false">IF(AND(N446&lt;&gt;"",OR(N446&lt;1,N446&gt;5)),1,0)</f>
        <v>0</v>
      </c>
      <c r="AA446" s="9" t="n">
        <f aca="false">IF(AND(M446&lt;&gt;"",OR(M446&lt;5,M446&gt;180)),1,0)</f>
        <v>0</v>
      </c>
      <c r="AB446" s="7" t="str">
        <f aca="false">IF(P446="DUP","Exact duplicate row",IF(T446=1,"Missing Order ID",IF(S446="DROP","Duplicate Order ID (less complete row)",IF(U446=1,"Missing Customer ID",IF(V446=1,"Missing Restaurant name",IF(W446=1,"Invalid/outlier quantity",IF(X446=1,"Invalid/outlier unit price",IF(Y446=1,"Discount greater than order value",""))))))))</f>
        <v/>
      </c>
      <c r="AC446" s="7" t="str">
        <f aca="false">IF(AB446="","KEEP","DROP")</f>
        <v>KEEP</v>
      </c>
      <c r="AD446" s="7" t="str">
        <f aca="false">IF(TRIM(F446)="",IFERROR(INDEX(Map_Tables!$I$4:$I$37,MATCH(TRIM(E446),Map_Tables!$G$4:$G$37,0)),""),IFERROR(INDEX(Map_Tables!$B$4:$B$18,MATCH(TRIM(F446),Map_Tables!$A$4:$A$18,0)),"CHECK"))</f>
        <v>Pune</v>
      </c>
      <c r="AE446" s="7" t="str">
        <f aca="false">IF(TRIM(E446)="","",IFERROR(INDEX(Map_Tables!$H$4:$H$37,MATCH(TRIM(E446),Map_Tables!$G$4:$G$37,0)),"CHECK"))</f>
        <v>Misal Mantra</v>
      </c>
      <c r="AF446" s="7" t="str">
        <f aca="false">IF(TRIM(K446)="","Unknown",IFERROR(INDEX(Map_Tables!$E$4:$E$15,MATCH(TRIM(K446),Map_Tables!$D$4:$D$15,0)),"CHECK"))</f>
        <v>Debit Card</v>
      </c>
      <c r="AG446" s="7" t="str">
        <f aca="false">IF(LEFT(LOWER(TRIM(L446)),6)="cancel","Cancelled","Delivered")</f>
        <v>Delivered</v>
      </c>
      <c r="AH446" s="10" t="n">
        <f aca="false">IF(ISNUMBER(SEARCH("/",B446)),DATE(VALUE(RIGHT(B446,4)),VALUE(MID(B446,4,2)),VALUE(LEFT(B446,2))),IF(MID(B446,5,1)="-",DATE(VALUE(LEFT(B446,4)),VALUE(MID(B446,6,2)),VALUE(RIGHT(B446,2))),DATE(VALUE(RIGHT(B446,4)),MATCH(MID(B446,4,3),{"Jan","Feb","Mar","Apr","May","Jun","Jul","Aug","Sep","Oct","Nov","Dec"},0),VALUE(LEFT(B446,2)))))</f>
        <v>45979</v>
      </c>
    </row>
    <row r="447" customFormat="false" ht="15" hidden="false" customHeight="false" outlineLevel="0" collapsed="false">
      <c r="A447" s="7" t="s">
        <v>1710</v>
      </c>
      <c r="B447" s="7" t="s">
        <v>1711</v>
      </c>
      <c r="C447" s="7" t="s">
        <v>1243</v>
      </c>
      <c r="D447" s="7" t="s">
        <v>1712</v>
      </c>
      <c r="E447" s="7" t="s">
        <v>147</v>
      </c>
      <c r="F447" s="7" t="s">
        <v>119</v>
      </c>
      <c r="G447" s="7" t="s">
        <v>95</v>
      </c>
      <c r="H447" s="7" t="n">
        <v>2</v>
      </c>
      <c r="I447" s="7" t="n">
        <v>155</v>
      </c>
      <c r="J447" s="7" t="n">
        <v>0</v>
      </c>
      <c r="K447" s="7" t="s">
        <v>103</v>
      </c>
      <c r="L447" s="7" t="s">
        <v>194</v>
      </c>
      <c r="M447" s="7" t="n">
        <v>40</v>
      </c>
      <c r="N447" s="7" t="n">
        <v>4</v>
      </c>
      <c r="O447" s="7" t="str">
        <f aca="false">A447&amp;"|"&amp;B447&amp;"|"&amp;C447&amp;"|"&amp;D447&amp;"|"&amp;E447&amp;"|"&amp;F447&amp;"|"&amp;G447&amp;"|"&amp;H447&amp;"|"&amp;I447&amp;"|"&amp;J447&amp;"|"&amp;K447&amp;"|"&amp;L447&amp;"|"&amp;M447&amp;"|"&amp;N447</f>
        <v>ORD12131|2025-09-30|21:46|C1167|Andhra Meals Mess|Hyderabad|South Indian|2|155|0|Debit Card|Delivered|40|4</v>
      </c>
      <c r="P447" s="7" t="str">
        <f aca="false">IF(COUNTIF($O$2:O447,O447)&gt;1,"DUP","OK")</f>
        <v>OK</v>
      </c>
      <c r="Q447" s="7" t="n">
        <f aca="false">COUNTBLANK(A447:N447)</f>
        <v>0</v>
      </c>
      <c r="R447" s="7" t="n">
        <f aca="false">IF(A447="",0,COUNTIFS($A$2:$A$3058,A447,$P$2:$P$3058,"OK"))</f>
        <v>1</v>
      </c>
      <c r="S447" s="7" t="str">
        <f aca="false">IF(OR(A447="",P447="DUP",R447&lt;2),"",IF(Q447=_xlfn.MINIFS($Q$2:$Q$3058,$A$2:$A$3058,A447,$P$2:$P$3058,"OK"),"KEEP","DROP"))</f>
        <v/>
      </c>
      <c r="T447" s="9" t="n">
        <f aca="false">IF(A447="",1,0)</f>
        <v>0</v>
      </c>
      <c r="U447" s="9" t="n">
        <f aca="false">IF(D447="",1,0)</f>
        <v>0</v>
      </c>
      <c r="V447" s="9" t="n">
        <f aca="false">IF(E447="",1,0)</f>
        <v>0</v>
      </c>
      <c r="W447" s="9" t="n">
        <f aca="false">IF(OR(H447&lt;1,H447&gt;10),1,0)</f>
        <v>0</v>
      </c>
      <c r="X447" s="9" t="n">
        <f aca="false">IF(OR(I447&lt;=0,I447&gt;1500),1,0)</f>
        <v>0</v>
      </c>
      <c r="Y447" s="9" t="n">
        <f aca="false">IF(J447&gt;H447*I447,1,0)</f>
        <v>0</v>
      </c>
      <c r="Z447" s="9" t="n">
        <f aca="false">IF(AND(N447&lt;&gt;"",OR(N447&lt;1,N447&gt;5)),1,0)</f>
        <v>0</v>
      </c>
      <c r="AA447" s="9" t="n">
        <f aca="false">IF(AND(M447&lt;&gt;"",OR(M447&lt;5,M447&gt;180)),1,0)</f>
        <v>0</v>
      </c>
      <c r="AB447" s="7" t="str">
        <f aca="false">IF(P447="DUP","Exact duplicate row",IF(T447=1,"Missing Order ID",IF(S447="DROP","Duplicate Order ID (less complete row)",IF(U447=1,"Missing Customer ID",IF(V447=1,"Missing Restaurant name",IF(W447=1,"Invalid/outlier quantity",IF(X447=1,"Invalid/outlier unit price",IF(Y447=1,"Discount greater than order value",""))))))))</f>
        <v/>
      </c>
      <c r="AC447" s="7" t="str">
        <f aca="false">IF(AB447="","KEEP","DROP")</f>
        <v>KEEP</v>
      </c>
      <c r="AD447" s="7" t="str">
        <f aca="false">IF(TRIM(F447)="",IFERROR(INDEX(Map_Tables!$I$4:$I$37,MATCH(TRIM(E447),Map_Tables!$G$4:$G$37,0)),""),IFERROR(INDEX(Map_Tables!$B$4:$B$18,MATCH(TRIM(F447),Map_Tables!$A$4:$A$18,0)),"CHECK"))</f>
        <v>Hyderabad</v>
      </c>
      <c r="AE447" s="7" t="str">
        <f aca="false">IF(TRIM(E447)="","",IFERROR(INDEX(Map_Tables!$H$4:$H$37,MATCH(TRIM(E447),Map_Tables!$G$4:$G$37,0)),"CHECK"))</f>
        <v>Andhra Meals Mess</v>
      </c>
      <c r="AF447" s="7" t="str">
        <f aca="false">IF(TRIM(K447)="","Unknown",IFERROR(INDEX(Map_Tables!$E$4:$E$15,MATCH(TRIM(K447),Map_Tables!$D$4:$D$15,0)),"CHECK"))</f>
        <v>Debit Card</v>
      </c>
      <c r="AG447" s="7" t="str">
        <f aca="false">IF(LEFT(LOWER(TRIM(L447)),6)="cancel","Cancelled","Delivered")</f>
        <v>Delivered</v>
      </c>
      <c r="AH447" s="10" t="n">
        <f aca="false">IF(ISNUMBER(SEARCH("/",B447)),DATE(VALUE(RIGHT(B447,4)),VALUE(MID(B447,4,2)),VALUE(LEFT(B447,2))),IF(MID(B447,5,1)="-",DATE(VALUE(LEFT(B447,4)),VALUE(MID(B447,6,2)),VALUE(RIGHT(B447,2))),DATE(VALUE(RIGHT(B447,4)),MATCH(MID(B447,4,3),{"Jan","Feb","Mar","Apr","May","Jun","Jul","Aug","Sep","Oct","Nov","Dec"},0),VALUE(LEFT(B447,2)))))</f>
        <v>45930</v>
      </c>
    </row>
    <row r="448" customFormat="false" ht="15" hidden="false" customHeight="false" outlineLevel="0" collapsed="false">
      <c r="A448" s="7" t="s">
        <v>1713</v>
      </c>
      <c r="B448" s="7" t="s">
        <v>1714</v>
      </c>
      <c r="C448" s="7" t="s">
        <v>1715</v>
      </c>
      <c r="D448" s="7" t="s">
        <v>1716</v>
      </c>
      <c r="E448" s="7" t="s">
        <v>122</v>
      </c>
      <c r="F448" s="7" t="s">
        <v>1557</v>
      </c>
      <c r="G448" s="7" t="s">
        <v>123</v>
      </c>
      <c r="H448" s="7" t="n">
        <v>3</v>
      </c>
      <c r="I448" s="7" t="n">
        <v>440</v>
      </c>
      <c r="J448" s="7" t="n">
        <v>40</v>
      </c>
      <c r="K448" s="7" t="s">
        <v>88</v>
      </c>
      <c r="L448" s="7" t="s">
        <v>194</v>
      </c>
      <c r="M448" s="7" t="n">
        <v>44</v>
      </c>
      <c r="N448" s="7" t="n">
        <v>4</v>
      </c>
      <c r="O448" s="7" t="str">
        <f aca="false">A448&amp;"|"&amp;B448&amp;"|"&amp;C448&amp;"|"&amp;D448&amp;"|"&amp;E448&amp;"|"&amp;F448&amp;"|"&amp;G448&amp;"|"&amp;H448&amp;"|"&amp;I448&amp;"|"&amp;J448&amp;"|"&amp;K448&amp;"|"&amp;L448&amp;"|"&amp;M448&amp;"|"&amp;N448</f>
        <v>ORD10061|2025-01-09|16:00|C0185|Mumbai Pizza Co|Mumbai |Pizza|3|440|40|UPI|Delivered|44|4</v>
      </c>
      <c r="P448" s="7" t="str">
        <f aca="false">IF(COUNTIF($O$2:O448,O448)&gt;1,"DUP","OK")</f>
        <v>OK</v>
      </c>
      <c r="Q448" s="7" t="n">
        <f aca="false">COUNTBLANK(A448:N448)</f>
        <v>0</v>
      </c>
      <c r="R448" s="7" t="n">
        <f aca="false">IF(A448="",0,COUNTIFS($A$2:$A$3058,A448,$P$2:$P$3058,"OK"))</f>
        <v>1</v>
      </c>
      <c r="S448" s="7" t="str">
        <f aca="false">IF(OR(A448="",P448="DUP",R448&lt;2),"",IF(Q448=_xlfn.MINIFS($Q$2:$Q$3058,$A$2:$A$3058,A448,$P$2:$P$3058,"OK"),"KEEP","DROP"))</f>
        <v/>
      </c>
      <c r="T448" s="9" t="n">
        <f aca="false">IF(A448="",1,0)</f>
        <v>0</v>
      </c>
      <c r="U448" s="9" t="n">
        <f aca="false">IF(D448="",1,0)</f>
        <v>0</v>
      </c>
      <c r="V448" s="9" t="n">
        <f aca="false">IF(E448="",1,0)</f>
        <v>0</v>
      </c>
      <c r="W448" s="9" t="n">
        <f aca="false">IF(OR(H448&lt;1,H448&gt;10),1,0)</f>
        <v>0</v>
      </c>
      <c r="X448" s="9" t="n">
        <f aca="false">IF(OR(I448&lt;=0,I448&gt;1500),1,0)</f>
        <v>0</v>
      </c>
      <c r="Y448" s="9" t="n">
        <f aca="false">IF(J448&gt;H448*I448,1,0)</f>
        <v>0</v>
      </c>
      <c r="Z448" s="9" t="n">
        <f aca="false">IF(AND(N448&lt;&gt;"",OR(N448&lt;1,N448&gt;5)),1,0)</f>
        <v>0</v>
      </c>
      <c r="AA448" s="9" t="n">
        <f aca="false">IF(AND(M448&lt;&gt;"",OR(M448&lt;5,M448&gt;180)),1,0)</f>
        <v>0</v>
      </c>
      <c r="AB448" s="7" t="str">
        <f aca="false">IF(P448="DUP","Exact duplicate row",IF(T448=1,"Missing Order ID",IF(S448="DROP","Duplicate Order ID (less complete row)",IF(U448=1,"Missing Customer ID",IF(V448=1,"Missing Restaurant name",IF(W448=1,"Invalid/outlier quantity",IF(X448=1,"Invalid/outlier unit price",IF(Y448=1,"Discount greater than order value",""))))))))</f>
        <v/>
      </c>
      <c r="AC448" s="7" t="str">
        <f aca="false">IF(AB448="","KEEP","DROP")</f>
        <v>KEEP</v>
      </c>
      <c r="AD448" s="7" t="str">
        <f aca="false">IF(TRIM(F448)="",IFERROR(INDEX(Map_Tables!$I$4:$I$37,MATCH(TRIM(E448),Map_Tables!$G$4:$G$37,0)),""),IFERROR(INDEX(Map_Tables!$B$4:$B$18,MATCH(TRIM(F448),Map_Tables!$A$4:$A$18,0)),"CHECK"))</f>
        <v>Mumbai</v>
      </c>
      <c r="AE448" s="7" t="str">
        <f aca="false">IF(TRIM(E448)="","",IFERROR(INDEX(Map_Tables!$H$4:$H$37,MATCH(TRIM(E448),Map_Tables!$G$4:$G$37,0)),"CHECK"))</f>
        <v>Mumbai Pizza Co</v>
      </c>
      <c r="AF448" s="7" t="str">
        <f aca="false">IF(TRIM(K448)="","Unknown",IFERROR(INDEX(Map_Tables!$E$4:$E$15,MATCH(TRIM(K448),Map_Tables!$D$4:$D$15,0)),"CHECK"))</f>
        <v>UPI</v>
      </c>
      <c r="AG448" s="7" t="str">
        <f aca="false">IF(LEFT(LOWER(TRIM(L448)),6)="cancel","Cancelled","Delivered")</f>
        <v>Delivered</v>
      </c>
      <c r="AH448" s="10" t="n">
        <f aca="false">IF(ISNUMBER(SEARCH("/",B448)),DATE(VALUE(RIGHT(B448,4)),VALUE(MID(B448,4,2)),VALUE(LEFT(B448,2))),IF(MID(B448,5,1)="-",DATE(VALUE(LEFT(B448,4)),VALUE(MID(B448,6,2)),VALUE(RIGHT(B448,2))),DATE(VALUE(RIGHT(B448,4)),MATCH(MID(B448,4,3),{"Jan","Feb","Mar","Apr","May","Jun","Jul","Aug","Sep","Oct","Nov","Dec"},0),VALUE(LEFT(B448,2)))))</f>
        <v>45666</v>
      </c>
    </row>
    <row r="449" customFormat="false" ht="15" hidden="false" customHeight="false" outlineLevel="0" collapsed="false">
      <c r="A449" s="7" t="s">
        <v>1717</v>
      </c>
      <c r="B449" s="7" t="s">
        <v>1132</v>
      </c>
      <c r="C449" s="7" t="s">
        <v>1718</v>
      </c>
      <c r="D449" s="7" t="s">
        <v>1719</v>
      </c>
      <c r="E449" s="7" t="s">
        <v>130</v>
      </c>
      <c r="F449" s="7" t="s">
        <v>521</v>
      </c>
      <c r="G449" s="7" t="s">
        <v>90</v>
      </c>
      <c r="H449" s="7" t="n">
        <v>3</v>
      </c>
      <c r="I449" s="7" t="n">
        <v>285</v>
      </c>
      <c r="J449" s="7" t="n">
        <v>0</v>
      </c>
      <c r="K449" s="7" t="s">
        <v>88</v>
      </c>
      <c r="L449" s="7" t="s">
        <v>194</v>
      </c>
      <c r="M449" s="7" t="n">
        <v>30</v>
      </c>
      <c r="N449" s="7" t="n">
        <v>4</v>
      </c>
      <c r="O449" s="7" t="str">
        <f aca="false">A449&amp;"|"&amp;B449&amp;"|"&amp;C449&amp;"|"&amp;D449&amp;"|"&amp;E449&amp;"|"&amp;F449&amp;"|"&amp;G449&amp;"|"&amp;H449&amp;"|"&amp;I449&amp;"|"&amp;J449&amp;"|"&amp;K449&amp;"|"&amp;L449&amp;"|"&amp;M449&amp;"|"&amp;N449</f>
        <v>ORD10691|2025-03-28|20:13|C0291|Tandoor Tales|DELHI|North Indian|3|285|0|UPI|Delivered|30|4</v>
      </c>
      <c r="P449" s="7" t="str">
        <f aca="false">IF(COUNTIF($O$2:O449,O449)&gt;1,"DUP","OK")</f>
        <v>OK</v>
      </c>
      <c r="Q449" s="7" t="n">
        <f aca="false">COUNTBLANK(A449:N449)</f>
        <v>0</v>
      </c>
      <c r="R449" s="7" t="n">
        <f aca="false">IF(A449="",0,COUNTIFS($A$2:$A$3058,A449,$P$2:$P$3058,"OK"))</f>
        <v>1</v>
      </c>
      <c r="S449" s="7" t="str">
        <f aca="false">IF(OR(A449="",P449="DUP",R449&lt;2),"",IF(Q449=_xlfn.MINIFS($Q$2:$Q$3058,$A$2:$A$3058,A449,$P$2:$P$3058,"OK"),"KEEP","DROP"))</f>
        <v/>
      </c>
      <c r="T449" s="9" t="n">
        <f aca="false">IF(A449="",1,0)</f>
        <v>0</v>
      </c>
      <c r="U449" s="9" t="n">
        <f aca="false">IF(D449="",1,0)</f>
        <v>0</v>
      </c>
      <c r="V449" s="9" t="n">
        <f aca="false">IF(E449="",1,0)</f>
        <v>0</v>
      </c>
      <c r="W449" s="9" t="n">
        <f aca="false">IF(OR(H449&lt;1,H449&gt;10),1,0)</f>
        <v>0</v>
      </c>
      <c r="X449" s="9" t="n">
        <f aca="false">IF(OR(I449&lt;=0,I449&gt;1500),1,0)</f>
        <v>0</v>
      </c>
      <c r="Y449" s="9" t="n">
        <f aca="false">IF(J449&gt;H449*I449,1,0)</f>
        <v>0</v>
      </c>
      <c r="Z449" s="9" t="n">
        <f aca="false">IF(AND(N449&lt;&gt;"",OR(N449&lt;1,N449&gt;5)),1,0)</f>
        <v>0</v>
      </c>
      <c r="AA449" s="9" t="n">
        <f aca="false">IF(AND(M449&lt;&gt;"",OR(M449&lt;5,M449&gt;180)),1,0)</f>
        <v>0</v>
      </c>
      <c r="AB449" s="7" t="str">
        <f aca="false">IF(P449="DUP","Exact duplicate row",IF(T449=1,"Missing Order ID",IF(S449="DROP","Duplicate Order ID (less complete row)",IF(U449=1,"Missing Customer ID",IF(V449=1,"Missing Restaurant name",IF(W449=1,"Invalid/outlier quantity",IF(X449=1,"Invalid/outlier unit price",IF(Y449=1,"Discount greater than order value",""))))))))</f>
        <v/>
      </c>
      <c r="AC449" s="7" t="str">
        <f aca="false">IF(AB449="","KEEP","DROP")</f>
        <v>KEEP</v>
      </c>
      <c r="AD449" s="7" t="str">
        <f aca="false">IF(TRIM(F449)="",IFERROR(INDEX(Map_Tables!$I$4:$I$37,MATCH(TRIM(E449),Map_Tables!$G$4:$G$37,0)),""),IFERROR(INDEX(Map_Tables!$B$4:$B$18,MATCH(TRIM(F449),Map_Tables!$A$4:$A$18,0)),"CHECK"))</f>
        <v>Delhi</v>
      </c>
      <c r="AE449" s="7" t="str">
        <f aca="false">IF(TRIM(E449)="","",IFERROR(INDEX(Map_Tables!$H$4:$H$37,MATCH(TRIM(E449),Map_Tables!$G$4:$G$37,0)),"CHECK"))</f>
        <v>Tandoor Tales</v>
      </c>
      <c r="AF449" s="7" t="str">
        <f aca="false">IF(TRIM(K449)="","Unknown",IFERROR(INDEX(Map_Tables!$E$4:$E$15,MATCH(TRIM(K449),Map_Tables!$D$4:$D$15,0)),"CHECK"))</f>
        <v>UPI</v>
      </c>
      <c r="AG449" s="7" t="str">
        <f aca="false">IF(LEFT(LOWER(TRIM(L449)),6)="cancel","Cancelled","Delivered")</f>
        <v>Delivered</v>
      </c>
      <c r="AH449" s="10" t="n">
        <f aca="false">IF(ISNUMBER(SEARCH("/",B449)),DATE(VALUE(RIGHT(B449,4)),VALUE(MID(B449,4,2)),VALUE(LEFT(B449,2))),IF(MID(B449,5,1)="-",DATE(VALUE(LEFT(B449,4)),VALUE(MID(B449,6,2)),VALUE(RIGHT(B449,2))),DATE(VALUE(RIGHT(B449,4)),MATCH(MID(B449,4,3),{"Jan","Feb","Mar","Apr","May","Jun","Jul","Aug","Sep","Oct","Nov","Dec"},0),VALUE(LEFT(B449,2)))))</f>
        <v>45744</v>
      </c>
    </row>
    <row r="450" customFormat="false" ht="15" hidden="false" customHeight="false" outlineLevel="0" collapsed="false">
      <c r="A450" s="7" t="s">
        <v>1720</v>
      </c>
      <c r="B450" s="7" t="s">
        <v>1721</v>
      </c>
      <c r="C450" s="7" t="s">
        <v>1562</v>
      </c>
      <c r="D450" s="7" t="s">
        <v>1722</v>
      </c>
      <c r="E450" s="7" t="s">
        <v>104</v>
      </c>
      <c r="F450" s="7" t="s">
        <v>86</v>
      </c>
      <c r="G450" s="7" t="s">
        <v>105</v>
      </c>
      <c r="H450" s="7" t="n">
        <v>3</v>
      </c>
      <c r="I450" s="7" t="n">
        <v>210</v>
      </c>
      <c r="J450" s="7" t="n">
        <v>0</v>
      </c>
      <c r="K450" s="7" t="s">
        <v>1173</v>
      </c>
      <c r="L450" s="7" t="s">
        <v>194</v>
      </c>
      <c r="M450" s="7" t="n">
        <v>31</v>
      </c>
      <c r="N450" s="7" t="n">
        <v>4</v>
      </c>
      <c r="O450" s="7" t="str">
        <f aca="false">A450&amp;"|"&amp;B450&amp;"|"&amp;C450&amp;"|"&amp;D450&amp;"|"&amp;E450&amp;"|"&amp;F450&amp;"|"&amp;G450&amp;"|"&amp;H450&amp;"|"&amp;I450&amp;"|"&amp;J450&amp;"|"&amp;K450&amp;"|"&amp;L450&amp;"|"&amp;M450&amp;"|"&amp;N450</f>
        <v>ORD11011|2025-05-08|20:07|C0256|Wok &amp; Roll|Bengaluru|Chinese|3|210|0|E-Wallet|Delivered|31|4</v>
      </c>
      <c r="P450" s="7" t="str">
        <f aca="false">IF(COUNTIF($O$2:O450,O450)&gt;1,"DUP","OK")</f>
        <v>OK</v>
      </c>
      <c r="Q450" s="7" t="n">
        <f aca="false">COUNTBLANK(A450:N450)</f>
        <v>0</v>
      </c>
      <c r="R450" s="7" t="n">
        <f aca="false">IF(A450="",0,COUNTIFS($A$2:$A$3058,A450,$P$2:$P$3058,"OK"))</f>
        <v>1</v>
      </c>
      <c r="S450" s="7" t="str">
        <f aca="false">IF(OR(A450="",P450="DUP",R450&lt;2),"",IF(Q450=_xlfn.MINIFS($Q$2:$Q$3058,$A$2:$A$3058,A450,$P$2:$P$3058,"OK"),"KEEP","DROP"))</f>
        <v/>
      </c>
      <c r="T450" s="9" t="n">
        <f aca="false">IF(A450="",1,0)</f>
        <v>0</v>
      </c>
      <c r="U450" s="9" t="n">
        <f aca="false">IF(D450="",1,0)</f>
        <v>0</v>
      </c>
      <c r="V450" s="9" t="n">
        <f aca="false">IF(E450="",1,0)</f>
        <v>0</v>
      </c>
      <c r="W450" s="9" t="n">
        <f aca="false">IF(OR(H450&lt;1,H450&gt;10),1,0)</f>
        <v>0</v>
      </c>
      <c r="X450" s="9" t="n">
        <f aca="false">IF(OR(I450&lt;=0,I450&gt;1500),1,0)</f>
        <v>0</v>
      </c>
      <c r="Y450" s="9" t="n">
        <f aca="false">IF(J450&gt;H450*I450,1,0)</f>
        <v>0</v>
      </c>
      <c r="Z450" s="9" t="n">
        <f aca="false">IF(AND(N450&lt;&gt;"",OR(N450&lt;1,N450&gt;5)),1,0)</f>
        <v>0</v>
      </c>
      <c r="AA450" s="9" t="n">
        <f aca="false">IF(AND(M450&lt;&gt;"",OR(M450&lt;5,M450&gt;180)),1,0)</f>
        <v>0</v>
      </c>
      <c r="AB450" s="7" t="str">
        <f aca="false">IF(P450="DUP","Exact duplicate row",IF(T450=1,"Missing Order ID",IF(S450="DROP","Duplicate Order ID (less complete row)",IF(U450=1,"Missing Customer ID",IF(V450=1,"Missing Restaurant name",IF(W450=1,"Invalid/outlier quantity",IF(X450=1,"Invalid/outlier unit price",IF(Y450=1,"Discount greater than order value",""))))))))</f>
        <v/>
      </c>
      <c r="AC450" s="7" t="str">
        <f aca="false">IF(AB450="","KEEP","DROP")</f>
        <v>KEEP</v>
      </c>
      <c r="AD450" s="7" t="str">
        <f aca="false">IF(TRIM(F450)="",IFERROR(INDEX(Map_Tables!$I$4:$I$37,MATCH(TRIM(E450),Map_Tables!$G$4:$G$37,0)),""),IFERROR(INDEX(Map_Tables!$B$4:$B$18,MATCH(TRIM(F450),Map_Tables!$A$4:$A$18,0)),"CHECK"))</f>
        <v>Bengaluru</v>
      </c>
      <c r="AE450" s="7" t="str">
        <f aca="false">IF(TRIM(E450)="","",IFERROR(INDEX(Map_Tables!$H$4:$H$37,MATCH(TRIM(E450),Map_Tables!$G$4:$G$37,0)),"CHECK"))</f>
        <v>Wok &amp; Roll</v>
      </c>
      <c r="AF450" s="7" t="str">
        <f aca="false">IF(TRIM(K450)="","Unknown",IFERROR(INDEX(Map_Tables!$E$4:$E$15,MATCH(TRIM(K450),Map_Tables!$D$4:$D$15,0)),"CHECK"))</f>
        <v>Wallet</v>
      </c>
      <c r="AG450" s="7" t="str">
        <f aca="false">IF(LEFT(LOWER(TRIM(L450)),6)="cancel","Cancelled","Delivered")</f>
        <v>Delivered</v>
      </c>
      <c r="AH450" s="10" t="n">
        <f aca="false">IF(ISNUMBER(SEARCH("/",B450)),DATE(VALUE(RIGHT(B450,4)),VALUE(MID(B450,4,2)),VALUE(LEFT(B450,2))),IF(MID(B450,5,1)="-",DATE(VALUE(LEFT(B450,4)),VALUE(MID(B450,6,2)),VALUE(RIGHT(B450,2))),DATE(VALUE(RIGHT(B450,4)),MATCH(MID(B450,4,3),{"Jan","Feb","Mar","Apr","May","Jun","Jul","Aug","Sep","Oct","Nov","Dec"},0),VALUE(LEFT(B450,2)))))</f>
        <v>45785</v>
      </c>
    </row>
    <row r="451" customFormat="false" ht="15" hidden="false" customHeight="false" outlineLevel="0" collapsed="false">
      <c r="A451" s="7" t="s">
        <v>1723</v>
      </c>
      <c r="B451" s="7" t="s">
        <v>1724</v>
      </c>
      <c r="C451" s="7" t="s">
        <v>1725</v>
      </c>
      <c r="D451" s="7" t="s">
        <v>908</v>
      </c>
      <c r="E451" s="7" t="s">
        <v>159</v>
      </c>
      <c r="F451" s="7" t="s">
        <v>136</v>
      </c>
      <c r="G451" s="7" t="s">
        <v>90</v>
      </c>
      <c r="H451" s="7" t="n">
        <v>1</v>
      </c>
      <c r="I451" s="7" t="n">
        <v>285</v>
      </c>
      <c r="J451" s="7" t="n">
        <v>75</v>
      </c>
      <c r="K451" s="7" t="s">
        <v>88</v>
      </c>
      <c r="L451" s="7" t="s">
        <v>194</v>
      </c>
      <c r="M451" s="7" t="n">
        <v>22</v>
      </c>
      <c r="N451" s="7"/>
      <c r="O451" s="7" t="str">
        <f aca="false">A451&amp;"|"&amp;B451&amp;"|"&amp;C451&amp;"|"&amp;D451&amp;"|"&amp;E451&amp;"|"&amp;F451&amp;"|"&amp;G451&amp;"|"&amp;H451&amp;"|"&amp;I451&amp;"|"&amp;J451&amp;"|"&amp;K451&amp;"|"&amp;L451&amp;"|"&amp;M451&amp;"|"&amp;N451</f>
        <v>ORD12268|14/10/2025|23:23|C0417|Maratha Thali House|Pune|North Indian|1|285|75|UPI|Delivered|22|</v>
      </c>
      <c r="P451" s="7" t="str">
        <f aca="false">IF(COUNTIF($O$2:O451,O451)&gt;1,"DUP","OK")</f>
        <v>OK</v>
      </c>
      <c r="Q451" s="7" t="n">
        <f aca="false">COUNTBLANK(A451:N451)</f>
        <v>1</v>
      </c>
      <c r="R451" s="7" t="n">
        <f aca="false">IF(A451="",0,COUNTIFS($A$2:$A$3058,A451,$P$2:$P$3058,"OK"))</f>
        <v>1</v>
      </c>
      <c r="S451" s="7" t="str">
        <f aca="false">IF(OR(A451="",P451="DUP",R451&lt;2),"",IF(Q451=_xlfn.MINIFS($Q$2:$Q$3058,$A$2:$A$3058,A451,$P$2:$P$3058,"OK"),"KEEP","DROP"))</f>
        <v/>
      </c>
      <c r="T451" s="9" t="n">
        <f aca="false">IF(A451="",1,0)</f>
        <v>0</v>
      </c>
      <c r="U451" s="9" t="n">
        <f aca="false">IF(D451="",1,0)</f>
        <v>0</v>
      </c>
      <c r="V451" s="9" t="n">
        <f aca="false">IF(E451="",1,0)</f>
        <v>0</v>
      </c>
      <c r="W451" s="9" t="n">
        <f aca="false">IF(OR(H451&lt;1,H451&gt;10),1,0)</f>
        <v>0</v>
      </c>
      <c r="X451" s="9" t="n">
        <f aca="false">IF(OR(I451&lt;=0,I451&gt;1500),1,0)</f>
        <v>0</v>
      </c>
      <c r="Y451" s="9" t="n">
        <f aca="false">IF(J451&gt;H451*I451,1,0)</f>
        <v>0</v>
      </c>
      <c r="Z451" s="9" t="n">
        <f aca="false">IF(AND(N451&lt;&gt;"",OR(N451&lt;1,N451&gt;5)),1,0)</f>
        <v>0</v>
      </c>
      <c r="AA451" s="9" t="n">
        <f aca="false">IF(AND(M451&lt;&gt;"",OR(M451&lt;5,M451&gt;180)),1,0)</f>
        <v>0</v>
      </c>
      <c r="AB451" s="7" t="str">
        <f aca="false">IF(P451="DUP","Exact duplicate row",IF(T451=1,"Missing Order ID",IF(S451="DROP","Duplicate Order ID (less complete row)",IF(U451=1,"Missing Customer ID",IF(V451=1,"Missing Restaurant name",IF(W451=1,"Invalid/outlier quantity",IF(X451=1,"Invalid/outlier unit price",IF(Y451=1,"Discount greater than order value",""))))))))</f>
        <v/>
      </c>
      <c r="AC451" s="7" t="str">
        <f aca="false">IF(AB451="","KEEP","DROP")</f>
        <v>KEEP</v>
      </c>
      <c r="AD451" s="7" t="str">
        <f aca="false">IF(TRIM(F451)="",IFERROR(INDEX(Map_Tables!$I$4:$I$37,MATCH(TRIM(E451),Map_Tables!$G$4:$G$37,0)),""),IFERROR(INDEX(Map_Tables!$B$4:$B$18,MATCH(TRIM(F451),Map_Tables!$A$4:$A$18,0)),"CHECK"))</f>
        <v>Pune</v>
      </c>
      <c r="AE451" s="7" t="str">
        <f aca="false">IF(TRIM(E451)="","",IFERROR(INDEX(Map_Tables!$H$4:$H$37,MATCH(TRIM(E451),Map_Tables!$G$4:$G$37,0)),"CHECK"))</f>
        <v>Maratha Thali House</v>
      </c>
      <c r="AF451" s="7" t="str">
        <f aca="false">IF(TRIM(K451)="","Unknown",IFERROR(INDEX(Map_Tables!$E$4:$E$15,MATCH(TRIM(K451),Map_Tables!$D$4:$D$15,0)),"CHECK"))</f>
        <v>UPI</v>
      </c>
      <c r="AG451" s="7" t="str">
        <f aca="false">IF(LEFT(LOWER(TRIM(L451)),6)="cancel","Cancelled","Delivered")</f>
        <v>Delivered</v>
      </c>
      <c r="AH451" s="10" t="n">
        <f aca="false">IF(ISNUMBER(SEARCH("/",B451)),DATE(VALUE(RIGHT(B451,4)),VALUE(MID(B451,4,2)),VALUE(LEFT(B451,2))),IF(MID(B451,5,1)="-",DATE(VALUE(LEFT(B451,4)),VALUE(MID(B451,6,2)),VALUE(RIGHT(B451,2))),DATE(VALUE(RIGHT(B451,4)),MATCH(MID(B451,4,3),{"Jan","Feb","Mar","Apr","May","Jun","Jul","Aug","Sep","Oct","Nov","Dec"},0),VALUE(LEFT(B451,2)))))</f>
        <v>45944</v>
      </c>
    </row>
    <row r="452" customFormat="false" ht="15" hidden="false" customHeight="false" outlineLevel="0" collapsed="false">
      <c r="A452" s="7" t="s">
        <v>1726</v>
      </c>
      <c r="B452" s="7" t="s">
        <v>1171</v>
      </c>
      <c r="C452" s="7" t="s">
        <v>1084</v>
      </c>
      <c r="D452" s="7" t="s">
        <v>1727</v>
      </c>
      <c r="E452" s="7" t="s">
        <v>94</v>
      </c>
      <c r="F452" s="7" t="s">
        <v>449</v>
      </c>
      <c r="G452" s="7" t="s">
        <v>95</v>
      </c>
      <c r="H452" s="7" t="n">
        <v>1</v>
      </c>
      <c r="I452" s="7" t="n">
        <v>105</v>
      </c>
      <c r="J452" s="7" t="n">
        <v>40</v>
      </c>
      <c r="K452" s="7" t="s">
        <v>93</v>
      </c>
      <c r="L452" s="7" t="s">
        <v>194</v>
      </c>
      <c r="M452" s="7" t="n">
        <v>40</v>
      </c>
      <c r="N452" s="7" t="n">
        <v>3</v>
      </c>
      <c r="O452" s="7" t="str">
        <f aca="false">A452&amp;"|"&amp;B452&amp;"|"&amp;C452&amp;"|"&amp;D452&amp;"|"&amp;E452&amp;"|"&amp;F452&amp;"|"&amp;G452&amp;"|"&amp;H452&amp;"|"&amp;I452&amp;"|"&amp;J452&amp;"|"&amp;K452&amp;"|"&amp;L452&amp;"|"&amp;M452&amp;"|"&amp;N452</f>
        <v>ORD12169|2025-10-04|09:13|C0913|Dosa Darbar|BLR|South Indian|1|105|40|Credit Card|Delivered|40|3</v>
      </c>
      <c r="P452" s="7" t="str">
        <f aca="false">IF(COUNTIF($O$2:O452,O452)&gt;1,"DUP","OK")</f>
        <v>OK</v>
      </c>
      <c r="Q452" s="7" t="n">
        <f aca="false">COUNTBLANK(A452:N452)</f>
        <v>0</v>
      </c>
      <c r="R452" s="7" t="n">
        <f aca="false">IF(A452="",0,COUNTIFS($A$2:$A$3058,A452,$P$2:$P$3058,"OK"))</f>
        <v>1</v>
      </c>
      <c r="S452" s="7" t="str">
        <f aca="false">IF(OR(A452="",P452="DUP",R452&lt;2),"",IF(Q452=_xlfn.MINIFS($Q$2:$Q$3058,$A$2:$A$3058,A452,$P$2:$P$3058,"OK"),"KEEP","DROP"))</f>
        <v/>
      </c>
      <c r="T452" s="9" t="n">
        <f aca="false">IF(A452="",1,0)</f>
        <v>0</v>
      </c>
      <c r="U452" s="9" t="n">
        <f aca="false">IF(D452="",1,0)</f>
        <v>0</v>
      </c>
      <c r="V452" s="9" t="n">
        <f aca="false">IF(E452="",1,0)</f>
        <v>0</v>
      </c>
      <c r="W452" s="9" t="n">
        <f aca="false">IF(OR(H452&lt;1,H452&gt;10),1,0)</f>
        <v>0</v>
      </c>
      <c r="X452" s="9" t="n">
        <f aca="false">IF(OR(I452&lt;=0,I452&gt;1500),1,0)</f>
        <v>0</v>
      </c>
      <c r="Y452" s="9" t="n">
        <f aca="false">IF(J452&gt;H452*I452,1,0)</f>
        <v>0</v>
      </c>
      <c r="Z452" s="9" t="n">
        <f aca="false">IF(AND(N452&lt;&gt;"",OR(N452&lt;1,N452&gt;5)),1,0)</f>
        <v>0</v>
      </c>
      <c r="AA452" s="9" t="n">
        <f aca="false">IF(AND(M452&lt;&gt;"",OR(M452&lt;5,M452&gt;180)),1,0)</f>
        <v>0</v>
      </c>
      <c r="AB452" s="7" t="str">
        <f aca="false">IF(P452="DUP","Exact duplicate row",IF(T452=1,"Missing Order ID",IF(S452="DROP","Duplicate Order ID (less complete row)",IF(U452=1,"Missing Customer ID",IF(V452=1,"Missing Restaurant name",IF(W452=1,"Invalid/outlier quantity",IF(X452=1,"Invalid/outlier unit price",IF(Y452=1,"Discount greater than order value",""))))))))</f>
        <v/>
      </c>
      <c r="AC452" s="7" t="str">
        <f aca="false">IF(AB452="","KEEP","DROP")</f>
        <v>KEEP</v>
      </c>
      <c r="AD452" s="7" t="str">
        <f aca="false">IF(TRIM(F452)="",IFERROR(INDEX(Map_Tables!$I$4:$I$37,MATCH(TRIM(E452),Map_Tables!$G$4:$G$37,0)),""),IFERROR(INDEX(Map_Tables!$B$4:$B$18,MATCH(TRIM(F452),Map_Tables!$A$4:$A$18,0)),"CHECK"))</f>
        <v>Bengaluru</v>
      </c>
      <c r="AE452" s="7" t="str">
        <f aca="false">IF(TRIM(E452)="","",IFERROR(INDEX(Map_Tables!$H$4:$H$37,MATCH(TRIM(E452),Map_Tables!$G$4:$G$37,0)),"CHECK"))</f>
        <v>Dosa Darbar</v>
      </c>
      <c r="AF452" s="7" t="str">
        <f aca="false">IF(TRIM(K452)="","Unknown",IFERROR(INDEX(Map_Tables!$E$4:$E$15,MATCH(TRIM(K452),Map_Tables!$D$4:$D$15,0)),"CHECK"))</f>
        <v>Credit Card</v>
      </c>
      <c r="AG452" s="7" t="str">
        <f aca="false">IF(LEFT(LOWER(TRIM(L452)),6)="cancel","Cancelled","Delivered")</f>
        <v>Delivered</v>
      </c>
      <c r="AH452" s="10" t="n">
        <f aca="false">IF(ISNUMBER(SEARCH("/",B452)),DATE(VALUE(RIGHT(B452,4)),VALUE(MID(B452,4,2)),VALUE(LEFT(B452,2))),IF(MID(B452,5,1)="-",DATE(VALUE(LEFT(B452,4)),VALUE(MID(B452,6,2)),VALUE(RIGHT(B452,2))),DATE(VALUE(RIGHT(B452,4)),MATCH(MID(B452,4,3),{"Jan","Feb","Mar","Apr","May","Jun","Jul","Aug","Sep","Oct","Nov","Dec"},0),VALUE(LEFT(B452,2)))))</f>
        <v>45934</v>
      </c>
    </row>
    <row r="453" customFormat="false" ht="15" hidden="false" customHeight="false" outlineLevel="0" collapsed="false">
      <c r="A453" s="7" t="s">
        <v>1728</v>
      </c>
      <c r="B453" s="7" t="s">
        <v>1535</v>
      </c>
      <c r="C453" s="7" t="s">
        <v>686</v>
      </c>
      <c r="D453" s="7" t="s">
        <v>1729</v>
      </c>
      <c r="E453" s="7" t="s">
        <v>116</v>
      </c>
      <c r="F453" s="7" t="s">
        <v>101</v>
      </c>
      <c r="G453" s="7" t="s">
        <v>117</v>
      </c>
      <c r="H453" s="7" t="n">
        <v>3</v>
      </c>
      <c r="I453" s="7" t="n">
        <v>100</v>
      </c>
      <c r="J453" s="7" t="n">
        <v>0</v>
      </c>
      <c r="K453" s="7" t="s">
        <v>103</v>
      </c>
      <c r="L453" s="7" t="s">
        <v>194</v>
      </c>
      <c r="M453" s="7" t="n">
        <v>44</v>
      </c>
      <c r="N453" s="7" t="n">
        <v>3</v>
      </c>
      <c r="O453" s="7" t="str">
        <f aca="false">A453&amp;"|"&amp;B453&amp;"|"&amp;C453&amp;"|"&amp;D453&amp;"|"&amp;E453&amp;"|"&amp;F453&amp;"|"&amp;G453&amp;"|"&amp;H453&amp;"|"&amp;I453&amp;"|"&amp;J453&amp;"|"&amp;K453&amp;"|"&amp;L453&amp;"|"&amp;M453&amp;"|"&amp;N453</f>
        <v>ORD12022|2025-09-18|19:57|C0435|Pav Bhaji Point|Mumbai|Street Food|3|100|0|Debit Card|Delivered|44|3</v>
      </c>
      <c r="P453" s="7" t="str">
        <f aca="false">IF(COUNTIF($O$2:O453,O453)&gt;1,"DUP","OK")</f>
        <v>OK</v>
      </c>
      <c r="Q453" s="7" t="n">
        <f aca="false">COUNTBLANK(A453:N453)</f>
        <v>0</v>
      </c>
      <c r="R453" s="7" t="n">
        <f aca="false">IF(A453="",0,COUNTIFS($A$2:$A$3058,A453,$P$2:$P$3058,"OK"))</f>
        <v>1</v>
      </c>
      <c r="S453" s="7" t="str">
        <f aca="false">IF(OR(A453="",P453="DUP",R453&lt;2),"",IF(Q453=_xlfn.MINIFS($Q$2:$Q$3058,$A$2:$A$3058,A453,$P$2:$P$3058,"OK"),"KEEP","DROP"))</f>
        <v/>
      </c>
      <c r="T453" s="9" t="n">
        <f aca="false">IF(A453="",1,0)</f>
        <v>0</v>
      </c>
      <c r="U453" s="9" t="n">
        <f aca="false">IF(D453="",1,0)</f>
        <v>0</v>
      </c>
      <c r="V453" s="9" t="n">
        <f aca="false">IF(E453="",1,0)</f>
        <v>0</v>
      </c>
      <c r="W453" s="9" t="n">
        <f aca="false">IF(OR(H453&lt;1,H453&gt;10),1,0)</f>
        <v>0</v>
      </c>
      <c r="X453" s="9" t="n">
        <f aca="false">IF(OR(I453&lt;=0,I453&gt;1500),1,0)</f>
        <v>0</v>
      </c>
      <c r="Y453" s="9" t="n">
        <f aca="false">IF(J453&gt;H453*I453,1,0)</f>
        <v>0</v>
      </c>
      <c r="Z453" s="9" t="n">
        <f aca="false">IF(AND(N453&lt;&gt;"",OR(N453&lt;1,N453&gt;5)),1,0)</f>
        <v>0</v>
      </c>
      <c r="AA453" s="9" t="n">
        <f aca="false">IF(AND(M453&lt;&gt;"",OR(M453&lt;5,M453&gt;180)),1,0)</f>
        <v>0</v>
      </c>
      <c r="AB453" s="7" t="str">
        <f aca="false">IF(P453="DUP","Exact duplicate row",IF(T453=1,"Missing Order ID",IF(S453="DROP","Duplicate Order ID (less complete row)",IF(U453=1,"Missing Customer ID",IF(V453=1,"Missing Restaurant name",IF(W453=1,"Invalid/outlier quantity",IF(X453=1,"Invalid/outlier unit price",IF(Y453=1,"Discount greater than order value",""))))))))</f>
        <v/>
      </c>
      <c r="AC453" s="7" t="str">
        <f aca="false">IF(AB453="","KEEP","DROP")</f>
        <v>KEEP</v>
      </c>
      <c r="AD453" s="7" t="str">
        <f aca="false">IF(TRIM(F453)="",IFERROR(INDEX(Map_Tables!$I$4:$I$37,MATCH(TRIM(E453),Map_Tables!$G$4:$G$37,0)),""),IFERROR(INDEX(Map_Tables!$B$4:$B$18,MATCH(TRIM(F453),Map_Tables!$A$4:$A$18,0)),"CHECK"))</f>
        <v>Mumbai</v>
      </c>
      <c r="AE453" s="7" t="str">
        <f aca="false">IF(TRIM(E453)="","",IFERROR(INDEX(Map_Tables!$H$4:$H$37,MATCH(TRIM(E453),Map_Tables!$G$4:$G$37,0)),"CHECK"))</f>
        <v>Pav Bhaji Point</v>
      </c>
      <c r="AF453" s="7" t="str">
        <f aca="false">IF(TRIM(K453)="","Unknown",IFERROR(INDEX(Map_Tables!$E$4:$E$15,MATCH(TRIM(K453),Map_Tables!$D$4:$D$15,0)),"CHECK"))</f>
        <v>Debit Card</v>
      </c>
      <c r="AG453" s="7" t="str">
        <f aca="false">IF(LEFT(LOWER(TRIM(L453)),6)="cancel","Cancelled","Delivered")</f>
        <v>Delivered</v>
      </c>
      <c r="AH453" s="10" t="n">
        <f aca="false">IF(ISNUMBER(SEARCH("/",B453)),DATE(VALUE(RIGHT(B453,4)),VALUE(MID(B453,4,2)),VALUE(LEFT(B453,2))),IF(MID(B453,5,1)="-",DATE(VALUE(LEFT(B453,4)),VALUE(MID(B453,6,2)),VALUE(RIGHT(B453,2))),DATE(VALUE(RIGHT(B453,4)),MATCH(MID(B453,4,3),{"Jan","Feb","Mar","Apr","May","Jun","Jul","Aug","Sep","Oct","Nov","Dec"},0),VALUE(LEFT(B453,2)))))</f>
        <v>45918</v>
      </c>
    </row>
    <row r="454" customFormat="false" ht="15" hidden="false" customHeight="false" outlineLevel="0" collapsed="false">
      <c r="A454" s="7" t="s">
        <v>1730</v>
      </c>
      <c r="B454" s="7" t="s">
        <v>1357</v>
      </c>
      <c r="C454" s="7" t="s">
        <v>1277</v>
      </c>
      <c r="D454" s="7" t="s">
        <v>1731</v>
      </c>
      <c r="E454" s="7" t="s">
        <v>168</v>
      </c>
      <c r="F454" s="7" t="s">
        <v>146</v>
      </c>
      <c r="G454" s="7" t="s">
        <v>123</v>
      </c>
      <c r="H454" s="7" t="n">
        <v>3</v>
      </c>
      <c r="I454" s="7" t="n">
        <v>355</v>
      </c>
      <c r="J454" s="7" t="n">
        <v>30</v>
      </c>
      <c r="K454" s="7" t="s">
        <v>229</v>
      </c>
      <c r="L454" s="7" t="s">
        <v>194</v>
      </c>
      <c r="M454" s="7" t="n">
        <v>32</v>
      </c>
      <c r="N454" s="7" t="n">
        <v>5</v>
      </c>
      <c r="O454" s="7" t="str">
        <f aca="false">A454&amp;"|"&amp;B454&amp;"|"&amp;C454&amp;"|"&amp;D454&amp;"|"&amp;E454&amp;"|"&amp;F454&amp;"|"&amp;G454&amp;"|"&amp;H454&amp;"|"&amp;I454&amp;"|"&amp;J454&amp;"|"&amp;K454&amp;"|"&amp;L454&amp;"|"&amp;M454&amp;"|"&amp;N454</f>
        <v>ORD12046|2025-09-21|22:46|C0328|Cheesy Slice|Ahmedabad|Pizza|3|355|30|Upi|Delivered|32|5</v>
      </c>
      <c r="P454" s="7" t="str">
        <f aca="false">IF(COUNTIF($O$2:O454,O454)&gt;1,"DUP","OK")</f>
        <v>OK</v>
      </c>
      <c r="Q454" s="7" t="n">
        <f aca="false">COUNTBLANK(A454:N454)</f>
        <v>0</v>
      </c>
      <c r="R454" s="7" t="n">
        <f aca="false">IF(A454="",0,COUNTIFS($A$2:$A$3058,A454,$P$2:$P$3058,"OK"))</f>
        <v>1</v>
      </c>
      <c r="S454" s="7" t="str">
        <f aca="false">IF(OR(A454="",P454="DUP",R454&lt;2),"",IF(Q454=_xlfn.MINIFS($Q$2:$Q$3058,$A$2:$A$3058,A454,$P$2:$P$3058,"OK"),"KEEP","DROP"))</f>
        <v/>
      </c>
      <c r="T454" s="9" t="n">
        <f aca="false">IF(A454="",1,0)</f>
        <v>0</v>
      </c>
      <c r="U454" s="9" t="n">
        <f aca="false">IF(D454="",1,0)</f>
        <v>0</v>
      </c>
      <c r="V454" s="9" t="n">
        <f aca="false">IF(E454="",1,0)</f>
        <v>0</v>
      </c>
      <c r="W454" s="9" t="n">
        <f aca="false">IF(OR(H454&lt;1,H454&gt;10),1,0)</f>
        <v>0</v>
      </c>
      <c r="X454" s="9" t="n">
        <f aca="false">IF(OR(I454&lt;=0,I454&gt;1500),1,0)</f>
        <v>0</v>
      </c>
      <c r="Y454" s="9" t="n">
        <f aca="false">IF(J454&gt;H454*I454,1,0)</f>
        <v>0</v>
      </c>
      <c r="Z454" s="9" t="n">
        <f aca="false">IF(AND(N454&lt;&gt;"",OR(N454&lt;1,N454&gt;5)),1,0)</f>
        <v>0</v>
      </c>
      <c r="AA454" s="9" t="n">
        <f aca="false">IF(AND(M454&lt;&gt;"",OR(M454&lt;5,M454&gt;180)),1,0)</f>
        <v>0</v>
      </c>
      <c r="AB454" s="7" t="str">
        <f aca="false">IF(P454="DUP","Exact duplicate row",IF(T454=1,"Missing Order ID",IF(S454="DROP","Duplicate Order ID (less complete row)",IF(U454=1,"Missing Customer ID",IF(V454=1,"Missing Restaurant name",IF(W454=1,"Invalid/outlier quantity",IF(X454=1,"Invalid/outlier unit price",IF(Y454=1,"Discount greater than order value",""))))))))</f>
        <v/>
      </c>
      <c r="AC454" s="7" t="str">
        <f aca="false">IF(AB454="","KEEP","DROP")</f>
        <v>KEEP</v>
      </c>
      <c r="AD454" s="7" t="str">
        <f aca="false">IF(TRIM(F454)="",IFERROR(INDEX(Map_Tables!$I$4:$I$37,MATCH(TRIM(E454),Map_Tables!$G$4:$G$37,0)),""),IFERROR(INDEX(Map_Tables!$B$4:$B$18,MATCH(TRIM(F454),Map_Tables!$A$4:$A$18,0)),"CHECK"))</f>
        <v>Ahmedabad</v>
      </c>
      <c r="AE454" s="7" t="str">
        <f aca="false">IF(TRIM(E454)="","",IFERROR(INDEX(Map_Tables!$H$4:$H$37,MATCH(TRIM(E454),Map_Tables!$G$4:$G$37,0)),"CHECK"))</f>
        <v>Cheesy Slice</v>
      </c>
      <c r="AF454" s="7" t="str">
        <f aca="false">IF(TRIM(K454)="","Unknown",IFERROR(INDEX(Map_Tables!$E$4:$E$15,MATCH(TRIM(K454),Map_Tables!$D$4:$D$15,0)),"CHECK"))</f>
        <v>UPI</v>
      </c>
      <c r="AG454" s="7" t="str">
        <f aca="false">IF(LEFT(LOWER(TRIM(L454)),6)="cancel","Cancelled","Delivered")</f>
        <v>Delivered</v>
      </c>
      <c r="AH454" s="10" t="n">
        <f aca="false">IF(ISNUMBER(SEARCH("/",B454)),DATE(VALUE(RIGHT(B454,4)),VALUE(MID(B454,4,2)),VALUE(LEFT(B454,2))),IF(MID(B454,5,1)="-",DATE(VALUE(LEFT(B454,4)),VALUE(MID(B454,6,2)),VALUE(RIGHT(B454,2))),DATE(VALUE(RIGHT(B454,4)),MATCH(MID(B454,4,3),{"Jan","Feb","Mar","Apr","May","Jun","Jul","Aug","Sep","Oct","Nov","Dec"},0),VALUE(LEFT(B454,2)))))</f>
        <v>45921</v>
      </c>
    </row>
    <row r="455" customFormat="false" ht="15" hidden="false" customHeight="false" outlineLevel="0" collapsed="false">
      <c r="A455" s="7" t="s">
        <v>1732</v>
      </c>
      <c r="B455" s="7" t="s">
        <v>1733</v>
      </c>
      <c r="C455" s="7" t="s">
        <v>1734</v>
      </c>
      <c r="D455" s="7" t="s">
        <v>1735</v>
      </c>
      <c r="E455" s="7" t="s">
        <v>168</v>
      </c>
      <c r="F455" s="7" t="s">
        <v>145</v>
      </c>
      <c r="G455" s="7" t="s">
        <v>123</v>
      </c>
      <c r="H455" s="7" t="n">
        <v>2</v>
      </c>
      <c r="I455" s="7" t="n">
        <v>355</v>
      </c>
      <c r="J455" s="7" t="n">
        <v>0</v>
      </c>
      <c r="K455" s="7" t="s">
        <v>88</v>
      </c>
      <c r="L455" s="7" t="s">
        <v>194</v>
      </c>
      <c r="M455" s="7" t="n">
        <v>15</v>
      </c>
      <c r="N455" s="7" t="n">
        <v>3</v>
      </c>
      <c r="O455" s="7" t="str">
        <f aca="false">A455&amp;"|"&amp;B455&amp;"|"&amp;C455&amp;"|"&amp;D455&amp;"|"&amp;E455&amp;"|"&amp;F455&amp;"|"&amp;G455&amp;"|"&amp;H455&amp;"|"&amp;I455&amp;"|"&amp;J455&amp;"|"&amp;K455&amp;"|"&amp;L455&amp;"|"&amp;M455&amp;"|"&amp;N455</f>
        <v>ORD12594|2025-11-17|17:16|C1251|Cheesy Slice|ahmedabad|Pizza|2|355|0|UPI|Delivered|15|3</v>
      </c>
      <c r="P455" s="7" t="str">
        <f aca="false">IF(COUNTIF($O$2:O455,O455)&gt;1,"DUP","OK")</f>
        <v>OK</v>
      </c>
      <c r="Q455" s="7" t="n">
        <f aca="false">COUNTBLANK(A455:N455)</f>
        <v>0</v>
      </c>
      <c r="R455" s="7" t="n">
        <f aca="false">IF(A455="",0,COUNTIFS($A$2:$A$3058,A455,$P$2:$P$3058,"OK"))</f>
        <v>1</v>
      </c>
      <c r="S455" s="7" t="str">
        <f aca="false">IF(OR(A455="",P455="DUP",R455&lt;2),"",IF(Q455=_xlfn.MINIFS($Q$2:$Q$3058,$A$2:$A$3058,A455,$P$2:$P$3058,"OK"),"KEEP","DROP"))</f>
        <v/>
      </c>
      <c r="T455" s="9" t="n">
        <f aca="false">IF(A455="",1,0)</f>
        <v>0</v>
      </c>
      <c r="U455" s="9" t="n">
        <f aca="false">IF(D455="",1,0)</f>
        <v>0</v>
      </c>
      <c r="V455" s="9" t="n">
        <f aca="false">IF(E455="",1,0)</f>
        <v>0</v>
      </c>
      <c r="W455" s="9" t="n">
        <f aca="false">IF(OR(H455&lt;1,H455&gt;10),1,0)</f>
        <v>0</v>
      </c>
      <c r="X455" s="9" t="n">
        <f aca="false">IF(OR(I455&lt;=0,I455&gt;1500),1,0)</f>
        <v>0</v>
      </c>
      <c r="Y455" s="9" t="n">
        <f aca="false">IF(J455&gt;H455*I455,1,0)</f>
        <v>0</v>
      </c>
      <c r="Z455" s="9" t="n">
        <f aca="false">IF(AND(N455&lt;&gt;"",OR(N455&lt;1,N455&gt;5)),1,0)</f>
        <v>0</v>
      </c>
      <c r="AA455" s="9" t="n">
        <f aca="false">IF(AND(M455&lt;&gt;"",OR(M455&lt;5,M455&gt;180)),1,0)</f>
        <v>0</v>
      </c>
      <c r="AB455" s="7" t="str">
        <f aca="false">IF(P455="DUP","Exact duplicate row",IF(T455=1,"Missing Order ID",IF(S455="DROP","Duplicate Order ID (less complete row)",IF(U455=1,"Missing Customer ID",IF(V455=1,"Missing Restaurant name",IF(W455=1,"Invalid/outlier quantity",IF(X455=1,"Invalid/outlier unit price",IF(Y455=1,"Discount greater than order value",""))))))))</f>
        <v/>
      </c>
      <c r="AC455" s="7" t="str">
        <f aca="false">IF(AB455="","KEEP","DROP")</f>
        <v>KEEP</v>
      </c>
      <c r="AD455" s="7" t="str">
        <f aca="false">IF(TRIM(F455)="",IFERROR(INDEX(Map_Tables!$I$4:$I$37,MATCH(TRIM(E455),Map_Tables!$G$4:$G$37,0)),""),IFERROR(INDEX(Map_Tables!$B$4:$B$18,MATCH(TRIM(F455),Map_Tables!$A$4:$A$18,0)),"CHECK"))</f>
        <v>Ahmedabad</v>
      </c>
      <c r="AE455" s="7" t="str">
        <f aca="false">IF(TRIM(E455)="","",IFERROR(INDEX(Map_Tables!$H$4:$H$37,MATCH(TRIM(E455),Map_Tables!$G$4:$G$37,0)),"CHECK"))</f>
        <v>Cheesy Slice</v>
      </c>
      <c r="AF455" s="7" t="str">
        <f aca="false">IF(TRIM(K455)="","Unknown",IFERROR(INDEX(Map_Tables!$E$4:$E$15,MATCH(TRIM(K455),Map_Tables!$D$4:$D$15,0)),"CHECK"))</f>
        <v>UPI</v>
      </c>
      <c r="AG455" s="7" t="str">
        <f aca="false">IF(LEFT(LOWER(TRIM(L455)),6)="cancel","Cancelled","Delivered")</f>
        <v>Delivered</v>
      </c>
      <c r="AH455" s="10" t="n">
        <f aca="false">IF(ISNUMBER(SEARCH("/",B455)),DATE(VALUE(RIGHT(B455,4)),VALUE(MID(B455,4,2)),VALUE(LEFT(B455,2))),IF(MID(B455,5,1)="-",DATE(VALUE(LEFT(B455,4)),VALUE(MID(B455,6,2)),VALUE(RIGHT(B455,2))),DATE(VALUE(RIGHT(B455,4)),MATCH(MID(B455,4,3),{"Jan","Feb","Mar","Apr","May","Jun","Jul","Aug","Sep","Oct","Nov","Dec"},0),VALUE(LEFT(B455,2)))))</f>
        <v>45978</v>
      </c>
    </row>
    <row r="456" customFormat="false" ht="15" hidden="false" customHeight="false" outlineLevel="0" collapsed="false">
      <c r="A456" s="7" t="s">
        <v>1736</v>
      </c>
      <c r="B456" s="7" t="s">
        <v>271</v>
      </c>
      <c r="C456" s="7" t="s">
        <v>1737</v>
      </c>
      <c r="D456" s="7" t="s">
        <v>1738</v>
      </c>
      <c r="E456" s="7" t="s">
        <v>104</v>
      </c>
      <c r="F456" s="7" t="s">
        <v>86</v>
      </c>
      <c r="G456" s="7" t="s">
        <v>105</v>
      </c>
      <c r="H456" s="7" t="n">
        <v>3</v>
      </c>
      <c r="I456" s="7" t="n">
        <v>210</v>
      </c>
      <c r="J456" s="7" t="n">
        <v>30</v>
      </c>
      <c r="K456" s="7" t="s">
        <v>1739</v>
      </c>
      <c r="L456" s="7" t="s">
        <v>194</v>
      </c>
      <c r="M456" s="7" t="n">
        <v>38</v>
      </c>
      <c r="N456" s="7" t="n">
        <v>4</v>
      </c>
      <c r="O456" s="7" t="str">
        <f aca="false">A456&amp;"|"&amp;B456&amp;"|"&amp;C456&amp;"|"&amp;D456&amp;"|"&amp;E456&amp;"|"&amp;F456&amp;"|"&amp;G456&amp;"|"&amp;H456&amp;"|"&amp;I456&amp;"|"&amp;J456&amp;"|"&amp;K456&amp;"|"&amp;L456&amp;"|"&amp;M456&amp;"|"&amp;N456</f>
        <v>ORD10583|2025-03-15|19:27|C0543|Wok &amp; Roll|Bengaluru|Chinese|3|210|30|CC|Delivered|38|4</v>
      </c>
      <c r="P456" s="7" t="str">
        <f aca="false">IF(COUNTIF($O$2:O456,O456)&gt;1,"DUP","OK")</f>
        <v>OK</v>
      </c>
      <c r="Q456" s="7" t="n">
        <f aca="false">COUNTBLANK(A456:N456)</f>
        <v>0</v>
      </c>
      <c r="R456" s="7" t="n">
        <f aca="false">IF(A456="",0,COUNTIFS($A$2:$A$3058,A456,$P$2:$P$3058,"OK"))</f>
        <v>1</v>
      </c>
      <c r="S456" s="7" t="str">
        <f aca="false">IF(OR(A456="",P456="DUP",R456&lt;2),"",IF(Q456=_xlfn.MINIFS($Q$2:$Q$3058,$A$2:$A$3058,A456,$P$2:$P$3058,"OK"),"KEEP","DROP"))</f>
        <v/>
      </c>
      <c r="T456" s="9" t="n">
        <f aca="false">IF(A456="",1,0)</f>
        <v>0</v>
      </c>
      <c r="U456" s="9" t="n">
        <f aca="false">IF(D456="",1,0)</f>
        <v>0</v>
      </c>
      <c r="V456" s="9" t="n">
        <f aca="false">IF(E456="",1,0)</f>
        <v>0</v>
      </c>
      <c r="W456" s="9" t="n">
        <f aca="false">IF(OR(H456&lt;1,H456&gt;10),1,0)</f>
        <v>0</v>
      </c>
      <c r="X456" s="9" t="n">
        <f aca="false">IF(OR(I456&lt;=0,I456&gt;1500),1,0)</f>
        <v>0</v>
      </c>
      <c r="Y456" s="9" t="n">
        <f aca="false">IF(J456&gt;H456*I456,1,0)</f>
        <v>0</v>
      </c>
      <c r="Z456" s="9" t="n">
        <f aca="false">IF(AND(N456&lt;&gt;"",OR(N456&lt;1,N456&gt;5)),1,0)</f>
        <v>0</v>
      </c>
      <c r="AA456" s="9" t="n">
        <f aca="false">IF(AND(M456&lt;&gt;"",OR(M456&lt;5,M456&gt;180)),1,0)</f>
        <v>0</v>
      </c>
      <c r="AB456" s="7" t="str">
        <f aca="false">IF(P456="DUP","Exact duplicate row",IF(T456=1,"Missing Order ID",IF(S456="DROP","Duplicate Order ID (less complete row)",IF(U456=1,"Missing Customer ID",IF(V456=1,"Missing Restaurant name",IF(W456=1,"Invalid/outlier quantity",IF(X456=1,"Invalid/outlier unit price",IF(Y456=1,"Discount greater than order value",""))))))))</f>
        <v/>
      </c>
      <c r="AC456" s="7" t="str">
        <f aca="false">IF(AB456="","KEEP","DROP")</f>
        <v>KEEP</v>
      </c>
      <c r="AD456" s="7" t="str">
        <f aca="false">IF(TRIM(F456)="",IFERROR(INDEX(Map_Tables!$I$4:$I$37,MATCH(TRIM(E456),Map_Tables!$G$4:$G$37,0)),""),IFERROR(INDEX(Map_Tables!$B$4:$B$18,MATCH(TRIM(F456),Map_Tables!$A$4:$A$18,0)),"CHECK"))</f>
        <v>Bengaluru</v>
      </c>
      <c r="AE456" s="7" t="str">
        <f aca="false">IF(TRIM(E456)="","",IFERROR(INDEX(Map_Tables!$H$4:$H$37,MATCH(TRIM(E456),Map_Tables!$G$4:$G$37,0)),"CHECK"))</f>
        <v>Wok &amp; Roll</v>
      </c>
      <c r="AF456" s="7" t="str">
        <f aca="false">IF(TRIM(K456)="","Unknown",IFERROR(INDEX(Map_Tables!$E$4:$E$15,MATCH(TRIM(K456),Map_Tables!$D$4:$D$15,0)),"CHECK"))</f>
        <v>Credit Card</v>
      </c>
      <c r="AG456" s="7" t="str">
        <f aca="false">IF(LEFT(LOWER(TRIM(L456)),6)="cancel","Cancelled","Delivered")</f>
        <v>Delivered</v>
      </c>
      <c r="AH456" s="10" t="n">
        <f aca="false">IF(ISNUMBER(SEARCH("/",B456)),DATE(VALUE(RIGHT(B456,4)),VALUE(MID(B456,4,2)),VALUE(LEFT(B456,2))),IF(MID(B456,5,1)="-",DATE(VALUE(LEFT(B456,4)),VALUE(MID(B456,6,2)),VALUE(RIGHT(B456,2))),DATE(VALUE(RIGHT(B456,4)),MATCH(MID(B456,4,3),{"Jan","Feb","Mar","Apr","May","Jun","Jul","Aug","Sep","Oct","Nov","Dec"},0),VALUE(LEFT(B456,2)))))</f>
        <v>45731</v>
      </c>
    </row>
    <row r="457" customFormat="false" ht="15" hidden="false" customHeight="false" outlineLevel="0" collapsed="false">
      <c r="A457" s="7" t="s">
        <v>1740</v>
      </c>
      <c r="B457" s="7" t="s">
        <v>838</v>
      </c>
      <c r="C457" s="7" t="s">
        <v>1741</v>
      </c>
      <c r="D457" s="7" t="s">
        <v>1742</v>
      </c>
      <c r="E457" s="7" t="s">
        <v>1743</v>
      </c>
      <c r="F457" s="7" t="s">
        <v>146</v>
      </c>
      <c r="G457" s="7" t="s">
        <v>123</v>
      </c>
      <c r="H457" s="7" t="n">
        <v>2</v>
      </c>
      <c r="I457" s="7" t="n">
        <v>360</v>
      </c>
      <c r="J457" s="7" t="n">
        <v>125</v>
      </c>
      <c r="K457" s="7" t="s">
        <v>103</v>
      </c>
      <c r="L457" s="7" t="s">
        <v>194</v>
      </c>
      <c r="M457" s="7" t="n">
        <v>35</v>
      </c>
      <c r="N457" s="7" t="n">
        <v>3</v>
      </c>
      <c r="O457" s="7" t="str">
        <f aca="false">A457&amp;"|"&amp;B457&amp;"|"&amp;C457&amp;"|"&amp;D457&amp;"|"&amp;E457&amp;"|"&amp;F457&amp;"|"&amp;G457&amp;"|"&amp;H457&amp;"|"&amp;I457&amp;"|"&amp;J457&amp;"|"&amp;K457&amp;"|"&amp;L457&amp;"|"&amp;M457&amp;"|"&amp;N457</f>
        <v>ORD10434|2025-02-28|12:08|C1102|Cheesy Slice |Ahmedabad|Pizza|2|360|125|Debit Card|Delivered|35|3</v>
      </c>
      <c r="P457" s="7" t="str">
        <f aca="false">IF(COUNTIF($O$2:O457,O457)&gt;1,"DUP","OK")</f>
        <v>OK</v>
      </c>
      <c r="Q457" s="7" t="n">
        <f aca="false">COUNTBLANK(A457:N457)</f>
        <v>0</v>
      </c>
      <c r="R457" s="7" t="n">
        <f aca="false">IF(A457="",0,COUNTIFS($A$2:$A$3058,A457,$P$2:$P$3058,"OK"))</f>
        <v>1</v>
      </c>
      <c r="S457" s="7" t="str">
        <f aca="false">IF(OR(A457="",P457="DUP",R457&lt;2),"",IF(Q457=_xlfn.MINIFS($Q$2:$Q$3058,$A$2:$A$3058,A457,$P$2:$P$3058,"OK"),"KEEP","DROP"))</f>
        <v/>
      </c>
      <c r="T457" s="9" t="n">
        <f aca="false">IF(A457="",1,0)</f>
        <v>0</v>
      </c>
      <c r="U457" s="9" t="n">
        <f aca="false">IF(D457="",1,0)</f>
        <v>0</v>
      </c>
      <c r="V457" s="9" t="n">
        <f aca="false">IF(E457="",1,0)</f>
        <v>0</v>
      </c>
      <c r="W457" s="9" t="n">
        <f aca="false">IF(OR(H457&lt;1,H457&gt;10),1,0)</f>
        <v>0</v>
      </c>
      <c r="X457" s="9" t="n">
        <f aca="false">IF(OR(I457&lt;=0,I457&gt;1500),1,0)</f>
        <v>0</v>
      </c>
      <c r="Y457" s="9" t="n">
        <f aca="false">IF(J457&gt;H457*I457,1,0)</f>
        <v>0</v>
      </c>
      <c r="Z457" s="9" t="n">
        <f aca="false">IF(AND(N457&lt;&gt;"",OR(N457&lt;1,N457&gt;5)),1,0)</f>
        <v>0</v>
      </c>
      <c r="AA457" s="9" t="n">
        <f aca="false">IF(AND(M457&lt;&gt;"",OR(M457&lt;5,M457&gt;180)),1,0)</f>
        <v>0</v>
      </c>
      <c r="AB457" s="7" t="str">
        <f aca="false">IF(P457="DUP","Exact duplicate row",IF(T457=1,"Missing Order ID",IF(S457="DROP","Duplicate Order ID (less complete row)",IF(U457=1,"Missing Customer ID",IF(V457=1,"Missing Restaurant name",IF(W457=1,"Invalid/outlier quantity",IF(X457=1,"Invalid/outlier unit price",IF(Y457=1,"Discount greater than order value",""))))))))</f>
        <v/>
      </c>
      <c r="AC457" s="7" t="str">
        <f aca="false">IF(AB457="","KEEP","DROP")</f>
        <v>KEEP</v>
      </c>
      <c r="AD457" s="7" t="str">
        <f aca="false">IF(TRIM(F457)="",IFERROR(INDEX(Map_Tables!$I$4:$I$37,MATCH(TRIM(E457),Map_Tables!$G$4:$G$37,0)),""),IFERROR(INDEX(Map_Tables!$B$4:$B$18,MATCH(TRIM(F457),Map_Tables!$A$4:$A$18,0)),"CHECK"))</f>
        <v>Ahmedabad</v>
      </c>
      <c r="AE457" s="7" t="str">
        <f aca="false">IF(TRIM(E457)="","",IFERROR(INDEX(Map_Tables!$H$4:$H$37,MATCH(TRIM(E457),Map_Tables!$G$4:$G$37,0)),"CHECK"))</f>
        <v>Cheesy Slice</v>
      </c>
      <c r="AF457" s="7" t="str">
        <f aca="false">IF(TRIM(K457)="","Unknown",IFERROR(INDEX(Map_Tables!$E$4:$E$15,MATCH(TRIM(K457),Map_Tables!$D$4:$D$15,0)),"CHECK"))</f>
        <v>Debit Card</v>
      </c>
      <c r="AG457" s="7" t="str">
        <f aca="false">IF(LEFT(LOWER(TRIM(L457)),6)="cancel","Cancelled","Delivered")</f>
        <v>Delivered</v>
      </c>
      <c r="AH457" s="10" t="n">
        <f aca="false">IF(ISNUMBER(SEARCH("/",B457)),DATE(VALUE(RIGHT(B457,4)),VALUE(MID(B457,4,2)),VALUE(LEFT(B457,2))),IF(MID(B457,5,1)="-",DATE(VALUE(LEFT(B457,4)),VALUE(MID(B457,6,2)),VALUE(RIGHT(B457,2))),DATE(VALUE(RIGHT(B457,4)),MATCH(MID(B457,4,3),{"Jan","Feb","Mar","Apr","May","Jun","Jul","Aug","Sep","Oct","Nov","Dec"},0),VALUE(LEFT(B457,2)))))</f>
        <v>45716</v>
      </c>
    </row>
    <row r="458" customFormat="false" ht="15" hidden="false" customHeight="false" outlineLevel="0" collapsed="false">
      <c r="A458" s="7" t="s">
        <v>1744</v>
      </c>
      <c r="B458" s="7" t="s">
        <v>657</v>
      </c>
      <c r="C458" s="7" t="s">
        <v>1745</v>
      </c>
      <c r="D458" s="7" t="s">
        <v>1122</v>
      </c>
      <c r="E458" s="7" t="s">
        <v>126</v>
      </c>
      <c r="F458" s="7" t="s">
        <v>101</v>
      </c>
      <c r="G458" s="7" t="s">
        <v>105</v>
      </c>
      <c r="H458" s="7" t="n">
        <v>3</v>
      </c>
      <c r="I458" s="7" t="n">
        <v>220</v>
      </c>
      <c r="J458" s="7" t="n">
        <v>0</v>
      </c>
      <c r="K458" s="7" t="s">
        <v>88</v>
      </c>
      <c r="L458" s="7" t="s">
        <v>194</v>
      </c>
      <c r="M458" s="7" t="n">
        <v>35</v>
      </c>
      <c r="N458" s="7" t="n">
        <v>3</v>
      </c>
      <c r="O458" s="7" t="str">
        <f aca="false">A458&amp;"|"&amp;B458&amp;"|"&amp;C458&amp;"|"&amp;D458&amp;"|"&amp;E458&amp;"|"&amp;F458&amp;"|"&amp;G458&amp;"|"&amp;H458&amp;"|"&amp;I458&amp;"|"&amp;J458&amp;"|"&amp;K458&amp;"|"&amp;L458&amp;"|"&amp;M458&amp;"|"&amp;N458</f>
        <v>ORD11307|18-Jun-2025|10:25|C0636|Dragon Express|Mumbai|Chinese|3|220|0|UPI|Delivered|35|3</v>
      </c>
      <c r="P458" s="7" t="str">
        <f aca="false">IF(COUNTIF($O$2:O458,O458)&gt;1,"DUP","OK")</f>
        <v>OK</v>
      </c>
      <c r="Q458" s="7" t="n">
        <f aca="false">COUNTBLANK(A458:N458)</f>
        <v>0</v>
      </c>
      <c r="R458" s="7" t="n">
        <f aca="false">IF(A458="",0,COUNTIFS($A$2:$A$3058,A458,$P$2:$P$3058,"OK"))</f>
        <v>1</v>
      </c>
      <c r="S458" s="7" t="str">
        <f aca="false">IF(OR(A458="",P458="DUP",R458&lt;2),"",IF(Q458=_xlfn.MINIFS($Q$2:$Q$3058,$A$2:$A$3058,A458,$P$2:$P$3058,"OK"),"KEEP","DROP"))</f>
        <v/>
      </c>
      <c r="T458" s="9" t="n">
        <f aca="false">IF(A458="",1,0)</f>
        <v>0</v>
      </c>
      <c r="U458" s="9" t="n">
        <f aca="false">IF(D458="",1,0)</f>
        <v>0</v>
      </c>
      <c r="V458" s="9" t="n">
        <f aca="false">IF(E458="",1,0)</f>
        <v>0</v>
      </c>
      <c r="W458" s="9" t="n">
        <f aca="false">IF(OR(H458&lt;1,H458&gt;10),1,0)</f>
        <v>0</v>
      </c>
      <c r="X458" s="9" t="n">
        <f aca="false">IF(OR(I458&lt;=0,I458&gt;1500),1,0)</f>
        <v>0</v>
      </c>
      <c r="Y458" s="9" t="n">
        <f aca="false">IF(J458&gt;H458*I458,1,0)</f>
        <v>0</v>
      </c>
      <c r="Z458" s="9" t="n">
        <f aca="false">IF(AND(N458&lt;&gt;"",OR(N458&lt;1,N458&gt;5)),1,0)</f>
        <v>0</v>
      </c>
      <c r="AA458" s="9" t="n">
        <f aca="false">IF(AND(M458&lt;&gt;"",OR(M458&lt;5,M458&gt;180)),1,0)</f>
        <v>0</v>
      </c>
      <c r="AB458" s="7" t="str">
        <f aca="false">IF(P458="DUP","Exact duplicate row",IF(T458=1,"Missing Order ID",IF(S458="DROP","Duplicate Order ID (less complete row)",IF(U458=1,"Missing Customer ID",IF(V458=1,"Missing Restaurant name",IF(W458=1,"Invalid/outlier quantity",IF(X458=1,"Invalid/outlier unit price",IF(Y458=1,"Discount greater than order value",""))))))))</f>
        <v/>
      </c>
      <c r="AC458" s="7" t="str">
        <f aca="false">IF(AB458="","KEEP","DROP")</f>
        <v>KEEP</v>
      </c>
      <c r="AD458" s="7" t="str">
        <f aca="false">IF(TRIM(F458)="",IFERROR(INDEX(Map_Tables!$I$4:$I$37,MATCH(TRIM(E458),Map_Tables!$G$4:$G$37,0)),""),IFERROR(INDEX(Map_Tables!$B$4:$B$18,MATCH(TRIM(F458),Map_Tables!$A$4:$A$18,0)),"CHECK"))</f>
        <v>Mumbai</v>
      </c>
      <c r="AE458" s="7" t="str">
        <f aca="false">IF(TRIM(E458)="","",IFERROR(INDEX(Map_Tables!$H$4:$H$37,MATCH(TRIM(E458),Map_Tables!$G$4:$G$37,0)),"CHECK"))</f>
        <v>Dragon Express</v>
      </c>
      <c r="AF458" s="7" t="str">
        <f aca="false">IF(TRIM(K458)="","Unknown",IFERROR(INDEX(Map_Tables!$E$4:$E$15,MATCH(TRIM(K458),Map_Tables!$D$4:$D$15,0)),"CHECK"))</f>
        <v>UPI</v>
      </c>
      <c r="AG458" s="7" t="str">
        <f aca="false">IF(LEFT(LOWER(TRIM(L458)),6)="cancel","Cancelled","Delivered")</f>
        <v>Delivered</v>
      </c>
      <c r="AH458" s="10" t="n">
        <f aca="false">IF(ISNUMBER(SEARCH("/",B458)),DATE(VALUE(RIGHT(B458,4)),VALUE(MID(B458,4,2)),VALUE(LEFT(B458,2))),IF(MID(B458,5,1)="-",DATE(VALUE(LEFT(B458,4)),VALUE(MID(B458,6,2)),VALUE(RIGHT(B458,2))),DATE(VALUE(RIGHT(B458,4)),MATCH(MID(B458,4,3),{"Jan","Feb","Mar","Apr","May","Jun","Jul","Aug","Sep","Oct","Nov","Dec"},0),VALUE(LEFT(B458,2)))))</f>
        <v>45826</v>
      </c>
    </row>
    <row r="459" customFormat="false" ht="15" hidden="false" customHeight="false" outlineLevel="0" collapsed="false">
      <c r="A459" s="7" t="s">
        <v>1746</v>
      </c>
      <c r="B459" s="7" t="s">
        <v>222</v>
      </c>
      <c r="C459" s="7" t="s">
        <v>555</v>
      </c>
      <c r="D459" s="7" t="s">
        <v>1747</v>
      </c>
      <c r="E459" s="7" t="s">
        <v>98</v>
      </c>
      <c r="F459" s="7" t="s">
        <v>86</v>
      </c>
      <c r="G459" s="7" t="s">
        <v>99</v>
      </c>
      <c r="H459" s="7" t="n">
        <v>3</v>
      </c>
      <c r="I459" s="7" t="n">
        <v>235</v>
      </c>
      <c r="J459" s="7" t="n">
        <v>0</v>
      </c>
      <c r="K459" s="7" t="s">
        <v>112</v>
      </c>
      <c r="L459" s="7" t="s">
        <v>194</v>
      </c>
      <c r="M459" s="7" t="n">
        <v>28</v>
      </c>
      <c r="N459" s="7" t="n">
        <v>3</v>
      </c>
      <c r="O459" s="7" t="str">
        <f aca="false">A459&amp;"|"&amp;B459&amp;"|"&amp;C459&amp;"|"&amp;D459&amp;"|"&amp;E459&amp;"|"&amp;F459&amp;"|"&amp;G459&amp;"|"&amp;H459&amp;"|"&amp;I459&amp;"|"&amp;J459&amp;"|"&amp;K459&amp;"|"&amp;L459&amp;"|"&amp;M459&amp;"|"&amp;N459</f>
        <v>ORD12793|2025-12-07|18:12|C0536|Nawabi Biryani House|Bengaluru|Biryani|3|235|0|Cash on Delivery|Delivered|28|3</v>
      </c>
      <c r="P459" s="7" t="str">
        <f aca="false">IF(COUNTIF($O$2:O459,O459)&gt;1,"DUP","OK")</f>
        <v>OK</v>
      </c>
      <c r="Q459" s="7" t="n">
        <f aca="false">COUNTBLANK(A459:N459)</f>
        <v>0</v>
      </c>
      <c r="R459" s="7" t="n">
        <f aca="false">IF(A459="",0,COUNTIFS($A$2:$A$3058,A459,$P$2:$P$3058,"OK"))</f>
        <v>1</v>
      </c>
      <c r="S459" s="7" t="str">
        <f aca="false">IF(OR(A459="",P459="DUP",R459&lt;2),"",IF(Q459=_xlfn.MINIFS($Q$2:$Q$3058,$A$2:$A$3058,A459,$P$2:$P$3058,"OK"),"KEEP","DROP"))</f>
        <v/>
      </c>
      <c r="T459" s="9" t="n">
        <f aca="false">IF(A459="",1,0)</f>
        <v>0</v>
      </c>
      <c r="U459" s="9" t="n">
        <f aca="false">IF(D459="",1,0)</f>
        <v>0</v>
      </c>
      <c r="V459" s="9" t="n">
        <f aca="false">IF(E459="",1,0)</f>
        <v>0</v>
      </c>
      <c r="W459" s="9" t="n">
        <f aca="false">IF(OR(H459&lt;1,H459&gt;10),1,0)</f>
        <v>0</v>
      </c>
      <c r="X459" s="9" t="n">
        <f aca="false">IF(OR(I459&lt;=0,I459&gt;1500),1,0)</f>
        <v>0</v>
      </c>
      <c r="Y459" s="9" t="n">
        <f aca="false">IF(J459&gt;H459*I459,1,0)</f>
        <v>0</v>
      </c>
      <c r="Z459" s="9" t="n">
        <f aca="false">IF(AND(N459&lt;&gt;"",OR(N459&lt;1,N459&gt;5)),1,0)</f>
        <v>0</v>
      </c>
      <c r="AA459" s="9" t="n">
        <f aca="false">IF(AND(M459&lt;&gt;"",OR(M459&lt;5,M459&gt;180)),1,0)</f>
        <v>0</v>
      </c>
      <c r="AB459" s="7" t="str">
        <f aca="false">IF(P459="DUP","Exact duplicate row",IF(T459=1,"Missing Order ID",IF(S459="DROP","Duplicate Order ID (less complete row)",IF(U459=1,"Missing Customer ID",IF(V459=1,"Missing Restaurant name",IF(W459=1,"Invalid/outlier quantity",IF(X459=1,"Invalid/outlier unit price",IF(Y459=1,"Discount greater than order value",""))))))))</f>
        <v/>
      </c>
      <c r="AC459" s="7" t="str">
        <f aca="false">IF(AB459="","KEEP","DROP")</f>
        <v>KEEP</v>
      </c>
      <c r="AD459" s="7" t="str">
        <f aca="false">IF(TRIM(F459)="",IFERROR(INDEX(Map_Tables!$I$4:$I$37,MATCH(TRIM(E459),Map_Tables!$G$4:$G$37,0)),""),IFERROR(INDEX(Map_Tables!$B$4:$B$18,MATCH(TRIM(F459),Map_Tables!$A$4:$A$18,0)),"CHECK"))</f>
        <v>Bengaluru</v>
      </c>
      <c r="AE459" s="7" t="str">
        <f aca="false">IF(TRIM(E459)="","",IFERROR(INDEX(Map_Tables!$H$4:$H$37,MATCH(TRIM(E459),Map_Tables!$G$4:$G$37,0)),"CHECK"))</f>
        <v>Nawabi Biryani House</v>
      </c>
      <c r="AF459" s="7" t="str">
        <f aca="false">IF(TRIM(K459)="","Unknown",IFERROR(INDEX(Map_Tables!$E$4:$E$15,MATCH(TRIM(K459),Map_Tables!$D$4:$D$15,0)),"CHECK"))</f>
        <v>Cash on Delivery</v>
      </c>
      <c r="AG459" s="7" t="str">
        <f aca="false">IF(LEFT(LOWER(TRIM(L459)),6)="cancel","Cancelled","Delivered")</f>
        <v>Delivered</v>
      </c>
      <c r="AH459" s="10" t="n">
        <f aca="false">IF(ISNUMBER(SEARCH("/",B459)),DATE(VALUE(RIGHT(B459,4)),VALUE(MID(B459,4,2)),VALUE(LEFT(B459,2))),IF(MID(B459,5,1)="-",DATE(VALUE(LEFT(B459,4)),VALUE(MID(B459,6,2)),VALUE(RIGHT(B459,2))),DATE(VALUE(RIGHT(B459,4)),MATCH(MID(B459,4,3),{"Jan","Feb","Mar","Apr","May","Jun","Jul","Aug","Sep","Oct","Nov","Dec"},0),VALUE(LEFT(B459,2)))))</f>
        <v>45998</v>
      </c>
    </row>
    <row r="460" customFormat="false" ht="15" hidden="false" customHeight="false" outlineLevel="0" collapsed="false">
      <c r="A460" s="7" t="s">
        <v>1748</v>
      </c>
      <c r="B460" s="7" t="s">
        <v>427</v>
      </c>
      <c r="C460" s="7" t="s">
        <v>1749</v>
      </c>
      <c r="D460" s="7" t="s">
        <v>1750</v>
      </c>
      <c r="E460" s="7" t="s">
        <v>126</v>
      </c>
      <c r="F460" s="7" t="s">
        <v>101</v>
      </c>
      <c r="G460" s="7" t="s">
        <v>105</v>
      </c>
      <c r="H460" s="7" t="n">
        <v>3</v>
      </c>
      <c r="I460" s="7" t="n">
        <v>230</v>
      </c>
      <c r="J460" s="7" t="n">
        <v>0</v>
      </c>
      <c r="K460" s="7"/>
      <c r="L460" s="7" t="s">
        <v>194</v>
      </c>
      <c r="M460" s="7" t="n">
        <v>39</v>
      </c>
      <c r="N460" s="7"/>
      <c r="O460" s="7" t="str">
        <f aca="false">A460&amp;"|"&amp;B460&amp;"|"&amp;C460&amp;"|"&amp;D460&amp;"|"&amp;E460&amp;"|"&amp;F460&amp;"|"&amp;G460&amp;"|"&amp;H460&amp;"|"&amp;I460&amp;"|"&amp;J460&amp;"|"&amp;K460&amp;"|"&amp;L460&amp;"|"&amp;M460&amp;"|"&amp;N460</f>
        <v>ORD11816|2025-08-25|14:44|C0513|Dragon Express|Mumbai|Chinese|3|230|0||Delivered|39|</v>
      </c>
      <c r="P460" s="7" t="str">
        <f aca="false">IF(COUNTIF($O$2:O460,O460)&gt;1,"DUP","OK")</f>
        <v>OK</v>
      </c>
      <c r="Q460" s="7" t="n">
        <f aca="false">COUNTBLANK(A460:N460)</f>
        <v>2</v>
      </c>
      <c r="R460" s="7" t="n">
        <f aca="false">IF(A460="",0,COUNTIFS($A$2:$A$3058,A460,$P$2:$P$3058,"OK"))</f>
        <v>1</v>
      </c>
      <c r="S460" s="7" t="str">
        <f aca="false">IF(OR(A460="",P460="DUP",R460&lt;2),"",IF(Q460=_xlfn.MINIFS($Q$2:$Q$3058,$A$2:$A$3058,A460,$P$2:$P$3058,"OK"),"KEEP","DROP"))</f>
        <v/>
      </c>
      <c r="T460" s="9" t="n">
        <f aca="false">IF(A460="",1,0)</f>
        <v>0</v>
      </c>
      <c r="U460" s="9" t="n">
        <f aca="false">IF(D460="",1,0)</f>
        <v>0</v>
      </c>
      <c r="V460" s="9" t="n">
        <f aca="false">IF(E460="",1,0)</f>
        <v>0</v>
      </c>
      <c r="W460" s="9" t="n">
        <f aca="false">IF(OR(H460&lt;1,H460&gt;10),1,0)</f>
        <v>0</v>
      </c>
      <c r="X460" s="9" t="n">
        <f aca="false">IF(OR(I460&lt;=0,I460&gt;1500),1,0)</f>
        <v>0</v>
      </c>
      <c r="Y460" s="9" t="n">
        <f aca="false">IF(J460&gt;H460*I460,1,0)</f>
        <v>0</v>
      </c>
      <c r="Z460" s="9" t="n">
        <f aca="false">IF(AND(N460&lt;&gt;"",OR(N460&lt;1,N460&gt;5)),1,0)</f>
        <v>0</v>
      </c>
      <c r="AA460" s="9" t="n">
        <f aca="false">IF(AND(M460&lt;&gt;"",OR(M460&lt;5,M460&gt;180)),1,0)</f>
        <v>0</v>
      </c>
      <c r="AB460" s="7" t="str">
        <f aca="false">IF(P460="DUP","Exact duplicate row",IF(T460=1,"Missing Order ID",IF(S460="DROP","Duplicate Order ID (less complete row)",IF(U460=1,"Missing Customer ID",IF(V460=1,"Missing Restaurant name",IF(W460=1,"Invalid/outlier quantity",IF(X460=1,"Invalid/outlier unit price",IF(Y460=1,"Discount greater than order value",""))))))))</f>
        <v/>
      </c>
      <c r="AC460" s="7" t="str">
        <f aca="false">IF(AB460="","KEEP","DROP")</f>
        <v>KEEP</v>
      </c>
      <c r="AD460" s="7" t="str">
        <f aca="false">IF(TRIM(F460)="",IFERROR(INDEX(Map_Tables!$I$4:$I$37,MATCH(TRIM(E460),Map_Tables!$G$4:$G$37,0)),""),IFERROR(INDEX(Map_Tables!$B$4:$B$18,MATCH(TRIM(F460),Map_Tables!$A$4:$A$18,0)),"CHECK"))</f>
        <v>Mumbai</v>
      </c>
      <c r="AE460" s="7" t="str">
        <f aca="false">IF(TRIM(E460)="","",IFERROR(INDEX(Map_Tables!$H$4:$H$37,MATCH(TRIM(E460),Map_Tables!$G$4:$G$37,0)),"CHECK"))</f>
        <v>Dragon Express</v>
      </c>
      <c r="AF460" s="7" t="str">
        <f aca="false">IF(TRIM(K460)="","Unknown",IFERROR(INDEX(Map_Tables!$E$4:$E$15,MATCH(TRIM(K460),Map_Tables!$D$4:$D$15,0)),"CHECK"))</f>
        <v>Unknown</v>
      </c>
      <c r="AG460" s="7" t="str">
        <f aca="false">IF(LEFT(LOWER(TRIM(L460)),6)="cancel","Cancelled","Delivered")</f>
        <v>Delivered</v>
      </c>
      <c r="AH460" s="10" t="n">
        <f aca="false">IF(ISNUMBER(SEARCH("/",B460)),DATE(VALUE(RIGHT(B460,4)),VALUE(MID(B460,4,2)),VALUE(LEFT(B460,2))),IF(MID(B460,5,1)="-",DATE(VALUE(LEFT(B460,4)),VALUE(MID(B460,6,2)),VALUE(RIGHT(B460,2))),DATE(VALUE(RIGHT(B460,4)),MATCH(MID(B460,4,3),{"Jan","Feb","Mar","Apr","May","Jun","Jul","Aug","Sep","Oct","Nov","Dec"},0),VALUE(LEFT(B460,2)))))</f>
        <v>45894</v>
      </c>
    </row>
    <row r="461" customFormat="false" ht="15" hidden="false" customHeight="false" outlineLevel="0" collapsed="false">
      <c r="A461" s="7" t="s">
        <v>1751</v>
      </c>
      <c r="B461" s="7" t="s">
        <v>1752</v>
      </c>
      <c r="C461" s="7" t="s">
        <v>1677</v>
      </c>
      <c r="D461" s="7" t="s">
        <v>1753</v>
      </c>
      <c r="E461" s="7" t="s">
        <v>104</v>
      </c>
      <c r="F461" s="7" t="s">
        <v>86</v>
      </c>
      <c r="G461" s="7" t="s">
        <v>105</v>
      </c>
      <c r="H461" s="7" t="n">
        <v>2</v>
      </c>
      <c r="I461" s="7" t="n">
        <v>230</v>
      </c>
      <c r="J461" s="7" t="n">
        <v>0</v>
      </c>
      <c r="K461" s="7" t="s">
        <v>88</v>
      </c>
      <c r="L461" s="7" t="s">
        <v>194</v>
      </c>
      <c r="M461" s="7" t="n">
        <v>35</v>
      </c>
      <c r="N461" s="7" t="n">
        <v>4</v>
      </c>
      <c r="O461" s="7" t="str">
        <f aca="false">A461&amp;"|"&amp;B461&amp;"|"&amp;C461&amp;"|"&amp;D461&amp;"|"&amp;E461&amp;"|"&amp;F461&amp;"|"&amp;G461&amp;"|"&amp;H461&amp;"|"&amp;I461&amp;"|"&amp;J461&amp;"|"&amp;K461&amp;"|"&amp;L461&amp;"|"&amp;M461&amp;"|"&amp;N461</f>
        <v>ORD10948|2025-04-30|10:19|C1218|Wok &amp; Roll|Bengaluru|Chinese|2|230|0|UPI|Delivered|35|4</v>
      </c>
      <c r="P461" s="7" t="str">
        <f aca="false">IF(COUNTIF($O$2:O461,O461)&gt;1,"DUP","OK")</f>
        <v>OK</v>
      </c>
      <c r="Q461" s="7" t="n">
        <f aca="false">COUNTBLANK(A461:N461)</f>
        <v>0</v>
      </c>
      <c r="R461" s="7" t="n">
        <f aca="false">IF(A461="",0,COUNTIFS($A$2:$A$3058,A461,$P$2:$P$3058,"OK"))</f>
        <v>1</v>
      </c>
      <c r="S461" s="7" t="str">
        <f aca="false">IF(OR(A461="",P461="DUP",R461&lt;2),"",IF(Q461=_xlfn.MINIFS($Q$2:$Q$3058,$A$2:$A$3058,A461,$P$2:$P$3058,"OK"),"KEEP","DROP"))</f>
        <v/>
      </c>
      <c r="T461" s="9" t="n">
        <f aca="false">IF(A461="",1,0)</f>
        <v>0</v>
      </c>
      <c r="U461" s="9" t="n">
        <f aca="false">IF(D461="",1,0)</f>
        <v>0</v>
      </c>
      <c r="V461" s="9" t="n">
        <f aca="false">IF(E461="",1,0)</f>
        <v>0</v>
      </c>
      <c r="W461" s="9" t="n">
        <f aca="false">IF(OR(H461&lt;1,H461&gt;10),1,0)</f>
        <v>0</v>
      </c>
      <c r="X461" s="9" t="n">
        <f aca="false">IF(OR(I461&lt;=0,I461&gt;1500),1,0)</f>
        <v>0</v>
      </c>
      <c r="Y461" s="9" t="n">
        <f aca="false">IF(J461&gt;H461*I461,1,0)</f>
        <v>0</v>
      </c>
      <c r="Z461" s="9" t="n">
        <f aca="false">IF(AND(N461&lt;&gt;"",OR(N461&lt;1,N461&gt;5)),1,0)</f>
        <v>0</v>
      </c>
      <c r="AA461" s="9" t="n">
        <f aca="false">IF(AND(M461&lt;&gt;"",OR(M461&lt;5,M461&gt;180)),1,0)</f>
        <v>0</v>
      </c>
      <c r="AB461" s="7" t="str">
        <f aca="false">IF(P461="DUP","Exact duplicate row",IF(T461=1,"Missing Order ID",IF(S461="DROP","Duplicate Order ID (less complete row)",IF(U461=1,"Missing Customer ID",IF(V461=1,"Missing Restaurant name",IF(W461=1,"Invalid/outlier quantity",IF(X461=1,"Invalid/outlier unit price",IF(Y461=1,"Discount greater than order value",""))))))))</f>
        <v/>
      </c>
      <c r="AC461" s="7" t="str">
        <f aca="false">IF(AB461="","KEEP","DROP")</f>
        <v>KEEP</v>
      </c>
      <c r="AD461" s="7" t="str">
        <f aca="false">IF(TRIM(F461)="",IFERROR(INDEX(Map_Tables!$I$4:$I$37,MATCH(TRIM(E461),Map_Tables!$G$4:$G$37,0)),""),IFERROR(INDEX(Map_Tables!$B$4:$B$18,MATCH(TRIM(F461),Map_Tables!$A$4:$A$18,0)),"CHECK"))</f>
        <v>Bengaluru</v>
      </c>
      <c r="AE461" s="7" t="str">
        <f aca="false">IF(TRIM(E461)="","",IFERROR(INDEX(Map_Tables!$H$4:$H$37,MATCH(TRIM(E461),Map_Tables!$G$4:$G$37,0)),"CHECK"))</f>
        <v>Wok &amp; Roll</v>
      </c>
      <c r="AF461" s="7" t="str">
        <f aca="false">IF(TRIM(K461)="","Unknown",IFERROR(INDEX(Map_Tables!$E$4:$E$15,MATCH(TRIM(K461),Map_Tables!$D$4:$D$15,0)),"CHECK"))</f>
        <v>UPI</v>
      </c>
      <c r="AG461" s="7" t="str">
        <f aca="false">IF(LEFT(LOWER(TRIM(L461)),6)="cancel","Cancelled","Delivered")</f>
        <v>Delivered</v>
      </c>
      <c r="AH461" s="10" t="n">
        <f aca="false">IF(ISNUMBER(SEARCH("/",B461)),DATE(VALUE(RIGHT(B461,4)),VALUE(MID(B461,4,2)),VALUE(LEFT(B461,2))),IF(MID(B461,5,1)="-",DATE(VALUE(LEFT(B461,4)),VALUE(MID(B461,6,2)),VALUE(RIGHT(B461,2))),DATE(VALUE(RIGHT(B461,4)),MATCH(MID(B461,4,3),{"Jan","Feb","Mar","Apr","May","Jun","Jul","Aug","Sep","Oct","Nov","Dec"},0),VALUE(LEFT(B461,2)))))</f>
        <v>45777</v>
      </c>
    </row>
    <row r="462" customFormat="false" ht="15" hidden="false" customHeight="false" outlineLevel="0" collapsed="false">
      <c r="A462" s="7" t="s">
        <v>1754</v>
      </c>
      <c r="B462" s="7" t="s">
        <v>1079</v>
      </c>
      <c r="C462" s="7" t="s">
        <v>581</v>
      </c>
      <c r="D462" s="7" t="s">
        <v>1755</v>
      </c>
      <c r="E462" s="7" t="s">
        <v>1608</v>
      </c>
      <c r="F462" s="7" t="s">
        <v>110</v>
      </c>
      <c r="G462" s="7" t="s">
        <v>105</v>
      </c>
      <c r="H462" s="7" t="n">
        <v>2</v>
      </c>
      <c r="I462" s="7" t="n">
        <v>190</v>
      </c>
      <c r="J462" s="7" t="n">
        <v>0</v>
      </c>
      <c r="K462" s="7" t="s">
        <v>103</v>
      </c>
      <c r="L462" s="7" t="s">
        <v>194</v>
      </c>
      <c r="M462" s="7" t="n">
        <v>50</v>
      </c>
      <c r="N462" s="7"/>
      <c r="O462" s="7" t="str">
        <f aca="false">A462&amp;"|"&amp;B462&amp;"|"&amp;C462&amp;"|"&amp;D462&amp;"|"&amp;E462&amp;"|"&amp;F462&amp;"|"&amp;G462&amp;"|"&amp;H462&amp;"|"&amp;I462&amp;"|"&amp;J462&amp;"|"&amp;K462&amp;"|"&amp;L462&amp;"|"&amp;M462&amp;"|"&amp;N462</f>
        <v>ORD12319|2025-10-19|20:04|C0146|Momo  Magic|Delhi|Chinese|2|190|0|Debit Card|Delivered|50|</v>
      </c>
      <c r="P462" s="7" t="str">
        <f aca="false">IF(COUNTIF($O$2:O462,O462)&gt;1,"DUP","OK")</f>
        <v>OK</v>
      </c>
      <c r="Q462" s="7" t="n">
        <f aca="false">COUNTBLANK(A462:N462)</f>
        <v>1</v>
      </c>
      <c r="R462" s="7" t="n">
        <f aca="false">IF(A462="",0,COUNTIFS($A$2:$A$3058,A462,$P$2:$P$3058,"OK"))</f>
        <v>1</v>
      </c>
      <c r="S462" s="7" t="str">
        <f aca="false">IF(OR(A462="",P462="DUP",R462&lt;2),"",IF(Q462=_xlfn.MINIFS($Q$2:$Q$3058,$A$2:$A$3058,A462,$P$2:$P$3058,"OK"),"KEEP","DROP"))</f>
        <v/>
      </c>
      <c r="T462" s="9" t="n">
        <f aca="false">IF(A462="",1,0)</f>
        <v>0</v>
      </c>
      <c r="U462" s="9" t="n">
        <f aca="false">IF(D462="",1,0)</f>
        <v>0</v>
      </c>
      <c r="V462" s="9" t="n">
        <f aca="false">IF(E462="",1,0)</f>
        <v>0</v>
      </c>
      <c r="W462" s="9" t="n">
        <f aca="false">IF(OR(H462&lt;1,H462&gt;10),1,0)</f>
        <v>0</v>
      </c>
      <c r="X462" s="9" t="n">
        <f aca="false">IF(OR(I462&lt;=0,I462&gt;1500),1,0)</f>
        <v>0</v>
      </c>
      <c r="Y462" s="9" t="n">
        <f aca="false">IF(J462&gt;H462*I462,1,0)</f>
        <v>0</v>
      </c>
      <c r="Z462" s="9" t="n">
        <f aca="false">IF(AND(N462&lt;&gt;"",OR(N462&lt;1,N462&gt;5)),1,0)</f>
        <v>0</v>
      </c>
      <c r="AA462" s="9" t="n">
        <f aca="false">IF(AND(M462&lt;&gt;"",OR(M462&lt;5,M462&gt;180)),1,0)</f>
        <v>0</v>
      </c>
      <c r="AB462" s="7" t="str">
        <f aca="false">IF(P462="DUP","Exact duplicate row",IF(T462=1,"Missing Order ID",IF(S462="DROP","Duplicate Order ID (less complete row)",IF(U462=1,"Missing Customer ID",IF(V462=1,"Missing Restaurant name",IF(W462=1,"Invalid/outlier quantity",IF(X462=1,"Invalid/outlier unit price",IF(Y462=1,"Discount greater than order value",""))))))))</f>
        <v/>
      </c>
      <c r="AC462" s="7" t="str">
        <f aca="false">IF(AB462="","KEEP","DROP")</f>
        <v>KEEP</v>
      </c>
      <c r="AD462" s="7" t="str">
        <f aca="false">IF(TRIM(F462)="",IFERROR(INDEX(Map_Tables!$I$4:$I$37,MATCH(TRIM(E462),Map_Tables!$G$4:$G$37,0)),""),IFERROR(INDEX(Map_Tables!$B$4:$B$18,MATCH(TRIM(F462),Map_Tables!$A$4:$A$18,0)),"CHECK"))</f>
        <v>Delhi</v>
      </c>
      <c r="AE462" s="7" t="str">
        <f aca="false">IF(TRIM(E462)="","",IFERROR(INDEX(Map_Tables!$H$4:$H$37,MATCH(TRIM(E462),Map_Tables!$G$4:$G$37,0)),"CHECK"))</f>
        <v>Momo Magic</v>
      </c>
      <c r="AF462" s="7" t="str">
        <f aca="false">IF(TRIM(K462)="","Unknown",IFERROR(INDEX(Map_Tables!$E$4:$E$15,MATCH(TRIM(K462),Map_Tables!$D$4:$D$15,0)),"CHECK"))</f>
        <v>Debit Card</v>
      </c>
      <c r="AG462" s="7" t="str">
        <f aca="false">IF(LEFT(LOWER(TRIM(L462)),6)="cancel","Cancelled","Delivered")</f>
        <v>Delivered</v>
      </c>
      <c r="AH462" s="10" t="n">
        <f aca="false">IF(ISNUMBER(SEARCH("/",B462)),DATE(VALUE(RIGHT(B462,4)),VALUE(MID(B462,4,2)),VALUE(LEFT(B462,2))),IF(MID(B462,5,1)="-",DATE(VALUE(LEFT(B462,4)),VALUE(MID(B462,6,2)),VALUE(RIGHT(B462,2))),DATE(VALUE(RIGHT(B462,4)),MATCH(MID(B462,4,3),{"Jan","Feb","Mar","Apr","May","Jun","Jul","Aug","Sep","Oct","Nov","Dec"},0),VALUE(LEFT(B462,2)))))</f>
        <v>45949</v>
      </c>
    </row>
    <row r="463" customFormat="false" ht="15" hidden="false" customHeight="false" outlineLevel="0" collapsed="false">
      <c r="A463" s="7" t="s">
        <v>1756</v>
      </c>
      <c r="B463" s="7" t="s">
        <v>1150</v>
      </c>
      <c r="C463" s="7" t="s">
        <v>369</v>
      </c>
      <c r="D463" s="7" t="s">
        <v>1416</v>
      </c>
      <c r="E463" s="7" t="s">
        <v>157</v>
      </c>
      <c r="F463" s="7" t="s">
        <v>136</v>
      </c>
      <c r="G463" s="7" t="s">
        <v>117</v>
      </c>
      <c r="H463" s="7" t="n">
        <v>1</v>
      </c>
      <c r="I463" s="7" t="n">
        <v>110</v>
      </c>
      <c r="J463" s="7" t="n">
        <v>0</v>
      </c>
      <c r="K463" s="7" t="s">
        <v>121</v>
      </c>
      <c r="L463" s="7" t="s">
        <v>194</v>
      </c>
      <c r="M463" s="7" t="n">
        <v>24</v>
      </c>
      <c r="N463" s="7" t="n">
        <v>5</v>
      </c>
      <c r="O463" s="7" t="str">
        <f aca="false">A463&amp;"|"&amp;B463&amp;"|"&amp;C463&amp;"|"&amp;D463&amp;"|"&amp;E463&amp;"|"&amp;F463&amp;"|"&amp;G463&amp;"|"&amp;H463&amp;"|"&amp;I463&amp;"|"&amp;J463&amp;"|"&amp;K463&amp;"|"&amp;L463&amp;"|"&amp;M463&amp;"|"&amp;N463</f>
        <v>ORD10540|2025-03-10|19:29|C1461|Misal Mantra|Pune|Street Food|1|110|0|Wallet|Delivered|24|5</v>
      </c>
      <c r="P463" s="7" t="str">
        <f aca="false">IF(COUNTIF($O$2:O463,O463)&gt;1,"DUP","OK")</f>
        <v>OK</v>
      </c>
      <c r="Q463" s="7" t="n">
        <f aca="false">COUNTBLANK(A463:N463)</f>
        <v>0</v>
      </c>
      <c r="R463" s="7" t="n">
        <f aca="false">IF(A463="",0,COUNTIFS($A$2:$A$3058,A463,$P$2:$P$3058,"OK"))</f>
        <v>1</v>
      </c>
      <c r="S463" s="7" t="str">
        <f aca="false">IF(OR(A463="",P463="DUP",R463&lt;2),"",IF(Q463=_xlfn.MINIFS($Q$2:$Q$3058,$A$2:$A$3058,A463,$P$2:$P$3058,"OK"),"KEEP","DROP"))</f>
        <v/>
      </c>
      <c r="T463" s="9" t="n">
        <f aca="false">IF(A463="",1,0)</f>
        <v>0</v>
      </c>
      <c r="U463" s="9" t="n">
        <f aca="false">IF(D463="",1,0)</f>
        <v>0</v>
      </c>
      <c r="V463" s="9" t="n">
        <f aca="false">IF(E463="",1,0)</f>
        <v>0</v>
      </c>
      <c r="W463" s="9" t="n">
        <f aca="false">IF(OR(H463&lt;1,H463&gt;10),1,0)</f>
        <v>0</v>
      </c>
      <c r="X463" s="9" t="n">
        <f aca="false">IF(OR(I463&lt;=0,I463&gt;1500),1,0)</f>
        <v>0</v>
      </c>
      <c r="Y463" s="9" t="n">
        <f aca="false">IF(J463&gt;H463*I463,1,0)</f>
        <v>0</v>
      </c>
      <c r="Z463" s="9" t="n">
        <f aca="false">IF(AND(N463&lt;&gt;"",OR(N463&lt;1,N463&gt;5)),1,0)</f>
        <v>0</v>
      </c>
      <c r="AA463" s="9" t="n">
        <f aca="false">IF(AND(M463&lt;&gt;"",OR(M463&lt;5,M463&gt;180)),1,0)</f>
        <v>0</v>
      </c>
      <c r="AB463" s="7" t="str">
        <f aca="false">IF(P463="DUP","Exact duplicate row",IF(T463=1,"Missing Order ID",IF(S463="DROP","Duplicate Order ID (less complete row)",IF(U463=1,"Missing Customer ID",IF(V463=1,"Missing Restaurant name",IF(W463=1,"Invalid/outlier quantity",IF(X463=1,"Invalid/outlier unit price",IF(Y463=1,"Discount greater than order value",""))))))))</f>
        <v/>
      </c>
      <c r="AC463" s="7" t="str">
        <f aca="false">IF(AB463="","KEEP","DROP")</f>
        <v>KEEP</v>
      </c>
      <c r="AD463" s="7" t="str">
        <f aca="false">IF(TRIM(F463)="",IFERROR(INDEX(Map_Tables!$I$4:$I$37,MATCH(TRIM(E463),Map_Tables!$G$4:$G$37,0)),""),IFERROR(INDEX(Map_Tables!$B$4:$B$18,MATCH(TRIM(F463),Map_Tables!$A$4:$A$18,0)),"CHECK"))</f>
        <v>Pune</v>
      </c>
      <c r="AE463" s="7" t="str">
        <f aca="false">IF(TRIM(E463)="","",IFERROR(INDEX(Map_Tables!$H$4:$H$37,MATCH(TRIM(E463),Map_Tables!$G$4:$G$37,0)),"CHECK"))</f>
        <v>Misal Mantra</v>
      </c>
      <c r="AF463" s="7" t="str">
        <f aca="false">IF(TRIM(K463)="","Unknown",IFERROR(INDEX(Map_Tables!$E$4:$E$15,MATCH(TRIM(K463),Map_Tables!$D$4:$D$15,0)),"CHECK"))</f>
        <v>Wallet</v>
      </c>
      <c r="AG463" s="7" t="str">
        <f aca="false">IF(LEFT(LOWER(TRIM(L463)),6)="cancel","Cancelled","Delivered")</f>
        <v>Delivered</v>
      </c>
      <c r="AH463" s="10" t="n">
        <f aca="false">IF(ISNUMBER(SEARCH("/",B463)),DATE(VALUE(RIGHT(B463,4)),VALUE(MID(B463,4,2)),VALUE(LEFT(B463,2))),IF(MID(B463,5,1)="-",DATE(VALUE(LEFT(B463,4)),VALUE(MID(B463,6,2)),VALUE(RIGHT(B463,2))),DATE(VALUE(RIGHT(B463,4)),MATCH(MID(B463,4,3),{"Jan","Feb","Mar","Apr","May","Jun","Jul","Aug","Sep","Oct","Nov","Dec"},0),VALUE(LEFT(B463,2)))))</f>
        <v>45726</v>
      </c>
    </row>
    <row r="464" customFormat="false" ht="15" hidden="false" customHeight="false" outlineLevel="0" collapsed="false">
      <c r="A464" s="7" t="s">
        <v>1757</v>
      </c>
      <c r="B464" s="7" t="s">
        <v>667</v>
      </c>
      <c r="C464" s="7" t="s">
        <v>1758</v>
      </c>
      <c r="D464" s="7" t="s">
        <v>1695</v>
      </c>
      <c r="E464" s="7" t="s">
        <v>89</v>
      </c>
      <c r="F464" s="7" t="s">
        <v>86</v>
      </c>
      <c r="G464" s="7" t="s">
        <v>90</v>
      </c>
      <c r="H464" s="7" t="n">
        <v>3</v>
      </c>
      <c r="I464" s="7" t="n">
        <v>240</v>
      </c>
      <c r="J464" s="7" t="n">
        <v>30</v>
      </c>
      <c r="K464" s="7" t="s">
        <v>88</v>
      </c>
      <c r="L464" s="7" t="s">
        <v>194</v>
      </c>
      <c r="M464" s="7" t="n">
        <v>48</v>
      </c>
      <c r="N464" s="7" t="n">
        <v>3</v>
      </c>
      <c r="O464" s="7" t="str">
        <f aca="false">A464&amp;"|"&amp;B464&amp;"|"&amp;C464&amp;"|"&amp;D464&amp;"|"&amp;E464&amp;"|"&amp;F464&amp;"|"&amp;G464&amp;"|"&amp;H464&amp;"|"&amp;I464&amp;"|"&amp;J464&amp;"|"&amp;K464&amp;"|"&amp;L464&amp;"|"&amp;M464&amp;"|"&amp;N464</f>
        <v>ORD10424|2025-02-26|20:10|C1456|Spice Junction|Bengaluru|North Indian|3|240|30|UPI|Delivered|48|3</v>
      </c>
      <c r="P464" s="7" t="str">
        <f aca="false">IF(COUNTIF($O$2:O464,O464)&gt;1,"DUP","OK")</f>
        <v>OK</v>
      </c>
      <c r="Q464" s="7" t="n">
        <f aca="false">COUNTBLANK(A464:N464)</f>
        <v>0</v>
      </c>
      <c r="R464" s="7" t="n">
        <f aca="false">IF(A464="",0,COUNTIFS($A$2:$A$3058,A464,$P$2:$P$3058,"OK"))</f>
        <v>1</v>
      </c>
      <c r="S464" s="7" t="str">
        <f aca="false">IF(OR(A464="",P464="DUP",R464&lt;2),"",IF(Q464=_xlfn.MINIFS($Q$2:$Q$3058,$A$2:$A$3058,A464,$P$2:$P$3058,"OK"),"KEEP","DROP"))</f>
        <v/>
      </c>
      <c r="T464" s="9" t="n">
        <f aca="false">IF(A464="",1,0)</f>
        <v>0</v>
      </c>
      <c r="U464" s="9" t="n">
        <f aca="false">IF(D464="",1,0)</f>
        <v>0</v>
      </c>
      <c r="V464" s="9" t="n">
        <f aca="false">IF(E464="",1,0)</f>
        <v>0</v>
      </c>
      <c r="W464" s="9" t="n">
        <f aca="false">IF(OR(H464&lt;1,H464&gt;10),1,0)</f>
        <v>0</v>
      </c>
      <c r="X464" s="9" t="n">
        <f aca="false">IF(OR(I464&lt;=0,I464&gt;1500),1,0)</f>
        <v>0</v>
      </c>
      <c r="Y464" s="9" t="n">
        <f aca="false">IF(J464&gt;H464*I464,1,0)</f>
        <v>0</v>
      </c>
      <c r="Z464" s="9" t="n">
        <f aca="false">IF(AND(N464&lt;&gt;"",OR(N464&lt;1,N464&gt;5)),1,0)</f>
        <v>0</v>
      </c>
      <c r="AA464" s="9" t="n">
        <f aca="false">IF(AND(M464&lt;&gt;"",OR(M464&lt;5,M464&gt;180)),1,0)</f>
        <v>0</v>
      </c>
      <c r="AB464" s="7" t="str">
        <f aca="false">IF(P464="DUP","Exact duplicate row",IF(T464=1,"Missing Order ID",IF(S464="DROP","Duplicate Order ID (less complete row)",IF(U464=1,"Missing Customer ID",IF(V464=1,"Missing Restaurant name",IF(W464=1,"Invalid/outlier quantity",IF(X464=1,"Invalid/outlier unit price",IF(Y464=1,"Discount greater than order value",""))))))))</f>
        <v/>
      </c>
      <c r="AC464" s="7" t="str">
        <f aca="false">IF(AB464="","KEEP","DROP")</f>
        <v>KEEP</v>
      </c>
      <c r="AD464" s="7" t="str">
        <f aca="false">IF(TRIM(F464)="",IFERROR(INDEX(Map_Tables!$I$4:$I$37,MATCH(TRIM(E464),Map_Tables!$G$4:$G$37,0)),""),IFERROR(INDEX(Map_Tables!$B$4:$B$18,MATCH(TRIM(F464),Map_Tables!$A$4:$A$18,0)),"CHECK"))</f>
        <v>Bengaluru</v>
      </c>
      <c r="AE464" s="7" t="str">
        <f aca="false">IF(TRIM(E464)="","",IFERROR(INDEX(Map_Tables!$H$4:$H$37,MATCH(TRIM(E464),Map_Tables!$G$4:$G$37,0)),"CHECK"))</f>
        <v>Spice Junction</v>
      </c>
      <c r="AF464" s="7" t="str">
        <f aca="false">IF(TRIM(K464)="","Unknown",IFERROR(INDEX(Map_Tables!$E$4:$E$15,MATCH(TRIM(K464),Map_Tables!$D$4:$D$15,0)),"CHECK"))</f>
        <v>UPI</v>
      </c>
      <c r="AG464" s="7" t="str">
        <f aca="false">IF(LEFT(LOWER(TRIM(L464)),6)="cancel","Cancelled","Delivered")</f>
        <v>Delivered</v>
      </c>
      <c r="AH464" s="10" t="n">
        <f aca="false">IF(ISNUMBER(SEARCH("/",B464)),DATE(VALUE(RIGHT(B464,4)),VALUE(MID(B464,4,2)),VALUE(LEFT(B464,2))),IF(MID(B464,5,1)="-",DATE(VALUE(LEFT(B464,4)),VALUE(MID(B464,6,2)),VALUE(RIGHT(B464,2))),DATE(VALUE(RIGHT(B464,4)),MATCH(MID(B464,4,3),{"Jan","Feb","Mar","Apr","May","Jun","Jul","Aug","Sep","Oct","Nov","Dec"},0),VALUE(LEFT(B464,2)))))</f>
        <v>45714</v>
      </c>
    </row>
    <row r="465" customFormat="false" ht="15" hidden="false" customHeight="false" outlineLevel="0" collapsed="false">
      <c r="A465" s="7" t="s">
        <v>1759</v>
      </c>
      <c r="B465" s="7" t="s">
        <v>1760</v>
      </c>
      <c r="C465" s="7" t="s">
        <v>1761</v>
      </c>
      <c r="D465" s="7" t="s">
        <v>1762</v>
      </c>
      <c r="E465" s="7" t="s">
        <v>113</v>
      </c>
      <c r="F465" s="7" t="s">
        <v>101</v>
      </c>
      <c r="G465" s="7" t="s">
        <v>90</v>
      </c>
      <c r="H465" s="7" t="n">
        <v>2</v>
      </c>
      <c r="I465" s="7" t="n">
        <v>210</v>
      </c>
      <c r="J465" s="7" t="n">
        <v>100</v>
      </c>
      <c r="K465" s="7" t="s">
        <v>526</v>
      </c>
      <c r="L465" s="7" t="s">
        <v>194</v>
      </c>
      <c r="M465" s="7" t="n">
        <v>45</v>
      </c>
      <c r="N465" s="7" t="n">
        <v>5</v>
      </c>
      <c r="O465" s="7" t="str">
        <f aca="false">A465&amp;"|"&amp;B465&amp;"|"&amp;C465&amp;"|"&amp;D465&amp;"|"&amp;E465&amp;"|"&amp;F465&amp;"|"&amp;G465&amp;"|"&amp;H465&amp;"|"&amp;I465&amp;"|"&amp;J465&amp;"|"&amp;K465&amp;"|"&amp;L465&amp;"|"&amp;M465&amp;"|"&amp;N465</f>
        <v>ORD10242|2025-02-01|20:21|C0407|Curry Leaf Kitchen|Mumbai|North Indian|2|210|100|DC|Delivered|45|5</v>
      </c>
      <c r="P465" s="7" t="str">
        <f aca="false">IF(COUNTIF($O$2:O465,O465)&gt;1,"DUP","OK")</f>
        <v>OK</v>
      </c>
      <c r="Q465" s="7" t="n">
        <f aca="false">COUNTBLANK(A465:N465)</f>
        <v>0</v>
      </c>
      <c r="R465" s="7" t="n">
        <f aca="false">IF(A465="",0,COUNTIFS($A$2:$A$3058,A465,$P$2:$P$3058,"OK"))</f>
        <v>1</v>
      </c>
      <c r="S465" s="7" t="str">
        <f aca="false">IF(OR(A465="",P465="DUP",R465&lt;2),"",IF(Q465=_xlfn.MINIFS($Q$2:$Q$3058,$A$2:$A$3058,A465,$P$2:$P$3058,"OK"),"KEEP","DROP"))</f>
        <v/>
      </c>
      <c r="T465" s="9" t="n">
        <f aca="false">IF(A465="",1,0)</f>
        <v>0</v>
      </c>
      <c r="U465" s="9" t="n">
        <f aca="false">IF(D465="",1,0)</f>
        <v>0</v>
      </c>
      <c r="V465" s="9" t="n">
        <f aca="false">IF(E465="",1,0)</f>
        <v>0</v>
      </c>
      <c r="W465" s="9" t="n">
        <f aca="false">IF(OR(H465&lt;1,H465&gt;10),1,0)</f>
        <v>0</v>
      </c>
      <c r="X465" s="9" t="n">
        <f aca="false">IF(OR(I465&lt;=0,I465&gt;1500),1,0)</f>
        <v>0</v>
      </c>
      <c r="Y465" s="9" t="n">
        <f aca="false">IF(J465&gt;H465*I465,1,0)</f>
        <v>0</v>
      </c>
      <c r="Z465" s="9" t="n">
        <f aca="false">IF(AND(N465&lt;&gt;"",OR(N465&lt;1,N465&gt;5)),1,0)</f>
        <v>0</v>
      </c>
      <c r="AA465" s="9" t="n">
        <f aca="false">IF(AND(M465&lt;&gt;"",OR(M465&lt;5,M465&gt;180)),1,0)</f>
        <v>0</v>
      </c>
      <c r="AB465" s="7" t="str">
        <f aca="false">IF(P465="DUP","Exact duplicate row",IF(T465=1,"Missing Order ID",IF(S465="DROP","Duplicate Order ID (less complete row)",IF(U465=1,"Missing Customer ID",IF(V465=1,"Missing Restaurant name",IF(W465=1,"Invalid/outlier quantity",IF(X465=1,"Invalid/outlier unit price",IF(Y465=1,"Discount greater than order value",""))))))))</f>
        <v/>
      </c>
      <c r="AC465" s="7" t="str">
        <f aca="false">IF(AB465="","KEEP","DROP")</f>
        <v>KEEP</v>
      </c>
      <c r="AD465" s="7" t="str">
        <f aca="false">IF(TRIM(F465)="",IFERROR(INDEX(Map_Tables!$I$4:$I$37,MATCH(TRIM(E465),Map_Tables!$G$4:$G$37,0)),""),IFERROR(INDEX(Map_Tables!$B$4:$B$18,MATCH(TRIM(F465),Map_Tables!$A$4:$A$18,0)),"CHECK"))</f>
        <v>Mumbai</v>
      </c>
      <c r="AE465" s="7" t="str">
        <f aca="false">IF(TRIM(E465)="","",IFERROR(INDEX(Map_Tables!$H$4:$H$37,MATCH(TRIM(E465),Map_Tables!$G$4:$G$37,0)),"CHECK"))</f>
        <v>Curry Leaf Kitchen</v>
      </c>
      <c r="AF465" s="7" t="str">
        <f aca="false">IF(TRIM(K465)="","Unknown",IFERROR(INDEX(Map_Tables!$E$4:$E$15,MATCH(TRIM(K465),Map_Tables!$D$4:$D$15,0)),"CHECK"))</f>
        <v>Debit Card</v>
      </c>
      <c r="AG465" s="7" t="str">
        <f aca="false">IF(LEFT(LOWER(TRIM(L465)),6)="cancel","Cancelled","Delivered")</f>
        <v>Delivered</v>
      </c>
      <c r="AH465" s="10" t="n">
        <f aca="false">IF(ISNUMBER(SEARCH("/",B465)),DATE(VALUE(RIGHT(B465,4)),VALUE(MID(B465,4,2)),VALUE(LEFT(B465,2))),IF(MID(B465,5,1)="-",DATE(VALUE(LEFT(B465,4)),VALUE(MID(B465,6,2)),VALUE(RIGHT(B465,2))),DATE(VALUE(RIGHT(B465,4)),MATCH(MID(B465,4,3),{"Jan","Feb","Mar","Apr","May","Jun","Jul","Aug","Sep","Oct","Nov","Dec"},0),VALUE(LEFT(B465,2)))))</f>
        <v>45689</v>
      </c>
    </row>
    <row r="466" customFormat="false" ht="15" hidden="false" customHeight="false" outlineLevel="0" collapsed="false">
      <c r="A466" s="7" t="s">
        <v>1763</v>
      </c>
      <c r="B466" s="7" t="s">
        <v>217</v>
      </c>
      <c r="C466" s="7" t="s">
        <v>1764</v>
      </c>
      <c r="D466" s="7" t="s">
        <v>1765</v>
      </c>
      <c r="E466" s="7" t="s">
        <v>89</v>
      </c>
      <c r="F466" s="7" t="s">
        <v>86</v>
      </c>
      <c r="G466" s="7" t="s">
        <v>90</v>
      </c>
      <c r="H466" s="7" t="n">
        <v>5</v>
      </c>
      <c r="I466" s="7" t="n">
        <v>245</v>
      </c>
      <c r="J466" s="7" t="n">
        <v>20</v>
      </c>
      <c r="K466" s="7" t="s">
        <v>133</v>
      </c>
      <c r="L466" s="7" t="s">
        <v>1265</v>
      </c>
      <c r="M466" s="7" t="n">
        <v>42</v>
      </c>
      <c r="N466" s="7" t="n">
        <v>5</v>
      </c>
      <c r="O466" s="7" t="str">
        <f aca="false">A466&amp;"|"&amp;B466&amp;"|"&amp;C466&amp;"|"&amp;D466&amp;"|"&amp;E466&amp;"|"&amp;F466&amp;"|"&amp;G466&amp;"|"&amp;H466&amp;"|"&amp;I466&amp;"|"&amp;J466&amp;"|"&amp;K466&amp;"|"&amp;L466&amp;"|"&amp;M466&amp;"|"&amp;N466</f>
        <v>ORD10859|2025-04-18|19:36|C0031|Spice Junction|Bengaluru|North Indian|5|245|20|Net Banking|delivered|42|5</v>
      </c>
      <c r="P466" s="7" t="str">
        <f aca="false">IF(COUNTIF($O$2:O466,O466)&gt;1,"DUP","OK")</f>
        <v>OK</v>
      </c>
      <c r="Q466" s="7" t="n">
        <f aca="false">COUNTBLANK(A466:N466)</f>
        <v>0</v>
      </c>
      <c r="R466" s="7" t="n">
        <f aca="false">IF(A466="",0,COUNTIFS($A$2:$A$3058,A466,$P$2:$P$3058,"OK"))</f>
        <v>1</v>
      </c>
      <c r="S466" s="7" t="str">
        <f aca="false">IF(OR(A466="",P466="DUP",R466&lt;2),"",IF(Q466=_xlfn.MINIFS($Q$2:$Q$3058,$A$2:$A$3058,A466,$P$2:$P$3058,"OK"),"KEEP","DROP"))</f>
        <v/>
      </c>
      <c r="T466" s="9" t="n">
        <f aca="false">IF(A466="",1,0)</f>
        <v>0</v>
      </c>
      <c r="U466" s="9" t="n">
        <f aca="false">IF(D466="",1,0)</f>
        <v>0</v>
      </c>
      <c r="V466" s="9" t="n">
        <f aca="false">IF(E466="",1,0)</f>
        <v>0</v>
      </c>
      <c r="W466" s="9" t="n">
        <f aca="false">IF(OR(H466&lt;1,H466&gt;10),1,0)</f>
        <v>0</v>
      </c>
      <c r="X466" s="9" t="n">
        <f aca="false">IF(OR(I466&lt;=0,I466&gt;1500),1,0)</f>
        <v>0</v>
      </c>
      <c r="Y466" s="9" t="n">
        <f aca="false">IF(J466&gt;H466*I466,1,0)</f>
        <v>0</v>
      </c>
      <c r="Z466" s="9" t="n">
        <f aca="false">IF(AND(N466&lt;&gt;"",OR(N466&lt;1,N466&gt;5)),1,0)</f>
        <v>0</v>
      </c>
      <c r="AA466" s="9" t="n">
        <f aca="false">IF(AND(M466&lt;&gt;"",OR(M466&lt;5,M466&gt;180)),1,0)</f>
        <v>0</v>
      </c>
      <c r="AB466" s="7" t="str">
        <f aca="false">IF(P466="DUP","Exact duplicate row",IF(T466=1,"Missing Order ID",IF(S466="DROP","Duplicate Order ID (less complete row)",IF(U466=1,"Missing Customer ID",IF(V466=1,"Missing Restaurant name",IF(W466=1,"Invalid/outlier quantity",IF(X466=1,"Invalid/outlier unit price",IF(Y466=1,"Discount greater than order value",""))))))))</f>
        <v/>
      </c>
      <c r="AC466" s="7" t="str">
        <f aca="false">IF(AB466="","KEEP","DROP")</f>
        <v>KEEP</v>
      </c>
      <c r="AD466" s="7" t="str">
        <f aca="false">IF(TRIM(F466)="",IFERROR(INDEX(Map_Tables!$I$4:$I$37,MATCH(TRIM(E466),Map_Tables!$G$4:$G$37,0)),""),IFERROR(INDEX(Map_Tables!$B$4:$B$18,MATCH(TRIM(F466),Map_Tables!$A$4:$A$18,0)),"CHECK"))</f>
        <v>Bengaluru</v>
      </c>
      <c r="AE466" s="7" t="str">
        <f aca="false">IF(TRIM(E466)="","",IFERROR(INDEX(Map_Tables!$H$4:$H$37,MATCH(TRIM(E466),Map_Tables!$G$4:$G$37,0)),"CHECK"))</f>
        <v>Spice Junction</v>
      </c>
      <c r="AF466" s="7" t="str">
        <f aca="false">IF(TRIM(K466)="","Unknown",IFERROR(INDEX(Map_Tables!$E$4:$E$15,MATCH(TRIM(K466),Map_Tables!$D$4:$D$15,0)),"CHECK"))</f>
        <v>Net Banking</v>
      </c>
      <c r="AG466" s="7" t="str">
        <f aca="false">IF(LEFT(LOWER(TRIM(L466)),6)="cancel","Cancelled","Delivered")</f>
        <v>Delivered</v>
      </c>
      <c r="AH466" s="10" t="n">
        <f aca="false">IF(ISNUMBER(SEARCH("/",B466)),DATE(VALUE(RIGHT(B466,4)),VALUE(MID(B466,4,2)),VALUE(LEFT(B466,2))),IF(MID(B466,5,1)="-",DATE(VALUE(LEFT(B466,4)),VALUE(MID(B466,6,2)),VALUE(RIGHT(B466,2))),DATE(VALUE(RIGHT(B466,4)),MATCH(MID(B466,4,3),{"Jan","Feb","Mar","Apr","May","Jun","Jul","Aug","Sep","Oct","Nov","Dec"},0),VALUE(LEFT(B466,2)))))</f>
        <v>45765</v>
      </c>
    </row>
    <row r="467" customFormat="false" ht="15" hidden="false" customHeight="false" outlineLevel="0" collapsed="false">
      <c r="A467" s="7" t="s">
        <v>1766</v>
      </c>
      <c r="B467" s="7" t="s">
        <v>1767</v>
      </c>
      <c r="C467" s="7" t="s">
        <v>668</v>
      </c>
      <c r="D467" s="7" t="s">
        <v>1768</v>
      </c>
      <c r="E467" s="7" t="s">
        <v>167</v>
      </c>
      <c r="F467" s="7" t="s">
        <v>146</v>
      </c>
      <c r="G467" s="7" t="s">
        <v>1769</v>
      </c>
      <c r="H467" s="7" t="n">
        <v>3</v>
      </c>
      <c r="I467" s="7" t="n">
        <v>295</v>
      </c>
      <c r="J467" s="7" t="n">
        <v>0</v>
      </c>
      <c r="K467" s="7" t="s">
        <v>88</v>
      </c>
      <c r="L467" s="7" t="s">
        <v>194</v>
      </c>
      <c r="M467" s="7" t="n">
        <v>24</v>
      </c>
      <c r="N467" s="7" t="n">
        <v>4</v>
      </c>
      <c r="O467" s="7" t="str">
        <f aca="false">A467&amp;"|"&amp;B467&amp;"|"&amp;C467&amp;"|"&amp;D467&amp;"|"&amp;E467&amp;"|"&amp;F467&amp;"|"&amp;G467&amp;"|"&amp;H467&amp;"|"&amp;I467&amp;"|"&amp;J467&amp;"|"&amp;K467&amp;"|"&amp;L467&amp;"|"&amp;M467&amp;"|"&amp;N467</f>
        <v>ORD12207|2025-10-08|13:33|C1087|Fit Fuel Kitchen|Ahmedabad|healthy food|3|295|0|UPI|Delivered|24|4</v>
      </c>
      <c r="P467" s="7" t="str">
        <f aca="false">IF(COUNTIF($O$2:O467,O467)&gt;1,"DUP","OK")</f>
        <v>OK</v>
      </c>
      <c r="Q467" s="7" t="n">
        <f aca="false">COUNTBLANK(A467:N467)</f>
        <v>0</v>
      </c>
      <c r="R467" s="7" t="n">
        <f aca="false">IF(A467="",0,COUNTIFS($A$2:$A$3058,A467,$P$2:$P$3058,"OK"))</f>
        <v>1</v>
      </c>
      <c r="S467" s="7" t="str">
        <f aca="false">IF(OR(A467="",P467="DUP",R467&lt;2),"",IF(Q467=_xlfn.MINIFS($Q$2:$Q$3058,$A$2:$A$3058,A467,$P$2:$P$3058,"OK"),"KEEP","DROP"))</f>
        <v/>
      </c>
      <c r="T467" s="9" t="n">
        <f aca="false">IF(A467="",1,0)</f>
        <v>0</v>
      </c>
      <c r="U467" s="9" t="n">
        <f aca="false">IF(D467="",1,0)</f>
        <v>0</v>
      </c>
      <c r="V467" s="9" t="n">
        <f aca="false">IF(E467="",1,0)</f>
        <v>0</v>
      </c>
      <c r="W467" s="9" t="n">
        <f aca="false">IF(OR(H467&lt;1,H467&gt;10),1,0)</f>
        <v>0</v>
      </c>
      <c r="X467" s="9" t="n">
        <f aca="false">IF(OR(I467&lt;=0,I467&gt;1500),1,0)</f>
        <v>0</v>
      </c>
      <c r="Y467" s="9" t="n">
        <f aca="false">IF(J467&gt;H467*I467,1,0)</f>
        <v>0</v>
      </c>
      <c r="Z467" s="9" t="n">
        <f aca="false">IF(AND(N467&lt;&gt;"",OR(N467&lt;1,N467&gt;5)),1,0)</f>
        <v>0</v>
      </c>
      <c r="AA467" s="9" t="n">
        <f aca="false">IF(AND(M467&lt;&gt;"",OR(M467&lt;5,M467&gt;180)),1,0)</f>
        <v>0</v>
      </c>
      <c r="AB467" s="7" t="str">
        <f aca="false">IF(P467="DUP","Exact duplicate row",IF(T467=1,"Missing Order ID",IF(S467="DROP","Duplicate Order ID (less complete row)",IF(U467=1,"Missing Customer ID",IF(V467=1,"Missing Restaurant name",IF(W467=1,"Invalid/outlier quantity",IF(X467=1,"Invalid/outlier unit price",IF(Y467=1,"Discount greater than order value",""))))))))</f>
        <v/>
      </c>
      <c r="AC467" s="7" t="str">
        <f aca="false">IF(AB467="","KEEP","DROP")</f>
        <v>KEEP</v>
      </c>
      <c r="AD467" s="7" t="str">
        <f aca="false">IF(TRIM(F467)="",IFERROR(INDEX(Map_Tables!$I$4:$I$37,MATCH(TRIM(E467),Map_Tables!$G$4:$G$37,0)),""),IFERROR(INDEX(Map_Tables!$B$4:$B$18,MATCH(TRIM(F467),Map_Tables!$A$4:$A$18,0)),"CHECK"))</f>
        <v>Ahmedabad</v>
      </c>
      <c r="AE467" s="7" t="str">
        <f aca="false">IF(TRIM(E467)="","",IFERROR(INDEX(Map_Tables!$H$4:$H$37,MATCH(TRIM(E467),Map_Tables!$G$4:$G$37,0)),"CHECK"))</f>
        <v>Fit Fuel Kitchen</v>
      </c>
      <c r="AF467" s="7" t="str">
        <f aca="false">IF(TRIM(K467)="","Unknown",IFERROR(INDEX(Map_Tables!$E$4:$E$15,MATCH(TRIM(K467),Map_Tables!$D$4:$D$15,0)),"CHECK"))</f>
        <v>UPI</v>
      </c>
      <c r="AG467" s="7" t="str">
        <f aca="false">IF(LEFT(LOWER(TRIM(L467)),6)="cancel","Cancelled","Delivered")</f>
        <v>Delivered</v>
      </c>
      <c r="AH467" s="10" t="n">
        <f aca="false">IF(ISNUMBER(SEARCH("/",B467)),DATE(VALUE(RIGHT(B467,4)),VALUE(MID(B467,4,2)),VALUE(LEFT(B467,2))),IF(MID(B467,5,1)="-",DATE(VALUE(LEFT(B467,4)),VALUE(MID(B467,6,2)),VALUE(RIGHT(B467,2))),DATE(VALUE(RIGHT(B467,4)),MATCH(MID(B467,4,3),{"Jan","Feb","Mar","Apr","May","Jun","Jul","Aug","Sep","Oct","Nov","Dec"},0),VALUE(LEFT(B467,2)))))</f>
        <v>45938</v>
      </c>
    </row>
    <row r="468" customFormat="false" ht="15" hidden="false" customHeight="false" outlineLevel="0" collapsed="false">
      <c r="A468" s="7" t="s">
        <v>1770</v>
      </c>
      <c r="B468" s="7" t="s">
        <v>318</v>
      </c>
      <c r="C468" s="7" t="s">
        <v>1019</v>
      </c>
      <c r="D468" s="7" t="s">
        <v>1771</v>
      </c>
      <c r="E468" s="7" t="s">
        <v>89</v>
      </c>
      <c r="F468" s="7" t="s">
        <v>86</v>
      </c>
      <c r="G468" s="7" t="s">
        <v>90</v>
      </c>
      <c r="H468" s="7" t="n">
        <v>3</v>
      </c>
      <c r="I468" s="7" t="n">
        <v>245</v>
      </c>
      <c r="J468" s="7" t="n">
        <v>0</v>
      </c>
      <c r="K468" s="7" t="s">
        <v>971</v>
      </c>
      <c r="L468" s="7" t="s">
        <v>194</v>
      </c>
      <c r="M468" s="7" t="n">
        <v>51</v>
      </c>
      <c r="N468" s="7" t="n">
        <v>4</v>
      </c>
      <c r="O468" s="7" t="str">
        <f aca="false">A468&amp;"|"&amp;B468&amp;"|"&amp;C468&amp;"|"&amp;D468&amp;"|"&amp;E468&amp;"|"&amp;F468&amp;"|"&amp;G468&amp;"|"&amp;H468&amp;"|"&amp;I468&amp;"|"&amp;J468&amp;"|"&amp;K468&amp;"|"&amp;L468&amp;"|"&amp;M468&amp;"|"&amp;N468</f>
        <v>ORD10747|2025-04-05|19:25|C0958|Spice Junction|Bengaluru|North Indian|3|245|0|Paytm Wallet|Delivered|51|4</v>
      </c>
      <c r="P468" s="7" t="str">
        <f aca="false">IF(COUNTIF($O$2:O468,O468)&gt;1,"DUP","OK")</f>
        <v>OK</v>
      </c>
      <c r="Q468" s="7" t="n">
        <f aca="false">COUNTBLANK(A468:N468)</f>
        <v>0</v>
      </c>
      <c r="R468" s="7" t="n">
        <f aca="false">IF(A468="",0,COUNTIFS($A$2:$A$3058,A468,$P$2:$P$3058,"OK"))</f>
        <v>1</v>
      </c>
      <c r="S468" s="7" t="str">
        <f aca="false">IF(OR(A468="",P468="DUP",R468&lt;2),"",IF(Q468=_xlfn.MINIFS($Q$2:$Q$3058,$A$2:$A$3058,A468,$P$2:$P$3058,"OK"),"KEEP","DROP"))</f>
        <v/>
      </c>
      <c r="T468" s="9" t="n">
        <f aca="false">IF(A468="",1,0)</f>
        <v>0</v>
      </c>
      <c r="U468" s="9" t="n">
        <f aca="false">IF(D468="",1,0)</f>
        <v>0</v>
      </c>
      <c r="V468" s="9" t="n">
        <f aca="false">IF(E468="",1,0)</f>
        <v>0</v>
      </c>
      <c r="W468" s="9" t="n">
        <f aca="false">IF(OR(H468&lt;1,H468&gt;10),1,0)</f>
        <v>0</v>
      </c>
      <c r="X468" s="9" t="n">
        <f aca="false">IF(OR(I468&lt;=0,I468&gt;1500),1,0)</f>
        <v>0</v>
      </c>
      <c r="Y468" s="9" t="n">
        <f aca="false">IF(J468&gt;H468*I468,1,0)</f>
        <v>0</v>
      </c>
      <c r="Z468" s="9" t="n">
        <f aca="false">IF(AND(N468&lt;&gt;"",OR(N468&lt;1,N468&gt;5)),1,0)</f>
        <v>0</v>
      </c>
      <c r="AA468" s="9" t="n">
        <f aca="false">IF(AND(M468&lt;&gt;"",OR(M468&lt;5,M468&gt;180)),1,0)</f>
        <v>0</v>
      </c>
      <c r="AB468" s="7" t="str">
        <f aca="false">IF(P468="DUP","Exact duplicate row",IF(T468=1,"Missing Order ID",IF(S468="DROP","Duplicate Order ID (less complete row)",IF(U468=1,"Missing Customer ID",IF(V468=1,"Missing Restaurant name",IF(W468=1,"Invalid/outlier quantity",IF(X468=1,"Invalid/outlier unit price",IF(Y468=1,"Discount greater than order value",""))))))))</f>
        <v/>
      </c>
      <c r="AC468" s="7" t="str">
        <f aca="false">IF(AB468="","KEEP","DROP")</f>
        <v>KEEP</v>
      </c>
      <c r="AD468" s="7" t="str">
        <f aca="false">IF(TRIM(F468)="",IFERROR(INDEX(Map_Tables!$I$4:$I$37,MATCH(TRIM(E468),Map_Tables!$G$4:$G$37,0)),""),IFERROR(INDEX(Map_Tables!$B$4:$B$18,MATCH(TRIM(F468),Map_Tables!$A$4:$A$18,0)),"CHECK"))</f>
        <v>Bengaluru</v>
      </c>
      <c r="AE468" s="7" t="str">
        <f aca="false">IF(TRIM(E468)="","",IFERROR(INDEX(Map_Tables!$H$4:$H$37,MATCH(TRIM(E468),Map_Tables!$G$4:$G$37,0)),"CHECK"))</f>
        <v>Spice Junction</v>
      </c>
      <c r="AF468" s="7" t="str">
        <f aca="false">IF(TRIM(K468)="","Unknown",IFERROR(INDEX(Map_Tables!$E$4:$E$15,MATCH(TRIM(K468),Map_Tables!$D$4:$D$15,0)),"CHECK"))</f>
        <v>Wallet</v>
      </c>
      <c r="AG468" s="7" t="str">
        <f aca="false">IF(LEFT(LOWER(TRIM(L468)),6)="cancel","Cancelled","Delivered")</f>
        <v>Delivered</v>
      </c>
      <c r="AH468" s="10" t="n">
        <f aca="false">IF(ISNUMBER(SEARCH("/",B468)),DATE(VALUE(RIGHT(B468,4)),VALUE(MID(B468,4,2)),VALUE(LEFT(B468,2))),IF(MID(B468,5,1)="-",DATE(VALUE(LEFT(B468,4)),VALUE(MID(B468,6,2)),VALUE(RIGHT(B468,2))),DATE(VALUE(RIGHT(B468,4)),MATCH(MID(B468,4,3),{"Jan","Feb","Mar","Apr","May","Jun","Jul","Aug","Sep","Oct","Nov","Dec"},0),VALUE(LEFT(B468,2)))))</f>
        <v>45752</v>
      </c>
    </row>
    <row r="469" customFormat="false" ht="15" hidden="false" customHeight="false" outlineLevel="0" collapsed="false">
      <c r="A469" s="7" t="s">
        <v>1772</v>
      </c>
      <c r="B469" s="7" t="s">
        <v>1773</v>
      </c>
      <c r="C469" s="7" t="s">
        <v>555</v>
      </c>
      <c r="D469" s="7" t="s">
        <v>1774</v>
      </c>
      <c r="E469" s="7" t="s">
        <v>98</v>
      </c>
      <c r="F469" s="7" t="s">
        <v>86</v>
      </c>
      <c r="G469" s="7" t="s">
        <v>99</v>
      </c>
      <c r="H469" s="7" t="n">
        <v>3</v>
      </c>
      <c r="I469" s="7" t="n">
        <v>305</v>
      </c>
      <c r="J469" s="7" t="n">
        <v>0</v>
      </c>
      <c r="K469" s="7" t="s">
        <v>103</v>
      </c>
      <c r="L469" s="7" t="s">
        <v>194</v>
      </c>
      <c r="M469" s="7" t="n">
        <v>40</v>
      </c>
      <c r="N469" s="7" t="n">
        <v>5</v>
      </c>
      <c r="O469" s="7" t="str">
        <f aca="false">A469&amp;"|"&amp;B469&amp;"|"&amp;C469&amp;"|"&amp;D469&amp;"|"&amp;E469&amp;"|"&amp;F469&amp;"|"&amp;G469&amp;"|"&amp;H469&amp;"|"&amp;I469&amp;"|"&amp;J469&amp;"|"&amp;K469&amp;"|"&amp;L469&amp;"|"&amp;M469&amp;"|"&amp;N469</f>
        <v>ORD10132|2025-01-17|18:12|C0083|Nawabi Biryani House|Bengaluru|Biryani|3|305|0|Debit Card|Delivered|40|5</v>
      </c>
      <c r="P469" s="7" t="str">
        <f aca="false">IF(COUNTIF($O$2:O469,O469)&gt;1,"DUP","OK")</f>
        <v>OK</v>
      </c>
      <c r="Q469" s="7" t="n">
        <f aca="false">COUNTBLANK(A469:N469)</f>
        <v>0</v>
      </c>
      <c r="R469" s="7" t="n">
        <f aca="false">IF(A469="",0,COUNTIFS($A$2:$A$3058,A469,$P$2:$P$3058,"OK"))</f>
        <v>1</v>
      </c>
      <c r="S469" s="7" t="str">
        <f aca="false">IF(OR(A469="",P469="DUP",R469&lt;2),"",IF(Q469=_xlfn.MINIFS($Q$2:$Q$3058,$A$2:$A$3058,A469,$P$2:$P$3058,"OK"),"KEEP","DROP"))</f>
        <v/>
      </c>
      <c r="T469" s="9" t="n">
        <f aca="false">IF(A469="",1,0)</f>
        <v>0</v>
      </c>
      <c r="U469" s="9" t="n">
        <f aca="false">IF(D469="",1,0)</f>
        <v>0</v>
      </c>
      <c r="V469" s="9" t="n">
        <f aca="false">IF(E469="",1,0)</f>
        <v>0</v>
      </c>
      <c r="W469" s="9" t="n">
        <f aca="false">IF(OR(H469&lt;1,H469&gt;10),1,0)</f>
        <v>0</v>
      </c>
      <c r="X469" s="9" t="n">
        <f aca="false">IF(OR(I469&lt;=0,I469&gt;1500),1,0)</f>
        <v>0</v>
      </c>
      <c r="Y469" s="9" t="n">
        <f aca="false">IF(J469&gt;H469*I469,1,0)</f>
        <v>0</v>
      </c>
      <c r="Z469" s="9" t="n">
        <f aca="false">IF(AND(N469&lt;&gt;"",OR(N469&lt;1,N469&gt;5)),1,0)</f>
        <v>0</v>
      </c>
      <c r="AA469" s="9" t="n">
        <f aca="false">IF(AND(M469&lt;&gt;"",OR(M469&lt;5,M469&gt;180)),1,0)</f>
        <v>0</v>
      </c>
      <c r="AB469" s="7" t="str">
        <f aca="false">IF(P469="DUP","Exact duplicate row",IF(T469=1,"Missing Order ID",IF(S469="DROP","Duplicate Order ID (less complete row)",IF(U469=1,"Missing Customer ID",IF(V469=1,"Missing Restaurant name",IF(W469=1,"Invalid/outlier quantity",IF(X469=1,"Invalid/outlier unit price",IF(Y469=1,"Discount greater than order value",""))))))))</f>
        <v/>
      </c>
      <c r="AC469" s="7" t="str">
        <f aca="false">IF(AB469="","KEEP","DROP")</f>
        <v>KEEP</v>
      </c>
      <c r="AD469" s="7" t="str">
        <f aca="false">IF(TRIM(F469)="",IFERROR(INDEX(Map_Tables!$I$4:$I$37,MATCH(TRIM(E469),Map_Tables!$G$4:$G$37,0)),""),IFERROR(INDEX(Map_Tables!$B$4:$B$18,MATCH(TRIM(F469),Map_Tables!$A$4:$A$18,0)),"CHECK"))</f>
        <v>Bengaluru</v>
      </c>
      <c r="AE469" s="7" t="str">
        <f aca="false">IF(TRIM(E469)="","",IFERROR(INDEX(Map_Tables!$H$4:$H$37,MATCH(TRIM(E469),Map_Tables!$G$4:$G$37,0)),"CHECK"))</f>
        <v>Nawabi Biryani House</v>
      </c>
      <c r="AF469" s="7" t="str">
        <f aca="false">IF(TRIM(K469)="","Unknown",IFERROR(INDEX(Map_Tables!$E$4:$E$15,MATCH(TRIM(K469),Map_Tables!$D$4:$D$15,0)),"CHECK"))</f>
        <v>Debit Card</v>
      </c>
      <c r="AG469" s="7" t="str">
        <f aca="false">IF(LEFT(LOWER(TRIM(L469)),6)="cancel","Cancelled","Delivered")</f>
        <v>Delivered</v>
      </c>
      <c r="AH469" s="10" t="n">
        <f aca="false">IF(ISNUMBER(SEARCH("/",B469)),DATE(VALUE(RIGHT(B469,4)),VALUE(MID(B469,4,2)),VALUE(LEFT(B469,2))),IF(MID(B469,5,1)="-",DATE(VALUE(LEFT(B469,4)),VALUE(MID(B469,6,2)),VALUE(RIGHT(B469,2))),DATE(VALUE(RIGHT(B469,4)),MATCH(MID(B469,4,3),{"Jan","Feb","Mar","Apr","May","Jun","Jul","Aug","Sep","Oct","Nov","Dec"},0),VALUE(LEFT(B469,2)))))</f>
        <v>45674</v>
      </c>
    </row>
    <row r="470" customFormat="false" ht="15" hidden="false" customHeight="false" outlineLevel="0" collapsed="false">
      <c r="A470" s="7" t="s">
        <v>1775</v>
      </c>
      <c r="B470" s="7" t="s">
        <v>1776</v>
      </c>
      <c r="C470" s="7" t="s">
        <v>486</v>
      </c>
      <c r="D470" s="7" t="s">
        <v>1777</v>
      </c>
      <c r="E470" s="7" t="s">
        <v>113</v>
      </c>
      <c r="F470" s="7" t="s">
        <v>101</v>
      </c>
      <c r="G470" s="7" t="s">
        <v>90</v>
      </c>
      <c r="H470" s="7" t="n">
        <v>1</v>
      </c>
      <c r="I470" s="7" t="n">
        <v>215</v>
      </c>
      <c r="J470" s="7" t="n">
        <v>0</v>
      </c>
      <c r="K470" s="7" t="s">
        <v>88</v>
      </c>
      <c r="L470" s="7" t="s">
        <v>194</v>
      </c>
      <c r="M470" s="7" t="n">
        <v>38</v>
      </c>
      <c r="N470" s="7" t="n">
        <v>3</v>
      </c>
      <c r="O470" s="7" t="str">
        <f aca="false">A470&amp;"|"&amp;B470&amp;"|"&amp;C470&amp;"|"&amp;D470&amp;"|"&amp;E470&amp;"|"&amp;F470&amp;"|"&amp;G470&amp;"|"&amp;H470&amp;"|"&amp;I470&amp;"|"&amp;J470&amp;"|"&amp;K470&amp;"|"&amp;L470&amp;"|"&amp;M470&amp;"|"&amp;N470</f>
        <v>ORD12672|25-Nov-2025|12:46|C0883|Curry Leaf Kitchen|Mumbai|North Indian|1|215|0|UPI|Delivered|38|3</v>
      </c>
      <c r="P470" s="7" t="str">
        <f aca="false">IF(COUNTIF($O$2:O470,O470)&gt;1,"DUP","OK")</f>
        <v>OK</v>
      </c>
      <c r="Q470" s="7" t="n">
        <f aca="false">COUNTBLANK(A470:N470)</f>
        <v>0</v>
      </c>
      <c r="R470" s="7" t="n">
        <f aca="false">IF(A470="",0,COUNTIFS($A$2:$A$3058,A470,$P$2:$P$3058,"OK"))</f>
        <v>1</v>
      </c>
      <c r="S470" s="7" t="str">
        <f aca="false">IF(OR(A470="",P470="DUP",R470&lt;2),"",IF(Q470=_xlfn.MINIFS($Q$2:$Q$3058,$A$2:$A$3058,A470,$P$2:$P$3058,"OK"),"KEEP","DROP"))</f>
        <v/>
      </c>
      <c r="T470" s="9" t="n">
        <f aca="false">IF(A470="",1,0)</f>
        <v>0</v>
      </c>
      <c r="U470" s="9" t="n">
        <f aca="false">IF(D470="",1,0)</f>
        <v>0</v>
      </c>
      <c r="V470" s="9" t="n">
        <f aca="false">IF(E470="",1,0)</f>
        <v>0</v>
      </c>
      <c r="W470" s="9" t="n">
        <f aca="false">IF(OR(H470&lt;1,H470&gt;10),1,0)</f>
        <v>0</v>
      </c>
      <c r="X470" s="9" t="n">
        <f aca="false">IF(OR(I470&lt;=0,I470&gt;1500),1,0)</f>
        <v>0</v>
      </c>
      <c r="Y470" s="9" t="n">
        <f aca="false">IF(J470&gt;H470*I470,1,0)</f>
        <v>0</v>
      </c>
      <c r="Z470" s="9" t="n">
        <f aca="false">IF(AND(N470&lt;&gt;"",OR(N470&lt;1,N470&gt;5)),1,0)</f>
        <v>0</v>
      </c>
      <c r="AA470" s="9" t="n">
        <f aca="false">IF(AND(M470&lt;&gt;"",OR(M470&lt;5,M470&gt;180)),1,0)</f>
        <v>0</v>
      </c>
      <c r="AB470" s="7" t="str">
        <f aca="false">IF(P470="DUP","Exact duplicate row",IF(T470=1,"Missing Order ID",IF(S470="DROP","Duplicate Order ID (less complete row)",IF(U470=1,"Missing Customer ID",IF(V470=1,"Missing Restaurant name",IF(W470=1,"Invalid/outlier quantity",IF(X470=1,"Invalid/outlier unit price",IF(Y470=1,"Discount greater than order value",""))))))))</f>
        <v/>
      </c>
      <c r="AC470" s="7" t="str">
        <f aca="false">IF(AB470="","KEEP","DROP")</f>
        <v>KEEP</v>
      </c>
      <c r="AD470" s="7" t="str">
        <f aca="false">IF(TRIM(F470)="",IFERROR(INDEX(Map_Tables!$I$4:$I$37,MATCH(TRIM(E470),Map_Tables!$G$4:$G$37,0)),""),IFERROR(INDEX(Map_Tables!$B$4:$B$18,MATCH(TRIM(F470),Map_Tables!$A$4:$A$18,0)),"CHECK"))</f>
        <v>Mumbai</v>
      </c>
      <c r="AE470" s="7" t="str">
        <f aca="false">IF(TRIM(E470)="","",IFERROR(INDEX(Map_Tables!$H$4:$H$37,MATCH(TRIM(E470),Map_Tables!$G$4:$G$37,0)),"CHECK"))</f>
        <v>Curry Leaf Kitchen</v>
      </c>
      <c r="AF470" s="7" t="str">
        <f aca="false">IF(TRIM(K470)="","Unknown",IFERROR(INDEX(Map_Tables!$E$4:$E$15,MATCH(TRIM(K470),Map_Tables!$D$4:$D$15,0)),"CHECK"))</f>
        <v>UPI</v>
      </c>
      <c r="AG470" s="7" t="str">
        <f aca="false">IF(LEFT(LOWER(TRIM(L470)),6)="cancel","Cancelled","Delivered")</f>
        <v>Delivered</v>
      </c>
      <c r="AH470" s="10" t="n">
        <f aca="false">IF(ISNUMBER(SEARCH("/",B470)),DATE(VALUE(RIGHT(B470,4)),VALUE(MID(B470,4,2)),VALUE(LEFT(B470,2))),IF(MID(B470,5,1)="-",DATE(VALUE(LEFT(B470,4)),VALUE(MID(B470,6,2)),VALUE(RIGHT(B470,2))),DATE(VALUE(RIGHT(B470,4)),MATCH(MID(B470,4,3),{"Jan","Feb","Mar","Apr","May","Jun","Jul","Aug","Sep","Oct","Nov","Dec"},0),VALUE(LEFT(B470,2)))))</f>
        <v>45986</v>
      </c>
    </row>
    <row r="471" customFormat="false" ht="15" hidden="false" customHeight="false" outlineLevel="0" collapsed="false">
      <c r="A471" s="7" t="s">
        <v>1778</v>
      </c>
      <c r="B471" s="7" t="s">
        <v>637</v>
      </c>
      <c r="C471" s="7" t="s">
        <v>1779</v>
      </c>
      <c r="D471" s="7" t="s">
        <v>497</v>
      </c>
      <c r="E471" s="7" t="s">
        <v>113</v>
      </c>
      <c r="F471" s="7" t="s">
        <v>101</v>
      </c>
      <c r="G471" s="7" t="s">
        <v>90</v>
      </c>
      <c r="H471" s="7" t="n">
        <v>2</v>
      </c>
      <c r="I471" s="7" t="n">
        <v>355</v>
      </c>
      <c r="J471" s="7" t="n">
        <v>75</v>
      </c>
      <c r="K471" s="7" t="s">
        <v>88</v>
      </c>
      <c r="L471" s="7" t="s">
        <v>194</v>
      </c>
      <c r="M471" s="7" t="n">
        <v>32</v>
      </c>
      <c r="N471" s="7" t="n">
        <v>3</v>
      </c>
      <c r="O471" s="7" t="str">
        <f aca="false">A471&amp;"|"&amp;B471&amp;"|"&amp;C471&amp;"|"&amp;D471&amp;"|"&amp;E471&amp;"|"&amp;F471&amp;"|"&amp;G471&amp;"|"&amp;H471&amp;"|"&amp;I471&amp;"|"&amp;J471&amp;"|"&amp;K471&amp;"|"&amp;L471&amp;"|"&amp;M471&amp;"|"&amp;N471</f>
        <v>ORD12744|2025-12-02|11:31|C0413|Curry Leaf Kitchen|Mumbai|North Indian|2|355|75|UPI|Delivered|32|3</v>
      </c>
      <c r="P471" s="7" t="str">
        <f aca="false">IF(COUNTIF($O$2:O471,O471)&gt;1,"DUP","OK")</f>
        <v>OK</v>
      </c>
      <c r="Q471" s="7" t="n">
        <f aca="false">COUNTBLANK(A471:N471)</f>
        <v>0</v>
      </c>
      <c r="R471" s="7" t="n">
        <f aca="false">IF(A471="",0,COUNTIFS($A$2:$A$3058,A471,$P$2:$P$3058,"OK"))</f>
        <v>1</v>
      </c>
      <c r="S471" s="7" t="str">
        <f aca="false">IF(OR(A471="",P471="DUP",R471&lt;2),"",IF(Q471=_xlfn.MINIFS($Q$2:$Q$3058,$A$2:$A$3058,A471,$P$2:$P$3058,"OK"),"KEEP","DROP"))</f>
        <v/>
      </c>
      <c r="T471" s="9" t="n">
        <f aca="false">IF(A471="",1,0)</f>
        <v>0</v>
      </c>
      <c r="U471" s="9" t="n">
        <f aca="false">IF(D471="",1,0)</f>
        <v>0</v>
      </c>
      <c r="V471" s="9" t="n">
        <f aca="false">IF(E471="",1,0)</f>
        <v>0</v>
      </c>
      <c r="W471" s="9" t="n">
        <f aca="false">IF(OR(H471&lt;1,H471&gt;10),1,0)</f>
        <v>0</v>
      </c>
      <c r="X471" s="9" t="n">
        <f aca="false">IF(OR(I471&lt;=0,I471&gt;1500),1,0)</f>
        <v>0</v>
      </c>
      <c r="Y471" s="9" t="n">
        <f aca="false">IF(J471&gt;H471*I471,1,0)</f>
        <v>0</v>
      </c>
      <c r="Z471" s="9" t="n">
        <f aca="false">IF(AND(N471&lt;&gt;"",OR(N471&lt;1,N471&gt;5)),1,0)</f>
        <v>0</v>
      </c>
      <c r="AA471" s="9" t="n">
        <f aca="false">IF(AND(M471&lt;&gt;"",OR(M471&lt;5,M471&gt;180)),1,0)</f>
        <v>0</v>
      </c>
      <c r="AB471" s="7" t="str">
        <f aca="false">IF(P471="DUP","Exact duplicate row",IF(T471=1,"Missing Order ID",IF(S471="DROP","Duplicate Order ID (less complete row)",IF(U471=1,"Missing Customer ID",IF(V471=1,"Missing Restaurant name",IF(W471=1,"Invalid/outlier quantity",IF(X471=1,"Invalid/outlier unit price",IF(Y471=1,"Discount greater than order value",""))))))))</f>
        <v/>
      </c>
      <c r="AC471" s="7" t="str">
        <f aca="false">IF(AB471="","KEEP","DROP")</f>
        <v>KEEP</v>
      </c>
      <c r="AD471" s="7" t="str">
        <f aca="false">IF(TRIM(F471)="",IFERROR(INDEX(Map_Tables!$I$4:$I$37,MATCH(TRIM(E471),Map_Tables!$G$4:$G$37,0)),""),IFERROR(INDEX(Map_Tables!$B$4:$B$18,MATCH(TRIM(F471),Map_Tables!$A$4:$A$18,0)),"CHECK"))</f>
        <v>Mumbai</v>
      </c>
      <c r="AE471" s="7" t="str">
        <f aca="false">IF(TRIM(E471)="","",IFERROR(INDEX(Map_Tables!$H$4:$H$37,MATCH(TRIM(E471),Map_Tables!$G$4:$G$37,0)),"CHECK"))</f>
        <v>Curry Leaf Kitchen</v>
      </c>
      <c r="AF471" s="7" t="str">
        <f aca="false">IF(TRIM(K471)="","Unknown",IFERROR(INDEX(Map_Tables!$E$4:$E$15,MATCH(TRIM(K471),Map_Tables!$D$4:$D$15,0)),"CHECK"))</f>
        <v>UPI</v>
      </c>
      <c r="AG471" s="7" t="str">
        <f aca="false">IF(LEFT(LOWER(TRIM(L471)),6)="cancel","Cancelled","Delivered")</f>
        <v>Delivered</v>
      </c>
      <c r="AH471" s="10" t="n">
        <f aca="false">IF(ISNUMBER(SEARCH("/",B471)),DATE(VALUE(RIGHT(B471,4)),VALUE(MID(B471,4,2)),VALUE(LEFT(B471,2))),IF(MID(B471,5,1)="-",DATE(VALUE(LEFT(B471,4)),VALUE(MID(B471,6,2)),VALUE(RIGHT(B471,2))),DATE(VALUE(RIGHT(B471,4)),MATCH(MID(B471,4,3),{"Jan","Feb","Mar","Apr","May","Jun","Jul","Aug","Sep","Oct","Nov","Dec"},0),VALUE(LEFT(B471,2)))))</f>
        <v>45993</v>
      </c>
    </row>
    <row r="472" customFormat="false" ht="15" hidden="false" customHeight="false" outlineLevel="0" collapsed="false">
      <c r="A472" s="7" t="s">
        <v>1780</v>
      </c>
      <c r="B472" s="7" t="s">
        <v>554</v>
      </c>
      <c r="C472" s="7" t="s">
        <v>1781</v>
      </c>
      <c r="D472" s="7" t="s">
        <v>1782</v>
      </c>
      <c r="E472" s="7" t="s">
        <v>158</v>
      </c>
      <c r="F472" s="7" t="s">
        <v>136</v>
      </c>
      <c r="G472" s="7" t="s">
        <v>139</v>
      </c>
      <c r="H472" s="7" t="n">
        <v>2</v>
      </c>
      <c r="I472" s="7" t="n">
        <v>240</v>
      </c>
      <c r="J472" s="7" t="n">
        <v>100</v>
      </c>
      <c r="K472" s="7" t="s">
        <v>88</v>
      </c>
      <c r="L472" s="7" t="s">
        <v>194</v>
      </c>
      <c r="M472" s="7" t="n">
        <v>41</v>
      </c>
      <c r="N472" s="7" t="n">
        <v>5</v>
      </c>
      <c r="O472" s="7" t="str">
        <f aca="false">A472&amp;"|"&amp;B472&amp;"|"&amp;C472&amp;"|"&amp;D472&amp;"|"&amp;E472&amp;"|"&amp;F472&amp;"|"&amp;G472&amp;"|"&amp;H472&amp;"|"&amp;I472&amp;"|"&amp;J472&amp;"|"&amp;K472&amp;"|"&amp;L472&amp;"|"&amp;M472&amp;"|"&amp;N472</f>
        <v>ORD12310|2025-10-18|21:16|C0539|Pune Burger Hub|Pune|Burgers|2|240|100|UPI|Delivered|41|5</v>
      </c>
      <c r="P472" s="7" t="str">
        <f aca="false">IF(COUNTIF($O$2:O472,O472)&gt;1,"DUP","OK")</f>
        <v>OK</v>
      </c>
      <c r="Q472" s="7" t="n">
        <f aca="false">COUNTBLANK(A472:N472)</f>
        <v>0</v>
      </c>
      <c r="R472" s="7" t="n">
        <f aca="false">IF(A472="",0,COUNTIFS($A$2:$A$3058,A472,$P$2:$P$3058,"OK"))</f>
        <v>1</v>
      </c>
      <c r="S472" s="7" t="str">
        <f aca="false">IF(OR(A472="",P472="DUP",R472&lt;2),"",IF(Q472=_xlfn.MINIFS($Q$2:$Q$3058,$A$2:$A$3058,A472,$P$2:$P$3058,"OK"),"KEEP","DROP"))</f>
        <v/>
      </c>
      <c r="T472" s="9" t="n">
        <f aca="false">IF(A472="",1,0)</f>
        <v>0</v>
      </c>
      <c r="U472" s="9" t="n">
        <f aca="false">IF(D472="",1,0)</f>
        <v>0</v>
      </c>
      <c r="V472" s="9" t="n">
        <f aca="false">IF(E472="",1,0)</f>
        <v>0</v>
      </c>
      <c r="W472" s="9" t="n">
        <f aca="false">IF(OR(H472&lt;1,H472&gt;10),1,0)</f>
        <v>0</v>
      </c>
      <c r="X472" s="9" t="n">
        <f aca="false">IF(OR(I472&lt;=0,I472&gt;1500),1,0)</f>
        <v>0</v>
      </c>
      <c r="Y472" s="9" t="n">
        <f aca="false">IF(J472&gt;H472*I472,1,0)</f>
        <v>0</v>
      </c>
      <c r="Z472" s="9" t="n">
        <f aca="false">IF(AND(N472&lt;&gt;"",OR(N472&lt;1,N472&gt;5)),1,0)</f>
        <v>0</v>
      </c>
      <c r="AA472" s="9" t="n">
        <f aca="false">IF(AND(M472&lt;&gt;"",OR(M472&lt;5,M472&gt;180)),1,0)</f>
        <v>0</v>
      </c>
      <c r="AB472" s="7" t="str">
        <f aca="false">IF(P472="DUP","Exact duplicate row",IF(T472=1,"Missing Order ID",IF(S472="DROP","Duplicate Order ID (less complete row)",IF(U472=1,"Missing Customer ID",IF(V472=1,"Missing Restaurant name",IF(W472=1,"Invalid/outlier quantity",IF(X472=1,"Invalid/outlier unit price",IF(Y472=1,"Discount greater than order value",""))))))))</f>
        <v/>
      </c>
      <c r="AC472" s="7" t="str">
        <f aca="false">IF(AB472="","KEEP","DROP")</f>
        <v>KEEP</v>
      </c>
      <c r="AD472" s="7" t="str">
        <f aca="false">IF(TRIM(F472)="",IFERROR(INDEX(Map_Tables!$I$4:$I$37,MATCH(TRIM(E472),Map_Tables!$G$4:$G$37,0)),""),IFERROR(INDEX(Map_Tables!$B$4:$B$18,MATCH(TRIM(F472),Map_Tables!$A$4:$A$18,0)),"CHECK"))</f>
        <v>Pune</v>
      </c>
      <c r="AE472" s="7" t="str">
        <f aca="false">IF(TRIM(E472)="","",IFERROR(INDEX(Map_Tables!$H$4:$H$37,MATCH(TRIM(E472),Map_Tables!$G$4:$G$37,0)),"CHECK"))</f>
        <v>Pune Burger Hub</v>
      </c>
      <c r="AF472" s="7" t="str">
        <f aca="false">IF(TRIM(K472)="","Unknown",IFERROR(INDEX(Map_Tables!$E$4:$E$15,MATCH(TRIM(K472),Map_Tables!$D$4:$D$15,0)),"CHECK"))</f>
        <v>UPI</v>
      </c>
      <c r="AG472" s="7" t="str">
        <f aca="false">IF(LEFT(LOWER(TRIM(L472)),6)="cancel","Cancelled","Delivered")</f>
        <v>Delivered</v>
      </c>
      <c r="AH472" s="10" t="n">
        <f aca="false">IF(ISNUMBER(SEARCH("/",B472)),DATE(VALUE(RIGHT(B472,4)),VALUE(MID(B472,4,2)),VALUE(LEFT(B472,2))),IF(MID(B472,5,1)="-",DATE(VALUE(LEFT(B472,4)),VALUE(MID(B472,6,2)),VALUE(RIGHT(B472,2))),DATE(VALUE(RIGHT(B472,4)),MATCH(MID(B472,4,3),{"Jan","Feb","Mar","Apr","May","Jun","Jul","Aug","Sep","Oct","Nov","Dec"},0),VALUE(LEFT(B472,2)))))</f>
        <v>45948</v>
      </c>
    </row>
    <row r="473" customFormat="false" ht="15" hidden="false" customHeight="false" outlineLevel="0" collapsed="false">
      <c r="A473" s="7" t="s">
        <v>1783</v>
      </c>
      <c r="B473" s="7" t="s">
        <v>1190</v>
      </c>
      <c r="C473" s="7" t="s">
        <v>1784</v>
      </c>
      <c r="D473" s="7" t="s">
        <v>1785</v>
      </c>
      <c r="E473" s="7" t="s">
        <v>167</v>
      </c>
      <c r="F473" s="7" t="s">
        <v>146</v>
      </c>
      <c r="G473" s="7" t="s">
        <v>156</v>
      </c>
      <c r="H473" s="7" t="n">
        <v>1</v>
      </c>
      <c r="I473" s="7" t="n">
        <v>280</v>
      </c>
      <c r="J473" s="7" t="n">
        <v>112</v>
      </c>
      <c r="K473" s="7" t="s">
        <v>112</v>
      </c>
      <c r="L473" s="7" t="s">
        <v>194</v>
      </c>
      <c r="M473" s="7" t="n">
        <v>31</v>
      </c>
      <c r="N473" s="7" t="n">
        <v>3</v>
      </c>
      <c r="O473" s="7" t="str">
        <f aca="false">A473&amp;"|"&amp;B473&amp;"|"&amp;C473&amp;"|"&amp;D473&amp;"|"&amp;E473&amp;"|"&amp;F473&amp;"|"&amp;G473&amp;"|"&amp;H473&amp;"|"&amp;I473&amp;"|"&amp;J473&amp;"|"&amp;K473&amp;"|"&amp;L473&amp;"|"&amp;M473&amp;"|"&amp;N473</f>
        <v>ORD10195|2025-01-26|18:23|C0532|Fit Fuel Kitchen|Ahmedabad|Healthy Food|1|280|112|Cash on Delivery|Delivered|31|3</v>
      </c>
      <c r="P473" s="7" t="str">
        <f aca="false">IF(COUNTIF($O$2:O473,O473)&gt;1,"DUP","OK")</f>
        <v>OK</v>
      </c>
      <c r="Q473" s="7" t="n">
        <f aca="false">COUNTBLANK(A473:N473)</f>
        <v>0</v>
      </c>
      <c r="R473" s="7" t="n">
        <f aca="false">IF(A473="",0,COUNTIFS($A$2:$A$3058,A473,$P$2:$P$3058,"OK"))</f>
        <v>1</v>
      </c>
      <c r="S473" s="7" t="str">
        <f aca="false">IF(OR(A473="",P473="DUP",R473&lt;2),"",IF(Q473=_xlfn.MINIFS($Q$2:$Q$3058,$A$2:$A$3058,A473,$P$2:$P$3058,"OK"),"KEEP","DROP"))</f>
        <v/>
      </c>
      <c r="T473" s="9" t="n">
        <f aca="false">IF(A473="",1,0)</f>
        <v>0</v>
      </c>
      <c r="U473" s="9" t="n">
        <f aca="false">IF(D473="",1,0)</f>
        <v>0</v>
      </c>
      <c r="V473" s="9" t="n">
        <f aca="false">IF(E473="",1,0)</f>
        <v>0</v>
      </c>
      <c r="W473" s="9" t="n">
        <f aca="false">IF(OR(H473&lt;1,H473&gt;10),1,0)</f>
        <v>0</v>
      </c>
      <c r="X473" s="9" t="n">
        <f aca="false">IF(OR(I473&lt;=0,I473&gt;1500),1,0)</f>
        <v>0</v>
      </c>
      <c r="Y473" s="9" t="n">
        <f aca="false">IF(J473&gt;H473*I473,1,0)</f>
        <v>0</v>
      </c>
      <c r="Z473" s="9" t="n">
        <f aca="false">IF(AND(N473&lt;&gt;"",OR(N473&lt;1,N473&gt;5)),1,0)</f>
        <v>0</v>
      </c>
      <c r="AA473" s="9" t="n">
        <f aca="false">IF(AND(M473&lt;&gt;"",OR(M473&lt;5,M473&gt;180)),1,0)</f>
        <v>0</v>
      </c>
      <c r="AB473" s="7" t="str">
        <f aca="false">IF(P473="DUP","Exact duplicate row",IF(T473=1,"Missing Order ID",IF(S473="DROP","Duplicate Order ID (less complete row)",IF(U473=1,"Missing Customer ID",IF(V473=1,"Missing Restaurant name",IF(W473=1,"Invalid/outlier quantity",IF(X473=1,"Invalid/outlier unit price",IF(Y473=1,"Discount greater than order value",""))))))))</f>
        <v/>
      </c>
      <c r="AC473" s="7" t="str">
        <f aca="false">IF(AB473="","KEEP","DROP")</f>
        <v>KEEP</v>
      </c>
      <c r="AD473" s="7" t="str">
        <f aca="false">IF(TRIM(F473)="",IFERROR(INDEX(Map_Tables!$I$4:$I$37,MATCH(TRIM(E473),Map_Tables!$G$4:$G$37,0)),""),IFERROR(INDEX(Map_Tables!$B$4:$B$18,MATCH(TRIM(F473),Map_Tables!$A$4:$A$18,0)),"CHECK"))</f>
        <v>Ahmedabad</v>
      </c>
      <c r="AE473" s="7" t="str">
        <f aca="false">IF(TRIM(E473)="","",IFERROR(INDEX(Map_Tables!$H$4:$H$37,MATCH(TRIM(E473),Map_Tables!$G$4:$G$37,0)),"CHECK"))</f>
        <v>Fit Fuel Kitchen</v>
      </c>
      <c r="AF473" s="7" t="str">
        <f aca="false">IF(TRIM(K473)="","Unknown",IFERROR(INDEX(Map_Tables!$E$4:$E$15,MATCH(TRIM(K473),Map_Tables!$D$4:$D$15,0)),"CHECK"))</f>
        <v>Cash on Delivery</v>
      </c>
      <c r="AG473" s="7" t="str">
        <f aca="false">IF(LEFT(LOWER(TRIM(L473)),6)="cancel","Cancelled","Delivered")</f>
        <v>Delivered</v>
      </c>
      <c r="AH473" s="10" t="n">
        <f aca="false">IF(ISNUMBER(SEARCH("/",B473)),DATE(VALUE(RIGHT(B473,4)),VALUE(MID(B473,4,2)),VALUE(LEFT(B473,2))),IF(MID(B473,5,1)="-",DATE(VALUE(LEFT(B473,4)),VALUE(MID(B473,6,2)),VALUE(RIGHT(B473,2))),DATE(VALUE(RIGHT(B473,4)),MATCH(MID(B473,4,3),{"Jan","Feb","Mar","Apr","May","Jun","Jul","Aug","Sep","Oct","Nov","Dec"},0),VALUE(LEFT(B473,2)))))</f>
        <v>45683</v>
      </c>
    </row>
    <row r="474" customFormat="false" ht="15" hidden="false" customHeight="false" outlineLevel="0" collapsed="false">
      <c r="A474" s="7" t="s">
        <v>1786</v>
      </c>
      <c r="B474" s="7" t="s">
        <v>1787</v>
      </c>
      <c r="C474" s="7" t="s">
        <v>1788</v>
      </c>
      <c r="D474" s="7" t="s">
        <v>997</v>
      </c>
      <c r="E474" s="7" t="s">
        <v>138</v>
      </c>
      <c r="F474" s="7" t="s">
        <v>110</v>
      </c>
      <c r="G474" s="7" t="s">
        <v>139</v>
      </c>
      <c r="H474" s="7" t="n">
        <v>3</v>
      </c>
      <c r="I474" s="7" t="n">
        <v>210</v>
      </c>
      <c r="J474" s="7" t="n">
        <v>0</v>
      </c>
      <c r="K474" s="7" t="s">
        <v>93</v>
      </c>
      <c r="L474" s="7" t="s">
        <v>194</v>
      </c>
      <c r="M474" s="7" t="n">
        <v>30</v>
      </c>
      <c r="N474" s="7" t="n">
        <v>5</v>
      </c>
      <c r="O474" s="7" t="str">
        <f aca="false">A474&amp;"|"&amp;B474&amp;"|"&amp;C474&amp;"|"&amp;D474&amp;"|"&amp;E474&amp;"|"&amp;F474&amp;"|"&amp;G474&amp;"|"&amp;H474&amp;"|"&amp;I474&amp;"|"&amp;J474&amp;"|"&amp;K474&amp;"|"&amp;L474&amp;"|"&amp;M474&amp;"|"&amp;N474</f>
        <v>ORD11618|29-Jul-2025|20:33|C1190|Burger Barn|Delhi|Burgers|3|210|0|Credit Card|Delivered|30|5</v>
      </c>
      <c r="P474" s="7" t="str">
        <f aca="false">IF(COUNTIF($O$2:O474,O474)&gt;1,"DUP","OK")</f>
        <v>OK</v>
      </c>
      <c r="Q474" s="7" t="n">
        <f aca="false">COUNTBLANK(A474:N474)</f>
        <v>0</v>
      </c>
      <c r="R474" s="7" t="n">
        <f aca="false">IF(A474="",0,COUNTIFS($A$2:$A$3058,A474,$P$2:$P$3058,"OK"))</f>
        <v>1</v>
      </c>
      <c r="S474" s="7" t="str">
        <f aca="false">IF(OR(A474="",P474="DUP",R474&lt;2),"",IF(Q474=_xlfn.MINIFS($Q$2:$Q$3058,$A$2:$A$3058,A474,$P$2:$P$3058,"OK"),"KEEP","DROP"))</f>
        <v/>
      </c>
      <c r="T474" s="9" t="n">
        <f aca="false">IF(A474="",1,0)</f>
        <v>0</v>
      </c>
      <c r="U474" s="9" t="n">
        <f aca="false">IF(D474="",1,0)</f>
        <v>0</v>
      </c>
      <c r="V474" s="9" t="n">
        <f aca="false">IF(E474="",1,0)</f>
        <v>0</v>
      </c>
      <c r="W474" s="9" t="n">
        <f aca="false">IF(OR(H474&lt;1,H474&gt;10),1,0)</f>
        <v>0</v>
      </c>
      <c r="X474" s="9" t="n">
        <f aca="false">IF(OR(I474&lt;=0,I474&gt;1500),1,0)</f>
        <v>0</v>
      </c>
      <c r="Y474" s="9" t="n">
        <f aca="false">IF(J474&gt;H474*I474,1,0)</f>
        <v>0</v>
      </c>
      <c r="Z474" s="9" t="n">
        <f aca="false">IF(AND(N474&lt;&gt;"",OR(N474&lt;1,N474&gt;5)),1,0)</f>
        <v>0</v>
      </c>
      <c r="AA474" s="9" t="n">
        <f aca="false">IF(AND(M474&lt;&gt;"",OR(M474&lt;5,M474&gt;180)),1,0)</f>
        <v>0</v>
      </c>
      <c r="AB474" s="7" t="str">
        <f aca="false">IF(P474="DUP","Exact duplicate row",IF(T474=1,"Missing Order ID",IF(S474="DROP","Duplicate Order ID (less complete row)",IF(U474=1,"Missing Customer ID",IF(V474=1,"Missing Restaurant name",IF(W474=1,"Invalid/outlier quantity",IF(X474=1,"Invalid/outlier unit price",IF(Y474=1,"Discount greater than order value",""))))))))</f>
        <v/>
      </c>
      <c r="AC474" s="7" t="str">
        <f aca="false">IF(AB474="","KEEP","DROP")</f>
        <v>KEEP</v>
      </c>
      <c r="AD474" s="7" t="str">
        <f aca="false">IF(TRIM(F474)="",IFERROR(INDEX(Map_Tables!$I$4:$I$37,MATCH(TRIM(E474),Map_Tables!$G$4:$G$37,0)),""),IFERROR(INDEX(Map_Tables!$B$4:$B$18,MATCH(TRIM(F474),Map_Tables!$A$4:$A$18,0)),"CHECK"))</f>
        <v>Delhi</v>
      </c>
      <c r="AE474" s="7" t="str">
        <f aca="false">IF(TRIM(E474)="","",IFERROR(INDEX(Map_Tables!$H$4:$H$37,MATCH(TRIM(E474),Map_Tables!$G$4:$G$37,0)),"CHECK"))</f>
        <v>Burger Barn</v>
      </c>
      <c r="AF474" s="7" t="str">
        <f aca="false">IF(TRIM(K474)="","Unknown",IFERROR(INDEX(Map_Tables!$E$4:$E$15,MATCH(TRIM(K474),Map_Tables!$D$4:$D$15,0)),"CHECK"))</f>
        <v>Credit Card</v>
      </c>
      <c r="AG474" s="7" t="str">
        <f aca="false">IF(LEFT(LOWER(TRIM(L474)),6)="cancel","Cancelled","Delivered")</f>
        <v>Delivered</v>
      </c>
      <c r="AH474" s="10" t="n">
        <f aca="false">IF(ISNUMBER(SEARCH("/",B474)),DATE(VALUE(RIGHT(B474,4)),VALUE(MID(B474,4,2)),VALUE(LEFT(B474,2))),IF(MID(B474,5,1)="-",DATE(VALUE(LEFT(B474,4)),VALUE(MID(B474,6,2)),VALUE(RIGHT(B474,2))),DATE(VALUE(RIGHT(B474,4)),MATCH(MID(B474,4,3),{"Jan","Feb","Mar","Apr","May","Jun","Jul","Aug","Sep","Oct","Nov","Dec"},0),VALUE(LEFT(B474,2)))))</f>
        <v>45867</v>
      </c>
    </row>
    <row r="475" customFormat="false" ht="15" hidden="false" customHeight="false" outlineLevel="0" collapsed="false">
      <c r="A475" s="7" t="s">
        <v>1789</v>
      </c>
      <c r="B475" s="7" t="s">
        <v>1790</v>
      </c>
      <c r="C475" s="7" t="s">
        <v>1791</v>
      </c>
      <c r="D475" s="7" t="s">
        <v>1792</v>
      </c>
      <c r="E475" s="7" t="s">
        <v>162</v>
      </c>
      <c r="F475" s="7" t="s">
        <v>1793</v>
      </c>
      <c r="G475" s="7" t="s">
        <v>117</v>
      </c>
      <c r="H475" s="7" t="n">
        <v>2</v>
      </c>
      <c r="I475" s="7" t="n">
        <v>130</v>
      </c>
      <c r="J475" s="7" t="n">
        <v>0</v>
      </c>
      <c r="K475" s="7" t="s">
        <v>112</v>
      </c>
      <c r="L475" s="7" t="s">
        <v>194</v>
      </c>
      <c r="M475" s="7" t="n">
        <v>39</v>
      </c>
      <c r="N475" s="7" t="n">
        <v>5</v>
      </c>
      <c r="O475" s="7" t="str">
        <f aca="false">A475&amp;"|"&amp;B475&amp;"|"&amp;C475&amp;"|"&amp;D475&amp;"|"&amp;E475&amp;"|"&amp;F475&amp;"|"&amp;G475&amp;"|"&amp;H475&amp;"|"&amp;I475&amp;"|"&amp;J475&amp;"|"&amp;K475&amp;"|"&amp;L475&amp;"|"&amp;M475&amp;"|"&amp;N475</f>
        <v>ORD11069|2025-05-15|19:21|C0018|Kolkata Roll Centre|Calcutta|Street Food|2|130|0|Cash on Delivery|Delivered|39|5</v>
      </c>
      <c r="P475" s="7" t="str">
        <f aca="false">IF(COUNTIF($O$2:O475,O475)&gt;1,"DUP","OK")</f>
        <v>OK</v>
      </c>
      <c r="Q475" s="7" t="n">
        <f aca="false">COUNTBLANK(A475:N475)</f>
        <v>0</v>
      </c>
      <c r="R475" s="7" t="n">
        <f aca="false">IF(A475="",0,COUNTIFS($A$2:$A$3058,A475,$P$2:$P$3058,"OK"))</f>
        <v>1</v>
      </c>
      <c r="S475" s="7" t="str">
        <f aca="false">IF(OR(A475="",P475="DUP",R475&lt;2),"",IF(Q475=_xlfn.MINIFS($Q$2:$Q$3058,$A$2:$A$3058,A475,$P$2:$P$3058,"OK"),"KEEP","DROP"))</f>
        <v/>
      </c>
      <c r="T475" s="9" t="n">
        <f aca="false">IF(A475="",1,0)</f>
        <v>0</v>
      </c>
      <c r="U475" s="9" t="n">
        <f aca="false">IF(D475="",1,0)</f>
        <v>0</v>
      </c>
      <c r="V475" s="9" t="n">
        <f aca="false">IF(E475="",1,0)</f>
        <v>0</v>
      </c>
      <c r="W475" s="9" t="n">
        <f aca="false">IF(OR(H475&lt;1,H475&gt;10),1,0)</f>
        <v>0</v>
      </c>
      <c r="X475" s="9" t="n">
        <f aca="false">IF(OR(I475&lt;=0,I475&gt;1500),1,0)</f>
        <v>0</v>
      </c>
      <c r="Y475" s="9" t="n">
        <f aca="false">IF(J475&gt;H475*I475,1,0)</f>
        <v>0</v>
      </c>
      <c r="Z475" s="9" t="n">
        <f aca="false">IF(AND(N475&lt;&gt;"",OR(N475&lt;1,N475&gt;5)),1,0)</f>
        <v>0</v>
      </c>
      <c r="AA475" s="9" t="n">
        <f aca="false">IF(AND(M475&lt;&gt;"",OR(M475&lt;5,M475&gt;180)),1,0)</f>
        <v>0</v>
      </c>
      <c r="AB475" s="7" t="str">
        <f aca="false">IF(P475="DUP","Exact duplicate row",IF(T475=1,"Missing Order ID",IF(S475="DROP","Duplicate Order ID (less complete row)",IF(U475=1,"Missing Customer ID",IF(V475=1,"Missing Restaurant name",IF(W475=1,"Invalid/outlier quantity",IF(X475=1,"Invalid/outlier unit price",IF(Y475=1,"Discount greater than order value",""))))))))</f>
        <v/>
      </c>
      <c r="AC475" s="7" t="str">
        <f aca="false">IF(AB475="","KEEP","DROP")</f>
        <v>KEEP</v>
      </c>
      <c r="AD475" s="7" t="str">
        <f aca="false">IF(TRIM(F475)="",IFERROR(INDEX(Map_Tables!$I$4:$I$37,MATCH(TRIM(E475),Map_Tables!$G$4:$G$37,0)),""),IFERROR(INDEX(Map_Tables!$B$4:$B$18,MATCH(TRIM(F475),Map_Tables!$A$4:$A$18,0)),"CHECK"))</f>
        <v>Kolkata</v>
      </c>
      <c r="AE475" s="7" t="str">
        <f aca="false">IF(TRIM(E475)="","",IFERROR(INDEX(Map_Tables!$H$4:$H$37,MATCH(TRIM(E475),Map_Tables!$G$4:$G$37,0)),"CHECK"))</f>
        <v>Kolkata Roll Centre</v>
      </c>
      <c r="AF475" s="7" t="str">
        <f aca="false">IF(TRIM(K475)="","Unknown",IFERROR(INDEX(Map_Tables!$E$4:$E$15,MATCH(TRIM(K475),Map_Tables!$D$4:$D$15,0)),"CHECK"))</f>
        <v>Cash on Delivery</v>
      </c>
      <c r="AG475" s="7" t="str">
        <f aca="false">IF(LEFT(LOWER(TRIM(L475)),6)="cancel","Cancelled","Delivered")</f>
        <v>Delivered</v>
      </c>
      <c r="AH475" s="10" t="n">
        <f aca="false">IF(ISNUMBER(SEARCH("/",B475)),DATE(VALUE(RIGHT(B475,4)),VALUE(MID(B475,4,2)),VALUE(LEFT(B475,2))),IF(MID(B475,5,1)="-",DATE(VALUE(LEFT(B475,4)),VALUE(MID(B475,6,2)),VALUE(RIGHT(B475,2))),DATE(VALUE(RIGHT(B475,4)),MATCH(MID(B475,4,3),{"Jan","Feb","Mar","Apr","May","Jun","Jul","Aug","Sep","Oct","Nov","Dec"},0),VALUE(LEFT(B475,2)))))</f>
        <v>45792</v>
      </c>
    </row>
    <row r="476" customFormat="false" ht="15" hidden="false" customHeight="false" outlineLevel="0" collapsed="false">
      <c r="A476" s="7" t="s">
        <v>1794</v>
      </c>
      <c r="B476" s="7" t="s">
        <v>477</v>
      </c>
      <c r="C476" s="7" t="s">
        <v>1795</v>
      </c>
      <c r="D476" s="7" t="s">
        <v>1796</v>
      </c>
      <c r="E476" s="7" t="s">
        <v>147</v>
      </c>
      <c r="F476" s="7" t="s">
        <v>119</v>
      </c>
      <c r="G476" s="7" t="s">
        <v>95</v>
      </c>
      <c r="H476" s="7" t="n">
        <v>2</v>
      </c>
      <c r="I476" s="7" t="n">
        <v>160</v>
      </c>
      <c r="J476" s="7" t="n">
        <v>30</v>
      </c>
      <c r="K476" s="7" t="s">
        <v>88</v>
      </c>
      <c r="L476" s="7" t="s">
        <v>1265</v>
      </c>
      <c r="M476" s="7" t="n">
        <v>24</v>
      </c>
      <c r="N476" s="7" t="n">
        <v>3</v>
      </c>
      <c r="O476" s="7" t="str">
        <f aca="false">A476&amp;"|"&amp;B476&amp;"|"&amp;C476&amp;"|"&amp;D476&amp;"|"&amp;E476&amp;"|"&amp;F476&amp;"|"&amp;G476&amp;"|"&amp;H476&amp;"|"&amp;I476&amp;"|"&amp;J476&amp;"|"&amp;K476&amp;"|"&amp;L476&amp;"|"&amp;M476&amp;"|"&amp;N476</f>
        <v>ORD10833|2025-04-16|12:33|C1207|Andhra Meals Mess|Hyderabad|South Indian|2|160|30|UPI|delivered|24|3</v>
      </c>
      <c r="P476" s="7" t="str">
        <f aca="false">IF(COUNTIF($O$2:O476,O476)&gt;1,"DUP","OK")</f>
        <v>OK</v>
      </c>
      <c r="Q476" s="7" t="n">
        <f aca="false">COUNTBLANK(A476:N476)</f>
        <v>0</v>
      </c>
      <c r="R476" s="7" t="n">
        <f aca="false">IF(A476="",0,COUNTIFS($A$2:$A$3058,A476,$P$2:$P$3058,"OK"))</f>
        <v>1</v>
      </c>
      <c r="S476" s="7" t="str">
        <f aca="false">IF(OR(A476="",P476="DUP",R476&lt;2),"",IF(Q476=_xlfn.MINIFS($Q$2:$Q$3058,$A$2:$A$3058,A476,$P$2:$P$3058,"OK"),"KEEP","DROP"))</f>
        <v/>
      </c>
      <c r="T476" s="9" t="n">
        <f aca="false">IF(A476="",1,0)</f>
        <v>0</v>
      </c>
      <c r="U476" s="9" t="n">
        <f aca="false">IF(D476="",1,0)</f>
        <v>0</v>
      </c>
      <c r="V476" s="9" t="n">
        <f aca="false">IF(E476="",1,0)</f>
        <v>0</v>
      </c>
      <c r="W476" s="9" t="n">
        <f aca="false">IF(OR(H476&lt;1,H476&gt;10),1,0)</f>
        <v>0</v>
      </c>
      <c r="X476" s="9" t="n">
        <f aca="false">IF(OR(I476&lt;=0,I476&gt;1500),1,0)</f>
        <v>0</v>
      </c>
      <c r="Y476" s="9" t="n">
        <f aca="false">IF(J476&gt;H476*I476,1,0)</f>
        <v>0</v>
      </c>
      <c r="Z476" s="9" t="n">
        <f aca="false">IF(AND(N476&lt;&gt;"",OR(N476&lt;1,N476&gt;5)),1,0)</f>
        <v>0</v>
      </c>
      <c r="AA476" s="9" t="n">
        <f aca="false">IF(AND(M476&lt;&gt;"",OR(M476&lt;5,M476&gt;180)),1,0)</f>
        <v>0</v>
      </c>
      <c r="AB476" s="7" t="str">
        <f aca="false">IF(P476="DUP","Exact duplicate row",IF(T476=1,"Missing Order ID",IF(S476="DROP","Duplicate Order ID (less complete row)",IF(U476=1,"Missing Customer ID",IF(V476=1,"Missing Restaurant name",IF(W476=1,"Invalid/outlier quantity",IF(X476=1,"Invalid/outlier unit price",IF(Y476=1,"Discount greater than order value",""))))))))</f>
        <v/>
      </c>
      <c r="AC476" s="7" t="str">
        <f aca="false">IF(AB476="","KEEP","DROP")</f>
        <v>KEEP</v>
      </c>
      <c r="AD476" s="7" t="str">
        <f aca="false">IF(TRIM(F476)="",IFERROR(INDEX(Map_Tables!$I$4:$I$37,MATCH(TRIM(E476),Map_Tables!$G$4:$G$37,0)),""),IFERROR(INDEX(Map_Tables!$B$4:$B$18,MATCH(TRIM(F476),Map_Tables!$A$4:$A$18,0)),"CHECK"))</f>
        <v>Hyderabad</v>
      </c>
      <c r="AE476" s="7" t="str">
        <f aca="false">IF(TRIM(E476)="","",IFERROR(INDEX(Map_Tables!$H$4:$H$37,MATCH(TRIM(E476),Map_Tables!$G$4:$G$37,0)),"CHECK"))</f>
        <v>Andhra Meals Mess</v>
      </c>
      <c r="AF476" s="7" t="str">
        <f aca="false">IF(TRIM(K476)="","Unknown",IFERROR(INDEX(Map_Tables!$E$4:$E$15,MATCH(TRIM(K476),Map_Tables!$D$4:$D$15,0)),"CHECK"))</f>
        <v>UPI</v>
      </c>
      <c r="AG476" s="7" t="str">
        <f aca="false">IF(LEFT(LOWER(TRIM(L476)),6)="cancel","Cancelled","Delivered")</f>
        <v>Delivered</v>
      </c>
      <c r="AH476" s="10" t="n">
        <f aca="false">IF(ISNUMBER(SEARCH("/",B476)),DATE(VALUE(RIGHT(B476,4)),VALUE(MID(B476,4,2)),VALUE(LEFT(B476,2))),IF(MID(B476,5,1)="-",DATE(VALUE(LEFT(B476,4)),VALUE(MID(B476,6,2)),VALUE(RIGHT(B476,2))),DATE(VALUE(RIGHT(B476,4)),MATCH(MID(B476,4,3),{"Jan","Feb","Mar","Apr","May","Jun","Jul","Aug","Sep","Oct","Nov","Dec"},0),VALUE(LEFT(B476,2)))))</f>
        <v>45763</v>
      </c>
    </row>
    <row r="477" customFormat="false" ht="15" hidden="false" customHeight="false" outlineLevel="0" collapsed="false">
      <c r="A477" s="7" t="s">
        <v>1797</v>
      </c>
      <c r="B477" s="7" t="s">
        <v>253</v>
      </c>
      <c r="C477" s="7" t="s">
        <v>1798</v>
      </c>
      <c r="D477" s="7" t="s">
        <v>1799</v>
      </c>
      <c r="E477" s="7" t="s">
        <v>134</v>
      </c>
      <c r="F477" s="7" t="s">
        <v>110</v>
      </c>
      <c r="G477" s="7" t="s">
        <v>117</v>
      </c>
      <c r="H477" s="7" t="n">
        <v>1</v>
      </c>
      <c r="I477" s="7" t="n">
        <v>145</v>
      </c>
      <c r="J477" s="7" t="n">
        <v>50</v>
      </c>
      <c r="K477" s="7"/>
      <c r="L477" s="7" t="s">
        <v>194</v>
      </c>
      <c r="M477" s="7" t="n">
        <v>36</v>
      </c>
      <c r="N477" s="7" t="n">
        <v>5</v>
      </c>
      <c r="O477" s="7" t="str">
        <f aca="false">A477&amp;"|"&amp;B477&amp;"|"&amp;C477&amp;"|"&amp;D477&amp;"|"&amp;E477&amp;"|"&amp;F477&amp;"|"&amp;G477&amp;"|"&amp;H477&amp;"|"&amp;I477&amp;"|"&amp;J477&amp;"|"&amp;K477&amp;"|"&amp;L477&amp;"|"&amp;M477&amp;"|"&amp;N477</f>
        <v>ORD10736|2025-04-04|12:49|C1175|Chaat Corner|Delhi|Street Food|1|145|50||Delivered|36|5</v>
      </c>
      <c r="P477" s="7" t="str">
        <f aca="false">IF(COUNTIF($O$2:O477,O477)&gt;1,"DUP","OK")</f>
        <v>OK</v>
      </c>
      <c r="Q477" s="7" t="n">
        <f aca="false">COUNTBLANK(A477:N477)</f>
        <v>1</v>
      </c>
      <c r="R477" s="7" t="n">
        <f aca="false">IF(A477="",0,COUNTIFS($A$2:$A$3058,A477,$P$2:$P$3058,"OK"))</f>
        <v>1</v>
      </c>
      <c r="S477" s="7" t="str">
        <f aca="false">IF(OR(A477="",P477="DUP",R477&lt;2),"",IF(Q477=_xlfn.MINIFS($Q$2:$Q$3058,$A$2:$A$3058,A477,$P$2:$P$3058,"OK"),"KEEP","DROP"))</f>
        <v/>
      </c>
      <c r="T477" s="9" t="n">
        <f aca="false">IF(A477="",1,0)</f>
        <v>0</v>
      </c>
      <c r="U477" s="9" t="n">
        <f aca="false">IF(D477="",1,0)</f>
        <v>0</v>
      </c>
      <c r="V477" s="9" t="n">
        <f aca="false">IF(E477="",1,0)</f>
        <v>0</v>
      </c>
      <c r="W477" s="9" t="n">
        <f aca="false">IF(OR(H477&lt;1,H477&gt;10),1,0)</f>
        <v>0</v>
      </c>
      <c r="X477" s="9" t="n">
        <f aca="false">IF(OR(I477&lt;=0,I477&gt;1500),1,0)</f>
        <v>0</v>
      </c>
      <c r="Y477" s="9" t="n">
        <f aca="false">IF(J477&gt;H477*I477,1,0)</f>
        <v>0</v>
      </c>
      <c r="Z477" s="9" t="n">
        <f aca="false">IF(AND(N477&lt;&gt;"",OR(N477&lt;1,N477&gt;5)),1,0)</f>
        <v>0</v>
      </c>
      <c r="AA477" s="9" t="n">
        <f aca="false">IF(AND(M477&lt;&gt;"",OR(M477&lt;5,M477&gt;180)),1,0)</f>
        <v>0</v>
      </c>
      <c r="AB477" s="7" t="str">
        <f aca="false">IF(P477="DUP","Exact duplicate row",IF(T477=1,"Missing Order ID",IF(S477="DROP","Duplicate Order ID (less complete row)",IF(U477=1,"Missing Customer ID",IF(V477=1,"Missing Restaurant name",IF(W477=1,"Invalid/outlier quantity",IF(X477=1,"Invalid/outlier unit price",IF(Y477=1,"Discount greater than order value",""))))))))</f>
        <v/>
      </c>
      <c r="AC477" s="7" t="str">
        <f aca="false">IF(AB477="","KEEP","DROP")</f>
        <v>KEEP</v>
      </c>
      <c r="AD477" s="7" t="str">
        <f aca="false">IF(TRIM(F477)="",IFERROR(INDEX(Map_Tables!$I$4:$I$37,MATCH(TRIM(E477),Map_Tables!$G$4:$G$37,0)),""),IFERROR(INDEX(Map_Tables!$B$4:$B$18,MATCH(TRIM(F477),Map_Tables!$A$4:$A$18,0)),"CHECK"))</f>
        <v>Delhi</v>
      </c>
      <c r="AE477" s="7" t="str">
        <f aca="false">IF(TRIM(E477)="","",IFERROR(INDEX(Map_Tables!$H$4:$H$37,MATCH(TRIM(E477),Map_Tables!$G$4:$G$37,0)),"CHECK"))</f>
        <v>Chaat Corner</v>
      </c>
      <c r="AF477" s="7" t="str">
        <f aca="false">IF(TRIM(K477)="","Unknown",IFERROR(INDEX(Map_Tables!$E$4:$E$15,MATCH(TRIM(K477),Map_Tables!$D$4:$D$15,0)),"CHECK"))</f>
        <v>Unknown</v>
      </c>
      <c r="AG477" s="7" t="str">
        <f aca="false">IF(LEFT(LOWER(TRIM(L477)),6)="cancel","Cancelled","Delivered")</f>
        <v>Delivered</v>
      </c>
      <c r="AH477" s="10" t="n">
        <f aca="false">IF(ISNUMBER(SEARCH("/",B477)),DATE(VALUE(RIGHT(B477,4)),VALUE(MID(B477,4,2)),VALUE(LEFT(B477,2))),IF(MID(B477,5,1)="-",DATE(VALUE(LEFT(B477,4)),VALUE(MID(B477,6,2)),VALUE(RIGHT(B477,2))),DATE(VALUE(RIGHT(B477,4)),MATCH(MID(B477,4,3),{"Jan","Feb","Mar","Apr","May","Jun","Jul","Aug","Sep","Oct","Nov","Dec"},0),VALUE(LEFT(B477,2)))))</f>
        <v>45751</v>
      </c>
    </row>
    <row r="478" customFormat="false" ht="15" hidden="false" customHeight="false" outlineLevel="0" collapsed="false">
      <c r="A478" s="7" t="s">
        <v>1800</v>
      </c>
      <c r="B478" s="7" t="s">
        <v>1260</v>
      </c>
      <c r="C478" s="7" t="s">
        <v>1118</v>
      </c>
      <c r="D478" s="7" t="s">
        <v>1801</v>
      </c>
      <c r="E478" s="7" t="s">
        <v>162</v>
      </c>
      <c r="F478" s="7" t="s">
        <v>141</v>
      </c>
      <c r="G478" s="7" t="s">
        <v>117</v>
      </c>
      <c r="H478" s="7" t="n">
        <v>2</v>
      </c>
      <c r="I478" s="7" t="n">
        <v>105</v>
      </c>
      <c r="J478" s="7" t="n">
        <v>0</v>
      </c>
      <c r="K478" s="7" t="s">
        <v>298</v>
      </c>
      <c r="L478" s="7" t="s">
        <v>194</v>
      </c>
      <c r="M478" s="7" t="n">
        <v>32</v>
      </c>
      <c r="N478" s="7" t="n">
        <v>4</v>
      </c>
      <c r="O478" s="7" t="str">
        <f aca="false">A478&amp;"|"&amp;B478&amp;"|"&amp;C478&amp;"|"&amp;D478&amp;"|"&amp;E478&amp;"|"&amp;F478&amp;"|"&amp;G478&amp;"|"&amp;H478&amp;"|"&amp;I478&amp;"|"&amp;J478&amp;"|"&amp;K478&amp;"|"&amp;L478&amp;"|"&amp;M478&amp;"|"&amp;N478</f>
        <v>ORD12364|2025-10-25|12:13|C0827|Kolkata Roll Centre|Kolkata|Street Food|2|105|0|Cash On Delivery|Delivered|32|4</v>
      </c>
      <c r="P478" s="7" t="str">
        <f aca="false">IF(COUNTIF($O$2:O478,O478)&gt;1,"DUP","OK")</f>
        <v>OK</v>
      </c>
      <c r="Q478" s="7" t="n">
        <f aca="false">COUNTBLANK(A478:N478)</f>
        <v>0</v>
      </c>
      <c r="R478" s="7" t="n">
        <f aca="false">IF(A478="",0,COUNTIFS($A$2:$A$3058,A478,$P$2:$P$3058,"OK"))</f>
        <v>1</v>
      </c>
      <c r="S478" s="7" t="str">
        <f aca="false">IF(OR(A478="",P478="DUP",R478&lt;2),"",IF(Q478=_xlfn.MINIFS($Q$2:$Q$3058,$A$2:$A$3058,A478,$P$2:$P$3058,"OK"),"KEEP","DROP"))</f>
        <v/>
      </c>
      <c r="T478" s="9" t="n">
        <f aca="false">IF(A478="",1,0)</f>
        <v>0</v>
      </c>
      <c r="U478" s="9" t="n">
        <f aca="false">IF(D478="",1,0)</f>
        <v>0</v>
      </c>
      <c r="V478" s="9" t="n">
        <f aca="false">IF(E478="",1,0)</f>
        <v>0</v>
      </c>
      <c r="W478" s="9" t="n">
        <f aca="false">IF(OR(H478&lt;1,H478&gt;10),1,0)</f>
        <v>0</v>
      </c>
      <c r="X478" s="9" t="n">
        <f aca="false">IF(OR(I478&lt;=0,I478&gt;1500),1,0)</f>
        <v>0</v>
      </c>
      <c r="Y478" s="9" t="n">
        <f aca="false">IF(J478&gt;H478*I478,1,0)</f>
        <v>0</v>
      </c>
      <c r="Z478" s="9" t="n">
        <f aca="false">IF(AND(N478&lt;&gt;"",OR(N478&lt;1,N478&gt;5)),1,0)</f>
        <v>0</v>
      </c>
      <c r="AA478" s="9" t="n">
        <f aca="false">IF(AND(M478&lt;&gt;"",OR(M478&lt;5,M478&gt;180)),1,0)</f>
        <v>0</v>
      </c>
      <c r="AB478" s="7" t="str">
        <f aca="false">IF(P478="DUP","Exact duplicate row",IF(T478=1,"Missing Order ID",IF(S478="DROP","Duplicate Order ID (less complete row)",IF(U478=1,"Missing Customer ID",IF(V478=1,"Missing Restaurant name",IF(W478=1,"Invalid/outlier quantity",IF(X478=1,"Invalid/outlier unit price",IF(Y478=1,"Discount greater than order value",""))))))))</f>
        <v/>
      </c>
      <c r="AC478" s="7" t="str">
        <f aca="false">IF(AB478="","KEEP","DROP")</f>
        <v>KEEP</v>
      </c>
      <c r="AD478" s="7" t="str">
        <f aca="false">IF(TRIM(F478)="",IFERROR(INDEX(Map_Tables!$I$4:$I$37,MATCH(TRIM(E478),Map_Tables!$G$4:$G$37,0)),""),IFERROR(INDEX(Map_Tables!$B$4:$B$18,MATCH(TRIM(F478),Map_Tables!$A$4:$A$18,0)),"CHECK"))</f>
        <v>Kolkata</v>
      </c>
      <c r="AE478" s="7" t="str">
        <f aca="false">IF(TRIM(E478)="","",IFERROR(INDEX(Map_Tables!$H$4:$H$37,MATCH(TRIM(E478),Map_Tables!$G$4:$G$37,0)),"CHECK"))</f>
        <v>Kolkata Roll Centre</v>
      </c>
      <c r="AF478" s="7" t="str">
        <f aca="false">IF(TRIM(K478)="","Unknown",IFERROR(INDEX(Map_Tables!$E$4:$E$15,MATCH(TRIM(K478),Map_Tables!$D$4:$D$15,0)),"CHECK"))</f>
        <v>Cash on Delivery</v>
      </c>
      <c r="AG478" s="7" t="str">
        <f aca="false">IF(LEFT(LOWER(TRIM(L478)),6)="cancel","Cancelled","Delivered")</f>
        <v>Delivered</v>
      </c>
      <c r="AH478" s="10" t="n">
        <f aca="false">IF(ISNUMBER(SEARCH("/",B478)),DATE(VALUE(RIGHT(B478,4)),VALUE(MID(B478,4,2)),VALUE(LEFT(B478,2))),IF(MID(B478,5,1)="-",DATE(VALUE(LEFT(B478,4)),VALUE(MID(B478,6,2)),VALUE(RIGHT(B478,2))),DATE(VALUE(RIGHT(B478,4)),MATCH(MID(B478,4,3),{"Jan","Feb","Mar","Apr","May","Jun","Jul","Aug","Sep","Oct","Nov","Dec"},0),VALUE(LEFT(B478,2)))))</f>
        <v>45955</v>
      </c>
    </row>
    <row r="479" customFormat="false" ht="15" hidden="false" customHeight="false" outlineLevel="0" collapsed="false">
      <c r="A479" s="7" t="s">
        <v>1802</v>
      </c>
      <c r="B479" s="7" t="s">
        <v>912</v>
      </c>
      <c r="C479" s="7" t="s">
        <v>693</v>
      </c>
      <c r="D479" s="7" t="s">
        <v>1803</v>
      </c>
      <c r="E479" s="7" t="s">
        <v>1094</v>
      </c>
      <c r="F479" s="7" t="s">
        <v>110</v>
      </c>
      <c r="G479" s="7" t="s">
        <v>139</v>
      </c>
      <c r="H479" s="7" t="n">
        <v>1</v>
      </c>
      <c r="I479" s="7" t="n">
        <v>195</v>
      </c>
      <c r="J479" s="7" t="n">
        <v>78</v>
      </c>
      <c r="K479" s="7" t="s">
        <v>88</v>
      </c>
      <c r="L479" s="7" t="s">
        <v>194</v>
      </c>
      <c r="M479" s="7" t="n">
        <v>38</v>
      </c>
      <c r="N479" s="7" t="n">
        <v>3</v>
      </c>
      <c r="O479" s="7" t="str">
        <f aca="false">A479&amp;"|"&amp;B479&amp;"|"&amp;C479&amp;"|"&amp;D479&amp;"|"&amp;E479&amp;"|"&amp;F479&amp;"|"&amp;G479&amp;"|"&amp;H479&amp;"|"&amp;I479&amp;"|"&amp;J479&amp;"|"&amp;K479&amp;"|"&amp;L479&amp;"|"&amp;M479&amp;"|"&amp;N479</f>
        <v>ORD10171|2025-01-23|11:10|C0706|BURGER BARN|Delhi|Burgers|1|195|78|UPI|Delivered|38|3</v>
      </c>
      <c r="P479" s="7" t="str">
        <f aca="false">IF(COUNTIF($O$2:O479,O479)&gt;1,"DUP","OK")</f>
        <v>OK</v>
      </c>
      <c r="Q479" s="7" t="n">
        <f aca="false">COUNTBLANK(A479:N479)</f>
        <v>0</v>
      </c>
      <c r="R479" s="7" t="n">
        <f aca="false">IF(A479="",0,COUNTIFS($A$2:$A$3058,A479,$P$2:$P$3058,"OK"))</f>
        <v>1</v>
      </c>
      <c r="S479" s="7" t="str">
        <f aca="false">IF(OR(A479="",P479="DUP",R479&lt;2),"",IF(Q479=_xlfn.MINIFS($Q$2:$Q$3058,$A$2:$A$3058,A479,$P$2:$P$3058,"OK"),"KEEP","DROP"))</f>
        <v/>
      </c>
      <c r="T479" s="9" t="n">
        <f aca="false">IF(A479="",1,0)</f>
        <v>0</v>
      </c>
      <c r="U479" s="9" t="n">
        <f aca="false">IF(D479="",1,0)</f>
        <v>0</v>
      </c>
      <c r="V479" s="9" t="n">
        <f aca="false">IF(E479="",1,0)</f>
        <v>0</v>
      </c>
      <c r="W479" s="9" t="n">
        <f aca="false">IF(OR(H479&lt;1,H479&gt;10),1,0)</f>
        <v>0</v>
      </c>
      <c r="X479" s="9" t="n">
        <f aca="false">IF(OR(I479&lt;=0,I479&gt;1500),1,0)</f>
        <v>0</v>
      </c>
      <c r="Y479" s="9" t="n">
        <f aca="false">IF(J479&gt;H479*I479,1,0)</f>
        <v>0</v>
      </c>
      <c r="Z479" s="9" t="n">
        <f aca="false">IF(AND(N479&lt;&gt;"",OR(N479&lt;1,N479&gt;5)),1,0)</f>
        <v>0</v>
      </c>
      <c r="AA479" s="9" t="n">
        <f aca="false">IF(AND(M479&lt;&gt;"",OR(M479&lt;5,M479&gt;180)),1,0)</f>
        <v>0</v>
      </c>
      <c r="AB479" s="7" t="str">
        <f aca="false">IF(P479="DUP","Exact duplicate row",IF(T479=1,"Missing Order ID",IF(S479="DROP","Duplicate Order ID (less complete row)",IF(U479=1,"Missing Customer ID",IF(V479=1,"Missing Restaurant name",IF(W479=1,"Invalid/outlier quantity",IF(X479=1,"Invalid/outlier unit price",IF(Y479=1,"Discount greater than order value",""))))))))</f>
        <v/>
      </c>
      <c r="AC479" s="7" t="str">
        <f aca="false">IF(AB479="","KEEP","DROP")</f>
        <v>KEEP</v>
      </c>
      <c r="AD479" s="7" t="str">
        <f aca="false">IF(TRIM(F479)="",IFERROR(INDEX(Map_Tables!$I$4:$I$37,MATCH(TRIM(E479),Map_Tables!$G$4:$G$37,0)),""),IFERROR(INDEX(Map_Tables!$B$4:$B$18,MATCH(TRIM(F479),Map_Tables!$A$4:$A$18,0)),"CHECK"))</f>
        <v>Delhi</v>
      </c>
      <c r="AE479" s="7" t="str">
        <f aca="false">IF(TRIM(E479)="","",IFERROR(INDEX(Map_Tables!$H$4:$H$37,MATCH(TRIM(E479),Map_Tables!$G$4:$G$37,0)),"CHECK"))</f>
        <v>Burger Barn</v>
      </c>
      <c r="AF479" s="7" t="str">
        <f aca="false">IF(TRIM(K479)="","Unknown",IFERROR(INDEX(Map_Tables!$E$4:$E$15,MATCH(TRIM(K479),Map_Tables!$D$4:$D$15,0)),"CHECK"))</f>
        <v>UPI</v>
      </c>
      <c r="AG479" s="7" t="str">
        <f aca="false">IF(LEFT(LOWER(TRIM(L479)),6)="cancel","Cancelled","Delivered")</f>
        <v>Delivered</v>
      </c>
      <c r="AH479" s="10" t="n">
        <f aca="false">IF(ISNUMBER(SEARCH("/",B479)),DATE(VALUE(RIGHT(B479,4)),VALUE(MID(B479,4,2)),VALUE(LEFT(B479,2))),IF(MID(B479,5,1)="-",DATE(VALUE(LEFT(B479,4)),VALUE(MID(B479,6,2)),VALUE(RIGHT(B479,2))),DATE(VALUE(RIGHT(B479,4)),MATCH(MID(B479,4,3),{"Jan","Feb","Mar","Apr","May","Jun","Jul","Aug","Sep","Oct","Nov","Dec"},0),VALUE(LEFT(B479,2)))))</f>
        <v>45680</v>
      </c>
    </row>
    <row r="480" customFormat="false" ht="15" hidden="false" customHeight="false" outlineLevel="0" collapsed="false">
      <c r="A480" s="7" t="s">
        <v>1804</v>
      </c>
      <c r="B480" s="7" t="s">
        <v>1223</v>
      </c>
      <c r="C480" s="7" t="s">
        <v>1805</v>
      </c>
      <c r="D480" s="7" t="s">
        <v>1307</v>
      </c>
      <c r="E480" s="7" t="s">
        <v>1806</v>
      </c>
      <c r="F480" s="7" t="s">
        <v>101</v>
      </c>
      <c r="G480" s="7" t="s">
        <v>90</v>
      </c>
      <c r="H480" s="7" t="n">
        <v>2</v>
      </c>
      <c r="I480" s="7" t="n">
        <v>260</v>
      </c>
      <c r="J480" s="7" t="n">
        <v>125</v>
      </c>
      <c r="K480" s="7" t="s">
        <v>103</v>
      </c>
      <c r="L480" s="7" t="s">
        <v>194</v>
      </c>
      <c r="M480" s="7" t="n">
        <v>34</v>
      </c>
      <c r="N480" s="7" t="n">
        <v>3</v>
      </c>
      <c r="O480" s="7" t="str">
        <f aca="false">A480&amp;"|"&amp;B480&amp;"|"&amp;C480&amp;"|"&amp;D480&amp;"|"&amp;E480&amp;"|"&amp;F480&amp;"|"&amp;G480&amp;"|"&amp;H480&amp;"|"&amp;I480&amp;"|"&amp;J480&amp;"|"&amp;K480&amp;"|"&amp;L480&amp;"|"&amp;M480&amp;"|"&amp;N480</f>
        <v>ORD11164|2025-05-28|19:30|C0112|curry leaf kitchen|Mumbai|North Indian|2|260|125|Debit Card|Delivered|34|3</v>
      </c>
      <c r="P480" s="7" t="str">
        <f aca="false">IF(COUNTIF($O$2:O480,O480)&gt;1,"DUP","OK")</f>
        <v>OK</v>
      </c>
      <c r="Q480" s="7" t="n">
        <f aca="false">COUNTBLANK(A480:N480)</f>
        <v>0</v>
      </c>
      <c r="R480" s="7" t="n">
        <f aca="false">IF(A480="",0,COUNTIFS($A$2:$A$3058,A480,$P$2:$P$3058,"OK"))</f>
        <v>1</v>
      </c>
      <c r="S480" s="7" t="str">
        <f aca="false">IF(OR(A480="",P480="DUP",R480&lt;2),"",IF(Q480=_xlfn.MINIFS($Q$2:$Q$3058,$A$2:$A$3058,A480,$P$2:$P$3058,"OK"),"KEEP","DROP"))</f>
        <v/>
      </c>
      <c r="T480" s="9" t="n">
        <f aca="false">IF(A480="",1,0)</f>
        <v>0</v>
      </c>
      <c r="U480" s="9" t="n">
        <f aca="false">IF(D480="",1,0)</f>
        <v>0</v>
      </c>
      <c r="V480" s="9" t="n">
        <f aca="false">IF(E480="",1,0)</f>
        <v>0</v>
      </c>
      <c r="W480" s="9" t="n">
        <f aca="false">IF(OR(H480&lt;1,H480&gt;10),1,0)</f>
        <v>0</v>
      </c>
      <c r="X480" s="9" t="n">
        <f aca="false">IF(OR(I480&lt;=0,I480&gt;1500),1,0)</f>
        <v>0</v>
      </c>
      <c r="Y480" s="9" t="n">
        <f aca="false">IF(J480&gt;H480*I480,1,0)</f>
        <v>0</v>
      </c>
      <c r="Z480" s="9" t="n">
        <f aca="false">IF(AND(N480&lt;&gt;"",OR(N480&lt;1,N480&gt;5)),1,0)</f>
        <v>0</v>
      </c>
      <c r="AA480" s="9" t="n">
        <f aca="false">IF(AND(M480&lt;&gt;"",OR(M480&lt;5,M480&gt;180)),1,0)</f>
        <v>0</v>
      </c>
      <c r="AB480" s="7" t="str">
        <f aca="false">IF(P480="DUP","Exact duplicate row",IF(T480=1,"Missing Order ID",IF(S480="DROP","Duplicate Order ID (less complete row)",IF(U480=1,"Missing Customer ID",IF(V480=1,"Missing Restaurant name",IF(W480=1,"Invalid/outlier quantity",IF(X480=1,"Invalid/outlier unit price",IF(Y480=1,"Discount greater than order value",""))))))))</f>
        <v/>
      </c>
      <c r="AC480" s="7" t="str">
        <f aca="false">IF(AB480="","KEEP","DROP")</f>
        <v>KEEP</v>
      </c>
      <c r="AD480" s="7" t="str">
        <f aca="false">IF(TRIM(F480)="",IFERROR(INDEX(Map_Tables!$I$4:$I$37,MATCH(TRIM(E480),Map_Tables!$G$4:$G$37,0)),""),IFERROR(INDEX(Map_Tables!$B$4:$B$18,MATCH(TRIM(F480),Map_Tables!$A$4:$A$18,0)),"CHECK"))</f>
        <v>Mumbai</v>
      </c>
      <c r="AE480" s="7" t="str">
        <f aca="false">IF(TRIM(E480)="","",IFERROR(INDEX(Map_Tables!$H$4:$H$37,MATCH(TRIM(E480),Map_Tables!$G$4:$G$37,0)),"CHECK"))</f>
        <v>Curry Leaf Kitchen</v>
      </c>
      <c r="AF480" s="7" t="str">
        <f aca="false">IF(TRIM(K480)="","Unknown",IFERROR(INDEX(Map_Tables!$E$4:$E$15,MATCH(TRIM(K480),Map_Tables!$D$4:$D$15,0)),"CHECK"))</f>
        <v>Debit Card</v>
      </c>
      <c r="AG480" s="7" t="str">
        <f aca="false">IF(LEFT(LOWER(TRIM(L480)),6)="cancel","Cancelled","Delivered")</f>
        <v>Delivered</v>
      </c>
      <c r="AH480" s="10" t="n">
        <f aca="false">IF(ISNUMBER(SEARCH("/",B480)),DATE(VALUE(RIGHT(B480,4)),VALUE(MID(B480,4,2)),VALUE(LEFT(B480,2))),IF(MID(B480,5,1)="-",DATE(VALUE(LEFT(B480,4)),VALUE(MID(B480,6,2)),VALUE(RIGHT(B480,2))),DATE(VALUE(RIGHT(B480,4)),MATCH(MID(B480,4,3),{"Jan","Feb","Mar","Apr","May","Jun","Jul","Aug","Sep","Oct","Nov","Dec"},0),VALUE(LEFT(B480,2)))))</f>
        <v>45805</v>
      </c>
    </row>
    <row r="481" customFormat="false" ht="15" hidden="false" customHeight="false" outlineLevel="0" collapsed="false">
      <c r="A481" s="7" t="s">
        <v>1807</v>
      </c>
      <c r="B481" s="7" t="s">
        <v>1808</v>
      </c>
      <c r="C481" s="7" t="s">
        <v>1809</v>
      </c>
      <c r="D481" s="7" t="s">
        <v>1810</v>
      </c>
      <c r="E481" s="7" t="s">
        <v>89</v>
      </c>
      <c r="F481" s="7" t="s">
        <v>86</v>
      </c>
      <c r="G481" s="7" t="s">
        <v>90</v>
      </c>
      <c r="H481" s="7" t="n">
        <v>2</v>
      </c>
      <c r="I481" s="7" t="n">
        <v>220</v>
      </c>
      <c r="J481" s="7" t="n">
        <v>75</v>
      </c>
      <c r="K481" s="7" t="s">
        <v>88</v>
      </c>
      <c r="L481" s="7" t="s">
        <v>194</v>
      </c>
      <c r="M481" s="7" t="n">
        <v>45</v>
      </c>
      <c r="N481" s="7" t="n">
        <v>4</v>
      </c>
      <c r="O481" s="7" t="str">
        <f aca="false">A481&amp;"|"&amp;B481&amp;"|"&amp;C481&amp;"|"&amp;D481&amp;"|"&amp;E481&amp;"|"&amp;F481&amp;"|"&amp;G481&amp;"|"&amp;H481&amp;"|"&amp;I481&amp;"|"&amp;J481&amp;"|"&amp;K481&amp;"|"&amp;L481&amp;"|"&amp;M481&amp;"|"&amp;N481</f>
        <v>ORD12671|25/11/2025|12:07|C0234|Spice Junction|Bengaluru|North Indian|2|220|75|UPI|Delivered|45|4</v>
      </c>
      <c r="P481" s="7" t="str">
        <f aca="false">IF(COUNTIF($O$2:O481,O481)&gt;1,"DUP","OK")</f>
        <v>OK</v>
      </c>
      <c r="Q481" s="7" t="n">
        <f aca="false">COUNTBLANK(A481:N481)</f>
        <v>0</v>
      </c>
      <c r="R481" s="7" t="n">
        <f aca="false">IF(A481="",0,COUNTIFS($A$2:$A$3058,A481,$P$2:$P$3058,"OK"))</f>
        <v>1</v>
      </c>
      <c r="S481" s="7" t="str">
        <f aca="false">IF(OR(A481="",P481="DUP",R481&lt;2),"",IF(Q481=_xlfn.MINIFS($Q$2:$Q$3058,$A$2:$A$3058,A481,$P$2:$P$3058,"OK"),"KEEP","DROP"))</f>
        <v/>
      </c>
      <c r="T481" s="9" t="n">
        <f aca="false">IF(A481="",1,0)</f>
        <v>0</v>
      </c>
      <c r="U481" s="9" t="n">
        <f aca="false">IF(D481="",1,0)</f>
        <v>0</v>
      </c>
      <c r="V481" s="9" t="n">
        <f aca="false">IF(E481="",1,0)</f>
        <v>0</v>
      </c>
      <c r="W481" s="9" t="n">
        <f aca="false">IF(OR(H481&lt;1,H481&gt;10),1,0)</f>
        <v>0</v>
      </c>
      <c r="X481" s="9" t="n">
        <f aca="false">IF(OR(I481&lt;=0,I481&gt;1500),1,0)</f>
        <v>0</v>
      </c>
      <c r="Y481" s="9" t="n">
        <f aca="false">IF(J481&gt;H481*I481,1,0)</f>
        <v>0</v>
      </c>
      <c r="Z481" s="9" t="n">
        <f aca="false">IF(AND(N481&lt;&gt;"",OR(N481&lt;1,N481&gt;5)),1,0)</f>
        <v>0</v>
      </c>
      <c r="AA481" s="9" t="n">
        <f aca="false">IF(AND(M481&lt;&gt;"",OR(M481&lt;5,M481&gt;180)),1,0)</f>
        <v>0</v>
      </c>
      <c r="AB481" s="7" t="str">
        <f aca="false">IF(P481="DUP","Exact duplicate row",IF(T481=1,"Missing Order ID",IF(S481="DROP","Duplicate Order ID (less complete row)",IF(U481=1,"Missing Customer ID",IF(V481=1,"Missing Restaurant name",IF(W481=1,"Invalid/outlier quantity",IF(X481=1,"Invalid/outlier unit price",IF(Y481=1,"Discount greater than order value",""))))))))</f>
        <v/>
      </c>
      <c r="AC481" s="7" t="str">
        <f aca="false">IF(AB481="","KEEP","DROP")</f>
        <v>KEEP</v>
      </c>
      <c r="AD481" s="7" t="str">
        <f aca="false">IF(TRIM(F481)="",IFERROR(INDEX(Map_Tables!$I$4:$I$37,MATCH(TRIM(E481),Map_Tables!$G$4:$G$37,0)),""),IFERROR(INDEX(Map_Tables!$B$4:$B$18,MATCH(TRIM(F481),Map_Tables!$A$4:$A$18,0)),"CHECK"))</f>
        <v>Bengaluru</v>
      </c>
      <c r="AE481" s="7" t="str">
        <f aca="false">IF(TRIM(E481)="","",IFERROR(INDEX(Map_Tables!$H$4:$H$37,MATCH(TRIM(E481),Map_Tables!$G$4:$G$37,0)),"CHECK"))</f>
        <v>Spice Junction</v>
      </c>
      <c r="AF481" s="7" t="str">
        <f aca="false">IF(TRIM(K481)="","Unknown",IFERROR(INDEX(Map_Tables!$E$4:$E$15,MATCH(TRIM(K481),Map_Tables!$D$4:$D$15,0)),"CHECK"))</f>
        <v>UPI</v>
      </c>
      <c r="AG481" s="7" t="str">
        <f aca="false">IF(LEFT(LOWER(TRIM(L481)),6)="cancel","Cancelled","Delivered")</f>
        <v>Delivered</v>
      </c>
      <c r="AH481" s="10" t="n">
        <f aca="false">IF(ISNUMBER(SEARCH("/",B481)),DATE(VALUE(RIGHT(B481,4)),VALUE(MID(B481,4,2)),VALUE(LEFT(B481,2))),IF(MID(B481,5,1)="-",DATE(VALUE(LEFT(B481,4)),VALUE(MID(B481,6,2)),VALUE(RIGHT(B481,2))),DATE(VALUE(RIGHT(B481,4)),MATCH(MID(B481,4,3),{"Jan","Feb","Mar","Apr","May","Jun","Jul","Aug","Sep","Oct","Nov","Dec"},0),VALUE(LEFT(B481,2)))))</f>
        <v>45986</v>
      </c>
    </row>
    <row r="482" customFormat="false" ht="15" hidden="false" customHeight="false" outlineLevel="0" collapsed="false">
      <c r="A482" s="7" t="s">
        <v>1811</v>
      </c>
      <c r="B482" s="7" t="s">
        <v>813</v>
      </c>
      <c r="C482" s="7" t="s">
        <v>1812</v>
      </c>
      <c r="D482" s="7" t="s">
        <v>818</v>
      </c>
      <c r="E482" s="7" t="s">
        <v>155</v>
      </c>
      <c r="F482" s="7" t="s">
        <v>128</v>
      </c>
      <c r="G482" s="7" t="s">
        <v>156</v>
      </c>
      <c r="H482" s="7" t="n">
        <v>2</v>
      </c>
      <c r="I482" s="7" t="n">
        <v>295</v>
      </c>
      <c r="J482" s="7" t="n">
        <v>50</v>
      </c>
      <c r="K482" s="7" t="s">
        <v>88</v>
      </c>
      <c r="L482" s="7" t="s">
        <v>194</v>
      </c>
      <c r="M482" s="7" t="n">
        <v>26</v>
      </c>
      <c r="N482" s="7" t="n">
        <v>5</v>
      </c>
      <c r="O482" s="7" t="str">
        <f aca="false">A482&amp;"|"&amp;B482&amp;"|"&amp;C482&amp;"|"&amp;D482&amp;"|"&amp;E482&amp;"|"&amp;F482&amp;"|"&amp;G482&amp;"|"&amp;H482&amp;"|"&amp;I482&amp;"|"&amp;J482&amp;"|"&amp;K482&amp;"|"&amp;L482&amp;"|"&amp;M482&amp;"|"&amp;N482</f>
        <v>ORD10644|2025-03-23|12:28|C0355|Green Bowl Kitchen|Chennai|Healthy Food|2|295|50|UPI|Delivered|26|5</v>
      </c>
      <c r="P482" s="7" t="str">
        <f aca="false">IF(COUNTIF($O$2:O482,O482)&gt;1,"DUP","OK")</f>
        <v>OK</v>
      </c>
      <c r="Q482" s="7" t="n">
        <f aca="false">COUNTBLANK(A482:N482)</f>
        <v>0</v>
      </c>
      <c r="R482" s="7" t="n">
        <f aca="false">IF(A482="",0,COUNTIFS($A$2:$A$3058,A482,$P$2:$P$3058,"OK"))</f>
        <v>1</v>
      </c>
      <c r="S482" s="7" t="str">
        <f aca="false">IF(OR(A482="",P482="DUP",R482&lt;2),"",IF(Q482=_xlfn.MINIFS($Q$2:$Q$3058,$A$2:$A$3058,A482,$P$2:$P$3058,"OK"),"KEEP","DROP"))</f>
        <v/>
      </c>
      <c r="T482" s="9" t="n">
        <f aca="false">IF(A482="",1,0)</f>
        <v>0</v>
      </c>
      <c r="U482" s="9" t="n">
        <f aca="false">IF(D482="",1,0)</f>
        <v>0</v>
      </c>
      <c r="V482" s="9" t="n">
        <f aca="false">IF(E482="",1,0)</f>
        <v>0</v>
      </c>
      <c r="W482" s="9" t="n">
        <f aca="false">IF(OR(H482&lt;1,H482&gt;10),1,0)</f>
        <v>0</v>
      </c>
      <c r="X482" s="9" t="n">
        <f aca="false">IF(OR(I482&lt;=0,I482&gt;1500),1,0)</f>
        <v>0</v>
      </c>
      <c r="Y482" s="9" t="n">
        <f aca="false">IF(J482&gt;H482*I482,1,0)</f>
        <v>0</v>
      </c>
      <c r="Z482" s="9" t="n">
        <f aca="false">IF(AND(N482&lt;&gt;"",OR(N482&lt;1,N482&gt;5)),1,0)</f>
        <v>0</v>
      </c>
      <c r="AA482" s="9" t="n">
        <f aca="false">IF(AND(M482&lt;&gt;"",OR(M482&lt;5,M482&gt;180)),1,0)</f>
        <v>0</v>
      </c>
      <c r="AB482" s="7" t="str">
        <f aca="false">IF(P482="DUP","Exact duplicate row",IF(T482=1,"Missing Order ID",IF(S482="DROP","Duplicate Order ID (less complete row)",IF(U482=1,"Missing Customer ID",IF(V482=1,"Missing Restaurant name",IF(W482=1,"Invalid/outlier quantity",IF(X482=1,"Invalid/outlier unit price",IF(Y482=1,"Discount greater than order value",""))))))))</f>
        <v/>
      </c>
      <c r="AC482" s="7" t="str">
        <f aca="false">IF(AB482="","KEEP","DROP")</f>
        <v>KEEP</v>
      </c>
      <c r="AD482" s="7" t="str">
        <f aca="false">IF(TRIM(F482)="",IFERROR(INDEX(Map_Tables!$I$4:$I$37,MATCH(TRIM(E482),Map_Tables!$G$4:$G$37,0)),""),IFERROR(INDEX(Map_Tables!$B$4:$B$18,MATCH(TRIM(F482),Map_Tables!$A$4:$A$18,0)),"CHECK"))</f>
        <v>Chennai</v>
      </c>
      <c r="AE482" s="7" t="str">
        <f aca="false">IF(TRIM(E482)="","",IFERROR(INDEX(Map_Tables!$H$4:$H$37,MATCH(TRIM(E482),Map_Tables!$G$4:$G$37,0)),"CHECK"))</f>
        <v>Green Bowl Kitchen</v>
      </c>
      <c r="AF482" s="7" t="str">
        <f aca="false">IF(TRIM(K482)="","Unknown",IFERROR(INDEX(Map_Tables!$E$4:$E$15,MATCH(TRIM(K482),Map_Tables!$D$4:$D$15,0)),"CHECK"))</f>
        <v>UPI</v>
      </c>
      <c r="AG482" s="7" t="str">
        <f aca="false">IF(LEFT(LOWER(TRIM(L482)),6)="cancel","Cancelled","Delivered")</f>
        <v>Delivered</v>
      </c>
      <c r="AH482" s="10" t="n">
        <f aca="false">IF(ISNUMBER(SEARCH("/",B482)),DATE(VALUE(RIGHT(B482,4)),VALUE(MID(B482,4,2)),VALUE(LEFT(B482,2))),IF(MID(B482,5,1)="-",DATE(VALUE(LEFT(B482,4)),VALUE(MID(B482,6,2)),VALUE(RIGHT(B482,2))),DATE(VALUE(RIGHT(B482,4)),MATCH(MID(B482,4,3),{"Jan","Feb","Mar","Apr","May","Jun","Jul","Aug","Sep","Oct","Nov","Dec"},0),VALUE(LEFT(B482,2)))))</f>
        <v>45739</v>
      </c>
    </row>
    <row r="483" customFormat="false" ht="15" hidden="false" customHeight="false" outlineLevel="0" collapsed="false">
      <c r="A483" s="7" t="s">
        <v>1813</v>
      </c>
      <c r="B483" s="7" t="s">
        <v>1814</v>
      </c>
      <c r="C483" s="7" t="s">
        <v>747</v>
      </c>
      <c r="D483" s="7" t="s">
        <v>1815</v>
      </c>
      <c r="E483" s="7" t="s">
        <v>122</v>
      </c>
      <c r="F483" s="7" t="s">
        <v>101</v>
      </c>
      <c r="G483" s="7" t="s">
        <v>123</v>
      </c>
      <c r="H483" s="7" t="n">
        <v>2</v>
      </c>
      <c r="I483" s="7" t="n">
        <v>275</v>
      </c>
      <c r="J483" s="7" t="n">
        <v>20</v>
      </c>
      <c r="K483" s="7" t="s">
        <v>103</v>
      </c>
      <c r="L483" s="7" t="s">
        <v>194</v>
      </c>
      <c r="M483" s="7" t="n">
        <v>34</v>
      </c>
      <c r="N483" s="7" t="n">
        <v>4</v>
      </c>
      <c r="O483" s="7" t="str">
        <f aca="false">A483&amp;"|"&amp;B483&amp;"|"&amp;C483&amp;"|"&amp;D483&amp;"|"&amp;E483&amp;"|"&amp;F483&amp;"|"&amp;G483&amp;"|"&amp;H483&amp;"|"&amp;I483&amp;"|"&amp;J483&amp;"|"&amp;K483&amp;"|"&amp;L483&amp;"|"&amp;M483&amp;"|"&amp;N483</f>
        <v>ORD10562|12/03/2025|22:03|C0231|Mumbai Pizza Co|Mumbai|Pizza|2|275|20|Debit Card|Delivered|34|4</v>
      </c>
      <c r="P483" s="7" t="str">
        <f aca="false">IF(COUNTIF($O$2:O483,O483)&gt;1,"DUP","OK")</f>
        <v>OK</v>
      </c>
      <c r="Q483" s="7" t="n">
        <f aca="false">COUNTBLANK(A483:N483)</f>
        <v>0</v>
      </c>
      <c r="R483" s="7" t="n">
        <f aca="false">IF(A483="",0,COUNTIFS($A$2:$A$3058,A483,$P$2:$P$3058,"OK"))</f>
        <v>1</v>
      </c>
      <c r="S483" s="7" t="str">
        <f aca="false">IF(OR(A483="",P483="DUP",R483&lt;2),"",IF(Q483=_xlfn.MINIFS($Q$2:$Q$3058,$A$2:$A$3058,A483,$P$2:$P$3058,"OK"),"KEEP","DROP"))</f>
        <v/>
      </c>
      <c r="T483" s="9" t="n">
        <f aca="false">IF(A483="",1,0)</f>
        <v>0</v>
      </c>
      <c r="U483" s="9" t="n">
        <f aca="false">IF(D483="",1,0)</f>
        <v>0</v>
      </c>
      <c r="V483" s="9" t="n">
        <f aca="false">IF(E483="",1,0)</f>
        <v>0</v>
      </c>
      <c r="W483" s="9" t="n">
        <f aca="false">IF(OR(H483&lt;1,H483&gt;10),1,0)</f>
        <v>0</v>
      </c>
      <c r="X483" s="9" t="n">
        <f aca="false">IF(OR(I483&lt;=0,I483&gt;1500),1,0)</f>
        <v>0</v>
      </c>
      <c r="Y483" s="9" t="n">
        <f aca="false">IF(J483&gt;H483*I483,1,0)</f>
        <v>0</v>
      </c>
      <c r="Z483" s="9" t="n">
        <f aca="false">IF(AND(N483&lt;&gt;"",OR(N483&lt;1,N483&gt;5)),1,0)</f>
        <v>0</v>
      </c>
      <c r="AA483" s="9" t="n">
        <f aca="false">IF(AND(M483&lt;&gt;"",OR(M483&lt;5,M483&gt;180)),1,0)</f>
        <v>0</v>
      </c>
      <c r="AB483" s="7" t="str">
        <f aca="false">IF(P483="DUP","Exact duplicate row",IF(T483=1,"Missing Order ID",IF(S483="DROP","Duplicate Order ID (less complete row)",IF(U483=1,"Missing Customer ID",IF(V483=1,"Missing Restaurant name",IF(W483=1,"Invalid/outlier quantity",IF(X483=1,"Invalid/outlier unit price",IF(Y483=1,"Discount greater than order value",""))))))))</f>
        <v/>
      </c>
      <c r="AC483" s="7" t="str">
        <f aca="false">IF(AB483="","KEEP","DROP")</f>
        <v>KEEP</v>
      </c>
      <c r="AD483" s="7" t="str">
        <f aca="false">IF(TRIM(F483)="",IFERROR(INDEX(Map_Tables!$I$4:$I$37,MATCH(TRIM(E483),Map_Tables!$G$4:$G$37,0)),""),IFERROR(INDEX(Map_Tables!$B$4:$B$18,MATCH(TRIM(F483),Map_Tables!$A$4:$A$18,0)),"CHECK"))</f>
        <v>Mumbai</v>
      </c>
      <c r="AE483" s="7" t="str">
        <f aca="false">IF(TRIM(E483)="","",IFERROR(INDEX(Map_Tables!$H$4:$H$37,MATCH(TRIM(E483),Map_Tables!$G$4:$G$37,0)),"CHECK"))</f>
        <v>Mumbai Pizza Co</v>
      </c>
      <c r="AF483" s="7" t="str">
        <f aca="false">IF(TRIM(K483)="","Unknown",IFERROR(INDEX(Map_Tables!$E$4:$E$15,MATCH(TRIM(K483),Map_Tables!$D$4:$D$15,0)),"CHECK"))</f>
        <v>Debit Card</v>
      </c>
      <c r="AG483" s="7" t="str">
        <f aca="false">IF(LEFT(LOWER(TRIM(L483)),6)="cancel","Cancelled","Delivered")</f>
        <v>Delivered</v>
      </c>
      <c r="AH483" s="10" t="n">
        <f aca="false">IF(ISNUMBER(SEARCH("/",B483)),DATE(VALUE(RIGHT(B483,4)),VALUE(MID(B483,4,2)),VALUE(LEFT(B483,2))),IF(MID(B483,5,1)="-",DATE(VALUE(LEFT(B483,4)),VALUE(MID(B483,6,2)),VALUE(RIGHT(B483,2))),DATE(VALUE(RIGHT(B483,4)),MATCH(MID(B483,4,3),{"Jan","Feb","Mar","Apr","May","Jun","Jul","Aug","Sep","Oct","Nov","Dec"},0),VALUE(LEFT(B483,2)))))</f>
        <v>45728</v>
      </c>
    </row>
    <row r="484" customFormat="false" ht="15" hidden="false" customHeight="false" outlineLevel="0" collapsed="false">
      <c r="A484" s="7" t="s">
        <v>1816</v>
      </c>
      <c r="B484" s="7" t="s">
        <v>1357</v>
      </c>
      <c r="C484" s="7" t="s">
        <v>1817</v>
      </c>
      <c r="D484" s="7" t="s">
        <v>1818</v>
      </c>
      <c r="E484" s="7" t="s">
        <v>104</v>
      </c>
      <c r="F484" s="7" t="s">
        <v>86</v>
      </c>
      <c r="G484" s="7" t="s">
        <v>105</v>
      </c>
      <c r="H484" s="7" t="n">
        <v>2</v>
      </c>
      <c r="I484" s="7" t="n">
        <v>230</v>
      </c>
      <c r="J484" s="7" t="n">
        <v>0</v>
      </c>
      <c r="K484" s="7" t="s">
        <v>103</v>
      </c>
      <c r="L484" s="7" t="s">
        <v>194</v>
      </c>
      <c r="M484" s="7" t="n">
        <v>26</v>
      </c>
      <c r="N484" s="7" t="n">
        <v>4</v>
      </c>
      <c r="O484" s="7" t="str">
        <f aca="false">A484&amp;"|"&amp;B484&amp;"|"&amp;C484&amp;"|"&amp;D484&amp;"|"&amp;E484&amp;"|"&amp;F484&amp;"|"&amp;G484&amp;"|"&amp;H484&amp;"|"&amp;I484&amp;"|"&amp;J484&amp;"|"&amp;K484&amp;"|"&amp;L484&amp;"|"&amp;M484&amp;"|"&amp;N484</f>
        <v>ORD12042|2025-09-21|20:47|C0078|Wok &amp; Roll|Bengaluru|Chinese|2|230|0|Debit Card|Delivered|26|4</v>
      </c>
      <c r="P484" s="7" t="str">
        <f aca="false">IF(COUNTIF($O$2:O484,O484)&gt;1,"DUP","OK")</f>
        <v>OK</v>
      </c>
      <c r="Q484" s="7" t="n">
        <f aca="false">COUNTBLANK(A484:N484)</f>
        <v>0</v>
      </c>
      <c r="R484" s="7" t="n">
        <f aca="false">IF(A484="",0,COUNTIFS($A$2:$A$3058,A484,$P$2:$P$3058,"OK"))</f>
        <v>1</v>
      </c>
      <c r="S484" s="7" t="str">
        <f aca="false">IF(OR(A484="",P484="DUP",R484&lt;2),"",IF(Q484=_xlfn.MINIFS($Q$2:$Q$3058,$A$2:$A$3058,A484,$P$2:$P$3058,"OK"),"KEEP","DROP"))</f>
        <v/>
      </c>
      <c r="T484" s="9" t="n">
        <f aca="false">IF(A484="",1,0)</f>
        <v>0</v>
      </c>
      <c r="U484" s="9" t="n">
        <f aca="false">IF(D484="",1,0)</f>
        <v>0</v>
      </c>
      <c r="V484" s="9" t="n">
        <f aca="false">IF(E484="",1,0)</f>
        <v>0</v>
      </c>
      <c r="W484" s="9" t="n">
        <f aca="false">IF(OR(H484&lt;1,H484&gt;10),1,0)</f>
        <v>0</v>
      </c>
      <c r="X484" s="9" t="n">
        <f aca="false">IF(OR(I484&lt;=0,I484&gt;1500),1,0)</f>
        <v>0</v>
      </c>
      <c r="Y484" s="9" t="n">
        <f aca="false">IF(J484&gt;H484*I484,1,0)</f>
        <v>0</v>
      </c>
      <c r="Z484" s="9" t="n">
        <f aca="false">IF(AND(N484&lt;&gt;"",OR(N484&lt;1,N484&gt;5)),1,0)</f>
        <v>0</v>
      </c>
      <c r="AA484" s="9" t="n">
        <f aca="false">IF(AND(M484&lt;&gt;"",OR(M484&lt;5,M484&gt;180)),1,0)</f>
        <v>0</v>
      </c>
      <c r="AB484" s="7" t="str">
        <f aca="false">IF(P484="DUP","Exact duplicate row",IF(T484=1,"Missing Order ID",IF(S484="DROP","Duplicate Order ID (less complete row)",IF(U484=1,"Missing Customer ID",IF(V484=1,"Missing Restaurant name",IF(W484=1,"Invalid/outlier quantity",IF(X484=1,"Invalid/outlier unit price",IF(Y484=1,"Discount greater than order value",""))))))))</f>
        <v/>
      </c>
      <c r="AC484" s="7" t="str">
        <f aca="false">IF(AB484="","KEEP","DROP")</f>
        <v>KEEP</v>
      </c>
      <c r="AD484" s="7" t="str">
        <f aca="false">IF(TRIM(F484)="",IFERROR(INDEX(Map_Tables!$I$4:$I$37,MATCH(TRIM(E484),Map_Tables!$G$4:$G$37,0)),""),IFERROR(INDEX(Map_Tables!$B$4:$B$18,MATCH(TRIM(F484),Map_Tables!$A$4:$A$18,0)),"CHECK"))</f>
        <v>Bengaluru</v>
      </c>
      <c r="AE484" s="7" t="str">
        <f aca="false">IF(TRIM(E484)="","",IFERROR(INDEX(Map_Tables!$H$4:$H$37,MATCH(TRIM(E484),Map_Tables!$G$4:$G$37,0)),"CHECK"))</f>
        <v>Wok &amp; Roll</v>
      </c>
      <c r="AF484" s="7" t="str">
        <f aca="false">IF(TRIM(K484)="","Unknown",IFERROR(INDEX(Map_Tables!$E$4:$E$15,MATCH(TRIM(K484),Map_Tables!$D$4:$D$15,0)),"CHECK"))</f>
        <v>Debit Card</v>
      </c>
      <c r="AG484" s="7" t="str">
        <f aca="false">IF(LEFT(LOWER(TRIM(L484)),6)="cancel","Cancelled","Delivered")</f>
        <v>Delivered</v>
      </c>
      <c r="AH484" s="10" t="n">
        <f aca="false">IF(ISNUMBER(SEARCH("/",B484)),DATE(VALUE(RIGHT(B484,4)),VALUE(MID(B484,4,2)),VALUE(LEFT(B484,2))),IF(MID(B484,5,1)="-",DATE(VALUE(LEFT(B484,4)),VALUE(MID(B484,6,2)),VALUE(RIGHT(B484,2))),DATE(VALUE(RIGHT(B484,4)),MATCH(MID(B484,4,3),{"Jan","Feb","Mar","Apr","May","Jun","Jul","Aug","Sep","Oct","Nov","Dec"},0),VALUE(LEFT(B484,2)))))</f>
        <v>45921</v>
      </c>
    </row>
    <row r="485" customFormat="false" ht="15" hidden="false" customHeight="false" outlineLevel="0" collapsed="false">
      <c r="A485" s="7" t="s">
        <v>1819</v>
      </c>
      <c r="B485" s="7" t="s">
        <v>1733</v>
      </c>
      <c r="C485" s="7" t="s">
        <v>1820</v>
      </c>
      <c r="D485" s="7" t="s">
        <v>1821</v>
      </c>
      <c r="E485" s="7" t="s">
        <v>122</v>
      </c>
      <c r="F485" s="7" t="s">
        <v>101</v>
      </c>
      <c r="G485" s="7" t="s">
        <v>123</v>
      </c>
      <c r="H485" s="7" t="n">
        <v>1</v>
      </c>
      <c r="I485" s="7" t="n">
        <v>345</v>
      </c>
      <c r="J485" s="7" t="n">
        <v>0</v>
      </c>
      <c r="K485" s="7" t="s">
        <v>88</v>
      </c>
      <c r="L485" s="7" t="s">
        <v>194</v>
      </c>
      <c r="M485" s="7" t="n">
        <v>51</v>
      </c>
      <c r="N485" s="7" t="n">
        <v>5</v>
      </c>
      <c r="O485" s="7" t="str">
        <f aca="false">A485&amp;"|"&amp;B485&amp;"|"&amp;C485&amp;"|"&amp;D485&amp;"|"&amp;E485&amp;"|"&amp;F485&amp;"|"&amp;G485&amp;"|"&amp;H485&amp;"|"&amp;I485&amp;"|"&amp;J485&amp;"|"&amp;K485&amp;"|"&amp;L485&amp;"|"&amp;M485&amp;"|"&amp;N485</f>
        <v>ORD12593|2025-11-17|12:34|C1312|Mumbai Pizza Co|Mumbai|Pizza|1|345|0|UPI|Delivered|51|5</v>
      </c>
      <c r="P485" s="7" t="str">
        <f aca="false">IF(COUNTIF($O$2:O485,O485)&gt;1,"DUP","OK")</f>
        <v>OK</v>
      </c>
      <c r="Q485" s="7" t="n">
        <f aca="false">COUNTBLANK(A485:N485)</f>
        <v>0</v>
      </c>
      <c r="R485" s="7" t="n">
        <f aca="false">IF(A485="",0,COUNTIFS($A$2:$A$3058,A485,$P$2:$P$3058,"OK"))</f>
        <v>1</v>
      </c>
      <c r="S485" s="7" t="str">
        <f aca="false">IF(OR(A485="",P485="DUP",R485&lt;2),"",IF(Q485=_xlfn.MINIFS($Q$2:$Q$3058,$A$2:$A$3058,A485,$P$2:$P$3058,"OK"),"KEEP","DROP"))</f>
        <v/>
      </c>
      <c r="T485" s="9" t="n">
        <f aca="false">IF(A485="",1,0)</f>
        <v>0</v>
      </c>
      <c r="U485" s="9" t="n">
        <f aca="false">IF(D485="",1,0)</f>
        <v>0</v>
      </c>
      <c r="V485" s="9" t="n">
        <f aca="false">IF(E485="",1,0)</f>
        <v>0</v>
      </c>
      <c r="W485" s="9" t="n">
        <f aca="false">IF(OR(H485&lt;1,H485&gt;10),1,0)</f>
        <v>0</v>
      </c>
      <c r="X485" s="9" t="n">
        <f aca="false">IF(OR(I485&lt;=0,I485&gt;1500),1,0)</f>
        <v>0</v>
      </c>
      <c r="Y485" s="9" t="n">
        <f aca="false">IF(J485&gt;H485*I485,1,0)</f>
        <v>0</v>
      </c>
      <c r="Z485" s="9" t="n">
        <f aca="false">IF(AND(N485&lt;&gt;"",OR(N485&lt;1,N485&gt;5)),1,0)</f>
        <v>0</v>
      </c>
      <c r="AA485" s="9" t="n">
        <f aca="false">IF(AND(M485&lt;&gt;"",OR(M485&lt;5,M485&gt;180)),1,0)</f>
        <v>0</v>
      </c>
      <c r="AB485" s="7" t="str">
        <f aca="false">IF(P485="DUP","Exact duplicate row",IF(T485=1,"Missing Order ID",IF(S485="DROP","Duplicate Order ID (less complete row)",IF(U485=1,"Missing Customer ID",IF(V485=1,"Missing Restaurant name",IF(W485=1,"Invalid/outlier quantity",IF(X485=1,"Invalid/outlier unit price",IF(Y485=1,"Discount greater than order value",""))))))))</f>
        <v/>
      </c>
      <c r="AC485" s="7" t="str">
        <f aca="false">IF(AB485="","KEEP","DROP")</f>
        <v>KEEP</v>
      </c>
      <c r="AD485" s="7" t="str">
        <f aca="false">IF(TRIM(F485)="",IFERROR(INDEX(Map_Tables!$I$4:$I$37,MATCH(TRIM(E485),Map_Tables!$G$4:$G$37,0)),""),IFERROR(INDEX(Map_Tables!$B$4:$B$18,MATCH(TRIM(F485),Map_Tables!$A$4:$A$18,0)),"CHECK"))</f>
        <v>Mumbai</v>
      </c>
      <c r="AE485" s="7" t="str">
        <f aca="false">IF(TRIM(E485)="","",IFERROR(INDEX(Map_Tables!$H$4:$H$37,MATCH(TRIM(E485),Map_Tables!$G$4:$G$37,0)),"CHECK"))</f>
        <v>Mumbai Pizza Co</v>
      </c>
      <c r="AF485" s="7" t="str">
        <f aca="false">IF(TRIM(K485)="","Unknown",IFERROR(INDEX(Map_Tables!$E$4:$E$15,MATCH(TRIM(K485),Map_Tables!$D$4:$D$15,0)),"CHECK"))</f>
        <v>UPI</v>
      </c>
      <c r="AG485" s="7" t="str">
        <f aca="false">IF(LEFT(LOWER(TRIM(L485)),6)="cancel","Cancelled","Delivered")</f>
        <v>Delivered</v>
      </c>
      <c r="AH485" s="10" t="n">
        <f aca="false">IF(ISNUMBER(SEARCH("/",B485)),DATE(VALUE(RIGHT(B485,4)),VALUE(MID(B485,4,2)),VALUE(LEFT(B485,2))),IF(MID(B485,5,1)="-",DATE(VALUE(LEFT(B485,4)),VALUE(MID(B485,6,2)),VALUE(RIGHT(B485,2))),DATE(VALUE(RIGHT(B485,4)),MATCH(MID(B485,4,3),{"Jan","Feb","Mar","Apr","May","Jun","Jul","Aug","Sep","Oct","Nov","Dec"},0),VALUE(LEFT(B485,2)))))</f>
        <v>45978</v>
      </c>
    </row>
    <row r="486" customFormat="false" ht="15" hidden="false" customHeight="false" outlineLevel="0" collapsed="false">
      <c r="A486" s="7" t="s">
        <v>1822</v>
      </c>
      <c r="B486" s="7" t="s">
        <v>1823</v>
      </c>
      <c r="C486" s="7" t="s">
        <v>1824</v>
      </c>
      <c r="D486" s="7" t="s">
        <v>1825</v>
      </c>
      <c r="E486" s="7" t="s">
        <v>116</v>
      </c>
      <c r="F486" s="7" t="s">
        <v>101</v>
      </c>
      <c r="G486" s="7" t="s">
        <v>117</v>
      </c>
      <c r="H486" s="7" t="n">
        <v>5</v>
      </c>
      <c r="I486" s="7" t="n">
        <v>115</v>
      </c>
      <c r="J486" s="7" t="n">
        <v>30</v>
      </c>
      <c r="K486" s="7" t="s">
        <v>121</v>
      </c>
      <c r="L486" s="7" t="s">
        <v>194</v>
      </c>
      <c r="M486" s="7" t="n">
        <v>51</v>
      </c>
      <c r="N486" s="7" t="n">
        <v>3</v>
      </c>
      <c r="O486" s="7" t="str">
        <f aca="false">A486&amp;"|"&amp;B486&amp;"|"&amp;C486&amp;"|"&amp;D486&amp;"|"&amp;E486&amp;"|"&amp;F486&amp;"|"&amp;G486&amp;"|"&amp;H486&amp;"|"&amp;I486&amp;"|"&amp;J486&amp;"|"&amp;K486&amp;"|"&amp;L486&amp;"|"&amp;M486&amp;"|"&amp;N486</f>
        <v>ORD10220|2025-01-30|13:40|C0308|Pav Bhaji Point|Mumbai|Street Food|5|115|30|Wallet|Delivered|51|3</v>
      </c>
      <c r="P486" s="7" t="str">
        <f aca="false">IF(COUNTIF($O$2:O486,O486)&gt;1,"DUP","OK")</f>
        <v>OK</v>
      </c>
      <c r="Q486" s="7" t="n">
        <f aca="false">COUNTBLANK(A486:N486)</f>
        <v>0</v>
      </c>
      <c r="R486" s="7" t="n">
        <f aca="false">IF(A486="",0,COUNTIFS($A$2:$A$3058,A486,$P$2:$P$3058,"OK"))</f>
        <v>1</v>
      </c>
      <c r="S486" s="7" t="str">
        <f aca="false">IF(OR(A486="",P486="DUP",R486&lt;2),"",IF(Q486=_xlfn.MINIFS($Q$2:$Q$3058,$A$2:$A$3058,A486,$P$2:$P$3058,"OK"),"KEEP","DROP"))</f>
        <v/>
      </c>
      <c r="T486" s="9" t="n">
        <f aca="false">IF(A486="",1,0)</f>
        <v>0</v>
      </c>
      <c r="U486" s="9" t="n">
        <f aca="false">IF(D486="",1,0)</f>
        <v>0</v>
      </c>
      <c r="V486" s="9" t="n">
        <f aca="false">IF(E486="",1,0)</f>
        <v>0</v>
      </c>
      <c r="W486" s="9" t="n">
        <f aca="false">IF(OR(H486&lt;1,H486&gt;10),1,0)</f>
        <v>0</v>
      </c>
      <c r="X486" s="9" t="n">
        <f aca="false">IF(OR(I486&lt;=0,I486&gt;1500),1,0)</f>
        <v>0</v>
      </c>
      <c r="Y486" s="9" t="n">
        <f aca="false">IF(J486&gt;H486*I486,1,0)</f>
        <v>0</v>
      </c>
      <c r="Z486" s="9" t="n">
        <f aca="false">IF(AND(N486&lt;&gt;"",OR(N486&lt;1,N486&gt;5)),1,0)</f>
        <v>0</v>
      </c>
      <c r="AA486" s="9" t="n">
        <f aca="false">IF(AND(M486&lt;&gt;"",OR(M486&lt;5,M486&gt;180)),1,0)</f>
        <v>0</v>
      </c>
      <c r="AB486" s="7" t="str">
        <f aca="false">IF(P486="DUP","Exact duplicate row",IF(T486=1,"Missing Order ID",IF(S486="DROP","Duplicate Order ID (less complete row)",IF(U486=1,"Missing Customer ID",IF(V486=1,"Missing Restaurant name",IF(W486=1,"Invalid/outlier quantity",IF(X486=1,"Invalid/outlier unit price",IF(Y486=1,"Discount greater than order value",""))))))))</f>
        <v/>
      </c>
      <c r="AC486" s="7" t="str">
        <f aca="false">IF(AB486="","KEEP","DROP")</f>
        <v>KEEP</v>
      </c>
      <c r="AD486" s="7" t="str">
        <f aca="false">IF(TRIM(F486)="",IFERROR(INDEX(Map_Tables!$I$4:$I$37,MATCH(TRIM(E486),Map_Tables!$G$4:$G$37,0)),""),IFERROR(INDEX(Map_Tables!$B$4:$B$18,MATCH(TRIM(F486),Map_Tables!$A$4:$A$18,0)),"CHECK"))</f>
        <v>Mumbai</v>
      </c>
      <c r="AE486" s="7" t="str">
        <f aca="false">IF(TRIM(E486)="","",IFERROR(INDEX(Map_Tables!$H$4:$H$37,MATCH(TRIM(E486),Map_Tables!$G$4:$G$37,0)),"CHECK"))</f>
        <v>Pav Bhaji Point</v>
      </c>
      <c r="AF486" s="7" t="str">
        <f aca="false">IF(TRIM(K486)="","Unknown",IFERROR(INDEX(Map_Tables!$E$4:$E$15,MATCH(TRIM(K486),Map_Tables!$D$4:$D$15,0)),"CHECK"))</f>
        <v>Wallet</v>
      </c>
      <c r="AG486" s="7" t="str">
        <f aca="false">IF(LEFT(LOWER(TRIM(L486)),6)="cancel","Cancelled","Delivered")</f>
        <v>Delivered</v>
      </c>
      <c r="AH486" s="10" t="n">
        <f aca="false">IF(ISNUMBER(SEARCH("/",B486)),DATE(VALUE(RIGHT(B486,4)),VALUE(MID(B486,4,2)),VALUE(LEFT(B486,2))),IF(MID(B486,5,1)="-",DATE(VALUE(LEFT(B486,4)),VALUE(MID(B486,6,2)),VALUE(RIGHT(B486,2))),DATE(VALUE(RIGHT(B486,4)),MATCH(MID(B486,4,3),{"Jan","Feb","Mar","Apr","May","Jun","Jul","Aug","Sep","Oct","Nov","Dec"},0),VALUE(LEFT(B486,2)))))</f>
        <v>45687</v>
      </c>
    </row>
    <row r="487" customFormat="false" ht="15" hidden="false" customHeight="false" outlineLevel="0" collapsed="false">
      <c r="A487" s="7" t="s">
        <v>1826</v>
      </c>
      <c r="B487" s="7" t="s">
        <v>835</v>
      </c>
      <c r="C487" s="7" t="s">
        <v>573</v>
      </c>
      <c r="D487" s="7" t="s">
        <v>1827</v>
      </c>
      <c r="E487" s="7" t="s">
        <v>94</v>
      </c>
      <c r="F487" s="7" t="s">
        <v>86</v>
      </c>
      <c r="G487" s="7" t="s">
        <v>1828</v>
      </c>
      <c r="H487" s="7" t="n">
        <v>2</v>
      </c>
      <c r="I487" s="7" t="n">
        <v>125</v>
      </c>
      <c r="J487" s="7" t="n">
        <v>0</v>
      </c>
      <c r="K487" s="7" t="s">
        <v>93</v>
      </c>
      <c r="L487" s="7" t="s">
        <v>194</v>
      </c>
      <c r="M487" s="7" t="n">
        <v>43</v>
      </c>
      <c r="N487" s="7" t="n">
        <v>3</v>
      </c>
      <c r="O487" s="7" t="str">
        <f aca="false">A487&amp;"|"&amp;B487&amp;"|"&amp;C487&amp;"|"&amp;D487&amp;"|"&amp;E487&amp;"|"&amp;F487&amp;"|"&amp;G487&amp;"|"&amp;H487&amp;"|"&amp;I487&amp;"|"&amp;J487&amp;"|"&amp;K487&amp;"|"&amp;L487&amp;"|"&amp;M487&amp;"|"&amp;N487</f>
        <v>ORD12971|2025-12-28|21:43|C1101|Dosa Darbar|Bengaluru|south indian|2|125|0|Credit Card|Delivered|43|3</v>
      </c>
      <c r="P487" s="7" t="str">
        <f aca="false">IF(COUNTIF($O$2:O487,O487)&gt;1,"DUP","OK")</f>
        <v>OK</v>
      </c>
      <c r="Q487" s="7" t="n">
        <f aca="false">COUNTBLANK(A487:N487)</f>
        <v>0</v>
      </c>
      <c r="R487" s="7" t="n">
        <f aca="false">IF(A487="",0,COUNTIFS($A$2:$A$3058,A487,$P$2:$P$3058,"OK"))</f>
        <v>1</v>
      </c>
      <c r="S487" s="7" t="str">
        <f aca="false">IF(OR(A487="",P487="DUP",R487&lt;2),"",IF(Q487=_xlfn.MINIFS($Q$2:$Q$3058,$A$2:$A$3058,A487,$P$2:$P$3058,"OK"),"KEEP","DROP"))</f>
        <v/>
      </c>
      <c r="T487" s="9" t="n">
        <f aca="false">IF(A487="",1,0)</f>
        <v>0</v>
      </c>
      <c r="U487" s="9" t="n">
        <f aca="false">IF(D487="",1,0)</f>
        <v>0</v>
      </c>
      <c r="V487" s="9" t="n">
        <f aca="false">IF(E487="",1,0)</f>
        <v>0</v>
      </c>
      <c r="W487" s="9" t="n">
        <f aca="false">IF(OR(H487&lt;1,H487&gt;10),1,0)</f>
        <v>0</v>
      </c>
      <c r="X487" s="9" t="n">
        <f aca="false">IF(OR(I487&lt;=0,I487&gt;1500),1,0)</f>
        <v>0</v>
      </c>
      <c r="Y487" s="9" t="n">
        <f aca="false">IF(J487&gt;H487*I487,1,0)</f>
        <v>0</v>
      </c>
      <c r="Z487" s="9" t="n">
        <f aca="false">IF(AND(N487&lt;&gt;"",OR(N487&lt;1,N487&gt;5)),1,0)</f>
        <v>0</v>
      </c>
      <c r="AA487" s="9" t="n">
        <f aca="false">IF(AND(M487&lt;&gt;"",OR(M487&lt;5,M487&gt;180)),1,0)</f>
        <v>0</v>
      </c>
      <c r="AB487" s="7" t="str">
        <f aca="false">IF(P487="DUP","Exact duplicate row",IF(T487=1,"Missing Order ID",IF(S487="DROP","Duplicate Order ID (less complete row)",IF(U487=1,"Missing Customer ID",IF(V487=1,"Missing Restaurant name",IF(W487=1,"Invalid/outlier quantity",IF(X487=1,"Invalid/outlier unit price",IF(Y487=1,"Discount greater than order value",""))))))))</f>
        <v/>
      </c>
      <c r="AC487" s="7" t="str">
        <f aca="false">IF(AB487="","KEEP","DROP")</f>
        <v>KEEP</v>
      </c>
      <c r="AD487" s="7" t="str">
        <f aca="false">IF(TRIM(F487)="",IFERROR(INDEX(Map_Tables!$I$4:$I$37,MATCH(TRIM(E487),Map_Tables!$G$4:$G$37,0)),""),IFERROR(INDEX(Map_Tables!$B$4:$B$18,MATCH(TRIM(F487),Map_Tables!$A$4:$A$18,0)),"CHECK"))</f>
        <v>Bengaluru</v>
      </c>
      <c r="AE487" s="7" t="str">
        <f aca="false">IF(TRIM(E487)="","",IFERROR(INDEX(Map_Tables!$H$4:$H$37,MATCH(TRIM(E487),Map_Tables!$G$4:$G$37,0)),"CHECK"))</f>
        <v>Dosa Darbar</v>
      </c>
      <c r="AF487" s="7" t="str">
        <f aca="false">IF(TRIM(K487)="","Unknown",IFERROR(INDEX(Map_Tables!$E$4:$E$15,MATCH(TRIM(K487),Map_Tables!$D$4:$D$15,0)),"CHECK"))</f>
        <v>Credit Card</v>
      </c>
      <c r="AG487" s="7" t="str">
        <f aca="false">IF(LEFT(LOWER(TRIM(L487)),6)="cancel","Cancelled","Delivered")</f>
        <v>Delivered</v>
      </c>
      <c r="AH487" s="10" t="n">
        <f aca="false">IF(ISNUMBER(SEARCH("/",B487)),DATE(VALUE(RIGHT(B487,4)),VALUE(MID(B487,4,2)),VALUE(LEFT(B487,2))),IF(MID(B487,5,1)="-",DATE(VALUE(LEFT(B487,4)),VALUE(MID(B487,6,2)),VALUE(RIGHT(B487,2))),DATE(VALUE(RIGHT(B487,4)),MATCH(MID(B487,4,3),{"Jan","Feb","Mar","Apr","May","Jun","Jul","Aug","Sep","Oct","Nov","Dec"},0),VALUE(LEFT(B487,2)))))</f>
        <v>46019</v>
      </c>
    </row>
    <row r="488" customFormat="false" ht="15" hidden="false" customHeight="false" outlineLevel="0" collapsed="false">
      <c r="A488" s="7" t="s">
        <v>1829</v>
      </c>
      <c r="B488" s="7" t="s">
        <v>212</v>
      </c>
      <c r="C488" s="7" t="s">
        <v>1830</v>
      </c>
      <c r="D488" s="7" t="s">
        <v>1831</v>
      </c>
      <c r="E488" s="7" t="s">
        <v>167</v>
      </c>
      <c r="F488" s="7" t="s">
        <v>146</v>
      </c>
      <c r="G488" s="7" t="s">
        <v>156</v>
      </c>
      <c r="H488" s="7" t="n">
        <v>1</v>
      </c>
      <c r="I488" s="7" t="n">
        <v>260</v>
      </c>
      <c r="J488" s="7" t="n">
        <v>40</v>
      </c>
      <c r="K488" s="7" t="s">
        <v>93</v>
      </c>
      <c r="L488" s="7" t="s">
        <v>194</v>
      </c>
      <c r="M488" s="7" t="n">
        <v>32</v>
      </c>
      <c r="N488" s="7" t="n">
        <v>3</v>
      </c>
      <c r="O488" s="7" t="str">
        <f aca="false">A488&amp;"|"&amp;B488&amp;"|"&amp;C488&amp;"|"&amp;D488&amp;"|"&amp;E488&amp;"|"&amp;F488&amp;"|"&amp;G488&amp;"|"&amp;H488&amp;"|"&amp;I488&amp;"|"&amp;J488&amp;"|"&amp;K488&amp;"|"&amp;L488&amp;"|"&amp;M488&amp;"|"&amp;N488</f>
        <v>ORD12734|2025-12-01|18:27|C0808|Fit Fuel Kitchen|Ahmedabad|Healthy Food|1|260|40|Credit Card|Delivered|32|3</v>
      </c>
      <c r="P488" s="7" t="str">
        <f aca="false">IF(COUNTIF($O$2:O488,O488)&gt;1,"DUP","OK")</f>
        <v>OK</v>
      </c>
      <c r="Q488" s="7" t="n">
        <f aca="false">COUNTBLANK(A488:N488)</f>
        <v>0</v>
      </c>
      <c r="R488" s="7" t="n">
        <f aca="false">IF(A488="",0,COUNTIFS($A$2:$A$3058,A488,$P$2:$P$3058,"OK"))</f>
        <v>1</v>
      </c>
      <c r="S488" s="7" t="str">
        <f aca="false">IF(OR(A488="",P488="DUP",R488&lt;2),"",IF(Q488=_xlfn.MINIFS($Q$2:$Q$3058,$A$2:$A$3058,A488,$P$2:$P$3058,"OK"),"KEEP","DROP"))</f>
        <v/>
      </c>
      <c r="T488" s="9" t="n">
        <f aca="false">IF(A488="",1,0)</f>
        <v>0</v>
      </c>
      <c r="U488" s="9" t="n">
        <f aca="false">IF(D488="",1,0)</f>
        <v>0</v>
      </c>
      <c r="V488" s="9" t="n">
        <f aca="false">IF(E488="",1,0)</f>
        <v>0</v>
      </c>
      <c r="W488" s="9" t="n">
        <f aca="false">IF(OR(H488&lt;1,H488&gt;10),1,0)</f>
        <v>0</v>
      </c>
      <c r="X488" s="9" t="n">
        <f aca="false">IF(OR(I488&lt;=0,I488&gt;1500),1,0)</f>
        <v>0</v>
      </c>
      <c r="Y488" s="9" t="n">
        <f aca="false">IF(J488&gt;H488*I488,1,0)</f>
        <v>0</v>
      </c>
      <c r="Z488" s="9" t="n">
        <f aca="false">IF(AND(N488&lt;&gt;"",OR(N488&lt;1,N488&gt;5)),1,0)</f>
        <v>0</v>
      </c>
      <c r="AA488" s="9" t="n">
        <f aca="false">IF(AND(M488&lt;&gt;"",OR(M488&lt;5,M488&gt;180)),1,0)</f>
        <v>0</v>
      </c>
      <c r="AB488" s="7" t="str">
        <f aca="false">IF(P488="DUP","Exact duplicate row",IF(T488=1,"Missing Order ID",IF(S488="DROP","Duplicate Order ID (less complete row)",IF(U488=1,"Missing Customer ID",IF(V488=1,"Missing Restaurant name",IF(W488=1,"Invalid/outlier quantity",IF(X488=1,"Invalid/outlier unit price",IF(Y488=1,"Discount greater than order value",""))))))))</f>
        <v/>
      </c>
      <c r="AC488" s="7" t="str">
        <f aca="false">IF(AB488="","KEEP","DROP")</f>
        <v>KEEP</v>
      </c>
      <c r="AD488" s="7" t="str">
        <f aca="false">IF(TRIM(F488)="",IFERROR(INDEX(Map_Tables!$I$4:$I$37,MATCH(TRIM(E488),Map_Tables!$G$4:$G$37,0)),""),IFERROR(INDEX(Map_Tables!$B$4:$B$18,MATCH(TRIM(F488),Map_Tables!$A$4:$A$18,0)),"CHECK"))</f>
        <v>Ahmedabad</v>
      </c>
      <c r="AE488" s="7" t="str">
        <f aca="false">IF(TRIM(E488)="","",IFERROR(INDEX(Map_Tables!$H$4:$H$37,MATCH(TRIM(E488),Map_Tables!$G$4:$G$37,0)),"CHECK"))</f>
        <v>Fit Fuel Kitchen</v>
      </c>
      <c r="AF488" s="7" t="str">
        <f aca="false">IF(TRIM(K488)="","Unknown",IFERROR(INDEX(Map_Tables!$E$4:$E$15,MATCH(TRIM(K488),Map_Tables!$D$4:$D$15,0)),"CHECK"))</f>
        <v>Credit Card</v>
      </c>
      <c r="AG488" s="7" t="str">
        <f aca="false">IF(LEFT(LOWER(TRIM(L488)),6)="cancel","Cancelled","Delivered")</f>
        <v>Delivered</v>
      </c>
      <c r="AH488" s="10" t="n">
        <f aca="false">IF(ISNUMBER(SEARCH("/",B488)),DATE(VALUE(RIGHT(B488,4)),VALUE(MID(B488,4,2)),VALUE(LEFT(B488,2))),IF(MID(B488,5,1)="-",DATE(VALUE(LEFT(B488,4)),VALUE(MID(B488,6,2)),VALUE(RIGHT(B488,2))),DATE(VALUE(RIGHT(B488,4)),MATCH(MID(B488,4,3),{"Jan","Feb","Mar","Apr","May","Jun","Jul","Aug","Sep","Oct","Nov","Dec"},0),VALUE(LEFT(B488,2)))))</f>
        <v>45992</v>
      </c>
    </row>
    <row r="489" customFormat="false" ht="15" hidden="false" customHeight="false" outlineLevel="0" collapsed="false">
      <c r="A489" s="7" t="s">
        <v>1832</v>
      </c>
      <c r="B489" s="7" t="s">
        <v>554</v>
      </c>
      <c r="C489" s="7" t="s">
        <v>1640</v>
      </c>
      <c r="D489" s="7" t="s">
        <v>1833</v>
      </c>
      <c r="E489" s="7" t="s">
        <v>104</v>
      </c>
      <c r="F489" s="7" t="s">
        <v>86</v>
      </c>
      <c r="G489" s="7" t="s">
        <v>105</v>
      </c>
      <c r="H489" s="7" t="n">
        <v>1</v>
      </c>
      <c r="I489" s="7" t="n">
        <v>165</v>
      </c>
      <c r="J489" s="7" t="n">
        <v>0</v>
      </c>
      <c r="K489" s="7" t="s">
        <v>88</v>
      </c>
      <c r="L489" s="7" t="s">
        <v>194</v>
      </c>
      <c r="M489" s="7" t="n">
        <v>53</v>
      </c>
      <c r="N489" s="7" t="n">
        <v>5</v>
      </c>
      <c r="O489" s="7" t="str">
        <f aca="false">A489&amp;"|"&amp;B489&amp;"|"&amp;C489&amp;"|"&amp;D489&amp;"|"&amp;E489&amp;"|"&amp;F489&amp;"|"&amp;G489&amp;"|"&amp;H489&amp;"|"&amp;I489&amp;"|"&amp;J489&amp;"|"&amp;K489&amp;"|"&amp;L489&amp;"|"&amp;M489&amp;"|"&amp;N489</f>
        <v>ORD12308|2025-10-18|19:52|C0366|Wok &amp; Roll|Bengaluru|Chinese|1|165|0|UPI|Delivered|53|5</v>
      </c>
      <c r="P489" s="7" t="str">
        <f aca="false">IF(COUNTIF($O$2:O489,O489)&gt;1,"DUP","OK")</f>
        <v>OK</v>
      </c>
      <c r="Q489" s="7" t="n">
        <f aca="false">COUNTBLANK(A489:N489)</f>
        <v>0</v>
      </c>
      <c r="R489" s="7" t="n">
        <f aca="false">IF(A489="",0,COUNTIFS($A$2:$A$3058,A489,$P$2:$P$3058,"OK"))</f>
        <v>1</v>
      </c>
      <c r="S489" s="7" t="str">
        <f aca="false">IF(OR(A489="",P489="DUP",R489&lt;2),"",IF(Q489=_xlfn.MINIFS($Q$2:$Q$3058,$A$2:$A$3058,A489,$P$2:$P$3058,"OK"),"KEEP","DROP"))</f>
        <v/>
      </c>
      <c r="T489" s="9" t="n">
        <f aca="false">IF(A489="",1,0)</f>
        <v>0</v>
      </c>
      <c r="U489" s="9" t="n">
        <f aca="false">IF(D489="",1,0)</f>
        <v>0</v>
      </c>
      <c r="V489" s="9" t="n">
        <f aca="false">IF(E489="",1,0)</f>
        <v>0</v>
      </c>
      <c r="W489" s="9" t="n">
        <f aca="false">IF(OR(H489&lt;1,H489&gt;10),1,0)</f>
        <v>0</v>
      </c>
      <c r="X489" s="9" t="n">
        <f aca="false">IF(OR(I489&lt;=0,I489&gt;1500),1,0)</f>
        <v>0</v>
      </c>
      <c r="Y489" s="9" t="n">
        <f aca="false">IF(J489&gt;H489*I489,1,0)</f>
        <v>0</v>
      </c>
      <c r="Z489" s="9" t="n">
        <f aca="false">IF(AND(N489&lt;&gt;"",OR(N489&lt;1,N489&gt;5)),1,0)</f>
        <v>0</v>
      </c>
      <c r="AA489" s="9" t="n">
        <f aca="false">IF(AND(M489&lt;&gt;"",OR(M489&lt;5,M489&gt;180)),1,0)</f>
        <v>0</v>
      </c>
      <c r="AB489" s="7" t="str">
        <f aca="false">IF(P489="DUP","Exact duplicate row",IF(T489=1,"Missing Order ID",IF(S489="DROP","Duplicate Order ID (less complete row)",IF(U489=1,"Missing Customer ID",IF(V489=1,"Missing Restaurant name",IF(W489=1,"Invalid/outlier quantity",IF(X489=1,"Invalid/outlier unit price",IF(Y489=1,"Discount greater than order value",""))))))))</f>
        <v/>
      </c>
      <c r="AC489" s="7" t="str">
        <f aca="false">IF(AB489="","KEEP","DROP")</f>
        <v>KEEP</v>
      </c>
      <c r="AD489" s="7" t="str">
        <f aca="false">IF(TRIM(F489)="",IFERROR(INDEX(Map_Tables!$I$4:$I$37,MATCH(TRIM(E489),Map_Tables!$G$4:$G$37,0)),""),IFERROR(INDEX(Map_Tables!$B$4:$B$18,MATCH(TRIM(F489),Map_Tables!$A$4:$A$18,0)),"CHECK"))</f>
        <v>Bengaluru</v>
      </c>
      <c r="AE489" s="7" t="str">
        <f aca="false">IF(TRIM(E489)="","",IFERROR(INDEX(Map_Tables!$H$4:$H$37,MATCH(TRIM(E489),Map_Tables!$G$4:$G$37,0)),"CHECK"))</f>
        <v>Wok &amp; Roll</v>
      </c>
      <c r="AF489" s="7" t="str">
        <f aca="false">IF(TRIM(K489)="","Unknown",IFERROR(INDEX(Map_Tables!$E$4:$E$15,MATCH(TRIM(K489),Map_Tables!$D$4:$D$15,0)),"CHECK"))</f>
        <v>UPI</v>
      </c>
      <c r="AG489" s="7" t="str">
        <f aca="false">IF(LEFT(LOWER(TRIM(L489)),6)="cancel","Cancelled","Delivered")</f>
        <v>Delivered</v>
      </c>
      <c r="AH489" s="10" t="n">
        <f aca="false">IF(ISNUMBER(SEARCH("/",B489)),DATE(VALUE(RIGHT(B489,4)),VALUE(MID(B489,4,2)),VALUE(LEFT(B489,2))),IF(MID(B489,5,1)="-",DATE(VALUE(LEFT(B489,4)),VALUE(MID(B489,6,2)),VALUE(RIGHT(B489,2))),DATE(VALUE(RIGHT(B489,4)),MATCH(MID(B489,4,3),{"Jan","Feb","Mar","Apr","May","Jun","Jul","Aug","Sep","Oct","Nov","Dec"},0),VALUE(LEFT(B489,2)))))</f>
        <v>45948</v>
      </c>
    </row>
    <row r="490" customFormat="false" ht="15" hidden="false" customHeight="false" outlineLevel="0" collapsed="false">
      <c r="A490" s="7" t="s">
        <v>1834</v>
      </c>
      <c r="B490" s="7" t="s">
        <v>1835</v>
      </c>
      <c r="C490" s="7" t="s">
        <v>1836</v>
      </c>
      <c r="D490" s="7" t="s">
        <v>1405</v>
      </c>
      <c r="E490" s="7" t="s">
        <v>89</v>
      </c>
      <c r="F490" s="7" t="s">
        <v>86</v>
      </c>
      <c r="G490" s="7" t="s">
        <v>90</v>
      </c>
      <c r="H490" s="7" t="n">
        <v>4</v>
      </c>
      <c r="I490" s="7" t="n">
        <v>185</v>
      </c>
      <c r="J490" s="7" t="n">
        <v>0</v>
      </c>
      <c r="K490" s="7" t="s">
        <v>229</v>
      </c>
      <c r="L490" s="7" t="s">
        <v>194</v>
      </c>
      <c r="M490" s="7" t="n">
        <v>30</v>
      </c>
      <c r="N490" s="7" t="n">
        <v>5</v>
      </c>
      <c r="O490" s="7" t="str">
        <f aca="false">A490&amp;"|"&amp;B490&amp;"|"&amp;C490&amp;"|"&amp;D490&amp;"|"&amp;E490&amp;"|"&amp;F490&amp;"|"&amp;G490&amp;"|"&amp;H490&amp;"|"&amp;I490&amp;"|"&amp;J490&amp;"|"&amp;K490&amp;"|"&amp;L490&amp;"|"&amp;M490&amp;"|"&amp;N490</f>
        <v>ORD12291|2025-10-16|23:39|C0621|Spice Junction|Bengaluru|North Indian|4|185|0|Upi|Delivered|30|5</v>
      </c>
      <c r="P490" s="7" t="str">
        <f aca="false">IF(COUNTIF($O$2:O490,O490)&gt;1,"DUP","OK")</f>
        <v>OK</v>
      </c>
      <c r="Q490" s="7" t="n">
        <f aca="false">COUNTBLANK(A490:N490)</f>
        <v>0</v>
      </c>
      <c r="R490" s="7" t="n">
        <f aca="false">IF(A490="",0,COUNTIFS($A$2:$A$3058,A490,$P$2:$P$3058,"OK"))</f>
        <v>1</v>
      </c>
      <c r="S490" s="7" t="str">
        <f aca="false">IF(OR(A490="",P490="DUP",R490&lt;2),"",IF(Q490=_xlfn.MINIFS($Q$2:$Q$3058,$A$2:$A$3058,A490,$P$2:$P$3058,"OK"),"KEEP","DROP"))</f>
        <v/>
      </c>
      <c r="T490" s="9" t="n">
        <f aca="false">IF(A490="",1,0)</f>
        <v>0</v>
      </c>
      <c r="U490" s="9" t="n">
        <f aca="false">IF(D490="",1,0)</f>
        <v>0</v>
      </c>
      <c r="V490" s="9" t="n">
        <f aca="false">IF(E490="",1,0)</f>
        <v>0</v>
      </c>
      <c r="W490" s="9" t="n">
        <f aca="false">IF(OR(H490&lt;1,H490&gt;10),1,0)</f>
        <v>0</v>
      </c>
      <c r="X490" s="9" t="n">
        <f aca="false">IF(OR(I490&lt;=0,I490&gt;1500),1,0)</f>
        <v>0</v>
      </c>
      <c r="Y490" s="9" t="n">
        <f aca="false">IF(J490&gt;H490*I490,1,0)</f>
        <v>0</v>
      </c>
      <c r="Z490" s="9" t="n">
        <f aca="false">IF(AND(N490&lt;&gt;"",OR(N490&lt;1,N490&gt;5)),1,0)</f>
        <v>0</v>
      </c>
      <c r="AA490" s="9" t="n">
        <f aca="false">IF(AND(M490&lt;&gt;"",OR(M490&lt;5,M490&gt;180)),1,0)</f>
        <v>0</v>
      </c>
      <c r="AB490" s="7" t="str">
        <f aca="false">IF(P490="DUP","Exact duplicate row",IF(T490=1,"Missing Order ID",IF(S490="DROP","Duplicate Order ID (less complete row)",IF(U490=1,"Missing Customer ID",IF(V490=1,"Missing Restaurant name",IF(W490=1,"Invalid/outlier quantity",IF(X490=1,"Invalid/outlier unit price",IF(Y490=1,"Discount greater than order value",""))))))))</f>
        <v/>
      </c>
      <c r="AC490" s="7" t="str">
        <f aca="false">IF(AB490="","KEEP","DROP")</f>
        <v>KEEP</v>
      </c>
      <c r="AD490" s="7" t="str">
        <f aca="false">IF(TRIM(F490)="",IFERROR(INDEX(Map_Tables!$I$4:$I$37,MATCH(TRIM(E490),Map_Tables!$G$4:$G$37,0)),""),IFERROR(INDEX(Map_Tables!$B$4:$B$18,MATCH(TRIM(F490),Map_Tables!$A$4:$A$18,0)),"CHECK"))</f>
        <v>Bengaluru</v>
      </c>
      <c r="AE490" s="7" t="str">
        <f aca="false">IF(TRIM(E490)="","",IFERROR(INDEX(Map_Tables!$H$4:$H$37,MATCH(TRIM(E490),Map_Tables!$G$4:$G$37,0)),"CHECK"))</f>
        <v>Spice Junction</v>
      </c>
      <c r="AF490" s="7" t="str">
        <f aca="false">IF(TRIM(K490)="","Unknown",IFERROR(INDEX(Map_Tables!$E$4:$E$15,MATCH(TRIM(K490),Map_Tables!$D$4:$D$15,0)),"CHECK"))</f>
        <v>UPI</v>
      </c>
      <c r="AG490" s="7" t="str">
        <f aca="false">IF(LEFT(LOWER(TRIM(L490)),6)="cancel","Cancelled","Delivered")</f>
        <v>Delivered</v>
      </c>
      <c r="AH490" s="10" t="n">
        <f aca="false">IF(ISNUMBER(SEARCH("/",B490)),DATE(VALUE(RIGHT(B490,4)),VALUE(MID(B490,4,2)),VALUE(LEFT(B490,2))),IF(MID(B490,5,1)="-",DATE(VALUE(LEFT(B490,4)),VALUE(MID(B490,6,2)),VALUE(RIGHT(B490,2))),DATE(VALUE(RIGHT(B490,4)),MATCH(MID(B490,4,3),{"Jan","Feb","Mar","Apr","May","Jun","Jul","Aug","Sep","Oct","Nov","Dec"},0),VALUE(LEFT(B490,2)))))</f>
        <v>45946</v>
      </c>
    </row>
    <row r="491" customFormat="false" ht="15" hidden="false" customHeight="false" outlineLevel="0" collapsed="false">
      <c r="A491" s="7" t="s">
        <v>1837</v>
      </c>
      <c r="B491" s="7" t="s">
        <v>1680</v>
      </c>
      <c r="C491" s="7" t="s">
        <v>1838</v>
      </c>
      <c r="D491" s="7" t="s">
        <v>224</v>
      </c>
      <c r="E491" s="7" t="s">
        <v>147</v>
      </c>
      <c r="F491" s="7" t="s">
        <v>312</v>
      </c>
      <c r="G491" s="7" t="s">
        <v>95</v>
      </c>
      <c r="H491" s="7" t="n">
        <v>1</v>
      </c>
      <c r="I491" s="7" t="n">
        <v>150</v>
      </c>
      <c r="J491" s="7" t="n">
        <v>60</v>
      </c>
      <c r="K491" s="7" t="s">
        <v>88</v>
      </c>
      <c r="L491" s="7" t="s">
        <v>194</v>
      </c>
      <c r="M491" s="7" t="n">
        <v>35</v>
      </c>
      <c r="N491" s="7" t="n">
        <v>5</v>
      </c>
      <c r="O491" s="7" t="str">
        <f aca="false">A491&amp;"|"&amp;B491&amp;"|"&amp;C491&amp;"|"&amp;D491&amp;"|"&amp;E491&amp;"|"&amp;F491&amp;"|"&amp;G491&amp;"|"&amp;H491&amp;"|"&amp;I491&amp;"|"&amp;J491&amp;"|"&amp;K491&amp;"|"&amp;L491&amp;"|"&amp;M491&amp;"|"&amp;N491</f>
        <v>ORD11715|2025-08-13|17:27|C1030|Andhra Meals Mess|Hyd|South Indian|1|150|60|UPI|Delivered|35|5</v>
      </c>
      <c r="P491" s="7" t="str">
        <f aca="false">IF(COUNTIF($O$2:O491,O491)&gt;1,"DUP","OK")</f>
        <v>OK</v>
      </c>
      <c r="Q491" s="7" t="n">
        <f aca="false">COUNTBLANK(A491:N491)</f>
        <v>0</v>
      </c>
      <c r="R491" s="7" t="n">
        <f aca="false">IF(A491="",0,COUNTIFS($A$2:$A$3058,A491,$P$2:$P$3058,"OK"))</f>
        <v>1</v>
      </c>
      <c r="S491" s="7" t="str">
        <f aca="false">IF(OR(A491="",P491="DUP",R491&lt;2),"",IF(Q491=_xlfn.MINIFS($Q$2:$Q$3058,$A$2:$A$3058,A491,$P$2:$P$3058,"OK"),"KEEP","DROP"))</f>
        <v/>
      </c>
      <c r="T491" s="9" t="n">
        <f aca="false">IF(A491="",1,0)</f>
        <v>0</v>
      </c>
      <c r="U491" s="9" t="n">
        <f aca="false">IF(D491="",1,0)</f>
        <v>0</v>
      </c>
      <c r="V491" s="9" t="n">
        <f aca="false">IF(E491="",1,0)</f>
        <v>0</v>
      </c>
      <c r="W491" s="9" t="n">
        <f aca="false">IF(OR(H491&lt;1,H491&gt;10),1,0)</f>
        <v>0</v>
      </c>
      <c r="X491" s="9" t="n">
        <f aca="false">IF(OR(I491&lt;=0,I491&gt;1500),1,0)</f>
        <v>0</v>
      </c>
      <c r="Y491" s="9" t="n">
        <f aca="false">IF(J491&gt;H491*I491,1,0)</f>
        <v>0</v>
      </c>
      <c r="Z491" s="9" t="n">
        <f aca="false">IF(AND(N491&lt;&gt;"",OR(N491&lt;1,N491&gt;5)),1,0)</f>
        <v>0</v>
      </c>
      <c r="AA491" s="9" t="n">
        <f aca="false">IF(AND(M491&lt;&gt;"",OR(M491&lt;5,M491&gt;180)),1,0)</f>
        <v>0</v>
      </c>
      <c r="AB491" s="7" t="str">
        <f aca="false">IF(P491="DUP","Exact duplicate row",IF(T491=1,"Missing Order ID",IF(S491="DROP","Duplicate Order ID (less complete row)",IF(U491=1,"Missing Customer ID",IF(V491=1,"Missing Restaurant name",IF(W491=1,"Invalid/outlier quantity",IF(X491=1,"Invalid/outlier unit price",IF(Y491=1,"Discount greater than order value",""))))))))</f>
        <v/>
      </c>
      <c r="AC491" s="7" t="str">
        <f aca="false">IF(AB491="","KEEP","DROP")</f>
        <v>KEEP</v>
      </c>
      <c r="AD491" s="7" t="str">
        <f aca="false">IF(TRIM(F491)="",IFERROR(INDEX(Map_Tables!$I$4:$I$37,MATCH(TRIM(E491),Map_Tables!$G$4:$G$37,0)),""),IFERROR(INDEX(Map_Tables!$B$4:$B$18,MATCH(TRIM(F491),Map_Tables!$A$4:$A$18,0)),"CHECK"))</f>
        <v>Hyderabad</v>
      </c>
      <c r="AE491" s="7" t="str">
        <f aca="false">IF(TRIM(E491)="","",IFERROR(INDEX(Map_Tables!$H$4:$H$37,MATCH(TRIM(E491),Map_Tables!$G$4:$G$37,0)),"CHECK"))</f>
        <v>Andhra Meals Mess</v>
      </c>
      <c r="AF491" s="7" t="str">
        <f aca="false">IF(TRIM(K491)="","Unknown",IFERROR(INDEX(Map_Tables!$E$4:$E$15,MATCH(TRIM(K491),Map_Tables!$D$4:$D$15,0)),"CHECK"))</f>
        <v>UPI</v>
      </c>
      <c r="AG491" s="7" t="str">
        <f aca="false">IF(LEFT(LOWER(TRIM(L491)),6)="cancel","Cancelled","Delivered")</f>
        <v>Delivered</v>
      </c>
      <c r="AH491" s="10" t="n">
        <f aca="false">IF(ISNUMBER(SEARCH("/",B491)),DATE(VALUE(RIGHT(B491,4)),VALUE(MID(B491,4,2)),VALUE(LEFT(B491,2))),IF(MID(B491,5,1)="-",DATE(VALUE(LEFT(B491,4)),VALUE(MID(B491,6,2)),VALUE(RIGHT(B491,2))),DATE(VALUE(RIGHT(B491,4)),MATCH(MID(B491,4,3),{"Jan","Feb","Mar","Apr","May","Jun","Jul","Aug","Sep","Oct","Nov","Dec"},0),VALUE(LEFT(B491,2)))))</f>
        <v>45882</v>
      </c>
    </row>
    <row r="492" customFormat="false" ht="15" hidden="false" customHeight="false" outlineLevel="0" collapsed="false">
      <c r="A492" s="7" t="s">
        <v>1839</v>
      </c>
      <c r="B492" s="7" t="s">
        <v>892</v>
      </c>
      <c r="C492" s="7" t="s">
        <v>939</v>
      </c>
      <c r="D492" s="7" t="s">
        <v>1840</v>
      </c>
      <c r="E492" s="7" t="s">
        <v>163</v>
      </c>
      <c r="F492" s="7" t="s">
        <v>141</v>
      </c>
      <c r="G492" s="7" t="s">
        <v>99</v>
      </c>
      <c r="H492" s="7" t="n">
        <v>1</v>
      </c>
      <c r="I492" s="7" t="n">
        <v>255</v>
      </c>
      <c r="J492" s="7" t="n">
        <v>0</v>
      </c>
      <c r="K492" s="7" t="s">
        <v>1173</v>
      </c>
      <c r="L492" s="7" t="s">
        <v>194</v>
      </c>
      <c r="M492" s="7" t="n">
        <v>27</v>
      </c>
      <c r="N492" s="7" t="n">
        <v>5</v>
      </c>
      <c r="O492" s="7" t="str">
        <f aca="false">A492&amp;"|"&amp;B492&amp;"|"&amp;C492&amp;"|"&amp;D492&amp;"|"&amp;E492&amp;"|"&amp;F492&amp;"|"&amp;G492&amp;"|"&amp;H492&amp;"|"&amp;I492&amp;"|"&amp;J492&amp;"|"&amp;K492&amp;"|"&amp;L492&amp;"|"&amp;M492&amp;"|"&amp;N492</f>
        <v>ORD12528|2025-11-12|13:14|C0835|Biryani Baadshah|Kolkata|Biryani|1|255|0|E-Wallet|Delivered|27|5</v>
      </c>
      <c r="P492" s="7" t="str">
        <f aca="false">IF(COUNTIF($O$2:O492,O492)&gt;1,"DUP","OK")</f>
        <v>OK</v>
      </c>
      <c r="Q492" s="7" t="n">
        <f aca="false">COUNTBLANK(A492:N492)</f>
        <v>0</v>
      </c>
      <c r="R492" s="7" t="n">
        <f aca="false">IF(A492="",0,COUNTIFS($A$2:$A$3058,A492,$P$2:$P$3058,"OK"))</f>
        <v>1</v>
      </c>
      <c r="S492" s="7" t="str">
        <f aca="false">IF(OR(A492="",P492="DUP",R492&lt;2),"",IF(Q492=_xlfn.MINIFS($Q$2:$Q$3058,$A$2:$A$3058,A492,$P$2:$P$3058,"OK"),"KEEP","DROP"))</f>
        <v/>
      </c>
      <c r="T492" s="9" t="n">
        <f aca="false">IF(A492="",1,0)</f>
        <v>0</v>
      </c>
      <c r="U492" s="9" t="n">
        <f aca="false">IF(D492="",1,0)</f>
        <v>0</v>
      </c>
      <c r="V492" s="9" t="n">
        <f aca="false">IF(E492="",1,0)</f>
        <v>0</v>
      </c>
      <c r="W492" s="9" t="n">
        <f aca="false">IF(OR(H492&lt;1,H492&gt;10),1,0)</f>
        <v>0</v>
      </c>
      <c r="X492" s="9" t="n">
        <f aca="false">IF(OR(I492&lt;=0,I492&gt;1500),1,0)</f>
        <v>0</v>
      </c>
      <c r="Y492" s="9" t="n">
        <f aca="false">IF(J492&gt;H492*I492,1,0)</f>
        <v>0</v>
      </c>
      <c r="Z492" s="9" t="n">
        <f aca="false">IF(AND(N492&lt;&gt;"",OR(N492&lt;1,N492&gt;5)),1,0)</f>
        <v>0</v>
      </c>
      <c r="AA492" s="9" t="n">
        <f aca="false">IF(AND(M492&lt;&gt;"",OR(M492&lt;5,M492&gt;180)),1,0)</f>
        <v>0</v>
      </c>
      <c r="AB492" s="7" t="str">
        <f aca="false">IF(P492="DUP","Exact duplicate row",IF(T492=1,"Missing Order ID",IF(S492="DROP","Duplicate Order ID (less complete row)",IF(U492=1,"Missing Customer ID",IF(V492=1,"Missing Restaurant name",IF(W492=1,"Invalid/outlier quantity",IF(X492=1,"Invalid/outlier unit price",IF(Y492=1,"Discount greater than order value",""))))))))</f>
        <v/>
      </c>
      <c r="AC492" s="7" t="str">
        <f aca="false">IF(AB492="","KEEP","DROP")</f>
        <v>KEEP</v>
      </c>
      <c r="AD492" s="7" t="str">
        <f aca="false">IF(TRIM(F492)="",IFERROR(INDEX(Map_Tables!$I$4:$I$37,MATCH(TRIM(E492),Map_Tables!$G$4:$G$37,0)),""),IFERROR(INDEX(Map_Tables!$B$4:$B$18,MATCH(TRIM(F492),Map_Tables!$A$4:$A$18,0)),"CHECK"))</f>
        <v>Kolkata</v>
      </c>
      <c r="AE492" s="7" t="str">
        <f aca="false">IF(TRIM(E492)="","",IFERROR(INDEX(Map_Tables!$H$4:$H$37,MATCH(TRIM(E492),Map_Tables!$G$4:$G$37,0)),"CHECK"))</f>
        <v>Biryani Baadshah</v>
      </c>
      <c r="AF492" s="7" t="str">
        <f aca="false">IF(TRIM(K492)="","Unknown",IFERROR(INDEX(Map_Tables!$E$4:$E$15,MATCH(TRIM(K492),Map_Tables!$D$4:$D$15,0)),"CHECK"))</f>
        <v>Wallet</v>
      </c>
      <c r="AG492" s="7" t="str">
        <f aca="false">IF(LEFT(LOWER(TRIM(L492)),6)="cancel","Cancelled","Delivered")</f>
        <v>Delivered</v>
      </c>
      <c r="AH492" s="10" t="n">
        <f aca="false">IF(ISNUMBER(SEARCH("/",B492)),DATE(VALUE(RIGHT(B492,4)),VALUE(MID(B492,4,2)),VALUE(LEFT(B492,2))),IF(MID(B492,5,1)="-",DATE(VALUE(LEFT(B492,4)),VALUE(MID(B492,6,2)),VALUE(RIGHT(B492,2))),DATE(VALUE(RIGHT(B492,4)),MATCH(MID(B492,4,3),{"Jan","Feb","Mar","Apr","May","Jun","Jul","Aug","Sep","Oct","Nov","Dec"},0),VALUE(LEFT(B492,2)))))</f>
        <v>45973</v>
      </c>
    </row>
    <row r="493" customFormat="false" ht="15" hidden="false" customHeight="false" outlineLevel="0" collapsed="false">
      <c r="A493" s="7" t="s">
        <v>1841</v>
      </c>
      <c r="B493" s="7" t="s">
        <v>1183</v>
      </c>
      <c r="C493" s="7" t="s">
        <v>1842</v>
      </c>
      <c r="D493" s="7" t="s">
        <v>1236</v>
      </c>
      <c r="E493" s="7" t="s">
        <v>1843</v>
      </c>
      <c r="F493" s="7" t="s">
        <v>110</v>
      </c>
      <c r="G493" s="7" t="s">
        <v>90</v>
      </c>
      <c r="H493" s="7" t="n">
        <v>2</v>
      </c>
      <c r="I493" s="7" t="n">
        <v>210</v>
      </c>
      <c r="J493" s="7" t="n">
        <v>0</v>
      </c>
      <c r="K493" s="7" t="s">
        <v>112</v>
      </c>
      <c r="L493" s="7" t="s">
        <v>194</v>
      </c>
      <c r="M493" s="7" t="n">
        <v>43</v>
      </c>
      <c r="N493" s="7" t="n">
        <v>4</v>
      </c>
      <c r="O493" s="7" t="str">
        <f aca="false">A493&amp;"|"&amp;B493&amp;"|"&amp;C493&amp;"|"&amp;D493&amp;"|"&amp;E493&amp;"|"&amp;F493&amp;"|"&amp;G493&amp;"|"&amp;H493&amp;"|"&amp;I493&amp;"|"&amp;J493&amp;"|"&amp;K493&amp;"|"&amp;L493&amp;"|"&amp;M493&amp;"|"&amp;N493</f>
        <v>ORD11588|2025-07-26|20:48|C0388| Tandoor Tales|Delhi|North Indian|2|210|0|Cash on Delivery|Delivered|43|4</v>
      </c>
      <c r="P493" s="7" t="str">
        <f aca="false">IF(COUNTIF($O$2:O493,O493)&gt;1,"DUP","OK")</f>
        <v>OK</v>
      </c>
      <c r="Q493" s="7" t="n">
        <f aca="false">COUNTBLANK(A493:N493)</f>
        <v>0</v>
      </c>
      <c r="R493" s="7" t="n">
        <f aca="false">IF(A493="",0,COUNTIFS($A$2:$A$3058,A493,$P$2:$P$3058,"OK"))</f>
        <v>1</v>
      </c>
      <c r="S493" s="7" t="str">
        <f aca="false">IF(OR(A493="",P493="DUP",R493&lt;2),"",IF(Q493=_xlfn.MINIFS($Q$2:$Q$3058,$A$2:$A$3058,A493,$P$2:$P$3058,"OK"),"KEEP","DROP"))</f>
        <v/>
      </c>
      <c r="T493" s="9" t="n">
        <f aca="false">IF(A493="",1,0)</f>
        <v>0</v>
      </c>
      <c r="U493" s="9" t="n">
        <f aca="false">IF(D493="",1,0)</f>
        <v>0</v>
      </c>
      <c r="V493" s="9" t="n">
        <f aca="false">IF(E493="",1,0)</f>
        <v>0</v>
      </c>
      <c r="W493" s="9" t="n">
        <f aca="false">IF(OR(H493&lt;1,H493&gt;10),1,0)</f>
        <v>0</v>
      </c>
      <c r="X493" s="9" t="n">
        <f aca="false">IF(OR(I493&lt;=0,I493&gt;1500),1,0)</f>
        <v>0</v>
      </c>
      <c r="Y493" s="9" t="n">
        <f aca="false">IF(J493&gt;H493*I493,1,0)</f>
        <v>0</v>
      </c>
      <c r="Z493" s="9" t="n">
        <f aca="false">IF(AND(N493&lt;&gt;"",OR(N493&lt;1,N493&gt;5)),1,0)</f>
        <v>0</v>
      </c>
      <c r="AA493" s="9" t="n">
        <f aca="false">IF(AND(M493&lt;&gt;"",OR(M493&lt;5,M493&gt;180)),1,0)</f>
        <v>0</v>
      </c>
      <c r="AB493" s="7" t="str">
        <f aca="false">IF(P493="DUP","Exact duplicate row",IF(T493=1,"Missing Order ID",IF(S493="DROP","Duplicate Order ID (less complete row)",IF(U493=1,"Missing Customer ID",IF(V493=1,"Missing Restaurant name",IF(W493=1,"Invalid/outlier quantity",IF(X493=1,"Invalid/outlier unit price",IF(Y493=1,"Discount greater than order value",""))))))))</f>
        <v/>
      </c>
      <c r="AC493" s="7" t="str">
        <f aca="false">IF(AB493="","KEEP","DROP")</f>
        <v>KEEP</v>
      </c>
      <c r="AD493" s="7" t="str">
        <f aca="false">IF(TRIM(F493)="",IFERROR(INDEX(Map_Tables!$I$4:$I$37,MATCH(TRIM(E493),Map_Tables!$G$4:$G$37,0)),""),IFERROR(INDEX(Map_Tables!$B$4:$B$18,MATCH(TRIM(F493),Map_Tables!$A$4:$A$18,0)),"CHECK"))</f>
        <v>Delhi</v>
      </c>
      <c r="AE493" s="7" t="str">
        <f aca="false">IF(TRIM(E493)="","",IFERROR(INDEX(Map_Tables!$H$4:$H$37,MATCH(TRIM(E493),Map_Tables!$G$4:$G$37,0)),"CHECK"))</f>
        <v>Tandoor Tales</v>
      </c>
      <c r="AF493" s="7" t="str">
        <f aca="false">IF(TRIM(K493)="","Unknown",IFERROR(INDEX(Map_Tables!$E$4:$E$15,MATCH(TRIM(K493),Map_Tables!$D$4:$D$15,0)),"CHECK"))</f>
        <v>Cash on Delivery</v>
      </c>
      <c r="AG493" s="7" t="str">
        <f aca="false">IF(LEFT(LOWER(TRIM(L493)),6)="cancel","Cancelled","Delivered")</f>
        <v>Delivered</v>
      </c>
      <c r="AH493" s="10" t="n">
        <f aca="false">IF(ISNUMBER(SEARCH("/",B493)),DATE(VALUE(RIGHT(B493,4)),VALUE(MID(B493,4,2)),VALUE(LEFT(B493,2))),IF(MID(B493,5,1)="-",DATE(VALUE(LEFT(B493,4)),VALUE(MID(B493,6,2)),VALUE(RIGHT(B493,2))),DATE(VALUE(RIGHT(B493,4)),MATCH(MID(B493,4,3),{"Jan","Feb","Mar","Apr","May","Jun","Jul","Aug","Sep","Oct","Nov","Dec"},0),VALUE(LEFT(B493,2)))))</f>
        <v>45864</v>
      </c>
    </row>
    <row r="494" customFormat="false" ht="15" hidden="false" customHeight="false" outlineLevel="0" collapsed="false">
      <c r="A494" s="7" t="s">
        <v>1844</v>
      </c>
      <c r="B494" s="7" t="s">
        <v>1845</v>
      </c>
      <c r="C494" s="7" t="s">
        <v>1112</v>
      </c>
      <c r="D494" s="7" t="s">
        <v>1846</v>
      </c>
      <c r="E494" s="7" t="s">
        <v>89</v>
      </c>
      <c r="F494" s="7" t="s">
        <v>86</v>
      </c>
      <c r="G494" s="7" t="s">
        <v>90</v>
      </c>
      <c r="H494" s="7" t="n">
        <v>3</v>
      </c>
      <c r="I494" s="7" t="n">
        <v>245</v>
      </c>
      <c r="J494" s="7" t="n">
        <v>0</v>
      </c>
      <c r="K494" s="7" t="s">
        <v>121</v>
      </c>
      <c r="L494" s="7" t="s">
        <v>238</v>
      </c>
      <c r="M494" s="7"/>
      <c r="N494" s="7"/>
      <c r="O494" s="7" t="str">
        <f aca="false">A494&amp;"|"&amp;B494&amp;"|"&amp;C494&amp;"|"&amp;D494&amp;"|"&amp;E494&amp;"|"&amp;F494&amp;"|"&amp;G494&amp;"|"&amp;H494&amp;"|"&amp;I494&amp;"|"&amp;J494&amp;"|"&amp;K494&amp;"|"&amp;L494&amp;"|"&amp;M494&amp;"|"&amp;N494</f>
        <v>ORD11993|2025-09-15|11:26|C0153|Spice Junction|Bengaluru|North Indian|3|245|0|Wallet|Cancelled||</v>
      </c>
      <c r="P494" s="7" t="str">
        <f aca="false">IF(COUNTIF($O$2:O494,O494)&gt;1,"DUP","OK")</f>
        <v>OK</v>
      </c>
      <c r="Q494" s="7" t="n">
        <f aca="false">COUNTBLANK(A494:N494)</f>
        <v>2</v>
      </c>
      <c r="R494" s="7" t="n">
        <f aca="false">IF(A494="",0,COUNTIFS($A$2:$A$3058,A494,$P$2:$P$3058,"OK"))</f>
        <v>1</v>
      </c>
      <c r="S494" s="7" t="str">
        <f aca="false">IF(OR(A494="",P494="DUP",R494&lt;2),"",IF(Q494=_xlfn.MINIFS($Q$2:$Q$3058,$A$2:$A$3058,A494,$P$2:$P$3058,"OK"),"KEEP","DROP"))</f>
        <v/>
      </c>
      <c r="T494" s="9" t="n">
        <f aca="false">IF(A494="",1,0)</f>
        <v>0</v>
      </c>
      <c r="U494" s="9" t="n">
        <f aca="false">IF(D494="",1,0)</f>
        <v>0</v>
      </c>
      <c r="V494" s="9" t="n">
        <f aca="false">IF(E494="",1,0)</f>
        <v>0</v>
      </c>
      <c r="W494" s="9" t="n">
        <f aca="false">IF(OR(H494&lt;1,H494&gt;10),1,0)</f>
        <v>0</v>
      </c>
      <c r="X494" s="9" t="n">
        <f aca="false">IF(OR(I494&lt;=0,I494&gt;1500),1,0)</f>
        <v>0</v>
      </c>
      <c r="Y494" s="9" t="n">
        <f aca="false">IF(J494&gt;H494*I494,1,0)</f>
        <v>0</v>
      </c>
      <c r="Z494" s="9" t="n">
        <f aca="false">IF(AND(N494&lt;&gt;"",OR(N494&lt;1,N494&gt;5)),1,0)</f>
        <v>0</v>
      </c>
      <c r="AA494" s="9" t="n">
        <f aca="false">IF(AND(M494&lt;&gt;"",OR(M494&lt;5,M494&gt;180)),1,0)</f>
        <v>0</v>
      </c>
      <c r="AB494" s="7" t="str">
        <f aca="false">IF(P494="DUP","Exact duplicate row",IF(T494=1,"Missing Order ID",IF(S494="DROP","Duplicate Order ID (less complete row)",IF(U494=1,"Missing Customer ID",IF(V494=1,"Missing Restaurant name",IF(W494=1,"Invalid/outlier quantity",IF(X494=1,"Invalid/outlier unit price",IF(Y494=1,"Discount greater than order value",""))))))))</f>
        <v/>
      </c>
      <c r="AC494" s="7" t="str">
        <f aca="false">IF(AB494="","KEEP","DROP")</f>
        <v>KEEP</v>
      </c>
      <c r="AD494" s="7" t="str">
        <f aca="false">IF(TRIM(F494)="",IFERROR(INDEX(Map_Tables!$I$4:$I$37,MATCH(TRIM(E494),Map_Tables!$G$4:$G$37,0)),""),IFERROR(INDEX(Map_Tables!$B$4:$B$18,MATCH(TRIM(F494),Map_Tables!$A$4:$A$18,0)),"CHECK"))</f>
        <v>Bengaluru</v>
      </c>
      <c r="AE494" s="7" t="str">
        <f aca="false">IF(TRIM(E494)="","",IFERROR(INDEX(Map_Tables!$H$4:$H$37,MATCH(TRIM(E494),Map_Tables!$G$4:$G$37,0)),"CHECK"))</f>
        <v>Spice Junction</v>
      </c>
      <c r="AF494" s="7" t="str">
        <f aca="false">IF(TRIM(K494)="","Unknown",IFERROR(INDEX(Map_Tables!$E$4:$E$15,MATCH(TRIM(K494),Map_Tables!$D$4:$D$15,0)),"CHECK"))</f>
        <v>Wallet</v>
      </c>
      <c r="AG494" s="7" t="str">
        <f aca="false">IF(LEFT(LOWER(TRIM(L494)),6)="cancel","Cancelled","Delivered")</f>
        <v>Cancelled</v>
      </c>
      <c r="AH494" s="10" t="n">
        <f aca="false">IF(ISNUMBER(SEARCH("/",B494)),DATE(VALUE(RIGHT(B494,4)),VALUE(MID(B494,4,2)),VALUE(LEFT(B494,2))),IF(MID(B494,5,1)="-",DATE(VALUE(LEFT(B494,4)),VALUE(MID(B494,6,2)),VALUE(RIGHT(B494,2))),DATE(VALUE(RIGHT(B494,4)),MATCH(MID(B494,4,3),{"Jan","Feb","Mar","Apr","May","Jun","Jul","Aug","Sep","Oct","Nov","Dec"},0),VALUE(LEFT(B494,2)))))</f>
        <v>45915</v>
      </c>
    </row>
    <row r="495" customFormat="false" ht="15" hidden="false" customHeight="false" outlineLevel="0" collapsed="false">
      <c r="A495" s="7" t="s">
        <v>1847</v>
      </c>
      <c r="B495" s="7" t="s">
        <v>1848</v>
      </c>
      <c r="C495" s="7" t="s">
        <v>1526</v>
      </c>
      <c r="D495" s="7" t="s">
        <v>1849</v>
      </c>
      <c r="E495" s="7" t="s">
        <v>167</v>
      </c>
      <c r="F495" s="7" t="s">
        <v>146</v>
      </c>
      <c r="G495" s="7" t="s">
        <v>156</v>
      </c>
      <c r="H495" s="7" t="n">
        <v>4</v>
      </c>
      <c r="I495" s="7" t="n">
        <v>290</v>
      </c>
      <c r="J495" s="7" t="n">
        <v>0</v>
      </c>
      <c r="K495" s="7" t="s">
        <v>93</v>
      </c>
      <c r="L495" s="7" t="s">
        <v>220</v>
      </c>
      <c r="M495" s="7" t="n">
        <v>36</v>
      </c>
      <c r="N495" s="7" t="n">
        <v>4</v>
      </c>
      <c r="O495" s="7" t="str">
        <f aca="false">A495&amp;"|"&amp;B495&amp;"|"&amp;C495&amp;"|"&amp;D495&amp;"|"&amp;E495&amp;"|"&amp;F495&amp;"|"&amp;G495&amp;"|"&amp;H495&amp;"|"&amp;I495&amp;"|"&amp;J495&amp;"|"&amp;K495&amp;"|"&amp;L495&amp;"|"&amp;M495&amp;"|"&amp;N495</f>
        <v>ORD11579|2025-07-25|13:26|C0547|Fit Fuel Kitchen|Ahmedabad|Healthy Food|4|290|0|Credit Card|DELIVERED|36|4</v>
      </c>
      <c r="P495" s="7" t="str">
        <f aca="false">IF(COUNTIF($O$2:O495,O495)&gt;1,"DUP","OK")</f>
        <v>OK</v>
      </c>
      <c r="Q495" s="7" t="n">
        <f aca="false">COUNTBLANK(A495:N495)</f>
        <v>0</v>
      </c>
      <c r="R495" s="7" t="n">
        <f aca="false">IF(A495="",0,COUNTIFS($A$2:$A$3058,A495,$P$2:$P$3058,"OK"))</f>
        <v>1</v>
      </c>
      <c r="S495" s="7" t="str">
        <f aca="false">IF(OR(A495="",P495="DUP",R495&lt;2),"",IF(Q495=_xlfn.MINIFS($Q$2:$Q$3058,$A$2:$A$3058,A495,$P$2:$P$3058,"OK"),"KEEP","DROP"))</f>
        <v/>
      </c>
      <c r="T495" s="9" t="n">
        <f aca="false">IF(A495="",1,0)</f>
        <v>0</v>
      </c>
      <c r="U495" s="9" t="n">
        <f aca="false">IF(D495="",1,0)</f>
        <v>0</v>
      </c>
      <c r="V495" s="9" t="n">
        <f aca="false">IF(E495="",1,0)</f>
        <v>0</v>
      </c>
      <c r="W495" s="9" t="n">
        <f aca="false">IF(OR(H495&lt;1,H495&gt;10),1,0)</f>
        <v>0</v>
      </c>
      <c r="X495" s="9" t="n">
        <f aca="false">IF(OR(I495&lt;=0,I495&gt;1500),1,0)</f>
        <v>0</v>
      </c>
      <c r="Y495" s="9" t="n">
        <f aca="false">IF(J495&gt;H495*I495,1,0)</f>
        <v>0</v>
      </c>
      <c r="Z495" s="9" t="n">
        <f aca="false">IF(AND(N495&lt;&gt;"",OR(N495&lt;1,N495&gt;5)),1,0)</f>
        <v>0</v>
      </c>
      <c r="AA495" s="9" t="n">
        <f aca="false">IF(AND(M495&lt;&gt;"",OR(M495&lt;5,M495&gt;180)),1,0)</f>
        <v>0</v>
      </c>
      <c r="AB495" s="7" t="str">
        <f aca="false">IF(P495="DUP","Exact duplicate row",IF(T495=1,"Missing Order ID",IF(S495="DROP","Duplicate Order ID (less complete row)",IF(U495=1,"Missing Customer ID",IF(V495=1,"Missing Restaurant name",IF(W495=1,"Invalid/outlier quantity",IF(X495=1,"Invalid/outlier unit price",IF(Y495=1,"Discount greater than order value",""))))))))</f>
        <v/>
      </c>
      <c r="AC495" s="7" t="str">
        <f aca="false">IF(AB495="","KEEP","DROP")</f>
        <v>KEEP</v>
      </c>
      <c r="AD495" s="7" t="str">
        <f aca="false">IF(TRIM(F495)="",IFERROR(INDEX(Map_Tables!$I$4:$I$37,MATCH(TRIM(E495),Map_Tables!$G$4:$G$37,0)),""),IFERROR(INDEX(Map_Tables!$B$4:$B$18,MATCH(TRIM(F495),Map_Tables!$A$4:$A$18,0)),"CHECK"))</f>
        <v>Ahmedabad</v>
      </c>
      <c r="AE495" s="7" t="str">
        <f aca="false">IF(TRIM(E495)="","",IFERROR(INDEX(Map_Tables!$H$4:$H$37,MATCH(TRIM(E495),Map_Tables!$G$4:$G$37,0)),"CHECK"))</f>
        <v>Fit Fuel Kitchen</v>
      </c>
      <c r="AF495" s="7" t="str">
        <f aca="false">IF(TRIM(K495)="","Unknown",IFERROR(INDEX(Map_Tables!$E$4:$E$15,MATCH(TRIM(K495),Map_Tables!$D$4:$D$15,0)),"CHECK"))</f>
        <v>Credit Card</v>
      </c>
      <c r="AG495" s="7" t="str">
        <f aca="false">IF(LEFT(LOWER(TRIM(L495)),6)="cancel","Cancelled","Delivered")</f>
        <v>Delivered</v>
      </c>
      <c r="AH495" s="10" t="n">
        <f aca="false">IF(ISNUMBER(SEARCH("/",B495)),DATE(VALUE(RIGHT(B495,4)),VALUE(MID(B495,4,2)),VALUE(LEFT(B495,2))),IF(MID(B495,5,1)="-",DATE(VALUE(LEFT(B495,4)),VALUE(MID(B495,6,2)),VALUE(RIGHT(B495,2))),DATE(VALUE(RIGHT(B495,4)),MATCH(MID(B495,4,3),{"Jan","Feb","Mar","Apr","May","Jun","Jul","Aug","Sep","Oct","Nov","Dec"},0),VALUE(LEFT(B495,2)))))</f>
        <v>45863</v>
      </c>
    </row>
    <row r="496" customFormat="false" ht="15" hidden="false" customHeight="false" outlineLevel="0" collapsed="false">
      <c r="A496" s="7" t="s">
        <v>1850</v>
      </c>
      <c r="B496" s="7" t="s">
        <v>1851</v>
      </c>
      <c r="C496" s="7" t="s">
        <v>1852</v>
      </c>
      <c r="D496" s="7" t="s">
        <v>982</v>
      </c>
      <c r="E496" s="7" t="s">
        <v>113</v>
      </c>
      <c r="F496" s="7" t="s">
        <v>101</v>
      </c>
      <c r="G496" s="7" t="s">
        <v>90</v>
      </c>
      <c r="H496" s="7" t="n">
        <v>2</v>
      </c>
      <c r="I496" s="7" t="n">
        <v>270</v>
      </c>
      <c r="J496" s="7" t="n">
        <v>75</v>
      </c>
      <c r="K496" s="7" t="s">
        <v>88</v>
      </c>
      <c r="L496" s="7" t="s">
        <v>194</v>
      </c>
      <c r="M496" s="7" t="n">
        <v>46</v>
      </c>
      <c r="N496" s="7" t="n">
        <v>3</v>
      </c>
      <c r="O496" s="7" t="str">
        <f aca="false">A496&amp;"|"&amp;B496&amp;"|"&amp;C496&amp;"|"&amp;D496&amp;"|"&amp;E496&amp;"|"&amp;F496&amp;"|"&amp;G496&amp;"|"&amp;H496&amp;"|"&amp;I496&amp;"|"&amp;J496&amp;"|"&amp;K496&amp;"|"&amp;L496&amp;"|"&amp;M496&amp;"|"&amp;N496</f>
        <v>ORD10268|05/02/2025|19:54|C1144|Curry Leaf Kitchen|Mumbai|North Indian|2|270|75|UPI|Delivered|46|3</v>
      </c>
      <c r="P496" s="7" t="str">
        <f aca="false">IF(COUNTIF($O$2:O496,O496)&gt;1,"DUP","OK")</f>
        <v>OK</v>
      </c>
      <c r="Q496" s="7" t="n">
        <f aca="false">COUNTBLANK(A496:N496)</f>
        <v>0</v>
      </c>
      <c r="R496" s="7" t="n">
        <f aca="false">IF(A496="",0,COUNTIFS($A$2:$A$3058,A496,$P$2:$P$3058,"OK"))</f>
        <v>1</v>
      </c>
      <c r="S496" s="7" t="str">
        <f aca="false">IF(OR(A496="",P496="DUP",R496&lt;2),"",IF(Q496=_xlfn.MINIFS($Q$2:$Q$3058,$A$2:$A$3058,A496,$P$2:$P$3058,"OK"),"KEEP","DROP"))</f>
        <v/>
      </c>
      <c r="T496" s="9" t="n">
        <f aca="false">IF(A496="",1,0)</f>
        <v>0</v>
      </c>
      <c r="U496" s="9" t="n">
        <f aca="false">IF(D496="",1,0)</f>
        <v>0</v>
      </c>
      <c r="V496" s="9" t="n">
        <f aca="false">IF(E496="",1,0)</f>
        <v>0</v>
      </c>
      <c r="W496" s="9" t="n">
        <f aca="false">IF(OR(H496&lt;1,H496&gt;10),1,0)</f>
        <v>0</v>
      </c>
      <c r="X496" s="9" t="n">
        <f aca="false">IF(OR(I496&lt;=0,I496&gt;1500),1,0)</f>
        <v>0</v>
      </c>
      <c r="Y496" s="9" t="n">
        <f aca="false">IF(J496&gt;H496*I496,1,0)</f>
        <v>0</v>
      </c>
      <c r="Z496" s="9" t="n">
        <f aca="false">IF(AND(N496&lt;&gt;"",OR(N496&lt;1,N496&gt;5)),1,0)</f>
        <v>0</v>
      </c>
      <c r="AA496" s="9" t="n">
        <f aca="false">IF(AND(M496&lt;&gt;"",OR(M496&lt;5,M496&gt;180)),1,0)</f>
        <v>0</v>
      </c>
      <c r="AB496" s="7" t="str">
        <f aca="false">IF(P496="DUP","Exact duplicate row",IF(T496=1,"Missing Order ID",IF(S496="DROP","Duplicate Order ID (less complete row)",IF(U496=1,"Missing Customer ID",IF(V496=1,"Missing Restaurant name",IF(W496=1,"Invalid/outlier quantity",IF(X496=1,"Invalid/outlier unit price",IF(Y496=1,"Discount greater than order value",""))))))))</f>
        <v/>
      </c>
      <c r="AC496" s="7" t="str">
        <f aca="false">IF(AB496="","KEEP","DROP")</f>
        <v>KEEP</v>
      </c>
      <c r="AD496" s="7" t="str">
        <f aca="false">IF(TRIM(F496)="",IFERROR(INDEX(Map_Tables!$I$4:$I$37,MATCH(TRIM(E496),Map_Tables!$G$4:$G$37,0)),""),IFERROR(INDEX(Map_Tables!$B$4:$B$18,MATCH(TRIM(F496),Map_Tables!$A$4:$A$18,0)),"CHECK"))</f>
        <v>Mumbai</v>
      </c>
      <c r="AE496" s="7" t="str">
        <f aca="false">IF(TRIM(E496)="","",IFERROR(INDEX(Map_Tables!$H$4:$H$37,MATCH(TRIM(E496),Map_Tables!$G$4:$G$37,0)),"CHECK"))</f>
        <v>Curry Leaf Kitchen</v>
      </c>
      <c r="AF496" s="7" t="str">
        <f aca="false">IF(TRIM(K496)="","Unknown",IFERROR(INDEX(Map_Tables!$E$4:$E$15,MATCH(TRIM(K496),Map_Tables!$D$4:$D$15,0)),"CHECK"))</f>
        <v>UPI</v>
      </c>
      <c r="AG496" s="7" t="str">
        <f aca="false">IF(LEFT(LOWER(TRIM(L496)),6)="cancel","Cancelled","Delivered")</f>
        <v>Delivered</v>
      </c>
      <c r="AH496" s="10" t="n">
        <f aca="false">IF(ISNUMBER(SEARCH("/",B496)),DATE(VALUE(RIGHT(B496,4)),VALUE(MID(B496,4,2)),VALUE(LEFT(B496,2))),IF(MID(B496,5,1)="-",DATE(VALUE(LEFT(B496,4)),VALUE(MID(B496,6,2)),VALUE(RIGHT(B496,2))),DATE(VALUE(RIGHT(B496,4)),MATCH(MID(B496,4,3),{"Jan","Feb","Mar","Apr","May","Jun","Jul","Aug","Sep","Oct","Nov","Dec"},0),VALUE(LEFT(B496,2)))))</f>
        <v>45693</v>
      </c>
    </row>
    <row r="497" customFormat="false" ht="15" hidden="false" customHeight="false" outlineLevel="0" collapsed="false">
      <c r="A497" s="7" t="s">
        <v>1853</v>
      </c>
      <c r="B497" s="7" t="s">
        <v>1854</v>
      </c>
      <c r="C497" s="7" t="s">
        <v>1855</v>
      </c>
      <c r="D497" s="7" t="s">
        <v>1856</v>
      </c>
      <c r="E497" s="7" t="s">
        <v>134</v>
      </c>
      <c r="F497" s="7" t="s">
        <v>110</v>
      </c>
      <c r="G497" s="7" t="s">
        <v>117</v>
      </c>
      <c r="H497" s="7" t="n">
        <v>1</v>
      </c>
      <c r="I497" s="7" t="n">
        <v>90</v>
      </c>
      <c r="J497" s="7" t="n">
        <v>0</v>
      </c>
      <c r="K497" s="7" t="s">
        <v>88</v>
      </c>
      <c r="L497" s="7" t="s">
        <v>194</v>
      </c>
      <c r="M497" s="7" t="n">
        <v>51</v>
      </c>
      <c r="N497" s="7" t="n">
        <v>5</v>
      </c>
      <c r="O497" s="7" t="str">
        <f aca="false">A497&amp;"|"&amp;B497&amp;"|"&amp;C497&amp;"|"&amp;D497&amp;"|"&amp;E497&amp;"|"&amp;F497&amp;"|"&amp;G497&amp;"|"&amp;H497&amp;"|"&amp;I497&amp;"|"&amp;J497&amp;"|"&amp;K497&amp;"|"&amp;L497&amp;"|"&amp;M497&amp;"|"&amp;N497</f>
        <v>ORD11743|16/08/2025|14:57|C0266|Chaat Corner|Delhi|Street Food|1|90|0|UPI|Delivered|51|5</v>
      </c>
      <c r="P497" s="7" t="str">
        <f aca="false">IF(COUNTIF($O$2:O497,O497)&gt;1,"DUP","OK")</f>
        <v>OK</v>
      </c>
      <c r="Q497" s="7" t="n">
        <f aca="false">COUNTBLANK(A497:N497)</f>
        <v>0</v>
      </c>
      <c r="R497" s="7" t="n">
        <f aca="false">IF(A497="",0,COUNTIFS($A$2:$A$3058,A497,$P$2:$P$3058,"OK"))</f>
        <v>1</v>
      </c>
      <c r="S497" s="7" t="str">
        <f aca="false">IF(OR(A497="",P497="DUP",R497&lt;2),"",IF(Q497=_xlfn.MINIFS($Q$2:$Q$3058,$A$2:$A$3058,A497,$P$2:$P$3058,"OK"),"KEEP","DROP"))</f>
        <v/>
      </c>
      <c r="T497" s="9" t="n">
        <f aca="false">IF(A497="",1,0)</f>
        <v>0</v>
      </c>
      <c r="U497" s="9" t="n">
        <f aca="false">IF(D497="",1,0)</f>
        <v>0</v>
      </c>
      <c r="V497" s="9" t="n">
        <f aca="false">IF(E497="",1,0)</f>
        <v>0</v>
      </c>
      <c r="W497" s="9" t="n">
        <f aca="false">IF(OR(H497&lt;1,H497&gt;10),1,0)</f>
        <v>0</v>
      </c>
      <c r="X497" s="9" t="n">
        <f aca="false">IF(OR(I497&lt;=0,I497&gt;1500),1,0)</f>
        <v>0</v>
      </c>
      <c r="Y497" s="9" t="n">
        <f aca="false">IF(J497&gt;H497*I497,1,0)</f>
        <v>0</v>
      </c>
      <c r="Z497" s="9" t="n">
        <f aca="false">IF(AND(N497&lt;&gt;"",OR(N497&lt;1,N497&gt;5)),1,0)</f>
        <v>0</v>
      </c>
      <c r="AA497" s="9" t="n">
        <f aca="false">IF(AND(M497&lt;&gt;"",OR(M497&lt;5,M497&gt;180)),1,0)</f>
        <v>0</v>
      </c>
      <c r="AB497" s="7" t="str">
        <f aca="false">IF(P497="DUP","Exact duplicate row",IF(T497=1,"Missing Order ID",IF(S497="DROP","Duplicate Order ID (less complete row)",IF(U497=1,"Missing Customer ID",IF(V497=1,"Missing Restaurant name",IF(W497=1,"Invalid/outlier quantity",IF(X497=1,"Invalid/outlier unit price",IF(Y497=1,"Discount greater than order value",""))))))))</f>
        <v/>
      </c>
      <c r="AC497" s="7" t="str">
        <f aca="false">IF(AB497="","KEEP","DROP")</f>
        <v>KEEP</v>
      </c>
      <c r="AD497" s="7" t="str">
        <f aca="false">IF(TRIM(F497)="",IFERROR(INDEX(Map_Tables!$I$4:$I$37,MATCH(TRIM(E497),Map_Tables!$G$4:$G$37,0)),""),IFERROR(INDEX(Map_Tables!$B$4:$B$18,MATCH(TRIM(F497),Map_Tables!$A$4:$A$18,0)),"CHECK"))</f>
        <v>Delhi</v>
      </c>
      <c r="AE497" s="7" t="str">
        <f aca="false">IF(TRIM(E497)="","",IFERROR(INDEX(Map_Tables!$H$4:$H$37,MATCH(TRIM(E497),Map_Tables!$G$4:$G$37,0)),"CHECK"))</f>
        <v>Chaat Corner</v>
      </c>
      <c r="AF497" s="7" t="str">
        <f aca="false">IF(TRIM(K497)="","Unknown",IFERROR(INDEX(Map_Tables!$E$4:$E$15,MATCH(TRIM(K497),Map_Tables!$D$4:$D$15,0)),"CHECK"))</f>
        <v>UPI</v>
      </c>
      <c r="AG497" s="7" t="str">
        <f aca="false">IF(LEFT(LOWER(TRIM(L497)),6)="cancel","Cancelled","Delivered")</f>
        <v>Delivered</v>
      </c>
      <c r="AH497" s="10" t="n">
        <f aca="false">IF(ISNUMBER(SEARCH("/",B497)),DATE(VALUE(RIGHT(B497,4)),VALUE(MID(B497,4,2)),VALUE(LEFT(B497,2))),IF(MID(B497,5,1)="-",DATE(VALUE(LEFT(B497,4)),VALUE(MID(B497,6,2)),VALUE(RIGHT(B497,2))),DATE(VALUE(RIGHT(B497,4)),MATCH(MID(B497,4,3),{"Jan","Feb","Mar","Apr","May","Jun","Jul","Aug","Sep","Oct","Nov","Dec"},0),VALUE(LEFT(B497,2)))))</f>
        <v>45885</v>
      </c>
    </row>
    <row r="498" customFormat="false" ht="15" hidden="false" customHeight="false" outlineLevel="0" collapsed="false">
      <c r="A498" s="7" t="s">
        <v>1857</v>
      </c>
      <c r="B498" s="7" t="s">
        <v>427</v>
      </c>
      <c r="C498" s="7" t="s">
        <v>1858</v>
      </c>
      <c r="D498" s="7" t="s">
        <v>1859</v>
      </c>
      <c r="E498" s="7" t="s">
        <v>89</v>
      </c>
      <c r="F498" s="7" t="s">
        <v>86</v>
      </c>
      <c r="G498" s="7" t="s">
        <v>90</v>
      </c>
      <c r="H498" s="7" t="n">
        <v>1</v>
      </c>
      <c r="I498" s="7" t="n">
        <v>220</v>
      </c>
      <c r="J498" s="7" t="n">
        <v>40</v>
      </c>
      <c r="K498" s="7" t="s">
        <v>88</v>
      </c>
      <c r="L498" s="7" t="s">
        <v>194</v>
      </c>
      <c r="M498" s="7" t="n">
        <v>41</v>
      </c>
      <c r="N498" s="7" t="n">
        <v>4</v>
      </c>
      <c r="O498" s="7" t="str">
        <f aca="false">A498&amp;"|"&amp;B498&amp;"|"&amp;C498&amp;"|"&amp;D498&amp;"|"&amp;E498&amp;"|"&amp;F498&amp;"|"&amp;G498&amp;"|"&amp;H498&amp;"|"&amp;I498&amp;"|"&amp;J498&amp;"|"&amp;K498&amp;"|"&amp;L498&amp;"|"&amp;M498&amp;"|"&amp;N498</f>
        <v>ORD11813|2025-08-25|09:14|C1235|Spice Junction|Bengaluru|North Indian|1|220|40|UPI|Delivered|41|4</v>
      </c>
      <c r="P498" s="7" t="str">
        <f aca="false">IF(COUNTIF($O$2:O498,O498)&gt;1,"DUP","OK")</f>
        <v>OK</v>
      </c>
      <c r="Q498" s="7" t="n">
        <f aca="false">COUNTBLANK(A498:N498)</f>
        <v>0</v>
      </c>
      <c r="R498" s="7" t="n">
        <f aca="false">IF(A498="",0,COUNTIFS($A$2:$A$3058,A498,$P$2:$P$3058,"OK"))</f>
        <v>1</v>
      </c>
      <c r="S498" s="7" t="str">
        <f aca="false">IF(OR(A498="",P498="DUP",R498&lt;2),"",IF(Q498=_xlfn.MINIFS($Q$2:$Q$3058,$A$2:$A$3058,A498,$P$2:$P$3058,"OK"),"KEEP","DROP"))</f>
        <v/>
      </c>
      <c r="T498" s="9" t="n">
        <f aca="false">IF(A498="",1,0)</f>
        <v>0</v>
      </c>
      <c r="U498" s="9" t="n">
        <f aca="false">IF(D498="",1,0)</f>
        <v>0</v>
      </c>
      <c r="V498" s="9" t="n">
        <f aca="false">IF(E498="",1,0)</f>
        <v>0</v>
      </c>
      <c r="W498" s="9" t="n">
        <f aca="false">IF(OR(H498&lt;1,H498&gt;10),1,0)</f>
        <v>0</v>
      </c>
      <c r="X498" s="9" t="n">
        <f aca="false">IF(OR(I498&lt;=0,I498&gt;1500),1,0)</f>
        <v>0</v>
      </c>
      <c r="Y498" s="9" t="n">
        <f aca="false">IF(J498&gt;H498*I498,1,0)</f>
        <v>0</v>
      </c>
      <c r="Z498" s="9" t="n">
        <f aca="false">IF(AND(N498&lt;&gt;"",OR(N498&lt;1,N498&gt;5)),1,0)</f>
        <v>0</v>
      </c>
      <c r="AA498" s="9" t="n">
        <f aca="false">IF(AND(M498&lt;&gt;"",OR(M498&lt;5,M498&gt;180)),1,0)</f>
        <v>0</v>
      </c>
      <c r="AB498" s="7" t="str">
        <f aca="false">IF(P498="DUP","Exact duplicate row",IF(T498=1,"Missing Order ID",IF(S498="DROP","Duplicate Order ID (less complete row)",IF(U498=1,"Missing Customer ID",IF(V498=1,"Missing Restaurant name",IF(W498=1,"Invalid/outlier quantity",IF(X498=1,"Invalid/outlier unit price",IF(Y498=1,"Discount greater than order value",""))))))))</f>
        <v/>
      </c>
      <c r="AC498" s="7" t="str">
        <f aca="false">IF(AB498="","KEEP","DROP")</f>
        <v>KEEP</v>
      </c>
      <c r="AD498" s="7" t="str">
        <f aca="false">IF(TRIM(F498)="",IFERROR(INDEX(Map_Tables!$I$4:$I$37,MATCH(TRIM(E498),Map_Tables!$G$4:$G$37,0)),""),IFERROR(INDEX(Map_Tables!$B$4:$B$18,MATCH(TRIM(F498),Map_Tables!$A$4:$A$18,0)),"CHECK"))</f>
        <v>Bengaluru</v>
      </c>
      <c r="AE498" s="7" t="str">
        <f aca="false">IF(TRIM(E498)="","",IFERROR(INDEX(Map_Tables!$H$4:$H$37,MATCH(TRIM(E498),Map_Tables!$G$4:$G$37,0)),"CHECK"))</f>
        <v>Spice Junction</v>
      </c>
      <c r="AF498" s="7" t="str">
        <f aca="false">IF(TRIM(K498)="","Unknown",IFERROR(INDEX(Map_Tables!$E$4:$E$15,MATCH(TRIM(K498),Map_Tables!$D$4:$D$15,0)),"CHECK"))</f>
        <v>UPI</v>
      </c>
      <c r="AG498" s="7" t="str">
        <f aca="false">IF(LEFT(LOWER(TRIM(L498)),6)="cancel","Cancelled","Delivered")</f>
        <v>Delivered</v>
      </c>
      <c r="AH498" s="10" t="n">
        <f aca="false">IF(ISNUMBER(SEARCH("/",B498)),DATE(VALUE(RIGHT(B498,4)),VALUE(MID(B498,4,2)),VALUE(LEFT(B498,2))),IF(MID(B498,5,1)="-",DATE(VALUE(LEFT(B498,4)),VALUE(MID(B498,6,2)),VALUE(RIGHT(B498,2))),DATE(VALUE(RIGHT(B498,4)),MATCH(MID(B498,4,3),{"Jan","Feb","Mar","Apr","May","Jun","Jul","Aug","Sep","Oct","Nov","Dec"},0),VALUE(LEFT(B498,2)))))</f>
        <v>45894</v>
      </c>
    </row>
    <row r="499" customFormat="false" ht="15" hidden="false" customHeight="false" outlineLevel="0" collapsed="false">
      <c r="A499" s="7" t="s">
        <v>1860</v>
      </c>
      <c r="B499" s="7" t="s">
        <v>1393</v>
      </c>
      <c r="C499" s="7" t="s">
        <v>1036</v>
      </c>
      <c r="D499" s="7" t="s">
        <v>1861</v>
      </c>
      <c r="E499" s="7" t="s">
        <v>1862</v>
      </c>
      <c r="F499" s="7" t="s">
        <v>86</v>
      </c>
      <c r="G499" s="7" t="s">
        <v>90</v>
      </c>
      <c r="H499" s="7" t="n">
        <v>2</v>
      </c>
      <c r="I499" s="7" t="n">
        <v>220</v>
      </c>
      <c r="J499" s="7" t="n">
        <v>30</v>
      </c>
      <c r="K499" s="7" t="s">
        <v>88</v>
      </c>
      <c r="L499" s="7" t="s">
        <v>194</v>
      </c>
      <c r="M499" s="7" t="n">
        <v>42</v>
      </c>
      <c r="N499" s="7" t="n">
        <v>3</v>
      </c>
      <c r="O499" s="7" t="str">
        <f aca="false">A499&amp;"|"&amp;B499&amp;"|"&amp;C499&amp;"|"&amp;D499&amp;"|"&amp;E499&amp;"|"&amp;F499&amp;"|"&amp;G499&amp;"|"&amp;H499&amp;"|"&amp;I499&amp;"|"&amp;J499&amp;"|"&amp;K499&amp;"|"&amp;L499&amp;"|"&amp;M499&amp;"|"&amp;N499</f>
        <v>ORD10515|2025-03-08|15:54|C1388|Spice Junction |Bengaluru|North Indian|2|220|30|UPI|Delivered|42|3</v>
      </c>
      <c r="P499" s="7" t="str">
        <f aca="false">IF(COUNTIF($O$2:O499,O499)&gt;1,"DUP","OK")</f>
        <v>OK</v>
      </c>
      <c r="Q499" s="7" t="n">
        <f aca="false">COUNTBLANK(A499:N499)</f>
        <v>0</v>
      </c>
      <c r="R499" s="7" t="n">
        <f aca="false">IF(A499="",0,COUNTIFS($A$2:$A$3058,A499,$P$2:$P$3058,"OK"))</f>
        <v>1</v>
      </c>
      <c r="S499" s="7" t="str">
        <f aca="false">IF(OR(A499="",P499="DUP",R499&lt;2),"",IF(Q499=_xlfn.MINIFS($Q$2:$Q$3058,$A$2:$A$3058,A499,$P$2:$P$3058,"OK"),"KEEP","DROP"))</f>
        <v/>
      </c>
      <c r="T499" s="9" t="n">
        <f aca="false">IF(A499="",1,0)</f>
        <v>0</v>
      </c>
      <c r="U499" s="9" t="n">
        <f aca="false">IF(D499="",1,0)</f>
        <v>0</v>
      </c>
      <c r="V499" s="9" t="n">
        <f aca="false">IF(E499="",1,0)</f>
        <v>0</v>
      </c>
      <c r="W499" s="9" t="n">
        <f aca="false">IF(OR(H499&lt;1,H499&gt;10),1,0)</f>
        <v>0</v>
      </c>
      <c r="X499" s="9" t="n">
        <f aca="false">IF(OR(I499&lt;=0,I499&gt;1500),1,0)</f>
        <v>0</v>
      </c>
      <c r="Y499" s="9" t="n">
        <f aca="false">IF(J499&gt;H499*I499,1,0)</f>
        <v>0</v>
      </c>
      <c r="Z499" s="9" t="n">
        <f aca="false">IF(AND(N499&lt;&gt;"",OR(N499&lt;1,N499&gt;5)),1,0)</f>
        <v>0</v>
      </c>
      <c r="AA499" s="9" t="n">
        <f aca="false">IF(AND(M499&lt;&gt;"",OR(M499&lt;5,M499&gt;180)),1,0)</f>
        <v>0</v>
      </c>
      <c r="AB499" s="7" t="str">
        <f aca="false">IF(P499="DUP","Exact duplicate row",IF(T499=1,"Missing Order ID",IF(S499="DROP","Duplicate Order ID (less complete row)",IF(U499=1,"Missing Customer ID",IF(V499=1,"Missing Restaurant name",IF(W499=1,"Invalid/outlier quantity",IF(X499=1,"Invalid/outlier unit price",IF(Y499=1,"Discount greater than order value",""))))))))</f>
        <v/>
      </c>
      <c r="AC499" s="7" t="str">
        <f aca="false">IF(AB499="","KEEP","DROP")</f>
        <v>KEEP</v>
      </c>
      <c r="AD499" s="7" t="str">
        <f aca="false">IF(TRIM(F499)="",IFERROR(INDEX(Map_Tables!$I$4:$I$37,MATCH(TRIM(E499),Map_Tables!$G$4:$G$37,0)),""),IFERROR(INDEX(Map_Tables!$B$4:$B$18,MATCH(TRIM(F499),Map_Tables!$A$4:$A$18,0)),"CHECK"))</f>
        <v>Bengaluru</v>
      </c>
      <c r="AE499" s="7" t="str">
        <f aca="false">IF(TRIM(E499)="","",IFERROR(INDEX(Map_Tables!$H$4:$H$37,MATCH(TRIM(E499),Map_Tables!$G$4:$G$37,0)),"CHECK"))</f>
        <v>Spice Junction</v>
      </c>
      <c r="AF499" s="7" t="str">
        <f aca="false">IF(TRIM(K499)="","Unknown",IFERROR(INDEX(Map_Tables!$E$4:$E$15,MATCH(TRIM(K499),Map_Tables!$D$4:$D$15,0)),"CHECK"))</f>
        <v>UPI</v>
      </c>
      <c r="AG499" s="7" t="str">
        <f aca="false">IF(LEFT(LOWER(TRIM(L499)),6)="cancel","Cancelled","Delivered")</f>
        <v>Delivered</v>
      </c>
      <c r="AH499" s="10" t="n">
        <f aca="false">IF(ISNUMBER(SEARCH("/",B499)),DATE(VALUE(RIGHT(B499,4)),VALUE(MID(B499,4,2)),VALUE(LEFT(B499,2))),IF(MID(B499,5,1)="-",DATE(VALUE(LEFT(B499,4)),VALUE(MID(B499,6,2)),VALUE(RIGHT(B499,2))),DATE(VALUE(RIGHT(B499,4)),MATCH(MID(B499,4,3),{"Jan","Feb","Mar","Apr","May","Jun","Jul","Aug","Sep","Oct","Nov","Dec"},0),VALUE(LEFT(B499,2)))))</f>
        <v>45724</v>
      </c>
    </row>
    <row r="500" customFormat="false" ht="15" hidden="false" customHeight="false" outlineLevel="0" collapsed="false">
      <c r="A500" s="7" t="s">
        <v>1863</v>
      </c>
      <c r="B500" s="7" t="s">
        <v>1312</v>
      </c>
      <c r="C500" s="7" t="s">
        <v>1864</v>
      </c>
      <c r="D500" s="7" t="s">
        <v>1865</v>
      </c>
      <c r="E500" s="7" t="s">
        <v>126</v>
      </c>
      <c r="F500" s="7" t="s">
        <v>101</v>
      </c>
      <c r="G500" s="7" t="s">
        <v>105</v>
      </c>
      <c r="H500" s="7" t="n">
        <v>1</v>
      </c>
      <c r="I500" s="7" t="n">
        <v>210</v>
      </c>
      <c r="J500" s="7" t="n">
        <v>0</v>
      </c>
      <c r="K500" s="7" t="s">
        <v>88</v>
      </c>
      <c r="L500" s="7" t="s">
        <v>194</v>
      </c>
      <c r="M500" s="7" t="n">
        <v>30</v>
      </c>
      <c r="N500" s="7" t="n">
        <v>4</v>
      </c>
      <c r="O500" s="7" t="str">
        <f aca="false">A500&amp;"|"&amp;B500&amp;"|"&amp;C500&amp;"|"&amp;D500&amp;"|"&amp;E500&amp;"|"&amp;F500&amp;"|"&amp;G500&amp;"|"&amp;H500&amp;"|"&amp;I500&amp;"|"&amp;J500&amp;"|"&amp;K500&amp;"|"&amp;L500&amp;"|"&amp;M500&amp;"|"&amp;N500</f>
        <v>ORD11099|2025-05-19|18:49|C0017|Dragon Express|Mumbai|Chinese|1|210|0|UPI|Delivered|30|4</v>
      </c>
      <c r="P500" s="7" t="str">
        <f aca="false">IF(COUNTIF($O$2:O500,O500)&gt;1,"DUP","OK")</f>
        <v>OK</v>
      </c>
      <c r="Q500" s="7" t="n">
        <f aca="false">COUNTBLANK(A500:N500)</f>
        <v>0</v>
      </c>
      <c r="R500" s="7" t="n">
        <f aca="false">IF(A500="",0,COUNTIFS($A$2:$A$3058,A500,$P$2:$P$3058,"OK"))</f>
        <v>1</v>
      </c>
      <c r="S500" s="7" t="str">
        <f aca="false">IF(OR(A500="",P500="DUP",R500&lt;2),"",IF(Q500=_xlfn.MINIFS($Q$2:$Q$3058,$A$2:$A$3058,A500,$P$2:$P$3058,"OK"),"KEEP","DROP"))</f>
        <v/>
      </c>
      <c r="T500" s="9" t="n">
        <f aca="false">IF(A500="",1,0)</f>
        <v>0</v>
      </c>
      <c r="U500" s="9" t="n">
        <f aca="false">IF(D500="",1,0)</f>
        <v>0</v>
      </c>
      <c r="V500" s="9" t="n">
        <f aca="false">IF(E500="",1,0)</f>
        <v>0</v>
      </c>
      <c r="W500" s="9" t="n">
        <f aca="false">IF(OR(H500&lt;1,H500&gt;10),1,0)</f>
        <v>0</v>
      </c>
      <c r="X500" s="9" t="n">
        <f aca="false">IF(OR(I500&lt;=0,I500&gt;1500),1,0)</f>
        <v>0</v>
      </c>
      <c r="Y500" s="9" t="n">
        <f aca="false">IF(J500&gt;H500*I500,1,0)</f>
        <v>0</v>
      </c>
      <c r="Z500" s="9" t="n">
        <f aca="false">IF(AND(N500&lt;&gt;"",OR(N500&lt;1,N500&gt;5)),1,0)</f>
        <v>0</v>
      </c>
      <c r="AA500" s="9" t="n">
        <f aca="false">IF(AND(M500&lt;&gt;"",OR(M500&lt;5,M500&gt;180)),1,0)</f>
        <v>0</v>
      </c>
      <c r="AB500" s="7" t="str">
        <f aca="false">IF(P500="DUP","Exact duplicate row",IF(T500=1,"Missing Order ID",IF(S500="DROP","Duplicate Order ID (less complete row)",IF(U500=1,"Missing Customer ID",IF(V500=1,"Missing Restaurant name",IF(W500=1,"Invalid/outlier quantity",IF(X500=1,"Invalid/outlier unit price",IF(Y500=1,"Discount greater than order value",""))))))))</f>
        <v/>
      </c>
      <c r="AC500" s="7" t="str">
        <f aca="false">IF(AB500="","KEEP","DROP")</f>
        <v>KEEP</v>
      </c>
      <c r="AD500" s="7" t="str">
        <f aca="false">IF(TRIM(F500)="",IFERROR(INDEX(Map_Tables!$I$4:$I$37,MATCH(TRIM(E500),Map_Tables!$G$4:$G$37,0)),""),IFERROR(INDEX(Map_Tables!$B$4:$B$18,MATCH(TRIM(F500),Map_Tables!$A$4:$A$18,0)),"CHECK"))</f>
        <v>Mumbai</v>
      </c>
      <c r="AE500" s="7" t="str">
        <f aca="false">IF(TRIM(E500)="","",IFERROR(INDEX(Map_Tables!$H$4:$H$37,MATCH(TRIM(E500),Map_Tables!$G$4:$G$37,0)),"CHECK"))</f>
        <v>Dragon Express</v>
      </c>
      <c r="AF500" s="7" t="str">
        <f aca="false">IF(TRIM(K500)="","Unknown",IFERROR(INDEX(Map_Tables!$E$4:$E$15,MATCH(TRIM(K500),Map_Tables!$D$4:$D$15,0)),"CHECK"))</f>
        <v>UPI</v>
      </c>
      <c r="AG500" s="7" t="str">
        <f aca="false">IF(LEFT(LOWER(TRIM(L500)),6)="cancel","Cancelled","Delivered")</f>
        <v>Delivered</v>
      </c>
      <c r="AH500" s="10" t="n">
        <f aca="false">IF(ISNUMBER(SEARCH("/",B500)),DATE(VALUE(RIGHT(B500,4)),VALUE(MID(B500,4,2)),VALUE(LEFT(B500,2))),IF(MID(B500,5,1)="-",DATE(VALUE(LEFT(B500,4)),VALUE(MID(B500,6,2)),VALUE(RIGHT(B500,2))),DATE(VALUE(RIGHT(B500,4)),MATCH(MID(B500,4,3),{"Jan","Feb","Mar","Apr","May","Jun","Jul","Aug","Sep","Oct","Nov","Dec"},0),VALUE(LEFT(B500,2)))))</f>
        <v>45796</v>
      </c>
    </row>
    <row r="501" customFormat="false" ht="15" hidden="false" customHeight="false" outlineLevel="0" collapsed="false">
      <c r="A501" s="7" t="s">
        <v>1866</v>
      </c>
      <c r="B501" s="7" t="s">
        <v>427</v>
      </c>
      <c r="C501" s="7" t="s">
        <v>1243</v>
      </c>
      <c r="D501" s="7" t="s">
        <v>1867</v>
      </c>
      <c r="E501" s="7" t="s">
        <v>113</v>
      </c>
      <c r="F501" s="7" t="s">
        <v>100</v>
      </c>
      <c r="G501" s="7" t="s">
        <v>90</v>
      </c>
      <c r="H501" s="7" t="n">
        <v>1</v>
      </c>
      <c r="I501" s="7" t="n">
        <v>260</v>
      </c>
      <c r="J501" s="7" t="n">
        <v>0</v>
      </c>
      <c r="K501" s="7" t="s">
        <v>88</v>
      </c>
      <c r="L501" s="7" t="s">
        <v>194</v>
      </c>
      <c r="M501" s="7" t="n">
        <v>50</v>
      </c>
      <c r="N501" s="7" t="n">
        <v>5</v>
      </c>
      <c r="O501" s="7" t="str">
        <f aca="false">A501&amp;"|"&amp;B501&amp;"|"&amp;C501&amp;"|"&amp;D501&amp;"|"&amp;E501&amp;"|"&amp;F501&amp;"|"&amp;G501&amp;"|"&amp;H501&amp;"|"&amp;I501&amp;"|"&amp;J501&amp;"|"&amp;K501&amp;"|"&amp;L501&amp;"|"&amp;M501&amp;"|"&amp;N501</f>
        <v>ORD11820|2025-08-25|21:46|C1364|Curry Leaf Kitchen|mumbai|North Indian|1|260|0|UPI|Delivered|50|5</v>
      </c>
      <c r="P501" s="7" t="str">
        <f aca="false">IF(COUNTIF($O$2:O501,O501)&gt;1,"DUP","OK")</f>
        <v>OK</v>
      </c>
      <c r="Q501" s="7" t="n">
        <f aca="false">COUNTBLANK(A501:N501)</f>
        <v>0</v>
      </c>
      <c r="R501" s="7" t="n">
        <f aca="false">IF(A501="",0,COUNTIFS($A$2:$A$3058,A501,$P$2:$P$3058,"OK"))</f>
        <v>2</v>
      </c>
      <c r="S501" s="7" t="str">
        <f aca="false">IF(OR(A501="",P501="DUP",R501&lt;2),"",IF(Q501=_xlfn.MINIFS($Q$2:$Q$3058,$A$2:$A$3058,A501,$P$2:$P$3058,"OK"),"KEEP","DROP"))</f>
        <v>KEEP</v>
      </c>
      <c r="T501" s="9" t="n">
        <f aca="false">IF(A501="",1,0)</f>
        <v>0</v>
      </c>
      <c r="U501" s="9" t="n">
        <f aca="false">IF(D501="",1,0)</f>
        <v>0</v>
      </c>
      <c r="V501" s="9" t="n">
        <f aca="false">IF(E501="",1,0)</f>
        <v>0</v>
      </c>
      <c r="W501" s="9" t="n">
        <f aca="false">IF(OR(H501&lt;1,H501&gt;10),1,0)</f>
        <v>0</v>
      </c>
      <c r="X501" s="9" t="n">
        <f aca="false">IF(OR(I501&lt;=0,I501&gt;1500),1,0)</f>
        <v>0</v>
      </c>
      <c r="Y501" s="9" t="n">
        <f aca="false">IF(J501&gt;H501*I501,1,0)</f>
        <v>0</v>
      </c>
      <c r="Z501" s="9" t="n">
        <f aca="false">IF(AND(N501&lt;&gt;"",OR(N501&lt;1,N501&gt;5)),1,0)</f>
        <v>0</v>
      </c>
      <c r="AA501" s="9" t="n">
        <f aca="false">IF(AND(M501&lt;&gt;"",OR(M501&lt;5,M501&gt;180)),1,0)</f>
        <v>0</v>
      </c>
      <c r="AB501" s="7" t="str">
        <f aca="false">IF(P501="DUP","Exact duplicate row",IF(T501=1,"Missing Order ID",IF(S501="DROP","Duplicate Order ID (less complete row)",IF(U501=1,"Missing Customer ID",IF(V501=1,"Missing Restaurant name",IF(W501=1,"Invalid/outlier quantity",IF(X501=1,"Invalid/outlier unit price",IF(Y501=1,"Discount greater than order value",""))))))))</f>
        <v/>
      </c>
      <c r="AC501" s="7" t="str">
        <f aca="false">IF(AB501="","KEEP","DROP")</f>
        <v>KEEP</v>
      </c>
      <c r="AD501" s="7" t="str">
        <f aca="false">IF(TRIM(F501)="",IFERROR(INDEX(Map_Tables!$I$4:$I$37,MATCH(TRIM(E501),Map_Tables!$G$4:$G$37,0)),""),IFERROR(INDEX(Map_Tables!$B$4:$B$18,MATCH(TRIM(F501),Map_Tables!$A$4:$A$18,0)),"CHECK"))</f>
        <v>Mumbai</v>
      </c>
      <c r="AE501" s="7" t="str">
        <f aca="false">IF(TRIM(E501)="","",IFERROR(INDEX(Map_Tables!$H$4:$H$37,MATCH(TRIM(E501),Map_Tables!$G$4:$G$37,0)),"CHECK"))</f>
        <v>Curry Leaf Kitchen</v>
      </c>
      <c r="AF501" s="7" t="str">
        <f aca="false">IF(TRIM(K501)="","Unknown",IFERROR(INDEX(Map_Tables!$E$4:$E$15,MATCH(TRIM(K501),Map_Tables!$D$4:$D$15,0)),"CHECK"))</f>
        <v>UPI</v>
      </c>
      <c r="AG501" s="7" t="str">
        <f aca="false">IF(LEFT(LOWER(TRIM(L501)),6)="cancel","Cancelled","Delivered")</f>
        <v>Delivered</v>
      </c>
      <c r="AH501" s="10" t="n">
        <f aca="false">IF(ISNUMBER(SEARCH("/",B501)),DATE(VALUE(RIGHT(B501,4)),VALUE(MID(B501,4,2)),VALUE(LEFT(B501,2))),IF(MID(B501,5,1)="-",DATE(VALUE(LEFT(B501,4)),VALUE(MID(B501,6,2)),VALUE(RIGHT(B501,2))),DATE(VALUE(RIGHT(B501,4)),MATCH(MID(B501,4,3),{"Jan","Feb","Mar","Apr","May","Jun","Jul","Aug","Sep","Oct","Nov","Dec"},0),VALUE(LEFT(B501,2)))))</f>
        <v>45894</v>
      </c>
    </row>
    <row r="502" customFormat="false" ht="15" hidden="false" customHeight="false" outlineLevel="0" collapsed="false">
      <c r="A502" s="7" t="s">
        <v>1868</v>
      </c>
      <c r="B502" s="7" t="s">
        <v>1361</v>
      </c>
      <c r="C502" s="7" t="s">
        <v>1869</v>
      </c>
      <c r="D502" s="7" t="s">
        <v>1870</v>
      </c>
      <c r="E502" s="7" t="s">
        <v>142</v>
      </c>
      <c r="F502" s="7" t="s">
        <v>110</v>
      </c>
      <c r="G502" s="7" t="s">
        <v>105</v>
      </c>
      <c r="H502" s="7" t="n">
        <v>2</v>
      </c>
      <c r="I502" s="7" t="n">
        <v>150</v>
      </c>
      <c r="J502" s="7" t="n">
        <v>120</v>
      </c>
      <c r="K502" s="7" t="s">
        <v>88</v>
      </c>
      <c r="L502" s="7" t="s">
        <v>194</v>
      </c>
      <c r="M502" s="7" t="n">
        <v>41</v>
      </c>
      <c r="N502" s="7" t="n">
        <v>3</v>
      </c>
      <c r="O502" s="7" t="str">
        <f aca="false">A502&amp;"|"&amp;B502&amp;"|"&amp;C502&amp;"|"&amp;D502&amp;"|"&amp;E502&amp;"|"&amp;F502&amp;"|"&amp;G502&amp;"|"&amp;H502&amp;"|"&amp;I502&amp;"|"&amp;J502&amp;"|"&amp;K502&amp;"|"&amp;L502&amp;"|"&amp;M502&amp;"|"&amp;N502</f>
        <v>ORD10705|2025-03-30|16:59|C0385|Momo Magic|Delhi|Chinese|2|150|120|UPI|Delivered|41|3</v>
      </c>
      <c r="P502" s="7" t="str">
        <f aca="false">IF(COUNTIF($O$2:O502,O502)&gt;1,"DUP","OK")</f>
        <v>OK</v>
      </c>
      <c r="Q502" s="7" t="n">
        <f aca="false">COUNTBLANK(A502:N502)</f>
        <v>0</v>
      </c>
      <c r="R502" s="7" t="n">
        <f aca="false">IF(A502="",0,COUNTIFS($A$2:$A$3058,A502,$P$2:$P$3058,"OK"))</f>
        <v>1</v>
      </c>
      <c r="S502" s="7" t="str">
        <f aca="false">IF(OR(A502="",P502="DUP",R502&lt;2),"",IF(Q502=_xlfn.MINIFS($Q$2:$Q$3058,$A$2:$A$3058,A502,$P$2:$P$3058,"OK"),"KEEP","DROP"))</f>
        <v/>
      </c>
      <c r="T502" s="9" t="n">
        <f aca="false">IF(A502="",1,0)</f>
        <v>0</v>
      </c>
      <c r="U502" s="9" t="n">
        <f aca="false">IF(D502="",1,0)</f>
        <v>0</v>
      </c>
      <c r="V502" s="9" t="n">
        <f aca="false">IF(E502="",1,0)</f>
        <v>0</v>
      </c>
      <c r="W502" s="9" t="n">
        <f aca="false">IF(OR(H502&lt;1,H502&gt;10),1,0)</f>
        <v>0</v>
      </c>
      <c r="X502" s="9" t="n">
        <f aca="false">IF(OR(I502&lt;=0,I502&gt;1500),1,0)</f>
        <v>0</v>
      </c>
      <c r="Y502" s="9" t="n">
        <f aca="false">IF(J502&gt;H502*I502,1,0)</f>
        <v>0</v>
      </c>
      <c r="Z502" s="9" t="n">
        <f aca="false">IF(AND(N502&lt;&gt;"",OR(N502&lt;1,N502&gt;5)),1,0)</f>
        <v>0</v>
      </c>
      <c r="AA502" s="9" t="n">
        <f aca="false">IF(AND(M502&lt;&gt;"",OR(M502&lt;5,M502&gt;180)),1,0)</f>
        <v>0</v>
      </c>
      <c r="AB502" s="7" t="str">
        <f aca="false">IF(P502="DUP","Exact duplicate row",IF(T502=1,"Missing Order ID",IF(S502="DROP","Duplicate Order ID (less complete row)",IF(U502=1,"Missing Customer ID",IF(V502=1,"Missing Restaurant name",IF(W502=1,"Invalid/outlier quantity",IF(X502=1,"Invalid/outlier unit price",IF(Y502=1,"Discount greater than order value",""))))))))</f>
        <v/>
      </c>
      <c r="AC502" s="7" t="str">
        <f aca="false">IF(AB502="","KEEP","DROP")</f>
        <v>KEEP</v>
      </c>
      <c r="AD502" s="7" t="str">
        <f aca="false">IF(TRIM(F502)="",IFERROR(INDEX(Map_Tables!$I$4:$I$37,MATCH(TRIM(E502),Map_Tables!$G$4:$G$37,0)),""),IFERROR(INDEX(Map_Tables!$B$4:$B$18,MATCH(TRIM(F502),Map_Tables!$A$4:$A$18,0)),"CHECK"))</f>
        <v>Delhi</v>
      </c>
      <c r="AE502" s="7" t="str">
        <f aca="false">IF(TRIM(E502)="","",IFERROR(INDEX(Map_Tables!$H$4:$H$37,MATCH(TRIM(E502),Map_Tables!$G$4:$G$37,0)),"CHECK"))</f>
        <v>Momo Magic</v>
      </c>
      <c r="AF502" s="7" t="str">
        <f aca="false">IF(TRIM(K502)="","Unknown",IFERROR(INDEX(Map_Tables!$E$4:$E$15,MATCH(TRIM(K502),Map_Tables!$D$4:$D$15,0)),"CHECK"))</f>
        <v>UPI</v>
      </c>
      <c r="AG502" s="7" t="str">
        <f aca="false">IF(LEFT(LOWER(TRIM(L502)),6)="cancel","Cancelled","Delivered")</f>
        <v>Delivered</v>
      </c>
      <c r="AH502" s="10" t="n">
        <f aca="false">IF(ISNUMBER(SEARCH("/",B502)),DATE(VALUE(RIGHT(B502,4)),VALUE(MID(B502,4,2)),VALUE(LEFT(B502,2))),IF(MID(B502,5,1)="-",DATE(VALUE(LEFT(B502,4)),VALUE(MID(B502,6,2)),VALUE(RIGHT(B502,2))),DATE(VALUE(RIGHT(B502,4)),MATCH(MID(B502,4,3),{"Jan","Feb","Mar","Apr","May","Jun","Jul","Aug","Sep","Oct","Nov","Dec"},0),VALUE(LEFT(B502,2)))))</f>
        <v>45746</v>
      </c>
    </row>
    <row r="503" customFormat="false" ht="15" hidden="false" customHeight="false" outlineLevel="0" collapsed="false">
      <c r="A503" s="7" t="s">
        <v>1871</v>
      </c>
      <c r="B503" s="7" t="s">
        <v>1872</v>
      </c>
      <c r="C503" s="7" t="s">
        <v>1873</v>
      </c>
      <c r="D503" s="7" t="s">
        <v>538</v>
      </c>
      <c r="E503" s="7" t="s">
        <v>160</v>
      </c>
      <c r="F503" s="7" t="s">
        <v>136</v>
      </c>
      <c r="G503" s="7" t="s">
        <v>150</v>
      </c>
      <c r="H503" s="7" t="n">
        <v>1</v>
      </c>
      <c r="I503" s="7" t="n">
        <v>165</v>
      </c>
      <c r="J503" s="7" t="n">
        <v>0</v>
      </c>
      <c r="K503" s="7" t="s">
        <v>112</v>
      </c>
      <c r="L503" s="7" t="s">
        <v>194</v>
      </c>
      <c r="M503" s="7" t="n">
        <v>41</v>
      </c>
      <c r="N503" s="7"/>
      <c r="O503" s="7" t="str">
        <f aca="false">A503&amp;"|"&amp;B503&amp;"|"&amp;C503&amp;"|"&amp;D503&amp;"|"&amp;E503&amp;"|"&amp;F503&amp;"|"&amp;G503&amp;"|"&amp;H503&amp;"|"&amp;I503&amp;"|"&amp;J503&amp;"|"&amp;K503&amp;"|"&amp;L503&amp;"|"&amp;M503&amp;"|"&amp;N503</f>
        <v>ORD10593|2025-03-16|20:29|C1155|Cake Walk|Pune|Desserts|1|165|0|Cash on Delivery|Delivered|41|</v>
      </c>
      <c r="P503" s="7" t="str">
        <f aca="false">IF(COUNTIF($O$2:O503,O503)&gt;1,"DUP","OK")</f>
        <v>OK</v>
      </c>
      <c r="Q503" s="7" t="n">
        <f aca="false">COUNTBLANK(A503:N503)</f>
        <v>1</v>
      </c>
      <c r="R503" s="7" t="n">
        <f aca="false">IF(A503="",0,COUNTIFS($A$2:$A$3058,A503,$P$2:$P$3058,"OK"))</f>
        <v>1</v>
      </c>
      <c r="S503" s="7" t="str">
        <f aca="false">IF(OR(A503="",P503="DUP",R503&lt;2),"",IF(Q503=_xlfn.MINIFS($Q$2:$Q$3058,$A$2:$A$3058,A503,$P$2:$P$3058,"OK"),"KEEP","DROP"))</f>
        <v/>
      </c>
      <c r="T503" s="9" t="n">
        <f aca="false">IF(A503="",1,0)</f>
        <v>0</v>
      </c>
      <c r="U503" s="9" t="n">
        <f aca="false">IF(D503="",1,0)</f>
        <v>0</v>
      </c>
      <c r="V503" s="9" t="n">
        <f aca="false">IF(E503="",1,0)</f>
        <v>0</v>
      </c>
      <c r="W503" s="9" t="n">
        <f aca="false">IF(OR(H503&lt;1,H503&gt;10),1,0)</f>
        <v>0</v>
      </c>
      <c r="X503" s="9" t="n">
        <f aca="false">IF(OR(I503&lt;=0,I503&gt;1500),1,0)</f>
        <v>0</v>
      </c>
      <c r="Y503" s="9" t="n">
        <f aca="false">IF(J503&gt;H503*I503,1,0)</f>
        <v>0</v>
      </c>
      <c r="Z503" s="9" t="n">
        <f aca="false">IF(AND(N503&lt;&gt;"",OR(N503&lt;1,N503&gt;5)),1,0)</f>
        <v>0</v>
      </c>
      <c r="AA503" s="9" t="n">
        <f aca="false">IF(AND(M503&lt;&gt;"",OR(M503&lt;5,M503&gt;180)),1,0)</f>
        <v>0</v>
      </c>
      <c r="AB503" s="7" t="str">
        <f aca="false">IF(P503="DUP","Exact duplicate row",IF(T503=1,"Missing Order ID",IF(S503="DROP","Duplicate Order ID (less complete row)",IF(U503=1,"Missing Customer ID",IF(V503=1,"Missing Restaurant name",IF(W503=1,"Invalid/outlier quantity",IF(X503=1,"Invalid/outlier unit price",IF(Y503=1,"Discount greater than order value",""))))))))</f>
        <v/>
      </c>
      <c r="AC503" s="7" t="str">
        <f aca="false">IF(AB503="","KEEP","DROP")</f>
        <v>KEEP</v>
      </c>
      <c r="AD503" s="7" t="str">
        <f aca="false">IF(TRIM(F503)="",IFERROR(INDEX(Map_Tables!$I$4:$I$37,MATCH(TRIM(E503),Map_Tables!$G$4:$G$37,0)),""),IFERROR(INDEX(Map_Tables!$B$4:$B$18,MATCH(TRIM(F503),Map_Tables!$A$4:$A$18,0)),"CHECK"))</f>
        <v>Pune</v>
      </c>
      <c r="AE503" s="7" t="str">
        <f aca="false">IF(TRIM(E503)="","",IFERROR(INDEX(Map_Tables!$H$4:$H$37,MATCH(TRIM(E503),Map_Tables!$G$4:$G$37,0)),"CHECK"))</f>
        <v>Cake Walk</v>
      </c>
      <c r="AF503" s="7" t="str">
        <f aca="false">IF(TRIM(K503)="","Unknown",IFERROR(INDEX(Map_Tables!$E$4:$E$15,MATCH(TRIM(K503),Map_Tables!$D$4:$D$15,0)),"CHECK"))</f>
        <v>Cash on Delivery</v>
      </c>
      <c r="AG503" s="7" t="str">
        <f aca="false">IF(LEFT(LOWER(TRIM(L503)),6)="cancel","Cancelled","Delivered")</f>
        <v>Delivered</v>
      </c>
      <c r="AH503" s="10" t="n">
        <f aca="false">IF(ISNUMBER(SEARCH("/",B503)),DATE(VALUE(RIGHT(B503,4)),VALUE(MID(B503,4,2)),VALUE(LEFT(B503,2))),IF(MID(B503,5,1)="-",DATE(VALUE(LEFT(B503,4)),VALUE(MID(B503,6,2)),VALUE(RIGHT(B503,2))),DATE(VALUE(RIGHT(B503,4)),MATCH(MID(B503,4,3),{"Jan","Feb","Mar","Apr","May","Jun","Jul","Aug","Sep","Oct","Nov","Dec"},0),VALUE(LEFT(B503,2)))))</f>
        <v>45732</v>
      </c>
    </row>
    <row r="504" customFormat="false" ht="15" hidden="false" customHeight="false" outlineLevel="0" collapsed="false">
      <c r="A504" s="7" t="s">
        <v>1874</v>
      </c>
      <c r="B504" s="7" t="s">
        <v>477</v>
      </c>
      <c r="C504" s="7" t="s">
        <v>346</v>
      </c>
      <c r="D504" s="7" t="s">
        <v>1875</v>
      </c>
      <c r="E504" s="7" t="s">
        <v>130</v>
      </c>
      <c r="F504" s="7" t="s">
        <v>110</v>
      </c>
      <c r="G504" s="7" t="s">
        <v>90</v>
      </c>
      <c r="H504" s="7" t="n">
        <v>2</v>
      </c>
      <c r="I504" s="7" t="n">
        <v>280</v>
      </c>
      <c r="J504" s="7" t="n">
        <v>0</v>
      </c>
      <c r="K504" s="7" t="s">
        <v>88</v>
      </c>
      <c r="L504" s="7" t="s">
        <v>194</v>
      </c>
      <c r="M504" s="7" t="n">
        <v>38</v>
      </c>
      <c r="N504" s="7" t="n">
        <v>3</v>
      </c>
      <c r="O504" s="7" t="str">
        <f aca="false">A504&amp;"|"&amp;B504&amp;"|"&amp;C504&amp;"|"&amp;D504&amp;"|"&amp;E504&amp;"|"&amp;F504&amp;"|"&amp;G504&amp;"|"&amp;H504&amp;"|"&amp;I504&amp;"|"&amp;J504&amp;"|"&amp;K504&amp;"|"&amp;L504&amp;"|"&amp;M504&amp;"|"&amp;N504</f>
        <v>ORD10837|2025-04-16|19:18|C1360|Tandoor Tales|Delhi|North Indian|2|280|0|UPI|Delivered|38|3</v>
      </c>
      <c r="P504" s="7" t="str">
        <f aca="false">IF(COUNTIF($O$2:O504,O504)&gt;1,"DUP","OK")</f>
        <v>OK</v>
      </c>
      <c r="Q504" s="7" t="n">
        <f aca="false">COUNTBLANK(A504:N504)</f>
        <v>0</v>
      </c>
      <c r="R504" s="7" t="n">
        <f aca="false">IF(A504="",0,COUNTIFS($A$2:$A$3058,A504,$P$2:$P$3058,"OK"))</f>
        <v>1</v>
      </c>
      <c r="S504" s="7" t="str">
        <f aca="false">IF(OR(A504="",P504="DUP",R504&lt;2),"",IF(Q504=_xlfn.MINIFS($Q$2:$Q$3058,$A$2:$A$3058,A504,$P$2:$P$3058,"OK"),"KEEP","DROP"))</f>
        <v/>
      </c>
      <c r="T504" s="9" t="n">
        <f aca="false">IF(A504="",1,0)</f>
        <v>0</v>
      </c>
      <c r="U504" s="9" t="n">
        <f aca="false">IF(D504="",1,0)</f>
        <v>0</v>
      </c>
      <c r="V504" s="9" t="n">
        <f aca="false">IF(E504="",1,0)</f>
        <v>0</v>
      </c>
      <c r="W504" s="9" t="n">
        <f aca="false">IF(OR(H504&lt;1,H504&gt;10),1,0)</f>
        <v>0</v>
      </c>
      <c r="X504" s="9" t="n">
        <f aca="false">IF(OR(I504&lt;=0,I504&gt;1500),1,0)</f>
        <v>0</v>
      </c>
      <c r="Y504" s="9" t="n">
        <f aca="false">IF(J504&gt;H504*I504,1,0)</f>
        <v>0</v>
      </c>
      <c r="Z504" s="9" t="n">
        <f aca="false">IF(AND(N504&lt;&gt;"",OR(N504&lt;1,N504&gt;5)),1,0)</f>
        <v>0</v>
      </c>
      <c r="AA504" s="9" t="n">
        <f aca="false">IF(AND(M504&lt;&gt;"",OR(M504&lt;5,M504&gt;180)),1,0)</f>
        <v>0</v>
      </c>
      <c r="AB504" s="7" t="str">
        <f aca="false">IF(P504="DUP","Exact duplicate row",IF(T504=1,"Missing Order ID",IF(S504="DROP","Duplicate Order ID (less complete row)",IF(U504=1,"Missing Customer ID",IF(V504=1,"Missing Restaurant name",IF(W504=1,"Invalid/outlier quantity",IF(X504=1,"Invalid/outlier unit price",IF(Y504=1,"Discount greater than order value",""))))))))</f>
        <v/>
      </c>
      <c r="AC504" s="7" t="str">
        <f aca="false">IF(AB504="","KEEP","DROP")</f>
        <v>KEEP</v>
      </c>
      <c r="AD504" s="7" t="str">
        <f aca="false">IF(TRIM(F504)="",IFERROR(INDEX(Map_Tables!$I$4:$I$37,MATCH(TRIM(E504),Map_Tables!$G$4:$G$37,0)),""),IFERROR(INDEX(Map_Tables!$B$4:$B$18,MATCH(TRIM(F504),Map_Tables!$A$4:$A$18,0)),"CHECK"))</f>
        <v>Delhi</v>
      </c>
      <c r="AE504" s="7" t="str">
        <f aca="false">IF(TRIM(E504)="","",IFERROR(INDEX(Map_Tables!$H$4:$H$37,MATCH(TRIM(E504),Map_Tables!$G$4:$G$37,0)),"CHECK"))</f>
        <v>Tandoor Tales</v>
      </c>
      <c r="AF504" s="7" t="str">
        <f aca="false">IF(TRIM(K504)="","Unknown",IFERROR(INDEX(Map_Tables!$E$4:$E$15,MATCH(TRIM(K504),Map_Tables!$D$4:$D$15,0)),"CHECK"))</f>
        <v>UPI</v>
      </c>
      <c r="AG504" s="7" t="str">
        <f aca="false">IF(LEFT(LOWER(TRIM(L504)),6)="cancel","Cancelled","Delivered")</f>
        <v>Delivered</v>
      </c>
      <c r="AH504" s="10" t="n">
        <f aca="false">IF(ISNUMBER(SEARCH("/",B504)),DATE(VALUE(RIGHT(B504,4)),VALUE(MID(B504,4,2)),VALUE(LEFT(B504,2))),IF(MID(B504,5,1)="-",DATE(VALUE(LEFT(B504,4)),VALUE(MID(B504,6,2)),VALUE(RIGHT(B504,2))),DATE(VALUE(RIGHT(B504,4)),MATCH(MID(B504,4,3),{"Jan","Feb","Mar","Apr","May","Jun","Jul","Aug","Sep","Oct","Nov","Dec"},0),VALUE(LEFT(B504,2)))))</f>
        <v>45763</v>
      </c>
    </row>
    <row r="505" customFormat="false" ht="15" hidden="false" customHeight="false" outlineLevel="0" collapsed="false">
      <c r="A505" s="7" t="s">
        <v>1876</v>
      </c>
      <c r="B505" s="7" t="s">
        <v>1183</v>
      </c>
      <c r="C505" s="7" t="s">
        <v>1877</v>
      </c>
      <c r="D505" s="7" t="s">
        <v>1878</v>
      </c>
      <c r="E505" s="7" t="s">
        <v>130</v>
      </c>
      <c r="F505" s="7" t="s">
        <v>110</v>
      </c>
      <c r="G505" s="7" t="s">
        <v>90</v>
      </c>
      <c r="H505" s="7" t="n">
        <v>2</v>
      </c>
      <c r="I505" s="7" t="n">
        <v>330</v>
      </c>
      <c r="J505" s="7" t="n">
        <v>0</v>
      </c>
      <c r="K505" s="7" t="s">
        <v>88</v>
      </c>
      <c r="L505" s="7" t="s">
        <v>194</v>
      </c>
      <c r="M505" s="7" t="n">
        <v>24</v>
      </c>
      <c r="N505" s="7" t="n">
        <v>4</v>
      </c>
      <c r="O505" s="7" t="str">
        <f aca="false">A505&amp;"|"&amp;B505&amp;"|"&amp;C505&amp;"|"&amp;D505&amp;"|"&amp;E505&amp;"|"&amp;F505&amp;"|"&amp;G505&amp;"|"&amp;H505&amp;"|"&amp;I505&amp;"|"&amp;J505&amp;"|"&amp;K505&amp;"|"&amp;L505&amp;"|"&amp;M505&amp;"|"&amp;N505</f>
        <v>ORD11581|2025-07-26|09:06|C0020|Tandoor Tales|Delhi|North Indian|2|330|0|UPI|Delivered|24|4</v>
      </c>
      <c r="P505" s="7" t="str">
        <f aca="false">IF(COUNTIF($O$2:O505,O505)&gt;1,"DUP","OK")</f>
        <v>OK</v>
      </c>
      <c r="Q505" s="7" t="n">
        <f aca="false">COUNTBLANK(A505:N505)</f>
        <v>0</v>
      </c>
      <c r="R505" s="7" t="n">
        <f aca="false">IF(A505="",0,COUNTIFS($A$2:$A$3058,A505,$P$2:$P$3058,"OK"))</f>
        <v>1</v>
      </c>
      <c r="S505" s="7" t="str">
        <f aca="false">IF(OR(A505="",P505="DUP",R505&lt;2),"",IF(Q505=_xlfn.MINIFS($Q$2:$Q$3058,$A$2:$A$3058,A505,$P$2:$P$3058,"OK"),"KEEP","DROP"))</f>
        <v/>
      </c>
      <c r="T505" s="9" t="n">
        <f aca="false">IF(A505="",1,0)</f>
        <v>0</v>
      </c>
      <c r="U505" s="9" t="n">
        <f aca="false">IF(D505="",1,0)</f>
        <v>0</v>
      </c>
      <c r="V505" s="9" t="n">
        <f aca="false">IF(E505="",1,0)</f>
        <v>0</v>
      </c>
      <c r="W505" s="9" t="n">
        <f aca="false">IF(OR(H505&lt;1,H505&gt;10),1,0)</f>
        <v>0</v>
      </c>
      <c r="X505" s="9" t="n">
        <f aca="false">IF(OR(I505&lt;=0,I505&gt;1500),1,0)</f>
        <v>0</v>
      </c>
      <c r="Y505" s="9" t="n">
        <f aca="false">IF(J505&gt;H505*I505,1,0)</f>
        <v>0</v>
      </c>
      <c r="Z505" s="9" t="n">
        <f aca="false">IF(AND(N505&lt;&gt;"",OR(N505&lt;1,N505&gt;5)),1,0)</f>
        <v>0</v>
      </c>
      <c r="AA505" s="9" t="n">
        <f aca="false">IF(AND(M505&lt;&gt;"",OR(M505&lt;5,M505&gt;180)),1,0)</f>
        <v>0</v>
      </c>
      <c r="AB505" s="7" t="str">
        <f aca="false">IF(P505="DUP","Exact duplicate row",IF(T505=1,"Missing Order ID",IF(S505="DROP","Duplicate Order ID (less complete row)",IF(U505=1,"Missing Customer ID",IF(V505=1,"Missing Restaurant name",IF(W505=1,"Invalid/outlier quantity",IF(X505=1,"Invalid/outlier unit price",IF(Y505=1,"Discount greater than order value",""))))))))</f>
        <v/>
      </c>
      <c r="AC505" s="7" t="str">
        <f aca="false">IF(AB505="","KEEP","DROP")</f>
        <v>KEEP</v>
      </c>
      <c r="AD505" s="7" t="str">
        <f aca="false">IF(TRIM(F505)="",IFERROR(INDEX(Map_Tables!$I$4:$I$37,MATCH(TRIM(E505),Map_Tables!$G$4:$G$37,0)),""),IFERROR(INDEX(Map_Tables!$B$4:$B$18,MATCH(TRIM(F505),Map_Tables!$A$4:$A$18,0)),"CHECK"))</f>
        <v>Delhi</v>
      </c>
      <c r="AE505" s="7" t="str">
        <f aca="false">IF(TRIM(E505)="","",IFERROR(INDEX(Map_Tables!$H$4:$H$37,MATCH(TRIM(E505),Map_Tables!$G$4:$G$37,0)),"CHECK"))</f>
        <v>Tandoor Tales</v>
      </c>
      <c r="AF505" s="7" t="str">
        <f aca="false">IF(TRIM(K505)="","Unknown",IFERROR(INDEX(Map_Tables!$E$4:$E$15,MATCH(TRIM(K505),Map_Tables!$D$4:$D$15,0)),"CHECK"))</f>
        <v>UPI</v>
      </c>
      <c r="AG505" s="7" t="str">
        <f aca="false">IF(LEFT(LOWER(TRIM(L505)),6)="cancel","Cancelled","Delivered")</f>
        <v>Delivered</v>
      </c>
      <c r="AH505" s="10" t="n">
        <f aca="false">IF(ISNUMBER(SEARCH("/",B505)),DATE(VALUE(RIGHT(B505,4)),VALUE(MID(B505,4,2)),VALUE(LEFT(B505,2))),IF(MID(B505,5,1)="-",DATE(VALUE(LEFT(B505,4)),VALUE(MID(B505,6,2)),VALUE(RIGHT(B505,2))),DATE(VALUE(RIGHT(B505,4)),MATCH(MID(B505,4,3),{"Jan","Feb","Mar","Apr","May","Jun","Jul","Aug","Sep","Oct","Nov","Dec"},0),VALUE(LEFT(B505,2)))))</f>
        <v>45864</v>
      </c>
    </row>
    <row r="506" customFormat="false" ht="15" hidden="false" customHeight="false" outlineLevel="0" collapsed="false">
      <c r="A506" s="7" t="s">
        <v>1879</v>
      </c>
      <c r="B506" s="7" t="s">
        <v>1790</v>
      </c>
      <c r="C506" s="7" t="s">
        <v>1880</v>
      </c>
      <c r="D506" s="7" t="s">
        <v>1881</v>
      </c>
      <c r="E506" s="7" t="s">
        <v>89</v>
      </c>
      <c r="F506" s="7" t="s">
        <v>86</v>
      </c>
      <c r="G506" s="7" t="s">
        <v>90</v>
      </c>
      <c r="H506" s="7" t="n">
        <v>5</v>
      </c>
      <c r="I506" s="7" t="n">
        <v>200</v>
      </c>
      <c r="J506" s="7" t="n">
        <v>125</v>
      </c>
      <c r="K506" s="7" t="s">
        <v>421</v>
      </c>
      <c r="L506" s="7" t="s">
        <v>194</v>
      </c>
      <c r="M506" s="7" t="n">
        <v>39</v>
      </c>
      <c r="N506" s="7" t="n">
        <v>4</v>
      </c>
      <c r="O506" s="7" t="str">
        <f aca="false">A506&amp;"|"&amp;B506&amp;"|"&amp;C506&amp;"|"&amp;D506&amp;"|"&amp;E506&amp;"|"&amp;F506&amp;"|"&amp;G506&amp;"|"&amp;H506&amp;"|"&amp;I506&amp;"|"&amp;J506&amp;"|"&amp;K506&amp;"|"&amp;L506&amp;"|"&amp;M506&amp;"|"&amp;N506</f>
        <v>ORD11071|2025-05-15|22:15|C0159|Spice Junction|Bengaluru|North Indian|5|200|125|UPI |Delivered|39|4</v>
      </c>
      <c r="P506" s="7" t="str">
        <f aca="false">IF(COUNTIF($O$2:O506,O506)&gt;1,"DUP","OK")</f>
        <v>OK</v>
      </c>
      <c r="Q506" s="7" t="n">
        <f aca="false">COUNTBLANK(A506:N506)</f>
        <v>0</v>
      </c>
      <c r="R506" s="7" t="n">
        <f aca="false">IF(A506="",0,COUNTIFS($A$2:$A$3058,A506,$P$2:$P$3058,"OK"))</f>
        <v>1</v>
      </c>
      <c r="S506" s="7" t="str">
        <f aca="false">IF(OR(A506="",P506="DUP",R506&lt;2),"",IF(Q506=_xlfn.MINIFS($Q$2:$Q$3058,$A$2:$A$3058,A506,$P$2:$P$3058,"OK"),"KEEP","DROP"))</f>
        <v/>
      </c>
      <c r="T506" s="9" t="n">
        <f aca="false">IF(A506="",1,0)</f>
        <v>0</v>
      </c>
      <c r="U506" s="9" t="n">
        <f aca="false">IF(D506="",1,0)</f>
        <v>0</v>
      </c>
      <c r="V506" s="9" t="n">
        <f aca="false">IF(E506="",1,0)</f>
        <v>0</v>
      </c>
      <c r="W506" s="9" t="n">
        <f aca="false">IF(OR(H506&lt;1,H506&gt;10),1,0)</f>
        <v>0</v>
      </c>
      <c r="X506" s="9" t="n">
        <f aca="false">IF(OR(I506&lt;=0,I506&gt;1500),1,0)</f>
        <v>0</v>
      </c>
      <c r="Y506" s="9" t="n">
        <f aca="false">IF(J506&gt;H506*I506,1,0)</f>
        <v>0</v>
      </c>
      <c r="Z506" s="9" t="n">
        <f aca="false">IF(AND(N506&lt;&gt;"",OR(N506&lt;1,N506&gt;5)),1,0)</f>
        <v>0</v>
      </c>
      <c r="AA506" s="9" t="n">
        <f aca="false">IF(AND(M506&lt;&gt;"",OR(M506&lt;5,M506&gt;180)),1,0)</f>
        <v>0</v>
      </c>
      <c r="AB506" s="7" t="str">
        <f aca="false">IF(P506="DUP","Exact duplicate row",IF(T506=1,"Missing Order ID",IF(S506="DROP","Duplicate Order ID (less complete row)",IF(U506=1,"Missing Customer ID",IF(V506=1,"Missing Restaurant name",IF(W506=1,"Invalid/outlier quantity",IF(X506=1,"Invalid/outlier unit price",IF(Y506=1,"Discount greater than order value",""))))))))</f>
        <v/>
      </c>
      <c r="AC506" s="7" t="str">
        <f aca="false">IF(AB506="","KEEP","DROP")</f>
        <v>KEEP</v>
      </c>
      <c r="AD506" s="7" t="str">
        <f aca="false">IF(TRIM(F506)="",IFERROR(INDEX(Map_Tables!$I$4:$I$37,MATCH(TRIM(E506),Map_Tables!$G$4:$G$37,0)),""),IFERROR(INDEX(Map_Tables!$B$4:$B$18,MATCH(TRIM(F506),Map_Tables!$A$4:$A$18,0)),"CHECK"))</f>
        <v>Bengaluru</v>
      </c>
      <c r="AE506" s="7" t="str">
        <f aca="false">IF(TRIM(E506)="","",IFERROR(INDEX(Map_Tables!$H$4:$H$37,MATCH(TRIM(E506),Map_Tables!$G$4:$G$37,0)),"CHECK"))</f>
        <v>Spice Junction</v>
      </c>
      <c r="AF506" s="7" t="str">
        <f aca="false">IF(TRIM(K506)="","Unknown",IFERROR(INDEX(Map_Tables!$E$4:$E$15,MATCH(TRIM(K506),Map_Tables!$D$4:$D$15,0)),"CHECK"))</f>
        <v>UPI</v>
      </c>
      <c r="AG506" s="7" t="str">
        <f aca="false">IF(LEFT(LOWER(TRIM(L506)),6)="cancel","Cancelled","Delivered")</f>
        <v>Delivered</v>
      </c>
      <c r="AH506" s="10" t="n">
        <f aca="false">IF(ISNUMBER(SEARCH("/",B506)),DATE(VALUE(RIGHT(B506,4)),VALUE(MID(B506,4,2)),VALUE(LEFT(B506,2))),IF(MID(B506,5,1)="-",DATE(VALUE(LEFT(B506,4)),VALUE(MID(B506,6,2)),VALUE(RIGHT(B506,2))),DATE(VALUE(RIGHT(B506,4)),MATCH(MID(B506,4,3),{"Jan","Feb","Mar","Apr","May","Jun","Jul","Aug","Sep","Oct","Nov","Dec"},0),VALUE(LEFT(B506,2)))))</f>
        <v>45792</v>
      </c>
    </row>
    <row r="507" customFormat="false" ht="15" hidden="false" customHeight="false" outlineLevel="0" collapsed="false">
      <c r="A507" s="7" t="s">
        <v>1882</v>
      </c>
      <c r="B507" s="7" t="s">
        <v>1883</v>
      </c>
      <c r="C507" s="7" t="s">
        <v>1336</v>
      </c>
      <c r="D507" s="7" t="s">
        <v>867</v>
      </c>
      <c r="E507" s="7" t="s">
        <v>126</v>
      </c>
      <c r="F507" s="7" t="s">
        <v>101</v>
      </c>
      <c r="G507" s="7" t="s">
        <v>105</v>
      </c>
      <c r="H507" s="7" t="n">
        <v>4</v>
      </c>
      <c r="I507" s="7" t="n">
        <v>240</v>
      </c>
      <c r="J507" s="7" t="n">
        <v>20</v>
      </c>
      <c r="K507" s="7" t="s">
        <v>88</v>
      </c>
      <c r="L507" s="7" t="s">
        <v>194</v>
      </c>
      <c r="M507" s="7" t="n">
        <v>39</v>
      </c>
      <c r="N507" s="7"/>
      <c r="O507" s="7" t="str">
        <f aca="false">A507&amp;"|"&amp;B507&amp;"|"&amp;C507&amp;"|"&amp;D507&amp;"|"&amp;E507&amp;"|"&amp;F507&amp;"|"&amp;G507&amp;"|"&amp;H507&amp;"|"&amp;I507&amp;"|"&amp;J507&amp;"|"&amp;K507&amp;"|"&amp;L507&amp;"|"&amp;M507&amp;"|"&amp;N507</f>
        <v>ORD11651|2025-08-03|19:17|C1014|Dragon Express|Mumbai|Chinese|4|240|20|UPI|Delivered|39|</v>
      </c>
      <c r="P507" s="7" t="str">
        <f aca="false">IF(COUNTIF($O$2:O507,O507)&gt;1,"DUP","OK")</f>
        <v>OK</v>
      </c>
      <c r="Q507" s="7" t="n">
        <f aca="false">COUNTBLANK(A507:N507)</f>
        <v>1</v>
      </c>
      <c r="R507" s="7" t="n">
        <f aca="false">IF(A507="",0,COUNTIFS($A$2:$A$3058,A507,$P$2:$P$3058,"OK"))</f>
        <v>1</v>
      </c>
      <c r="S507" s="7" t="str">
        <f aca="false">IF(OR(A507="",P507="DUP",R507&lt;2),"",IF(Q507=_xlfn.MINIFS($Q$2:$Q$3058,$A$2:$A$3058,A507,$P$2:$P$3058,"OK"),"KEEP","DROP"))</f>
        <v/>
      </c>
      <c r="T507" s="9" t="n">
        <f aca="false">IF(A507="",1,0)</f>
        <v>0</v>
      </c>
      <c r="U507" s="9" t="n">
        <f aca="false">IF(D507="",1,0)</f>
        <v>0</v>
      </c>
      <c r="V507" s="9" t="n">
        <f aca="false">IF(E507="",1,0)</f>
        <v>0</v>
      </c>
      <c r="W507" s="9" t="n">
        <f aca="false">IF(OR(H507&lt;1,H507&gt;10),1,0)</f>
        <v>0</v>
      </c>
      <c r="X507" s="9" t="n">
        <f aca="false">IF(OR(I507&lt;=0,I507&gt;1500),1,0)</f>
        <v>0</v>
      </c>
      <c r="Y507" s="9" t="n">
        <f aca="false">IF(J507&gt;H507*I507,1,0)</f>
        <v>0</v>
      </c>
      <c r="Z507" s="9" t="n">
        <f aca="false">IF(AND(N507&lt;&gt;"",OR(N507&lt;1,N507&gt;5)),1,0)</f>
        <v>0</v>
      </c>
      <c r="AA507" s="9" t="n">
        <f aca="false">IF(AND(M507&lt;&gt;"",OR(M507&lt;5,M507&gt;180)),1,0)</f>
        <v>0</v>
      </c>
      <c r="AB507" s="7" t="str">
        <f aca="false">IF(P507="DUP","Exact duplicate row",IF(T507=1,"Missing Order ID",IF(S507="DROP","Duplicate Order ID (less complete row)",IF(U507=1,"Missing Customer ID",IF(V507=1,"Missing Restaurant name",IF(W507=1,"Invalid/outlier quantity",IF(X507=1,"Invalid/outlier unit price",IF(Y507=1,"Discount greater than order value",""))))))))</f>
        <v/>
      </c>
      <c r="AC507" s="7" t="str">
        <f aca="false">IF(AB507="","KEEP","DROP")</f>
        <v>KEEP</v>
      </c>
      <c r="AD507" s="7" t="str">
        <f aca="false">IF(TRIM(F507)="",IFERROR(INDEX(Map_Tables!$I$4:$I$37,MATCH(TRIM(E507),Map_Tables!$G$4:$G$37,0)),""),IFERROR(INDEX(Map_Tables!$B$4:$B$18,MATCH(TRIM(F507),Map_Tables!$A$4:$A$18,0)),"CHECK"))</f>
        <v>Mumbai</v>
      </c>
      <c r="AE507" s="7" t="str">
        <f aca="false">IF(TRIM(E507)="","",IFERROR(INDEX(Map_Tables!$H$4:$H$37,MATCH(TRIM(E507),Map_Tables!$G$4:$G$37,0)),"CHECK"))</f>
        <v>Dragon Express</v>
      </c>
      <c r="AF507" s="7" t="str">
        <f aca="false">IF(TRIM(K507)="","Unknown",IFERROR(INDEX(Map_Tables!$E$4:$E$15,MATCH(TRIM(K507),Map_Tables!$D$4:$D$15,0)),"CHECK"))</f>
        <v>UPI</v>
      </c>
      <c r="AG507" s="7" t="str">
        <f aca="false">IF(LEFT(LOWER(TRIM(L507)),6)="cancel","Cancelled","Delivered")</f>
        <v>Delivered</v>
      </c>
      <c r="AH507" s="10" t="n">
        <f aca="false">IF(ISNUMBER(SEARCH("/",B507)),DATE(VALUE(RIGHT(B507,4)),VALUE(MID(B507,4,2)),VALUE(LEFT(B507,2))),IF(MID(B507,5,1)="-",DATE(VALUE(LEFT(B507,4)),VALUE(MID(B507,6,2)),VALUE(RIGHT(B507,2))),DATE(VALUE(RIGHT(B507,4)),MATCH(MID(B507,4,3),{"Jan","Feb","Mar","Apr","May","Jun","Jul","Aug","Sep","Oct","Nov","Dec"},0),VALUE(LEFT(B507,2)))))</f>
        <v>45872</v>
      </c>
    </row>
    <row r="508" customFormat="false" ht="15" hidden="false" customHeight="false" outlineLevel="0" collapsed="false">
      <c r="A508" s="7" t="s">
        <v>1884</v>
      </c>
      <c r="B508" s="7" t="s">
        <v>1885</v>
      </c>
      <c r="C508" s="7" t="s">
        <v>1886</v>
      </c>
      <c r="D508" s="7" t="s">
        <v>1012</v>
      </c>
      <c r="E508" s="7" t="s">
        <v>126</v>
      </c>
      <c r="F508" s="7" t="s">
        <v>101</v>
      </c>
      <c r="G508" s="7" t="s">
        <v>105</v>
      </c>
      <c r="H508" s="7" t="n">
        <v>1</v>
      </c>
      <c r="I508" s="7" t="n">
        <v>190</v>
      </c>
      <c r="J508" s="7" t="n">
        <v>76</v>
      </c>
      <c r="K508" s="7" t="s">
        <v>112</v>
      </c>
      <c r="L508" s="7" t="s">
        <v>194</v>
      </c>
      <c r="M508" s="7" t="n">
        <v>35</v>
      </c>
      <c r="N508" s="7" t="n">
        <v>3</v>
      </c>
      <c r="O508" s="7" t="str">
        <f aca="false">A508&amp;"|"&amp;B508&amp;"|"&amp;C508&amp;"|"&amp;D508&amp;"|"&amp;E508&amp;"|"&amp;F508&amp;"|"&amp;G508&amp;"|"&amp;H508&amp;"|"&amp;I508&amp;"|"&amp;J508&amp;"|"&amp;K508&amp;"|"&amp;L508&amp;"|"&amp;M508&amp;"|"&amp;N508</f>
        <v>ORD12855|2025-12-15|22:45|C0920|Dragon Express|Mumbai|Chinese|1|190|76|Cash on Delivery|Delivered|35|3</v>
      </c>
      <c r="P508" s="7" t="str">
        <f aca="false">IF(COUNTIF($O$2:O508,O508)&gt;1,"DUP","OK")</f>
        <v>OK</v>
      </c>
      <c r="Q508" s="7" t="n">
        <f aca="false">COUNTBLANK(A508:N508)</f>
        <v>0</v>
      </c>
      <c r="R508" s="7" t="n">
        <f aca="false">IF(A508="",0,COUNTIFS($A$2:$A$3058,A508,$P$2:$P$3058,"OK"))</f>
        <v>1</v>
      </c>
      <c r="S508" s="7" t="str">
        <f aca="false">IF(OR(A508="",P508="DUP",R508&lt;2),"",IF(Q508=_xlfn.MINIFS($Q$2:$Q$3058,$A$2:$A$3058,A508,$P$2:$P$3058,"OK"),"KEEP","DROP"))</f>
        <v/>
      </c>
      <c r="T508" s="9" t="n">
        <f aca="false">IF(A508="",1,0)</f>
        <v>0</v>
      </c>
      <c r="U508" s="9" t="n">
        <f aca="false">IF(D508="",1,0)</f>
        <v>0</v>
      </c>
      <c r="V508" s="9" t="n">
        <f aca="false">IF(E508="",1,0)</f>
        <v>0</v>
      </c>
      <c r="W508" s="9" t="n">
        <f aca="false">IF(OR(H508&lt;1,H508&gt;10),1,0)</f>
        <v>0</v>
      </c>
      <c r="X508" s="9" t="n">
        <f aca="false">IF(OR(I508&lt;=0,I508&gt;1500),1,0)</f>
        <v>0</v>
      </c>
      <c r="Y508" s="9" t="n">
        <f aca="false">IF(J508&gt;H508*I508,1,0)</f>
        <v>0</v>
      </c>
      <c r="Z508" s="9" t="n">
        <f aca="false">IF(AND(N508&lt;&gt;"",OR(N508&lt;1,N508&gt;5)),1,0)</f>
        <v>0</v>
      </c>
      <c r="AA508" s="9" t="n">
        <f aca="false">IF(AND(M508&lt;&gt;"",OR(M508&lt;5,M508&gt;180)),1,0)</f>
        <v>0</v>
      </c>
      <c r="AB508" s="7" t="str">
        <f aca="false">IF(P508="DUP","Exact duplicate row",IF(T508=1,"Missing Order ID",IF(S508="DROP","Duplicate Order ID (less complete row)",IF(U508=1,"Missing Customer ID",IF(V508=1,"Missing Restaurant name",IF(W508=1,"Invalid/outlier quantity",IF(X508=1,"Invalid/outlier unit price",IF(Y508=1,"Discount greater than order value",""))))))))</f>
        <v/>
      </c>
      <c r="AC508" s="7" t="str">
        <f aca="false">IF(AB508="","KEEP","DROP")</f>
        <v>KEEP</v>
      </c>
      <c r="AD508" s="7" t="str">
        <f aca="false">IF(TRIM(F508)="",IFERROR(INDEX(Map_Tables!$I$4:$I$37,MATCH(TRIM(E508),Map_Tables!$G$4:$G$37,0)),""),IFERROR(INDEX(Map_Tables!$B$4:$B$18,MATCH(TRIM(F508),Map_Tables!$A$4:$A$18,0)),"CHECK"))</f>
        <v>Mumbai</v>
      </c>
      <c r="AE508" s="7" t="str">
        <f aca="false">IF(TRIM(E508)="","",IFERROR(INDEX(Map_Tables!$H$4:$H$37,MATCH(TRIM(E508),Map_Tables!$G$4:$G$37,0)),"CHECK"))</f>
        <v>Dragon Express</v>
      </c>
      <c r="AF508" s="7" t="str">
        <f aca="false">IF(TRIM(K508)="","Unknown",IFERROR(INDEX(Map_Tables!$E$4:$E$15,MATCH(TRIM(K508),Map_Tables!$D$4:$D$15,0)),"CHECK"))</f>
        <v>Cash on Delivery</v>
      </c>
      <c r="AG508" s="7" t="str">
        <f aca="false">IF(LEFT(LOWER(TRIM(L508)),6)="cancel","Cancelled","Delivered")</f>
        <v>Delivered</v>
      </c>
      <c r="AH508" s="10" t="n">
        <f aca="false">IF(ISNUMBER(SEARCH("/",B508)),DATE(VALUE(RIGHT(B508,4)),VALUE(MID(B508,4,2)),VALUE(LEFT(B508,2))),IF(MID(B508,5,1)="-",DATE(VALUE(LEFT(B508,4)),VALUE(MID(B508,6,2)),VALUE(RIGHT(B508,2))),DATE(VALUE(RIGHT(B508,4)),MATCH(MID(B508,4,3),{"Jan","Feb","Mar","Apr","May","Jun","Jul","Aug","Sep","Oct","Nov","Dec"},0),VALUE(LEFT(B508,2)))))</f>
        <v>46006</v>
      </c>
    </row>
    <row r="509" customFormat="false" ht="15" hidden="false" customHeight="false" outlineLevel="0" collapsed="false">
      <c r="A509" s="7" t="s">
        <v>1887</v>
      </c>
      <c r="B509" s="7" t="s">
        <v>1888</v>
      </c>
      <c r="C509" s="7" t="s">
        <v>1889</v>
      </c>
      <c r="D509" s="7" t="s">
        <v>277</v>
      </c>
      <c r="E509" s="7" t="s">
        <v>122</v>
      </c>
      <c r="F509" s="7" t="s">
        <v>101</v>
      </c>
      <c r="G509" s="7" t="s">
        <v>123</v>
      </c>
      <c r="H509" s="7" t="n">
        <v>2</v>
      </c>
      <c r="I509" s="7" t="n">
        <v>375</v>
      </c>
      <c r="J509" s="7" t="n">
        <v>0</v>
      </c>
      <c r="K509" s="7" t="s">
        <v>103</v>
      </c>
      <c r="L509" s="7" t="s">
        <v>194</v>
      </c>
      <c r="M509" s="7" t="n">
        <v>40</v>
      </c>
      <c r="N509" s="7" t="n">
        <v>4</v>
      </c>
      <c r="O509" s="7" t="str">
        <f aca="false">A509&amp;"|"&amp;B509&amp;"|"&amp;C509&amp;"|"&amp;D509&amp;"|"&amp;E509&amp;"|"&amp;F509&amp;"|"&amp;G509&amp;"|"&amp;H509&amp;"|"&amp;I509&amp;"|"&amp;J509&amp;"|"&amp;K509&amp;"|"&amp;L509&amp;"|"&amp;M509&amp;"|"&amp;N509</f>
        <v>ORD11548|21/07/2025|00:17|C0365|Mumbai Pizza Co|Mumbai|Pizza|2|375|0|Debit Card|Delivered|40|4</v>
      </c>
      <c r="P509" s="7" t="str">
        <f aca="false">IF(COUNTIF($O$2:O509,O509)&gt;1,"DUP","OK")</f>
        <v>OK</v>
      </c>
      <c r="Q509" s="7" t="n">
        <f aca="false">COUNTBLANK(A509:N509)</f>
        <v>0</v>
      </c>
      <c r="R509" s="7" t="n">
        <f aca="false">IF(A509="",0,COUNTIFS($A$2:$A$3058,A509,$P$2:$P$3058,"OK"))</f>
        <v>1</v>
      </c>
      <c r="S509" s="7" t="str">
        <f aca="false">IF(OR(A509="",P509="DUP",R509&lt;2),"",IF(Q509=_xlfn.MINIFS($Q$2:$Q$3058,$A$2:$A$3058,A509,$P$2:$P$3058,"OK"),"KEEP","DROP"))</f>
        <v/>
      </c>
      <c r="T509" s="9" t="n">
        <f aca="false">IF(A509="",1,0)</f>
        <v>0</v>
      </c>
      <c r="U509" s="9" t="n">
        <f aca="false">IF(D509="",1,0)</f>
        <v>0</v>
      </c>
      <c r="V509" s="9" t="n">
        <f aca="false">IF(E509="",1,0)</f>
        <v>0</v>
      </c>
      <c r="W509" s="9" t="n">
        <f aca="false">IF(OR(H509&lt;1,H509&gt;10),1,0)</f>
        <v>0</v>
      </c>
      <c r="X509" s="9" t="n">
        <f aca="false">IF(OR(I509&lt;=0,I509&gt;1500),1,0)</f>
        <v>0</v>
      </c>
      <c r="Y509" s="9" t="n">
        <f aca="false">IF(J509&gt;H509*I509,1,0)</f>
        <v>0</v>
      </c>
      <c r="Z509" s="9" t="n">
        <f aca="false">IF(AND(N509&lt;&gt;"",OR(N509&lt;1,N509&gt;5)),1,0)</f>
        <v>0</v>
      </c>
      <c r="AA509" s="9" t="n">
        <f aca="false">IF(AND(M509&lt;&gt;"",OR(M509&lt;5,M509&gt;180)),1,0)</f>
        <v>0</v>
      </c>
      <c r="AB509" s="7" t="str">
        <f aca="false">IF(P509="DUP","Exact duplicate row",IF(T509=1,"Missing Order ID",IF(S509="DROP","Duplicate Order ID (less complete row)",IF(U509=1,"Missing Customer ID",IF(V509=1,"Missing Restaurant name",IF(W509=1,"Invalid/outlier quantity",IF(X509=1,"Invalid/outlier unit price",IF(Y509=1,"Discount greater than order value",""))))))))</f>
        <v/>
      </c>
      <c r="AC509" s="7" t="str">
        <f aca="false">IF(AB509="","KEEP","DROP")</f>
        <v>KEEP</v>
      </c>
      <c r="AD509" s="7" t="str">
        <f aca="false">IF(TRIM(F509)="",IFERROR(INDEX(Map_Tables!$I$4:$I$37,MATCH(TRIM(E509),Map_Tables!$G$4:$G$37,0)),""),IFERROR(INDEX(Map_Tables!$B$4:$B$18,MATCH(TRIM(F509),Map_Tables!$A$4:$A$18,0)),"CHECK"))</f>
        <v>Mumbai</v>
      </c>
      <c r="AE509" s="7" t="str">
        <f aca="false">IF(TRIM(E509)="","",IFERROR(INDEX(Map_Tables!$H$4:$H$37,MATCH(TRIM(E509),Map_Tables!$G$4:$G$37,0)),"CHECK"))</f>
        <v>Mumbai Pizza Co</v>
      </c>
      <c r="AF509" s="7" t="str">
        <f aca="false">IF(TRIM(K509)="","Unknown",IFERROR(INDEX(Map_Tables!$E$4:$E$15,MATCH(TRIM(K509),Map_Tables!$D$4:$D$15,0)),"CHECK"))</f>
        <v>Debit Card</v>
      </c>
      <c r="AG509" s="7" t="str">
        <f aca="false">IF(LEFT(LOWER(TRIM(L509)),6)="cancel","Cancelled","Delivered")</f>
        <v>Delivered</v>
      </c>
      <c r="AH509" s="10" t="n">
        <f aca="false">IF(ISNUMBER(SEARCH("/",B509)),DATE(VALUE(RIGHT(B509,4)),VALUE(MID(B509,4,2)),VALUE(LEFT(B509,2))),IF(MID(B509,5,1)="-",DATE(VALUE(LEFT(B509,4)),VALUE(MID(B509,6,2)),VALUE(RIGHT(B509,2))),DATE(VALUE(RIGHT(B509,4)),MATCH(MID(B509,4,3),{"Jan","Feb","Mar","Apr","May","Jun","Jul","Aug","Sep","Oct","Nov","Dec"},0),VALUE(LEFT(B509,2)))))</f>
        <v>45859</v>
      </c>
    </row>
    <row r="510" customFormat="false" ht="15" hidden="false" customHeight="false" outlineLevel="0" collapsed="false">
      <c r="A510" s="7" t="s">
        <v>1890</v>
      </c>
      <c r="B510" s="7" t="s">
        <v>1121</v>
      </c>
      <c r="C510" s="7" t="s">
        <v>1412</v>
      </c>
      <c r="D510" s="7" t="s">
        <v>1891</v>
      </c>
      <c r="E510" s="7" t="s">
        <v>104</v>
      </c>
      <c r="F510" s="7" t="s">
        <v>86</v>
      </c>
      <c r="G510" s="7" t="s">
        <v>105</v>
      </c>
      <c r="H510" s="7" t="n">
        <v>2</v>
      </c>
      <c r="I510" s="7" t="n">
        <v>225</v>
      </c>
      <c r="J510" s="7" t="n">
        <v>0</v>
      </c>
      <c r="K510" s="7" t="s">
        <v>102</v>
      </c>
      <c r="L510" s="7" t="s">
        <v>194</v>
      </c>
      <c r="M510" s="7" t="n">
        <v>40</v>
      </c>
      <c r="N510" s="7" t="n">
        <v>3</v>
      </c>
      <c r="O510" s="7" t="str">
        <f aca="false">A510&amp;"|"&amp;B510&amp;"|"&amp;C510&amp;"|"&amp;D510&amp;"|"&amp;E510&amp;"|"&amp;F510&amp;"|"&amp;G510&amp;"|"&amp;H510&amp;"|"&amp;I510&amp;"|"&amp;J510&amp;"|"&amp;K510&amp;"|"&amp;L510&amp;"|"&amp;M510&amp;"|"&amp;N510</f>
        <v>ORD11194|2025-05-31|22:25|C0115|Wok &amp; Roll|Bengaluru|Chinese|2|225|0|debit card|Delivered|40|3</v>
      </c>
      <c r="P510" s="7" t="str">
        <f aca="false">IF(COUNTIF($O$2:O510,O510)&gt;1,"DUP","OK")</f>
        <v>OK</v>
      </c>
      <c r="Q510" s="7" t="n">
        <f aca="false">COUNTBLANK(A510:N510)</f>
        <v>0</v>
      </c>
      <c r="R510" s="7" t="n">
        <f aca="false">IF(A510="",0,COUNTIFS($A$2:$A$3058,A510,$P$2:$P$3058,"OK"))</f>
        <v>1</v>
      </c>
      <c r="S510" s="7" t="str">
        <f aca="false">IF(OR(A510="",P510="DUP",R510&lt;2),"",IF(Q510=_xlfn.MINIFS($Q$2:$Q$3058,$A$2:$A$3058,A510,$P$2:$P$3058,"OK"),"KEEP","DROP"))</f>
        <v/>
      </c>
      <c r="T510" s="9" t="n">
        <f aca="false">IF(A510="",1,0)</f>
        <v>0</v>
      </c>
      <c r="U510" s="9" t="n">
        <f aca="false">IF(D510="",1,0)</f>
        <v>0</v>
      </c>
      <c r="V510" s="9" t="n">
        <f aca="false">IF(E510="",1,0)</f>
        <v>0</v>
      </c>
      <c r="W510" s="9" t="n">
        <f aca="false">IF(OR(H510&lt;1,H510&gt;10),1,0)</f>
        <v>0</v>
      </c>
      <c r="X510" s="9" t="n">
        <f aca="false">IF(OR(I510&lt;=0,I510&gt;1500),1,0)</f>
        <v>0</v>
      </c>
      <c r="Y510" s="9" t="n">
        <f aca="false">IF(J510&gt;H510*I510,1,0)</f>
        <v>0</v>
      </c>
      <c r="Z510" s="9" t="n">
        <f aca="false">IF(AND(N510&lt;&gt;"",OR(N510&lt;1,N510&gt;5)),1,0)</f>
        <v>0</v>
      </c>
      <c r="AA510" s="9" t="n">
        <f aca="false">IF(AND(M510&lt;&gt;"",OR(M510&lt;5,M510&gt;180)),1,0)</f>
        <v>0</v>
      </c>
      <c r="AB510" s="7" t="str">
        <f aca="false">IF(P510="DUP","Exact duplicate row",IF(T510=1,"Missing Order ID",IF(S510="DROP","Duplicate Order ID (less complete row)",IF(U510=1,"Missing Customer ID",IF(V510=1,"Missing Restaurant name",IF(W510=1,"Invalid/outlier quantity",IF(X510=1,"Invalid/outlier unit price",IF(Y510=1,"Discount greater than order value",""))))))))</f>
        <v/>
      </c>
      <c r="AC510" s="7" t="str">
        <f aca="false">IF(AB510="","KEEP","DROP")</f>
        <v>KEEP</v>
      </c>
      <c r="AD510" s="7" t="str">
        <f aca="false">IF(TRIM(F510)="",IFERROR(INDEX(Map_Tables!$I$4:$I$37,MATCH(TRIM(E510),Map_Tables!$G$4:$G$37,0)),""),IFERROR(INDEX(Map_Tables!$B$4:$B$18,MATCH(TRIM(F510),Map_Tables!$A$4:$A$18,0)),"CHECK"))</f>
        <v>Bengaluru</v>
      </c>
      <c r="AE510" s="7" t="str">
        <f aca="false">IF(TRIM(E510)="","",IFERROR(INDEX(Map_Tables!$H$4:$H$37,MATCH(TRIM(E510),Map_Tables!$G$4:$G$37,0)),"CHECK"))</f>
        <v>Wok &amp; Roll</v>
      </c>
      <c r="AF510" s="7" t="str">
        <f aca="false">IF(TRIM(K510)="","Unknown",IFERROR(INDEX(Map_Tables!$E$4:$E$15,MATCH(TRIM(K510),Map_Tables!$D$4:$D$15,0)),"CHECK"))</f>
        <v>Debit Card</v>
      </c>
      <c r="AG510" s="7" t="str">
        <f aca="false">IF(LEFT(LOWER(TRIM(L510)),6)="cancel","Cancelled","Delivered")</f>
        <v>Delivered</v>
      </c>
      <c r="AH510" s="10" t="n">
        <f aca="false">IF(ISNUMBER(SEARCH("/",B510)),DATE(VALUE(RIGHT(B510,4)),VALUE(MID(B510,4,2)),VALUE(LEFT(B510,2))),IF(MID(B510,5,1)="-",DATE(VALUE(LEFT(B510,4)),VALUE(MID(B510,6,2)),VALUE(RIGHT(B510,2))),DATE(VALUE(RIGHT(B510,4)),MATCH(MID(B510,4,3),{"Jan","Feb","Mar","Apr","May","Jun","Jul","Aug","Sep","Oct","Nov","Dec"},0),VALUE(LEFT(B510,2)))))</f>
        <v>45808</v>
      </c>
    </row>
    <row r="511" customFormat="false" ht="15" hidden="false" customHeight="false" outlineLevel="0" collapsed="false">
      <c r="A511" s="7" t="s">
        <v>1892</v>
      </c>
      <c r="B511" s="7" t="s">
        <v>1132</v>
      </c>
      <c r="C511" s="7" t="s">
        <v>1615</v>
      </c>
      <c r="D511" s="7" t="s">
        <v>997</v>
      </c>
      <c r="E511" s="7" t="s">
        <v>113</v>
      </c>
      <c r="F511" s="7" t="s">
        <v>215</v>
      </c>
      <c r="G511" s="7" t="s">
        <v>90</v>
      </c>
      <c r="H511" s="7" t="n">
        <v>1</v>
      </c>
      <c r="I511" s="7" t="n">
        <v>240</v>
      </c>
      <c r="J511" s="7" t="n">
        <v>0</v>
      </c>
      <c r="K511" s="7" t="s">
        <v>88</v>
      </c>
      <c r="L511" s="7" t="s">
        <v>194</v>
      </c>
      <c r="M511" s="7" t="n">
        <v>41</v>
      </c>
      <c r="N511" s="7" t="n">
        <v>4</v>
      </c>
      <c r="O511" s="7" t="str">
        <f aca="false">A511&amp;"|"&amp;B511&amp;"|"&amp;C511&amp;"|"&amp;D511&amp;"|"&amp;E511&amp;"|"&amp;F511&amp;"|"&amp;G511&amp;"|"&amp;H511&amp;"|"&amp;I511&amp;"|"&amp;J511&amp;"|"&amp;K511&amp;"|"&amp;L511&amp;"|"&amp;M511&amp;"|"&amp;N511</f>
        <v>ORD10685|2025-03-28|13:07|C1190|Curry Leaf Kitchen|MUMBAI|North Indian|1|240|0|UPI|Delivered|41|4</v>
      </c>
      <c r="P511" s="7" t="str">
        <f aca="false">IF(COUNTIF($O$2:O511,O511)&gt;1,"DUP","OK")</f>
        <v>OK</v>
      </c>
      <c r="Q511" s="7" t="n">
        <f aca="false">COUNTBLANK(A511:N511)</f>
        <v>0</v>
      </c>
      <c r="R511" s="7" t="n">
        <f aca="false">IF(A511="",0,COUNTIFS($A$2:$A$3058,A511,$P$2:$P$3058,"OK"))</f>
        <v>1</v>
      </c>
      <c r="S511" s="7" t="str">
        <f aca="false">IF(OR(A511="",P511="DUP",R511&lt;2),"",IF(Q511=_xlfn.MINIFS($Q$2:$Q$3058,$A$2:$A$3058,A511,$P$2:$P$3058,"OK"),"KEEP","DROP"))</f>
        <v/>
      </c>
      <c r="T511" s="9" t="n">
        <f aca="false">IF(A511="",1,0)</f>
        <v>0</v>
      </c>
      <c r="U511" s="9" t="n">
        <f aca="false">IF(D511="",1,0)</f>
        <v>0</v>
      </c>
      <c r="V511" s="9" t="n">
        <f aca="false">IF(E511="",1,0)</f>
        <v>0</v>
      </c>
      <c r="W511" s="9" t="n">
        <f aca="false">IF(OR(H511&lt;1,H511&gt;10),1,0)</f>
        <v>0</v>
      </c>
      <c r="X511" s="9" t="n">
        <f aca="false">IF(OR(I511&lt;=0,I511&gt;1500),1,0)</f>
        <v>0</v>
      </c>
      <c r="Y511" s="9" t="n">
        <f aca="false">IF(J511&gt;H511*I511,1,0)</f>
        <v>0</v>
      </c>
      <c r="Z511" s="9" t="n">
        <f aca="false">IF(AND(N511&lt;&gt;"",OR(N511&lt;1,N511&gt;5)),1,0)</f>
        <v>0</v>
      </c>
      <c r="AA511" s="9" t="n">
        <f aca="false">IF(AND(M511&lt;&gt;"",OR(M511&lt;5,M511&gt;180)),1,0)</f>
        <v>0</v>
      </c>
      <c r="AB511" s="7" t="str">
        <f aca="false">IF(P511="DUP","Exact duplicate row",IF(T511=1,"Missing Order ID",IF(S511="DROP","Duplicate Order ID (less complete row)",IF(U511=1,"Missing Customer ID",IF(V511=1,"Missing Restaurant name",IF(W511=1,"Invalid/outlier quantity",IF(X511=1,"Invalid/outlier unit price",IF(Y511=1,"Discount greater than order value",""))))))))</f>
        <v/>
      </c>
      <c r="AC511" s="7" t="str">
        <f aca="false">IF(AB511="","KEEP","DROP")</f>
        <v>KEEP</v>
      </c>
      <c r="AD511" s="7" t="str">
        <f aca="false">IF(TRIM(F511)="",IFERROR(INDEX(Map_Tables!$I$4:$I$37,MATCH(TRIM(E511),Map_Tables!$G$4:$G$37,0)),""),IFERROR(INDEX(Map_Tables!$B$4:$B$18,MATCH(TRIM(F511),Map_Tables!$A$4:$A$18,0)),"CHECK"))</f>
        <v>Mumbai</v>
      </c>
      <c r="AE511" s="7" t="str">
        <f aca="false">IF(TRIM(E511)="","",IFERROR(INDEX(Map_Tables!$H$4:$H$37,MATCH(TRIM(E511),Map_Tables!$G$4:$G$37,0)),"CHECK"))</f>
        <v>Curry Leaf Kitchen</v>
      </c>
      <c r="AF511" s="7" t="str">
        <f aca="false">IF(TRIM(K511)="","Unknown",IFERROR(INDEX(Map_Tables!$E$4:$E$15,MATCH(TRIM(K511),Map_Tables!$D$4:$D$15,0)),"CHECK"))</f>
        <v>UPI</v>
      </c>
      <c r="AG511" s="7" t="str">
        <f aca="false">IF(LEFT(LOWER(TRIM(L511)),6)="cancel","Cancelled","Delivered")</f>
        <v>Delivered</v>
      </c>
      <c r="AH511" s="10" t="n">
        <f aca="false">IF(ISNUMBER(SEARCH("/",B511)),DATE(VALUE(RIGHT(B511,4)),VALUE(MID(B511,4,2)),VALUE(LEFT(B511,2))),IF(MID(B511,5,1)="-",DATE(VALUE(LEFT(B511,4)),VALUE(MID(B511,6,2)),VALUE(RIGHT(B511,2))),DATE(VALUE(RIGHT(B511,4)),MATCH(MID(B511,4,3),{"Jan","Feb","Mar","Apr","May","Jun","Jul","Aug","Sep","Oct","Nov","Dec"},0),VALUE(LEFT(B511,2)))))</f>
        <v>45744</v>
      </c>
    </row>
    <row r="512" customFormat="false" ht="15" hidden="false" customHeight="false" outlineLevel="0" collapsed="false">
      <c r="A512" s="7" t="s">
        <v>1893</v>
      </c>
      <c r="B512" s="7" t="s">
        <v>1894</v>
      </c>
      <c r="C512" s="7" t="s">
        <v>296</v>
      </c>
      <c r="D512" s="7" t="s">
        <v>1895</v>
      </c>
      <c r="E512" s="7" t="s">
        <v>104</v>
      </c>
      <c r="F512" s="7" t="s">
        <v>86</v>
      </c>
      <c r="G512" s="7" t="s">
        <v>105</v>
      </c>
      <c r="H512" s="7" t="n">
        <v>1</v>
      </c>
      <c r="I512" s="7" t="n">
        <v>255</v>
      </c>
      <c r="J512" s="7" t="n">
        <v>0</v>
      </c>
      <c r="K512" s="7" t="s">
        <v>87</v>
      </c>
      <c r="L512" s="7" t="s">
        <v>194</v>
      </c>
      <c r="M512" s="7" t="n">
        <v>43</v>
      </c>
      <c r="N512" s="7" t="n">
        <v>4</v>
      </c>
      <c r="O512" s="7" t="str">
        <f aca="false">A512&amp;"|"&amp;B512&amp;"|"&amp;C512&amp;"|"&amp;D512&amp;"|"&amp;E512&amp;"|"&amp;F512&amp;"|"&amp;G512&amp;"|"&amp;H512&amp;"|"&amp;I512&amp;"|"&amp;J512&amp;"|"&amp;K512&amp;"|"&amp;L512&amp;"|"&amp;M512&amp;"|"&amp;N512</f>
        <v>ORD10254|2025-02-02|21:06|C0725|Wok &amp; Roll|Bengaluru|Chinese|1|255|0|upi|Delivered|43|4</v>
      </c>
      <c r="P512" s="7" t="str">
        <f aca="false">IF(COUNTIF($O$2:O512,O512)&gt;1,"DUP","OK")</f>
        <v>OK</v>
      </c>
      <c r="Q512" s="7" t="n">
        <f aca="false">COUNTBLANK(A512:N512)</f>
        <v>0</v>
      </c>
      <c r="R512" s="7" t="n">
        <f aca="false">IF(A512="",0,COUNTIFS($A$2:$A$3058,A512,$P$2:$P$3058,"OK"))</f>
        <v>1</v>
      </c>
      <c r="S512" s="7" t="str">
        <f aca="false">IF(OR(A512="",P512="DUP",R512&lt;2),"",IF(Q512=_xlfn.MINIFS($Q$2:$Q$3058,$A$2:$A$3058,A512,$P$2:$P$3058,"OK"),"KEEP","DROP"))</f>
        <v/>
      </c>
      <c r="T512" s="9" t="n">
        <f aca="false">IF(A512="",1,0)</f>
        <v>0</v>
      </c>
      <c r="U512" s="9" t="n">
        <f aca="false">IF(D512="",1,0)</f>
        <v>0</v>
      </c>
      <c r="V512" s="9" t="n">
        <f aca="false">IF(E512="",1,0)</f>
        <v>0</v>
      </c>
      <c r="W512" s="9" t="n">
        <f aca="false">IF(OR(H512&lt;1,H512&gt;10),1,0)</f>
        <v>0</v>
      </c>
      <c r="X512" s="9" t="n">
        <f aca="false">IF(OR(I512&lt;=0,I512&gt;1500),1,0)</f>
        <v>0</v>
      </c>
      <c r="Y512" s="9" t="n">
        <f aca="false">IF(J512&gt;H512*I512,1,0)</f>
        <v>0</v>
      </c>
      <c r="Z512" s="9" t="n">
        <f aca="false">IF(AND(N512&lt;&gt;"",OR(N512&lt;1,N512&gt;5)),1,0)</f>
        <v>0</v>
      </c>
      <c r="AA512" s="9" t="n">
        <f aca="false">IF(AND(M512&lt;&gt;"",OR(M512&lt;5,M512&gt;180)),1,0)</f>
        <v>0</v>
      </c>
      <c r="AB512" s="7" t="str">
        <f aca="false">IF(P512="DUP","Exact duplicate row",IF(T512=1,"Missing Order ID",IF(S512="DROP","Duplicate Order ID (less complete row)",IF(U512=1,"Missing Customer ID",IF(V512=1,"Missing Restaurant name",IF(W512=1,"Invalid/outlier quantity",IF(X512=1,"Invalid/outlier unit price",IF(Y512=1,"Discount greater than order value",""))))))))</f>
        <v/>
      </c>
      <c r="AC512" s="7" t="str">
        <f aca="false">IF(AB512="","KEEP","DROP")</f>
        <v>KEEP</v>
      </c>
      <c r="AD512" s="7" t="str">
        <f aca="false">IF(TRIM(F512)="",IFERROR(INDEX(Map_Tables!$I$4:$I$37,MATCH(TRIM(E512),Map_Tables!$G$4:$G$37,0)),""),IFERROR(INDEX(Map_Tables!$B$4:$B$18,MATCH(TRIM(F512),Map_Tables!$A$4:$A$18,0)),"CHECK"))</f>
        <v>Bengaluru</v>
      </c>
      <c r="AE512" s="7" t="str">
        <f aca="false">IF(TRIM(E512)="","",IFERROR(INDEX(Map_Tables!$H$4:$H$37,MATCH(TRIM(E512),Map_Tables!$G$4:$G$37,0)),"CHECK"))</f>
        <v>Wok &amp; Roll</v>
      </c>
      <c r="AF512" s="7" t="str">
        <f aca="false">IF(TRIM(K512)="","Unknown",IFERROR(INDEX(Map_Tables!$E$4:$E$15,MATCH(TRIM(K512),Map_Tables!$D$4:$D$15,0)),"CHECK"))</f>
        <v>UPI</v>
      </c>
      <c r="AG512" s="7" t="str">
        <f aca="false">IF(LEFT(LOWER(TRIM(L512)),6)="cancel","Cancelled","Delivered")</f>
        <v>Delivered</v>
      </c>
      <c r="AH512" s="10" t="n">
        <f aca="false">IF(ISNUMBER(SEARCH("/",B512)),DATE(VALUE(RIGHT(B512,4)),VALUE(MID(B512,4,2)),VALUE(LEFT(B512,2))),IF(MID(B512,5,1)="-",DATE(VALUE(LEFT(B512,4)),VALUE(MID(B512,6,2)),VALUE(RIGHT(B512,2))),DATE(VALUE(RIGHT(B512,4)),MATCH(MID(B512,4,3),{"Jan","Feb","Mar","Apr","May","Jun","Jul","Aug","Sep","Oct","Nov","Dec"},0),VALUE(LEFT(B512,2)))))</f>
        <v>45690</v>
      </c>
    </row>
    <row r="513" customFormat="false" ht="15" hidden="false" customHeight="false" outlineLevel="0" collapsed="false">
      <c r="A513" s="7" t="s">
        <v>1896</v>
      </c>
      <c r="B513" s="7" t="s">
        <v>1897</v>
      </c>
      <c r="C513" s="7" t="s">
        <v>1562</v>
      </c>
      <c r="D513" s="7" t="s">
        <v>830</v>
      </c>
      <c r="E513" s="7" t="s">
        <v>159</v>
      </c>
      <c r="F513" s="7" t="s">
        <v>136</v>
      </c>
      <c r="G513" s="7" t="s">
        <v>90</v>
      </c>
      <c r="H513" s="7" t="n">
        <v>4</v>
      </c>
      <c r="I513" s="7" t="n">
        <v>195</v>
      </c>
      <c r="J513" s="7" t="n">
        <v>0</v>
      </c>
      <c r="K513" s="7" t="s">
        <v>93</v>
      </c>
      <c r="L513" s="7" t="s">
        <v>194</v>
      </c>
      <c r="M513" s="7" t="n">
        <v>34</v>
      </c>
      <c r="N513" s="7" t="n">
        <v>5</v>
      </c>
      <c r="O513" s="7" t="str">
        <f aca="false">A513&amp;"|"&amp;B513&amp;"|"&amp;C513&amp;"|"&amp;D513&amp;"|"&amp;E513&amp;"|"&amp;F513&amp;"|"&amp;G513&amp;"|"&amp;H513&amp;"|"&amp;I513&amp;"|"&amp;J513&amp;"|"&amp;K513&amp;"|"&amp;L513&amp;"|"&amp;M513&amp;"|"&amp;N513</f>
        <v>ORD12248|12/10/2025|20:07|C1148|Maratha Thali House|Pune|North Indian|4|195|0|Credit Card|Delivered|34|5</v>
      </c>
      <c r="P513" s="7" t="str">
        <f aca="false">IF(COUNTIF($O$2:O513,O513)&gt;1,"DUP","OK")</f>
        <v>OK</v>
      </c>
      <c r="Q513" s="7" t="n">
        <f aca="false">COUNTBLANK(A513:N513)</f>
        <v>0</v>
      </c>
      <c r="R513" s="7" t="n">
        <f aca="false">IF(A513="",0,COUNTIFS($A$2:$A$3058,A513,$P$2:$P$3058,"OK"))</f>
        <v>1</v>
      </c>
      <c r="S513" s="7" t="str">
        <f aca="false">IF(OR(A513="",P513="DUP",R513&lt;2),"",IF(Q513=_xlfn.MINIFS($Q$2:$Q$3058,$A$2:$A$3058,A513,$P$2:$P$3058,"OK"),"KEEP","DROP"))</f>
        <v/>
      </c>
      <c r="T513" s="9" t="n">
        <f aca="false">IF(A513="",1,0)</f>
        <v>0</v>
      </c>
      <c r="U513" s="9" t="n">
        <f aca="false">IF(D513="",1,0)</f>
        <v>0</v>
      </c>
      <c r="V513" s="9" t="n">
        <f aca="false">IF(E513="",1,0)</f>
        <v>0</v>
      </c>
      <c r="W513" s="9" t="n">
        <f aca="false">IF(OR(H513&lt;1,H513&gt;10),1,0)</f>
        <v>0</v>
      </c>
      <c r="X513" s="9" t="n">
        <f aca="false">IF(OR(I513&lt;=0,I513&gt;1500),1,0)</f>
        <v>0</v>
      </c>
      <c r="Y513" s="9" t="n">
        <f aca="false">IF(J513&gt;H513*I513,1,0)</f>
        <v>0</v>
      </c>
      <c r="Z513" s="9" t="n">
        <f aca="false">IF(AND(N513&lt;&gt;"",OR(N513&lt;1,N513&gt;5)),1,0)</f>
        <v>0</v>
      </c>
      <c r="AA513" s="9" t="n">
        <f aca="false">IF(AND(M513&lt;&gt;"",OR(M513&lt;5,M513&gt;180)),1,0)</f>
        <v>0</v>
      </c>
      <c r="AB513" s="7" t="str">
        <f aca="false">IF(P513="DUP","Exact duplicate row",IF(T513=1,"Missing Order ID",IF(S513="DROP","Duplicate Order ID (less complete row)",IF(U513=1,"Missing Customer ID",IF(V513=1,"Missing Restaurant name",IF(W513=1,"Invalid/outlier quantity",IF(X513=1,"Invalid/outlier unit price",IF(Y513=1,"Discount greater than order value",""))))))))</f>
        <v/>
      </c>
      <c r="AC513" s="7" t="str">
        <f aca="false">IF(AB513="","KEEP","DROP")</f>
        <v>KEEP</v>
      </c>
      <c r="AD513" s="7" t="str">
        <f aca="false">IF(TRIM(F513)="",IFERROR(INDEX(Map_Tables!$I$4:$I$37,MATCH(TRIM(E513),Map_Tables!$G$4:$G$37,0)),""),IFERROR(INDEX(Map_Tables!$B$4:$B$18,MATCH(TRIM(F513),Map_Tables!$A$4:$A$18,0)),"CHECK"))</f>
        <v>Pune</v>
      </c>
      <c r="AE513" s="7" t="str">
        <f aca="false">IF(TRIM(E513)="","",IFERROR(INDEX(Map_Tables!$H$4:$H$37,MATCH(TRIM(E513),Map_Tables!$G$4:$G$37,0)),"CHECK"))</f>
        <v>Maratha Thali House</v>
      </c>
      <c r="AF513" s="7" t="str">
        <f aca="false">IF(TRIM(K513)="","Unknown",IFERROR(INDEX(Map_Tables!$E$4:$E$15,MATCH(TRIM(K513),Map_Tables!$D$4:$D$15,0)),"CHECK"))</f>
        <v>Credit Card</v>
      </c>
      <c r="AG513" s="7" t="str">
        <f aca="false">IF(LEFT(LOWER(TRIM(L513)),6)="cancel","Cancelled","Delivered")</f>
        <v>Delivered</v>
      </c>
      <c r="AH513" s="10" t="n">
        <f aca="false">IF(ISNUMBER(SEARCH("/",B513)),DATE(VALUE(RIGHT(B513,4)),VALUE(MID(B513,4,2)),VALUE(LEFT(B513,2))),IF(MID(B513,5,1)="-",DATE(VALUE(LEFT(B513,4)),VALUE(MID(B513,6,2)),VALUE(RIGHT(B513,2))),DATE(VALUE(RIGHT(B513,4)),MATCH(MID(B513,4,3),{"Jan","Feb","Mar","Apr","May","Jun","Jul","Aug","Sep","Oct","Nov","Dec"},0),VALUE(LEFT(B513,2)))))</f>
        <v>45942</v>
      </c>
    </row>
    <row r="514" customFormat="false" ht="15" hidden="false" customHeight="false" outlineLevel="0" collapsed="false">
      <c r="A514" s="7" t="s">
        <v>1898</v>
      </c>
      <c r="B514" s="7" t="s">
        <v>1287</v>
      </c>
      <c r="C514" s="7" t="s">
        <v>1899</v>
      </c>
      <c r="D514" s="7" t="s">
        <v>766</v>
      </c>
      <c r="E514" s="7" t="s">
        <v>162</v>
      </c>
      <c r="F514" s="7" t="s">
        <v>141</v>
      </c>
      <c r="G514" s="7" t="s">
        <v>117</v>
      </c>
      <c r="H514" s="7" t="n">
        <v>2</v>
      </c>
      <c r="I514" s="7" t="n">
        <v>125</v>
      </c>
      <c r="J514" s="7" t="n">
        <v>0</v>
      </c>
      <c r="K514" s="7" t="s">
        <v>121</v>
      </c>
      <c r="L514" s="7" t="s">
        <v>238</v>
      </c>
      <c r="M514" s="7"/>
      <c r="N514" s="7"/>
      <c r="O514" s="7" t="str">
        <f aca="false">A514&amp;"|"&amp;B514&amp;"|"&amp;C514&amp;"|"&amp;D514&amp;"|"&amp;E514&amp;"|"&amp;F514&amp;"|"&amp;G514&amp;"|"&amp;H514&amp;"|"&amp;I514&amp;"|"&amp;J514&amp;"|"&amp;K514&amp;"|"&amp;L514&amp;"|"&amp;M514&amp;"|"&amp;N514</f>
        <v>ORD12946|2025-12-26|11:19|C1437|Kolkata Roll Centre|Kolkata|Street Food|2|125|0|Wallet|Cancelled||</v>
      </c>
      <c r="P514" s="7" t="str">
        <f aca="false">IF(COUNTIF($O$2:O514,O514)&gt;1,"DUP","OK")</f>
        <v>OK</v>
      </c>
      <c r="Q514" s="7" t="n">
        <f aca="false">COUNTBLANK(A514:N514)</f>
        <v>2</v>
      </c>
      <c r="R514" s="7" t="n">
        <f aca="false">IF(A514="",0,COUNTIFS($A$2:$A$3058,A514,$P$2:$P$3058,"OK"))</f>
        <v>1</v>
      </c>
      <c r="S514" s="7" t="str">
        <f aca="false">IF(OR(A514="",P514="DUP",R514&lt;2),"",IF(Q514=_xlfn.MINIFS($Q$2:$Q$3058,$A$2:$A$3058,A514,$P$2:$P$3058,"OK"),"KEEP","DROP"))</f>
        <v/>
      </c>
      <c r="T514" s="9" t="n">
        <f aca="false">IF(A514="",1,0)</f>
        <v>0</v>
      </c>
      <c r="U514" s="9" t="n">
        <f aca="false">IF(D514="",1,0)</f>
        <v>0</v>
      </c>
      <c r="V514" s="9" t="n">
        <f aca="false">IF(E514="",1,0)</f>
        <v>0</v>
      </c>
      <c r="W514" s="9" t="n">
        <f aca="false">IF(OR(H514&lt;1,H514&gt;10),1,0)</f>
        <v>0</v>
      </c>
      <c r="X514" s="9" t="n">
        <f aca="false">IF(OR(I514&lt;=0,I514&gt;1500),1,0)</f>
        <v>0</v>
      </c>
      <c r="Y514" s="9" t="n">
        <f aca="false">IF(J514&gt;H514*I514,1,0)</f>
        <v>0</v>
      </c>
      <c r="Z514" s="9" t="n">
        <f aca="false">IF(AND(N514&lt;&gt;"",OR(N514&lt;1,N514&gt;5)),1,0)</f>
        <v>0</v>
      </c>
      <c r="AA514" s="9" t="n">
        <f aca="false">IF(AND(M514&lt;&gt;"",OR(M514&lt;5,M514&gt;180)),1,0)</f>
        <v>0</v>
      </c>
      <c r="AB514" s="7" t="str">
        <f aca="false">IF(P514="DUP","Exact duplicate row",IF(T514=1,"Missing Order ID",IF(S514="DROP","Duplicate Order ID (less complete row)",IF(U514=1,"Missing Customer ID",IF(V514=1,"Missing Restaurant name",IF(W514=1,"Invalid/outlier quantity",IF(X514=1,"Invalid/outlier unit price",IF(Y514=1,"Discount greater than order value",""))))))))</f>
        <v/>
      </c>
      <c r="AC514" s="7" t="str">
        <f aca="false">IF(AB514="","KEEP","DROP")</f>
        <v>KEEP</v>
      </c>
      <c r="AD514" s="7" t="str">
        <f aca="false">IF(TRIM(F514)="",IFERROR(INDEX(Map_Tables!$I$4:$I$37,MATCH(TRIM(E514),Map_Tables!$G$4:$G$37,0)),""),IFERROR(INDEX(Map_Tables!$B$4:$B$18,MATCH(TRIM(F514),Map_Tables!$A$4:$A$18,0)),"CHECK"))</f>
        <v>Kolkata</v>
      </c>
      <c r="AE514" s="7" t="str">
        <f aca="false">IF(TRIM(E514)="","",IFERROR(INDEX(Map_Tables!$H$4:$H$37,MATCH(TRIM(E514),Map_Tables!$G$4:$G$37,0)),"CHECK"))</f>
        <v>Kolkata Roll Centre</v>
      </c>
      <c r="AF514" s="7" t="str">
        <f aca="false">IF(TRIM(K514)="","Unknown",IFERROR(INDEX(Map_Tables!$E$4:$E$15,MATCH(TRIM(K514),Map_Tables!$D$4:$D$15,0)),"CHECK"))</f>
        <v>Wallet</v>
      </c>
      <c r="AG514" s="7" t="str">
        <f aca="false">IF(LEFT(LOWER(TRIM(L514)),6)="cancel","Cancelled","Delivered")</f>
        <v>Cancelled</v>
      </c>
      <c r="AH514" s="10" t="n">
        <f aca="false">IF(ISNUMBER(SEARCH("/",B514)),DATE(VALUE(RIGHT(B514,4)),VALUE(MID(B514,4,2)),VALUE(LEFT(B514,2))),IF(MID(B514,5,1)="-",DATE(VALUE(LEFT(B514,4)),VALUE(MID(B514,6,2)),VALUE(RIGHT(B514,2))),DATE(VALUE(RIGHT(B514,4)),MATCH(MID(B514,4,3),{"Jan","Feb","Mar","Apr","May","Jun","Jul","Aug","Sep","Oct","Nov","Dec"},0),VALUE(LEFT(B514,2)))))</f>
        <v>46017</v>
      </c>
    </row>
    <row r="515" customFormat="false" ht="15" hidden="false" customHeight="false" outlineLevel="0" collapsed="false">
      <c r="A515" s="7" t="s">
        <v>1900</v>
      </c>
      <c r="B515" s="7" t="s">
        <v>334</v>
      </c>
      <c r="C515" s="7" t="s">
        <v>1901</v>
      </c>
      <c r="D515" s="7" t="s">
        <v>1902</v>
      </c>
      <c r="E515" s="7" t="s">
        <v>144</v>
      </c>
      <c r="F515" s="7" t="s">
        <v>119</v>
      </c>
      <c r="G515" s="7" t="s">
        <v>99</v>
      </c>
      <c r="H515" s="7" t="n">
        <v>2</v>
      </c>
      <c r="I515" s="7" t="n">
        <v>330</v>
      </c>
      <c r="J515" s="7" t="n">
        <v>0</v>
      </c>
      <c r="K515" s="7" t="s">
        <v>88</v>
      </c>
      <c r="L515" s="7" t="s">
        <v>194</v>
      </c>
      <c r="M515" s="7" t="n">
        <v>35</v>
      </c>
      <c r="N515" s="7" t="n">
        <v>5</v>
      </c>
      <c r="O515" s="7" t="str">
        <f aca="false">A515&amp;"|"&amp;B515&amp;"|"&amp;C515&amp;"|"&amp;D515&amp;"|"&amp;E515&amp;"|"&amp;F515&amp;"|"&amp;G515&amp;"|"&amp;H515&amp;"|"&amp;I515&amp;"|"&amp;J515&amp;"|"&amp;K515&amp;"|"&amp;L515&amp;"|"&amp;M515&amp;"|"&amp;N515</f>
        <v>ORD10296|2025-02-09|18:33|C0696|Hyderabad Dum Biryani|Hyderabad|Biryani|2|330|0|UPI|Delivered|35|5</v>
      </c>
      <c r="P515" s="7" t="str">
        <f aca="false">IF(COUNTIF($O$2:O515,O515)&gt;1,"DUP","OK")</f>
        <v>OK</v>
      </c>
      <c r="Q515" s="7" t="n">
        <f aca="false">COUNTBLANK(A515:N515)</f>
        <v>0</v>
      </c>
      <c r="R515" s="7" t="n">
        <f aca="false">IF(A515="",0,COUNTIFS($A$2:$A$3058,A515,$P$2:$P$3058,"OK"))</f>
        <v>1</v>
      </c>
      <c r="S515" s="7" t="str">
        <f aca="false">IF(OR(A515="",P515="DUP",R515&lt;2),"",IF(Q515=_xlfn.MINIFS($Q$2:$Q$3058,$A$2:$A$3058,A515,$P$2:$P$3058,"OK"),"KEEP","DROP"))</f>
        <v/>
      </c>
      <c r="T515" s="9" t="n">
        <f aca="false">IF(A515="",1,0)</f>
        <v>0</v>
      </c>
      <c r="U515" s="9" t="n">
        <f aca="false">IF(D515="",1,0)</f>
        <v>0</v>
      </c>
      <c r="V515" s="9" t="n">
        <f aca="false">IF(E515="",1,0)</f>
        <v>0</v>
      </c>
      <c r="W515" s="9" t="n">
        <f aca="false">IF(OR(H515&lt;1,H515&gt;10),1,0)</f>
        <v>0</v>
      </c>
      <c r="X515" s="9" t="n">
        <f aca="false">IF(OR(I515&lt;=0,I515&gt;1500),1,0)</f>
        <v>0</v>
      </c>
      <c r="Y515" s="9" t="n">
        <f aca="false">IF(J515&gt;H515*I515,1,0)</f>
        <v>0</v>
      </c>
      <c r="Z515" s="9" t="n">
        <f aca="false">IF(AND(N515&lt;&gt;"",OR(N515&lt;1,N515&gt;5)),1,0)</f>
        <v>0</v>
      </c>
      <c r="AA515" s="9" t="n">
        <f aca="false">IF(AND(M515&lt;&gt;"",OR(M515&lt;5,M515&gt;180)),1,0)</f>
        <v>0</v>
      </c>
      <c r="AB515" s="7" t="str">
        <f aca="false">IF(P515="DUP","Exact duplicate row",IF(T515=1,"Missing Order ID",IF(S515="DROP","Duplicate Order ID (less complete row)",IF(U515=1,"Missing Customer ID",IF(V515=1,"Missing Restaurant name",IF(W515=1,"Invalid/outlier quantity",IF(X515=1,"Invalid/outlier unit price",IF(Y515=1,"Discount greater than order value",""))))))))</f>
        <v/>
      </c>
      <c r="AC515" s="7" t="str">
        <f aca="false">IF(AB515="","KEEP","DROP")</f>
        <v>KEEP</v>
      </c>
      <c r="AD515" s="7" t="str">
        <f aca="false">IF(TRIM(F515)="",IFERROR(INDEX(Map_Tables!$I$4:$I$37,MATCH(TRIM(E515),Map_Tables!$G$4:$G$37,0)),""),IFERROR(INDEX(Map_Tables!$B$4:$B$18,MATCH(TRIM(F515),Map_Tables!$A$4:$A$18,0)),"CHECK"))</f>
        <v>Hyderabad</v>
      </c>
      <c r="AE515" s="7" t="str">
        <f aca="false">IF(TRIM(E515)="","",IFERROR(INDEX(Map_Tables!$H$4:$H$37,MATCH(TRIM(E515),Map_Tables!$G$4:$G$37,0)),"CHECK"))</f>
        <v>Hyderabad Dum Biryani</v>
      </c>
      <c r="AF515" s="7" t="str">
        <f aca="false">IF(TRIM(K515)="","Unknown",IFERROR(INDEX(Map_Tables!$E$4:$E$15,MATCH(TRIM(K515),Map_Tables!$D$4:$D$15,0)),"CHECK"))</f>
        <v>UPI</v>
      </c>
      <c r="AG515" s="7" t="str">
        <f aca="false">IF(LEFT(LOWER(TRIM(L515)),6)="cancel","Cancelled","Delivered")</f>
        <v>Delivered</v>
      </c>
      <c r="AH515" s="10" t="n">
        <f aca="false">IF(ISNUMBER(SEARCH("/",B515)),DATE(VALUE(RIGHT(B515,4)),VALUE(MID(B515,4,2)),VALUE(LEFT(B515,2))),IF(MID(B515,5,1)="-",DATE(VALUE(LEFT(B515,4)),VALUE(MID(B515,6,2)),VALUE(RIGHT(B515,2))),DATE(VALUE(RIGHT(B515,4)),MATCH(MID(B515,4,3),{"Jan","Feb","Mar","Apr","May","Jun","Jul","Aug","Sep","Oct","Nov","Dec"},0),VALUE(LEFT(B515,2)))))</f>
        <v>45697</v>
      </c>
    </row>
    <row r="516" customFormat="false" ht="15" hidden="false" customHeight="false" outlineLevel="0" collapsed="false">
      <c r="A516" s="7" t="s">
        <v>1903</v>
      </c>
      <c r="B516" s="7" t="s">
        <v>1904</v>
      </c>
      <c r="C516" s="7" t="s">
        <v>976</v>
      </c>
      <c r="D516" s="7" t="s">
        <v>1905</v>
      </c>
      <c r="E516" s="7" t="s">
        <v>98</v>
      </c>
      <c r="F516" s="7" t="s">
        <v>86</v>
      </c>
      <c r="G516" s="7" t="s">
        <v>99</v>
      </c>
      <c r="H516" s="7" t="n">
        <v>2</v>
      </c>
      <c r="I516" s="7" t="n">
        <v>255</v>
      </c>
      <c r="J516" s="7" t="n">
        <v>30</v>
      </c>
      <c r="K516" s="7" t="s">
        <v>526</v>
      </c>
      <c r="L516" s="7" t="s">
        <v>194</v>
      </c>
      <c r="M516" s="7" t="n">
        <v>45</v>
      </c>
      <c r="N516" s="7" t="n">
        <v>5</v>
      </c>
      <c r="O516" s="7" t="str">
        <f aca="false">A516&amp;"|"&amp;B516&amp;"|"&amp;C516&amp;"|"&amp;D516&amp;"|"&amp;E516&amp;"|"&amp;F516&amp;"|"&amp;G516&amp;"|"&amp;H516&amp;"|"&amp;I516&amp;"|"&amp;J516&amp;"|"&amp;K516&amp;"|"&amp;L516&amp;"|"&amp;M516&amp;"|"&amp;N516</f>
        <v>ORD11455|2025-07-08|20:20|C0378|Nawabi Biryani House|Bengaluru|Biryani|2|255|30|DC|Delivered|45|5</v>
      </c>
      <c r="P516" s="7" t="str">
        <f aca="false">IF(COUNTIF($O$2:O516,O516)&gt;1,"DUP","OK")</f>
        <v>OK</v>
      </c>
      <c r="Q516" s="7" t="n">
        <f aca="false">COUNTBLANK(A516:N516)</f>
        <v>0</v>
      </c>
      <c r="R516" s="7" t="n">
        <f aca="false">IF(A516="",0,COUNTIFS($A$2:$A$3058,A516,$P$2:$P$3058,"OK"))</f>
        <v>1</v>
      </c>
      <c r="S516" s="7" t="str">
        <f aca="false">IF(OR(A516="",P516="DUP",R516&lt;2),"",IF(Q516=_xlfn.MINIFS($Q$2:$Q$3058,$A$2:$A$3058,A516,$P$2:$P$3058,"OK"),"KEEP","DROP"))</f>
        <v/>
      </c>
      <c r="T516" s="9" t="n">
        <f aca="false">IF(A516="",1,0)</f>
        <v>0</v>
      </c>
      <c r="U516" s="9" t="n">
        <f aca="false">IF(D516="",1,0)</f>
        <v>0</v>
      </c>
      <c r="V516" s="9" t="n">
        <f aca="false">IF(E516="",1,0)</f>
        <v>0</v>
      </c>
      <c r="W516" s="9" t="n">
        <f aca="false">IF(OR(H516&lt;1,H516&gt;10),1,0)</f>
        <v>0</v>
      </c>
      <c r="X516" s="9" t="n">
        <f aca="false">IF(OR(I516&lt;=0,I516&gt;1500),1,0)</f>
        <v>0</v>
      </c>
      <c r="Y516" s="9" t="n">
        <f aca="false">IF(J516&gt;H516*I516,1,0)</f>
        <v>0</v>
      </c>
      <c r="Z516" s="9" t="n">
        <f aca="false">IF(AND(N516&lt;&gt;"",OR(N516&lt;1,N516&gt;5)),1,0)</f>
        <v>0</v>
      </c>
      <c r="AA516" s="9" t="n">
        <f aca="false">IF(AND(M516&lt;&gt;"",OR(M516&lt;5,M516&gt;180)),1,0)</f>
        <v>0</v>
      </c>
      <c r="AB516" s="7" t="str">
        <f aca="false">IF(P516="DUP","Exact duplicate row",IF(T516=1,"Missing Order ID",IF(S516="DROP","Duplicate Order ID (less complete row)",IF(U516=1,"Missing Customer ID",IF(V516=1,"Missing Restaurant name",IF(W516=1,"Invalid/outlier quantity",IF(X516=1,"Invalid/outlier unit price",IF(Y516=1,"Discount greater than order value",""))))))))</f>
        <v/>
      </c>
      <c r="AC516" s="7" t="str">
        <f aca="false">IF(AB516="","KEEP","DROP")</f>
        <v>KEEP</v>
      </c>
      <c r="AD516" s="7" t="str">
        <f aca="false">IF(TRIM(F516)="",IFERROR(INDEX(Map_Tables!$I$4:$I$37,MATCH(TRIM(E516),Map_Tables!$G$4:$G$37,0)),""),IFERROR(INDEX(Map_Tables!$B$4:$B$18,MATCH(TRIM(F516),Map_Tables!$A$4:$A$18,0)),"CHECK"))</f>
        <v>Bengaluru</v>
      </c>
      <c r="AE516" s="7" t="str">
        <f aca="false">IF(TRIM(E516)="","",IFERROR(INDEX(Map_Tables!$H$4:$H$37,MATCH(TRIM(E516),Map_Tables!$G$4:$G$37,0)),"CHECK"))</f>
        <v>Nawabi Biryani House</v>
      </c>
      <c r="AF516" s="7" t="str">
        <f aca="false">IF(TRIM(K516)="","Unknown",IFERROR(INDEX(Map_Tables!$E$4:$E$15,MATCH(TRIM(K516),Map_Tables!$D$4:$D$15,0)),"CHECK"))</f>
        <v>Debit Card</v>
      </c>
      <c r="AG516" s="7" t="str">
        <f aca="false">IF(LEFT(LOWER(TRIM(L516)),6)="cancel","Cancelled","Delivered")</f>
        <v>Delivered</v>
      </c>
      <c r="AH516" s="10" t="n">
        <f aca="false">IF(ISNUMBER(SEARCH("/",B516)),DATE(VALUE(RIGHT(B516,4)),VALUE(MID(B516,4,2)),VALUE(LEFT(B516,2))),IF(MID(B516,5,1)="-",DATE(VALUE(LEFT(B516,4)),VALUE(MID(B516,6,2)),VALUE(RIGHT(B516,2))),DATE(VALUE(RIGHT(B516,4)),MATCH(MID(B516,4,3),{"Jan","Feb","Mar","Apr","May","Jun","Jul","Aug","Sep","Oct","Nov","Dec"},0),VALUE(LEFT(B516,2)))))</f>
        <v>45846</v>
      </c>
    </row>
    <row r="517" customFormat="false" ht="15" hidden="false" customHeight="false" outlineLevel="0" collapsed="false">
      <c r="A517" s="7" t="s">
        <v>1906</v>
      </c>
      <c r="B517" s="7" t="s">
        <v>1907</v>
      </c>
      <c r="C517" s="7" t="s">
        <v>732</v>
      </c>
      <c r="D517" s="7" t="s">
        <v>1908</v>
      </c>
      <c r="E517" s="7" t="s">
        <v>144</v>
      </c>
      <c r="F517" s="7" t="s">
        <v>119</v>
      </c>
      <c r="G517" s="7" t="s">
        <v>99</v>
      </c>
      <c r="H517" s="7" t="n">
        <v>1</v>
      </c>
      <c r="I517" s="7" t="n">
        <v>320</v>
      </c>
      <c r="J517" s="7" t="n">
        <v>20</v>
      </c>
      <c r="K517" s="7" t="s">
        <v>88</v>
      </c>
      <c r="L517" s="7" t="s">
        <v>194</v>
      </c>
      <c r="M517" s="7" t="n">
        <v>45</v>
      </c>
      <c r="N517" s="7" t="n">
        <v>5</v>
      </c>
      <c r="O517" s="7" t="str">
        <f aca="false">A517&amp;"|"&amp;B517&amp;"|"&amp;C517&amp;"|"&amp;D517&amp;"|"&amp;E517&amp;"|"&amp;F517&amp;"|"&amp;G517&amp;"|"&amp;H517&amp;"|"&amp;I517&amp;"|"&amp;J517&amp;"|"&amp;K517&amp;"|"&amp;L517&amp;"|"&amp;M517&amp;"|"&amp;N517</f>
        <v>ORD10054|2025-01-08|19:07|C1151|Hyderabad Dum Biryani|Hyderabad|Biryani|1|320|20|UPI|Delivered|45|5</v>
      </c>
      <c r="P517" s="7" t="str">
        <f aca="false">IF(COUNTIF($O$2:O517,O517)&gt;1,"DUP","OK")</f>
        <v>OK</v>
      </c>
      <c r="Q517" s="7" t="n">
        <f aca="false">COUNTBLANK(A517:N517)</f>
        <v>0</v>
      </c>
      <c r="R517" s="7" t="n">
        <f aca="false">IF(A517="",0,COUNTIFS($A$2:$A$3058,A517,$P$2:$P$3058,"OK"))</f>
        <v>1</v>
      </c>
      <c r="S517" s="7" t="str">
        <f aca="false">IF(OR(A517="",P517="DUP",R517&lt;2),"",IF(Q517=_xlfn.MINIFS($Q$2:$Q$3058,$A$2:$A$3058,A517,$P$2:$P$3058,"OK"),"KEEP","DROP"))</f>
        <v/>
      </c>
      <c r="T517" s="9" t="n">
        <f aca="false">IF(A517="",1,0)</f>
        <v>0</v>
      </c>
      <c r="U517" s="9" t="n">
        <f aca="false">IF(D517="",1,0)</f>
        <v>0</v>
      </c>
      <c r="V517" s="9" t="n">
        <f aca="false">IF(E517="",1,0)</f>
        <v>0</v>
      </c>
      <c r="W517" s="9" t="n">
        <f aca="false">IF(OR(H517&lt;1,H517&gt;10),1,0)</f>
        <v>0</v>
      </c>
      <c r="X517" s="9" t="n">
        <f aca="false">IF(OR(I517&lt;=0,I517&gt;1500),1,0)</f>
        <v>0</v>
      </c>
      <c r="Y517" s="9" t="n">
        <f aca="false">IF(J517&gt;H517*I517,1,0)</f>
        <v>0</v>
      </c>
      <c r="Z517" s="9" t="n">
        <f aca="false">IF(AND(N517&lt;&gt;"",OR(N517&lt;1,N517&gt;5)),1,0)</f>
        <v>0</v>
      </c>
      <c r="AA517" s="9" t="n">
        <f aca="false">IF(AND(M517&lt;&gt;"",OR(M517&lt;5,M517&gt;180)),1,0)</f>
        <v>0</v>
      </c>
      <c r="AB517" s="7" t="str">
        <f aca="false">IF(P517="DUP","Exact duplicate row",IF(T517=1,"Missing Order ID",IF(S517="DROP","Duplicate Order ID (less complete row)",IF(U517=1,"Missing Customer ID",IF(V517=1,"Missing Restaurant name",IF(W517=1,"Invalid/outlier quantity",IF(X517=1,"Invalid/outlier unit price",IF(Y517=1,"Discount greater than order value",""))))))))</f>
        <v/>
      </c>
      <c r="AC517" s="7" t="str">
        <f aca="false">IF(AB517="","KEEP","DROP")</f>
        <v>KEEP</v>
      </c>
      <c r="AD517" s="7" t="str">
        <f aca="false">IF(TRIM(F517)="",IFERROR(INDEX(Map_Tables!$I$4:$I$37,MATCH(TRIM(E517),Map_Tables!$G$4:$G$37,0)),""),IFERROR(INDEX(Map_Tables!$B$4:$B$18,MATCH(TRIM(F517),Map_Tables!$A$4:$A$18,0)),"CHECK"))</f>
        <v>Hyderabad</v>
      </c>
      <c r="AE517" s="7" t="str">
        <f aca="false">IF(TRIM(E517)="","",IFERROR(INDEX(Map_Tables!$H$4:$H$37,MATCH(TRIM(E517),Map_Tables!$G$4:$G$37,0)),"CHECK"))</f>
        <v>Hyderabad Dum Biryani</v>
      </c>
      <c r="AF517" s="7" t="str">
        <f aca="false">IF(TRIM(K517)="","Unknown",IFERROR(INDEX(Map_Tables!$E$4:$E$15,MATCH(TRIM(K517),Map_Tables!$D$4:$D$15,0)),"CHECK"))</f>
        <v>UPI</v>
      </c>
      <c r="AG517" s="7" t="str">
        <f aca="false">IF(LEFT(LOWER(TRIM(L517)),6)="cancel","Cancelled","Delivered")</f>
        <v>Delivered</v>
      </c>
      <c r="AH517" s="10" t="n">
        <f aca="false">IF(ISNUMBER(SEARCH("/",B517)),DATE(VALUE(RIGHT(B517,4)),VALUE(MID(B517,4,2)),VALUE(LEFT(B517,2))),IF(MID(B517,5,1)="-",DATE(VALUE(LEFT(B517,4)),VALUE(MID(B517,6,2)),VALUE(RIGHT(B517,2))),DATE(VALUE(RIGHT(B517,4)),MATCH(MID(B517,4,3),{"Jan","Feb","Mar","Apr","May","Jun","Jul","Aug","Sep","Oct","Nov","Dec"},0),VALUE(LEFT(B517,2)))))</f>
        <v>45665</v>
      </c>
    </row>
    <row r="518" customFormat="false" ht="15" hidden="false" customHeight="false" outlineLevel="0" collapsed="false">
      <c r="A518" s="7" t="s">
        <v>1909</v>
      </c>
      <c r="B518" s="7" t="s">
        <v>563</v>
      </c>
      <c r="C518" s="7" t="s">
        <v>1910</v>
      </c>
      <c r="D518" s="7" t="s">
        <v>1911</v>
      </c>
      <c r="E518" s="7" t="s">
        <v>1912</v>
      </c>
      <c r="F518" s="7" t="s">
        <v>110</v>
      </c>
      <c r="G518" s="7" t="s">
        <v>139</v>
      </c>
      <c r="H518" s="7" t="n">
        <v>1</v>
      </c>
      <c r="I518" s="7" t="n">
        <v>205</v>
      </c>
      <c r="J518" s="7" t="n">
        <v>0</v>
      </c>
      <c r="K518" s="7" t="s">
        <v>88</v>
      </c>
      <c r="L518" s="7" t="s">
        <v>194</v>
      </c>
      <c r="M518" s="7" t="n">
        <v>36</v>
      </c>
      <c r="N518" s="7" t="n">
        <v>3</v>
      </c>
      <c r="O518" s="7" t="str">
        <f aca="false">A518&amp;"|"&amp;B518&amp;"|"&amp;C518&amp;"|"&amp;D518&amp;"|"&amp;E518&amp;"|"&amp;F518&amp;"|"&amp;G518&amp;"|"&amp;H518&amp;"|"&amp;I518&amp;"|"&amp;J518&amp;"|"&amp;K518&amp;"|"&amp;L518&amp;"|"&amp;M518&amp;"|"&amp;N518</f>
        <v>ORD11779|2025-08-20|17:08|C1192|Burger  Barn|Delhi|Burgers|1|205|0|UPI|Delivered|36|3</v>
      </c>
      <c r="P518" s="7" t="str">
        <f aca="false">IF(COUNTIF($O$2:O518,O518)&gt;1,"DUP","OK")</f>
        <v>OK</v>
      </c>
      <c r="Q518" s="7" t="n">
        <f aca="false">COUNTBLANK(A518:N518)</f>
        <v>0</v>
      </c>
      <c r="R518" s="7" t="n">
        <f aca="false">IF(A518="",0,COUNTIFS($A$2:$A$3058,A518,$P$2:$P$3058,"OK"))</f>
        <v>1</v>
      </c>
      <c r="S518" s="7" t="str">
        <f aca="false">IF(OR(A518="",P518="DUP",R518&lt;2),"",IF(Q518=_xlfn.MINIFS($Q$2:$Q$3058,$A$2:$A$3058,A518,$P$2:$P$3058,"OK"),"KEEP","DROP"))</f>
        <v/>
      </c>
      <c r="T518" s="9" t="n">
        <f aca="false">IF(A518="",1,0)</f>
        <v>0</v>
      </c>
      <c r="U518" s="9" t="n">
        <f aca="false">IF(D518="",1,0)</f>
        <v>0</v>
      </c>
      <c r="V518" s="9" t="n">
        <f aca="false">IF(E518="",1,0)</f>
        <v>0</v>
      </c>
      <c r="W518" s="9" t="n">
        <f aca="false">IF(OR(H518&lt;1,H518&gt;10),1,0)</f>
        <v>0</v>
      </c>
      <c r="X518" s="9" t="n">
        <f aca="false">IF(OR(I518&lt;=0,I518&gt;1500),1,0)</f>
        <v>0</v>
      </c>
      <c r="Y518" s="9" t="n">
        <f aca="false">IF(J518&gt;H518*I518,1,0)</f>
        <v>0</v>
      </c>
      <c r="Z518" s="9" t="n">
        <f aca="false">IF(AND(N518&lt;&gt;"",OR(N518&lt;1,N518&gt;5)),1,0)</f>
        <v>0</v>
      </c>
      <c r="AA518" s="9" t="n">
        <f aca="false">IF(AND(M518&lt;&gt;"",OR(M518&lt;5,M518&gt;180)),1,0)</f>
        <v>0</v>
      </c>
      <c r="AB518" s="7" t="str">
        <f aca="false">IF(P518="DUP","Exact duplicate row",IF(T518=1,"Missing Order ID",IF(S518="DROP","Duplicate Order ID (less complete row)",IF(U518=1,"Missing Customer ID",IF(V518=1,"Missing Restaurant name",IF(W518=1,"Invalid/outlier quantity",IF(X518=1,"Invalid/outlier unit price",IF(Y518=1,"Discount greater than order value",""))))))))</f>
        <v/>
      </c>
      <c r="AC518" s="7" t="str">
        <f aca="false">IF(AB518="","KEEP","DROP")</f>
        <v>KEEP</v>
      </c>
      <c r="AD518" s="7" t="str">
        <f aca="false">IF(TRIM(F518)="",IFERROR(INDEX(Map_Tables!$I$4:$I$37,MATCH(TRIM(E518),Map_Tables!$G$4:$G$37,0)),""),IFERROR(INDEX(Map_Tables!$B$4:$B$18,MATCH(TRIM(F518),Map_Tables!$A$4:$A$18,0)),"CHECK"))</f>
        <v>Delhi</v>
      </c>
      <c r="AE518" s="7" t="str">
        <f aca="false">IF(TRIM(E518)="","",IFERROR(INDEX(Map_Tables!$H$4:$H$37,MATCH(TRIM(E518),Map_Tables!$G$4:$G$37,0)),"CHECK"))</f>
        <v>Burger Barn</v>
      </c>
      <c r="AF518" s="7" t="str">
        <f aca="false">IF(TRIM(K518)="","Unknown",IFERROR(INDEX(Map_Tables!$E$4:$E$15,MATCH(TRIM(K518),Map_Tables!$D$4:$D$15,0)),"CHECK"))</f>
        <v>UPI</v>
      </c>
      <c r="AG518" s="7" t="str">
        <f aca="false">IF(LEFT(LOWER(TRIM(L518)),6)="cancel","Cancelled","Delivered")</f>
        <v>Delivered</v>
      </c>
      <c r="AH518" s="10" t="n">
        <f aca="false">IF(ISNUMBER(SEARCH("/",B518)),DATE(VALUE(RIGHT(B518,4)),VALUE(MID(B518,4,2)),VALUE(LEFT(B518,2))),IF(MID(B518,5,1)="-",DATE(VALUE(LEFT(B518,4)),VALUE(MID(B518,6,2)),VALUE(RIGHT(B518,2))),DATE(VALUE(RIGHT(B518,4)),MATCH(MID(B518,4,3),{"Jan","Feb","Mar","Apr","May","Jun","Jul","Aug","Sep","Oct","Nov","Dec"},0),VALUE(LEFT(B518,2)))))</f>
        <v>45889</v>
      </c>
    </row>
    <row r="519" customFormat="false" ht="15" hidden="false" customHeight="false" outlineLevel="0" collapsed="false">
      <c r="A519" s="7" t="s">
        <v>1913</v>
      </c>
      <c r="B519" s="7" t="s">
        <v>341</v>
      </c>
      <c r="C519" s="7" t="s">
        <v>1914</v>
      </c>
      <c r="D519" s="7" t="s">
        <v>1129</v>
      </c>
      <c r="E519" s="7" t="s">
        <v>161</v>
      </c>
      <c r="F519" s="7" t="s">
        <v>1915</v>
      </c>
      <c r="G519" s="7" t="s">
        <v>117</v>
      </c>
      <c r="H519" s="7" t="n">
        <v>2</v>
      </c>
      <c r="I519" s="7" t="n">
        <v>145</v>
      </c>
      <c r="J519" s="7" t="n">
        <v>116</v>
      </c>
      <c r="K519" s="7" t="s">
        <v>88</v>
      </c>
      <c r="L519" s="7" t="s">
        <v>194</v>
      </c>
      <c r="M519" s="7" t="n">
        <v>45</v>
      </c>
      <c r="N519" s="7" t="n">
        <v>3</v>
      </c>
      <c r="O519" s="7" t="str">
        <f aca="false">A519&amp;"|"&amp;B519&amp;"|"&amp;C519&amp;"|"&amp;D519&amp;"|"&amp;E519&amp;"|"&amp;F519&amp;"|"&amp;G519&amp;"|"&amp;H519&amp;"|"&amp;I519&amp;"|"&amp;J519&amp;"|"&amp;K519&amp;"|"&amp;L519&amp;"|"&amp;M519&amp;"|"&amp;N519</f>
        <v>ORD10329|2025-02-12|23:56|C1217|Bengal Bites|KOLKATA|Street Food|2|145|116|UPI|Delivered|45|3</v>
      </c>
      <c r="P519" s="7" t="str">
        <f aca="false">IF(COUNTIF($O$2:O519,O519)&gt;1,"DUP","OK")</f>
        <v>OK</v>
      </c>
      <c r="Q519" s="7" t="n">
        <f aca="false">COUNTBLANK(A519:N519)</f>
        <v>0</v>
      </c>
      <c r="R519" s="7" t="n">
        <f aca="false">IF(A519="",0,COUNTIFS($A$2:$A$3058,A519,$P$2:$P$3058,"OK"))</f>
        <v>1</v>
      </c>
      <c r="S519" s="7" t="str">
        <f aca="false">IF(OR(A519="",P519="DUP",R519&lt;2),"",IF(Q519=_xlfn.MINIFS($Q$2:$Q$3058,$A$2:$A$3058,A519,$P$2:$P$3058,"OK"),"KEEP","DROP"))</f>
        <v/>
      </c>
      <c r="T519" s="9" t="n">
        <f aca="false">IF(A519="",1,0)</f>
        <v>0</v>
      </c>
      <c r="U519" s="9" t="n">
        <f aca="false">IF(D519="",1,0)</f>
        <v>0</v>
      </c>
      <c r="V519" s="9" t="n">
        <f aca="false">IF(E519="",1,0)</f>
        <v>0</v>
      </c>
      <c r="W519" s="9" t="n">
        <f aca="false">IF(OR(H519&lt;1,H519&gt;10),1,0)</f>
        <v>0</v>
      </c>
      <c r="X519" s="9" t="n">
        <f aca="false">IF(OR(I519&lt;=0,I519&gt;1500),1,0)</f>
        <v>0</v>
      </c>
      <c r="Y519" s="9" t="n">
        <f aca="false">IF(J519&gt;H519*I519,1,0)</f>
        <v>0</v>
      </c>
      <c r="Z519" s="9" t="n">
        <f aca="false">IF(AND(N519&lt;&gt;"",OR(N519&lt;1,N519&gt;5)),1,0)</f>
        <v>0</v>
      </c>
      <c r="AA519" s="9" t="n">
        <f aca="false">IF(AND(M519&lt;&gt;"",OR(M519&lt;5,M519&gt;180)),1,0)</f>
        <v>0</v>
      </c>
      <c r="AB519" s="7" t="str">
        <f aca="false">IF(P519="DUP","Exact duplicate row",IF(T519=1,"Missing Order ID",IF(S519="DROP","Duplicate Order ID (less complete row)",IF(U519=1,"Missing Customer ID",IF(V519=1,"Missing Restaurant name",IF(W519=1,"Invalid/outlier quantity",IF(X519=1,"Invalid/outlier unit price",IF(Y519=1,"Discount greater than order value",""))))))))</f>
        <v/>
      </c>
      <c r="AC519" s="7" t="str">
        <f aca="false">IF(AB519="","KEEP","DROP")</f>
        <v>KEEP</v>
      </c>
      <c r="AD519" s="7" t="str">
        <f aca="false">IF(TRIM(F519)="",IFERROR(INDEX(Map_Tables!$I$4:$I$37,MATCH(TRIM(E519),Map_Tables!$G$4:$G$37,0)),""),IFERROR(INDEX(Map_Tables!$B$4:$B$18,MATCH(TRIM(F519),Map_Tables!$A$4:$A$18,0)),"CHECK"))</f>
        <v>Kolkata</v>
      </c>
      <c r="AE519" s="7" t="str">
        <f aca="false">IF(TRIM(E519)="","",IFERROR(INDEX(Map_Tables!$H$4:$H$37,MATCH(TRIM(E519),Map_Tables!$G$4:$G$37,0)),"CHECK"))</f>
        <v>Bengal Bites</v>
      </c>
      <c r="AF519" s="7" t="str">
        <f aca="false">IF(TRIM(K519)="","Unknown",IFERROR(INDEX(Map_Tables!$E$4:$E$15,MATCH(TRIM(K519),Map_Tables!$D$4:$D$15,0)),"CHECK"))</f>
        <v>UPI</v>
      </c>
      <c r="AG519" s="7" t="str">
        <f aca="false">IF(LEFT(LOWER(TRIM(L519)),6)="cancel","Cancelled","Delivered")</f>
        <v>Delivered</v>
      </c>
      <c r="AH519" s="10" t="n">
        <f aca="false">IF(ISNUMBER(SEARCH("/",B519)),DATE(VALUE(RIGHT(B519,4)),VALUE(MID(B519,4,2)),VALUE(LEFT(B519,2))),IF(MID(B519,5,1)="-",DATE(VALUE(LEFT(B519,4)),VALUE(MID(B519,6,2)),VALUE(RIGHT(B519,2))),DATE(VALUE(RIGHT(B519,4)),MATCH(MID(B519,4,3),{"Jan","Feb","Mar","Apr","May","Jun","Jul","Aug","Sep","Oct","Nov","Dec"},0),VALUE(LEFT(B519,2)))))</f>
        <v>45700</v>
      </c>
    </row>
    <row r="520" customFormat="false" ht="15" hidden="false" customHeight="false" outlineLevel="0" collapsed="false">
      <c r="A520" s="7" t="s">
        <v>1916</v>
      </c>
      <c r="B520" s="7" t="s">
        <v>442</v>
      </c>
      <c r="C520" s="7" t="s">
        <v>588</v>
      </c>
      <c r="D520" s="7" t="s">
        <v>1917</v>
      </c>
      <c r="E520" s="7" t="s">
        <v>138</v>
      </c>
      <c r="F520" s="7" t="s">
        <v>110</v>
      </c>
      <c r="G520" s="7" t="s">
        <v>139</v>
      </c>
      <c r="H520" s="7" t="n">
        <v>4</v>
      </c>
      <c r="I520" s="7" t="n">
        <v>170</v>
      </c>
      <c r="J520" s="7" t="n">
        <v>0</v>
      </c>
      <c r="K520" s="7" t="s">
        <v>92</v>
      </c>
      <c r="L520" s="7" t="s">
        <v>194</v>
      </c>
      <c r="M520" s="7" t="n">
        <v>33</v>
      </c>
      <c r="N520" s="7" t="n">
        <v>3</v>
      </c>
      <c r="O520" s="7" t="str">
        <f aca="false">A520&amp;"|"&amp;B520&amp;"|"&amp;C520&amp;"|"&amp;D520&amp;"|"&amp;E520&amp;"|"&amp;F520&amp;"|"&amp;G520&amp;"|"&amp;H520&amp;"|"&amp;I520&amp;"|"&amp;J520&amp;"|"&amp;K520&amp;"|"&amp;L520&amp;"|"&amp;M520&amp;"|"&amp;N520</f>
        <v>ORD10597|2025-03-17|12:31|C0796|Burger Barn|Delhi|Burgers|4|170|0|credit card|Delivered|33|3</v>
      </c>
      <c r="P520" s="7" t="str">
        <f aca="false">IF(COUNTIF($O$2:O520,O520)&gt;1,"DUP","OK")</f>
        <v>OK</v>
      </c>
      <c r="Q520" s="7" t="n">
        <f aca="false">COUNTBLANK(A520:N520)</f>
        <v>0</v>
      </c>
      <c r="R520" s="7" t="n">
        <f aca="false">IF(A520="",0,COUNTIFS($A$2:$A$3058,A520,$P$2:$P$3058,"OK"))</f>
        <v>1</v>
      </c>
      <c r="S520" s="7" t="str">
        <f aca="false">IF(OR(A520="",P520="DUP",R520&lt;2),"",IF(Q520=_xlfn.MINIFS($Q$2:$Q$3058,$A$2:$A$3058,A520,$P$2:$P$3058,"OK"),"KEEP","DROP"))</f>
        <v/>
      </c>
      <c r="T520" s="9" t="n">
        <f aca="false">IF(A520="",1,0)</f>
        <v>0</v>
      </c>
      <c r="U520" s="9" t="n">
        <f aca="false">IF(D520="",1,0)</f>
        <v>0</v>
      </c>
      <c r="V520" s="9" t="n">
        <f aca="false">IF(E520="",1,0)</f>
        <v>0</v>
      </c>
      <c r="W520" s="9" t="n">
        <f aca="false">IF(OR(H520&lt;1,H520&gt;10),1,0)</f>
        <v>0</v>
      </c>
      <c r="X520" s="9" t="n">
        <f aca="false">IF(OR(I520&lt;=0,I520&gt;1500),1,0)</f>
        <v>0</v>
      </c>
      <c r="Y520" s="9" t="n">
        <f aca="false">IF(J520&gt;H520*I520,1,0)</f>
        <v>0</v>
      </c>
      <c r="Z520" s="9" t="n">
        <f aca="false">IF(AND(N520&lt;&gt;"",OR(N520&lt;1,N520&gt;5)),1,0)</f>
        <v>0</v>
      </c>
      <c r="AA520" s="9" t="n">
        <f aca="false">IF(AND(M520&lt;&gt;"",OR(M520&lt;5,M520&gt;180)),1,0)</f>
        <v>0</v>
      </c>
      <c r="AB520" s="7" t="str">
        <f aca="false">IF(P520="DUP","Exact duplicate row",IF(T520=1,"Missing Order ID",IF(S520="DROP","Duplicate Order ID (less complete row)",IF(U520=1,"Missing Customer ID",IF(V520=1,"Missing Restaurant name",IF(W520=1,"Invalid/outlier quantity",IF(X520=1,"Invalid/outlier unit price",IF(Y520=1,"Discount greater than order value",""))))))))</f>
        <v/>
      </c>
      <c r="AC520" s="7" t="str">
        <f aca="false">IF(AB520="","KEEP","DROP")</f>
        <v>KEEP</v>
      </c>
      <c r="AD520" s="7" t="str">
        <f aca="false">IF(TRIM(F520)="",IFERROR(INDEX(Map_Tables!$I$4:$I$37,MATCH(TRIM(E520),Map_Tables!$G$4:$G$37,0)),""),IFERROR(INDEX(Map_Tables!$B$4:$B$18,MATCH(TRIM(F520),Map_Tables!$A$4:$A$18,0)),"CHECK"))</f>
        <v>Delhi</v>
      </c>
      <c r="AE520" s="7" t="str">
        <f aca="false">IF(TRIM(E520)="","",IFERROR(INDEX(Map_Tables!$H$4:$H$37,MATCH(TRIM(E520),Map_Tables!$G$4:$G$37,0)),"CHECK"))</f>
        <v>Burger Barn</v>
      </c>
      <c r="AF520" s="7" t="str">
        <f aca="false">IF(TRIM(K520)="","Unknown",IFERROR(INDEX(Map_Tables!$E$4:$E$15,MATCH(TRIM(K520),Map_Tables!$D$4:$D$15,0)),"CHECK"))</f>
        <v>Credit Card</v>
      </c>
      <c r="AG520" s="7" t="str">
        <f aca="false">IF(LEFT(LOWER(TRIM(L520)),6)="cancel","Cancelled","Delivered")</f>
        <v>Delivered</v>
      </c>
      <c r="AH520" s="10" t="n">
        <f aca="false">IF(ISNUMBER(SEARCH("/",B520)),DATE(VALUE(RIGHT(B520,4)),VALUE(MID(B520,4,2)),VALUE(LEFT(B520,2))),IF(MID(B520,5,1)="-",DATE(VALUE(LEFT(B520,4)),VALUE(MID(B520,6,2)),VALUE(RIGHT(B520,2))),DATE(VALUE(RIGHT(B520,4)),MATCH(MID(B520,4,3),{"Jan","Feb","Mar","Apr","May","Jun","Jul","Aug","Sep","Oct","Nov","Dec"},0),VALUE(LEFT(B520,2)))))</f>
        <v>45733</v>
      </c>
    </row>
    <row r="521" customFormat="false" ht="15" hidden="false" customHeight="false" outlineLevel="0" collapsed="false">
      <c r="A521" s="7" t="s">
        <v>1918</v>
      </c>
      <c r="B521" s="7" t="s">
        <v>1919</v>
      </c>
      <c r="C521" s="7" t="s">
        <v>1920</v>
      </c>
      <c r="D521" s="7" t="s">
        <v>1921</v>
      </c>
      <c r="E521" s="7" t="s">
        <v>122</v>
      </c>
      <c r="F521" s="7" t="s">
        <v>215</v>
      </c>
      <c r="G521" s="7" t="s">
        <v>123</v>
      </c>
      <c r="H521" s="7" t="n">
        <v>4</v>
      </c>
      <c r="I521" s="7" t="n">
        <v>360</v>
      </c>
      <c r="J521" s="7" t="n">
        <v>0</v>
      </c>
      <c r="K521" s="7" t="s">
        <v>133</v>
      </c>
      <c r="L521" s="7" t="s">
        <v>194</v>
      </c>
      <c r="M521" s="7" t="n">
        <v>51</v>
      </c>
      <c r="N521" s="7" t="n">
        <v>4</v>
      </c>
      <c r="O521" s="7" t="str">
        <f aca="false">A521&amp;"|"&amp;B521&amp;"|"&amp;C521&amp;"|"&amp;D521&amp;"|"&amp;E521&amp;"|"&amp;F521&amp;"|"&amp;G521&amp;"|"&amp;H521&amp;"|"&amp;I521&amp;"|"&amp;J521&amp;"|"&amp;K521&amp;"|"&amp;L521&amp;"|"&amp;M521&amp;"|"&amp;N521</f>
        <v>ORD10271|2025-02-05|22:09|C1147|Mumbai Pizza Co|MUMBAI|Pizza|4|360|0|Net Banking|Delivered|51|4</v>
      </c>
      <c r="P521" s="7" t="str">
        <f aca="false">IF(COUNTIF($O$2:O521,O521)&gt;1,"DUP","OK")</f>
        <v>OK</v>
      </c>
      <c r="Q521" s="7" t="n">
        <f aca="false">COUNTBLANK(A521:N521)</f>
        <v>0</v>
      </c>
      <c r="R521" s="7" t="n">
        <f aca="false">IF(A521="",0,COUNTIFS($A$2:$A$3058,A521,$P$2:$P$3058,"OK"))</f>
        <v>1</v>
      </c>
      <c r="S521" s="7" t="str">
        <f aca="false">IF(OR(A521="",P521="DUP",R521&lt;2),"",IF(Q521=_xlfn.MINIFS($Q$2:$Q$3058,$A$2:$A$3058,A521,$P$2:$P$3058,"OK"),"KEEP","DROP"))</f>
        <v/>
      </c>
      <c r="T521" s="9" t="n">
        <f aca="false">IF(A521="",1,0)</f>
        <v>0</v>
      </c>
      <c r="U521" s="9" t="n">
        <f aca="false">IF(D521="",1,0)</f>
        <v>0</v>
      </c>
      <c r="V521" s="9" t="n">
        <f aca="false">IF(E521="",1,0)</f>
        <v>0</v>
      </c>
      <c r="W521" s="9" t="n">
        <f aca="false">IF(OR(H521&lt;1,H521&gt;10),1,0)</f>
        <v>0</v>
      </c>
      <c r="X521" s="9" t="n">
        <f aca="false">IF(OR(I521&lt;=0,I521&gt;1500),1,0)</f>
        <v>0</v>
      </c>
      <c r="Y521" s="9" t="n">
        <f aca="false">IF(J521&gt;H521*I521,1,0)</f>
        <v>0</v>
      </c>
      <c r="Z521" s="9" t="n">
        <f aca="false">IF(AND(N521&lt;&gt;"",OR(N521&lt;1,N521&gt;5)),1,0)</f>
        <v>0</v>
      </c>
      <c r="AA521" s="9" t="n">
        <f aca="false">IF(AND(M521&lt;&gt;"",OR(M521&lt;5,M521&gt;180)),1,0)</f>
        <v>0</v>
      </c>
      <c r="AB521" s="7" t="str">
        <f aca="false">IF(P521="DUP","Exact duplicate row",IF(T521=1,"Missing Order ID",IF(S521="DROP","Duplicate Order ID (less complete row)",IF(U521=1,"Missing Customer ID",IF(V521=1,"Missing Restaurant name",IF(W521=1,"Invalid/outlier quantity",IF(X521=1,"Invalid/outlier unit price",IF(Y521=1,"Discount greater than order value",""))))))))</f>
        <v/>
      </c>
      <c r="AC521" s="7" t="str">
        <f aca="false">IF(AB521="","KEEP","DROP")</f>
        <v>KEEP</v>
      </c>
      <c r="AD521" s="7" t="str">
        <f aca="false">IF(TRIM(F521)="",IFERROR(INDEX(Map_Tables!$I$4:$I$37,MATCH(TRIM(E521),Map_Tables!$G$4:$G$37,0)),""),IFERROR(INDEX(Map_Tables!$B$4:$B$18,MATCH(TRIM(F521),Map_Tables!$A$4:$A$18,0)),"CHECK"))</f>
        <v>Mumbai</v>
      </c>
      <c r="AE521" s="7" t="str">
        <f aca="false">IF(TRIM(E521)="","",IFERROR(INDEX(Map_Tables!$H$4:$H$37,MATCH(TRIM(E521),Map_Tables!$G$4:$G$37,0)),"CHECK"))</f>
        <v>Mumbai Pizza Co</v>
      </c>
      <c r="AF521" s="7" t="str">
        <f aca="false">IF(TRIM(K521)="","Unknown",IFERROR(INDEX(Map_Tables!$E$4:$E$15,MATCH(TRIM(K521),Map_Tables!$D$4:$D$15,0)),"CHECK"))</f>
        <v>Net Banking</v>
      </c>
      <c r="AG521" s="7" t="str">
        <f aca="false">IF(LEFT(LOWER(TRIM(L521)),6)="cancel","Cancelled","Delivered")</f>
        <v>Delivered</v>
      </c>
      <c r="AH521" s="10" t="n">
        <f aca="false">IF(ISNUMBER(SEARCH("/",B521)),DATE(VALUE(RIGHT(B521,4)),VALUE(MID(B521,4,2)),VALUE(LEFT(B521,2))),IF(MID(B521,5,1)="-",DATE(VALUE(LEFT(B521,4)),VALUE(MID(B521,6,2)),VALUE(RIGHT(B521,2))),DATE(VALUE(RIGHT(B521,4)),MATCH(MID(B521,4,3),{"Jan","Feb","Mar","Apr","May","Jun","Jul","Aug","Sep","Oct","Nov","Dec"},0),VALUE(LEFT(B521,2)))))</f>
        <v>45693</v>
      </c>
    </row>
    <row r="522" customFormat="false" ht="15" hidden="false" customHeight="false" outlineLevel="0" collapsed="false">
      <c r="A522" s="7" t="s">
        <v>1922</v>
      </c>
      <c r="B522" s="7" t="s">
        <v>1923</v>
      </c>
      <c r="C522" s="7" t="s">
        <v>1101</v>
      </c>
      <c r="D522" s="7" t="s">
        <v>1924</v>
      </c>
      <c r="E522" s="7" t="s">
        <v>134</v>
      </c>
      <c r="F522" s="7" t="s">
        <v>110</v>
      </c>
      <c r="G522" s="7" t="s">
        <v>117</v>
      </c>
      <c r="H522" s="7" t="n">
        <v>1</v>
      </c>
      <c r="I522" s="7" t="n">
        <v>100</v>
      </c>
      <c r="J522" s="7" t="n">
        <v>40</v>
      </c>
      <c r="K522" s="7" t="s">
        <v>133</v>
      </c>
      <c r="L522" s="7" t="s">
        <v>238</v>
      </c>
      <c r="M522" s="7"/>
      <c r="N522" s="7"/>
      <c r="O522" s="7" t="str">
        <f aca="false">A522&amp;"|"&amp;B522&amp;"|"&amp;C522&amp;"|"&amp;D522&amp;"|"&amp;E522&amp;"|"&amp;F522&amp;"|"&amp;G522&amp;"|"&amp;H522&amp;"|"&amp;I522&amp;"|"&amp;J522&amp;"|"&amp;K522&amp;"|"&amp;L522&amp;"|"&amp;M522&amp;"|"&amp;N522</f>
        <v>ORD10302|2025-02-10|19:59|C1328|Chaat Corner|Delhi|Street Food|1|100|40|Net Banking|Cancelled||</v>
      </c>
      <c r="P522" s="7" t="str">
        <f aca="false">IF(COUNTIF($O$2:O522,O522)&gt;1,"DUP","OK")</f>
        <v>OK</v>
      </c>
      <c r="Q522" s="7" t="n">
        <f aca="false">COUNTBLANK(A522:N522)</f>
        <v>2</v>
      </c>
      <c r="R522" s="7" t="n">
        <f aca="false">IF(A522="",0,COUNTIFS($A$2:$A$3058,A522,$P$2:$P$3058,"OK"))</f>
        <v>1</v>
      </c>
      <c r="S522" s="7" t="str">
        <f aca="false">IF(OR(A522="",P522="DUP",R522&lt;2),"",IF(Q522=_xlfn.MINIFS($Q$2:$Q$3058,$A$2:$A$3058,A522,$P$2:$P$3058,"OK"),"KEEP","DROP"))</f>
        <v/>
      </c>
      <c r="T522" s="9" t="n">
        <f aca="false">IF(A522="",1,0)</f>
        <v>0</v>
      </c>
      <c r="U522" s="9" t="n">
        <f aca="false">IF(D522="",1,0)</f>
        <v>0</v>
      </c>
      <c r="V522" s="9" t="n">
        <f aca="false">IF(E522="",1,0)</f>
        <v>0</v>
      </c>
      <c r="W522" s="9" t="n">
        <f aca="false">IF(OR(H522&lt;1,H522&gt;10),1,0)</f>
        <v>0</v>
      </c>
      <c r="X522" s="9" t="n">
        <f aca="false">IF(OR(I522&lt;=0,I522&gt;1500),1,0)</f>
        <v>0</v>
      </c>
      <c r="Y522" s="9" t="n">
        <f aca="false">IF(J522&gt;H522*I522,1,0)</f>
        <v>0</v>
      </c>
      <c r="Z522" s="9" t="n">
        <f aca="false">IF(AND(N522&lt;&gt;"",OR(N522&lt;1,N522&gt;5)),1,0)</f>
        <v>0</v>
      </c>
      <c r="AA522" s="9" t="n">
        <f aca="false">IF(AND(M522&lt;&gt;"",OR(M522&lt;5,M522&gt;180)),1,0)</f>
        <v>0</v>
      </c>
      <c r="AB522" s="7" t="str">
        <f aca="false">IF(P522="DUP","Exact duplicate row",IF(T522=1,"Missing Order ID",IF(S522="DROP","Duplicate Order ID (less complete row)",IF(U522=1,"Missing Customer ID",IF(V522=1,"Missing Restaurant name",IF(W522=1,"Invalid/outlier quantity",IF(X522=1,"Invalid/outlier unit price",IF(Y522=1,"Discount greater than order value",""))))))))</f>
        <v/>
      </c>
      <c r="AC522" s="7" t="str">
        <f aca="false">IF(AB522="","KEEP","DROP")</f>
        <v>KEEP</v>
      </c>
      <c r="AD522" s="7" t="str">
        <f aca="false">IF(TRIM(F522)="",IFERROR(INDEX(Map_Tables!$I$4:$I$37,MATCH(TRIM(E522),Map_Tables!$G$4:$G$37,0)),""),IFERROR(INDEX(Map_Tables!$B$4:$B$18,MATCH(TRIM(F522),Map_Tables!$A$4:$A$18,0)),"CHECK"))</f>
        <v>Delhi</v>
      </c>
      <c r="AE522" s="7" t="str">
        <f aca="false">IF(TRIM(E522)="","",IFERROR(INDEX(Map_Tables!$H$4:$H$37,MATCH(TRIM(E522),Map_Tables!$G$4:$G$37,0)),"CHECK"))</f>
        <v>Chaat Corner</v>
      </c>
      <c r="AF522" s="7" t="str">
        <f aca="false">IF(TRIM(K522)="","Unknown",IFERROR(INDEX(Map_Tables!$E$4:$E$15,MATCH(TRIM(K522),Map_Tables!$D$4:$D$15,0)),"CHECK"))</f>
        <v>Net Banking</v>
      </c>
      <c r="AG522" s="7" t="str">
        <f aca="false">IF(LEFT(LOWER(TRIM(L522)),6)="cancel","Cancelled","Delivered")</f>
        <v>Cancelled</v>
      </c>
      <c r="AH522" s="10" t="n">
        <f aca="false">IF(ISNUMBER(SEARCH("/",B522)),DATE(VALUE(RIGHT(B522,4)),VALUE(MID(B522,4,2)),VALUE(LEFT(B522,2))),IF(MID(B522,5,1)="-",DATE(VALUE(LEFT(B522,4)),VALUE(MID(B522,6,2)),VALUE(RIGHT(B522,2))),DATE(VALUE(RIGHT(B522,4)),MATCH(MID(B522,4,3),{"Jan","Feb","Mar","Apr","May","Jun","Jul","Aug","Sep","Oct","Nov","Dec"},0),VALUE(LEFT(B522,2)))))</f>
        <v>45698</v>
      </c>
    </row>
    <row r="523" customFormat="false" ht="15" hidden="false" customHeight="false" outlineLevel="0" collapsed="false">
      <c r="A523" s="7" t="s">
        <v>1925</v>
      </c>
      <c r="B523" s="7" t="s">
        <v>257</v>
      </c>
      <c r="C523" s="7" t="s">
        <v>1926</v>
      </c>
      <c r="D523" s="7" t="s">
        <v>1927</v>
      </c>
      <c r="E523" s="7" t="s">
        <v>113</v>
      </c>
      <c r="F523" s="7" t="s">
        <v>101</v>
      </c>
      <c r="G523" s="7" t="s">
        <v>1928</v>
      </c>
      <c r="H523" s="7" t="n">
        <v>1</v>
      </c>
      <c r="I523" s="7" t="n">
        <v>235</v>
      </c>
      <c r="J523" s="7" t="n">
        <v>0</v>
      </c>
      <c r="K523" s="7" t="s">
        <v>88</v>
      </c>
      <c r="L523" s="7" t="s">
        <v>194</v>
      </c>
      <c r="M523" s="7" t="n">
        <v>54</v>
      </c>
      <c r="N523" s="7" t="n">
        <v>1</v>
      </c>
      <c r="O523" s="7" t="str">
        <f aca="false">A523&amp;"|"&amp;B523&amp;"|"&amp;C523&amp;"|"&amp;D523&amp;"|"&amp;E523&amp;"|"&amp;F523&amp;"|"&amp;G523&amp;"|"&amp;H523&amp;"|"&amp;I523&amp;"|"&amp;J523&amp;"|"&amp;K523&amp;"|"&amp;L523&amp;"|"&amp;M523&amp;"|"&amp;N523</f>
        <v>ORD10366|2025-02-17|22:56|C1094|Curry Leaf Kitchen|Mumbai|north indian|1|235|0|UPI|Delivered|54|1</v>
      </c>
      <c r="P523" s="7" t="str">
        <f aca="false">IF(COUNTIF($O$2:O523,O523)&gt;1,"DUP","OK")</f>
        <v>OK</v>
      </c>
      <c r="Q523" s="7" t="n">
        <f aca="false">COUNTBLANK(A523:N523)</f>
        <v>0</v>
      </c>
      <c r="R523" s="7" t="n">
        <f aca="false">IF(A523="",0,COUNTIFS($A$2:$A$3058,A523,$P$2:$P$3058,"OK"))</f>
        <v>1</v>
      </c>
      <c r="S523" s="7" t="str">
        <f aca="false">IF(OR(A523="",P523="DUP",R523&lt;2),"",IF(Q523=_xlfn.MINIFS($Q$2:$Q$3058,$A$2:$A$3058,A523,$P$2:$P$3058,"OK"),"KEEP","DROP"))</f>
        <v/>
      </c>
      <c r="T523" s="9" t="n">
        <f aca="false">IF(A523="",1,0)</f>
        <v>0</v>
      </c>
      <c r="U523" s="9" t="n">
        <f aca="false">IF(D523="",1,0)</f>
        <v>0</v>
      </c>
      <c r="V523" s="9" t="n">
        <f aca="false">IF(E523="",1,0)</f>
        <v>0</v>
      </c>
      <c r="W523" s="9" t="n">
        <f aca="false">IF(OR(H523&lt;1,H523&gt;10),1,0)</f>
        <v>0</v>
      </c>
      <c r="X523" s="9" t="n">
        <f aca="false">IF(OR(I523&lt;=0,I523&gt;1500),1,0)</f>
        <v>0</v>
      </c>
      <c r="Y523" s="9" t="n">
        <f aca="false">IF(J523&gt;H523*I523,1,0)</f>
        <v>0</v>
      </c>
      <c r="Z523" s="9" t="n">
        <f aca="false">IF(AND(N523&lt;&gt;"",OR(N523&lt;1,N523&gt;5)),1,0)</f>
        <v>0</v>
      </c>
      <c r="AA523" s="9" t="n">
        <f aca="false">IF(AND(M523&lt;&gt;"",OR(M523&lt;5,M523&gt;180)),1,0)</f>
        <v>0</v>
      </c>
      <c r="AB523" s="7" t="str">
        <f aca="false">IF(P523="DUP","Exact duplicate row",IF(T523=1,"Missing Order ID",IF(S523="DROP","Duplicate Order ID (less complete row)",IF(U523=1,"Missing Customer ID",IF(V523=1,"Missing Restaurant name",IF(W523=1,"Invalid/outlier quantity",IF(X523=1,"Invalid/outlier unit price",IF(Y523=1,"Discount greater than order value",""))))))))</f>
        <v/>
      </c>
      <c r="AC523" s="7" t="str">
        <f aca="false">IF(AB523="","KEEP","DROP")</f>
        <v>KEEP</v>
      </c>
      <c r="AD523" s="7" t="str">
        <f aca="false">IF(TRIM(F523)="",IFERROR(INDEX(Map_Tables!$I$4:$I$37,MATCH(TRIM(E523),Map_Tables!$G$4:$G$37,0)),""),IFERROR(INDEX(Map_Tables!$B$4:$B$18,MATCH(TRIM(F523),Map_Tables!$A$4:$A$18,0)),"CHECK"))</f>
        <v>Mumbai</v>
      </c>
      <c r="AE523" s="7" t="str">
        <f aca="false">IF(TRIM(E523)="","",IFERROR(INDEX(Map_Tables!$H$4:$H$37,MATCH(TRIM(E523),Map_Tables!$G$4:$G$37,0)),"CHECK"))</f>
        <v>Curry Leaf Kitchen</v>
      </c>
      <c r="AF523" s="7" t="str">
        <f aca="false">IF(TRIM(K523)="","Unknown",IFERROR(INDEX(Map_Tables!$E$4:$E$15,MATCH(TRIM(K523),Map_Tables!$D$4:$D$15,0)),"CHECK"))</f>
        <v>UPI</v>
      </c>
      <c r="AG523" s="7" t="str">
        <f aca="false">IF(LEFT(LOWER(TRIM(L523)),6)="cancel","Cancelled","Delivered")</f>
        <v>Delivered</v>
      </c>
      <c r="AH523" s="10" t="n">
        <f aca="false">IF(ISNUMBER(SEARCH("/",B523)),DATE(VALUE(RIGHT(B523,4)),VALUE(MID(B523,4,2)),VALUE(LEFT(B523,2))),IF(MID(B523,5,1)="-",DATE(VALUE(LEFT(B523,4)),VALUE(MID(B523,6,2)),VALUE(RIGHT(B523,2))),DATE(VALUE(RIGHT(B523,4)),MATCH(MID(B523,4,3),{"Jan","Feb","Mar","Apr","May","Jun","Jul","Aug","Sep","Oct","Nov","Dec"},0),VALUE(LEFT(B523,2)))))</f>
        <v>45705</v>
      </c>
    </row>
    <row r="524" customFormat="false" ht="15" hidden="false" customHeight="false" outlineLevel="0" collapsed="false">
      <c r="A524" s="7" t="s">
        <v>1929</v>
      </c>
      <c r="B524" s="7" t="s">
        <v>1930</v>
      </c>
      <c r="C524" s="7" t="s">
        <v>1842</v>
      </c>
      <c r="D524" s="7" t="s">
        <v>1931</v>
      </c>
      <c r="E524" s="7" t="s">
        <v>1616</v>
      </c>
      <c r="F524" s="7" t="s">
        <v>86</v>
      </c>
      <c r="G524" s="7" t="s">
        <v>105</v>
      </c>
      <c r="H524" s="7" t="n">
        <v>1</v>
      </c>
      <c r="I524" s="7" t="n">
        <v>195</v>
      </c>
      <c r="J524" s="7" t="n">
        <v>0</v>
      </c>
      <c r="K524" s="7" t="s">
        <v>103</v>
      </c>
      <c r="L524" s="7" t="s">
        <v>194</v>
      </c>
      <c r="M524" s="7" t="n">
        <v>43</v>
      </c>
      <c r="N524" s="7" t="n">
        <v>4</v>
      </c>
      <c r="O524" s="7" t="str">
        <f aca="false">A524&amp;"|"&amp;B524&amp;"|"&amp;C524&amp;"|"&amp;D524&amp;"|"&amp;E524&amp;"|"&amp;F524&amp;"|"&amp;G524&amp;"|"&amp;H524&amp;"|"&amp;I524&amp;"|"&amp;J524&amp;"|"&amp;K524&amp;"|"&amp;L524&amp;"|"&amp;M524&amp;"|"&amp;N524</f>
        <v>ORD11391|2025-06-29|20:48|C0318|wok &amp; roll|Bengaluru|Chinese|1|195|0|Debit Card|Delivered|43|4</v>
      </c>
      <c r="P524" s="7" t="str">
        <f aca="false">IF(COUNTIF($O$2:O524,O524)&gt;1,"DUP","OK")</f>
        <v>OK</v>
      </c>
      <c r="Q524" s="7" t="n">
        <f aca="false">COUNTBLANK(A524:N524)</f>
        <v>0</v>
      </c>
      <c r="R524" s="7" t="n">
        <f aca="false">IF(A524="",0,COUNTIFS($A$2:$A$3058,A524,$P$2:$P$3058,"OK"))</f>
        <v>1</v>
      </c>
      <c r="S524" s="7" t="str">
        <f aca="false">IF(OR(A524="",P524="DUP",R524&lt;2),"",IF(Q524=_xlfn.MINIFS($Q$2:$Q$3058,$A$2:$A$3058,A524,$P$2:$P$3058,"OK"),"KEEP","DROP"))</f>
        <v/>
      </c>
      <c r="T524" s="9" t="n">
        <f aca="false">IF(A524="",1,0)</f>
        <v>0</v>
      </c>
      <c r="U524" s="9" t="n">
        <f aca="false">IF(D524="",1,0)</f>
        <v>0</v>
      </c>
      <c r="V524" s="9" t="n">
        <f aca="false">IF(E524="",1,0)</f>
        <v>0</v>
      </c>
      <c r="W524" s="9" t="n">
        <f aca="false">IF(OR(H524&lt;1,H524&gt;10),1,0)</f>
        <v>0</v>
      </c>
      <c r="X524" s="9" t="n">
        <f aca="false">IF(OR(I524&lt;=0,I524&gt;1500),1,0)</f>
        <v>0</v>
      </c>
      <c r="Y524" s="9" t="n">
        <f aca="false">IF(J524&gt;H524*I524,1,0)</f>
        <v>0</v>
      </c>
      <c r="Z524" s="9" t="n">
        <f aca="false">IF(AND(N524&lt;&gt;"",OR(N524&lt;1,N524&gt;5)),1,0)</f>
        <v>0</v>
      </c>
      <c r="AA524" s="9" t="n">
        <f aca="false">IF(AND(M524&lt;&gt;"",OR(M524&lt;5,M524&gt;180)),1,0)</f>
        <v>0</v>
      </c>
      <c r="AB524" s="7" t="str">
        <f aca="false">IF(P524="DUP","Exact duplicate row",IF(T524=1,"Missing Order ID",IF(S524="DROP","Duplicate Order ID (less complete row)",IF(U524=1,"Missing Customer ID",IF(V524=1,"Missing Restaurant name",IF(W524=1,"Invalid/outlier quantity",IF(X524=1,"Invalid/outlier unit price",IF(Y524=1,"Discount greater than order value",""))))))))</f>
        <v/>
      </c>
      <c r="AC524" s="7" t="str">
        <f aca="false">IF(AB524="","KEEP","DROP")</f>
        <v>KEEP</v>
      </c>
      <c r="AD524" s="7" t="str">
        <f aca="false">IF(TRIM(F524)="",IFERROR(INDEX(Map_Tables!$I$4:$I$37,MATCH(TRIM(E524),Map_Tables!$G$4:$G$37,0)),""),IFERROR(INDEX(Map_Tables!$B$4:$B$18,MATCH(TRIM(F524),Map_Tables!$A$4:$A$18,0)),"CHECK"))</f>
        <v>Bengaluru</v>
      </c>
      <c r="AE524" s="7" t="str">
        <f aca="false">IF(TRIM(E524)="","",IFERROR(INDEX(Map_Tables!$H$4:$H$37,MATCH(TRIM(E524),Map_Tables!$G$4:$G$37,0)),"CHECK"))</f>
        <v>Wok &amp; Roll</v>
      </c>
      <c r="AF524" s="7" t="str">
        <f aca="false">IF(TRIM(K524)="","Unknown",IFERROR(INDEX(Map_Tables!$E$4:$E$15,MATCH(TRIM(K524),Map_Tables!$D$4:$D$15,0)),"CHECK"))</f>
        <v>Debit Card</v>
      </c>
      <c r="AG524" s="7" t="str">
        <f aca="false">IF(LEFT(LOWER(TRIM(L524)),6)="cancel","Cancelled","Delivered")</f>
        <v>Delivered</v>
      </c>
      <c r="AH524" s="10" t="n">
        <f aca="false">IF(ISNUMBER(SEARCH("/",B524)),DATE(VALUE(RIGHT(B524,4)),VALUE(MID(B524,4,2)),VALUE(LEFT(B524,2))),IF(MID(B524,5,1)="-",DATE(VALUE(LEFT(B524,4)),VALUE(MID(B524,6,2)),VALUE(RIGHT(B524,2))),DATE(VALUE(RIGHT(B524,4)),MATCH(MID(B524,4,3),{"Jan","Feb","Mar","Apr","May","Jun","Jul","Aug","Sep","Oct","Nov","Dec"},0),VALUE(LEFT(B524,2)))))</f>
        <v>45837</v>
      </c>
    </row>
    <row r="525" customFormat="false" ht="15" hidden="false" customHeight="false" outlineLevel="0" collapsed="false">
      <c r="A525" s="7" t="s">
        <v>1932</v>
      </c>
      <c r="B525" s="7" t="s">
        <v>828</v>
      </c>
      <c r="C525" s="7" t="s">
        <v>1933</v>
      </c>
      <c r="D525" s="7" t="s">
        <v>1934</v>
      </c>
      <c r="E525" s="7" t="s">
        <v>152</v>
      </c>
      <c r="F525" s="7" t="s">
        <v>128</v>
      </c>
      <c r="G525" s="7" t="s">
        <v>95</v>
      </c>
      <c r="H525" s="7" t="n">
        <v>4</v>
      </c>
      <c r="I525" s="7" t="n">
        <v>105</v>
      </c>
      <c r="J525" s="7" t="n">
        <v>50</v>
      </c>
      <c r="K525" s="7" t="s">
        <v>566</v>
      </c>
      <c r="L525" s="7" t="s">
        <v>194</v>
      </c>
      <c r="M525" s="7" t="n">
        <v>48</v>
      </c>
      <c r="N525" s="7" t="n">
        <v>3</v>
      </c>
      <c r="O525" s="7" t="str">
        <f aca="false">A525&amp;"|"&amp;B525&amp;"|"&amp;C525&amp;"|"&amp;D525&amp;"|"&amp;E525&amp;"|"&amp;F525&amp;"|"&amp;G525&amp;"|"&amp;H525&amp;"|"&amp;I525&amp;"|"&amp;J525&amp;"|"&amp;K525&amp;"|"&amp;L525&amp;"|"&amp;M525&amp;"|"&amp;N525</f>
        <v>ORD12544|2025-11-13|21:02|C0041|Filter Coffee &amp; Tiffin|Chennai|South Indian|4|105|50|NetBanking|Delivered|48|3</v>
      </c>
      <c r="P525" s="7" t="str">
        <f aca="false">IF(COUNTIF($O$2:O525,O525)&gt;1,"DUP","OK")</f>
        <v>OK</v>
      </c>
      <c r="Q525" s="7" t="n">
        <f aca="false">COUNTBLANK(A525:N525)</f>
        <v>0</v>
      </c>
      <c r="R525" s="7" t="n">
        <f aca="false">IF(A525="",0,COUNTIFS($A$2:$A$3058,A525,$P$2:$P$3058,"OK"))</f>
        <v>1</v>
      </c>
      <c r="S525" s="7" t="str">
        <f aca="false">IF(OR(A525="",P525="DUP",R525&lt;2),"",IF(Q525=_xlfn.MINIFS($Q$2:$Q$3058,$A$2:$A$3058,A525,$P$2:$P$3058,"OK"),"KEEP","DROP"))</f>
        <v/>
      </c>
      <c r="T525" s="9" t="n">
        <f aca="false">IF(A525="",1,0)</f>
        <v>0</v>
      </c>
      <c r="U525" s="9" t="n">
        <f aca="false">IF(D525="",1,0)</f>
        <v>0</v>
      </c>
      <c r="V525" s="9" t="n">
        <f aca="false">IF(E525="",1,0)</f>
        <v>0</v>
      </c>
      <c r="W525" s="9" t="n">
        <f aca="false">IF(OR(H525&lt;1,H525&gt;10),1,0)</f>
        <v>0</v>
      </c>
      <c r="X525" s="9" t="n">
        <f aca="false">IF(OR(I525&lt;=0,I525&gt;1500),1,0)</f>
        <v>0</v>
      </c>
      <c r="Y525" s="9" t="n">
        <f aca="false">IF(J525&gt;H525*I525,1,0)</f>
        <v>0</v>
      </c>
      <c r="Z525" s="9" t="n">
        <f aca="false">IF(AND(N525&lt;&gt;"",OR(N525&lt;1,N525&gt;5)),1,0)</f>
        <v>0</v>
      </c>
      <c r="AA525" s="9" t="n">
        <f aca="false">IF(AND(M525&lt;&gt;"",OR(M525&lt;5,M525&gt;180)),1,0)</f>
        <v>0</v>
      </c>
      <c r="AB525" s="7" t="str">
        <f aca="false">IF(P525="DUP","Exact duplicate row",IF(T525=1,"Missing Order ID",IF(S525="DROP","Duplicate Order ID (less complete row)",IF(U525=1,"Missing Customer ID",IF(V525=1,"Missing Restaurant name",IF(W525=1,"Invalid/outlier quantity",IF(X525=1,"Invalid/outlier unit price",IF(Y525=1,"Discount greater than order value",""))))))))</f>
        <v/>
      </c>
      <c r="AC525" s="7" t="str">
        <f aca="false">IF(AB525="","KEEP","DROP")</f>
        <v>KEEP</v>
      </c>
      <c r="AD525" s="7" t="str">
        <f aca="false">IF(TRIM(F525)="",IFERROR(INDEX(Map_Tables!$I$4:$I$37,MATCH(TRIM(E525),Map_Tables!$G$4:$G$37,0)),""),IFERROR(INDEX(Map_Tables!$B$4:$B$18,MATCH(TRIM(F525),Map_Tables!$A$4:$A$18,0)),"CHECK"))</f>
        <v>Chennai</v>
      </c>
      <c r="AE525" s="7" t="str">
        <f aca="false">IF(TRIM(E525)="","",IFERROR(INDEX(Map_Tables!$H$4:$H$37,MATCH(TRIM(E525),Map_Tables!$G$4:$G$37,0)),"CHECK"))</f>
        <v>Filter Coffee &amp; Tiffin</v>
      </c>
      <c r="AF525" s="7" t="str">
        <f aca="false">IF(TRIM(K525)="","Unknown",IFERROR(INDEX(Map_Tables!$E$4:$E$15,MATCH(TRIM(K525),Map_Tables!$D$4:$D$15,0)),"CHECK"))</f>
        <v>Net Banking</v>
      </c>
      <c r="AG525" s="7" t="str">
        <f aca="false">IF(LEFT(LOWER(TRIM(L525)),6)="cancel","Cancelled","Delivered")</f>
        <v>Delivered</v>
      </c>
      <c r="AH525" s="10" t="n">
        <f aca="false">IF(ISNUMBER(SEARCH("/",B525)),DATE(VALUE(RIGHT(B525,4)),VALUE(MID(B525,4,2)),VALUE(LEFT(B525,2))),IF(MID(B525,5,1)="-",DATE(VALUE(LEFT(B525,4)),VALUE(MID(B525,6,2)),VALUE(RIGHT(B525,2))),DATE(VALUE(RIGHT(B525,4)),MATCH(MID(B525,4,3),{"Jan","Feb","Mar","Apr","May","Jun","Jul","Aug","Sep","Oct","Nov","Dec"},0),VALUE(LEFT(B525,2)))))</f>
        <v>45974</v>
      </c>
    </row>
    <row r="526" customFormat="false" ht="15" hidden="false" customHeight="false" outlineLevel="0" collapsed="false">
      <c r="A526" s="7" t="s">
        <v>1935</v>
      </c>
      <c r="B526" s="7" t="s">
        <v>1600</v>
      </c>
      <c r="C526" s="7" t="s">
        <v>638</v>
      </c>
      <c r="D526" s="7" t="s">
        <v>1936</v>
      </c>
      <c r="E526" s="7" t="s">
        <v>142</v>
      </c>
      <c r="F526" s="7" t="s">
        <v>110</v>
      </c>
      <c r="G526" s="7" t="s">
        <v>105</v>
      </c>
      <c r="H526" s="7" t="n">
        <v>2</v>
      </c>
      <c r="I526" s="7" t="n">
        <v>120</v>
      </c>
      <c r="J526" s="7" t="n">
        <v>20</v>
      </c>
      <c r="K526" s="7" t="s">
        <v>88</v>
      </c>
      <c r="L526" s="7" t="s">
        <v>194</v>
      </c>
      <c r="M526" s="7" t="n">
        <v>38</v>
      </c>
      <c r="N526" s="7" t="n">
        <v>4</v>
      </c>
      <c r="O526" s="7" t="str">
        <f aca="false">A526&amp;"|"&amp;B526&amp;"|"&amp;C526&amp;"|"&amp;D526&amp;"|"&amp;E526&amp;"|"&amp;F526&amp;"|"&amp;G526&amp;"|"&amp;H526&amp;"|"&amp;I526&amp;"|"&amp;J526&amp;"|"&amp;K526&amp;"|"&amp;L526&amp;"|"&amp;M526&amp;"|"&amp;N526</f>
        <v>ORD12560|14/11/2025|20:38|C1121|Momo Magic|Delhi|Chinese|2|120|20|UPI|Delivered|38|4</v>
      </c>
      <c r="P526" s="7" t="str">
        <f aca="false">IF(COUNTIF($O$2:O526,O526)&gt;1,"DUP","OK")</f>
        <v>OK</v>
      </c>
      <c r="Q526" s="7" t="n">
        <f aca="false">COUNTBLANK(A526:N526)</f>
        <v>0</v>
      </c>
      <c r="R526" s="7" t="n">
        <f aca="false">IF(A526="",0,COUNTIFS($A$2:$A$3058,A526,$P$2:$P$3058,"OK"))</f>
        <v>1</v>
      </c>
      <c r="S526" s="7" t="str">
        <f aca="false">IF(OR(A526="",P526="DUP",R526&lt;2),"",IF(Q526=_xlfn.MINIFS($Q$2:$Q$3058,$A$2:$A$3058,A526,$P$2:$P$3058,"OK"),"KEEP","DROP"))</f>
        <v/>
      </c>
      <c r="T526" s="9" t="n">
        <f aca="false">IF(A526="",1,0)</f>
        <v>0</v>
      </c>
      <c r="U526" s="9" t="n">
        <f aca="false">IF(D526="",1,0)</f>
        <v>0</v>
      </c>
      <c r="V526" s="9" t="n">
        <f aca="false">IF(E526="",1,0)</f>
        <v>0</v>
      </c>
      <c r="W526" s="9" t="n">
        <f aca="false">IF(OR(H526&lt;1,H526&gt;10),1,0)</f>
        <v>0</v>
      </c>
      <c r="X526" s="9" t="n">
        <f aca="false">IF(OR(I526&lt;=0,I526&gt;1500),1,0)</f>
        <v>0</v>
      </c>
      <c r="Y526" s="9" t="n">
        <f aca="false">IF(J526&gt;H526*I526,1,0)</f>
        <v>0</v>
      </c>
      <c r="Z526" s="9" t="n">
        <f aca="false">IF(AND(N526&lt;&gt;"",OR(N526&lt;1,N526&gt;5)),1,0)</f>
        <v>0</v>
      </c>
      <c r="AA526" s="9" t="n">
        <f aca="false">IF(AND(M526&lt;&gt;"",OR(M526&lt;5,M526&gt;180)),1,0)</f>
        <v>0</v>
      </c>
      <c r="AB526" s="7" t="str">
        <f aca="false">IF(P526="DUP","Exact duplicate row",IF(T526=1,"Missing Order ID",IF(S526="DROP","Duplicate Order ID (less complete row)",IF(U526=1,"Missing Customer ID",IF(V526=1,"Missing Restaurant name",IF(W526=1,"Invalid/outlier quantity",IF(X526=1,"Invalid/outlier unit price",IF(Y526=1,"Discount greater than order value",""))))))))</f>
        <v/>
      </c>
      <c r="AC526" s="7" t="str">
        <f aca="false">IF(AB526="","KEEP","DROP")</f>
        <v>KEEP</v>
      </c>
      <c r="AD526" s="7" t="str">
        <f aca="false">IF(TRIM(F526)="",IFERROR(INDEX(Map_Tables!$I$4:$I$37,MATCH(TRIM(E526),Map_Tables!$G$4:$G$37,0)),""),IFERROR(INDEX(Map_Tables!$B$4:$B$18,MATCH(TRIM(F526),Map_Tables!$A$4:$A$18,0)),"CHECK"))</f>
        <v>Delhi</v>
      </c>
      <c r="AE526" s="7" t="str">
        <f aca="false">IF(TRIM(E526)="","",IFERROR(INDEX(Map_Tables!$H$4:$H$37,MATCH(TRIM(E526),Map_Tables!$G$4:$G$37,0)),"CHECK"))</f>
        <v>Momo Magic</v>
      </c>
      <c r="AF526" s="7" t="str">
        <f aca="false">IF(TRIM(K526)="","Unknown",IFERROR(INDEX(Map_Tables!$E$4:$E$15,MATCH(TRIM(K526),Map_Tables!$D$4:$D$15,0)),"CHECK"))</f>
        <v>UPI</v>
      </c>
      <c r="AG526" s="7" t="str">
        <f aca="false">IF(LEFT(LOWER(TRIM(L526)),6)="cancel","Cancelled","Delivered")</f>
        <v>Delivered</v>
      </c>
      <c r="AH526" s="10" t="n">
        <f aca="false">IF(ISNUMBER(SEARCH("/",B526)),DATE(VALUE(RIGHT(B526,4)),VALUE(MID(B526,4,2)),VALUE(LEFT(B526,2))),IF(MID(B526,5,1)="-",DATE(VALUE(LEFT(B526,4)),VALUE(MID(B526,6,2)),VALUE(RIGHT(B526,2))),DATE(VALUE(RIGHT(B526,4)),MATCH(MID(B526,4,3),{"Jan","Feb","Mar","Apr","May","Jun","Jul","Aug","Sep","Oct","Nov","Dec"},0),VALUE(LEFT(B526,2)))))</f>
        <v>45975</v>
      </c>
    </row>
    <row r="527" customFormat="false" ht="15" hidden="false" customHeight="false" outlineLevel="0" collapsed="false">
      <c r="A527" s="7" t="s">
        <v>1937</v>
      </c>
      <c r="B527" s="7" t="s">
        <v>1938</v>
      </c>
      <c r="C527" s="7" t="s">
        <v>1939</v>
      </c>
      <c r="D527" s="7" t="s">
        <v>1042</v>
      </c>
      <c r="E527" s="7" t="s">
        <v>89</v>
      </c>
      <c r="F527" s="7" t="s">
        <v>86</v>
      </c>
      <c r="G527" s="7" t="s">
        <v>90</v>
      </c>
      <c r="H527" s="7" t="n">
        <v>2</v>
      </c>
      <c r="I527" s="7" t="n">
        <v>220</v>
      </c>
      <c r="J527" s="7" t="n">
        <v>75</v>
      </c>
      <c r="K527" s="7" t="s">
        <v>88</v>
      </c>
      <c r="L527" s="7" t="s">
        <v>194</v>
      </c>
      <c r="M527" s="7" t="n">
        <v>41</v>
      </c>
      <c r="N527" s="7" t="n">
        <v>4</v>
      </c>
      <c r="O527" s="7" t="str">
        <f aca="false">A527&amp;"|"&amp;B527&amp;"|"&amp;C527&amp;"|"&amp;D527&amp;"|"&amp;E527&amp;"|"&amp;F527&amp;"|"&amp;G527&amp;"|"&amp;H527&amp;"|"&amp;I527&amp;"|"&amp;J527&amp;"|"&amp;K527&amp;"|"&amp;L527&amp;"|"&amp;M527&amp;"|"&amp;N527</f>
        <v>ORD10652|2025-03-24|00:51|C0976|Spice Junction|Bengaluru|North Indian|2|220|75|UPI|Delivered|41|4</v>
      </c>
      <c r="P527" s="7" t="str">
        <f aca="false">IF(COUNTIF($O$2:O527,O527)&gt;1,"DUP","OK")</f>
        <v>OK</v>
      </c>
      <c r="Q527" s="7" t="n">
        <f aca="false">COUNTBLANK(A527:N527)</f>
        <v>0</v>
      </c>
      <c r="R527" s="7" t="n">
        <f aca="false">IF(A527="",0,COUNTIFS($A$2:$A$3058,A527,$P$2:$P$3058,"OK"))</f>
        <v>1</v>
      </c>
      <c r="S527" s="7" t="str">
        <f aca="false">IF(OR(A527="",P527="DUP",R527&lt;2),"",IF(Q527=_xlfn.MINIFS($Q$2:$Q$3058,$A$2:$A$3058,A527,$P$2:$P$3058,"OK"),"KEEP","DROP"))</f>
        <v/>
      </c>
      <c r="T527" s="9" t="n">
        <f aca="false">IF(A527="",1,0)</f>
        <v>0</v>
      </c>
      <c r="U527" s="9" t="n">
        <f aca="false">IF(D527="",1,0)</f>
        <v>0</v>
      </c>
      <c r="V527" s="9" t="n">
        <f aca="false">IF(E527="",1,0)</f>
        <v>0</v>
      </c>
      <c r="W527" s="9" t="n">
        <f aca="false">IF(OR(H527&lt;1,H527&gt;10),1,0)</f>
        <v>0</v>
      </c>
      <c r="X527" s="9" t="n">
        <f aca="false">IF(OR(I527&lt;=0,I527&gt;1500),1,0)</f>
        <v>0</v>
      </c>
      <c r="Y527" s="9" t="n">
        <f aca="false">IF(J527&gt;H527*I527,1,0)</f>
        <v>0</v>
      </c>
      <c r="Z527" s="9" t="n">
        <f aca="false">IF(AND(N527&lt;&gt;"",OR(N527&lt;1,N527&gt;5)),1,0)</f>
        <v>0</v>
      </c>
      <c r="AA527" s="9" t="n">
        <f aca="false">IF(AND(M527&lt;&gt;"",OR(M527&lt;5,M527&gt;180)),1,0)</f>
        <v>0</v>
      </c>
      <c r="AB527" s="7" t="str">
        <f aca="false">IF(P527="DUP","Exact duplicate row",IF(T527=1,"Missing Order ID",IF(S527="DROP","Duplicate Order ID (less complete row)",IF(U527=1,"Missing Customer ID",IF(V527=1,"Missing Restaurant name",IF(W527=1,"Invalid/outlier quantity",IF(X527=1,"Invalid/outlier unit price",IF(Y527=1,"Discount greater than order value",""))))))))</f>
        <v/>
      </c>
      <c r="AC527" s="7" t="str">
        <f aca="false">IF(AB527="","KEEP","DROP")</f>
        <v>KEEP</v>
      </c>
      <c r="AD527" s="7" t="str">
        <f aca="false">IF(TRIM(F527)="",IFERROR(INDEX(Map_Tables!$I$4:$I$37,MATCH(TRIM(E527),Map_Tables!$G$4:$G$37,0)),""),IFERROR(INDEX(Map_Tables!$B$4:$B$18,MATCH(TRIM(F527),Map_Tables!$A$4:$A$18,0)),"CHECK"))</f>
        <v>Bengaluru</v>
      </c>
      <c r="AE527" s="7" t="str">
        <f aca="false">IF(TRIM(E527)="","",IFERROR(INDEX(Map_Tables!$H$4:$H$37,MATCH(TRIM(E527),Map_Tables!$G$4:$G$37,0)),"CHECK"))</f>
        <v>Spice Junction</v>
      </c>
      <c r="AF527" s="7" t="str">
        <f aca="false">IF(TRIM(K527)="","Unknown",IFERROR(INDEX(Map_Tables!$E$4:$E$15,MATCH(TRIM(K527),Map_Tables!$D$4:$D$15,0)),"CHECK"))</f>
        <v>UPI</v>
      </c>
      <c r="AG527" s="7" t="str">
        <f aca="false">IF(LEFT(LOWER(TRIM(L527)),6)="cancel","Cancelled","Delivered")</f>
        <v>Delivered</v>
      </c>
      <c r="AH527" s="10" t="n">
        <f aca="false">IF(ISNUMBER(SEARCH("/",B527)),DATE(VALUE(RIGHT(B527,4)),VALUE(MID(B527,4,2)),VALUE(LEFT(B527,2))),IF(MID(B527,5,1)="-",DATE(VALUE(LEFT(B527,4)),VALUE(MID(B527,6,2)),VALUE(RIGHT(B527,2))),DATE(VALUE(RIGHT(B527,4)),MATCH(MID(B527,4,3),{"Jan","Feb","Mar","Apr","May","Jun","Jul","Aug","Sep","Oct","Nov","Dec"},0),VALUE(LEFT(B527,2)))))</f>
        <v>45740</v>
      </c>
    </row>
    <row r="528" customFormat="false" ht="15" hidden="false" customHeight="false" outlineLevel="0" collapsed="false">
      <c r="A528" s="7" t="s">
        <v>1940</v>
      </c>
      <c r="B528" s="7" t="s">
        <v>1670</v>
      </c>
      <c r="C528" s="7" t="s">
        <v>1941</v>
      </c>
      <c r="D528" s="7" t="s">
        <v>680</v>
      </c>
      <c r="E528" s="7" t="s">
        <v>113</v>
      </c>
      <c r="F528" s="7" t="s">
        <v>101</v>
      </c>
      <c r="G528" s="7" t="s">
        <v>90</v>
      </c>
      <c r="H528" s="7" t="n">
        <v>1</v>
      </c>
      <c r="I528" s="7" t="n">
        <v>225</v>
      </c>
      <c r="J528" s="7" t="n">
        <v>0</v>
      </c>
      <c r="K528" s="7" t="s">
        <v>92</v>
      </c>
      <c r="L528" s="7" t="s">
        <v>238</v>
      </c>
      <c r="M528" s="7"/>
      <c r="N528" s="7"/>
      <c r="O528" s="7" t="str">
        <f aca="false">A528&amp;"|"&amp;B528&amp;"|"&amp;C528&amp;"|"&amp;D528&amp;"|"&amp;E528&amp;"|"&amp;F528&amp;"|"&amp;G528&amp;"|"&amp;H528&amp;"|"&amp;I528&amp;"|"&amp;J528&amp;"|"&amp;K528&amp;"|"&amp;L528&amp;"|"&amp;M528&amp;"|"&amp;N528</f>
        <v>ORD11724|2025-08-14|21:01|C1369|Curry Leaf Kitchen|Mumbai|North Indian|1|225|0|credit card|Cancelled||</v>
      </c>
      <c r="P528" s="7" t="str">
        <f aca="false">IF(COUNTIF($O$2:O528,O528)&gt;1,"DUP","OK")</f>
        <v>OK</v>
      </c>
      <c r="Q528" s="7" t="n">
        <f aca="false">COUNTBLANK(A528:N528)</f>
        <v>2</v>
      </c>
      <c r="R528" s="7" t="n">
        <f aca="false">IF(A528="",0,COUNTIFS($A$2:$A$3058,A528,$P$2:$P$3058,"OK"))</f>
        <v>1</v>
      </c>
      <c r="S528" s="7" t="str">
        <f aca="false">IF(OR(A528="",P528="DUP",R528&lt;2),"",IF(Q528=_xlfn.MINIFS($Q$2:$Q$3058,$A$2:$A$3058,A528,$P$2:$P$3058,"OK"),"KEEP","DROP"))</f>
        <v/>
      </c>
      <c r="T528" s="9" t="n">
        <f aca="false">IF(A528="",1,0)</f>
        <v>0</v>
      </c>
      <c r="U528" s="9" t="n">
        <f aca="false">IF(D528="",1,0)</f>
        <v>0</v>
      </c>
      <c r="V528" s="9" t="n">
        <f aca="false">IF(E528="",1,0)</f>
        <v>0</v>
      </c>
      <c r="W528" s="9" t="n">
        <f aca="false">IF(OR(H528&lt;1,H528&gt;10),1,0)</f>
        <v>0</v>
      </c>
      <c r="X528" s="9" t="n">
        <f aca="false">IF(OR(I528&lt;=0,I528&gt;1500),1,0)</f>
        <v>0</v>
      </c>
      <c r="Y528" s="9" t="n">
        <f aca="false">IF(J528&gt;H528*I528,1,0)</f>
        <v>0</v>
      </c>
      <c r="Z528" s="9" t="n">
        <f aca="false">IF(AND(N528&lt;&gt;"",OR(N528&lt;1,N528&gt;5)),1,0)</f>
        <v>0</v>
      </c>
      <c r="AA528" s="9" t="n">
        <f aca="false">IF(AND(M528&lt;&gt;"",OR(M528&lt;5,M528&gt;180)),1,0)</f>
        <v>0</v>
      </c>
      <c r="AB528" s="7" t="str">
        <f aca="false">IF(P528="DUP","Exact duplicate row",IF(T528=1,"Missing Order ID",IF(S528="DROP","Duplicate Order ID (less complete row)",IF(U528=1,"Missing Customer ID",IF(V528=1,"Missing Restaurant name",IF(W528=1,"Invalid/outlier quantity",IF(X528=1,"Invalid/outlier unit price",IF(Y528=1,"Discount greater than order value",""))))))))</f>
        <v/>
      </c>
      <c r="AC528" s="7" t="str">
        <f aca="false">IF(AB528="","KEEP","DROP")</f>
        <v>KEEP</v>
      </c>
      <c r="AD528" s="7" t="str">
        <f aca="false">IF(TRIM(F528)="",IFERROR(INDEX(Map_Tables!$I$4:$I$37,MATCH(TRIM(E528),Map_Tables!$G$4:$G$37,0)),""),IFERROR(INDEX(Map_Tables!$B$4:$B$18,MATCH(TRIM(F528),Map_Tables!$A$4:$A$18,0)),"CHECK"))</f>
        <v>Mumbai</v>
      </c>
      <c r="AE528" s="7" t="str">
        <f aca="false">IF(TRIM(E528)="","",IFERROR(INDEX(Map_Tables!$H$4:$H$37,MATCH(TRIM(E528),Map_Tables!$G$4:$G$37,0)),"CHECK"))</f>
        <v>Curry Leaf Kitchen</v>
      </c>
      <c r="AF528" s="7" t="str">
        <f aca="false">IF(TRIM(K528)="","Unknown",IFERROR(INDEX(Map_Tables!$E$4:$E$15,MATCH(TRIM(K528),Map_Tables!$D$4:$D$15,0)),"CHECK"))</f>
        <v>Credit Card</v>
      </c>
      <c r="AG528" s="7" t="str">
        <f aca="false">IF(LEFT(LOWER(TRIM(L528)),6)="cancel","Cancelled","Delivered")</f>
        <v>Cancelled</v>
      </c>
      <c r="AH528" s="10" t="n">
        <f aca="false">IF(ISNUMBER(SEARCH("/",B528)),DATE(VALUE(RIGHT(B528,4)),VALUE(MID(B528,4,2)),VALUE(LEFT(B528,2))),IF(MID(B528,5,1)="-",DATE(VALUE(LEFT(B528,4)),VALUE(MID(B528,6,2)),VALUE(RIGHT(B528,2))),DATE(VALUE(RIGHT(B528,4)),MATCH(MID(B528,4,3),{"Jan","Feb","Mar","Apr","May","Jun","Jul","Aug","Sep","Oct","Nov","Dec"},0),VALUE(LEFT(B528,2)))))</f>
        <v>45883</v>
      </c>
    </row>
    <row r="529" customFormat="false" ht="15" hidden="false" customHeight="false" outlineLevel="0" collapsed="false">
      <c r="A529" s="7" t="s">
        <v>1942</v>
      </c>
      <c r="B529" s="7" t="s">
        <v>1943</v>
      </c>
      <c r="C529" s="7" t="s">
        <v>842</v>
      </c>
      <c r="D529" s="7" t="s">
        <v>1944</v>
      </c>
      <c r="E529" s="7" t="s">
        <v>126</v>
      </c>
      <c r="F529" s="7" t="s">
        <v>101</v>
      </c>
      <c r="G529" s="7" t="s">
        <v>105</v>
      </c>
      <c r="H529" s="7" t="n">
        <v>1</v>
      </c>
      <c r="I529" s="7" t="n">
        <v>175</v>
      </c>
      <c r="J529" s="7" t="n">
        <v>20</v>
      </c>
      <c r="K529" s="7" t="s">
        <v>88</v>
      </c>
      <c r="L529" s="7" t="s">
        <v>194</v>
      </c>
      <c r="M529" s="7" t="n">
        <v>40</v>
      </c>
      <c r="N529" s="7" t="n">
        <v>5</v>
      </c>
      <c r="O529" s="7" t="str">
        <f aca="false">A529&amp;"|"&amp;B529&amp;"|"&amp;C529&amp;"|"&amp;D529&amp;"|"&amp;E529&amp;"|"&amp;F529&amp;"|"&amp;G529&amp;"|"&amp;H529&amp;"|"&amp;I529&amp;"|"&amp;J529&amp;"|"&amp;K529&amp;"|"&amp;L529&amp;"|"&amp;M529&amp;"|"&amp;N529</f>
        <v>ORD11241|2025-06-07|17:57|C0949|Dragon Express|Mumbai|Chinese|1|175|20|UPI|Delivered|40|5</v>
      </c>
      <c r="P529" s="7" t="str">
        <f aca="false">IF(COUNTIF($O$2:O529,O529)&gt;1,"DUP","OK")</f>
        <v>OK</v>
      </c>
      <c r="Q529" s="7" t="n">
        <f aca="false">COUNTBLANK(A529:N529)</f>
        <v>0</v>
      </c>
      <c r="R529" s="7" t="n">
        <f aca="false">IF(A529="",0,COUNTIFS($A$2:$A$3058,A529,$P$2:$P$3058,"OK"))</f>
        <v>1</v>
      </c>
      <c r="S529" s="7" t="str">
        <f aca="false">IF(OR(A529="",P529="DUP",R529&lt;2),"",IF(Q529=_xlfn.MINIFS($Q$2:$Q$3058,$A$2:$A$3058,A529,$P$2:$P$3058,"OK"),"KEEP","DROP"))</f>
        <v/>
      </c>
      <c r="T529" s="9" t="n">
        <f aca="false">IF(A529="",1,0)</f>
        <v>0</v>
      </c>
      <c r="U529" s="9" t="n">
        <f aca="false">IF(D529="",1,0)</f>
        <v>0</v>
      </c>
      <c r="V529" s="9" t="n">
        <f aca="false">IF(E529="",1,0)</f>
        <v>0</v>
      </c>
      <c r="W529" s="9" t="n">
        <f aca="false">IF(OR(H529&lt;1,H529&gt;10),1,0)</f>
        <v>0</v>
      </c>
      <c r="X529" s="9" t="n">
        <f aca="false">IF(OR(I529&lt;=0,I529&gt;1500),1,0)</f>
        <v>0</v>
      </c>
      <c r="Y529" s="9" t="n">
        <f aca="false">IF(J529&gt;H529*I529,1,0)</f>
        <v>0</v>
      </c>
      <c r="Z529" s="9" t="n">
        <f aca="false">IF(AND(N529&lt;&gt;"",OR(N529&lt;1,N529&gt;5)),1,0)</f>
        <v>0</v>
      </c>
      <c r="AA529" s="9" t="n">
        <f aca="false">IF(AND(M529&lt;&gt;"",OR(M529&lt;5,M529&gt;180)),1,0)</f>
        <v>0</v>
      </c>
      <c r="AB529" s="7" t="str">
        <f aca="false">IF(P529="DUP","Exact duplicate row",IF(T529=1,"Missing Order ID",IF(S529="DROP","Duplicate Order ID (less complete row)",IF(U529=1,"Missing Customer ID",IF(V529=1,"Missing Restaurant name",IF(W529=1,"Invalid/outlier quantity",IF(X529=1,"Invalid/outlier unit price",IF(Y529=1,"Discount greater than order value",""))))))))</f>
        <v/>
      </c>
      <c r="AC529" s="7" t="str">
        <f aca="false">IF(AB529="","KEEP","DROP")</f>
        <v>KEEP</v>
      </c>
      <c r="AD529" s="7" t="str">
        <f aca="false">IF(TRIM(F529)="",IFERROR(INDEX(Map_Tables!$I$4:$I$37,MATCH(TRIM(E529),Map_Tables!$G$4:$G$37,0)),""),IFERROR(INDEX(Map_Tables!$B$4:$B$18,MATCH(TRIM(F529),Map_Tables!$A$4:$A$18,0)),"CHECK"))</f>
        <v>Mumbai</v>
      </c>
      <c r="AE529" s="7" t="str">
        <f aca="false">IF(TRIM(E529)="","",IFERROR(INDEX(Map_Tables!$H$4:$H$37,MATCH(TRIM(E529),Map_Tables!$G$4:$G$37,0)),"CHECK"))</f>
        <v>Dragon Express</v>
      </c>
      <c r="AF529" s="7" t="str">
        <f aca="false">IF(TRIM(K529)="","Unknown",IFERROR(INDEX(Map_Tables!$E$4:$E$15,MATCH(TRIM(K529),Map_Tables!$D$4:$D$15,0)),"CHECK"))</f>
        <v>UPI</v>
      </c>
      <c r="AG529" s="7" t="str">
        <f aca="false">IF(LEFT(LOWER(TRIM(L529)),6)="cancel","Cancelled","Delivered")</f>
        <v>Delivered</v>
      </c>
      <c r="AH529" s="10" t="n">
        <f aca="false">IF(ISNUMBER(SEARCH("/",B529)),DATE(VALUE(RIGHT(B529,4)),VALUE(MID(B529,4,2)),VALUE(LEFT(B529,2))),IF(MID(B529,5,1)="-",DATE(VALUE(LEFT(B529,4)),VALUE(MID(B529,6,2)),VALUE(RIGHT(B529,2))),DATE(VALUE(RIGHT(B529,4)),MATCH(MID(B529,4,3),{"Jan","Feb","Mar","Apr","May","Jun","Jul","Aug","Sep","Oct","Nov","Dec"},0),VALUE(LEFT(B529,2)))))</f>
        <v>45815</v>
      </c>
    </row>
    <row r="530" customFormat="false" ht="15" hidden="false" customHeight="false" outlineLevel="0" collapsed="false">
      <c r="A530" s="7" t="s">
        <v>1945</v>
      </c>
      <c r="B530" s="7" t="s">
        <v>1946</v>
      </c>
      <c r="C530" s="7" t="s">
        <v>1387</v>
      </c>
      <c r="D530" s="7" t="s">
        <v>1947</v>
      </c>
      <c r="E530" s="7" t="s">
        <v>94</v>
      </c>
      <c r="F530" s="7" t="s">
        <v>86</v>
      </c>
      <c r="G530" s="7" t="s">
        <v>95</v>
      </c>
      <c r="H530" s="7" t="n">
        <v>3</v>
      </c>
      <c r="I530" s="7" t="n">
        <v>125</v>
      </c>
      <c r="J530" s="7" t="n">
        <v>0</v>
      </c>
      <c r="K530" s="7" t="s">
        <v>93</v>
      </c>
      <c r="L530" s="7" t="s">
        <v>194</v>
      </c>
      <c r="M530" s="7" t="n">
        <v>34</v>
      </c>
      <c r="N530" s="7" t="n">
        <v>2</v>
      </c>
      <c r="O530" s="7" t="str">
        <f aca="false">A530&amp;"|"&amp;B530&amp;"|"&amp;C530&amp;"|"&amp;D530&amp;"|"&amp;E530&amp;"|"&amp;F530&amp;"|"&amp;G530&amp;"|"&amp;H530&amp;"|"&amp;I530&amp;"|"&amp;J530&amp;"|"&amp;K530&amp;"|"&amp;L530&amp;"|"&amp;M530&amp;"|"&amp;N530</f>
        <v>ORD12032|2025-09-19|20:59|C1103|Dosa Darbar|Bengaluru|South Indian|3|125|0|Credit Card|Delivered|34|2</v>
      </c>
      <c r="P530" s="7" t="str">
        <f aca="false">IF(COUNTIF($O$2:O530,O530)&gt;1,"DUP","OK")</f>
        <v>OK</v>
      </c>
      <c r="Q530" s="7" t="n">
        <f aca="false">COUNTBLANK(A530:N530)</f>
        <v>0</v>
      </c>
      <c r="R530" s="7" t="n">
        <f aca="false">IF(A530="",0,COUNTIFS($A$2:$A$3058,A530,$P$2:$P$3058,"OK"))</f>
        <v>1</v>
      </c>
      <c r="S530" s="7" t="str">
        <f aca="false">IF(OR(A530="",P530="DUP",R530&lt;2),"",IF(Q530=_xlfn.MINIFS($Q$2:$Q$3058,$A$2:$A$3058,A530,$P$2:$P$3058,"OK"),"KEEP","DROP"))</f>
        <v/>
      </c>
      <c r="T530" s="9" t="n">
        <f aca="false">IF(A530="",1,0)</f>
        <v>0</v>
      </c>
      <c r="U530" s="9" t="n">
        <f aca="false">IF(D530="",1,0)</f>
        <v>0</v>
      </c>
      <c r="V530" s="9" t="n">
        <f aca="false">IF(E530="",1,0)</f>
        <v>0</v>
      </c>
      <c r="W530" s="9" t="n">
        <f aca="false">IF(OR(H530&lt;1,H530&gt;10),1,0)</f>
        <v>0</v>
      </c>
      <c r="X530" s="9" t="n">
        <f aca="false">IF(OR(I530&lt;=0,I530&gt;1500),1,0)</f>
        <v>0</v>
      </c>
      <c r="Y530" s="9" t="n">
        <f aca="false">IF(J530&gt;H530*I530,1,0)</f>
        <v>0</v>
      </c>
      <c r="Z530" s="9" t="n">
        <f aca="false">IF(AND(N530&lt;&gt;"",OR(N530&lt;1,N530&gt;5)),1,0)</f>
        <v>0</v>
      </c>
      <c r="AA530" s="9" t="n">
        <f aca="false">IF(AND(M530&lt;&gt;"",OR(M530&lt;5,M530&gt;180)),1,0)</f>
        <v>0</v>
      </c>
      <c r="AB530" s="7" t="str">
        <f aca="false">IF(P530="DUP","Exact duplicate row",IF(T530=1,"Missing Order ID",IF(S530="DROP","Duplicate Order ID (less complete row)",IF(U530=1,"Missing Customer ID",IF(V530=1,"Missing Restaurant name",IF(W530=1,"Invalid/outlier quantity",IF(X530=1,"Invalid/outlier unit price",IF(Y530=1,"Discount greater than order value",""))))))))</f>
        <v/>
      </c>
      <c r="AC530" s="7" t="str">
        <f aca="false">IF(AB530="","KEEP","DROP")</f>
        <v>KEEP</v>
      </c>
      <c r="AD530" s="7" t="str">
        <f aca="false">IF(TRIM(F530)="",IFERROR(INDEX(Map_Tables!$I$4:$I$37,MATCH(TRIM(E530),Map_Tables!$G$4:$G$37,0)),""),IFERROR(INDEX(Map_Tables!$B$4:$B$18,MATCH(TRIM(F530),Map_Tables!$A$4:$A$18,0)),"CHECK"))</f>
        <v>Bengaluru</v>
      </c>
      <c r="AE530" s="7" t="str">
        <f aca="false">IF(TRIM(E530)="","",IFERROR(INDEX(Map_Tables!$H$4:$H$37,MATCH(TRIM(E530),Map_Tables!$G$4:$G$37,0)),"CHECK"))</f>
        <v>Dosa Darbar</v>
      </c>
      <c r="AF530" s="7" t="str">
        <f aca="false">IF(TRIM(K530)="","Unknown",IFERROR(INDEX(Map_Tables!$E$4:$E$15,MATCH(TRIM(K530),Map_Tables!$D$4:$D$15,0)),"CHECK"))</f>
        <v>Credit Card</v>
      </c>
      <c r="AG530" s="7" t="str">
        <f aca="false">IF(LEFT(LOWER(TRIM(L530)),6)="cancel","Cancelled","Delivered")</f>
        <v>Delivered</v>
      </c>
      <c r="AH530" s="10" t="n">
        <f aca="false">IF(ISNUMBER(SEARCH("/",B530)),DATE(VALUE(RIGHT(B530,4)),VALUE(MID(B530,4,2)),VALUE(LEFT(B530,2))),IF(MID(B530,5,1)="-",DATE(VALUE(LEFT(B530,4)),VALUE(MID(B530,6,2)),VALUE(RIGHT(B530,2))),DATE(VALUE(RIGHT(B530,4)),MATCH(MID(B530,4,3),{"Jan","Feb","Mar","Apr","May","Jun","Jul","Aug","Sep","Oct","Nov","Dec"},0),VALUE(LEFT(B530,2)))))</f>
        <v>45919</v>
      </c>
    </row>
    <row r="531" customFormat="false" ht="15" hidden="false" customHeight="false" outlineLevel="0" collapsed="false">
      <c r="A531" s="7" t="s">
        <v>1948</v>
      </c>
      <c r="B531" s="7" t="s">
        <v>1190</v>
      </c>
      <c r="C531" s="7" t="s">
        <v>1795</v>
      </c>
      <c r="D531" s="7" t="s">
        <v>1949</v>
      </c>
      <c r="E531" s="7" t="s">
        <v>138</v>
      </c>
      <c r="F531" s="7" t="s">
        <v>110</v>
      </c>
      <c r="G531" s="7" t="s">
        <v>139</v>
      </c>
      <c r="H531" s="7" t="n">
        <v>2</v>
      </c>
      <c r="I531" s="7" t="n">
        <v>215</v>
      </c>
      <c r="J531" s="7" t="n">
        <v>20</v>
      </c>
      <c r="K531" s="7" t="s">
        <v>88</v>
      </c>
      <c r="L531" s="7" t="s">
        <v>194</v>
      </c>
      <c r="M531" s="7" t="n">
        <v>31</v>
      </c>
      <c r="N531" s="7"/>
      <c r="O531" s="7" t="str">
        <f aca="false">A531&amp;"|"&amp;B531&amp;"|"&amp;C531&amp;"|"&amp;D531&amp;"|"&amp;E531&amp;"|"&amp;F531&amp;"|"&amp;G531&amp;"|"&amp;H531&amp;"|"&amp;I531&amp;"|"&amp;J531&amp;"|"&amp;K531&amp;"|"&amp;L531&amp;"|"&amp;M531&amp;"|"&amp;N531</f>
        <v>ORD10192|2025-01-26|12:33|C0350|Burger Barn|Delhi|Burgers|2|215|20|UPI|Delivered|31|</v>
      </c>
      <c r="P531" s="7" t="str">
        <f aca="false">IF(COUNTIF($O$2:O531,O531)&gt;1,"DUP","OK")</f>
        <v>OK</v>
      </c>
      <c r="Q531" s="7" t="n">
        <f aca="false">COUNTBLANK(A531:N531)</f>
        <v>1</v>
      </c>
      <c r="R531" s="7" t="n">
        <f aca="false">IF(A531="",0,COUNTIFS($A$2:$A$3058,A531,$P$2:$P$3058,"OK"))</f>
        <v>1</v>
      </c>
      <c r="S531" s="7" t="str">
        <f aca="false">IF(OR(A531="",P531="DUP",R531&lt;2),"",IF(Q531=_xlfn.MINIFS($Q$2:$Q$3058,$A$2:$A$3058,A531,$P$2:$P$3058,"OK"),"KEEP","DROP"))</f>
        <v/>
      </c>
      <c r="T531" s="9" t="n">
        <f aca="false">IF(A531="",1,0)</f>
        <v>0</v>
      </c>
      <c r="U531" s="9" t="n">
        <f aca="false">IF(D531="",1,0)</f>
        <v>0</v>
      </c>
      <c r="V531" s="9" t="n">
        <f aca="false">IF(E531="",1,0)</f>
        <v>0</v>
      </c>
      <c r="W531" s="9" t="n">
        <f aca="false">IF(OR(H531&lt;1,H531&gt;10),1,0)</f>
        <v>0</v>
      </c>
      <c r="X531" s="9" t="n">
        <f aca="false">IF(OR(I531&lt;=0,I531&gt;1500),1,0)</f>
        <v>0</v>
      </c>
      <c r="Y531" s="9" t="n">
        <f aca="false">IF(J531&gt;H531*I531,1,0)</f>
        <v>0</v>
      </c>
      <c r="Z531" s="9" t="n">
        <f aca="false">IF(AND(N531&lt;&gt;"",OR(N531&lt;1,N531&gt;5)),1,0)</f>
        <v>0</v>
      </c>
      <c r="AA531" s="9" t="n">
        <f aca="false">IF(AND(M531&lt;&gt;"",OR(M531&lt;5,M531&gt;180)),1,0)</f>
        <v>0</v>
      </c>
      <c r="AB531" s="7" t="str">
        <f aca="false">IF(P531="DUP","Exact duplicate row",IF(T531=1,"Missing Order ID",IF(S531="DROP","Duplicate Order ID (less complete row)",IF(U531=1,"Missing Customer ID",IF(V531=1,"Missing Restaurant name",IF(W531=1,"Invalid/outlier quantity",IF(X531=1,"Invalid/outlier unit price",IF(Y531=1,"Discount greater than order value",""))))))))</f>
        <v/>
      </c>
      <c r="AC531" s="7" t="str">
        <f aca="false">IF(AB531="","KEEP","DROP")</f>
        <v>KEEP</v>
      </c>
      <c r="AD531" s="7" t="str">
        <f aca="false">IF(TRIM(F531)="",IFERROR(INDEX(Map_Tables!$I$4:$I$37,MATCH(TRIM(E531),Map_Tables!$G$4:$G$37,0)),""),IFERROR(INDEX(Map_Tables!$B$4:$B$18,MATCH(TRIM(F531),Map_Tables!$A$4:$A$18,0)),"CHECK"))</f>
        <v>Delhi</v>
      </c>
      <c r="AE531" s="7" t="str">
        <f aca="false">IF(TRIM(E531)="","",IFERROR(INDEX(Map_Tables!$H$4:$H$37,MATCH(TRIM(E531),Map_Tables!$G$4:$G$37,0)),"CHECK"))</f>
        <v>Burger Barn</v>
      </c>
      <c r="AF531" s="7" t="str">
        <f aca="false">IF(TRIM(K531)="","Unknown",IFERROR(INDEX(Map_Tables!$E$4:$E$15,MATCH(TRIM(K531),Map_Tables!$D$4:$D$15,0)),"CHECK"))</f>
        <v>UPI</v>
      </c>
      <c r="AG531" s="7" t="str">
        <f aca="false">IF(LEFT(LOWER(TRIM(L531)),6)="cancel","Cancelled","Delivered")</f>
        <v>Delivered</v>
      </c>
      <c r="AH531" s="10" t="n">
        <f aca="false">IF(ISNUMBER(SEARCH("/",B531)),DATE(VALUE(RIGHT(B531,4)),VALUE(MID(B531,4,2)),VALUE(LEFT(B531,2))),IF(MID(B531,5,1)="-",DATE(VALUE(LEFT(B531,4)),VALUE(MID(B531,6,2)),VALUE(RIGHT(B531,2))),DATE(VALUE(RIGHT(B531,4)),MATCH(MID(B531,4,3),{"Jan","Feb","Mar","Apr","May","Jun","Jul","Aug","Sep","Oct","Nov","Dec"},0),VALUE(LEFT(B531,2)))))</f>
        <v>45683</v>
      </c>
    </row>
    <row r="532" customFormat="false" ht="15" hidden="false" customHeight="false" outlineLevel="0" collapsed="false">
      <c r="A532" s="7" t="s">
        <v>1950</v>
      </c>
      <c r="B532" s="7" t="s">
        <v>1951</v>
      </c>
      <c r="C532" s="7" t="s">
        <v>292</v>
      </c>
      <c r="D532" s="7" t="s">
        <v>1952</v>
      </c>
      <c r="E532" s="7" t="s">
        <v>98</v>
      </c>
      <c r="F532" s="7" t="s">
        <v>86</v>
      </c>
      <c r="G532" s="7" t="s">
        <v>99</v>
      </c>
      <c r="H532" s="7" t="n">
        <v>2</v>
      </c>
      <c r="I532" s="7" t="n">
        <v>275</v>
      </c>
      <c r="J532" s="7" t="n">
        <v>100</v>
      </c>
      <c r="K532" s="7" t="s">
        <v>421</v>
      </c>
      <c r="L532" s="7" t="s">
        <v>194</v>
      </c>
      <c r="M532" s="7" t="n">
        <v>48</v>
      </c>
      <c r="N532" s="7" t="n">
        <v>5</v>
      </c>
      <c r="O532" s="7" t="str">
        <f aca="false">A532&amp;"|"&amp;B532&amp;"|"&amp;C532&amp;"|"&amp;D532&amp;"|"&amp;E532&amp;"|"&amp;F532&amp;"|"&amp;G532&amp;"|"&amp;H532&amp;"|"&amp;I532&amp;"|"&amp;J532&amp;"|"&amp;K532&amp;"|"&amp;L532&amp;"|"&amp;M532&amp;"|"&amp;N532</f>
        <v>ORD11017|2025-05-09|18:02|C0489|Nawabi Biryani House|Bengaluru|Biryani|2|275|100|UPI |Delivered|48|5</v>
      </c>
      <c r="P532" s="7" t="str">
        <f aca="false">IF(COUNTIF($O$2:O532,O532)&gt;1,"DUP","OK")</f>
        <v>OK</v>
      </c>
      <c r="Q532" s="7" t="n">
        <f aca="false">COUNTBLANK(A532:N532)</f>
        <v>0</v>
      </c>
      <c r="R532" s="7" t="n">
        <f aca="false">IF(A532="",0,COUNTIFS($A$2:$A$3058,A532,$P$2:$P$3058,"OK"))</f>
        <v>1</v>
      </c>
      <c r="S532" s="7" t="str">
        <f aca="false">IF(OR(A532="",P532="DUP",R532&lt;2),"",IF(Q532=_xlfn.MINIFS($Q$2:$Q$3058,$A$2:$A$3058,A532,$P$2:$P$3058,"OK"),"KEEP","DROP"))</f>
        <v/>
      </c>
      <c r="T532" s="9" t="n">
        <f aca="false">IF(A532="",1,0)</f>
        <v>0</v>
      </c>
      <c r="U532" s="9" t="n">
        <f aca="false">IF(D532="",1,0)</f>
        <v>0</v>
      </c>
      <c r="V532" s="9" t="n">
        <f aca="false">IF(E532="",1,0)</f>
        <v>0</v>
      </c>
      <c r="W532" s="9" t="n">
        <f aca="false">IF(OR(H532&lt;1,H532&gt;10),1,0)</f>
        <v>0</v>
      </c>
      <c r="X532" s="9" t="n">
        <f aca="false">IF(OR(I532&lt;=0,I532&gt;1500),1,0)</f>
        <v>0</v>
      </c>
      <c r="Y532" s="9" t="n">
        <f aca="false">IF(J532&gt;H532*I532,1,0)</f>
        <v>0</v>
      </c>
      <c r="Z532" s="9" t="n">
        <f aca="false">IF(AND(N532&lt;&gt;"",OR(N532&lt;1,N532&gt;5)),1,0)</f>
        <v>0</v>
      </c>
      <c r="AA532" s="9" t="n">
        <f aca="false">IF(AND(M532&lt;&gt;"",OR(M532&lt;5,M532&gt;180)),1,0)</f>
        <v>0</v>
      </c>
      <c r="AB532" s="7" t="str">
        <f aca="false">IF(P532="DUP","Exact duplicate row",IF(T532=1,"Missing Order ID",IF(S532="DROP","Duplicate Order ID (less complete row)",IF(U532=1,"Missing Customer ID",IF(V532=1,"Missing Restaurant name",IF(W532=1,"Invalid/outlier quantity",IF(X532=1,"Invalid/outlier unit price",IF(Y532=1,"Discount greater than order value",""))))))))</f>
        <v/>
      </c>
      <c r="AC532" s="7" t="str">
        <f aca="false">IF(AB532="","KEEP","DROP")</f>
        <v>KEEP</v>
      </c>
      <c r="AD532" s="7" t="str">
        <f aca="false">IF(TRIM(F532)="",IFERROR(INDEX(Map_Tables!$I$4:$I$37,MATCH(TRIM(E532),Map_Tables!$G$4:$G$37,0)),""),IFERROR(INDEX(Map_Tables!$B$4:$B$18,MATCH(TRIM(F532),Map_Tables!$A$4:$A$18,0)),"CHECK"))</f>
        <v>Bengaluru</v>
      </c>
      <c r="AE532" s="7" t="str">
        <f aca="false">IF(TRIM(E532)="","",IFERROR(INDEX(Map_Tables!$H$4:$H$37,MATCH(TRIM(E532),Map_Tables!$G$4:$G$37,0)),"CHECK"))</f>
        <v>Nawabi Biryani House</v>
      </c>
      <c r="AF532" s="7" t="str">
        <f aca="false">IF(TRIM(K532)="","Unknown",IFERROR(INDEX(Map_Tables!$E$4:$E$15,MATCH(TRIM(K532),Map_Tables!$D$4:$D$15,0)),"CHECK"))</f>
        <v>UPI</v>
      </c>
      <c r="AG532" s="7" t="str">
        <f aca="false">IF(LEFT(LOWER(TRIM(L532)),6)="cancel","Cancelled","Delivered")</f>
        <v>Delivered</v>
      </c>
      <c r="AH532" s="10" t="n">
        <f aca="false">IF(ISNUMBER(SEARCH("/",B532)),DATE(VALUE(RIGHT(B532,4)),VALUE(MID(B532,4,2)),VALUE(LEFT(B532,2))),IF(MID(B532,5,1)="-",DATE(VALUE(LEFT(B532,4)),VALUE(MID(B532,6,2)),VALUE(RIGHT(B532,2))),DATE(VALUE(RIGHT(B532,4)),MATCH(MID(B532,4,3),{"Jan","Feb","Mar","Apr","May","Jun","Jul","Aug","Sep","Oct","Nov","Dec"},0),VALUE(LEFT(B532,2)))))</f>
        <v>45786</v>
      </c>
    </row>
    <row r="533" customFormat="false" ht="15" hidden="false" customHeight="false" outlineLevel="0" collapsed="false">
      <c r="A533" s="7" t="s">
        <v>1953</v>
      </c>
      <c r="B533" s="7" t="s">
        <v>1767</v>
      </c>
      <c r="C533" s="7" t="s">
        <v>292</v>
      </c>
      <c r="D533" s="7" t="s">
        <v>1954</v>
      </c>
      <c r="E533" s="7" t="s">
        <v>163</v>
      </c>
      <c r="F533" s="7" t="s">
        <v>141</v>
      </c>
      <c r="G533" s="7" t="s">
        <v>99</v>
      </c>
      <c r="H533" s="7" t="n">
        <v>1</v>
      </c>
      <c r="I533" s="7" t="n">
        <v>200</v>
      </c>
      <c r="J533" s="7" t="n">
        <v>80</v>
      </c>
      <c r="K533" s="7" t="s">
        <v>88</v>
      </c>
      <c r="L533" s="7" t="s">
        <v>194</v>
      </c>
      <c r="M533" s="7" t="n">
        <v>32</v>
      </c>
      <c r="N533" s="7" t="n">
        <v>4</v>
      </c>
      <c r="O533" s="7" t="str">
        <f aca="false">A533&amp;"|"&amp;B533&amp;"|"&amp;C533&amp;"|"&amp;D533&amp;"|"&amp;E533&amp;"|"&amp;F533&amp;"|"&amp;G533&amp;"|"&amp;H533&amp;"|"&amp;I533&amp;"|"&amp;J533&amp;"|"&amp;K533&amp;"|"&amp;L533&amp;"|"&amp;M533&amp;"|"&amp;N533</f>
        <v>ORD12209|2025-10-08|18:02|C1044|Biryani Baadshah|Kolkata|Biryani|1|200|80|UPI|Delivered|32|4</v>
      </c>
      <c r="P533" s="7" t="str">
        <f aca="false">IF(COUNTIF($O$2:O533,O533)&gt;1,"DUP","OK")</f>
        <v>OK</v>
      </c>
      <c r="Q533" s="7" t="n">
        <f aca="false">COUNTBLANK(A533:N533)</f>
        <v>0</v>
      </c>
      <c r="R533" s="7" t="n">
        <f aca="false">IF(A533="",0,COUNTIFS($A$2:$A$3058,A533,$P$2:$P$3058,"OK"))</f>
        <v>1</v>
      </c>
      <c r="S533" s="7" t="str">
        <f aca="false">IF(OR(A533="",P533="DUP",R533&lt;2),"",IF(Q533=_xlfn.MINIFS($Q$2:$Q$3058,$A$2:$A$3058,A533,$P$2:$P$3058,"OK"),"KEEP","DROP"))</f>
        <v/>
      </c>
      <c r="T533" s="9" t="n">
        <f aca="false">IF(A533="",1,0)</f>
        <v>0</v>
      </c>
      <c r="U533" s="9" t="n">
        <f aca="false">IF(D533="",1,0)</f>
        <v>0</v>
      </c>
      <c r="V533" s="9" t="n">
        <f aca="false">IF(E533="",1,0)</f>
        <v>0</v>
      </c>
      <c r="W533" s="9" t="n">
        <f aca="false">IF(OR(H533&lt;1,H533&gt;10),1,0)</f>
        <v>0</v>
      </c>
      <c r="X533" s="9" t="n">
        <f aca="false">IF(OR(I533&lt;=0,I533&gt;1500),1,0)</f>
        <v>0</v>
      </c>
      <c r="Y533" s="9" t="n">
        <f aca="false">IF(J533&gt;H533*I533,1,0)</f>
        <v>0</v>
      </c>
      <c r="Z533" s="9" t="n">
        <f aca="false">IF(AND(N533&lt;&gt;"",OR(N533&lt;1,N533&gt;5)),1,0)</f>
        <v>0</v>
      </c>
      <c r="AA533" s="9" t="n">
        <f aca="false">IF(AND(M533&lt;&gt;"",OR(M533&lt;5,M533&gt;180)),1,0)</f>
        <v>0</v>
      </c>
      <c r="AB533" s="7" t="str">
        <f aca="false">IF(P533="DUP","Exact duplicate row",IF(T533=1,"Missing Order ID",IF(S533="DROP","Duplicate Order ID (less complete row)",IF(U533=1,"Missing Customer ID",IF(V533=1,"Missing Restaurant name",IF(W533=1,"Invalid/outlier quantity",IF(X533=1,"Invalid/outlier unit price",IF(Y533=1,"Discount greater than order value",""))))))))</f>
        <v/>
      </c>
      <c r="AC533" s="7" t="str">
        <f aca="false">IF(AB533="","KEEP","DROP")</f>
        <v>KEEP</v>
      </c>
      <c r="AD533" s="7" t="str">
        <f aca="false">IF(TRIM(F533)="",IFERROR(INDEX(Map_Tables!$I$4:$I$37,MATCH(TRIM(E533),Map_Tables!$G$4:$G$37,0)),""),IFERROR(INDEX(Map_Tables!$B$4:$B$18,MATCH(TRIM(F533),Map_Tables!$A$4:$A$18,0)),"CHECK"))</f>
        <v>Kolkata</v>
      </c>
      <c r="AE533" s="7" t="str">
        <f aca="false">IF(TRIM(E533)="","",IFERROR(INDEX(Map_Tables!$H$4:$H$37,MATCH(TRIM(E533),Map_Tables!$G$4:$G$37,0)),"CHECK"))</f>
        <v>Biryani Baadshah</v>
      </c>
      <c r="AF533" s="7" t="str">
        <f aca="false">IF(TRIM(K533)="","Unknown",IFERROR(INDEX(Map_Tables!$E$4:$E$15,MATCH(TRIM(K533),Map_Tables!$D$4:$D$15,0)),"CHECK"))</f>
        <v>UPI</v>
      </c>
      <c r="AG533" s="7" t="str">
        <f aca="false">IF(LEFT(LOWER(TRIM(L533)),6)="cancel","Cancelled","Delivered")</f>
        <v>Delivered</v>
      </c>
      <c r="AH533" s="10" t="n">
        <f aca="false">IF(ISNUMBER(SEARCH("/",B533)),DATE(VALUE(RIGHT(B533,4)),VALUE(MID(B533,4,2)),VALUE(LEFT(B533,2))),IF(MID(B533,5,1)="-",DATE(VALUE(LEFT(B533,4)),VALUE(MID(B533,6,2)),VALUE(RIGHT(B533,2))),DATE(VALUE(RIGHT(B533,4)),MATCH(MID(B533,4,3),{"Jan","Feb","Mar","Apr","May","Jun","Jul","Aug","Sep","Oct","Nov","Dec"},0),VALUE(LEFT(B533,2)))))</f>
        <v>45938</v>
      </c>
    </row>
    <row r="534" customFormat="false" ht="15" hidden="false" customHeight="false" outlineLevel="0" collapsed="false">
      <c r="A534" s="7" t="s">
        <v>1955</v>
      </c>
      <c r="B534" s="7" t="s">
        <v>1956</v>
      </c>
      <c r="C534" s="7" t="s">
        <v>1957</v>
      </c>
      <c r="D534" s="7" t="s">
        <v>1958</v>
      </c>
      <c r="E534" s="7" t="s">
        <v>158</v>
      </c>
      <c r="F534" s="7" t="s">
        <v>136</v>
      </c>
      <c r="G534" s="7" t="s">
        <v>139</v>
      </c>
      <c r="H534" s="7" t="n">
        <v>2</v>
      </c>
      <c r="I534" s="7" t="n">
        <v>215</v>
      </c>
      <c r="J534" s="7" t="n">
        <v>0</v>
      </c>
      <c r="K534" s="7" t="s">
        <v>133</v>
      </c>
      <c r="L534" s="7" t="s">
        <v>238</v>
      </c>
      <c r="M534" s="7"/>
      <c r="N534" s="7"/>
      <c r="O534" s="7" t="str">
        <f aca="false">A534&amp;"|"&amp;B534&amp;"|"&amp;C534&amp;"|"&amp;D534&amp;"|"&amp;E534&amp;"|"&amp;F534&amp;"|"&amp;G534&amp;"|"&amp;H534&amp;"|"&amp;I534&amp;"|"&amp;J534&amp;"|"&amp;K534&amp;"|"&amp;L534&amp;"|"&amp;M534&amp;"|"&amp;N534</f>
        <v>ORD10375|19-Feb-2025|13:29|C0798|Pune Burger Hub|Pune|Burgers|2|215|0|Net Banking|Cancelled||</v>
      </c>
      <c r="P534" s="7" t="str">
        <f aca="false">IF(COUNTIF($O$2:O534,O534)&gt;1,"DUP","OK")</f>
        <v>OK</v>
      </c>
      <c r="Q534" s="7" t="n">
        <f aca="false">COUNTBLANK(A534:N534)</f>
        <v>2</v>
      </c>
      <c r="R534" s="7" t="n">
        <f aca="false">IF(A534="",0,COUNTIFS($A$2:$A$3058,A534,$P$2:$P$3058,"OK"))</f>
        <v>1</v>
      </c>
      <c r="S534" s="7" t="str">
        <f aca="false">IF(OR(A534="",P534="DUP",R534&lt;2),"",IF(Q534=_xlfn.MINIFS($Q$2:$Q$3058,$A$2:$A$3058,A534,$P$2:$P$3058,"OK"),"KEEP","DROP"))</f>
        <v/>
      </c>
      <c r="T534" s="9" t="n">
        <f aca="false">IF(A534="",1,0)</f>
        <v>0</v>
      </c>
      <c r="U534" s="9" t="n">
        <f aca="false">IF(D534="",1,0)</f>
        <v>0</v>
      </c>
      <c r="V534" s="9" t="n">
        <f aca="false">IF(E534="",1,0)</f>
        <v>0</v>
      </c>
      <c r="W534" s="9" t="n">
        <f aca="false">IF(OR(H534&lt;1,H534&gt;10),1,0)</f>
        <v>0</v>
      </c>
      <c r="X534" s="9" t="n">
        <f aca="false">IF(OR(I534&lt;=0,I534&gt;1500),1,0)</f>
        <v>0</v>
      </c>
      <c r="Y534" s="9" t="n">
        <f aca="false">IF(J534&gt;H534*I534,1,0)</f>
        <v>0</v>
      </c>
      <c r="Z534" s="9" t="n">
        <f aca="false">IF(AND(N534&lt;&gt;"",OR(N534&lt;1,N534&gt;5)),1,0)</f>
        <v>0</v>
      </c>
      <c r="AA534" s="9" t="n">
        <f aca="false">IF(AND(M534&lt;&gt;"",OR(M534&lt;5,M534&gt;180)),1,0)</f>
        <v>0</v>
      </c>
      <c r="AB534" s="7" t="str">
        <f aca="false">IF(P534="DUP","Exact duplicate row",IF(T534=1,"Missing Order ID",IF(S534="DROP","Duplicate Order ID (less complete row)",IF(U534=1,"Missing Customer ID",IF(V534=1,"Missing Restaurant name",IF(W534=1,"Invalid/outlier quantity",IF(X534=1,"Invalid/outlier unit price",IF(Y534=1,"Discount greater than order value",""))))))))</f>
        <v/>
      </c>
      <c r="AC534" s="7" t="str">
        <f aca="false">IF(AB534="","KEEP","DROP")</f>
        <v>KEEP</v>
      </c>
      <c r="AD534" s="7" t="str">
        <f aca="false">IF(TRIM(F534)="",IFERROR(INDEX(Map_Tables!$I$4:$I$37,MATCH(TRIM(E534),Map_Tables!$G$4:$G$37,0)),""),IFERROR(INDEX(Map_Tables!$B$4:$B$18,MATCH(TRIM(F534),Map_Tables!$A$4:$A$18,0)),"CHECK"))</f>
        <v>Pune</v>
      </c>
      <c r="AE534" s="7" t="str">
        <f aca="false">IF(TRIM(E534)="","",IFERROR(INDEX(Map_Tables!$H$4:$H$37,MATCH(TRIM(E534),Map_Tables!$G$4:$G$37,0)),"CHECK"))</f>
        <v>Pune Burger Hub</v>
      </c>
      <c r="AF534" s="7" t="str">
        <f aca="false">IF(TRIM(K534)="","Unknown",IFERROR(INDEX(Map_Tables!$E$4:$E$15,MATCH(TRIM(K534),Map_Tables!$D$4:$D$15,0)),"CHECK"))</f>
        <v>Net Banking</v>
      </c>
      <c r="AG534" s="7" t="str">
        <f aca="false">IF(LEFT(LOWER(TRIM(L534)),6)="cancel","Cancelled","Delivered")</f>
        <v>Cancelled</v>
      </c>
      <c r="AH534" s="10" t="n">
        <f aca="false">IF(ISNUMBER(SEARCH("/",B534)),DATE(VALUE(RIGHT(B534,4)),VALUE(MID(B534,4,2)),VALUE(LEFT(B534,2))),IF(MID(B534,5,1)="-",DATE(VALUE(LEFT(B534,4)),VALUE(MID(B534,6,2)),VALUE(RIGHT(B534,2))),DATE(VALUE(RIGHT(B534,4)),MATCH(MID(B534,4,3),{"Jan","Feb","Mar","Apr","May","Jun","Jul","Aug","Sep","Oct","Nov","Dec"},0),VALUE(LEFT(B534,2)))))</f>
        <v>45707</v>
      </c>
    </row>
    <row r="535" customFormat="false" ht="15" hidden="false" customHeight="false" outlineLevel="0" collapsed="false">
      <c r="A535" s="7" t="s">
        <v>1959</v>
      </c>
      <c r="B535" s="7" t="s">
        <v>1960</v>
      </c>
      <c r="C535" s="7" t="s">
        <v>1961</v>
      </c>
      <c r="D535" s="7" t="s">
        <v>1962</v>
      </c>
      <c r="E535" s="7" t="s">
        <v>94</v>
      </c>
      <c r="F535" s="7" t="s">
        <v>86</v>
      </c>
      <c r="G535" s="7" t="s">
        <v>95</v>
      </c>
      <c r="H535" s="7" t="n">
        <v>2</v>
      </c>
      <c r="I535" s="7" t="n">
        <v>135</v>
      </c>
      <c r="J535" s="7" t="n">
        <v>100</v>
      </c>
      <c r="K535" s="7" t="s">
        <v>88</v>
      </c>
      <c r="L535" s="7" t="s">
        <v>194</v>
      </c>
      <c r="M535" s="7" t="n">
        <v>41</v>
      </c>
      <c r="N535" s="7" t="n">
        <v>4</v>
      </c>
      <c r="O535" s="7" t="str">
        <f aca="false">A535&amp;"|"&amp;B535&amp;"|"&amp;C535&amp;"|"&amp;D535&amp;"|"&amp;E535&amp;"|"&amp;F535&amp;"|"&amp;G535&amp;"|"&amp;H535&amp;"|"&amp;I535&amp;"|"&amp;J535&amp;"|"&amp;K535&amp;"|"&amp;L535&amp;"|"&amp;M535&amp;"|"&amp;N535</f>
        <v>ORD12956|27/12/2025|15:50|C0762|Dosa Darbar|Bengaluru|South Indian|2|135|100|UPI|Delivered|41|4</v>
      </c>
      <c r="P535" s="7" t="str">
        <f aca="false">IF(COUNTIF($O$2:O535,O535)&gt;1,"DUP","OK")</f>
        <v>OK</v>
      </c>
      <c r="Q535" s="7" t="n">
        <f aca="false">COUNTBLANK(A535:N535)</f>
        <v>0</v>
      </c>
      <c r="R535" s="7" t="n">
        <f aca="false">IF(A535="",0,COUNTIFS($A$2:$A$3058,A535,$P$2:$P$3058,"OK"))</f>
        <v>1</v>
      </c>
      <c r="S535" s="7" t="str">
        <f aca="false">IF(OR(A535="",P535="DUP",R535&lt;2),"",IF(Q535=_xlfn.MINIFS($Q$2:$Q$3058,$A$2:$A$3058,A535,$P$2:$P$3058,"OK"),"KEEP","DROP"))</f>
        <v/>
      </c>
      <c r="T535" s="9" t="n">
        <f aca="false">IF(A535="",1,0)</f>
        <v>0</v>
      </c>
      <c r="U535" s="9" t="n">
        <f aca="false">IF(D535="",1,0)</f>
        <v>0</v>
      </c>
      <c r="V535" s="9" t="n">
        <f aca="false">IF(E535="",1,0)</f>
        <v>0</v>
      </c>
      <c r="W535" s="9" t="n">
        <f aca="false">IF(OR(H535&lt;1,H535&gt;10),1,0)</f>
        <v>0</v>
      </c>
      <c r="X535" s="9" t="n">
        <f aca="false">IF(OR(I535&lt;=0,I535&gt;1500),1,0)</f>
        <v>0</v>
      </c>
      <c r="Y535" s="9" t="n">
        <f aca="false">IF(J535&gt;H535*I535,1,0)</f>
        <v>0</v>
      </c>
      <c r="Z535" s="9" t="n">
        <f aca="false">IF(AND(N535&lt;&gt;"",OR(N535&lt;1,N535&gt;5)),1,0)</f>
        <v>0</v>
      </c>
      <c r="AA535" s="9" t="n">
        <f aca="false">IF(AND(M535&lt;&gt;"",OR(M535&lt;5,M535&gt;180)),1,0)</f>
        <v>0</v>
      </c>
      <c r="AB535" s="7" t="str">
        <f aca="false">IF(P535="DUP","Exact duplicate row",IF(T535=1,"Missing Order ID",IF(S535="DROP","Duplicate Order ID (less complete row)",IF(U535=1,"Missing Customer ID",IF(V535=1,"Missing Restaurant name",IF(W535=1,"Invalid/outlier quantity",IF(X535=1,"Invalid/outlier unit price",IF(Y535=1,"Discount greater than order value",""))))))))</f>
        <v/>
      </c>
      <c r="AC535" s="7" t="str">
        <f aca="false">IF(AB535="","KEEP","DROP")</f>
        <v>KEEP</v>
      </c>
      <c r="AD535" s="7" t="str">
        <f aca="false">IF(TRIM(F535)="",IFERROR(INDEX(Map_Tables!$I$4:$I$37,MATCH(TRIM(E535),Map_Tables!$G$4:$G$37,0)),""),IFERROR(INDEX(Map_Tables!$B$4:$B$18,MATCH(TRIM(F535),Map_Tables!$A$4:$A$18,0)),"CHECK"))</f>
        <v>Bengaluru</v>
      </c>
      <c r="AE535" s="7" t="str">
        <f aca="false">IF(TRIM(E535)="","",IFERROR(INDEX(Map_Tables!$H$4:$H$37,MATCH(TRIM(E535),Map_Tables!$G$4:$G$37,0)),"CHECK"))</f>
        <v>Dosa Darbar</v>
      </c>
      <c r="AF535" s="7" t="str">
        <f aca="false">IF(TRIM(K535)="","Unknown",IFERROR(INDEX(Map_Tables!$E$4:$E$15,MATCH(TRIM(K535),Map_Tables!$D$4:$D$15,0)),"CHECK"))</f>
        <v>UPI</v>
      </c>
      <c r="AG535" s="7" t="str">
        <f aca="false">IF(LEFT(LOWER(TRIM(L535)),6)="cancel","Cancelled","Delivered")</f>
        <v>Delivered</v>
      </c>
      <c r="AH535" s="10" t="n">
        <f aca="false">IF(ISNUMBER(SEARCH("/",B535)),DATE(VALUE(RIGHT(B535,4)),VALUE(MID(B535,4,2)),VALUE(LEFT(B535,2))),IF(MID(B535,5,1)="-",DATE(VALUE(LEFT(B535,4)),VALUE(MID(B535,6,2)),VALUE(RIGHT(B535,2))),DATE(VALUE(RIGHT(B535,4)),MATCH(MID(B535,4,3),{"Jan","Feb","Mar","Apr","May","Jun","Jul","Aug","Sep","Oct","Nov","Dec"},0),VALUE(LEFT(B535,2)))))</f>
        <v>46018</v>
      </c>
    </row>
    <row r="536" customFormat="false" ht="15" hidden="false" customHeight="false" outlineLevel="0" collapsed="false">
      <c r="A536" s="7" t="s">
        <v>1963</v>
      </c>
      <c r="B536" s="7" t="s">
        <v>1373</v>
      </c>
      <c r="C536" s="7" t="s">
        <v>1523</v>
      </c>
      <c r="D536" s="7" t="s">
        <v>1777</v>
      </c>
      <c r="E536" s="7" t="s">
        <v>113</v>
      </c>
      <c r="F536" s="7" t="s">
        <v>101</v>
      </c>
      <c r="G536" s="7" t="s">
        <v>90</v>
      </c>
      <c r="H536" s="7" t="n">
        <v>2</v>
      </c>
      <c r="I536" s="7" t="n">
        <v>245</v>
      </c>
      <c r="J536" s="7" t="n">
        <v>0</v>
      </c>
      <c r="K536" s="7" t="s">
        <v>87</v>
      </c>
      <c r="L536" s="7" t="s">
        <v>194</v>
      </c>
      <c r="M536" s="7" t="n">
        <v>46</v>
      </c>
      <c r="N536" s="7" t="n">
        <v>4</v>
      </c>
      <c r="O536" s="7" t="str">
        <f aca="false">A536&amp;"|"&amp;B536&amp;"|"&amp;C536&amp;"|"&amp;D536&amp;"|"&amp;E536&amp;"|"&amp;F536&amp;"|"&amp;G536&amp;"|"&amp;H536&amp;"|"&amp;I536&amp;"|"&amp;J536&amp;"|"&amp;K536&amp;"|"&amp;L536&amp;"|"&amp;M536&amp;"|"&amp;N536</f>
        <v>ORD11893|2025-09-03|23:36|C0883|Curry Leaf Kitchen|Mumbai|North Indian|2|245|0|upi|Delivered|46|4</v>
      </c>
      <c r="P536" s="7" t="str">
        <f aca="false">IF(COUNTIF($O$2:O536,O536)&gt;1,"DUP","OK")</f>
        <v>OK</v>
      </c>
      <c r="Q536" s="7" t="n">
        <f aca="false">COUNTBLANK(A536:N536)</f>
        <v>0</v>
      </c>
      <c r="R536" s="7" t="n">
        <f aca="false">IF(A536="",0,COUNTIFS($A$2:$A$3058,A536,$P$2:$P$3058,"OK"))</f>
        <v>1</v>
      </c>
      <c r="S536" s="7" t="str">
        <f aca="false">IF(OR(A536="",P536="DUP",R536&lt;2),"",IF(Q536=_xlfn.MINIFS($Q$2:$Q$3058,$A$2:$A$3058,A536,$P$2:$P$3058,"OK"),"KEEP","DROP"))</f>
        <v/>
      </c>
      <c r="T536" s="9" t="n">
        <f aca="false">IF(A536="",1,0)</f>
        <v>0</v>
      </c>
      <c r="U536" s="9" t="n">
        <f aca="false">IF(D536="",1,0)</f>
        <v>0</v>
      </c>
      <c r="V536" s="9" t="n">
        <f aca="false">IF(E536="",1,0)</f>
        <v>0</v>
      </c>
      <c r="W536" s="9" t="n">
        <f aca="false">IF(OR(H536&lt;1,H536&gt;10),1,0)</f>
        <v>0</v>
      </c>
      <c r="X536" s="9" t="n">
        <f aca="false">IF(OR(I536&lt;=0,I536&gt;1500),1,0)</f>
        <v>0</v>
      </c>
      <c r="Y536" s="9" t="n">
        <f aca="false">IF(J536&gt;H536*I536,1,0)</f>
        <v>0</v>
      </c>
      <c r="Z536" s="9" t="n">
        <f aca="false">IF(AND(N536&lt;&gt;"",OR(N536&lt;1,N536&gt;5)),1,0)</f>
        <v>0</v>
      </c>
      <c r="AA536" s="9" t="n">
        <f aca="false">IF(AND(M536&lt;&gt;"",OR(M536&lt;5,M536&gt;180)),1,0)</f>
        <v>0</v>
      </c>
      <c r="AB536" s="7" t="str">
        <f aca="false">IF(P536="DUP","Exact duplicate row",IF(T536=1,"Missing Order ID",IF(S536="DROP","Duplicate Order ID (less complete row)",IF(U536=1,"Missing Customer ID",IF(V536=1,"Missing Restaurant name",IF(W536=1,"Invalid/outlier quantity",IF(X536=1,"Invalid/outlier unit price",IF(Y536=1,"Discount greater than order value",""))))))))</f>
        <v/>
      </c>
      <c r="AC536" s="7" t="str">
        <f aca="false">IF(AB536="","KEEP","DROP")</f>
        <v>KEEP</v>
      </c>
      <c r="AD536" s="7" t="str">
        <f aca="false">IF(TRIM(F536)="",IFERROR(INDEX(Map_Tables!$I$4:$I$37,MATCH(TRIM(E536),Map_Tables!$G$4:$G$37,0)),""),IFERROR(INDEX(Map_Tables!$B$4:$B$18,MATCH(TRIM(F536),Map_Tables!$A$4:$A$18,0)),"CHECK"))</f>
        <v>Mumbai</v>
      </c>
      <c r="AE536" s="7" t="str">
        <f aca="false">IF(TRIM(E536)="","",IFERROR(INDEX(Map_Tables!$H$4:$H$37,MATCH(TRIM(E536),Map_Tables!$G$4:$G$37,0)),"CHECK"))</f>
        <v>Curry Leaf Kitchen</v>
      </c>
      <c r="AF536" s="7" t="str">
        <f aca="false">IF(TRIM(K536)="","Unknown",IFERROR(INDEX(Map_Tables!$E$4:$E$15,MATCH(TRIM(K536),Map_Tables!$D$4:$D$15,0)),"CHECK"))</f>
        <v>UPI</v>
      </c>
      <c r="AG536" s="7" t="str">
        <f aca="false">IF(LEFT(LOWER(TRIM(L536)),6)="cancel","Cancelled","Delivered")</f>
        <v>Delivered</v>
      </c>
      <c r="AH536" s="10" t="n">
        <f aca="false">IF(ISNUMBER(SEARCH("/",B536)),DATE(VALUE(RIGHT(B536,4)),VALUE(MID(B536,4,2)),VALUE(LEFT(B536,2))),IF(MID(B536,5,1)="-",DATE(VALUE(LEFT(B536,4)),VALUE(MID(B536,6,2)),VALUE(RIGHT(B536,2))),DATE(VALUE(RIGHT(B536,4)),MATCH(MID(B536,4,3),{"Jan","Feb","Mar","Apr","May","Jun","Jul","Aug","Sep","Oct","Nov","Dec"},0),VALUE(LEFT(B536,2)))))</f>
        <v>45903</v>
      </c>
    </row>
    <row r="537" customFormat="false" ht="15" hidden="false" customHeight="false" outlineLevel="0" collapsed="false">
      <c r="A537" s="7" t="s">
        <v>1964</v>
      </c>
      <c r="B537" s="7" t="s">
        <v>704</v>
      </c>
      <c r="C537" s="7" t="s">
        <v>1058</v>
      </c>
      <c r="D537" s="7" t="s">
        <v>416</v>
      </c>
      <c r="E537" s="7" t="s">
        <v>126</v>
      </c>
      <c r="F537" s="7" t="s">
        <v>100</v>
      </c>
      <c r="G537" s="7" t="s">
        <v>105</v>
      </c>
      <c r="H537" s="7" t="n">
        <v>2</v>
      </c>
      <c r="I537" s="7" t="n">
        <v>195</v>
      </c>
      <c r="J537" s="7" t="n">
        <v>30</v>
      </c>
      <c r="K537" s="7" t="s">
        <v>88</v>
      </c>
      <c r="L537" s="7" t="s">
        <v>194</v>
      </c>
      <c r="M537" s="7" t="n">
        <v>49</v>
      </c>
      <c r="N537" s="7"/>
      <c r="O537" s="7" t="str">
        <f aca="false">A537&amp;"|"&amp;B537&amp;"|"&amp;C537&amp;"|"&amp;D537&amp;"|"&amp;E537&amp;"|"&amp;F537&amp;"|"&amp;G537&amp;"|"&amp;H537&amp;"|"&amp;I537&amp;"|"&amp;J537&amp;"|"&amp;K537&amp;"|"&amp;L537&amp;"|"&amp;M537&amp;"|"&amp;N537</f>
        <v>ORD10292|2025-02-08|20:49|C0410|Dragon Express|mumbai|Chinese|2|195|30|UPI|Delivered|49|</v>
      </c>
      <c r="P537" s="7" t="str">
        <f aca="false">IF(COUNTIF($O$2:O537,O537)&gt;1,"DUP","OK")</f>
        <v>OK</v>
      </c>
      <c r="Q537" s="7" t="n">
        <f aca="false">COUNTBLANK(A537:N537)</f>
        <v>1</v>
      </c>
      <c r="R537" s="7" t="n">
        <f aca="false">IF(A537="",0,COUNTIFS($A$2:$A$3058,A537,$P$2:$P$3058,"OK"))</f>
        <v>1</v>
      </c>
      <c r="S537" s="7" t="str">
        <f aca="false">IF(OR(A537="",P537="DUP",R537&lt;2),"",IF(Q537=_xlfn.MINIFS($Q$2:$Q$3058,$A$2:$A$3058,A537,$P$2:$P$3058,"OK"),"KEEP","DROP"))</f>
        <v/>
      </c>
      <c r="T537" s="9" t="n">
        <f aca="false">IF(A537="",1,0)</f>
        <v>0</v>
      </c>
      <c r="U537" s="9" t="n">
        <f aca="false">IF(D537="",1,0)</f>
        <v>0</v>
      </c>
      <c r="V537" s="9" t="n">
        <f aca="false">IF(E537="",1,0)</f>
        <v>0</v>
      </c>
      <c r="W537" s="9" t="n">
        <f aca="false">IF(OR(H537&lt;1,H537&gt;10),1,0)</f>
        <v>0</v>
      </c>
      <c r="X537" s="9" t="n">
        <f aca="false">IF(OR(I537&lt;=0,I537&gt;1500),1,0)</f>
        <v>0</v>
      </c>
      <c r="Y537" s="9" t="n">
        <f aca="false">IF(J537&gt;H537*I537,1,0)</f>
        <v>0</v>
      </c>
      <c r="Z537" s="9" t="n">
        <f aca="false">IF(AND(N537&lt;&gt;"",OR(N537&lt;1,N537&gt;5)),1,0)</f>
        <v>0</v>
      </c>
      <c r="AA537" s="9" t="n">
        <f aca="false">IF(AND(M537&lt;&gt;"",OR(M537&lt;5,M537&gt;180)),1,0)</f>
        <v>0</v>
      </c>
      <c r="AB537" s="7" t="str">
        <f aca="false">IF(P537="DUP","Exact duplicate row",IF(T537=1,"Missing Order ID",IF(S537="DROP","Duplicate Order ID (less complete row)",IF(U537=1,"Missing Customer ID",IF(V537=1,"Missing Restaurant name",IF(W537=1,"Invalid/outlier quantity",IF(X537=1,"Invalid/outlier unit price",IF(Y537=1,"Discount greater than order value",""))))))))</f>
        <v/>
      </c>
      <c r="AC537" s="7" t="str">
        <f aca="false">IF(AB537="","KEEP","DROP")</f>
        <v>KEEP</v>
      </c>
      <c r="AD537" s="7" t="str">
        <f aca="false">IF(TRIM(F537)="",IFERROR(INDEX(Map_Tables!$I$4:$I$37,MATCH(TRIM(E537),Map_Tables!$G$4:$G$37,0)),""),IFERROR(INDEX(Map_Tables!$B$4:$B$18,MATCH(TRIM(F537),Map_Tables!$A$4:$A$18,0)),"CHECK"))</f>
        <v>Mumbai</v>
      </c>
      <c r="AE537" s="7" t="str">
        <f aca="false">IF(TRIM(E537)="","",IFERROR(INDEX(Map_Tables!$H$4:$H$37,MATCH(TRIM(E537),Map_Tables!$G$4:$G$37,0)),"CHECK"))</f>
        <v>Dragon Express</v>
      </c>
      <c r="AF537" s="7" t="str">
        <f aca="false">IF(TRIM(K537)="","Unknown",IFERROR(INDEX(Map_Tables!$E$4:$E$15,MATCH(TRIM(K537),Map_Tables!$D$4:$D$15,0)),"CHECK"))</f>
        <v>UPI</v>
      </c>
      <c r="AG537" s="7" t="str">
        <f aca="false">IF(LEFT(LOWER(TRIM(L537)),6)="cancel","Cancelled","Delivered")</f>
        <v>Delivered</v>
      </c>
      <c r="AH537" s="10" t="n">
        <f aca="false">IF(ISNUMBER(SEARCH("/",B537)),DATE(VALUE(RIGHT(B537,4)),VALUE(MID(B537,4,2)),VALUE(LEFT(B537,2))),IF(MID(B537,5,1)="-",DATE(VALUE(LEFT(B537,4)),VALUE(MID(B537,6,2)),VALUE(RIGHT(B537,2))),DATE(VALUE(RIGHT(B537,4)),MATCH(MID(B537,4,3),{"Jan","Feb","Mar","Apr","May","Jun","Jul","Aug","Sep","Oct","Nov","Dec"},0),VALUE(LEFT(B537,2)))))</f>
        <v>45696</v>
      </c>
    </row>
    <row r="538" customFormat="false" ht="15" hidden="false" customHeight="false" outlineLevel="0" collapsed="false">
      <c r="A538" s="7" t="s">
        <v>1965</v>
      </c>
      <c r="B538" s="7" t="s">
        <v>500</v>
      </c>
      <c r="C538" s="7" t="s">
        <v>573</v>
      </c>
      <c r="D538" s="7" t="s">
        <v>1966</v>
      </c>
      <c r="E538" s="7" t="s">
        <v>104</v>
      </c>
      <c r="F538" s="7" t="s">
        <v>86</v>
      </c>
      <c r="G538" s="7" t="s">
        <v>105</v>
      </c>
      <c r="H538" s="7" t="n">
        <v>1</v>
      </c>
      <c r="I538" s="7" t="n">
        <v>200</v>
      </c>
      <c r="J538" s="7" t="n">
        <v>0</v>
      </c>
      <c r="K538" s="7" t="s">
        <v>298</v>
      </c>
      <c r="L538" s="7" t="s">
        <v>194</v>
      </c>
      <c r="M538" s="7" t="n">
        <v>41</v>
      </c>
      <c r="N538" s="7" t="n">
        <v>5</v>
      </c>
      <c r="O538" s="7" t="str">
        <f aca="false">A538&amp;"|"&amp;B538&amp;"|"&amp;C538&amp;"|"&amp;D538&amp;"|"&amp;E538&amp;"|"&amp;F538&amp;"|"&amp;G538&amp;"|"&amp;H538&amp;"|"&amp;I538&amp;"|"&amp;J538&amp;"|"&amp;K538&amp;"|"&amp;L538&amp;"|"&amp;M538&amp;"|"&amp;N538</f>
        <v>ORD11365|2025-06-24|21:43|C1333|Wok &amp; Roll|Bengaluru|Chinese|1|200|0|Cash On Delivery|Delivered|41|5</v>
      </c>
      <c r="P538" s="7" t="str">
        <f aca="false">IF(COUNTIF($O$2:O538,O538)&gt;1,"DUP","OK")</f>
        <v>OK</v>
      </c>
      <c r="Q538" s="7" t="n">
        <f aca="false">COUNTBLANK(A538:N538)</f>
        <v>0</v>
      </c>
      <c r="R538" s="7" t="n">
        <f aca="false">IF(A538="",0,COUNTIFS($A$2:$A$3058,A538,$P$2:$P$3058,"OK"))</f>
        <v>1</v>
      </c>
      <c r="S538" s="7" t="str">
        <f aca="false">IF(OR(A538="",P538="DUP",R538&lt;2),"",IF(Q538=_xlfn.MINIFS($Q$2:$Q$3058,$A$2:$A$3058,A538,$P$2:$P$3058,"OK"),"KEEP","DROP"))</f>
        <v/>
      </c>
      <c r="T538" s="9" t="n">
        <f aca="false">IF(A538="",1,0)</f>
        <v>0</v>
      </c>
      <c r="U538" s="9" t="n">
        <f aca="false">IF(D538="",1,0)</f>
        <v>0</v>
      </c>
      <c r="V538" s="9" t="n">
        <f aca="false">IF(E538="",1,0)</f>
        <v>0</v>
      </c>
      <c r="W538" s="9" t="n">
        <f aca="false">IF(OR(H538&lt;1,H538&gt;10),1,0)</f>
        <v>0</v>
      </c>
      <c r="X538" s="9" t="n">
        <f aca="false">IF(OR(I538&lt;=0,I538&gt;1500),1,0)</f>
        <v>0</v>
      </c>
      <c r="Y538" s="9" t="n">
        <f aca="false">IF(J538&gt;H538*I538,1,0)</f>
        <v>0</v>
      </c>
      <c r="Z538" s="9" t="n">
        <f aca="false">IF(AND(N538&lt;&gt;"",OR(N538&lt;1,N538&gt;5)),1,0)</f>
        <v>0</v>
      </c>
      <c r="AA538" s="9" t="n">
        <f aca="false">IF(AND(M538&lt;&gt;"",OR(M538&lt;5,M538&gt;180)),1,0)</f>
        <v>0</v>
      </c>
      <c r="AB538" s="7" t="str">
        <f aca="false">IF(P538="DUP","Exact duplicate row",IF(T538=1,"Missing Order ID",IF(S538="DROP","Duplicate Order ID (less complete row)",IF(U538=1,"Missing Customer ID",IF(V538=1,"Missing Restaurant name",IF(W538=1,"Invalid/outlier quantity",IF(X538=1,"Invalid/outlier unit price",IF(Y538=1,"Discount greater than order value",""))))))))</f>
        <v/>
      </c>
      <c r="AC538" s="7" t="str">
        <f aca="false">IF(AB538="","KEEP","DROP")</f>
        <v>KEEP</v>
      </c>
      <c r="AD538" s="7" t="str">
        <f aca="false">IF(TRIM(F538)="",IFERROR(INDEX(Map_Tables!$I$4:$I$37,MATCH(TRIM(E538),Map_Tables!$G$4:$G$37,0)),""),IFERROR(INDEX(Map_Tables!$B$4:$B$18,MATCH(TRIM(F538),Map_Tables!$A$4:$A$18,0)),"CHECK"))</f>
        <v>Bengaluru</v>
      </c>
      <c r="AE538" s="7" t="str">
        <f aca="false">IF(TRIM(E538)="","",IFERROR(INDEX(Map_Tables!$H$4:$H$37,MATCH(TRIM(E538),Map_Tables!$G$4:$G$37,0)),"CHECK"))</f>
        <v>Wok &amp; Roll</v>
      </c>
      <c r="AF538" s="7" t="str">
        <f aca="false">IF(TRIM(K538)="","Unknown",IFERROR(INDEX(Map_Tables!$E$4:$E$15,MATCH(TRIM(K538),Map_Tables!$D$4:$D$15,0)),"CHECK"))</f>
        <v>Cash on Delivery</v>
      </c>
      <c r="AG538" s="7" t="str">
        <f aca="false">IF(LEFT(LOWER(TRIM(L538)),6)="cancel","Cancelled","Delivered")</f>
        <v>Delivered</v>
      </c>
      <c r="AH538" s="10" t="n">
        <f aca="false">IF(ISNUMBER(SEARCH("/",B538)),DATE(VALUE(RIGHT(B538,4)),VALUE(MID(B538,4,2)),VALUE(LEFT(B538,2))),IF(MID(B538,5,1)="-",DATE(VALUE(LEFT(B538,4)),VALUE(MID(B538,6,2)),VALUE(RIGHT(B538,2))),DATE(VALUE(RIGHT(B538,4)),MATCH(MID(B538,4,3),{"Jan","Feb","Mar","Apr","May","Jun","Jul","Aug","Sep","Oct","Nov","Dec"},0),VALUE(LEFT(B538,2)))))</f>
        <v>45832</v>
      </c>
    </row>
    <row r="539" customFormat="false" ht="15" hidden="false" customHeight="false" outlineLevel="0" collapsed="false">
      <c r="A539" s="7" t="s">
        <v>1967</v>
      </c>
      <c r="B539" s="7" t="s">
        <v>648</v>
      </c>
      <c r="C539" s="7" t="s">
        <v>724</v>
      </c>
      <c r="D539" s="7" t="s">
        <v>1968</v>
      </c>
      <c r="E539" s="7" t="s">
        <v>161</v>
      </c>
      <c r="F539" s="7" t="s">
        <v>141</v>
      </c>
      <c r="G539" s="7" t="s">
        <v>117</v>
      </c>
      <c r="H539" s="7" t="n">
        <v>2</v>
      </c>
      <c r="I539" s="7" t="n">
        <v>135</v>
      </c>
      <c r="J539" s="7" t="n">
        <v>108</v>
      </c>
      <c r="K539" s="7" t="s">
        <v>88</v>
      </c>
      <c r="L539" s="7" t="s">
        <v>194</v>
      </c>
      <c r="M539" s="7" t="n">
        <v>41</v>
      </c>
      <c r="N539" s="7" t="n">
        <v>5</v>
      </c>
      <c r="O539" s="7" t="str">
        <f aca="false">A539&amp;"|"&amp;B539&amp;"|"&amp;C539&amp;"|"&amp;D539&amp;"|"&amp;E539&amp;"|"&amp;F539&amp;"|"&amp;G539&amp;"|"&amp;H539&amp;"|"&amp;I539&amp;"|"&amp;J539&amp;"|"&amp;K539&amp;"|"&amp;L539&amp;"|"&amp;M539&amp;"|"&amp;N539</f>
        <v>ORD11206|2025-06-02|19:01|C1299|Bengal Bites|Kolkata|Street Food|2|135|108|UPI|Delivered|41|5</v>
      </c>
      <c r="P539" s="7" t="str">
        <f aca="false">IF(COUNTIF($O$2:O539,O539)&gt;1,"DUP","OK")</f>
        <v>OK</v>
      </c>
      <c r="Q539" s="7" t="n">
        <f aca="false">COUNTBLANK(A539:N539)</f>
        <v>0</v>
      </c>
      <c r="R539" s="7" t="n">
        <f aca="false">IF(A539="",0,COUNTIFS($A$2:$A$3058,A539,$P$2:$P$3058,"OK"))</f>
        <v>1</v>
      </c>
      <c r="S539" s="7" t="str">
        <f aca="false">IF(OR(A539="",P539="DUP",R539&lt;2),"",IF(Q539=_xlfn.MINIFS($Q$2:$Q$3058,$A$2:$A$3058,A539,$P$2:$P$3058,"OK"),"KEEP","DROP"))</f>
        <v/>
      </c>
      <c r="T539" s="9" t="n">
        <f aca="false">IF(A539="",1,0)</f>
        <v>0</v>
      </c>
      <c r="U539" s="9" t="n">
        <f aca="false">IF(D539="",1,0)</f>
        <v>0</v>
      </c>
      <c r="V539" s="9" t="n">
        <f aca="false">IF(E539="",1,0)</f>
        <v>0</v>
      </c>
      <c r="W539" s="9" t="n">
        <f aca="false">IF(OR(H539&lt;1,H539&gt;10),1,0)</f>
        <v>0</v>
      </c>
      <c r="X539" s="9" t="n">
        <f aca="false">IF(OR(I539&lt;=0,I539&gt;1500),1,0)</f>
        <v>0</v>
      </c>
      <c r="Y539" s="9" t="n">
        <f aca="false">IF(J539&gt;H539*I539,1,0)</f>
        <v>0</v>
      </c>
      <c r="Z539" s="9" t="n">
        <f aca="false">IF(AND(N539&lt;&gt;"",OR(N539&lt;1,N539&gt;5)),1,0)</f>
        <v>0</v>
      </c>
      <c r="AA539" s="9" t="n">
        <f aca="false">IF(AND(M539&lt;&gt;"",OR(M539&lt;5,M539&gt;180)),1,0)</f>
        <v>0</v>
      </c>
      <c r="AB539" s="7" t="str">
        <f aca="false">IF(P539="DUP","Exact duplicate row",IF(T539=1,"Missing Order ID",IF(S539="DROP","Duplicate Order ID (less complete row)",IF(U539=1,"Missing Customer ID",IF(V539=1,"Missing Restaurant name",IF(W539=1,"Invalid/outlier quantity",IF(X539=1,"Invalid/outlier unit price",IF(Y539=1,"Discount greater than order value",""))))))))</f>
        <v/>
      </c>
      <c r="AC539" s="7" t="str">
        <f aca="false">IF(AB539="","KEEP","DROP")</f>
        <v>KEEP</v>
      </c>
      <c r="AD539" s="7" t="str">
        <f aca="false">IF(TRIM(F539)="",IFERROR(INDEX(Map_Tables!$I$4:$I$37,MATCH(TRIM(E539),Map_Tables!$G$4:$G$37,0)),""),IFERROR(INDEX(Map_Tables!$B$4:$B$18,MATCH(TRIM(F539),Map_Tables!$A$4:$A$18,0)),"CHECK"))</f>
        <v>Kolkata</v>
      </c>
      <c r="AE539" s="7" t="str">
        <f aca="false">IF(TRIM(E539)="","",IFERROR(INDEX(Map_Tables!$H$4:$H$37,MATCH(TRIM(E539),Map_Tables!$G$4:$G$37,0)),"CHECK"))</f>
        <v>Bengal Bites</v>
      </c>
      <c r="AF539" s="7" t="str">
        <f aca="false">IF(TRIM(K539)="","Unknown",IFERROR(INDEX(Map_Tables!$E$4:$E$15,MATCH(TRIM(K539),Map_Tables!$D$4:$D$15,0)),"CHECK"))</f>
        <v>UPI</v>
      </c>
      <c r="AG539" s="7" t="str">
        <f aca="false">IF(LEFT(LOWER(TRIM(L539)),6)="cancel","Cancelled","Delivered")</f>
        <v>Delivered</v>
      </c>
      <c r="AH539" s="10" t="n">
        <f aca="false">IF(ISNUMBER(SEARCH("/",B539)),DATE(VALUE(RIGHT(B539,4)),VALUE(MID(B539,4,2)),VALUE(LEFT(B539,2))),IF(MID(B539,5,1)="-",DATE(VALUE(LEFT(B539,4)),VALUE(MID(B539,6,2)),VALUE(RIGHT(B539,2))),DATE(VALUE(RIGHT(B539,4)),MATCH(MID(B539,4,3),{"Jan","Feb","Mar","Apr","May","Jun","Jul","Aug","Sep","Oct","Nov","Dec"},0),VALUE(LEFT(B539,2)))))</f>
        <v>45810</v>
      </c>
    </row>
    <row r="540" customFormat="false" ht="15" hidden="false" customHeight="false" outlineLevel="0" collapsed="false">
      <c r="A540" s="7" t="s">
        <v>1969</v>
      </c>
      <c r="B540" s="7" t="s">
        <v>1970</v>
      </c>
      <c r="C540" s="7" t="s">
        <v>568</v>
      </c>
      <c r="D540" s="7" t="s">
        <v>1493</v>
      </c>
      <c r="E540" s="7" t="s">
        <v>161</v>
      </c>
      <c r="F540" s="7" t="s">
        <v>141</v>
      </c>
      <c r="G540" s="7" t="s">
        <v>117</v>
      </c>
      <c r="H540" s="7" t="n">
        <v>2</v>
      </c>
      <c r="I540" s="7" t="n">
        <v>145</v>
      </c>
      <c r="J540" s="7" t="n">
        <v>30</v>
      </c>
      <c r="K540" s="7" t="s">
        <v>112</v>
      </c>
      <c r="L540" s="7" t="s">
        <v>194</v>
      </c>
      <c r="M540" s="7" t="n">
        <v>40</v>
      </c>
      <c r="N540" s="7" t="n">
        <v>4</v>
      </c>
      <c r="O540" s="7" t="str">
        <f aca="false">A540&amp;"|"&amp;B540&amp;"|"&amp;C540&amp;"|"&amp;D540&amp;"|"&amp;E540&amp;"|"&amp;F540&amp;"|"&amp;G540&amp;"|"&amp;H540&amp;"|"&amp;I540&amp;"|"&amp;J540&amp;"|"&amp;K540&amp;"|"&amp;L540&amp;"|"&amp;M540&amp;"|"&amp;N540</f>
        <v>ORD12140|2025-10-01|20:19|C0300|Bengal Bites|Kolkata|Street Food|2|145|30|Cash on Delivery|Delivered|40|4</v>
      </c>
      <c r="P540" s="7" t="str">
        <f aca="false">IF(COUNTIF($O$2:O540,O540)&gt;1,"DUP","OK")</f>
        <v>OK</v>
      </c>
      <c r="Q540" s="7" t="n">
        <f aca="false">COUNTBLANK(A540:N540)</f>
        <v>0</v>
      </c>
      <c r="R540" s="7" t="n">
        <f aca="false">IF(A540="",0,COUNTIFS($A$2:$A$3058,A540,$P$2:$P$3058,"OK"))</f>
        <v>1</v>
      </c>
      <c r="S540" s="7" t="str">
        <f aca="false">IF(OR(A540="",P540="DUP",R540&lt;2),"",IF(Q540=_xlfn.MINIFS($Q$2:$Q$3058,$A$2:$A$3058,A540,$P$2:$P$3058,"OK"),"KEEP","DROP"))</f>
        <v/>
      </c>
      <c r="T540" s="9" t="n">
        <f aca="false">IF(A540="",1,0)</f>
        <v>0</v>
      </c>
      <c r="U540" s="9" t="n">
        <f aca="false">IF(D540="",1,0)</f>
        <v>0</v>
      </c>
      <c r="V540" s="9" t="n">
        <f aca="false">IF(E540="",1,0)</f>
        <v>0</v>
      </c>
      <c r="W540" s="9" t="n">
        <f aca="false">IF(OR(H540&lt;1,H540&gt;10),1,0)</f>
        <v>0</v>
      </c>
      <c r="X540" s="9" t="n">
        <f aca="false">IF(OR(I540&lt;=0,I540&gt;1500),1,0)</f>
        <v>0</v>
      </c>
      <c r="Y540" s="9" t="n">
        <f aca="false">IF(J540&gt;H540*I540,1,0)</f>
        <v>0</v>
      </c>
      <c r="Z540" s="9" t="n">
        <f aca="false">IF(AND(N540&lt;&gt;"",OR(N540&lt;1,N540&gt;5)),1,0)</f>
        <v>0</v>
      </c>
      <c r="AA540" s="9" t="n">
        <f aca="false">IF(AND(M540&lt;&gt;"",OR(M540&lt;5,M540&gt;180)),1,0)</f>
        <v>0</v>
      </c>
      <c r="AB540" s="7" t="str">
        <f aca="false">IF(P540="DUP","Exact duplicate row",IF(T540=1,"Missing Order ID",IF(S540="DROP","Duplicate Order ID (less complete row)",IF(U540=1,"Missing Customer ID",IF(V540=1,"Missing Restaurant name",IF(W540=1,"Invalid/outlier quantity",IF(X540=1,"Invalid/outlier unit price",IF(Y540=1,"Discount greater than order value",""))))))))</f>
        <v/>
      </c>
      <c r="AC540" s="7" t="str">
        <f aca="false">IF(AB540="","KEEP","DROP")</f>
        <v>KEEP</v>
      </c>
      <c r="AD540" s="7" t="str">
        <f aca="false">IF(TRIM(F540)="",IFERROR(INDEX(Map_Tables!$I$4:$I$37,MATCH(TRIM(E540),Map_Tables!$G$4:$G$37,0)),""),IFERROR(INDEX(Map_Tables!$B$4:$B$18,MATCH(TRIM(F540),Map_Tables!$A$4:$A$18,0)),"CHECK"))</f>
        <v>Kolkata</v>
      </c>
      <c r="AE540" s="7" t="str">
        <f aca="false">IF(TRIM(E540)="","",IFERROR(INDEX(Map_Tables!$H$4:$H$37,MATCH(TRIM(E540),Map_Tables!$G$4:$G$37,0)),"CHECK"))</f>
        <v>Bengal Bites</v>
      </c>
      <c r="AF540" s="7" t="str">
        <f aca="false">IF(TRIM(K540)="","Unknown",IFERROR(INDEX(Map_Tables!$E$4:$E$15,MATCH(TRIM(K540),Map_Tables!$D$4:$D$15,0)),"CHECK"))</f>
        <v>Cash on Delivery</v>
      </c>
      <c r="AG540" s="7" t="str">
        <f aca="false">IF(LEFT(LOWER(TRIM(L540)),6)="cancel","Cancelled","Delivered")</f>
        <v>Delivered</v>
      </c>
      <c r="AH540" s="10" t="n">
        <f aca="false">IF(ISNUMBER(SEARCH("/",B540)),DATE(VALUE(RIGHT(B540,4)),VALUE(MID(B540,4,2)),VALUE(LEFT(B540,2))),IF(MID(B540,5,1)="-",DATE(VALUE(LEFT(B540,4)),VALUE(MID(B540,6,2)),VALUE(RIGHT(B540,2))),DATE(VALUE(RIGHT(B540,4)),MATCH(MID(B540,4,3),{"Jan","Feb","Mar","Apr","May","Jun","Jul","Aug","Sep","Oct","Nov","Dec"},0),VALUE(LEFT(B540,2)))))</f>
        <v>45931</v>
      </c>
    </row>
    <row r="541" customFormat="false" ht="15" hidden="false" customHeight="false" outlineLevel="0" collapsed="false">
      <c r="A541" s="7" t="s">
        <v>1971</v>
      </c>
      <c r="B541" s="7" t="s">
        <v>1972</v>
      </c>
      <c r="C541" s="7" t="s">
        <v>1973</v>
      </c>
      <c r="D541" s="7" t="s">
        <v>1974</v>
      </c>
      <c r="E541" s="7" t="s">
        <v>154</v>
      </c>
      <c r="F541" s="7" t="s">
        <v>128</v>
      </c>
      <c r="G541" s="7" t="s">
        <v>99</v>
      </c>
      <c r="H541" s="7" t="n">
        <v>1</v>
      </c>
      <c r="I541" s="7" t="n">
        <v>275</v>
      </c>
      <c r="J541" s="7" t="n">
        <v>110</v>
      </c>
      <c r="K541" s="7" t="s">
        <v>133</v>
      </c>
      <c r="L541" s="7" t="s">
        <v>194</v>
      </c>
      <c r="M541" s="7" t="n">
        <v>34</v>
      </c>
      <c r="N541" s="7" t="n">
        <v>3</v>
      </c>
      <c r="O541" s="7" t="str">
        <f aca="false">A541&amp;"|"&amp;B541&amp;"|"&amp;C541&amp;"|"&amp;D541&amp;"|"&amp;E541&amp;"|"&amp;F541&amp;"|"&amp;G541&amp;"|"&amp;H541&amp;"|"&amp;I541&amp;"|"&amp;J541&amp;"|"&amp;K541&amp;"|"&amp;L541&amp;"|"&amp;M541&amp;"|"&amp;N541</f>
        <v>ORD12658|2025-11-23|23:10|C1017|Madras Biryani Co|Chennai|Biryani|1|275|110|Net Banking|Delivered|34|3</v>
      </c>
      <c r="P541" s="7" t="str">
        <f aca="false">IF(COUNTIF($O$2:O541,O541)&gt;1,"DUP","OK")</f>
        <v>OK</v>
      </c>
      <c r="Q541" s="7" t="n">
        <f aca="false">COUNTBLANK(A541:N541)</f>
        <v>0</v>
      </c>
      <c r="R541" s="7" t="n">
        <f aca="false">IF(A541="",0,COUNTIFS($A$2:$A$3058,A541,$P$2:$P$3058,"OK"))</f>
        <v>1</v>
      </c>
      <c r="S541" s="7" t="str">
        <f aca="false">IF(OR(A541="",P541="DUP",R541&lt;2),"",IF(Q541=_xlfn.MINIFS($Q$2:$Q$3058,$A$2:$A$3058,A541,$P$2:$P$3058,"OK"),"KEEP","DROP"))</f>
        <v/>
      </c>
      <c r="T541" s="9" t="n">
        <f aca="false">IF(A541="",1,0)</f>
        <v>0</v>
      </c>
      <c r="U541" s="9" t="n">
        <f aca="false">IF(D541="",1,0)</f>
        <v>0</v>
      </c>
      <c r="V541" s="9" t="n">
        <f aca="false">IF(E541="",1,0)</f>
        <v>0</v>
      </c>
      <c r="W541" s="9" t="n">
        <f aca="false">IF(OR(H541&lt;1,H541&gt;10),1,0)</f>
        <v>0</v>
      </c>
      <c r="X541" s="9" t="n">
        <f aca="false">IF(OR(I541&lt;=0,I541&gt;1500),1,0)</f>
        <v>0</v>
      </c>
      <c r="Y541" s="9" t="n">
        <f aca="false">IF(J541&gt;H541*I541,1,0)</f>
        <v>0</v>
      </c>
      <c r="Z541" s="9" t="n">
        <f aca="false">IF(AND(N541&lt;&gt;"",OR(N541&lt;1,N541&gt;5)),1,0)</f>
        <v>0</v>
      </c>
      <c r="AA541" s="9" t="n">
        <f aca="false">IF(AND(M541&lt;&gt;"",OR(M541&lt;5,M541&gt;180)),1,0)</f>
        <v>0</v>
      </c>
      <c r="AB541" s="7" t="str">
        <f aca="false">IF(P541="DUP","Exact duplicate row",IF(T541=1,"Missing Order ID",IF(S541="DROP","Duplicate Order ID (less complete row)",IF(U541=1,"Missing Customer ID",IF(V541=1,"Missing Restaurant name",IF(W541=1,"Invalid/outlier quantity",IF(X541=1,"Invalid/outlier unit price",IF(Y541=1,"Discount greater than order value",""))))))))</f>
        <v/>
      </c>
      <c r="AC541" s="7" t="str">
        <f aca="false">IF(AB541="","KEEP","DROP")</f>
        <v>KEEP</v>
      </c>
      <c r="AD541" s="7" t="str">
        <f aca="false">IF(TRIM(F541)="",IFERROR(INDEX(Map_Tables!$I$4:$I$37,MATCH(TRIM(E541),Map_Tables!$G$4:$G$37,0)),""),IFERROR(INDEX(Map_Tables!$B$4:$B$18,MATCH(TRIM(F541),Map_Tables!$A$4:$A$18,0)),"CHECK"))</f>
        <v>Chennai</v>
      </c>
      <c r="AE541" s="7" t="str">
        <f aca="false">IF(TRIM(E541)="","",IFERROR(INDEX(Map_Tables!$H$4:$H$37,MATCH(TRIM(E541),Map_Tables!$G$4:$G$37,0)),"CHECK"))</f>
        <v>Madras Biryani Co</v>
      </c>
      <c r="AF541" s="7" t="str">
        <f aca="false">IF(TRIM(K541)="","Unknown",IFERROR(INDEX(Map_Tables!$E$4:$E$15,MATCH(TRIM(K541),Map_Tables!$D$4:$D$15,0)),"CHECK"))</f>
        <v>Net Banking</v>
      </c>
      <c r="AG541" s="7" t="str">
        <f aca="false">IF(LEFT(LOWER(TRIM(L541)),6)="cancel","Cancelled","Delivered")</f>
        <v>Delivered</v>
      </c>
      <c r="AH541" s="10" t="n">
        <f aca="false">IF(ISNUMBER(SEARCH("/",B541)),DATE(VALUE(RIGHT(B541,4)),VALUE(MID(B541,4,2)),VALUE(LEFT(B541,2))),IF(MID(B541,5,1)="-",DATE(VALUE(LEFT(B541,4)),VALUE(MID(B541,6,2)),VALUE(RIGHT(B541,2))),DATE(VALUE(RIGHT(B541,4)),MATCH(MID(B541,4,3),{"Jan","Feb","Mar","Apr","May","Jun","Jul","Aug","Sep","Oct","Nov","Dec"},0),VALUE(LEFT(B541,2)))))</f>
        <v>45984</v>
      </c>
    </row>
    <row r="542" customFormat="false" ht="15" hidden="false" customHeight="false" outlineLevel="0" collapsed="false">
      <c r="A542" s="7" t="s">
        <v>1975</v>
      </c>
      <c r="B542" s="7" t="s">
        <v>1976</v>
      </c>
      <c r="C542" s="7" t="s">
        <v>1607</v>
      </c>
      <c r="D542" s="7" t="s">
        <v>1977</v>
      </c>
      <c r="E542" s="7" t="s">
        <v>113</v>
      </c>
      <c r="F542" s="7" t="s">
        <v>101</v>
      </c>
      <c r="G542" s="7" t="s">
        <v>90</v>
      </c>
      <c r="H542" s="7" t="n">
        <v>3</v>
      </c>
      <c r="I542" s="7" t="n">
        <v>260</v>
      </c>
      <c r="J542" s="7" t="n">
        <v>0</v>
      </c>
      <c r="K542" s="7"/>
      <c r="L542" s="7" t="s">
        <v>194</v>
      </c>
      <c r="M542" s="7" t="n">
        <v>37</v>
      </c>
      <c r="N542" s="7" t="n">
        <v>2</v>
      </c>
      <c r="O542" s="7" t="str">
        <f aca="false">A542&amp;"|"&amp;B542&amp;"|"&amp;C542&amp;"|"&amp;D542&amp;"|"&amp;E542&amp;"|"&amp;F542&amp;"|"&amp;G542&amp;"|"&amp;H542&amp;"|"&amp;I542&amp;"|"&amp;J542&amp;"|"&amp;K542&amp;"|"&amp;L542&amp;"|"&amp;M542&amp;"|"&amp;N542</f>
        <v>ORD11304|2025-06-16|20:26|C0689|Curry Leaf Kitchen|Mumbai|North Indian|3|260|0||Delivered|37|2</v>
      </c>
      <c r="P542" s="7" t="str">
        <f aca="false">IF(COUNTIF($O$2:O542,O542)&gt;1,"DUP","OK")</f>
        <v>OK</v>
      </c>
      <c r="Q542" s="7" t="n">
        <f aca="false">COUNTBLANK(A542:N542)</f>
        <v>1</v>
      </c>
      <c r="R542" s="7" t="n">
        <f aca="false">IF(A542="",0,COUNTIFS($A$2:$A$3058,A542,$P$2:$P$3058,"OK"))</f>
        <v>1</v>
      </c>
      <c r="S542" s="7" t="str">
        <f aca="false">IF(OR(A542="",P542="DUP",R542&lt;2),"",IF(Q542=_xlfn.MINIFS($Q$2:$Q$3058,$A$2:$A$3058,A542,$P$2:$P$3058,"OK"),"KEEP","DROP"))</f>
        <v/>
      </c>
      <c r="T542" s="9" t="n">
        <f aca="false">IF(A542="",1,0)</f>
        <v>0</v>
      </c>
      <c r="U542" s="9" t="n">
        <f aca="false">IF(D542="",1,0)</f>
        <v>0</v>
      </c>
      <c r="V542" s="9" t="n">
        <f aca="false">IF(E542="",1,0)</f>
        <v>0</v>
      </c>
      <c r="W542" s="9" t="n">
        <f aca="false">IF(OR(H542&lt;1,H542&gt;10),1,0)</f>
        <v>0</v>
      </c>
      <c r="X542" s="9" t="n">
        <f aca="false">IF(OR(I542&lt;=0,I542&gt;1500),1,0)</f>
        <v>0</v>
      </c>
      <c r="Y542" s="9" t="n">
        <f aca="false">IF(J542&gt;H542*I542,1,0)</f>
        <v>0</v>
      </c>
      <c r="Z542" s="9" t="n">
        <f aca="false">IF(AND(N542&lt;&gt;"",OR(N542&lt;1,N542&gt;5)),1,0)</f>
        <v>0</v>
      </c>
      <c r="AA542" s="9" t="n">
        <f aca="false">IF(AND(M542&lt;&gt;"",OR(M542&lt;5,M542&gt;180)),1,0)</f>
        <v>0</v>
      </c>
      <c r="AB542" s="7" t="str">
        <f aca="false">IF(P542="DUP","Exact duplicate row",IF(T542=1,"Missing Order ID",IF(S542="DROP","Duplicate Order ID (less complete row)",IF(U542=1,"Missing Customer ID",IF(V542=1,"Missing Restaurant name",IF(W542=1,"Invalid/outlier quantity",IF(X542=1,"Invalid/outlier unit price",IF(Y542=1,"Discount greater than order value",""))))))))</f>
        <v/>
      </c>
      <c r="AC542" s="7" t="str">
        <f aca="false">IF(AB542="","KEEP","DROP")</f>
        <v>KEEP</v>
      </c>
      <c r="AD542" s="7" t="str">
        <f aca="false">IF(TRIM(F542)="",IFERROR(INDEX(Map_Tables!$I$4:$I$37,MATCH(TRIM(E542),Map_Tables!$G$4:$G$37,0)),""),IFERROR(INDEX(Map_Tables!$B$4:$B$18,MATCH(TRIM(F542),Map_Tables!$A$4:$A$18,0)),"CHECK"))</f>
        <v>Mumbai</v>
      </c>
      <c r="AE542" s="7" t="str">
        <f aca="false">IF(TRIM(E542)="","",IFERROR(INDEX(Map_Tables!$H$4:$H$37,MATCH(TRIM(E542),Map_Tables!$G$4:$G$37,0)),"CHECK"))</f>
        <v>Curry Leaf Kitchen</v>
      </c>
      <c r="AF542" s="7" t="str">
        <f aca="false">IF(TRIM(K542)="","Unknown",IFERROR(INDEX(Map_Tables!$E$4:$E$15,MATCH(TRIM(K542),Map_Tables!$D$4:$D$15,0)),"CHECK"))</f>
        <v>Unknown</v>
      </c>
      <c r="AG542" s="7" t="str">
        <f aca="false">IF(LEFT(LOWER(TRIM(L542)),6)="cancel","Cancelled","Delivered")</f>
        <v>Delivered</v>
      </c>
      <c r="AH542" s="10" t="n">
        <f aca="false">IF(ISNUMBER(SEARCH("/",B542)),DATE(VALUE(RIGHT(B542,4)),VALUE(MID(B542,4,2)),VALUE(LEFT(B542,2))),IF(MID(B542,5,1)="-",DATE(VALUE(LEFT(B542,4)),VALUE(MID(B542,6,2)),VALUE(RIGHT(B542,2))),DATE(VALUE(RIGHT(B542,4)),MATCH(MID(B542,4,3),{"Jan","Feb","Mar","Apr","May","Jun","Jul","Aug","Sep","Oct","Nov","Dec"},0),VALUE(LEFT(B542,2)))))</f>
        <v>45824</v>
      </c>
    </row>
    <row r="543" customFormat="false" ht="15" hidden="false" customHeight="false" outlineLevel="0" collapsed="false">
      <c r="A543" s="7" t="s">
        <v>1978</v>
      </c>
      <c r="B543" s="7" t="s">
        <v>217</v>
      </c>
      <c r="C543" s="7" t="s">
        <v>862</v>
      </c>
      <c r="D543" s="7" t="s">
        <v>1979</v>
      </c>
      <c r="E543" s="7" t="s">
        <v>168</v>
      </c>
      <c r="F543" s="7" t="s">
        <v>146</v>
      </c>
      <c r="G543" s="7" t="s">
        <v>123</v>
      </c>
      <c r="H543" s="7" t="n">
        <v>3</v>
      </c>
      <c r="I543" s="7" t="n">
        <v>365</v>
      </c>
      <c r="J543" s="7" t="n">
        <v>150</v>
      </c>
      <c r="K543" s="7" t="s">
        <v>103</v>
      </c>
      <c r="L543" s="7" t="s">
        <v>194</v>
      </c>
      <c r="M543" s="7" t="n">
        <v>33</v>
      </c>
      <c r="N543" s="7" t="n">
        <v>5</v>
      </c>
      <c r="O543" s="7" t="str">
        <f aca="false">A543&amp;"|"&amp;B543&amp;"|"&amp;C543&amp;"|"&amp;D543&amp;"|"&amp;E543&amp;"|"&amp;F543&amp;"|"&amp;G543&amp;"|"&amp;H543&amp;"|"&amp;I543&amp;"|"&amp;J543&amp;"|"&amp;K543&amp;"|"&amp;L543&amp;"|"&amp;M543&amp;"|"&amp;N543</f>
        <v>ORD10858|2025-04-18|19:00|C1335|Cheesy Slice|Ahmedabad|Pizza|3|365|150|Debit Card|Delivered|33|5</v>
      </c>
      <c r="P543" s="7" t="str">
        <f aca="false">IF(COUNTIF($O$2:O543,O543)&gt;1,"DUP","OK")</f>
        <v>OK</v>
      </c>
      <c r="Q543" s="7" t="n">
        <f aca="false">COUNTBLANK(A543:N543)</f>
        <v>0</v>
      </c>
      <c r="R543" s="7" t="n">
        <f aca="false">IF(A543="",0,COUNTIFS($A$2:$A$3058,A543,$P$2:$P$3058,"OK"))</f>
        <v>1</v>
      </c>
      <c r="S543" s="7" t="str">
        <f aca="false">IF(OR(A543="",P543="DUP",R543&lt;2),"",IF(Q543=_xlfn.MINIFS($Q$2:$Q$3058,$A$2:$A$3058,A543,$P$2:$P$3058,"OK"),"KEEP","DROP"))</f>
        <v/>
      </c>
      <c r="T543" s="9" t="n">
        <f aca="false">IF(A543="",1,0)</f>
        <v>0</v>
      </c>
      <c r="U543" s="9" t="n">
        <f aca="false">IF(D543="",1,0)</f>
        <v>0</v>
      </c>
      <c r="V543" s="9" t="n">
        <f aca="false">IF(E543="",1,0)</f>
        <v>0</v>
      </c>
      <c r="W543" s="9" t="n">
        <f aca="false">IF(OR(H543&lt;1,H543&gt;10),1,0)</f>
        <v>0</v>
      </c>
      <c r="X543" s="9" t="n">
        <f aca="false">IF(OR(I543&lt;=0,I543&gt;1500),1,0)</f>
        <v>0</v>
      </c>
      <c r="Y543" s="9" t="n">
        <f aca="false">IF(J543&gt;H543*I543,1,0)</f>
        <v>0</v>
      </c>
      <c r="Z543" s="9" t="n">
        <f aca="false">IF(AND(N543&lt;&gt;"",OR(N543&lt;1,N543&gt;5)),1,0)</f>
        <v>0</v>
      </c>
      <c r="AA543" s="9" t="n">
        <f aca="false">IF(AND(M543&lt;&gt;"",OR(M543&lt;5,M543&gt;180)),1,0)</f>
        <v>0</v>
      </c>
      <c r="AB543" s="7" t="str">
        <f aca="false">IF(P543="DUP","Exact duplicate row",IF(T543=1,"Missing Order ID",IF(S543="DROP","Duplicate Order ID (less complete row)",IF(U543=1,"Missing Customer ID",IF(V543=1,"Missing Restaurant name",IF(W543=1,"Invalid/outlier quantity",IF(X543=1,"Invalid/outlier unit price",IF(Y543=1,"Discount greater than order value",""))))))))</f>
        <v/>
      </c>
      <c r="AC543" s="7" t="str">
        <f aca="false">IF(AB543="","KEEP","DROP")</f>
        <v>KEEP</v>
      </c>
      <c r="AD543" s="7" t="str">
        <f aca="false">IF(TRIM(F543)="",IFERROR(INDEX(Map_Tables!$I$4:$I$37,MATCH(TRIM(E543),Map_Tables!$G$4:$G$37,0)),""),IFERROR(INDEX(Map_Tables!$B$4:$B$18,MATCH(TRIM(F543),Map_Tables!$A$4:$A$18,0)),"CHECK"))</f>
        <v>Ahmedabad</v>
      </c>
      <c r="AE543" s="7" t="str">
        <f aca="false">IF(TRIM(E543)="","",IFERROR(INDEX(Map_Tables!$H$4:$H$37,MATCH(TRIM(E543),Map_Tables!$G$4:$G$37,0)),"CHECK"))</f>
        <v>Cheesy Slice</v>
      </c>
      <c r="AF543" s="7" t="str">
        <f aca="false">IF(TRIM(K543)="","Unknown",IFERROR(INDEX(Map_Tables!$E$4:$E$15,MATCH(TRIM(K543),Map_Tables!$D$4:$D$15,0)),"CHECK"))</f>
        <v>Debit Card</v>
      </c>
      <c r="AG543" s="7" t="str">
        <f aca="false">IF(LEFT(LOWER(TRIM(L543)),6)="cancel","Cancelled","Delivered")</f>
        <v>Delivered</v>
      </c>
      <c r="AH543" s="10" t="n">
        <f aca="false">IF(ISNUMBER(SEARCH("/",B543)),DATE(VALUE(RIGHT(B543,4)),VALUE(MID(B543,4,2)),VALUE(LEFT(B543,2))),IF(MID(B543,5,1)="-",DATE(VALUE(LEFT(B543,4)),VALUE(MID(B543,6,2)),VALUE(RIGHT(B543,2))),DATE(VALUE(RIGHT(B543,4)),MATCH(MID(B543,4,3),{"Jan","Feb","Mar","Apr","May","Jun","Jul","Aug","Sep","Oct","Nov","Dec"},0),VALUE(LEFT(B543,2)))))</f>
        <v>45765</v>
      </c>
    </row>
    <row r="544" customFormat="false" ht="15" hidden="false" customHeight="false" outlineLevel="0" collapsed="false">
      <c r="A544" s="7" t="s">
        <v>1980</v>
      </c>
      <c r="B544" s="7" t="s">
        <v>1528</v>
      </c>
      <c r="C544" s="7" t="s">
        <v>683</v>
      </c>
      <c r="D544" s="7" t="s">
        <v>1981</v>
      </c>
      <c r="E544" s="7" t="s">
        <v>104</v>
      </c>
      <c r="F544" s="7" t="s">
        <v>86</v>
      </c>
      <c r="G544" s="7" t="s">
        <v>105</v>
      </c>
      <c r="H544" s="7" t="n">
        <v>1</v>
      </c>
      <c r="I544" s="7" t="n">
        <v>240</v>
      </c>
      <c r="J544" s="7" t="n">
        <v>96</v>
      </c>
      <c r="K544" s="7" t="s">
        <v>103</v>
      </c>
      <c r="L544" s="7" t="s">
        <v>194</v>
      </c>
      <c r="M544" s="7" t="n">
        <v>40</v>
      </c>
      <c r="N544" s="7" t="n">
        <v>4</v>
      </c>
      <c r="O544" s="7" t="str">
        <f aca="false">A544&amp;"|"&amp;B544&amp;"|"&amp;C544&amp;"|"&amp;D544&amp;"|"&amp;E544&amp;"|"&amp;F544&amp;"|"&amp;G544&amp;"|"&amp;H544&amp;"|"&amp;I544&amp;"|"&amp;J544&amp;"|"&amp;K544&amp;"|"&amp;L544&amp;"|"&amp;M544&amp;"|"&amp;N544</f>
        <v>ORD12457|2025-11-05|10:57|C0607|Wok &amp; Roll|Bengaluru|Chinese|1|240|96|Debit Card|Delivered|40|4</v>
      </c>
      <c r="P544" s="7" t="str">
        <f aca="false">IF(COUNTIF($O$2:O544,O544)&gt;1,"DUP","OK")</f>
        <v>OK</v>
      </c>
      <c r="Q544" s="7" t="n">
        <f aca="false">COUNTBLANK(A544:N544)</f>
        <v>0</v>
      </c>
      <c r="R544" s="7" t="n">
        <f aca="false">IF(A544="",0,COUNTIFS($A$2:$A$3058,A544,$P$2:$P$3058,"OK"))</f>
        <v>1</v>
      </c>
      <c r="S544" s="7" t="str">
        <f aca="false">IF(OR(A544="",P544="DUP",R544&lt;2),"",IF(Q544=_xlfn.MINIFS($Q$2:$Q$3058,$A$2:$A$3058,A544,$P$2:$P$3058,"OK"),"KEEP","DROP"))</f>
        <v/>
      </c>
      <c r="T544" s="9" t="n">
        <f aca="false">IF(A544="",1,0)</f>
        <v>0</v>
      </c>
      <c r="U544" s="9" t="n">
        <f aca="false">IF(D544="",1,0)</f>
        <v>0</v>
      </c>
      <c r="V544" s="9" t="n">
        <f aca="false">IF(E544="",1,0)</f>
        <v>0</v>
      </c>
      <c r="W544" s="9" t="n">
        <f aca="false">IF(OR(H544&lt;1,H544&gt;10),1,0)</f>
        <v>0</v>
      </c>
      <c r="X544" s="9" t="n">
        <f aca="false">IF(OR(I544&lt;=0,I544&gt;1500),1,0)</f>
        <v>0</v>
      </c>
      <c r="Y544" s="9" t="n">
        <f aca="false">IF(J544&gt;H544*I544,1,0)</f>
        <v>0</v>
      </c>
      <c r="Z544" s="9" t="n">
        <f aca="false">IF(AND(N544&lt;&gt;"",OR(N544&lt;1,N544&gt;5)),1,0)</f>
        <v>0</v>
      </c>
      <c r="AA544" s="9" t="n">
        <f aca="false">IF(AND(M544&lt;&gt;"",OR(M544&lt;5,M544&gt;180)),1,0)</f>
        <v>0</v>
      </c>
      <c r="AB544" s="7" t="str">
        <f aca="false">IF(P544="DUP","Exact duplicate row",IF(T544=1,"Missing Order ID",IF(S544="DROP","Duplicate Order ID (less complete row)",IF(U544=1,"Missing Customer ID",IF(V544=1,"Missing Restaurant name",IF(W544=1,"Invalid/outlier quantity",IF(X544=1,"Invalid/outlier unit price",IF(Y544=1,"Discount greater than order value",""))))))))</f>
        <v/>
      </c>
      <c r="AC544" s="7" t="str">
        <f aca="false">IF(AB544="","KEEP","DROP")</f>
        <v>KEEP</v>
      </c>
      <c r="AD544" s="7" t="str">
        <f aca="false">IF(TRIM(F544)="",IFERROR(INDEX(Map_Tables!$I$4:$I$37,MATCH(TRIM(E544),Map_Tables!$G$4:$G$37,0)),""),IFERROR(INDEX(Map_Tables!$B$4:$B$18,MATCH(TRIM(F544),Map_Tables!$A$4:$A$18,0)),"CHECK"))</f>
        <v>Bengaluru</v>
      </c>
      <c r="AE544" s="7" t="str">
        <f aca="false">IF(TRIM(E544)="","",IFERROR(INDEX(Map_Tables!$H$4:$H$37,MATCH(TRIM(E544),Map_Tables!$G$4:$G$37,0)),"CHECK"))</f>
        <v>Wok &amp; Roll</v>
      </c>
      <c r="AF544" s="7" t="str">
        <f aca="false">IF(TRIM(K544)="","Unknown",IFERROR(INDEX(Map_Tables!$E$4:$E$15,MATCH(TRIM(K544),Map_Tables!$D$4:$D$15,0)),"CHECK"))</f>
        <v>Debit Card</v>
      </c>
      <c r="AG544" s="7" t="str">
        <f aca="false">IF(LEFT(LOWER(TRIM(L544)),6)="cancel","Cancelled","Delivered")</f>
        <v>Delivered</v>
      </c>
      <c r="AH544" s="10" t="n">
        <f aca="false">IF(ISNUMBER(SEARCH("/",B544)),DATE(VALUE(RIGHT(B544,4)),VALUE(MID(B544,4,2)),VALUE(LEFT(B544,2))),IF(MID(B544,5,1)="-",DATE(VALUE(LEFT(B544,4)),VALUE(MID(B544,6,2)),VALUE(RIGHT(B544,2))),DATE(VALUE(RIGHT(B544,4)),MATCH(MID(B544,4,3),{"Jan","Feb","Mar","Apr","May","Jun","Jul","Aug","Sep","Oct","Nov","Dec"},0),VALUE(LEFT(B544,2)))))</f>
        <v>45966</v>
      </c>
    </row>
    <row r="545" customFormat="false" ht="15" hidden="false" customHeight="false" outlineLevel="0" collapsed="false">
      <c r="A545" s="7" t="s">
        <v>1982</v>
      </c>
      <c r="B545" s="7" t="s">
        <v>1351</v>
      </c>
      <c r="C545" s="7" t="s">
        <v>1983</v>
      </c>
      <c r="D545" s="7" t="s">
        <v>1225</v>
      </c>
      <c r="E545" s="7" t="s">
        <v>104</v>
      </c>
      <c r="F545" s="7" t="s">
        <v>86</v>
      </c>
      <c r="G545" s="7" t="s">
        <v>105</v>
      </c>
      <c r="H545" s="7" t="n">
        <v>3</v>
      </c>
      <c r="I545" s="7" t="n">
        <v>235</v>
      </c>
      <c r="J545" s="7" t="n">
        <v>0</v>
      </c>
      <c r="K545" s="7" t="s">
        <v>88</v>
      </c>
      <c r="L545" s="7" t="s">
        <v>194</v>
      </c>
      <c r="M545" s="7" t="n">
        <v>57</v>
      </c>
      <c r="N545" s="7" t="n">
        <v>3</v>
      </c>
      <c r="O545" s="7" t="str">
        <f aca="false">A545&amp;"|"&amp;B545&amp;"|"&amp;C545&amp;"|"&amp;D545&amp;"|"&amp;E545&amp;"|"&amp;F545&amp;"|"&amp;G545&amp;"|"&amp;H545&amp;"|"&amp;I545&amp;"|"&amp;J545&amp;"|"&amp;K545&amp;"|"&amp;L545&amp;"|"&amp;M545&amp;"|"&amp;N545</f>
        <v>ORD11424|2025-07-04|19:58|C0034|Wok &amp; Roll|Bengaluru|Chinese|3|235|0|UPI|Delivered|57|3</v>
      </c>
      <c r="P545" s="7" t="str">
        <f aca="false">IF(COUNTIF($O$2:O545,O545)&gt;1,"DUP","OK")</f>
        <v>OK</v>
      </c>
      <c r="Q545" s="7" t="n">
        <f aca="false">COUNTBLANK(A545:N545)</f>
        <v>0</v>
      </c>
      <c r="R545" s="7" t="n">
        <f aca="false">IF(A545="",0,COUNTIFS($A$2:$A$3058,A545,$P$2:$P$3058,"OK"))</f>
        <v>1</v>
      </c>
      <c r="S545" s="7" t="str">
        <f aca="false">IF(OR(A545="",P545="DUP",R545&lt;2),"",IF(Q545=_xlfn.MINIFS($Q$2:$Q$3058,$A$2:$A$3058,A545,$P$2:$P$3058,"OK"),"KEEP","DROP"))</f>
        <v/>
      </c>
      <c r="T545" s="9" t="n">
        <f aca="false">IF(A545="",1,0)</f>
        <v>0</v>
      </c>
      <c r="U545" s="9" t="n">
        <f aca="false">IF(D545="",1,0)</f>
        <v>0</v>
      </c>
      <c r="V545" s="9" t="n">
        <f aca="false">IF(E545="",1,0)</f>
        <v>0</v>
      </c>
      <c r="W545" s="9" t="n">
        <f aca="false">IF(OR(H545&lt;1,H545&gt;10),1,0)</f>
        <v>0</v>
      </c>
      <c r="X545" s="9" t="n">
        <f aca="false">IF(OR(I545&lt;=0,I545&gt;1500),1,0)</f>
        <v>0</v>
      </c>
      <c r="Y545" s="9" t="n">
        <f aca="false">IF(J545&gt;H545*I545,1,0)</f>
        <v>0</v>
      </c>
      <c r="Z545" s="9" t="n">
        <f aca="false">IF(AND(N545&lt;&gt;"",OR(N545&lt;1,N545&gt;5)),1,0)</f>
        <v>0</v>
      </c>
      <c r="AA545" s="9" t="n">
        <f aca="false">IF(AND(M545&lt;&gt;"",OR(M545&lt;5,M545&gt;180)),1,0)</f>
        <v>0</v>
      </c>
      <c r="AB545" s="7" t="str">
        <f aca="false">IF(P545="DUP","Exact duplicate row",IF(T545=1,"Missing Order ID",IF(S545="DROP","Duplicate Order ID (less complete row)",IF(U545=1,"Missing Customer ID",IF(V545=1,"Missing Restaurant name",IF(W545=1,"Invalid/outlier quantity",IF(X545=1,"Invalid/outlier unit price",IF(Y545=1,"Discount greater than order value",""))))))))</f>
        <v/>
      </c>
      <c r="AC545" s="7" t="str">
        <f aca="false">IF(AB545="","KEEP","DROP")</f>
        <v>KEEP</v>
      </c>
      <c r="AD545" s="7" t="str">
        <f aca="false">IF(TRIM(F545)="",IFERROR(INDEX(Map_Tables!$I$4:$I$37,MATCH(TRIM(E545),Map_Tables!$G$4:$G$37,0)),""),IFERROR(INDEX(Map_Tables!$B$4:$B$18,MATCH(TRIM(F545),Map_Tables!$A$4:$A$18,0)),"CHECK"))</f>
        <v>Bengaluru</v>
      </c>
      <c r="AE545" s="7" t="str">
        <f aca="false">IF(TRIM(E545)="","",IFERROR(INDEX(Map_Tables!$H$4:$H$37,MATCH(TRIM(E545),Map_Tables!$G$4:$G$37,0)),"CHECK"))</f>
        <v>Wok &amp; Roll</v>
      </c>
      <c r="AF545" s="7" t="str">
        <f aca="false">IF(TRIM(K545)="","Unknown",IFERROR(INDEX(Map_Tables!$E$4:$E$15,MATCH(TRIM(K545),Map_Tables!$D$4:$D$15,0)),"CHECK"))</f>
        <v>UPI</v>
      </c>
      <c r="AG545" s="7" t="str">
        <f aca="false">IF(LEFT(LOWER(TRIM(L545)),6)="cancel","Cancelled","Delivered")</f>
        <v>Delivered</v>
      </c>
      <c r="AH545" s="10" t="n">
        <f aca="false">IF(ISNUMBER(SEARCH("/",B545)),DATE(VALUE(RIGHT(B545,4)),VALUE(MID(B545,4,2)),VALUE(LEFT(B545,2))),IF(MID(B545,5,1)="-",DATE(VALUE(LEFT(B545,4)),VALUE(MID(B545,6,2)),VALUE(RIGHT(B545,2))),DATE(VALUE(RIGHT(B545,4)),MATCH(MID(B545,4,3),{"Jan","Feb","Mar","Apr","May","Jun","Jul","Aug","Sep","Oct","Nov","Dec"},0),VALUE(LEFT(B545,2)))))</f>
        <v>45842</v>
      </c>
    </row>
    <row r="546" customFormat="false" ht="15" hidden="false" customHeight="false" outlineLevel="0" collapsed="false">
      <c r="A546" s="7" t="s">
        <v>1984</v>
      </c>
      <c r="B546" s="7" t="s">
        <v>283</v>
      </c>
      <c r="C546" s="7" t="s">
        <v>1985</v>
      </c>
      <c r="D546" s="7" t="s">
        <v>596</v>
      </c>
      <c r="E546" s="7" t="s">
        <v>159</v>
      </c>
      <c r="F546" s="7" t="s">
        <v>136</v>
      </c>
      <c r="G546" s="7" t="s">
        <v>90</v>
      </c>
      <c r="H546" s="7" t="n">
        <v>2</v>
      </c>
      <c r="I546" s="7" t="n">
        <v>240</v>
      </c>
      <c r="J546" s="7" t="n">
        <v>125</v>
      </c>
      <c r="K546" s="7" t="s">
        <v>93</v>
      </c>
      <c r="L546" s="7" t="s">
        <v>194</v>
      </c>
      <c r="M546" s="7" t="n">
        <v>36</v>
      </c>
      <c r="N546" s="7" t="n">
        <v>5</v>
      </c>
      <c r="O546" s="7" t="str">
        <f aca="false">A546&amp;"|"&amp;B546&amp;"|"&amp;C546&amp;"|"&amp;D546&amp;"|"&amp;E546&amp;"|"&amp;F546&amp;"|"&amp;G546&amp;"|"&amp;H546&amp;"|"&amp;I546&amp;"|"&amp;J546&amp;"|"&amp;K546&amp;"|"&amp;L546&amp;"|"&amp;M546&amp;"|"&amp;N546</f>
        <v>ORD12445|2025-11-03|21:55|C0491|Maratha Thali House|Pune|North Indian|2|240|125|Credit Card|Delivered|36|5</v>
      </c>
      <c r="P546" s="7" t="str">
        <f aca="false">IF(COUNTIF($O$2:O546,O546)&gt;1,"DUP","OK")</f>
        <v>OK</v>
      </c>
      <c r="Q546" s="7" t="n">
        <f aca="false">COUNTBLANK(A546:N546)</f>
        <v>0</v>
      </c>
      <c r="R546" s="7" t="n">
        <f aca="false">IF(A546="",0,COUNTIFS($A$2:$A$3058,A546,$P$2:$P$3058,"OK"))</f>
        <v>1</v>
      </c>
      <c r="S546" s="7" t="str">
        <f aca="false">IF(OR(A546="",P546="DUP",R546&lt;2),"",IF(Q546=_xlfn.MINIFS($Q$2:$Q$3058,$A$2:$A$3058,A546,$P$2:$P$3058,"OK"),"KEEP","DROP"))</f>
        <v/>
      </c>
      <c r="T546" s="9" t="n">
        <f aca="false">IF(A546="",1,0)</f>
        <v>0</v>
      </c>
      <c r="U546" s="9" t="n">
        <f aca="false">IF(D546="",1,0)</f>
        <v>0</v>
      </c>
      <c r="V546" s="9" t="n">
        <f aca="false">IF(E546="",1,0)</f>
        <v>0</v>
      </c>
      <c r="W546" s="9" t="n">
        <f aca="false">IF(OR(H546&lt;1,H546&gt;10),1,0)</f>
        <v>0</v>
      </c>
      <c r="X546" s="9" t="n">
        <f aca="false">IF(OR(I546&lt;=0,I546&gt;1500),1,0)</f>
        <v>0</v>
      </c>
      <c r="Y546" s="9" t="n">
        <f aca="false">IF(J546&gt;H546*I546,1,0)</f>
        <v>0</v>
      </c>
      <c r="Z546" s="9" t="n">
        <f aca="false">IF(AND(N546&lt;&gt;"",OR(N546&lt;1,N546&gt;5)),1,0)</f>
        <v>0</v>
      </c>
      <c r="AA546" s="9" t="n">
        <f aca="false">IF(AND(M546&lt;&gt;"",OR(M546&lt;5,M546&gt;180)),1,0)</f>
        <v>0</v>
      </c>
      <c r="AB546" s="7" t="str">
        <f aca="false">IF(P546="DUP","Exact duplicate row",IF(T546=1,"Missing Order ID",IF(S546="DROP","Duplicate Order ID (less complete row)",IF(U546=1,"Missing Customer ID",IF(V546=1,"Missing Restaurant name",IF(W546=1,"Invalid/outlier quantity",IF(X546=1,"Invalid/outlier unit price",IF(Y546=1,"Discount greater than order value",""))))))))</f>
        <v/>
      </c>
      <c r="AC546" s="7" t="str">
        <f aca="false">IF(AB546="","KEEP","DROP")</f>
        <v>KEEP</v>
      </c>
      <c r="AD546" s="7" t="str">
        <f aca="false">IF(TRIM(F546)="",IFERROR(INDEX(Map_Tables!$I$4:$I$37,MATCH(TRIM(E546),Map_Tables!$G$4:$G$37,0)),""),IFERROR(INDEX(Map_Tables!$B$4:$B$18,MATCH(TRIM(F546),Map_Tables!$A$4:$A$18,0)),"CHECK"))</f>
        <v>Pune</v>
      </c>
      <c r="AE546" s="7" t="str">
        <f aca="false">IF(TRIM(E546)="","",IFERROR(INDEX(Map_Tables!$H$4:$H$37,MATCH(TRIM(E546),Map_Tables!$G$4:$G$37,0)),"CHECK"))</f>
        <v>Maratha Thali House</v>
      </c>
      <c r="AF546" s="7" t="str">
        <f aca="false">IF(TRIM(K546)="","Unknown",IFERROR(INDEX(Map_Tables!$E$4:$E$15,MATCH(TRIM(K546),Map_Tables!$D$4:$D$15,0)),"CHECK"))</f>
        <v>Credit Card</v>
      </c>
      <c r="AG546" s="7" t="str">
        <f aca="false">IF(LEFT(LOWER(TRIM(L546)),6)="cancel","Cancelled","Delivered")</f>
        <v>Delivered</v>
      </c>
      <c r="AH546" s="10" t="n">
        <f aca="false">IF(ISNUMBER(SEARCH("/",B546)),DATE(VALUE(RIGHT(B546,4)),VALUE(MID(B546,4,2)),VALUE(LEFT(B546,2))),IF(MID(B546,5,1)="-",DATE(VALUE(LEFT(B546,4)),VALUE(MID(B546,6,2)),VALUE(RIGHT(B546,2))),DATE(VALUE(RIGHT(B546,4)),MATCH(MID(B546,4,3),{"Jan","Feb","Mar","Apr","May","Jun","Jul","Aug","Sep","Oct","Nov","Dec"},0),VALUE(LEFT(B546,2)))))</f>
        <v>45964</v>
      </c>
    </row>
    <row r="547" customFormat="false" ht="15" hidden="false" customHeight="false" outlineLevel="0" collapsed="false">
      <c r="A547" s="7" t="s">
        <v>1986</v>
      </c>
      <c r="B547" s="7" t="s">
        <v>1767</v>
      </c>
      <c r="C547" s="7" t="s">
        <v>1474</v>
      </c>
      <c r="D547" s="7" t="s">
        <v>1987</v>
      </c>
      <c r="E547" s="7" t="s">
        <v>126</v>
      </c>
      <c r="F547" s="7" t="s">
        <v>101</v>
      </c>
      <c r="G547" s="7" t="s">
        <v>105</v>
      </c>
      <c r="H547" s="7" t="n">
        <v>4</v>
      </c>
      <c r="I547" s="7" t="n">
        <v>220</v>
      </c>
      <c r="J547" s="7" t="n">
        <v>125</v>
      </c>
      <c r="K547" s="7" t="s">
        <v>133</v>
      </c>
      <c r="L547" s="7" t="s">
        <v>194</v>
      </c>
      <c r="M547" s="7" t="n">
        <v>55</v>
      </c>
      <c r="N547" s="7" t="n">
        <v>5</v>
      </c>
      <c r="O547" s="7" t="str">
        <f aca="false">A547&amp;"|"&amp;B547&amp;"|"&amp;C547&amp;"|"&amp;D547&amp;"|"&amp;E547&amp;"|"&amp;F547&amp;"|"&amp;G547&amp;"|"&amp;H547&amp;"|"&amp;I547&amp;"|"&amp;J547&amp;"|"&amp;K547&amp;"|"&amp;L547&amp;"|"&amp;M547&amp;"|"&amp;N547</f>
        <v>ORD12210|2025-10-08|19:37|C0270|Dragon Express|Mumbai|Chinese|4|220|125|Net Banking|Delivered|55|5</v>
      </c>
      <c r="P547" s="7" t="str">
        <f aca="false">IF(COUNTIF($O$2:O547,O547)&gt;1,"DUP","OK")</f>
        <v>OK</v>
      </c>
      <c r="Q547" s="7" t="n">
        <f aca="false">COUNTBLANK(A547:N547)</f>
        <v>0</v>
      </c>
      <c r="R547" s="7" t="n">
        <f aca="false">IF(A547="",0,COUNTIFS($A$2:$A$3058,A547,$P$2:$P$3058,"OK"))</f>
        <v>1</v>
      </c>
      <c r="S547" s="7" t="str">
        <f aca="false">IF(OR(A547="",P547="DUP",R547&lt;2),"",IF(Q547=_xlfn.MINIFS($Q$2:$Q$3058,$A$2:$A$3058,A547,$P$2:$P$3058,"OK"),"KEEP","DROP"))</f>
        <v/>
      </c>
      <c r="T547" s="9" t="n">
        <f aca="false">IF(A547="",1,0)</f>
        <v>0</v>
      </c>
      <c r="U547" s="9" t="n">
        <f aca="false">IF(D547="",1,0)</f>
        <v>0</v>
      </c>
      <c r="V547" s="9" t="n">
        <f aca="false">IF(E547="",1,0)</f>
        <v>0</v>
      </c>
      <c r="W547" s="9" t="n">
        <f aca="false">IF(OR(H547&lt;1,H547&gt;10),1,0)</f>
        <v>0</v>
      </c>
      <c r="X547" s="9" t="n">
        <f aca="false">IF(OR(I547&lt;=0,I547&gt;1500),1,0)</f>
        <v>0</v>
      </c>
      <c r="Y547" s="9" t="n">
        <f aca="false">IF(J547&gt;H547*I547,1,0)</f>
        <v>0</v>
      </c>
      <c r="Z547" s="9" t="n">
        <f aca="false">IF(AND(N547&lt;&gt;"",OR(N547&lt;1,N547&gt;5)),1,0)</f>
        <v>0</v>
      </c>
      <c r="AA547" s="9" t="n">
        <f aca="false">IF(AND(M547&lt;&gt;"",OR(M547&lt;5,M547&gt;180)),1,0)</f>
        <v>0</v>
      </c>
      <c r="AB547" s="7" t="str">
        <f aca="false">IF(P547="DUP","Exact duplicate row",IF(T547=1,"Missing Order ID",IF(S547="DROP","Duplicate Order ID (less complete row)",IF(U547=1,"Missing Customer ID",IF(V547=1,"Missing Restaurant name",IF(W547=1,"Invalid/outlier quantity",IF(X547=1,"Invalid/outlier unit price",IF(Y547=1,"Discount greater than order value",""))))))))</f>
        <v/>
      </c>
      <c r="AC547" s="7" t="str">
        <f aca="false">IF(AB547="","KEEP","DROP")</f>
        <v>KEEP</v>
      </c>
      <c r="AD547" s="7" t="str">
        <f aca="false">IF(TRIM(F547)="",IFERROR(INDEX(Map_Tables!$I$4:$I$37,MATCH(TRIM(E547),Map_Tables!$G$4:$G$37,0)),""),IFERROR(INDEX(Map_Tables!$B$4:$B$18,MATCH(TRIM(F547),Map_Tables!$A$4:$A$18,0)),"CHECK"))</f>
        <v>Mumbai</v>
      </c>
      <c r="AE547" s="7" t="str">
        <f aca="false">IF(TRIM(E547)="","",IFERROR(INDEX(Map_Tables!$H$4:$H$37,MATCH(TRIM(E547),Map_Tables!$G$4:$G$37,0)),"CHECK"))</f>
        <v>Dragon Express</v>
      </c>
      <c r="AF547" s="7" t="str">
        <f aca="false">IF(TRIM(K547)="","Unknown",IFERROR(INDEX(Map_Tables!$E$4:$E$15,MATCH(TRIM(K547),Map_Tables!$D$4:$D$15,0)),"CHECK"))</f>
        <v>Net Banking</v>
      </c>
      <c r="AG547" s="7" t="str">
        <f aca="false">IF(LEFT(LOWER(TRIM(L547)),6)="cancel","Cancelled","Delivered")</f>
        <v>Delivered</v>
      </c>
      <c r="AH547" s="10" t="n">
        <f aca="false">IF(ISNUMBER(SEARCH("/",B547)),DATE(VALUE(RIGHT(B547,4)),VALUE(MID(B547,4,2)),VALUE(LEFT(B547,2))),IF(MID(B547,5,1)="-",DATE(VALUE(LEFT(B547,4)),VALUE(MID(B547,6,2)),VALUE(RIGHT(B547,2))),DATE(VALUE(RIGHT(B547,4)),MATCH(MID(B547,4,3),{"Jan","Feb","Mar","Apr","May","Jun","Jul","Aug","Sep","Oct","Nov","Dec"},0),VALUE(LEFT(B547,2)))))</f>
        <v>45938</v>
      </c>
    </row>
    <row r="548" customFormat="false" ht="15" hidden="false" customHeight="false" outlineLevel="0" collapsed="false">
      <c r="A548" s="7" t="s">
        <v>1988</v>
      </c>
      <c r="B548" s="7" t="s">
        <v>1989</v>
      </c>
      <c r="C548" s="7" t="s">
        <v>1684</v>
      </c>
      <c r="D548" s="7" t="s">
        <v>1990</v>
      </c>
      <c r="E548" s="7" t="s">
        <v>646</v>
      </c>
      <c r="F548" s="7" t="s">
        <v>119</v>
      </c>
      <c r="G548" s="7" t="s">
        <v>150</v>
      </c>
      <c r="H548" s="7" t="n">
        <v>1</v>
      </c>
      <c r="I548" s="7" t="n">
        <v>135</v>
      </c>
      <c r="J548" s="7" t="n">
        <v>0</v>
      </c>
      <c r="K548" s="7" t="s">
        <v>133</v>
      </c>
      <c r="L548" s="7" t="s">
        <v>194</v>
      </c>
      <c r="M548" s="7" t="n">
        <v>27</v>
      </c>
      <c r="N548" s="7" t="n">
        <v>4</v>
      </c>
      <c r="O548" s="7" t="str">
        <f aca="false">A548&amp;"|"&amp;B548&amp;"|"&amp;C548&amp;"|"&amp;D548&amp;"|"&amp;E548&amp;"|"&amp;F548&amp;"|"&amp;G548&amp;"|"&amp;H548&amp;"|"&amp;I548&amp;"|"&amp;J548&amp;"|"&amp;K548&amp;"|"&amp;L548&amp;"|"&amp;M548&amp;"|"&amp;N548</f>
        <v>ORD11395|2025-06-30|11:30|C0040| Sweet Tooth Studio|Hyderabad|Desserts|1|135|0|Net Banking|Delivered|27|4</v>
      </c>
      <c r="P548" s="7" t="str">
        <f aca="false">IF(COUNTIF($O$2:O548,O548)&gt;1,"DUP","OK")</f>
        <v>OK</v>
      </c>
      <c r="Q548" s="7" t="n">
        <f aca="false">COUNTBLANK(A548:N548)</f>
        <v>0</v>
      </c>
      <c r="R548" s="7" t="n">
        <f aca="false">IF(A548="",0,COUNTIFS($A$2:$A$3058,A548,$P$2:$P$3058,"OK"))</f>
        <v>1</v>
      </c>
      <c r="S548" s="7" t="str">
        <f aca="false">IF(OR(A548="",P548="DUP",R548&lt;2),"",IF(Q548=_xlfn.MINIFS($Q$2:$Q$3058,$A$2:$A$3058,A548,$P$2:$P$3058,"OK"),"KEEP","DROP"))</f>
        <v/>
      </c>
      <c r="T548" s="9" t="n">
        <f aca="false">IF(A548="",1,0)</f>
        <v>0</v>
      </c>
      <c r="U548" s="9" t="n">
        <f aca="false">IF(D548="",1,0)</f>
        <v>0</v>
      </c>
      <c r="V548" s="9" t="n">
        <f aca="false">IF(E548="",1,0)</f>
        <v>0</v>
      </c>
      <c r="W548" s="9" t="n">
        <f aca="false">IF(OR(H548&lt;1,H548&gt;10),1,0)</f>
        <v>0</v>
      </c>
      <c r="X548" s="9" t="n">
        <f aca="false">IF(OR(I548&lt;=0,I548&gt;1500),1,0)</f>
        <v>0</v>
      </c>
      <c r="Y548" s="9" t="n">
        <f aca="false">IF(J548&gt;H548*I548,1,0)</f>
        <v>0</v>
      </c>
      <c r="Z548" s="9" t="n">
        <f aca="false">IF(AND(N548&lt;&gt;"",OR(N548&lt;1,N548&gt;5)),1,0)</f>
        <v>0</v>
      </c>
      <c r="AA548" s="9" t="n">
        <f aca="false">IF(AND(M548&lt;&gt;"",OR(M548&lt;5,M548&gt;180)),1,0)</f>
        <v>0</v>
      </c>
      <c r="AB548" s="7" t="str">
        <f aca="false">IF(P548="DUP","Exact duplicate row",IF(T548=1,"Missing Order ID",IF(S548="DROP","Duplicate Order ID (less complete row)",IF(U548=1,"Missing Customer ID",IF(V548=1,"Missing Restaurant name",IF(W548=1,"Invalid/outlier quantity",IF(X548=1,"Invalid/outlier unit price",IF(Y548=1,"Discount greater than order value",""))))))))</f>
        <v/>
      </c>
      <c r="AC548" s="7" t="str">
        <f aca="false">IF(AB548="","KEEP","DROP")</f>
        <v>KEEP</v>
      </c>
      <c r="AD548" s="7" t="str">
        <f aca="false">IF(TRIM(F548)="",IFERROR(INDEX(Map_Tables!$I$4:$I$37,MATCH(TRIM(E548),Map_Tables!$G$4:$G$37,0)),""),IFERROR(INDEX(Map_Tables!$B$4:$B$18,MATCH(TRIM(F548),Map_Tables!$A$4:$A$18,0)),"CHECK"))</f>
        <v>Hyderabad</v>
      </c>
      <c r="AE548" s="7" t="str">
        <f aca="false">IF(TRIM(E548)="","",IFERROR(INDEX(Map_Tables!$H$4:$H$37,MATCH(TRIM(E548),Map_Tables!$G$4:$G$37,0)),"CHECK"))</f>
        <v>Sweet Tooth Studio</v>
      </c>
      <c r="AF548" s="7" t="str">
        <f aca="false">IF(TRIM(K548)="","Unknown",IFERROR(INDEX(Map_Tables!$E$4:$E$15,MATCH(TRIM(K548),Map_Tables!$D$4:$D$15,0)),"CHECK"))</f>
        <v>Net Banking</v>
      </c>
      <c r="AG548" s="7" t="str">
        <f aca="false">IF(LEFT(LOWER(TRIM(L548)),6)="cancel","Cancelled","Delivered")</f>
        <v>Delivered</v>
      </c>
      <c r="AH548" s="10" t="n">
        <f aca="false">IF(ISNUMBER(SEARCH("/",B548)),DATE(VALUE(RIGHT(B548,4)),VALUE(MID(B548,4,2)),VALUE(LEFT(B548,2))),IF(MID(B548,5,1)="-",DATE(VALUE(LEFT(B548,4)),VALUE(MID(B548,6,2)),VALUE(RIGHT(B548,2))),DATE(VALUE(RIGHT(B548,4)),MATCH(MID(B548,4,3),{"Jan","Feb","Mar","Apr","May","Jun","Jul","Aug","Sep","Oct","Nov","Dec"},0),VALUE(LEFT(B548,2)))))</f>
        <v>45838</v>
      </c>
    </row>
    <row r="549" customFormat="false" ht="15" hidden="false" customHeight="false" outlineLevel="0" collapsed="false">
      <c r="A549" s="7" t="s">
        <v>1991</v>
      </c>
      <c r="B549" s="7" t="s">
        <v>1992</v>
      </c>
      <c r="C549" s="7" t="s">
        <v>452</v>
      </c>
      <c r="D549" s="7" t="s">
        <v>1803</v>
      </c>
      <c r="E549" s="7" t="s">
        <v>147</v>
      </c>
      <c r="F549" s="7" t="s">
        <v>119</v>
      </c>
      <c r="G549" s="7" t="s">
        <v>95</v>
      </c>
      <c r="H549" s="7" t="n">
        <v>4</v>
      </c>
      <c r="I549" s="7" t="n">
        <v>150</v>
      </c>
      <c r="J549" s="7" t="n">
        <v>0</v>
      </c>
      <c r="K549" s="7" t="s">
        <v>112</v>
      </c>
      <c r="L549" s="7" t="s">
        <v>194</v>
      </c>
      <c r="M549" s="7" t="n">
        <v>45</v>
      </c>
      <c r="N549" s="7" t="n">
        <v>3</v>
      </c>
      <c r="O549" s="7" t="str">
        <f aca="false">A549&amp;"|"&amp;B549&amp;"|"&amp;C549&amp;"|"&amp;D549&amp;"|"&amp;E549&amp;"|"&amp;F549&amp;"|"&amp;G549&amp;"|"&amp;H549&amp;"|"&amp;I549&amp;"|"&amp;J549&amp;"|"&amp;K549&amp;"|"&amp;L549&amp;"|"&amp;M549&amp;"|"&amp;N549</f>
        <v>ORD12572|15/11/2025|19:34|C0706|Andhra Meals Mess|Hyderabad|South Indian|4|150|0|Cash on Delivery|Delivered|45|3</v>
      </c>
      <c r="P549" s="7" t="str">
        <f aca="false">IF(COUNTIF($O$2:O549,O549)&gt;1,"DUP","OK")</f>
        <v>OK</v>
      </c>
      <c r="Q549" s="7" t="n">
        <f aca="false">COUNTBLANK(A549:N549)</f>
        <v>0</v>
      </c>
      <c r="R549" s="7" t="n">
        <f aca="false">IF(A549="",0,COUNTIFS($A$2:$A$3058,A549,$P$2:$P$3058,"OK"))</f>
        <v>1</v>
      </c>
      <c r="S549" s="7" t="str">
        <f aca="false">IF(OR(A549="",P549="DUP",R549&lt;2),"",IF(Q549=_xlfn.MINIFS($Q$2:$Q$3058,$A$2:$A$3058,A549,$P$2:$P$3058,"OK"),"KEEP","DROP"))</f>
        <v/>
      </c>
      <c r="T549" s="9" t="n">
        <f aca="false">IF(A549="",1,0)</f>
        <v>0</v>
      </c>
      <c r="U549" s="9" t="n">
        <f aca="false">IF(D549="",1,0)</f>
        <v>0</v>
      </c>
      <c r="V549" s="9" t="n">
        <f aca="false">IF(E549="",1,0)</f>
        <v>0</v>
      </c>
      <c r="W549" s="9" t="n">
        <f aca="false">IF(OR(H549&lt;1,H549&gt;10),1,0)</f>
        <v>0</v>
      </c>
      <c r="X549" s="9" t="n">
        <f aca="false">IF(OR(I549&lt;=0,I549&gt;1500),1,0)</f>
        <v>0</v>
      </c>
      <c r="Y549" s="9" t="n">
        <f aca="false">IF(J549&gt;H549*I549,1,0)</f>
        <v>0</v>
      </c>
      <c r="Z549" s="9" t="n">
        <f aca="false">IF(AND(N549&lt;&gt;"",OR(N549&lt;1,N549&gt;5)),1,0)</f>
        <v>0</v>
      </c>
      <c r="AA549" s="9" t="n">
        <f aca="false">IF(AND(M549&lt;&gt;"",OR(M549&lt;5,M549&gt;180)),1,0)</f>
        <v>0</v>
      </c>
      <c r="AB549" s="7" t="str">
        <f aca="false">IF(P549="DUP","Exact duplicate row",IF(T549=1,"Missing Order ID",IF(S549="DROP","Duplicate Order ID (less complete row)",IF(U549=1,"Missing Customer ID",IF(V549=1,"Missing Restaurant name",IF(W549=1,"Invalid/outlier quantity",IF(X549=1,"Invalid/outlier unit price",IF(Y549=1,"Discount greater than order value",""))))))))</f>
        <v/>
      </c>
      <c r="AC549" s="7" t="str">
        <f aca="false">IF(AB549="","KEEP","DROP")</f>
        <v>KEEP</v>
      </c>
      <c r="AD549" s="7" t="str">
        <f aca="false">IF(TRIM(F549)="",IFERROR(INDEX(Map_Tables!$I$4:$I$37,MATCH(TRIM(E549),Map_Tables!$G$4:$G$37,0)),""),IFERROR(INDEX(Map_Tables!$B$4:$B$18,MATCH(TRIM(F549),Map_Tables!$A$4:$A$18,0)),"CHECK"))</f>
        <v>Hyderabad</v>
      </c>
      <c r="AE549" s="7" t="str">
        <f aca="false">IF(TRIM(E549)="","",IFERROR(INDEX(Map_Tables!$H$4:$H$37,MATCH(TRIM(E549),Map_Tables!$G$4:$G$37,0)),"CHECK"))</f>
        <v>Andhra Meals Mess</v>
      </c>
      <c r="AF549" s="7" t="str">
        <f aca="false">IF(TRIM(K549)="","Unknown",IFERROR(INDEX(Map_Tables!$E$4:$E$15,MATCH(TRIM(K549),Map_Tables!$D$4:$D$15,0)),"CHECK"))</f>
        <v>Cash on Delivery</v>
      </c>
      <c r="AG549" s="7" t="str">
        <f aca="false">IF(LEFT(LOWER(TRIM(L549)),6)="cancel","Cancelled","Delivered")</f>
        <v>Delivered</v>
      </c>
      <c r="AH549" s="10" t="n">
        <f aca="false">IF(ISNUMBER(SEARCH("/",B549)),DATE(VALUE(RIGHT(B549,4)),VALUE(MID(B549,4,2)),VALUE(LEFT(B549,2))),IF(MID(B549,5,1)="-",DATE(VALUE(LEFT(B549,4)),VALUE(MID(B549,6,2)),VALUE(RIGHT(B549,2))),DATE(VALUE(RIGHT(B549,4)),MATCH(MID(B549,4,3),{"Jan","Feb","Mar","Apr","May","Jun","Jul","Aug","Sep","Oct","Nov","Dec"},0),VALUE(LEFT(B549,2)))))</f>
        <v>45976</v>
      </c>
    </row>
    <row r="550" customFormat="false" ht="15" hidden="false" customHeight="false" outlineLevel="0" collapsed="false">
      <c r="A550" s="7" t="s">
        <v>1993</v>
      </c>
      <c r="B550" s="7" t="s">
        <v>1994</v>
      </c>
      <c r="C550" s="7" t="s">
        <v>1995</v>
      </c>
      <c r="D550" s="7" t="s">
        <v>1996</v>
      </c>
      <c r="E550" s="7" t="s">
        <v>104</v>
      </c>
      <c r="F550" s="7" t="s">
        <v>86</v>
      </c>
      <c r="G550" s="7" t="s">
        <v>105</v>
      </c>
      <c r="H550" s="7" t="n">
        <v>1</v>
      </c>
      <c r="I550" s="7" t="n">
        <v>175</v>
      </c>
      <c r="J550" s="7" t="n">
        <v>0</v>
      </c>
      <c r="K550" s="7" t="s">
        <v>133</v>
      </c>
      <c r="L550" s="7" t="s">
        <v>194</v>
      </c>
      <c r="M550" s="7" t="n">
        <v>51</v>
      </c>
      <c r="N550" s="7" t="n">
        <v>3</v>
      </c>
      <c r="O550" s="7" t="str">
        <f aca="false">A550&amp;"|"&amp;B550&amp;"|"&amp;C550&amp;"|"&amp;D550&amp;"|"&amp;E550&amp;"|"&amp;F550&amp;"|"&amp;G550&amp;"|"&amp;H550&amp;"|"&amp;I550&amp;"|"&amp;J550&amp;"|"&amp;K550&amp;"|"&amp;L550&amp;"|"&amp;M550&amp;"|"&amp;N550</f>
        <v>ORD12707|29/11/2025|14:14|C0437|Wok &amp; Roll|Bengaluru|Chinese|1|175|0|Net Banking|Delivered|51|3</v>
      </c>
      <c r="P550" s="7" t="str">
        <f aca="false">IF(COUNTIF($O$2:O550,O550)&gt;1,"DUP","OK")</f>
        <v>OK</v>
      </c>
      <c r="Q550" s="7" t="n">
        <f aca="false">COUNTBLANK(A550:N550)</f>
        <v>0</v>
      </c>
      <c r="R550" s="7" t="n">
        <f aca="false">IF(A550="",0,COUNTIFS($A$2:$A$3058,A550,$P$2:$P$3058,"OK"))</f>
        <v>1</v>
      </c>
      <c r="S550" s="7" t="str">
        <f aca="false">IF(OR(A550="",P550="DUP",R550&lt;2),"",IF(Q550=_xlfn.MINIFS($Q$2:$Q$3058,$A$2:$A$3058,A550,$P$2:$P$3058,"OK"),"KEEP","DROP"))</f>
        <v/>
      </c>
      <c r="T550" s="9" t="n">
        <f aca="false">IF(A550="",1,0)</f>
        <v>0</v>
      </c>
      <c r="U550" s="9" t="n">
        <f aca="false">IF(D550="",1,0)</f>
        <v>0</v>
      </c>
      <c r="V550" s="9" t="n">
        <f aca="false">IF(E550="",1,0)</f>
        <v>0</v>
      </c>
      <c r="W550" s="9" t="n">
        <f aca="false">IF(OR(H550&lt;1,H550&gt;10),1,0)</f>
        <v>0</v>
      </c>
      <c r="X550" s="9" t="n">
        <f aca="false">IF(OR(I550&lt;=0,I550&gt;1500),1,0)</f>
        <v>0</v>
      </c>
      <c r="Y550" s="9" t="n">
        <f aca="false">IF(J550&gt;H550*I550,1,0)</f>
        <v>0</v>
      </c>
      <c r="Z550" s="9" t="n">
        <f aca="false">IF(AND(N550&lt;&gt;"",OR(N550&lt;1,N550&gt;5)),1,0)</f>
        <v>0</v>
      </c>
      <c r="AA550" s="9" t="n">
        <f aca="false">IF(AND(M550&lt;&gt;"",OR(M550&lt;5,M550&gt;180)),1,0)</f>
        <v>0</v>
      </c>
      <c r="AB550" s="7" t="str">
        <f aca="false">IF(P550="DUP","Exact duplicate row",IF(T550=1,"Missing Order ID",IF(S550="DROP","Duplicate Order ID (less complete row)",IF(U550=1,"Missing Customer ID",IF(V550=1,"Missing Restaurant name",IF(W550=1,"Invalid/outlier quantity",IF(X550=1,"Invalid/outlier unit price",IF(Y550=1,"Discount greater than order value",""))))))))</f>
        <v/>
      </c>
      <c r="AC550" s="7" t="str">
        <f aca="false">IF(AB550="","KEEP","DROP")</f>
        <v>KEEP</v>
      </c>
      <c r="AD550" s="7" t="str">
        <f aca="false">IF(TRIM(F550)="",IFERROR(INDEX(Map_Tables!$I$4:$I$37,MATCH(TRIM(E550),Map_Tables!$G$4:$G$37,0)),""),IFERROR(INDEX(Map_Tables!$B$4:$B$18,MATCH(TRIM(F550),Map_Tables!$A$4:$A$18,0)),"CHECK"))</f>
        <v>Bengaluru</v>
      </c>
      <c r="AE550" s="7" t="str">
        <f aca="false">IF(TRIM(E550)="","",IFERROR(INDEX(Map_Tables!$H$4:$H$37,MATCH(TRIM(E550),Map_Tables!$G$4:$G$37,0)),"CHECK"))</f>
        <v>Wok &amp; Roll</v>
      </c>
      <c r="AF550" s="7" t="str">
        <f aca="false">IF(TRIM(K550)="","Unknown",IFERROR(INDEX(Map_Tables!$E$4:$E$15,MATCH(TRIM(K550),Map_Tables!$D$4:$D$15,0)),"CHECK"))</f>
        <v>Net Banking</v>
      </c>
      <c r="AG550" s="7" t="str">
        <f aca="false">IF(LEFT(LOWER(TRIM(L550)),6)="cancel","Cancelled","Delivered")</f>
        <v>Delivered</v>
      </c>
      <c r="AH550" s="10" t="n">
        <f aca="false">IF(ISNUMBER(SEARCH("/",B550)),DATE(VALUE(RIGHT(B550,4)),VALUE(MID(B550,4,2)),VALUE(LEFT(B550,2))),IF(MID(B550,5,1)="-",DATE(VALUE(LEFT(B550,4)),VALUE(MID(B550,6,2)),VALUE(RIGHT(B550,2))),DATE(VALUE(RIGHT(B550,4)),MATCH(MID(B550,4,3),{"Jan","Feb","Mar","Apr","May","Jun","Jul","Aug","Sep","Oct","Nov","Dec"},0),VALUE(LEFT(B550,2)))))</f>
        <v>45990</v>
      </c>
    </row>
    <row r="551" customFormat="false" ht="15" hidden="false" customHeight="false" outlineLevel="0" collapsed="false">
      <c r="A551" s="7" t="s">
        <v>1997</v>
      </c>
      <c r="B551" s="7" t="s">
        <v>368</v>
      </c>
      <c r="C551" s="7" t="s">
        <v>519</v>
      </c>
      <c r="D551" s="7" t="s">
        <v>1998</v>
      </c>
      <c r="E551" s="7" t="s">
        <v>162</v>
      </c>
      <c r="F551" s="7" t="s">
        <v>141</v>
      </c>
      <c r="G551" s="7" t="s">
        <v>117</v>
      </c>
      <c r="H551" s="7" t="n">
        <v>5</v>
      </c>
      <c r="I551" s="7" t="n">
        <v>105</v>
      </c>
      <c r="J551" s="7" t="n">
        <v>0</v>
      </c>
      <c r="K551" s="7" t="s">
        <v>88</v>
      </c>
      <c r="L551" s="7" t="s">
        <v>194</v>
      </c>
      <c r="M551" s="7" t="n">
        <v>42</v>
      </c>
      <c r="N551" s="7" t="n">
        <v>4</v>
      </c>
      <c r="O551" s="7" t="str">
        <f aca="false">A551&amp;"|"&amp;B551&amp;"|"&amp;C551&amp;"|"&amp;D551&amp;"|"&amp;E551&amp;"|"&amp;F551&amp;"|"&amp;G551&amp;"|"&amp;H551&amp;"|"&amp;I551&amp;"|"&amp;J551&amp;"|"&amp;K551&amp;"|"&amp;L551&amp;"|"&amp;M551&amp;"|"&amp;N551</f>
        <v>ORD10180|2025-01-24|19:06|C1480|Kolkata Roll Centre|Kolkata|Street Food|5|105|0|UPI|Delivered|42|4</v>
      </c>
      <c r="P551" s="7" t="str">
        <f aca="false">IF(COUNTIF($O$2:O551,O551)&gt;1,"DUP","OK")</f>
        <v>OK</v>
      </c>
      <c r="Q551" s="7" t="n">
        <f aca="false">COUNTBLANK(A551:N551)</f>
        <v>0</v>
      </c>
      <c r="R551" s="7" t="n">
        <f aca="false">IF(A551="",0,COUNTIFS($A$2:$A$3058,A551,$P$2:$P$3058,"OK"))</f>
        <v>1</v>
      </c>
      <c r="S551" s="7" t="str">
        <f aca="false">IF(OR(A551="",P551="DUP",R551&lt;2),"",IF(Q551=_xlfn.MINIFS($Q$2:$Q$3058,$A$2:$A$3058,A551,$P$2:$P$3058,"OK"),"KEEP","DROP"))</f>
        <v/>
      </c>
      <c r="T551" s="9" t="n">
        <f aca="false">IF(A551="",1,0)</f>
        <v>0</v>
      </c>
      <c r="U551" s="9" t="n">
        <f aca="false">IF(D551="",1,0)</f>
        <v>0</v>
      </c>
      <c r="V551" s="9" t="n">
        <f aca="false">IF(E551="",1,0)</f>
        <v>0</v>
      </c>
      <c r="W551" s="9" t="n">
        <f aca="false">IF(OR(H551&lt;1,H551&gt;10),1,0)</f>
        <v>0</v>
      </c>
      <c r="X551" s="9" t="n">
        <f aca="false">IF(OR(I551&lt;=0,I551&gt;1500),1,0)</f>
        <v>0</v>
      </c>
      <c r="Y551" s="9" t="n">
        <f aca="false">IF(J551&gt;H551*I551,1,0)</f>
        <v>0</v>
      </c>
      <c r="Z551" s="9" t="n">
        <f aca="false">IF(AND(N551&lt;&gt;"",OR(N551&lt;1,N551&gt;5)),1,0)</f>
        <v>0</v>
      </c>
      <c r="AA551" s="9" t="n">
        <f aca="false">IF(AND(M551&lt;&gt;"",OR(M551&lt;5,M551&gt;180)),1,0)</f>
        <v>0</v>
      </c>
      <c r="AB551" s="7" t="str">
        <f aca="false">IF(P551="DUP","Exact duplicate row",IF(T551=1,"Missing Order ID",IF(S551="DROP","Duplicate Order ID (less complete row)",IF(U551=1,"Missing Customer ID",IF(V551=1,"Missing Restaurant name",IF(W551=1,"Invalid/outlier quantity",IF(X551=1,"Invalid/outlier unit price",IF(Y551=1,"Discount greater than order value",""))))))))</f>
        <v/>
      </c>
      <c r="AC551" s="7" t="str">
        <f aca="false">IF(AB551="","KEEP","DROP")</f>
        <v>KEEP</v>
      </c>
      <c r="AD551" s="7" t="str">
        <f aca="false">IF(TRIM(F551)="",IFERROR(INDEX(Map_Tables!$I$4:$I$37,MATCH(TRIM(E551),Map_Tables!$G$4:$G$37,0)),""),IFERROR(INDEX(Map_Tables!$B$4:$B$18,MATCH(TRIM(F551),Map_Tables!$A$4:$A$18,0)),"CHECK"))</f>
        <v>Kolkata</v>
      </c>
      <c r="AE551" s="7" t="str">
        <f aca="false">IF(TRIM(E551)="","",IFERROR(INDEX(Map_Tables!$H$4:$H$37,MATCH(TRIM(E551),Map_Tables!$G$4:$G$37,0)),"CHECK"))</f>
        <v>Kolkata Roll Centre</v>
      </c>
      <c r="AF551" s="7" t="str">
        <f aca="false">IF(TRIM(K551)="","Unknown",IFERROR(INDEX(Map_Tables!$E$4:$E$15,MATCH(TRIM(K551),Map_Tables!$D$4:$D$15,0)),"CHECK"))</f>
        <v>UPI</v>
      </c>
      <c r="AG551" s="7" t="str">
        <f aca="false">IF(LEFT(LOWER(TRIM(L551)),6)="cancel","Cancelled","Delivered")</f>
        <v>Delivered</v>
      </c>
      <c r="AH551" s="10" t="n">
        <f aca="false">IF(ISNUMBER(SEARCH("/",B551)),DATE(VALUE(RIGHT(B551,4)),VALUE(MID(B551,4,2)),VALUE(LEFT(B551,2))),IF(MID(B551,5,1)="-",DATE(VALUE(LEFT(B551,4)),VALUE(MID(B551,6,2)),VALUE(RIGHT(B551,2))),DATE(VALUE(RIGHT(B551,4)),MATCH(MID(B551,4,3),{"Jan","Feb","Mar","Apr","May","Jun","Jul","Aug","Sep","Oct","Nov","Dec"},0),VALUE(LEFT(B551,2)))))</f>
        <v>45681</v>
      </c>
    </row>
    <row r="552" customFormat="false" ht="15" hidden="false" customHeight="false" outlineLevel="0" collapsed="false">
      <c r="A552" s="7" t="s">
        <v>1999</v>
      </c>
      <c r="B552" s="7" t="s">
        <v>1249</v>
      </c>
      <c r="C552" s="7" t="s">
        <v>2000</v>
      </c>
      <c r="D552" s="7" t="s">
        <v>2001</v>
      </c>
      <c r="E552" s="7" t="s">
        <v>94</v>
      </c>
      <c r="F552" s="7" t="s">
        <v>86</v>
      </c>
      <c r="G552" s="7" t="s">
        <v>95</v>
      </c>
      <c r="H552" s="7" t="n">
        <v>2</v>
      </c>
      <c r="I552" s="7" t="n">
        <v>125</v>
      </c>
      <c r="J552" s="7" t="n">
        <v>40</v>
      </c>
      <c r="K552" s="7" t="s">
        <v>93</v>
      </c>
      <c r="L552" s="7" t="s">
        <v>194</v>
      </c>
      <c r="M552" s="7" t="n">
        <v>27</v>
      </c>
      <c r="N552" s="7" t="n">
        <v>4</v>
      </c>
      <c r="O552" s="7" t="str">
        <f aca="false">A552&amp;"|"&amp;B552&amp;"|"&amp;C552&amp;"|"&amp;D552&amp;"|"&amp;E552&amp;"|"&amp;F552&amp;"|"&amp;G552&amp;"|"&amp;H552&amp;"|"&amp;I552&amp;"|"&amp;J552&amp;"|"&amp;K552&amp;"|"&amp;L552&amp;"|"&amp;M552&amp;"|"&amp;N552</f>
        <v>ORD11612|2025-07-29|15:38|C1453|Dosa Darbar|Bengaluru|South Indian|2|125|40|Credit Card|Delivered|27|4</v>
      </c>
      <c r="P552" s="7" t="str">
        <f aca="false">IF(COUNTIF($O$2:O552,O552)&gt;1,"DUP","OK")</f>
        <v>OK</v>
      </c>
      <c r="Q552" s="7" t="n">
        <f aca="false">COUNTBLANK(A552:N552)</f>
        <v>0</v>
      </c>
      <c r="R552" s="7" t="n">
        <f aca="false">IF(A552="",0,COUNTIFS($A$2:$A$3058,A552,$P$2:$P$3058,"OK"))</f>
        <v>1</v>
      </c>
      <c r="S552" s="7" t="str">
        <f aca="false">IF(OR(A552="",P552="DUP",R552&lt;2),"",IF(Q552=_xlfn.MINIFS($Q$2:$Q$3058,$A$2:$A$3058,A552,$P$2:$P$3058,"OK"),"KEEP","DROP"))</f>
        <v/>
      </c>
      <c r="T552" s="9" t="n">
        <f aca="false">IF(A552="",1,0)</f>
        <v>0</v>
      </c>
      <c r="U552" s="9" t="n">
        <f aca="false">IF(D552="",1,0)</f>
        <v>0</v>
      </c>
      <c r="V552" s="9" t="n">
        <f aca="false">IF(E552="",1,0)</f>
        <v>0</v>
      </c>
      <c r="W552" s="9" t="n">
        <f aca="false">IF(OR(H552&lt;1,H552&gt;10),1,0)</f>
        <v>0</v>
      </c>
      <c r="X552" s="9" t="n">
        <f aca="false">IF(OR(I552&lt;=0,I552&gt;1500),1,0)</f>
        <v>0</v>
      </c>
      <c r="Y552" s="9" t="n">
        <f aca="false">IF(J552&gt;H552*I552,1,0)</f>
        <v>0</v>
      </c>
      <c r="Z552" s="9" t="n">
        <f aca="false">IF(AND(N552&lt;&gt;"",OR(N552&lt;1,N552&gt;5)),1,0)</f>
        <v>0</v>
      </c>
      <c r="AA552" s="9" t="n">
        <f aca="false">IF(AND(M552&lt;&gt;"",OR(M552&lt;5,M552&gt;180)),1,0)</f>
        <v>0</v>
      </c>
      <c r="AB552" s="7" t="str">
        <f aca="false">IF(P552="DUP","Exact duplicate row",IF(T552=1,"Missing Order ID",IF(S552="DROP","Duplicate Order ID (less complete row)",IF(U552=1,"Missing Customer ID",IF(V552=1,"Missing Restaurant name",IF(W552=1,"Invalid/outlier quantity",IF(X552=1,"Invalid/outlier unit price",IF(Y552=1,"Discount greater than order value",""))))))))</f>
        <v/>
      </c>
      <c r="AC552" s="7" t="str">
        <f aca="false">IF(AB552="","KEEP","DROP")</f>
        <v>KEEP</v>
      </c>
      <c r="AD552" s="7" t="str">
        <f aca="false">IF(TRIM(F552)="",IFERROR(INDEX(Map_Tables!$I$4:$I$37,MATCH(TRIM(E552),Map_Tables!$G$4:$G$37,0)),""),IFERROR(INDEX(Map_Tables!$B$4:$B$18,MATCH(TRIM(F552),Map_Tables!$A$4:$A$18,0)),"CHECK"))</f>
        <v>Bengaluru</v>
      </c>
      <c r="AE552" s="7" t="str">
        <f aca="false">IF(TRIM(E552)="","",IFERROR(INDEX(Map_Tables!$H$4:$H$37,MATCH(TRIM(E552),Map_Tables!$G$4:$G$37,0)),"CHECK"))</f>
        <v>Dosa Darbar</v>
      </c>
      <c r="AF552" s="7" t="str">
        <f aca="false">IF(TRIM(K552)="","Unknown",IFERROR(INDEX(Map_Tables!$E$4:$E$15,MATCH(TRIM(K552),Map_Tables!$D$4:$D$15,0)),"CHECK"))</f>
        <v>Credit Card</v>
      </c>
      <c r="AG552" s="7" t="str">
        <f aca="false">IF(LEFT(LOWER(TRIM(L552)),6)="cancel","Cancelled","Delivered")</f>
        <v>Delivered</v>
      </c>
      <c r="AH552" s="10" t="n">
        <f aca="false">IF(ISNUMBER(SEARCH("/",B552)),DATE(VALUE(RIGHT(B552,4)),VALUE(MID(B552,4,2)),VALUE(LEFT(B552,2))),IF(MID(B552,5,1)="-",DATE(VALUE(LEFT(B552,4)),VALUE(MID(B552,6,2)),VALUE(RIGHT(B552,2))),DATE(VALUE(RIGHT(B552,4)),MATCH(MID(B552,4,3),{"Jan","Feb","Mar","Apr","May","Jun","Jul","Aug","Sep","Oct","Nov","Dec"},0),VALUE(LEFT(B552,2)))))</f>
        <v>45867</v>
      </c>
    </row>
    <row r="553" customFormat="false" ht="15" hidden="false" customHeight="false" outlineLevel="0" collapsed="false">
      <c r="A553" s="7" t="s">
        <v>2002</v>
      </c>
      <c r="B553" s="7" t="s">
        <v>855</v>
      </c>
      <c r="C553" s="7" t="s">
        <v>2003</v>
      </c>
      <c r="D553" s="7" t="s">
        <v>2004</v>
      </c>
      <c r="E553" s="7" t="s">
        <v>167</v>
      </c>
      <c r="F553" s="7" t="s">
        <v>146</v>
      </c>
      <c r="G553" s="7" t="s">
        <v>156</v>
      </c>
      <c r="H553" s="7" t="n">
        <v>1</v>
      </c>
      <c r="I553" s="7" t="n">
        <v>270</v>
      </c>
      <c r="J553" s="7" t="n">
        <v>0</v>
      </c>
      <c r="K553" s="7" t="s">
        <v>88</v>
      </c>
      <c r="L553" s="7" t="s">
        <v>194</v>
      </c>
      <c r="M553" s="7" t="n">
        <v>21</v>
      </c>
      <c r="N553" s="7" t="n">
        <v>5</v>
      </c>
      <c r="O553" s="7" t="str">
        <f aca="false">A553&amp;"|"&amp;B553&amp;"|"&amp;C553&amp;"|"&amp;D553&amp;"|"&amp;E553&amp;"|"&amp;F553&amp;"|"&amp;G553&amp;"|"&amp;H553&amp;"|"&amp;I553&amp;"|"&amp;J553&amp;"|"&amp;K553&amp;"|"&amp;L553&amp;"|"&amp;M553&amp;"|"&amp;N553</f>
        <v>ORD10940|2025-04-29|10:04|C1092|Fit Fuel Kitchen|Ahmedabad|Healthy Food|1|270|0|UPI|Delivered|21|5</v>
      </c>
      <c r="P553" s="7" t="str">
        <f aca="false">IF(COUNTIF($O$2:O553,O553)&gt;1,"DUP","OK")</f>
        <v>OK</v>
      </c>
      <c r="Q553" s="7" t="n">
        <f aca="false">COUNTBLANK(A553:N553)</f>
        <v>0</v>
      </c>
      <c r="R553" s="7" t="n">
        <f aca="false">IF(A553="",0,COUNTIFS($A$2:$A$3058,A553,$P$2:$P$3058,"OK"))</f>
        <v>1</v>
      </c>
      <c r="S553" s="7" t="str">
        <f aca="false">IF(OR(A553="",P553="DUP",R553&lt;2),"",IF(Q553=_xlfn.MINIFS($Q$2:$Q$3058,$A$2:$A$3058,A553,$P$2:$P$3058,"OK"),"KEEP","DROP"))</f>
        <v/>
      </c>
      <c r="T553" s="9" t="n">
        <f aca="false">IF(A553="",1,0)</f>
        <v>0</v>
      </c>
      <c r="U553" s="9" t="n">
        <f aca="false">IF(D553="",1,0)</f>
        <v>0</v>
      </c>
      <c r="V553" s="9" t="n">
        <f aca="false">IF(E553="",1,0)</f>
        <v>0</v>
      </c>
      <c r="W553" s="9" t="n">
        <f aca="false">IF(OR(H553&lt;1,H553&gt;10),1,0)</f>
        <v>0</v>
      </c>
      <c r="X553" s="9" t="n">
        <f aca="false">IF(OR(I553&lt;=0,I553&gt;1500),1,0)</f>
        <v>0</v>
      </c>
      <c r="Y553" s="9" t="n">
        <f aca="false">IF(J553&gt;H553*I553,1,0)</f>
        <v>0</v>
      </c>
      <c r="Z553" s="9" t="n">
        <f aca="false">IF(AND(N553&lt;&gt;"",OR(N553&lt;1,N553&gt;5)),1,0)</f>
        <v>0</v>
      </c>
      <c r="AA553" s="9" t="n">
        <f aca="false">IF(AND(M553&lt;&gt;"",OR(M553&lt;5,M553&gt;180)),1,0)</f>
        <v>0</v>
      </c>
      <c r="AB553" s="7" t="str">
        <f aca="false">IF(P553="DUP","Exact duplicate row",IF(T553=1,"Missing Order ID",IF(S553="DROP","Duplicate Order ID (less complete row)",IF(U553=1,"Missing Customer ID",IF(V553=1,"Missing Restaurant name",IF(W553=1,"Invalid/outlier quantity",IF(X553=1,"Invalid/outlier unit price",IF(Y553=1,"Discount greater than order value",""))))))))</f>
        <v/>
      </c>
      <c r="AC553" s="7" t="str">
        <f aca="false">IF(AB553="","KEEP","DROP")</f>
        <v>KEEP</v>
      </c>
      <c r="AD553" s="7" t="str">
        <f aca="false">IF(TRIM(F553)="",IFERROR(INDEX(Map_Tables!$I$4:$I$37,MATCH(TRIM(E553),Map_Tables!$G$4:$G$37,0)),""),IFERROR(INDEX(Map_Tables!$B$4:$B$18,MATCH(TRIM(F553),Map_Tables!$A$4:$A$18,0)),"CHECK"))</f>
        <v>Ahmedabad</v>
      </c>
      <c r="AE553" s="7" t="str">
        <f aca="false">IF(TRIM(E553)="","",IFERROR(INDEX(Map_Tables!$H$4:$H$37,MATCH(TRIM(E553),Map_Tables!$G$4:$G$37,0)),"CHECK"))</f>
        <v>Fit Fuel Kitchen</v>
      </c>
      <c r="AF553" s="7" t="str">
        <f aca="false">IF(TRIM(K553)="","Unknown",IFERROR(INDEX(Map_Tables!$E$4:$E$15,MATCH(TRIM(K553),Map_Tables!$D$4:$D$15,0)),"CHECK"))</f>
        <v>UPI</v>
      </c>
      <c r="AG553" s="7" t="str">
        <f aca="false">IF(LEFT(LOWER(TRIM(L553)),6)="cancel","Cancelled","Delivered")</f>
        <v>Delivered</v>
      </c>
      <c r="AH553" s="10" t="n">
        <f aca="false">IF(ISNUMBER(SEARCH("/",B553)),DATE(VALUE(RIGHT(B553,4)),VALUE(MID(B553,4,2)),VALUE(LEFT(B553,2))),IF(MID(B553,5,1)="-",DATE(VALUE(LEFT(B553,4)),VALUE(MID(B553,6,2)),VALUE(RIGHT(B553,2))),DATE(VALUE(RIGHT(B553,4)),MATCH(MID(B553,4,3),{"Jan","Feb","Mar","Apr","May","Jun","Jul","Aug","Sep","Oct","Nov","Dec"},0),VALUE(LEFT(B553,2)))))</f>
        <v>45776</v>
      </c>
    </row>
    <row r="554" customFormat="false" ht="15" hidden="false" customHeight="false" outlineLevel="0" collapsed="false">
      <c r="A554" s="7" t="s">
        <v>2005</v>
      </c>
      <c r="B554" s="7" t="s">
        <v>2006</v>
      </c>
      <c r="C554" s="7" t="s">
        <v>2007</v>
      </c>
      <c r="D554" s="7" t="s">
        <v>2008</v>
      </c>
      <c r="E554" s="7" t="s">
        <v>130</v>
      </c>
      <c r="F554" s="7" t="s">
        <v>110</v>
      </c>
      <c r="G554" s="7" t="s">
        <v>90</v>
      </c>
      <c r="H554" s="7" t="n">
        <v>3</v>
      </c>
      <c r="I554" s="7" t="n">
        <v>265</v>
      </c>
      <c r="J554" s="7" t="n">
        <v>100</v>
      </c>
      <c r="K554" s="7" t="s">
        <v>103</v>
      </c>
      <c r="L554" s="7" t="s">
        <v>194</v>
      </c>
      <c r="M554" s="7" t="n">
        <v>32</v>
      </c>
      <c r="N554" s="7" t="n">
        <v>5</v>
      </c>
      <c r="O554" s="7" t="str">
        <f aca="false">A554&amp;"|"&amp;B554&amp;"|"&amp;C554&amp;"|"&amp;D554&amp;"|"&amp;E554&amp;"|"&amp;F554&amp;"|"&amp;G554&amp;"|"&amp;H554&amp;"|"&amp;I554&amp;"|"&amp;J554&amp;"|"&amp;K554&amp;"|"&amp;L554&amp;"|"&amp;M554&amp;"|"&amp;N554</f>
        <v>ORD11522|2025-07-16|22:22|C1399|Tandoor Tales|Delhi|North Indian|3|265|100|Debit Card|Delivered|32|5</v>
      </c>
      <c r="P554" s="7" t="str">
        <f aca="false">IF(COUNTIF($O$2:O554,O554)&gt;1,"DUP","OK")</f>
        <v>OK</v>
      </c>
      <c r="Q554" s="7" t="n">
        <f aca="false">COUNTBLANK(A554:N554)</f>
        <v>0</v>
      </c>
      <c r="R554" s="7" t="n">
        <f aca="false">IF(A554="",0,COUNTIFS($A$2:$A$3058,A554,$P$2:$P$3058,"OK"))</f>
        <v>1</v>
      </c>
      <c r="S554" s="7" t="str">
        <f aca="false">IF(OR(A554="",P554="DUP",R554&lt;2),"",IF(Q554=_xlfn.MINIFS($Q$2:$Q$3058,$A$2:$A$3058,A554,$P$2:$P$3058,"OK"),"KEEP","DROP"))</f>
        <v/>
      </c>
      <c r="T554" s="9" t="n">
        <f aca="false">IF(A554="",1,0)</f>
        <v>0</v>
      </c>
      <c r="U554" s="9" t="n">
        <f aca="false">IF(D554="",1,0)</f>
        <v>0</v>
      </c>
      <c r="V554" s="9" t="n">
        <f aca="false">IF(E554="",1,0)</f>
        <v>0</v>
      </c>
      <c r="W554" s="9" t="n">
        <f aca="false">IF(OR(H554&lt;1,H554&gt;10),1,0)</f>
        <v>0</v>
      </c>
      <c r="X554" s="9" t="n">
        <f aca="false">IF(OR(I554&lt;=0,I554&gt;1500),1,0)</f>
        <v>0</v>
      </c>
      <c r="Y554" s="9" t="n">
        <f aca="false">IF(J554&gt;H554*I554,1,0)</f>
        <v>0</v>
      </c>
      <c r="Z554" s="9" t="n">
        <f aca="false">IF(AND(N554&lt;&gt;"",OR(N554&lt;1,N554&gt;5)),1,0)</f>
        <v>0</v>
      </c>
      <c r="AA554" s="9" t="n">
        <f aca="false">IF(AND(M554&lt;&gt;"",OR(M554&lt;5,M554&gt;180)),1,0)</f>
        <v>0</v>
      </c>
      <c r="AB554" s="7" t="str">
        <f aca="false">IF(P554="DUP","Exact duplicate row",IF(T554=1,"Missing Order ID",IF(S554="DROP","Duplicate Order ID (less complete row)",IF(U554=1,"Missing Customer ID",IF(V554=1,"Missing Restaurant name",IF(W554=1,"Invalid/outlier quantity",IF(X554=1,"Invalid/outlier unit price",IF(Y554=1,"Discount greater than order value",""))))))))</f>
        <v/>
      </c>
      <c r="AC554" s="7" t="str">
        <f aca="false">IF(AB554="","KEEP","DROP")</f>
        <v>KEEP</v>
      </c>
      <c r="AD554" s="7" t="str">
        <f aca="false">IF(TRIM(F554)="",IFERROR(INDEX(Map_Tables!$I$4:$I$37,MATCH(TRIM(E554),Map_Tables!$G$4:$G$37,0)),""),IFERROR(INDEX(Map_Tables!$B$4:$B$18,MATCH(TRIM(F554),Map_Tables!$A$4:$A$18,0)),"CHECK"))</f>
        <v>Delhi</v>
      </c>
      <c r="AE554" s="7" t="str">
        <f aca="false">IF(TRIM(E554)="","",IFERROR(INDEX(Map_Tables!$H$4:$H$37,MATCH(TRIM(E554),Map_Tables!$G$4:$G$37,0)),"CHECK"))</f>
        <v>Tandoor Tales</v>
      </c>
      <c r="AF554" s="7" t="str">
        <f aca="false">IF(TRIM(K554)="","Unknown",IFERROR(INDEX(Map_Tables!$E$4:$E$15,MATCH(TRIM(K554),Map_Tables!$D$4:$D$15,0)),"CHECK"))</f>
        <v>Debit Card</v>
      </c>
      <c r="AG554" s="7" t="str">
        <f aca="false">IF(LEFT(LOWER(TRIM(L554)),6)="cancel","Cancelled","Delivered")</f>
        <v>Delivered</v>
      </c>
      <c r="AH554" s="10" t="n">
        <f aca="false">IF(ISNUMBER(SEARCH("/",B554)),DATE(VALUE(RIGHT(B554,4)),VALUE(MID(B554,4,2)),VALUE(LEFT(B554,2))),IF(MID(B554,5,1)="-",DATE(VALUE(LEFT(B554,4)),VALUE(MID(B554,6,2)),VALUE(RIGHT(B554,2))),DATE(VALUE(RIGHT(B554,4)),MATCH(MID(B554,4,3),{"Jan","Feb","Mar","Apr","May","Jun","Jul","Aug","Sep","Oct","Nov","Dec"},0),VALUE(LEFT(B554,2)))))</f>
        <v>45854</v>
      </c>
    </row>
    <row r="555" customFormat="false" ht="15" hidden="false" customHeight="false" outlineLevel="0" collapsed="false">
      <c r="A555" s="7" t="s">
        <v>2009</v>
      </c>
      <c r="B555" s="7" t="s">
        <v>2010</v>
      </c>
      <c r="C555" s="7" t="s">
        <v>2011</v>
      </c>
      <c r="D555" s="7" t="s">
        <v>2012</v>
      </c>
      <c r="E555" s="7" t="s">
        <v>151</v>
      </c>
      <c r="F555" s="7" t="s">
        <v>128</v>
      </c>
      <c r="G555" s="7" t="s">
        <v>95</v>
      </c>
      <c r="H555" s="7" t="n">
        <v>4</v>
      </c>
      <c r="I555" s="7" t="n">
        <v>180</v>
      </c>
      <c r="J555" s="7" t="n">
        <v>0</v>
      </c>
      <c r="K555" s="7" t="s">
        <v>93</v>
      </c>
      <c r="L555" s="7" t="s">
        <v>194</v>
      </c>
      <c r="M555" s="7" t="n">
        <v>39</v>
      </c>
      <c r="N555" s="7" t="n">
        <v>4</v>
      </c>
      <c r="O555" s="7" t="str">
        <f aca="false">A555&amp;"|"&amp;B555&amp;"|"&amp;C555&amp;"|"&amp;D555&amp;"|"&amp;E555&amp;"|"&amp;F555&amp;"|"&amp;G555&amp;"|"&amp;H555&amp;"|"&amp;I555&amp;"|"&amp;J555&amp;"|"&amp;K555&amp;"|"&amp;L555&amp;"|"&amp;M555&amp;"|"&amp;N555</f>
        <v>ORD10489|2025-03-06|08:46|C0599|Chettinad House|Chennai|South Indian|4|180|0|Credit Card|Delivered|39|4</v>
      </c>
      <c r="P555" s="7" t="str">
        <f aca="false">IF(COUNTIF($O$2:O555,O555)&gt;1,"DUP","OK")</f>
        <v>OK</v>
      </c>
      <c r="Q555" s="7" t="n">
        <f aca="false">COUNTBLANK(A555:N555)</f>
        <v>0</v>
      </c>
      <c r="R555" s="7" t="n">
        <f aca="false">IF(A555="",0,COUNTIFS($A$2:$A$3058,A555,$P$2:$P$3058,"OK"))</f>
        <v>1</v>
      </c>
      <c r="S555" s="7" t="str">
        <f aca="false">IF(OR(A555="",P555="DUP",R555&lt;2),"",IF(Q555=_xlfn.MINIFS($Q$2:$Q$3058,$A$2:$A$3058,A555,$P$2:$P$3058,"OK"),"KEEP","DROP"))</f>
        <v/>
      </c>
      <c r="T555" s="9" t="n">
        <f aca="false">IF(A555="",1,0)</f>
        <v>0</v>
      </c>
      <c r="U555" s="9" t="n">
        <f aca="false">IF(D555="",1,0)</f>
        <v>0</v>
      </c>
      <c r="V555" s="9" t="n">
        <f aca="false">IF(E555="",1,0)</f>
        <v>0</v>
      </c>
      <c r="W555" s="9" t="n">
        <f aca="false">IF(OR(H555&lt;1,H555&gt;10),1,0)</f>
        <v>0</v>
      </c>
      <c r="X555" s="9" t="n">
        <f aca="false">IF(OR(I555&lt;=0,I555&gt;1500),1,0)</f>
        <v>0</v>
      </c>
      <c r="Y555" s="9" t="n">
        <f aca="false">IF(J555&gt;H555*I555,1,0)</f>
        <v>0</v>
      </c>
      <c r="Z555" s="9" t="n">
        <f aca="false">IF(AND(N555&lt;&gt;"",OR(N555&lt;1,N555&gt;5)),1,0)</f>
        <v>0</v>
      </c>
      <c r="AA555" s="9" t="n">
        <f aca="false">IF(AND(M555&lt;&gt;"",OR(M555&lt;5,M555&gt;180)),1,0)</f>
        <v>0</v>
      </c>
      <c r="AB555" s="7" t="str">
        <f aca="false">IF(P555="DUP","Exact duplicate row",IF(T555=1,"Missing Order ID",IF(S555="DROP","Duplicate Order ID (less complete row)",IF(U555=1,"Missing Customer ID",IF(V555=1,"Missing Restaurant name",IF(W555=1,"Invalid/outlier quantity",IF(X555=1,"Invalid/outlier unit price",IF(Y555=1,"Discount greater than order value",""))))))))</f>
        <v/>
      </c>
      <c r="AC555" s="7" t="str">
        <f aca="false">IF(AB555="","KEEP","DROP")</f>
        <v>KEEP</v>
      </c>
      <c r="AD555" s="7" t="str">
        <f aca="false">IF(TRIM(F555)="",IFERROR(INDEX(Map_Tables!$I$4:$I$37,MATCH(TRIM(E555),Map_Tables!$G$4:$G$37,0)),""),IFERROR(INDEX(Map_Tables!$B$4:$B$18,MATCH(TRIM(F555),Map_Tables!$A$4:$A$18,0)),"CHECK"))</f>
        <v>Chennai</v>
      </c>
      <c r="AE555" s="7" t="str">
        <f aca="false">IF(TRIM(E555)="","",IFERROR(INDEX(Map_Tables!$H$4:$H$37,MATCH(TRIM(E555),Map_Tables!$G$4:$G$37,0)),"CHECK"))</f>
        <v>Chettinad House</v>
      </c>
      <c r="AF555" s="7" t="str">
        <f aca="false">IF(TRIM(K555)="","Unknown",IFERROR(INDEX(Map_Tables!$E$4:$E$15,MATCH(TRIM(K555),Map_Tables!$D$4:$D$15,0)),"CHECK"))</f>
        <v>Credit Card</v>
      </c>
      <c r="AG555" s="7" t="str">
        <f aca="false">IF(LEFT(LOWER(TRIM(L555)),6)="cancel","Cancelled","Delivered")</f>
        <v>Delivered</v>
      </c>
      <c r="AH555" s="10" t="n">
        <f aca="false">IF(ISNUMBER(SEARCH("/",B555)),DATE(VALUE(RIGHT(B555,4)),VALUE(MID(B555,4,2)),VALUE(LEFT(B555,2))),IF(MID(B555,5,1)="-",DATE(VALUE(LEFT(B555,4)),VALUE(MID(B555,6,2)),VALUE(RIGHT(B555,2))),DATE(VALUE(RIGHT(B555,4)),MATCH(MID(B555,4,3),{"Jan","Feb","Mar","Apr","May","Jun","Jul","Aug","Sep","Oct","Nov","Dec"},0),VALUE(LEFT(B555,2)))))</f>
        <v>45722</v>
      </c>
    </row>
    <row r="556" customFormat="false" ht="15" hidden="false" customHeight="false" outlineLevel="0" collapsed="false">
      <c r="A556" s="7" t="s">
        <v>2013</v>
      </c>
      <c r="B556" s="7" t="s">
        <v>1282</v>
      </c>
      <c r="C556" s="7" t="s">
        <v>559</v>
      </c>
      <c r="D556" s="7" t="s">
        <v>2014</v>
      </c>
      <c r="E556" s="7" t="s">
        <v>130</v>
      </c>
      <c r="F556" s="7" t="s">
        <v>110</v>
      </c>
      <c r="G556" s="7" t="s">
        <v>90</v>
      </c>
      <c r="H556" s="7" t="n">
        <v>1</v>
      </c>
      <c r="I556" s="7" t="n">
        <v>250</v>
      </c>
      <c r="J556" s="7" t="n">
        <v>0</v>
      </c>
      <c r="K556" s="7" t="s">
        <v>121</v>
      </c>
      <c r="L556" s="7" t="s">
        <v>194</v>
      </c>
      <c r="M556" s="7" t="n">
        <v>56</v>
      </c>
      <c r="N556" s="7"/>
      <c r="O556" s="7" t="str">
        <f aca="false">A556&amp;"|"&amp;B556&amp;"|"&amp;C556&amp;"|"&amp;D556&amp;"|"&amp;E556&amp;"|"&amp;F556&amp;"|"&amp;G556&amp;"|"&amp;H556&amp;"|"&amp;I556&amp;"|"&amp;J556&amp;"|"&amp;K556&amp;"|"&amp;L556&amp;"|"&amp;M556&amp;"|"&amp;N556</f>
        <v>ORD12451|2025-11-04|20:25|C0123|Tandoor Tales|Delhi|North Indian|1|250|0|Wallet|Delivered|56|</v>
      </c>
      <c r="P556" s="7" t="str">
        <f aca="false">IF(COUNTIF($O$2:O556,O556)&gt;1,"DUP","OK")</f>
        <v>OK</v>
      </c>
      <c r="Q556" s="7" t="n">
        <f aca="false">COUNTBLANK(A556:N556)</f>
        <v>1</v>
      </c>
      <c r="R556" s="7" t="n">
        <f aca="false">IF(A556="",0,COUNTIFS($A$2:$A$3058,A556,$P$2:$P$3058,"OK"))</f>
        <v>1</v>
      </c>
      <c r="S556" s="7" t="str">
        <f aca="false">IF(OR(A556="",P556="DUP",R556&lt;2),"",IF(Q556=_xlfn.MINIFS($Q$2:$Q$3058,$A$2:$A$3058,A556,$P$2:$P$3058,"OK"),"KEEP","DROP"))</f>
        <v/>
      </c>
      <c r="T556" s="9" t="n">
        <f aca="false">IF(A556="",1,0)</f>
        <v>0</v>
      </c>
      <c r="U556" s="9" t="n">
        <f aca="false">IF(D556="",1,0)</f>
        <v>0</v>
      </c>
      <c r="V556" s="9" t="n">
        <f aca="false">IF(E556="",1,0)</f>
        <v>0</v>
      </c>
      <c r="W556" s="9" t="n">
        <f aca="false">IF(OR(H556&lt;1,H556&gt;10),1,0)</f>
        <v>0</v>
      </c>
      <c r="X556" s="9" t="n">
        <f aca="false">IF(OR(I556&lt;=0,I556&gt;1500),1,0)</f>
        <v>0</v>
      </c>
      <c r="Y556" s="9" t="n">
        <f aca="false">IF(J556&gt;H556*I556,1,0)</f>
        <v>0</v>
      </c>
      <c r="Z556" s="9" t="n">
        <f aca="false">IF(AND(N556&lt;&gt;"",OR(N556&lt;1,N556&gt;5)),1,0)</f>
        <v>0</v>
      </c>
      <c r="AA556" s="9" t="n">
        <f aca="false">IF(AND(M556&lt;&gt;"",OR(M556&lt;5,M556&gt;180)),1,0)</f>
        <v>0</v>
      </c>
      <c r="AB556" s="7" t="str">
        <f aca="false">IF(P556="DUP","Exact duplicate row",IF(T556=1,"Missing Order ID",IF(S556="DROP","Duplicate Order ID (less complete row)",IF(U556=1,"Missing Customer ID",IF(V556=1,"Missing Restaurant name",IF(W556=1,"Invalid/outlier quantity",IF(X556=1,"Invalid/outlier unit price",IF(Y556=1,"Discount greater than order value",""))))))))</f>
        <v/>
      </c>
      <c r="AC556" s="7" t="str">
        <f aca="false">IF(AB556="","KEEP","DROP")</f>
        <v>KEEP</v>
      </c>
      <c r="AD556" s="7" t="str">
        <f aca="false">IF(TRIM(F556)="",IFERROR(INDEX(Map_Tables!$I$4:$I$37,MATCH(TRIM(E556),Map_Tables!$G$4:$G$37,0)),""),IFERROR(INDEX(Map_Tables!$B$4:$B$18,MATCH(TRIM(F556),Map_Tables!$A$4:$A$18,0)),"CHECK"))</f>
        <v>Delhi</v>
      </c>
      <c r="AE556" s="7" t="str">
        <f aca="false">IF(TRIM(E556)="","",IFERROR(INDEX(Map_Tables!$H$4:$H$37,MATCH(TRIM(E556),Map_Tables!$G$4:$G$37,0)),"CHECK"))</f>
        <v>Tandoor Tales</v>
      </c>
      <c r="AF556" s="7" t="str">
        <f aca="false">IF(TRIM(K556)="","Unknown",IFERROR(INDEX(Map_Tables!$E$4:$E$15,MATCH(TRIM(K556),Map_Tables!$D$4:$D$15,0)),"CHECK"))</f>
        <v>Wallet</v>
      </c>
      <c r="AG556" s="7" t="str">
        <f aca="false">IF(LEFT(LOWER(TRIM(L556)),6)="cancel","Cancelled","Delivered")</f>
        <v>Delivered</v>
      </c>
      <c r="AH556" s="10" t="n">
        <f aca="false">IF(ISNUMBER(SEARCH("/",B556)),DATE(VALUE(RIGHT(B556,4)),VALUE(MID(B556,4,2)),VALUE(LEFT(B556,2))),IF(MID(B556,5,1)="-",DATE(VALUE(LEFT(B556,4)),VALUE(MID(B556,6,2)),VALUE(RIGHT(B556,2))),DATE(VALUE(RIGHT(B556,4)),MATCH(MID(B556,4,3),{"Jan","Feb","Mar","Apr","May","Jun","Jul","Aug","Sep","Oct","Nov","Dec"},0),VALUE(LEFT(B556,2)))))</f>
        <v>45965</v>
      </c>
    </row>
    <row r="557" customFormat="false" ht="15" hidden="false" customHeight="false" outlineLevel="0" collapsed="false">
      <c r="A557" s="7" t="s">
        <v>2015</v>
      </c>
      <c r="B557" s="7" t="s">
        <v>700</v>
      </c>
      <c r="C557" s="7" t="s">
        <v>2016</v>
      </c>
      <c r="D557" s="7" t="s">
        <v>2017</v>
      </c>
      <c r="E557" s="7" t="s">
        <v>148</v>
      </c>
      <c r="F557" s="7" t="s">
        <v>312</v>
      </c>
      <c r="G557" s="7" t="s">
        <v>123</v>
      </c>
      <c r="H557" s="7" t="n">
        <v>1</v>
      </c>
      <c r="I557" s="7" t="n">
        <v>305</v>
      </c>
      <c r="J557" s="7" t="n">
        <v>75</v>
      </c>
      <c r="K557" s="7" t="s">
        <v>112</v>
      </c>
      <c r="L557" s="7" t="s">
        <v>194</v>
      </c>
      <c r="M557" s="7" t="n">
        <v>33</v>
      </c>
      <c r="N557" s="7" t="n">
        <v>4</v>
      </c>
      <c r="O557" s="7" t="str">
        <f aca="false">A557&amp;"|"&amp;B557&amp;"|"&amp;C557&amp;"|"&amp;D557&amp;"|"&amp;E557&amp;"|"&amp;F557&amp;"|"&amp;G557&amp;"|"&amp;H557&amp;"|"&amp;I557&amp;"|"&amp;J557&amp;"|"&amp;K557&amp;"|"&amp;L557&amp;"|"&amp;M557&amp;"|"&amp;N557</f>
        <v>ORD10761|2025-04-07|11:54|C0334|Pizza Palace|Hyd|Pizza|1|305|75|Cash on Delivery|Delivered|33|4</v>
      </c>
      <c r="P557" s="7" t="str">
        <f aca="false">IF(COUNTIF($O$2:O557,O557)&gt;1,"DUP","OK")</f>
        <v>OK</v>
      </c>
      <c r="Q557" s="7" t="n">
        <f aca="false">COUNTBLANK(A557:N557)</f>
        <v>0</v>
      </c>
      <c r="R557" s="7" t="n">
        <f aca="false">IF(A557="",0,COUNTIFS($A$2:$A$3058,A557,$P$2:$P$3058,"OK"))</f>
        <v>1</v>
      </c>
      <c r="S557" s="7" t="str">
        <f aca="false">IF(OR(A557="",P557="DUP",R557&lt;2),"",IF(Q557=_xlfn.MINIFS($Q$2:$Q$3058,$A$2:$A$3058,A557,$P$2:$P$3058,"OK"),"KEEP","DROP"))</f>
        <v/>
      </c>
      <c r="T557" s="9" t="n">
        <f aca="false">IF(A557="",1,0)</f>
        <v>0</v>
      </c>
      <c r="U557" s="9" t="n">
        <f aca="false">IF(D557="",1,0)</f>
        <v>0</v>
      </c>
      <c r="V557" s="9" t="n">
        <f aca="false">IF(E557="",1,0)</f>
        <v>0</v>
      </c>
      <c r="W557" s="9" t="n">
        <f aca="false">IF(OR(H557&lt;1,H557&gt;10),1,0)</f>
        <v>0</v>
      </c>
      <c r="X557" s="9" t="n">
        <f aca="false">IF(OR(I557&lt;=0,I557&gt;1500),1,0)</f>
        <v>0</v>
      </c>
      <c r="Y557" s="9" t="n">
        <f aca="false">IF(J557&gt;H557*I557,1,0)</f>
        <v>0</v>
      </c>
      <c r="Z557" s="9" t="n">
        <f aca="false">IF(AND(N557&lt;&gt;"",OR(N557&lt;1,N557&gt;5)),1,0)</f>
        <v>0</v>
      </c>
      <c r="AA557" s="9" t="n">
        <f aca="false">IF(AND(M557&lt;&gt;"",OR(M557&lt;5,M557&gt;180)),1,0)</f>
        <v>0</v>
      </c>
      <c r="AB557" s="7" t="str">
        <f aca="false">IF(P557="DUP","Exact duplicate row",IF(T557=1,"Missing Order ID",IF(S557="DROP","Duplicate Order ID (less complete row)",IF(U557=1,"Missing Customer ID",IF(V557=1,"Missing Restaurant name",IF(W557=1,"Invalid/outlier quantity",IF(X557=1,"Invalid/outlier unit price",IF(Y557=1,"Discount greater than order value",""))))))))</f>
        <v/>
      </c>
      <c r="AC557" s="7" t="str">
        <f aca="false">IF(AB557="","KEEP","DROP")</f>
        <v>KEEP</v>
      </c>
      <c r="AD557" s="7" t="str">
        <f aca="false">IF(TRIM(F557)="",IFERROR(INDEX(Map_Tables!$I$4:$I$37,MATCH(TRIM(E557),Map_Tables!$G$4:$G$37,0)),""),IFERROR(INDEX(Map_Tables!$B$4:$B$18,MATCH(TRIM(F557),Map_Tables!$A$4:$A$18,0)),"CHECK"))</f>
        <v>Hyderabad</v>
      </c>
      <c r="AE557" s="7" t="str">
        <f aca="false">IF(TRIM(E557)="","",IFERROR(INDEX(Map_Tables!$H$4:$H$37,MATCH(TRIM(E557),Map_Tables!$G$4:$G$37,0)),"CHECK"))</f>
        <v>Pizza Palace</v>
      </c>
      <c r="AF557" s="7" t="str">
        <f aca="false">IF(TRIM(K557)="","Unknown",IFERROR(INDEX(Map_Tables!$E$4:$E$15,MATCH(TRIM(K557),Map_Tables!$D$4:$D$15,0)),"CHECK"))</f>
        <v>Cash on Delivery</v>
      </c>
      <c r="AG557" s="7" t="str">
        <f aca="false">IF(LEFT(LOWER(TRIM(L557)),6)="cancel","Cancelled","Delivered")</f>
        <v>Delivered</v>
      </c>
      <c r="AH557" s="10" t="n">
        <f aca="false">IF(ISNUMBER(SEARCH("/",B557)),DATE(VALUE(RIGHT(B557,4)),VALUE(MID(B557,4,2)),VALUE(LEFT(B557,2))),IF(MID(B557,5,1)="-",DATE(VALUE(LEFT(B557,4)),VALUE(MID(B557,6,2)),VALUE(RIGHT(B557,2))),DATE(VALUE(RIGHT(B557,4)),MATCH(MID(B557,4,3),{"Jan","Feb","Mar","Apr","May","Jun","Jul","Aug","Sep","Oct","Nov","Dec"},0),VALUE(LEFT(B557,2)))))</f>
        <v>45754</v>
      </c>
    </row>
    <row r="558" customFormat="false" ht="15" hidden="false" customHeight="false" outlineLevel="0" collapsed="false">
      <c r="A558" s="7" t="s">
        <v>2018</v>
      </c>
      <c r="B558" s="7" t="s">
        <v>2019</v>
      </c>
      <c r="C558" s="7" t="s">
        <v>2020</v>
      </c>
      <c r="D558" s="7" t="s">
        <v>2021</v>
      </c>
      <c r="E558" s="7" t="s">
        <v>144</v>
      </c>
      <c r="F558" s="7" t="s">
        <v>119</v>
      </c>
      <c r="G558" s="7" t="s">
        <v>99</v>
      </c>
      <c r="H558" s="7" t="n">
        <v>2</v>
      </c>
      <c r="I558" s="7" t="n">
        <v>310</v>
      </c>
      <c r="J558" s="7" t="n">
        <v>0</v>
      </c>
      <c r="K558" s="7" t="s">
        <v>121</v>
      </c>
      <c r="L558" s="7" t="s">
        <v>194</v>
      </c>
      <c r="M558" s="7" t="n">
        <v>33</v>
      </c>
      <c r="N558" s="7" t="n">
        <v>5</v>
      </c>
      <c r="O558" s="7" t="str">
        <f aca="false">A558&amp;"|"&amp;B558&amp;"|"&amp;C558&amp;"|"&amp;D558&amp;"|"&amp;E558&amp;"|"&amp;F558&amp;"|"&amp;G558&amp;"|"&amp;H558&amp;"|"&amp;I558&amp;"|"&amp;J558&amp;"|"&amp;K558&amp;"|"&amp;L558&amp;"|"&amp;M558&amp;"|"&amp;N558</f>
        <v>ORD10052|08/01/2025|15:06|C0828|Hyderabad Dum Biryani|Hyderabad|Biryani|2|310|0|Wallet|Delivered|33|5</v>
      </c>
      <c r="P558" s="7" t="str">
        <f aca="false">IF(COUNTIF($O$2:O558,O558)&gt;1,"DUP","OK")</f>
        <v>OK</v>
      </c>
      <c r="Q558" s="7" t="n">
        <f aca="false">COUNTBLANK(A558:N558)</f>
        <v>0</v>
      </c>
      <c r="R558" s="7" t="n">
        <f aca="false">IF(A558="",0,COUNTIFS($A$2:$A$3058,A558,$P$2:$P$3058,"OK"))</f>
        <v>1</v>
      </c>
      <c r="S558" s="7" t="str">
        <f aca="false">IF(OR(A558="",P558="DUP",R558&lt;2),"",IF(Q558=_xlfn.MINIFS($Q$2:$Q$3058,$A$2:$A$3058,A558,$P$2:$P$3058,"OK"),"KEEP","DROP"))</f>
        <v/>
      </c>
      <c r="T558" s="9" t="n">
        <f aca="false">IF(A558="",1,0)</f>
        <v>0</v>
      </c>
      <c r="U558" s="9" t="n">
        <f aca="false">IF(D558="",1,0)</f>
        <v>0</v>
      </c>
      <c r="V558" s="9" t="n">
        <f aca="false">IF(E558="",1,0)</f>
        <v>0</v>
      </c>
      <c r="W558" s="9" t="n">
        <f aca="false">IF(OR(H558&lt;1,H558&gt;10),1,0)</f>
        <v>0</v>
      </c>
      <c r="X558" s="9" t="n">
        <f aca="false">IF(OR(I558&lt;=0,I558&gt;1500),1,0)</f>
        <v>0</v>
      </c>
      <c r="Y558" s="9" t="n">
        <f aca="false">IF(J558&gt;H558*I558,1,0)</f>
        <v>0</v>
      </c>
      <c r="Z558" s="9" t="n">
        <f aca="false">IF(AND(N558&lt;&gt;"",OR(N558&lt;1,N558&gt;5)),1,0)</f>
        <v>0</v>
      </c>
      <c r="AA558" s="9" t="n">
        <f aca="false">IF(AND(M558&lt;&gt;"",OR(M558&lt;5,M558&gt;180)),1,0)</f>
        <v>0</v>
      </c>
      <c r="AB558" s="7" t="str">
        <f aca="false">IF(P558="DUP","Exact duplicate row",IF(T558=1,"Missing Order ID",IF(S558="DROP","Duplicate Order ID (less complete row)",IF(U558=1,"Missing Customer ID",IF(V558=1,"Missing Restaurant name",IF(W558=1,"Invalid/outlier quantity",IF(X558=1,"Invalid/outlier unit price",IF(Y558=1,"Discount greater than order value",""))))))))</f>
        <v/>
      </c>
      <c r="AC558" s="7" t="str">
        <f aca="false">IF(AB558="","KEEP","DROP")</f>
        <v>KEEP</v>
      </c>
      <c r="AD558" s="7" t="str">
        <f aca="false">IF(TRIM(F558)="",IFERROR(INDEX(Map_Tables!$I$4:$I$37,MATCH(TRIM(E558),Map_Tables!$G$4:$G$37,0)),""),IFERROR(INDEX(Map_Tables!$B$4:$B$18,MATCH(TRIM(F558),Map_Tables!$A$4:$A$18,0)),"CHECK"))</f>
        <v>Hyderabad</v>
      </c>
      <c r="AE558" s="7" t="str">
        <f aca="false">IF(TRIM(E558)="","",IFERROR(INDEX(Map_Tables!$H$4:$H$37,MATCH(TRIM(E558),Map_Tables!$G$4:$G$37,0)),"CHECK"))</f>
        <v>Hyderabad Dum Biryani</v>
      </c>
      <c r="AF558" s="7" t="str">
        <f aca="false">IF(TRIM(K558)="","Unknown",IFERROR(INDEX(Map_Tables!$E$4:$E$15,MATCH(TRIM(K558),Map_Tables!$D$4:$D$15,0)),"CHECK"))</f>
        <v>Wallet</v>
      </c>
      <c r="AG558" s="7" t="str">
        <f aca="false">IF(LEFT(LOWER(TRIM(L558)),6)="cancel","Cancelled","Delivered")</f>
        <v>Delivered</v>
      </c>
      <c r="AH558" s="10" t="n">
        <f aca="false">IF(ISNUMBER(SEARCH("/",B558)),DATE(VALUE(RIGHT(B558,4)),VALUE(MID(B558,4,2)),VALUE(LEFT(B558,2))),IF(MID(B558,5,1)="-",DATE(VALUE(LEFT(B558,4)),VALUE(MID(B558,6,2)),VALUE(RIGHT(B558,2))),DATE(VALUE(RIGHT(B558,4)),MATCH(MID(B558,4,3),{"Jan","Feb","Mar","Apr","May","Jun","Jul","Aug","Sep","Oct","Nov","Dec"},0),VALUE(LEFT(B558,2)))))</f>
        <v>45665</v>
      </c>
    </row>
    <row r="559" customFormat="false" ht="15" hidden="false" customHeight="false" outlineLevel="0" collapsed="false">
      <c r="A559" s="7" t="s">
        <v>2022</v>
      </c>
      <c r="B559" s="7" t="s">
        <v>2023</v>
      </c>
      <c r="C559" s="7" t="s">
        <v>2024</v>
      </c>
      <c r="D559" s="7" t="s">
        <v>1464</v>
      </c>
      <c r="E559" s="7" t="s">
        <v>126</v>
      </c>
      <c r="F559" s="7" t="s">
        <v>101</v>
      </c>
      <c r="G559" s="7" t="s">
        <v>105</v>
      </c>
      <c r="H559" s="7" t="n">
        <v>3</v>
      </c>
      <c r="I559" s="7" t="n">
        <v>190</v>
      </c>
      <c r="J559" s="7" t="n">
        <v>75</v>
      </c>
      <c r="K559" s="7" t="s">
        <v>88</v>
      </c>
      <c r="L559" s="7" t="s">
        <v>194</v>
      </c>
      <c r="M559" s="7" t="n">
        <v>35</v>
      </c>
      <c r="N559" s="7" t="n">
        <v>5</v>
      </c>
      <c r="O559" s="7" t="str">
        <f aca="false">A559&amp;"|"&amp;B559&amp;"|"&amp;C559&amp;"|"&amp;D559&amp;"|"&amp;E559&amp;"|"&amp;F559&amp;"|"&amp;G559&amp;"|"&amp;H559&amp;"|"&amp;I559&amp;"|"&amp;J559&amp;"|"&amp;K559&amp;"|"&amp;L559&amp;"|"&amp;M559&amp;"|"&amp;N559</f>
        <v>ORD12221|09/10/2025|17:19|C1352|Dragon Express|Mumbai|Chinese|3|190|75|UPI|Delivered|35|5</v>
      </c>
      <c r="P559" s="7" t="str">
        <f aca="false">IF(COUNTIF($O$2:O559,O559)&gt;1,"DUP","OK")</f>
        <v>OK</v>
      </c>
      <c r="Q559" s="7" t="n">
        <f aca="false">COUNTBLANK(A559:N559)</f>
        <v>0</v>
      </c>
      <c r="R559" s="7" t="n">
        <f aca="false">IF(A559="",0,COUNTIFS($A$2:$A$3058,A559,$P$2:$P$3058,"OK"))</f>
        <v>1</v>
      </c>
      <c r="S559" s="7" t="str">
        <f aca="false">IF(OR(A559="",P559="DUP",R559&lt;2),"",IF(Q559=_xlfn.MINIFS($Q$2:$Q$3058,$A$2:$A$3058,A559,$P$2:$P$3058,"OK"),"KEEP","DROP"))</f>
        <v/>
      </c>
      <c r="T559" s="9" t="n">
        <f aca="false">IF(A559="",1,0)</f>
        <v>0</v>
      </c>
      <c r="U559" s="9" t="n">
        <f aca="false">IF(D559="",1,0)</f>
        <v>0</v>
      </c>
      <c r="V559" s="9" t="n">
        <f aca="false">IF(E559="",1,0)</f>
        <v>0</v>
      </c>
      <c r="W559" s="9" t="n">
        <f aca="false">IF(OR(H559&lt;1,H559&gt;10),1,0)</f>
        <v>0</v>
      </c>
      <c r="X559" s="9" t="n">
        <f aca="false">IF(OR(I559&lt;=0,I559&gt;1500),1,0)</f>
        <v>0</v>
      </c>
      <c r="Y559" s="9" t="n">
        <f aca="false">IF(J559&gt;H559*I559,1,0)</f>
        <v>0</v>
      </c>
      <c r="Z559" s="9" t="n">
        <f aca="false">IF(AND(N559&lt;&gt;"",OR(N559&lt;1,N559&gt;5)),1,0)</f>
        <v>0</v>
      </c>
      <c r="AA559" s="9" t="n">
        <f aca="false">IF(AND(M559&lt;&gt;"",OR(M559&lt;5,M559&gt;180)),1,0)</f>
        <v>0</v>
      </c>
      <c r="AB559" s="7" t="str">
        <f aca="false">IF(P559="DUP","Exact duplicate row",IF(T559=1,"Missing Order ID",IF(S559="DROP","Duplicate Order ID (less complete row)",IF(U559=1,"Missing Customer ID",IF(V559=1,"Missing Restaurant name",IF(W559=1,"Invalid/outlier quantity",IF(X559=1,"Invalid/outlier unit price",IF(Y559=1,"Discount greater than order value",""))))))))</f>
        <v/>
      </c>
      <c r="AC559" s="7" t="str">
        <f aca="false">IF(AB559="","KEEP","DROP")</f>
        <v>KEEP</v>
      </c>
      <c r="AD559" s="7" t="str">
        <f aca="false">IF(TRIM(F559)="",IFERROR(INDEX(Map_Tables!$I$4:$I$37,MATCH(TRIM(E559),Map_Tables!$G$4:$G$37,0)),""),IFERROR(INDEX(Map_Tables!$B$4:$B$18,MATCH(TRIM(F559),Map_Tables!$A$4:$A$18,0)),"CHECK"))</f>
        <v>Mumbai</v>
      </c>
      <c r="AE559" s="7" t="str">
        <f aca="false">IF(TRIM(E559)="","",IFERROR(INDEX(Map_Tables!$H$4:$H$37,MATCH(TRIM(E559),Map_Tables!$G$4:$G$37,0)),"CHECK"))</f>
        <v>Dragon Express</v>
      </c>
      <c r="AF559" s="7" t="str">
        <f aca="false">IF(TRIM(K559)="","Unknown",IFERROR(INDEX(Map_Tables!$E$4:$E$15,MATCH(TRIM(K559),Map_Tables!$D$4:$D$15,0)),"CHECK"))</f>
        <v>UPI</v>
      </c>
      <c r="AG559" s="7" t="str">
        <f aca="false">IF(LEFT(LOWER(TRIM(L559)),6)="cancel","Cancelled","Delivered")</f>
        <v>Delivered</v>
      </c>
      <c r="AH559" s="10" t="n">
        <f aca="false">IF(ISNUMBER(SEARCH("/",B559)),DATE(VALUE(RIGHT(B559,4)),VALUE(MID(B559,4,2)),VALUE(LEFT(B559,2))),IF(MID(B559,5,1)="-",DATE(VALUE(LEFT(B559,4)),VALUE(MID(B559,6,2)),VALUE(RIGHT(B559,2))),DATE(VALUE(RIGHT(B559,4)),MATCH(MID(B559,4,3),{"Jan","Feb","Mar","Apr","May","Jun","Jul","Aug","Sep","Oct","Nov","Dec"},0),VALUE(LEFT(B559,2)))))</f>
        <v>45939</v>
      </c>
    </row>
    <row r="560" customFormat="false" ht="15" hidden="false" customHeight="false" outlineLevel="0" collapsed="false">
      <c r="A560" s="7" t="s">
        <v>2025</v>
      </c>
      <c r="B560" s="7" t="s">
        <v>2026</v>
      </c>
      <c r="C560" s="7" t="s">
        <v>2027</v>
      </c>
      <c r="D560" s="7" t="s">
        <v>2028</v>
      </c>
      <c r="E560" s="7" t="s">
        <v>1843</v>
      </c>
      <c r="F560" s="7" t="s">
        <v>110</v>
      </c>
      <c r="G560" s="7" t="s">
        <v>90</v>
      </c>
      <c r="H560" s="7" t="n">
        <v>1</v>
      </c>
      <c r="I560" s="7" t="n">
        <v>280</v>
      </c>
      <c r="J560" s="7" t="n">
        <v>20</v>
      </c>
      <c r="K560" s="7" t="s">
        <v>88</v>
      </c>
      <c r="L560" s="7" t="s">
        <v>194</v>
      </c>
      <c r="M560" s="7" t="n">
        <v>43</v>
      </c>
      <c r="N560" s="7" t="n">
        <v>4</v>
      </c>
      <c r="O560" s="7" t="str">
        <f aca="false">A560&amp;"|"&amp;B560&amp;"|"&amp;C560&amp;"|"&amp;D560&amp;"|"&amp;E560&amp;"|"&amp;F560&amp;"|"&amp;G560&amp;"|"&amp;H560&amp;"|"&amp;I560&amp;"|"&amp;J560&amp;"|"&amp;K560&amp;"|"&amp;L560&amp;"|"&amp;M560&amp;"|"&amp;N560</f>
        <v>ORD12698|2025-11-28|17:18|C0394| Tandoor Tales|Delhi|North Indian|1|280|20|UPI|Delivered|43|4</v>
      </c>
      <c r="P560" s="7" t="str">
        <f aca="false">IF(COUNTIF($O$2:O560,O560)&gt;1,"DUP","OK")</f>
        <v>OK</v>
      </c>
      <c r="Q560" s="7" t="n">
        <f aca="false">COUNTBLANK(A560:N560)</f>
        <v>0</v>
      </c>
      <c r="R560" s="7" t="n">
        <f aca="false">IF(A560="",0,COUNTIFS($A$2:$A$3058,A560,$P$2:$P$3058,"OK"))</f>
        <v>1</v>
      </c>
      <c r="S560" s="7" t="str">
        <f aca="false">IF(OR(A560="",P560="DUP",R560&lt;2),"",IF(Q560=_xlfn.MINIFS($Q$2:$Q$3058,$A$2:$A$3058,A560,$P$2:$P$3058,"OK"),"KEEP","DROP"))</f>
        <v/>
      </c>
      <c r="T560" s="9" t="n">
        <f aca="false">IF(A560="",1,0)</f>
        <v>0</v>
      </c>
      <c r="U560" s="9" t="n">
        <f aca="false">IF(D560="",1,0)</f>
        <v>0</v>
      </c>
      <c r="V560" s="9" t="n">
        <f aca="false">IF(E560="",1,0)</f>
        <v>0</v>
      </c>
      <c r="W560" s="9" t="n">
        <f aca="false">IF(OR(H560&lt;1,H560&gt;10),1,0)</f>
        <v>0</v>
      </c>
      <c r="X560" s="9" t="n">
        <f aca="false">IF(OR(I560&lt;=0,I560&gt;1500),1,0)</f>
        <v>0</v>
      </c>
      <c r="Y560" s="9" t="n">
        <f aca="false">IF(J560&gt;H560*I560,1,0)</f>
        <v>0</v>
      </c>
      <c r="Z560" s="9" t="n">
        <f aca="false">IF(AND(N560&lt;&gt;"",OR(N560&lt;1,N560&gt;5)),1,0)</f>
        <v>0</v>
      </c>
      <c r="AA560" s="9" t="n">
        <f aca="false">IF(AND(M560&lt;&gt;"",OR(M560&lt;5,M560&gt;180)),1,0)</f>
        <v>0</v>
      </c>
      <c r="AB560" s="7" t="str">
        <f aca="false">IF(P560="DUP","Exact duplicate row",IF(T560=1,"Missing Order ID",IF(S560="DROP","Duplicate Order ID (less complete row)",IF(U560=1,"Missing Customer ID",IF(V560=1,"Missing Restaurant name",IF(W560=1,"Invalid/outlier quantity",IF(X560=1,"Invalid/outlier unit price",IF(Y560=1,"Discount greater than order value",""))))))))</f>
        <v/>
      </c>
      <c r="AC560" s="7" t="str">
        <f aca="false">IF(AB560="","KEEP","DROP")</f>
        <v>KEEP</v>
      </c>
      <c r="AD560" s="7" t="str">
        <f aca="false">IF(TRIM(F560)="",IFERROR(INDEX(Map_Tables!$I$4:$I$37,MATCH(TRIM(E560),Map_Tables!$G$4:$G$37,0)),""),IFERROR(INDEX(Map_Tables!$B$4:$B$18,MATCH(TRIM(F560),Map_Tables!$A$4:$A$18,0)),"CHECK"))</f>
        <v>Delhi</v>
      </c>
      <c r="AE560" s="7" t="str">
        <f aca="false">IF(TRIM(E560)="","",IFERROR(INDEX(Map_Tables!$H$4:$H$37,MATCH(TRIM(E560),Map_Tables!$G$4:$G$37,0)),"CHECK"))</f>
        <v>Tandoor Tales</v>
      </c>
      <c r="AF560" s="7" t="str">
        <f aca="false">IF(TRIM(K560)="","Unknown",IFERROR(INDEX(Map_Tables!$E$4:$E$15,MATCH(TRIM(K560),Map_Tables!$D$4:$D$15,0)),"CHECK"))</f>
        <v>UPI</v>
      </c>
      <c r="AG560" s="7" t="str">
        <f aca="false">IF(LEFT(LOWER(TRIM(L560)),6)="cancel","Cancelled","Delivered")</f>
        <v>Delivered</v>
      </c>
      <c r="AH560" s="10" t="n">
        <f aca="false">IF(ISNUMBER(SEARCH("/",B560)),DATE(VALUE(RIGHT(B560,4)),VALUE(MID(B560,4,2)),VALUE(LEFT(B560,2))),IF(MID(B560,5,1)="-",DATE(VALUE(LEFT(B560,4)),VALUE(MID(B560,6,2)),VALUE(RIGHT(B560,2))),DATE(VALUE(RIGHT(B560,4)),MATCH(MID(B560,4,3),{"Jan","Feb","Mar","Apr","May","Jun","Jul","Aug","Sep","Oct","Nov","Dec"},0),VALUE(LEFT(B560,2)))))</f>
        <v>45989</v>
      </c>
    </row>
    <row r="561" customFormat="false" ht="15" hidden="false" customHeight="false" outlineLevel="0" collapsed="false">
      <c r="A561" s="7" t="s">
        <v>2029</v>
      </c>
      <c r="B561" s="7" t="s">
        <v>824</v>
      </c>
      <c r="C561" s="7" t="s">
        <v>779</v>
      </c>
      <c r="D561" s="7" t="s">
        <v>2030</v>
      </c>
      <c r="E561" s="7" t="s">
        <v>134</v>
      </c>
      <c r="F561" s="7" t="s">
        <v>110</v>
      </c>
      <c r="G561" s="7" t="s">
        <v>117</v>
      </c>
      <c r="H561" s="7" t="n">
        <v>1</v>
      </c>
      <c r="I561" s="7" t="n">
        <v>100</v>
      </c>
      <c r="J561" s="7" t="n">
        <v>40</v>
      </c>
      <c r="K561" s="7" t="s">
        <v>133</v>
      </c>
      <c r="L561" s="7" t="s">
        <v>194</v>
      </c>
      <c r="M561" s="7" t="n">
        <v>35</v>
      </c>
      <c r="N561" s="7" t="n">
        <v>3</v>
      </c>
      <c r="O561" s="7" t="str">
        <f aca="false">A561&amp;"|"&amp;B561&amp;"|"&amp;C561&amp;"|"&amp;D561&amp;"|"&amp;E561&amp;"|"&amp;F561&amp;"|"&amp;G561&amp;"|"&amp;H561&amp;"|"&amp;I561&amp;"|"&amp;J561&amp;"|"&amp;K561&amp;"|"&amp;L561&amp;"|"&amp;M561&amp;"|"&amp;N561</f>
        <v>ORD12774|2025-12-05|18:28|C0613|Chaat Corner|Delhi|Street Food|1|100|40|Net Banking|Delivered|35|3</v>
      </c>
      <c r="P561" s="7" t="str">
        <f aca="false">IF(COUNTIF($O$2:O561,O561)&gt;1,"DUP","OK")</f>
        <v>OK</v>
      </c>
      <c r="Q561" s="7" t="n">
        <f aca="false">COUNTBLANK(A561:N561)</f>
        <v>0</v>
      </c>
      <c r="R561" s="7" t="n">
        <f aca="false">IF(A561="",0,COUNTIFS($A$2:$A$3058,A561,$P$2:$P$3058,"OK"))</f>
        <v>1</v>
      </c>
      <c r="S561" s="7" t="str">
        <f aca="false">IF(OR(A561="",P561="DUP",R561&lt;2),"",IF(Q561=_xlfn.MINIFS($Q$2:$Q$3058,$A$2:$A$3058,A561,$P$2:$P$3058,"OK"),"KEEP","DROP"))</f>
        <v/>
      </c>
      <c r="T561" s="9" t="n">
        <f aca="false">IF(A561="",1,0)</f>
        <v>0</v>
      </c>
      <c r="U561" s="9" t="n">
        <f aca="false">IF(D561="",1,0)</f>
        <v>0</v>
      </c>
      <c r="V561" s="9" t="n">
        <f aca="false">IF(E561="",1,0)</f>
        <v>0</v>
      </c>
      <c r="W561" s="9" t="n">
        <f aca="false">IF(OR(H561&lt;1,H561&gt;10),1,0)</f>
        <v>0</v>
      </c>
      <c r="X561" s="9" t="n">
        <f aca="false">IF(OR(I561&lt;=0,I561&gt;1500),1,0)</f>
        <v>0</v>
      </c>
      <c r="Y561" s="9" t="n">
        <f aca="false">IF(J561&gt;H561*I561,1,0)</f>
        <v>0</v>
      </c>
      <c r="Z561" s="9" t="n">
        <f aca="false">IF(AND(N561&lt;&gt;"",OR(N561&lt;1,N561&gt;5)),1,0)</f>
        <v>0</v>
      </c>
      <c r="AA561" s="9" t="n">
        <f aca="false">IF(AND(M561&lt;&gt;"",OR(M561&lt;5,M561&gt;180)),1,0)</f>
        <v>0</v>
      </c>
      <c r="AB561" s="7" t="str">
        <f aca="false">IF(P561="DUP","Exact duplicate row",IF(T561=1,"Missing Order ID",IF(S561="DROP","Duplicate Order ID (less complete row)",IF(U561=1,"Missing Customer ID",IF(V561=1,"Missing Restaurant name",IF(W561=1,"Invalid/outlier quantity",IF(X561=1,"Invalid/outlier unit price",IF(Y561=1,"Discount greater than order value",""))))))))</f>
        <v/>
      </c>
      <c r="AC561" s="7" t="str">
        <f aca="false">IF(AB561="","KEEP","DROP")</f>
        <v>KEEP</v>
      </c>
      <c r="AD561" s="7" t="str">
        <f aca="false">IF(TRIM(F561)="",IFERROR(INDEX(Map_Tables!$I$4:$I$37,MATCH(TRIM(E561),Map_Tables!$G$4:$G$37,0)),""),IFERROR(INDEX(Map_Tables!$B$4:$B$18,MATCH(TRIM(F561),Map_Tables!$A$4:$A$18,0)),"CHECK"))</f>
        <v>Delhi</v>
      </c>
      <c r="AE561" s="7" t="str">
        <f aca="false">IF(TRIM(E561)="","",IFERROR(INDEX(Map_Tables!$H$4:$H$37,MATCH(TRIM(E561),Map_Tables!$G$4:$G$37,0)),"CHECK"))</f>
        <v>Chaat Corner</v>
      </c>
      <c r="AF561" s="7" t="str">
        <f aca="false">IF(TRIM(K561)="","Unknown",IFERROR(INDEX(Map_Tables!$E$4:$E$15,MATCH(TRIM(K561),Map_Tables!$D$4:$D$15,0)),"CHECK"))</f>
        <v>Net Banking</v>
      </c>
      <c r="AG561" s="7" t="str">
        <f aca="false">IF(LEFT(LOWER(TRIM(L561)),6)="cancel","Cancelled","Delivered")</f>
        <v>Delivered</v>
      </c>
      <c r="AH561" s="10" t="n">
        <f aca="false">IF(ISNUMBER(SEARCH("/",B561)),DATE(VALUE(RIGHT(B561,4)),VALUE(MID(B561,4,2)),VALUE(LEFT(B561,2))),IF(MID(B561,5,1)="-",DATE(VALUE(LEFT(B561,4)),VALUE(MID(B561,6,2)),VALUE(RIGHT(B561,2))),DATE(VALUE(RIGHT(B561,4)),MATCH(MID(B561,4,3),{"Jan","Feb","Mar","Apr","May","Jun","Jul","Aug","Sep","Oct","Nov","Dec"},0),VALUE(LEFT(B561,2)))))</f>
        <v>45996</v>
      </c>
    </row>
    <row r="562" customFormat="false" ht="15" hidden="false" customHeight="false" outlineLevel="0" collapsed="false">
      <c r="A562" s="7" t="s">
        <v>2031</v>
      </c>
      <c r="B562" s="7" t="s">
        <v>2032</v>
      </c>
      <c r="C562" s="7" t="s">
        <v>2033</v>
      </c>
      <c r="D562" s="7" t="s">
        <v>2034</v>
      </c>
      <c r="E562" s="7" t="s">
        <v>134</v>
      </c>
      <c r="F562" s="7" t="s">
        <v>110</v>
      </c>
      <c r="G562" s="7" t="s">
        <v>844</v>
      </c>
      <c r="H562" s="7" t="n">
        <v>5</v>
      </c>
      <c r="I562" s="7" t="n">
        <v>115</v>
      </c>
      <c r="J562" s="7" t="n">
        <v>0</v>
      </c>
      <c r="K562" s="7" t="s">
        <v>121</v>
      </c>
      <c r="L562" s="7" t="s">
        <v>194</v>
      </c>
      <c r="M562" s="7" t="n">
        <v>52</v>
      </c>
      <c r="N562" s="7" t="n">
        <v>5</v>
      </c>
      <c r="O562" s="7" t="str">
        <f aca="false">A562&amp;"|"&amp;B562&amp;"|"&amp;C562&amp;"|"&amp;D562&amp;"|"&amp;E562&amp;"|"&amp;F562&amp;"|"&amp;G562&amp;"|"&amp;H562&amp;"|"&amp;I562&amp;"|"&amp;J562&amp;"|"&amp;K562&amp;"|"&amp;L562&amp;"|"&amp;M562&amp;"|"&amp;N562</f>
        <v>ORD12799|2025-12-08|19:02|C1410|Chaat Corner|Delhi|STREET FOOD|5|115|0|Wallet|Delivered|52|5</v>
      </c>
      <c r="P562" s="7" t="str">
        <f aca="false">IF(COUNTIF($O$2:O562,O562)&gt;1,"DUP","OK")</f>
        <v>OK</v>
      </c>
      <c r="Q562" s="7" t="n">
        <f aca="false">COUNTBLANK(A562:N562)</f>
        <v>0</v>
      </c>
      <c r="R562" s="7" t="n">
        <f aca="false">IF(A562="",0,COUNTIFS($A$2:$A$3058,A562,$P$2:$P$3058,"OK"))</f>
        <v>1</v>
      </c>
      <c r="S562" s="7" t="str">
        <f aca="false">IF(OR(A562="",P562="DUP",R562&lt;2),"",IF(Q562=_xlfn.MINIFS($Q$2:$Q$3058,$A$2:$A$3058,A562,$P$2:$P$3058,"OK"),"KEEP","DROP"))</f>
        <v/>
      </c>
      <c r="T562" s="9" t="n">
        <f aca="false">IF(A562="",1,0)</f>
        <v>0</v>
      </c>
      <c r="U562" s="9" t="n">
        <f aca="false">IF(D562="",1,0)</f>
        <v>0</v>
      </c>
      <c r="V562" s="9" t="n">
        <f aca="false">IF(E562="",1,0)</f>
        <v>0</v>
      </c>
      <c r="W562" s="9" t="n">
        <f aca="false">IF(OR(H562&lt;1,H562&gt;10),1,0)</f>
        <v>0</v>
      </c>
      <c r="X562" s="9" t="n">
        <f aca="false">IF(OR(I562&lt;=0,I562&gt;1500),1,0)</f>
        <v>0</v>
      </c>
      <c r="Y562" s="9" t="n">
        <f aca="false">IF(J562&gt;H562*I562,1,0)</f>
        <v>0</v>
      </c>
      <c r="Z562" s="9" t="n">
        <f aca="false">IF(AND(N562&lt;&gt;"",OR(N562&lt;1,N562&gt;5)),1,0)</f>
        <v>0</v>
      </c>
      <c r="AA562" s="9" t="n">
        <f aca="false">IF(AND(M562&lt;&gt;"",OR(M562&lt;5,M562&gt;180)),1,0)</f>
        <v>0</v>
      </c>
      <c r="AB562" s="7" t="str">
        <f aca="false">IF(P562="DUP","Exact duplicate row",IF(T562=1,"Missing Order ID",IF(S562="DROP","Duplicate Order ID (less complete row)",IF(U562=1,"Missing Customer ID",IF(V562=1,"Missing Restaurant name",IF(W562=1,"Invalid/outlier quantity",IF(X562=1,"Invalid/outlier unit price",IF(Y562=1,"Discount greater than order value",""))))))))</f>
        <v/>
      </c>
      <c r="AC562" s="7" t="str">
        <f aca="false">IF(AB562="","KEEP","DROP")</f>
        <v>KEEP</v>
      </c>
      <c r="AD562" s="7" t="str">
        <f aca="false">IF(TRIM(F562)="",IFERROR(INDEX(Map_Tables!$I$4:$I$37,MATCH(TRIM(E562),Map_Tables!$G$4:$G$37,0)),""),IFERROR(INDEX(Map_Tables!$B$4:$B$18,MATCH(TRIM(F562),Map_Tables!$A$4:$A$18,0)),"CHECK"))</f>
        <v>Delhi</v>
      </c>
      <c r="AE562" s="7" t="str">
        <f aca="false">IF(TRIM(E562)="","",IFERROR(INDEX(Map_Tables!$H$4:$H$37,MATCH(TRIM(E562),Map_Tables!$G$4:$G$37,0)),"CHECK"))</f>
        <v>Chaat Corner</v>
      </c>
      <c r="AF562" s="7" t="str">
        <f aca="false">IF(TRIM(K562)="","Unknown",IFERROR(INDEX(Map_Tables!$E$4:$E$15,MATCH(TRIM(K562),Map_Tables!$D$4:$D$15,0)),"CHECK"))</f>
        <v>Wallet</v>
      </c>
      <c r="AG562" s="7" t="str">
        <f aca="false">IF(LEFT(LOWER(TRIM(L562)),6)="cancel","Cancelled","Delivered")</f>
        <v>Delivered</v>
      </c>
      <c r="AH562" s="10" t="n">
        <f aca="false">IF(ISNUMBER(SEARCH("/",B562)),DATE(VALUE(RIGHT(B562,4)),VALUE(MID(B562,4,2)),VALUE(LEFT(B562,2))),IF(MID(B562,5,1)="-",DATE(VALUE(LEFT(B562,4)),VALUE(MID(B562,6,2)),VALUE(RIGHT(B562,2))),DATE(VALUE(RIGHT(B562,4)),MATCH(MID(B562,4,3),{"Jan","Feb","Mar","Apr","May","Jun","Jul","Aug","Sep","Oct","Nov","Dec"},0),VALUE(LEFT(B562,2)))))</f>
        <v>45999</v>
      </c>
    </row>
    <row r="563" customFormat="false" ht="15" hidden="false" customHeight="false" outlineLevel="0" collapsed="false">
      <c r="A563" s="7" t="s">
        <v>2035</v>
      </c>
      <c r="B563" s="7" t="s">
        <v>1714</v>
      </c>
      <c r="C563" s="7" t="s">
        <v>788</v>
      </c>
      <c r="D563" s="7" t="s">
        <v>2036</v>
      </c>
      <c r="E563" s="7" t="s">
        <v>148</v>
      </c>
      <c r="F563" s="7" t="s">
        <v>119</v>
      </c>
      <c r="G563" s="7" t="s">
        <v>123</v>
      </c>
      <c r="H563" s="7" t="n">
        <v>1</v>
      </c>
      <c r="I563" s="7" t="n">
        <v>335</v>
      </c>
      <c r="J563" s="7" t="n">
        <v>0</v>
      </c>
      <c r="K563" s="7" t="s">
        <v>971</v>
      </c>
      <c r="L563" s="7" t="s">
        <v>194</v>
      </c>
      <c r="M563" s="7" t="n">
        <v>37</v>
      </c>
      <c r="N563" s="7" t="n">
        <v>4</v>
      </c>
      <c r="O563" s="7" t="str">
        <f aca="false">A563&amp;"|"&amp;B563&amp;"|"&amp;C563&amp;"|"&amp;D563&amp;"|"&amp;E563&amp;"|"&amp;F563&amp;"|"&amp;G563&amp;"|"&amp;H563&amp;"|"&amp;I563&amp;"|"&amp;J563&amp;"|"&amp;K563&amp;"|"&amp;L563&amp;"|"&amp;M563&amp;"|"&amp;N563</f>
        <v>ORD10064|2025-01-09|19:35|C0829|Pizza Palace|Hyderabad|Pizza|1|335|0|Paytm Wallet|Delivered|37|4</v>
      </c>
      <c r="P563" s="7" t="str">
        <f aca="false">IF(COUNTIF($O$2:O563,O563)&gt;1,"DUP","OK")</f>
        <v>OK</v>
      </c>
      <c r="Q563" s="7" t="n">
        <f aca="false">COUNTBLANK(A563:N563)</f>
        <v>0</v>
      </c>
      <c r="R563" s="7" t="n">
        <f aca="false">IF(A563="",0,COUNTIFS($A$2:$A$3058,A563,$P$2:$P$3058,"OK"))</f>
        <v>1</v>
      </c>
      <c r="S563" s="7" t="str">
        <f aca="false">IF(OR(A563="",P563="DUP",R563&lt;2),"",IF(Q563=_xlfn.MINIFS($Q$2:$Q$3058,$A$2:$A$3058,A563,$P$2:$P$3058,"OK"),"KEEP","DROP"))</f>
        <v/>
      </c>
      <c r="T563" s="9" t="n">
        <f aca="false">IF(A563="",1,0)</f>
        <v>0</v>
      </c>
      <c r="U563" s="9" t="n">
        <f aca="false">IF(D563="",1,0)</f>
        <v>0</v>
      </c>
      <c r="V563" s="9" t="n">
        <f aca="false">IF(E563="",1,0)</f>
        <v>0</v>
      </c>
      <c r="W563" s="9" t="n">
        <f aca="false">IF(OR(H563&lt;1,H563&gt;10),1,0)</f>
        <v>0</v>
      </c>
      <c r="X563" s="9" t="n">
        <f aca="false">IF(OR(I563&lt;=0,I563&gt;1500),1,0)</f>
        <v>0</v>
      </c>
      <c r="Y563" s="9" t="n">
        <f aca="false">IF(J563&gt;H563*I563,1,0)</f>
        <v>0</v>
      </c>
      <c r="Z563" s="9" t="n">
        <f aca="false">IF(AND(N563&lt;&gt;"",OR(N563&lt;1,N563&gt;5)),1,0)</f>
        <v>0</v>
      </c>
      <c r="AA563" s="9" t="n">
        <f aca="false">IF(AND(M563&lt;&gt;"",OR(M563&lt;5,M563&gt;180)),1,0)</f>
        <v>0</v>
      </c>
      <c r="AB563" s="7" t="str">
        <f aca="false">IF(P563="DUP","Exact duplicate row",IF(T563=1,"Missing Order ID",IF(S563="DROP","Duplicate Order ID (less complete row)",IF(U563=1,"Missing Customer ID",IF(V563=1,"Missing Restaurant name",IF(W563=1,"Invalid/outlier quantity",IF(X563=1,"Invalid/outlier unit price",IF(Y563=1,"Discount greater than order value",""))))))))</f>
        <v/>
      </c>
      <c r="AC563" s="7" t="str">
        <f aca="false">IF(AB563="","KEEP","DROP")</f>
        <v>KEEP</v>
      </c>
      <c r="AD563" s="7" t="str">
        <f aca="false">IF(TRIM(F563)="",IFERROR(INDEX(Map_Tables!$I$4:$I$37,MATCH(TRIM(E563),Map_Tables!$G$4:$G$37,0)),""),IFERROR(INDEX(Map_Tables!$B$4:$B$18,MATCH(TRIM(F563),Map_Tables!$A$4:$A$18,0)),"CHECK"))</f>
        <v>Hyderabad</v>
      </c>
      <c r="AE563" s="7" t="str">
        <f aca="false">IF(TRIM(E563)="","",IFERROR(INDEX(Map_Tables!$H$4:$H$37,MATCH(TRIM(E563),Map_Tables!$G$4:$G$37,0)),"CHECK"))</f>
        <v>Pizza Palace</v>
      </c>
      <c r="AF563" s="7" t="str">
        <f aca="false">IF(TRIM(K563)="","Unknown",IFERROR(INDEX(Map_Tables!$E$4:$E$15,MATCH(TRIM(K563),Map_Tables!$D$4:$D$15,0)),"CHECK"))</f>
        <v>Wallet</v>
      </c>
      <c r="AG563" s="7" t="str">
        <f aca="false">IF(LEFT(LOWER(TRIM(L563)),6)="cancel","Cancelled","Delivered")</f>
        <v>Delivered</v>
      </c>
      <c r="AH563" s="10" t="n">
        <f aca="false">IF(ISNUMBER(SEARCH("/",B563)),DATE(VALUE(RIGHT(B563,4)),VALUE(MID(B563,4,2)),VALUE(LEFT(B563,2))),IF(MID(B563,5,1)="-",DATE(VALUE(LEFT(B563,4)),VALUE(MID(B563,6,2)),VALUE(RIGHT(B563,2))),DATE(VALUE(RIGHT(B563,4)),MATCH(MID(B563,4,3),{"Jan","Feb","Mar","Apr","May","Jun","Jul","Aug","Sep","Oct","Nov","Dec"},0),VALUE(LEFT(B563,2)))))</f>
        <v>45666</v>
      </c>
    </row>
    <row r="564" customFormat="false" ht="15" hidden="false" customHeight="false" outlineLevel="0" collapsed="false">
      <c r="A564" s="7" t="s">
        <v>2037</v>
      </c>
      <c r="B564" s="7" t="s">
        <v>1368</v>
      </c>
      <c r="C564" s="7" t="s">
        <v>2038</v>
      </c>
      <c r="D564" s="7" t="s">
        <v>2039</v>
      </c>
      <c r="E564" s="7" t="s">
        <v>89</v>
      </c>
      <c r="F564" s="7" t="s">
        <v>928</v>
      </c>
      <c r="G564" s="7" t="s">
        <v>90</v>
      </c>
      <c r="H564" s="7" t="n">
        <v>1</v>
      </c>
      <c r="I564" s="7" t="n">
        <v>205</v>
      </c>
      <c r="J564" s="7" t="n">
        <v>82</v>
      </c>
      <c r="K564" s="7" t="s">
        <v>88</v>
      </c>
      <c r="L564" s="7" t="s">
        <v>194</v>
      </c>
      <c r="M564" s="7" t="n">
        <v>45</v>
      </c>
      <c r="N564" s="7" t="n">
        <v>3</v>
      </c>
      <c r="O564" s="7" t="str">
        <f aca="false">A564&amp;"|"&amp;B564&amp;"|"&amp;C564&amp;"|"&amp;D564&amp;"|"&amp;E564&amp;"|"&amp;F564&amp;"|"&amp;G564&amp;"|"&amp;H564&amp;"|"&amp;I564&amp;"|"&amp;J564&amp;"|"&amp;K564&amp;"|"&amp;L564&amp;"|"&amp;M564&amp;"|"&amp;N564</f>
        <v>ORD11698|2025-08-11|13:00|C0307|Spice Junction|Bangalore|North Indian|1|205|82|UPI|Delivered|45|3</v>
      </c>
      <c r="P564" s="7" t="str">
        <f aca="false">IF(COUNTIF($O$2:O564,O564)&gt;1,"DUP","OK")</f>
        <v>OK</v>
      </c>
      <c r="Q564" s="7" t="n">
        <f aca="false">COUNTBLANK(A564:N564)</f>
        <v>0</v>
      </c>
      <c r="R564" s="7" t="n">
        <f aca="false">IF(A564="",0,COUNTIFS($A$2:$A$3058,A564,$P$2:$P$3058,"OK"))</f>
        <v>1</v>
      </c>
      <c r="S564" s="7" t="str">
        <f aca="false">IF(OR(A564="",P564="DUP",R564&lt;2),"",IF(Q564=_xlfn.MINIFS($Q$2:$Q$3058,$A$2:$A$3058,A564,$P$2:$P$3058,"OK"),"KEEP","DROP"))</f>
        <v/>
      </c>
      <c r="T564" s="9" t="n">
        <f aca="false">IF(A564="",1,0)</f>
        <v>0</v>
      </c>
      <c r="U564" s="9" t="n">
        <f aca="false">IF(D564="",1,0)</f>
        <v>0</v>
      </c>
      <c r="V564" s="9" t="n">
        <f aca="false">IF(E564="",1,0)</f>
        <v>0</v>
      </c>
      <c r="W564" s="9" t="n">
        <f aca="false">IF(OR(H564&lt;1,H564&gt;10),1,0)</f>
        <v>0</v>
      </c>
      <c r="X564" s="9" t="n">
        <f aca="false">IF(OR(I564&lt;=0,I564&gt;1500),1,0)</f>
        <v>0</v>
      </c>
      <c r="Y564" s="9" t="n">
        <f aca="false">IF(J564&gt;H564*I564,1,0)</f>
        <v>0</v>
      </c>
      <c r="Z564" s="9" t="n">
        <f aca="false">IF(AND(N564&lt;&gt;"",OR(N564&lt;1,N564&gt;5)),1,0)</f>
        <v>0</v>
      </c>
      <c r="AA564" s="9" t="n">
        <f aca="false">IF(AND(M564&lt;&gt;"",OR(M564&lt;5,M564&gt;180)),1,0)</f>
        <v>0</v>
      </c>
      <c r="AB564" s="7" t="str">
        <f aca="false">IF(P564="DUP","Exact duplicate row",IF(T564=1,"Missing Order ID",IF(S564="DROP","Duplicate Order ID (less complete row)",IF(U564=1,"Missing Customer ID",IF(V564=1,"Missing Restaurant name",IF(W564=1,"Invalid/outlier quantity",IF(X564=1,"Invalid/outlier unit price",IF(Y564=1,"Discount greater than order value",""))))))))</f>
        <v/>
      </c>
      <c r="AC564" s="7" t="str">
        <f aca="false">IF(AB564="","KEEP","DROP")</f>
        <v>KEEP</v>
      </c>
      <c r="AD564" s="7" t="str">
        <f aca="false">IF(TRIM(F564)="",IFERROR(INDEX(Map_Tables!$I$4:$I$37,MATCH(TRIM(E564),Map_Tables!$G$4:$G$37,0)),""),IFERROR(INDEX(Map_Tables!$B$4:$B$18,MATCH(TRIM(F564),Map_Tables!$A$4:$A$18,0)),"CHECK"))</f>
        <v>Bengaluru</v>
      </c>
      <c r="AE564" s="7" t="str">
        <f aca="false">IF(TRIM(E564)="","",IFERROR(INDEX(Map_Tables!$H$4:$H$37,MATCH(TRIM(E564),Map_Tables!$G$4:$G$37,0)),"CHECK"))</f>
        <v>Spice Junction</v>
      </c>
      <c r="AF564" s="7" t="str">
        <f aca="false">IF(TRIM(K564)="","Unknown",IFERROR(INDEX(Map_Tables!$E$4:$E$15,MATCH(TRIM(K564),Map_Tables!$D$4:$D$15,0)),"CHECK"))</f>
        <v>UPI</v>
      </c>
      <c r="AG564" s="7" t="str">
        <f aca="false">IF(LEFT(LOWER(TRIM(L564)),6)="cancel","Cancelled","Delivered")</f>
        <v>Delivered</v>
      </c>
      <c r="AH564" s="10" t="n">
        <f aca="false">IF(ISNUMBER(SEARCH("/",B564)),DATE(VALUE(RIGHT(B564,4)),VALUE(MID(B564,4,2)),VALUE(LEFT(B564,2))),IF(MID(B564,5,1)="-",DATE(VALUE(LEFT(B564,4)),VALUE(MID(B564,6,2)),VALUE(RIGHT(B564,2))),DATE(VALUE(RIGHT(B564,4)),MATCH(MID(B564,4,3),{"Jan","Feb","Mar","Apr","May","Jun","Jul","Aug","Sep","Oct","Nov","Dec"},0),VALUE(LEFT(B564,2)))))</f>
        <v>45880</v>
      </c>
    </row>
    <row r="565" customFormat="false" ht="15" hidden="false" customHeight="false" outlineLevel="0" collapsed="false">
      <c r="A565" s="7" t="s">
        <v>2040</v>
      </c>
      <c r="B565" s="7" t="s">
        <v>2041</v>
      </c>
      <c r="C565" s="7" t="s">
        <v>2042</v>
      </c>
      <c r="D565" s="7" t="s">
        <v>2043</v>
      </c>
      <c r="E565" s="7" t="s">
        <v>94</v>
      </c>
      <c r="F565" s="7" t="s">
        <v>86</v>
      </c>
      <c r="G565" s="7" t="s">
        <v>95</v>
      </c>
      <c r="H565" s="7" t="n">
        <v>2</v>
      </c>
      <c r="I565" s="7" t="n">
        <v>115</v>
      </c>
      <c r="J565" s="7" t="n">
        <v>0</v>
      </c>
      <c r="K565" s="7" t="s">
        <v>93</v>
      </c>
      <c r="L565" s="7" t="s">
        <v>194</v>
      </c>
      <c r="M565" s="7" t="n">
        <v>40</v>
      </c>
      <c r="N565" s="7" t="n">
        <v>4</v>
      </c>
      <c r="O565" s="7" t="str">
        <f aca="false">A565&amp;"|"&amp;B565&amp;"|"&amp;C565&amp;"|"&amp;D565&amp;"|"&amp;E565&amp;"|"&amp;F565&amp;"|"&amp;G565&amp;"|"&amp;H565&amp;"|"&amp;I565&amp;"|"&amp;J565&amp;"|"&amp;K565&amp;"|"&amp;L565&amp;"|"&amp;M565&amp;"|"&amp;N565</f>
        <v>ORD11756|2025-08-18|17:22|C0605|Dosa Darbar|Bengaluru|South Indian|2|115|0|Credit Card|Delivered|40|4</v>
      </c>
      <c r="P565" s="7" t="str">
        <f aca="false">IF(COUNTIF($O$2:O565,O565)&gt;1,"DUP","OK")</f>
        <v>OK</v>
      </c>
      <c r="Q565" s="7" t="n">
        <f aca="false">COUNTBLANK(A565:N565)</f>
        <v>0</v>
      </c>
      <c r="R565" s="7" t="n">
        <f aca="false">IF(A565="",0,COUNTIFS($A$2:$A$3058,A565,$P$2:$P$3058,"OK"))</f>
        <v>1</v>
      </c>
      <c r="S565" s="7" t="str">
        <f aca="false">IF(OR(A565="",P565="DUP",R565&lt;2),"",IF(Q565=_xlfn.MINIFS($Q$2:$Q$3058,$A$2:$A$3058,A565,$P$2:$P$3058,"OK"),"KEEP","DROP"))</f>
        <v/>
      </c>
      <c r="T565" s="9" t="n">
        <f aca="false">IF(A565="",1,0)</f>
        <v>0</v>
      </c>
      <c r="U565" s="9" t="n">
        <f aca="false">IF(D565="",1,0)</f>
        <v>0</v>
      </c>
      <c r="V565" s="9" t="n">
        <f aca="false">IF(E565="",1,0)</f>
        <v>0</v>
      </c>
      <c r="W565" s="9" t="n">
        <f aca="false">IF(OR(H565&lt;1,H565&gt;10),1,0)</f>
        <v>0</v>
      </c>
      <c r="X565" s="9" t="n">
        <f aca="false">IF(OR(I565&lt;=0,I565&gt;1500),1,0)</f>
        <v>0</v>
      </c>
      <c r="Y565" s="9" t="n">
        <f aca="false">IF(J565&gt;H565*I565,1,0)</f>
        <v>0</v>
      </c>
      <c r="Z565" s="9" t="n">
        <f aca="false">IF(AND(N565&lt;&gt;"",OR(N565&lt;1,N565&gt;5)),1,0)</f>
        <v>0</v>
      </c>
      <c r="AA565" s="9" t="n">
        <f aca="false">IF(AND(M565&lt;&gt;"",OR(M565&lt;5,M565&gt;180)),1,0)</f>
        <v>0</v>
      </c>
      <c r="AB565" s="7" t="str">
        <f aca="false">IF(P565="DUP","Exact duplicate row",IF(T565=1,"Missing Order ID",IF(S565="DROP","Duplicate Order ID (less complete row)",IF(U565=1,"Missing Customer ID",IF(V565=1,"Missing Restaurant name",IF(W565=1,"Invalid/outlier quantity",IF(X565=1,"Invalid/outlier unit price",IF(Y565=1,"Discount greater than order value",""))))))))</f>
        <v/>
      </c>
      <c r="AC565" s="7" t="str">
        <f aca="false">IF(AB565="","KEEP","DROP")</f>
        <v>KEEP</v>
      </c>
      <c r="AD565" s="7" t="str">
        <f aca="false">IF(TRIM(F565)="",IFERROR(INDEX(Map_Tables!$I$4:$I$37,MATCH(TRIM(E565),Map_Tables!$G$4:$G$37,0)),""),IFERROR(INDEX(Map_Tables!$B$4:$B$18,MATCH(TRIM(F565),Map_Tables!$A$4:$A$18,0)),"CHECK"))</f>
        <v>Bengaluru</v>
      </c>
      <c r="AE565" s="7" t="str">
        <f aca="false">IF(TRIM(E565)="","",IFERROR(INDEX(Map_Tables!$H$4:$H$37,MATCH(TRIM(E565),Map_Tables!$G$4:$G$37,0)),"CHECK"))</f>
        <v>Dosa Darbar</v>
      </c>
      <c r="AF565" s="7" t="str">
        <f aca="false">IF(TRIM(K565)="","Unknown",IFERROR(INDEX(Map_Tables!$E$4:$E$15,MATCH(TRIM(K565),Map_Tables!$D$4:$D$15,0)),"CHECK"))</f>
        <v>Credit Card</v>
      </c>
      <c r="AG565" s="7" t="str">
        <f aca="false">IF(LEFT(LOWER(TRIM(L565)),6)="cancel","Cancelled","Delivered")</f>
        <v>Delivered</v>
      </c>
      <c r="AH565" s="10" t="n">
        <f aca="false">IF(ISNUMBER(SEARCH("/",B565)),DATE(VALUE(RIGHT(B565,4)),VALUE(MID(B565,4,2)),VALUE(LEFT(B565,2))),IF(MID(B565,5,1)="-",DATE(VALUE(LEFT(B565,4)),VALUE(MID(B565,6,2)),VALUE(RIGHT(B565,2))),DATE(VALUE(RIGHT(B565,4)),MATCH(MID(B565,4,3),{"Jan","Feb","Mar","Apr","May","Jun","Jul","Aug","Sep","Oct","Nov","Dec"},0),VALUE(LEFT(B565,2)))))</f>
        <v>45887</v>
      </c>
    </row>
    <row r="566" customFormat="false" ht="15" hidden="false" customHeight="false" outlineLevel="0" collapsed="false">
      <c r="A566" s="7" t="s">
        <v>2044</v>
      </c>
      <c r="B566" s="7" t="s">
        <v>2045</v>
      </c>
      <c r="C566" s="7" t="s">
        <v>1140</v>
      </c>
      <c r="D566" s="7" t="s">
        <v>2046</v>
      </c>
      <c r="E566" s="7" t="s">
        <v>1319</v>
      </c>
      <c r="F566" s="7" t="s">
        <v>86</v>
      </c>
      <c r="G566" s="7" t="s">
        <v>95</v>
      </c>
      <c r="H566" s="7" t="n">
        <v>2</v>
      </c>
      <c r="I566" s="7" t="n">
        <v>120</v>
      </c>
      <c r="J566" s="7" t="n">
        <v>0</v>
      </c>
      <c r="K566" s="7" t="s">
        <v>93</v>
      </c>
      <c r="L566" s="7" t="s">
        <v>194</v>
      </c>
      <c r="M566" s="7" t="n">
        <v>39</v>
      </c>
      <c r="N566" s="7" t="n">
        <v>2</v>
      </c>
      <c r="O566" s="7" t="str">
        <f aca="false">A566&amp;"|"&amp;B566&amp;"|"&amp;C566&amp;"|"&amp;D566&amp;"|"&amp;E566&amp;"|"&amp;F566&amp;"|"&amp;G566&amp;"|"&amp;H566&amp;"|"&amp;I566&amp;"|"&amp;J566&amp;"|"&amp;K566&amp;"|"&amp;L566&amp;"|"&amp;M566&amp;"|"&amp;N566</f>
        <v>ORD12066|2025-09-24|11:04|C1449|DOSA DARBAR|Bengaluru|South Indian|2|120|0|Credit Card|Delivered|39|2</v>
      </c>
      <c r="P566" s="7" t="str">
        <f aca="false">IF(COUNTIF($O$2:O566,O566)&gt;1,"DUP","OK")</f>
        <v>OK</v>
      </c>
      <c r="Q566" s="7" t="n">
        <f aca="false">COUNTBLANK(A566:N566)</f>
        <v>0</v>
      </c>
      <c r="R566" s="7" t="n">
        <f aca="false">IF(A566="",0,COUNTIFS($A$2:$A$3058,A566,$P$2:$P$3058,"OK"))</f>
        <v>1</v>
      </c>
      <c r="S566" s="7" t="str">
        <f aca="false">IF(OR(A566="",P566="DUP",R566&lt;2),"",IF(Q566=_xlfn.MINIFS($Q$2:$Q$3058,$A$2:$A$3058,A566,$P$2:$P$3058,"OK"),"KEEP","DROP"))</f>
        <v/>
      </c>
      <c r="T566" s="9" t="n">
        <f aca="false">IF(A566="",1,0)</f>
        <v>0</v>
      </c>
      <c r="U566" s="9" t="n">
        <f aca="false">IF(D566="",1,0)</f>
        <v>0</v>
      </c>
      <c r="V566" s="9" t="n">
        <f aca="false">IF(E566="",1,0)</f>
        <v>0</v>
      </c>
      <c r="W566" s="9" t="n">
        <f aca="false">IF(OR(H566&lt;1,H566&gt;10),1,0)</f>
        <v>0</v>
      </c>
      <c r="X566" s="9" t="n">
        <f aca="false">IF(OR(I566&lt;=0,I566&gt;1500),1,0)</f>
        <v>0</v>
      </c>
      <c r="Y566" s="9" t="n">
        <f aca="false">IF(J566&gt;H566*I566,1,0)</f>
        <v>0</v>
      </c>
      <c r="Z566" s="9" t="n">
        <f aca="false">IF(AND(N566&lt;&gt;"",OR(N566&lt;1,N566&gt;5)),1,0)</f>
        <v>0</v>
      </c>
      <c r="AA566" s="9" t="n">
        <f aca="false">IF(AND(M566&lt;&gt;"",OR(M566&lt;5,M566&gt;180)),1,0)</f>
        <v>0</v>
      </c>
      <c r="AB566" s="7" t="str">
        <f aca="false">IF(P566="DUP","Exact duplicate row",IF(T566=1,"Missing Order ID",IF(S566="DROP","Duplicate Order ID (less complete row)",IF(U566=1,"Missing Customer ID",IF(V566=1,"Missing Restaurant name",IF(W566=1,"Invalid/outlier quantity",IF(X566=1,"Invalid/outlier unit price",IF(Y566=1,"Discount greater than order value",""))))))))</f>
        <v/>
      </c>
      <c r="AC566" s="7" t="str">
        <f aca="false">IF(AB566="","KEEP","DROP")</f>
        <v>KEEP</v>
      </c>
      <c r="AD566" s="7" t="str">
        <f aca="false">IF(TRIM(F566)="",IFERROR(INDEX(Map_Tables!$I$4:$I$37,MATCH(TRIM(E566),Map_Tables!$G$4:$G$37,0)),""),IFERROR(INDEX(Map_Tables!$B$4:$B$18,MATCH(TRIM(F566),Map_Tables!$A$4:$A$18,0)),"CHECK"))</f>
        <v>Bengaluru</v>
      </c>
      <c r="AE566" s="7" t="str">
        <f aca="false">IF(TRIM(E566)="","",IFERROR(INDEX(Map_Tables!$H$4:$H$37,MATCH(TRIM(E566),Map_Tables!$G$4:$G$37,0)),"CHECK"))</f>
        <v>Dosa Darbar</v>
      </c>
      <c r="AF566" s="7" t="str">
        <f aca="false">IF(TRIM(K566)="","Unknown",IFERROR(INDEX(Map_Tables!$E$4:$E$15,MATCH(TRIM(K566),Map_Tables!$D$4:$D$15,0)),"CHECK"))</f>
        <v>Credit Card</v>
      </c>
      <c r="AG566" s="7" t="str">
        <f aca="false">IF(LEFT(LOWER(TRIM(L566)),6)="cancel","Cancelled","Delivered")</f>
        <v>Delivered</v>
      </c>
      <c r="AH566" s="10" t="n">
        <f aca="false">IF(ISNUMBER(SEARCH("/",B566)),DATE(VALUE(RIGHT(B566,4)),VALUE(MID(B566,4,2)),VALUE(LEFT(B566,2))),IF(MID(B566,5,1)="-",DATE(VALUE(LEFT(B566,4)),VALUE(MID(B566,6,2)),VALUE(RIGHT(B566,2))),DATE(VALUE(RIGHT(B566,4)),MATCH(MID(B566,4,3),{"Jan","Feb","Mar","Apr","May","Jun","Jul","Aug","Sep","Oct","Nov","Dec"},0),VALUE(LEFT(B566,2)))))</f>
        <v>45924</v>
      </c>
    </row>
    <row r="567" customFormat="false" ht="15" hidden="false" customHeight="false" outlineLevel="0" collapsed="false">
      <c r="A567" s="7" t="s">
        <v>2047</v>
      </c>
      <c r="B567" s="7" t="s">
        <v>671</v>
      </c>
      <c r="C567" s="7" t="s">
        <v>2048</v>
      </c>
      <c r="D567" s="7" t="s">
        <v>1934</v>
      </c>
      <c r="E567" s="7" t="s">
        <v>159</v>
      </c>
      <c r="F567" s="7" t="s">
        <v>135</v>
      </c>
      <c r="G567" s="7" t="s">
        <v>90</v>
      </c>
      <c r="H567" s="7" t="n">
        <v>1</v>
      </c>
      <c r="I567" s="7" t="n">
        <v>255</v>
      </c>
      <c r="J567" s="7" t="n">
        <v>0</v>
      </c>
      <c r="K567" s="7" t="s">
        <v>112</v>
      </c>
      <c r="L567" s="7" t="s">
        <v>194</v>
      </c>
      <c r="M567" s="7" t="n">
        <v>35</v>
      </c>
      <c r="N567" s="7" t="n">
        <v>4</v>
      </c>
      <c r="O567" s="7" t="str">
        <f aca="false">A567&amp;"|"&amp;B567&amp;"|"&amp;C567&amp;"|"&amp;D567&amp;"|"&amp;E567&amp;"|"&amp;F567&amp;"|"&amp;G567&amp;"|"&amp;H567&amp;"|"&amp;I567&amp;"|"&amp;J567&amp;"|"&amp;K567&amp;"|"&amp;L567&amp;"|"&amp;M567&amp;"|"&amp;N567</f>
        <v>ORD12554|2025-11-14|12:58|C0041|Maratha Thali House|pune|North Indian|1|255|0|Cash on Delivery|Delivered|35|4</v>
      </c>
      <c r="P567" s="7" t="str">
        <f aca="false">IF(COUNTIF($O$2:O567,O567)&gt;1,"DUP","OK")</f>
        <v>OK</v>
      </c>
      <c r="Q567" s="7" t="n">
        <f aca="false">COUNTBLANK(A567:N567)</f>
        <v>0</v>
      </c>
      <c r="R567" s="7" t="n">
        <f aca="false">IF(A567="",0,COUNTIFS($A$2:$A$3058,A567,$P$2:$P$3058,"OK"))</f>
        <v>1</v>
      </c>
      <c r="S567" s="7" t="str">
        <f aca="false">IF(OR(A567="",P567="DUP",R567&lt;2),"",IF(Q567=_xlfn.MINIFS($Q$2:$Q$3058,$A$2:$A$3058,A567,$P$2:$P$3058,"OK"),"KEEP","DROP"))</f>
        <v/>
      </c>
      <c r="T567" s="9" t="n">
        <f aca="false">IF(A567="",1,0)</f>
        <v>0</v>
      </c>
      <c r="U567" s="9" t="n">
        <f aca="false">IF(D567="",1,0)</f>
        <v>0</v>
      </c>
      <c r="V567" s="9" t="n">
        <f aca="false">IF(E567="",1,0)</f>
        <v>0</v>
      </c>
      <c r="W567" s="9" t="n">
        <f aca="false">IF(OR(H567&lt;1,H567&gt;10),1,0)</f>
        <v>0</v>
      </c>
      <c r="X567" s="9" t="n">
        <f aca="false">IF(OR(I567&lt;=0,I567&gt;1500),1,0)</f>
        <v>0</v>
      </c>
      <c r="Y567" s="9" t="n">
        <f aca="false">IF(J567&gt;H567*I567,1,0)</f>
        <v>0</v>
      </c>
      <c r="Z567" s="9" t="n">
        <f aca="false">IF(AND(N567&lt;&gt;"",OR(N567&lt;1,N567&gt;5)),1,0)</f>
        <v>0</v>
      </c>
      <c r="AA567" s="9" t="n">
        <f aca="false">IF(AND(M567&lt;&gt;"",OR(M567&lt;5,M567&gt;180)),1,0)</f>
        <v>0</v>
      </c>
      <c r="AB567" s="7" t="str">
        <f aca="false">IF(P567="DUP","Exact duplicate row",IF(T567=1,"Missing Order ID",IF(S567="DROP","Duplicate Order ID (less complete row)",IF(U567=1,"Missing Customer ID",IF(V567=1,"Missing Restaurant name",IF(W567=1,"Invalid/outlier quantity",IF(X567=1,"Invalid/outlier unit price",IF(Y567=1,"Discount greater than order value",""))))))))</f>
        <v/>
      </c>
      <c r="AC567" s="7" t="str">
        <f aca="false">IF(AB567="","KEEP","DROP")</f>
        <v>KEEP</v>
      </c>
      <c r="AD567" s="7" t="str">
        <f aca="false">IF(TRIM(F567)="",IFERROR(INDEX(Map_Tables!$I$4:$I$37,MATCH(TRIM(E567),Map_Tables!$G$4:$G$37,0)),""),IFERROR(INDEX(Map_Tables!$B$4:$B$18,MATCH(TRIM(F567),Map_Tables!$A$4:$A$18,0)),"CHECK"))</f>
        <v>Pune</v>
      </c>
      <c r="AE567" s="7" t="str">
        <f aca="false">IF(TRIM(E567)="","",IFERROR(INDEX(Map_Tables!$H$4:$H$37,MATCH(TRIM(E567),Map_Tables!$G$4:$G$37,0)),"CHECK"))</f>
        <v>Maratha Thali House</v>
      </c>
      <c r="AF567" s="7" t="str">
        <f aca="false">IF(TRIM(K567)="","Unknown",IFERROR(INDEX(Map_Tables!$E$4:$E$15,MATCH(TRIM(K567),Map_Tables!$D$4:$D$15,0)),"CHECK"))</f>
        <v>Cash on Delivery</v>
      </c>
      <c r="AG567" s="7" t="str">
        <f aca="false">IF(LEFT(LOWER(TRIM(L567)),6)="cancel","Cancelled","Delivered")</f>
        <v>Delivered</v>
      </c>
      <c r="AH567" s="10" t="n">
        <f aca="false">IF(ISNUMBER(SEARCH("/",B567)),DATE(VALUE(RIGHT(B567,4)),VALUE(MID(B567,4,2)),VALUE(LEFT(B567,2))),IF(MID(B567,5,1)="-",DATE(VALUE(LEFT(B567,4)),VALUE(MID(B567,6,2)),VALUE(RIGHT(B567,2))),DATE(VALUE(RIGHT(B567,4)),MATCH(MID(B567,4,3),{"Jan","Feb","Mar","Apr","May","Jun","Jul","Aug","Sep","Oct","Nov","Dec"},0),VALUE(LEFT(B567,2)))))</f>
        <v>45975</v>
      </c>
    </row>
    <row r="568" customFormat="false" ht="15" hidden="false" customHeight="false" outlineLevel="0" collapsed="false">
      <c r="A568" s="7" t="s">
        <v>2049</v>
      </c>
      <c r="B568" s="7" t="s">
        <v>2050</v>
      </c>
      <c r="C568" s="7" t="s">
        <v>2051</v>
      </c>
      <c r="D568" s="7" t="s">
        <v>2052</v>
      </c>
      <c r="E568" s="7" t="s">
        <v>113</v>
      </c>
      <c r="F568" s="7" t="s">
        <v>101</v>
      </c>
      <c r="G568" s="7" t="s">
        <v>90</v>
      </c>
      <c r="H568" s="7" t="n">
        <v>3</v>
      </c>
      <c r="I568" s="7" t="n">
        <v>260</v>
      </c>
      <c r="J568" s="7" t="n">
        <v>0</v>
      </c>
      <c r="K568" s="7" t="s">
        <v>93</v>
      </c>
      <c r="L568" s="7" t="s">
        <v>194</v>
      </c>
      <c r="M568" s="7" t="n">
        <v>44</v>
      </c>
      <c r="N568" s="7" t="n">
        <v>4</v>
      </c>
      <c r="O568" s="7" t="str">
        <f aca="false">A568&amp;"|"&amp;B568&amp;"|"&amp;C568&amp;"|"&amp;D568&amp;"|"&amp;E568&amp;"|"&amp;F568&amp;"|"&amp;G568&amp;"|"&amp;H568&amp;"|"&amp;I568&amp;"|"&amp;J568&amp;"|"&amp;K568&amp;"|"&amp;L568&amp;"|"&amp;M568&amp;"|"&amp;N568</f>
        <v>ORD10211|2025-01-29|08:09|C1443|Curry Leaf Kitchen|Mumbai|North Indian|3|260|0|Credit Card|Delivered|44|4</v>
      </c>
      <c r="P568" s="7" t="str">
        <f aca="false">IF(COUNTIF($O$2:O568,O568)&gt;1,"DUP","OK")</f>
        <v>OK</v>
      </c>
      <c r="Q568" s="7" t="n">
        <f aca="false">COUNTBLANK(A568:N568)</f>
        <v>0</v>
      </c>
      <c r="R568" s="7" t="n">
        <f aca="false">IF(A568="",0,COUNTIFS($A$2:$A$3058,A568,$P$2:$P$3058,"OK"))</f>
        <v>1</v>
      </c>
      <c r="S568" s="7" t="str">
        <f aca="false">IF(OR(A568="",P568="DUP",R568&lt;2),"",IF(Q568=_xlfn.MINIFS($Q$2:$Q$3058,$A$2:$A$3058,A568,$P$2:$P$3058,"OK"),"KEEP","DROP"))</f>
        <v/>
      </c>
      <c r="T568" s="9" t="n">
        <f aca="false">IF(A568="",1,0)</f>
        <v>0</v>
      </c>
      <c r="U568" s="9" t="n">
        <f aca="false">IF(D568="",1,0)</f>
        <v>0</v>
      </c>
      <c r="V568" s="9" t="n">
        <f aca="false">IF(E568="",1,0)</f>
        <v>0</v>
      </c>
      <c r="W568" s="9" t="n">
        <f aca="false">IF(OR(H568&lt;1,H568&gt;10),1,0)</f>
        <v>0</v>
      </c>
      <c r="X568" s="9" t="n">
        <f aca="false">IF(OR(I568&lt;=0,I568&gt;1500),1,0)</f>
        <v>0</v>
      </c>
      <c r="Y568" s="9" t="n">
        <f aca="false">IF(J568&gt;H568*I568,1,0)</f>
        <v>0</v>
      </c>
      <c r="Z568" s="9" t="n">
        <f aca="false">IF(AND(N568&lt;&gt;"",OR(N568&lt;1,N568&gt;5)),1,0)</f>
        <v>0</v>
      </c>
      <c r="AA568" s="9" t="n">
        <f aca="false">IF(AND(M568&lt;&gt;"",OR(M568&lt;5,M568&gt;180)),1,0)</f>
        <v>0</v>
      </c>
      <c r="AB568" s="7" t="str">
        <f aca="false">IF(P568="DUP","Exact duplicate row",IF(T568=1,"Missing Order ID",IF(S568="DROP","Duplicate Order ID (less complete row)",IF(U568=1,"Missing Customer ID",IF(V568=1,"Missing Restaurant name",IF(W568=1,"Invalid/outlier quantity",IF(X568=1,"Invalid/outlier unit price",IF(Y568=1,"Discount greater than order value",""))))))))</f>
        <v/>
      </c>
      <c r="AC568" s="7" t="str">
        <f aca="false">IF(AB568="","KEEP","DROP")</f>
        <v>KEEP</v>
      </c>
      <c r="AD568" s="7" t="str">
        <f aca="false">IF(TRIM(F568)="",IFERROR(INDEX(Map_Tables!$I$4:$I$37,MATCH(TRIM(E568),Map_Tables!$G$4:$G$37,0)),""),IFERROR(INDEX(Map_Tables!$B$4:$B$18,MATCH(TRIM(F568),Map_Tables!$A$4:$A$18,0)),"CHECK"))</f>
        <v>Mumbai</v>
      </c>
      <c r="AE568" s="7" t="str">
        <f aca="false">IF(TRIM(E568)="","",IFERROR(INDEX(Map_Tables!$H$4:$H$37,MATCH(TRIM(E568),Map_Tables!$G$4:$G$37,0)),"CHECK"))</f>
        <v>Curry Leaf Kitchen</v>
      </c>
      <c r="AF568" s="7" t="str">
        <f aca="false">IF(TRIM(K568)="","Unknown",IFERROR(INDEX(Map_Tables!$E$4:$E$15,MATCH(TRIM(K568),Map_Tables!$D$4:$D$15,0)),"CHECK"))</f>
        <v>Credit Card</v>
      </c>
      <c r="AG568" s="7" t="str">
        <f aca="false">IF(LEFT(LOWER(TRIM(L568)),6)="cancel","Cancelled","Delivered")</f>
        <v>Delivered</v>
      </c>
      <c r="AH568" s="10" t="n">
        <f aca="false">IF(ISNUMBER(SEARCH("/",B568)),DATE(VALUE(RIGHT(B568,4)),VALUE(MID(B568,4,2)),VALUE(LEFT(B568,2))),IF(MID(B568,5,1)="-",DATE(VALUE(LEFT(B568,4)),VALUE(MID(B568,6,2)),VALUE(RIGHT(B568,2))),DATE(VALUE(RIGHT(B568,4)),MATCH(MID(B568,4,3),{"Jan","Feb","Mar","Apr","May","Jun","Jul","Aug","Sep","Oct","Nov","Dec"},0),VALUE(LEFT(B568,2)))))</f>
        <v>45686</v>
      </c>
    </row>
    <row r="569" customFormat="false" ht="15" hidden="false" customHeight="false" outlineLevel="0" collapsed="false">
      <c r="A569" s="7" t="s">
        <v>2053</v>
      </c>
      <c r="B569" s="7" t="s">
        <v>955</v>
      </c>
      <c r="C569" s="7" t="s">
        <v>839</v>
      </c>
      <c r="D569" s="7" t="s">
        <v>2054</v>
      </c>
      <c r="E569" s="7" t="s">
        <v>154</v>
      </c>
      <c r="F569" s="7" t="s">
        <v>128</v>
      </c>
      <c r="G569" s="7" t="s">
        <v>99</v>
      </c>
      <c r="H569" s="7" t="n">
        <v>1</v>
      </c>
      <c r="I569" s="7" t="n">
        <v>220</v>
      </c>
      <c r="J569" s="7" t="n">
        <v>0</v>
      </c>
      <c r="K569" s="7" t="s">
        <v>112</v>
      </c>
      <c r="L569" s="7" t="s">
        <v>238</v>
      </c>
      <c r="M569" s="7"/>
      <c r="N569" s="7"/>
      <c r="O569" s="7" t="str">
        <f aca="false">A569&amp;"|"&amp;B569&amp;"|"&amp;C569&amp;"|"&amp;D569&amp;"|"&amp;E569&amp;"|"&amp;F569&amp;"|"&amp;G569&amp;"|"&amp;H569&amp;"|"&amp;I569&amp;"|"&amp;J569&amp;"|"&amp;K569&amp;"|"&amp;L569&amp;"|"&amp;M569&amp;"|"&amp;N569</f>
        <v>ORD11448|2025-07-07|19:46|C0837|Madras Biryani Co|Chennai|Biryani|1|220|0|Cash on Delivery|Cancelled||</v>
      </c>
      <c r="P569" s="7" t="str">
        <f aca="false">IF(COUNTIF($O$2:O569,O569)&gt;1,"DUP","OK")</f>
        <v>OK</v>
      </c>
      <c r="Q569" s="7" t="n">
        <f aca="false">COUNTBLANK(A569:N569)</f>
        <v>2</v>
      </c>
      <c r="R569" s="7" t="n">
        <f aca="false">IF(A569="",0,COUNTIFS($A$2:$A$3058,A569,$P$2:$P$3058,"OK"))</f>
        <v>1</v>
      </c>
      <c r="S569" s="7" t="str">
        <f aca="false">IF(OR(A569="",P569="DUP",R569&lt;2),"",IF(Q569=_xlfn.MINIFS($Q$2:$Q$3058,$A$2:$A$3058,A569,$P$2:$P$3058,"OK"),"KEEP","DROP"))</f>
        <v/>
      </c>
      <c r="T569" s="9" t="n">
        <f aca="false">IF(A569="",1,0)</f>
        <v>0</v>
      </c>
      <c r="U569" s="9" t="n">
        <f aca="false">IF(D569="",1,0)</f>
        <v>0</v>
      </c>
      <c r="V569" s="9" t="n">
        <f aca="false">IF(E569="",1,0)</f>
        <v>0</v>
      </c>
      <c r="W569" s="9" t="n">
        <f aca="false">IF(OR(H569&lt;1,H569&gt;10),1,0)</f>
        <v>0</v>
      </c>
      <c r="X569" s="9" t="n">
        <f aca="false">IF(OR(I569&lt;=0,I569&gt;1500),1,0)</f>
        <v>0</v>
      </c>
      <c r="Y569" s="9" t="n">
        <f aca="false">IF(J569&gt;H569*I569,1,0)</f>
        <v>0</v>
      </c>
      <c r="Z569" s="9" t="n">
        <f aca="false">IF(AND(N569&lt;&gt;"",OR(N569&lt;1,N569&gt;5)),1,0)</f>
        <v>0</v>
      </c>
      <c r="AA569" s="9" t="n">
        <f aca="false">IF(AND(M569&lt;&gt;"",OR(M569&lt;5,M569&gt;180)),1,0)</f>
        <v>0</v>
      </c>
      <c r="AB569" s="7" t="str">
        <f aca="false">IF(P569="DUP","Exact duplicate row",IF(T569=1,"Missing Order ID",IF(S569="DROP","Duplicate Order ID (less complete row)",IF(U569=1,"Missing Customer ID",IF(V569=1,"Missing Restaurant name",IF(W569=1,"Invalid/outlier quantity",IF(X569=1,"Invalid/outlier unit price",IF(Y569=1,"Discount greater than order value",""))))))))</f>
        <v/>
      </c>
      <c r="AC569" s="7" t="str">
        <f aca="false">IF(AB569="","KEEP","DROP")</f>
        <v>KEEP</v>
      </c>
      <c r="AD569" s="7" t="str">
        <f aca="false">IF(TRIM(F569)="",IFERROR(INDEX(Map_Tables!$I$4:$I$37,MATCH(TRIM(E569),Map_Tables!$G$4:$G$37,0)),""),IFERROR(INDEX(Map_Tables!$B$4:$B$18,MATCH(TRIM(F569),Map_Tables!$A$4:$A$18,0)),"CHECK"))</f>
        <v>Chennai</v>
      </c>
      <c r="AE569" s="7" t="str">
        <f aca="false">IF(TRIM(E569)="","",IFERROR(INDEX(Map_Tables!$H$4:$H$37,MATCH(TRIM(E569),Map_Tables!$G$4:$G$37,0)),"CHECK"))</f>
        <v>Madras Biryani Co</v>
      </c>
      <c r="AF569" s="7" t="str">
        <f aca="false">IF(TRIM(K569)="","Unknown",IFERROR(INDEX(Map_Tables!$E$4:$E$15,MATCH(TRIM(K569),Map_Tables!$D$4:$D$15,0)),"CHECK"))</f>
        <v>Cash on Delivery</v>
      </c>
      <c r="AG569" s="7" t="str">
        <f aca="false">IF(LEFT(LOWER(TRIM(L569)),6)="cancel","Cancelled","Delivered")</f>
        <v>Cancelled</v>
      </c>
      <c r="AH569" s="10" t="n">
        <f aca="false">IF(ISNUMBER(SEARCH("/",B569)),DATE(VALUE(RIGHT(B569,4)),VALUE(MID(B569,4,2)),VALUE(LEFT(B569,2))),IF(MID(B569,5,1)="-",DATE(VALUE(LEFT(B569,4)),VALUE(MID(B569,6,2)),VALUE(RIGHT(B569,2))),DATE(VALUE(RIGHT(B569,4)),MATCH(MID(B569,4,3),{"Jan","Feb","Mar","Apr","May","Jun","Jul","Aug","Sep","Oct","Nov","Dec"},0),VALUE(LEFT(B569,2)))))</f>
        <v>45845</v>
      </c>
    </row>
    <row r="570" customFormat="false" ht="15" hidden="false" customHeight="false" outlineLevel="0" collapsed="false">
      <c r="A570" s="7" t="s">
        <v>2055</v>
      </c>
      <c r="B570" s="7" t="s">
        <v>808</v>
      </c>
      <c r="C570" s="7" t="s">
        <v>2056</v>
      </c>
      <c r="D570" s="7" t="s">
        <v>2057</v>
      </c>
      <c r="E570" s="7" t="s">
        <v>167</v>
      </c>
      <c r="F570" s="7" t="s">
        <v>901</v>
      </c>
      <c r="G570" s="7" t="s">
        <v>156</v>
      </c>
      <c r="H570" s="7" t="n">
        <v>1</v>
      </c>
      <c r="I570" s="7" t="n">
        <v>190</v>
      </c>
      <c r="J570" s="7" t="n">
        <v>0</v>
      </c>
      <c r="K570" s="7" t="s">
        <v>121</v>
      </c>
      <c r="L570" s="7" t="s">
        <v>194</v>
      </c>
      <c r="M570" s="7" t="n">
        <v>26</v>
      </c>
      <c r="N570" s="7" t="n">
        <v>4</v>
      </c>
      <c r="O570" s="7" t="str">
        <f aca="false">A570&amp;"|"&amp;B570&amp;"|"&amp;C570&amp;"|"&amp;D570&amp;"|"&amp;E570&amp;"|"&amp;F570&amp;"|"&amp;G570&amp;"|"&amp;H570&amp;"|"&amp;I570&amp;"|"&amp;J570&amp;"|"&amp;K570&amp;"|"&amp;L570&amp;"|"&amp;M570&amp;"|"&amp;N570</f>
        <v>ORD12579|2025-11-16|09:12|C1104|Fit Fuel Kitchen|AHMEDABAD|Healthy Food|1|190|0|Wallet|Delivered|26|4</v>
      </c>
      <c r="P570" s="7" t="str">
        <f aca="false">IF(COUNTIF($O$2:O570,O570)&gt;1,"DUP","OK")</f>
        <v>OK</v>
      </c>
      <c r="Q570" s="7" t="n">
        <f aca="false">COUNTBLANK(A570:N570)</f>
        <v>0</v>
      </c>
      <c r="R570" s="7" t="n">
        <f aca="false">IF(A570="",0,COUNTIFS($A$2:$A$3058,A570,$P$2:$P$3058,"OK"))</f>
        <v>1</v>
      </c>
      <c r="S570" s="7" t="str">
        <f aca="false">IF(OR(A570="",P570="DUP",R570&lt;2),"",IF(Q570=_xlfn.MINIFS($Q$2:$Q$3058,$A$2:$A$3058,A570,$P$2:$P$3058,"OK"),"KEEP","DROP"))</f>
        <v/>
      </c>
      <c r="T570" s="9" t="n">
        <f aca="false">IF(A570="",1,0)</f>
        <v>0</v>
      </c>
      <c r="U570" s="9" t="n">
        <f aca="false">IF(D570="",1,0)</f>
        <v>0</v>
      </c>
      <c r="V570" s="9" t="n">
        <f aca="false">IF(E570="",1,0)</f>
        <v>0</v>
      </c>
      <c r="W570" s="9" t="n">
        <f aca="false">IF(OR(H570&lt;1,H570&gt;10),1,0)</f>
        <v>0</v>
      </c>
      <c r="X570" s="9" t="n">
        <f aca="false">IF(OR(I570&lt;=0,I570&gt;1500),1,0)</f>
        <v>0</v>
      </c>
      <c r="Y570" s="9" t="n">
        <f aca="false">IF(J570&gt;H570*I570,1,0)</f>
        <v>0</v>
      </c>
      <c r="Z570" s="9" t="n">
        <f aca="false">IF(AND(N570&lt;&gt;"",OR(N570&lt;1,N570&gt;5)),1,0)</f>
        <v>0</v>
      </c>
      <c r="AA570" s="9" t="n">
        <f aca="false">IF(AND(M570&lt;&gt;"",OR(M570&lt;5,M570&gt;180)),1,0)</f>
        <v>0</v>
      </c>
      <c r="AB570" s="7" t="str">
        <f aca="false">IF(P570="DUP","Exact duplicate row",IF(T570=1,"Missing Order ID",IF(S570="DROP","Duplicate Order ID (less complete row)",IF(U570=1,"Missing Customer ID",IF(V570=1,"Missing Restaurant name",IF(W570=1,"Invalid/outlier quantity",IF(X570=1,"Invalid/outlier unit price",IF(Y570=1,"Discount greater than order value",""))))))))</f>
        <v/>
      </c>
      <c r="AC570" s="7" t="str">
        <f aca="false">IF(AB570="","KEEP","DROP")</f>
        <v>KEEP</v>
      </c>
      <c r="AD570" s="7" t="str">
        <f aca="false">IF(TRIM(F570)="",IFERROR(INDEX(Map_Tables!$I$4:$I$37,MATCH(TRIM(E570),Map_Tables!$G$4:$G$37,0)),""),IFERROR(INDEX(Map_Tables!$B$4:$B$18,MATCH(TRIM(F570),Map_Tables!$A$4:$A$18,0)),"CHECK"))</f>
        <v>Ahmedabad</v>
      </c>
      <c r="AE570" s="7" t="str">
        <f aca="false">IF(TRIM(E570)="","",IFERROR(INDEX(Map_Tables!$H$4:$H$37,MATCH(TRIM(E570),Map_Tables!$G$4:$G$37,0)),"CHECK"))</f>
        <v>Fit Fuel Kitchen</v>
      </c>
      <c r="AF570" s="7" t="str">
        <f aca="false">IF(TRIM(K570)="","Unknown",IFERROR(INDEX(Map_Tables!$E$4:$E$15,MATCH(TRIM(K570),Map_Tables!$D$4:$D$15,0)),"CHECK"))</f>
        <v>Wallet</v>
      </c>
      <c r="AG570" s="7" t="str">
        <f aca="false">IF(LEFT(LOWER(TRIM(L570)),6)="cancel","Cancelled","Delivered")</f>
        <v>Delivered</v>
      </c>
      <c r="AH570" s="10" t="n">
        <f aca="false">IF(ISNUMBER(SEARCH("/",B570)),DATE(VALUE(RIGHT(B570,4)),VALUE(MID(B570,4,2)),VALUE(LEFT(B570,2))),IF(MID(B570,5,1)="-",DATE(VALUE(LEFT(B570,4)),VALUE(MID(B570,6,2)),VALUE(RIGHT(B570,2))),DATE(VALUE(RIGHT(B570,4)),MATCH(MID(B570,4,3),{"Jan","Feb","Mar","Apr","May","Jun","Jul","Aug","Sep","Oct","Nov","Dec"},0),VALUE(LEFT(B570,2)))))</f>
        <v>45977</v>
      </c>
    </row>
    <row r="571" customFormat="false" ht="15" hidden="false" customHeight="false" outlineLevel="0" collapsed="false">
      <c r="A571" s="7" t="s">
        <v>2058</v>
      </c>
      <c r="B571" s="7" t="s">
        <v>1458</v>
      </c>
      <c r="C571" s="7" t="s">
        <v>474</v>
      </c>
      <c r="D571" s="7" t="s">
        <v>2059</v>
      </c>
      <c r="E571" s="7" t="s">
        <v>159</v>
      </c>
      <c r="F571" s="7" t="s">
        <v>136</v>
      </c>
      <c r="G571" s="7" t="s">
        <v>90</v>
      </c>
      <c r="H571" s="7" t="n">
        <v>3</v>
      </c>
      <c r="I571" s="7" t="n">
        <v>220</v>
      </c>
      <c r="J571" s="7" t="n">
        <v>75</v>
      </c>
      <c r="K571" s="7" t="s">
        <v>88</v>
      </c>
      <c r="L571" s="7" t="s">
        <v>194</v>
      </c>
      <c r="M571" s="7" t="n">
        <v>33</v>
      </c>
      <c r="N571" s="7" t="n">
        <v>4</v>
      </c>
      <c r="O571" s="7" t="str">
        <f aca="false">A571&amp;"|"&amp;B571&amp;"|"&amp;C571&amp;"|"&amp;D571&amp;"|"&amp;E571&amp;"|"&amp;F571&amp;"|"&amp;G571&amp;"|"&amp;H571&amp;"|"&amp;I571&amp;"|"&amp;J571&amp;"|"&amp;K571&amp;"|"&amp;L571&amp;"|"&amp;M571&amp;"|"&amp;N571</f>
        <v>ORD11030|2025-05-10|16:40|C0524|Maratha Thali House|Pune|North Indian|3|220|75|UPI|Delivered|33|4</v>
      </c>
      <c r="P571" s="7" t="str">
        <f aca="false">IF(COUNTIF($O$2:O571,O571)&gt;1,"DUP","OK")</f>
        <v>OK</v>
      </c>
      <c r="Q571" s="7" t="n">
        <f aca="false">COUNTBLANK(A571:N571)</f>
        <v>0</v>
      </c>
      <c r="R571" s="7" t="n">
        <f aca="false">IF(A571="",0,COUNTIFS($A$2:$A$3058,A571,$P$2:$P$3058,"OK"))</f>
        <v>1</v>
      </c>
      <c r="S571" s="7" t="str">
        <f aca="false">IF(OR(A571="",P571="DUP",R571&lt;2),"",IF(Q571=_xlfn.MINIFS($Q$2:$Q$3058,$A$2:$A$3058,A571,$P$2:$P$3058,"OK"),"KEEP","DROP"))</f>
        <v/>
      </c>
      <c r="T571" s="9" t="n">
        <f aca="false">IF(A571="",1,0)</f>
        <v>0</v>
      </c>
      <c r="U571" s="9" t="n">
        <f aca="false">IF(D571="",1,0)</f>
        <v>0</v>
      </c>
      <c r="V571" s="9" t="n">
        <f aca="false">IF(E571="",1,0)</f>
        <v>0</v>
      </c>
      <c r="W571" s="9" t="n">
        <f aca="false">IF(OR(H571&lt;1,H571&gt;10),1,0)</f>
        <v>0</v>
      </c>
      <c r="X571" s="9" t="n">
        <f aca="false">IF(OR(I571&lt;=0,I571&gt;1500),1,0)</f>
        <v>0</v>
      </c>
      <c r="Y571" s="9" t="n">
        <f aca="false">IF(J571&gt;H571*I571,1,0)</f>
        <v>0</v>
      </c>
      <c r="Z571" s="9" t="n">
        <f aca="false">IF(AND(N571&lt;&gt;"",OR(N571&lt;1,N571&gt;5)),1,0)</f>
        <v>0</v>
      </c>
      <c r="AA571" s="9" t="n">
        <f aca="false">IF(AND(M571&lt;&gt;"",OR(M571&lt;5,M571&gt;180)),1,0)</f>
        <v>0</v>
      </c>
      <c r="AB571" s="7" t="str">
        <f aca="false">IF(P571="DUP","Exact duplicate row",IF(T571=1,"Missing Order ID",IF(S571="DROP","Duplicate Order ID (less complete row)",IF(U571=1,"Missing Customer ID",IF(V571=1,"Missing Restaurant name",IF(W571=1,"Invalid/outlier quantity",IF(X571=1,"Invalid/outlier unit price",IF(Y571=1,"Discount greater than order value",""))))))))</f>
        <v/>
      </c>
      <c r="AC571" s="7" t="str">
        <f aca="false">IF(AB571="","KEEP","DROP")</f>
        <v>KEEP</v>
      </c>
      <c r="AD571" s="7" t="str">
        <f aca="false">IF(TRIM(F571)="",IFERROR(INDEX(Map_Tables!$I$4:$I$37,MATCH(TRIM(E571),Map_Tables!$G$4:$G$37,0)),""),IFERROR(INDEX(Map_Tables!$B$4:$B$18,MATCH(TRIM(F571),Map_Tables!$A$4:$A$18,0)),"CHECK"))</f>
        <v>Pune</v>
      </c>
      <c r="AE571" s="7" t="str">
        <f aca="false">IF(TRIM(E571)="","",IFERROR(INDEX(Map_Tables!$H$4:$H$37,MATCH(TRIM(E571),Map_Tables!$G$4:$G$37,0)),"CHECK"))</f>
        <v>Maratha Thali House</v>
      </c>
      <c r="AF571" s="7" t="str">
        <f aca="false">IF(TRIM(K571)="","Unknown",IFERROR(INDEX(Map_Tables!$E$4:$E$15,MATCH(TRIM(K571),Map_Tables!$D$4:$D$15,0)),"CHECK"))</f>
        <v>UPI</v>
      </c>
      <c r="AG571" s="7" t="str">
        <f aca="false">IF(LEFT(LOWER(TRIM(L571)),6)="cancel","Cancelled","Delivered")</f>
        <v>Delivered</v>
      </c>
      <c r="AH571" s="10" t="n">
        <f aca="false">IF(ISNUMBER(SEARCH("/",B571)),DATE(VALUE(RIGHT(B571,4)),VALUE(MID(B571,4,2)),VALUE(LEFT(B571,2))),IF(MID(B571,5,1)="-",DATE(VALUE(LEFT(B571,4)),VALUE(MID(B571,6,2)),VALUE(RIGHT(B571,2))),DATE(VALUE(RIGHT(B571,4)),MATCH(MID(B571,4,3),{"Jan","Feb","Mar","Apr","May","Jun","Jul","Aug","Sep","Oct","Nov","Dec"},0),VALUE(LEFT(B571,2)))))</f>
        <v>45787</v>
      </c>
    </row>
    <row r="572" customFormat="false" ht="15" hidden="false" customHeight="false" outlineLevel="0" collapsed="false">
      <c r="A572" s="7" t="s">
        <v>2060</v>
      </c>
      <c r="B572" s="7" t="s">
        <v>212</v>
      </c>
      <c r="C572" s="7" t="s">
        <v>2061</v>
      </c>
      <c r="D572" s="7" t="s">
        <v>2062</v>
      </c>
      <c r="E572" s="7" t="s">
        <v>151</v>
      </c>
      <c r="F572" s="7" t="s">
        <v>128</v>
      </c>
      <c r="G572" s="7" t="s">
        <v>95</v>
      </c>
      <c r="H572" s="7" t="n">
        <v>5</v>
      </c>
      <c r="I572" s="7" t="n">
        <v>170</v>
      </c>
      <c r="J572" s="7" t="n">
        <v>0</v>
      </c>
      <c r="K572" s="7" t="s">
        <v>112</v>
      </c>
      <c r="L572" s="7" t="s">
        <v>194</v>
      </c>
      <c r="M572" s="7"/>
      <c r="N572" s="7" t="n">
        <v>4</v>
      </c>
      <c r="O572" s="7" t="str">
        <f aca="false">A572&amp;"|"&amp;B572&amp;"|"&amp;C572&amp;"|"&amp;D572&amp;"|"&amp;E572&amp;"|"&amp;F572&amp;"|"&amp;G572&amp;"|"&amp;H572&amp;"|"&amp;I572&amp;"|"&amp;J572&amp;"|"&amp;K572&amp;"|"&amp;L572&amp;"|"&amp;M572&amp;"|"&amp;N572</f>
        <v>ORD12732|2025-12-01|13:51|C1052|Chettinad House|Chennai|South Indian|5|170|0|Cash on Delivery|Delivered||4</v>
      </c>
      <c r="P572" s="7" t="str">
        <f aca="false">IF(COUNTIF($O$2:O572,O572)&gt;1,"DUP","OK")</f>
        <v>OK</v>
      </c>
      <c r="Q572" s="7" t="n">
        <f aca="false">COUNTBLANK(A572:N572)</f>
        <v>1</v>
      </c>
      <c r="R572" s="7" t="n">
        <f aca="false">IF(A572="",0,COUNTIFS($A$2:$A$3058,A572,$P$2:$P$3058,"OK"))</f>
        <v>1</v>
      </c>
      <c r="S572" s="7" t="str">
        <f aca="false">IF(OR(A572="",P572="DUP",R572&lt;2),"",IF(Q572=_xlfn.MINIFS($Q$2:$Q$3058,$A$2:$A$3058,A572,$P$2:$P$3058,"OK"),"KEEP","DROP"))</f>
        <v/>
      </c>
      <c r="T572" s="9" t="n">
        <f aca="false">IF(A572="",1,0)</f>
        <v>0</v>
      </c>
      <c r="U572" s="9" t="n">
        <f aca="false">IF(D572="",1,0)</f>
        <v>0</v>
      </c>
      <c r="V572" s="9" t="n">
        <f aca="false">IF(E572="",1,0)</f>
        <v>0</v>
      </c>
      <c r="W572" s="9" t="n">
        <f aca="false">IF(OR(H572&lt;1,H572&gt;10),1,0)</f>
        <v>0</v>
      </c>
      <c r="X572" s="9" t="n">
        <f aca="false">IF(OR(I572&lt;=0,I572&gt;1500),1,0)</f>
        <v>0</v>
      </c>
      <c r="Y572" s="9" t="n">
        <f aca="false">IF(J572&gt;H572*I572,1,0)</f>
        <v>0</v>
      </c>
      <c r="Z572" s="9" t="n">
        <f aca="false">IF(AND(N572&lt;&gt;"",OR(N572&lt;1,N572&gt;5)),1,0)</f>
        <v>0</v>
      </c>
      <c r="AA572" s="9" t="n">
        <f aca="false">IF(AND(M572&lt;&gt;"",OR(M572&lt;5,M572&gt;180)),1,0)</f>
        <v>0</v>
      </c>
      <c r="AB572" s="7" t="str">
        <f aca="false">IF(P572="DUP","Exact duplicate row",IF(T572=1,"Missing Order ID",IF(S572="DROP","Duplicate Order ID (less complete row)",IF(U572=1,"Missing Customer ID",IF(V572=1,"Missing Restaurant name",IF(W572=1,"Invalid/outlier quantity",IF(X572=1,"Invalid/outlier unit price",IF(Y572=1,"Discount greater than order value",""))))))))</f>
        <v/>
      </c>
      <c r="AC572" s="7" t="str">
        <f aca="false">IF(AB572="","KEEP","DROP")</f>
        <v>KEEP</v>
      </c>
      <c r="AD572" s="7" t="str">
        <f aca="false">IF(TRIM(F572)="",IFERROR(INDEX(Map_Tables!$I$4:$I$37,MATCH(TRIM(E572),Map_Tables!$G$4:$G$37,0)),""),IFERROR(INDEX(Map_Tables!$B$4:$B$18,MATCH(TRIM(F572),Map_Tables!$A$4:$A$18,0)),"CHECK"))</f>
        <v>Chennai</v>
      </c>
      <c r="AE572" s="7" t="str">
        <f aca="false">IF(TRIM(E572)="","",IFERROR(INDEX(Map_Tables!$H$4:$H$37,MATCH(TRIM(E572),Map_Tables!$G$4:$G$37,0)),"CHECK"))</f>
        <v>Chettinad House</v>
      </c>
      <c r="AF572" s="7" t="str">
        <f aca="false">IF(TRIM(K572)="","Unknown",IFERROR(INDEX(Map_Tables!$E$4:$E$15,MATCH(TRIM(K572),Map_Tables!$D$4:$D$15,0)),"CHECK"))</f>
        <v>Cash on Delivery</v>
      </c>
      <c r="AG572" s="7" t="str">
        <f aca="false">IF(LEFT(LOWER(TRIM(L572)),6)="cancel","Cancelled","Delivered")</f>
        <v>Delivered</v>
      </c>
      <c r="AH572" s="10" t="n">
        <f aca="false">IF(ISNUMBER(SEARCH("/",B572)),DATE(VALUE(RIGHT(B572,4)),VALUE(MID(B572,4,2)),VALUE(LEFT(B572,2))),IF(MID(B572,5,1)="-",DATE(VALUE(LEFT(B572,4)),VALUE(MID(B572,6,2)),VALUE(RIGHT(B572,2))),DATE(VALUE(RIGHT(B572,4)),MATCH(MID(B572,4,3),{"Jan","Feb","Mar","Apr","May","Jun","Jul","Aug","Sep","Oct","Nov","Dec"},0),VALUE(LEFT(B572,2)))))</f>
        <v>45992</v>
      </c>
    </row>
    <row r="573" customFormat="false" ht="15" hidden="false" customHeight="false" outlineLevel="0" collapsed="false">
      <c r="A573" s="7" t="s">
        <v>2063</v>
      </c>
      <c r="B573" s="7" t="s">
        <v>964</v>
      </c>
      <c r="C573" s="7" t="s">
        <v>2064</v>
      </c>
      <c r="D573" s="7" t="s">
        <v>985</v>
      </c>
      <c r="E573" s="7" t="s">
        <v>154</v>
      </c>
      <c r="F573" s="7" t="s">
        <v>128</v>
      </c>
      <c r="G573" s="7" t="s">
        <v>99</v>
      </c>
      <c r="H573" s="7" t="n">
        <v>0</v>
      </c>
      <c r="I573" s="7" t="n">
        <v>260</v>
      </c>
      <c r="J573" s="7" t="n">
        <v>0</v>
      </c>
      <c r="K573" s="7" t="s">
        <v>103</v>
      </c>
      <c r="L573" s="7" t="s">
        <v>194</v>
      </c>
      <c r="M573" s="7" t="n">
        <v>26</v>
      </c>
      <c r="N573" s="7" t="n">
        <v>5</v>
      </c>
      <c r="O573" s="7" t="str">
        <f aca="false">A573&amp;"|"&amp;B573&amp;"|"&amp;C573&amp;"|"&amp;D573&amp;"|"&amp;E573&amp;"|"&amp;F573&amp;"|"&amp;G573&amp;"|"&amp;H573&amp;"|"&amp;I573&amp;"|"&amp;J573&amp;"|"&amp;K573&amp;"|"&amp;L573&amp;"|"&amp;M573&amp;"|"&amp;N573</f>
        <v>ORD10994|2025-05-06|18:53|C0143|Madras Biryani Co|Chennai|Biryani|0|260|0|Debit Card|Delivered|26|5</v>
      </c>
      <c r="P573" s="7" t="str">
        <f aca="false">IF(COUNTIF($O$2:O573,O573)&gt;1,"DUP","OK")</f>
        <v>OK</v>
      </c>
      <c r="Q573" s="7" t="n">
        <f aca="false">COUNTBLANK(A573:N573)</f>
        <v>0</v>
      </c>
      <c r="R573" s="7" t="n">
        <f aca="false">IF(A573="",0,COUNTIFS($A$2:$A$3058,A573,$P$2:$P$3058,"OK"))</f>
        <v>1</v>
      </c>
      <c r="S573" s="7" t="str">
        <f aca="false">IF(OR(A573="",P573="DUP",R573&lt;2),"",IF(Q573=_xlfn.MINIFS($Q$2:$Q$3058,$A$2:$A$3058,A573,$P$2:$P$3058,"OK"),"KEEP","DROP"))</f>
        <v/>
      </c>
      <c r="T573" s="9" t="n">
        <f aca="false">IF(A573="",1,0)</f>
        <v>0</v>
      </c>
      <c r="U573" s="9" t="n">
        <f aca="false">IF(D573="",1,0)</f>
        <v>0</v>
      </c>
      <c r="V573" s="9" t="n">
        <f aca="false">IF(E573="",1,0)</f>
        <v>0</v>
      </c>
      <c r="W573" s="9" t="n">
        <f aca="false">IF(OR(H573&lt;1,H573&gt;10),1,0)</f>
        <v>1</v>
      </c>
      <c r="X573" s="9" t="n">
        <f aca="false">IF(OR(I573&lt;=0,I573&gt;1500),1,0)</f>
        <v>0</v>
      </c>
      <c r="Y573" s="9" t="n">
        <f aca="false">IF(J573&gt;H573*I573,1,0)</f>
        <v>0</v>
      </c>
      <c r="Z573" s="9" t="n">
        <f aca="false">IF(AND(N573&lt;&gt;"",OR(N573&lt;1,N573&gt;5)),1,0)</f>
        <v>0</v>
      </c>
      <c r="AA573" s="9" t="n">
        <f aca="false">IF(AND(M573&lt;&gt;"",OR(M573&lt;5,M573&gt;180)),1,0)</f>
        <v>0</v>
      </c>
      <c r="AB573" s="7" t="str">
        <f aca="false">IF(P573="DUP","Exact duplicate row",IF(T573=1,"Missing Order ID",IF(S573="DROP","Duplicate Order ID (less complete row)",IF(U573=1,"Missing Customer ID",IF(V573=1,"Missing Restaurant name",IF(W573=1,"Invalid/outlier quantity",IF(X573=1,"Invalid/outlier unit price",IF(Y573=1,"Discount greater than order value",""))))))))</f>
        <v>Invalid/outlier quantity</v>
      </c>
      <c r="AC573" s="7" t="str">
        <f aca="false">IF(AB573="","KEEP","DROP")</f>
        <v>DROP</v>
      </c>
      <c r="AD573" s="7" t="str">
        <f aca="false">IF(TRIM(F573)="",IFERROR(INDEX(Map_Tables!$I$4:$I$37,MATCH(TRIM(E573),Map_Tables!$G$4:$G$37,0)),""),IFERROR(INDEX(Map_Tables!$B$4:$B$18,MATCH(TRIM(F573),Map_Tables!$A$4:$A$18,0)),"CHECK"))</f>
        <v>Chennai</v>
      </c>
      <c r="AE573" s="7" t="str">
        <f aca="false">IF(TRIM(E573)="","",IFERROR(INDEX(Map_Tables!$H$4:$H$37,MATCH(TRIM(E573),Map_Tables!$G$4:$G$37,0)),"CHECK"))</f>
        <v>Madras Biryani Co</v>
      </c>
      <c r="AF573" s="7" t="str">
        <f aca="false">IF(TRIM(K573)="","Unknown",IFERROR(INDEX(Map_Tables!$E$4:$E$15,MATCH(TRIM(K573),Map_Tables!$D$4:$D$15,0)),"CHECK"))</f>
        <v>Debit Card</v>
      </c>
      <c r="AG573" s="7" t="str">
        <f aca="false">IF(LEFT(LOWER(TRIM(L573)),6)="cancel","Cancelled","Delivered")</f>
        <v>Delivered</v>
      </c>
      <c r="AH573" s="10" t="n">
        <f aca="false">IF(ISNUMBER(SEARCH("/",B573)),DATE(VALUE(RIGHT(B573,4)),VALUE(MID(B573,4,2)),VALUE(LEFT(B573,2))),IF(MID(B573,5,1)="-",DATE(VALUE(LEFT(B573,4)),VALUE(MID(B573,6,2)),VALUE(RIGHT(B573,2))),DATE(VALUE(RIGHT(B573,4)),MATCH(MID(B573,4,3),{"Jan","Feb","Mar","Apr","May","Jun","Jul","Aug","Sep","Oct","Nov","Dec"},0),VALUE(LEFT(B573,2)))))</f>
        <v>45783</v>
      </c>
    </row>
    <row r="574" customFormat="false" ht="15" hidden="false" customHeight="false" outlineLevel="0" collapsed="false">
      <c r="A574" s="7" t="s">
        <v>2065</v>
      </c>
      <c r="B574" s="7" t="s">
        <v>938</v>
      </c>
      <c r="C574" s="7" t="s">
        <v>1688</v>
      </c>
      <c r="D574" s="7" t="s">
        <v>2066</v>
      </c>
      <c r="E574" s="7" t="s">
        <v>2067</v>
      </c>
      <c r="F574" s="7" t="s">
        <v>128</v>
      </c>
      <c r="G574" s="7" t="s">
        <v>95</v>
      </c>
      <c r="H574" s="7" t="n">
        <v>1</v>
      </c>
      <c r="I574" s="7" t="n">
        <v>195</v>
      </c>
      <c r="J574" s="7" t="n">
        <v>78</v>
      </c>
      <c r="K574" s="7" t="s">
        <v>103</v>
      </c>
      <c r="L574" s="7" t="s">
        <v>194</v>
      </c>
      <c r="M574" s="7" t="n">
        <v>35</v>
      </c>
      <c r="N574" s="7"/>
      <c r="O574" s="7" t="str">
        <f aca="false">A574&amp;"|"&amp;B574&amp;"|"&amp;C574&amp;"|"&amp;D574&amp;"|"&amp;E574&amp;"|"&amp;F574&amp;"|"&amp;G574&amp;"|"&amp;H574&amp;"|"&amp;I574&amp;"|"&amp;J574&amp;"|"&amp;K574&amp;"|"&amp;L574&amp;"|"&amp;M574&amp;"|"&amp;N574</f>
        <v>ORD10872|2025-04-20|19:44|C0012|CHETTINAD HOUSE|Chennai|South Indian|1|195|78|Debit Card|Delivered|35|</v>
      </c>
      <c r="P574" s="7" t="str">
        <f aca="false">IF(COUNTIF($O$2:O574,O574)&gt;1,"DUP","OK")</f>
        <v>OK</v>
      </c>
      <c r="Q574" s="7" t="n">
        <f aca="false">COUNTBLANK(A574:N574)</f>
        <v>1</v>
      </c>
      <c r="R574" s="7" t="n">
        <f aca="false">IF(A574="",0,COUNTIFS($A$2:$A$3058,A574,$P$2:$P$3058,"OK"))</f>
        <v>1</v>
      </c>
      <c r="S574" s="7" t="str">
        <f aca="false">IF(OR(A574="",P574="DUP",R574&lt;2),"",IF(Q574=_xlfn.MINIFS($Q$2:$Q$3058,$A$2:$A$3058,A574,$P$2:$P$3058,"OK"),"KEEP","DROP"))</f>
        <v/>
      </c>
      <c r="T574" s="9" t="n">
        <f aca="false">IF(A574="",1,0)</f>
        <v>0</v>
      </c>
      <c r="U574" s="9" t="n">
        <f aca="false">IF(D574="",1,0)</f>
        <v>0</v>
      </c>
      <c r="V574" s="9" t="n">
        <f aca="false">IF(E574="",1,0)</f>
        <v>0</v>
      </c>
      <c r="W574" s="9" t="n">
        <f aca="false">IF(OR(H574&lt;1,H574&gt;10),1,0)</f>
        <v>0</v>
      </c>
      <c r="X574" s="9" t="n">
        <f aca="false">IF(OR(I574&lt;=0,I574&gt;1500),1,0)</f>
        <v>0</v>
      </c>
      <c r="Y574" s="9" t="n">
        <f aca="false">IF(J574&gt;H574*I574,1,0)</f>
        <v>0</v>
      </c>
      <c r="Z574" s="9" t="n">
        <f aca="false">IF(AND(N574&lt;&gt;"",OR(N574&lt;1,N574&gt;5)),1,0)</f>
        <v>0</v>
      </c>
      <c r="AA574" s="9" t="n">
        <f aca="false">IF(AND(M574&lt;&gt;"",OR(M574&lt;5,M574&gt;180)),1,0)</f>
        <v>0</v>
      </c>
      <c r="AB574" s="7" t="str">
        <f aca="false">IF(P574="DUP","Exact duplicate row",IF(T574=1,"Missing Order ID",IF(S574="DROP","Duplicate Order ID (less complete row)",IF(U574=1,"Missing Customer ID",IF(V574=1,"Missing Restaurant name",IF(W574=1,"Invalid/outlier quantity",IF(X574=1,"Invalid/outlier unit price",IF(Y574=1,"Discount greater than order value",""))))))))</f>
        <v/>
      </c>
      <c r="AC574" s="7" t="str">
        <f aca="false">IF(AB574="","KEEP","DROP")</f>
        <v>KEEP</v>
      </c>
      <c r="AD574" s="7" t="str">
        <f aca="false">IF(TRIM(F574)="",IFERROR(INDEX(Map_Tables!$I$4:$I$37,MATCH(TRIM(E574),Map_Tables!$G$4:$G$37,0)),""),IFERROR(INDEX(Map_Tables!$B$4:$B$18,MATCH(TRIM(F574),Map_Tables!$A$4:$A$18,0)),"CHECK"))</f>
        <v>Chennai</v>
      </c>
      <c r="AE574" s="7" t="str">
        <f aca="false">IF(TRIM(E574)="","",IFERROR(INDEX(Map_Tables!$H$4:$H$37,MATCH(TRIM(E574),Map_Tables!$G$4:$G$37,0)),"CHECK"))</f>
        <v>Chettinad House</v>
      </c>
      <c r="AF574" s="7" t="str">
        <f aca="false">IF(TRIM(K574)="","Unknown",IFERROR(INDEX(Map_Tables!$E$4:$E$15,MATCH(TRIM(K574),Map_Tables!$D$4:$D$15,0)),"CHECK"))</f>
        <v>Debit Card</v>
      </c>
      <c r="AG574" s="7" t="str">
        <f aca="false">IF(LEFT(LOWER(TRIM(L574)),6)="cancel","Cancelled","Delivered")</f>
        <v>Delivered</v>
      </c>
      <c r="AH574" s="10" t="n">
        <f aca="false">IF(ISNUMBER(SEARCH("/",B574)),DATE(VALUE(RIGHT(B574,4)),VALUE(MID(B574,4,2)),VALUE(LEFT(B574,2))),IF(MID(B574,5,1)="-",DATE(VALUE(LEFT(B574,4)),VALUE(MID(B574,6,2)),VALUE(RIGHT(B574,2))),DATE(VALUE(RIGHT(B574,4)),MATCH(MID(B574,4,3),{"Jan","Feb","Mar","Apr","May","Jun","Jul","Aug","Sep","Oct","Nov","Dec"},0),VALUE(LEFT(B574,2)))))</f>
        <v>45767</v>
      </c>
    </row>
    <row r="575" customFormat="false" ht="15" hidden="false" customHeight="false" outlineLevel="0" collapsed="false">
      <c r="A575" s="7" t="s">
        <v>2068</v>
      </c>
      <c r="B575" s="7" t="s">
        <v>2069</v>
      </c>
      <c r="C575" s="7" t="s">
        <v>201</v>
      </c>
      <c r="D575" s="7" t="s">
        <v>2070</v>
      </c>
      <c r="E575" s="7" t="s">
        <v>138</v>
      </c>
      <c r="F575" s="7" t="s">
        <v>756</v>
      </c>
      <c r="G575" s="7" t="s">
        <v>139</v>
      </c>
      <c r="H575" s="7" t="n">
        <v>2</v>
      </c>
      <c r="I575" s="7" t="n">
        <v>190</v>
      </c>
      <c r="J575" s="7" t="n">
        <v>40</v>
      </c>
      <c r="K575" s="7" t="s">
        <v>88</v>
      </c>
      <c r="L575" s="7" t="s">
        <v>194</v>
      </c>
      <c r="M575" s="7" t="n">
        <v>49</v>
      </c>
      <c r="N575" s="7" t="n">
        <v>3</v>
      </c>
      <c r="O575" s="7" t="str">
        <f aca="false">A575&amp;"|"&amp;B575&amp;"|"&amp;C575&amp;"|"&amp;D575&amp;"|"&amp;E575&amp;"|"&amp;F575&amp;"|"&amp;G575&amp;"|"&amp;H575&amp;"|"&amp;I575&amp;"|"&amp;J575&amp;"|"&amp;K575&amp;"|"&amp;L575&amp;"|"&amp;M575&amp;"|"&amp;N575</f>
        <v>ORD11354|2025-06-23|20:46|C1061|Burger Barn|Delhi |Burgers|2|190|40|UPI|Delivered|49|3</v>
      </c>
      <c r="P575" s="7" t="str">
        <f aca="false">IF(COUNTIF($O$2:O575,O575)&gt;1,"DUP","OK")</f>
        <v>OK</v>
      </c>
      <c r="Q575" s="7" t="n">
        <f aca="false">COUNTBLANK(A575:N575)</f>
        <v>0</v>
      </c>
      <c r="R575" s="7" t="n">
        <f aca="false">IF(A575="",0,COUNTIFS($A$2:$A$3058,A575,$P$2:$P$3058,"OK"))</f>
        <v>1</v>
      </c>
      <c r="S575" s="7" t="str">
        <f aca="false">IF(OR(A575="",P575="DUP",R575&lt;2),"",IF(Q575=_xlfn.MINIFS($Q$2:$Q$3058,$A$2:$A$3058,A575,$P$2:$P$3058,"OK"),"KEEP","DROP"))</f>
        <v/>
      </c>
      <c r="T575" s="9" t="n">
        <f aca="false">IF(A575="",1,0)</f>
        <v>0</v>
      </c>
      <c r="U575" s="9" t="n">
        <f aca="false">IF(D575="",1,0)</f>
        <v>0</v>
      </c>
      <c r="V575" s="9" t="n">
        <f aca="false">IF(E575="",1,0)</f>
        <v>0</v>
      </c>
      <c r="W575" s="9" t="n">
        <f aca="false">IF(OR(H575&lt;1,H575&gt;10),1,0)</f>
        <v>0</v>
      </c>
      <c r="X575" s="9" t="n">
        <f aca="false">IF(OR(I575&lt;=0,I575&gt;1500),1,0)</f>
        <v>0</v>
      </c>
      <c r="Y575" s="9" t="n">
        <f aca="false">IF(J575&gt;H575*I575,1,0)</f>
        <v>0</v>
      </c>
      <c r="Z575" s="9" t="n">
        <f aca="false">IF(AND(N575&lt;&gt;"",OR(N575&lt;1,N575&gt;5)),1,0)</f>
        <v>0</v>
      </c>
      <c r="AA575" s="9" t="n">
        <f aca="false">IF(AND(M575&lt;&gt;"",OR(M575&lt;5,M575&gt;180)),1,0)</f>
        <v>0</v>
      </c>
      <c r="AB575" s="7" t="str">
        <f aca="false">IF(P575="DUP","Exact duplicate row",IF(T575=1,"Missing Order ID",IF(S575="DROP","Duplicate Order ID (less complete row)",IF(U575=1,"Missing Customer ID",IF(V575=1,"Missing Restaurant name",IF(W575=1,"Invalid/outlier quantity",IF(X575=1,"Invalid/outlier unit price",IF(Y575=1,"Discount greater than order value",""))))))))</f>
        <v/>
      </c>
      <c r="AC575" s="7" t="str">
        <f aca="false">IF(AB575="","KEEP","DROP")</f>
        <v>KEEP</v>
      </c>
      <c r="AD575" s="7" t="str">
        <f aca="false">IF(TRIM(F575)="",IFERROR(INDEX(Map_Tables!$I$4:$I$37,MATCH(TRIM(E575),Map_Tables!$G$4:$G$37,0)),""),IFERROR(INDEX(Map_Tables!$B$4:$B$18,MATCH(TRIM(F575),Map_Tables!$A$4:$A$18,0)),"CHECK"))</f>
        <v>Delhi</v>
      </c>
      <c r="AE575" s="7" t="str">
        <f aca="false">IF(TRIM(E575)="","",IFERROR(INDEX(Map_Tables!$H$4:$H$37,MATCH(TRIM(E575),Map_Tables!$G$4:$G$37,0)),"CHECK"))</f>
        <v>Burger Barn</v>
      </c>
      <c r="AF575" s="7" t="str">
        <f aca="false">IF(TRIM(K575)="","Unknown",IFERROR(INDEX(Map_Tables!$E$4:$E$15,MATCH(TRIM(K575),Map_Tables!$D$4:$D$15,0)),"CHECK"))</f>
        <v>UPI</v>
      </c>
      <c r="AG575" s="7" t="str">
        <f aca="false">IF(LEFT(LOWER(TRIM(L575)),6)="cancel","Cancelled","Delivered")</f>
        <v>Delivered</v>
      </c>
      <c r="AH575" s="10" t="n">
        <f aca="false">IF(ISNUMBER(SEARCH("/",B575)),DATE(VALUE(RIGHT(B575,4)),VALUE(MID(B575,4,2)),VALUE(LEFT(B575,2))),IF(MID(B575,5,1)="-",DATE(VALUE(LEFT(B575,4)),VALUE(MID(B575,6,2)),VALUE(RIGHT(B575,2))),DATE(VALUE(RIGHT(B575,4)),MATCH(MID(B575,4,3),{"Jan","Feb","Mar","Apr","May","Jun","Jul","Aug","Sep","Oct","Nov","Dec"},0),VALUE(LEFT(B575,2)))))</f>
        <v>45831</v>
      </c>
    </row>
    <row r="576" customFormat="false" ht="15" hidden="false" customHeight="false" outlineLevel="0" collapsed="false">
      <c r="A576" s="7" t="s">
        <v>2071</v>
      </c>
      <c r="B576" s="7" t="s">
        <v>1312</v>
      </c>
      <c r="C576" s="7" t="s">
        <v>377</v>
      </c>
      <c r="D576" s="7" t="s">
        <v>2072</v>
      </c>
      <c r="E576" s="7" t="s">
        <v>160</v>
      </c>
      <c r="F576" s="7" t="s">
        <v>136</v>
      </c>
      <c r="G576" s="7" t="s">
        <v>150</v>
      </c>
      <c r="H576" s="7" t="n">
        <v>5</v>
      </c>
      <c r="I576" s="7" t="n">
        <v>200</v>
      </c>
      <c r="J576" s="7" t="n">
        <v>0</v>
      </c>
      <c r="K576" s="7" t="s">
        <v>121</v>
      </c>
      <c r="L576" s="7" t="s">
        <v>194</v>
      </c>
      <c r="M576" s="7" t="n">
        <v>37</v>
      </c>
      <c r="N576" s="7" t="n">
        <v>3</v>
      </c>
      <c r="O576" s="7" t="str">
        <f aca="false">A576&amp;"|"&amp;B576&amp;"|"&amp;C576&amp;"|"&amp;D576&amp;"|"&amp;E576&amp;"|"&amp;F576&amp;"|"&amp;G576&amp;"|"&amp;H576&amp;"|"&amp;I576&amp;"|"&amp;J576&amp;"|"&amp;K576&amp;"|"&amp;L576&amp;"|"&amp;M576&amp;"|"&amp;N576</f>
        <v>ORD11096|2025-05-19|12:00|C1361|Cake Walk|Pune|Desserts|5|200|0|Wallet|Delivered|37|3</v>
      </c>
      <c r="P576" s="7" t="str">
        <f aca="false">IF(COUNTIF($O$2:O576,O576)&gt;1,"DUP","OK")</f>
        <v>OK</v>
      </c>
      <c r="Q576" s="7" t="n">
        <f aca="false">COUNTBLANK(A576:N576)</f>
        <v>0</v>
      </c>
      <c r="R576" s="7" t="n">
        <f aca="false">IF(A576="",0,COUNTIFS($A$2:$A$3058,A576,$P$2:$P$3058,"OK"))</f>
        <v>1</v>
      </c>
      <c r="S576" s="7" t="str">
        <f aca="false">IF(OR(A576="",P576="DUP",R576&lt;2),"",IF(Q576=_xlfn.MINIFS($Q$2:$Q$3058,$A$2:$A$3058,A576,$P$2:$P$3058,"OK"),"KEEP","DROP"))</f>
        <v/>
      </c>
      <c r="T576" s="9" t="n">
        <f aca="false">IF(A576="",1,0)</f>
        <v>0</v>
      </c>
      <c r="U576" s="9" t="n">
        <f aca="false">IF(D576="",1,0)</f>
        <v>0</v>
      </c>
      <c r="V576" s="9" t="n">
        <f aca="false">IF(E576="",1,0)</f>
        <v>0</v>
      </c>
      <c r="W576" s="9" t="n">
        <f aca="false">IF(OR(H576&lt;1,H576&gt;10),1,0)</f>
        <v>0</v>
      </c>
      <c r="X576" s="9" t="n">
        <f aca="false">IF(OR(I576&lt;=0,I576&gt;1500),1,0)</f>
        <v>0</v>
      </c>
      <c r="Y576" s="9" t="n">
        <f aca="false">IF(J576&gt;H576*I576,1,0)</f>
        <v>0</v>
      </c>
      <c r="Z576" s="9" t="n">
        <f aca="false">IF(AND(N576&lt;&gt;"",OR(N576&lt;1,N576&gt;5)),1,0)</f>
        <v>0</v>
      </c>
      <c r="AA576" s="9" t="n">
        <f aca="false">IF(AND(M576&lt;&gt;"",OR(M576&lt;5,M576&gt;180)),1,0)</f>
        <v>0</v>
      </c>
      <c r="AB576" s="7" t="str">
        <f aca="false">IF(P576="DUP","Exact duplicate row",IF(T576=1,"Missing Order ID",IF(S576="DROP","Duplicate Order ID (less complete row)",IF(U576=1,"Missing Customer ID",IF(V576=1,"Missing Restaurant name",IF(W576=1,"Invalid/outlier quantity",IF(X576=1,"Invalid/outlier unit price",IF(Y576=1,"Discount greater than order value",""))))))))</f>
        <v/>
      </c>
      <c r="AC576" s="7" t="str">
        <f aca="false">IF(AB576="","KEEP","DROP")</f>
        <v>KEEP</v>
      </c>
      <c r="AD576" s="7" t="str">
        <f aca="false">IF(TRIM(F576)="",IFERROR(INDEX(Map_Tables!$I$4:$I$37,MATCH(TRIM(E576),Map_Tables!$G$4:$G$37,0)),""),IFERROR(INDEX(Map_Tables!$B$4:$B$18,MATCH(TRIM(F576),Map_Tables!$A$4:$A$18,0)),"CHECK"))</f>
        <v>Pune</v>
      </c>
      <c r="AE576" s="7" t="str">
        <f aca="false">IF(TRIM(E576)="","",IFERROR(INDEX(Map_Tables!$H$4:$H$37,MATCH(TRIM(E576),Map_Tables!$G$4:$G$37,0)),"CHECK"))</f>
        <v>Cake Walk</v>
      </c>
      <c r="AF576" s="7" t="str">
        <f aca="false">IF(TRIM(K576)="","Unknown",IFERROR(INDEX(Map_Tables!$E$4:$E$15,MATCH(TRIM(K576),Map_Tables!$D$4:$D$15,0)),"CHECK"))</f>
        <v>Wallet</v>
      </c>
      <c r="AG576" s="7" t="str">
        <f aca="false">IF(LEFT(LOWER(TRIM(L576)),6)="cancel","Cancelled","Delivered")</f>
        <v>Delivered</v>
      </c>
      <c r="AH576" s="10" t="n">
        <f aca="false">IF(ISNUMBER(SEARCH("/",B576)),DATE(VALUE(RIGHT(B576,4)),VALUE(MID(B576,4,2)),VALUE(LEFT(B576,2))),IF(MID(B576,5,1)="-",DATE(VALUE(LEFT(B576,4)),VALUE(MID(B576,6,2)),VALUE(RIGHT(B576,2))),DATE(VALUE(RIGHT(B576,4)),MATCH(MID(B576,4,3),{"Jan","Feb","Mar","Apr","May","Jun","Jul","Aug","Sep","Oct","Nov","Dec"},0),VALUE(LEFT(B576,2)))))</f>
        <v>45796</v>
      </c>
    </row>
    <row r="577" customFormat="false" ht="15" hidden="false" customHeight="false" outlineLevel="0" collapsed="false">
      <c r="A577" s="7" t="s">
        <v>2073</v>
      </c>
      <c r="B577" s="7" t="s">
        <v>995</v>
      </c>
      <c r="C577" s="7" t="s">
        <v>1626</v>
      </c>
      <c r="D577" s="7" t="s">
        <v>2074</v>
      </c>
      <c r="E577" s="7" t="s">
        <v>154</v>
      </c>
      <c r="F577" s="7" t="s">
        <v>702</v>
      </c>
      <c r="G577" s="7" t="s">
        <v>99</v>
      </c>
      <c r="H577" s="7" t="n">
        <v>3</v>
      </c>
      <c r="I577" s="7" t="n">
        <v>325</v>
      </c>
      <c r="J577" s="7" t="n">
        <v>0</v>
      </c>
      <c r="K577" s="7" t="s">
        <v>112</v>
      </c>
      <c r="L577" s="7" t="s">
        <v>194</v>
      </c>
      <c r="M577" s="7" t="n">
        <v>44</v>
      </c>
      <c r="N577" s="7" t="n">
        <v>2</v>
      </c>
      <c r="O577" s="7" t="str">
        <f aca="false">A577&amp;"|"&amp;B577&amp;"|"&amp;C577&amp;"|"&amp;D577&amp;"|"&amp;E577&amp;"|"&amp;F577&amp;"|"&amp;G577&amp;"|"&amp;H577&amp;"|"&amp;I577&amp;"|"&amp;J577&amp;"|"&amp;K577&amp;"|"&amp;L577&amp;"|"&amp;M577&amp;"|"&amp;N577</f>
        <v>ORD10340|2025-02-15|11:40|C0832|Madras Biryani Co|CHENNAI |Biryani|3|325|0|Cash on Delivery|Delivered|44|2</v>
      </c>
      <c r="P577" s="7" t="str">
        <f aca="false">IF(COUNTIF($O$2:O577,O577)&gt;1,"DUP","OK")</f>
        <v>OK</v>
      </c>
      <c r="Q577" s="7" t="n">
        <f aca="false">COUNTBLANK(A577:N577)</f>
        <v>0</v>
      </c>
      <c r="R577" s="7" t="n">
        <f aca="false">IF(A577="",0,COUNTIFS($A$2:$A$3058,A577,$P$2:$P$3058,"OK"))</f>
        <v>1</v>
      </c>
      <c r="S577" s="7" t="str">
        <f aca="false">IF(OR(A577="",P577="DUP",R577&lt;2),"",IF(Q577=_xlfn.MINIFS($Q$2:$Q$3058,$A$2:$A$3058,A577,$P$2:$P$3058,"OK"),"KEEP","DROP"))</f>
        <v/>
      </c>
      <c r="T577" s="9" t="n">
        <f aca="false">IF(A577="",1,0)</f>
        <v>0</v>
      </c>
      <c r="U577" s="9" t="n">
        <f aca="false">IF(D577="",1,0)</f>
        <v>0</v>
      </c>
      <c r="V577" s="9" t="n">
        <f aca="false">IF(E577="",1,0)</f>
        <v>0</v>
      </c>
      <c r="W577" s="9" t="n">
        <f aca="false">IF(OR(H577&lt;1,H577&gt;10),1,0)</f>
        <v>0</v>
      </c>
      <c r="X577" s="9" t="n">
        <f aca="false">IF(OR(I577&lt;=0,I577&gt;1500),1,0)</f>
        <v>0</v>
      </c>
      <c r="Y577" s="9" t="n">
        <f aca="false">IF(J577&gt;H577*I577,1,0)</f>
        <v>0</v>
      </c>
      <c r="Z577" s="9" t="n">
        <f aca="false">IF(AND(N577&lt;&gt;"",OR(N577&lt;1,N577&gt;5)),1,0)</f>
        <v>0</v>
      </c>
      <c r="AA577" s="9" t="n">
        <f aca="false">IF(AND(M577&lt;&gt;"",OR(M577&lt;5,M577&gt;180)),1,0)</f>
        <v>0</v>
      </c>
      <c r="AB577" s="7" t="str">
        <f aca="false">IF(P577="DUP","Exact duplicate row",IF(T577=1,"Missing Order ID",IF(S577="DROP","Duplicate Order ID (less complete row)",IF(U577=1,"Missing Customer ID",IF(V577=1,"Missing Restaurant name",IF(W577=1,"Invalid/outlier quantity",IF(X577=1,"Invalid/outlier unit price",IF(Y577=1,"Discount greater than order value",""))))))))</f>
        <v/>
      </c>
      <c r="AC577" s="7" t="str">
        <f aca="false">IF(AB577="","KEEP","DROP")</f>
        <v>KEEP</v>
      </c>
      <c r="AD577" s="7" t="str">
        <f aca="false">IF(TRIM(F577)="",IFERROR(INDEX(Map_Tables!$I$4:$I$37,MATCH(TRIM(E577),Map_Tables!$G$4:$G$37,0)),""),IFERROR(INDEX(Map_Tables!$B$4:$B$18,MATCH(TRIM(F577),Map_Tables!$A$4:$A$18,0)),"CHECK"))</f>
        <v>Chennai</v>
      </c>
      <c r="AE577" s="7" t="str">
        <f aca="false">IF(TRIM(E577)="","",IFERROR(INDEX(Map_Tables!$H$4:$H$37,MATCH(TRIM(E577),Map_Tables!$G$4:$G$37,0)),"CHECK"))</f>
        <v>Madras Biryani Co</v>
      </c>
      <c r="AF577" s="7" t="str">
        <f aca="false">IF(TRIM(K577)="","Unknown",IFERROR(INDEX(Map_Tables!$E$4:$E$15,MATCH(TRIM(K577),Map_Tables!$D$4:$D$15,0)),"CHECK"))</f>
        <v>Cash on Delivery</v>
      </c>
      <c r="AG577" s="7" t="str">
        <f aca="false">IF(LEFT(LOWER(TRIM(L577)),6)="cancel","Cancelled","Delivered")</f>
        <v>Delivered</v>
      </c>
      <c r="AH577" s="10" t="n">
        <f aca="false">IF(ISNUMBER(SEARCH("/",B577)),DATE(VALUE(RIGHT(B577,4)),VALUE(MID(B577,4,2)),VALUE(LEFT(B577,2))),IF(MID(B577,5,1)="-",DATE(VALUE(LEFT(B577,4)),VALUE(MID(B577,6,2)),VALUE(RIGHT(B577,2))),DATE(VALUE(RIGHT(B577,4)),MATCH(MID(B577,4,3),{"Jan","Feb","Mar","Apr","May","Jun","Jul","Aug","Sep","Oct","Nov","Dec"},0),VALUE(LEFT(B577,2)))))</f>
        <v>45703</v>
      </c>
    </row>
    <row r="578" customFormat="false" ht="15" hidden="false" customHeight="false" outlineLevel="0" collapsed="false">
      <c r="A578" s="7" t="s">
        <v>2075</v>
      </c>
      <c r="B578" s="7" t="s">
        <v>1433</v>
      </c>
      <c r="C578" s="7" t="s">
        <v>2076</v>
      </c>
      <c r="D578" s="7" t="s">
        <v>2077</v>
      </c>
      <c r="E578" s="7" t="s">
        <v>104</v>
      </c>
      <c r="F578" s="7" t="s">
        <v>86</v>
      </c>
      <c r="G578" s="7" t="s">
        <v>105</v>
      </c>
      <c r="H578" s="7" t="n">
        <v>1</v>
      </c>
      <c r="I578" s="7" t="n">
        <v>200</v>
      </c>
      <c r="J578" s="7" t="n">
        <v>40</v>
      </c>
      <c r="K578" s="7" t="s">
        <v>112</v>
      </c>
      <c r="L578" s="7" t="s">
        <v>194</v>
      </c>
      <c r="M578" s="7" t="n">
        <v>44</v>
      </c>
      <c r="N578" s="7" t="n">
        <v>4</v>
      </c>
      <c r="O578" s="7" t="str">
        <f aca="false">A578&amp;"|"&amp;B578&amp;"|"&amp;C578&amp;"|"&amp;D578&amp;"|"&amp;E578&amp;"|"&amp;F578&amp;"|"&amp;G578&amp;"|"&amp;H578&amp;"|"&amp;I578&amp;"|"&amp;J578&amp;"|"&amp;K578&amp;"|"&amp;L578&amp;"|"&amp;M578&amp;"|"&amp;N578</f>
        <v>ORD12062|2025-09-23|19:11|C0006|Wok &amp; Roll|Bengaluru|Chinese|1|200|40|Cash on Delivery|Delivered|44|4</v>
      </c>
      <c r="P578" s="7" t="str">
        <f aca="false">IF(COUNTIF($O$2:O578,O578)&gt;1,"DUP","OK")</f>
        <v>OK</v>
      </c>
      <c r="Q578" s="7" t="n">
        <f aca="false">COUNTBLANK(A578:N578)</f>
        <v>0</v>
      </c>
      <c r="R578" s="7" t="n">
        <f aca="false">IF(A578="",0,COUNTIFS($A$2:$A$3058,A578,$P$2:$P$3058,"OK"))</f>
        <v>1</v>
      </c>
      <c r="S578" s="7" t="str">
        <f aca="false">IF(OR(A578="",P578="DUP",R578&lt;2),"",IF(Q578=_xlfn.MINIFS($Q$2:$Q$3058,$A$2:$A$3058,A578,$P$2:$P$3058,"OK"),"KEEP","DROP"))</f>
        <v/>
      </c>
      <c r="T578" s="9" t="n">
        <f aca="false">IF(A578="",1,0)</f>
        <v>0</v>
      </c>
      <c r="U578" s="9" t="n">
        <f aca="false">IF(D578="",1,0)</f>
        <v>0</v>
      </c>
      <c r="V578" s="9" t="n">
        <f aca="false">IF(E578="",1,0)</f>
        <v>0</v>
      </c>
      <c r="W578" s="9" t="n">
        <f aca="false">IF(OR(H578&lt;1,H578&gt;10),1,0)</f>
        <v>0</v>
      </c>
      <c r="X578" s="9" t="n">
        <f aca="false">IF(OR(I578&lt;=0,I578&gt;1500),1,0)</f>
        <v>0</v>
      </c>
      <c r="Y578" s="9" t="n">
        <f aca="false">IF(J578&gt;H578*I578,1,0)</f>
        <v>0</v>
      </c>
      <c r="Z578" s="9" t="n">
        <f aca="false">IF(AND(N578&lt;&gt;"",OR(N578&lt;1,N578&gt;5)),1,0)</f>
        <v>0</v>
      </c>
      <c r="AA578" s="9" t="n">
        <f aca="false">IF(AND(M578&lt;&gt;"",OR(M578&lt;5,M578&gt;180)),1,0)</f>
        <v>0</v>
      </c>
      <c r="AB578" s="7" t="str">
        <f aca="false">IF(P578="DUP","Exact duplicate row",IF(T578=1,"Missing Order ID",IF(S578="DROP","Duplicate Order ID (less complete row)",IF(U578=1,"Missing Customer ID",IF(V578=1,"Missing Restaurant name",IF(W578=1,"Invalid/outlier quantity",IF(X578=1,"Invalid/outlier unit price",IF(Y578=1,"Discount greater than order value",""))))))))</f>
        <v/>
      </c>
      <c r="AC578" s="7" t="str">
        <f aca="false">IF(AB578="","KEEP","DROP")</f>
        <v>KEEP</v>
      </c>
      <c r="AD578" s="7" t="str">
        <f aca="false">IF(TRIM(F578)="",IFERROR(INDEX(Map_Tables!$I$4:$I$37,MATCH(TRIM(E578),Map_Tables!$G$4:$G$37,0)),""),IFERROR(INDEX(Map_Tables!$B$4:$B$18,MATCH(TRIM(F578),Map_Tables!$A$4:$A$18,0)),"CHECK"))</f>
        <v>Bengaluru</v>
      </c>
      <c r="AE578" s="7" t="str">
        <f aca="false">IF(TRIM(E578)="","",IFERROR(INDEX(Map_Tables!$H$4:$H$37,MATCH(TRIM(E578),Map_Tables!$G$4:$G$37,0)),"CHECK"))</f>
        <v>Wok &amp; Roll</v>
      </c>
      <c r="AF578" s="7" t="str">
        <f aca="false">IF(TRIM(K578)="","Unknown",IFERROR(INDEX(Map_Tables!$E$4:$E$15,MATCH(TRIM(K578),Map_Tables!$D$4:$D$15,0)),"CHECK"))</f>
        <v>Cash on Delivery</v>
      </c>
      <c r="AG578" s="7" t="str">
        <f aca="false">IF(LEFT(LOWER(TRIM(L578)),6)="cancel","Cancelled","Delivered")</f>
        <v>Delivered</v>
      </c>
      <c r="AH578" s="10" t="n">
        <f aca="false">IF(ISNUMBER(SEARCH("/",B578)),DATE(VALUE(RIGHT(B578,4)),VALUE(MID(B578,4,2)),VALUE(LEFT(B578,2))),IF(MID(B578,5,1)="-",DATE(VALUE(LEFT(B578,4)),VALUE(MID(B578,6,2)),VALUE(RIGHT(B578,2))),DATE(VALUE(RIGHT(B578,4)),MATCH(MID(B578,4,3),{"Jan","Feb","Mar","Apr","May","Jun","Jul","Aug","Sep","Oct","Nov","Dec"},0),VALUE(LEFT(B578,2)))))</f>
        <v>45923</v>
      </c>
    </row>
    <row r="579" customFormat="false" ht="15" hidden="false" customHeight="false" outlineLevel="0" collapsed="false">
      <c r="A579" s="7" t="s">
        <v>2078</v>
      </c>
      <c r="B579" s="7" t="s">
        <v>2079</v>
      </c>
      <c r="C579" s="7" t="s">
        <v>2080</v>
      </c>
      <c r="D579" s="7" t="s">
        <v>2081</v>
      </c>
      <c r="E579" s="7" t="s">
        <v>98</v>
      </c>
      <c r="F579" s="7" t="s">
        <v>86</v>
      </c>
      <c r="G579" s="7" t="s">
        <v>99</v>
      </c>
      <c r="H579" s="7" t="n">
        <v>1</v>
      </c>
      <c r="I579" s="7" t="n">
        <v>335</v>
      </c>
      <c r="J579" s="7" t="n">
        <v>0</v>
      </c>
      <c r="K579" s="7" t="s">
        <v>88</v>
      </c>
      <c r="L579" s="7" t="s">
        <v>194</v>
      </c>
      <c r="M579" s="7" t="n">
        <v>56</v>
      </c>
      <c r="N579" s="7" t="n">
        <v>4</v>
      </c>
      <c r="O579" s="7" t="str">
        <f aca="false">A579&amp;"|"&amp;B579&amp;"|"&amp;C579&amp;"|"&amp;D579&amp;"|"&amp;E579&amp;"|"&amp;F579&amp;"|"&amp;G579&amp;"|"&amp;H579&amp;"|"&amp;I579&amp;"|"&amp;J579&amp;"|"&amp;K579&amp;"|"&amp;L579&amp;"|"&amp;M579&amp;"|"&amp;N579</f>
        <v>ORD11298|15/06/2025|20:18|C0298|Nawabi Biryani House|Bengaluru|Biryani|1|335|0|UPI|Delivered|56|4</v>
      </c>
      <c r="P579" s="7" t="str">
        <f aca="false">IF(COUNTIF($O$2:O579,O579)&gt;1,"DUP","OK")</f>
        <v>OK</v>
      </c>
      <c r="Q579" s="7" t="n">
        <f aca="false">COUNTBLANK(A579:N579)</f>
        <v>0</v>
      </c>
      <c r="R579" s="7" t="n">
        <f aca="false">IF(A579="",0,COUNTIFS($A$2:$A$3058,A579,$P$2:$P$3058,"OK"))</f>
        <v>1</v>
      </c>
      <c r="S579" s="7" t="str">
        <f aca="false">IF(OR(A579="",P579="DUP",R579&lt;2),"",IF(Q579=_xlfn.MINIFS($Q$2:$Q$3058,$A$2:$A$3058,A579,$P$2:$P$3058,"OK"),"KEEP","DROP"))</f>
        <v/>
      </c>
      <c r="T579" s="9" t="n">
        <f aca="false">IF(A579="",1,0)</f>
        <v>0</v>
      </c>
      <c r="U579" s="9" t="n">
        <f aca="false">IF(D579="",1,0)</f>
        <v>0</v>
      </c>
      <c r="V579" s="9" t="n">
        <f aca="false">IF(E579="",1,0)</f>
        <v>0</v>
      </c>
      <c r="W579" s="9" t="n">
        <f aca="false">IF(OR(H579&lt;1,H579&gt;10),1,0)</f>
        <v>0</v>
      </c>
      <c r="X579" s="9" t="n">
        <f aca="false">IF(OR(I579&lt;=0,I579&gt;1500),1,0)</f>
        <v>0</v>
      </c>
      <c r="Y579" s="9" t="n">
        <f aca="false">IF(J579&gt;H579*I579,1,0)</f>
        <v>0</v>
      </c>
      <c r="Z579" s="9" t="n">
        <f aca="false">IF(AND(N579&lt;&gt;"",OR(N579&lt;1,N579&gt;5)),1,0)</f>
        <v>0</v>
      </c>
      <c r="AA579" s="9" t="n">
        <f aca="false">IF(AND(M579&lt;&gt;"",OR(M579&lt;5,M579&gt;180)),1,0)</f>
        <v>0</v>
      </c>
      <c r="AB579" s="7" t="str">
        <f aca="false">IF(P579="DUP","Exact duplicate row",IF(T579=1,"Missing Order ID",IF(S579="DROP","Duplicate Order ID (less complete row)",IF(U579=1,"Missing Customer ID",IF(V579=1,"Missing Restaurant name",IF(W579=1,"Invalid/outlier quantity",IF(X579=1,"Invalid/outlier unit price",IF(Y579=1,"Discount greater than order value",""))))))))</f>
        <v/>
      </c>
      <c r="AC579" s="7" t="str">
        <f aca="false">IF(AB579="","KEEP","DROP")</f>
        <v>KEEP</v>
      </c>
      <c r="AD579" s="7" t="str">
        <f aca="false">IF(TRIM(F579)="",IFERROR(INDEX(Map_Tables!$I$4:$I$37,MATCH(TRIM(E579),Map_Tables!$G$4:$G$37,0)),""),IFERROR(INDEX(Map_Tables!$B$4:$B$18,MATCH(TRIM(F579),Map_Tables!$A$4:$A$18,0)),"CHECK"))</f>
        <v>Bengaluru</v>
      </c>
      <c r="AE579" s="7" t="str">
        <f aca="false">IF(TRIM(E579)="","",IFERROR(INDEX(Map_Tables!$H$4:$H$37,MATCH(TRIM(E579),Map_Tables!$G$4:$G$37,0)),"CHECK"))</f>
        <v>Nawabi Biryani House</v>
      </c>
      <c r="AF579" s="7" t="str">
        <f aca="false">IF(TRIM(K579)="","Unknown",IFERROR(INDEX(Map_Tables!$E$4:$E$15,MATCH(TRIM(K579),Map_Tables!$D$4:$D$15,0)),"CHECK"))</f>
        <v>UPI</v>
      </c>
      <c r="AG579" s="7" t="str">
        <f aca="false">IF(LEFT(LOWER(TRIM(L579)),6)="cancel","Cancelled","Delivered")</f>
        <v>Delivered</v>
      </c>
      <c r="AH579" s="10" t="n">
        <f aca="false">IF(ISNUMBER(SEARCH("/",B579)),DATE(VALUE(RIGHT(B579,4)),VALUE(MID(B579,4,2)),VALUE(LEFT(B579,2))),IF(MID(B579,5,1)="-",DATE(VALUE(LEFT(B579,4)),VALUE(MID(B579,6,2)),VALUE(RIGHT(B579,2))),DATE(VALUE(RIGHT(B579,4)),MATCH(MID(B579,4,3),{"Jan","Feb","Mar","Apr","May","Jun","Jul","Aug","Sep","Oct","Nov","Dec"},0),VALUE(LEFT(B579,2)))))</f>
        <v>45823</v>
      </c>
    </row>
    <row r="580" customFormat="false" ht="15" hidden="false" customHeight="false" outlineLevel="0" collapsed="false">
      <c r="A580" s="7" t="s">
        <v>2082</v>
      </c>
      <c r="B580" s="7" t="s">
        <v>678</v>
      </c>
      <c r="C580" s="7" t="s">
        <v>2083</v>
      </c>
      <c r="D580" s="7" t="s">
        <v>1513</v>
      </c>
      <c r="E580" s="7" t="s">
        <v>142</v>
      </c>
      <c r="F580" s="7" t="s">
        <v>294</v>
      </c>
      <c r="G580" s="7" t="s">
        <v>105</v>
      </c>
      <c r="H580" s="7" t="n">
        <v>2</v>
      </c>
      <c r="I580" s="7" t="n">
        <v>135</v>
      </c>
      <c r="J580" s="7" t="n">
        <v>0</v>
      </c>
      <c r="K580" s="7" t="s">
        <v>133</v>
      </c>
      <c r="L580" s="7" t="s">
        <v>194</v>
      </c>
      <c r="M580" s="7" t="n">
        <v>36</v>
      </c>
      <c r="N580" s="7" t="n">
        <v>5</v>
      </c>
      <c r="O580" s="7" t="str">
        <f aca="false">A580&amp;"|"&amp;B580&amp;"|"&amp;C580&amp;"|"&amp;D580&amp;"|"&amp;E580&amp;"|"&amp;F580&amp;"|"&amp;G580&amp;"|"&amp;H580&amp;"|"&amp;I580&amp;"|"&amp;J580&amp;"|"&amp;K580&amp;"|"&amp;L580&amp;"|"&amp;M580&amp;"|"&amp;N580</f>
        <v>ORD10671|2025-03-26|21:13|C1027|Momo Magic|New Delhi|Chinese|2|135|0|Net Banking|Delivered|36|5</v>
      </c>
      <c r="P580" s="7" t="str">
        <f aca="false">IF(COUNTIF($O$2:O580,O580)&gt;1,"DUP","OK")</f>
        <v>OK</v>
      </c>
      <c r="Q580" s="7" t="n">
        <f aca="false">COUNTBLANK(A580:N580)</f>
        <v>0</v>
      </c>
      <c r="R580" s="7" t="n">
        <f aca="false">IF(A580="",0,COUNTIFS($A$2:$A$3058,A580,$P$2:$P$3058,"OK"))</f>
        <v>1</v>
      </c>
      <c r="S580" s="7" t="str">
        <f aca="false">IF(OR(A580="",P580="DUP",R580&lt;2),"",IF(Q580=_xlfn.MINIFS($Q$2:$Q$3058,$A$2:$A$3058,A580,$P$2:$P$3058,"OK"),"KEEP","DROP"))</f>
        <v/>
      </c>
      <c r="T580" s="9" t="n">
        <f aca="false">IF(A580="",1,0)</f>
        <v>0</v>
      </c>
      <c r="U580" s="9" t="n">
        <f aca="false">IF(D580="",1,0)</f>
        <v>0</v>
      </c>
      <c r="V580" s="9" t="n">
        <f aca="false">IF(E580="",1,0)</f>
        <v>0</v>
      </c>
      <c r="W580" s="9" t="n">
        <f aca="false">IF(OR(H580&lt;1,H580&gt;10),1,0)</f>
        <v>0</v>
      </c>
      <c r="X580" s="9" t="n">
        <f aca="false">IF(OR(I580&lt;=0,I580&gt;1500),1,0)</f>
        <v>0</v>
      </c>
      <c r="Y580" s="9" t="n">
        <f aca="false">IF(J580&gt;H580*I580,1,0)</f>
        <v>0</v>
      </c>
      <c r="Z580" s="9" t="n">
        <f aca="false">IF(AND(N580&lt;&gt;"",OR(N580&lt;1,N580&gt;5)),1,0)</f>
        <v>0</v>
      </c>
      <c r="AA580" s="9" t="n">
        <f aca="false">IF(AND(M580&lt;&gt;"",OR(M580&lt;5,M580&gt;180)),1,0)</f>
        <v>0</v>
      </c>
      <c r="AB580" s="7" t="str">
        <f aca="false">IF(P580="DUP","Exact duplicate row",IF(T580=1,"Missing Order ID",IF(S580="DROP","Duplicate Order ID (less complete row)",IF(U580=1,"Missing Customer ID",IF(V580=1,"Missing Restaurant name",IF(W580=1,"Invalid/outlier quantity",IF(X580=1,"Invalid/outlier unit price",IF(Y580=1,"Discount greater than order value",""))))))))</f>
        <v/>
      </c>
      <c r="AC580" s="7" t="str">
        <f aca="false">IF(AB580="","KEEP","DROP")</f>
        <v>KEEP</v>
      </c>
      <c r="AD580" s="7" t="str">
        <f aca="false">IF(TRIM(F580)="",IFERROR(INDEX(Map_Tables!$I$4:$I$37,MATCH(TRIM(E580),Map_Tables!$G$4:$G$37,0)),""),IFERROR(INDEX(Map_Tables!$B$4:$B$18,MATCH(TRIM(F580),Map_Tables!$A$4:$A$18,0)),"CHECK"))</f>
        <v>Delhi</v>
      </c>
      <c r="AE580" s="7" t="str">
        <f aca="false">IF(TRIM(E580)="","",IFERROR(INDEX(Map_Tables!$H$4:$H$37,MATCH(TRIM(E580),Map_Tables!$G$4:$G$37,0)),"CHECK"))</f>
        <v>Momo Magic</v>
      </c>
      <c r="AF580" s="7" t="str">
        <f aca="false">IF(TRIM(K580)="","Unknown",IFERROR(INDEX(Map_Tables!$E$4:$E$15,MATCH(TRIM(K580),Map_Tables!$D$4:$D$15,0)),"CHECK"))</f>
        <v>Net Banking</v>
      </c>
      <c r="AG580" s="7" t="str">
        <f aca="false">IF(LEFT(LOWER(TRIM(L580)),6)="cancel","Cancelled","Delivered")</f>
        <v>Delivered</v>
      </c>
      <c r="AH580" s="10" t="n">
        <f aca="false">IF(ISNUMBER(SEARCH("/",B580)),DATE(VALUE(RIGHT(B580,4)),VALUE(MID(B580,4,2)),VALUE(LEFT(B580,2))),IF(MID(B580,5,1)="-",DATE(VALUE(LEFT(B580,4)),VALUE(MID(B580,6,2)),VALUE(RIGHT(B580,2))),DATE(VALUE(RIGHT(B580,4)),MATCH(MID(B580,4,3),{"Jan","Feb","Mar","Apr","May","Jun","Jul","Aug","Sep","Oct","Nov","Dec"},0),VALUE(LEFT(B580,2)))))</f>
        <v>45742</v>
      </c>
    </row>
    <row r="581" customFormat="false" ht="15" hidden="false" customHeight="false" outlineLevel="0" collapsed="false">
      <c r="A581" s="7" t="s">
        <v>2084</v>
      </c>
      <c r="B581" s="7" t="s">
        <v>1187</v>
      </c>
      <c r="C581" s="7" t="s">
        <v>1161</v>
      </c>
      <c r="D581" s="7" t="s">
        <v>919</v>
      </c>
      <c r="E581" s="7" t="s">
        <v>160</v>
      </c>
      <c r="F581" s="7" t="s">
        <v>136</v>
      </c>
      <c r="G581" s="7" t="s">
        <v>150</v>
      </c>
      <c r="H581" s="7" t="n">
        <v>1</v>
      </c>
      <c r="I581" s="7" t="n">
        <v>210</v>
      </c>
      <c r="J581" s="7" t="n">
        <v>0</v>
      </c>
      <c r="K581" s="7" t="s">
        <v>93</v>
      </c>
      <c r="L581" s="7" t="s">
        <v>194</v>
      </c>
      <c r="M581" s="7" t="n">
        <v>36</v>
      </c>
      <c r="N581" s="7" t="n">
        <v>3</v>
      </c>
      <c r="O581" s="7" t="str">
        <f aca="false">A581&amp;"|"&amp;B581&amp;"|"&amp;C581&amp;"|"&amp;D581&amp;"|"&amp;E581&amp;"|"&amp;F581&amp;"|"&amp;G581&amp;"|"&amp;H581&amp;"|"&amp;I581&amp;"|"&amp;J581&amp;"|"&amp;K581&amp;"|"&amp;L581&amp;"|"&amp;M581&amp;"|"&amp;N581</f>
        <v>ORD11958|2025-09-11|13:17|C1462|Cake Walk|Pune|Desserts|1|210|0|Credit Card|Delivered|36|3</v>
      </c>
      <c r="P581" s="7" t="str">
        <f aca="false">IF(COUNTIF($O$2:O581,O581)&gt;1,"DUP","OK")</f>
        <v>OK</v>
      </c>
      <c r="Q581" s="7" t="n">
        <f aca="false">COUNTBLANK(A581:N581)</f>
        <v>0</v>
      </c>
      <c r="R581" s="7" t="n">
        <f aca="false">IF(A581="",0,COUNTIFS($A$2:$A$3058,A581,$P$2:$P$3058,"OK"))</f>
        <v>1</v>
      </c>
      <c r="S581" s="7" t="str">
        <f aca="false">IF(OR(A581="",P581="DUP",R581&lt;2),"",IF(Q581=_xlfn.MINIFS($Q$2:$Q$3058,$A$2:$A$3058,A581,$P$2:$P$3058,"OK"),"KEEP","DROP"))</f>
        <v/>
      </c>
      <c r="T581" s="9" t="n">
        <f aca="false">IF(A581="",1,0)</f>
        <v>0</v>
      </c>
      <c r="U581" s="9" t="n">
        <f aca="false">IF(D581="",1,0)</f>
        <v>0</v>
      </c>
      <c r="V581" s="9" t="n">
        <f aca="false">IF(E581="",1,0)</f>
        <v>0</v>
      </c>
      <c r="W581" s="9" t="n">
        <f aca="false">IF(OR(H581&lt;1,H581&gt;10),1,0)</f>
        <v>0</v>
      </c>
      <c r="X581" s="9" t="n">
        <f aca="false">IF(OR(I581&lt;=0,I581&gt;1500),1,0)</f>
        <v>0</v>
      </c>
      <c r="Y581" s="9" t="n">
        <f aca="false">IF(J581&gt;H581*I581,1,0)</f>
        <v>0</v>
      </c>
      <c r="Z581" s="9" t="n">
        <f aca="false">IF(AND(N581&lt;&gt;"",OR(N581&lt;1,N581&gt;5)),1,0)</f>
        <v>0</v>
      </c>
      <c r="AA581" s="9" t="n">
        <f aca="false">IF(AND(M581&lt;&gt;"",OR(M581&lt;5,M581&gt;180)),1,0)</f>
        <v>0</v>
      </c>
      <c r="AB581" s="7" t="str">
        <f aca="false">IF(P581="DUP","Exact duplicate row",IF(T581=1,"Missing Order ID",IF(S581="DROP","Duplicate Order ID (less complete row)",IF(U581=1,"Missing Customer ID",IF(V581=1,"Missing Restaurant name",IF(W581=1,"Invalid/outlier quantity",IF(X581=1,"Invalid/outlier unit price",IF(Y581=1,"Discount greater than order value",""))))))))</f>
        <v/>
      </c>
      <c r="AC581" s="7" t="str">
        <f aca="false">IF(AB581="","KEEP","DROP")</f>
        <v>KEEP</v>
      </c>
      <c r="AD581" s="7" t="str">
        <f aca="false">IF(TRIM(F581)="",IFERROR(INDEX(Map_Tables!$I$4:$I$37,MATCH(TRIM(E581),Map_Tables!$G$4:$G$37,0)),""),IFERROR(INDEX(Map_Tables!$B$4:$B$18,MATCH(TRIM(F581),Map_Tables!$A$4:$A$18,0)),"CHECK"))</f>
        <v>Pune</v>
      </c>
      <c r="AE581" s="7" t="str">
        <f aca="false">IF(TRIM(E581)="","",IFERROR(INDEX(Map_Tables!$H$4:$H$37,MATCH(TRIM(E581),Map_Tables!$G$4:$G$37,0)),"CHECK"))</f>
        <v>Cake Walk</v>
      </c>
      <c r="AF581" s="7" t="str">
        <f aca="false">IF(TRIM(K581)="","Unknown",IFERROR(INDEX(Map_Tables!$E$4:$E$15,MATCH(TRIM(K581),Map_Tables!$D$4:$D$15,0)),"CHECK"))</f>
        <v>Credit Card</v>
      </c>
      <c r="AG581" s="7" t="str">
        <f aca="false">IF(LEFT(LOWER(TRIM(L581)),6)="cancel","Cancelled","Delivered")</f>
        <v>Delivered</v>
      </c>
      <c r="AH581" s="10" t="n">
        <f aca="false">IF(ISNUMBER(SEARCH("/",B581)),DATE(VALUE(RIGHT(B581,4)),VALUE(MID(B581,4,2)),VALUE(LEFT(B581,2))),IF(MID(B581,5,1)="-",DATE(VALUE(LEFT(B581,4)),VALUE(MID(B581,6,2)),VALUE(RIGHT(B581,2))),DATE(VALUE(RIGHT(B581,4)),MATCH(MID(B581,4,3),{"Jan","Feb","Mar","Apr","May","Jun","Jul","Aug","Sep","Oct","Nov","Dec"},0),VALUE(LEFT(B581,2)))))</f>
        <v>45911</v>
      </c>
    </row>
    <row r="582" customFormat="false" ht="15" hidden="false" customHeight="false" outlineLevel="0" collapsed="false">
      <c r="A582" s="7" t="s">
        <v>2085</v>
      </c>
      <c r="B582" s="7" t="s">
        <v>1623</v>
      </c>
      <c r="C582" s="7" t="s">
        <v>883</v>
      </c>
      <c r="D582" s="7" t="s">
        <v>2086</v>
      </c>
      <c r="E582" s="7" t="s">
        <v>144</v>
      </c>
      <c r="F582" s="7" t="s">
        <v>119</v>
      </c>
      <c r="G582" s="7" t="s">
        <v>99</v>
      </c>
      <c r="H582" s="7" t="n">
        <v>3</v>
      </c>
      <c r="I582" s="7" t="n">
        <v>265</v>
      </c>
      <c r="J582" s="7" t="n">
        <v>20</v>
      </c>
      <c r="K582" s="7" t="s">
        <v>87</v>
      </c>
      <c r="L582" s="7" t="s">
        <v>194</v>
      </c>
      <c r="M582" s="7" t="n">
        <v>45</v>
      </c>
      <c r="N582" s="7" t="n">
        <v>5</v>
      </c>
      <c r="O582" s="7" t="str">
        <f aca="false">A582&amp;"|"&amp;B582&amp;"|"&amp;C582&amp;"|"&amp;D582&amp;"|"&amp;E582&amp;"|"&amp;F582&amp;"|"&amp;G582&amp;"|"&amp;H582&amp;"|"&amp;I582&amp;"|"&amp;J582&amp;"|"&amp;K582&amp;"|"&amp;L582&amp;"|"&amp;M582&amp;"|"&amp;N582</f>
        <v>ORD12385|2025-10-28|13:42|C0165|Hyderabad Dum Biryani|Hyderabad|Biryani|3|265|20|upi|Delivered|45|5</v>
      </c>
      <c r="P582" s="7" t="str">
        <f aca="false">IF(COUNTIF($O$2:O582,O582)&gt;1,"DUP","OK")</f>
        <v>OK</v>
      </c>
      <c r="Q582" s="7" t="n">
        <f aca="false">COUNTBLANK(A582:N582)</f>
        <v>0</v>
      </c>
      <c r="R582" s="7" t="n">
        <f aca="false">IF(A582="",0,COUNTIFS($A$2:$A$3058,A582,$P$2:$P$3058,"OK"))</f>
        <v>1</v>
      </c>
      <c r="S582" s="7" t="str">
        <f aca="false">IF(OR(A582="",P582="DUP",R582&lt;2),"",IF(Q582=_xlfn.MINIFS($Q$2:$Q$3058,$A$2:$A$3058,A582,$P$2:$P$3058,"OK"),"KEEP","DROP"))</f>
        <v/>
      </c>
      <c r="T582" s="9" t="n">
        <f aca="false">IF(A582="",1,0)</f>
        <v>0</v>
      </c>
      <c r="U582" s="9" t="n">
        <f aca="false">IF(D582="",1,0)</f>
        <v>0</v>
      </c>
      <c r="V582" s="9" t="n">
        <f aca="false">IF(E582="",1,0)</f>
        <v>0</v>
      </c>
      <c r="W582" s="9" t="n">
        <f aca="false">IF(OR(H582&lt;1,H582&gt;10),1,0)</f>
        <v>0</v>
      </c>
      <c r="X582" s="9" t="n">
        <f aca="false">IF(OR(I582&lt;=0,I582&gt;1500),1,0)</f>
        <v>0</v>
      </c>
      <c r="Y582" s="9" t="n">
        <f aca="false">IF(J582&gt;H582*I582,1,0)</f>
        <v>0</v>
      </c>
      <c r="Z582" s="9" t="n">
        <f aca="false">IF(AND(N582&lt;&gt;"",OR(N582&lt;1,N582&gt;5)),1,0)</f>
        <v>0</v>
      </c>
      <c r="AA582" s="9" t="n">
        <f aca="false">IF(AND(M582&lt;&gt;"",OR(M582&lt;5,M582&gt;180)),1,0)</f>
        <v>0</v>
      </c>
      <c r="AB582" s="7" t="str">
        <f aca="false">IF(P582="DUP","Exact duplicate row",IF(T582=1,"Missing Order ID",IF(S582="DROP","Duplicate Order ID (less complete row)",IF(U582=1,"Missing Customer ID",IF(V582=1,"Missing Restaurant name",IF(W582=1,"Invalid/outlier quantity",IF(X582=1,"Invalid/outlier unit price",IF(Y582=1,"Discount greater than order value",""))))))))</f>
        <v/>
      </c>
      <c r="AC582" s="7" t="str">
        <f aca="false">IF(AB582="","KEEP","DROP")</f>
        <v>KEEP</v>
      </c>
      <c r="AD582" s="7" t="str">
        <f aca="false">IF(TRIM(F582)="",IFERROR(INDEX(Map_Tables!$I$4:$I$37,MATCH(TRIM(E582),Map_Tables!$G$4:$G$37,0)),""),IFERROR(INDEX(Map_Tables!$B$4:$B$18,MATCH(TRIM(F582),Map_Tables!$A$4:$A$18,0)),"CHECK"))</f>
        <v>Hyderabad</v>
      </c>
      <c r="AE582" s="7" t="str">
        <f aca="false">IF(TRIM(E582)="","",IFERROR(INDEX(Map_Tables!$H$4:$H$37,MATCH(TRIM(E582),Map_Tables!$G$4:$G$37,0)),"CHECK"))</f>
        <v>Hyderabad Dum Biryani</v>
      </c>
      <c r="AF582" s="7" t="str">
        <f aca="false">IF(TRIM(K582)="","Unknown",IFERROR(INDEX(Map_Tables!$E$4:$E$15,MATCH(TRIM(K582),Map_Tables!$D$4:$D$15,0)),"CHECK"))</f>
        <v>UPI</v>
      </c>
      <c r="AG582" s="7" t="str">
        <f aca="false">IF(LEFT(LOWER(TRIM(L582)),6)="cancel","Cancelled","Delivered")</f>
        <v>Delivered</v>
      </c>
      <c r="AH582" s="10" t="n">
        <f aca="false">IF(ISNUMBER(SEARCH("/",B582)),DATE(VALUE(RIGHT(B582,4)),VALUE(MID(B582,4,2)),VALUE(LEFT(B582,2))),IF(MID(B582,5,1)="-",DATE(VALUE(LEFT(B582,4)),VALUE(MID(B582,6,2)),VALUE(RIGHT(B582,2))),DATE(VALUE(RIGHT(B582,4)),MATCH(MID(B582,4,3),{"Jan","Feb","Mar","Apr","May","Jun","Jul","Aug","Sep","Oct","Nov","Dec"},0),VALUE(LEFT(B582,2)))))</f>
        <v>45958</v>
      </c>
    </row>
    <row r="583" customFormat="false" ht="15" hidden="false" customHeight="false" outlineLevel="0" collapsed="false">
      <c r="A583" s="7" t="s">
        <v>2087</v>
      </c>
      <c r="B583" s="7" t="s">
        <v>1535</v>
      </c>
      <c r="C583" s="7" t="s">
        <v>2088</v>
      </c>
      <c r="D583" s="7" t="s">
        <v>1632</v>
      </c>
      <c r="E583" s="7" t="s">
        <v>138</v>
      </c>
      <c r="F583" s="7" t="s">
        <v>110</v>
      </c>
      <c r="G583" s="7" t="s">
        <v>139</v>
      </c>
      <c r="H583" s="7" t="n">
        <v>2</v>
      </c>
      <c r="I583" s="7" t="n">
        <v>165</v>
      </c>
      <c r="J583" s="7" t="n">
        <v>0</v>
      </c>
      <c r="K583" s="7" t="s">
        <v>93</v>
      </c>
      <c r="L583" s="7" t="s">
        <v>194</v>
      </c>
      <c r="M583" s="7" t="n">
        <v>46</v>
      </c>
      <c r="N583" s="7" t="n">
        <v>4</v>
      </c>
      <c r="O583" s="7" t="str">
        <f aca="false">A583&amp;"|"&amp;B583&amp;"|"&amp;C583&amp;"|"&amp;D583&amp;"|"&amp;E583&amp;"|"&amp;F583&amp;"|"&amp;G583&amp;"|"&amp;H583&amp;"|"&amp;I583&amp;"|"&amp;J583&amp;"|"&amp;K583&amp;"|"&amp;L583&amp;"|"&amp;M583&amp;"|"&amp;N583</f>
        <v>ORD12021|2025-09-18|19:56|C0540|Burger Barn|Delhi|Burgers|2|165|0|Credit Card|Delivered|46|4</v>
      </c>
      <c r="P583" s="7" t="str">
        <f aca="false">IF(COUNTIF($O$2:O583,O583)&gt;1,"DUP","OK")</f>
        <v>OK</v>
      </c>
      <c r="Q583" s="7" t="n">
        <f aca="false">COUNTBLANK(A583:N583)</f>
        <v>0</v>
      </c>
      <c r="R583" s="7" t="n">
        <f aca="false">IF(A583="",0,COUNTIFS($A$2:$A$3058,A583,$P$2:$P$3058,"OK"))</f>
        <v>1</v>
      </c>
      <c r="S583" s="7" t="str">
        <f aca="false">IF(OR(A583="",P583="DUP",R583&lt;2),"",IF(Q583=_xlfn.MINIFS($Q$2:$Q$3058,$A$2:$A$3058,A583,$P$2:$P$3058,"OK"),"KEEP","DROP"))</f>
        <v/>
      </c>
      <c r="T583" s="9" t="n">
        <f aca="false">IF(A583="",1,0)</f>
        <v>0</v>
      </c>
      <c r="U583" s="9" t="n">
        <f aca="false">IF(D583="",1,0)</f>
        <v>0</v>
      </c>
      <c r="V583" s="9" t="n">
        <f aca="false">IF(E583="",1,0)</f>
        <v>0</v>
      </c>
      <c r="W583" s="9" t="n">
        <f aca="false">IF(OR(H583&lt;1,H583&gt;10),1,0)</f>
        <v>0</v>
      </c>
      <c r="X583" s="9" t="n">
        <f aca="false">IF(OR(I583&lt;=0,I583&gt;1500),1,0)</f>
        <v>0</v>
      </c>
      <c r="Y583" s="9" t="n">
        <f aca="false">IF(J583&gt;H583*I583,1,0)</f>
        <v>0</v>
      </c>
      <c r="Z583" s="9" t="n">
        <f aca="false">IF(AND(N583&lt;&gt;"",OR(N583&lt;1,N583&gt;5)),1,0)</f>
        <v>0</v>
      </c>
      <c r="AA583" s="9" t="n">
        <f aca="false">IF(AND(M583&lt;&gt;"",OR(M583&lt;5,M583&gt;180)),1,0)</f>
        <v>0</v>
      </c>
      <c r="AB583" s="7" t="str">
        <f aca="false">IF(P583="DUP","Exact duplicate row",IF(T583=1,"Missing Order ID",IF(S583="DROP","Duplicate Order ID (less complete row)",IF(U583=1,"Missing Customer ID",IF(V583=1,"Missing Restaurant name",IF(W583=1,"Invalid/outlier quantity",IF(X583=1,"Invalid/outlier unit price",IF(Y583=1,"Discount greater than order value",""))))))))</f>
        <v/>
      </c>
      <c r="AC583" s="7" t="str">
        <f aca="false">IF(AB583="","KEEP","DROP")</f>
        <v>KEEP</v>
      </c>
      <c r="AD583" s="7" t="str">
        <f aca="false">IF(TRIM(F583)="",IFERROR(INDEX(Map_Tables!$I$4:$I$37,MATCH(TRIM(E583),Map_Tables!$G$4:$G$37,0)),""),IFERROR(INDEX(Map_Tables!$B$4:$B$18,MATCH(TRIM(F583),Map_Tables!$A$4:$A$18,0)),"CHECK"))</f>
        <v>Delhi</v>
      </c>
      <c r="AE583" s="7" t="str">
        <f aca="false">IF(TRIM(E583)="","",IFERROR(INDEX(Map_Tables!$H$4:$H$37,MATCH(TRIM(E583),Map_Tables!$G$4:$G$37,0)),"CHECK"))</f>
        <v>Burger Barn</v>
      </c>
      <c r="AF583" s="7" t="str">
        <f aca="false">IF(TRIM(K583)="","Unknown",IFERROR(INDEX(Map_Tables!$E$4:$E$15,MATCH(TRIM(K583),Map_Tables!$D$4:$D$15,0)),"CHECK"))</f>
        <v>Credit Card</v>
      </c>
      <c r="AG583" s="7" t="str">
        <f aca="false">IF(LEFT(LOWER(TRIM(L583)),6)="cancel","Cancelled","Delivered")</f>
        <v>Delivered</v>
      </c>
      <c r="AH583" s="10" t="n">
        <f aca="false">IF(ISNUMBER(SEARCH("/",B583)),DATE(VALUE(RIGHT(B583,4)),VALUE(MID(B583,4,2)),VALUE(LEFT(B583,2))),IF(MID(B583,5,1)="-",DATE(VALUE(LEFT(B583,4)),VALUE(MID(B583,6,2)),VALUE(RIGHT(B583,2))),DATE(VALUE(RIGHT(B583,4)),MATCH(MID(B583,4,3),{"Jan","Feb","Mar","Apr","May","Jun","Jul","Aug","Sep","Oct","Nov","Dec"},0),VALUE(LEFT(B583,2)))))</f>
        <v>45918</v>
      </c>
    </row>
    <row r="584" customFormat="false" ht="15" hidden="false" customHeight="false" outlineLevel="0" collapsed="false">
      <c r="A584" s="7" t="s">
        <v>2089</v>
      </c>
      <c r="B584" s="7" t="s">
        <v>2090</v>
      </c>
      <c r="C584" s="7" t="s">
        <v>1137</v>
      </c>
      <c r="D584" s="7" t="s">
        <v>2091</v>
      </c>
      <c r="E584" s="7" t="s">
        <v>168</v>
      </c>
      <c r="F584" s="7" t="s">
        <v>146</v>
      </c>
      <c r="G584" s="7" t="s">
        <v>123</v>
      </c>
      <c r="H584" s="7" t="n">
        <v>1</v>
      </c>
      <c r="I584" s="7" t="n">
        <v>265</v>
      </c>
      <c r="J584" s="7" t="n">
        <v>0</v>
      </c>
      <c r="K584" s="7" t="s">
        <v>88</v>
      </c>
      <c r="L584" s="7" t="s">
        <v>194</v>
      </c>
      <c r="M584" s="7" t="n">
        <v>22</v>
      </c>
      <c r="N584" s="7" t="n">
        <v>3</v>
      </c>
      <c r="O584" s="7" t="str">
        <f aca="false">A584&amp;"|"&amp;B584&amp;"|"&amp;C584&amp;"|"&amp;D584&amp;"|"&amp;E584&amp;"|"&amp;F584&amp;"|"&amp;G584&amp;"|"&amp;H584&amp;"|"&amp;I584&amp;"|"&amp;J584&amp;"|"&amp;K584&amp;"|"&amp;L584&amp;"|"&amp;M584&amp;"|"&amp;N584</f>
        <v>ORD11117|2025-05-22|18:04|C1463|Cheesy Slice|Ahmedabad|Pizza|1|265|0|UPI|Delivered|22|3</v>
      </c>
      <c r="P584" s="7" t="str">
        <f aca="false">IF(COUNTIF($O$2:O584,O584)&gt;1,"DUP","OK")</f>
        <v>OK</v>
      </c>
      <c r="Q584" s="7" t="n">
        <f aca="false">COUNTBLANK(A584:N584)</f>
        <v>0</v>
      </c>
      <c r="R584" s="7" t="n">
        <f aca="false">IF(A584="",0,COUNTIFS($A$2:$A$3058,A584,$P$2:$P$3058,"OK"))</f>
        <v>1</v>
      </c>
      <c r="S584" s="7" t="str">
        <f aca="false">IF(OR(A584="",P584="DUP",R584&lt;2),"",IF(Q584=_xlfn.MINIFS($Q$2:$Q$3058,$A$2:$A$3058,A584,$P$2:$P$3058,"OK"),"KEEP","DROP"))</f>
        <v/>
      </c>
      <c r="T584" s="9" t="n">
        <f aca="false">IF(A584="",1,0)</f>
        <v>0</v>
      </c>
      <c r="U584" s="9" t="n">
        <f aca="false">IF(D584="",1,0)</f>
        <v>0</v>
      </c>
      <c r="V584" s="9" t="n">
        <f aca="false">IF(E584="",1,0)</f>
        <v>0</v>
      </c>
      <c r="W584" s="9" t="n">
        <f aca="false">IF(OR(H584&lt;1,H584&gt;10),1,0)</f>
        <v>0</v>
      </c>
      <c r="X584" s="9" t="n">
        <f aca="false">IF(OR(I584&lt;=0,I584&gt;1500),1,0)</f>
        <v>0</v>
      </c>
      <c r="Y584" s="9" t="n">
        <f aca="false">IF(J584&gt;H584*I584,1,0)</f>
        <v>0</v>
      </c>
      <c r="Z584" s="9" t="n">
        <f aca="false">IF(AND(N584&lt;&gt;"",OR(N584&lt;1,N584&gt;5)),1,0)</f>
        <v>0</v>
      </c>
      <c r="AA584" s="9" t="n">
        <f aca="false">IF(AND(M584&lt;&gt;"",OR(M584&lt;5,M584&gt;180)),1,0)</f>
        <v>0</v>
      </c>
      <c r="AB584" s="7" t="str">
        <f aca="false">IF(P584="DUP","Exact duplicate row",IF(T584=1,"Missing Order ID",IF(S584="DROP","Duplicate Order ID (less complete row)",IF(U584=1,"Missing Customer ID",IF(V584=1,"Missing Restaurant name",IF(W584=1,"Invalid/outlier quantity",IF(X584=1,"Invalid/outlier unit price",IF(Y584=1,"Discount greater than order value",""))))))))</f>
        <v/>
      </c>
      <c r="AC584" s="7" t="str">
        <f aca="false">IF(AB584="","KEEP","DROP")</f>
        <v>KEEP</v>
      </c>
      <c r="AD584" s="7" t="str">
        <f aca="false">IF(TRIM(F584)="",IFERROR(INDEX(Map_Tables!$I$4:$I$37,MATCH(TRIM(E584),Map_Tables!$G$4:$G$37,0)),""),IFERROR(INDEX(Map_Tables!$B$4:$B$18,MATCH(TRIM(F584),Map_Tables!$A$4:$A$18,0)),"CHECK"))</f>
        <v>Ahmedabad</v>
      </c>
      <c r="AE584" s="7" t="str">
        <f aca="false">IF(TRIM(E584)="","",IFERROR(INDEX(Map_Tables!$H$4:$H$37,MATCH(TRIM(E584),Map_Tables!$G$4:$G$37,0)),"CHECK"))</f>
        <v>Cheesy Slice</v>
      </c>
      <c r="AF584" s="7" t="str">
        <f aca="false">IF(TRIM(K584)="","Unknown",IFERROR(INDEX(Map_Tables!$E$4:$E$15,MATCH(TRIM(K584),Map_Tables!$D$4:$D$15,0)),"CHECK"))</f>
        <v>UPI</v>
      </c>
      <c r="AG584" s="7" t="str">
        <f aca="false">IF(LEFT(LOWER(TRIM(L584)),6)="cancel","Cancelled","Delivered")</f>
        <v>Delivered</v>
      </c>
      <c r="AH584" s="10" t="n">
        <f aca="false">IF(ISNUMBER(SEARCH("/",B584)),DATE(VALUE(RIGHT(B584,4)),VALUE(MID(B584,4,2)),VALUE(LEFT(B584,2))),IF(MID(B584,5,1)="-",DATE(VALUE(LEFT(B584,4)),VALUE(MID(B584,6,2)),VALUE(RIGHT(B584,2))),DATE(VALUE(RIGHT(B584,4)),MATCH(MID(B584,4,3),{"Jan","Feb","Mar","Apr","May","Jun","Jul","Aug","Sep","Oct","Nov","Dec"},0),VALUE(LEFT(B584,2)))))</f>
        <v>45799</v>
      </c>
    </row>
    <row r="585" customFormat="false" ht="15" hidden="false" customHeight="false" outlineLevel="0" collapsed="false">
      <c r="A585" s="7" t="s">
        <v>2092</v>
      </c>
      <c r="B585" s="7" t="s">
        <v>1127</v>
      </c>
      <c r="C585" s="7" t="s">
        <v>2093</v>
      </c>
      <c r="D585" s="7" t="s">
        <v>2077</v>
      </c>
      <c r="E585" s="7" t="s">
        <v>113</v>
      </c>
      <c r="F585" s="7" t="s">
        <v>101</v>
      </c>
      <c r="G585" s="7" t="s">
        <v>90</v>
      </c>
      <c r="H585" s="7" t="n">
        <v>1</v>
      </c>
      <c r="I585" s="7" t="n">
        <v>275</v>
      </c>
      <c r="J585" s="7" t="n">
        <v>30</v>
      </c>
      <c r="K585" s="7" t="s">
        <v>298</v>
      </c>
      <c r="L585" s="7" t="s">
        <v>194</v>
      </c>
      <c r="M585" s="7" t="n">
        <v>35</v>
      </c>
      <c r="N585" s="7" t="n">
        <v>3</v>
      </c>
      <c r="O585" s="7" t="str">
        <f aca="false">A585&amp;"|"&amp;B585&amp;"|"&amp;C585&amp;"|"&amp;D585&amp;"|"&amp;E585&amp;"|"&amp;F585&amp;"|"&amp;G585&amp;"|"&amp;H585&amp;"|"&amp;I585&amp;"|"&amp;J585&amp;"|"&amp;K585&amp;"|"&amp;L585&amp;"|"&amp;M585&amp;"|"&amp;N585</f>
        <v>ORD12761|2025-12-03|18:52|C0006|Curry Leaf Kitchen|Mumbai|North Indian|1|275|30|Cash On Delivery|Delivered|35|3</v>
      </c>
      <c r="P585" s="7" t="str">
        <f aca="false">IF(COUNTIF($O$2:O585,O585)&gt;1,"DUP","OK")</f>
        <v>OK</v>
      </c>
      <c r="Q585" s="7" t="n">
        <f aca="false">COUNTBLANK(A585:N585)</f>
        <v>0</v>
      </c>
      <c r="R585" s="7" t="n">
        <f aca="false">IF(A585="",0,COUNTIFS($A$2:$A$3058,A585,$P$2:$P$3058,"OK"))</f>
        <v>1</v>
      </c>
      <c r="S585" s="7" t="str">
        <f aca="false">IF(OR(A585="",P585="DUP",R585&lt;2),"",IF(Q585=_xlfn.MINIFS($Q$2:$Q$3058,$A$2:$A$3058,A585,$P$2:$P$3058,"OK"),"KEEP","DROP"))</f>
        <v/>
      </c>
      <c r="T585" s="9" t="n">
        <f aca="false">IF(A585="",1,0)</f>
        <v>0</v>
      </c>
      <c r="U585" s="9" t="n">
        <f aca="false">IF(D585="",1,0)</f>
        <v>0</v>
      </c>
      <c r="V585" s="9" t="n">
        <f aca="false">IF(E585="",1,0)</f>
        <v>0</v>
      </c>
      <c r="W585" s="9" t="n">
        <f aca="false">IF(OR(H585&lt;1,H585&gt;10),1,0)</f>
        <v>0</v>
      </c>
      <c r="X585" s="9" t="n">
        <f aca="false">IF(OR(I585&lt;=0,I585&gt;1500),1,0)</f>
        <v>0</v>
      </c>
      <c r="Y585" s="9" t="n">
        <f aca="false">IF(J585&gt;H585*I585,1,0)</f>
        <v>0</v>
      </c>
      <c r="Z585" s="9" t="n">
        <f aca="false">IF(AND(N585&lt;&gt;"",OR(N585&lt;1,N585&gt;5)),1,0)</f>
        <v>0</v>
      </c>
      <c r="AA585" s="9" t="n">
        <f aca="false">IF(AND(M585&lt;&gt;"",OR(M585&lt;5,M585&gt;180)),1,0)</f>
        <v>0</v>
      </c>
      <c r="AB585" s="7" t="str">
        <f aca="false">IF(P585="DUP","Exact duplicate row",IF(T585=1,"Missing Order ID",IF(S585="DROP","Duplicate Order ID (less complete row)",IF(U585=1,"Missing Customer ID",IF(V585=1,"Missing Restaurant name",IF(W585=1,"Invalid/outlier quantity",IF(X585=1,"Invalid/outlier unit price",IF(Y585=1,"Discount greater than order value",""))))))))</f>
        <v/>
      </c>
      <c r="AC585" s="7" t="str">
        <f aca="false">IF(AB585="","KEEP","DROP")</f>
        <v>KEEP</v>
      </c>
      <c r="AD585" s="7" t="str">
        <f aca="false">IF(TRIM(F585)="",IFERROR(INDEX(Map_Tables!$I$4:$I$37,MATCH(TRIM(E585),Map_Tables!$G$4:$G$37,0)),""),IFERROR(INDEX(Map_Tables!$B$4:$B$18,MATCH(TRIM(F585),Map_Tables!$A$4:$A$18,0)),"CHECK"))</f>
        <v>Mumbai</v>
      </c>
      <c r="AE585" s="7" t="str">
        <f aca="false">IF(TRIM(E585)="","",IFERROR(INDEX(Map_Tables!$H$4:$H$37,MATCH(TRIM(E585),Map_Tables!$G$4:$G$37,0)),"CHECK"))</f>
        <v>Curry Leaf Kitchen</v>
      </c>
      <c r="AF585" s="7" t="str">
        <f aca="false">IF(TRIM(K585)="","Unknown",IFERROR(INDEX(Map_Tables!$E$4:$E$15,MATCH(TRIM(K585),Map_Tables!$D$4:$D$15,0)),"CHECK"))</f>
        <v>Cash on Delivery</v>
      </c>
      <c r="AG585" s="7" t="str">
        <f aca="false">IF(LEFT(LOWER(TRIM(L585)),6)="cancel","Cancelled","Delivered")</f>
        <v>Delivered</v>
      </c>
      <c r="AH585" s="10" t="n">
        <f aca="false">IF(ISNUMBER(SEARCH("/",B585)),DATE(VALUE(RIGHT(B585,4)),VALUE(MID(B585,4,2)),VALUE(LEFT(B585,2))),IF(MID(B585,5,1)="-",DATE(VALUE(LEFT(B585,4)),VALUE(MID(B585,6,2)),VALUE(RIGHT(B585,2))),DATE(VALUE(RIGHT(B585,4)),MATCH(MID(B585,4,3),{"Jan","Feb","Mar","Apr","May","Jun","Jul","Aug","Sep","Oct","Nov","Dec"},0),VALUE(LEFT(B585,2)))))</f>
        <v>45994</v>
      </c>
    </row>
    <row r="586" customFormat="false" ht="15" hidden="false" customHeight="false" outlineLevel="0" collapsed="false">
      <c r="A586" s="7" t="s">
        <v>2094</v>
      </c>
      <c r="B586" s="7" t="s">
        <v>2095</v>
      </c>
      <c r="C586" s="7" t="s">
        <v>724</v>
      </c>
      <c r="D586" s="7" t="s">
        <v>525</v>
      </c>
      <c r="E586" s="7" t="s">
        <v>163</v>
      </c>
      <c r="F586" s="7" t="s">
        <v>141</v>
      </c>
      <c r="G586" s="7" t="s">
        <v>99</v>
      </c>
      <c r="H586" s="7" t="n">
        <v>4</v>
      </c>
      <c r="I586" s="7" t="n">
        <v>280</v>
      </c>
      <c r="J586" s="7" t="n">
        <v>100</v>
      </c>
      <c r="K586" s="7" t="s">
        <v>1739</v>
      </c>
      <c r="L586" s="7" t="s">
        <v>194</v>
      </c>
      <c r="M586" s="7" t="n">
        <v>47</v>
      </c>
      <c r="N586" s="7" t="n">
        <v>5</v>
      </c>
      <c r="O586" s="7" t="str">
        <f aca="false">A586&amp;"|"&amp;B586&amp;"|"&amp;C586&amp;"|"&amp;D586&amp;"|"&amp;E586&amp;"|"&amp;F586&amp;"|"&amp;G586&amp;"|"&amp;H586&amp;"|"&amp;I586&amp;"|"&amp;J586&amp;"|"&amp;K586&amp;"|"&amp;L586&amp;"|"&amp;M586&amp;"|"&amp;N586</f>
        <v>ORD10975|2025-05-03|19:01|C0747|Biryani Baadshah|Kolkata|Biryani|4|280|100|CC|Delivered|47|5</v>
      </c>
      <c r="P586" s="7" t="str">
        <f aca="false">IF(COUNTIF($O$2:O586,O586)&gt;1,"DUP","OK")</f>
        <v>OK</v>
      </c>
      <c r="Q586" s="7" t="n">
        <f aca="false">COUNTBLANK(A586:N586)</f>
        <v>0</v>
      </c>
      <c r="R586" s="7" t="n">
        <f aca="false">IF(A586="",0,COUNTIFS($A$2:$A$3058,A586,$P$2:$P$3058,"OK"))</f>
        <v>1</v>
      </c>
      <c r="S586" s="7" t="str">
        <f aca="false">IF(OR(A586="",P586="DUP",R586&lt;2),"",IF(Q586=_xlfn.MINIFS($Q$2:$Q$3058,$A$2:$A$3058,A586,$P$2:$P$3058,"OK"),"KEEP","DROP"))</f>
        <v/>
      </c>
      <c r="T586" s="9" t="n">
        <f aca="false">IF(A586="",1,0)</f>
        <v>0</v>
      </c>
      <c r="U586" s="9" t="n">
        <f aca="false">IF(D586="",1,0)</f>
        <v>0</v>
      </c>
      <c r="V586" s="9" t="n">
        <f aca="false">IF(E586="",1,0)</f>
        <v>0</v>
      </c>
      <c r="W586" s="9" t="n">
        <f aca="false">IF(OR(H586&lt;1,H586&gt;10),1,0)</f>
        <v>0</v>
      </c>
      <c r="X586" s="9" t="n">
        <f aca="false">IF(OR(I586&lt;=0,I586&gt;1500),1,0)</f>
        <v>0</v>
      </c>
      <c r="Y586" s="9" t="n">
        <f aca="false">IF(J586&gt;H586*I586,1,0)</f>
        <v>0</v>
      </c>
      <c r="Z586" s="9" t="n">
        <f aca="false">IF(AND(N586&lt;&gt;"",OR(N586&lt;1,N586&gt;5)),1,0)</f>
        <v>0</v>
      </c>
      <c r="AA586" s="9" t="n">
        <f aca="false">IF(AND(M586&lt;&gt;"",OR(M586&lt;5,M586&gt;180)),1,0)</f>
        <v>0</v>
      </c>
      <c r="AB586" s="7" t="str">
        <f aca="false">IF(P586="DUP","Exact duplicate row",IF(T586=1,"Missing Order ID",IF(S586="DROP","Duplicate Order ID (less complete row)",IF(U586=1,"Missing Customer ID",IF(V586=1,"Missing Restaurant name",IF(W586=1,"Invalid/outlier quantity",IF(X586=1,"Invalid/outlier unit price",IF(Y586=1,"Discount greater than order value",""))))))))</f>
        <v/>
      </c>
      <c r="AC586" s="7" t="str">
        <f aca="false">IF(AB586="","KEEP","DROP")</f>
        <v>KEEP</v>
      </c>
      <c r="AD586" s="7" t="str">
        <f aca="false">IF(TRIM(F586)="",IFERROR(INDEX(Map_Tables!$I$4:$I$37,MATCH(TRIM(E586),Map_Tables!$G$4:$G$37,0)),""),IFERROR(INDEX(Map_Tables!$B$4:$B$18,MATCH(TRIM(F586),Map_Tables!$A$4:$A$18,0)),"CHECK"))</f>
        <v>Kolkata</v>
      </c>
      <c r="AE586" s="7" t="str">
        <f aca="false">IF(TRIM(E586)="","",IFERROR(INDEX(Map_Tables!$H$4:$H$37,MATCH(TRIM(E586),Map_Tables!$G$4:$G$37,0)),"CHECK"))</f>
        <v>Biryani Baadshah</v>
      </c>
      <c r="AF586" s="7" t="str">
        <f aca="false">IF(TRIM(K586)="","Unknown",IFERROR(INDEX(Map_Tables!$E$4:$E$15,MATCH(TRIM(K586),Map_Tables!$D$4:$D$15,0)),"CHECK"))</f>
        <v>Credit Card</v>
      </c>
      <c r="AG586" s="7" t="str">
        <f aca="false">IF(LEFT(LOWER(TRIM(L586)),6)="cancel","Cancelled","Delivered")</f>
        <v>Delivered</v>
      </c>
      <c r="AH586" s="10" t="n">
        <f aca="false">IF(ISNUMBER(SEARCH("/",B586)),DATE(VALUE(RIGHT(B586,4)),VALUE(MID(B586,4,2)),VALUE(LEFT(B586,2))),IF(MID(B586,5,1)="-",DATE(VALUE(LEFT(B586,4)),VALUE(MID(B586,6,2)),VALUE(RIGHT(B586,2))),DATE(VALUE(RIGHT(B586,4)),MATCH(MID(B586,4,3),{"Jan","Feb","Mar","Apr","May","Jun","Jul","Aug","Sep","Oct","Nov","Dec"},0),VALUE(LEFT(B586,2)))))</f>
        <v>45780</v>
      </c>
    </row>
    <row r="587" customFormat="false" ht="15" hidden="false" customHeight="false" outlineLevel="0" collapsed="false">
      <c r="A587" s="7" t="s">
        <v>2096</v>
      </c>
      <c r="B587" s="7" t="s">
        <v>2097</v>
      </c>
      <c r="C587" s="7" t="s">
        <v>2098</v>
      </c>
      <c r="D587" s="7" t="s">
        <v>1810</v>
      </c>
      <c r="E587" s="7" t="s">
        <v>98</v>
      </c>
      <c r="F587" s="7" t="s">
        <v>86</v>
      </c>
      <c r="G587" s="7" t="s">
        <v>99</v>
      </c>
      <c r="H587" s="7" t="n">
        <v>3</v>
      </c>
      <c r="I587" s="7" t="n">
        <v>300</v>
      </c>
      <c r="J587" s="7" t="n">
        <v>0</v>
      </c>
      <c r="K587" s="7" t="s">
        <v>87</v>
      </c>
      <c r="L587" s="7" t="s">
        <v>194</v>
      </c>
      <c r="M587" s="7" t="n">
        <v>33</v>
      </c>
      <c r="N587" s="7" t="n">
        <v>5</v>
      </c>
      <c r="O587" s="7" t="str">
        <f aca="false">A587&amp;"|"&amp;B587&amp;"|"&amp;C587&amp;"|"&amp;D587&amp;"|"&amp;E587&amp;"|"&amp;F587&amp;"|"&amp;G587&amp;"|"&amp;H587&amp;"|"&amp;I587&amp;"|"&amp;J587&amp;"|"&amp;K587&amp;"|"&amp;L587&amp;"|"&amp;M587&amp;"|"&amp;N587</f>
        <v>ORD12899|2025-12-21|01:12|C0234|Nawabi Biryani House|Bengaluru|Biryani|3|300|0|upi|Delivered|33|5</v>
      </c>
      <c r="P587" s="7" t="str">
        <f aca="false">IF(COUNTIF($O$2:O587,O587)&gt;1,"DUP","OK")</f>
        <v>OK</v>
      </c>
      <c r="Q587" s="7" t="n">
        <f aca="false">COUNTBLANK(A587:N587)</f>
        <v>0</v>
      </c>
      <c r="R587" s="7" t="n">
        <f aca="false">IF(A587="",0,COUNTIFS($A$2:$A$3058,A587,$P$2:$P$3058,"OK"))</f>
        <v>1</v>
      </c>
      <c r="S587" s="7" t="str">
        <f aca="false">IF(OR(A587="",P587="DUP",R587&lt;2),"",IF(Q587=_xlfn.MINIFS($Q$2:$Q$3058,$A$2:$A$3058,A587,$P$2:$P$3058,"OK"),"KEEP","DROP"))</f>
        <v/>
      </c>
      <c r="T587" s="9" t="n">
        <f aca="false">IF(A587="",1,0)</f>
        <v>0</v>
      </c>
      <c r="U587" s="9" t="n">
        <f aca="false">IF(D587="",1,0)</f>
        <v>0</v>
      </c>
      <c r="V587" s="9" t="n">
        <f aca="false">IF(E587="",1,0)</f>
        <v>0</v>
      </c>
      <c r="W587" s="9" t="n">
        <f aca="false">IF(OR(H587&lt;1,H587&gt;10),1,0)</f>
        <v>0</v>
      </c>
      <c r="X587" s="9" t="n">
        <f aca="false">IF(OR(I587&lt;=0,I587&gt;1500),1,0)</f>
        <v>0</v>
      </c>
      <c r="Y587" s="9" t="n">
        <f aca="false">IF(J587&gt;H587*I587,1,0)</f>
        <v>0</v>
      </c>
      <c r="Z587" s="9" t="n">
        <f aca="false">IF(AND(N587&lt;&gt;"",OR(N587&lt;1,N587&gt;5)),1,0)</f>
        <v>0</v>
      </c>
      <c r="AA587" s="9" t="n">
        <f aca="false">IF(AND(M587&lt;&gt;"",OR(M587&lt;5,M587&gt;180)),1,0)</f>
        <v>0</v>
      </c>
      <c r="AB587" s="7" t="str">
        <f aca="false">IF(P587="DUP","Exact duplicate row",IF(T587=1,"Missing Order ID",IF(S587="DROP","Duplicate Order ID (less complete row)",IF(U587=1,"Missing Customer ID",IF(V587=1,"Missing Restaurant name",IF(W587=1,"Invalid/outlier quantity",IF(X587=1,"Invalid/outlier unit price",IF(Y587=1,"Discount greater than order value",""))))))))</f>
        <v/>
      </c>
      <c r="AC587" s="7" t="str">
        <f aca="false">IF(AB587="","KEEP","DROP")</f>
        <v>KEEP</v>
      </c>
      <c r="AD587" s="7" t="str">
        <f aca="false">IF(TRIM(F587)="",IFERROR(INDEX(Map_Tables!$I$4:$I$37,MATCH(TRIM(E587),Map_Tables!$G$4:$G$37,0)),""),IFERROR(INDEX(Map_Tables!$B$4:$B$18,MATCH(TRIM(F587),Map_Tables!$A$4:$A$18,0)),"CHECK"))</f>
        <v>Bengaluru</v>
      </c>
      <c r="AE587" s="7" t="str">
        <f aca="false">IF(TRIM(E587)="","",IFERROR(INDEX(Map_Tables!$H$4:$H$37,MATCH(TRIM(E587),Map_Tables!$G$4:$G$37,0)),"CHECK"))</f>
        <v>Nawabi Biryani House</v>
      </c>
      <c r="AF587" s="7" t="str">
        <f aca="false">IF(TRIM(K587)="","Unknown",IFERROR(INDEX(Map_Tables!$E$4:$E$15,MATCH(TRIM(K587),Map_Tables!$D$4:$D$15,0)),"CHECK"))</f>
        <v>UPI</v>
      </c>
      <c r="AG587" s="7" t="str">
        <f aca="false">IF(LEFT(LOWER(TRIM(L587)),6)="cancel","Cancelled","Delivered")</f>
        <v>Delivered</v>
      </c>
      <c r="AH587" s="10" t="n">
        <f aca="false">IF(ISNUMBER(SEARCH("/",B587)),DATE(VALUE(RIGHT(B587,4)),VALUE(MID(B587,4,2)),VALUE(LEFT(B587,2))),IF(MID(B587,5,1)="-",DATE(VALUE(LEFT(B587,4)),VALUE(MID(B587,6,2)),VALUE(RIGHT(B587,2))),DATE(VALUE(RIGHT(B587,4)),MATCH(MID(B587,4,3),{"Jan","Feb","Mar","Apr","May","Jun","Jul","Aug","Sep","Oct","Nov","Dec"},0),VALUE(LEFT(B587,2)))))</f>
        <v>46012</v>
      </c>
    </row>
    <row r="588" customFormat="false" ht="15" hidden="false" customHeight="false" outlineLevel="0" collapsed="false">
      <c r="A588" s="7" t="s">
        <v>2099</v>
      </c>
      <c r="B588" s="7" t="s">
        <v>1249</v>
      </c>
      <c r="C588" s="7" t="s">
        <v>1779</v>
      </c>
      <c r="D588" s="7" t="s">
        <v>2100</v>
      </c>
      <c r="E588" s="7" t="s">
        <v>168</v>
      </c>
      <c r="F588" s="7" t="s">
        <v>146</v>
      </c>
      <c r="G588" s="7" t="s">
        <v>123</v>
      </c>
      <c r="H588" s="7" t="n">
        <v>1</v>
      </c>
      <c r="I588" s="7" t="n">
        <v>310</v>
      </c>
      <c r="J588" s="7" t="n">
        <v>0</v>
      </c>
      <c r="K588" s="7" t="s">
        <v>566</v>
      </c>
      <c r="L588" s="7" t="s">
        <v>194</v>
      </c>
      <c r="M588" s="7" t="n">
        <v>29</v>
      </c>
      <c r="N588" s="7" t="n">
        <v>5</v>
      </c>
      <c r="O588" s="7" t="str">
        <f aca="false">A588&amp;"|"&amp;B588&amp;"|"&amp;C588&amp;"|"&amp;D588&amp;"|"&amp;E588&amp;"|"&amp;F588&amp;"|"&amp;G588&amp;"|"&amp;H588&amp;"|"&amp;I588&amp;"|"&amp;J588&amp;"|"&amp;K588&amp;"|"&amp;L588&amp;"|"&amp;M588&amp;"|"&amp;N588</f>
        <v>ORD11609|2025-07-29|11:31|C0090|Cheesy Slice|Ahmedabad|Pizza|1|310|0|NetBanking|Delivered|29|5</v>
      </c>
      <c r="P588" s="7" t="str">
        <f aca="false">IF(COUNTIF($O$2:O588,O588)&gt;1,"DUP","OK")</f>
        <v>OK</v>
      </c>
      <c r="Q588" s="7" t="n">
        <f aca="false">COUNTBLANK(A588:N588)</f>
        <v>0</v>
      </c>
      <c r="R588" s="7" t="n">
        <f aca="false">IF(A588="",0,COUNTIFS($A$2:$A$3058,A588,$P$2:$P$3058,"OK"))</f>
        <v>1</v>
      </c>
      <c r="S588" s="7" t="str">
        <f aca="false">IF(OR(A588="",P588="DUP",R588&lt;2),"",IF(Q588=_xlfn.MINIFS($Q$2:$Q$3058,$A$2:$A$3058,A588,$P$2:$P$3058,"OK"),"KEEP","DROP"))</f>
        <v/>
      </c>
      <c r="T588" s="9" t="n">
        <f aca="false">IF(A588="",1,0)</f>
        <v>0</v>
      </c>
      <c r="U588" s="9" t="n">
        <f aca="false">IF(D588="",1,0)</f>
        <v>0</v>
      </c>
      <c r="V588" s="9" t="n">
        <f aca="false">IF(E588="",1,0)</f>
        <v>0</v>
      </c>
      <c r="W588" s="9" t="n">
        <f aca="false">IF(OR(H588&lt;1,H588&gt;10),1,0)</f>
        <v>0</v>
      </c>
      <c r="X588" s="9" t="n">
        <f aca="false">IF(OR(I588&lt;=0,I588&gt;1500),1,0)</f>
        <v>0</v>
      </c>
      <c r="Y588" s="9" t="n">
        <f aca="false">IF(J588&gt;H588*I588,1,0)</f>
        <v>0</v>
      </c>
      <c r="Z588" s="9" t="n">
        <f aca="false">IF(AND(N588&lt;&gt;"",OR(N588&lt;1,N588&gt;5)),1,0)</f>
        <v>0</v>
      </c>
      <c r="AA588" s="9" t="n">
        <f aca="false">IF(AND(M588&lt;&gt;"",OR(M588&lt;5,M588&gt;180)),1,0)</f>
        <v>0</v>
      </c>
      <c r="AB588" s="7" t="str">
        <f aca="false">IF(P588="DUP","Exact duplicate row",IF(T588=1,"Missing Order ID",IF(S588="DROP","Duplicate Order ID (less complete row)",IF(U588=1,"Missing Customer ID",IF(V588=1,"Missing Restaurant name",IF(W588=1,"Invalid/outlier quantity",IF(X588=1,"Invalid/outlier unit price",IF(Y588=1,"Discount greater than order value",""))))))))</f>
        <v/>
      </c>
      <c r="AC588" s="7" t="str">
        <f aca="false">IF(AB588="","KEEP","DROP")</f>
        <v>KEEP</v>
      </c>
      <c r="AD588" s="7" t="str">
        <f aca="false">IF(TRIM(F588)="",IFERROR(INDEX(Map_Tables!$I$4:$I$37,MATCH(TRIM(E588),Map_Tables!$G$4:$G$37,0)),""),IFERROR(INDEX(Map_Tables!$B$4:$B$18,MATCH(TRIM(F588),Map_Tables!$A$4:$A$18,0)),"CHECK"))</f>
        <v>Ahmedabad</v>
      </c>
      <c r="AE588" s="7" t="str">
        <f aca="false">IF(TRIM(E588)="","",IFERROR(INDEX(Map_Tables!$H$4:$H$37,MATCH(TRIM(E588),Map_Tables!$G$4:$G$37,0)),"CHECK"))</f>
        <v>Cheesy Slice</v>
      </c>
      <c r="AF588" s="7" t="str">
        <f aca="false">IF(TRIM(K588)="","Unknown",IFERROR(INDEX(Map_Tables!$E$4:$E$15,MATCH(TRIM(K588),Map_Tables!$D$4:$D$15,0)),"CHECK"))</f>
        <v>Net Banking</v>
      </c>
      <c r="AG588" s="7" t="str">
        <f aca="false">IF(LEFT(LOWER(TRIM(L588)),6)="cancel","Cancelled","Delivered")</f>
        <v>Delivered</v>
      </c>
      <c r="AH588" s="10" t="n">
        <f aca="false">IF(ISNUMBER(SEARCH("/",B588)),DATE(VALUE(RIGHT(B588,4)),VALUE(MID(B588,4,2)),VALUE(LEFT(B588,2))),IF(MID(B588,5,1)="-",DATE(VALUE(LEFT(B588,4)),VALUE(MID(B588,6,2)),VALUE(RIGHT(B588,2))),DATE(VALUE(RIGHT(B588,4)),MATCH(MID(B588,4,3),{"Jan","Feb","Mar","Apr","May","Jun","Jul","Aug","Sep","Oct","Nov","Dec"},0),VALUE(LEFT(B588,2)))))</f>
        <v>45867</v>
      </c>
    </row>
    <row r="589" customFormat="false" ht="15" hidden="false" customHeight="false" outlineLevel="0" collapsed="false">
      <c r="A589" s="7" t="s">
        <v>2101</v>
      </c>
      <c r="B589" s="7" t="s">
        <v>2102</v>
      </c>
      <c r="C589" s="7" t="s">
        <v>1330</v>
      </c>
      <c r="D589" s="7" t="s">
        <v>814</v>
      </c>
      <c r="E589" s="7" t="s">
        <v>163</v>
      </c>
      <c r="F589" s="7" t="s">
        <v>141</v>
      </c>
      <c r="G589" s="7" t="s">
        <v>99</v>
      </c>
      <c r="H589" s="7" t="n">
        <v>1</v>
      </c>
      <c r="I589" s="7" t="n">
        <v>195</v>
      </c>
      <c r="J589" s="7" t="n">
        <v>78</v>
      </c>
      <c r="K589" s="7" t="s">
        <v>112</v>
      </c>
      <c r="L589" s="7" t="s">
        <v>238</v>
      </c>
      <c r="M589" s="7"/>
      <c r="N589" s="7"/>
      <c r="O589" s="7" t="str">
        <f aca="false">A589&amp;"|"&amp;B589&amp;"|"&amp;C589&amp;"|"&amp;D589&amp;"|"&amp;E589&amp;"|"&amp;F589&amp;"|"&amp;G589&amp;"|"&amp;H589&amp;"|"&amp;I589&amp;"|"&amp;J589&amp;"|"&amp;K589&amp;"|"&amp;L589&amp;"|"&amp;M589&amp;"|"&amp;N589</f>
        <v>ORD11926|07/09/2025|13:03|C1336|Biryani Baadshah|Kolkata|Biryani|1|195|78|Cash on Delivery|Cancelled||</v>
      </c>
      <c r="P589" s="7" t="str">
        <f aca="false">IF(COUNTIF($O$2:O589,O589)&gt;1,"DUP","OK")</f>
        <v>OK</v>
      </c>
      <c r="Q589" s="7" t="n">
        <f aca="false">COUNTBLANK(A589:N589)</f>
        <v>2</v>
      </c>
      <c r="R589" s="7" t="n">
        <f aca="false">IF(A589="",0,COUNTIFS($A$2:$A$3058,A589,$P$2:$P$3058,"OK"))</f>
        <v>1</v>
      </c>
      <c r="S589" s="7" t="str">
        <f aca="false">IF(OR(A589="",P589="DUP",R589&lt;2),"",IF(Q589=_xlfn.MINIFS($Q$2:$Q$3058,$A$2:$A$3058,A589,$P$2:$P$3058,"OK"),"KEEP","DROP"))</f>
        <v/>
      </c>
      <c r="T589" s="9" t="n">
        <f aca="false">IF(A589="",1,0)</f>
        <v>0</v>
      </c>
      <c r="U589" s="9" t="n">
        <f aca="false">IF(D589="",1,0)</f>
        <v>0</v>
      </c>
      <c r="V589" s="9" t="n">
        <f aca="false">IF(E589="",1,0)</f>
        <v>0</v>
      </c>
      <c r="W589" s="9" t="n">
        <f aca="false">IF(OR(H589&lt;1,H589&gt;10),1,0)</f>
        <v>0</v>
      </c>
      <c r="X589" s="9" t="n">
        <f aca="false">IF(OR(I589&lt;=0,I589&gt;1500),1,0)</f>
        <v>0</v>
      </c>
      <c r="Y589" s="9" t="n">
        <f aca="false">IF(J589&gt;H589*I589,1,0)</f>
        <v>0</v>
      </c>
      <c r="Z589" s="9" t="n">
        <f aca="false">IF(AND(N589&lt;&gt;"",OR(N589&lt;1,N589&gt;5)),1,0)</f>
        <v>0</v>
      </c>
      <c r="AA589" s="9" t="n">
        <f aca="false">IF(AND(M589&lt;&gt;"",OR(M589&lt;5,M589&gt;180)),1,0)</f>
        <v>0</v>
      </c>
      <c r="AB589" s="7" t="str">
        <f aca="false">IF(P589="DUP","Exact duplicate row",IF(T589=1,"Missing Order ID",IF(S589="DROP","Duplicate Order ID (less complete row)",IF(U589=1,"Missing Customer ID",IF(V589=1,"Missing Restaurant name",IF(W589=1,"Invalid/outlier quantity",IF(X589=1,"Invalid/outlier unit price",IF(Y589=1,"Discount greater than order value",""))))))))</f>
        <v/>
      </c>
      <c r="AC589" s="7" t="str">
        <f aca="false">IF(AB589="","KEEP","DROP")</f>
        <v>KEEP</v>
      </c>
      <c r="AD589" s="7" t="str">
        <f aca="false">IF(TRIM(F589)="",IFERROR(INDEX(Map_Tables!$I$4:$I$37,MATCH(TRIM(E589),Map_Tables!$G$4:$G$37,0)),""),IFERROR(INDEX(Map_Tables!$B$4:$B$18,MATCH(TRIM(F589),Map_Tables!$A$4:$A$18,0)),"CHECK"))</f>
        <v>Kolkata</v>
      </c>
      <c r="AE589" s="7" t="str">
        <f aca="false">IF(TRIM(E589)="","",IFERROR(INDEX(Map_Tables!$H$4:$H$37,MATCH(TRIM(E589),Map_Tables!$G$4:$G$37,0)),"CHECK"))</f>
        <v>Biryani Baadshah</v>
      </c>
      <c r="AF589" s="7" t="str">
        <f aca="false">IF(TRIM(K589)="","Unknown",IFERROR(INDEX(Map_Tables!$E$4:$E$15,MATCH(TRIM(K589),Map_Tables!$D$4:$D$15,0)),"CHECK"))</f>
        <v>Cash on Delivery</v>
      </c>
      <c r="AG589" s="7" t="str">
        <f aca="false">IF(LEFT(LOWER(TRIM(L589)),6)="cancel","Cancelled","Delivered")</f>
        <v>Cancelled</v>
      </c>
      <c r="AH589" s="10" t="n">
        <f aca="false">IF(ISNUMBER(SEARCH("/",B589)),DATE(VALUE(RIGHT(B589,4)),VALUE(MID(B589,4,2)),VALUE(LEFT(B589,2))),IF(MID(B589,5,1)="-",DATE(VALUE(LEFT(B589,4)),VALUE(MID(B589,6,2)),VALUE(RIGHT(B589,2))),DATE(VALUE(RIGHT(B589,4)),MATCH(MID(B589,4,3),{"Jan","Feb","Mar","Apr","May","Jun","Jul","Aug","Sep","Oct","Nov","Dec"},0),VALUE(LEFT(B589,2)))))</f>
        <v>45907</v>
      </c>
    </row>
    <row r="590" customFormat="false" ht="15" hidden="false" customHeight="false" outlineLevel="0" collapsed="false">
      <c r="A590" s="7" t="s">
        <v>2103</v>
      </c>
      <c r="B590" s="7" t="s">
        <v>2104</v>
      </c>
      <c r="C590" s="7" t="s">
        <v>2105</v>
      </c>
      <c r="D590" s="7" t="s">
        <v>2100</v>
      </c>
      <c r="E590" s="7" t="s">
        <v>89</v>
      </c>
      <c r="F590" s="7" t="s">
        <v>86</v>
      </c>
      <c r="G590" s="7" t="s">
        <v>90</v>
      </c>
      <c r="H590" s="7" t="n">
        <v>4</v>
      </c>
      <c r="I590" s="7" t="n">
        <v>230</v>
      </c>
      <c r="J590" s="7" t="n">
        <v>0</v>
      </c>
      <c r="K590" s="7" t="s">
        <v>133</v>
      </c>
      <c r="L590" s="7" t="s">
        <v>194</v>
      </c>
      <c r="M590" s="7" t="n">
        <v>45</v>
      </c>
      <c r="N590" s="7"/>
      <c r="O590" s="7" t="str">
        <f aca="false">A590&amp;"|"&amp;B590&amp;"|"&amp;C590&amp;"|"&amp;D590&amp;"|"&amp;E590&amp;"|"&amp;F590&amp;"|"&amp;G590&amp;"|"&amp;H590&amp;"|"&amp;I590&amp;"|"&amp;J590&amp;"|"&amp;K590&amp;"|"&amp;L590&amp;"|"&amp;M590&amp;"|"&amp;N590</f>
        <v>ORD11939|2025-09-09|12:12|C0090|Spice Junction|Bengaluru|North Indian|4|230|0|Net Banking|Delivered|45|</v>
      </c>
      <c r="P590" s="7" t="str">
        <f aca="false">IF(COUNTIF($O$2:O590,O590)&gt;1,"DUP","OK")</f>
        <v>OK</v>
      </c>
      <c r="Q590" s="7" t="n">
        <f aca="false">COUNTBLANK(A590:N590)</f>
        <v>1</v>
      </c>
      <c r="R590" s="7" t="n">
        <f aca="false">IF(A590="",0,COUNTIFS($A$2:$A$3058,A590,$P$2:$P$3058,"OK"))</f>
        <v>1</v>
      </c>
      <c r="S590" s="7" t="str">
        <f aca="false">IF(OR(A590="",P590="DUP",R590&lt;2),"",IF(Q590=_xlfn.MINIFS($Q$2:$Q$3058,$A$2:$A$3058,A590,$P$2:$P$3058,"OK"),"KEEP","DROP"))</f>
        <v/>
      </c>
      <c r="T590" s="9" t="n">
        <f aca="false">IF(A590="",1,0)</f>
        <v>0</v>
      </c>
      <c r="U590" s="9" t="n">
        <f aca="false">IF(D590="",1,0)</f>
        <v>0</v>
      </c>
      <c r="V590" s="9" t="n">
        <f aca="false">IF(E590="",1,0)</f>
        <v>0</v>
      </c>
      <c r="W590" s="9" t="n">
        <f aca="false">IF(OR(H590&lt;1,H590&gt;10),1,0)</f>
        <v>0</v>
      </c>
      <c r="X590" s="9" t="n">
        <f aca="false">IF(OR(I590&lt;=0,I590&gt;1500),1,0)</f>
        <v>0</v>
      </c>
      <c r="Y590" s="9" t="n">
        <f aca="false">IF(J590&gt;H590*I590,1,0)</f>
        <v>0</v>
      </c>
      <c r="Z590" s="9" t="n">
        <f aca="false">IF(AND(N590&lt;&gt;"",OR(N590&lt;1,N590&gt;5)),1,0)</f>
        <v>0</v>
      </c>
      <c r="AA590" s="9" t="n">
        <f aca="false">IF(AND(M590&lt;&gt;"",OR(M590&lt;5,M590&gt;180)),1,0)</f>
        <v>0</v>
      </c>
      <c r="AB590" s="7" t="str">
        <f aca="false">IF(P590="DUP","Exact duplicate row",IF(T590=1,"Missing Order ID",IF(S590="DROP","Duplicate Order ID (less complete row)",IF(U590=1,"Missing Customer ID",IF(V590=1,"Missing Restaurant name",IF(W590=1,"Invalid/outlier quantity",IF(X590=1,"Invalid/outlier unit price",IF(Y590=1,"Discount greater than order value",""))))))))</f>
        <v/>
      </c>
      <c r="AC590" s="7" t="str">
        <f aca="false">IF(AB590="","KEEP","DROP")</f>
        <v>KEEP</v>
      </c>
      <c r="AD590" s="7" t="str">
        <f aca="false">IF(TRIM(F590)="",IFERROR(INDEX(Map_Tables!$I$4:$I$37,MATCH(TRIM(E590),Map_Tables!$G$4:$G$37,0)),""),IFERROR(INDEX(Map_Tables!$B$4:$B$18,MATCH(TRIM(F590),Map_Tables!$A$4:$A$18,0)),"CHECK"))</f>
        <v>Bengaluru</v>
      </c>
      <c r="AE590" s="7" t="str">
        <f aca="false">IF(TRIM(E590)="","",IFERROR(INDEX(Map_Tables!$H$4:$H$37,MATCH(TRIM(E590),Map_Tables!$G$4:$G$37,0)),"CHECK"))</f>
        <v>Spice Junction</v>
      </c>
      <c r="AF590" s="7" t="str">
        <f aca="false">IF(TRIM(K590)="","Unknown",IFERROR(INDEX(Map_Tables!$E$4:$E$15,MATCH(TRIM(K590),Map_Tables!$D$4:$D$15,0)),"CHECK"))</f>
        <v>Net Banking</v>
      </c>
      <c r="AG590" s="7" t="str">
        <f aca="false">IF(LEFT(LOWER(TRIM(L590)),6)="cancel","Cancelled","Delivered")</f>
        <v>Delivered</v>
      </c>
      <c r="AH590" s="10" t="n">
        <f aca="false">IF(ISNUMBER(SEARCH("/",B590)),DATE(VALUE(RIGHT(B590,4)),VALUE(MID(B590,4,2)),VALUE(LEFT(B590,2))),IF(MID(B590,5,1)="-",DATE(VALUE(LEFT(B590,4)),VALUE(MID(B590,6,2)),VALUE(RIGHT(B590,2))),DATE(VALUE(RIGHT(B590,4)),MATCH(MID(B590,4,3),{"Jan","Feb","Mar","Apr","May","Jun","Jul","Aug","Sep","Oct","Nov","Dec"},0),VALUE(LEFT(B590,2)))))</f>
        <v>45909</v>
      </c>
    </row>
    <row r="591" customFormat="false" ht="15" hidden="false" customHeight="false" outlineLevel="0" collapsed="false">
      <c r="A591" s="7" t="s">
        <v>2106</v>
      </c>
      <c r="B591" s="7" t="s">
        <v>2107</v>
      </c>
      <c r="C591" s="7" t="s">
        <v>2108</v>
      </c>
      <c r="D591" s="7" t="s">
        <v>690</v>
      </c>
      <c r="E591" s="7" t="s">
        <v>130</v>
      </c>
      <c r="F591" s="7" t="s">
        <v>110</v>
      </c>
      <c r="G591" s="7" t="s">
        <v>90</v>
      </c>
      <c r="H591" s="7" t="n">
        <v>5</v>
      </c>
      <c r="I591" s="7" t="n">
        <v>320</v>
      </c>
      <c r="J591" s="7" t="n">
        <v>0</v>
      </c>
      <c r="K591" s="7" t="s">
        <v>88</v>
      </c>
      <c r="L591" s="7" t="s">
        <v>194</v>
      </c>
      <c r="M591" s="7" t="n">
        <v>42</v>
      </c>
      <c r="N591" s="7" t="n">
        <v>5</v>
      </c>
      <c r="O591" s="7" t="str">
        <f aca="false">A591&amp;"|"&amp;B591&amp;"|"&amp;C591&amp;"|"&amp;D591&amp;"|"&amp;E591&amp;"|"&amp;F591&amp;"|"&amp;G591&amp;"|"&amp;H591&amp;"|"&amp;I591&amp;"|"&amp;J591&amp;"|"&amp;K591&amp;"|"&amp;L591&amp;"|"&amp;M591&amp;"|"&amp;N591</f>
        <v>ORD12475|07/11/2025|11:35|C0311|Tandoor Tales|Delhi|North Indian|5|320|0|UPI|Delivered|42|5</v>
      </c>
      <c r="P591" s="7" t="str">
        <f aca="false">IF(COUNTIF($O$2:O591,O591)&gt;1,"DUP","OK")</f>
        <v>OK</v>
      </c>
      <c r="Q591" s="7" t="n">
        <f aca="false">COUNTBLANK(A591:N591)</f>
        <v>0</v>
      </c>
      <c r="R591" s="7" t="n">
        <f aca="false">IF(A591="",0,COUNTIFS($A$2:$A$3058,A591,$P$2:$P$3058,"OK"))</f>
        <v>1</v>
      </c>
      <c r="S591" s="7" t="str">
        <f aca="false">IF(OR(A591="",P591="DUP",R591&lt;2),"",IF(Q591=_xlfn.MINIFS($Q$2:$Q$3058,$A$2:$A$3058,A591,$P$2:$P$3058,"OK"),"KEEP","DROP"))</f>
        <v/>
      </c>
      <c r="T591" s="9" t="n">
        <f aca="false">IF(A591="",1,0)</f>
        <v>0</v>
      </c>
      <c r="U591" s="9" t="n">
        <f aca="false">IF(D591="",1,0)</f>
        <v>0</v>
      </c>
      <c r="V591" s="9" t="n">
        <f aca="false">IF(E591="",1,0)</f>
        <v>0</v>
      </c>
      <c r="W591" s="9" t="n">
        <f aca="false">IF(OR(H591&lt;1,H591&gt;10),1,0)</f>
        <v>0</v>
      </c>
      <c r="X591" s="9" t="n">
        <f aca="false">IF(OR(I591&lt;=0,I591&gt;1500),1,0)</f>
        <v>0</v>
      </c>
      <c r="Y591" s="9" t="n">
        <f aca="false">IF(J591&gt;H591*I591,1,0)</f>
        <v>0</v>
      </c>
      <c r="Z591" s="9" t="n">
        <f aca="false">IF(AND(N591&lt;&gt;"",OR(N591&lt;1,N591&gt;5)),1,0)</f>
        <v>0</v>
      </c>
      <c r="AA591" s="9" t="n">
        <f aca="false">IF(AND(M591&lt;&gt;"",OR(M591&lt;5,M591&gt;180)),1,0)</f>
        <v>0</v>
      </c>
      <c r="AB591" s="7" t="str">
        <f aca="false">IF(P591="DUP","Exact duplicate row",IF(T591=1,"Missing Order ID",IF(S591="DROP","Duplicate Order ID (less complete row)",IF(U591=1,"Missing Customer ID",IF(V591=1,"Missing Restaurant name",IF(W591=1,"Invalid/outlier quantity",IF(X591=1,"Invalid/outlier unit price",IF(Y591=1,"Discount greater than order value",""))))))))</f>
        <v/>
      </c>
      <c r="AC591" s="7" t="str">
        <f aca="false">IF(AB591="","KEEP","DROP")</f>
        <v>KEEP</v>
      </c>
      <c r="AD591" s="7" t="str">
        <f aca="false">IF(TRIM(F591)="",IFERROR(INDEX(Map_Tables!$I$4:$I$37,MATCH(TRIM(E591),Map_Tables!$G$4:$G$37,0)),""),IFERROR(INDEX(Map_Tables!$B$4:$B$18,MATCH(TRIM(F591),Map_Tables!$A$4:$A$18,0)),"CHECK"))</f>
        <v>Delhi</v>
      </c>
      <c r="AE591" s="7" t="str">
        <f aca="false">IF(TRIM(E591)="","",IFERROR(INDEX(Map_Tables!$H$4:$H$37,MATCH(TRIM(E591),Map_Tables!$G$4:$G$37,0)),"CHECK"))</f>
        <v>Tandoor Tales</v>
      </c>
      <c r="AF591" s="7" t="str">
        <f aca="false">IF(TRIM(K591)="","Unknown",IFERROR(INDEX(Map_Tables!$E$4:$E$15,MATCH(TRIM(K591),Map_Tables!$D$4:$D$15,0)),"CHECK"))</f>
        <v>UPI</v>
      </c>
      <c r="AG591" s="7" t="str">
        <f aca="false">IF(LEFT(LOWER(TRIM(L591)),6)="cancel","Cancelled","Delivered")</f>
        <v>Delivered</v>
      </c>
      <c r="AH591" s="10" t="n">
        <f aca="false">IF(ISNUMBER(SEARCH("/",B591)),DATE(VALUE(RIGHT(B591,4)),VALUE(MID(B591,4,2)),VALUE(LEFT(B591,2))),IF(MID(B591,5,1)="-",DATE(VALUE(LEFT(B591,4)),VALUE(MID(B591,6,2)),VALUE(RIGHT(B591,2))),DATE(VALUE(RIGHT(B591,4)),MATCH(MID(B591,4,3),{"Jan","Feb","Mar","Apr","May","Jun","Jul","Aug","Sep","Oct","Nov","Dec"},0),VALUE(LEFT(B591,2)))))</f>
        <v>45968</v>
      </c>
    </row>
    <row r="592" customFormat="false" ht="15" hidden="false" customHeight="false" outlineLevel="0" collapsed="false">
      <c r="A592" s="7" t="s">
        <v>2109</v>
      </c>
      <c r="B592" s="7" t="s">
        <v>2110</v>
      </c>
      <c r="C592" s="7" t="s">
        <v>1631</v>
      </c>
      <c r="D592" s="7" t="s">
        <v>2111</v>
      </c>
      <c r="E592" s="7" t="s">
        <v>126</v>
      </c>
      <c r="F592" s="7" t="s">
        <v>101</v>
      </c>
      <c r="G592" s="7" t="s">
        <v>105</v>
      </c>
      <c r="H592" s="7" t="n">
        <v>5</v>
      </c>
      <c r="I592" s="7" t="n">
        <v>240</v>
      </c>
      <c r="J592" s="7" t="n">
        <v>0</v>
      </c>
      <c r="K592" s="7" t="s">
        <v>88</v>
      </c>
      <c r="L592" s="7" t="s">
        <v>194</v>
      </c>
      <c r="M592" s="7" t="n">
        <v>47</v>
      </c>
      <c r="N592" s="7" t="n">
        <v>5</v>
      </c>
      <c r="O592" s="7" t="str">
        <f aca="false">A592&amp;"|"&amp;B592&amp;"|"&amp;C592&amp;"|"&amp;D592&amp;"|"&amp;E592&amp;"|"&amp;F592&amp;"|"&amp;G592&amp;"|"&amp;H592&amp;"|"&amp;I592&amp;"|"&amp;J592&amp;"|"&amp;K592&amp;"|"&amp;L592&amp;"|"&amp;M592&amp;"|"&amp;N592</f>
        <v>ORD12176|04-Oct-2025|19:53|C0080|Dragon Express|Mumbai|Chinese|5|240|0|UPI|Delivered|47|5</v>
      </c>
      <c r="P592" s="7" t="str">
        <f aca="false">IF(COUNTIF($O$2:O592,O592)&gt;1,"DUP","OK")</f>
        <v>OK</v>
      </c>
      <c r="Q592" s="7" t="n">
        <f aca="false">COUNTBLANK(A592:N592)</f>
        <v>0</v>
      </c>
      <c r="R592" s="7" t="n">
        <f aca="false">IF(A592="",0,COUNTIFS($A$2:$A$3058,A592,$P$2:$P$3058,"OK"))</f>
        <v>1</v>
      </c>
      <c r="S592" s="7" t="str">
        <f aca="false">IF(OR(A592="",P592="DUP",R592&lt;2),"",IF(Q592=_xlfn.MINIFS($Q$2:$Q$3058,$A$2:$A$3058,A592,$P$2:$P$3058,"OK"),"KEEP","DROP"))</f>
        <v/>
      </c>
      <c r="T592" s="9" t="n">
        <f aca="false">IF(A592="",1,0)</f>
        <v>0</v>
      </c>
      <c r="U592" s="9" t="n">
        <f aca="false">IF(D592="",1,0)</f>
        <v>0</v>
      </c>
      <c r="V592" s="9" t="n">
        <f aca="false">IF(E592="",1,0)</f>
        <v>0</v>
      </c>
      <c r="W592" s="9" t="n">
        <f aca="false">IF(OR(H592&lt;1,H592&gt;10),1,0)</f>
        <v>0</v>
      </c>
      <c r="X592" s="9" t="n">
        <f aca="false">IF(OR(I592&lt;=0,I592&gt;1500),1,0)</f>
        <v>0</v>
      </c>
      <c r="Y592" s="9" t="n">
        <f aca="false">IF(J592&gt;H592*I592,1,0)</f>
        <v>0</v>
      </c>
      <c r="Z592" s="9" t="n">
        <f aca="false">IF(AND(N592&lt;&gt;"",OR(N592&lt;1,N592&gt;5)),1,0)</f>
        <v>0</v>
      </c>
      <c r="AA592" s="9" t="n">
        <f aca="false">IF(AND(M592&lt;&gt;"",OR(M592&lt;5,M592&gt;180)),1,0)</f>
        <v>0</v>
      </c>
      <c r="AB592" s="7" t="str">
        <f aca="false">IF(P592="DUP","Exact duplicate row",IF(T592=1,"Missing Order ID",IF(S592="DROP","Duplicate Order ID (less complete row)",IF(U592=1,"Missing Customer ID",IF(V592=1,"Missing Restaurant name",IF(W592=1,"Invalid/outlier quantity",IF(X592=1,"Invalid/outlier unit price",IF(Y592=1,"Discount greater than order value",""))))))))</f>
        <v/>
      </c>
      <c r="AC592" s="7" t="str">
        <f aca="false">IF(AB592="","KEEP","DROP")</f>
        <v>KEEP</v>
      </c>
      <c r="AD592" s="7" t="str">
        <f aca="false">IF(TRIM(F592)="",IFERROR(INDEX(Map_Tables!$I$4:$I$37,MATCH(TRIM(E592),Map_Tables!$G$4:$G$37,0)),""),IFERROR(INDEX(Map_Tables!$B$4:$B$18,MATCH(TRIM(F592),Map_Tables!$A$4:$A$18,0)),"CHECK"))</f>
        <v>Mumbai</v>
      </c>
      <c r="AE592" s="7" t="str">
        <f aca="false">IF(TRIM(E592)="","",IFERROR(INDEX(Map_Tables!$H$4:$H$37,MATCH(TRIM(E592),Map_Tables!$G$4:$G$37,0)),"CHECK"))</f>
        <v>Dragon Express</v>
      </c>
      <c r="AF592" s="7" t="str">
        <f aca="false">IF(TRIM(K592)="","Unknown",IFERROR(INDEX(Map_Tables!$E$4:$E$15,MATCH(TRIM(K592),Map_Tables!$D$4:$D$15,0)),"CHECK"))</f>
        <v>UPI</v>
      </c>
      <c r="AG592" s="7" t="str">
        <f aca="false">IF(LEFT(LOWER(TRIM(L592)),6)="cancel","Cancelled","Delivered")</f>
        <v>Delivered</v>
      </c>
      <c r="AH592" s="10" t="n">
        <f aca="false">IF(ISNUMBER(SEARCH("/",B592)),DATE(VALUE(RIGHT(B592,4)),VALUE(MID(B592,4,2)),VALUE(LEFT(B592,2))),IF(MID(B592,5,1)="-",DATE(VALUE(LEFT(B592,4)),VALUE(MID(B592,6,2)),VALUE(RIGHT(B592,2))),DATE(VALUE(RIGHT(B592,4)),MATCH(MID(B592,4,3),{"Jan","Feb","Mar","Apr","May","Jun","Jul","Aug","Sep","Oct","Nov","Dec"},0),VALUE(LEFT(B592,2)))))</f>
        <v>45934</v>
      </c>
    </row>
    <row r="593" customFormat="false" ht="15" hidden="false" customHeight="false" outlineLevel="0" collapsed="false">
      <c r="A593" s="7" t="s">
        <v>2112</v>
      </c>
      <c r="B593" s="7" t="s">
        <v>754</v>
      </c>
      <c r="C593" s="7" t="s">
        <v>2113</v>
      </c>
      <c r="D593" s="7" t="s">
        <v>2114</v>
      </c>
      <c r="E593" s="7" t="s">
        <v>113</v>
      </c>
      <c r="F593" s="7" t="s">
        <v>101</v>
      </c>
      <c r="G593" s="7" t="s">
        <v>90</v>
      </c>
      <c r="H593" s="7" t="n">
        <v>3</v>
      </c>
      <c r="I593" s="7" t="n">
        <v>285</v>
      </c>
      <c r="J593" s="7" t="n">
        <v>50</v>
      </c>
      <c r="K593" s="7" t="s">
        <v>103</v>
      </c>
      <c r="L593" s="7" t="s">
        <v>194</v>
      </c>
      <c r="M593" s="7" t="n">
        <v>41</v>
      </c>
      <c r="N593" s="7" t="n">
        <v>3</v>
      </c>
      <c r="O593" s="7" t="str">
        <f aca="false">A593&amp;"|"&amp;B593&amp;"|"&amp;C593&amp;"|"&amp;D593&amp;"|"&amp;E593&amp;"|"&amp;F593&amp;"|"&amp;G593&amp;"|"&amp;H593&amp;"|"&amp;I593&amp;"|"&amp;J593&amp;"|"&amp;K593&amp;"|"&amp;L593&amp;"|"&amp;M593&amp;"|"&amp;N593</f>
        <v>ORD12082|2025-09-25|14:02|C0955|Curry Leaf Kitchen|Mumbai|North Indian|3|285|50|Debit Card|Delivered|41|3</v>
      </c>
      <c r="P593" s="7" t="str">
        <f aca="false">IF(COUNTIF($O$2:O593,O593)&gt;1,"DUP","OK")</f>
        <v>OK</v>
      </c>
      <c r="Q593" s="7" t="n">
        <f aca="false">COUNTBLANK(A593:N593)</f>
        <v>0</v>
      </c>
      <c r="R593" s="7" t="n">
        <f aca="false">IF(A593="",0,COUNTIFS($A$2:$A$3058,A593,$P$2:$P$3058,"OK"))</f>
        <v>1</v>
      </c>
      <c r="S593" s="7" t="str">
        <f aca="false">IF(OR(A593="",P593="DUP",R593&lt;2),"",IF(Q593=_xlfn.MINIFS($Q$2:$Q$3058,$A$2:$A$3058,A593,$P$2:$P$3058,"OK"),"KEEP","DROP"))</f>
        <v/>
      </c>
      <c r="T593" s="9" t="n">
        <f aca="false">IF(A593="",1,0)</f>
        <v>0</v>
      </c>
      <c r="U593" s="9" t="n">
        <f aca="false">IF(D593="",1,0)</f>
        <v>0</v>
      </c>
      <c r="V593" s="9" t="n">
        <f aca="false">IF(E593="",1,0)</f>
        <v>0</v>
      </c>
      <c r="W593" s="9" t="n">
        <f aca="false">IF(OR(H593&lt;1,H593&gt;10),1,0)</f>
        <v>0</v>
      </c>
      <c r="X593" s="9" t="n">
        <f aca="false">IF(OR(I593&lt;=0,I593&gt;1500),1,0)</f>
        <v>0</v>
      </c>
      <c r="Y593" s="9" t="n">
        <f aca="false">IF(J593&gt;H593*I593,1,0)</f>
        <v>0</v>
      </c>
      <c r="Z593" s="9" t="n">
        <f aca="false">IF(AND(N593&lt;&gt;"",OR(N593&lt;1,N593&gt;5)),1,0)</f>
        <v>0</v>
      </c>
      <c r="AA593" s="9" t="n">
        <f aca="false">IF(AND(M593&lt;&gt;"",OR(M593&lt;5,M593&gt;180)),1,0)</f>
        <v>0</v>
      </c>
      <c r="AB593" s="7" t="str">
        <f aca="false">IF(P593="DUP","Exact duplicate row",IF(T593=1,"Missing Order ID",IF(S593="DROP","Duplicate Order ID (less complete row)",IF(U593=1,"Missing Customer ID",IF(V593=1,"Missing Restaurant name",IF(W593=1,"Invalid/outlier quantity",IF(X593=1,"Invalid/outlier unit price",IF(Y593=1,"Discount greater than order value",""))))))))</f>
        <v/>
      </c>
      <c r="AC593" s="7" t="str">
        <f aca="false">IF(AB593="","KEEP","DROP")</f>
        <v>KEEP</v>
      </c>
      <c r="AD593" s="7" t="str">
        <f aca="false">IF(TRIM(F593)="",IFERROR(INDEX(Map_Tables!$I$4:$I$37,MATCH(TRIM(E593),Map_Tables!$G$4:$G$37,0)),""),IFERROR(INDEX(Map_Tables!$B$4:$B$18,MATCH(TRIM(F593),Map_Tables!$A$4:$A$18,0)),"CHECK"))</f>
        <v>Mumbai</v>
      </c>
      <c r="AE593" s="7" t="str">
        <f aca="false">IF(TRIM(E593)="","",IFERROR(INDEX(Map_Tables!$H$4:$H$37,MATCH(TRIM(E593),Map_Tables!$G$4:$G$37,0)),"CHECK"))</f>
        <v>Curry Leaf Kitchen</v>
      </c>
      <c r="AF593" s="7" t="str">
        <f aca="false">IF(TRIM(K593)="","Unknown",IFERROR(INDEX(Map_Tables!$E$4:$E$15,MATCH(TRIM(K593),Map_Tables!$D$4:$D$15,0)),"CHECK"))</f>
        <v>Debit Card</v>
      </c>
      <c r="AG593" s="7" t="str">
        <f aca="false">IF(LEFT(LOWER(TRIM(L593)),6)="cancel","Cancelled","Delivered")</f>
        <v>Delivered</v>
      </c>
      <c r="AH593" s="10" t="n">
        <f aca="false">IF(ISNUMBER(SEARCH("/",B593)),DATE(VALUE(RIGHT(B593,4)),VALUE(MID(B593,4,2)),VALUE(LEFT(B593,2))),IF(MID(B593,5,1)="-",DATE(VALUE(LEFT(B593,4)),VALUE(MID(B593,6,2)),VALUE(RIGHT(B593,2))),DATE(VALUE(RIGHT(B593,4)),MATCH(MID(B593,4,3),{"Jan","Feb","Mar","Apr","May","Jun","Jul","Aug","Sep","Oct","Nov","Dec"},0),VALUE(LEFT(B593,2)))))</f>
        <v>45925</v>
      </c>
    </row>
    <row r="594" customFormat="false" ht="15" hidden="false" customHeight="false" outlineLevel="0" collapsed="false">
      <c r="A594" s="7" t="s">
        <v>2115</v>
      </c>
      <c r="B594" s="7" t="s">
        <v>2116</v>
      </c>
      <c r="C594" s="7" t="s">
        <v>447</v>
      </c>
      <c r="D594" s="7" t="s">
        <v>2117</v>
      </c>
      <c r="E594" s="7" t="s">
        <v>144</v>
      </c>
      <c r="F594" s="7" t="s">
        <v>119</v>
      </c>
      <c r="G594" s="7" t="s">
        <v>99</v>
      </c>
      <c r="H594" s="7" t="n">
        <v>2</v>
      </c>
      <c r="I594" s="7" t="n">
        <v>275</v>
      </c>
      <c r="J594" s="7" t="n">
        <v>0</v>
      </c>
      <c r="K594" s="7" t="s">
        <v>88</v>
      </c>
      <c r="L594" s="7" t="s">
        <v>194</v>
      </c>
      <c r="M594" s="7" t="n">
        <v>20</v>
      </c>
      <c r="N594" s="7" t="n">
        <v>4</v>
      </c>
      <c r="O594" s="7" t="str">
        <f aca="false">A594&amp;"|"&amp;B594&amp;"|"&amp;C594&amp;"|"&amp;D594&amp;"|"&amp;E594&amp;"|"&amp;F594&amp;"|"&amp;G594&amp;"|"&amp;H594&amp;"|"&amp;I594&amp;"|"&amp;J594&amp;"|"&amp;K594&amp;"|"&amp;L594&amp;"|"&amp;M594&amp;"|"&amp;N594</f>
        <v>ORD10355|2025-02-16|20:28|C1391|Hyderabad Dum Biryani|Hyderabad|Biryani|2|275|0|UPI|Delivered|20|4</v>
      </c>
      <c r="P594" s="7" t="str">
        <f aca="false">IF(COUNTIF($O$2:O594,O594)&gt;1,"DUP","OK")</f>
        <v>OK</v>
      </c>
      <c r="Q594" s="7" t="n">
        <f aca="false">COUNTBLANK(A594:N594)</f>
        <v>0</v>
      </c>
      <c r="R594" s="7" t="n">
        <f aca="false">IF(A594="",0,COUNTIFS($A$2:$A$3058,A594,$P$2:$P$3058,"OK"))</f>
        <v>1</v>
      </c>
      <c r="S594" s="7" t="str">
        <f aca="false">IF(OR(A594="",P594="DUP",R594&lt;2),"",IF(Q594=_xlfn.MINIFS($Q$2:$Q$3058,$A$2:$A$3058,A594,$P$2:$P$3058,"OK"),"KEEP","DROP"))</f>
        <v/>
      </c>
      <c r="T594" s="9" t="n">
        <f aca="false">IF(A594="",1,0)</f>
        <v>0</v>
      </c>
      <c r="U594" s="9" t="n">
        <f aca="false">IF(D594="",1,0)</f>
        <v>0</v>
      </c>
      <c r="V594" s="9" t="n">
        <f aca="false">IF(E594="",1,0)</f>
        <v>0</v>
      </c>
      <c r="W594" s="9" t="n">
        <f aca="false">IF(OR(H594&lt;1,H594&gt;10),1,0)</f>
        <v>0</v>
      </c>
      <c r="X594" s="9" t="n">
        <f aca="false">IF(OR(I594&lt;=0,I594&gt;1500),1,0)</f>
        <v>0</v>
      </c>
      <c r="Y594" s="9" t="n">
        <f aca="false">IF(J594&gt;H594*I594,1,0)</f>
        <v>0</v>
      </c>
      <c r="Z594" s="9" t="n">
        <f aca="false">IF(AND(N594&lt;&gt;"",OR(N594&lt;1,N594&gt;5)),1,0)</f>
        <v>0</v>
      </c>
      <c r="AA594" s="9" t="n">
        <f aca="false">IF(AND(M594&lt;&gt;"",OR(M594&lt;5,M594&gt;180)),1,0)</f>
        <v>0</v>
      </c>
      <c r="AB594" s="7" t="str">
        <f aca="false">IF(P594="DUP","Exact duplicate row",IF(T594=1,"Missing Order ID",IF(S594="DROP","Duplicate Order ID (less complete row)",IF(U594=1,"Missing Customer ID",IF(V594=1,"Missing Restaurant name",IF(W594=1,"Invalid/outlier quantity",IF(X594=1,"Invalid/outlier unit price",IF(Y594=1,"Discount greater than order value",""))))))))</f>
        <v/>
      </c>
      <c r="AC594" s="7" t="str">
        <f aca="false">IF(AB594="","KEEP","DROP")</f>
        <v>KEEP</v>
      </c>
      <c r="AD594" s="7" t="str">
        <f aca="false">IF(TRIM(F594)="",IFERROR(INDEX(Map_Tables!$I$4:$I$37,MATCH(TRIM(E594),Map_Tables!$G$4:$G$37,0)),""),IFERROR(INDEX(Map_Tables!$B$4:$B$18,MATCH(TRIM(F594),Map_Tables!$A$4:$A$18,0)),"CHECK"))</f>
        <v>Hyderabad</v>
      </c>
      <c r="AE594" s="7" t="str">
        <f aca="false">IF(TRIM(E594)="","",IFERROR(INDEX(Map_Tables!$H$4:$H$37,MATCH(TRIM(E594),Map_Tables!$G$4:$G$37,0)),"CHECK"))</f>
        <v>Hyderabad Dum Biryani</v>
      </c>
      <c r="AF594" s="7" t="str">
        <f aca="false">IF(TRIM(K594)="","Unknown",IFERROR(INDEX(Map_Tables!$E$4:$E$15,MATCH(TRIM(K594),Map_Tables!$D$4:$D$15,0)),"CHECK"))</f>
        <v>UPI</v>
      </c>
      <c r="AG594" s="7" t="str">
        <f aca="false">IF(LEFT(LOWER(TRIM(L594)),6)="cancel","Cancelled","Delivered")</f>
        <v>Delivered</v>
      </c>
      <c r="AH594" s="10" t="n">
        <f aca="false">IF(ISNUMBER(SEARCH("/",B594)),DATE(VALUE(RIGHT(B594,4)),VALUE(MID(B594,4,2)),VALUE(LEFT(B594,2))),IF(MID(B594,5,1)="-",DATE(VALUE(LEFT(B594,4)),VALUE(MID(B594,6,2)),VALUE(RIGHT(B594,2))),DATE(VALUE(RIGHT(B594,4)),MATCH(MID(B594,4,3),{"Jan","Feb","Mar","Apr","May","Jun","Jul","Aug","Sep","Oct","Nov","Dec"},0),VALUE(LEFT(B594,2)))))</f>
        <v>45704</v>
      </c>
    </row>
    <row r="595" customFormat="false" ht="15" hidden="false" customHeight="false" outlineLevel="0" collapsed="false">
      <c r="A595" s="7" t="s">
        <v>2118</v>
      </c>
      <c r="B595" s="7" t="s">
        <v>309</v>
      </c>
      <c r="C595" s="7" t="s">
        <v>1920</v>
      </c>
      <c r="D595" s="7" t="s">
        <v>2119</v>
      </c>
      <c r="E595" s="7" t="s">
        <v>147</v>
      </c>
      <c r="F595" s="7" t="s">
        <v>119</v>
      </c>
      <c r="G595" s="7" t="s">
        <v>95</v>
      </c>
      <c r="H595" s="7" t="n">
        <v>1</v>
      </c>
      <c r="I595" s="7" t="n">
        <v>135</v>
      </c>
      <c r="J595" s="7" t="n">
        <v>0</v>
      </c>
      <c r="K595" s="7" t="s">
        <v>88</v>
      </c>
      <c r="L595" s="7" t="s">
        <v>194</v>
      </c>
      <c r="M595" s="7" t="n">
        <v>28</v>
      </c>
      <c r="N595" s="7" t="n">
        <v>4</v>
      </c>
      <c r="O595" s="7" t="str">
        <f aca="false">A595&amp;"|"&amp;B595&amp;"|"&amp;C595&amp;"|"&amp;D595&amp;"|"&amp;E595&amp;"|"&amp;F595&amp;"|"&amp;G595&amp;"|"&amp;H595&amp;"|"&amp;I595&amp;"|"&amp;J595&amp;"|"&amp;K595&amp;"|"&amp;L595&amp;"|"&amp;M595&amp;"|"&amp;N595</f>
        <v>ORD12826|2025-12-11|22:09|C1374|Andhra Meals Mess|Hyderabad|South Indian|1|135|0|UPI|Delivered|28|4</v>
      </c>
      <c r="P595" s="7" t="str">
        <f aca="false">IF(COUNTIF($O$2:O595,O595)&gt;1,"DUP","OK")</f>
        <v>OK</v>
      </c>
      <c r="Q595" s="7" t="n">
        <f aca="false">COUNTBLANK(A595:N595)</f>
        <v>0</v>
      </c>
      <c r="R595" s="7" t="n">
        <f aca="false">IF(A595="",0,COUNTIFS($A$2:$A$3058,A595,$P$2:$P$3058,"OK"))</f>
        <v>1</v>
      </c>
      <c r="S595" s="7" t="str">
        <f aca="false">IF(OR(A595="",P595="DUP",R595&lt;2),"",IF(Q595=_xlfn.MINIFS($Q$2:$Q$3058,$A$2:$A$3058,A595,$P$2:$P$3058,"OK"),"KEEP","DROP"))</f>
        <v/>
      </c>
      <c r="T595" s="9" t="n">
        <f aca="false">IF(A595="",1,0)</f>
        <v>0</v>
      </c>
      <c r="U595" s="9" t="n">
        <f aca="false">IF(D595="",1,0)</f>
        <v>0</v>
      </c>
      <c r="V595" s="9" t="n">
        <f aca="false">IF(E595="",1,0)</f>
        <v>0</v>
      </c>
      <c r="W595" s="9" t="n">
        <f aca="false">IF(OR(H595&lt;1,H595&gt;10),1,0)</f>
        <v>0</v>
      </c>
      <c r="X595" s="9" t="n">
        <f aca="false">IF(OR(I595&lt;=0,I595&gt;1500),1,0)</f>
        <v>0</v>
      </c>
      <c r="Y595" s="9" t="n">
        <f aca="false">IF(J595&gt;H595*I595,1,0)</f>
        <v>0</v>
      </c>
      <c r="Z595" s="9" t="n">
        <f aca="false">IF(AND(N595&lt;&gt;"",OR(N595&lt;1,N595&gt;5)),1,0)</f>
        <v>0</v>
      </c>
      <c r="AA595" s="9" t="n">
        <f aca="false">IF(AND(M595&lt;&gt;"",OR(M595&lt;5,M595&gt;180)),1,0)</f>
        <v>0</v>
      </c>
      <c r="AB595" s="7" t="str">
        <f aca="false">IF(P595="DUP","Exact duplicate row",IF(T595=1,"Missing Order ID",IF(S595="DROP","Duplicate Order ID (less complete row)",IF(U595=1,"Missing Customer ID",IF(V595=1,"Missing Restaurant name",IF(W595=1,"Invalid/outlier quantity",IF(X595=1,"Invalid/outlier unit price",IF(Y595=1,"Discount greater than order value",""))))))))</f>
        <v/>
      </c>
      <c r="AC595" s="7" t="str">
        <f aca="false">IF(AB595="","KEEP","DROP")</f>
        <v>KEEP</v>
      </c>
      <c r="AD595" s="7" t="str">
        <f aca="false">IF(TRIM(F595)="",IFERROR(INDEX(Map_Tables!$I$4:$I$37,MATCH(TRIM(E595),Map_Tables!$G$4:$G$37,0)),""),IFERROR(INDEX(Map_Tables!$B$4:$B$18,MATCH(TRIM(F595),Map_Tables!$A$4:$A$18,0)),"CHECK"))</f>
        <v>Hyderabad</v>
      </c>
      <c r="AE595" s="7" t="str">
        <f aca="false">IF(TRIM(E595)="","",IFERROR(INDEX(Map_Tables!$H$4:$H$37,MATCH(TRIM(E595),Map_Tables!$G$4:$G$37,0)),"CHECK"))</f>
        <v>Andhra Meals Mess</v>
      </c>
      <c r="AF595" s="7" t="str">
        <f aca="false">IF(TRIM(K595)="","Unknown",IFERROR(INDEX(Map_Tables!$E$4:$E$15,MATCH(TRIM(K595),Map_Tables!$D$4:$D$15,0)),"CHECK"))</f>
        <v>UPI</v>
      </c>
      <c r="AG595" s="7" t="str">
        <f aca="false">IF(LEFT(LOWER(TRIM(L595)),6)="cancel","Cancelled","Delivered")</f>
        <v>Delivered</v>
      </c>
      <c r="AH595" s="10" t="n">
        <f aca="false">IF(ISNUMBER(SEARCH("/",B595)),DATE(VALUE(RIGHT(B595,4)),VALUE(MID(B595,4,2)),VALUE(LEFT(B595,2))),IF(MID(B595,5,1)="-",DATE(VALUE(LEFT(B595,4)),VALUE(MID(B595,6,2)),VALUE(RIGHT(B595,2))),DATE(VALUE(RIGHT(B595,4)),MATCH(MID(B595,4,3),{"Jan","Feb","Mar","Apr","May","Jun","Jul","Aug","Sep","Oct","Nov","Dec"},0),VALUE(LEFT(B595,2)))))</f>
        <v>46002</v>
      </c>
    </row>
    <row r="596" customFormat="false" ht="15" hidden="false" customHeight="false" outlineLevel="0" collapsed="false">
      <c r="A596" s="7" t="s">
        <v>2120</v>
      </c>
      <c r="B596" s="7" t="s">
        <v>1663</v>
      </c>
      <c r="C596" s="7" t="s">
        <v>1379</v>
      </c>
      <c r="D596" s="7" t="s">
        <v>589</v>
      </c>
      <c r="E596" s="7" t="s">
        <v>98</v>
      </c>
      <c r="F596" s="7" t="s">
        <v>86</v>
      </c>
      <c r="G596" s="7" t="s">
        <v>99</v>
      </c>
      <c r="H596" s="7" t="n">
        <v>5</v>
      </c>
      <c r="I596" s="7" t="n">
        <v>275</v>
      </c>
      <c r="J596" s="7" t="n">
        <v>0</v>
      </c>
      <c r="K596" s="7" t="s">
        <v>88</v>
      </c>
      <c r="L596" s="7" t="s">
        <v>194</v>
      </c>
      <c r="M596" s="7" t="n">
        <v>46</v>
      </c>
      <c r="N596" s="7" t="n">
        <v>4</v>
      </c>
      <c r="O596" s="7" t="str">
        <f aca="false">A596&amp;"|"&amp;B596&amp;"|"&amp;C596&amp;"|"&amp;D596&amp;"|"&amp;E596&amp;"|"&amp;F596&amp;"|"&amp;G596&amp;"|"&amp;H596&amp;"|"&amp;I596&amp;"|"&amp;J596&amp;"|"&amp;K596&amp;"|"&amp;L596&amp;"|"&amp;M596&amp;"|"&amp;N596</f>
        <v>ORD11083|2025-05-17|19:23|C0703|Nawabi Biryani House|Bengaluru|Biryani|5|275|0|UPI|Delivered|46|4</v>
      </c>
      <c r="P596" s="7" t="str">
        <f aca="false">IF(COUNTIF($O$2:O596,O596)&gt;1,"DUP","OK")</f>
        <v>OK</v>
      </c>
      <c r="Q596" s="7" t="n">
        <f aca="false">COUNTBLANK(A596:N596)</f>
        <v>0</v>
      </c>
      <c r="R596" s="7" t="n">
        <f aca="false">IF(A596="",0,COUNTIFS($A$2:$A$3058,A596,$P$2:$P$3058,"OK"))</f>
        <v>1</v>
      </c>
      <c r="S596" s="7" t="str">
        <f aca="false">IF(OR(A596="",P596="DUP",R596&lt;2),"",IF(Q596=_xlfn.MINIFS($Q$2:$Q$3058,$A$2:$A$3058,A596,$P$2:$P$3058,"OK"),"KEEP","DROP"))</f>
        <v/>
      </c>
      <c r="T596" s="9" t="n">
        <f aca="false">IF(A596="",1,0)</f>
        <v>0</v>
      </c>
      <c r="U596" s="9" t="n">
        <f aca="false">IF(D596="",1,0)</f>
        <v>0</v>
      </c>
      <c r="V596" s="9" t="n">
        <f aca="false">IF(E596="",1,0)</f>
        <v>0</v>
      </c>
      <c r="W596" s="9" t="n">
        <f aca="false">IF(OR(H596&lt;1,H596&gt;10),1,0)</f>
        <v>0</v>
      </c>
      <c r="X596" s="9" t="n">
        <f aca="false">IF(OR(I596&lt;=0,I596&gt;1500),1,0)</f>
        <v>0</v>
      </c>
      <c r="Y596" s="9" t="n">
        <f aca="false">IF(J596&gt;H596*I596,1,0)</f>
        <v>0</v>
      </c>
      <c r="Z596" s="9" t="n">
        <f aca="false">IF(AND(N596&lt;&gt;"",OR(N596&lt;1,N596&gt;5)),1,0)</f>
        <v>0</v>
      </c>
      <c r="AA596" s="9" t="n">
        <f aca="false">IF(AND(M596&lt;&gt;"",OR(M596&lt;5,M596&gt;180)),1,0)</f>
        <v>0</v>
      </c>
      <c r="AB596" s="7" t="str">
        <f aca="false">IF(P596="DUP","Exact duplicate row",IF(T596=1,"Missing Order ID",IF(S596="DROP","Duplicate Order ID (less complete row)",IF(U596=1,"Missing Customer ID",IF(V596=1,"Missing Restaurant name",IF(W596=1,"Invalid/outlier quantity",IF(X596=1,"Invalid/outlier unit price",IF(Y596=1,"Discount greater than order value",""))))))))</f>
        <v/>
      </c>
      <c r="AC596" s="7" t="str">
        <f aca="false">IF(AB596="","KEEP","DROP")</f>
        <v>KEEP</v>
      </c>
      <c r="AD596" s="7" t="str">
        <f aca="false">IF(TRIM(F596)="",IFERROR(INDEX(Map_Tables!$I$4:$I$37,MATCH(TRIM(E596),Map_Tables!$G$4:$G$37,0)),""),IFERROR(INDEX(Map_Tables!$B$4:$B$18,MATCH(TRIM(F596),Map_Tables!$A$4:$A$18,0)),"CHECK"))</f>
        <v>Bengaluru</v>
      </c>
      <c r="AE596" s="7" t="str">
        <f aca="false">IF(TRIM(E596)="","",IFERROR(INDEX(Map_Tables!$H$4:$H$37,MATCH(TRIM(E596),Map_Tables!$G$4:$G$37,0)),"CHECK"))</f>
        <v>Nawabi Biryani House</v>
      </c>
      <c r="AF596" s="7" t="str">
        <f aca="false">IF(TRIM(K596)="","Unknown",IFERROR(INDEX(Map_Tables!$E$4:$E$15,MATCH(TRIM(K596),Map_Tables!$D$4:$D$15,0)),"CHECK"))</f>
        <v>UPI</v>
      </c>
      <c r="AG596" s="7" t="str">
        <f aca="false">IF(LEFT(LOWER(TRIM(L596)),6)="cancel","Cancelled","Delivered")</f>
        <v>Delivered</v>
      </c>
      <c r="AH596" s="10" t="n">
        <f aca="false">IF(ISNUMBER(SEARCH("/",B596)),DATE(VALUE(RIGHT(B596,4)),VALUE(MID(B596,4,2)),VALUE(LEFT(B596,2))),IF(MID(B596,5,1)="-",DATE(VALUE(LEFT(B596,4)),VALUE(MID(B596,6,2)),VALUE(RIGHT(B596,2))),DATE(VALUE(RIGHT(B596,4)),MATCH(MID(B596,4,3),{"Jan","Feb","Mar","Apr","May","Jun","Jul","Aug","Sep","Oct","Nov","Dec"},0),VALUE(LEFT(B596,2)))))</f>
        <v>45794</v>
      </c>
    </row>
    <row r="597" customFormat="false" ht="15" hidden="false" customHeight="false" outlineLevel="0" collapsed="false">
      <c r="A597" s="7" t="s">
        <v>2121</v>
      </c>
      <c r="B597" s="7" t="s">
        <v>1528</v>
      </c>
      <c r="C597" s="7" t="s">
        <v>391</v>
      </c>
      <c r="D597" s="7" t="s">
        <v>2122</v>
      </c>
      <c r="E597" s="7" t="s">
        <v>144</v>
      </c>
      <c r="F597" s="7" t="s">
        <v>119</v>
      </c>
      <c r="G597" s="7" t="s">
        <v>1199</v>
      </c>
      <c r="H597" s="7" t="n">
        <v>1</v>
      </c>
      <c r="I597" s="7" t="n">
        <v>285</v>
      </c>
      <c r="J597" s="7" t="n">
        <v>0</v>
      </c>
      <c r="K597" s="7" t="s">
        <v>88</v>
      </c>
      <c r="L597" s="7" t="s">
        <v>194</v>
      </c>
      <c r="M597" s="7" t="n">
        <v>27</v>
      </c>
      <c r="N597" s="7" t="n">
        <v>5</v>
      </c>
      <c r="O597" s="7" t="str">
        <f aca="false">A597&amp;"|"&amp;B597&amp;"|"&amp;C597&amp;"|"&amp;D597&amp;"|"&amp;E597&amp;"|"&amp;F597&amp;"|"&amp;G597&amp;"|"&amp;H597&amp;"|"&amp;I597&amp;"|"&amp;J597&amp;"|"&amp;K597&amp;"|"&amp;L597&amp;"|"&amp;M597&amp;"|"&amp;N597</f>
        <v>ORD12461|2025-11-05|19:50|C0817|Hyderabad Dum Biryani|Hyderabad|biryani|1|285|0|UPI|Delivered|27|5</v>
      </c>
      <c r="P597" s="7" t="str">
        <f aca="false">IF(COUNTIF($O$2:O597,O597)&gt;1,"DUP","OK")</f>
        <v>OK</v>
      </c>
      <c r="Q597" s="7" t="n">
        <f aca="false">COUNTBLANK(A597:N597)</f>
        <v>0</v>
      </c>
      <c r="R597" s="7" t="n">
        <f aca="false">IF(A597="",0,COUNTIFS($A$2:$A$3058,A597,$P$2:$P$3058,"OK"))</f>
        <v>1</v>
      </c>
      <c r="S597" s="7" t="str">
        <f aca="false">IF(OR(A597="",P597="DUP",R597&lt;2),"",IF(Q597=_xlfn.MINIFS($Q$2:$Q$3058,$A$2:$A$3058,A597,$P$2:$P$3058,"OK"),"KEEP","DROP"))</f>
        <v/>
      </c>
      <c r="T597" s="9" t="n">
        <f aca="false">IF(A597="",1,0)</f>
        <v>0</v>
      </c>
      <c r="U597" s="9" t="n">
        <f aca="false">IF(D597="",1,0)</f>
        <v>0</v>
      </c>
      <c r="V597" s="9" t="n">
        <f aca="false">IF(E597="",1,0)</f>
        <v>0</v>
      </c>
      <c r="W597" s="9" t="n">
        <f aca="false">IF(OR(H597&lt;1,H597&gt;10),1,0)</f>
        <v>0</v>
      </c>
      <c r="X597" s="9" t="n">
        <f aca="false">IF(OR(I597&lt;=0,I597&gt;1500),1,0)</f>
        <v>0</v>
      </c>
      <c r="Y597" s="9" t="n">
        <f aca="false">IF(J597&gt;H597*I597,1,0)</f>
        <v>0</v>
      </c>
      <c r="Z597" s="9" t="n">
        <f aca="false">IF(AND(N597&lt;&gt;"",OR(N597&lt;1,N597&gt;5)),1,0)</f>
        <v>0</v>
      </c>
      <c r="AA597" s="9" t="n">
        <f aca="false">IF(AND(M597&lt;&gt;"",OR(M597&lt;5,M597&gt;180)),1,0)</f>
        <v>0</v>
      </c>
      <c r="AB597" s="7" t="str">
        <f aca="false">IF(P597="DUP","Exact duplicate row",IF(T597=1,"Missing Order ID",IF(S597="DROP","Duplicate Order ID (less complete row)",IF(U597=1,"Missing Customer ID",IF(V597=1,"Missing Restaurant name",IF(W597=1,"Invalid/outlier quantity",IF(X597=1,"Invalid/outlier unit price",IF(Y597=1,"Discount greater than order value",""))))))))</f>
        <v/>
      </c>
      <c r="AC597" s="7" t="str">
        <f aca="false">IF(AB597="","KEEP","DROP")</f>
        <v>KEEP</v>
      </c>
      <c r="AD597" s="7" t="str">
        <f aca="false">IF(TRIM(F597)="",IFERROR(INDEX(Map_Tables!$I$4:$I$37,MATCH(TRIM(E597),Map_Tables!$G$4:$G$37,0)),""),IFERROR(INDEX(Map_Tables!$B$4:$B$18,MATCH(TRIM(F597),Map_Tables!$A$4:$A$18,0)),"CHECK"))</f>
        <v>Hyderabad</v>
      </c>
      <c r="AE597" s="7" t="str">
        <f aca="false">IF(TRIM(E597)="","",IFERROR(INDEX(Map_Tables!$H$4:$H$37,MATCH(TRIM(E597),Map_Tables!$G$4:$G$37,0)),"CHECK"))</f>
        <v>Hyderabad Dum Biryani</v>
      </c>
      <c r="AF597" s="7" t="str">
        <f aca="false">IF(TRIM(K597)="","Unknown",IFERROR(INDEX(Map_Tables!$E$4:$E$15,MATCH(TRIM(K597),Map_Tables!$D$4:$D$15,0)),"CHECK"))</f>
        <v>UPI</v>
      </c>
      <c r="AG597" s="7" t="str">
        <f aca="false">IF(LEFT(LOWER(TRIM(L597)),6)="cancel","Cancelled","Delivered")</f>
        <v>Delivered</v>
      </c>
      <c r="AH597" s="10" t="n">
        <f aca="false">IF(ISNUMBER(SEARCH("/",B597)),DATE(VALUE(RIGHT(B597,4)),VALUE(MID(B597,4,2)),VALUE(LEFT(B597,2))),IF(MID(B597,5,1)="-",DATE(VALUE(LEFT(B597,4)),VALUE(MID(B597,6,2)),VALUE(RIGHT(B597,2))),DATE(VALUE(RIGHT(B597,4)),MATCH(MID(B597,4,3),{"Jan","Feb","Mar","Apr","May","Jun","Jul","Aug","Sep","Oct","Nov","Dec"},0),VALUE(LEFT(B597,2)))))</f>
        <v>45966</v>
      </c>
    </row>
    <row r="598" customFormat="false" ht="15" hidden="false" customHeight="false" outlineLevel="0" collapsed="false">
      <c r="A598" s="7" t="s">
        <v>2123</v>
      </c>
      <c r="B598" s="7" t="s">
        <v>2124</v>
      </c>
      <c r="C598" s="7" t="s">
        <v>2125</v>
      </c>
      <c r="D598" s="7" t="s">
        <v>1846</v>
      </c>
      <c r="E598" s="7" t="s">
        <v>113</v>
      </c>
      <c r="F598" s="7" t="s">
        <v>101</v>
      </c>
      <c r="G598" s="7" t="s">
        <v>90</v>
      </c>
      <c r="H598" s="7" t="n">
        <v>2</v>
      </c>
      <c r="I598" s="7" t="n">
        <v>220</v>
      </c>
      <c r="J598" s="7" t="n">
        <v>0</v>
      </c>
      <c r="K598" s="7" t="s">
        <v>229</v>
      </c>
      <c r="L598" s="7" t="s">
        <v>194</v>
      </c>
      <c r="M598" s="7" t="n">
        <v>42</v>
      </c>
      <c r="N598" s="7" t="n">
        <v>3</v>
      </c>
      <c r="O598" s="7" t="str">
        <f aca="false">A598&amp;"|"&amp;B598&amp;"|"&amp;C598&amp;"|"&amp;D598&amp;"|"&amp;E598&amp;"|"&amp;F598&amp;"|"&amp;G598&amp;"|"&amp;H598&amp;"|"&amp;I598&amp;"|"&amp;J598&amp;"|"&amp;K598&amp;"|"&amp;L598&amp;"|"&amp;M598&amp;"|"&amp;N598</f>
        <v>ORD12996|2025-12-31|17:20|C0153|Curry Leaf Kitchen|Mumbai|North Indian|2|220|0|Upi|Delivered|42|3</v>
      </c>
      <c r="P598" s="7" t="str">
        <f aca="false">IF(COUNTIF($O$2:O598,O598)&gt;1,"DUP","OK")</f>
        <v>OK</v>
      </c>
      <c r="Q598" s="7" t="n">
        <f aca="false">COUNTBLANK(A598:N598)</f>
        <v>0</v>
      </c>
      <c r="R598" s="7" t="n">
        <f aca="false">IF(A598="",0,COUNTIFS($A$2:$A$3058,A598,$P$2:$P$3058,"OK"))</f>
        <v>1</v>
      </c>
      <c r="S598" s="7" t="str">
        <f aca="false">IF(OR(A598="",P598="DUP",R598&lt;2),"",IF(Q598=_xlfn.MINIFS($Q$2:$Q$3058,$A$2:$A$3058,A598,$P$2:$P$3058,"OK"),"KEEP","DROP"))</f>
        <v/>
      </c>
      <c r="T598" s="9" t="n">
        <f aca="false">IF(A598="",1,0)</f>
        <v>0</v>
      </c>
      <c r="U598" s="9" t="n">
        <f aca="false">IF(D598="",1,0)</f>
        <v>0</v>
      </c>
      <c r="V598" s="9" t="n">
        <f aca="false">IF(E598="",1,0)</f>
        <v>0</v>
      </c>
      <c r="W598" s="9" t="n">
        <f aca="false">IF(OR(H598&lt;1,H598&gt;10),1,0)</f>
        <v>0</v>
      </c>
      <c r="X598" s="9" t="n">
        <f aca="false">IF(OR(I598&lt;=0,I598&gt;1500),1,0)</f>
        <v>0</v>
      </c>
      <c r="Y598" s="9" t="n">
        <f aca="false">IF(J598&gt;H598*I598,1,0)</f>
        <v>0</v>
      </c>
      <c r="Z598" s="9" t="n">
        <f aca="false">IF(AND(N598&lt;&gt;"",OR(N598&lt;1,N598&gt;5)),1,0)</f>
        <v>0</v>
      </c>
      <c r="AA598" s="9" t="n">
        <f aca="false">IF(AND(M598&lt;&gt;"",OR(M598&lt;5,M598&gt;180)),1,0)</f>
        <v>0</v>
      </c>
      <c r="AB598" s="7" t="str">
        <f aca="false">IF(P598="DUP","Exact duplicate row",IF(T598=1,"Missing Order ID",IF(S598="DROP","Duplicate Order ID (less complete row)",IF(U598=1,"Missing Customer ID",IF(V598=1,"Missing Restaurant name",IF(W598=1,"Invalid/outlier quantity",IF(X598=1,"Invalid/outlier unit price",IF(Y598=1,"Discount greater than order value",""))))))))</f>
        <v/>
      </c>
      <c r="AC598" s="7" t="str">
        <f aca="false">IF(AB598="","KEEP","DROP")</f>
        <v>KEEP</v>
      </c>
      <c r="AD598" s="7" t="str">
        <f aca="false">IF(TRIM(F598)="",IFERROR(INDEX(Map_Tables!$I$4:$I$37,MATCH(TRIM(E598),Map_Tables!$G$4:$G$37,0)),""),IFERROR(INDEX(Map_Tables!$B$4:$B$18,MATCH(TRIM(F598),Map_Tables!$A$4:$A$18,0)),"CHECK"))</f>
        <v>Mumbai</v>
      </c>
      <c r="AE598" s="7" t="str">
        <f aca="false">IF(TRIM(E598)="","",IFERROR(INDEX(Map_Tables!$H$4:$H$37,MATCH(TRIM(E598),Map_Tables!$G$4:$G$37,0)),"CHECK"))</f>
        <v>Curry Leaf Kitchen</v>
      </c>
      <c r="AF598" s="7" t="str">
        <f aca="false">IF(TRIM(K598)="","Unknown",IFERROR(INDEX(Map_Tables!$E$4:$E$15,MATCH(TRIM(K598),Map_Tables!$D$4:$D$15,0)),"CHECK"))</f>
        <v>UPI</v>
      </c>
      <c r="AG598" s="7" t="str">
        <f aca="false">IF(LEFT(LOWER(TRIM(L598)),6)="cancel","Cancelled","Delivered")</f>
        <v>Delivered</v>
      </c>
      <c r="AH598" s="10" t="n">
        <f aca="false">IF(ISNUMBER(SEARCH("/",B598)),DATE(VALUE(RIGHT(B598,4)),VALUE(MID(B598,4,2)),VALUE(LEFT(B598,2))),IF(MID(B598,5,1)="-",DATE(VALUE(LEFT(B598,4)),VALUE(MID(B598,6,2)),VALUE(RIGHT(B598,2))),DATE(VALUE(RIGHT(B598,4)),MATCH(MID(B598,4,3),{"Jan","Feb","Mar","Apr","May","Jun","Jul","Aug","Sep","Oct","Nov","Dec"},0),VALUE(LEFT(B598,2)))))</f>
        <v>46022</v>
      </c>
    </row>
    <row r="599" customFormat="false" ht="15" hidden="false" customHeight="false" outlineLevel="0" collapsed="false">
      <c r="A599" s="7" t="s">
        <v>2126</v>
      </c>
      <c r="B599" s="7" t="s">
        <v>700</v>
      </c>
      <c r="C599" s="7" t="s">
        <v>622</v>
      </c>
      <c r="D599" s="7" t="s">
        <v>2127</v>
      </c>
      <c r="E599" s="7" t="s">
        <v>98</v>
      </c>
      <c r="F599" s="7" t="s">
        <v>86</v>
      </c>
      <c r="G599" s="7" t="s">
        <v>99</v>
      </c>
      <c r="H599" s="7" t="n">
        <v>1</v>
      </c>
      <c r="I599" s="7" t="n">
        <v>230</v>
      </c>
      <c r="J599" s="7" t="n">
        <v>92</v>
      </c>
      <c r="K599" s="7" t="s">
        <v>379</v>
      </c>
      <c r="L599" s="7" t="s">
        <v>194</v>
      </c>
      <c r="M599" s="7" t="n">
        <v>57</v>
      </c>
      <c r="N599" s="7" t="n">
        <v>3</v>
      </c>
      <c r="O599" s="7" t="str">
        <f aca="false">A599&amp;"|"&amp;B599&amp;"|"&amp;C599&amp;"|"&amp;D599&amp;"|"&amp;E599&amp;"|"&amp;F599&amp;"|"&amp;G599&amp;"|"&amp;H599&amp;"|"&amp;I599&amp;"|"&amp;J599&amp;"|"&amp;K599&amp;"|"&amp;L599&amp;"|"&amp;M599&amp;"|"&amp;N599</f>
        <v>ORD10768|2025-04-07|19:04|C0737|Nawabi Biryani House|Bengaluru|Biryani|1|230|92|Credit card|Delivered|57|3</v>
      </c>
      <c r="P599" s="7" t="str">
        <f aca="false">IF(COUNTIF($O$2:O599,O599)&gt;1,"DUP","OK")</f>
        <v>OK</v>
      </c>
      <c r="Q599" s="7" t="n">
        <f aca="false">COUNTBLANK(A599:N599)</f>
        <v>0</v>
      </c>
      <c r="R599" s="7" t="n">
        <f aca="false">IF(A599="",0,COUNTIFS($A$2:$A$3058,A599,$P$2:$P$3058,"OK"))</f>
        <v>1</v>
      </c>
      <c r="S599" s="7" t="str">
        <f aca="false">IF(OR(A599="",P599="DUP",R599&lt;2),"",IF(Q599=_xlfn.MINIFS($Q$2:$Q$3058,$A$2:$A$3058,A599,$P$2:$P$3058,"OK"),"KEEP","DROP"))</f>
        <v/>
      </c>
      <c r="T599" s="9" t="n">
        <f aca="false">IF(A599="",1,0)</f>
        <v>0</v>
      </c>
      <c r="U599" s="9" t="n">
        <f aca="false">IF(D599="",1,0)</f>
        <v>0</v>
      </c>
      <c r="V599" s="9" t="n">
        <f aca="false">IF(E599="",1,0)</f>
        <v>0</v>
      </c>
      <c r="W599" s="9" t="n">
        <f aca="false">IF(OR(H599&lt;1,H599&gt;10),1,0)</f>
        <v>0</v>
      </c>
      <c r="X599" s="9" t="n">
        <f aca="false">IF(OR(I599&lt;=0,I599&gt;1500),1,0)</f>
        <v>0</v>
      </c>
      <c r="Y599" s="9" t="n">
        <f aca="false">IF(J599&gt;H599*I599,1,0)</f>
        <v>0</v>
      </c>
      <c r="Z599" s="9" t="n">
        <f aca="false">IF(AND(N599&lt;&gt;"",OR(N599&lt;1,N599&gt;5)),1,0)</f>
        <v>0</v>
      </c>
      <c r="AA599" s="9" t="n">
        <f aca="false">IF(AND(M599&lt;&gt;"",OR(M599&lt;5,M599&gt;180)),1,0)</f>
        <v>0</v>
      </c>
      <c r="AB599" s="7" t="str">
        <f aca="false">IF(P599="DUP","Exact duplicate row",IF(T599=1,"Missing Order ID",IF(S599="DROP","Duplicate Order ID (less complete row)",IF(U599=1,"Missing Customer ID",IF(V599=1,"Missing Restaurant name",IF(W599=1,"Invalid/outlier quantity",IF(X599=1,"Invalid/outlier unit price",IF(Y599=1,"Discount greater than order value",""))))))))</f>
        <v/>
      </c>
      <c r="AC599" s="7" t="str">
        <f aca="false">IF(AB599="","KEEP","DROP")</f>
        <v>KEEP</v>
      </c>
      <c r="AD599" s="7" t="str">
        <f aca="false">IF(TRIM(F599)="",IFERROR(INDEX(Map_Tables!$I$4:$I$37,MATCH(TRIM(E599),Map_Tables!$G$4:$G$37,0)),""),IFERROR(INDEX(Map_Tables!$B$4:$B$18,MATCH(TRIM(F599),Map_Tables!$A$4:$A$18,0)),"CHECK"))</f>
        <v>Bengaluru</v>
      </c>
      <c r="AE599" s="7" t="str">
        <f aca="false">IF(TRIM(E599)="","",IFERROR(INDEX(Map_Tables!$H$4:$H$37,MATCH(TRIM(E599),Map_Tables!$G$4:$G$37,0)),"CHECK"))</f>
        <v>Nawabi Biryani House</v>
      </c>
      <c r="AF599" s="7" t="str">
        <f aca="false">IF(TRIM(K599)="","Unknown",IFERROR(INDEX(Map_Tables!$E$4:$E$15,MATCH(TRIM(K599),Map_Tables!$D$4:$D$15,0)),"CHECK"))</f>
        <v>Credit Card</v>
      </c>
      <c r="AG599" s="7" t="str">
        <f aca="false">IF(LEFT(LOWER(TRIM(L599)),6)="cancel","Cancelled","Delivered")</f>
        <v>Delivered</v>
      </c>
      <c r="AH599" s="10" t="n">
        <f aca="false">IF(ISNUMBER(SEARCH("/",B599)),DATE(VALUE(RIGHT(B599,4)),VALUE(MID(B599,4,2)),VALUE(LEFT(B599,2))),IF(MID(B599,5,1)="-",DATE(VALUE(LEFT(B599,4)),VALUE(MID(B599,6,2)),VALUE(RIGHT(B599,2))),DATE(VALUE(RIGHT(B599,4)),MATCH(MID(B599,4,3),{"Jan","Feb","Mar","Apr","May","Jun","Jul","Aug","Sep","Oct","Nov","Dec"},0),VALUE(LEFT(B599,2)))))</f>
        <v>45754</v>
      </c>
    </row>
    <row r="600" customFormat="false" ht="15" hidden="false" customHeight="false" outlineLevel="0" collapsed="false">
      <c r="A600" s="7" t="s">
        <v>2128</v>
      </c>
      <c r="B600" s="7" t="s">
        <v>1171</v>
      </c>
      <c r="C600" s="7" t="s">
        <v>2129</v>
      </c>
      <c r="D600" s="7" t="s">
        <v>2130</v>
      </c>
      <c r="E600" s="7" t="s">
        <v>2131</v>
      </c>
      <c r="F600" s="7" t="s">
        <v>101</v>
      </c>
      <c r="G600" s="7" t="s">
        <v>123</v>
      </c>
      <c r="H600" s="7" t="n">
        <v>2</v>
      </c>
      <c r="I600" s="7" t="n">
        <v>335</v>
      </c>
      <c r="J600" s="7" t="n">
        <v>75</v>
      </c>
      <c r="K600" s="7" t="s">
        <v>88</v>
      </c>
      <c r="L600" s="7" t="s">
        <v>194</v>
      </c>
      <c r="M600" s="7" t="n">
        <v>33</v>
      </c>
      <c r="N600" s="7" t="n">
        <v>5</v>
      </c>
      <c r="O600" s="7" t="str">
        <f aca="false">A600&amp;"|"&amp;B600&amp;"|"&amp;C600&amp;"|"&amp;D600&amp;"|"&amp;E600&amp;"|"&amp;F600&amp;"|"&amp;G600&amp;"|"&amp;H600&amp;"|"&amp;I600&amp;"|"&amp;J600&amp;"|"&amp;K600&amp;"|"&amp;L600&amp;"|"&amp;M600&amp;"|"&amp;N600</f>
        <v>ORD12167|2025-10-04|01:38|C0937|Mumbai  Pizza Co|Mumbai|Pizza|2|335|75|UPI|Delivered|33|5</v>
      </c>
      <c r="P600" s="7" t="str">
        <f aca="false">IF(COUNTIF($O$2:O600,O600)&gt;1,"DUP","OK")</f>
        <v>OK</v>
      </c>
      <c r="Q600" s="7" t="n">
        <f aca="false">COUNTBLANK(A600:N600)</f>
        <v>0</v>
      </c>
      <c r="R600" s="7" t="n">
        <f aca="false">IF(A600="",0,COUNTIFS($A$2:$A$3058,A600,$P$2:$P$3058,"OK"))</f>
        <v>1</v>
      </c>
      <c r="S600" s="7" t="str">
        <f aca="false">IF(OR(A600="",P600="DUP",R600&lt;2),"",IF(Q600=_xlfn.MINIFS($Q$2:$Q$3058,$A$2:$A$3058,A600,$P$2:$P$3058,"OK"),"KEEP","DROP"))</f>
        <v/>
      </c>
      <c r="T600" s="9" t="n">
        <f aca="false">IF(A600="",1,0)</f>
        <v>0</v>
      </c>
      <c r="U600" s="9" t="n">
        <f aca="false">IF(D600="",1,0)</f>
        <v>0</v>
      </c>
      <c r="V600" s="9" t="n">
        <f aca="false">IF(E600="",1,0)</f>
        <v>0</v>
      </c>
      <c r="W600" s="9" t="n">
        <f aca="false">IF(OR(H600&lt;1,H600&gt;10),1,0)</f>
        <v>0</v>
      </c>
      <c r="X600" s="9" t="n">
        <f aca="false">IF(OR(I600&lt;=0,I600&gt;1500),1,0)</f>
        <v>0</v>
      </c>
      <c r="Y600" s="9" t="n">
        <f aca="false">IF(J600&gt;H600*I600,1,0)</f>
        <v>0</v>
      </c>
      <c r="Z600" s="9" t="n">
        <f aca="false">IF(AND(N600&lt;&gt;"",OR(N600&lt;1,N600&gt;5)),1,0)</f>
        <v>0</v>
      </c>
      <c r="AA600" s="9" t="n">
        <f aca="false">IF(AND(M600&lt;&gt;"",OR(M600&lt;5,M600&gt;180)),1,0)</f>
        <v>0</v>
      </c>
      <c r="AB600" s="7" t="str">
        <f aca="false">IF(P600="DUP","Exact duplicate row",IF(T600=1,"Missing Order ID",IF(S600="DROP","Duplicate Order ID (less complete row)",IF(U600=1,"Missing Customer ID",IF(V600=1,"Missing Restaurant name",IF(W600=1,"Invalid/outlier quantity",IF(X600=1,"Invalid/outlier unit price",IF(Y600=1,"Discount greater than order value",""))))))))</f>
        <v/>
      </c>
      <c r="AC600" s="7" t="str">
        <f aca="false">IF(AB600="","KEEP","DROP")</f>
        <v>KEEP</v>
      </c>
      <c r="AD600" s="7" t="str">
        <f aca="false">IF(TRIM(F600)="",IFERROR(INDEX(Map_Tables!$I$4:$I$37,MATCH(TRIM(E600),Map_Tables!$G$4:$G$37,0)),""),IFERROR(INDEX(Map_Tables!$B$4:$B$18,MATCH(TRIM(F600),Map_Tables!$A$4:$A$18,0)),"CHECK"))</f>
        <v>Mumbai</v>
      </c>
      <c r="AE600" s="7" t="str">
        <f aca="false">IF(TRIM(E600)="","",IFERROR(INDEX(Map_Tables!$H$4:$H$37,MATCH(TRIM(E600),Map_Tables!$G$4:$G$37,0)),"CHECK"))</f>
        <v>Mumbai Pizza Co</v>
      </c>
      <c r="AF600" s="7" t="str">
        <f aca="false">IF(TRIM(K600)="","Unknown",IFERROR(INDEX(Map_Tables!$E$4:$E$15,MATCH(TRIM(K600),Map_Tables!$D$4:$D$15,0)),"CHECK"))</f>
        <v>UPI</v>
      </c>
      <c r="AG600" s="7" t="str">
        <f aca="false">IF(LEFT(LOWER(TRIM(L600)),6)="cancel","Cancelled","Delivered")</f>
        <v>Delivered</v>
      </c>
      <c r="AH600" s="10" t="n">
        <f aca="false">IF(ISNUMBER(SEARCH("/",B600)),DATE(VALUE(RIGHT(B600,4)),VALUE(MID(B600,4,2)),VALUE(LEFT(B600,2))),IF(MID(B600,5,1)="-",DATE(VALUE(LEFT(B600,4)),VALUE(MID(B600,6,2)),VALUE(RIGHT(B600,2))),DATE(VALUE(RIGHT(B600,4)),MATCH(MID(B600,4,3),{"Jan","Feb","Mar","Apr","May","Jun","Jul","Aug","Sep","Oct","Nov","Dec"},0),VALUE(LEFT(B600,2)))))</f>
        <v>45934</v>
      </c>
    </row>
    <row r="601" customFormat="false" ht="15" hidden="false" customHeight="false" outlineLevel="0" collapsed="false">
      <c r="A601" s="7" t="s">
        <v>2132</v>
      </c>
      <c r="B601" s="7" t="s">
        <v>1835</v>
      </c>
      <c r="C601" s="7" t="s">
        <v>2133</v>
      </c>
      <c r="D601" s="7" t="s">
        <v>2134</v>
      </c>
      <c r="E601" s="7" t="s">
        <v>2135</v>
      </c>
      <c r="F601" s="7" t="s">
        <v>128</v>
      </c>
      <c r="G601" s="7" t="s">
        <v>99</v>
      </c>
      <c r="H601" s="7" t="n">
        <v>3</v>
      </c>
      <c r="I601" s="7" t="n">
        <v>305</v>
      </c>
      <c r="J601" s="7" t="n">
        <v>0</v>
      </c>
      <c r="K601" s="7" t="s">
        <v>88</v>
      </c>
      <c r="L601" s="7" t="s">
        <v>194</v>
      </c>
      <c r="M601" s="7" t="n">
        <v>36</v>
      </c>
      <c r="N601" s="7" t="n">
        <v>4</v>
      </c>
      <c r="O601" s="7" t="str">
        <f aca="false">A601&amp;"|"&amp;B601&amp;"|"&amp;C601&amp;"|"&amp;D601&amp;"|"&amp;E601&amp;"|"&amp;F601&amp;"|"&amp;G601&amp;"|"&amp;H601&amp;"|"&amp;I601&amp;"|"&amp;J601&amp;"|"&amp;K601&amp;"|"&amp;L601&amp;"|"&amp;M601&amp;"|"&amp;N601</f>
        <v>ORD12290|2025-10-16|22:36|C1016|madras biryani co|Chennai|Biryani|3|305|0|UPI|Delivered|36|4</v>
      </c>
      <c r="P601" s="7" t="str">
        <f aca="false">IF(COUNTIF($O$2:O601,O601)&gt;1,"DUP","OK")</f>
        <v>OK</v>
      </c>
      <c r="Q601" s="7" t="n">
        <f aca="false">COUNTBLANK(A601:N601)</f>
        <v>0</v>
      </c>
      <c r="R601" s="7" t="n">
        <f aca="false">IF(A601="",0,COUNTIFS($A$2:$A$3058,A601,$P$2:$P$3058,"OK"))</f>
        <v>1</v>
      </c>
      <c r="S601" s="7" t="str">
        <f aca="false">IF(OR(A601="",P601="DUP",R601&lt;2),"",IF(Q601=_xlfn.MINIFS($Q$2:$Q$3058,$A$2:$A$3058,A601,$P$2:$P$3058,"OK"),"KEEP","DROP"))</f>
        <v/>
      </c>
      <c r="T601" s="9" t="n">
        <f aca="false">IF(A601="",1,0)</f>
        <v>0</v>
      </c>
      <c r="U601" s="9" t="n">
        <f aca="false">IF(D601="",1,0)</f>
        <v>0</v>
      </c>
      <c r="V601" s="9" t="n">
        <f aca="false">IF(E601="",1,0)</f>
        <v>0</v>
      </c>
      <c r="W601" s="9" t="n">
        <f aca="false">IF(OR(H601&lt;1,H601&gt;10),1,0)</f>
        <v>0</v>
      </c>
      <c r="X601" s="9" t="n">
        <f aca="false">IF(OR(I601&lt;=0,I601&gt;1500),1,0)</f>
        <v>0</v>
      </c>
      <c r="Y601" s="9" t="n">
        <f aca="false">IF(J601&gt;H601*I601,1,0)</f>
        <v>0</v>
      </c>
      <c r="Z601" s="9" t="n">
        <f aca="false">IF(AND(N601&lt;&gt;"",OR(N601&lt;1,N601&gt;5)),1,0)</f>
        <v>0</v>
      </c>
      <c r="AA601" s="9" t="n">
        <f aca="false">IF(AND(M601&lt;&gt;"",OR(M601&lt;5,M601&gt;180)),1,0)</f>
        <v>0</v>
      </c>
      <c r="AB601" s="7" t="str">
        <f aca="false">IF(P601="DUP","Exact duplicate row",IF(T601=1,"Missing Order ID",IF(S601="DROP","Duplicate Order ID (less complete row)",IF(U601=1,"Missing Customer ID",IF(V601=1,"Missing Restaurant name",IF(W601=1,"Invalid/outlier quantity",IF(X601=1,"Invalid/outlier unit price",IF(Y601=1,"Discount greater than order value",""))))))))</f>
        <v/>
      </c>
      <c r="AC601" s="7" t="str">
        <f aca="false">IF(AB601="","KEEP","DROP")</f>
        <v>KEEP</v>
      </c>
      <c r="AD601" s="7" t="str">
        <f aca="false">IF(TRIM(F601)="",IFERROR(INDEX(Map_Tables!$I$4:$I$37,MATCH(TRIM(E601),Map_Tables!$G$4:$G$37,0)),""),IFERROR(INDEX(Map_Tables!$B$4:$B$18,MATCH(TRIM(F601),Map_Tables!$A$4:$A$18,0)),"CHECK"))</f>
        <v>Chennai</v>
      </c>
      <c r="AE601" s="7" t="str">
        <f aca="false">IF(TRIM(E601)="","",IFERROR(INDEX(Map_Tables!$H$4:$H$37,MATCH(TRIM(E601),Map_Tables!$G$4:$G$37,0)),"CHECK"))</f>
        <v>Madras Biryani Co</v>
      </c>
      <c r="AF601" s="7" t="str">
        <f aca="false">IF(TRIM(K601)="","Unknown",IFERROR(INDEX(Map_Tables!$E$4:$E$15,MATCH(TRIM(K601),Map_Tables!$D$4:$D$15,0)),"CHECK"))</f>
        <v>UPI</v>
      </c>
      <c r="AG601" s="7" t="str">
        <f aca="false">IF(LEFT(LOWER(TRIM(L601)),6)="cancel","Cancelled","Delivered")</f>
        <v>Delivered</v>
      </c>
      <c r="AH601" s="10" t="n">
        <f aca="false">IF(ISNUMBER(SEARCH("/",B601)),DATE(VALUE(RIGHT(B601,4)),VALUE(MID(B601,4,2)),VALUE(LEFT(B601,2))),IF(MID(B601,5,1)="-",DATE(VALUE(LEFT(B601,4)),VALUE(MID(B601,6,2)),VALUE(RIGHT(B601,2))),DATE(VALUE(RIGHT(B601,4)),MATCH(MID(B601,4,3),{"Jan","Feb","Mar","Apr","May","Jun","Jul","Aug","Sep","Oct","Nov","Dec"},0),VALUE(LEFT(B601,2)))))</f>
        <v>45946</v>
      </c>
    </row>
    <row r="602" customFormat="false" ht="15" hidden="false" customHeight="false" outlineLevel="0" collapsed="false">
      <c r="A602" s="7" t="s">
        <v>2136</v>
      </c>
      <c r="B602" s="7" t="s">
        <v>2137</v>
      </c>
      <c r="C602" s="7" t="s">
        <v>2138</v>
      </c>
      <c r="D602" s="7" t="s">
        <v>2139</v>
      </c>
      <c r="E602" s="7" t="s">
        <v>94</v>
      </c>
      <c r="F602" s="7" t="s">
        <v>86</v>
      </c>
      <c r="G602" s="7" t="s">
        <v>95</v>
      </c>
      <c r="H602" s="7" t="n">
        <v>3</v>
      </c>
      <c r="I602" s="7" t="n">
        <v>95</v>
      </c>
      <c r="J602" s="7" t="n">
        <v>50</v>
      </c>
      <c r="K602" s="7" t="s">
        <v>88</v>
      </c>
      <c r="L602" s="7" t="s">
        <v>194</v>
      </c>
      <c r="M602" s="7" t="n">
        <v>35</v>
      </c>
      <c r="N602" s="7" t="n">
        <v>4</v>
      </c>
      <c r="O602" s="7" t="str">
        <f aca="false">A602&amp;"|"&amp;B602&amp;"|"&amp;C602&amp;"|"&amp;D602&amp;"|"&amp;E602&amp;"|"&amp;F602&amp;"|"&amp;G602&amp;"|"&amp;H602&amp;"|"&amp;I602&amp;"|"&amp;J602&amp;"|"&amp;K602&amp;"|"&amp;L602&amp;"|"&amp;M602&amp;"|"&amp;N602</f>
        <v>ORD10059|09/01/2025|12:55|C0675|Dosa Darbar|Bengaluru|South Indian|3|95|50|UPI|Delivered|35|4</v>
      </c>
      <c r="P602" s="7" t="str">
        <f aca="false">IF(COUNTIF($O$2:O602,O602)&gt;1,"DUP","OK")</f>
        <v>OK</v>
      </c>
      <c r="Q602" s="7" t="n">
        <f aca="false">COUNTBLANK(A602:N602)</f>
        <v>0</v>
      </c>
      <c r="R602" s="7" t="n">
        <f aca="false">IF(A602="",0,COUNTIFS($A$2:$A$3058,A602,$P$2:$P$3058,"OK"))</f>
        <v>1</v>
      </c>
      <c r="S602" s="7" t="str">
        <f aca="false">IF(OR(A602="",P602="DUP",R602&lt;2),"",IF(Q602=_xlfn.MINIFS($Q$2:$Q$3058,$A$2:$A$3058,A602,$P$2:$P$3058,"OK"),"KEEP","DROP"))</f>
        <v/>
      </c>
      <c r="T602" s="9" t="n">
        <f aca="false">IF(A602="",1,0)</f>
        <v>0</v>
      </c>
      <c r="U602" s="9" t="n">
        <f aca="false">IF(D602="",1,0)</f>
        <v>0</v>
      </c>
      <c r="V602" s="9" t="n">
        <f aca="false">IF(E602="",1,0)</f>
        <v>0</v>
      </c>
      <c r="W602" s="9" t="n">
        <f aca="false">IF(OR(H602&lt;1,H602&gt;10),1,0)</f>
        <v>0</v>
      </c>
      <c r="X602" s="9" t="n">
        <f aca="false">IF(OR(I602&lt;=0,I602&gt;1500),1,0)</f>
        <v>0</v>
      </c>
      <c r="Y602" s="9" t="n">
        <f aca="false">IF(J602&gt;H602*I602,1,0)</f>
        <v>0</v>
      </c>
      <c r="Z602" s="9" t="n">
        <f aca="false">IF(AND(N602&lt;&gt;"",OR(N602&lt;1,N602&gt;5)),1,0)</f>
        <v>0</v>
      </c>
      <c r="AA602" s="9" t="n">
        <f aca="false">IF(AND(M602&lt;&gt;"",OR(M602&lt;5,M602&gt;180)),1,0)</f>
        <v>0</v>
      </c>
      <c r="AB602" s="7" t="str">
        <f aca="false">IF(P602="DUP","Exact duplicate row",IF(T602=1,"Missing Order ID",IF(S602="DROP","Duplicate Order ID (less complete row)",IF(U602=1,"Missing Customer ID",IF(V602=1,"Missing Restaurant name",IF(W602=1,"Invalid/outlier quantity",IF(X602=1,"Invalid/outlier unit price",IF(Y602=1,"Discount greater than order value",""))))))))</f>
        <v/>
      </c>
      <c r="AC602" s="7" t="str">
        <f aca="false">IF(AB602="","KEEP","DROP")</f>
        <v>KEEP</v>
      </c>
      <c r="AD602" s="7" t="str">
        <f aca="false">IF(TRIM(F602)="",IFERROR(INDEX(Map_Tables!$I$4:$I$37,MATCH(TRIM(E602),Map_Tables!$G$4:$G$37,0)),""),IFERROR(INDEX(Map_Tables!$B$4:$B$18,MATCH(TRIM(F602),Map_Tables!$A$4:$A$18,0)),"CHECK"))</f>
        <v>Bengaluru</v>
      </c>
      <c r="AE602" s="7" t="str">
        <f aca="false">IF(TRIM(E602)="","",IFERROR(INDEX(Map_Tables!$H$4:$H$37,MATCH(TRIM(E602),Map_Tables!$G$4:$G$37,0)),"CHECK"))</f>
        <v>Dosa Darbar</v>
      </c>
      <c r="AF602" s="7" t="str">
        <f aca="false">IF(TRIM(K602)="","Unknown",IFERROR(INDEX(Map_Tables!$E$4:$E$15,MATCH(TRIM(K602),Map_Tables!$D$4:$D$15,0)),"CHECK"))</f>
        <v>UPI</v>
      </c>
      <c r="AG602" s="7" t="str">
        <f aca="false">IF(LEFT(LOWER(TRIM(L602)),6)="cancel","Cancelled","Delivered")</f>
        <v>Delivered</v>
      </c>
      <c r="AH602" s="10" t="n">
        <f aca="false">IF(ISNUMBER(SEARCH("/",B602)),DATE(VALUE(RIGHT(B602,4)),VALUE(MID(B602,4,2)),VALUE(LEFT(B602,2))),IF(MID(B602,5,1)="-",DATE(VALUE(LEFT(B602,4)),VALUE(MID(B602,6,2)),VALUE(RIGHT(B602,2))),DATE(VALUE(RIGHT(B602,4)),MATCH(MID(B602,4,3),{"Jan","Feb","Mar","Apr","May","Jun","Jul","Aug","Sep","Oct","Nov","Dec"},0),VALUE(LEFT(B602,2)))))</f>
        <v>45666</v>
      </c>
    </row>
    <row r="603" customFormat="false" ht="15" hidden="false" customHeight="false" outlineLevel="0" collapsed="false">
      <c r="A603" s="7" t="s">
        <v>2140</v>
      </c>
      <c r="B603" s="7" t="s">
        <v>2141</v>
      </c>
      <c r="C603" s="7" t="s">
        <v>386</v>
      </c>
      <c r="D603" s="7" t="s">
        <v>2142</v>
      </c>
      <c r="E603" s="7" t="s">
        <v>116</v>
      </c>
      <c r="F603" s="7" t="s">
        <v>101</v>
      </c>
      <c r="G603" s="7" t="s">
        <v>117</v>
      </c>
      <c r="H603" s="7" t="n">
        <v>2</v>
      </c>
      <c r="I603" s="7" t="n">
        <v>125</v>
      </c>
      <c r="J603" s="7" t="n">
        <v>0</v>
      </c>
      <c r="K603" s="7" t="s">
        <v>133</v>
      </c>
      <c r="L603" s="7" t="s">
        <v>238</v>
      </c>
      <c r="M603" s="7"/>
      <c r="N603" s="7"/>
      <c r="O603" s="7" t="str">
        <f aca="false">A603&amp;"|"&amp;B603&amp;"|"&amp;C603&amp;"|"&amp;D603&amp;"|"&amp;E603&amp;"|"&amp;F603&amp;"|"&amp;G603&amp;"|"&amp;H603&amp;"|"&amp;I603&amp;"|"&amp;J603&amp;"|"&amp;K603&amp;"|"&amp;L603&amp;"|"&amp;M603&amp;"|"&amp;N603</f>
        <v>ORD12096|2025-09-27|11:53|C0943|Pav Bhaji Point|Mumbai|Street Food|2|125|0|Net Banking|Cancelled||</v>
      </c>
      <c r="P603" s="7" t="str">
        <f aca="false">IF(COUNTIF($O$2:O603,O603)&gt;1,"DUP","OK")</f>
        <v>OK</v>
      </c>
      <c r="Q603" s="7" t="n">
        <f aca="false">COUNTBLANK(A603:N603)</f>
        <v>2</v>
      </c>
      <c r="R603" s="7" t="n">
        <f aca="false">IF(A603="",0,COUNTIFS($A$2:$A$3058,A603,$P$2:$P$3058,"OK"))</f>
        <v>1</v>
      </c>
      <c r="S603" s="7" t="str">
        <f aca="false">IF(OR(A603="",P603="DUP",R603&lt;2),"",IF(Q603=_xlfn.MINIFS($Q$2:$Q$3058,$A$2:$A$3058,A603,$P$2:$P$3058,"OK"),"KEEP","DROP"))</f>
        <v/>
      </c>
      <c r="T603" s="9" t="n">
        <f aca="false">IF(A603="",1,0)</f>
        <v>0</v>
      </c>
      <c r="U603" s="9" t="n">
        <f aca="false">IF(D603="",1,0)</f>
        <v>0</v>
      </c>
      <c r="V603" s="9" t="n">
        <f aca="false">IF(E603="",1,0)</f>
        <v>0</v>
      </c>
      <c r="W603" s="9" t="n">
        <f aca="false">IF(OR(H603&lt;1,H603&gt;10),1,0)</f>
        <v>0</v>
      </c>
      <c r="X603" s="9" t="n">
        <f aca="false">IF(OR(I603&lt;=0,I603&gt;1500),1,0)</f>
        <v>0</v>
      </c>
      <c r="Y603" s="9" t="n">
        <f aca="false">IF(J603&gt;H603*I603,1,0)</f>
        <v>0</v>
      </c>
      <c r="Z603" s="9" t="n">
        <f aca="false">IF(AND(N603&lt;&gt;"",OR(N603&lt;1,N603&gt;5)),1,0)</f>
        <v>0</v>
      </c>
      <c r="AA603" s="9" t="n">
        <f aca="false">IF(AND(M603&lt;&gt;"",OR(M603&lt;5,M603&gt;180)),1,0)</f>
        <v>0</v>
      </c>
      <c r="AB603" s="7" t="str">
        <f aca="false">IF(P603="DUP","Exact duplicate row",IF(T603=1,"Missing Order ID",IF(S603="DROP","Duplicate Order ID (less complete row)",IF(U603=1,"Missing Customer ID",IF(V603=1,"Missing Restaurant name",IF(W603=1,"Invalid/outlier quantity",IF(X603=1,"Invalid/outlier unit price",IF(Y603=1,"Discount greater than order value",""))))))))</f>
        <v/>
      </c>
      <c r="AC603" s="7" t="str">
        <f aca="false">IF(AB603="","KEEP","DROP")</f>
        <v>KEEP</v>
      </c>
      <c r="AD603" s="7" t="str">
        <f aca="false">IF(TRIM(F603)="",IFERROR(INDEX(Map_Tables!$I$4:$I$37,MATCH(TRIM(E603),Map_Tables!$G$4:$G$37,0)),""),IFERROR(INDEX(Map_Tables!$B$4:$B$18,MATCH(TRIM(F603),Map_Tables!$A$4:$A$18,0)),"CHECK"))</f>
        <v>Mumbai</v>
      </c>
      <c r="AE603" s="7" t="str">
        <f aca="false">IF(TRIM(E603)="","",IFERROR(INDEX(Map_Tables!$H$4:$H$37,MATCH(TRIM(E603),Map_Tables!$G$4:$G$37,0)),"CHECK"))</f>
        <v>Pav Bhaji Point</v>
      </c>
      <c r="AF603" s="7" t="str">
        <f aca="false">IF(TRIM(K603)="","Unknown",IFERROR(INDEX(Map_Tables!$E$4:$E$15,MATCH(TRIM(K603),Map_Tables!$D$4:$D$15,0)),"CHECK"))</f>
        <v>Net Banking</v>
      </c>
      <c r="AG603" s="7" t="str">
        <f aca="false">IF(LEFT(LOWER(TRIM(L603)),6)="cancel","Cancelled","Delivered")</f>
        <v>Cancelled</v>
      </c>
      <c r="AH603" s="10" t="n">
        <f aca="false">IF(ISNUMBER(SEARCH("/",B603)),DATE(VALUE(RIGHT(B603,4)),VALUE(MID(B603,4,2)),VALUE(LEFT(B603,2))),IF(MID(B603,5,1)="-",DATE(VALUE(LEFT(B603,4)),VALUE(MID(B603,6,2)),VALUE(RIGHT(B603,2))),DATE(VALUE(RIGHT(B603,4)),MATCH(MID(B603,4,3),{"Jan","Feb","Mar","Apr","May","Jun","Jul","Aug","Sep","Oct","Nov","Dec"},0),VALUE(LEFT(B603,2)))))</f>
        <v>45927</v>
      </c>
    </row>
    <row r="604" customFormat="false" ht="15" hidden="false" customHeight="false" outlineLevel="0" collapsed="false">
      <c r="A604" s="7" t="s">
        <v>2143</v>
      </c>
      <c r="B604" s="7" t="s">
        <v>2144</v>
      </c>
      <c r="C604" s="7" t="s">
        <v>2145</v>
      </c>
      <c r="D604" s="7" t="s">
        <v>2146</v>
      </c>
      <c r="E604" s="7" t="s">
        <v>144</v>
      </c>
      <c r="F604" s="7" t="s">
        <v>119</v>
      </c>
      <c r="G604" s="7" t="s">
        <v>99</v>
      </c>
      <c r="H604" s="7" t="n">
        <v>1</v>
      </c>
      <c r="I604" s="7" t="n">
        <v>290</v>
      </c>
      <c r="J604" s="7" t="n">
        <v>116</v>
      </c>
      <c r="K604" s="7" t="s">
        <v>88</v>
      </c>
      <c r="L604" s="7" t="s">
        <v>194</v>
      </c>
      <c r="M604" s="7" t="n">
        <v>31</v>
      </c>
      <c r="N604" s="7" t="n">
        <v>5</v>
      </c>
      <c r="O604" s="7" t="str">
        <f aca="false">A604&amp;"|"&amp;B604&amp;"|"&amp;C604&amp;"|"&amp;D604&amp;"|"&amp;E604&amp;"|"&amp;F604&amp;"|"&amp;G604&amp;"|"&amp;H604&amp;"|"&amp;I604&amp;"|"&amp;J604&amp;"|"&amp;K604&amp;"|"&amp;L604&amp;"|"&amp;M604&amp;"|"&amp;N604</f>
        <v>ORD12087|26-Sep-2025|13:28|C1201|Hyderabad Dum Biryani|Hyderabad|Biryani|1|290|116|UPI|Delivered|31|5</v>
      </c>
      <c r="P604" s="7" t="str">
        <f aca="false">IF(COUNTIF($O$2:O604,O604)&gt;1,"DUP","OK")</f>
        <v>OK</v>
      </c>
      <c r="Q604" s="7" t="n">
        <f aca="false">COUNTBLANK(A604:N604)</f>
        <v>0</v>
      </c>
      <c r="R604" s="7" t="n">
        <f aca="false">IF(A604="",0,COUNTIFS($A$2:$A$3058,A604,$P$2:$P$3058,"OK"))</f>
        <v>1</v>
      </c>
      <c r="S604" s="7" t="str">
        <f aca="false">IF(OR(A604="",P604="DUP",R604&lt;2),"",IF(Q604=_xlfn.MINIFS($Q$2:$Q$3058,$A$2:$A$3058,A604,$P$2:$P$3058,"OK"),"KEEP","DROP"))</f>
        <v/>
      </c>
      <c r="T604" s="9" t="n">
        <f aca="false">IF(A604="",1,0)</f>
        <v>0</v>
      </c>
      <c r="U604" s="9" t="n">
        <f aca="false">IF(D604="",1,0)</f>
        <v>0</v>
      </c>
      <c r="V604" s="9" t="n">
        <f aca="false">IF(E604="",1,0)</f>
        <v>0</v>
      </c>
      <c r="W604" s="9" t="n">
        <f aca="false">IF(OR(H604&lt;1,H604&gt;10),1,0)</f>
        <v>0</v>
      </c>
      <c r="X604" s="9" t="n">
        <f aca="false">IF(OR(I604&lt;=0,I604&gt;1500),1,0)</f>
        <v>0</v>
      </c>
      <c r="Y604" s="9" t="n">
        <f aca="false">IF(J604&gt;H604*I604,1,0)</f>
        <v>0</v>
      </c>
      <c r="Z604" s="9" t="n">
        <f aca="false">IF(AND(N604&lt;&gt;"",OR(N604&lt;1,N604&gt;5)),1,0)</f>
        <v>0</v>
      </c>
      <c r="AA604" s="9" t="n">
        <f aca="false">IF(AND(M604&lt;&gt;"",OR(M604&lt;5,M604&gt;180)),1,0)</f>
        <v>0</v>
      </c>
      <c r="AB604" s="7" t="str">
        <f aca="false">IF(P604="DUP","Exact duplicate row",IF(T604=1,"Missing Order ID",IF(S604="DROP","Duplicate Order ID (less complete row)",IF(U604=1,"Missing Customer ID",IF(V604=1,"Missing Restaurant name",IF(W604=1,"Invalid/outlier quantity",IF(X604=1,"Invalid/outlier unit price",IF(Y604=1,"Discount greater than order value",""))))))))</f>
        <v/>
      </c>
      <c r="AC604" s="7" t="str">
        <f aca="false">IF(AB604="","KEEP","DROP")</f>
        <v>KEEP</v>
      </c>
      <c r="AD604" s="7" t="str">
        <f aca="false">IF(TRIM(F604)="",IFERROR(INDEX(Map_Tables!$I$4:$I$37,MATCH(TRIM(E604),Map_Tables!$G$4:$G$37,0)),""),IFERROR(INDEX(Map_Tables!$B$4:$B$18,MATCH(TRIM(F604),Map_Tables!$A$4:$A$18,0)),"CHECK"))</f>
        <v>Hyderabad</v>
      </c>
      <c r="AE604" s="7" t="str">
        <f aca="false">IF(TRIM(E604)="","",IFERROR(INDEX(Map_Tables!$H$4:$H$37,MATCH(TRIM(E604),Map_Tables!$G$4:$G$37,0)),"CHECK"))</f>
        <v>Hyderabad Dum Biryani</v>
      </c>
      <c r="AF604" s="7" t="str">
        <f aca="false">IF(TRIM(K604)="","Unknown",IFERROR(INDEX(Map_Tables!$E$4:$E$15,MATCH(TRIM(K604),Map_Tables!$D$4:$D$15,0)),"CHECK"))</f>
        <v>UPI</v>
      </c>
      <c r="AG604" s="7" t="str">
        <f aca="false">IF(LEFT(LOWER(TRIM(L604)),6)="cancel","Cancelled","Delivered")</f>
        <v>Delivered</v>
      </c>
      <c r="AH604" s="10" t="n">
        <f aca="false">IF(ISNUMBER(SEARCH("/",B604)),DATE(VALUE(RIGHT(B604,4)),VALUE(MID(B604,4,2)),VALUE(LEFT(B604,2))),IF(MID(B604,5,1)="-",DATE(VALUE(LEFT(B604,4)),VALUE(MID(B604,6,2)),VALUE(RIGHT(B604,2))),DATE(VALUE(RIGHT(B604,4)),MATCH(MID(B604,4,3),{"Jan","Feb","Mar","Apr","May","Jun","Jul","Aug","Sep","Oct","Nov","Dec"},0),VALUE(LEFT(B604,2)))))</f>
        <v>45926</v>
      </c>
    </row>
    <row r="605" customFormat="false" ht="15" hidden="false" customHeight="false" outlineLevel="0" collapsed="false">
      <c r="A605" s="7" t="s">
        <v>2147</v>
      </c>
      <c r="B605" s="7" t="s">
        <v>803</v>
      </c>
      <c r="C605" s="7" t="s">
        <v>346</v>
      </c>
      <c r="D605" s="7" t="s">
        <v>2148</v>
      </c>
      <c r="E605" s="7" t="s">
        <v>98</v>
      </c>
      <c r="F605" s="7" t="s">
        <v>86</v>
      </c>
      <c r="G605" s="7" t="s">
        <v>99</v>
      </c>
      <c r="H605" s="7" t="n">
        <v>1</v>
      </c>
      <c r="I605" s="7" t="n">
        <v>270</v>
      </c>
      <c r="J605" s="7" t="n">
        <v>0</v>
      </c>
      <c r="K605" s="7" t="s">
        <v>229</v>
      </c>
      <c r="L605" s="7" t="s">
        <v>194</v>
      </c>
      <c r="M605" s="7" t="n">
        <v>39</v>
      </c>
      <c r="N605" s="7" t="n">
        <v>5</v>
      </c>
      <c r="O605" s="7" t="str">
        <f aca="false">A605&amp;"|"&amp;B605&amp;"|"&amp;C605&amp;"|"&amp;D605&amp;"|"&amp;E605&amp;"|"&amp;F605&amp;"|"&amp;G605&amp;"|"&amp;H605&amp;"|"&amp;I605&amp;"|"&amp;J605&amp;"|"&amp;K605&amp;"|"&amp;L605&amp;"|"&amp;M605&amp;"|"&amp;N605</f>
        <v>ORD11970|2025-09-12|19:18|C0948|Nawabi Biryani House|Bengaluru|Biryani|1|270|0|Upi|Delivered|39|5</v>
      </c>
      <c r="P605" s="7" t="str">
        <f aca="false">IF(COUNTIF($O$2:O605,O605)&gt;1,"DUP","OK")</f>
        <v>OK</v>
      </c>
      <c r="Q605" s="7" t="n">
        <f aca="false">COUNTBLANK(A605:N605)</f>
        <v>0</v>
      </c>
      <c r="R605" s="7" t="n">
        <f aca="false">IF(A605="",0,COUNTIFS($A$2:$A$3058,A605,$P$2:$P$3058,"OK"))</f>
        <v>1</v>
      </c>
      <c r="S605" s="7" t="str">
        <f aca="false">IF(OR(A605="",P605="DUP",R605&lt;2),"",IF(Q605=_xlfn.MINIFS($Q$2:$Q$3058,$A$2:$A$3058,A605,$P$2:$P$3058,"OK"),"KEEP","DROP"))</f>
        <v/>
      </c>
      <c r="T605" s="9" t="n">
        <f aca="false">IF(A605="",1,0)</f>
        <v>0</v>
      </c>
      <c r="U605" s="9" t="n">
        <f aca="false">IF(D605="",1,0)</f>
        <v>0</v>
      </c>
      <c r="V605" s="9" t="n">
        <f aca="false">IF(E605="",1,0)</f>
        <v>0</v>
      </c>
      <c r="W605" s="9" t="n">
        <f aca="false">IF(OR(H605&lt;1,H605&gt;10),1,0)</f>
        <v>0</v>
      </c>
      <c r="X605" s="9" t="n">
        <f aca="false">IF(OR(I605&lt;=0,I605&gt;1500),1,0)</f>
        <v>0</v>
      </c>
      <c r="Y605" s="9" t="n">
        <f aca="false">IF(J605&gt;H605*I605,1,0)</f>
        <v>0</v>
      </c>
      <c r="Z605" s="9" t="n">
        <f aca="false">IF(AND(N605&lt;&gt;"",OR(N605&lt;1,N605&gt;5)),1,0)</f>
        <v>0</v>
      </c>
      <c r="AA605" s="9" t="n">
        <f aca="false">IF(AND(M605&lt;&gt;"",OR(M605&lt;5,M605&gt;180)),1,0)</f>
        <v>0</v>
      </c>
      <c r="AB605" s="7" t="str">
        <f aca="false">IF(P605="DUP","Exact duplicate row",IF(T605=1,"Missing Order ID",IF(S605="DROP","Duplicate Order ID (less complete row)",IF(U605=1,"Missing Customer ID",IF(V605=1,"Missing Restaurant name",IF(W605=1,"Invalid/outlier quantity",IF(X605=1,"Invalid/outlier unit price",IF(Y605=1,"Discount greater than order value",""))))))))</f>
        <v/>
      </c>
      <c r="AC605" s="7" t="str">
        <f aca="false">IF(AB605="","KEEP","DROP")</f>
        <v>KEEP</v>
      </c>
      <c r="AD605" s="7" t="str">
        <f aca="false">IF(TRIM(F605)="",IFERROR(INDEX(Map_Tables!$I$4:$I$37,MATCH(TRIM(E605),Map_Tables!$G$4:$G$37,0)),""),IFERROR(INDEX(Map_Tables!$B$4:$B$18,MATCH(TRIM(F605),Map_Tables!$A$4:$A$18,0)),"CHECK"))</f>
        <v>Bengaluru</v>
      </c>
      <c r="AE605" s="7" t="str">
        <f aca="false">IF(TRIM(E605)="","",IFERROR(INDEX(Map_Tables!$H$4:$H$37,MATCH(TRIM(E605),Map_Tables!$G$4:$G$37,0)),"CHECK"))</f>
        <v>Nawabi Biryani House</v>
      </c>
      <c r="AF605" s="7" t="str">
        <f aca="false">IF(TRIM(K605)="","Unknown",IFERROR(INDEX(Map_Tables!$E$4:$E$15,MATCH(TRIM(K605),Map_Tables!$D$4:$D$15,0)),"CHECK"))</f>
        <v>UPI</v>
      </c>
      <c r="AG605" s="7" t="str">
        <f aca="false">IF(LEFT(LOWER(TRIM(L605)),6)="cancel","Cancelled","Delivered")</f>
        <v>Delivered</v>
      </c>
      <c r="AH605" s="10" t="n">
        <f aca="false">IF(ISNUMBER(SEARCH("/",B605)),DATE(VALUE(RIGHT(B605,4)),VALUE(MID(B605,4,2)),VALUE(LEFT(B605,2))),IF(MID(B605,5,1)="-",DATE(VALUE(LEFT(B605,4)),VALUE(MID(B605,6,2)),VALUE(RIGHT(B605,2))),DATE(VALUE(RIGHT(B605,4)),MATCH(MID(B605,4,3),{"Jan","Feb","Mar","Apr","May","Jun","Jul","Aug","Sep","Oct","Nov","Dec"},0),VALUE(LEFT(B605,2)))))</f>
        <v>45912</v>
      </c>
    </row>
    <row r="606" customFormat="false" ht="15" hidden="false" customHeight="false" outlineLevel="0" collapsed="false">
      <c r="A606" s="7" t="s">
        <v>2149</v>
      </c>
      <c r="B606" s="7" t="s">
        <v>2150</v>
      </c>
      <c r="C606" s="7" t="s">
        <v>1791</v>
      </c>
      <c r="D606" s="7" t="s">
        <v>2151</v>
      </c>
      <c r="E606" s="7" t="s">
        <v>158</v>
      </c>
      <c r="F606" s="7" t="s">
        <v>136</v>
      </c>
      <c r="G606" s="7" t="s">
        <v>139</v>
      </c>
      <c r="H606" s="7" t="n">
        <v>2</v>
      </c>
      <c r="I606" s="7" t="n">
        <v>205</v>
      </c>
      <c r="J606" s="7" t="n">
        <v>0</v>
      </c>
      <c r="K606" s="7" t="s">
        <v>115</v>
      </c>
      <c r="L606" s="7" t="s">
        <v>194</v>
      </c>
      <c r="M606" s="7" t="n">
        <v>34</v>
      </c>
      <c r="N606" s="7" t="n">
        <v>4</v>
      </c>
      <c r="O606" s="7" t="str">
        <f aca="false">A606&amp;"|"&amp;B606&amp;"|"&amp;C606&amp;"|"&amp;D606&amp;"|"&amp;E606&amp;"|"&amp;F606&amp;"|"&amp;G606&amp;"|"&amp;H606&amp;"|"&amp;I606&amp;"|"&amp;J606&amp;"|"&amp;K606&amp;"|"&amp;L606&amp;"|"&amp;M606&amp;"|"&amp;N606</f>
        <v>ORD11768|2025-08-19|19:21|C0880|Pune Burger Hub|Pune|Burgers|2|205|0|cash on delivery|Delivered|34|4</v>
      </c>
      <c r="P606" s="7" t="str">
        <f aca="false">IF(COUNTIF($O$2:O606,O606)&gt;1,"DUP","OK")</f>
        <v>OK</v>
      </c>
      <c r="Q606" s="7" t="n">
        <f aca="false">COUNTBLANK(A606:N606)</f>
        <v>0</v>
      </c>
      <c r="R606" s="7" t="n">
        <f aca="false">IF(A606="",0,COUNTIFS($A$2:$A$3058,A606,$P$2:$P$3058,"OK"))</f>
        <v>1</v>
      </c>
      <c r="S606" s="7" t="str">
        <f aca="false">IF(OR(A606="",P606="DUP",R606&lt;2),"",IF(Q606=_xlfn.MINIFS($Q$2:$Q$3058,$A$2:$A$3058,A606,$P$2:$P$3058,"OK"),"KEEP","DROP"))</f>
        <v/>
      </c>
      <c r="T606" s="9" t="n">
        <f aca="false">IF(A606="",1,0)</f>
        <v>0</v>
      </c>
      <c r="U606" s="9" t="n">
        <f aca="false">IF(D606="",1,0)</f>
        <v>0</v>
      </c>
      <c r="V606" s="9" t="n">
        <f aca="false">IF(E606="",1,0)</f>
        <v>0</v>
      </c>
      <c r="W606" s="9" t="n">
        <f aca="false">IF(OR(H606&lt;1,H606&gt;10),1,0)</f>
        <v>0</v>
      </c>
      <c r="X606" s="9" t="n">
        <f aca="false">IF(OR(I606&lt;=0,I606&gt;1500),1,0)</f>
        <v>0</v>
      </c>
      <c r="Y606" s="9" t="n">
        <f aca="false">IF(J606&gt;H606*I606,1,0)</f>
        <v>0</v>
      </c>
      <c r="Z606" s="9" t="n">
        <f aca="false">IF(AND(N606&lt;&gt;"",OR(N606&lt;1,N606&gt;5)),1,0)</f>
        <v>0</v>
      </c>
      <c r="AA606" s="9" t="n">
        <f aca="false">IF(AND(M606&lt;&gt;"",OR(M606&lt;5,M606&gt;180)),1,0)</f>
        <v>0</v>
      </c>
      <c r="AB606" s="7" t="str">
        <f aca="false">IF(P606="DUP","Exact duplicate row",IF(T606=1,"Missing Order ID",IF(S606="DROP","Duplicate Order ID (less complete row)",IF(U606=1,"Missing Customer ID",IF(V606=1,"Missing Restaurant name",IF(W606=1,"Invalid/outlier quantity",IF(X606=1,"Invalid/outlier unit price",IF(Y606=1,"Discount greater than order value",""))))))))</f>
        <v/>
      </c>
      <c r="AC606" s="7" t="str">
        <f aca="false">IF(AB606="","KEEP","DROP")</f>
        <v>KEEP</v>
      </c>
      <c r="AD606" s="7" t="str">
        <f aca="false">IF(TRIM(F606)="",IFERROR(INDEX(Map_Tables!$I$4:$I$37,MATCH(TRIM(E606),Map_Tables!$G$4:$G$37,0)),""),IFERROR(INDEX(Map_Tables!$B$4:$B$18,MATCH(TRIM(F606),Map_Tables!$A$4:$A$18,0)),"CHECK"))</f>
        <v>Pune</v>
      </c>
      <c r="AE606" s="7" t="str">
        <f aca="false">IF(TRIM(E606)="","",IFERROR(INDEX(Map_Tables!$H$4:$H$37,MATCH(TRIM(E606),Map_Tables!$G$4:$G$37,0)),"CHECK"))</f>
        <v>Pune Burger Hub</v>
      </c>
      <c r="AF606" s="7" t="str">
        <f aca="false">IF(TRIM(K606)="","Unknown",IFERROR(INDEX(Map_Tables!$E$4:$E$15,MATCH(TRIM(K606),Map_Tables!$D$4:$D$15,0)),"CHECK"))</f>
        <v>Cash on Delivery</v>
      </c>
      <c r="AG606" s="7" t="str">
        <f aca="false">IF(LEFT(LOWER(TRIM(L606)),6)="cancel","Cancelled","Delivered")</f>
        <v>Delivered</v>
      </c>
      <c r="AH606" s="10" t="n">
        <f aca="false">IF(ISNUMBER(SEARCH("/",B606)),DATE(VALUE(RIGHT(B606,4)),VALUE(MID(B606,4,2)),VALUE(LEFT(B606,2))),IF(MID(B606,5,1)="-",DATE(VALUE(LEFT(B606,4)),VALUE(MID(B606,6,2)),VALUE(RIGHT(B606,2))),DATE(VALUE(RIGHT(B606,4)),MATCH(MID(B606,4,3),{"Jan","Feb","Mar","Apr","May","Jun","Jul","Aug","Sep","Oct","Nov","Dec"},0),VALUE(LEFT(B606,2)))))</f>
        <v>45888</v>
      </c>
    </row>
    <row r="607" customFormat="false" ht="15" hidden="false" customHeight="false" outlineLevel="0" collapsed="false">
      <c r="A607" s="7" t="s">
        <v>2152</v>
      </c>
      <c r="B607" s="7" t="s">
        <v>2050</v>
      </c>
      <c r="C607" s="7" t="s">
        <v>2027</v>
      </c>
      <c r="D607" s="7" t="s">
        <v>2153</v>
      </c>
      <c r="E607" s="7" t="s">
        <v>122</v>
      </c>
      <c r="F607" s="7" t="s">
        <v>101</v>
      </c>
      <c r="G607" s="7" t="s">
        <v>123</v>
      </c>
      <c r="H607" s="7" t="n">
        <v>2</v>
      </c>
      <c r="I607" s="7" t="n">
        <v>355</v>
      </c>
      <c r="J607" s="7" t="n">
        <v>30</v>
      </c>
      <c r="K607" s="7" t="s">
        <v>229</v>
      </c>
      <c r="L607" s="7" t="s">
        <v>194</v>
      </c>
      <c r="M607" s="7" t="n">
        <v>35</v>
      </c>
      <c r="N607" s="7" t="n">
        <v>2</v>
      </c>
      <c r="O607" s="7" t="str">
        <f aca="false">A607&amp;"|"&amp;B607&amp;"|"&amp;C607&amp;"|"&amp;D607&amp;"|"&amp;E607&amp;"|"&amp;F607&amp;"|"&amp;G607&amp;"|"&amp;H607&amp;"|"&amp;I607&amp;"|"&amp;J607&amp;"|"&amp;K607&amp;"|"&amp;L607&amp;"|"&amp;M607&amp;"|"&amp;N607</f>
        <v>ORD10215|2025-01-29|17:18|C0192|Mumbai Pizza Co|Mumbai|Pizza|2|355|30|Upi|Delivered|35|2</v>
      </c>
      <c r="P607" s="7" t="str">
        <f aca="false">IF(COUNTIF($O$2:O607,O607)&gt;1,"DUP","OK")</f>
        <v>OK</v>
      </c>
      <c r="Q607" s="7" t="n">
        <f aca="false">COUNTBLANK(A607:N607)</f>
        <v>0</v>
      </c>
      <c r="R607" s="7" t="n">
        <f aca="false">IF(A607="",0,COUNTIFS($A$2:$A$3058,A607,$P$2:$P$3058,"OK"))</f>
        <v>1</v>
      </c>
      <c r="S607" s="7" t="str">
        <f aca="false">IF(OR(A607="",P607="DUP",R607&lt;2),"",IF(Q607=_xlfn.MINIFS($Q$2:$Q$3058,$A$2:$A$3058,A607,$P$2:$P$3058,"OK"),"KEEP","DROP"))</f>
        <v/>
      </c>
      <c r="T607" s="9" t="n">
        <f aca="false">IF(A607="",1,0)</f>
        <v>0</v>
      </c>
      <c r="U607" s="9" t="n">
        <f aca="false">IF(D607="",1,0)</f>
        <v>0</v>
      </c>
      <c r="V607" s="9" t="n">
        <f aca="false">IF(E607="",1,0)</f>
        <v>0</v>
      </c>
      <c r="W607" s="9" t="n">
        <f aca="false">IF(OR(H607&lt;1,H607&gt;10),1,0)</f>
        <v>0</v>
      </c>
      <c r="X607" s="9" t="n">
        <f aca="false">IF(OR(I607&lt;=0,I607&gt;1500),1,0)</f>
        <v>0</v>
      </c>
      <c r="Y607" s="9" t="n">
        <f aca="false">IF(J607&gt;H607*I607,1,0)</f>
        <v>0</v>
      </c>
      <c r="Z607" s="9" t="n">
        <f aca="false">IF(AND(N607&lt;&gt;"",OR(N607&lt;1,N607&gt;5)),1,0)</f>
        <v>0</v>
      </c>
      <c r="AA607" s="9" t="n">
        <f aca="false">IF(AND(M607&lt;&gt;"",OR(M607&lt;5,M607&gt;180)),1,0)</f>
        <v>0</v>
      </c>
      <c r="AB607" s="7" t="str">
        <f aca="false">IF(P607="DUP","Exact duplicate row",IF(T607=1,"Missing Order ID",IF(S607="DROP","Duplicate Order ID (less complete row)",IF(U607=1,"Missing Customer ID",IF(V607=1,"Missing Restaurant name",IF(W607=1,"Invalid/outlier quantity",IF(X607=1,"Invalid/outlier unit price",IF(Y607=1,"Discount greater than order value",""))))))))</f>
        <v/>
      </c>
      <c r="AC607" s="7" t="str">
        <f aca="false">IF(AB607="","KEEP","DROP")</f>
        <v>KEEP</v>
      </c>
      <c r="AD607" s="7" t="str">
        <f aca="false">IF(TRIM(F607)="",IFERROR(INDEX(Map_Tables!$I$4:$I$37,MATCH(TRIM(E607),Map_Tables!$G$4:$G$37,0)),""),IFERROR(INDEX(Map_Tables!$B$4:$B$18,MATCH(TRIM(F607),Map_Tables!$A$4:$A$18,0)),"CHECK"))</f>
        <v>Mumbai</v>
      </c>
      <c r="AE607" s="7" t="str">
        <f aca="false">IF(TRIM(E607)="","",IFERROR(INDEX(Map_Tables!$H$4:$H$37,MATCH(TRIM(E607),Map_Tables!$G$4:$G$37,0)),"CHECK"))</f>
        <v>Mumbai Pizza Co</v>
      </c>
      <c r="AF607" s="7" t="str">
        <f aca="false">IF(TRIM(K607)="","Unknown",IFERROR(INDEX(Map_Tables!$E$4:$E$15,MATCH(TRIM(K607),Map_Tables!$D$4:$D$15,0)),"CHECK"))</f>
        <v>UPI</v>
      </c>
      <c r="AG607" s="7" t="str">
        <f aca="false">IF(LEFT(LOWER(TRIM(L607)),6)="cancel","Cancelled","Delivered")</f>
        <v>Delivered</v>
      </c>
      <c r="AH607" s="10" t="n">
        <f aca="false">IF(ISNUMBER(SEARCH("/",B607)),DATE(VALUE(RIGHT(B607,4)),VALUE(MID(B607,4,2)),VALUE(LEFT(B607,2))),IF(MID(B607,5,1)="-",DATE(VALUE(LEFT(B607,4)),VALUE(MID(B607,6,2)),VALUE(RIGHT(B607,2))),DATE(VALUE(RIGHT(B607,4)),MATCH(MID(B607,4,3),{"Jan","Feb","Mar","Apr","May","Jun","Jul","Aug","Sep","Oct","Nov","Dec"},0),VALUE(LEFT(B607,2)))))</f>
        <v>45686</v>
      </c>
    </row>
    <row r="608" customFormat="false" ht="15" hidden="false" customHeight="false" outlineLevel="0" collapsed="false">
      <c r="A608" s="7" t="s">
        <v>2154</v>
      </c>
      <c r="B608" s="7" t="s">
        <v>671</v>
      </c>
      <c r="C608" s="7" t="s">
        <v>2155</v>
      </c>
      <c r="D608" s="7" t="s">
        <v>2156</v>
      </c>
      <c r="E608" s="7" t="s">
        <v>147</v>
      </c>
      <c r="F608" s="7" t="s">
        <v>119</v>
      </c>
      <c r="G608" s="7" t="s">
        <v>95</v>
      </c>
      <c r="H608" s="7" t="n">
        <v>1</v>
      </c>
      <c r="I608" s="7" t="n">
        <v>145</v>
      </c>
      <c r="J608" s="7" t="n">
        <v>0</v>
      </c>
      <c r="K608" s="7" t="s">
        <v>229</v>
      </c>
      <c r="L608" s="7" t="s">
        <v>194</v>
      </c>
      <c r="M608" s="7" t="n">
        <v>34</v>
      </c>
      <c r="N608" s="7" t="n">
        <v>4</v>
      </c>
      <c r="O608" s="7" t="str">
        <f aca="false">A608&amp;"|"&amp;B608&amp;"|"&amp;C608&amp;"|"&amp;D608&amp;"|"&amp;E608&amp;"|"&amp;F608&amp;"|"&amp;G608&amp;"|"&amp;H608&amp;"|"&amp;I608&amp;"|"&amp;J608&amp;"|"&amp;K608&amp;"|"&amp;L608&amp;"|"&amp;M608&amp;"|"&amp;N608</f>
        <v>ORD12550|2025-11-14|12:10|C0202|Andhra Meals Mess|Hyderabad|South Indian|1|145|0|Upi|Delivered|34|4</v>
      </c>
      <c r="P608" s="7" t="str">
        <f aca="false">IF(COUNTIF($O$2:O608,O608)&gt;1,"DUP","OK")</f>
        <v>OK</v>
      </c>
      <c r="Q608" s="7" t="n">
        <f aca="false">COUNTBLANK(A608:N608)</f>
        <v>0</v>
      </c>
      <c r="R608" s="7" t="n">
        <f aca="false">IF(A608="",0,COUNTIFS($A$2:$A$3058,A608,$P$2:$P$3058,"OK"))</f>
        <v>1</v>
      </c>
      <c r="S608" s="7" t="str">
        <f aca="false">IF(OR(A608="",P608="DUP",R608&lt;2),"",IF(Q608=_xlfn.MINIFS($Q$2:$Q$3058,$A$2:$A$3058,A608,$P$2:$P$3058,"OK"),"KEEP","DROP"))</f>
        <v/>
      </c>
      <c r="T608" s="9" t="n">
        <f aca="false">IF(A608="",1,0)</f>
        <v>0</v>
      </c>
      <c r="U608" s="9" t="n">
        <f aca="false">IF(D608="",1,0)</f>
        <v>0</v>
      </c>
      <c r="V608" s="9" t="n">
        <f aca="false">IF(E608="",1,0)</f>
        <v>0</v>
      </c>
      <c r="W608" s="9" t="n">
        <f aca="false">IF(OR(H608&lt;1,H608&gt;10),1,0)</f>
        <v>0</v>
      </c>
      <c r="X608" s="9" t="n">
        <f aca="false">IF(OR(I608&lt;=0,I608&gt;1500),1,0)</f>
        <v>0</v>
      </c>
      <c r="Y608" s="9" t="n">
        <f aca="false">IF(J608&gt;H608*I608,1,0)</f>
        <v>0</v>
      </c>
      <c r="Z608" s="9" t="n">
        <f aca="false">IF(AND(N608&lt;&gt;"",OR(N608&lt;1,N608&gt;5)),1,0)</f>
        <v>0</v>
      </c>
      <c r="AA608" s="9" t="n">
        <f aca="false">IF(AND(M608&lt;&gt;"",OR(M608&lt;5,M608&gt;180)),1,0)</f>
        <v>0</v>
      </c>
      <c r="AB608" s="7" t="str">
        <f aca="false">IF(P608="DUP","Exact duplicate row",IF(T608=1,"Missing Order ID",IF(S608="DROP","Duplicate Order ID (less complete row)",IF(U608=1,"Missing Customer ID",IF(V608=1,"Missing Restaurant name",IF(W608=1,"Invalid/outlier quantity",IF(X608=1,"Invalid/outlier unit price",IF(Y608=1,"Discount greater than order value",""))))))))</f>
        <v/>
      </c>
      <c r="AC608" s="7" t="str">
        <f aca="false">IF(AB608="","KEEP","DROP")</f>
        <v>KEEP</v>
      </c>
      <c r="AD608" s="7" t="str">
        <f aca="false">IF(TRIM(F608)="",IFERROR(INDEX(Map_Tables!$I$4:$I$37,MATCH(TRIM(E608),Map_Tables!$G$4:$G$37,0)),""),IFERROR(INDEX(Map_Tables!$B$4:$B$18,MATCH(TRIM(F608),Map_Tables!$A$4:$A$18,0)),"CHECK"))</f>
        <v>Hyderabad</v>
      </c>
      <c r="AE608" s="7" t="str">
        <f aca="false">IF(TRIM(E608)="","",IFERROR(INDEX(Map_Tables!$H$4:$H$37,MATCH(TRIM(E608),Map_Tables!$G$4:$G$37,0)),"CHECK"))</f>
        <v>Andhra Meals Mess</v>
      </c>
      <c r="AF608" s="7" t="str">
        <f aca="false">IF(TRIM(K608)="","Unknown",IFERROR(INDEX(Map_Tables!$E$4:$E$15,MATCH(TRIM(K608),Map_Tables!$D$4:$D$15,0)),"CHECK"))</f>
        <v>UPI</v>
      </c>
      <c r="AG608" s="7" t="str">
        <f aca="false">IF(LEFT(LOWER(TRIM(L608)),6)="cancel","Cancelled","Delivered")</f>
        <v>Delivered</v>
      </c>
      <c r="AH608" s="10" t="n">
        <f aca="false">IF(ISNUMBER(SEARCH("/",B608)),DATE(VALUE(RIGHT(B608,4)),VALUE(MID(B608,4,2)),VALUE(LEFT(B608,2))),IF(MID(B608,5,1)="-",DATE(VALUE(LEFT(B608,4)),VALUE(MID(B608,6,2)),VALUE(RIGHT(B608,2))),DATE(VALUE(RIGHT(B608,4)),MATCH(MID(B608,4,3),{"Jan","Feb","Mar","Apr","May","Jun","Jul","Aug","Sep","Oct","Nov","Dec"},0),VALUE(LEFT(B608,2)))))</f>
        <v>45975</v>
      </c>
    </row>
    <row r="609" customFormat="false" ht="15" hidden="false" customHeight="false" outlineLevel="0" collapsed="false">
      <c r="A609" s="7" t="s">
        <v>2157</v>
      </c>
      <c r="B609" s="7" t="s">
        <v>1663</v>
      </c>
      <c r="C609" s="7" t="s">
        <v>433</v>
      </c>
      <c r="D609" s="7" t="s">
        <v>2158</v>
      </c>
      <c r="E609" s="7" t="s">
        <v>126</v>
      </c>
      <c r="F609" s="7" t="s">
        <v>101</v>
      </c>
      <c r="G609" s="7" t="s">
        <v>105</v>
      </c>
      <c r="H609" s="7" t="n">
        <v>2</v>
      </c>
      <c r="I609" s="7" t="n">
        <v>190</v>
      </c>
      <c r="J609" s="7" t="n">
        <v>0</v>
      </c>
      <c r="K609" s="7" t="s">
        <v>112</v>
      </c>
      <c r="L609" s="7" t="s">
        <v>194</v>
      </c>
      <c r="M609" s="7" t="n">
        <v>48</v>
      </c>
      <c r="N609" s="7" t="n">
        <v>3</v>
      </c>
      <c r="O609" s="7" t="str">
        <f aca="false">A609&amp;"|"&amp;B609&amp;"|"&amp;C609&amp;"|"&amp;D609&amp;"|"&amp;E609&amp;"|"&amp;F609&amp;"|"&amp;G609&amp;"|"&amp;H609&amp;"|"&amp;I609&amp;"|"&amp;J609&amp;"|"&amp;K609&amp;"|"&amp;L609&amp;"|"&amp;M609&amp;"|"&amp;N609</f>
        <v>ORD11084|2025-05-17|19:43|C1346|Dragon Express|Mumbai|Chinese|2|190|0|Cash on Delivery|Delivered|48|3</v>
      </c>
      <c r="P609" s="7" t="str">
        <f aca="false">IF(COUNTIF($O$2:O609,O609)&gt;1,"DUP","OK")</f>
        <v>OK</v>
      </c>
      <c r="Q609" s="7" t="n">
        <f aca="false">COUNTBLANK(A609:N609)</f>
        <v>0</v>
      </c>
      <c r="R609" s="7" t="n">
        <f aca="false">IF(A609="",0,COUNTIFS($A$2:$A$3058,A609,$P$2:$P$3058,"OK"))</f>
        <v>1</v>
      </c>
      <c r="S609" s="7" t="str">
        <f aca="false">IF(OR(A609="",P609="DUP",R609&lt;2),"",IF(Q609=_xlfn.MINIFS($Q$2:$Q$3058,$A$2:$A$3058,A609,$P$2:$P$3058,"OK"),"KEEP","DROP"))</f>
        <v/>
      </c>
      <c r="T609" s="9" t="n">
        <f aca="false">IF(A609="",1,0)</f>
        <v>0</v>
      </c>
      <c r="U609" s="9" t="n">
        <f aca="false">IF(D609="",1,0)</f>
        <v>0</v>
      </c>
      <c r="V609" s="9" t="n">
        <f aca="false">IF(E609="",1,0)</f>
        <v>0</v>
      </c>
      <c r="W609" s="9" t="n">
        <f aca="false">IF(OR(H609&lt;1,H609&gt;10),1,0)</f>
        <v>0</v>
      </c>
      <c r="X609" s="9" t="n">
        <f aca="false">IF(OR(I609&lt;=0,I609&gt;1500),1,0)</f>
        <v>0</v>
      </c>
      <c r="Y609" s="9" t="n">
        <f aca="false">IF(J609&gt;H609*I609,1,0)</f>
        <v>0</v>
      </c>
      <c r="Z609" s="9" t="n">
        <f aca="false">IF(AND(N609&lt;&gt;"",OR(N609&lt;1,N609&gt;5)),1,0)</f>
        <v>0</v>
      </c>
      <c r="AA609" s="9" t="n">
        <f aca="false">IF(AND(M609&lt;&gt;"",OR(M609&lt;5,M609&gt;180)),1,0)</f>
        <v>0</v>
      </c>
      <c r="AB609" s="7" t="str">
        <f aca="false">IF(P609="DUP","Exact duplicate row",IF(T609=1,"Missing Order ID",IF(S609="DROP","Duplicate Order ID (less complete row)",IF(U609=1,"Missing Customer ID",IF(V609=1,"Missing Restaurant name",IF(W609=1,"Invalid/outlier quantity",IF(X609=1,"Invalid/outlier unit price",IF(Y609=1,"Discount greater than order value",""))))))))</f>
        <v/>
      </c>
      <c r="AC609" s="7" t="str">
        <f aca="false">IF(AB609="","KEEP","DROP")</f>
        <v>KEEP</v>
      </c>
      <c r="AD609" s="7" t="str">
        <f aca="false">IF(TRIM(F609)="",IFERROR(INDEX(Map_Tables!$I$4:$I$37,MATCH(TRIM(E609),Map_Tables!$G$4:$G$37,0)),""),IFERROR(INDEX(Map_Tables!$B$4:$B$18,MATCH(TRIM(F609),Map_Tables!$A$4:$A$18,0)),"CHECK"))</f>
        <v>Mumbai</v>
      </c>
      <c r="AE609" s="7" t="str">
        <f aca="false">IF(TRIM(E609)="","",IFERROR(INDEX(Map_Tables!$H$4:$H$37,MATCH(TRIM(E609),Map_Tables!$G$4:$G$37,0)),"CHECK"))</f>
        <v>Dragon Express</v>
      </c>
      <c r="AF609" s="7" t="str">
        <f aca="false">IF(TRIM(K609)="","Unknown",IFERROR(INDEX(Map_Tables!$E$4:$E$15,MATCH(TRIM(K609),Map_Tables!$D$4:$D$15,0)),"CHECK"))</f>
        <v>Cash on Delivery</v>
      </c>
      <c r="AG609" s="7" t="str">
        <f aca="false">IF(LEFT(LOWER(TRIM(L609)),6)="cancel","Cancelled","Delivered")</f>
        <v>Delivered</v>
      </c>
      <c r="AH609" s="10" t="n">
        <f aca="false">IF(ISNUMBER(SEARCH("/",B609)),DATE(VALUE(RIGHT(B609,4)),VALUE(MID(B609,4,2)),VALUE(LEFT(B609,2))),IF(MID(B609,5,1)="-",DATE(VALUE(LEFT(B609,4)),VALUE(MID(B609,6,2)),VALUE(RIGHT(B609,2))),DATE(VALUE(RIGHT(B609,4)),MATCH(MID(B609,4,3),{"Jan","Feb","Mar","Apr","May","Jun","Jul","Aug","Sep","Oct","Nov","Dec"},0),VALUE(LEFT(B609,2)))))</f>
        <v>45794</v>
      </c>
    </row>
    <row r="610" customFormat="false" ht="15" hidden="false" customHeight="false" outlineLevel="0" collapsed="false">
      <c r="A610" s="7" t="s">
        <v>2159</v>
      </c>
      <c r="B610" s="7" t="s">
        <v>1121</v>
      </c>
      <c r="C610" s="7" t="s">
        <v>2160</v>
      </c>
      <c r="D610" s="7" t="s">
        <v>198</v>
      </c>
      <c r="E610" s="7" t="s">
        <v>116</v>
      </c>
      <c r="F610" s="7" t="s">
        <v>101</v>
      </c>
      <c r="G610" s="7" t="s">
        <v>117</v>
      </c>
      <c r="H610" s="7" t="n">
        <v>3</v>
      </c>
      <c r="I610" s="7" t="n">
        <v>130</v>
      </c>
      <c r="J610" s="7" t="n">
        <v>0</v>
      </c>
      <c r="K610" s="7" t="s">
        <v>88</v>
      </c>
      <c r="L610" s="7" t="s">
        <v>194</v>
      </c>
      <c r="M610" s="7" t="n">
        <v>51</v>
      </c>
      <c r="N610" s="7" t="n">
        <v>4</v>
      </c>
      <c r="O610" s="7" t="str">
        <f aca="false">A610&amp;"|"&amp;B610&amp;"|"&amp;C610&amp;"|"&amp;D610&amp;"|"&amp;E610&amp;"|"&amp;F610&amp;"|"&amp;G610&amp;"|"&amp;H610&amp;"|"&amp;I610&amp;"|"&amp;J610&amp;"|"&amp;K610&amp;"|"&amp;L610&amp;"|"&amp;M610&amp;"|"&amp;N610</f>
        <v>ORD11193|2025-05-31|21:35|C0449|Pav Bhaji Point|Mumbai|Street Food|3|130|0|UPI|Delivered|51|4</v>
      </c>
      <c r="P610" s="7" t="str">
        <f aca="false">IF(COUNTIF($O$2:O610,O610)&gt;1,"DUP","OK")</f>
        <v>OK</v>
      </c>
      <c r="Q610" s="7" t="n">
        <f aca="false">COUNTBLANK(A610:N610)</f>
        <v>0</v>
      </c>
      <c r="R610" s="7" t="n">
        <f aca="false">IF(A610="",0,COUNTIFS($A$2:$A$3058,A610,$P$2:$P$3058,"OK"))</f>
        <v>1</v>
      </c>
      <c r="S610" s="7" t="str">
        <f aca="false">IF(OR(A610="",P610="DUP",R610&lt;2),"",IF(Q610=_xlfn.MINIFS($Q$2:$Q$3058,$A$2:$A$3058,A610,$P$2:$P$3058,"OK"),"KEEP","DROP"))</f>
        <v/>
      </c>
      <c r="T610" s="9" t="n">
        <f aca="false">IF(A610="",1,0)</f>
        <v>0</v>
      </c>
      <c r="U610" s="9" t="n">
        <f aca="false">IF(D610="",1,0)</f>
        <v>0</v>
      </c>
      <c r="V610" s="9" t="n">
        <f aca="false">IF(E610="",1,0)</f>
        <v>0</v>
      </c>
      <c r="W610" s="9" t="n">
        <f aca="false">IF(OR(H610&lt;1,H610&gt;10),1,0)</f>
        <v>0</v>
      </c>
      <c r="X610" s="9" t="n">
        <f aca="false">IF(OR(I610&lt;=0,I610&gt;1500),1,0)</f>
        <v>0</v>
      </c>
      <c r="Y610" s="9" t="n">
        <f aca="false">IF(J610&gt;H610*I610,1,0)</f>
        <v>0</v>
      </c>
      <c r="Z610" s="9" t="n">
        <f aca="false">IF(AND(N610&lt;&gt;"",OR(N610&lt;1,N610&gt;5)),1,0)</f>
        <v>0</v>
      </c>
      <c r="AA610" s="9" t="n">
        <f aca="false">IF(AND(M610&lt;&gt;"",OR(M610&lt;5,M610&gt;180)),1,0)</f>
        <v>0</v>
      </c>
      <c r="AB610" s="7" t="str">
        <f aca="false">IF(P610="DUP","Exact duplicate row",IF(T610=1,"Missing Order ID",IF(S610="DROP","Duplicate Order ID (less complete row)",IF(U610=1,"Missing Customer ID",IF(V610=1,"Missing Restaurant name",IF(W610=1,"Invalid/outlier quantity",IF(X610=1,"Invalid/outlier unit price",IF(Y610=1,"Discount greater than order value",""))))))))</f>
        <v/>
      </c>
      <c r="AC610" s="7" t="str">
        <f aca="false">IF(AB610="","KEEP","DROP")</f>
        <v>KEEP</v>
      </c>
      <c r="AD610" s="7" t="str">
        <f aca="false">IF(TRIM(F610)="",IFERROR(INDEX(Map_Tables!$I$4:$I$37,MATCH(TRIM(E610),Map_Tables!$G$4:$G$37,0)),""),IFERROR(INDEX(Map_Tables!$B$4:$B$18,MATCH(TRIM(F610),Map_Tables!$A$4:$A$18,0)),"CHECK"))</f>
        <v>Mumbai</v>
      </c>
      <c r="AE610" s="7" t="str">
        <f aca="false">IF(TRIM(E610)="","",IFERROR(INDEX(Map_Tables!$H$4:$H$37,MATCH(TRIM(E610),Map_Tables!$G$4:$G$37,0)),"CHECK"))</f>
        <v>Pav Bhaji Point</v>
      </c>
      <c r="AF610" s="7" t="str">
        <f aca="false">IF(TRIM(K610)="","Unknown",IFERROR(INDEX(Map_Tables!$E$4:$E$15,MATCH(TRIM(K610),Map_Tables!$D$4:$D$15,0)),"CHECK"))</f>
        <v>UPI</v>
      </c>
      <c r="AG610" s="7" t="str">
        <f aca="false">IF(LEFT(LOWER(TRIM(L610)),6)="cancel","Cancelled","Delivered")</f>
        <v>Delivered</v>
      </c>
      <c r="AH610" s="10" t="n">
        <f aca="false">IF(ISNUMBER(SEARCH("/",B610)),DATE(VALUE(RIGHT(B610,4)),VALUE(MID(B610,4,2)),VALUE(LEFT(B610,2))),IF(MID(B610,5,1)="-",DATE(VALUE(LEFT(B610,4)),VALUE(MID(B610,6,2)),VALUE(RIGHT(B610,2))),DATE(VALUE(RIGHT(B610,4)),MATCH(MID(B610,4,3),{"Jan","Feb","Mar","Apr","May","Jun","Jul","Aug","Sep","Oct","Nov","Dec"},0),VALUE(LEFT(B610,2)))))</f>
        <v>45808</v>
      </c>
    </row>
    <row r="611" customFormat="false" ht="15" hidden="false" customHeight="false" outlineLevel="0" collapsed="false">
      <c r="A611" s="7" t="s">
        <v>2161</v>
      </c>
      <c r="B611" s="7" t="s">
        <v>2162</v>
      </c>
      <c r="C611" s="7" t="s">
        <v>1280</v>
      </c>
      <c r="D611" s="7" t="s">
        <v>2163</v>
      </c>
      <c r="E611" s="7" t="s">
        <v>155</v>
      </c>
      <c r="F611" s="7" t="s">
        <v>128</v>
      </c>
      <c r="G611" s="7" t="s">
        <v>156</v>
      </c>
      <c r="H611" s="7" t="n">
        <v>3</v>
      </c>
      <c r="I611" s="7" t="n">
        <v>305</v>
      </c>
      <c r="J611" s="7" t="n">
        <v>100</v>
      </c>
      <c r="K611" s="7" t="s">
        <v>88</v>
      </c>
      <c r="L611" s="7" t="s">
        <v>194</v>
      </c>
      <c r="M611" s="7" t="n">
        <v>40</v>
      </c>
      <c r="N611" s="7" t="n">
        <v>4</v>
      </c>
      <c r="O611" s="7" t="str">
        <f aca="false">A611&amp;"|"&amp;B611&amp;"|"&amp;C611&amp;"|"&amp;D611&amp;"|"&amp;E611&amp;"|"&amp;F611&amp;"|"&amp;G611&amp;"|"&amp;H611&amp;"|"&amp;I611&amp;"|"&amp;J611&amp;"|"&amp;K611&amp;"|"&amp;L611&amp;"|"&amp;M611&amp;"|"&amp;N611</f>
        <v>ORD11823|2025-08-26|12:21|C0487|Green Bowl Kitchen|Chennai|Healthy Food|3|305|100|UPI|Delivered|40|4</v>
      </c>
      <c r="P611" s="7" t="str">
        <f aca="false">IF(COUNTIF($O$2:O611,O611)&gt;1,"DUP","OK")</f>
        <v>OK</v>
      </c>
      <c r="Q611" s="7" t="n">
        <f aca="false">COUNTBLANK(A611:N611)</f>
        <v>0</v>
      </c>
      <c r="R611" s="7" t="n">
        <f aca="false">IF(A611="",0,COUNTIFS($A$2:$A$3058,A611,$P$2:$P$3058,"OK"))</f>
        <v>1</v>
      </c>
      <c r="S611" s="7" t="str">
        <f aca="false">IF(OR(A611="",P611="DUP",R611&lt;2),"",IF(Q611=_xlfn.MINIFS($Q$2:$Q$3058,$A$2:$A$3058,A611,$P$2:$P$3058,"OK"),"KEEP","DROP"))</f>
        <v/>
      </c>
      <c r="T611" s="9" t="n">
        <f aca="false">IF(A611="",1,0)</f>
        <v>0</v>
      </c>
      <c r="U611" s="9" t="n">
        <f aca="false">IF(D611="",1,0)</f>
        <v>0</v>
      </c>
      <c r="V611" s="9" t="n">
        <f aca="false">IF(E611="",1,0)</f>
        <v>0</v>
      </c>
      <c r="W611" s="9" t="n">
        <f aca="false">IF(OR(H611&lt;1,H611&gt;10),1,0)</f>
        <v>0</v>
      </c>
      <c r="X611" s="9" t="n">
        <f aca="false">IF(OR(I611&lt;=0,I611&gt;1500),1,0)</f>
        <v>0</v>
      </c>
      <c r="Y611" s="9" t="n">
        <f aca="false">IF(J611&gt;H611*I611,1,0)</f>
        <v>0</v>
      </c>
      <c r="Z611" s="9" t="n">
        <f aca="false">IF(AND(N611&lt;&gt;"",OR(N611&lt;1,N611&gt;5)),1,0)</f>
        <v>0</v>
      </c>
      <c r="AA611" s="9" t="n">
        <f aca="false">IF(AND(M611&lt;&gt;"",OR(M611&lt;5,M611&gt;180)),1,0)</f>
        <v>0</v>
      </c>
      <c r="AB611" s="7" t="str">
        <f aca="false">IF(P611="DUP","Exact duplicate row",IF(T611=1,"Missing Order ID",IF(S611="DROP","Duplicate Order ID (less complete row)",IF(U611=1,"Missing Customer ID",IF(V611=1,"Missing Restaurant name",IF(W611=1,"Invalid/outlier quantity",IF(X611=1,"Invalid/outlier unit price",IF(Y611=1,"Discount greater than order value",""))))))))</f>
        <v/>
      </c>
      <c r="AC611" s="7" t="str">
        <f aca="false">IF(AB611="","KEEP","DROP")</f>
        <v>KEEP</v>
      </c>
      <c r="AD611" s="7" t="str">
        <f aca="false">IF(TRIM(F611)="",IFERROR(INDEX(Map_Tables!$I$4:$I$37,MATCH(TRIM(E611),Map_Tables!$G$4:$G$37,0)),""),IFERROR(INDEX(Map_Tables!$B$4:$B$18,MATCH(TRIM(F611),Map_Tables!$A$4:$A$18,0)),"CHECK"))</f>
        <v>Chennai</v>
      </c>
      <c r="AE611" s="7" t="str">
        <f aca="false">IF(TRIM(E611)="","",IFERROR(INDEX(Map_Tables!$H$4:$H$37,MATCH(TRIM(E611),Map_Tables!$G$4:$G$37,0)),"CHECK"))</f>
        <v>Green Bowl Kitchen</v>
      </c>
      <c r="AF611" s="7" t="str">
        <f aca="false">IF(TRIM(K611)="","Unknown",IFERROR(INDEX(Map_Tables!$E$4:$E$15,MATCH(TRIM(K611),Map_Tables!$D$4:$D$15,0)),"CHECK"))</f>
        <v>UPI</v>
      </c>
      <c r="AG611" s="7" t="str">
        <f aca="false">IF(LEFT(LOWER(TRIM(L611)),6)="cancel","Cancelled","Delivered")</f>
        <v>Delivered</v>
      </c>
      <c r="AH611" s="10" t="n">
        <f aca="false">IF(ISNUMBER(SEARCH("/",B611)),DATE(VALUE(RIGHT(B611,4)),VALUE(MID(B611,4,2)),VALUE(LEFT(B611,2))),IF(MID(B611,5,1)="-",DATE(VALUE(LEFT(B611,4)),VALUE(MID(B611,6,2)),VALUE(RIGHT(B611,2))),DATE(VALUE(RIGHT(B611,4)),MATCH(MID(B611,4,3),{"Jan","Feb","Mar","Apr","May","Jun","Jul","Aug","Sep","Oct","Nov","Dec"},0),VALUE(LEFT(B611,2)))))</f>
        <v>45895</v>
      </c>
    </row>
    <row r="612" customFormat="false" ht="15" hidden="false" customHeight="false" outlineLevel="0" collapsed="false">
      <c r="A612" s="7" t="s">
        <v>2164</v>
      </c>
      <c r="B612" s="7" t="s">
        <v>267</v>
      </c>
      <c r="C612" s="7" t="s">
        <v>1684</v>
      </c>
      <c r="D612" s="7" t="s">
        <v>1952</v>
      </c>
      <c r="E612" s="7" t="s">
        <v>98</v>
      </c>
      <c r="F612" s="7" t="s">
        <v>86</v>
      </c>
      <c r="G612" s="7" t="s">
        <v>99</v>
      </c>
      <c r="H612" s="7" t="n">
        <v>1</v>
      </c>
      <c r="I612" s="7" t="n">
        <v>320</v>
      </c>
      <c r="J612" s="7" t="n">
        <v>20</v>
      </c>
      <c r="K612" s="7" t="s">
        <v>121</v>
      </c>
      <c r="L612" s="7" t="s">
        <v>194</v>
      </c>
      <c r="M612" s="7" t="n">
        <v>35</v>
      </c>
      <c r="N612" s="7" t="n">
        <v>5</v>
      </c>
      <c r="O612" s="7" t="str">
        <f aca="false">A612&amp;"|"&amp;B612&amp;"|"&amp;C612&amp;"|"&amp;D612&amp;"|"&amp;E612&amp;"|"&amp;F612&amp;"|"&amp;G612&amp;"|"&amp;H612&amp;"|"&amp;I612&amp;"|"&amp;J612&amp;"|"&amp;K612&amp;"|"&amp;L612&amp;"|"&amp;M612&amp;"|"&amp;N612</f>
        <v>ORD11214|2025-06-03|11:30|C0489|Nawabi Biryani House|Bengaluru|Biryani|1|320|20|Wallet|Delivered|35|5</v>
      </c>
      <c r="P612" s="7" t="str">
        <f aca="false">IF(COUNTIF($O$2:O612,O612)&gt;1,"DUP","OK")</f>
        <v>OK</v>
      </c>
      <c r="Q612" s="7" t="n">
        <f aca="false">COUNTBLANK(A612:N612)</f>
        <v>0</v>
      </c>
      <c r="R612" s="7" t="n">
        <f aca="false">IF(A612="",0,COUNTIFS($A$2:$A$3058,A612,$P$2:$P$3058,"OK"))</f>
        <v>1</v>
      </c>
      <c r="S612" s="7" t="str">
        <f aca="false">IF(OR(A612="",P612="DUP",R612&lt;2),"",IF(Q612=_xlfn.MINIFS($Q$2:$Q$3058,$A$2:$A$3058,A612,$P$2:$P$3058,"OK"),"KEEP","DROP"))</f>
        <v/>
      </c>
      <c r="T612" s="9" t="n">
        <f aca="false">IF(A612="",1,0)</f>
        <v>0</v>
      </c>
      <c r="U612" s="9" t="n">
        <f aca="false">IF(D612="",1,0)</f>
        <v>0</v>
      </c>
      <c r="V612" s="9" t="n">
        <f aca="false">IF(E612="",1,0)</f>
        <v>0</v>
      </c>
      <c r="W612" s="9" t="n">
        <f aca="false">IF(OR(H612&lt;1,H612&gt;10),1,0)</f>
        <v>0</v>
      </c>
      <c r="X612" s="9" t="n">
        <f aca="false">IF(OR(I612&lt;=0,I612&gt;1500),1,0)</f>
        <v>0</v>
      </c>
      <c r="Y612" s="9" t="n">
        <f aca="false">IF(J612&gt;H612*I612,1,0)</f>
        <v>0</v>
      </c>
      <c r="Z612" s="9" t="n">
        <f aca="false">IF(AND(N612&lt;&gt;"",OR(N612&lt;1,N612&gt;5)),1,0)</f>
        <v>0</v>
      </c>
      <c r="AA612" s="9" t="n">
        <f aca="false">IF(AND(M612&lt;&gt;"",OR(M612&lt;5,M612&gt;180)),1,0)</f>
        <v>0</v>
      </c>
      <c r="AB612" s="7" t="str">
        <f aca="false">IF(P612="DUP","Exact duplicate row",IF(T612=1,"Missing Order ID",IF(S612="DROP","Duplicate Order ID (less complete row)",IF(U612=1,"Missing Customer ID",IF(V612=1,"Missing Restaurant name",IF(W612=1,"Invalid/outlier quantity",IF(X612=1,"Invalid/outlier unit price",IF(Y612=1,"Discount greater than order value",""))))))))</f>
        <v/>
      </c>
      <c r="AC612" s="7" t="str">
        <f aca="false">IF(AB612="","KEEP","DROP")</f>
        <v>KEEP</v>
      </c>
      <c r="AD612" s="7" t="str">
        <f aca="false">IF(TRIM(F612)="",IFERROR(INDEX(Map_Tables!$I$4:$I$37,MATCH(TRIM(E612),Map_Tables!$G$4:$G$37,0)),""),IFERROR(INDEX(Map_Tables!$B$4:$B$18,MATCH(TRIM(F612),Map_Tables!$A$4:$A$18,0)),"CHECK"))</f>
        <v>Bengaluru</v>
      </c>
      <c r="AE612" s="7" t="str">
        <f aca="false">IF(TRIM(E612)="","",IFERROR(INDEX(Map_Tables!$H$4:$H$37,MATCH(TRIM(E612),Map_Tables!$G$4:$G$37,0)),"CHECK"))</f>
        <v>Nawabi Biryani House</v>
      </c>
      <c r="AF612" s="7" t="str">
        <f aca="false">IF(TRIM(K612)="","Unknown",IFERROR(INDEX(Map_Tables!$E$4:$E$15,MATCH(TRIM(K612),Map_Tables!$D$4:$D$15,0)),"CHECK"))</f>
        <v>Wallet</v>
      </c>
      <c r="AG612" s="7" t="str">
        <f aca="false">IF(LEFT(LOWER(TRIM(L612)),6)="cancel","Cancelled","Delivered")</f>
        <v>Delivered</v>
      </c>
      <c r="AH612" s="10" t="n">
        <f aca="false">IF(ISNUMBER(SEARCH("/",B612)),DATE(VALUE(RIGHT(B612,4)),VALUE(MID(B612,4,2)),VALUE(LEFT(B612,2))),IF(MID(B612,5,1)="-",DATE(VALUE(LEFT(B612,4)),VALUE(MID(B612,6,2)),VALUE(RIGHT(B612,2))),DATE(VALUE(RIGHT(B612,4)),MATCH(MID(B612,4,3),{"Jan","Feb","Mar","Apr","May","Jun","Jul","Aug","Sep","Oct","Nov","Dec"},0),VALUE(LEFT(B612,2)))))</f>
        <v>45811</v>
      </c>
    </row>
    <row r="613" customFormat="false" ht="15" hidden="false" customHeight="false" outlineLevel="0" collapsed="false">
      <c r="A613" s="7" t="s">
        <v>2165</v>
      </c>
      <c r="B613" s="7" t="s">
        <v>1389</v>
      </c>
      <c r="C613" s="7" t="s">
        <v>595</v>
      </c>
      <c r="D613" s="7" t="s">
        <v>332</v>
      </c>
      <c r="E613" s="7" t="s">
        <v>138</v>
      </c>
      <c r="F613" s="7" t="s">
        <v>110</v>
      </c>
      <c r="G613" s="7" t="s">
        <v>139</v>
      </c>
      <c r="H613" s="7" t="n">
        <v>1</v>
      </c>
      <c r="I613" s="7" t="n">
        <v>230</v>
      </c>
      <c r="J613" s="7" t="n">
        <v>0</v>
      </c>
      <c r="K613" s="7" t="s">
        <v>121</v>
      </c>
      <c r="L613" s="7" t="s">
        <v>238</v>
      </c>
      <c r="M613" s="7"/>
      <c r="N613" s="7"/>
      <c r="O613" s="7" t="str">
        <f aca="false">A613&amp;"|"&amp;B613&amp;"|"&amp;C613&amp;"|"&amp;D613&amp;"|"&amp;E613&amp;"|"&amp;F613&amp;"|"&amp;G613&amp;"|"&amp;H613&amp;"|"&amp;I613&amp;"|"&amp;J613&amp;"|"&amp;K613&amp;"|"&amp;L613&amp;"|"&amp;M613&amp;"|"&amp;N613</f>
        <v>ORD11197|2025-06-01|12:30|C1296|Burger Barn|Delhi|Burgers|1|230|0|Wallet|Cancelled||</v>
      </c>
      <c r="P613" s="7" t="str">
        <f aca="false">IF(COUNTIF($O$2:O613,O613)&gt;1,"DUP","OK")</f>
        <v>OK</v>
      </c>
      <c r="Q613" s="7" t="n">
        <f aca="false">COUNTBLANK(A613:N613)</f>
        <v>2</v>
      </c>
      <c r="R613" s="7" t="n">
        <f aca="false">IF(A613="",0,COUNTIFS($A$2:$A$3058,A613,$P$2:$P$3058,"OK"))</f>
        <v>1</v>
      </c>
      <c r="S613" s="7" t="str">
        <f aca="false">IF(OR(A613="",P613="DUP",R613&lt;2),"",IF(Q613=_xlfn.MINIFS($Q$2:$Q$3058,$A$2:$A$3058,A613,$P$2:$P$3058,"OK"),"KEEP","DROP"))</f>
        <v/>
      </c>
      <c r="T613" s="9" t="n">
        <f aca="false">IF(A613="",1,0)</f>
        <v>0</v>
      </c>
      <c r="U613" s="9" t="n">
        <f aca="false">IF(D613="",1,0)</f>
        <v>0</v>
      </c>
      <c r="V613" s="9" t="n">
        <f aca="false">IF(E613="",1,0)</f>
        <v>0</v>
      </c>
      <c r="W613" s="9" t="n">
        <f aca="false">IF(OR(H613&lt;1,H613&gt;10),1,0)</f>
        <v>0</v>
      </c>
      <c r="X613" s="9" t="n">
        <f aca="false">IF(OR(I613&lt;=0,I613&gt;1500),1,0)</f>
        <v>0</v>
      </c>
      <c r="Y613" s="9" t="n">
        <f aca="false">IF(J613&gt;H613*I613,1,0)</f>
        <v>0</v>
      </c>
      <c r="Z613" s="9" t="n">
        <f aca="false">IF(AND(N613&lt;&gt;"",OR(N613&lt;1,N613&gt;5)),1,0)</f>
        <v>0</v>
      </c>
      <c r="AA613" s="9" t="n">
        <f aca="false">IF(AND(M613&lt;&gt;"",OR(M613&lt;5,M613&gt;180)),1,0)</f>
        <v>0</v>
      </c>
      <c r="AB613" s="7" t="str">
        <f aca="false">IF(P613="DUP","Exact duplicate row",IF(T613=1,"Missing Order ID",IF(S613="DROP","Duplicate Order ID (less complete row)",IF(U613=1,"Missing Customer ID",IF(V613=1,"Missing Restaurant name",IF(W613=1,"Invalid/outlier quantity",IF(X613=1,"Invalid/outlier unit price",IF(Y613=1,"Discount greater than order value",""))))))))</f>
        <v/>
      </c>
      <c r="AC613" s="7" t="str">
        <f aca="false">IF(AB613="","KEEP","DROP")</f>
        <v>KEEP</v>
      </c>
      <c r="AD613" s="7" t="str">
        <f aca="false">IF(TRIM(F613)="",IFERROR(INDEX(Map_Tables!$I$4:$I$37,MATCH(TRIM(E613),Map_Tables!$G$4:$G$37,0)),""),IFERROR(INDEX(Map_Tables!$B$4:$B$18,MATCH(TRIM(F613),Map_Tables!$A$4:$A$18,0)),"CHECK"))</f>
        <v>Delhi</v>
      </c>
      <c r="AE613" s="7" t="str">
        <f aca="false">IF(TRIM(E613)="","",IFERROR(INDEX(Map_Tables!$H$4:$H$37,MATCH(TRIM(E613),Map_Tables!$G$4:$G$37,0)),"CHECK"))</f>
        <v>Burger Barn</v>
      </c>
      <c r="AF613" s="7" t="str">
        <f aca="false">IF(TRIM(K613)="","Unknown",IFERROR(INDEX(Map_Tables!$E$4:$E$15,MATCH(TRIM(K613),Map_Tables!$D$4:$D$15,0)),"CHECK"))</f>
        <v>Wallet</v>
      </c>
      <c r="AG613" s="7" t="str">
        <f aca="false">IF(LEFT(LOWER(TRIM(L613)),6)="cancel","Cancelled","Delivered")</f>
        <v>Cancelled</v>
      </c>
      <c r="AH613" s="10" t="n">
        <f aca="false">IF(ISNUMBER(SEARCH("/",B613)),DATE(VALUE(RIGHT(B613,4)),VALUE(MID(B613,4,2)),VALUE(LEFT(B613,2))),IF(MID(B613,5,1)="-",DATE(VALUE(LEFT(B613,4)),VALUE(MID(B613,6,2)),VALUE(RIGHT(B613,2))),DATE(VALUE(RIGHT(B613,4)),MATCH(MID(B613,4,3),{"Jan","Feb","Mar","Apr","May","Jun","Jul","Aug","Sep","Oct","Nov","Dec"},0),VALUE(LEFT(B613,2)))))</f>
        <v>45809</v>
      </c>
    </row>
    <row r="614" customFormat="false" ht="15" hidden="false" customHeight="false" outlineLevel="0" collapsed="false">
      <c r="A614" s="7" t="s">
        <v>2166</v>
      </c>
      <c r="B614" s="7" t="s">
        <v>1623</v>
      </c>
      <c r="C614" s="7" t="s">
        <v>762</v>
      </c>
      <c r="D614" s="7" t="s">
        <v>922</v>
      </c>
      <c r="E614" s="7" t="s">
        <v>122</v>
      </c>
      <c r="F614" s="7" t="s">
        <v>101</v>
      </c>
      <c r="G614" s="7" t="s">
        <v>123</v>
      </c>
      <c r="H614" s="7" t="n">
        <v>1</v>
      </c>
      <c r="I614" s="7" t="n">
        <v>400</v>
      </c>
      <c r="J614" s="7" t="n">
        <v>0</v>
      </c>
      <c r="K614" s="7" t="s">
        <v>103</v>
      </c>
      <c r="L614" s="7" t="s">
        <v>194</v>
      </c>
      <c r="M614" s="7" t="n">
        <v>37</v>
      </c>
      <c r="N614" s="7" t="n">
        <v>3</v>
      </c>
      <c r="O614" s="7" t="str">
        <f aca="false">A614&amp;"|"&amp;B614&amp;"|"&amp;C614&amp;"|"&amp;D614&amp;"|"&amp;E614&amp;"|"&amp;F614&amp;"|"&amp;G614&amp;"|"&amp;H614&amp;"|"&amp;I614&amp;"|"&amp;J614&amp;"|"&amp;K614&amp;"|"&amp;L614&amp;"|"&amp;M614&amp;"|"&amp;N614</f>
        <v>ORD12386|2025-10-28|13:50|C0562|Mumbai Pizza Co|Mumbai|Pizza|1|400|0|Debit Card|Delivered|37|3</v>
      </c>
      <c r="P614" s="7" t="str">
        <f aca="false">IF(COUNTIF($O$2:O614,O614)&gt;1,"DUP","OK")</f>
        <v>OK</v>
      </c>
      <c r="Q614" s="7" t="n">
        <f aca="false">COUNTBLANK(A614:N614)</f>
        <v>0</v>
      </c>
      <c r="R614" s="7" t="n">
        <f aca="false">IF(A614="",0,COUNTIFS($A$2:$A$3058,A614,$P$2:$P$3058,"OK"))</f>
        <v>1</v>
      </c>
      <c r="S614" s="7" t="str">
        <f aca="false">IF(OR(A614="",P614="DUP",R614&lt;2),"",IF(Q614=_xlfn.MINIFS($Q$2:$Q$3058,$A$2:$A$3058,A614,$P$2:$P$3058,"OK"),"KEEP","DROP"))</f>
        <v/>
      </c>
      <c r="T614" s="9" t="n">
        <f aca="false">IF(A614="",1,0)</f>
        <v>0</v>
      </c>
      <c r="U614" s="9" t="n">
        <f aca="false">IF(D614="",1,0)</f>
        <v>0</v>
      </c>
      <c r="V614" s="9" t="n">
        <f aca="false">IF(E614="",1,0)</f>
        <v>0</v>
      </c>
      <c r="W614" s="9" t="n">
        <f aca="false">IF(OR(H614&lt;1,H614&gt;10),1,0)</f>
        <v>0</v>
      </c>
      <c r="X614" s="9" t="n">
        <f aca="false">IF(OR(I614&lt;=0,I614&gt;1500),1,0)</f>
        <v>0</v>
      </c>
      <c r="Y614" s="9" t="n">
        <f aca="false">IF(J614&gt;H614*I614,1,0)</f>
        <v>0</v>
      </c>
      <c r="Z614" s="9" t="n">
        <f aca="false">IF(AND(N614&lt;&gt;"",OR(N614&lt;1,N614&gt;5)),1,0)</f>
        <v>0</v>
      </c>
      <c r="AA614" s="9" t="n">
        <f aca="false">IF(AND(M614&lt;&gt;"",OR(M614&lt;5,M614&gt;180)),1,0)</f>
        <v>0</v>
      </c>
      <c r="AB614" s="7" t="str">
        <f aca="false">IF(P614="DUP","Exact duplicate row",IF(T614=1,"Missing Order ID",IF(S614="DROP","Duplicate Order ID (less complete row)",IF(U614=1,"Missing Customer ID",IF(V614=1,"Missing Restaurant name",IF(W614=1,"Invalid/outlier quantity",IF(X614=1,"Invalid/outlier unit price",IF(Y614=1,"Discount greater than order value",""))))))))</f>
        <v/>
      </c>
      <c r="AC614" s="7" t="str">
        <f aca="false">IF(AB614="","KEEP","DROP")</f>
        <v>KEEP</v>
      </c>
      <c r="AD614" s="7" t="str">
        <f aca="false">IF(TRIM(F614)="",IFERROR(INDEX(Map_Tables!$I$4:$I$37,MATCH(TRIM(E614),Map_Tables!$G$4:$G$37,0)),""),IFERROR(INDEX(Map_Tables!$B$4:$B$18,MATCH(TRIM(F614),Map_Tables!$A$4:$A$18,0)),"CHECK"))</f>
        <v>Mumbai</v>
      </c>
      <c r="AE614" s="7" t="str">
        <f aca="false">IF(TRIM(E614)="","",IFERROR(INDEX(Map_Tables!$H$4:$H$37,MATCH(TRIM(E614),Map_Tables!$G$4:$G$37,0)),"CHECK"))</f>
        <v>Mumbai Pizza Co</v>
      </c>
      <c r="AF614" s="7" t="str">
        <f aca="false">IF(TRIM(K614)="","Unknown",IFERROR(INDEX(Map_Tables!$E$4:$E$15,MATCH(TRIM(K614),Map_Tables!$D$4:$D$15,0)),"CHECK"))</f>
        <v>Debit Card</v>
      </c>
      <c r="AG614" s="7" t="str">
        <f aca="false">IF(LEFT(LOWER(TRIM(L614)),6)="cancel","Cancelled","Delivered")</f>
        <v>Delivered</v>
      </c>
      <c r="AH614" s="10" t="n">
        <f aca="false">IF(ISNUMBER(SEARCH("/",B614)),DATE(VALUE(RIGHT(B614,4)),VALUE(MID(B614,4,2)),VALUE(LEFT(B614,2))),IF(MID(B614,5,1)="-",DATE(VALUE(LEFT(B614,4)),VALUE(MID(B614,6,2)),VALUE(RIGHT(B614,2))),DATE(VALUE(RIGHT(B614,4)),MATCH(MID(B614,4,3),{"Jan","Feb","Mar","Apr","May","Jun","Jul","Aug","Sep","Oct","Nov","Dec"},0),VALUE(LEFT(B614,2)))))</f>
        <v>45958</v>
      </c>
    </row>
    <row r="615" customFormat="false" ht="15" hidden="false" customHeight="false" outlineLevel="0" collapsed="false">
      <c r="A615" s="7" t="s">
        <v>2167</v>
      </c>
      <c r="B615" s="7" t="s">
        <v>248</v>
      </c>
      <c r="C615" s="7" t="s">
        <v>1899</v>
      </c>
      <c r="D615" s="7" t="s">
        <v>2168</v>
      </c>
      <c r="E615" s="7" t="s">
        <v>161</v>
      </c>
      <c r="F615" s="7" t="s">
        <v>141</v>
      </c>
      <c r="G615" s="7" t="s">
        <v>117</v>
      </c>
      <c r="H615" s="7" t="n">
        <v>2</v>
      </c>
      <c r="I615" s="7" t="n">
        <v>150</v>
      </c>
      <c r="J615" s="7" t="n">
        <v>0</v>
      </c>
      <c r="K615" s="7" t="s">
        <v>103</v>
      </c>
      <c r="L615" s="7" t="s">
        <v>194</v>
      </c>
      <c r="M615" s="7" t="n">
        <v>35</v>
      </c>
      <c r="N615" s="7" t="n">
        <v>4</v>
      </c>
      <c r="O615" s="7" t="str">
        <f aca="false">A615&amp;"|"&amp;B615&amp;"|"&amp;C615&amp;"|"&amp;D615&amp;"|"&amp;E615&amp;"|"&amp;F615&amp;"|"&amp;G615&amp;"|"&amp;H615&amp;"|"&amp;I615&amp;"|"&amp;J615&amp;"|"&amp;K615&amp;"|"&amp;L615&amp;"|"&amp;M615&amp;"|"&amp;N615</f>
        <v>ORD10454|2025-03-02|11:19|C0061|Bengal Bites|Kolkata|Street Food|2|150|0|Debit Card|Delivered|35|4</v>
      </c>
      <c r="P615" s="7" t="str">
        <f aca="false">IF(COUNTIF($O$2:O615,O615)&gt;1,"DUP","OK")</f>
        <v>OK</v>
      </c>
      <c r="Q615" s="7" t="n">
        <f aca="false">COUNTBLANK(A615:N615)</f>
        <v>0</v>
      </c>
      <c r="R615" s="7" t="n">
        <f aca="false">IF(A615="",0,COUNTIFS($A$2:$A$3058,A615,$P$2:$P$3058,"OK"))</f>
        <v>1</v>
      </c>
      <c r="S615" s="7" t="str">
        <f aca="false">IF(OR(A615="",P615="DUP",R615&lt;2),"",IF(Q615=_xlfn.MINIFS($Q$2:$Q$3058,$A$2:$A$3058,A615,$P$2:$P$3058,"OK"),"KEEP","DROP"))</f>
        <v/>
      </c>
      <c r="T615" s="9" t="n">
        <f aca="false">IF(A615="",1,0)</f>
        <v>0</v>
      </c>
      <c r="U615" s="9" t="n">
        <f aca="false">IF(D615="",1,0)</f>
        <v>0</v>
      </c>
      <c r="V615" s="9" t="n">
        <f aca="false">IF(E615="",1,0)</f>
        <v>0</v>
      </c>
      <c r="W615" s="9" t="n">
        <f aca="false">IF(OR(H615&lt;1,H615&gt;10),1,0)</f>
        <v>0</v>
      </c>
      <c r="X615" s="9" t="n">
        <f aca="false">IF(OR(I615&lt;=0,I615&gt;1500),1,0)</f>
        <v>0</v>
      </c>
      <c r="Y615" s="9" t="n">
        <f aca="false">IF(J615&gt;H615*I615,1,0)</f>
        <v>0</v>
      </c>
      <c r="Z615" s="9" t="n">
        <f aca="false">IF(AND(N615&lt;&gt;"",OR(N615&lt;1,N615&gt;5)),1,0)</f>
        <v>0</v>
      </c>
      <c r="AA615" s="9" t="n">
        <f aca="false">IF(AND(M615&lt;&gt;"",OR(M615&lt;5,M615&gt;180)),1,0)</f>
        <v>0</v>
      </c>
      <c r="AB615" s="7" t="str">
        <f aca="false">IF(P615="DUP","Exact duplicate row",IF(T615=1,"Missing Order ID",IF(S615="DROP","Duplicate Order ID (less complete row)",IF(U615=1,"Missing Customer ID",IF(V615=1,"Missing Restaurant name",IF(W615=1,"Invalid/outlier quantity",IF(X615=1,"Invalid/outlier unit price",IF(Y615=1,"Discount greater than order value",""))))))))</f>
        <v/>
      </c>
      <c r="AC615" s="7" t="str">
        <f aca="false">IF(AB615="","KEEP","DROP")</f>
        <v>KEEP</v>
      </c>
      <c r="AD615" s="7" t="str">
        <f aca="false">IF(TRIM(F615)="",IFERROR(INDEX(Map_Tables!$I$4:$I$37,MATCH(TRIM(E615),Map_Tables!$G$4:$G$37,0)),""),IFERROR(INDEX(Map_Tables!$B$4:$B$18,MATCH(TRIM(F615),Map_Tables!$A$4:$A$18,0)),"CHECK"))</f>
        <v>Kolkata</v>
      </c>
      <c r="AE615" s="7" t="str">
        <f aca="false">IF(TRIM(E615)="","",IFERROR(INDEX(Map_Tables!$H$4:$H$37,MATCH(TRIM(E615),Map_Tables!$G$4:$G$37,0)),"CHECK"))</f>
        <v>Bengal Bites</v>
      </c>
      <c r="AF615" s="7" t="str">
        <f aca="false">IF(TRIM(K615)="","Unknown",IFERROR(INDEX(Map_Tables!$E$4:$E$15,MATCH(TRIM(K615),Map_Tables!$D$4:$D$15,0)),"CHECK"))</f>
        <v>Debit Card</v>
      </c>
      <c r="AG615" s="7" t="str">
        <f aca="false">IF(LEFT(LOWER(TRIM(L615)),6)="cancel","Cancelled","Delivered")</f>
        <v>Delivered</v>
      </c>
      <c r="AH615" s="10" t="n">
        <f aca="false">IF(ISNUMBER(SEARCH("/",B615)),DATE(VALUE(RIGHT(B615,4)),VALUE(MID(B615,4,2)),VALUE(LEFT(B615,2))),IF(MID(B615,5,1)="-",DATE(VALUE(LEFT(B615,4)),VALUE(MID(B615,6,2)),VALUE(RIGHT(B615,2))),DATE(VALUE(RIGHT(B615,4)),MATCH(MID(B615,4,3),{"Jan","Feb","Mar","Apr","May","Jun","Jul","Aug","Sep","Oct","Nov","Dec"},0),VALUE(LEFT(B615,2)))))</f>
        <v>45718</v>
      </c>
    </row>
    <row r="616" customFormat="false" ht="15" hidden="false" customHeight="false" outlineLevel="0" collapsed="false">
      <c r="A616" s="7" t="s">
        <v>2169</v>
      </c>
      <c r="B616" s="7" t="s">
        <v>612</v>
      </c>
      <c r="C616" s="7" t="s">
        <v>630</v>
      </c>
      <c r="D616" s="7" t="s">
        <v>2170</v>
      </c>
      <c r="E616" s="7" t="s">
        <v>134</v>
      </c>
      <c r="F616" s="7" t="s">
        <v>110</v>
      </c>
      <c r="G616" s="7" t="s">
        <v>117</v>
      </c>
      <c r="H616" s="7" t="n">
        <v>5</v>
      </c>
      <c r="I616" s="7" t="n">
        <v>80</v>
      </c>
      <c r="J616" s="7" t="n">
        <v>0</v>
      </c>
      <c r="K616" s="7" t="s">
        <v>229</v>
      </c>
      <c r="L616" s="7" t="s">
        <v>194</v>
      </c>
      <c r="M616" s="7" t="n">
        <v>42</v>
      </c>
      <c r="N616" s="7" t="n">
        <v>5</v>
      </c>
      <c r="O616" s="7" t="str">
        <f aca="false">A616&amp;"|"&amp;B616&amp;"|"&amp;C616&amp;"|"&amp;D616&amp;"|"&amp;E616&amp;"|"&amp;F616&amp;"|"&amp;G616&amp;"|"&amp;H616&amp;"|"&amp;I616&amp;"|"&amp;J616&amp;"|"&amp;K616&amp;"|"&amp;L616&amp;"|"&amp;M616&amp;"|"&amp;N616</f>
        <v>ORD11708|2025-08-12|20:09|C0586|Chaat Corner|Delhi|Street Food|5|80|0|Upi|Delivered|42|5</v>
      </c>
      <c r="P616" s="7" t="str">
        <f aca="false">IF(COUNTIF($O$2:O616,O616)&gt;1,"DUP","OK")</f>
        <v>OK</v>
      </c>
      <c r="Q616" s="7" t="n">
        <f aca="false">COUNTBLANK(A616:N616)</f>
        <v>0</v>
      </c>
      <c r="R616" s="7" t="n">
        <f aca="false">IF(A616="",0,COUNTIFS($A$2:$A$3058,A616,$P$2:$P$3058,"OK"))</f>
        <v>1</v>
      </c>
      <c r="S616" s="7" t="str">
        <f aca="false">IF(OR(A616="",P616="DUP",R616&lt;2),"",IF(Q616=_xlfn.MINIFS($Q$2:$Q$3058,$A$2:$A$3058,A616,$P$2:$P$3058,"OK"),"KEEP","DROP"))</f>
        <v/>
      </c>
      <c r="T616" s="9" t="n">
        <f aca="false">IF(A616="",1,0)</f>
        <v>0</v>
      </c>
      <c r="U616" s="9" t="n">
        <f aca="false">IF(D616="",1,0)</f>
        <v>0</v>
      </c>
      <c r="V616" s="9" t="n">
        <f aca="false">IF(E616="",1,0)</f>
        <v>0</v>
      </c>
      <c r="W616" s="9" t="n">
        <f aca="false">IF(OR(H616&lt;1,H616&gt;10),1,0)</f>
        <v>0</v>
      </c>
      <c r="X616" s="9" t="n">
        <f aca="false">IF(OR(I616&lt;=0,I616&gt;1500),1,0)</f>
        <v>0</v>
      </c>
      <c r="Y616" s="9" t="n">
        <f aca="false">IF(J616&gt;H616*I616,1,0)</f>
        <v>0</v>
      </c>
      <c r="Z616" s="9" t="n">
        <f aca="false">IF(AND(N616&lt;&gt;"",OR(N616&lt;1,N616&gt;5)),1,0)</f>
        <v>0</v>
      </c>
      <c r="AA616" s="9" t="n">
        <f aca="false">IF(AND(M616&lt;&gt;"",OR(M616&lt;5,M616&gt;180)),1,0)</f>
        <v>0</v>
      </c>
      <c r="AB616" s="7" t="str">
        <f aca="false">IF(P616="DUP","Exact duplicate row",IF(T616=1,"Missing Order ID",IF(S616="DROP","Duplicate Order ID (less complete row)",IF(U616=1,"Missing Customer ID",IF(V616=1,"Missing Restaurant name",IF(W616=1,"Invalid/outlier quantity",IF(X616=1,"Invalid/outlier unit price",IF(Y616=1,"Discount greater than order value",""))))))))</f>
        <v/>
      </c>
      <c r="AC616" s="7" t="str">
        <f aca="false">IF(AB616="","KEEP","DROP")</f>
        <v>KEEP</v>
      </c>
      <c r="AD616" s="7" t="str">
        <f aca="false">IF(TRIM(F616)="",IFERROR(INDEX(Map_Tables!$I$4:$I$37,MATCH(TRIM(E616),Map_Tables!$G$4:$G$37,0)),""),IFERROR(INDEX(Map_Tables!$B$4:$B$18,MATCH(TRIM(F616),Map_Tables!$A$4:$A$18,0)),"CHECK"))</f>
        <v>Delhi</v>
      </c>
      <c r="AE616" s="7" t="str">
        <f aca="false">IF(TRIM(E616)="","",IFERROR(INDEX(Map_Tables!$H$4:$H$37,MATCH(TRIM(E616),Map_Tables!$G$4:$G$37,0)),"CHECK"))</f>
        <v>Chaat Corner</v>
      </c>
      <c r="AF616" s="7" t="str">
        <f aca="false">IF(TRIM(K616)="","Unknown",IFERROR(INDEX(Map_Tables!$E$4:$E$15,MATCH(TRIM(K616),Map_Tables!$D$4:$D$15,0)),"CHECK"))</f>
        <v>UPI</v>
      </c>
      <c r="AG616" s="7" t="str">
        <f aca="false">IF(LEFT(LOWER(TRIM(L616)),6)="cancel","Cancelled","Delivered")</f>
        <v>Delivered</v>
      </c>
      <c r="AH616" s="10" t="n">
        <f aca="false">IF(ISNUMBER(SEARCH("/",B616)),DATE(VALUE(RIGHT(B616,4)),VALUE(MID(B616,4,2)),VALUE(LEFT(B616,2))),IF(MID(B616,5,1)="-",DATE(VALUE(LEFT(B616,4)),VALUE(MID(B616,6,2)),VALUE(RIGHT(B616,2))),DATE(VALUE(RIGHT(B616,4)),MATCH(MID(B616,4,3),{"Jan","Feb","Mar","Apr","May","Jun","Jul","Aug","Sep","Oct","Nov","Dec"},0),VALUE(LEFT(B616,2)))))</f>
        <v>45881</v>
      </c>
    </row>
    <row r="617" customFormat="false" ht="15" hidden="false" customHeight="false" outlineLevel="0" collapsed="false">
      <c r="A617" s="7" t="s">
        <v>2171</v>
      </c>
      <c r="B617" s="7" t="s">
        <v>1429</v>
      </c>
      <c r="C617" s="7" t="s">
        <v>1125</v>
      </c>
      <c r="D617" s="7" t="s">
        <v>2172</v>
      </c>
      <c r="E617" s="7" t="s">
        <v>134</v>
      </c>
      <c r="F617" s="7" t="s">
        <v>110</v>
      </c>
      <c r="G617" s="7" t="s">
        <v>117</v>
      </c>
      <c r="H617" s="7" t="n">
        <v>2</v>
      </c>
      <c r="I617" s="7" t="n">
        <v>110</v>
      </c>
      <c r="J617" s="7" t="n">
        <v>0</v>
      </c>
      <c r="K617" s="7" t="s">
        <v>121</v>
      </c>
      <c r="L617" s="7" t="s">
        <v>194</v>
      </c>
      <c r="M617" s="7" t="n">
        <v>37</v>
      </c>
      <c r="N617" s="7" t="n">
        <v>5</v>
      </c>
      <c r="O617" s="7" t="str">
        <f aca="false">A617&amp;"|"&amp;B617&amp;"|"&amp;C617&amp;"|"&amp;D617&amp;"|"&amp;E617&amp;"|"&amp;F617&amp;"|"&amp;G617&amp;"|"&amp;H617&amp;"|"&amp;I617&amp;"|"&amp;J617&amp;"|"&amp;K617&amp;"|"&amp;L617&amp;"|"&amp;M617&amp;"|"&amp;N617</f>
        <v>ORD12892|2025-12-20|11:49|C0537|Chaat Corner|Delhi|Street Food|2|110|0|Wallet|Delivered|37|5</v>
      </c>
      <c r="P617" s="7" t="str">
        <f aca="false">IF(COUNTIF($O$2:O617,O617)&gt;1,"DUP","OK")</f>
        <v>OK</v>
      </c>
      <c r="Q617" s="7" t="n">
        <f aca="false">COUNTBLANK(A617:N617)</f>
        <v>0</v>
      </c>
      <c r="R617" s="7" t="n">
        <f aca="false">IF(A617="",0,COUNTIFS($A$2:$A$3058,A617,$P$2:$P$3058,"OK"))</f>
        <v>1</v>
      </c>
      <c r="S617" s="7" t="str">
        <f aca="false">IF(OR(A617="",P617="DUP",R617&lt;2),"",IF(Q617=_xlfn.MINIFS($Q$2:$Q$3058,$A$2:$A$3058,A617,$P$2:$P$3058,"OK"),"KEEP","DROP"))</f>
        <v/>
      </c>
      <c r="T617" s="9" t="n">
        <f aca="false">IF(A617="",1,0)</f>
        <v>0</v>
      </c>
      <c r="U617" s="9" t="n">
        <f aca="false">IF(D617="",1,0)</f>
        <v>0</v>
      </c>
      <c r="V617" s="9" t="n">
        <f aca="false">IF(E617="",1,0)</f>
        <v>0</v>
      </c>
      <c r="W617" s="9" t="n">
        <f aca="false">IF(OR(H617&lt;1,H617&gt;10),1,0)</f>
        <v>0</v>
      </c>
      <c r="X617" s="9" t="n">
        <f aca="false">IF(OR(I617&lt;=0,I617&gt;1500),1,0)</f>
        <v>0</v>
      </c>
      <c r="Y617" s="9" t="n">
        <f aca="false">IF(J617&gt;H617*I617,1,0)</f>
        <v>0</v>
      </c>
      <c r="Z617" s="9" t="n">
        <f aca="false">IF(AND(N617&lt;&gt;"",OR(N617&lt;1,N617&gt;5)),1,0)</f>
        <v>0</v>
      </c>
      <c r="AA617" s="9" t="n">
        <f aca="false">IF(AND(M617&lt;&gt;"",OR(M617&lt;5,M617&gt;180)),1,0)</f>
        <v>0</v>
      </c>
      <c r="AB617" s="7" t="str">
        <f aca="false">IF(P617="DUP","Exact duplicate row",IF(T617=1,"Missing Order ID",IF(S617="DROP","Duplicate Order ID (less complete row)",IF(U617=1,"Missing Customer ID",IF(V617=1,"Missing Restaurant name",IF(W617=1,"Invalid/outlier quantity",IF(X617=1,"Invalid/outlier unit price",IF(Y617=1,"Discount greater than order value",""))))))))</f>
        <v/>
      </c>
      <c r="AC617" s="7" t="str">
        <f aca="false">IF(AB617="","KEEP","DROP")</f>
        <v>KEEP</v>
      </c>
      <c r="AD617" s="7" t="str">
        <f aca="false">IF(TRIM(F617)="",IFERROR(INDEX(Map_Tables!$I$4:$I$37,MATCH(TRIM(E617),Map_Tables!$G$4:$G$37,0)),""),IFERROR(INDEX(Map_Tables!$B$4:$B$18,MATCH(TRIM(F617),Map_Tables!$A$4:$A$18,0)),"CHECK"))</f>
        <v>Delhi</v>
      </c>
      <c r="AE617" s="7" t="str">
        <f aca="false">IF(TRIM(E617)="","",IFERROR(INDEX(Map_Tables!$H$4:$H$37,MATCH(TRIM(E617),Map_Tables!$G$4:$G$37,0)),"CHECK"))</f>
        <v>Chaat Corner</v>
      </c>
      <c r="AF617" s="7" t="str">
        <f aca="false">IF(TRIM(K617)="","Unknown",IFERROR(INDEX(Map_Tables!$E$4:$E$15,MATCH(TRIM(K617),Map_Tables!$D$4:$D$15,0)),"CHECK"))</f>
        <v>Wallet</v>
      </c>
      <c r="AG617" s="7" t="str">
        <f aca="false">IF(LEFT(LOWER(TRIM(L617)),6)="cancel","Cancelled","Delivered")</f>
        <v>Delivered</v>
      </c>
      <c r="AH617" s="10" t="n">
        <f aca="false">IF(ISNUMBER(SEARCH("/",B617)),DATE(VALUE(RIGHT(B617,4)),VALUE(MID(B617,4,2)),VALUE(LEFT(B617,2))),IF(MID(B617,5,1)="-",DATE(VALUE(LEFT(B617,4)),VALUE(MID(B617,6,2)),VALUE(RIGHT(B617,2))),DATE(VALUE(RIGHT(B617,4)),MATCH(MID(B617,4,3),{"Jan","Feb","Mar","Apr","May","Jun","Jul","Aug","Sep","Oct","Nov","Dec"},0),VALUE(LEFT(B617,2)))))</f>
        <v>46011</v>
      </c>
    </row>
    <row r="618" customFormat="false" ht="15" hidden="false" customHeight="false" outlineLevel="0" collapsed="false">
      <c r="A618" s="7" t="s">
        <v>2173</v>
      </c>
      <c r="B618" s="7" t="s">
        <v>791</v>
      </c>
      <c r="C618" s="7" t="s">
        <v>1288</v>
      </c>
      <c r="D618" s="7" t="s">
        <v>2174</v>
      </c>
      <c r="E618" s="7" t="s">
        <v>94</v>
      </c>
      <c r="F618" s="7" t="s">
        <v>86</v>
      </c>
      <c r="G618" s="7" t="s">
        <v>95</v>
      </c>
      <c r="H618" s="7" t="n">
        <v>3</v>
      </c>
      <c r="I618" s="7" t="n">
        <v>120</v>
      </c>
      <c r="J618" s="7" t="n">
        <v>0</v>
      </c>
      <c r="K618" s="7" t="s">
        <v>971</v>
      </c>
      <c r="L618" s="7" t="s">
        <v>194</v>
      </c>
      <c r="M618" s="7" t="n">
        <v>32</v>
      </c>
      <c r="N618" s="7" t="n">
        <v>4</v>
      </c>
      <c r="O618" s="7" t="str">
        <f aca="false">A618&amp;"|"&amp;B618&amp;"|"&amp;C618&amp;"|"&amp;D618&amp;"|"&amp;E618&amp;"|"&amp;F618&amp;"|"&amp;G618&amp;"|"&amp;H618&amp;"|"&amp;I618&amp;"|"&amp;J618&amp;"|"&amp;K618&amp;"|"&amp;L618&amp;"|"&amp;M618&amp;"|"&amp;N618</f>
        <v>ORD12508|2025-11-10|20:54|C0505|Dosa Darbar|Bengaluru|South Indian|3|120|0|Paytm Wallet|Delivered|32|4</v>
      </c>
      <c r="P618" s="7" t="str">
        <f aca="false">IF(COUNTIF($O$2:O618,O618)&gt;1,"DUP","OK")</f>
        <v>OK</v>
      </c>
      <c r="Q618" s="7" t="n">
        <f aca="false">COUNTBLANK(A618:N618)</f>
        <v>0</v>
      </c>
      <c r="R618" s="7" t="n">
        <f aca="false">IF(A618="",0,COUNTIFS($A$2:$A$3058,A618,$P$2:$P$3058,"OK"))</f>
        <v>1</v>
      </c>
      <c r="S618" s="7" t="str">
        <f aca="false">IF(OR(A618="",P618="DUP",R618&lt;2),"",IF(Q618=_xlfn.MINIFS($Q$2:$Q$3058,$A$2:$A$3058,A618,$P$2:$P$3058,"OK"),"KEEP","DROP"))</f>
        <v/>
      </c>
      <c r="T618" s="9" t="n">
        <f aca="false">IF(A618="",1,0)</f>
        <v>0</v>
      </c>
      <c r="U618" s="9" t="n">
        <f aca="false">IF(D618="",1,0)</f>
        <v>0</v>
      </c>
      <c r="V618" s="9" t="n">
        <f aca="false">IF(E618="",1,0)</f>
        <v>0</v>
      </c>
      <c r="W618" s="9" t="n">
        <f aca="false">IF(OR(H618&lt;1,H618&gt;10),1,0)</f>
        <v>0</v>
      </c>
      <c r="X618" s="9" t="n">
        <f aca="false">IF(OR(I618&lt;=0,I618&gt;1500),1,0)</f>
        <v>0</v>
      </c>
      <c r="Y618" s="9" t="n">
        <f aca="false">IF(J618&gt;H618*I618,1,0)</f>
        <v>0</v>
      </c>
      <c r="Z618" s="9" t="n">
        <f aca="false">IF(AND(N618&lt;&gt;"",OR(N618&lt;1,N618&gt;5)),1,0)</f>
        <v>0</v>
      </c>
      <c r="AA618" s="9" t="n">
        <f aca="false">IF(AND(M618&lt;&gt;"",OR(M618&lt;5,M618&gt;180)),1,0)</f>
        <v>0</v>
      </c>
      <c r="AB618" s="7" t="str">
        <f aca="false">IF(P618="DUP","Exact duplicate row",IF(T618=1,"Missing Order ID",IF(S618="DROP","Duplicate Order ID (less complete row)",IF(U618=1,"Missing Customer ID",IF(V618=1,"Missing Restaurant name",IF(W618=1,"Invalid/outlier quantity",IF(X618=1,"Invalid/outlier unit price",IF(Y618=1,"Discount greater than order value",""))))))))</f>
        <v/>
      </c>
      <c r="AC618" s="7" t="str">
        <f aca="false">IF(AB618="","KEEP","DROP")</f>
        <v>KEEP</v>
      </c>
      <c r="AD618" s="7" t="str">
        <f aca="false">IF(TRIM(F618)="",IFERROR(INDEX(Map_Tables!$I$4:$I$37,MATCH(TRIM(E618),Map_Tables!$G$4:$G$37,0)),""),IFERROR(INDEX(Map_Tables!$B$4:$B$18,MATCH(TRIM(F618),Map_Tables!$A$4:$A$18,0)),"CHECK"))</f>
        <v>Bengaluru</v>
      </c>
      <c r="AE618" s="7" t="str">
        <f aca="false">IF(TRIM(E618)="","",IFERROR(INDEX(Map_Tables!$H$4:$H$37,MATCH(TRIM(E618),Map_Tables!$G$4:$G$37,0)),"CHECK"))</f>
        <v>Dosa Darbar</v>
      </c>
      <c r="AF618" s="7" t="str">
        <f aca="false">IF(TRIM(K618)="","Unknown",IFERROR(INDEX(Map_Tables!$E$4:$E$15,MATCH(TRIM(K618),Map_Tables!$D$4:$D$15,0)),"CHECK"))</f>
        <v>Wallet</v>
      </c>
      <c r="AG618" s="7" t="str">
        <f aca="false">IF(LEFT(LOWER(TRIM(L618)),6)="cancel","Cancelled","Delivered")</f>
        <v>Delivered</v>
      </c>
      <c r="AH618" s="10" t="n">
        <f aca="false">IF(ISNUMBER(SEARCH("/",B618)),DATE(VALUE(RIGHT(B618,4)),VALUE(MID(B618,4,2)),VALUE(LEFT(B618,2))),IF(MID(B618,5,1)="-",DATE(VALUE(LEFT(B618,4)),VALUE(MID(B618,6,2)),VALUE(RIGHT(B618,2))),DATE(VALUE(RIGHT(B618,4)),MATCH(MID(B618,4,3),{"Jan","Feb","Mar","Apr","May","Jun","Jul","Aug","Sep","Oct","Nov","Dec"},0),VALUE(LEFT(B618,2)))))</f>
        <v>45971</v>
      </c>
    </row>
    <row r="619" customFormat="false" ht="15" hidden="false" customHeight="false" outlineLevel="0" collapsed="false">
      <c r="A619" s="7" t="s">
        <v>2175</v>
      </c>
      <c r="B619" s="7" t="s">
        <v>2050</v>
      </c>
      <c r="C619" s="7" t="s">
        <v>2176</v>
      </c>
      <c r="D619" s="7" t="s">
        <v>2177</v>
      </c>
      <c r="E619" s="7" t="s">
        <v>126</v>
      </c>
      <c r="F619" s="7" t="s">
        <v>101</v>
      </c>
      <c r="G619" s="7" t="s">
        <v>105</v>
      </c>
      <c r="H619" s="7" t="n">
        <v>2</v>
      </c>
      <c r="I619" s="7" t="n">
        <v>215</v>
      </c>
      <c r="J619" s="7" t="n">
        <v>150</v>
      </c>
      <c r="K619" s="7" t="s">
        <v>93</v>
      </c>
      <c r="L619" s="7" t="s">
        <v>194</v>
      </c>
      <c r="M619" s="7" t="n">
        <v>44</v>
      </c>
      <c r="N619" s="7" t="n">
        <v>4</v>
      </c>
      <c r="O619" s="7" t="str">
        <f aca="false">A619&amp;"|"&amp;B619&amp;"|"&amp;C619&amp;"|"&amp;D619&amp;"|"&amp;E619&amp;"|"&amp;F619&amp;"|"&amp;G619&amp;"|"&amp;H619&amp;"|"&amp;I619&amp;"|"&amp;J619&amp;"|"&amp;K619&amp;"|"&amp;L619&amp;"|"&amp;M619&amp;"|"&amp;N619</f>
        <v>ORD10214|2025-01-29|14:48|C0587|Dragon Express|Mumbai|Chinese|2|215|150|Credit Card|Delivered|44|4</v>
      </c>
      <c r="P619" s="7" t="str">
        <f aca="false">IF(COUNTIF($O$2:O619,O619)&gt;1,"DUP","OK")</f>
        <v>OK</v>
      </c>
      <c r="Q619" s="7" t="n">
        <f aca="false">COUNTBLANK(A619:N619)</f>
        <v>0</v>
      </c>
      <c r="R619" s="7" t="n">
        <f aca="false">IF(A619="",0,COUNTIFS($A$2:$A$3058,A619,$P$2:$P$3058,"OK"))</f>
        <v>1</v>
      </c>
      <c r="S619" s="7" t="str">
        <f aca="false">IF(OR(A619="",P619="DUP",R619&lt;2),"",IF(Q619=_xlfn.MINIFS($Q$2:$Q$3058,$A$2:$A$3058,A619,$P$2:$P$3058,"OK"),"KEEP","DROP"))</f>
        <v/>
      </c>
      <c r="T619" s="9" t="n">
        <f aca="false">IF(A619="",1,0)</f>
        <v>0</v>
      </c>
      <c r="U619" s="9" t="n">
        <f aca="false">IF(D619="",1,0)</f>
        <v>0</v>
      </c>
      <c r="V619" s="9" t="n">
        <f aca="false">IF(E619="",1,0)</f>
        <v>0</v>
      </c>
      <c r="W619" s="9" t="n">
        <f aca="false">IF(OR(H619&lt;1,H619&gt;10),1,0)</f>
        <v>0</v>
      </c>
      <c r="X619" s="9" t="n">
        <f aca="false">IF(OR(I619&lt;=0,I619&gt;1500),1,0)</f>
        <v>0</v>
      </c>
      <c r="Y619" s="9" t="n">
        <f aca="false">IF(J619&gt;H619*I619,1,0)</f>
        <v>0</v>
      </c>
      <c r="Z619" s="9" t="n">
        <f aca="false">IF(AND(N619&lt;&gt;"",OR(N619&lt;1,N619&gt;5)),1,0)</f>
        <v>0</v>
      </c>
      <c r="AA619" s="9" t="n">
        <f aca="false">IF(AND(M619&lt;&gt;"",OR(M619&lt;5,M619&gt;180)),1,0)</f>
        <v>0</v>
      </c>
      <c r="AB619" s="7" t="str">
        <f aca="false">IF(P619="DUP","Exact duplicate row",IF(T619=1,"Missing Order ID",IF(S619="DROP","Duplicate Order ID (less complete row)",IF(U619=1,"Missing Customer ID",IF(V619=1,"Missing Restaurant name",IF(W619=1,"Invalid/outlier quantity",IF(X619=1,"Invalid/outlier unit price",IF(Y619=1,"Discount greater than order value",""))))))))</f>
        <v/>
      </c>
      <c r="AC619" s="7" t="str">
        <f aca="false">IF(AB619="","KEEP","DROP")</f>
        <v>KEEP</v>
      </c>
      <c r="AD619" s="7" t="str">
        <f aca="false">IF(TRIM(F619)="",IFERROR(INDEX(Map_Tables!$I$4:$I$37,MATCH(TRIM(E619),Map_Tables!$G$4:$G$37,0)),""),IFERROR(INDEX(Map_Tables!$B$4:$B$18,MATCH(TRIM(F619),Map_Tables!$A$4:$A$18,0)),"CHECK"))</f>
        <v>Mumbai</v>
      </c>
      <c r="AE619" s="7" t="str">
        <f aca="false">IF(TRIM(E619)="","",IFERROR(INDEX(Map_Tables!$H$4:$H$37,MATCH(TRIM(E619),Map_Tables!$G$4:$G$37,0)),"CHECK"))</f>
        <v>Dragon Express</v>
      </c>
      <c r="AF619" s="7" t="str">
        <f aca="false">IF(TRIM(K619)="","Unknown",IFERROR(INDEX(Map_Tables!$E$4:$E$15,MATCH(TRIM(K619),Map_Tables!$D$4:$D$15,0)),"CHECK"))</f>
        <v>Credit Card</v>
      </c>
      <c r="AG619" s="7" t="str">
        <f aca="false">IF(LEFT(LOWER(TRIM(L619)),6)="cancel","Cancelled","Delivered")</f>
        <v>Delivered</v>
      </c>
      <c r="AH619" s="10" t="n">
        <f aca="false">IF(ISNUMBER(SEARCH("/",B619)),DATE(VALUE(RIGHT(B619,4)),VALUE(MID(B619,4,2)),VALUE(LEFT(B619,2))),IF(MID(B619,5,1)="-",DATE(VALUE(LEFT(B619,4)),VALUE(MID(B619,6,2)),VALUE(RIGHT(B619,2))),DATE(VALUE(RIGHT(B619,4)),MATCH(MID(B619,4,3),{"Jan","Feb","Mar","Apr","May","Jun","Jul","Aug","Sep","Oct","Nov","Dec"},0),VALUE(LEFT(B619,2)))))</f>
        <v>45686</v>
      </c>
    </row>
    <row r="620" customFormat="false" ht="15" hidden="false" customHeight="false" outlineLevel="0" collapsed="false">
      <c r="A620" s="7" t="s">
        <v>2178</v>
      </c>
      <c r="B620" s="7" t="s">
        <v>1329</v>
      </c>
      <c r="C620" s="7" t="s">
        <v>1219</v>
      </c>
      <c r="D620" s="7" t="s">
        <v>2179</v>
      </c>
      <c r="E620" s="7" t="s">
        <v>126</v>
      </c>
      <c r="F620" s="7" t="s">
        <v>498</v>
      </c>
      <c r="G620" s="7" t="s">
        <v>105</v>
      </c>
      <c r="H620" s="7" t="n">
        <v>3</v>
      </c>
      <c r="I620" s="7" t="n">
        <v>165</v>
      </c>
      <c r="J620" s="7" t="n">
        <v>0</v>
      </c>
      <c r="K620" s="7" t="s">
        <v>88</v>
      </c>
      <c r="L620" s="7" t="s">
        <v>194</v>
      </c>
      <c r="M620" s="7" t="n">
        <v>40</v>
      </c>
      <c r="N620" s="7" t="n">
        <v>4</v>
      </c>
      <c r="O620" s="7" t="str">
        <f aca="false">A620&amp;"|"&amp;B620&amp;"|"&amp;C620&amp;"|"&amp;D620&amp;"|"&amp;E620&amp;"|"&amp;F620&amp;"|"&amp;G620&amp;"|"&amp;H620&amp;"|"&amp;I620&amp;"|"&amp;J620&amp;"|"&amp;K620&amp;"|"&amp;L620&amp;"|"&amp;M620&amp;"|"&amp;N620</f>
        <v>ORD11181|2025-05-30|17:07|C0332|Dragon Express|Bombay|Chinese|3|165|0|UPI|Delivered|40|4</v>
      </c>
      <c r="P620" s="7" t="str">
        <f aca="false">IF(COUNTIF($O$2:O620,O620)&gt;1,"DUP","OK")</f>
        <v>OK</v>
      </c>
      <c r="Q620" s="7" t="n">
        <f aca="false">COUNTBLANK(A620:N620)</f>
        <v>0</v>
      </c>
      <c r="R620" s="7" t="n">
        <f aca="false">IF(A620="",0,COUNTIFS($A$2:$A$3058,A620,$P$2:$P$3058,"OK"))</f>
        <v>1</v>
      </c>
      <c r="S620" s="7" t="str">
        <f aca="false">IF(OR(A620="",P620="DUP",R620&lt;2),"",IF(Q620=_xlfn.MINIFS($Q$2:$Q$3058,$A$2:$A$3058,A620,$P$2:$P$3058,"OK"),"KEEP","DROP"))</f>
        <v/>
      </c>
      <c r="T620" s="9" t="n">
        <f aca="false">IF(A620="",1,0)</f>
        <v>0</v>
      </c>
      <c r="U620" s="9" t="n">
        <f aca="false">IF(D620="",1,0)</f>
        <v>0</v>
      </c>
      <c r="V620" s="9" t="n">
        <f aca="false">IF(E620="",1,0)</f>
        <v>0</v>
      </c>
      <c r="W620" s="9" t="n">
        <f aca="false">IF(OR(H620&lt;1,H620&gt;10),1,0)</f>
        <v>0</v>
      </c>
      <c r="X620" s="9" t="n">
        <f aca="false">IF(OR(I620&lt;=0,I620&gt;1500),1,0)</f>
        <v>0</v>
      </c>
      <c r="Y620" s="9" t="n">
        <f aca="false">IF(J620&gt;H620*I620,1,0)</f>
        <v>0</v>
      </c>
      <c r="Z620" s="9" t="n">
        <f aca="false">IF(AND(N620&lt;&gt;"",OR(N620&lt;1,N620&gt;5)),1,0)</f>
        <v>0</v>
      </c>
      <c r="AA620" s="9" t="n">
        <f aca="false">IF(AND(M620&lt;&gt;"",OR(M620&lt;5,M620&gt;180)),1,0)</f>
        <v>0</v>
      </c>
      <c r="AB620" s="7" t="str">
        <f aca="false">IF(P620="DUP","Exact duplicate row",IF(T620=1,"Missing Order ID",IF(S620="DROP","Duplicate Order ID (less complete row)",IF(U620=1,"Missing Customer ID",IF(V620=1,"Missing Restaurant name",IF(W620=1,"Invalid/outlier quantity",IF(X620=1,"Invalid/outlier unit price",IF(Y620=1,"Discount greater than order value",""))))))))</f>
        <v/>
      </c>
      <c r="AC620" s="7" t="str">
        <f aca="false">IF(AB620="","KEEP","DROP")</f>
        <v>KEEP</v>
      </c>
      <c r="AD620" s="7" t="str">
        <f aca="false">IF(TRIM(F620)="",IFERROR(INDEX(Map_Tables!$I$4:$I$37,MATCH(TRIM(E620),Map_Tables!$G$4:$G$37,0)),""),IFERROR(INDEX(Map_Tables!$B$4:$B$18,MATCH(TRIM(F620),Map_Tables!$A$4:$A$18,0)),"CHECK"))</f>
        <v>Mumbai</v>
      </c>
      <c r="AE620" s="7" t="str">
        <f aca="false">IF(TRIM(E620)="","",IFERROR(INDEX(Map_Tables!$H$4:$H$37,MATCH(TRIM(E620),Map_Tables!$G$4:$G$37,0)),"CHECK"))</f>
        <v>Dragon Express</v>
      </c>
      <c r="AF620" s="7" t="str">
        <f aca="false">IF(TRIM(K620)="","Unknown",IFERROR(INDEX(Map_Tables!$E$4:$E$15,MATCH(TRIM(K620),Map_Tables!$D$4:$D$15,0)),"CHECK"))</f>
        <v>UPI</v>
      </c>
      <c r="AG620" s="7" t="str">
        <f aca="false">IF(LEFT(LOWER(TRIM(L620)),6)="cancel","Cancelled","Delivered")</f>
        <v>Delivered</v>
      </c>
      <c r="AH620" s="10" t="n">
        <f aca="false">IF(ISNUMBER(SEARCH("/",B620)),DATE(VALUE(RIGHT(B620,4)),VALUE(MID(B620,4,2)),VALUE(LEFT(B620,2))),IF(MID(B620,5,1)="-",DATE(VALUE(LEFT(B620,4)),VALUE(MID(B620,6,2)),VALUE(RIGHT(B620,2))),DATE(VALUE(RIGHT(B620,4)),MATCH(MID(B620,4,3),{"Jan","Feb","Mar","Apr","May","Jun","Jul","Aug","Sep","Oct","Nov","Dec"},0),VALUE(LEFT(B620,2)))))</f>
        <v>45807</v>
      </c>
    </row>
    <row r="621" customFormat="false" ht="15" hidden="false" customHeight="false" outlineLevel="0" collapsed="false">
      <c r="A621" s="7" t="s">
        <v>2180</v>
      </c>
      <c r="B621" s="7" t="s">
        <v>2026</v>
      </c>
      <c r="C621" s="7" t="s">
        <v>724</v>
      </c>
      <c r="D621" s="7" t="s">
        <v>1878</v>
      </c>
      <c r="E621" s="7" t="s">
        <v>148</v>
      </c>
      <c r="F621" s="7" t="s">
        <v>119</v>
      </c>
      <c r="G621" s="7" t="s">
        <v>123</v>
      </c>
      <c r="H621" s="7" t="n">
        <v>3</v>
      </c>
      <c r="I621" s="7" t="n">
        <v>340</v>
      </c>
      <c r="J621" s="7" t="n">
        <v>75</v>
      </c>
      <c r="K621" s="7" t="s">
        <v>88</v>
      </c>
      <c r="L621" s="7" t="s">
        <v>194</v>
      </c>
      <c r="M621" s="7" t="n">
        <v>33</v>
      </c>
      <c r="N621" s="7" t="n">
        <v>5</v>
      </c>
      <c r="O621" s="7" t="str">
        <f aca="false">A621&amp;"|"&amp;B621&amp;"|"&amp;C621&amp;"|"&amp;D621&amp;"|"&amp;E621&amp;"|"&amp;F621&amp;"|"&amp;G621&amp;"|"&amp;H621&amp;"|"&amp;I621&amp;"|"&amp;J621&amp;"|"&amp;K621&amp;"|"&amp;L621&amp;"|"&amp;M621&amp;"|"&amp;N621</f>
        <v>ORD12699|2025-11-28|19:01|C0020|Pizza Palace|Hyderabad|Pizza|3|340|75|UPI|Delivered|33|5</v>
      </c>
      <c r="P621" s="7" t="str">
        <f aca="false">IF(COUNTIF($O$2:O621,O621)&gt;1,"DUP","OK")</f>
        <v>OK</v>
      </c>
      <c r="Q621" s="7" t="n">
        <f aca="false">COUNTBLANK(A621:N621)</f>
        <v>0</v>
      </c>
      <c r="R621" s="7" t="n">
        <f aca="false">IF(A621="",0,COUNTIFS($A$2:$A$3058,A621,$P$2:$P$3058,"OK"))</f>
        <v>1</v>
      </c>
      <c r="S621" s="7" t="str">
        <f aca="false">IF(OR(A621="",P621="DUP",R621&lt;2),"",IF(Q621=_xlfn.MINIFS($Q$2:$Q$3058,$A$2:$A$3058,A621,$P$2:$P$3058,"OK"),"KEEP","DROP"))</f>
        <v/>
      </c>
      <c r="T621" s="9" t="n">
        <f aca="false">IF(A621="",1,0)</f>
        <v>0</v>
      </c>
      <c r="U621" s="9" t="n">
        <f aca="false">IF(D621="",1,0)</f>
        <v>0</v>
      </c>
      <c r="V621" s="9" t="n">
        <f aca="false">IF(E621="",1,0)</f>
        <v>0</v>
      </c>
      <c r="W621" s="9" t="n">
        <f aca="false">IF(OR(H621&lt;1,H621&gt;10),1,0)</f>
        <v>0</v>
      </c>
      <c r="X621" s="9" t="n">
        <f aca="false">IF(OR(I621&lt;=0,I621&gt;1500),1,0)</f>
        <v>0</v>
      </c>
      <c r="Y621" s="9" t="n">
        <f aca="false">IF(J621&gt;H621*I621,1,0)</f>
        <v>0</v>
      </c>
      <c r="Z621" s="9" t="n">
        <f aca="false">IF(AND(N621&lt;&gt;"",OR(N621&lt;1,N621&gt;5)),1,0)</f>
        <v>0</v>
      </c>
      <c r="AA621" s="9" t="n">
        <f aca="false">IF(AND(M621&lt;&gt;"",OR(M621&lt;5,M621&gt;180)),1,0)</f>
        <v>0</v>
      </c>
      <c r="AB621" s="7" t="str">
        <f aca="false">IF(P621="DUP","Exact duplicate row",IF(T621=1,"Missing Order ID",IF(S621="DROP","Duplicate Order ID (less complete row)",IF(U621=1,"Missing Customer ID",IF(V621=1,"Missing Restaurant name",IF(W621=1,"Invalid/outlier quantity",IF(X621=1,"Invalid/outlier unit price",IF(Y621=1,"Discount greater than order value",""))))))))</f>
        <v/>
      </c>
      <c r="AC621" s="7" t="str">
        <f aca="false">IF(AB621="","KEEP","DROP")</f>
        <v>KEEP</v>
      </c>
      <c r="AD621" s="7" t="str">
        <f aca="false">IF(TRIM(F621)="",IFERROR(INDEX(Map_Tables!$I$4:$I$37,MATCH(TRIM(E621),Map_Tables!$G$4:$G$37,0)),""),IFERROR(INDEX(Map_Tables!$B$4:$B$18,MATCH(TRIM(F621),Map_Tables!$A$4:$A$18,0)),"CHECK"))</f>
        <v>Hyderabad</v>
      </c>
      <c r="AE621" s="7" t="str">
        <f aca="false">IF(TRIM(E621)="","",IFERROR(INDEX(Map_Tables!$H$4:$H$37,MATCH(TRIM(E621),Map_Tables!$G$4:$G$37,0)),"CHECK"))</f>
        <v>Pizza Palace</v>
      </c>
      <c r="AF621" s="7" t="str">
        <f aca="false">IF(TRIM(K621)="","Unknown",IFERROR(INDEX(Map_Tables!$E$4:$E$15,MATCH(TRIM(K621),Map_Tables!$D$4:$D$15,0)),"CHECK"))</f>
        <v>UPI</v>
      </c>
      <c r="AG621" s="7" t="str">
        <f aca="false">IF(LEFT(LOWER(TRIM(L621)),6)="cancel","Cancelled","Delivered")</f>
        <v>Delivered</v>
      </c>
      <c r="AH621" s="10" t="n">
        <f aca="false">IF(ISNUMBER(SEARCH("/",B621)),DATE(VALUE(RIGHT(B621,4)),VALUE(MID(B621,4,2)),VALUE(LEFT(B621,2))),IF(MID(B621,5,1)="-",DATE(VALUE(LEFT(B621,4)),VALUE(MID(B621,6,2)),VALUE(RIGHT(B621,2))),DATE(VALUE(RIGHT(B621,4)),MATCH(MID(B621,4,3),{"Jan","Feb","Mar","Apr","May","Jun","Jul","Aug","Sep","Oct","Nov","Dec"},0),VALUE(LEFT(B621,2)))))</f>
        <v>45989</v>
      </c>
    </row>
    <row r="622" customFormat="false" ht="15" hidden="false" customHeight="false" outlineLevel="0" collapsed="false">
      <c r="A622" s="7" t="s">
        <v>2181</v>
      </c>
      <c r="B622" s="7" t="s">
        <v>2182</v>
      </c>
      <c r="C622" s="7" t="s">
        <v>419</v>
      </c>
      <c r="D622" s="7" t="s">
        <v>2183</v>
      </c>
      <c r="E622" s="7" t="s">
        <v>158</v>
      </c>
      <c r="F622" s="7" t="s">
        <v>136</v>
      </c>
      <c r="G622" s="7" t="s">
        <v>139</v>
      </c>
      <c r="H622" s="7" t="n">
        <v>2</v>
      </c>
      <c r="I622" s="7" t="n">
        <v>190</v>
      </c>
      <c r="J622" s="7" t="n">
        <v>0</v>
      </c>
      <c r="K622" s="7" t="s">
        <v>88</v>
      </c>
      <c r="L622" s="7" t="s">
        <v>194</v>
      </c>
      <c r="M622" s="7" t="n">
        <v>24</v>
      </c>
      <c r="N622" s="7" t="n">
        <v>2</v>
      </c>
      <c r="O622" s="7" t="str">
        <f aca="false">A622&amp;"|"&amp;B622&amp;"|"&amp;C622&amp;"|"&amp;D622&amp;"|"&amp;E622&amp;"|"&amp;F622&amp;"|"&amp;G622&amp;"|"&amp;H622&amp;"|"&amp;I622&amp;"|"&amp;J622&amp;"|"&amp;K622&amp;"|"&amp;L622&amp;"|"&amp;M622&amp;"|"&amp;N622</f>
        <v>ORD11748|2025-08-17|10:45|C0844|Pune Burger Hub|Pune|Burgers|2|190|0|UPI|Delivered|24|2</v>
      </c>
      <c r="P622" s="7" t="str">
        <f aca="false">IF(COUNTIF($O$2:O622,O622)&gt;1,"DUP","OK")</f>
        <v>OK</v>
      </c>
      <c r="Q622" s="7" t="n">
        <f aca="false">COUNTBLANK(A622:N622)</f>
        <v>0</v>
      </c>
      <c r="R622" s="7" t="n">
        <f aca="false">IF(A622="",0,COUNTIFS($A$2:$A$3058,A622,$P$2:$P$3058,"OK"))</f>
        <v>1</v>
      </c>
      <c r="S622" s="7" t="str">
        <f aca="false">IF(OR(A622="",P622="DUP",R622&lt;2),"",IF(Q622=_xlfn.MINIFS($Q$2:$Q$3058,$A$2:$A$3058,A622,$P$2:$P$3058,"OK"),"KEEP","DROP"))</f>
        <v/>
      </c>
      <c r="T622" s="9" t="n">
        <f aca="false">IF(A622="",1,0)</f>
        <v>0</v>
      </c>
      <c r="U622" s="9" t="n">
        <f aca="false">IF(D622="",1,0)</f>
        <v>0</v>
      </c>
      <c r="V622" s="9" t="n">
        <f aca="false">IF(E622="",1,0)</f>
        <v>0</v>
      </c>
      <c r="W622" s="9" t="n">
        <f aca="false">IF(OR(H622&lt;1,H622&gt;10),1,0)</f>
        <v>0</v>
      </c>
      <c r="X622" s="9" t="n">
        <f aca="false">IF(OR(I622&lt;=0,I622&gt;1500),1,0)</f>
        <v>0</v>
      </c>
      <c r="Y622" s="9" t="n">
        <f aca="false">IF(J622&gt;H622*I622,1,0)</f>
        <v>0</v>
      </c>
      <c r="Z622" s="9" t="n">
        <f aca="false">IF(AND(N622&lt;&gt;"",OR(N622&lt;1,N622&gt;5)),1,0)</f>
        <v>0</v>
      </c>
      <c r="AA622" s="9" t="n">
        <f aca="false">IF(AND(M622&lt;&gt;"",OR(M622&lt;5,M622&gt;180)),1,0)</f>
        <v>0</v>
      </c>
      <c r="AB622" s="7" t="str">
        <f aca="false">IF(P622="DUP","Exact duplicate row",IF(T622=1,"Missing Order ID",IF(S622="DROP","Duplicate Order ID (less complete row)",IF(U622=1,"Missing Customer ID",IF(V622=1,"Missing Restaurant name",IF(W622=1,"Invalid/outlier quantity",IF(X622=1,"Invalid/outlier unit price",IF(Y622=1,"Discount greater than order value",""))))))))</f>
        <v/>
      </c>
      <c r="AC622" s="7" t="str">
        <f aca="false">IF(AB622="","KEEP","DROP")</f>
        <v>KEEP</v>
      </c>
      <c r="AD622" s="7" t="str">
        <f aca="false">IF(TRIM(F622)="",IFERROR(INDEX(Map_Tables!$I$4:$I$37,MATCH(TRIM(E622),Map_Tables!$G$4:$G$37,0)),""),IFERROR(INDEX(Map_Tables!$B$4:$B$18,MATCH(TRIM(F622),Map_Tables!$A$4:$A$18,0)),"CHECK"))</f>
        <v>Pune</v>
      </c>
      <c r="AE622" s="7" t="str">
        <f aca="false">IF(TRIM(E622)="","",IFERROR(INDEX(Map_Tables!$H$4:$H$37,MATCH(TRIM(E622),Map_Tables!$G$4:$G$37,0)),"CHECK"))</f>
        <v>Pune Burger Hub</v>
      </c>
      <c r="AF622" s="7" t="str">
        <f aca="false">IF(TRIM(K622)="","Unknown",IFERROR(INDEX(Map_Tables!$E$4:$E$15,MATCH(TRIM(K622),Map_Tables!$D$4:$D$15,0)),"CHECK"))</f>
        <v>UPI</v>
      </c>
      <c r="AG622" s="7" t="str">
        <f aca="false">IF(LEFT(LOWER(TRIM(L622)),6)="cancel","Cancelled","Delivered")</f>
        <v>Delivered</v>
      </c>
      <c r="AH622" s="10" t="n">
        <f aca="false">IF(ISNUMBER(SEARCH("/",B622)),DATE(VALUE(RIGHT(B622,4)),VALUE(MID(B622,4,2)),VALUE(LEFT(B622,2))),IF(MID(B622,5,1)="-",DATE(VALUE(LEFT(B622,4)),VALUE(MID(B622,6,2)),VALUE(RIGHT(B622,2))),DATE(VALUE(RIGHT(B622,4)),MATCH(MID(B622,4,3),{"Jan","Feb","Mar","Apr","May","Jun","Jul","Aug","Sep","Oct","Nov","Dec"},0),VALUE(LEFT(B622,2)))))</f>
        <v>45886</v>
      </c>
    </row>
    <row r="623" customFormat="false" ht="15" hidden="false" customHeight="false" outlineLevel="0" collapsed="false">
      <c r="A623" s="7" t="s">
        <v>2184</v>
      </c>
      <c r="B623" s="7" t="s">
        <v>995</v>
      </c>
      <c r="C623" s="7" t="s">
        <v>2185</v>
      </c>
      <c r="D623" s="7" t="s">
        <v>744</v>
      </c>
      <c r="E623" s="7" t="s">
        <v>130</v>
      </c>
      <c r="F623" s="7"/>
      <c r="G623" s="7" t="s">
        <v>90</v>
      </c>
      <c r="H623" s="7" t="n">
        <v>1</v>
      </c>
      <c r="I623" s="7" t="n">
        <v>250</v>
      </c>
      <c r="J623" s="7" t="n">
        <v>100</v>
      </c>
      <c r="K623" s="7" t="s">
        <v>112</v>
      </c>
      <c r="L623" s="7" t="s">
        <v>238</v>
      </c>
      <c r="M623" s="7"/>
      <c r="N623" s="7"/>
      <c r="O623" s="7" t="str">
        <f aca="false">A623&amp;"|"&amp;B623&amp;"|"&amp;C623&amp;"|"&amp;D623&amp;"|"&amp;E623&amp;"|"&amp;F623&amp;"|"&amp;G623&amp;"|"&amp;H623&amp;"|"&amp;I623&amp;"|"&amp;J623&amp;"|"&amp;K623&amp;"|"&amp;L623&amp;"|"&amp;M623&amp;"|"&amp;N623</f>
        <v>ORD10342|2025-02-15|17:44|C1096|Tandoor Tales||North Indian|1|250|100|Cash on Delivery|Cancelled||</v>
      </c>
      <c r="P623" s="7" t="str">
        <f aca="false">IF(COUNTIF($O$2:O623,O623)&gt;1,"DUP","OK")</f>
        <v>OK</v>
      </c>
      <c r="Q623" s="7" t="n">
        <f aca="false">COUNTBLANK(A623:N623)</f>
        <v>3</v>
      </c>
      <c r="R623" s="7" t="n">
        <f aca="false">IF(A623="",0,COUNTIFS($A$2:$A$3058,A623,$P$2:$P$3058,"OK"))</f>
        <v>1</v>
      </c>
      <c r="S623" s="7" t="str">
        <f aca="false">IF(OR(A623="",P623="DUP",R623&lt;2),"",IF(Q623=_xlfn.MINIFS($Q$2:$Q$3058,$A$2:$A$3058,A623,$P$2:$P$3058,"OK"),"KEEP","DROP"))</f>
        <v/>
      </c>
      <c r="T623" s="9" t="n">
        <f aca="false">IF(A623="",1,0)</f>
        <v>0</v>
      </c>
      <c r="U623" s="9" t="n">
        <f aca="false">IF(D623="",1,0)</f>
        <v>0</v>
      </c>
      <c r="V623" s="9" t="n">
        <f aca="false">IF(E623="",1,0)</f>
        <v>0</v>
      </c>
      <c r="W623" s="9" t="n">
        <f aca="false">IF(OR(H623&lt;1,H623&gt;10),1,0)</f>
        <v>0</v>
      </c>
      <c r="X623" s="9" t="n">
        <f aca="false">IF(OR(I623&lt;=0,I623&gt;1500),1,0)</f>
        <v>0</v>
      </c>
      <c r="Y623" s="9" t="n">
        <f aca="false">IF(J623&gt;H623*I623,1,0)</f>
        <v>0</v>
      </c>
      <c r="Z623" s="9" t="n">
        <f aca="false">IF(AND(N623&lt;&gt;"",OR(N623&lt;1,N623&gt;5)),1,0)</f>
        <v>0</v>
      </c>
      <c r="AA623" s="9" t="n">
        <f aca="false">IF(AND(M623&lt;&gt;"",OR(M623&lt;5,M623&gt;180)),1,0)</f>
        <v>0</v>
      </c>
      <c r="AB623" s="7" t="str">
        <f aca="false">IF(P623="DUP","Exact duplicate row",IF(T623=1,"Missing Order ID",IF(S623="DROP","Duplicate Order ID (less complete row)",IF(U623=1,"Missing Customer ID",IF(V623=1,"Missing Restaurant name",IF(W623=1,"Invalid/outlier quantity",IF(X623=1,"Invalid/outlier unit price",IF(Y623=1,"Discount greater than order value",""))))))))</f>
        <v/>
      </c>
      <c r="AC623" s="7" t="str">
        <f aca="false">IF(AB623="","KEEP","DROP")</f>
        <v>KEEP</v>
      </c>
      <c r="AD623" s="7" t="str">
        <f aca="false">IF(TRIM(F623)="",IFERROR(INDEX(Map_Tables!$I$4:$I$37,MATCH(TRIM(E623),Map_Tables!$G$4:$G$37,0)),""),IFERROR(INDEX(Map_Tables!$B$4:$B$18,MATCH(TRIM(F623),Map_Tables!$A$4:$A$18,0)),"CHECK"))</f>
        <v>Delhi</v>
      </c>
      <c r="AE623" s="7" t="str">
        <f aca="false">IF(TRIM(E623)="","",IFERROR(INDEX(Map_Tables!$H$4:$H$37,MATCH(TRIM(E623),Map_Tables!$G$4:$G$37,0)),"CHECK"))</f>
        <v>Tandoor Tales</v>
      </c>
      <c r="AF623" s="7" t="str">
        <f aca="false">IF(TRIM(K623)="","Unknown",IFERROR(INDEX(Map_Tables!$E$4:$E$15,MATCH(TRIM(K623),Map_Tables!$D$4:$D$15,0)),"CHECK"))</f>
        <v>Cash on Delivery</v>
      </c>
      <c r="AG623" s="7" t="str">
        <f aca="false">IF(LEFT(LOWER(TRIM(L623)),6)="cancel","Cancelled","Delivered")</f>
        <v>Cancelled</v>
      </c>
      <c r="AH623" s="10" t="n">
        <f aca="false">IF(ISNUMBER(SEARCH("/",B623)),DATE(VALUE(RIGHT(B623,4)),VALUE(MID(B623,4,2)),VALUE(LEFT(B623,2))),IF(MID(B623,5,1)="-",DATE(VALUE(LEFT(B623,4)),VALUE(MID(B623,6,2)),VALUE(RIGHT(B623,2))),DATE(VALUE(RIGHT(B623,4)),MATCH(MID(B623,4,3),{"Jan","Feb","Mar","Apr","May","Jun","Jul","Aug","Sep","Oct","Nov","Dec"},0),VALUE(LEFT(B623,2)))))</f>
        <v>45703</v>
      </c>
    </row>
    <row r="624" customFormat="false" ht="15" hidden="false" customHeight="false" outlineLevel="0" collapsed="false">
      <c r="A624" s="7" t="s">
        <v>2186</v>
      </c>
      <c r="B624" s="7" t="s">
        <v>1309</v>
      </c>
      <c r="C624" s="7" t="s">
        <v>2187</v>
      </c>
      <c r="D624" s="7" t="s">
        <v>2188</v>
      </c>
      <c r="E624" s="7" t="s">
        <v>98</v>
      </c>
      <c r="F624" s="7" t="s">
        <v>86</v>
      </c>
      <c r="G624" s="7" t="s">
        <v>99</v>
      </c>
      <c r="H624" s="7" t="n">
        <v>1</v>
      </c>
      <c r="I624" s="7" t="n">
        <v>290</v>
      </c>
      <c r="J624" s="7" t="n">
        <v>0</v>
      </c>
      <c r="K624" s="7" t="s">
        <v>93</v>
      </c>
      <c r="L624" s="7" t="s">
        <v>194</v>
      </c>
      <c r="M624" s="7" t="n">
        <v>44</v>
      </c>
      <c r="N624" s="7" t="n">
        <v>5</v>
      </c>
      <c r="O624" s="7" t="str">
        <f aca="false">A624&amp;"|"&amp;B624&amp;"|"&amp;C624&amp;"|"&amp;D624&amp;"|"&amp;E624&amp;"|"&amp;F624&amp;"|"&amp;G624&amp;"|"&amp;H624&amp;"|"&amp;I624&amp;"|"&amp;J624&amp;"|"&amp;K624&amp;"|"&amp;L624&amp;"|"&amp;M624&amp;"|"&amp;N624</f>
        <v>ORD10148|2025-01-20|09:20|C0323|Nawabi Biryani House|Bengaluru|Biryani|1|290|0|Credit Card|Delivered|44|5</v>
      </c>
      <c r="P624" s="7" t="str">
        <f aca="false">IF(COUNTIF($O$2:O624,O624)&gt;1,"DUP","OK")</f>
        <v>OK</v>
      </c>
      <c r="Q624" s="7" t="n">
        <f aca="false">COUNTBLANK(A624:N624)</f>
        <v>0</v>
      </c>
      <c r="R624" s="7" t="n">
        <f aca="false">IF(A624="",0,COUNTIFS($A$2:$A$3058,A624,$P$2:$P$3058,"OK"))</f>
        <v>1</v>
      </c>
      <c r="S624" s="7" t="str">
        <f aca="false">IF(OR(A624="",P624="DUP",R624&lt;2),"",IF(Q624=_xlfn.MINIFS($Q$2:$Q$3058,$A$2:$A$3058,A624,$P$2:$P$3058,"OK"),"KEEP","DROP"))</f>
        <v/>
      </c>
      <c r="T624" s="9" t="n">
        <f aca="false">IF(A624="",1,0)</f>
        <v>0</v>
      </c>
      <c r="U624" s="9" t="n">
        <f aca="false">IF(D624="",1,0)</f>
        <v>0</v>
      </c>
      <c r="V624" s="9" t="n">
        <f aca="false">IF(E624="",1,0)</f>
        <v>0</v>
      </c>
      <c r="W624" s="9" t="n">
        <f aca="false">IF(OR(H624&lt;1,H624&gt;10),1,0)</f>
        <v>0</v>
      </c>
      <c r="X624" s="9" t="n">
        <f aca="false">IF(OR(I624&lt;=0,I624&gt;1500),1,0)</f>
        <v>0</v>
      </c>
      <c r="Y624" s="9" t="n">
        <f aca="false">IF(J624&gt;H624*I624,1,0)</f>
        <v>0</v>
      </c>
      <c r="Z624" s="9" t="n">
        <f aca="false">IF(AND(N624&lt;&gt;"",OR(N624&lt;1,N624&gt;5)),1,0)</f>
        <v>0</v>
      </c>
      <c r="AA624" s="9" t="n">
        <f aca="false">IF(AND(M624&lt;&gt;"",OR(M624&lt;5,M624&gt;180)),1,0)</f>
        <v>0</v>
      </c>
      <c r="AB624" s="7" t="str">
        <f aca="false">IF(P624="DUP","Exact duplicate row",IF(T624=1,"Missing Order ID",IF(S624="DROP","Duplicate Order ID (less complete row)",IF(U624=1,"Missing Customer ID",IF(V624=1,"Missing Restaurant name",IF(W624=1,"Invalid/outlier quantity",IF(X624=1,"Invalid/outlier unit price",IF(Y624=1,"Discount greater than order value",""))))))))</f>
        <v/>
      </c>
      <c r="AC624" s="7" t="str">
        <f aca="false">IF(AB624="","KEEP","DROP")</f>
        <v>KEEP</v>
      </c>
      <c r="AD624" s="7" t="str">
        <f aca="false">IF(TRIM(F624)="",IFERROR(INDEX(Map_Tables!$I$4:$I$37,MATCH(TRIM(E624),Map_Tables!$G$4:$G$37,0)),""),IFERROR(INDEX(Map_Tables!$B$4:$B$18,MATCH(TRIM(F624),Map_Tables!$A$4:$A$18,0)),"CHECK"))</f>
        <v>Bengaluru</v>
      </c>
      <c r="AE624" s="7" t="str">
        <f aca="false">IF(TRIM(E624)="","",IFERROR(INDEX(Map_Tables!$H$4:$H$37,MATCH(TRIM(E624),Map_Tables!$G$4:$G$37,0)),"CHECK"))</f>
        <v>Nawabi Biryani House</v>
      </c>
      <c r="AF624" s="7" t="str">
        <f aca="false">IF(TRIM(K624)="","Unknown",IFERROR(INDEX(Map_Tables!$E$4:$E$15,MATCH(TRIM(K624),Map_Tables!$D$4:$D$15,0)),"CHECK"))</f>
        <v>Credit Card</v>
      </c>
      <c r="AG624" s="7" t="str">
        <f aca="false">IF(LEFT(LOWER(TRIM(L624)),6)="cancel","Cancelled","Delivered")</f>
        <v>Delivered</v>
      </c>
      <c r="AH624" s="10" t="n">
        <f aca="false">IF(ISNUMBER(SEARCH("/",B624)),DATE(VALUE(RIGHT(B624,4)),VALUE(MID(B624,4,2)),VALUE(LEFT(B624,2))),IF(MID(B624,5,1)="-",DATE(VALUE(LEFT(B624,4)),VALUE(MID(B624,6,2)),VALUE(RIGHT(B624,2))),DATE(VALUE(RIGHT(B624,4)),MATCH(MID(B624,4,3),{"Jan","Feb","Mar","Apr","May","Jun","Jul","Aug","Sep","Oct","Nov","Dec"},0),VALUE(LEFT(B624,2)))))</f>
        <v>45677</v>
      </c>
    </row>
    <row r="625" customFormat="false" ht="15" hidden="false" customHeight="false" outlineLevel="0" collapsed="false">
      <c r="A625" s="7" t="s">
        <v>2189</v>
      </c>
      <c r="B625" s="7" t="s">
        <v>2190</v>
      </c>
      <c r="C625" s="7" t="s">
        <v>2191</v>
      </c>
      <c r="D625" s="7" t="s">
        <v>2192</v>
      </c>
      <c r="E625" s="7" t="s">
        <v>154</v>
      </c>
      <c r="F625" s="7" t="s">
        <v>702</v>
      </c>
      <c r="G625" s="7" t="s">
        <v>99</v>
      </c>
      <c r="H625" s="7" t="n">
        <v>2</v>
      </c>
      <c r="I625" s="7" t="n">
        <v>210</v>
      </c>
      <c r="J625" s="7" t="n">
        <v>0</v>
      </c>
      <c r="K625" s="7" t="s">
        <v>112</v>
      </c>
      <c r="L625" s="7" t="s">
        <v>194</v>
      </c>
      <c r="M625" s="7" t="n">
        <v>28</v>
      </c>
      <c r="N625" s="7" t="n">
        <v>4</v>
      </c>
      <c r="O625" s="7" t="str">
        <f aca="false">A625&amp;"|"&amp;B625&amp;"|"&amp;C625&amp;"|"&amp;D625&amp;"|"&amp;E625&amp;"|"&amp;F625&amp;"|"&amp;G625&amp;"|"&amp;H625&amp;"|"&amp;I625&amp;"|"&amp;J625&amp;"|"&amp;K625&amp;"|"&amp;L625&amp;"|"&amp;M625&amp;"|"&amp;N625</f>
        <v>ORD11674|2025-08-07|00:05|C0580|Madras Biryani Co|CHENNAI |Biryani|2|210|0|Cash on Delivery|Delivered|28|4</v>
      </c>
      <c r="P625" s="7" t="str">
        <f aca="false">IF(COUNTIF($O$2:O625,O625)&gt;1,"DUP","OK")</f>
        <v>OK</v>
      </c>
      <c r="Q625" s="7" t="n">
        <f aca="false">COUNTBLANK(A625:N625)</f>
        <v>0</v>
      </c>
      <c r="R625" s="7" t="n">
        <f aca="false">IF(A625="",0,COUNTIFS($A$2:$A$3058,A625,$P$2:$P$3058,"OK"))</f>
        <v>1</v>
      </c>
      <c r="S625" s="7" t="str">
        <f aca="false">IF(OR(A625="",P625="DUP",R625&lt;2),"",IF(Q625=_xlfn.MINIFS($Q$2:$Q$3058,$A$2:$A$3058,A625,$P$2:$P$3058,"OK"),"KEEP","DROP"))</f>
        <v/>
      </c>
      <c r="T625" s="9" t="n">
        <f aca="false">IF(A625="",1,0)</f>
        <v>0</v>
      </c>
      <c r="U625" s="9" t="n">
        <f aca="false">IF(D625="",1,0)</f>
        <v>0</v>
      </c>
      <c r="V625" s="9" t="n">
        <f aca="false">IF(E625="",1,0)</f>
        <v>0</v>
      </c>
      <c r="W625" s="9" t="n">
        <f aca="false">IF(OR(H625&lt;1,H625&gt;10),1,0)</f>
        <v>0</v>
      </c>
      <c r="X625" s="9" t="n">
        <f aca="false">IF(OR(I625&lt;=0,I625&gt;1500),1,0)</f>
        <v>0</v>
      </c>
      <c r="Y625" s="9" t="n">
        <f aca="false">IF(J625&gt;H625*I625,1,0)</f>
        <v>0</v>
      </c>
      <c r="Z625" s="9" t="n">
        <f aca="false">IF(AND(N625&lt;&gt;"",OR(N625&lt;1,N625&gt;5)),1,0)</f>
        <v>0</v>
      </c>
      <c r="AA625" s="9" t="n">
        <f aca="false">IF(AND(M625&lt;&gt;"",OR(M625&lt;5,M625&gt;180)),1,0)</f>
        <v>0</v>
      </c>
      <c r="AB625" s="7" t="str">
        <f aca="false">IF(P625="DUP","Exact duplicate row",IF(T625=1,"Missing Order ID",IF(S625="DROP","Duplicate Order ID (less complete row)",IF(U625=1,"Missing Customer ID",IF(V625=1,"Missing Restaurant name",IF(W625=1,"Invalid/outlier quantity",IF(X625=1,"Invalid/outlier unit price",IF(Y625=1,"Discount greater than order value",""))))))))</f>
        <v/>
      </c>
      <c r="AC625" s="7" t="str">
        <f aca="false">IF(AB625="","KEEP","DROP")</f>
        <v>KEEP</v>
      </c>
      <c r="AD625" s="7" t="str">
        <f aca="false">IF(TRIM(F625)="",IFERROR(INDEX(Map_Tables!$I$4:$I$37,MATCH(TRIM(E625),Map_Tables!$G$4:$G$37,0)),""),IFERROR(INDEX(Map_Tables!$B$4:$B$18,MATCH(TRIM(F625),Map_Tables!$A$4:$A$18,0)),"CHECK"))</f>
        <v>Chennai</v>
      </c>
      <c r="AE625" s="7" t="str">
        <f aca="false">IF(TRIM(E625)="","",IFERROR(INDEX(Map_Tables!$H$4:$H$37,MATCH(TRIM(E625),Map_Tables!$G$4:$G$37,0)),"CHECK"))</f>
        <v>Madras Biryani Co</v>
      </c>
      <c r="AF625" s="7" t="str">
        <f aca="false">IF(TRIM(K625)="","Unknown",IFERROR(INDEX(Map_Tables!$E$4:$E$15,MATCH(TRIM(K625),Map_Tables!$D$4:$D$15,0)),"CHECK"))</f>
        <v>Cash on Delivery</v>
      </c>
      <c r="AG625" s="7" t="str">
        <f aca="false">IF(LEFT(LOWER(TRIM(L625)),6)="cancel","Cancelled","Delivered")</f>
        <v>Delivered</v>
      </c>
      <c r="AH625" s="10" t="n">
        <f aca="false">IF(ISNUMBER(SEARCH("/",B625)),DATE(VALUE(RIGHT(B625,4)),VALUE(MID(B625,4,2)),VALUE(LEFT(B625,2))),IF(MID(B625,5,1)="-",DATE(VALUE(LEFT(B625,4)),VALUE(MID(B625,6,2)),VALUE(RIGHT(B625,2))),DATE(VALUE(RIGHT(B625,4)),MATCH(MID(B625,4,3),{"Jan","Feb","Mar","Apr","May","Jun","Jul","Aug","Sep","Oct","Nov","Dec"},0),VALUE(LEFT(B625,2)))))</f>
        <v>45876</v>
      </c>
    </row>
    <row r="626" customFormat="false" ht="15" hidden="false" customHeight="false" outlineLevel="0" collapsed="false">
      <c r="A626" s="7" t="s">
        <v>2193</v>
      </c>
      <c r="B626" s="7" t="s">
        <v>2194</v>
      </c>
      <c r="C626" s="7" t="s">
        <v>2195</v>
      </c>
      <c r="D626" s="7" t="s">
        <v>1716</v>
      </c>
      <c r="E626" s="7" t="s">
        <v>162</v>
      </c>
      <c r="F626" s="7" t="s">
        <v>141</v>
      </c>
      <c r="G626" s="7" t="s">
        <v>117</v>
      </c>
      <c r="H626" s="7" t="n">
        <v>2</v>
      </c>
      <c r="I626" s="7" t="n">
        <v>115</v>
      </c>
      <c r="J626" s="7" t="n">
        <v>50</v>
      </c>
      <c r="K626" s="7" t="s">
        <v>87</v>
      </c>
      <c r="L626" s="7" t="s">
        <v>194</v>
      </c>
      <c r="M626" s="7" t="n">
        <v>24</v>
      </c>
      <c r="N626" s="7" t="n">
        <v>5</v>
      </c>
      <c r="O626" s="7" t="str">
        <f aca="false">A626&amp;"|"&amp;B626&amp;"|"&amp;C626&amp;"|"&amp;D626&amp;"|"&amp;E626&amp;"|"&amp;F626&amp;"|"&amp;G626&amp;"|"&amp;H626&amp;"|"&amp;I626&amp;"|"&amp;J626&amp;"|"&amp;K626&amp;"|"&amp;L626&amp;"|"&amp;M626&amp;"|"&amp;N626</f>
        <v>ORD12778|2025-12-06|00:32|C0185|Kolkata Roll Centre|Kolkata|Street Food|2|115|50|upi|Delivered|24|5</v>
      </c>
      <c r="P626" s="7" t="str">
        <f aca="false">IF(COUNTIF($O$2:O626,O626)&gt;1,"DUP","OK")</f>
        <v>OK</v>
      </c>
      <c r="Q626" s="7" t="n">
        <f aca="false">COUNTBLANK(A626:N626)</f>
        <v>0</v>
      </c>
      <c r="R626" s="7" t="n">
        <f aca="false">IF(A626="",0,COUNTIFS($A$2:$A$3058,A626,$P$2:$P$3058,"OK"))</f>
        <v>1</v>
      </c>
      <c r="S626" s="7" t="str">
        <f aca="false">IF(OR(A626="",P626="DUP",R626&lt;2),"",IF(Q626=_xlfn.MINIFS($Q$2:$Q$3058,$A$2:$A$3058,A626,$P$2:$P$3058,"OK"),"KEEP","DROP"))</f>
        <v/>
      </c>
      <c r="T626" s="9" t="n">
        <f aca="false">IF(A626="",1,0)</f>
        <v>0</v>
      </c>
      <c r="U626" s="9" t="n">
        <f aca="false">IF(D626="",1,0)</f>
        <v>0</v>
      </c>
      <c r="V626" s="9" t="n">
        <f aca="false">IF(E626="",1,0)</f>
        <v>0</v>
      </c>
      <c r="W626" s="9" t="n">
        <f aca="false">IF(OR(H626&lt;1,H626&gt;10),1,0)</f>
        <v>0</v>
      </c>
      <c r="X626" s="9" t="n">
        <f aca="false">IF(OR(I626&lt;=0,I626&gt;1500),1,0)</f>
        <v>0</v>
      </c>
      <c r="Y626" s="9" t="n">
        <f aca="false">IF(J626&gt;H626*I626,1,0)</f>
        <v>0</v>
      </c>
      <c r="Z626" s="9" t="n">
        <f aca="false">IF(AND(N626&lt;&gt;"",OR(N626&lt;1,N626&gt;5)),1,0)</f>
        <v>0</v>
      </c>
      <c r="AA626" s="9" t="n">
        <f aca="false">IF(AND(M626&lt;&gt;"",OR(M626&lt;5,M626&gt;180)),1,0)</f>
        <v>0</v>
      </c>
      <c r="AB626" s="7" t="str">
        <f aca="false">IF(P626="DUP","Exact duplicate row",IF(T626=1,"Missing Order ID",IF(S626="DROP","Duplicate Order ID (less complete row)",IF(U626=1,"Missing Customer ID",IF(V626=1,"Missing Restaurant name",IF(W626=1,"Invalid/outlier quantity",IF(X626=1,"Invalid/outlier unit price",IF(Y626=1,"Discount greater than order value",""))))))))</f>
        <v/>
      </c>
      <c r="AC626" s="7" t="str">
        <f aca="false">IF(AB626="","KEEP","DROP")</f>
        <v>KEEP</v>
      </c>
      <c r="AD626" s="7" t="str">
        <f aca="false">IF(TRIM(F626)="",IFERROR(INDEX(Map_Tables!$I$4:$I$37,MATCH(TRIM(E626),Map_Tables!$G$4:$G$37,0)),""),IFERROR(INDEX(Map_Tables!$B$4:$B$18,MATCH(TRIM(F626),Map_Tables!$A$4:$A$18,0)),"CHECK"))</f>
        <v>Kolkata</v>
      </c>
      <c r="AE626" s="7" t="str">
        <f aca="false">IF(TRIM(E626)="","",IFERROR(INDEX(Map_Tables!$H$4:$H$37,MATCH(TRIM(E626),Map_Tables!$G$4:$G$37,0)),"CHECK"))</f>
        <v>Kolkata Roll Centre</v>
      </c>
      <c r="AF626" s="7" t="str">
        <f aca="false">IF(TRIM(K626)="","Unknown",IFERROR(INDEX(Map_Tables!$E$4:$E$15,MATCH(TRIM(K626),Map_Tables!$D$4:$D$15,0)),"CHECK"))</f>
        <v>UPI</v>
      </c>
      <c r="AG626" s="7" t="str">
        <f aca="false">IF(LEFT(LOWER(TRIM(L626)),6)="cancel","Cancelled","Delivered")</f>
        <v>Delivered</v>
      </c>
      <c r="AH626" s="10" t="n">
        <f aca="false">IF(ISNUMBER(SEARCH("/",B626)),DATE(VALUE(RIGHT(B626,4)),VALUE(MID(B626,4,2)),VALUE(LEFT(B626,2))),IF(MID(B626,5,1)="-",DATE(VALUE(LEFT(B626,4)),VALUE(MID(B626,6,2)),VALUE(RIGHT(B626,2))),DATE(VALUE(RIGHT(B626,4)),MATCH(MID(B626,4,3),{"Jan","Feb","Mar","Apr","May","Jun","Jul","Aug","Sep","Oct","Nov","Dec"},0),VALUE(LEFT(B626,2)))))</f>
        <v>45997</v>
      </c>
    </row>
    <row r="627" customFormat="false" ht="15" hidden="false" customHeight="false" outlineLevel="0" collapsed="false">
      <c r="A627" s="7" t="s">
        <v>2196</v>
      </c>
      <c r="B627" s="7" t="s">
        <v>943</v>
      </c>
      <c r="C627" s="7" t="s">
        <v>2197</v>
      </c>
      <c r="D627" s="7" t="s">
        <v>2198</v>
      </c>
      <c r="E627" s="7" t="s">
        <v>154</v>
      </c>
      <c r="F627" s="7" t="s">
        <v>128</v>
      </c>
      <c r="G627" s="7" t="s">
        <v>99</v>
      </c>
      <c r="H627" s="7" t="n">
        <v>3</v>
      </c>
      <c r="I627" s="7" t="n">
        <v>250</v>
      </c>
      <c r="J627" s="7" t="n">
        <v>100</v>
      </c>
      <c r="K627" s="7" t="s">
        <v>1739</v>
      </c>
      <c r="L627" s="7" t="s">
        <v>194</v>
      </c>
      <c r="M627" s="7" t="n">
        <v>47</v>
      </c>
      <c r="N627" s="7" t="n">
        <v>5</v>
      </c>
      <c r="O627" s="7" t="str">
        <f aca="false">A627&amp;"|"&amp;B627&amp;"|"&amp;C627&amp;"|"&amp;D627&amp;"|"&amp;E627&amp;"|"&amp;F627&amp;"|"&amp;G627&amp;"|"&amp;H627&amp;"|"&amp;I627&amp;"|"&amp;J627&amp;"|"&amp;K627&amp;"|"&amp;L627&amp;"|"&amp;M627&amp;"|"&amp;N627</f>
        <v>ORD12912|2025-12-22|08:18|C0555|Madras Biryani Co|Chennai|Biryani|3|250|100|CC|Delivered|47|5</v>
      </c>
      <c r="P627" s="7" t="str">
        <f aca="false">IF(COUNTIF($O$2:O627,O627)&gt;1,"DUP","OK")</f>
        <v>OK</v>
      </c>
      <c r="Q627" s="7" t="n">
        <f aca="false">COUNTBLANK(A627:N627)</f>
        <v>0</v>
      </c>
      <c r="R627" s="7" t="n">
        <f aca="false">IF(A627="",0,COUNTIFS($A$2:$A$3058,A627,$P$2:$P$3058,"OK"))</f>
        <v>1</v>
      </c>
      <c r="S627" s="7" t="str">
        <f aca="false">IF(OR(A627="",P627="DUP",R627&lt;2),"",IF(Q627=_xlfn.MINIFS($Q$2:$Q$3058,$A$2:$A$3058,A627,$P$2:$P$3058,"OK"),"KEEP","DROP"))</f>
        <v/>
      </c>
      <c r="T627" s="9" t="n">
        <f aca="false">IF(A627="",1,0)</f>
        <v>0</v>
      </c>
      <c r="U627" s="9" t="n">
        <f aca="false">IF(D627="",1,0)</f>
        <v>0</v>
      </c>
      <c r="V627" s="9" t="n">
        <f aca="false">IF(E627="",1,0)</f>
        <v>0</v>
      </c>
      <c r="W627" s="9" t="n">
        <f aca="false">IF(OR(H627&lt;1,H627&gt;10),1,0)</f>
        <v>0</v>
      </c>
      <c r="X627" s="9" t="n">
        <f aca="false">IF(OR(I627&lt;=0,I627&gt;1500),1,0)</f>
        <v>0</v>
      </c>
      <c r="Y627" s="9" t="n">
        <f aca="false">IF(J627&gt;H627*I627,1,0)</f>
        <v>0</v>
      </c>
      <c r="Z627" s="9" t="n">
        <f aca="false">IF(AND(N627&lt;&gt;"",OR(N627&lt;1,N627&gt;5)),1,0)</f>
        <v>0</v>
      </c>
      <c r="AA627" s="9" t="n">
        <f aca="false">IF(AND(M627&lt;&gt;"",OR(M627&lt;5,M627&gt;180)),1,0)</f>
        <v>0</v>
      </c>
      <c r="AB627" s="7" t="str">
        <f aca="false">IF(P627="DUP","Exact duplicate row",IF(T627=1,"Missing Order ID",IF(S627="DROP","Duplicate Order ID (less complete row)",IF(U627=1,"Missing Customer ID",IF(V627=1,"Missing Restaurant name",IF(W627=1,"Invalid/outlier quantity",IF(X627=1,"Invalid/outlier unit price",IF(Y627=1,"Discount greater than order value",""))))))))</f>
        <v/>
      </c>
      <c r="AC627" s="7" t="str">
        <f aca="false">IF(AB627="","KEEP","DROP")</f>
        <v>KEEP</v>
      </c>
      <c r="AD627" s="7" t="str">
        <f aca="false">IF(TRIM(F627)="",IFERROR(INDEX(Map_Tables!$I$4:$I$37,MATCH(TRIM(E627),Map_Tables!$G$4:$G$37,0)),""),IFERROR(INDEX(Map_Tables!$B$4:$B$18,MATCH(TRIM(F627),Map_Tables!$A$4:$A$18,0)),"CHECK"))</f>
        <v>Chennai</v>
      </c>
      <c r="AE627" s="7" t="str">
        <f aca="false">IF(TRIM(E627)="","",IFERROR(INDEX(Map_Tables!$H$4:$H$37,MATCH(TRIM(E627),Map_Tables!$G$4:$G$37,0)),"CHECK"))</f>
        <v>Madras Biryani Co</v>
      </c>
      <c r="AF627" s="7" t="str">
        <f aca="false">IF(TRIM(K627)="","Unknown",IFERROR(INDEX(Map_Tables!$E$4:$E$15,MATCH(TRIM(K627),Map_Tables!$D$4:$D$15,0)),"CHECK"))</f>
        <v>Credit Card</v>
      </c>
      <c r="AG627" s="7" t="str">
        <f aca="false">IF(LEFT(LOWER(TRIM(L627)),6)="cancel","Cancelled","Delivered")</f>
        <v>Delivered</v>
      </c>
      <c r="AH627" s="10" t="n">
        <f aca="false">IF(ISNUMBER(SEARCH("/",B627)),DATE(VALUE(RIGHT(B627,4)),VALUE(MID(B627,4,2)),VALUE(LEFT(B627,2))),IF(MID(B627,5,1)="-",DATE(VALUE(LEFT(B627,4)),VALUE(MID(B627,6,2)),VALUE(RIGHT(B627,2))),DATE(VALUE(RIGHT(B627,4)),MATCH(MID(B627,4,3),{"Jan","Feb","Mar","Apr","May","Jun","Jul","Aug","Sep","Oct","Nov","Dec"},0),VALUE(LEFT(B627,2)))))</f>
        <v>46013</v>
      </c>
    </row>
    <row r="628" customFormat="false" ht="15" hidden="false" customHeight="false" outlineLevel="0" collapsed="false">
      <c r="A628" s="7" t="s">
        <v>2199</v>
      </c>
      <c r="B628" s="7" t="s">
        <v>955</v>
      </c>
      <c r="C628" s="7" t="s">
        <v>213</v>
      </c>
      <c r="D628" s="7" t="s">
        <v>2200</v>
      </c>
      <c r="E628" s="7" t="s">
        <v>165</v>
      </c>
      <c r="F628" s="7" t="s">
        <v>146</v>
      </c>
      <c r="G628" s="7" t="s">
        <v>90</v>
      </c>
      <c r="H628" s="7" t="n">
        <v>1</v>
      </c>
      <c r="I628" s="7" t="n">
        <v>185</v>
      </c>
      <c r="J628" s="7" t="n">
        <v>0</v>
      </c>
      <c r="K628" s="7" t="s">
        <v>566</v>
      </c>
      <c r="L628" s="7" t="s">
        <v>194</v>
      </c>
      <c r="M628" s="7" t="n">
        <v>31</v>
      </c>
      <c r="N628" s="7" t="n">
        <v>3</v>
      </c>
      <c r="O628" s="7" t="str">
        <f aca="false">A628&amp;"|"&amp;B628&amp;"|"&amp;C628&amp;"|"&amp;D628&amp;"|"&amp;E628&amp;"|"&amp;F628&amp;"|"&amp;G628&amp;"|"&amp;H628&amp;"|"&amp;I628&amp;"|"&amp;J628&amp;"|"&amp;K628&amp;"|"&amp;L628&amp;"|"&amp;M628&amp;"|"&amp;N628</f>
        <v>ORD11449|2025-07-07|20:37|C0303|Gujarati Thali Ghar|Ahmedabad|North Indian|1|185|0|NetBanking|Delivered|31|3</v>
      </c>
      <c r="P628" s="7" t="str">
        <f aca="false">IF(COUNTIF($O$2:O628,O628)&gt;1,"DUP","OK")</f>
        <v>OK</v>
      </c>
      <c r="Q628" s="7" t="n">
        <f aca="false">COUNTBLANK(A628:N628)</f>
        <v>0</v>
      </c>
      <c r="R628" s="7" t="n">
        <f aca="false">IF(A628="",0,COUNTIFS($A$2:$A$3058,A628,$P$2:$P$3058,"OK"))</f>
        <v>1</v>
      </c>
      <c r="S628" s="7" t="str">
        <f aca="false">IF(OR(A628="",P628="DUP",R628&lt;2),"",IF(Q628=_xlfn.MINIFS($Q$2:$Q$3058,$A$2:$A$3058,A628,$P$2:$P$3058,"OK"),"KEEP","DROP"))</f>
        <v/>
      </c>
      <c r="T628" s="9" t="n">
        <f aca="false">IF(A628="",1,0)</f>
        <v>0</v>
      </c>
      <c r="U628" s="9" t="n">
        <f aca="false">IF(D628="",1,0)</f>
        <v>0</v>
      </c>
      <c r="V628" s="9" t="n">
        <f aca="false">IF(E628="",1,0)</f>
        <v>0</v>
      </c>
      <c r="W628" s="9" t="n">
        <f aca="false">IF(OR(H628&lt;1,H628&gt;10),1,0)</f>
        <v>0</v>
      </c>
      <c r="X628" s="9" t="n">
        <f aca="false">IF(OR(I628&lt;=0,I628&gt;1500),1,0)</f>
        <v>0</v>
      </c>
      <c r="Y628" s="9" t="n">
        <f aca="false">IF(J628&gt;H628*I628,1,0)</f>
        <v>0</v>
      </c>
      <c r="Z628" s="9" t="n">
        <f aca="false">IF(AND(N628&lt;&gt;"",OR(N628&lt;1,N628&gt;5)),1,0)</f>
        <v>0</v>
      </c>
      <c r="AA628" s="9" t="n">
        <f aca="false">IF(AND(M628&lt;&gt;"",OR(M628&lt;5,M628&gt;180)),1,0)</f>
        <v>0</v>
      </c>
      <c r="AB628" s="7" t="str">
        <f aca="false">IF(P628="DUP","Exact duplicate row",IF(T628=1,"Missing Order ID",IF(S628="DROP","Duplicate Order ID (less complete row)",IF(U628=1,"Missing Customer ID",IF(V628=1,"Missing Restaurant name",IF(W628=1,"Invalid/outlier quantity",IF(X628=1,"Invalid/outlier unit price",IF(Y628=1,"Discount greater than order value",""))))))))</f>
        <v/>
      </c>
      <c r="AC628" s="7" t="str">
        <f aca="false">IF(AB628="","KEEP","DROP")</f>
        <v>KEEP</v>
      </c>
      <c r="AD628" s="7" t="str">
        <f aca="false">IF(TRIM(F628)="",IFERROR(INDEX(Map_Tables!$I$4:$I$37,MATCH(TRIM(E628),Map_Tables!$G$4:$G$37,0)),""),IFERROR(INDEX(Map_Tables!$B$4:$B$18,MATCH(TRIM(F628),Map_Tables!$A$4:$A$18,0)),"CHECK"))</f>
        <v>Ahmedabad</v>
      </c>
      <c r="AE628" s="7" t="str">
        <f aca="false">IF(TRIM(E628)="","",IFERROR(INDEX(Map_Tables!$H$4:$H$37,MATCH(TRIM(E628),Map_Tables!$G$4:$G$37,0)),"CHECK"))</f>
        <v>Gujarati Thali Ghar</v>
      </c>
      <c r="AF628" s="7" t="str">
        <f aca="false">IF(TRIM(K628)="","Unknown",IFERROR(INDEX(Map_Tables!$E$4:$E$15,MATCH(TRIM(K628),Map_Tables!$D$4:$D$15,0)),"CHECK"))</f>
        <v>Net Banking</v>
      </c>
      <c r="AG628" s="7" t="str">
        <f aca="false">IF(LEFT(LOWER(TRIM(L628)),6)="cancel","Cancelled","Delivered")</f>
        <v>Delivered</v>
      </c>
      <c r="AH628" s="10" t="n">
        <f aca="false">IF(ISNUMBER(SEARCH("/",B628)),DATE(VALUE(RIGHT(B628,4)),VALUE(MID(B628,4,2)),VALUE(LEFT(B628,2))),IF(MID(B628,5,1)="-",DATE(VALUE(LEFT(B628,4)),VALUE(MID(B628,6,2)),VALUE(RIGHT(B628,2))),DATE(VALUE(RIGHT(B628,4)),MATCH(MID(B628,4,3),{"Jan","Feb","Mar","Apr","May","Jun","Jul","Aug","Sep","Oct","Nov","Dec"},0),VALUE(LEFT(B628,2)))))</f>
        <v>45845</v>
      </c>
    </row>
    <row r="629" customFormat="false" ht="15" hidden="false" customHeight="false" outlineLevel="0" collapsed="false">
      <c r="A629" s="7" t="s">
        <v>2201</v>
      </c>
      <c r="B629" s="7" t="s">
        <v>1823</v>
      </c>
      <c r="C629" s="7" t="s">
        <v>2202</v>
      </c>
      <c r="D629" s="7" t="s">
        <v>2203</v>
      </c>
      <c r="E629" s="7" t="s">
        <v>142</v>
      </c>
      <c r="F629" s="7" t="s">
        <v>110</v>
      </c>
      <c r="G629" s="7" t="s">
        <v>105</v>
      </c>
      <c r="H629" s="7" t="n">
        <v>1</v>
      </c>
      <c r="I629" s="7" t="n">
        <v>185</v>
      </c>
      <c r="J629" s="7" t="n">
        <v>0</v>
      </c>
      <c r="K629" s="7" t="s">
        <v>1739</v>
      </c>
      <c r="L629" s="7" t="s">
        <v>194</v>
      </c>
      <c r="M629" s="7" t="n">
        <v>39</v>
      </c>
      <c r="N629" s="7" t="n">
        <v>5</v>
      </c>
      <c r="O629" s="7" t="str">
        <f aca="false">A629&amp;"|"&amp;B629&amp;"|"&amp;C629&amp;"|"&amp;D629&amp;"|"&amp;E629&amp;"|"&amp;F629&amp;"|"&amp;G629&amp;"|"&amp;H629&amp;"|"&amp;I629&amp;"|"&amp;J629&amp;"|"&amp;K629&amp;"|"&amp;L629&amp;"|"&amp;M629&amp;"|"&amp;N629</f>
        <v>ORD10218|2025-01-30|12:40|C0086|Momo Magic|Delhi|Chinese|1|185|0|CC|Delivered|39|5</v>
      </c>
      <c r="P629" s="7" t="str">
        <f aca="false">IF(COUNTIF($O$2:O629,O629)&gt;1,"DUP","OK")</f>
        <v>OK</v>
      </c>
      <c r="Q629" s="7" t="n">
        <f aca="false">COUNTBLANK(A629:N629)</f>
        <v>0</v>
      </c>
      <c r="R629" s="7" t="n">
        <f aca="false">IF(A629="",0,COUNTIFS($A$2:$A$3058,A629,$P$2:$P$3058,"OK"))</f>
        <v>1</v>
      </c>
      <c r="S629" s="7" t="str">
        <f aca="false">IF(OR(A629="",P629="DUP",R629&lt;2),"",IF(Q629=_xlfn.MINIFS($Q$2:$Q$3058,$A$2:$A$3058,A629,$P$2:$P$3058,"OK"),"KEEP","DROP"))</f>
        <v/>
      </c>
      <c r="T629" s="9" t="n">
        <f aca="false">IF(A629="",1,0)</f>
        <v>0</v>
      </c>
      <c r="U629" s="9" t="n">
        <f aca="false">IF(D629="",1,0)</f>
        <v>0</v>
      </c>
      <c r="V629" s="9" t="n">
        <f aca="false">IF(E629="",1,0)</f>
        <v>0</v>
      </c>
      <c r="W629" s="9" t="n">
        <f aca="false">IF(OR(H629&lt;1,H629&gt;10),1,0)</f>
        <v>0</v>
      </c>
      <c r="X629" s="9" t="n">
        <f aca="false">IF(OR(I629&lt;=0,I629&gt;1500),1,0)</f>
        <v>0</v>
      </c>
      <c r="Y629" s="9" t="n">
        <f aca="false">IF(J629&gt;H629*I629,1,0)</f>
        <v>0</v>
      </c>
      <c r="Z629" s="9" t="n">
        <f aca="false">IF(AND(N629&lt;&gt;"",OR(N629&lt;1,N629&gt;5)),1,0)</f>
        <v>0</v>
      </c>
      <c r="AA629" s="9" t="n">
        <f aca="false">IF(AND(M629&lt;&gt;"",OR(M629&lt;5,M629&gt;180)),1,0)</f>
        <v>0</v>
      </c>
      <c r="AB629" s="7" t="str">
        <f aca="false">IF(P629="DUP","Exact duplicate row",IF(T629=1,"Missing Order ID",IF(S629="DROP","Duplicate Order ID (less complete row)",IF(U629=1,"Missing Customer ID",IF(V629=1,"Missing Restaurant name",IF(W629=1,"Invalid/outlier quantity",IF(X629=1,"Invalid/outlier unit price",IF(Y629=1,"Discount greater than order value",""))))))))</f>
        <v/>
      </c>
      <c r="AC629" s="7" t="str">
        <f aca="false">IF(AB629="","KEEP","DROP")</f>
        <v>KEEP</v>
      </c>
      <c r="AD629" s="7" t="str">
        <f aca="false">IF(TRIM(F629)="",IFERROR(INDEX(Map_Tables!$I$4:$I$37,MATCH(TRIM(E629),Map_Tables!$G$4:$G$37,0)),""),IFERROR(INDEX(Map_Tables!$B$4:$B$18,MATCH(TRIM(F629),Map_Tables!$A$4:$A$18,0)),"CHECK"))</f>
        <v>Delhi</v>
      </c>
      <c r="AE629" s="7" t="str">
        <f aca="false">IF(TRIM(E629)="","",IFERROR(INDEX(Map_Tables!$H$4:$H$37,MATCH(TRIM(E629),Map_Tables!$G$4:$G$37,0)),"CHECK"))</f>
        <v>Momo Magic</v>
      </c>
      <c r="AF629" s="7" t="str">
        <f aca="false">IF(TRIM(K629)="","Unknown",IFERROR(INDEX(Map_Tables!$E$4:$E$15,MATCH(TRIM(K629),Map_Tables!$D$4:$D$15,0)),"CHECK"))</f>
        <v>Credit Card</v>
      </c>
      <c r="AG629" s="7" t="str">
        <f aca="false">IF(LEFT(LOWER(TRIM(L629)),6)="cancel","Cancelled","Delivered")</f>
        <v>Delivered</v>
      </c>
      <c r="AH629" s="10" t="n">
        <f aca="false">IF(ISNUMBER(SEARCH("/",B629)),DATE(VALUE(RIGHT(B629,4)),VALUE(MID(B629,4,2)),VALUE(LEFT(B629,2))),IF(MID(B629,5,1)="-",DATE(VALUE(LEFT(B629,4)),VALUE(MID(B629,6,2)),VALUE(RIGHT(B629,2))),DATE(VALUE(RIGHT(B629,4)),MATCH(MID(B629,4,3),{"Jan","Feb","Mar","Apr","May","Jun","Jul","Aug","Sep","Oct","Nov","Dec"},0),VALUE(LEFT(B629,2)))))</f>
        <v>45687</v>
      </c>
    </row>
    <row r="630" customFormat="false" ht="15" hidden="false" customHeight="false" outlineLevel="0" collapsed="false">
      <c r="A630" s="7" t="s">
        <v>2204</v>
      </c>
      <c r="B630" s="7" t="s">
        <v>309</v>
      </c>
      <c r="C630" s="7" t="s">
        <v>2205</v>
      </c>
      <c r="D630" s="7" t="s">
        <v>2206</v>
      </c>
      <c r="E630" s="7" t="s">
        <v>89</v>
      </c>
      <c r="F630" s="7" t="s">
        <v>86</v>
      </c>
      <c r="G630" s="7" t="s">
        <v>90</v>
      </c>
      <c r="H630" s="7" t="n">
        <v>2</v>
      </c>
      <c r="I630" s="7" t="n">
        <v>220</v>
      </c>
      <c r="J630" s="7" t="n">
        <v>100</v>
      </c>
      <c r="K630" s="7" t="s">
        <v>88</v>
      </c>
      <c r="L630" s="7" t="s">
        <v>194</v>
      </c>
      <c r="M630" s="7" t="n">
        <v>30</v>
      </c>
      <c r="N630" s="7" t="n">
        <v>3</v>
      </c>
      <c r="O630" s="7" t="str">
        <f aca="false">A630&amp;"|"&amp;B630&amp;"|"&amp;C630&amp;"|"&amp;D630&amp;"|"&amp;E630&amp;"|"&amp;F630&amp;"|"&amp;G630&amp;"|"&amp;H630&amp;"|"&amp;I630&amp;"|"&amp;J630&amp;"|"&amp;K630&amp;"|"&amp;L630&amp;"|"&amp;M630&amp;"|"&amp;N630</f>
        <v>ORD12819|2025-12-11|19:08|C0960|Spice Junction|Bengaluru|North Indian|2|220|100|UPI|Delivered|30|3</v>
      </c>
      <c r="P630" s="7" t="str">
        <f aca="false">IF(COUNTIF($O$2:O630,O630)&gt;1,"DUP","OK")</f>
        <v>OK</v>
      </c>
      <c r="Q630" s="7" t="n">
        <f aca="false">COUNTBLANK(A630:N630)</f>
        <v>0</v>
      </c>
      <c r="R630" s="7" t="n">
        <f aca="false">IF(A630="",0,COUNTIFS($A$2:$A$3058,A630,$P$2:$P$3058,"OK"))</f>
        <v>1</v>
      </c>
      <c r="S630" s="7" t="str">
        <f aca="false">IF(OR(A630="",P630="DUP",R630&lt;2),"",IF(Q630=_xlfn.MINIFS($Q$2:$Q$3058,$A$2:$A$3058,A630,$P$2:$P$3058,"OK"),"KEEP","DROP"))</f>
        <v/>
      </c>
      <c r="T630" s="9" t="n">
        <f aca="false">IF(A630="",1,0)</f>
        <v>0</v>
      </c>
      <c r="U630" s="9" t="n">
        <f aca="false">IF(D630="",1,0)</f>
        <v>0</v>
      </c>
      <c r="V630" s="9" t="n">
        <f aca="false">IF(E630="",1,0)</f>
        <v>0</v>
      </c>
      <c r="W630" s="9" t="n">
        <f aca="false">IF(OR(H630&lt;1,H630&gt;10),1,0)</f>
        <v>0</v>
      </c>
      <c r="X630" s="9" t="n">
        <f aca="false">IF(OR(I630&lt;=0,I630&gt;1500),1,0)</f>
        <v>0</v>
      </c>
      <c r="Y630" s="9" t="n">
        <f aca="false">IF(J630&gt;H630*I630,1,0)</f>
        <v>0</v>
      </c>
      <c r="Z630" s="9" t="n">
        <f aca="false">IF(AND(N630&lt;&gt;"",OR(N630&lt;1,N630&gt;5)),1,0)</f>
        <v>0</v>
      </c>
      <c r="AA630" s="9" t="n">
        <f aca="false">IF(AND(M630&lt;&gt;"",OR(M630&lt;5,M630&gt;180)),1,0)</f>
        <v>0</v>
      </c>
      <c r="AB630" s="7" t="str">
        <f aca="false">IF(P630="DUP","Exact duplicate row",IF(T630=1,"Missing Order ID",IF(S630="DROP","Duplicate Order ID (less complete row)",IF(U630=1,"Missing Customer ID",IF(V630=1,"Missing Restaurant name",IF(W630=1,"Invalid/outlier quantity",IF(X630=1,"Invalid/outlier unit price",IF(Y630=1,"Discount greater than order value",""))))))))</f>
        <v/>
      </c>
      <c r="AC630" s="7" t="str">
        <f aca="false">IF(AB630="","KEEP","DROP")</f>
        <v>KEEP</v>
      </c>
      <c r="AD630" s="7" t="str">
        <f aca="false">IF(TRIM(F630)="",IFERROR(INDEX(Map_Tables!$I$4:$I$37,MATCH(TRIM(E630),Map_Tables!$G$4:$G$37,0)),""),IFERROR(INDEX(Map_Tables!$B$4:$B$18,MATCH(TRIM(F630),Map_Tables!$A$4:$A$18,0)),"CHECK"))</f>
        <v>Bengaluru</v>
      </c>
      <c r="AE630" s="7" t="str">
        <f aca="false">IF(TRIM(E630)="","",IFERROR(INDEX(Map_Tables!$H$4:$H$37,MATCH(TRIM(E630),Map_Tables!$G$4:$G$37,0)),"CHECK"))</f>
        <v>Spice Junction</v>
      </c>
      <c r="AF630" s="7" t="str">
        <f aca="false">IF(TRIM(K630)="","Unknown",IFERROR(INDEX(Map_Tables!$E$4:$E$15,MATCH(TRIM(K630),Map_Tables!$D$4:$D$15,0)),"CHECK"))</f>
        <v>UPI</v>
      </c>
      <c r="AG630" s="7" t="str">
        <f aca="false">IF(LEFT(LOWER(TRIM(L630)),6)="cancel","Cancelled","Delivered")</f>
        <v>Delivered</v>
      </c>
      <c r="AH630" s="10" t="n">
        <f aca="false">IF(ISNUMBER(SEARCH("/",B630)),DATE(VALUE(RIGHT(B630,4)),VALUE(MID(B630,4,2)),VALUE(LEFT(B630,2))),IF(MID(B630,5,1)="-",DATE(VALUE(LEFT(B630,4)),VALUE(MID(B630,6,2)),VALUE(RIGHT(B630,2))),DATE(VALUE(RIGHT(B630,4)),MATCH(MID(B630,4,3),{"Jan","Feb","Mar","Apr","May","Jun","Jul","Aug","Sep","Oct","Nov","Dec"},0),VALUE(LEFT(B630,2)))))</f>
        <v>46002</v>
      </c>
    </row>
    <row r="631" customFormat="false" ht="15" hidden="false" customHeight="false" outlineLevel="0" collapsed="false">
      <c r="A631" s="7" t="s">
        <v>2207</v>
      </c>
      <c r="B631" s="7" t="s">
        <v>2208</v>
      </c>
      <c r="C631" s="7" t="s">
        <v>2209</v>
      </c>
      <c r="D631" s="7" t="s">
        <v>2210</v>
      </c>
      <c r="E631" s="7" t="s">
        <v>134</v>
      </c>
      <c r="F631" s="7" t="s">
        <v>110</v>
      </c>
      <c r="G631" s="7" t="s">
        <v>117</v>
      </c>
      <c r="H631" s="7" t="n">
        <v>2</v>
      </c>
      <c r="I631" s="7" t="n">
        <v>95</v>
      </c>
      <c r="J631" s="7" t="n">
        <v>0</v>
      </c>
      <c r="K631" s="7" t="s">
        <v>88</v>
      </c>
      <c r="L631" s="7" t="s">
        <v>194</v>
      </c>
      <c r="M631" s="7" t="n">
        <v>46</v>
      </c>
      <c r="N631" s="7" t="n">
        <v>3</v>
      </c>
      <c r="O631" s="7" t="str">
        <f aca="false">A631&amp;"|"&amp;B631&amp;"|"&amp;C631&amp;"|"&amp;D631&amp;"|"&amp;E631&amp;"|"&amp;F631&amp;"|"&amp;G631&amp;"|"&amp;H631&amp;"|"&amp;I631&amp;"|"&amp;J631&amp;"|"&amp;K631&amp;"|"&amp;L631&amp;"|"&amp;M631&amp;"|"&amp;N631</f>
        <v>ORD10453|02-Mar-2025|10:29|C0919|Chaat Corner|Delhi|Street Food|2|95|0|UPI|Delivered|46|3</v>
      </c>
      <c r="P631" s="7" t="str">
        <f aca="false">IF(COUNTIF($O$2:O631,O631)&gt;1,"DUP","OK")</f>
        <v>OK</v>
      </c>
      <c r="Q631" s="7" t="n">
        <f aca="false">COUNTBLANK(A631:N631)</f>
        <v>0</v>
      </c>
      <c r="R631" s="7" t="n">
        <f aca="false">IF(A631="",0,COUNTIFS($A$2:$A$3058,A631,$P$2:$P$3058,"OK"))</f>
        <v>1</v>
      </c>
      <c r="S631" s="7" t="str">
        <f aca="false">IF(OR(A631="",P631="DUP",R631&lt;2),"",IF(Q631=_xlfn.MINIFS($Q$2:$Q$3058,$A$2:$A$3058,A631,$P$2:$P$3058,"OK"),"KEEP","DROP"))</f>
        <v/>
      </c>
      <c r="T631" s="9" t="n">
        <f aca="false">IF(A631="",1,0)</f>
        <v>0</v>
      </c>
      <c r="U631" s="9" t="n">
        <f aca="false">IF(D631="",1,0)</f>
        <v>0</v>
      </c>
      <c r="V631" s="9" t="n">
        <f aca="false">IF(E631="",1,0)</f>
        <v>0</v>
      </c>
      <c r="W631" s="9" t="n">
        <f aca="false">IF(OR(H631&lt;1,H631&gt;10),1,0)</f>
        <v>0</v>
      </c>
      <c r="X631" s="9" t="n">
        <f aca="false">IF(OR(I631&lt;=0,I631&gt;1500),1,0)</f>
        <v>0</v>
      </c>
      <c r="Y631" s="9" t="n">
        <f aca="false">IF(J631&gt;H631*I631,1,0)</f>
        <v>0</v>
      </c>
      <c r="Z631" s="9" t="n">
        <f aca="false">IF(AND(N631&lt;&gt;"",OR(N631&lt;1,N631&gt;5)),1,0)</f>
        <v>0</v>
      </c>
      <c r="AA631" s="9" t="n">
        <f aca="false">IF(AND(M631&lt;&gt;"",OR(M631&lt;5,M631&gt;180)),1,0)</f>
        <v>0</v>
      </c>
      <c r="AB631" s="7" t="str">
        <f aca="false">IF(P631="DUP","Exact duplicate row",IF(T631=1,"Missing Order ID",IF(S631="DROP","Duplicate Order ID (less complete row)",IF(U631=1,"Missing Customer ID",IF(V631=1,"Missing Restaurant name",IF(W631=1,"Invalid/outlier quantity",IF(X631=1,"Invalid/outlier unit price",IF(Y631=1,"Discount greater than order value",""))))))))</f>
        <v/>
      </c>
      <c r="AC631" s="7" t="str">
        <f aca="false">IF(AB631="","KEEP","DROP")</f>
        <v>KEEP</v>
      </c>
      <c r="AD631" s="7" t="str">
        <f aca="false">IF(TRIM(F631)="",IFERROR(INDEX(Map_Tables!$I$4:$I$37,MATCH(TRIM(E631),Map_Tables!$G$4:$G$37,0)),""),IFERROR(INDEX(Map_Tables!$B$4:$B$18,MATCH(TRIM(F631),Map_Tables!$A$4:$A$18,0)),"CHECK"))</f>
        <v>Delhi</v>
      </c>
      <c r="AE631" s="7" t="str">
        <f aca="false">IF(TRIM(E631)="","",IFERROR(INDEX(Map_Tables!$H$4:$H$37,MATCH(TRIM(E631),Map_Tables!$G$4:$G$37,0)),"CHECK"))</f>
        <v>Chaat Corner</v>
      </c>
      <c r="AF631" s="7" t="str">
        <f aca="false">IF(TRIM(K631)="","Unknown",IFERROR(INDEX(Map_Tables!$E$4:$E$15,MATCH(TRIM(K631),Map_Tables!$D$4:$D$15,0)),"CHECK"))</f>
        <v>UPI</v>
      </c>
      <c r="AG631" s="7" t="str">
        <f aca="false">IF(LEFT(LOWER(TRIM(L631)),6)="cancel","Cancelled","Delivered")</f>
        <v>Delivered</v>
      </c>
      <c r="AH631" s="10" t="n">
        <f aca="false">IF(ISNUMBER(SEARCH("/",B631)),DATE(VALUE(RIGHT(B631,4)),VALUE(MID(B631,4,2)),VALUE(LEFT(B631,2))),IF(MID(B631,5,1)="-",DATE(VALUE(LEFT(B631,4)),VALUE(MID(B631,6,2)),VALUE(RIGHT(B631,2))),DATE(VALUE(RIGHT(B631,4)),MATCH(MID(B631,4,3),{"Jan","Feb","Mar","Apr","May","Jun","Jul","Aug","Sep","Oct","Nov","Dec"},0),VALUE(LEFT(B631,2)))))</f>
        <v>45718</v>
      </c>
    </row>
    <row r="632" customFormat="false" ht="15" hidden="false" customHeight="false" outlineLevel="0" collapsed="false">
      <c r="A632" s="7" t="s">
        <v>2211</v>
      </c>
      <c r="B632" s="7" t="s">
        <v>2026</v>
      </c>
      <c r="C632" s="7" t="s">
        <v>2212</v>
      </c>
      <c r="D632" s="7" t="s">
        <v>2091</v>
      </c>
      <c r="E632" s="7" t="s">
        <v>151</v>
      </c>
      <c r="F632" s="7" t="s">
        <v>128</v>
      </c>
      <c r="G632" s="7" t="s">
        <v>1828</v>
      </c>
      <c r="H632" s="7" t="n">
        <v>1</v>
      </c>
      <c r="I632" s="7" t="n">
        <v>180</v>
      </c>
      <c r="J632" s="7" t="n">
        <v>0</v>
      </c>
      <c r="K632" s="7" t="s">
        <v>88</v>
      </c>
      <c r="L632" s="7" t="s">
        <v>194</v>
      </c>
      <c r="M632" s="7" t="n">
        <v>52</v>
      </c>
      <c r="N632" s="7" t="n">
        <v>3</v>
      </c>
      <c r="O632" s="7" t="str">
        <f aca="false">A632&amp;"|"&amp;B632&amp;"|"&amp;C632&amp;"|"&amp;D632&amp;"|"&amp;E632&amp;"|"&amp;F632&amp;"|"&amp;G632&amp;"|"&amp;H632&amp;"|"&amp;I632&amp;"|"&amp;J632&amp;"|"&amp;K632&amp;"|"&amp;L632&amp;"|"&amp;M632&amp;"|"&amp;N632</f>
        <v>ORD12701|2025-11-28|20:05|C1463|Chettinad House|Chennai|south indian|1|180|0|UPI|Delivered|52|3</v>
      </c>
      <c r="P632" s="7" t="str">
        <f aca="false">IF(COUNTIF($O$2:O632,O632)&gt;1,"DUP","OK")</f>
        <v>OK</v>
      </c>
      <c r="Q632" s="7" t="n">
        <f aca="false">COUNTBLANK(A632:N632)</f>
        <v>0</v>
      </c>
      <c r="R632" s="7" t="n">
        <f aca="false">IF(A632="",0,COUNTIFS($A$2:$A$3058,A632,$P$2:$P$3058,"OK"))</f>
        <v>1</v>
      </c>
      <c r="S632" s="7" t="str">
        <f aca="false">IF(OR(A632="",P632="DUP",R632&lt;2),"",IF(Q632=_xlfn.MINIFS($Q$2:$Q$3058,$A$2:$A$3058,A632,$P$2:$P$3058,"OK"),"KEEP","DROP"))</f>
        <v/>
      </c>
      <c r="T632" s="9" t="n">
        <f aca="false">IF(A632="",1,0)</f>
        <v>0</v>
      </c>
      <c r="U632" s="9" t="n">
        <f aca="false">IF(D632="",1,0)</f>
        <v>0</v>
      </c>
      <c r="V632" s="9" t="n">
        <f aca="false">IF(E632="",1,0)</f>
        <v>0</v>
      </c>
      <c r="W632" s="9" t="n">
        <f aca="false">IF(OR(H632&lt;1,H632&gt;10),1,0)</f>
        <v>0</v>
      </c>
      <c r="X632" s="9" t="n">
        <f aca="false">IF(OR(I632&lt;=0,I632&gt;1500),1,0)</f>
        <v>0</v>
      </c>
      <c r="Y632" s="9" t="n">
        <f aca="false">IF(J632&gt;H632*I632,1,0)</f>
        <v>0</v>
      </c>
      <c r="Z632" s="9" t="n">
        <f aca="false">IF(AND(N632&lt;&gt;"",OR(N632&lt;1,N632&gt;5)),1,0)</f>
        <v>0</v>
      </c>
      <c r="AA632" s="9" t="n">
        <f aca="false">IF(AND(M632&lt;&gt;"",OR(M632&lt;5,M632&gt;180)),1,0)</f>
        <v>0</v>
      </c>
      <c r="AB632" s="7" t="str">
        <f aca="false">IF(P632="DUP","Exact duplicate row",IF(T632=1,"Missing Order ID",IF(S632="DROP","Duplicate Order ID (less complete row)",IF(U632=1,"Missing Customer ID",IF(V632=1,"Missing Restaurant name",IF(W632=1,"Invalid/outlier quantity",IF(X632=1,"Invalid/outlier unit price",IF(Y632=1,"Discount greater than order value",""))))))))</f>
        <v/>
      </c>
      <c r="AC632" s="7" t="str">
        <f aca="false">IF(AB632="","KEEP","DROP")</f>
        <v>KEEP</v>
      </c>
      <c r="AD632" s="7" t="str">
        <f aca="false">IF(TRIM(F632)="",IFERROR(INDEX(Map_Tables!$I$4:$I$37,MATCH(TRIM(E632),Map_Tables!$G$4:$G$37,0)),""),IFERROR(INDEX(Map_Tables!$B$4:$B$18,MATCH(TRIM(F632),Map_Tables!$A$4:$A$18,0)),"CHECK"))</f>
        <v>Chennai</v>
      </c>
      <c r="AE632" s="7" t="str">
        <f aca="false">IF(TRIM(E632)="","",IFERROR(INDEX(Map_Tables!$H$4:$H$37,MATCH(TRIM(E632),Map_Tables!$G$4:$G$37,0)),"CHECK"))</f>
        <v>Chettinad House</v>
      </c>
      <c r="AF632" s="7" t="str">
        <f aca="false">IF(TRIM(K632)="","Unknown",IFERROR(INDEX(Map_Tables!$E$4:$E$15,MATCH(TRIM(K632),Map_Tables!$D$4:$D$15,0)),"CHECK"))</f>
        <v>UPI</v>
      </c>
      <c r="AG632" s="7" t="str">
        <f aca="false">IF(LEFT(LOWER(TRIM(L632)),6)="cancel","Cancelled","Delivered")</f>
        <v>Delivered</v>
      </c>
      <c r="AH632" s="10" t="n">
        <f aca="false">IF(ISNUMBER(SEARCH("/",B632)),DATE(VALUE(RIGHT(B632,4)),VALUE(MID(B632,4,2)),VALUE(LEFT(B632,2))),IF(MID(B632,5,1)="-",DATE(VALUE(LEFT(B632,4)),VALUE(MID(B632,6,2)),VALUE(RIGHT(B632,2))),DATE(VALUE(RIGHT(B632,4)),MATCH(MID(B632,4,3),{"Jan","Feb","Mar","Apr","May","Jun","Jul","Aug","Sep","Oct","Nov","Dec"},0),VALUE(LEFT(B632,2)))))</f>
        <v>45989</v>
      </c>
    </row>
    <row r="633" customFormat="false" ht="15" hidden="false" customHeight="false" outlineLevel="0" collapsed="false">
      <c r="A633" s="7" t="s">
        <v>2213</v>
      </c>
      <c r="B633" s="7" t="s">
        <v>2214</v>
      </c>
      <c r="C633" s="7" t="s">
        <v>1387</v>
      </c>
      <c r="D633" s="7" t="s">
        <v>2215</v>
      </c>
      <c r="E633" s="7" t="s">
        <v>2216</v>
      </c>
      <c r="F633" s="7" t="s">
        <v>86</v>
      </c>
      <c r="G633" s="7" t="s">
        <v>95</v>
      </c>
      <c r="H633" s="7" t="n">
        <v>1</v>
      </c>
      <c r="I633" s="7" t="n">
        <v>140</v>
      </c>
      <c r="J633" s="7" t="n">
        <v>0</v>
      </c>
      <c r="K633" s="7" t="s">
        <v>88</v>
      </c>
      <c r="L633" s="7" t="s">
        <v>194</v>
      </c>
      <c r="M633" s="7" t="n">
        <v>54</v>
      </c>
      <c r="N633" s="7" t="n">
        <v>3</v>
      </c>
      <c r="O633" s="7" t="str">
        <f aca="false">A633&amp;"|"&amp;B633&amp;"|"&amp;C633&amp;"|"&amp;D633&amp;"|"&amp;E633&amp;"|"&amp;F633&amp;"|"&amp;G633&amp;"|"&amp;H633&amp;"|"&amp;I633&amp;"|"&amp;J633&amp;"|"&amp;K633&amp;"|"&amp;L633&amp;"|"&amp;M633&amp;"|"&amp;N633</f>
        <v>ORD11294|2025-06-14|20:59|C0809|Dosa  Darbar|Bengaluru|South Indian|1|140|0|UPI|Delivered|54|3</v>
      </c>
      <c r="P633" s="7" t="str">
        <f aca="false">IF(COUNTIF($O$2:O633,O633)&gt;1,"DUP","OK")</f>
        <v>OK</v>
      </c>
      <c r="Q633" s="7" t="n">
        <f aca="false">COUNTBLANK(A633:N633)</f>
        <v>0</v>
      </c>
      <c r="R633" s="7" t="n">
        <f aca="false">IF(A633="",0,COUNTIFS($A$2:$A$3058,A633,$P$2:$P$3058,"OK"))</f>
        <v>1</v>
      </c>
      <c r="S633" s="7" t="str">
        <f aca="false">IF(OR(A633="",P633="DUP",R633&lt;2),"",IF(Q633=_xlfn.MINIFS($Q$2:$Q$3058,$A$2:$A$3058,A633,$P$2:$P$3058,"OK"),"KEEP","DROP"))</f>
        <v/>
      </c>
      <c r="T633" s="9" t="n">
        <f aca="false">IF(A633="",1,0)</f>
        <v>0</v>
      </c>
      <c r="U633" s="9" t="n">
        <f aca="false">IF(D633="",1,0)</f>
        <v>0</v>
      </c>
      <c r="V633" s="9" t="n">
        <f aca="false">IF(E633="",1,0)</f>
        <v>0</v>
      </c>
      <c r="W633" s="9" t="n">
        <f aca="false">IF(OR(H633&lt;1,H633&gt;10),1,0)</f>
        <v>0</v>
      </c>
      <c r="X633" s="9" t="n">
        <f aca="false">IF(OR(I633&lt;=0,I633&gt;1500),1,0)</f>
        <v>0</v>
      </c>
      <c r="Y633" s="9" t="n">
        <f aca="false">IF(J633&gt;H633*I633,1,0)</f>
        <v>0</v>
      </c>
      <c r="Z633" s="9" t="n">
        <f aca="false">IF(AND(N633&lt;&gt;"",OR(N633&lt;1,N633&gt;5)),1,0)</f>
        <v>0</v>
      </c>
      <c r="AA633" s="9" t="n">
        <f aca="false">IF(AND(M633&lt;&gt;"",OR(M633&lt;5,M633&gt;180)),1,0)</f>
        <v>0</v>
      </c>
      <c r="AB633" s="7" t="str">
        <f aca="false">IF(P633="DUP","Exact duplicate row",IF(T633=1,"Missing Order ID",IF(S633="DROP","Duplicate Order ID (less complete row)",IF(U633=1,"Missing Customer ID",IF(V633=1,"Missing Restaurant name",IF(W633=1,"Invalid/outlier quantity",IF(X633=1,"Invalid/outlier unit price",IF(Y633=1,"Discount greater than order value",""))))))))</f>
        <v/>
      </c>
      <c r="AC633" s="7" t="str">
        <f aca="false">IF(AB633="","KEEP","DROP")</f>
        <v>KEEP</v>
      </c>
      <c r="AD633" s="7" t="str">
        <f aca="false">IF(TRIM(F633)="",IFERROR(INDEX(Map_Tables!$I$4:$I$37,MATCH(TRIM(E633),Map_Tables!$G$4:$G$37,0)),""),IFERROR(INDEX(Map_Tables!$B$4:$B$18,MATCH(TRIM(F633),Map_Tables!$A$4:$A$18,0)),"CHECK"))</f>
        <v>Bengaluru</v>
      </c>
      <c r="AE633" s="7" t="str">
        <f aca="false">IF(TRIM(E633)="","",IFERROR(INDEX(Map_Tables!$H$4:$H$37,MATCH(TRIM(E633),Map_Tables!$G$4:$G$37,0)),"CHECK"))</f>
        <v>Dosa Darbar</v>
      </c>
      <c r="AF633" s="7" t="str">
        <f aca="false">IF(TRIM(K633)="","Unknown",IFERROR(INDEX(Map_Tables!$E$4:$E$15,MATCH(TRIM(K633),Map_Tables!$D$4:$D$15,0)),"CHECK"))</f>
        <v>UPI</v>
      </c>
      <c r="AG633" s="7" t="str">
        <f aca="false">IF(LEFT(LOWER(TRIM(L633)),6)="cancel","Cancelled","Delivered")</f>
        <v>Delivered</v>
      </c>
      <c r="AH633" s="10" t="n">
        <f aca="false">IF(ISNUMBER(SEARCH("/",B633)),DATE(VALUE(RIGHT(B633,4)),VALUE(MID(B633,4,2)),VALUE(LEFT(B633,2))),IF(MID(B633,5,1)="-",DATE(VALUE(LEFT(B633,4)),VALUE(MID(B633,6,2)),VALUE(RIGHT(B633,2))),DATE(VALUE(RIGHT(B633,4)),MATCH(MID(B633,4,3),{"Jan","Feb","Mar","Apr","May","Jun","Jul","Aug","Sep","Oct","Nov","Dec"},0),VALUE(LEFT(B633,2)))))</f>
        <v>45822</v>
      </c>
    </row>
    <row r="634" customFormat="false" ht="15" hidden="false" customHeight="false" outlineLevel="0" collapsed="false">
      <c r="A634" s="7" t="s">
        <v>2217</v>
      </c>
      <c r="B634" s="7" t="s">
        <v>2218</v>
      </c>
      <c r="C634" s="7" t="s">
        <v>2219</v>
      </c>
      <c r="D634" s="7" t="s">
        <v>2220</v>
      </c>
      <c r="E634" s="7" t="s">
        <v>148</v>
      </c>
      <c r="F634" s="7" t="s">
        <v>119</v>
      </c>
      <c r="G634" s="7" t="s">
        <v>123</v>
      </c>
      <c r="H634" s="7" t="n">
        <v>1</v>
      </c>
      <c r="I634" s="7" t="n">
        <v>365</v>
      </c>
      <c r="J634" s="7" t="n">
        <v>125</v>
      </c>
      <c r="K634" s="7" t="s">
        <v>121</v>
      </c>
      <c r="L634" s="7" t="s">
        <v>194</v>
      </c>
      <c r="M634" s="7" t="n">
        <v>34</v>
      </c>
      <c r="N634" s="7" t="n">
        <v>4</v>
      </c>
      <c r="O634" s="7" t="str">
        <f aca="false">A634&amp;"|"&amp;B634&amp;"|"&amp;C634&amp;"|"&amp;D634&amp;"|"&amp;E634&amp;"|"&amp;F634&amp;"|"&amp;G634&amp;"|"&amp;H634&amp;"|"&amp;I634&amp;"|"&amp;J634&amp;"|"&amp;K634&amp;"|"&amp;L634&amp;"|"&amp;M634&amp;"|"&amp;N634</f>
        <v>ORD11252|09-Jun-2025|10:26|C0878|Pizza Palace|Hyderabad|Pizza|1|365|125|Wallet|Delivered|34|4</v>
      </c>
      <c r="P634" s="7" t="str">
        <f aca="false">IF(COUNTIF($O$2:O634,O634)&gt;1,"DUP","OK")</f>
        <v>OK</v>
      </c>
      <c r="Q634" s="7" t="n">
        <f aca="false">COUNTBLANK(A634:N634)</f>
        <v>0</v>
      </c>
      <c r="R634" s="7" t="n">
        <f aca="false">IF(A634="",0,COUNTIFS($A$2:$A$3058,A634,$P$2:$P$3058,"OK"))</f>
        <v>1</v>
      </c>
      <c r="S634" s="7" t="str">
        <f aca="false">IF(OR(A634="",P634="DUP",R634&lt;2),"",IF(Q634=_xlfn.MINIFS($Q$2:$Q$3058,$A$2:$A$3058,A634,$P$2:$P$3058,"OK"),"KEEP","DROP"))</f>
        <v/>
      </c>
      <c r="T634" s="9" t="n">
        <f aca="false">IF(A634="",1,0)</f>
        <v>0</v>
      </c>
      <c r="U634" s="9" t="n">
        <f aca="false">IF(D634="",1,0)</f>
        <v>0</v>
      </c>
      <c r="V634" s="9" t="n">
        <f aca="false">IF(E634="",1,0)</f>
        <v>0</v>
      </c>
      <c r="W634" s="9" t="n">
        <f aca="false">IF(OR(H634&lt;1,H634&gt;10),1,0)</f>
        <v>0</v>
      </c>
      <c r="X634" s="9" t="n">
        <f aca="false">IF(OR(I634&lt;=0,I634&gt;1500),1,0)</f>
        <v>0</v>
      </c>
      <c r="Y634" s="9" t="n">
        <f aca="false">IF(J634&gt;H634*I634,1,0)</f>
        <v>0</v>
      </c>
      <c r="Z634" s="9" t="n">
        <f aca="false">IF(AND(N634&lt;&gt;"",OR(N634&lt;1,N634&gt;5)),1,0)</f>
        <v>0</v>
      </c>
      <c r="AA634" s="9" t="n">
        <f aca="false">IF(AND(M634&lt;&gt;"",OR(M634&lt;5,M634&gt;180)),1,0)</f>
        <v>0</v>
      </c>
      <c r="AB634" s="7" t="str">
        <f aca="false">IF(P634="DUP","Exact duplicate row",IF(T634=1,"Missing Order ID",IF(S634="DROP","Duplicate Order ID (less complete row)",IF(U634=1,"Missing Customer ID",IF(V634=1,"Missing Restaurant name",IF(W634=1,"Invalid/outlier quantity",IF(X634=1,"Invalid/outlier unit price",IF(Y634=1,"Discount greater than order value",""))))))))</f>
        <v/>
      </c>
      <c r="AC634" s="7" t="str">
        <f aca="false">IF(AB634="","KEEP","DROP")</f>
        <v>KEEP</v>
      </c>
      <c r="AD634" s="7" t="str">
        <f aca="false">IF(TRIM(F634)="",IFERROR(INDEX(Map_Tables!$I$4:$I$37,MATCH(TRIM(E634),Map_Tables!$G$4:$G$37,0)),""),IFERROR(INDEX(Map_Tables!$B$4:$B$18,MATCH(TRIM(F634),Map_Tables!$A$4:$A$18,0)),"CHECK"))</f>
        <v>Hyderabad</v>
      </c>
      <c r="AE634" s="7" t="str">
        <f aca="false">IF(TRIM(E634)="","",IFERROR(INDEX(Map_Tables!$H$4:$H$37,MATCH(TRIM(E634),Map_Tables!$G$4:$G$37,0)),"CHECK"))</f>
        <v>Pizza Palace</v>
      </c>
      <c r="AF634" s="7" t="str">
        <f aca="false">IF(TRIM(K634)="","Unknown",IFERROR(INDEX(Map_Tables!$E$4:$E$15,MATCH(TRIM(K634),Map_Tables!$D$4:$D$15,0)),"CHECK"))</f>
        <v>Wallet</v>
      </c>
      <c r="AG634" s="7" t="str">
        <f aca="false">IF(LEFT(LOWER(TRIM(L634)),6)="cancel","Cancelled","Delivered")</f>
        <v>Delivered</v>
      </c>
      <c r="AH634" s="10" t="n">
        <f aca="false">IF(ISNUMBER(SEARCH("/",B634)),DATE(VALUE(RIGHT(B634,4)),VALUE(MID(B634,4,2)),VALUE(LEFT(B634,2))),IF(MID(B634,5,1)="-",DATE(VALUE(LEFT(B634,4)),VALUE(MID(B634,6,2)),VALUE(RIGHT(B634,2))),DATE(VALUE(RIGHT(B634,4)),MATCH(MID(B634,4,3),{"Jan","Feb","Mar","Apr","May","Jun","Jul","Aug","Sep","Oct","Nov","Dec"},0),VALUE(LEFT(B634,2)))))</f>
        <v>45817</v>
      </c>
    </row>
    <row r="635" customFormat="false" ht="15" hidden="false" customHeight="false" outlineLevel="0" collapsed="false">
      <c r="A635" s="7" t="s">
        <v>2221</v>
      </c>
      <c r="B635" s="7" t="s">
        <v>190</v>
      </c>
      <c r="C635" s="7" t="s">
        <v>638</v>
      </c>
      <c r="D635" s="7" t="s">
        <v>607</v>
      </c>
      <c r="E635" s="7" t="s">
        <v>113</v>
      </c>
      <c r="F635" s="7" t="s">
        <v>101</v>
      </c>
      <c r="G635" s="7" t="s">
        <v>90</v>
      </c>
      <c r="H635" s="7" t="n">
        <v>2</v>
      </c>
      <c r="I635" s="7" t="n">
        <v>260</v>
      </c>
      <c r="J635" s="7" t="n">
        <v>75</v>
      </c>
      <c r="K635" s="7" t="s">
        <v>112</v>
      </c>
      <c r="L635" s="7" t="s">
        <v>194</v>
      </c>
      <c r="M635" s="7" t="n">
        <v>42</v>
      </c>
      <c r="N635" s="7" t="n">
        <v>4</v>
      </c>
      <c r="O635" s="7" t="str">
        <f aca="false">A635&amp;"|"&amp;B635&amp;"|"&amp;C635&amp;"|"&amp;D635&amp;"|"&amp;E635&amp;"|"&amp;F635&amp;"|"&amp;G635&amp;"|"&amp;H635&amp;"|"&amp;I635&amp;"|"&amp;J635&amp;"|"&amp;K635&amp;"|"&amp;L635&amp;"|"&amp;M635&amp;"|"&amp;N635</f>
        <v>ORD10677|2025-03-27|20:38|C0745|Curry Leaf Kitchen|Mumbai|North Indian|2|260|75|Cash on Delivery|Delivered|42|4</v>
      </c>
      <c r="P635" s="7" t="str">
        <f aca="false">IF(COUNTIF($O$2:O635,O635)&gt;1,"DUP","OK")</f>
        <v>OK</v>
      </c>
      <c r="Q635" s="7" t="n">
        <f aca="false">COUNTBLANK(A635:N635)</f>
        <v>0</v>
      </c>
      <c r="R635" s="7" t="n">
        <f aca="false">IF(A635="",0,COUNTIFS($A$2:$A$3058,A635,$P$2:$P$3058,"OK"))</f>
        <v>1</v>
      </c>
      <c r="S635" s="7" t="str">
        <f aca="false">IF(OR(A635="",P635="DUP",R635&lt;2),"",IF(Q635=_xlfn.MINIFS($Q$2:$Q$3058,$A$2:$A$3058,A635,$P$2:$P$3058,"OK"),"KEEP","DROP"))</f>
        <v/>
      </c>
      <c r="T635" s="9" t="n">
        <f aca="false">IF(A635="",1,0)</f>
        <v>0</v>
      </c>
      <c r="U635" s="9" t="n">
        <f aca="false">IF(D635="",1,0)</f>
        <v>0</v>
      </c>
      <c r="V635" s="9" t="n">
        <f aca="false">IF(E635="",1,0)</f>
        <v>0</v>
      </c>
      <c r="W635" s="9" t="n">
        <f aca="false">IF(OR(H635&lt;1,H635&gt;10),1,0)</f>
        <v>0</v>
      </c>
      <c r="X635" s="9" t="n">
        <f aca="false">IF(OR(I635&lt;=0,I635&gt;1500),1,0)</f>
        <v>0</v>
      </c>
      <c r="Y635" s="9" t="n">
        <f aca="false">IF(J635&gt;H635*I635,1,0)</f>
        <v>0</v>
      </c>
      <c r="Z635" s="9" t="n">
        <f aca="false">IF(AND(N635&lt;&gt;"",OR(N635&lt;1,N635&gt;5)),1,0)</f>
        <v>0</v>
      </c>
      <c r="AA635" s="9" t="n">
        <f aca="false">IF(AND(M635&lt;&gt;"",OR(M635&lt;5,M635&gt;180)),1,0)</f>
        <v>0</v>
      </c>
      <c r="AB635" s="7" t="str">
        <f aca="false">IF(P635="DUP","Exact duplicate row",IF(T635=1,"Missing Order ID",IF(S635="DROP","Duplicate Order ID (less complete row)",IF(U635=1,"Missing Customer ID",IF(V635=1,"Missing Restaurant name",IF(W635=1,"Invalid/outlier quantity",IF(X635=1,"Invalid/outlier unit price",IF(Y635=1,"Discount greater than order value",""))))))))</f>
        <v/>
      </c>
      <c r="AC635" s="7" t="str">
        <f aca="false">IF(AB635="","KEEP","DROP")</f>
        <v>KEEP</v>
      </c>
      <c r="AD635" s="7" t="str">
        <f aca="false">IF(TRIM(F635)="",IFERROR(INDEX(Map_Tables!$I$4:$I$37,MATCH(TRIM(E635),Map_Tables!$G$4:$G$37,0)),""),IFERROR(INDEX(Map_Tables!$B$4:$B$18,MATCH(TRIM(F635),Map_Tables!$A$4:$A$18,0)),"CHECK"))</f>
        <v>Mumbai</v>
      </c>
      <c r="AE635" s="7" t="str">
        <f aca="false">IF(TRIM(E635)="","",IFERROR(INDEX(Map_Tables!$H$4:$H$37,MATCH(TRIM(E635),Map_Tables!$G$4:$G$37,0)),"CHECK"))</f>
        <v>Curry Leaf Kitchen</v>
      </c>
      <c r="AF635" s="7" t="str">
        <f aca="false">IF(TRIM(K635)="","Unknown",IFERROR(INDEX(Map_Tables!$E$4:$E$15,MATCH(TRIM(K635),Map_Tables!$D$4:$D$15,0)),"CHECK"))</f>
        <v>Cash on Delivery</v>
      </c>
      <c r="AG635" s="7" t="str">
        <f aca="false">IF(LEFT(LOWER(TRIM(L635)),6)="cancel","Cancelled","Delivered")</f>
        <v>Delivered</v>
      </c>
      <c r="AH635" s="10" t="n">
        <f aca="false">IF(ISNUMBER(SEARCH("/",B635)),DATE(VALUE(RIGHT(B635,4)),VALUE(MID(B635,4,2)),VALUE(LEFT(B635,2))),IF(MID(B635,5,1)="-",DATE(VALUE(LEFT(B635,4)),VALUE(MID(B635,6,2)),VALUE(RIGHT(B635,2))),DATE(VALUE(RIGHT(B635,4)),MATCH(MID(B635,4,3),{"Jan","Feb","Mar","Apr","May","Jun","Jul","Aug","Sep","Oct","Nov","Dec"},0),VALUE(LEFT(B635,2)))))</f>
        <v>45743</v>
      </c>
    </row>
    <row r="636" customFormat="false" ht="15" hidden="false" customHeight="false" outlineLevel="0" collapsed="false">
      <c r="A636" s="7" t="s">
        <v>2222</v>
      </c>
      <c r="B636" s="7" t="s">
        <v>855</v>
      </c>
      <c r="C636" s="7" t="s">
        <v>346</v>
      </c>
      <c r="D636" s="7" t="s">
        <v>307</v>
      </c>
      <c r="E636" s="7" t="s">
        <v>94</v>
      </c>
      <c r="F636" s="7" t="s">
        <v>86</v>
      </c>
      <c r="G636" s="7" t="s">
        <v>95</v>
      </c>
      <c r="H636" s="7" t="n">
        <v>3</v>
      </c>
      <c r="I636" s="7" t="n">
        <v>125</v>
      </c>
      <c r="J636" s="7" t="n">
        <v>0</v>
      </c>
      <c r="K636" s="7" t="s">
        <v>112</v>
      </c>
      <c r="L636" s="7" t="s">
        <v>194</v>
      </c>
      <c r="M636" s="7" t="n">
        <v>41</v>
      </c>
      <c r="N636" s="7"/>
      <c r="O636" s="7" t="str">
        <f aca="false">A636&amp;"|"&amp;B636&amp;"|"&amp;C636&amp;"|"&amp;D636&amp;"|"&amp;E636&amp;"|"&amp;F636&amp;"|"&amp;G636&amp;"|"&amp;H636&amp;"|"&amp;I636&amp;"|"&amp;J636&amp;"|"&amp;K636&amp;"|"&amp;L636&amp;"|"&amp;M636&amp;"|"&amp;N636</f>
        <v>ORD10944|2025-04-29|19:18|C1425|Dosa Darbar|Bengaluru|South Indian|3|125|0|Cash on Delivery|Delivered|41|</v>
      </c>
      <c r="P636" s="7" t="str">
        <f aca="false">IF(COUNTIF($O$2:O636,O636)&gt;1,"DUP","OK")</f>
        <v>OK</v>
      </c>
      <c r="Q636" s="7" t="n">
        <f aca="false">COUNTBLANK(A636:N636)</f>
        <v>1</v>
      </c>
      <c r="R636" s="7" t="n">
        <f aca="false">IF(A636="",0,COUNTIFS($A$2:$A$3058,A636,$P$2:$P$3058,"OK"))</f>
        <v>1</v>
      </c>
      <c r="S636" s="7" t="str">
        <f aca="false">IF(OR(A636="",P636="DUP",R636&lt;2),"",IF(Q636=_xlfn.MINIFS($Q$2:$Q$3058,$A$2:$A$3058,A636,$P$2:$P$3058,"OK"),"KEEP","DROP"))</f>
        <v/>
      </c>
      <c r="T636" s="9" t="n">
        <f aca="false">IF(A636="",1,0)</f>
        <v>0</v>
      </c>
      <c r="U636" s="9" t="n">
        <f aca="false">IF(D636="",1,0)</f>
        <v>0</v>
      </c>
      <c r="V636" s="9" t="n">
        <f aca="false">IF(E636="",1,0)</f>
        <v>0</v>
      </c>
      <c r="W636" s="9" t="n">
        <f aca="false">IF(OR(H636&lt;1,H636&gt;10),1,0)</f>
        <v>0</v>
      </c>
      <c r="X636" s="9" t="n">
        <f aca="false">IF(OR(I636&lt;=0,I636&gt;1500),1,0)</f>
        <v>0</v>
      </c>
      <c r="Y636" s="9" t="n">
        <f aca="false">IF(J636&gt;H636*I636,1,0)</f>
        <v>0</v>
      </c>
      <c r="Z636" s="9" t="n">
        <f aca="false">IF(AND(N636&lt;&gt;"",OR(N636&lt;1,N636&gt;5)),1,0)</f>
        <v>0</v>
      </c>
      <c r="AA636" s="9" t="n">
        <f aca="false">IF(AND(M636&lt;&gt;"",OR(M636&lt;5,M636&gt;180)),1,0)</f>
        <v>0</v>
      </c>
      <c r="AB636" s="7" t="str">
        <f aca="false">IF(P636="DUP","Exact duplicate row",IF(T636=1,"Missing Order ID",IF(S636="DROP","Duplicate Order ID (less complete row)",IF(U636=1,"Missing Customer ID",IF(V636=1,"Missing Restaurant name",IF(W636=1,"Invalid/outlier quantity",IF(X636=1,"Invalid/outlier unit price",IF(Y636=1,"Discount greater than order value",""))))))))</f>
        <v/>
      </c>
      <c r="AC636" s="7" t="str">
        <f aca="false">IF(AB636="","KEEP","DROP")</f>
        <v>KEEP</v>
      </c>
      <c r="AD636" s="7" t="str">
        <f aca="false">IF(TRIM(F636)="",IFERROR(INDEX(Map_Tables!$I$4:$I$37,MATCH(TRIM(E636),Map_Tables!$G$4:$G$37,0)),""),IFERROR(INDEX(Map_Tables!$B$4:$B$18,MATCH(TRIM(F636),Map_Tables!$A$4:$A$18,0)),"CHECK"))</f>
        <v>Bengaluru</v>
      </c>
      <c r="AE636" s="7" t="str">
        <f aca="false">IF(TRIM(E636)="","",IFERROR(INDEX(Map_Tables!$H$4:$H$37,MATCH(TRIM(E636),Map_Tables!$G$4:$G$37,0)),"CHECK"))</f>
        <v>Dosa Darbar</v>
      </c>
      <c r="AF636" s="7" t="str">
        <f aca="false">IF(TRIM(K636)="","Unknown",IFERROR(INDEX(Map_Tables!$E$4:$E$15,MATCH(TRIM(K636),Map_Tables!$D$4:$D$15,0)),"CHECK"))</f>
        <v>Cash on Delivery</v>
      </c>
      <c r="AG636" s="7" t="str">
        <f aca="false">IF(LEFT(LOWER(TRIM(L636)),6)="cancel","Cancelled","Delivered")</f>
        <v>Delivered</v>
      </c>
      <c r="AH636" s="10" t="n">
        <f aca="false">IF(ISNUMBER(SEARCH("/",B636)),DATE(VALUE(RIGHT(B636,4)),VALUE(MID(B636,4,2)),VALUE(LEFT(B636,2))),IF(MID(B636,5,1)="-",DATE(VALUE(LEFT(B636,4)),VALUE(MID(B636,6,2)),VALUE(RIGHT(B636,2))),DATE(VALUE(RIGHT(B636,4)),MATCH(MID(B636,4,3),{"Jan","Feb","Mar","Apr","May","Jun","Jul","Aug","Sep","Oct","Nov","Dec"},0),VALUE(LEFT(B636,2)))))</f>
        <v>45776</v>
      </c>
    </row>
    <row r="637" customFormat="false" ht="15" hidden="false" customHeight="false" outlineLevel="0" collapsed="false">
      <c r="A637" s="7" t="s">
        <v>2223</v>
      </c>
      <c r="B637" s="7" t="s">
        <v>2224</v>
      </c>
      <c r="C637" s="7" t="s">
        <v>2225</v>
      </c>
      <c r="D637" s="7" t="s">
        <v>2226</v>
      </c>
      <c r="E637" s="7" t="s">
        <v>149</v>
      </c>
      <c r="F637" s="7" t="s">
        <v>119</v>
      </c>
      <c r="G637" s="7" t="s">
        <v>150</v>
      </c>
      <c r="H637" s="7" t="n">
        <v>1</v>
      </c>
      <c r="I637" s="7" t="n">
        <v>175</v>
      </c>
      <c r="J637" s="7" t="n">
        <v>0</v>
      </c>
      <c r="K637" s="7" t="s">
        <v>112</v>
      </c>
      <c r="L637" s="7" t="s">
        <v>194</v>
      </c>
      <c r="M637" s="7" t="n">
        <v>24</v>
      </c>
      <c r="N637" s="7" t="n">
        <v>4</v>
      </c>
      <c r="O637" s="7" t="str">
        <f aca="false">A637&amp;"|"&amp;B637&amp;"|"&amp;C637&amp;"|"&amp;D637&amp;"|"&amp;E637&amp;"|"&amp;F637&amp;"|"&amp;G637&amp;"|"&amp;H637&amp;"|"&amp;I637&amp;"|"&amp;J637&amp;"|"&amp;K637&amp;"|"&amp;L637&amp;"|"&amp;M637&amp;"|"&amp;N637</f>
        <v>ORD11233|05/06/2025|23:38|C0629|Sweet Tooth Studio|Hyderabad|Desserts|1|175|0|Cash on Delivery|Delivered|24|4</v>
      </c>
      <c r="P637" s="7" t="str">
        <f aca="false">IF(COUNTIF($O$2:O637,O637)&gt;1,"DUP","OK")</f>
        <v>OK</v>
      </c>
      <c r="Q637" s="7" t="n">
        <f aca="false">COUNTBLANK(A637:N637)</f>
        <v>0</v>
      </c>
      <c r="R637" s="7" t="n">
        <f aca="false">IF(A637="",0,COUNTIFS($A$2:$A$3058,A637,$P$2:$P$3058,"OK"))</f>
        <v>1</v>
      </c>
      <c r="S637" s="7" t="str">
        <f aca="false">IF(OR(A637="",P637="DUP",R637&lt;2),"",IF(Q637=_xlfn.MINIFS($Q$2:$Q$3058,$A$2:$A$3058,A637,$P$2:$P$3058,"OK"),"KEEP","DROP"))</f>
        <v/>
      </c>
      <c r="T637" s="9" t="n">
        <f aca="false">IF(A637="",1,0)</f>
        <v>0</v>
      </c>
      <c r="U637" s="9" t="n">
        <f aca="false">IF(D637="",1,0)</f>
        <v>0</v>
      </c>
      <c r="V637" s="9" t="n">
        <f aca="false">IF(E637="",1,0)</f>
        <v>0</v>
      </c>
      <c r="W637" s="9" t="n">
        <f aca="false">IF(OR(H637&lt;1,H637&gt;10),1,0)</f>
        <v>0</v>
      </c>
      <c r="X637" s="9" t="n">
        <f aca="false">IF(OR(I637&lt;=0,I637&gt;1500),1,0)</f>
        <v>0</v>
      </c>
      <c r="Y637" s="9" t="n">
        <f aca="false">IF(J637&gt;H637*I637,1,0)</f>
        <v>0</v>
      </c>
      <c r="Z637" s="9" t="n">
        <f aca="false">IF(AND(N637&lt;&gt;"",OR(N637&lt;1,N637&gt;5)),1,0)</f>
        <v>0</v>
      </c>
      <c r="AA637" s="9" t="n">
        <f aca="false">IF(AND(M637&lt;&gt;"",OR(M637&lt;5,M637&gt;180)),1,0)</f>
        <v>0</v>
      </c>
      <c r="AB637" s="7" t="str">
        <f aca="false">IF(P637="DUP","Exact duplicate row",IF(T637=1,"Missing Order ID",IF(S637="DROP","Duplicate Order ID (less complete row)",IF(U637=1,"Missing Customer ID",IF(V637=1,"Missing Restaurant name",IF(W637=1,"Invalid/outlier quantity",IF(X637=1,"Invalid/outlier unit price",IF(Y637=1,"Discount greater than order value",""))))))))</f>
        <v/>
      </c>
      <c r="AC637" s="7" t="str">
        <f aca="false">IF(AB637="","KEEP","DROP")</f>
        <v>KEEP</v>
      </c>
      <c r="AD637" s="7" t="str">
        <f aca="false">IF(TRIM(F637)="",IFERROR(INDEX(Map_Tables!$I$4:$I$37,MATCH(TRIM(E637),Map_Tables!$G$4:$G$37,0)),""),IFERROR(INDEX(Map_Tables!$B$4:$B$18,MATCH(TRIM(F637),Map_Tables!$A$4:$A$18,0)),"CHECK"))</f>
        <v>Hyderabad</v>
      </c>
      <c r="AE637" s="7" t="str">
        <f aca="false">IF(TRIM(E637)="","",IFERROR(INDEX(Map_Tables!$H$4:$H$37,MATCH(TRIM(E637),Map_Tables!$G$4:$G$37,0)),"CHECK"))</f>
        <v>Sweet Tooth Studio</v>
      </c>
      <c r="AF637" s="7" t="str">
        <f aca="false">IF(TRIM(K637)="","Unknown",IFERROR(INDEX(Map_Tables!$E$4:$E$15,MATCH(TRIM(K637),Map_Tables!$D$4:$D$15,0)),"CHECK"))</f>
        <v>Cash on Delivery</v>
      </c>
      <c r="AG637" s="7" t="str">
        <f aca="false">IF(LEFT(LOWER(TRIM(L637)),6)="cancel","Cancelled","Delivered")</f>
        <v>Delivered</v>
      </c>
      <c r="AH637" s="10" t="n">
        <f aca="false">IF(ISNUMBER(SEARCH("/",B637)),DATE(VALUE(RIGHT(B637,4)),VALUE(MID(B637,4,2)),VALUE(LEFT(B637,2))),IF(MID(B637,5,1)="-",DATE(VALUE(LEFT(B637,4)),VALUE(MID(B637,6,2)),VALUE(RIGHT(B637,2))),DATE(VALUE(RIGHT(B637,4)),MATCH(MID(B637,4,3),{"Jan","Feb","Mar","Apr","May","Jun","Jul","Aug","Sep","Oct","Nov","Dec"},0),VALUE(LEFT(B637,2)))))</f>
        <v>45813</v>
      </c>
    </row>
    <row r="638" customFormat="false" ht="15" hidden="false" customHeight="false" outlineLevel="0" collapsed="false">
      <c r="A638" s="7" t="s">
        <v>2227</v>
      </c>
      <c r="B638" s="7" t="s">
        <v>859</v>
      </c>
      <c r="C638" s="7" t="s">
        <v>1838</v>
      </c>
      <c r="D638" s="7" t="s">
        <v>2228</v>
      </c>
      <c r="E638" s="7" t="s">
        <v>2229</v>
      </c>
      <c r="F638" s="7" t="s">
        <v>101</v>
      </c>
      <c r="G638" s="7" t="s">
        <v>105</v>
      </c>
      <c r="H638" s="7" t="n">
        <v>1</v>
      </c>
      <c r="I638" s="7" t="n">
        <v>205</v>
      </c>
      <c r="J638" s="7" t="n">
        <v>0</v>
      </c>
      <c r="K638" s="7" t="s">
        <v>103</v>
      </c>
      <c r="L638" s="7" t="s">
        <v>194</v>
      </c>
      <c r="M638" s="7" t="n">
        <v>44</v>
      </c>
      <c r="N638" s="7" t="n">
        <v>3</v>
      </c>
      <c r="O638" s="7" t="str">
        <f aca="false">A638&amp;"|"&amp;B638&amp;"|"&amp;C638&amp;"|"&amp;D638&amp;"|"&amp;E638&amp;"|"&amp;F638&amp;"|"&amp;G638&amp;"|"&amp;H638&amp;"|"&amp;I638&amp;"|"&amp;J638&amp;"|"&amp;K638&amp;"|"&amp;L638&amp;"|"&amp;M638&amp;"|"&amp;N638</f>
        <v>ORD11872|2025-09-01|17:27|C0047| Dragon Express|Mumbai|Chinese|1|205|0|Debit Card|Delivered|44|3</v>
      </c>
      <c r="P638" s="7" t="str">
        <f aca="false">IF(COUNTIF($O$2:O638,O638)&gt;1,"DUP","OK")</f>
        <v>OK</v>
      </c>
      <c r="Q638" s="7" t="n">
        <f aca="false">COUNTBLANK(A638:N638)</f>
        <v>0</v>
      </c>
      <c r="R638" s="7" t="n">
        <f aca="false">IF(A638="",0,COUNTIFS($A$2:$A$3058,A638,$P$2:$P$3058,"OK"))</f>
        <v>1</v>
      </c>
      <c r="S638" s="7" t="str">
        <f aca="false">IF(OR(A638="",P638="DUP",R638&lt;2),"",IF(Q638=_xlfn.MINIFS($Q$2:$Q$3058,$A$2:$A$3058,A638,$P$2:$P$3058,"OK"),"KEEP","DROP"))</f>
        <v/>
      </c>
      <c r="T638" s="9" t="n">
        <f aca="false">IF(A638="",1,0)</f>
        <v>0</v>
      </c>
      <c r="U638" s="9" t="n">
        <f aca="false">IF(D638="",1,0)</f>
        <v>0</v>
      </c>
      <c r="V638" s="9" t="n">
        <f aca="false">IF(E638="",1,0)</f>
        <v>0</v>
      </c>
      <c r="W638" s="9" t="n">
        <f aca="false">IF(OR(H638&lt;1,H638&gt;10),1,0)</f>
        <v>0</v>
      </c>
      <c r="X638" s="9" t="n">
        <f aca="false">IF(OR(I638&lt;=0,I638&gt;1500),1,0)</f>
        <v>0</v>
      </c>
      <c r="Y638" s="9" t="n">
        <f aca="false">IF(J638&gt;H638*I638,1,0)</f>
        <v>0</v>
      </c>
      <c r="Z638" s="9" t="n">
        <f aca="false">IF(AND(N638&lt;&gt;"",OR(N638&lt;1,N638&gt;5)),1,0)</f>
        <v>0</v>
      </c>
      <c r="AA638" s="9" t="n">
        <f aca="false">IF(AND(M638&lt;&gt;"",OR(M638&lt;5,M638&gt;180)),1,0)</f>
        <v>0</v>
      </c>
      <c r="AB638" s="7" t="str">
        <f aca="false">IF(P638="DUP","Exact duplicate row",IF(T638=1,"Missing Order ID",IF(S638="DROP","Duplicate Order ID (less complete row)",IF(U638=1,"Missing Customer ID",IF(V638=1,"Missing Restaurant name",IF(W638=1,"Invalid/outlier quantity",IF(X638=1,"Invalid/outlier unit price",IF(Y638=1,"Discount greater than order value",""))))))))</f>
        <v/>
      </c>
      <c r="AC638" s="7" t="str">
        <f aca="false">IF(AB638="","KEEP","DROP")</f>
        <v>KEEP</v>
      </c>
      <c r="AD638" s="7" t="str">
        <f aca="false">IF(TRIM(F638)="",IFERROR(INDEX(Map_Tables!$I$4:$I$37,MATCH(TRIM(E638),Map_Tables!$G$4:$G$37,0)),""),IFERROR(INDEX(Map_Tables!$B$4:$B$18,MATCH(TRIM(F638),Map_Tables!$A$4:$A$18,0)),"CHECK"))</f>
        <v>Mumbai</v>
      </c>
      <c r="AE638" s="7" t="str">
        <f aca="false">IF(TRIM(E638)="","",IFERROR(INDEX(Map_Tables!$H$4:$H$37,MATCH(TRIM(E638),Map_Tables!$G$4:$G$37,0)),"CHECK"))</f>
        <v>Dragon Express</v>
      </c>
      <c r="AF638" s="7" t="str">
        <f aca="false">IF(TRIM(K638)="","Unknown",IFERROR(INDEX(Map_Tables!$E$4:$E$15,MATCH(TRIM(K638),Map_Tables!$D$4:$D$15,0)),"CHECK"))</f>
        <v>Debit Card</v>
      </c>
      <c r="AG638" s="7" t="str">
        <f aca="false">IF(LEFT(LOWER(TRIM(L638)),6)="cancel","Cancelled","Delivered")</f>
        <v>Delivered</v>
      </c>
      <c r="AH638" s="10" t="n">
        <f aca="false">IF(ISNUMBER(SEARCH("/",B638)),DATE(VALUE(RIGHT(B638,4)),VALUE(MID(B638,4,2)),VALUE(LEFT(B638,2))),IF(MID(B638,5,1)="-",DATE(VALUE(LEFT(B638,4)),VALUE(MID(B638,6,2)),VALUE(RIGHT(B638,2))),DATE(VALUE(RIGHT(B638,4)),MATCH(MID(B638,4,3),{"Jan","Feb","Mar","Apr","May","Jun","Jul","Aug","Sep","Oct","Nov","Dec"},0),VALUE(LEFT(B638,2)))))</f>
        <v>45901</v>
      </c>
    </row>
    <row r="639" customFormat="false" ht="15" hidden="false" customHeight="false" outlineLevel="0" collapsed="false">
      <c r="A639" s="7" t="s">
        <v>2230</v>
      </c>
      <c r="B639" s="7" t="s">
        <v>2231</v>
      </c>
      <c r="C639" s="7" t="s">
        <v>433</v>
      </c>
      <c r="D639" s="7" t="s">
        <v>2232</v>
      </c>
      <c r="E639" s="7" t="s">
        <v>158</v>
      </c>
      <c r="F639" s="7" t="s">
        <v>136</v>
      </c>
      <c r="G639" s="7" t="s">
        <v>139</v>
      </c>
      <c r="H639" s="7" t="n">
        <v>3</v>
      </c>
      <c r="I639" s="7" t="n">
        <v>210</v>
      </c>
      <c r="J639" s="7" t="n">
        <v>100</v>
      </c>
      <c r="K639" s="7" t="s">
        <v>88</v>
      </c>
      <c r="L639" s="7" t="s">
        <v>194</v>
      </c>
      <c r="M639" s="7"/>
      <c r="N639" s="7" t="n">
        <v>4</v>
      </c>
      <c r="O639" s="7" t="str">
        <f aca="false">A639&amp;"|"&amp;B639&amp;"|"&amp;C639&amp;"|"&amp;D639&amp;"|"&amp;E639&amp;"|"&amp;F639&amp;"|"&amp;G639&amp;"|"&amp;H639&amp;"|"&amp;I639&amp;"|"&amp;J639&amp;"|"&amp;K639&amp;"|"&amp;L639&amp;"|"&amp;M639&amp;"|"&amp;N639</f>
        <v>ORD12346|2025-10-22|19:43|C1115|Pune Burger Hub|Pune|Burgers|3|210|100|UPI|Delivered||4</v>
      </c>
      <c r="P639" s="7" t="str">
        <f aca="false">IF(COUNTIF($O$2:O639,O639)&gt;1,"DUP","OK")</f>
        <v>OK</v>
      </c>
      <c r="Q639" s="7" t="n">
        <f aca="false">COUNTBLANK(A639:N639)</f>
        <v>1</v>
      </c>
      <c r="R639" s="7" t="n">
        <f aca="false">IF(A639="",0,COUNTIFS($A$2:$A$3058,A639,$P$2:$P$3058,"OK"))</f>
        <v>1</v>
      </c>
      <c r="S639" s="7" t="str">
        <f aca="false">IF(OR(A639="",P639="DUP",R639&lt;2),"",IF(Q639=_xlfn.MINIFS($Q$2:$Q$3058,$A$2:$A$3058,A639,$P$2:$P$3058,"OK"),"KEEP","DROP"))</f>
        <v/>
      </c>
      <c r="T639" s="9" t="n">
        <f aca="false">IF(A639="",1,0)</f>
        <v>0</v>
      </c>
      <c r="U639" s="9" t="n">
        <f aca="false">IF(D639="",1,0)</f>
        <v>0</v>
      </c>
      <c r="V639" s="9" t="n">
        <f aca="false">IF(E639="",1,0)</f>
        <v>0</v>
      </c>
      <c r="W639" s="9" t="n">
        <f aca="false">IF(OR(H639&lt;1,H639&gt;10),1,0)</f>
        <v>0</v>
      </c>
      <c r="X639" s="9" t="n">
        <f aca="false">IF(OR(I639&lt;=0,I639&gt;1500),1,0)</f>
        <v>0</v>
      </c>
      <c r="Y639" s="9" t="n">
        <f aca="false">IF(J639&gt;H639*I639,1,0)</f>
        <v>0</v>
      </c>
      <c r="Z639" s="9" t="n">
        <f aca="false">IF(AND(N639&lt;&gt;"",OR(N639&lt;1,N639&gt;5)),1,0)</f>
        <v>0</v>
      </c>
      <c r="AA639" s="9" t="n">
        <f aca="false">IF(AND(M639&lt;&gt;"",OR(M639&lt;5,M639&gt;180)),1,0)</f>
        <v>0</v>
      </c>
      <c r="AB639" s="7" t="str">
        <f aca="false">IF(P639="DUP","Exact duplicate row",IF(T639=1,"Missing Order ID",IF(S639="DROP","Duplicate Order ID (less complete row)",IF(U639=1,"Missing Customer ID",IF(V639=1,"Missing Restaurant name",IF(W639=1,"Invalid/outlier quantity",IF(X639=1,"Invalid/outlier unit price",IF(Y639=1,"Discount greater than order value",""))))))))</f>
        <v/>
      </c>
      <c r="AC639" s="7" t="str">
        <f aca="false">IF(AB639="","KEEP","DROP")</f>
        <v>KEEP</v>
      </c>
      <c r="AD639" s="7" t="str">
        <f aca="false">IF(TRIM(F639)="",IFERROR(INDEX(Map_Tables!$I$4:$I$37,MATCH(TRIM(E639),Map_Tables!$G$4:$G$37,0)),""),IFERROR(INDEX(Map_Tables!$B$4:$B$18,MATCH(TRIM(F639),Map_Tables!$A$4:$A$18,0)),"CHECK"))</f>
        <v>Pune</v>
      </c>
      <c r="AE639" s="7" t="str">
        <f aca="false">IF(TRIM(E639)="","",IFERROR(INDEX(Map_Tables!$H$4:$H$37,MATCH(TRIM(E639),Map_Tables!$G$4:$G$37,0)),"CHECK"))</f>
        <v>Pune Burger Hub</v>
      </c>
      <c r="AF639" s="7" t="str">
        <f aca="false">IF(TRIM(K639)="","Unknown",IFERROR(INDEX(Map_Tables!$E$4:$E$15,MATCH(TRIM(K639),Map_Tables!$D$4:$D$15,0)),"CHECK"))</f>
        <v>UPI</v>
      </c>
      <c r="AG639" s="7" t="str">
        <f aca="false">IF(LEFT(LOWER(TRIM(L639)),6)="cancel","Cancelled","Delivered")</f>
        <v>Delivered</v>
      </c>
      <c r="AH639" s="10" t="n">
        <f aca="false">IF(ISNUMBER(SEARCH("/",B639)),DATE(VALUE(RIGHT(B639,4)),VALUE(MID(B639,4,2)),VALUE(LEFT(B639,2))),IF(MID(B639,5,1)="-",DATE(VALUE(LEFT(B639,4)),VALUE(MID(B639,6,2)),VALUE(RIGHT(B639,2))),DATE(VALUE(RIGHT(B639,4)),MATCH(MID(B639,4,3),{"Jan","Feb","Mar","Apr","May","Jun","Jul","Aug","Sep","Oct","Nov","Dec"},0),VALUE(LEFT(B639,2)))))</f>
        <v>45952</v>
      </c>
    </row>
    <row r="640" customFormat="false" ht="15" hidden="false" customHeight="false" outlineLevel="0" collapsed="false">
      <c r="A640" s="7" t="s">
        <v>2233</v>
      </c>
      <c r="B640" s="7" t="s">
        <v>2234</v>
      </c>
      <c r="C640" s="7" t="s">
        <v>2235</v>
      </c>
      <c r="D640" s="7" t="s">
        <v>2236</v>
      </c>
      <c r="E640" s="7" t="s">
        <v>130</v>
      </c>
      <c r="F640" s="7" t="s">
        <v>110</v>
      </c>
      <c r="G640" s="7" t="s">
        <v>90</v>
      </c>
      <c r="H640" s="7" t="n">
        <v>2</v>
      </c>
      <c r="I640" s="7" t="n">
        <v>240</v>
      </c>
      <c r="J640" s="7" t="n">
        <v>0</v>
      </c>
      <c r="K640" s="7"/>
      <c r="L640" s="7" t="s">
        <v>238</v>
      </c>
      <c r="M640" s="7"/>
      <c r="N640" s="7"/>
      <c r="O640" s="7" t="str">
        <f aca="false">A640&amp;"|"&amp;B640&amp;"|"&amp;C640&amp;"|"&amp;D640&amp;"|"&amp;E640&amp;"|"&amp;F640&amp;"|"&amp;G640&amp;"|"&amp;H640&amp;"|"&amp;I640&amp;"|"&amp;J640&amp;"|"&amp;K640&amp;"|"&amp;L640&amp;"|"&amp;M640&amp;"|"&amp;N640</f>
        <v>ORD12827|2025-12-12|14:15|C0934|Tandoor Tales|Delhi|North Indian|2|240|0||Cancelled||</v>
      </c>
      <c r="P640" s="7" t="str">
        <f aca="false">IF(COUNTIF($O$2:O640,O640)&gt;1,"DUP","OK")</f>
        <v>OK</v>
      </c>
      <c r="Q640" s="7" t="n">
        <f aca="false">COUNTBLANK(A640:N640)</f>
        <v>3</v>
      </c>
      <c r="R640" s="7" t="n">
        <f aca="false">IF(A640="",0,COUNTIFS($A$2:$A$3058,A640,$P$2:$P$3058,"OK"))</f>
        <v>1</v>
      </c>
      <c r="S640" s="7" t="str">
        <f aca="false">IF(OR(A640="",P640="DUP",R640&lt;2),"",IF(Q640=_xlfn.MINIFS($Q$2:$Q$3058,$A$2:$A$3058,A640,$P$2:$P$3058,"OK"),"KEEP","DROP"))</f>
        <v/>
      </c>
      <c r="T640" s="9" t="n">
        <f aca="false">IF(A640="",1,0)</f>
        <v>0</v>
      </c>
      <c r="U640" s="9" t="n">
        <f aca="false">IF(D640="",1,0)</f>
        <v>0</v>
      </c>
      <c r="V640" s="9" t="n">
        <f aca="false">IF(E640="",1,0)</f>
        <v>0</v>
      </c>
      <c r="W640" s="9" t="n">
        <f aca="false">IF(OR(H640&lt;1,H640&gt;10),1,0)</f>
        <v>0</v>
      </c>
      <c r="X640" s="9" t="n">
        <f aca="false">IF(OR(I640&lt;=0,I640&gt;1500),1,0)</f>
        <v>0</v>
      </c>
      <c r="Y640" s="9" t="n">
        <f aca="false">IF(J640&gt;H640*I640,1,0)</f>
        <v>0</v>
      </c>
      <c r="Z640" s="9" t="n">
        <f aca="false">IF(AND(N640&lt;&gt;"",OR(N640&lt;1,N640&gt;5)),1,0)</f>
        <v>0</v>
      </c>
      <c r="AA640" s="9" t="n">
        <f aca="false">IF(AND(M640&lt;&gt;"",OR(M640&lt;5,M640&gt;180)),1,0)</f>
        <v>0</v>
      </c>
      <c r="AB640" s="7" t="str">
        <f aca="false">IF(P640="DUP","Exact duplicate row",IF(T640=1,"Missing Order ID",IF(S640="DROP","Duplicate Order ID (less complete row)",IF(U640=1,"Missing Customer ID",IF(V640=1,"Missing Restaurant name",IF(W640=1,"Invalid/outlier quantity",IF(X640=1,"Invalid/outlier unit price",IF(Y640=1,"Discount greater than order value",""))))))))</f>
        <v/>
      </c>
      <c r="AC640" s="7" t="str">
        <f aca="false">IF(AB640="","KEEP","DROP")</f>
        <v>KEEP</v>
      </c>
      <c r="AD640" s="7" t="str">
        <f aca="false">IF(TRIM(F640)="",IFERROR(INDEX(Map_Tables!$I$4:$I$37,MATCH(TRIM(E640),Map_Tables!$G$4:$G$37,0)),""),IFERROR(INDEX(Map_Tables!$B$4:$B$18,MATCH(TRIM(F640),Map_Tables!$A$4:$A$18,0)),"CHECK"))</f>
        <v>Delhi</v>
      </c>
      <c r="AE640" s="7" t="str">
        <f aca="false">IF(TRIM(E640)="","",IFERROR(INDEX(Map_Tables!$H$4:$H$37,MATCH(TRIM(E640),Map_Tables!$G$4:$G$37,0)),"CHECK"))</f>
        <v>Tandoor Tales</v>
      </c>
      <c r="AF640" s="7" t="str">
        <f aca="false">IF(TRIM(K640)="","Unknown",IFERROR(INDEX(Map_Tables!$E$4:$E$15,MATCH(TRIM(K640),Map_Tables!$D$4:$D$15,0)),"CHECK"))</f>
        <v>Unknown</v>
      </c>
      <c r="AG640" s="7" t="str">
        <f aca="false">IF(LEFT(LOWER(TRIM(L640)),6)="cancel","Cancelled","Delivered")</f>
        <v>Cancelled</v>
      </c>
      <c r="AH640" s="10" t="n">
        <f aca="false">IF(ISNUMBER(SEARCH("/",B640)),DATE(VALUE(RIGHT(B640,4)),VALUE(MID(B640,4,2)),VALUE(LEFT(B640,2))),IF(MID(B640,5,1)="-",DATE(VALUE(LEFT(B640,4)),VALUE(MID(B640,6,2)),VALUE(RIGHT(B640,2))),DATE(VALUE(RIGHT(B640,4)),MATCH(MID(B640,4,3),{"Jan","Feb","Mar","Apr","May","Jun","Jul","Aug","Sep","Oct","Nov","Dec"},0),VALUE(LEFT(B640,2)))))</f>
        <v>46003</v>
      </c>
    </row>
    <row r="641" customFormat="false" ht="15" hidden="false" customHeight="false" outlineLevel="0" collapsed="false">
      <c r="A641" s="7" t="s">
        <v>2237</v>
      </c>
      <c r="B641" s="7" t="s">
        <v>364</v>
      </c>
      <c r="C641" s="7" t="s">
        <v>1812</v>
      </c>
      <c r="D641" s="7" t="s">
        <v>2238</v>
      </c>
      <c r="E641" s="7" t="s">
        <v>142</v>
      </c>
      <c r="F641" s="7" t="s">
        <v>110</v>
      </c>
      <c r="G641" s="7" t="s">
        <v>105</v>
      </c>
      <c r="H641" s="7" t="n">
        <v>1</v>
      </c>
      <c r="I641" s="7" t="n">
        <v>155</v>
      </c>
      <c r="J641" s="7" t="n">
        <v>62</v>
      </c>
      <c r="K641" s="7" t="s">
        <v>120</v>
      </c>
      <c r="L641" s="7" t="s">
        <v>194</v>
      </c>
      <c r="M641" s="7" t="n">
        <v>43</v>
      </c>
      <c r="N641" s="7" t="n">
        <v>4</v>
      </c>
      <c r="O641" s="7" t="str">
        <f aca="false">A641&amp;"|"&amp;B641&amp;"|"&amp;C641&amp;"|"&amp;D641&amp;"|"&amp;E641&amp;"|"&amp;F641&amp;"|"&amp;G641&amp;"|"&amp;H641&amp;"|"&amp;I641&amp;"|"&amp;J641&amp;"|"&amp;K641&amp;"|"&amp;L641&amp;"|"&amp;M641&amp;"|"&amp;N641</f>
        <v>ORD11413|2025-07-03|12:28|C1012|Momo Magic|Delhi|Chinese|1|155|62|wallet|Delivered|43|4</v>
      </c>
      <c r="P641" s="7" t="str">
        <f aca="false">IF(COUNTIF($O$2:O641,O641)&gt;1,"DUP","OK")</f>
        <v>OK</v>
      </c>
      <c r="Q641" s="7" t="n">
        <f aca="false">COUNTBLANK(A641:N641)</f>
        <v>0</v>
      </c>
      <c r="R641" s="7" t="n">
        <f aca="false">IF(A641="",0,COUNTIFS($A$2:$A$3058,A641,$P$2:$P$3058,"OK"))</f>
        <v>1</v>
      </c>
      <c r="S641" s="7" t="str">
        <f aca="false">IF(OR(A641="",P641="DUP",R641&lt;2),"",IF(Q641=_xlfn.MINIFS($Q$2:$Q$3058,$A$2:$A$3058,A641,$P$2:$P$3058,"OK"),"KEEP","DROP"))</f>
        <v/>
      </c>
      <c r="T641" s="9" t="n">
        <f aca="false">IF(A641="",1,0)</f>
        <v>0</v>
      </c>
      <c r="U641" s="9" t="n">
        <f aca="false">IF(D641="",1,0)</f>
        <v>0</v>
      </c>
      <c r="V641" s="9" t="n">
        <f aca="false">IF(E641="",1,0)</f>
        <v>0</v>
      </c>
      <c r="W641" s="9" t="n">
        <f aca="false">IF(OR(H641&lt;1,H641&gt;10),1,0)</f>
        <v>0</v>
      </c>
      <c r="X641" s="9" t="n">
        <f aca="false">IF(OR(I641&lt;=0,I641&gt;1500),1,0)</f>
        <v>0</v>
      </c>
      <c r="Y641" s="9" t="n">
        <f aca="false">IF(J641&gt;H641*I641,1,0)</f>
        <v>0</v>
      </c>
      <c r="Z641" s="9" t="n">
        <f aca="false">IF(AND(N641&lt;&gt;"",OR(N641&lt;1,N641&gt;5)),1,0)</f>
        <v>0</v>
      </c>
      <c r="AA641" s="9" t="n">
        <f aca="false">IF(AND(M641&lt;&gt;"",OR(M641&lt;5,M641&gt;180)),1,0)</f>
        <v>0</v>
      </c>
      <c r="AB641" s="7" t="str">
        <f aca="false">IF(P641="DUP","Exact duplicate row",IF(T641=1,"Missing Order ID",IF(S641="DROP","Duplicate Order ID (less complete row)",IF(U641=1,"Missing Customer ID",IF(V641=1,"Missing Restaurant name",IF(W641=1,"Invalid/outlier quantity",IF(X641=1,"Invalid/outlier unit price",IF(Y641=1,"Discount greater than order value",""))))))))</f>
        <v/>
      </c>
      <c r="AC641" s="7" t="str">
        <f aca="false">IF(AB641="","KEEP","DROP")</f>
        <v>KEEP</v>
      </c>
      <c r="AD641" s="7" t="str">
        <f aca="false">IF(TRIM(F641)="",IFERROR(INDEX(Map_Tables!$I$4:$I$37,MATCH(TRIM(E641),Map_Tables!$G$4:$G$37,0)),""),IFERROR(INDEX(Map_Tables!$B$4:$B$18,MATCH(TRIM(F641),Map_Tables!$A$4:$A$18,0)),"CHECK"))</f>
        <v>Delhi</v>
      </c>
      <c r="AE641" s="7" t="str">
        <f aca="false">IF(TRIM(E641)="","",IFERROR(INDEX(Map_Tables!$H$4:$H$37,MATCH(TRIM(E641),Map_Tables!$G$4:$G$37,0)),"CHECK"))</f>
        <v>Momo Magic</v>
      </c>
      <c r="AF641" s="7" t="str">
        <f aca="false">IF(TRIM(K641)="","Unknown",IFERROR(INDEX(Map_Tables!$E$4:$E$15,MATCH(TRIM(K641),Map_Tables!$D$4:$D$15,0)),"CHECK"))</f>
        <v>Wallet</v>
      </c>
      <c r="AG641" s="7" t="str">
        <f aca="false">IF(LEFT(LOWER(TRIM(L641)),6)="cancel","Cancelled","Delivered")</f>
        <v>Delivered</v>
      </c>
      <c r="AH641" s="10" t="n">
        <f aca="false">IF(ISNUMBER(SEARCH("/",B641)),DATE(VALUE(RIGHT(B641,4)),VALUE(MID(B641,4,2)),VALUE(LEFT(B641,2))),IF(MID(B641,5,1)="-",DATE(VALUE(LEFT(B641,4)),VALUE(MID(B641,6,2)),VALUE(RIGHT(B641,2))),DATE(VALUE(RIGHT(B641,4)),MATCH(MID(B641,4,3),{"Jan","Feb","Mar","Apr","May","Jun","Jul","Aug","Sep","Oct","Nov","Dec"},0),VALUE(LEFT(B641,2)))))</f>
        <v>45841</v>
      </c>
    </row>
    <row r="642" customFormat="false" ht="15" hidden="false" customHeight="false" outlineLevel="0" collapsed="false">
      <c r="A642" s="7" t="s">
        <v>2239</v>
      </c>
      <c r="B642" s="7" t="s">
        <v>418</v>
      </c>
      <c r="C642" s="7" t="s">
        <v>769</v>
      </c>
      <c r="D642" s="7" t="s">
        <v>1216</v>
      </c>
      <c r="E642" s="7" t="s">
        <v>113</v>
      </c>
      <c r="F642" s="7" t="s">
        <v>101</v>
      </c>
      <c r="G642" s="7" t="s">
        <v>90</v>
      </c>
      <c r="H642" s="7" t="n">
        <v>4</v>
      </c>
      <c r="I642" s="7" t="n">
        <v>265</v>
      </c>
      <c r="J642" s="7" t="n">
        <v>30</v>
      </c>
      <c r="K642" s="7" t="s">
        <v>112</v>
      </c>
      <c r="L642" s="7" t="s">
        <v>194</v>
      </c>
      <c r="M642" s="7" t="n">
        <v>43</v>
      </c>
      <c r="N642" s="7" t="n">
        <v>2</v>
      </c>
      <c r="O642" s="7" t="str">
        <f aca="false">A642&amp;"|"&amp;B642&amp;"|"&amp;C642&amp;"|"&amp;D642&amp;"|"&amp;E642&amp;"|"&amp;F642&amp;"|"&amp;G642&amp;"|"&amp;H642&amp;"|"&amp;I642&amp;"|"&amp;J642&amp;"|"&amp;K642&amp;"|"&amp;L642&amp;"|"&amp;M642&amp;"|"&amp;N642</f>
        <v>ORD12264|2025-10-14|20:43|C0460|Curry Leaf Kitchen|Mumbai|North Indian|4|265|30|Cash on Delivery|Delivered|43|2</v>
      </c>
      <c r="P642" s="7" t="str">
        <f aca="false">IF(COUNTIF($O$2:O642,O642)&gt;1,"DUP","OK")</f>
        <v>OK</v>
      </c>
      <c r="Q642" s="7" t="n">
        <f aca="false">COUNTBLANK(A642:N642)</f>
        <v>0</v>
      </c>
      <c r="R642" s="7" t="n">
        <f aca="false">IF(A642="",0,COUNTIFS($A$2:$A$3058,A642,$P$2:$P$3058,"OK"))</f>
        <v>1</v>
      </c>
      <c r="S642" s="7" t="str">
        <f aca="false">IF(OR(A642="",P642="DUP",R642&lt;2),"",IF(Q642=_xlfn.MINIFS($Q$2:$Q$3058,$A$2:$A$3058,A642,$P$2:$P$3058,"OK"),"KEEP","DROP"))</f>
        <v/>
      </c>
      <c r="T642" s="9" t="n">
        <f aca="false">IF(A642="",1,0)</f>
        <v>0</v>
      </c>
      <c r="U642" s="9" t="n">
        <f aca="false">IF(D642="",1,0)</f>
        <v>0</v>
      </c>
      <c r="V642" s="9" t="n">
        <f aca="false">IF(E642="",1,0)</f>
        <v>0</v>
      </c>
      <c r="W642" s="9" t="n">
        <f aca="false">IF(OR(H642&lt;1,H642&gt;10),1,0)</f>
        <v>0</v>
      </c>
      <c r="X642" s="9" t="n">
        <f aca="false">IF(OR(I642&lt;=0,I642&gt;1500),1,0)</f>
        <v>0</v>
      </c>
      <c r="Y642" s="9" t="n">
        <f aca="false">IF(J642&gt;H642*I642,1,0)</f>
        <v>0</v>
      </c>
      <c r="Z642" s="9" t="n">
        <f aca="false">IF(AND(N642&lt;&gt;"",OR(N642&lt;1,N642&gt;5)),1,0)</f>
        <v>0</v>
      </c>
      <c r="AA642" s="9" t="n">
        <f aca="false">IF(AND(M642&lt;&gt;"",OR(M642&lt;5,M642&gt;180)),1,0)</f>
        <v>0</v>
      </c>
      <c r="AB642" s="7" t="str">
        <f aca="false">IF(P642="DUP","Exact duplicate row",IF(T642=1,"Missing Order ID",IF(S642="DROP","Duplicate Order ID (less complete row)",IF(U642=1,"Missing Customer ID",IF(V642=1,"Missing Restaurant name",IF(W642=1,"Invalid/outlier quantity",IF(X642=1,"Invalid/outlier unit price",IF(Y642=1,"Discount greater than order value",""))))))))</f>
        <v/>
      </c>
      <c r="AC642" s="7" t="str">
        <f aca="false">IF(AB642="","KEEP","DROP")</f>
        <v>KEEP</v>
      </c>
      <c r="AD642" s="7" t="str">
        <f aca="false">IF(TRIM(F642)="",IFERROR(INDEX(Map_Tables!$I$4:$I$37,MATCH(TRIM(E642),Map_Tables!$G$4:$G$37,0)),""),IFERROR(INDEX(Map_Tables!$B$4:$B$18,MATCH(TRIM(F642),Map_Tables!$A$4:$A$18,0)),"CHECK"))</f>
        <v>Mumbai</v>
      </c>
      <c r="AE642" s="7" t="str">
        <f aca="false">IF(TRIM(E642)="","",IFERROR(INDEX(Map_Tables!$H$4:$H$37,MATCH(TRIM(E642),Map_Tables!$G$4:$G$37,0)),"CHECK"))</f>
        <v>Curry Leaf Kitchen</v>
      </c>
      <c r="AF642" s="7" t="str">
        <f aca="false">IF(TRIM(K642)="","Unknown",IFERROR(INDEX(Map_Tables!$E$4:$E$15,MATCH(TRIM(K642),Map_Tables!$D$4:$D$15,0)),"CHECK"))</f>
        <v>Cash on Delivery</v>
      </c>
      <c r="AG642" s="7" t="str">
        <f aca="false">IF(LEFT(LOWER(TRIM(L642)),6)="cancel","Cancelled","Delivered")</f>
        <v>Delivered</v>
      </c>
      <c r="AH642" s="10" t="n">
        <f aca="false">IF(ISNUMBER(SEARCH("/",B642)),DATE(VALUE(RIGHT(B642,4)),VALUE(MID(B642,4,2)),VALUE(LEFT(B642,2))),IF(MID(B642,5,1)="-",DATE(VALUE(LEFT(B642,4)),VALUE(MID(B642,6,2)),VALUE(RIGHT(B642,2))),DATE(VALUE(RIGHT(B642,4)),MATCH(MID(B642,4,3),{"Jan","Feb","Mar","Apr","May","Jun","Jul","Aug","Sep","Oct","Nov","Dec"},0),VALUE(LEFT(B642,2)))))</f>
        <v>45944</v>
      </c>
    </row>
    <row r="643" customFormat="false" ht="15" hidden="false" customHeight="false" outlineLevel="0" collapsed="false">
      <c r="A643" s="7" t="s">
        <v>2240</v>
      </c>
      <c r="B643" s="7" t="s">
        <v>240</v>
      </c>
      <c r="C643" s="7" t="s">
        <v>649</v>
      </c>
      <c r="D643" s="7" t="s">
        <v>2241</v>
      </c>
      <c r="E643" s="7" t="s">
        <v>122</v>
      </c>
      <c r="F643" s="7" t="s">
        <v>100</v>
      </c>
      <c r="G643" s="7" t="s">
        <v>123</v>
      </c>
      <c r="H643" s="7" t="n">
        <v>1</v>
      </c>
      <c r="I643" s="7" t="n">
        <v>405</v>
      </c>
      <c r="J643" s="7" t="n">
        <v>50</v>
      </c>
      <c r="K643" s="7" t="s">
        <v>88</v>
      </c>
      <c r="L643" s="7" t="s">
        <v>194</v>
      </c>
      <c r="M643" s="7" t="n">
        <v>36</v>
      </c>
      <c r="N643" s="7" t="n">
        <v>5</v>
      </c>
      <c r="O643" s="7" t="str">
        <f aca="false">A643&amp;"|"&amp;B643&amp;"|"&amp;C643&amp;"|"&amp;D643&amp;"|"&amp;E643&amp;"|"&amp;F643&amp;"|"&amp;G643&amp;"|"&amp;H643&amp;"|"&amp;I643&amp;"|"&amp;J643&amp;"|"&amp;K643&amp;"|"&amp;L643&amp;"|"&amp;M643&amp;"|"&amp;N643</f>
        <v>ORD12153|2025-10-02|21:56|C0162|Mumbai Pizza Co|mumbai|Pizza|1|405|50|UPI|Delivered|36|5</v>
      </c>
      <c r="P643" s="7" t="str">
        <f aca="false">IF(COUNTIF($O$2:O643,O643)&gt;1,"DUP","OK")</f>
        <v>OK</v>
      </c>
      <c r="Q643" s="7" t="n">
        <f aca="false">COUNTBLANK(A643:N643)</f>
        <v>0</v>
      </c>
      <c r="R643" s="7" t="n">
        <f aca="false">IF(A643="",0,COUNTIFS($A$2:$A$3058,A643,$P$2:$P$3058,"OK"))</f>
        <v>1</v>
      </c>
      <c r="S643" s="7" t="str">
        <f aca="false">IF(OR(A643="",P643="DUP",R643&lt;2),"",IF(Q643=_xlfn.MINIFS($Q$2:$Q$3058,$A$2:$A$3058,A643,$P$2:$P$3058,"OK"),"KEEP","DROP"))</f>
        <v/>
      </c>
      <c r="T643" s="9" t="n">
        <f aca="false">IF(A643="",1,0)</f>
        <v>0</v>
      </c>
      <c r="U643" s="9" t="n">
        <f aca="false">IF(D643="",1,0)</f>
        <v>0</v>
      </c>
      <c r="V643" s="9" t="n">
        <f aca="false">IF(E643="",1,0)</f>
        <v>0</v>
      </c>
      <c r="W643" s="9" t="n">
        <f aca="false">IF(OR(H643&lt;1,H643&gt;10),1,0)</f>
        <v>0</v>
      </c>
      <c r="X643" s="9" t="n">
        <f aca="false">IF(OR(I643&lt;=0,I643&gt;1500),1,0)</f>
        <v>0</v>
      </c>
      <c r="Y643" s="9" t="n">
        <f aca="false">IF(J643&gt;H643*I643,1,0)</f>
        <v>0</v>
      </c>
      <c r="Z643" s="9" t="n">
        <f aca="false">IF(AND(N643&lt;&gt;"",OR(N643&lt;1,N643&gt;5)),1,0)</f>
        <v>0</v>
      </c>
      <c r="AA643" s="9" t="n">
        <f aca="false">IF(AND(M643&lt;&gt;"",OR(M643&lt;5,M643&gt;180)),1,0)</f>
        <v>0</v>
      </c>
      <c r="AB643" s="7" t="str">
        <f aca="false">IF(P643="DUP","Exact duplicate row",IF(T643=1,"Missing Order ID",IF(S643="DROP","Duplicate Order ID (less complete row)",IF(U643=1,"Missing Customer ID",IF(V643=1,"Missing Restaurant name",IF(W643=1,"Invalid/outlier quantity",IF(X643=1,"Invalid/outlier unit price",IF(Y643=1,"Discount greater than order value",""))))))))</f>
        <v/>
      </c>
      <c r="AC643" s="7" t="str">
        <f aca="false">IF(AB643="","KEEP","DROP")</f>
        <v>KEEP</v>
      </c>
      <c r="AD643" s="7" t="str">
        <f aca="false">IF(TRIM(F643)="",IFERROR(INDEX(Map_Tables!$I$4:$I$37,MATCH(TRIM(E643),Map_Tables!$G$4:$G$37,0)),""),IFERROR(INDEX(Map_Tables!$B$4:$B$18,MATCH(TRIM(F643),Map_Tables!$A$4:$A$18,0)),"CHECK"))</f>
        <v>Mumbai</v>
      </c>
      <c r="AE643" s="7" t="str">
        <f aca="false">IF(TRIM(E643)="","",IFERROR(INDEX(Map_Tables!$H$4:$H$37,MATCH(TRIM(E643),Map_Tables!$G$4:$G$37,0)),"CHECK"))</f>
        <v>Mumbai Pizza Co</v>
      </c>
      <c r="AF643" s="7" t="str">
        <f aca="false">IF(TRIM(K643)="","Unknown",IFERROR(INDEX(Map_Tables!$E$4:$E$15,MATCH(TRIM(K643),Map_Tables!$D$4:$D$15,0)),"CHECK"))</f>
        <v>UPI</v>
      </c>
      <c r="AG643" s="7" t="str">
        <f aca="false">IF(LEFT(LOWER(TRIM(L643)),6)="cancel","Cancelled","Delivered")</f>
        <v>Delivered</v>
      </c>
      <c r="AH643" s="10" t="n">
        <f aca="false">IF(ISNUMBER(SEARCH("/",B643)),DATE(VALUE(RIGHT(B643,4)),VALUE(MID(B643,4,2)),VALUE(LEFT(B643,2))),IF(MID(B643,5,1)="-",DATE(VALUE(LEFT(B643,4)),VALUE(MID(B643,6,2)),VALUE(RIGHT(B643,2))),DATE(VALUE(RIGHT(B643,4)),MATCH(MID(B643,4,3),{"Jan","Feb","Mar","Apr","May","Jun","Jul","Aug","Sep","Oct","Nov","Dec"},0),VALUE(LEFT(B643,2)))))</f>
        <v>45932</v>
      </c>
    </row>
    <row r="644" customFormat="false" ht="15" hidden="false" customHeight="false" outlineLevel="0" collapsed="false">
      <c r="A644" s="7" t="s">
        <v>2242</v>
      </c>
      <c r="B644" s="7" t="s">
        <v>1711</v>
      </c>
      <c r="C644" s="7" t="s">
        <v>399</v>
      </c>
      <c r="D644" s="7" t="s">
        <v>1333</v>
      </c>
      <c r="E644" s="7" t="s">
        <v>130</v>
      </c>
      <c r="F644" s="7" t="s">
        <v>521</v>
      </c>
      <c r="G644" s="7" t="s">
        <v>90</v>
      </c>
      <c r="H644" s="7" t="n">
        <v>2</v>
      </c>
      <c r="I644" s="7" t="n">
        <v>255</v>
      </c>
      <c r="J644" s="7" t="n">
        <v>0</v>
      </c>
      <c r="K644" s="7" t="s">
        <v>88</v>
      </c>
      <c r="L644" s="7" t="s">
        <v>194</v>
      </c>
      <c r="M644" s="7" t="n">
        <v>36</v>
      </c>
      <c r="N644" s="7" t="n">
        <v>4</v>
      </c>
      <c r="O644" s="7" t="str">
        <f aca="false">A644&amp;"|"&amp;B644&amp;"|"&amp;C644&amp;"|"&amp;D644&amp;"|"&amp;E644&amp;"|"&amp;F644&amp;"|"&amp;G644&amp;"|"&amp;H644&amp;"|"&amp;I644&amp;"|"&amp;J644&amp;"|"&amp;K644&amp;"|"&amp;L644&amp;"|"&amp;M644&amp;"|"&amp;N644</f>
        <v>ORD12125|2025-09-30|12:43|C0411|Tandoor Tales|DELHI|North Indian|2|255|0|UPI|Delivered|36|4</v>
      </c>
      <c r="P644" s="7" t="str">
        <f aca="false">IF(COUNTIF($O$2:O644,O644)&gt;1,"DUP","OK")</f>
        <v>OK</v>
      </c>
      <c r="Q644" s="7" t="n">
        <f aca="false">COUNTBLANK(A644:N644)</f>
        <v>0</v>
      </c>
      <c r="R644" s="7" t="n">
        <f aca="false">IF(A644="",0,COUNTIFS($A$2:$A$3058,A644,$P$2:$P$3058,"OK"))</f>
        <v>1</v>
      </c>
      <c r="S644" s="7" t="str">
        <f aca="false">IF(OR(A644="",P644="DUP",R644&lt;2),"",IF(Q644=_xlfn.MINIFS($Q$2:$Q$3058,$A$2:$A$3058,A644,$P$2:$P$3058,"OK"),"KEEP","DROP"))</f>
        <v/>
      </c>
      <c r="T644" s="9" t="n">
        <f aca="false">IF(A644="",1,0)</f>
        <v>0</v>
      </c>
      <c r="U644" s="9" t="n">
        <f aca="false">IF(D644="",1,0)</f>
        <v>0</v>
      </c>
      <c r="V644" s="9" t="n">
        <f aca="false">IF(E644="",1,0)</f>
        <v>0</v>
      </c>
      <c r="W644" s="9" t="n">
        <f aca="false">IF(OR(H644&lt;1,H644&gt;10),1,0)</f>
        <v>0</v>
      </c>
      <c r="X644" s="9" t="n">
        <f aca="false">IF(OR(I644&lt;=0,I644&gt;1500),1,0)</f>
        <v>0</v>
      </c>
      <c r="Y644" s="9" t="n">
        <f aca="false">IF(J644&gt;H644*I644,1,0)</f>
        <v>0</v>
      </c>
      <c r="Z644" s="9" t="n">
        <f aca="false">IF(AND(N644&lt;&gt;"",OR(N644&lt;1,N644&gt;5)),1,0)</f>
        <v>0</v>
      </c>
      <c r="AA644" s="9" t="n">
        <f aca="false">IF(AND(M644&lt;&gt;"",OR(M644&lt;5,M644&gt;180)),1,0)</f>
        <v>0</v>
      </c>
      <c r="AB644" s="7" t="str">
        <f aca="false">IF(P644="DUP","Exact duplicate row",IF(T644=1,"Missing Order ID",IF(S644="DROP","Duplicate Order ID (less complete row)",IF(U644=1,"Missing Customer ID",IF(V644=1,"Missing Restaurant name",IF(W644=1,"Invalid/outlier quantity",IF(X644=1,"Invalid/outlier unit price",IF(Y644=1,"Discount greater than order value",""))))))))</f>
        <v/>
      </c>
      <c r="AC644" s="7" t="str">
        <f aca="false">IF(AB644="","KEEP","DROP")</f>
        <v>KEEP</v>
      </c>
      <c r="AD644" s="7" t="str">
        <f aca="false">IF(TRIM(F644)="",IFERROR(INDEX(Map_Tables!$I$4:$I$37,MATCH(TRIM(E644),Map_Tables!$G$4:$G$37,0)),""),IFERROR(INDEX(Map_Tables!$B$4:$B$18,MATCH(TRIM(F644),Map_Tables!$A$4:$A$18,0)),"CHECK"))</f>
        <v>Delhi</v>
      </c>
      <c r="AE644" s="7" t="str">
        <f aca="false">IF(TRIM(E644)="","",IFERROR(INDEX(Map_Tables!$H$4:$H$37,MATCH(TRIM(E644),Map_Tables!$G$4:$G$37,0)),"CHECK"))</f>
        <v>Tandoor Tales</v>
      </c>
      <c r="AF644" s="7" t="str">
        <f aca="false">IF(TRIM(K644)="","Unknown",IFERROR(INDEX(Map_Tables!$E$4:$E$15,MATCH(TRIM(K644),Map_Tables!$D$4:$D$15,0)),"CHECK"))</f>
        <v>UPI</v>
      </c>
      <c r="AG644" s="7" t="str">
        <f aca="false">IF(LEFT(LOWER(TRIM(L644)),6)="cancel","Cancelled","Delivered")</f>
        <v>Delivered</v>
      </c>
      <c r="AH644" s="10" t="n">
        <f aca="false">IF(ISNUMBER(SEARCH("/",B644)),DATE(VALUE(RIGHT(B644,4)),VALUE(MID(B644,4,2)),VALUE(LEFT(B644,2))),IF(MID(B644,5,1)="-",DATE(VALUE(LEFT(B644,4)),VALUE(MID(B644,6,2)),VALUE(RIGHT(B644,2))),DATE(VALUE(RIGHT(B644,4)),MATCH(MID(B644,4,3),{"Jan","Feb","Mar","Apr","May","Jun","Jul","Aug","Sep","Oct","Nov","Dec"},0),VALUE(LEFT(B644,2)))))</f>
        <v>45930</v>
      </c>
    </row>
    <row r="645" customFormat="false" ht="15" hidden="false" customHeight="false" outlineLevel="0" collapsed="false">
      <c r="A645" s="7" t="s">
        <v>2243</v>
      </c>
      <c r="B645" s="7" t="s">
        <v>2244</v>
      </c>
      <c r="C645" s="7" t="s">
        <v>2245</v>
      </c>
      <c r="D645" s="7" t="s">
        <v>2246</v>
      </c>
      <c r="E645" s="7" t="s">
        <v>89</v>
      </c>
      <c r="F645" s="7" t="s">
        <v>86</v>
      </c>
      <c r="G645" s="7" t="s">
        <v>90</v>
      </c>
      <c r="H645" s="7" t="n">
        <v>2</v>
      </c>
      <c r="I645" s="7" t="n">
        <v>195</v>
      </c>
      <c r="J645" s="7" t="n">
        <v>150</v>
      </c>
      <c r="K645" s="7" t="s">
        <v>88</v>
      </c>
      <c r="L645" s="7" t="s">
        <v>194</v>
      </c>
      <c r="M645" s="7" t="n">
        <v>40</v>
      </c>
      <c r="N645" s="7" t="n">
        <v>4</v>
      </c>
      <c r="O645" s="7" t="str">
        <f aca="false">A645&amp;"|"&amp;B645&amp;"|"&amp;C645&amp;"|"&amp;D645&amp;"|"&amp;E645&amp;"|"&amp;F645&amp;"|"&amp;G645&amp;"|"&amp;H645&amp;"|"&amp;I645&amp;"|"&amp;J645&amp;"|"&amp;K645&amp;"|"&amp;L645&amp;"|"&amp;M645&amp;"|"&amp;N645</f>
        <v>ORD11125|2025-05-23|11:41|C0111|Spice Junction|Bengaluru|North Indian|2|195|150|UPI|Delivered|40|4</v>
      </c>
      <c r="P645" s="7" t="str">
        <f aca="false">IF(COUNTIF($O$2:O645,O645)&gt;1,"DUP","OK")</f>
        <v>OK</v>
      </c>
      <c r="Q645" s="7" t="n">
        <f aca="false">COUNTBLANK(A645:N645)</f>
        <v>0</v>
      </c>
      <c r="R645" s="7" t="n">
        <f aca="false">IF(A645="",0,COUNTIFS($A$2:$A$3058,A645,$P$2:$P$3058,"OK"))</f>
        <v>1</v>
      </c>
      <c r="S645" s="7" t="str">
        <f aca="false">IF(OR(A645="",P645="DUP",R645&lt;2),"",IF(Q645=_xlfn.MINIFS($Q$2:$Q$3058,$A$2:$A$3058,A645,$P$2:$P$3058,"OK"),"KEEP","DROP"))</f>
        <v/>
      </c>
      <c r="T645" s="9" t="n">
        <f aca="false">IF(A645="",1,0)</f>
        <v>0</v>
      </c>
      <c r="U645" s="9" t="n">
        <f aca="false">IF(D645="",1,0)</f>
        <v>0</v>
      </c>
      <c r="V645" s="9" t="n">
        <f aca="false">IF(E645="",1,0)</f>
        <v>0</v>
      </c>
      <c r="W645" s="9" t="n">
        <f aca="false">IF(OR(H645&lt;1,H645&gt;10),1,0)</f>
        <v>0</v>
      </c>
      <c r="X645" s="9" t="n">
        <f aca="false">IF(OR(I645&lt;=0,I645&gt;1500),1,0)</f>
        <v>0</v>
      </c>
      <c r="Y645" s="9" t="n">
        <f aca="false">IF(J645&gt;H645*I645,1,0)</f>
        <v>0</v>
      </c>
      <c r="Z645" s="9" t="n">
        <f aca="false">IF(AND(N645&lt;&gt;"",OR(N645&lt;1,N645&gt;5)),1,0)</f>
        <v>0</v>
      </c>
      <c r="AA645" s="9" t="n">
        <f aca="false">IF(AND(M645&lt;&gt;"",OR(M645&lt;5,M645&gt;180)),1,0)</f>
        <v>0</v>
      </c>
      <c r="AB645" s="7" t="str">
        <f aca="false">IF(P645="DUP","Exact duplicate row",IF(T645=1,"Missing Order ID",IF(S645="DROP","Duplicate Order ID (less complete row)",IF(U645=1,"Missing Customer ID",IF(V645=1,"Missing Restaurant name",IF(W645=1,"Invalid/outlier quantity",IF(X645=1,"Invalid/outlier unit price",IF(Y645=1,"Discount greater than order value",""))))))))</f>
        <v/>
      </c>
      <c r="AC645" s="7" t="str">
        <f aca="false">IF(AB645="","KEEP","DROP")</f>
        <v>KEEP</v>
      </c>
      <c r="AD645" s="7" t="str">
        <f aca="false">IF(TRIM(F645)="",IFERROR(INDEX(Map_Tables!$I$4:$I$37,MATCH(TRIM(E645),Map_Tables!$G$4:$G$37,0)),""),IFERROR(INDEX(Map_Tables!$B$4:$B$18,MATCH(TRIM(F645),Map_Tables!$A$4:$A$18,0)),"CHECK"))</f>
        <v>Bengaluru</v>
      </c>
      <c r="AE645" s="7" t="str">
        <f aca="false">IF(TRIM(E645)="","",IFERROR(INDEX(Map_Tables!$H$4:$H$37,MATCH(TRIM(E645),Map_Tables!$G$4:$G$37,0)),"CHECK"))</f>
        <v>Spice Junction</v>
      </c>
      <c r="AF645" s="7" t="str">
        <f aca="false">IF(TRIM(K645)="","Unknown",IFERROR(INDEX(Map_Tables!$E$4:$E$15,MATCH(TRIM(K645),Map_Tables!$D$4:$D$15,0)),"CHECK"))</f>
        <v>UPI</v>
      </c>
      <c r="AG645" s="7" t="str">
        <f aca="false">IF(LEFT(LOWER(TRIM(L645)),6)="cancel","Cancelled","Delivered")</f>
        <v>Delivered</v>
      </c>
      <c r="AH645" s="10" t="n">
        <f aca="false">IF(ISNUMBER(SEARCH("/",B645)),DATE(VALUE(RIGHT(B645,4)),VALUE(MID(B645,4,2)),VALUE(LEFT(B645,2))),IF(MID(B645,5,1)="-",DATE(VALUE(LEFT(B645,4)),VALUE(MID(B645,6,2)),VALUE(RIGHT(B645,2))),DATE(VALUE(RIGHT(B645,4)),MATCH(MID(B645,4,3),{"Jan","Feb","Mar","Apr","May","Jun","Jul","Aug","Sep","Oct","Nov","Dec"},0),VALUE(LEFT(B645,2)))))</f>
        <v>45800</v>
      </c>
    </row>
    <row r="646" customFormat="false" ht="15" hidden="false" customHeight="false" outlineLevel="0" collapsed="false">
      <c r="A646" s="7" t="s">
        <v>2247</v>
      </c>
      <c r="B646" s="7" t="s">
        <v>2248</v>
      </c>
      <c r="C646" s="7" t="s">
        <v>2249</v>
      </c>
      <c r="D646" s="7" t="s">
        <v>1366</v>
      </c>
      <c r="E646" s="7" t="s">
        <v>113</v>
      </c>
      <c r="F646" s="7" t="s">
        <v>101</v>
      </c>
      <c r="G646" s="7" t="s">
        <v>90</v>
      </c>
      <c r="H646" s="7" t="n">
        <v>3</v>
      </c>
      <c r="I646" s="7" t="n">
        <v>310</v>
      </c>
      <c r="J646" s="7" t="n">
        <v>150</v>
      </c>
      <c r="K646" s="7" t="s">
        <v>93</v>
      </c>
      <c r="L646" s="7" t="s">
        <v>194</v>
      </c>
      <c r="M646" s="7" t="n">
        <v>38</v>
      </c>
      <c r="N646" s="7" t="n">
        <v>2</v>
      </c>
      <c r="O646" s="7" t="str">
        <f aca="false">A646&amp;"|"&amp;B646&amp;"|"&amp;C646&amp;"|"&amp;D646&amp;"|"&amp;E646&amp;"|"&amp;F646&amp;"|"&amp;G646&amp;"|"&amp;H646&amp;"|"&amp;I646&amp;"|"&amp;J646&amp;"|"&amp;K646&amp;"|"&amp;L646&amp;"|"&amp;M646&amp;"|"&amp;N646</f>
        <v>ORD10921|26/04/2025|23:17|C1112|Curry Leaf Kitchen|Mumbai|North Indian|3|310|150|Credit Card|Delivered|38|2</v>
      </c>
      <c r="P646" s="7" t="str">
        <f aca="false">IF(COUNTIF($O$2:O646,O646)&gt;1,"DUP","OK")</f>
        <v>OK</v>
      </c>
      <c r="Q646" s="7" t="n">
        <f aca="false">COUNTBLANK(A646:N646)</f>
        <v>0</v>
      </c>
      <c r="R646" s="7" t="n">
        <f aca="false">IF(A646="",0,COUNTIFS($A$2:$A$3058,A646,$P$2:$P$3058,"OK"))</f>
        <v>1</v>
      </c>
      <c r="S646" s="7" t="str">
        <f aca="false">IF(OR(A646="",P646="DUP",R646&lt;2),"",IF(Q646=_xlfn.MINIFS($Q$2:$Q$3058,$A$2:$A$3058,A646,$P$2:$P$3058,"OK"),"KEEP","DROP"))</f>
        <v/>
      </c>
      <c r="T646" s="9" t="n">
        <f aca="false">IF(A646="",1,0)</f>
        <v>0</v>
      </c>
      <c r="U646" s="9" t="n">
        <f aca="false">IF(D646="",1,0)</f>
        <v>0</v>
      </c>
      <c r="V646" s="9" t="n">
        <f aca="false">IF(E646="",1,0)</f>
        <v>0</v>
      </c>
      <c r="W646" s="9" t="n">
        <f aca="false">IF(OR(H646&lt;1,H646&gt;10),1,0)</f>
        <v>0</v>
      </c>
      <c r="X646" s="9" t="n">
        <f aca="false">IF(OR(I646&lt;=0,I646&gt;1500),1,0)</f>
        <v>0</v>
      </c>
      <c r="Y646" s="9" t="n">
        <f aca="false">IF(J646&gt;H646*I646,1,0)</f>
        <v>0</v>
      </c>
      <c r="Z646" s="9" t="n">
        <f aca="false">IF(AND(N646&lt;&gt;"",OR(N646&lt;1,N646&gt;5)),1,0)</f>
        <v>0</v>
      </c>
      <c r="AA646" s="9" t="n">
        <f aca="false">IF(AND(M646&lt;&gt;"",OR(M646&lt;5,M646&gt;180)),1,0)</f>
        <v>0</v>
      </c>
      <c r="AB646" s="7" t="str">
        <f aca="false">IF(P646="DUP","Exact duplicate row",IF(T646=1,"Missing Order ID",IF(S646="DROP","Duplicate Order ID (less complete row)",IF(U646=1,"Missing Customer ID",IF(V646=1,"Missing Restaurant name",IF(W646=1,"Invalid/outlier quantity",IF(X646=1,"Invalid/outlier unit price",IF(Y646=1,"Discount greater than order value",""))))))))</f>
        <v/>
      </c>
      <c r="AC646" s="7" t="str">
        <f aca="false">IF(AB646="","KEEP","DROP")</f>
        <v>KEEP</v>
      </c>
      <c r="AD646" s="7" t="str">
        <f aca="false">IF(TRIM(F646)="",IFERROR(INDEX(Map_Tables!$I$4:$I$37,MATCH(TRIM(E646),Map_Tables!$G$4:$G$37,0)),""),IFERROR(INDEX(Map_Tables!$B$4:$B$18,MATCH(TRIM(F646),Map_Tables!$A$4:$A$18,0)),"CHECK"))</f>
        <v>Mumbai</v>
      </c>
      <c r="AE646" s="7" t="str">
        <f aca="false">IF(TRIM(E646)="","",IFERROR(INDEX(Map_Tables!$H$4:$H$37,MATCH(TRIM(E646),Map_Tables!$G$4:$G$37,0)),"CHECK"))</f>
        <v>Curry Leaf Kitchen</v>
      </c>
      <c r="AF646" s="7" t="str">
        <f aca="false">IF(TRIM(K646)="","Unknown",IFERROR(INDEX(Map_Tables!$E$4:$E$15,MATCH(TRIM(K646),Map_Tables!$D$4:$D$15,0)),"CHECK"))</f>
        <v>Credit Card</v>
      </c>
      <c r="AG646" s="7" t="str">
        <f aca="false">IF(LEFT(LOWER(TRIM(L646)),6)="cancel","Cancelled","Delivered")</f>
        <v>Delivered</v>
      </c>
      <c r="AH646" s="10" t="n">
        <f aca="false">IF(ISNUMBER(SEARCH("/",B646)),DATE(VALUE(RIGHT(B646,4)),VALUE(MID(B646,4,2)),VALUE(LEFT(B646,2))),IF(MID(B646,5,1)="-",DATE(VALUE(LEFT(B646,4)),VALUE(MID(B646,6,2)),VALUE(RIGHT(B646,2))),DATE(VALUE(RIGHT(B646,4)),MATCH(MID(B646,4,3),{"Jan","Feb","Mar","Apr","May","Jun","Jul","Aug","Sep","Oct","Nov","Dec"},0),VALUE(LEFT(B646,2)))))</f>
        <v>45773</v>
      </c>
    </row>
    <row r="647" customFormat="false" ht="15" hidden="false" customHeight="false" outlineLevel="0" collapsed="false">
      <c r="A647" s="7" t="s">
        <v>2250</v>
      </c>
      <c r="B647" s="7" t="s">
        <v>1282</v>
      </c>
      <c r="C647" s="7" t="s">
        <v>1474</v>
      </c>
      <c r="D647" s="7" t="s">
        <v>1331</v>
      </c>
      <c r="E647" s="7" t="s">
        <v>130</v>
      </c>
      <c r="F647" s="7" t="s">
        <v>110</v>
      </c>
      <c r="G647" s="7" t="s">
        <v>90</v>
      </c>
      <c r="H647" s="7" t="n">
        <v>1</v>
      </c>
      <c r="I647" s="7" t="n">
        <v>225</v>
      </c>
      <c r="J647" s="7" t="n">
        <v>0</v>
      </c>
      <c r="K647" s="7" t="s">
        <v>103</v>
      </c>
      <c r="L647" s="7" t="s">
        <v>194</v>
      </c>
      <c r="M647" s="7" t="n">
        <v>50</v>
      </c>
      <c r="N647" s="7" t="n">
        <v>4</v>
      </c>
      <c r="O647" s="7" t="str">
        <f aca="false">A647&amp;"|"&amp;B647&amp;"|"&amp;C647&amp;"|"&amp;D647&amp;"|"&amp;E647&amp;"|"&amp;F647&amp;"|"&amp;G647&amp;"|"&amp;H647&amp;"|"&amp;I647&amp;"|"&amp;J647&amp;"|"&amp;K647&amp;"|"&amp;L647&amp;"|"&amp;M647&amp;"|"&amp;N647</f>
        <v>ORD12450|2025-11-04|19:37|C0478|Tandoor Tales|Delhi|North Indian|1|225|0|Debit Card|Delivered|50|4</v>
      </c>
      <c r="P647" s="7" t="str">
        <f aca="false">IF(COUNTIF($O$2:O647,O647)&gt;1,"DUP","OK")</f>
        <v>OK</v>
      </c>
      <c r="Q647" s="7" t="n">
        <f aca="false">COUNTBLANK(A647:N647)</f>
        <v>0</v>
      </c>
      <c r="R647" s="7" t="n">
        <f aca="false">IF(A647="",0,COUNTIFS($A$2:$A$3058,A647,$P$2:$P$3058,"OK"))</f>
        <v>1</v>
      </c>
      <c r="S647" s="7" t="str">
        <f aca="false">IF(OR(A647="",P647="DUP",R647&lt;2),"",IF(Q647=_xlfn.MINIFS($Q$2:$Q$3058,$A$2:$A$3058,A647,$P$2:$P$3058,"OK"),"KEEP","DROP"))</f>
        <v/>
      </c>
      <c r="T647" s="9" t="n">
        <f aca="false">IF(A647="",1,0)</f>
        <v>0</v>
      </c>
      <c r="U647" s="9" t="n">
        <f aca="false">IF(D647="",1,0)</f>
        <v>0</v>
      </c>
      <c r="V647" s="9" t="n">
        <f aca="false">IF(E647="",1,0)</f>
        <v>0</v>
      </c>
      <c r="W647" s="9" t="n">
        <f aca="false">IF(OR(H647&lt;1,H647&gt;10),1,0)</f>
        <v>0</v>
      </c>
      <c r="X647" s="9" t="n">
        <f aca="false">IF(OR(I647&lt;=0,I647&gt;1500),1,0)</f>
        <v>0</v>
      </c>
      <c r="Y647" s="9" t="n">
        <f aca="false">IF(J647&gt;H647*I647,1,0)</f>
        <v>0</v>
      </c>
      <c r="Z647" s="9" t="n">
        <f aca="false">IF(AND(N647&lt;&gt;"",OR(N647&lt;1,N647&gt;5)),1,0)</f>
        <v>0</v>
      </c>
      <c r="AA647" s="9" t="n">
        <f aca="false">IF(AND(M647&lt;&gt;"",OR(M647&lt;5,M647&gt;180)),1,0)</f>
        <v>0</v>
      </c>
      <c r="AB647" s="7" t="str">
        <f aca="false">IF(P647="DUP","Exact duplicate row",IF(T647=1,"Missing Order ID",IF(S647="DROP","Duplicate Order ID (less complete row)",IF(U647=1,"Missing Customer ID",IF(V647=1,"Missing Restaurant name",IF(W647=1,"Invalid/outlier quantity",IF(X647=1,"Invalid/outlier unit price",IF(Y647=1,"Discount greater than order value",""))))))))</f>
        <v/>
      </c>
      <c r="AC647" s="7" t="str">
        <f aca="false">IF(AB647="","KEEP","DROP")</f>
        <v>KEEP</v>
      </c>
      <c r="AD647" s="7" t="str">
        <f aca="false">IF(TRIM(F647)="",IFERROR(INDEX(Map_Tables!$I$4:$I$37,MATCH(TRIM(E647),Map_Tables!$G$4:$G$37,0)),""),IFERROR(INDEX(Map_Tables!$B$4:$B$18,MATCH(TRIM(F647),Map_Tables!$A$4:$A$18,0)),"CHECK"))</f>
        <v>Delhi</v>
      </c>
      <c r="AE647" s="7" t="str">
        <f aca="false">IF(TRIM(E647)="","",IFERROR(INDEX(Map_Tables!$H$4:$H$37,MATCH(TRIM(E647),Map_Tables!$G$4:$G$37,0)),"CHECK"))</f>
        <v>Tandoor Tales</v>
      </c>
      <c r="AF647" s="7" t="str">
        <f aca="false">IF(TRIM(K647)="","Unknown",IFERROR(INDEX(Map_Tables!$E$4:$E$15,MATCH(TRIM(K647),Map_Tables!$D$4:$D$15,0)),"CHECK"))</f>
        <v>Debit Card</v>
      </c>
      <c r="AG647" s="7" t="str">
        <f aca="false">IF(LEFT(LOWER(TRIM(L647)),6)="cancel","Cancelled","Delivered")</f>
        <v>Delivered</v>
      </c>
      <c r="AH647" s="10" t="n">
        <f aca="false">IF(ISNUMBER(SEARCH("/",B647)),DATE(VALUE(RIGHT(B647,4)),VALUE(MID(B647,4,2)),VALUE(LEFT(B647,2))),IF(MID(B647,5,1)="-",DATE(VALUE(LEFT(B647,4)),VALUE(MID(B647,6,2)),VALUE(RIGHT(B647,2))),DATE(VALUE(RIGHT(B647,4)),MATCH(MID(B647,4,3),{"Jan","Feb","Mar","Apr","May","Jun","Jul","Aug","Sep","Oct","Nov","Dec"},0),VALUE(LEFT(B647,2)))))</f>
        <v>45965</v>
      </c>
    </row>
    <row r="648" customFormat="false" ht="15" hidden="false" customHeight="false" outlineLevel="0" collapsed="false">
      <c r="A648" s="7" t="s">
        <v>2251</v>
      </c>
      <c r="B648" s="7" t="s">
        <v>2095</v>
      </c>
      <c r="C648" s="7" t="s">
        <v>2252</v>
      </c>
      <c r="D648" s="7" t="s">
        <v>2253</v>
      </c>
      <c r="E648" s="7" t="s">
        <v>113</v>
      </c>
      <c r="F648" s="7" t="s">
        <v>101</v>
      </c>
      <c r="G648" s="7" t="s">
        <v>90</v>
      </c>
      <c r="H648" s="7" t="n">
        <v>2</v>
      </c>
      <c r="I648" s="7" t="n">
        <v>195</v>
      </c>
      <c r="J648" s="7" t="n">
        <v>0</v>
      </c>
      <c r="K648" s="7" t="s">
        <v>88</v>
      </c>
      <c r="L648" s="7" t="s">
        <v>194</v>
      </c>
      <c r="M648" s="7" t="n">
        <v>33</v>
      </c>
      <c r="N648" s="7" t="n">
        <v>3</v>
      </c>
      <c r="O648" s="7" t="str">
        <f aca="false">A648&amp;"|"&amp;B648&amp;"|"&amp;C648&amp;"|"&amp;D648&amp;"|"&amp;E648&amp;"|"&amp;F648&amp;"|"&amp;G648&amp;"|"&amp;H648&amp;"|"&amp;I648&amp;"|"&amp;J648&amp;"|"&amp;K648&amp;"|"&amp;L648&amp;"|"&amp;M648&amp;"|"&amp;N648</f>
        <v>ORD10972|2025-05-03|11:36|C1441|Curry Leaf Kitchen|Mumbai|North Indian|2|195|0|UPI|Delivered|33|3</v>
      </c>
      <c r="P648" s="7" t="str">
        <f aca="false">IF(COUNTIF($O$2:O648,O648)&gt;1,"DUP","OK")</f>
        <v>OK</v>
      </c>
      <c r="Q648" s="7" t="n">
        <f aca="false">COUNTBLANK(A648:N648)</f>
        <v>0</v>
      </c>
      <c r="R648" s="7" t="n">
        <f aca="false">IF(A648="",0,COUNTIFS($A$2:$A$3058,A648,$P$2:$P$3058,"OK"))</f>
        <v>1</v>
      </c>
      <c r="S648" s="7" t="str">
        <f aca="false">IF(OR(A648="",P648="DUP",R648&lt;2),"",IF(Q648=_xlfn.MINIFS($Q$2:$Q$3058,$A$2:$A$3058,A648,$P$2:$P$3058,"OK"),"KEEP","DROP"))</f>
        <v/>
      </c>
      <c r="T648" s="9" t="n">
        <f aca="false">IF(A648="",1,0)</f>
        <v>0</v>
      </c>
      <c r="U648" s="9" t="n">
        <f aca="false">IF(D648="",1,0)</f>
        <v>0</v>
      </c>
      <c r="V648" s="9" t="n">
        <f aca="false">IF(E648="",1,0)</f>
        <v>0</v>
      </c>
      <c r="W648" s="9" t="n">
        <f aca="false">IF(OR(H648&lt;1,H648&gt;10),1,0)</f>
        <v>0</v>
      </c>
      <c r="X648" s="9" t="n">
        <f aca="false">IF(OR(I648&lt;=0,I648&gt;1500),1,0)</f>
        <v>0</v>
      </c>
      <c r="Y648" s="9" t="n">
        <f aca="false">IF(J648&gt;H648*I648,1,0)</f>
        <v>0</v>
      </c>
      <c r="Z648" s="9" t="n">
        <f aca="false">IF(AND(N648&lt;&gt;"",OR(N648&lt;1,N648&gt;5)),1,0)</f>
        <v>0</v>
      </c>
      <c r="AA648" s="9" t="n">
        <f aca="false">IF(AND(M648&lt;&gt;"",OR(M648&lt;5,M648&gt;180)),1,0)</f>
        <v>0</v>
      </c>
      <c r="AB648" s="7" t="str">
        <f aca="false">IF(P648="DUP","Exact duplicate row",IF(T648=1,"Missing Order ID",IF(S648="DROP","Duplicate Order ID (less complete row)",IF(U648=1,"Missing Customer ID",IF(V648=1,"Missing Restaurant name",IF(W648=1,"Invalid/outlier quantity",IF(X648=1,"Invalid/outlier unit price",IF(Y648=1,"Discount greater than order value",""))))))))</f>
        <v/>
      </c>
      <c r="AC648" s="7" t="str">
        <f aca="false">IF(AB648="","KEEP","DROP")</f>
        <v>KEEP</v>
      </c>
      <c r="AD648" s="7" t="str">
        <f aca="false">IF(TRIM(F648)="",IFERROR(INDEX(Map_Tables!$I$4:$I$37,MATCH(TRIM(E648),Map_Tables!$G$4:$G$37,0)),""),IFERROR(INDEX(Map_Tables!$B$4:$B$18,MATCH(TRIM(F648),Map_Tables!$A$4:$A$18,0)),"CHECK"))</f>
        <v>Mumbai</v>
      </c>
      <c r="AE648" s="7" t="str">
        <f aca="false">IF(TRIM(E648)="","",IFERROR(INDEX(Map_Tables!$H$4:$H$37,MATCH(TRIM(E648),Map_Tables!$G$4:$G$37,0)),"CHECK"))</f>
        <v>Curry Leaf Kitchen</v>
      </c>
      <c r="AF648" s="7" t="str">
        <f aca="false">IF(TRIM(K648)="","Unknown",IFERROR(INDEX(Map_Tables!$E$4:$E$15,MATCH(TRIM(K648),Map_Tables!$D$4:$D$15,0)),"CHECK"))</f>
        <v>UPI</v>
      </c>
      <c r="AG648" s="7" t="str">
        <f aca="false">IF(LEFT(LOWER(TRIM(L648)),6)="cancel","Cancelled","Delivered")</f>
        <v>Delivered</v>
      </c>
      <c r="AH648" s="10" t="n">
        <f aca="false">IF(ISNUMBER(SEARCH("/",B648)),DATE(VALUE(RIGHT(B648,4)),VALUE(MID(B648,4,2)),VALUE(LEFT(B648,2))),IF(MID(B648,5,1)="-",DATE(VALUE(LEFT(B648,4)),VALUE(MID(B648,6,2)),VALUE(RIGHT(B648,2))),DATE(VALUE(RIGHT(B648,4)),MATCH(MID(B648,4,3),{"Jan","Feb","Mar","Apr","May","Jun","Jul","Aug","Sep","Oct","Nov","Dec"},0),VALUE(LEFT(B648,2)))))</f>
        <v>45780</v>
      </c>
    </row>
    <row r="649" customFormat="false" ht="15" hidden="false" customHeight="false" outlineLevel="0" collapsed="false">
      <c r="A649" s="7" t="s">
        <v>2254</v>
      </c>
      <c r="B649" s="7" t="s">
        <v>1167</v>
      </c>
      <c r="C649" s="7" t="s">
        <v>2255</v>
      </c>
      <c r="D649" s="7" t="s">
        <v>2256</v>
      </c>
      <c r="E649" s="7" t="s">
        <v>138</v>
      </c>
      <c r="F649" s="7" t="s">
        <v>110</v>
      </c>
      <c r="G649" s="7" t="s">
        <v>139</v>
      </c>
      <c r="H649" s="7" t="n">
        <v>3</v>
      </c>
      <c r="I649" s="7" t="n">
        <v>195</v>
      </c>
      <c r="J649" s="7" t="n">
        <v>0</v>
      </c>
      <c r="K649" s="7" t="s">
        <v>102</v>
      </c>
      <c r="L649" s="7" t="s">
        <v>194</v>
      </c>
      <c r="M649" s="7" t="n">
        <v>31</v>
      </c>
      <c r="N649" s="7" t="n">
        <v>3</v>
      </c>
      <c r="O649" s="7" t="str">
        <f aca="false">A649&amp;"|"&amp;B649&amp;"|"&amp;C649&amp;"|"&amp;D649&amp;"|"&amp;E649&amp;"|"&amp;F649&amp;"|"&amp;G649&amp;"|"&amp;H649&amp;"|"&amp;I649&amp;"|"&amp;J649&amp;"|"&amp;K649&amp;"|"&amp;L649&amp;"|"&amp;M649&amp;"|"&amp;N649</f>
        <v>ORD12354|2025-10-23|18:55|C1066|Burger Barn|Delhi|Burgers|3|195|0|debit card|Delivered|31|3</v>
      </c>
      <c r="P649" s="7" t="str">
        <f aca="false">IF(COUNTIF($O$2:O649,O649)&gt;1,"DUP","OK")</f>
        <v>OK</v>
      </c>
      <c r="Q649" s="7" t="n">
        <f aca="false">COUNTBLANK(A649:N649)</f>
        <v>0</v>
      </c>
      <c r="R649" s="7" t="n">
        <f aca="false">IF(A649="",0,COUNTIFS($A$2:$A$3058,A649,$P$2:$P$3058,"OK"))</f>
        <v>1</v>
      </c>
      <c r="S649" s="7" t="str">
        <f aca="false">IF(OR(A649="",P649="DUP",R649&lt;2),"",IF(Q649=_xlfn.MINIFS($Q$2:$Q$3058,$A$2:$A$3058,A649,$P$2:$P$3058,"OK"),"KEEP","DROP"))</f>
        <v/>
      </c>
      <c r="T649" s="9" t="n">
        <f aca="false">IF(A649="",1,0)</f>
        <v>0</v>
      </c>
      <c r="U649" s="9" t="n">
        <f aca="false">IF(D649="",1,0)</f>
        <v>0</v>
      </c>
      <c r="V649" s="9" t="n">
        <f aca="false">IF(E649="",1,0)</f>
        <v>0</v>
      </c>
      <c r="W649" s="9" t="n">
        <f aca="false">IF(OR(H649&lt;1,H649&gt;10),1,0)</f>
        <v>0</v>
      </c>
      <c r="X649" s="9" t="n">
        <f aca="false">IF(OR(I649&lt;=0,I649&gt;1500),1,0)</f>
        <v>0</v>
      </c>
      <c r="Y649" s="9" t="n">
        <f aca="false">IF(J649&gt;H649*I649,1,0)</f>
        <v>0</v>
      </c>
      <c r="Z649" s="9" t="n">
        <f aca="false">IF(AND(N649&lt;&gt;"",OR(N649&lt;1,N649&gt;5)),1,0)</f>
        <v>0</v>
      </c>
      <c r="AA649" s="9" t="n">
        <f aca="false">IF(AND(M649&lt;&gt;"",OR(M649&lt;5,M649&gt;180)),1,0)</f>
        <v>0</v>
      </c>
      <c r="AB649" s="7" t="str">
        <f aca="false">IF(P649="DUP","Exact duplicate row",IF(T649=1,"Missing Order ID",IF(S649="DROP","Duplicate Order ID (less complete row)",IF(U649=1,"Missing Customer ID",IF(V649=1,"Missing Restaurant name",IF(W649=1,"Invalid/outlier quantity",IF(X649=1,"Invalid/outlier unit price",IF(Y649=1,"Discount greater than order value",""))))))))</f>
        <v/>
      </c>
      <c r="AC649" s="7" t="str">
        <f aca="false">IF(AB649="","KEEP","DROP")</f>
        <v>KEEP</v>
      </c>
      <c r="AD649" s="7" t="str">
        <f aca="false">IF(TRIM(F649)="",IFERROR(INDEX(Map_Tables!$I$4:$I$37,MATCH(TRIM(E649),Map_Tables!$G$4:$G$37,0)),""),IFERROR(INDEX(Map_Tables!$B$4:$B$18,MATCH(TRIM(F649),Map_Tables!$A$4:$A$18,0)),"CHECK"))</f>
        <v>Delhi</v>
      </c>
      <c r="AE649" s="7" t="str">
        <f aca="false">IF(TRIM(E649)="","",IFERROR(INDEX(Map_Tables!$H$4:$H$37,MATCH(TRIM(E649),Map_Tables!$G$4:$G$37,0)),"CHECK"))</f>
        <v>Burger Barn</v>
      </c>
      <c r="AF649" s="7" t="str">
        <f aca="false">IF(TRIM(K649)="","Unknown",IFERROR(INDEX(Map_Tables!$E$4:$E$15,MATCH(TRIM(K649),Map_Tables!$D$4:$D$15,0)),"CHECK"))</f>
        <v>Debit Card</v>
      </c>
      <c r="AG649" s="7" t="str">
        <f aca="false">IF(LEFT(LOWER(TRIM(L649)),6)="cancel","Cancelled","Delivered")</f>
        <v>Delivered</v>
      </c>
      <c r="AH649" s="10" t="n">
        <f aca="false">IF(ISNUMBER(SEARCH("/",B649)),DATE(VALUE(RIGHT(B649,4)),VALUE(MID(B649,4,2)),VALUE(LEFT(B649,2))),IF(MID(B649,5,1)="-",DATE(VALUE(LEFT(B649,4)),VALUE(MID(B649,6,2)),VALUE(RIGHT(B649,2))),DATE(VALUE(RIGHT(B649,4)),MATCH(MID(B649,4,3),{"Jan","Feb","Mar","Apr","May","Jun","Jul","Aug","Sep","Oct","Nov","Dec"},0),VALUE(LEFT(B649,2)))))</f>
        <v>45953</v>
      </c>
    </row>
    <row r="650" customFormat="false" ht="15" hidden="false" customHeight="false" outlineLevel="0" collapsed="false">
      <c r="A650" s="7" t="s">
        <v>2257</v>
      </c>
      <c r="B650" s="7" t="s">
        <v>758</v>
      </c>
      <c r="C650" s="7" t="s">
        <v>825</v>
      </c>
      <c r="D650" s="7" t="s">
        <v>2258</v>
      </c>
      <c r="E650" s="7" t="s">
        <v>147</v>
      </c>
      <c r="F650" s="7" t="s">
        <v>119</v>
      </c>
      <c r="G650" s="7" t="s">
        <v>95</v>
      </c>
      <c r="H650" s="7" t="n">
        <v>1</v>
      </c>
      <c r="I650" s="7" t="n">
        <v>12000</v>
      </c>
      <c r="J650" s="7" t="n">
        <v>60</v>
      </c>
      <c r="K650" s="7" t="s">
        <v>133</v>
      </c>
      <c r="L650" s="7" t="s">
        <v>194</v>
      </c>
      <c r="M650" s="7" t="n">
        <v>44</v>
      </c>
      <c r="N650" s="7" t="n">
        <v>5</v>
      </c>
      <c r="O650" s="7" t="str">
        <f aca="false">A650&amp;"|"&amp;B650&amp;"|"&amp;C650&amp;"|"&amp;D650&amp;"|"&amp;E650&amp;"|"&amp;F650&amp;"|"&amp;G650&amp;"|"&amp;H650&amp;"|"&amp;I650&amp;"|"&amp;J650&amp;"|"&amp;K650&amp;"|"&amp;L650&amp;"|"&amp;M650&amp;"|"&amp;N650</f>
        <v>ORD12812|2025-12-10|15:36|C0895|Andhra Meals Mess|Hyderabad|South Indian|1|12000|60|Net Banking|Delivered|44|5</v>
      </c>
      <c r="P650" s="7" t="str">
        <f aca="false">IF(COUNTIF($O$2:O650,O650)&gt;1,"DUP","OK")</f>
        <v>OK</v>
      </c>
      <c r="Q650" s="7" t="n">
        <f aca="false">COUNTBLANK(A650:N650)</f>
        <v>0</v>
      </c>
      <c r="R650" s="7" t="n">
        <f aca="false">IF(A650="",0,COUNTIFS($A$2:$A$3058,A650,$P$2:$P$3058,"OK"))</f>
        <v>1</v>
      </c>
      <c r="S650" s="7" t="str">
        <f aca="false">IF(OR(A650="",P650="DUP",R650&lt;2),"",IF(Q650=_xlfn.MINIFS($Q$2:$Q$3058,$A$2:$A$3058,A650,$P$2:$P$3058,"OK"),"KEEP","DROP"))</f>
        <v/>
      </c>
      <c r="T650" s="9" t="n">
        <f aca="false">IF(A650="",1,0)</f>
        <v>0</v>
      </c>
      <c r="U650" s="9" t="n">
        <f aca="false">IF(D650="",1,0)</f>
        <v>0</v>
      </c>
      <c r="V650" s="9" t="n">
        <f aca="false">IF(E650="",1,0)</f>
        <v>0</v>
      </c>
      <c r="W650" s="9" t="n">
        <f aca="false">IF(OR(H650&lt;1,H650&gt;10),1,0)</f>
        <v>0</v>
      </c>
      <c r="X650" s="9" t="n">
        <f aca="false">IF(OR(I650&lt;=0,I650&gt;1500),1,0)</f>
        <v>1</v>
      </c>
      <c r="Y650" s="9" t="n">
        <f aca="false">IF(J650&gt;H650*I650,1,0)</f>
        <v>0</v>
      </c>
      <c r="Z650" s="9" t="n">
        <f aca="false">IF(AND(N650&lt;&gt;"",OR(N650&lt;1,N650&gt;5)),1,0)</f>
        <v>0</v>
      </c>
      <c r="AA650" s="9" t="n">
        <f aca="false">IF(AND(M650&lt;&gt;"",OR(M650&lt;5,M650&gt;180)),1,0)</f>
        <v>0</v>
      </c>
      <c r="AB650" s="7" t="str">
        <f aca="false">IF(P650="DUP","Exact duplicate row",IF(T650=1,"Missing Order ID",IF(S650="DROP","Duplicate Order ID (less complete row)",IF(U650=1,"Missing Customer ID",IF(V650=1,"Missing Restaurant name",IF(W650=1,"Invalid/outlier quantity",IF(X650=1,"Invalid/outlier unit price",IF(Y650=1,"Discount greater than order value",""))))))))</f>
        <v>Invalid/outlier unit price</v>
      </c>
      <c r="AC650" s="7" t="str">
        <f aca="false">IF(AB650="","KEEP","DROP")</f>
        <v>DROP</v>
      </c>
      <c r="AD650" s="7" t="str">
        <f aca="false">IF(TRIM(F650)="",IFERROR(INDEX(Map_Tables!$I$4:$I$37,MATCH(TRIM(E650),Map_Tables!$G$4:$G$37,0)),""),IFERROR(INDEX(Map_Tables!$B$4:$B$18,MATCH(TRIM(F650),Map_Tables!$A$4:$A$18,0)),"CHECK"))</f>
        <v>Hyderabad</v>
      </c>
      <c r="AE650" s="7" t="str">
        <f aca="false">IF(TRIM(E650)="","",IFERROR(INDEX(Map_Tables!$H$4:$H$37,MATCH(TRIM(E650),Map_Tables!$G$4:$G$37,0)),"CHECK"))</f>
        <v>Andhra Meals Mess</v>
      </c>
      <c r="AF650" s="7" t="str">
        <f aca="false">IF(TRIM(K650)="","Unknown",IFERROR(INDEX(Map_Tables!$E$4:$E$15,MATCH(TRIM(K650),Map_Tables!$D$4:$D$15,0)),"CHECK"))</f>
        <v>Net Banking</v>
      </c>
      <c r="AG650" s="7" t="str">
        <f aca="false">IF(LEFT(LOWER(TRIM(L650)),6)="cancel","Cancelled","Delivered")</f>
        <v>Delivered</v>
      </c>
      <c r="AH650" s="10" t="n">
        <f aca="false">IF(ISNUMBER(SEARCH("/",B650)),DATE(VALUE(RIGHT(B650,4)),VALUE(MID(B650,4,2)),VALUE(LEFT(B650,2))),IF(MID(B650,5,1)="-",DATE(VALUE(LEFT(B650,4)),VALUE(MID(B650,6,2)),VALUE(RIGHT(B650,2))),DATE(VALUE(RIGHT(B650,4)),MATCH(MID(B650,4,3),{"Jan","Feb","Mar","Apr","May","Jun","Jul","Aug","Sep","Oct","Nov","Dec"},0),VALUE(LEFT(B650,2)))))</f>
        <v>46001</v>
      </c>
    </row>
    <row r="651" customFormat="false" ht="15" hidden="false" customHeight="false" outlineLevel="0" collapsed="false">
      <c r="A651" s="7" t="s">
        <v>2259</v>
      </c>
      <c r="B651" s="7" t="s">
        <v>459</v>
      </c>
      <c r="C651" s="7" t="s">
        <v>2260</v>
      </c>
      <c r="D651" s="7" t="s">
        <v>2086</v>
      </c>
      <c r="E651" s="7" t="s">
        <v>157</v>
      </c>
      <c r="F651" s="7" t="s">
        <v>136</v>
      </c>
      <c r="G651" s="7" t="s">
        <v>117</v>
      </c>
      <c r="H651" s="7" t="n">
        <v>1</v>
      </c>
      <c r="I651" s="7" t="n">
        <v>120</v>
      </c>
      <c r="J651" s="7" t="n">
        <v>30</v>
      </c>
      <c r="K651" s="7" t="s">
        <v>103</v>
      </c>
      <c r="L651" s="7" t="s">
        <v>194</v>
      </c>
      <c r="M651" s="7" t="n">
        <v>31</v>
      </c>
      <c r="N651" s="7" t="n">
        <v>5</v>
      </c>
      <c r="O651" s="7" t="str">
        <f aca="false">A651&amp;"|"&amp;B651&amp;"|"&amp;C651&amp;"|"&amp;D651&amp;"|"&amp;E651&amp;"|"&amp;F651&amp;"|"&amp;G651&amp;"|"&amp;H651&amp;"|"&amp;I651&amp;"|"&amp;J651&amp;"|"&amp;K651&amp;"|"&amp;L651&amp;"|"&amp;M651&amp;"|"&amp;N651</f>
        <v>ORD11545|2025-07-20|20:30|C0165|Misal Mantra|Pune|Street Food|1|120|30|Debit Card|Delivered|31|5</v>
      </c>
      <c r="P651" s="7" t="str">
        <f aca="false">IF(COUNTIF($O$2:O651,O651)&gt;1,"DUP","OK")</f>
        <v>OK</v>
      </c>
      <c r="Q651" s="7" t="n">
        <f aca="false">COUNTBLANK(A651:N651)</f>
        <v>0</v>
      </c>
      <c r="R651" s="7" t="n">
        <f aca="false">IF(A651="",0,COUNTIFS($A$2:$A$3058,A651,$P$2:$P$3058,"OK"))</f>
        <v>1</v>
      </c>
      <c r="S651" s="7" t="str">
        <f aca="false">IF(OR(A651="",P651="DUP",R651&lt;2),"",IF(Q651=_xlfn.MINIFS($Q$2:$Q$3058,$A$2:$A$3058,A651,$P$2:$P$3058,"OK"),"KEEP","DROP"))</f>
        <v/>
      </c>
      <c r="T651" s="9" t="n">
        <f aca="false">IF(A651="",1,0)</f>
        <v>0</v>
      </c>
      <c r="U651" s="9" t="n">
        <f aca="false">IF(D651="",1,0)</f>
        <v>0</v>
      </c>
      <c r="V651" s="9" t="n">
        <f aca="false">IF(E651="",1,0)</f>
        <v>0</v>
      </c>
      <c r="W651" s="9" t="n">
        <f aca="false">IF(OR(H651&lt;1,H651&gt;10),1,0)</f>
        <v>0</v>
      </c>
      <c r="X651" s="9" t="n">
        <f aca="false">IF(OR(I651&lt;=0,I651&gt;1500),1,0)</f>
        <v>0</v>
      </c>
      <c r="Y651" s="9" t="n">
        <f aca="false">IF(J651&gt;H651*I651,1,0)</f>
        <v>0</v>
      </c>
      <c r="Z651" s="9" t="n">
        <f aca="false">IF(AND(N651&lt;&gt;"",OR(N651&lt;1,N651&gt;5)),1,0)</f>
        <v>0</v>
      </c>
      <c r="AA651" s="9" t="n">
        <f aca="false">IF(AND(M651&lt;&gt;"",OR(M651&lt;5,M651&gt;180)),1,0)</f>
        <v>0</v>
      </c>
      <c r="AB651" s="7" t="str">
        <f aca="false">IF(P651="DUP","Exact duplicate row",IF(T651=1,"Missing Order ID",IF(S651="DROP","Duplicate Order ID (less complete row)",IF(U651=1,"Missing Customer ID",IF(V651=1,"Missing Restaurant name",IF(W651=1,"Invalid/outlier quantity",IF(X651=1,"Invalid/outlier unit price",IF(Y651=1,"Discount greater than order value",""))))))))</f>
        <v/>
      </c>
      <c r="AC651" s="7" t="str">
        <f aca="false">IF(AB651="","KEEP","DROP")</f>
        <v>KEEP</v>
      </c>
      <c r="AD651" s="7" t="str">
        <f aca="false">IF(TRIM(F651)="",IFERROR(INDEX(Map_Tables!$I$4:$I$37,MATCH(TRIM(E651),Map_Tables!$G$4:$G$37,0)),""),IFERROR(INDEX(Map_Tables!$B$4:$B$18,MATCH(TRIM(F651),Map_Tables!$A$4:$A$18,0)),"CHECK"))</f>
        <v>Pune</v>
      </c>
      <c r="AE651" s="7" t="str">
        <f aca="false">IF(TRIM(E651)="","",IFERROR(INDEX(Map_Tables!$H$4:$H$37,MATCH(TRIM(E651),Map_Tables!$G$4:$G$37,0)),"CHECK"))</f>
        <v>Misal Mantra</v>
      </c>
      <c r="AF651" s="7" t="str">
        <f aca="false">IF(TRIM(K651)="","Unknown",IFERROR(INDEX(Map_Tables!$E$4:$E$15,MATCH(TRIM(K651),Map_Tables!$D$4:$D$15,0)),"CHECK"))</f>
        <v>Debit Card</v>
      </c>
      <c r="AG651" s="7" t="str">
        <f aca="false">IF(LEFT(LOWER(TRIM(L651)),6)="cancel","Cancelled","Delivered")</f>
        <v>Delivered</v>
      </c>
      <c r="AH651" s="10" t="n">
        <f aca="false">IF(ISNUMBER(SEARCH("/",B651)),DATE(VALUE(RIGHT(B651,4)),VALUE(MID(B651,4,2)),VALUE(LEFT(B651,2))),IF(MID(B651,5,1)="-",DATE(VALUE(LEFT(B651,4)),VALUE(MID(B651,6,2)),VALUE(RIGHT(B651,2))),DATE(VALUE(RIGHT(B651,4)),MATCH(MID(B651,4,3),{"Jan","Feb","Mar","Apr","May","Jun","Jul","Aug","Sep","Oct","Nov","Dec"},0),VALUE(LEFT(B651,2)))))</f>
        <v>45858</v>
      </c>
    </row>
    <row r="652" customFormat="false" ht="15" hidden="false" customHeight="false" outlineLevel="0" collapsed="false">
      <c r="A652" s="7" t="s">
        <v>2261</v>
      </c>
      <c r="B652" s="7" t="s">
        <v>921</v>
      </c>
      <c r="C652" s="7" t="s">
        <v>1552</v>
      </c>
      <c r="D652" s="7" t="s">
        <v>1075</v>
      </c>
      <c r="E652" s="7" t="s">
        <v>134</v>
      </c>
      <c r="F652" s="7" t="s">
        <v>110</v>
      </c>
      <c r="G652" s="7" t="s">
        <v>117</v>
      </c>
      <c r="H652" s="7" t="n">
        <v>2</v>
      </c>
      <c r="I652" s="7" t="n">
        <v>130</v>
      </c>
      <c r="J652" s="7" t="n">
        <v>0</v>
      </c>
      <c r="K652" s="7" t="s">
        <v>133</v>
      </c>
      <c r="L652" s="7" t="s">
        <v>238</v>
      </c>
      <c r="M652" s="7"/>
      <c r="N652" s="7"/>
      <c r="O652" s="7" t="str">
        <f aca="false">A652&amp;"|"&amp;B652&amp;"|"&amp;C652&amp;"|"&amp;D652&amp;"|"&amp;E652&amp;"|"&amp;F652&amp;"|"&amp;G652&amp;"|"&amp;H652&amp;"|"&amp;I652&amp;"|"&amp;J652&amp;"|"&amp;K652&amp;"|"&amp;L652&amp;"|"&amp;M652&amp;"|"&amp;N652</f>
        <v>ORD12158|2025-10-03|11:25|C1097|Chaat Corner|Delhi|Street Food|2|130|0|Net Banking|Cancelled||</v>
      </c>
      <c r="P652" s="7" t="str">
        <f aca="false">IF(COUNTIF($O$2:O652,O652)&gt;1,"DUP","OK")</f>
        <v>OK</v>
      </c>
      <c r="Q652" s="7" t="n">
        <f aca="false">COUNTBLANK(A652:N652)</f>
        <v>2</v>
      </c>
      <c r="R652" s="7" t="n">
        <f aca="false">IF(A652="",0,COUNTIFS($A$2:$A$3058,A652,$P$2:$P$3058,"OK"))</f>
        <v>1</v>
      </c>
      <c r="S652" s="7" t="str">
        <f aca="false">IF(OR(A652="",P652="DUP",R652&lt;2),"",IF(Q652=_xlfn.MINIFS($Q$2:$Q$3058,$A$2:$A$3058,A652,$P$2:$P$3058,"OK"),"KEEP","DROP"))</f>
        <v/>
      </c>
      <c r="T652" s="9" t="n">
        <f aca="false">IF(A652="",1,0)</f>
        <v>0</v>
      </c>
      <c r="U652" s="9" t="n">
        <f aca="false">IF(D652="",1,0)</f>
        <v>0</v>
      </c>
      <c r="V652" s="9" t="n">
        <f aca="false">IF(E652="",1,0)</f>
        <v>0</v>
      </c>
      <c r="W652" s="9" t="n">
        <f aca="false">IF(OR(H652&lt;1,H652&gt;10),1,0)</f>
        <v>0</v>
      </c>
      <c r="X652" s="9" t="n">
        <f aca="false">IF(OR(I652&lt;=0,I652&gt;1500),1,0)</f>
        <v>0</v>
      </c>
      <c r="Y652" s="9" t="n">
        <f aca="false">IF(J652&gt;H652*I652,1,0)</f>
        <v>0</v>
      </c>
      <c r="Z652" s="9" t="n">
        <f aca="false">IF(AND(N652&lt;&gt;"",OR(N652&lt;1,N652&gt;5)),1,0)</f>
        <v>0</v>
      </c>
      <c r="AA652" s="9" t="n">
        <f aca="false">IF(AND(M652&lt;&gt;"",OR(M652&lt;5,M652&gt;180)),1,0)</f>
        <v>0</v>
      </c>
      <c r="AB652" s="7" t="str">
        <f aca="false">IF(P652="DUP","Exact duplicate row",IF(T652=1,"Missing Order ID",IF(S652="DROP","Duplicate Order ID (less complete row)",IF(U652=1,"Missing Customer ID",IF(V652=1,"Missing Restaurant name",IF(W652=1,"Invalid/outlier quantity",IF(X652=1,"Invalid/outlier unit price",IF(Y652=1,"Discount greater than order value",""))))))))</f>
        <v/>
      </c>
      <c r="AC652" s="7" t="str">
        <f aca="false">IF(AB652="","KEEP","DROP")</f>
        <v>KEEP</v>
      </c>
      <c r="AD652" s="7" t="str">
        <f aca="false">IF(TRIM(F652)="",IFERROR(INDEX(Map_Tables!$I$4:$I$37,MATCH(TRIM(E652),Map_Tables!$G$4:$G$37,0)),""),IFERROR(INDEX(Map_Tables!$B$4:$B$18,MATCH(TRIM(F652),Map_Tables!$A$4:$A$18,0)),"CHECK"))</f>
        <v>Delhi</v>
      </c>
      <c r="AE652" s="7" t="str">
        <f aca="false">IF(TRIM(E652)="","",IFERROR(INDEX(Map_Tables!$H$4:$H$37,MATCH(TRIM(E652),Map_Tables!$G$4:$G$37,0)),"CHECK"))</f>
        <v>Chaat Corner</v>
      </c>
      <c r="AF652" s="7" t="str">
        <f aca="false">IF(TRIM(K652)="","Unknown",IFERROR(INDEX(Map_Tables!$E$4:$E$15,MATCH(TRIM(K652),Map_Tables!$D$4:$D$15,0)),"CHECK"))</f>
        <v>Net Banking</v>
      </c>
      <c r="AG652" s="7" t="str">
        <f aca="false">IF(LEFT(LOWER(TRIM(L652)),6)="cancel","Cancelled","Delivered")</f>
        <v>Cancelled</v>
      </c>
      <c r="AH652" s="10" t="n">
        <f aca="false">IF(ISNUMBER(SEARCH("/",B652)),DATE(VALUE(RIGHT(B652,4)),VALUE(MID(B652,4,2)),VALUE(LEFT(B652,2))),IF(MID(B652,5,1)="-",DATE(VALUE(LEFT(B652,4)),VALUE(MID(B652,6,2)),VALUE(RIGHT(B652,2))),DATE(VALUE(RIGHT(B652,4)),MATCH(MID(B652,4,3),{"Jan","Feb","Mar","Apr","May","Jun","Jul","Aug","Sep","Oct","Nov","Dec"},0),VALUE(LEFT(B652,2)))))</f>
        <v>45933</v>
      </c>
    </row>
    <row r="653" customFormat="false" ht="15" hidden="false" customHeight="false" outlineLevel="0" collapsed="false">
      <c r="A653" s="7" t="s">
        <v>2262</v>
      </c>
      <c r="B653" s="7" t="s">
        <v>318</v>
      </c>
      <c r="C653" s="7" t="s">
        <v>2263</v>
      </c>
      <c r="D653" s="7" t="s">
        <v>1464</v>
      </c>
      <c r="E653" s="7" t="s">
        <v>159</v>
      </c>
      <c r="F653" s="7" t="s">
        <v>136</v>
      </c>
      <c r="G653" s="7" t="s">
        <v>90</v>
      </c>
      <c r="H653" s="7" t="n">
        <v>4</v>
      </c>
      <c r="I653" s="7" t="n">
        <v>170</v>
      </c>
      <c r="J653" s="7" t="n">
        <v>75</v>
      </c>
      <c r="K653" s="7" t="s">
        <v>121</v>
      </c>
      <c r="L653" s="7" t="s">
        <v>194</v>
      </c>
      <c r="M653" s="7" t="n">
        <v>45</v>
      </c>
      <c r="N653" s="7" t="n">
        <v>5</v>
      </c>
      <c r="O653" s="7" t="str">
        <f aca="false">A653&amp;"|"&amp;B653&amp;"|"&amp;C653&amp;"|"&amp;D653&amp;"|"&amp;E653&amp;"|"&amp;F653&amp;"|"&amp;G653&amp;"|"&amp;H653&amp;"|"&amp;I653&amp;"|"&amp;J653&amp;"|"&amp;K653&amp;"|"&amp;L653&amp;"|"&amp;M653&amp;"|"&amp;N653</f>
        <v>ORD10752|2025-04-05|21:41|C1352|Maratha Thali House|Pune|North Indian|4|170|75|Wallet|Delivered|45|5</v>
      </c>
      <c r="P653" s="7" t="str">
        <f aca="false">IF(COUNTIF($O$2:O653,O653)&gt;1,"DUP","OK")</f>
        <v>OK</v>
      </c>
      <c r="Q653" s="7" t="n">
        <f aca="false">COUNTBLANK(A653:N653)</f>
        <v>0</v>
      </c>
      <c r="R653" s="7" t="n">
        <f aca="false">IF(A653="",0,COUNTIFS($A$2:$A$3058,A653,$P$2:$P$3058,"OK"))</f>
        <v>1</v>
      </c>
      <c r="S653" s="7" t="str">
        <f aca="false">IF(OR(A653="",P653="DUP",R653&lt;2),"",IF(Q653=_xlfn.MINIFS($Q$2:$Q$3058,$A$2:$A$3058,A653,$P$2:$P$3058,"OK"),"KEEP","DROP"))</f>
        <v/>
      </c>
      <c r="T653" s="9" t="n">
        <f aca="false">IF(A653="",1,0)</f>
        <v>0</v>
      </c>
      <c r="U653" s="9" t="n">
        <f aca="false">IF(D653="",1,0)</f>
        <v>0</v>
      </c>
      <c r="V653" s="9" t="n">
        <f aca="false">IF(E653="",1,0)</f>
        <v>0</v>
      </c>
      <c r="W653" s="9" t="n">
        <f aca="false">IF(OR(H653&lt;1,H653&gt;10),1,0)</f>
        <v>0</v>
      </c>
      <c r="X653" s="9" t="n">
        <f aca="false">IF(OR(I653&lt;=0,I653&gt;1500),1,0)</f>
        <v>0</v>
      </c>
      <c r="Y653" s="9" t="n">
        <f aca="false">IF(J653&gt;H653*I653,1,0)</f>
        <v>0</v>
      </c>
      <c r="Z653" s="9" t="n">
        <f aca="false">IF(AND(N653&lt;&gt;"",OR(N653&lt;1,N653&gt;5)),1,0)</f>
        <v>0</v>
      </c>
      <c r="AA653" s="9" t="n">
        <f aca="false">IF(AND(M653&lt;&gt;"",OR(M653&lt;5,M653&gt;180)),1,0)</f>
        <v>0</v>
      </c>
      <c r="AB653" s="7" t="str">
        <f aca="false">IF(P653="DUP","Exact duplicate row",IF(T653=1,"Missing Order ID",IF(S653="DROP","Duplicate Order ID (less complete row)",IF(U653=1,"Missing Customer ID",IF(V653=1,"Missing Restaurant name",IF(W653=1,"Invalid/outlier quantity",IF(X653=1,"Invalid/outlier unit price",IF(Y653=1,"Discount greater than order value",""))))))))</f>
        <v/>
      </c>
      <c r="AC653" s="7" t="str">
        <f aca="false">IF(AB653="","KEEP","DROP")</f>
        <v>KEEP</v>
      </c>
      <c r="AD653" s="7" t="str">
        <f aca="false">IF(TRIM(F653)="",IFERROR(INDEX(Map_Tables!$I$4:$I$37,MATCH(TRIM(E653),Map_Tables!$G$4:$G$37,0)),""),IFERROR(INDEX(Map_Tables!$B$4:$B$18,MATCH(TRIM(F653),Map_Tables!$A$4:$A$18,0)),"CHECK"))</f>
        <v>Pune</v>
      </c>
      <c r="AE653" s="7" t="str">
        <f aca="false">IF(TRIM(E653)="","",IFERROR(INDEX(Map_Tables!$H$4:$H$37,MATCH(TRIM(E653),Map_Tables!$G$4:$G$37,0)),"CHECK"))</f>
        <v>Maratha Thali House</v>
      </c>
      <c r="AF653" s="7" t="str">
        <f aca="false">IF(TRIM(K653)="","Unknown",IFERROR(INDEX(Map_Tables!$E$4:$E$15,MATCH(TRIM(K653),Map_Tables!$D$4:$D$15,0)),"CHECK"))</f>
        <v>Wallet</v>
      </c>
      <c r="AG653" s="7" t="str">
        <f aca="false">IF(LEFT(LOWER(TRIM(L653)),6)="cancel","Cancelled","Delivered")</f>
        <v>Delivered</v>
      </c>
      <c r="AH653" s="10" t="n">
        <f aca="false">IF(ISNUMBER(SEARCH("/",B653)),DATE(VALUE(RIGHT(B653,4)),VALUE(MID(B653,4,2)),VALUE(LEFT(B653,2))),IF(MID(B653,5,1)="-",DATE(VALUE(LEFT(B653,4)),VALUE(MID(B653,6,2)),VALUE(RIGHT(B653,2))),DATE(VALUE(RIGHT(B653,4)),MATCH(MID(B653,4,3),{"Jan","Feb","Mar","Apr","May","Jun","Jul","Aug","Sep","Oct","Nov","Dec"},0),VALUE(LEFT(B653,2)))))</f>
        <v>45752</v>
      </c>
    </row>
    <row r="654" customFormat="false" ht="15" hidden="false" customHeight="false" outlineLevel="0" collapsed="false">
      <c r="A654" s="7" t="s">
        <v>2264</v>
      </c>
      <c r="B654" s="7" t="s">
        <v>1663</v>
      </c>
      <c r="C654" s="7" t="s">
        <v>1105</v>
      </c>
      <c r="D654" s="7" t="s">
        <v>2117</v>
      </c>
      <c r="E654" s="7" t="s">
        <v>168</v>
      </c>
      <c r="F654" s="7" t="s">
        <v>146</v>
      </c>
      <c r="G654" s="7" t="s">
        <v>123</v>
      </c>
      <c r="H654" s="7" t="n">
        <v>4</v>
      </c>
      <c r="I654" s="7" t="n">
        <v>295</v>
      </c>
      <c r="J654" s="7" t="n">
        <v>40</v>
      </c>
      <c r="K654" s="7" t="s">
        <v>93</v>
      </c>
      <c r="L654" s="7" t="s">
        <v>194</v>
      </c>
      <c r="M654" s="7" t="n">
        <v>31</v>
      </c>
      <c r="N654" s="7" t="n">
        <v>3</v>
      </c>
      <c r="O654" s="7" t="str">
        <f aca="false">A654&amp;"|"&amp;B654&amp;"|"&amp;C654&amp;"|"&amp;D654&amp;"|"&amp;E654&amp;"|"&amp;F654&amp;"|"&amp;G654&amp;"|"&amp;H654&amp;"|"&amp;I654&amp;"|"&amp;J654&amp;"|"&amp;K654&amp;"|"&amp;L654&amp;"|"&amp;M654&amp;"|"&amp;N654</f>
        <v>ORD11085|2025-05-17|22:07|C1391|Cheesy Slice|Ahmedabad|Pizza|4|295|40|Credit Card|Delivered|31|3</v>
      </c>
      <c r="P654" s="7" t="str">
        <f aca="false">IF(COUNTIF($O$2:O654,O654)&gt;1,"DUP","OK")</f>
        <v>OK</v>
      </c>
      <c r="Q654" s="7" t="n">
        <f aca="false">COUNTBLANK(A654:N654)</f>
        <v>0</v>
      </c>
      <c r="R654" s="7" t="n">
        <f aca="false">IF(A654="",0,COUNTIFS($A$2:$A$3058,A654,$P$2:$P$3058,"OK"))</f>
        <v>1</v>
      </c>
      <c r="S654" s="7" t="str">
        <f aca="false">IF(OR(A654="",P654="DUP",R654&lt;2),"",IF(Q654=_xlfn.MINIFS($Q$2:$Q$3058,$A$2:$A$3058,A654,$P$2:$P$3058,"OK"),"KEEP","DROP"))</f>
        <v/>
      </c>
      <c r="T654" s="9" t="n">
        <f aca="false">IF(A654="",1,0)</f>
        <v>0</v>
      </c>
      <c r="U654" s="9" t="n">
        <f aca="false">IF(D654="",1,0)</f>
        <v>0</v>
      </c>
      <c r="V654" s="9" t="n">
        <f aca="false">IF(E654="",1,0)</f>
        <v>0</v>
      </c>
      <c r="W654" s="9" t="n">
        <f aca="false">IF(OR(H654&lt;1,H654&gt;10),1,0)</f>
        <v>0</v>
      </c>
      <c r="X654" s="9" t="n">
        <f aca="false">IF(OR(I654&lt;=0,I654&gt;1500),1,0)</f>
        <v>0</v>
      </c>
      <c r="Y654" s="9" t="n">
        <f aca="false">IF(J654&gt;H654*I654,1,0)</f>
        <v>0</v>
      </c>
      <c r="Z654" s="9" t="n">
        <f aca="false">IF(AND(N654&lt;&gt;"",OR(N654&lt;1,N654&gt;5)),1,0)</f>
        <v>0</v>
      </c>
      <c r="AA654" s="9" t="n">
        <f aca="false">IF(AND(M654&lt;&gt;"",OR(M654&lt;5,M654&gt;180)),1,0)</f>
        <v>0</v>
      </c>
      <c r="AB654" s="7" t="str">
        <f aca="false">IF(P654="DUP","Exact duplicate row",IF(T654=1,"Missing Order ID",IF(S654="DROP","Duplicate Order ID (less complete row)",IF(U654=1,"Missing Customer ID",IF(V654=1,"Missing Restaurant name",IF(W654=1,"Invalid/outlier quantity",IF(X654=1,"Invalid/outlier unit price",IF(Y654=1,"Discount greater than order value",""))))))))</f>
        <v/>
      </c>
      <c r="AC654" s="7" t="str">
        <f aca="false">IF(AB654="","KEEP","DROP")</f>
        <v>KEEP</v>
      </c>
      <c r="AD654" s="7" t="str">
        <f aca="false">IF(TRIM(F654)="",IFERROR(INDEX(Map_Tables!$I$4:$I$37,MATCH(TRIM(E654),Map_Tables!$G$4:$G$37,0)),""),IFERROR(INDEX(Map_Tables!$B$4:$B$18,MATCH(TRIM(F654),Map_Tables!$A$4:$A$18,0)),"CHECK"))</f>
        <v>Ahmedabad</v>
      </c>
      <c r="AE654" s="7" t="str">
        <f aca="false">IF(TRIM(E654)="","",IFERROR(INDEX(Map_Tables!$H$4:$H$37,MATCH(TRIM(E654),Map_Tables!$G$4:$G$37,0)),"CHECK"))</f>
        <v>Cheesy Slice</v>
      </c>
      <c r="AF654" s="7" t="str">
        <f aca="false">IF(TRIM(K654)="","Unknown",IFERROR(INDEX(Map_Tables!$E$4:$E$15,MATCH(TRIM(K654),Map_Tables!$D$4:$D$15,0)),"CHECK"))</f>
        <v>Credit Card</v>
      </c>
      <c r="AG654" s="7" t="str">
        <f aca="false">IF(LEFT(LOWER(TRIM(L654)),6)="cancel","Cancelled","Delivered")</f>
        <v>Delivered</v>
      </c>
      <c r="AH654" s="10" t="n">
        <f aca="false">IF(ISNUMBER(SEARCH("/",B654)),DATE(VALUE(RIGHT(B654,4)),VALUE(MID(B654,4,2)),VALUE(LEFT(B654,2))),IF(MID(B654,5,1)="-",DATE(VALUE(LEFT(B654,4)),VALUE(MID(B654,6,2)),VALUE(RIGHT(B654,2))),DATE(VALUE(RIGHT(B654,4)),MATCH(MID(B654,4,3),{"Jan","Feb","Mar","Apr","May","Jun","Jul","Aug","Sep","Oct","Nov","Dec"},0),VALUE(LEFT(B654,2)))))</f>
        <v>45794</v>
      </c>
    </row>
    <row r="655" customFormat="false" ht="15" hidden="false" customHeight="false" outlineLevel="0" collapsed="false">
      <c r="A655" s="7" t="s">
        <v>2265</v>
      </c>
      <c r="B655" s="7" t="s">
        <v>1309</v>
      </c>
      <c r="C655" s="7" t="s">
        <v>2266</v>
      </c>
      <c r="D655" s="7" t="s">
        <v>1719</v>
      </c>
      <c r="E655" s="7" t="s">
        <v>163</v>
      </c>
      <c r="F655" s="7" t="s">
        <v>141</v>
      </c>
      <c r="G655" s="7" t="s">
        <v>99</v>
      </c>
      <c r="H655" s="7" t="n">
        <v>1</v>
      </c>
      <c r="I655" s="7" t="n">
        <v>200</v>
      </c>
      <c r="J655" s="7" t="n">
        <v>80</v>
      </c>
      <c r="K655" s="7" t="s">
        <v>88</v>
      </c>
      <c r="L655" s="7" t="s">
        <v>194</v>
      </c>
      <c r="M655" s="7" t="n">
        <v>33</v>
      </c>
      <c r="N655" s="7" t="n">
        <v>3</v>
      </c>
      <c r="O655" s="7" t="str">
        <f aca="false">A655&amp;"|"&amp;B655&amp;"|"&amp;C655&amp;"|"&amp;D655&amp;"|"&amp;E655&amp;"|"&amp;F655&amp;"|"&amp;G655&amp;"|"&amp;H655&amp;"|"&amp;I655&amp;"|"&amp;J655&amp;"|"&amp;K655&amp;"|"&amp;L655&amp;"|"&amp;M655&amp;"|"&amp;N655</f>
        <v>ORD10151|2025-01-20|11:45|C0291|Biryani Baadshah|Kolkata|Biryani|1|200|80|UPI|Delivered|33|3</v>
      </c>
      <c r="P655" s="7" t="str">
        <f aca="false">IF(COUNTIF($O$2:O655,O655)&gt;1,"DUP","OK")</f>
        <v>OK</v>
      </c>
      <c r="Q655" s="7" t="n">
        <f aca="false">COUNTBLANK(A655:N655)</f>
        <v>0</v>
      </c>
      <c r="R655" s="7" t="n">
        <f aca="false">IF(A655="",0,COUNTIFS($A$2:$A$3058,A655,$P$2:$P$3058,"OK"))</f>
        <v>1</v>
      </c>
      <c r="S655" s="7" t="str">
        <f aca="false">IF(OR(A655="",P655="DUP",R655&lt;2),"",IF(Q655=_xlfn.MINIFS($Q$2:$Q$3058,$A$2:$A$3058,A655,$P$2:$P$3058,"OK"),"KEEP","DROP"))</f>
        <v/>
      </c>
      <c r="T655" s="9" t="n">
        <f aca="false">IF(A655="",1,0)</f>
        <v>0</v>
      </c>
      <c r="U655" s="9" t="n">
        <f aca="false">IF(D655="",1,0)</f>
        <v>0</v>
      </c>
      <c r="V655" s="9" t="n">
        <f aca="false">IF(E655="",1,0)</f>
        <v>0</v>
      </c>
      <c r="W655" s="9" t="n">
        <f aca="false">IF(OR(H655&lt;1,H655&gt;10),1,0)</f>
        <v>0</v>
      </c>
      <c r="X655" s="9" t="n">
        <f aca="false">IF(OR(I655&lt;=0,I655&gt;1500),1,0)</f>
        <v>0</v>
      </c>
      <c r="Y655" s="9" t="n">
        <f aca="false">IF(J655&gt;H655*I655,1,0)</f>
        <v>0</v>
      </c>
      <c r="Z655" s="9" t="n">
        <f aca="false">IF(AND(N655&lt;&gt;"",OR(N655&lt;1,N655&gt;5)),1,0)</f>
        <v>0</v>
      </c>
      <c r="AA655" s="9" t="n">
        <f aca="false">IF(AND(M655&lt;&gt;"",OR(M655&lt;5,M655&gt;180)),1,0)</f>
        <v>0</v>
      </c>
      <c r="AB655" s="7" t="str">
        <f aca="false">IF(P655="DUP","Exact duplicate row",IF(T655=1,"Missing Order ID",IF(S655="DROP","Duplicate Order ID (less complete row)",IF(U655=1,"Missing Customer ID",IF(V655=1,"Missing Restaurant name",IF(W655=1,"Invalid/outlier quantity",IF(X655=1,"Invalid/outlier unit price",IF(Y655=1,"Discount greater than order value",""))))))))</f>
        <v/>
      </c>
      <c r="AC655" s="7" t="str">
        <f aca="false">IF(AB655="","KEEP","DROP")</f>
        <v>KEEP</v>
      </c>
      <c r="AD655" s="7" t="str">
        <f aca="false">IF(TRIM(F655)="",IFERROR(INDEX(Map_Tables!$I$4:$I$37,MATCH(TRIM(E655),Map_Tables!$G$4:$G$37,0)),""),IFERROR(INDEX(Map_Tables!$B$4:$B$18,MATCH(TRIM(F655),Map_Tables!$A$4:$A$18,0)),"CHECK"))</f>
        <v>Kolkata</v>
      </c>
      <c r="AE655" s="7" t="str">
        <f aca="false">IF(TRIM(E655)="","",IFERROR(INDEX(Map_Tables!$H$4:$H$37,MATCH(TRIM(E655),Map_Tables!$G$4:$G$37,0)),"CHECK"))</f>
        <v>Biryani Baadshah</v>
      </c>
      <c r="AF655" s="7" t="str">
        <f aca="false">IF(TRIM(K655)="","Unknown",IFERROR(INDEX(Map_Tables!$E$4:$E$15,MATCH(TRIM(K655),Map_Tables!$D$4:$D$15,0)),"CHECK"))</f>
        <v>UPI</v>
      </c>
      <c r="AG655" s="7" t="str">
        <f aca="false">IF(LEFT(LOWER(TRIM(L655)),6)="cancel","Cancelled","Delivered")</f>
        <v>Delivered</v>
      </c>
      <c r="AH655" s="10" t="n">
        <f aca="false">IF(ISNUMBER(SEARCH("/",B655)),DATE(VALUE(RIGHT(B655,4)),VALUE(MID(B655,4,2)),VALUE(LEFT(B655,2))),IF(MID(B655,5,1)="-",DATE(VALUE(LEFT(B655,4)),VALUE(MID(B655,6,2)),VALUE(RIGHT(B655,2))),DATE(VALUE(RIGHT(B655,4)),MATCH(MID(B655,4,3),{"Jan","Feb","Mar","Apr","May","Jun","Jul","Aug","Sep","Oct","Nov","Dec"},0),VALUE(LEFT(B655,2)))))</f>
        <v>45677</v>
      </c>
    </row>
    <row r="656" customFormat="false" ht="15" hidden="false" customHeight="false" outlineLevel="0" collapsed="false">
      <c r="A656" s="7" t="s">
        <v>2267</v>
      </c>
      <c r="B656" s="7" t="s">
        <v>903</v>
      </c>
      <c r="C656" s="7" t="s">
        <v>2268</v>
      </c>
      <c r="D656" s="7" t="s">
        <v>501</v>
      </c>
      <c r="E656" s="7" t="s">
        <v>142</v>
      </c>
      <c r="F656" s="7" t="s">
        <v>756</v>
      </c>
      <c r="G656" s="7" t="s">
        <v>105</v>
      </c>
      <c r="H656" s="7" t="n">
        <v>1</v>
      </c>
      <c r="I656" s="7" t="n">
        <v>125</v>
      </c>
      <c r="J656" s="7" t="n">
        <v>50</v>
      </c>
      <c r="K656" s="7" t="s">
        <v>88</v>
      </c>
      <c r="L656" s="7" t="s">
        <v>194</v>
      </c>
      <c r="M656" s="7" t="n">
        <v>37</v>
      </c>
      <c r="N656" s="7" t="n">
        <v>4</v>
      </c>
      <c r="O656" s="7" t="str">
        <f aca="false">A656&amp;"|"&amp;B656&amp;"|"&amp;C656&amp;"|"&amp;D656&amp;"|"&amp;E656&amp;"|"&amp;F656&amp;"|"&amp;G656&amp;"|"&amp;H656&amp;"|"&amp;I656&amp;"|"&amp;J656&amp;"|"&amp;K656&amp;"|"&amp;L656&amp;"|"&amp;M656&amp;"|"&amp;N656</f>
        <v>ORD12400|2025-10-30|12:18|C1331|Momo Magic|Delhi |Chinese|1|125|50|UPI|Delivered|37|4</v>
      </c>
      <c r="P656" s="7" t="str">
        <f aca="false">IF(COUNTIF($O$2:O656,O656)&gt;1,"DUP","OK")</f>
        <v>OK</v>
      </c>
      <c r="Q656" s="7" t="n">
        <f aca="false">COUNTBLANK(A656:N656)</f>
        <v>0</v>
      </c>
      <c r="R656" s="7" t="n">
        <f aca="false">IF(A656="",0,COUNTIFS($A$2:$A$3058,A656,$P$2:$P$3058,"OK"))</f>
        <v>1</v>
      </c>
      <c r="S656" s="7" t="str">
        <f aca="false">IF(OR(A656="",P656="DUP",R656&lt;2),"",IF(Q656=_xlfn.MINIFS($Q$2:$Q$3058,$A$2:$A$3058,A656,$P$2:$P$3058,"OK"),"KEEP","DROP"))</f>
        <v/>
      </c>
      <c r="T656" s="9" t="n">
        <f aca="false">IF(A656="",1,0)</f>
        <v>0</v>
      </c>
      <c r="U656" s="9" t="n">
        <f aca="false">IF(D656="",1,0)</f>
        <v>0</v>
      </c>
      <c r="V656" s="9" t="n">
        <f aca="false">IF(E656="",1,0)</f>
        <v>0</v>
      </c>
      <c r="W656" s="9" t="n">
        <f aca="false">IF(OR(H656&lt;1,H656&gt;10),1,0)</f>
        <v>0</v>
      </c>
      <c r="X656" s="9" t="n">
        <f aca="false">IF(OR(I656&lt;=0,I656&gt;1500),1,0)</f>
        <v>0</v>
      </c>
      <c r="Y656" s="9" t="n">
        <f aca="false">IF(J656&gt;H656*I656,1,0)</f>
        <v>0</v>
      </c>
      <c r="Z656" s="9" t="n">
        <f aca="false">IF(AND(N656&lt;&gt;"",OR(N656&lt;1,N656&gt;5)),1,0)</f>
        <v>0</v>
      </c>
      <c r="AA656" s="9" t="n">
        <f aca="false">IF(AND(M656&lt;&gt;"",OR(M656&lt;5,M656&gt;180)),1,0)</f>
        <v>0</v>
      </c>
      <c r="AB656" s="7" t="str">
        <f aca="false">IF(P656="DUP","Exact duplicate row",IF(T656=1,"Missing Order ID",IF(S656="DROP","Duplicate Order ID (less complete row)",IF(U656=1,"Missing Customer ID",IF(V656=1,"Missing Restaurant name",IF(W656=1,"Invalid/outlier quantity",IF(X656=1,"Invalid/outlier unit price",IF(Y656=1,"Discount greater than order value",""))))))))</f>
        <v/>
      </c>
      <c r="AC656" s="7" t="str">
        <f aca="false">IF(AB656="","KEEP","DROP")</f>
        <v>KEEP</v>
      </c>
      <c r="AD656" s="7" t="str">
        <f aca="false">IF(TRIM(F656)="",IFERROR(INDEX(Map_Tables!$I$4:$I$37,MATCH(TRIM(E656),Map_Tables!$G$4:$G$37,0)),""),IFERROR(INDEX(Map_Tables!$B$4:$B$18,MATCH(TRIM(F656),Map_Tables!$A$4:$A$18,0)),"CHECK"))</f>
        <v>Delhi</v>
      </c>
      <c r="AE656" s="7" t="str">
        <f aca="false">IF(TRIM(E656)="","",IFERROR(INDEX(Map_Tables!$H$4:$H$37,MATCH(TRIM(E656),Map_Tables!$G$4:$G$37,0)),"CHECK"))</f>
        <v>Momo Magic</v>
      </c>
      <c r="AF656" s="7" t="str">
        <f aca="false">IF(TRIM(K656)="","Unknown",IFERROR(INDEX(Map_Tables!$E$4:$E$15,MATCH(TRIM(K656),Map_Tables!$D$4:$D$15,0)),"CHECK"))</f>
        <v>UPI</v>
      </c>
      <c r="AG656" s="7" t="str">
        <f aca="false">IF(LEFT(LOWER(TRIM(L656)),6)="cancel","Cancelled","Delivered")</f>
        <v>Delivered</v>
      </c>
      <c r="AH656" s="10" t="n">
        <f aca="false">IF(ISNUMBER(SEARCH("/",B656)),DATE(VALUE(RIGHT(B656,4)),VALUE(MID(B656,4,2)),VALUE(LEFT(B656,2))),IF(MID(B656,5,1)="-",DATE(VALUE(LEFT(B656,4)),VALUE(MID(B656,6,2)),VALUE(RIGHT(B656,2))),DATE(VALUE(RIGHT(B656,4)),MATCH(MID(B656,4,3),{"Jan","Feb","Mar","Apr","May","Jun","Jul","Aug","Sep","Oct","Nov","Dec"},0),VALUE(LEFT(B656,2)))))</f>
        <v>45960</v>
      </c>
    </row>
    <row r="657" customFormat="false" ht="15" hidden="false" customHeight="false" outlineLevel="0" collapsed="false">
      <c r="A657" s="7" t="s">
        <v>2269</v>
      </c>
      <c r="B657" s="7" t="s">
        <v>2270</v>
      </c>
      <c r="C657" s="7" t="s">
        <v>2271</v>
      </c>
      <c r="D657" s="7" t="s">
        <v>763</v>
      </c>
      <c r="E657" s="7" t="s">
        <v>104</v>
      </c>
      <c r="F657" s="7" t="s">
        <v>86</v>
      </c>
      <c r="G657" s="7" t="s">
        <v>105</v>
      </c>
      <c r="H657" s="7" t="n">
        <v>5</v>
      </c>
      <c r="I657" s="7" t="n">
        <v>175</v>
      </c>
      <c r="J657" s="7" t="n">
        <v>0</v>
      </c>
      <c r="K657" s="7" t="s">
        <v>133</v>
      </c>
      <c r="L657" s="7" t="s">
        <v>194</v>
      </c>
      <c r="M657" s="7" t="n">
        <v>39</v>
      </c>
      <c r="N657" s="7" t="n">
        <v>5</v>
      </c>
      <c r="O657" s="7" t="str">
        <f aca="false">A657&amp;"|"&amp;B657&amp;"|"&amp;C657&amp;"|"&amp;D657&amp;"|"&amp;E657&amp;"|"&amp;F657&amp;"|"&amp;G657&amp;"|"&amp;H657&amp;"|"&amp;I657&amp;"|"&amp;J657&amp;"|"&amp;K657&amp;"|"&amp;L657&amp;"|"&amp;M657&amp;"|"&amp;N657</f>
        <v>ORD12933|2025-12-24|12:38|C0167|Wok &amp; Roll|Bengaluru|Chinese|5|175|0|Net Banking|Delivered|39|5</v>
      </c>
      <c r="P657" s="7" t="str">
        <f aca="false">IF(COUNTIF($O$2:O657,O657)&gt;1,"DUP","OK")</f>
        <v>OK</v>
      </c>
      <c r="Q657" s="7" t="n">
        <f aca="false">COUNTBLANK(A657:N657)</f>
        <v>0</v>
      </c>
      <c r="R657" s="7" t="n">
        <f aca="false">IF(A657="",0,COUNTIFS($A$2:$A$3058,A657,$P$2:$P$3058,"OK"))</f>
        <v>1</v>
      </c>
      <c r="S657" s="7" t="str">
        <f aca="false">IF(OR(A657="",P657="DUP",R657&lt;2),"",IF(Q657=_xlfn.MINIFS($Q$2:$Q$3058,$A$2:$A$3058,A657,$P$2:$P$3058,"OK"),"KEEP","DROP"))</f>
        <v/>
      </c>
      <c r="T657" s="9" t="n">
        <f aca="false">IF(A657="",1,0)</f>
        <v>0</v>
      </c>
      <c r="U657" s="9" t="n">
        <f aca="false">IF(D657="",1,0)</f>
        <v>0</v>
      </c>
      <c r="V657" s="9" t="n">
        <f aca="false">IF(E657="",1,0)</f>
        <v>0</v>
      </c>
      <c r="W657" s="9" t="n">
        <f aca="false">IF(OR(H657&lt;1,H657&gt;10),1,0)</f>
        <v>0</v>
      </c>
      <c r="X657" s="9" t="n">
        <f aca="false">IF(OR(I657&lt;=0,I657&gt;1500),1,0)</f>
        <v>0</v>
      </c>
      <c r="Y657" s="9" t="n">
        <f aca="false">IF(J657&gt;H657*I657,1,0)</f>
        <v>0</v>
      </c>
      <c r="Z657" s="9" t="n">
        <f aca="false">IF(AND(N657&lt;&gt;"",OR(N657&lt;1,N657&gt;5)),1,0)</f>
        <v>0</v>
      </c>
      <c r="AA657" s="9" t="n">
        <f aca="false">IF(AND(M657&lt;&gt;"",OR(M657&lt;5,M657&gt;180)),1,0)</f>
        <v>0</v>
      </c>
      <c r="AB657" s="7" t="str">
        <f aca="false">IF(P657="DUP","Exact duplicate row",IF(T657=1,"Missing Order ID",IF(S657="DROP","Duplicate Order ID (less complete row)",IF(U657=1,"Missing Customer ID",IF(V657=1,"Missing Restaurant name",IF(W657=1,"Invalid/outlier quantity",IF(X657=1,"Invalid/outlier unit price",IF(Y657=1,"Discount greater than order value",""))))))))</f>
        <v/>
      </c>
      <c r="AC657" s="7" t="str">
        <f aca="false">IF(AB657="","KEEP","DROP")</f>
        <v>KEEP</v>
      </c>
      <c r="AD657" s="7" t="str">
        <f aca="false">IF(TRIM(F657)="",IFERROR(INDEX(Map_Tables!$I$4:$I$37,MATCH(TRIM(E657),Map_Tables!$G$4:$G$37,0)),""),IFERROR(INDEX(Map_Tables!$B$4:$B$18,MATCH(TRIM(F657),Map_Tables!$A$4:$A$18,0)),"CHECK"))</f>
        <v>Bengaluru</v>
      </c>
      <c r="AE657" s="7" t="str">
        <f aca="false">IF(TRIM(E657)="","",IFERROR(INDEX(Map_Tables!$H$4:$H$37,MATCH(TRIM(E657),Map_Tables!$G$4:$G$37,0)),"CHECK"))</f>
        <v>Wok &amp; Roll</v>
      </c>
      <c r="AF657" s="7" t="str">
        <f aca="false">IF(TRIM(K657)="","Unknown",IFERROR(INDEX(Map_Tables!$E$4:$E$15,MATCH(TRIM(K657),Map_Tables!$D$4:$D$15,0)),"CHECK"))</f>
        <v>Net Banking</v>
      </c>
      <c r="AG657" s="7" t="str">
        <f aca="false">IF(LEFT(LOWER(TRIM(L657)),6)="cancel","Cancelled","Delivered")</f>
        <v>Delivered</v>
      </c>
      <c r="AH657" s="10" t="n">
        <f aca="false">IF(ISNUMBER(SEARCH("/",B657)),DATE(VALUE(RIGHT(B657,4)),VALUE(MID(B657,4,2)),VALUE(LEFT(B657,2))),IF(MID(B657,5,1)="-",DATE(VALUE(LEFT(B657,4)),VALUE(MID(B657,6,2)),VALUE(RIGHT(B657,2))),DATE(VALUE(RIGHT(B657,4)),MATCH(MID(B657,4,3),{"Jan","Feb","Mar","Apr","May","Jun","Jul","Aug","Sep","Oct","Nov","Dec"},0),VALUE(LEFT(B657,2)))))</f>
        <v>46015</v>
      </c>
    </row>
    <row r="658" customFormat="false" ht="15" hidden="false" customHeight="false" outlineLevel="0" collapsed="false">
      <c r="A658" s="7" t="s">
        <v>2272</v>
      </c>
      <c r="B658" s="7" t="s">
        <v>196</v>
      </c>
      <c r="C658" s="7" t="s">
        <v>346</v>
      </c>
      <c r="D658" s="7" t="s">
        <v>2273</v>
      </c>
      <c r="E658" s="7" t="s">
        <v>164</v>
      </c>
      <c r="F658" s="7" t="s">
        <v>141</v>
      </c>
      <c r="G658" s="7" t="s">
        <v>150</v>
      </c>
      <c r="H658" s="7" t="n">
        <v>3</v>
      </c>
      <c r="I658" s="7" t="n">
        <v>140</v>
      </c>
      <c r="J658" s="7" t="n">
        <v>0</v>
      </c>
      <c r="K658" s="7" t="s">
        <v>229</v>
      </c>
      <c r="L658" s="7" t="s">
        <v>194</v>
      </c>
      <c r="M658" s="7" t="n">
        <v>41</v>
      </c>
      <c r="N658" s="7" t="n">
        <v>4</v>
      </c>
      <c r="O658" s="7" t="str">
        <f aca="false">A658&amp;"|"&amp;B658&amp;"|"&amp;C658&amp;"|"&amp;D658&amp;"|"&amp;E658&amp;"|"&amp;F658&amp;"|"&amp;G658&amp;"|"&amp;H658&amp;"|"&amp;I658&amp;"|"&amp;J658&amp;"|"&amp;K658&amp;"|"&amp;L658&amp;"|"&amp;M658&amp;"|"&amp;N658</f>
        <v>ORD12666|2025-11-24|19:18|C0797|Mishti Mandir|Kolkata|Desserts|3|140|0|Upi|Delivered|41|4</v>
      </c>
      <c r="P658" s="7" t="str">
        <f aca="false">IF(COUNTIF($O$2:O658,O658)&gt;1,"DUP","OK")</f>
        <v>OK</v>
      </c>
      <c r="Q658" s="7" t="n">
        <f aca="false">COUNTBLANK(A658:N658)</f>
        <v>0</v>
      </c>
      <c r="R658" s="7" t="n">
        <f aca="false">IF(A658="",0,COUNTIFS($A$2:$A$3058,A658,$P$2:$P$3058,"OK"))</f>
        <v>1</v>
      </c>
      <c r="S658" s="7" t="str">
        <f aca="false">IF(OR(A658="",P658="DUP",R658&lt;2),"",IF(Q658=_xlfn.MINIFS($Q$2:$Q$3058,$A$2:$A$3058,A658,$P$2:$P$3058,"OK"),"KEEP","DROP"))</f>
        <v/>
      </c>
      <c r="T658" s="9" t="n">
        <f aca="false">IF(A658="",1,0)</f>
        <v>0</v>
      </c>
      <c r="U658" s="9" t="n">
        <f aca="false">IF(D658="",1,0)</f>
        <v>0</v>
      </c>
      <c r="V658" s="9" t="n">
        <f aca="false">IF(E658="",1,0)</f>
        <v>0</v>
      </c>
      <c r="W658" s="9" t="n">
        <f aca="false">IF(OR(H658&lt;1,H658&gt;10),1,0)</f>
        <v>0</v>
      </c>
      <c r="X658" s="9" t="n">
        <f aca="false">IF(OR(I658&lt;=0,I658&gt;1500),1,0)</f>
        <v>0</v>
      </c>
      <c r="Y658" s="9" t="n">
        <f aca="false">IF(J658&gt;H658*I658,1,0)</f>
        <v>0</v>
      </c>
      <c r="Z658" s="9" t="n">
        <f aca="false">IF(AND(N658&lt;&gt;"",OR(N658&lt;1,N658&gt;5)),1,0)</f>
        <v>0</v>
      </c>
      <c r="AA658" s="9" t="n">
        <f aca="false">IF(AND(M658&lt;&gt;"",OR(M658&lt;5,M658&gt;180)),1,0)</f>
        <v>0</v>
      </c>
      <c r="AB658" s="7" t="str">
        <f aca="false">IF(P658="DUP","Exact duplicate row",IF(T658=1,"Missing Order ID",IF(S658="DROP","Duplicate Order ID (less complete row)",IF(U658=1,"Missing Customer ID",IF(V658=1,"Missing Restaurant name",IF(W658=1,"Invalid/outlier quantity",IF(X658=1,"Invalid/outlier unit price",IF(Y658=1,"Discount greater than order value",""))))))))</f>
        <v/>
      </c>
      <c r="AC658" s="7" t="str">
        <f aca="false">IF(AB658="","KEEP","DROP")</f>
        <v>KEEP</v>
      </c>
      <c r="AD658" s="7" t="str">
        <f aca="false">IF(TRIM(F658)="",IFERROR(INDEX(Map_Tables!$I$4:$I$37,MATCH(TRIM(E658),Map_Tables!$G$4:$G$37,0)),""),IFERROR(INDEX(Map_Tables!$B$4:$B$18,MATCH(TRIM(F658),Map_Tables!$A$4:$A$18,0)),"CHECK"))</f>
        <v>Kolkata</v>
      </c>
      <c r="AE658" s="7" t="str">
        <f aca="false">IF(TRIM(E658)="","",IFERROR(INDEX(Map_Tables!$H$4:$H$37,MATCH(TRIM(E658),Map_Tables!$G$4:$G$37,0)),"CHECK"))</f>
        <v>Mishti Mandir</v>
      </c>
      <c r="AF658" s="7" t="str">
        <f aca="false">IF(TRIM(K658)="","Unknown",IFERROR(INDEX(Map_Tables!$E$4:$E$15,MATCH(TRIM(K658),Map_Tables!$D$4:$D$15,0)),"CHECK"))</f>
        <v>UPI</v>
      </c>
      <c r="AG658" s="7" t="str">
        <f aca="false">IF(LEFT(LOWER(TRIM(L658)),6)="cancel","Cancelled","Delivered")</f>
        <v>Delivered</v>
      </c>
      <c r="AH658" s="10" t="n">
        <f aca="false">IF(ISNUMBER(SEARCH("/",B658)),DATE(VALUE(RIGHT(B658,4)),VALUE(MID(B658,4,2)),VALUE(LEFT(B658,2))),IF(MID(B658,5,1)="-",DATE(VALUE(LEFT(B658,4)),VALUE(MID(B658,6,2)),VALUE(RIGHT(B658,2))),DATE(VALUE(RIGHT(B658,4)),MATCH(MID(B658,4,3),{"Jan","Feb","Mar","Apr","May","Jun","Jul","Aug","Sep","Oct","Nov","Dec"},0),VALUE(LEFT(B658,2)))))</f>
        <v>45985</v>
      </c>
    </row>
    <row r="659" customFormat="false" ht="15" hidden="false" customHeight="false" outlineLevel="0" collapsed="false">
      <c r="A659" s="7" t="s">
        <v>2274</v>
      </c>
      <c r="B659" s="7" t="s">
        <v>2275</v>
      </c>
      <c r="C659" s="7" t="s">
        <v>1414</v>
      </c>
      <c r="D659" s="7" t="s">
        <v>2276</v>
      </c>
      <c r="E659" s="7" t="s">
        <v>98</v>
      </c>
      <c r="F659" s="7" t="s">
        <v>86</v>
      </c>
      <c r="G659" s="7" t="s">
        <v>99</v>
      </c>
      <c r="H659" s="7" t="n">
        <v>2</v>
      </c>
      <c r="I659" s="7" t="n">
        <v>260</v>
      </c>
      <c r="J659" s="7" t="n">
        <v>0</v>
      </c>
      <c r="K659" s="7" t="s">
        <v>115</v>
      </c>
      <c r="L659" s="7" t="s">
        <v>194</v>
      </c>
      <c r="M659" s="7" t="n">
        <v>52</v>
      </c>
      <c r="N659" s="7" t="n">
        <v>5</v>
      </c>
      <c r="O659" s="7" t="str">
        <f aca="false">A659&amp;"|"&amp;B659&amp;"|"&amp;C659&amp;"|"&amp;D659&amp;"|"&amp;E659&amp;"|"&amp;F659&amp;"|"&amp;G659&amp;"|"&amp;H659&amp;"|"&amp;I659&amp;"|"&amp;J659&amp;"|"&amp;K659&amp;"|"&amp;L659&amp;"|"&amp;M659&amp;"|"&amp;N659</f>
        <v>ORD12394|2025-10-29|19:24|C0987|Nawabi Biryani House|Bengaluru|Biryani|2|260|0|cash on delivery|Delivered|52|5</v>
      </c>
      <c r="P659" s="7" t="str">
        <f aca="false">IF(COUNTIF($O$2:O659,O659)&gt;1,"DUP","OK")</f>
        <v>OK</v>
      </c>
      <c r="Q659" s="7" t="n">
        <f aca="false">COUNTBLANK(A659:N659)</f>
        <v>0</v>
      </c>
      <c r="R659" s="7" t="n">
        <f aca="false">IF(A659="",0,COUNTIFS($A$2:$A$3058,A659,$P$2:$P$3058,"OK"))</f>
        <v>1</v>
      </c>
      <c r="S659" s="7" t="str">
        <f aca="false">IF(OR(A659="",P659="DUP",R659&lt;2),"",IF(Q659=_xlfn.MINIFS($Q$2:$Q$3058,$A$2:$A$3058,A659,$P$2:$P$3058,"OK"),"KEEP","DROP"))</f>
        <v/>
      </c>
      <c r="T659" s="9" t="n">
        <f aca="false">IF(A659="",1,0)</f>
        <v>0</v>
      </c>
      <c r="U659" s="9" t="n">
        <f aca="false">IF(D659="",1,0)</f>
        <v>0</v>
      </c>
      <c r="V659" s="9" t="n">
        <f aca="false">IF(E659="",1,0)</f>
        <v>0</v>
      </c>
      <c r="W659" s="9" t="n">
        <f aca="false">IF(OR(H659&lt;1,H659&gt;10),1,0)</f>
        <v>0</v>
      </c>
      <c r="X659" s="9" t="n">
        <f aca="false">IF(OR(I659&lt;=0,I659&gt;1500),1,0)</f>
        <v>0</v>
      </c>
      <c r="Y659" s="9" t="n">
        <f aca="false">IF(J659&gt;H659*I659,1,0)</f>
        <v>0</v>
      </c>
      <c r="Z659" s="9" t="n">
        <f aca="false">IF(AND(N659&lt;&gt;"",OR(N659&lt;1,N659&gt;5)),1,0)</f>
        <v>0</v>
      </c>
      <c r="AA659" s="9" t="n">
        <f aca="false">IF(AND(M659&lt;&gt;"",OR(M659&lt;5,M659&gt;180)),1,0)</f>
        <v>0</v>
      </c>
      <c r="AB659" s="7" t="str">
        <f aca="false">IF(P659="DUP","Exact duplicate row",IF(T659=1,"Missing Order ID",IF(S659="DROP","Duplicate Order ID (less complete row)",IF(U659=1,"Missing Customer ID",IF(V659=1,"Missing Restaurant name",IF(W659=1,"Invalid/outlier quantity",IF(X659=1,"Invalid/outlier unit price",IF(Y659=1,"Discount greater than order value",""))))))))</f>
        <v/>
      </c>
      <c r="AC659" s="7" t="str">
        <f aca="false">IF(AB659="","KEEP","DROP")</f>
        <v>KEEP</v>
      </c>
      <c r="AD659" s="7" t="str">
        <f aca="false">IF(TRIM(F659)="",IFERROR(INDEX(Map_Tables!$I$4:$I$37,MATCH(TRIM(E659),Map_Tables!$G$4:$G$37,0)),""),IFERROR(INDEX(Map_Tables!$B$4:$B$18,MATCH(TRIM(F659),Map_Tables!$A$4:$A$18,0)),"CHECK"))</f>
        <v>Bengaluru</v>
      </c>
      <c r="AE659" s="7" t="str">
        <f aca="false">IF(TRIM(E659)="","",IFERROR(INDEX(Map_Tables!$H$4:$H$37,MATCH(TRIM(E659),Map_Tables!$G$4:$G$37,0)),"CHECK"))</f>
        <v>Nawabi Biryani House</v>
      </c>
      <c r="AF659" s="7" t="str">
        <f aca="false">IF(TRIM(K659)="","Unknown",IFERROR(INDEX(Map_Tables!$E$4:$E$15,MATCH(TRIM(K659),Map_Tables!$D$4:$D$15,0)),"CHECK"))</f>
        <v>Cash on Delivery</v>
      </c>
      <c r="AG659" s="7" t="str">
        <f aca="false">IF(LEFT(LOWER(TRIM(L659)),6)="cancel","Cancelled","Delivered")</f>
        <v>Delivered</v>
      </c>
      <c r="AH659" s="10" t="n">
        <f aca="false">IF(ISNUMBER(SEARCH("/",B659)),DATE(VALUE(RIGHT(B659,4)),VALUE(MID(B659,4,2)),VALUE(LEFT(B659,2))),IF(MID(B659,5,1)="-",DATE(VALUE(LEFT(B659,4)),VALUE(MID(B659,6,2)),VALUE(RIGHT(B659,2))),DATE(VALUE(RIGHT(B659,4)),MATCH(MID(B659,4,3),{"Jan","Feb","Mar","Apr","May","Jun","Jul","Aug","Sep","Oct","Nov","Dec"},0),VALUE(LEFT(B659,2)))))</f>
        <v>45959</v>
      </c>
    </row>
    <row r="660" customFormat="false" ht="15" hidden="false" customHeight="false" outlineLevel="0" collapsed="false">
      <c r="A660" s="7" t="s">
        <v>2277</v>
      </c>
      <c r="B660" s="7" t="s">
        <v>1267</v>
      </c>
      <c r="C660" s="7" t="s">
        <v>2278</v>
      </c>
      <c r="D660" s="7" t="s">
        <v>2279</v>
      </c>
      <c r="E660" s="7" t="s">
        <v>89</v>
      </c>
      <c r="F660" s="7" t="s">
        <v>86</v>
      </c>
      <c r="G660" s="7" t="s">
        <v>90</v>
      </c>
      <c r="H660" s="7" t="n">
        <v>2</v>
      </c>
      <c r="I660" s="7" t="n">
        <v>230</v>
      </c>
      <c r="J660" s="7" t="n">
        <v>0</v>
      </c>
      <c r="K660" s="7" t="s">
        <v>93</v>
      </c>
      <c r="L660" s="7" t="s">
        <v>194</v>
      </c>
      <c r="M660" s="7" t="n">
        <v>37</v>
      </c>
      <c r="N660" s="7" t="n">
        <v>3</v>
      </c>
      <c r="O660" s="7" t="str">
        <f aca="false">A660&amp;"|"&amp;B660&amp;"|"&amp;C660&amp;"|"&amp;D660&amp;"|"&amp;E660&amp;"|"&amp;F660&amp;"|"&amp;G660&amp;"|"&amp;H660&amp;"|"&amp;I660&amp;"|"&amp;J660&amp;"|"&amp;K660&amp;"|"&amp;L660&amp;"|"&amp;M660&amp;"|"&amp;N660</f>
        <v>ORD10485|2025-03-05|18:10|C0126|Spice Junction|Bengaluru|North Indian|2|230|0|Credit Card|Delivered|37|3</v>
      </c>
      <c r="P660" s="7" t="str">
        <f aca="false">IF(COUNTIF($O$2:O660,O660)&gt;1,"DUP","OK")</f>
        <v>OK</v>
      </c>
      <c r="Q660" s="7" t="n">
        <f aca="false">COUNTBLANK(A660:N660)</f>
        <v>0</v>
      </c>
      <c r="R660" s="7" t="n">
        <f aca="false">IF(A660="",0,COUNTIFS($A$2:$A$3058,A660,$P$2:$P$3058,"OK"))</f>
        <v>1</v>
      </c>
      <c r="S660" s="7" t="str">
        <f aca="false">IF(OR(A660="",P660="DUP",R660&lt;2),"",IF(Q660=_xlfn.MINIFS($Q$2:$Q$3058,$A$2:$A$3058,A660,$P$2:$P$3058,"OK"),"KEEP","DROP"))</f>
        <v/>
      </c>
      <c r="T660" s="9" t="n">
        <f aca="false">IF(A660="",1,0)</f>
        <v>0</v>
      </c>
      <c r="U660" s="9" t="n">
        <f aca="false">IF(D660="",1,0)</f>
        <v>0</v>
      </c>
      <c r="V660" s="9" t="n">
        <f aca="false">IF(E660="",1,0)</f>
        <v>0</v>
      </c>
      <c r="W660" s="9" t="n">
        <f aca="false">IF(OR(H660&lt;1,H660&gt;10),1,0)</f>
        <v>0</v>
      </c>
      <c r="X660" s="9" t="n">
        <f aca="false">IF(OR(I660&lt;=0,I660&gt;1500),1,0)</f>
        <v>0</v>
      </c>
      <c r="Y660" s="9" t="n">
        <f aca="false">IF(J660&gt;H660*I660,1,0)</f>
        <v>0</v>
      </c>
      <c r="Z660" s="9" t="n">
        <f aca="false">IF(AND(N660&lt;&gt;"",OR(N660&lt;1,N660&gt;5)),1,0)</f>
        <v>0</v>
      </c>
      <c r="AA660" s="9" t="n">
        <f aca="false">IF(AND(M660&lt;&gt;"",OR(M660&lt;5,M660&gt;180)),1,0)</f>
        <v>0</v>
      </c>
      <c r="AB660" s="7" t="str">
        <f aca="false">IF(P660="DUP","Exact duplicate row",IF(T660=1,"Missing Order ID",IF(S660="DROP","Duplicate Order ID (less complete row)",IF(U660=1,"Missing Customer ID",IF(V660=1,"Missing Restaurant name",IF(W660=1,"Invalid/outlier quantity",IF(X660=1,"Invalid/outlier unit price",IF(Y660=1,"Discount greater than order value",""))))))))</f>
        <v/>
      </c>
      <c r="AC660" s="7" t="str">
        <f aca="false">IF(AB660="","KEEP","DROP")</f>
        <v>KEEP</v>
      </c>
      <c r="AD660" s="7" t="str">
        <f aca="false">IF(TRIM(F660)="",IFERROR(INDEX(Map_Tables!$I$4:$I$37,MATCH(TRIM(E660),Map_Tables!$G$4:$G$37,0)),""),IFERROR(INDEX(Map_Tables!$B$4:$B$18,MATCH(TRIM(F660),Map_Tables!$A$4:$A$18,0)),"CHECK"))</f>
        <v>Bengaluru</v>
      </c>
      <c r="AE660" s="7" t="str">
        <f aca="false">IF(TRIM(E660)="","",IFERROR(INDEX(Map_Tables!$H$4:$H$37,MATCH(TRIM(E660),Map_Tables!$G$4:$G$37,0)),"CHECK"))</f>
        <v>Spice Junction</v>
      </c>
      <c r="AF660" s="7" t="str">
        <f aca="false">IF(TRIM(K660)="","Unknown",IFERROR(INDEX(Map_Tables!$E$4:$E$15,MATCH(TRIM(K660),Map_Tables!$D$4:$D$15,0)),"CHECK"))</f>
        <v>Credit Card</v>
      </c>
      <c r="AG660" s="7" t="str">
        <f aca="false">IF(LEFT(LOWER(TRIM(L660)),6)="cancel","Cancelled","Delivered")</f>
        <v>Delivered</v>
      </c>
      <c r="AH660" s="10" t="n">
        <f aca="false">IF(ISNUMBER(SEARCH("/",B660)),DATE(VALUE(RIGHT(B660,4)),VALUE(MID(B660,4,2)),VALUE(LEFT(B660,2))),IF(MID(B660,5,1)="-",DATE(VALUE(LEFT(B660,4)),VALUE(MID(B660,6,2)),VALUE(RIGHT(B660,2))),DATE(VALUE(RIGHT(B660,4)),MATCH(MID(B660,4,3),{"Jan","Feb","Mar","Apr","May","Jun","Jul","Aug","Sep","Oct","Nov","Dec"},0),VALUE(LEFT(B660,2)))))</f>
        <v>45721</v>
      </c>
    </row>
    <row r="661" customFormat="false" ht="15" hidden="false" customHeight="false" outlineLevel="0" collapsed="false">
      <c r="A661" s="7" t="s">
        <v>2280</v>
      </c>
      <c r="B661" s="7" t="s">
        <v>2162</v>
      </c>
      <c r="C661" s="7" t="s">
        <v>568</v>
      </c>
      <c r="D661" s="7" t="s">
        <v>1039</v>
      </c>
      <c r="E661" s="7" t="s">
        <v>149</v>
      </c>
      <c r="F661" s="7" t="s">
        <v>312</v>
      </c>
      <c r="G661" s="7" t="s">
        <v>150</v>
      </c>
      <c r="H661" s="7" t="n">
        <v>2</v>
      </c>
      <c r="I661" s="7" t="n">
        <v>160</v>
      </c>
      <c r="J661" s="7" t="n">
        <v>128</v>
      </c>
      <c r="K661" s="7" t="s">
        <v>112</v>
      </c>
      <c r="L661" s="7" t="s">
        <v>194</v>
      </c>
      <c r="M661" s="7" t="n">
        <v>39</v>
      </c>
      <c r="N661" s="7" t="n">
        <v>3</v>
      </c>
      <c r="O661" s="7" t="str">
        <f aca="false">A661&amp;"|"&amp;B661&amp;"|"&amp;C661&amp;"|"&amp;D661&amp;"|"&amp;E661&amp;"|"&amp;F661&amp;"|"&amp;G661&amp;"|"&amp;H661&amp;"|"&amp;I661&amp;"|"&amp;J661&amp;"|"&amp;K661&amp;"|"&amp;L661&amp;"|"&amp;M661&amp;"|"&amp;N661</f>
        <v>ORD11826|2025-08-26|20:19|C0107|Sweet Tooth Studio|Hyd|Desserts|2|160|128|Cash on Delivery|Delivered|39|3</v>
      </c>
      <c r="P661" s="7" t="str">
        <f aca="false">IF(COUNTIF($O$2:O661,O661)&gt;1,"DUP","OK")</f>
        <v>OK</v>
      </c>
      <c r="Q661" s="7" t="n">
        <f aca="false">COUNTBLANK(A661:N661)</f>
        <v>0</v>
      </c>
      <c r="R661" s="7" t="n">
        <f aca="false">IF(A661="",0,COUNTIFS($A$2:$A$3058,A661,$P$2:$P$3058,"OK"))</f>
        <v>1</v>
      </c>
      <c r="S661" s="7" t="str">
        <f aca="false">IF(OR(A661="",P661="DUP",R661&lt;2),"",IF(Q661=_xlfn.MINIFS($Q$2:$Q$3058,$A$2:$A$3058,A661,$P$2:$P$3058,"OK"),"KEEP","DROP"))</f>
        <v/>
      </c>
      <c r="T661" s="9" t="n">
        <f aca="false">IF(A661="",1,0)</f>
        <v>0</v>
      </c>
      <c r="U661" s="9" t="n">
        <f aca="false">IF(D661="",1,0)</f>
        <v>0</v>
      </c>
      <c r="V661" s="9" t="n">
        <f aca="false">IF(E661="",1,0)</f>
        <v>0</v>
      </c>
      <c r="W661" s="9" t="n">
        <f aca="false">IF(OR(H661&lt;1,H661&gt;10),1,0)</f>
        <v>0</v>
      </c>
      <c r="X661" s="9" t="n">
        <f aca="false">IF(OR(I661&lt;=0,I661&gt;1500),1,0)</f>
        <v>0</v>
      </c>
      <c r="Y661" s="9" t="n">
        <f aca="false">IF(J661&gt;H661*I661,1,0)</f>
        <v>0</v>
      </c>
      <c r="Z661" s="9" t="n">
        <f aca="false">IF(AND(N661&lt;&gt;"",OR(N661&lt;1,N661&gt;5)),1,0)</f>
        <v>0</v>
      </c>
      <c r="AA661" s="9" t="n">
        <f aca="false">IF(AND(M661&lt;&gt;"",OR(M661&lt;5,M661&gt;180)),1,0)</f>
        <v>0</v>
      </c>
      <c r="AB661" s="7" t="str">
        <f aca="false">IF(P661="DUP","Exact duplicate row",IF(T661=1,"Missing Order ID",IF(S661="DROP","Duplicate Order ID (less complete row)",IF(U661=1,"Missing Customer ID",IF(V661=1,"Missing Restaurant name",IF(W661=1,"Invalid/outlier quantity",IF(X661=1,"Invalid/outlier unit price",IF(Y661=1,"Discount greater than order value",""))))))))</f>
        <v/>
      </c>
      <c r="AC661" s="7" t="str">
        <f aca="false">IF(AB661="","KEEP","DROP")</f>
        <v>KEEP</v>
      </c>
      <c r="AD661" s="7" t="str">
        <f aca="false">IF(TRIM(F661)="",IFERROR(INDEX(Map_Tables!$I$4:$I$37,MATCH(TRIM(E661),Map_Tables!$G$4:$G$37,0)),""),IFERROR(INDEX(Map_Tables!$B$4:$B$18,MATCH(TRIM(F661),Map_Tables!$A$4:$A$18,0)),"CHECK"))</f>
        <v>Hyderabad</v>
      </c>
      <c r="AE661" s="7" t="str">
        <f aca="false">IF(TRIM(E661)="","",IFERROR(INDEX(Map_Tables!$H$4:$H$37,MATCH(TRIM(E661),Map_Tables!$G$4:$G$37,0)),"CHECK"))</f>
        <v>Sweet Tooth Studio</v>
      </c>
      <c r="AF661" s="7" t="str">
        <f aca="false">IF(TRIM(K661)="","Unknown",IFERROR(INDEX(Map_Tables!$E$4:$E$15,MATCH(TRIM(K661),Map_Tables!$D$4:$D$15,0)),"CHECK"))</f>
        <v>Cash on Delivery</v>
      </c>
      <c r="AG661" s="7" t="str">
        <f aca="false">IF(LEFT(LOWER(TRIM(L661)),6)="cancel","Cancelled","Delivered")</f>
        <v>Delivered</v>
      </c>
      <c r="AH661" s="10" t="n">
        <f aca="false">IF(ISNUMBER(SEARCH("/",B661)),DATE(VALUE(RIGHT(B661,4)),VALUE(MID(B661,4,2)),VALUE(LEFT(B661,2))),IF(MID(B661,5,1)="-",DATE(VALUE(LEFT(B661,4)),VALUE(MID(B661,6,2)),VALUE(RIGHT(B661,2))),DATE(VALUE(RIGHT(B661,4)),MATCH(MID(B661,4,3),{"Jan","Feb","Mar","Apr","May","Jun","Jul","Aug","Sep","Oct","Nov","Dec"},0),VALUE(LEFT(B661,2)))))</f>
        <v>45895</v>
      </c>
    </row>
    <row r="662" customFormat="false" ht="15" hidden="false" customHeight="false" outlineLevel="0" collapsed="false">
      <c r="A662" s="7" t="s">
        <v>2281</v>
      </c>
      <c r="B662" s="7" t="s">
        <v>2026</v>
      </c>
      <c r="C662" s="7" t="s">
        <v>1809</v>
      </c>
      <c r="D662" s="7" t="s">
        <v>847</v>
      </c>
      <c r="E662" s="7" t="s">
        <v>154</v>
      </c>
      <c r="F662" s="7" t="s">
        <v>128</v>
      </c>
      <c r="G662" s="7" t="s">
        <v>99</v>
      </c>
      <c r="H662" s="7" t="n">
        <v>1</v>
      </c>
      <c r="I662" s="7" t="n">
        <v>-225</v>
      </c>
      <c r="J662" s="7" t="n">
        <v>0</v>
      </c>
      <c r="K662" s="7" t="s">
        <v>88</v>
      </c>
      <c r="L662" s="7" t="s">
        <v>194</v>
      </c>
      <c r="M662" s="7" t="n">
        <v>47</v>
      </c>
      <c r="N662" s="7"/>
      <c r="O662" s="7" t="str">
        <f aca="false">A662&amp;"|"&amp;B662&amp;"|"&amp;C662&amp;"|"&amp;D662&amp;"|"&amp;E662&amp;"|"&amp;F662&amp;"|"&amp;G662&amp;"|"&amp;H662&amp;"|"&amp;I662&amp;"|"&amp;J662&amp;"|"&amp;K662&amp;"|"&amp;L662&amp;"|"&amp;M662&amp;"|"&amp;N662</f>
        <v>ORD12696|2025-11-28|12:07|C0672|Madras Biryani Co|Chennai|Biryani|1|-225|0|UPI|Delivered|47|</v>
      </c>
      <c r="P662" s="7" t="str">
        <f aca="false">IF(COUNTIF($O$2:O662,O662)&gt;1,"DUP","OK")</f>
        <v>OK</v>
      </c>
      <c r="Q662" s="7" t="n">
        <f aca="false">COUNTBLANK(A662:N662)</f>
        <v>1</v>
      </c>
      <c r="R662" s="7" t="n">
        <f aca="false">IF(A662="",0,COUNTIFS($A$2:$A$3058,A662,$P$2:$P$3058,"OK"))</f>
        <v>1</v>
      </c>
      <c r="S662" s="7" t="str">
        <f aca="false">IF(OR(A662="",P662="DUP",R662&lt;2),"",IF(Q662=_xlfn.MINIFS($Q$2:$Q$3058,$A$2:$A$3058,A662,$P$2:$P$3058,"OK"),"KEEP","DROP"))</f>
        <v/>
      </c>
      <c r="T662" s="9" t="n">
        <f aca="false">IF(A662="",1,0)</f>
        <v>0</v>
      </c>
      <c r="U662" s="9" t="n">
        <f aca="false">IF(D662="",1,0)</f>
        <v>0</v>
      </c>
      <c r="V662" s="9" t="n">
        <f aca="false">IF(E662="",1,0)</f>
        <v>0</v>
      </c>
      <c r="W662" s="9" t="n">
        <f aca="false">IF(OR(H662&lt;1,H662&gt;10),1,0)</f>
        <v>0</v>
      </c>
      <c r="X662" s="9" t="n">
        <f aca="false">IF(OR(I662&lt;=0,I662&gt;1500),1,0)</f>
        <v>1</v>
      </c>
      <c r="Y662" s="9" t="n">
        <f aca="false">IF(J662&gt;H662*I662,1,0)</f>
        <v>1</v>
      </c>
      <c r="Z662" s="9" t="n">
        <f aca="false">IF(AND(N662&lt;&gt;"",OR(N662&lt;1,N662&gt;5)),1,0)</f>
        <v>0</v>
      </c>
      <c r="AA662" s="9" t="n">
        <f aca="false">IF(AND(M662&lt;&gt;"",OR(M662&lt;5,M662&gt;180)),1,0)</f>
        <v>0</v>
      </c>
      <c r="AB662" s="7" t="str">
        <f aca="false">IF(P662="DUP","Exact duplicate row",IF(T662=1,"Missing Order ID",IF(S662="DROP","Duplicate Order ID (less complete row)",IF(U662=1,"Missing Customer ID",IF(V662=1,"Missing Restaurant name",IF(W662=1,"Invalid/outlier quantity",IF(X662=1,"Invalid/outlier unit price",IF(Y662=1,"Discount greater than order value",""))))))))</f>
        <v>Invalid/outlier unit price</v>
      </c>
      <c r="AC662" s="7" t="str">
        <f aca="false">IF(AB662="","KEEP","DROP")</f>
        <v>DROP</v>
      </c>
      <c r="AD662" s="7" t="str">
        <f aca="false">IF(TRIM(F662)="",IFERROR(INDEX(Map_Tables!$I$4:$I$37,MATCH(TRIM(E662),Map_Tables!$G$4:$G$37,0)),""),IFERROR(INDEX(Map_Tables!$B$4:$B$18,MATCH(TRIM(F662),Map_Tables!$A$4:$A$18,0)),"CHECK"))</f>
        <v>Chennai</v>
      </c>
      <c r="AE662" s="7" t="str">
        <f aca="false">IF(TRIM(E662)="","",IFERROR(INDEX(Map_Tables!$H$4:$H$37,MATCH(TRIM(E662),Map_Tables!$G$4:$G$37,0)),"CHECK"))</f>
        <v>Madras Biryani Co</v>
      </c>
      <c r="AF662" s="7" t="str">
        <f aca="false">IF(TRIM(K662)="","Unknown",IFERROR(INDEX(Map_Tables!$E$4:$E$15,MATCH(TRIM(K662),Map_Tables!$D$4:$D$15,0)),"CHECK"))</f>
        <v>UPI</v>
      </c>
      <c r="AG662" s="7" t="str">
        <f aca="false">IF(LEFT(LOWER(TRIM(L662)),6)="cancel","Cancelled","Delivered")</f>
        <v>Delivered</v>
      </c>
      <c r="AH662" s="10" t="n">
        <f aca="false">IF(ISNUMBER(SEARCH("/",B662)),DATE(VALUE(RIGHT(B662,4)),VALUE(MID(B662,4,2)),VALUE(LEFT(B662,2))),IF(MID(B662,5,1)="-",DATE(VALUE(LEFT(B662,4)),VALUE(MID(B662,6,2)),VALUE(RIGHT(B662,2))),DATE(VALUE(RIGHT(B662,4)),MATCH(MID(B662,4,3),{"Jan","Feb","Mar","Apr","May","Jun","Jul","Aug","Sep","Oct","Nov","Dec"},0),VALUE(LEFT(B662,2)))))</f>
        <v>45989</v>
      </c>
    </row>
    <row r="663" customFormat="false" ht="15" hidden="false" customHeight="false" outlineLevel="0" collapsed="false">
      <c r="A663" s="7" t="s">
        <v>2282</v>
      </c>
      <c r="B663" s="7" t="s">
        <v>2283</v>
      </c>
      <c r="C663" s="7" t="s">
        <v>1215</v>
      </c>
      <c r="D663" s="7" t="s">
        <v>2284</v>
      </c>
      <c r="E663" s="7" t="s">
        <v>160</v>
      </c>
      <c r="F663" s="7" t="s">
        <v>136</v>
      </c>
      <c r="G663" s="7" t="s">
        <v>150</v>
      </c>
      <c r="H663" s="7" t="n">
        <v>1</v>
      </c>
      <c r="I663" s="7" t="n">
        <v>155</v>
      </c>
      <c r="J663" s="7" t="n">
        <v>50</v>
      </c>
      <c r="K663" s="7" t="s">
        <v>88</v>
      </c>
      <c r="L663" s="7" t="s">
        <v>194</v>
      </c>
      <c r="M663" s="7" t="n">
        <v>33</v>
      </c>
      <c r="N663" s="7" t="n">
        <v>5</v>
      </c>
      <c r="O663" s="7" t="str">
        <f aca="false">A663&amp;"|"&amp;B663&amp;"|"&amp;C663&amp;"|"&amp;D663&amp;"|"&amp;E663&amp;"|"&amp;F663&amp;"|"&amp;G663&amp;"|"&amp;H663&amp;"|"&amp;I663&amp;"|"&amp;J663&amp;"|"&amp;K663&amp;"|"&amp;L663&amp;"|"&amp;M663&amp;"|"&amp;N663</f>
        <v>ORD11882|2025-09-02|21:22|C1209|Cake Walk|Pune|Desserts|1|155|50|UPI|Delivered|33|5</v>
      </c>
      <c r="P663" s="7" t="str">
        <f aca="false">IF(COUNTIF($O$2:O663,O663)&gt;1,"DUP","OK")</f>
        <v>OK</v>
      </c>
      <c r="Q663" s="7" t="n">
        <f aca="false">COUNTBLANK(A663:N663)</f>
        <v>0</v>
      </c>
      <c r="R663" s="7" t="n">
        <f aca="false">IF(A663="",0,COUNTIFS($A$2:$A$3058,A663,$P$2:$P$3058,"OK"))</f>
        <v>1</v>
      </c>
      <c r="S663" s="7" t="str">
        <f aca="false">IF(OR(A663="",P663="DUP",R663&lt;2),"",IF(Q663=_xlfn.MINIFS($Q$2:$Q$3058,$A$2:$A$3058,A663,$P$2:$P$3058,"OK"),"KEEP","DROP"))</f>
        <v/>
      </c>
      <c r="T663" s="9" t="n">
        <f aca="false">IF(A663="",1,0)</f>
        <v>0</v>
      </c>
      <c r="U663" s="9" t="n">
        <f aca="false">IF(D663="",1,0)</f>
        <v>0</v>
      </c>
      <c r="V663" s="9" t="n">
        <f aca="false">IF(E663="",1,0)</f>
        <v>0</v>
      </c>
      <c r="W663" s="9" t="n">
        <f aca="false">IF(OR(H663&lt;1,H663&gt;10),1,0)</f>
        <v>0</v>
      </c>
      <c r="X663" s="9" t="n">
        <f aca="false">IF(OR(I663&lt;=0,I663&gt;1500),1,0)</f>
        <v>0</v>
      </c>
      <c r="Y663" s="9" t="n">
        <f aca="false">IF(J663&gt;H663*I663,1,0)</f>
        <v>0</v>
      </c>
      <c r="Z663" s="9" t="n">
        <f aca="false">IF(AND(N663&lt;&gt;"",OR(N663&lt;1,N663&gt;5)),1,0)</f>
        <v>0</v>
      </c>
      <c r="AA663" s="9" t="n">
        <f aca="false">IF(AND(M663&lt;&gt;"",OR(M663&lt;5,M663&gt;180)),1,0)</f>
        <v>0</v>
      </c>
      <c r="AB663" s="7" t="str">
        <f aca="false">IF(P663="DUP","Exact duplicate row",IF(T663=1,"Missing Order ID",IF(S663="DROP","Duplicate Order ID (less complete row)",IF(U663=1,"Missing Customer ID",IF(V663=1,"Missing Restaurant name",IF(W663=1,"Invalid/outlier quantity",IF(X663=1,"Invalid/outlier unit price",IF(Y663=1,"Discount greater than order value",""))))))))</f>
        <v/>
      </c>
      <c r="AC663" s="7" t="str">
        <f aca="false">IF(AB663="","KEEP","DROP")</f>
        <v>KEEP</v>
      </c>
      <c r="AD663" s="7" t="str">
        <f aca="false">IF(TRIM(F663)="",IFERROR(INDEX(Map_Tables!$I$4:$I$37,MATCH(TRIM(E663),Map_Tables!$G$4:$G$37,0)),""),IFERROR(INDEX(Map_Tables!$B$4:$B$18,MATCH(TRIM(F663),Map_Tables!$A$4:$A$18,0)),"CHECK"))</f>
        <v>Pune</v>
      </c>
      <c r="AE663" s="7" t="str">
        <f aca="false">IF(TRIM(E663)="","",IFERROR(INDEX(Map_Tables!$H$4:$H$37,MATCH(TRIM(E663),Map_Tables!$G$4:$G$37,0)),"CHECK"))</f>
        <v>Cake Walk</v>
      </c>
      <c r="AF663" s="7" t="str">
        <f aca="false">IF(TRIM(K663)="","Unknown",IFERROR(INDEX(Map_Tables!$E$4:$E$15,MATCH(TRIM(K663),Map_Tables!$D$4:$D$15,0)),"CHECK"))</f>
        <v>UPI</v>
      </c>
      <c r="AG663" s="7" t="str">
        <f aca="false">IF(LEFT(LOWER(TRIM(L663)),6)="cancel","Cancelled","Delivered")</f>
        <v>Delivered</v>
      </c>
      <c r="AH663" s="10" t="n">
        <f aca="false">IF(ISNUMBER(SEARCH("/",B663)),DATE(VALUE(RIGHT(B663,4)),VALUE(MID(B663,4,2)),VALUE(LEFT(B663,2))),IF(MID(B663,5,1)="-",DATE(VALUE(LEFT(B663,4)),VALUE(MID(B663,6,2)),VALUE(RIGHT(B663,2))),DATE(VALUE(RIGHT(B663,4)),MATCH(MID(B663,4,3),{"Jan","Feb","Mar","Apr","May","Jun","Jul","Aug","Sep","Oct","Nov","Dec"},0),VALUE(LEFT(B663,2)))))</f>
        <v>45902</v>
      </c>
    </row>
    <row r="664" customFormat="false" ht="15" hidden="false" customHeight="false" outlineLevel="0" collapsed="false">
      <c r="A664" s="7" t="s">
        <v>2285</v>
      </c>
      <c r="B664" s="7" t="s">
        <v>899</v>
      </c>
      <c r="C664" s="7" t="s">
        <v>2076</v>
      </c>
      <c r="D664" s="7" t="s">
        <v>2286</v>
      </c>
      <c r="E664" s="7" t="s">
        <v>113</v>
      </c>
      <c r="F664" s="7" t="s">
        <v>101</v>
      </c>
      <c r="G664" s="7" t="s">
        <v>90</v>
      </c>
      <c r="H664" s="7" t="n">
        <v>1</v>
      </c>
      <c r="I664" s="7" t="n">
        <v>255</v>
      </c>
      <c r="J664" s="7" t="n">
        <v>20</v>
      </c>
      <c r="K664" s="7" t="s">
        <v>88</v>
      </c>
      <c r="L664" s="7" t="s">
        <v>457</v>
      </c>
      <c r="M664" s="7" t="n">
        <v>38</v>
      </c>
      <c r="N664" s="7" t="n">
        <v>3</v>
      </c>
      <c r="O664" s="7" t="str">
        <f aca="false">A664&amp;"|"&amp;B664&amp;"|"&amp;C664&amp;"|"&amp;D664&amp;"|"&amp;E664&amp;"|"&amp;F664&amp;"|"&amp;G664&amp;"|"&amp;H664&amp;"|"&amp;I664&amp;"|"&amp;J664&amp;"|"&amp;K664&amp;"|"&amp;L664&amp;"|"&amp;M664&amp;"|"&amp;N664</f>
        <v>ORD12360|2025-10-24|19:11|C1146|Curry Leaf Kitchen|Mumbai|North Indian|1|255|20|UPI|Delivered |38|3</v>
      </c>
      <c r="P664" s="7" t="str">
        <f aca="false">IF(COUNTIF($O$2:O664,O664)&gt;1,"DUP","OK")</f>
        <v>OK</v>
      </c>
      <c r="Q664" s="7" t="n">
        <f aca="false">COUNTBLANK(A664:N664)</f>
        <v>0</v>
      </c>
      <c r="R664" s="7" t="n">
        <f aca="false">IF(A664="",0,COUNTIFS($A$2:$A$3058,A664,$P$2:$P$3058,"OK"))</f>
        <v>1</v>
      </c>
      <c r="S664" s="7" t="str">
        <f aca="false">IF(OR(A664="",P664="DUP",R664&lt;2),"",IF(Q664=_xlfn.MINIFS($Q$2:$Q$3058,$A$2:$A$3058,A664,$P$2:$P$3058,"OK"),"KEEP","DROP"))</f>
        <v/>
      </c>
      <c r="T664" s="9" t="n">
        <f aca="false">IF(A664="",1,0)</f>
        <v>0</v>
      </c>
      <c r="U664" s="9" t="n">
        <f aca="false">IF(D664="",1,0)</f>
        <v>0</v>
      </c>
      <c r="V664" s="9" t="n">
        <f aca="false">IF(E664="",1,0)</f>
        <v>0</v>
      </c>
      <c r="W664" s="9" t="n">
        <f aca="false">IF(OR(H664&lt;1,H664&gt;10),1,0)</f>
        <v>0</v>
      </c>
      <c r="X664" s="9" t="n">
        <f aca="false">IF(OR(I664&lt;=0,I664&gt;1500),1,0)</f>
        <v>0</v>
      </c>
      <c r="Y664" s="9" t="n">
        <f aca="false">IF(J664&gt;H664*I664,1,0)</f>
        <v>0</v>
      </c>
      <c r="Z664" s="9" t="n">
        <f aca="false">IF(AND(N664&lt;&gt;"",OR(N664&lt;1,N664&gt;5)),1,0)</f>
        <v>0</v>
      </c>
      <c r="AA664" s="9" t="n">
        <f aca="false">IF(AND(M664&lt;&gt;"",OR(M664&lt;5,M664&gt;180)),1,0)</f>
        <v>0</v>
      </c>
      <c r="AB664" s="7" t="str">
        <f aca="false">IF(P664="DUP","Exact duplicate row",IF(T664=1,"Missing Order ID",IF(S664="DROP","Duplicate Order ID (less complete row)",IF(U664=1,"Missing Customer ID",IF(V664=1,"Missing Restaurant name",IF(W664=1,"Invalid/outlier quantity",IF(X664=1,"Invalid/outlier unit price",IF(Y664=1,"Discount greater than order value",""))))))))</f>
        <v/>
      </c>
      <c r="AC664" s="7" t="str">
        <f aca="false">IF(AB664="","KEEP","DROP")</f>
        <v>KEEP</v>
      </c>
      <c r="AD664" s="7" t="str">
        <f aca="false">IF(TRIM(F664)="",IFERROR(INDEX(Map_Tables!$I$4:$I$37,MATCH(TRIM(E664),Map_Tables!$G$4:$G$37,0)),""),IFERROR(INDEX(Map_Tables!$B$4:$B$18,MATCH(TRIM(F664),Map_Tables!$A$4:$A$18,0)),"CHECK"))</f>
        <v>Mumbai</v>
      </c>
      <c r="AE664" s="7" t="str">
        <f aca="false">IF(TRIM(E664)="","",IFERROR(INDEX(Map_Tables!$H$4:$H$37,MATCH(TRIM(E664),Map_Tables!$G$4:$G$37,0)),"CHECK"))</f>
        <v>Curry Leaf Kitchen</v>
      </c>
      <c r="AF664" s="7" t="str">
        <f aca="false">IF(TRIM(K664)="","Unknown",IFERROR(INDEX(Map_Tables!$E$4:$E$15,MATCH(TRIM(K664),Map_Tables!$D$4:$D$15,0)),"CHECK"))</f>
        <v>UPI</v>
      </c>
      <c r="AG664" s="7" t="str">
        <f aca="false">IF(LEFT(LOWER(TRIM(L664)),6)="cancel","Cancelled","Delivered")</f>
        <v>Delivered</v>
      </c>
      <c r="AH664" s="10" t="n">
        <f aca="false">IF(ISNUMBER(SEARCH("/",B664)),DATE(VALUE(RIGHT(B664,4)),VALUE(MID(B664,4,2)),VALUE(LEFT(B664,2))),IF(MID(B664,5,1)="-",DATE(VALUE(LEFT(B664,4)),VALUE(MID(B664,6,2)),VALUE(RIGHT(B664,2))),DATE(VALUE(RIGHT(B664,4)),MATCH(MID(B664,4,3),{"Jan","Feb","Mar","Apr","May","Jun","Jul","Aug","Sep","Oct","Nov","Dec"},0),VALUE(LEFT(B664,2)))))</f>
        <v>45954</v>
      </c>
    </row>
    <row r="665" customFormat="false" ht="15" hidden="false" customHeight="false" outlineLevel="0" collapsed="false">
      <c r="A665" s="7" t="s">
        <v>2287</v>
      </c>
      <c r="B665" s="7" t="s">
        <v>813</v>
      </c>
      <c r="C665" s="7" t="s">
        <v>1387</v>
      </c>
      <c r="D665" s="7" t="s">
        <v>408</v>
      </c>
      <c r="E665" s="7" t="s">
        <v>89</v>
      </c>
      <c r="F665" s="7" t="s">
        <v>86</v>
      </c>
      <c r="G665" s="7" t="s">
        <v>90</v>
      </c>
      <c r="H665" s="7" t="n">
        <v>2</v>
      </c>
      <c r="I665" s="7" t="n">
        <v>270</v>
      </c>
      <c r="J665" s="7" t="n">
        <v>0</v>
      </c>
      <c r="K665" s="7" t="s">
        <v>88</v>
      </c>
      <c r="L665" s="7" t="s">
        <v>238</v>
      </c>
      <c r="M665" s="7"/>
      <c r="N665" s="7"/>
      <c r="O665" s="7" t="str">
        <f aca="false">A665&amp;"|"&amp;B665&amp;"|"&amp;C665&amp;"|"&amp;D665&amp;"|"&amp;E665&amp;"|"&amp;F665&amp;"|"&amp;G665&amp;"|"&amp;H665&amp;"|"&amp;I665&amp;"|"&amp;J665&amp;"|"&amp;K665&amp;"|"&amp;L665&amp;"|"&amp;M665&amp;"|"&amp;N665</f>
        <v>ORD10650|2025-03-23|20:59|C0166|Spice Junction|Bengaluru|North Indian|2|270|0|UPI|Cancelled||</v>
      </c>
      <c r="P665" s="7" t="str">
        <f aca="false">IF(COUNTIF($O$2:O665,O665)&gt;1,"DUP","OK")</f>
        <v>OK</v>
      </c>
      <c r="Q665" s="7" t="n">
        <f aca="false">COUNTBLANK(A665:N665)</f>
        <v>2</v>
      </c>
      <c r="R665" s="7" t="n">
        <f aca="false">IF(A665="",0,COUNTIFS($A$2:$A$3058,A665,$P$2:$P$3058,"OK"))</f>
        <v>1</v>
      </c>
      <c r="S665" s="7" t="str">
        <f aca="false">IF(OR(A665="",P665="DUP",R665&lt;2),"",IF(Q665=_xlfn.MINIFS($Q$2:$Q$3058,$A$2:$A$3058,A665,$P$2:$P$3058,"OK"),"KEEP","DROP"))</f>
        <v/>
      </c>
      <c r="T665" s="9" t="n">
        <f aca="false">IF(A665="",1,0)</f>
        <v>0</v>
      </c>
      <c r="U665" s="9" t="n">
        <f aca="false">IF(D665="",1,0)</f>
        <v>0</v>
      </c>
      <c r="V665" s="9" t="n">
        <f aca="false">IF(E665="",1,0)</f>
        <v>0</v>
      </c>
      <c r="W665" s="9" t="n">
        <f aca="false">IF(OR(H665&lt;1,H665&gt;10),1,0)</f>
        <v>0</v>
      </c>
      <c r="X665" s="9" t="n">
        <f aca="false">IF(OR(I665&lt;=0,I665&gt;1500),1,0)</f>
        <v>0</v>
      </c>
      <c r="Y665" s="9" t="n">
        <f aca="false">IF(J665&gt;H665*I665,1,0)</f>
        <v>0</v>
      </c>
      <c r="Z665" s="9" t="n">
        <f aca="false">IF(AND(N665&lt;&gt;"",OR(N665&lt;1,N665&gt;5)),1,0)</f>
        <v>0</v>
      </c>
      <c r="AA665" s="9" t="n">
        <f aca="false">IF(AND(M665&lt;&gt;"",OR(M665&lt;5,M665&gt;180)),1,0)</f>
        <v>0</v>
      </c>
      <c r="AB665" s="7" t="str">
        <f aca="false">IF(P665="DUP","Exact duplicate row",IF(T665=1,"Missing Order ID",IF(S665="DROP","Duplicate Order ID (less complete row)",IF(U665=1,"Missing Customer ID",IF(V665=1,"Missing Restaurant name",IF(W665=1,"Invalid/outlier quantity",IF(X665=1,"Invalid/outlier unit price",IF(Y665=1,"Discount greater than order value",""))))))))</f>
        <v/>
      </c>
      <c r="AC665" s="7" t="str">
        <f aca="false">IF(AB665="","KEEP","DROP")</f>
        <v>KEEP</v>
      </c>
      <c r="AD665" s="7" t="str">
        <f aca="false">IF(TRIM(F665)="",IFERROR(INDEX(Map_Tables!$I$4:$I$37,MATCH(TRIM(E665),Map_Tables!$G$4:$G$37,0)),""),IFERROR(INDEX(Map_Tables!$B$4:$B$18,MATCH(TRIM(F665),Map_Tables!$A$4:$A$18,0)),"CHECK"))</f>
        <v>Bengaluru</v>
      </c>
      <c r="AE665" s="7" t="str">
        <f aca="false">IF(TRIM(E665)="","",IFERROR(INDEX(Map_Tables!$H$4:$H$37,MATCH(TRIM(E665),Map_Tables!$G$4:$G$37,0)),"CHECK"))</f>
        <v>Spice Junction</v>
      </c>
      <c r="AF665" s="7" t="str">
        <f aca="false">IF(TRIM(K665)="","Unknown",IFERROR(INDEX(Map_Tables!$E$4:$E$15,MATCH(TRIM(K665),Map_Tables!$D$4:$D$15,0)),"CHECK"))</f>
        <v>UPI</v>
      </c>
      <c r="AG665" s="7" t="str">
        <f aca="false">IF(LEFT(LOWER(TRIM(L665)),6)="cancel","Cancelled","Delivered")</f>
        <v>Cancelled</v>
      </c>
      <c r="AH665" s="10" t="n">
        <f aca="false">IF(ISNUMBER(SEARCH("/",B665)),DATE(VALUE(RIGHT(B665,4)),VALUE(MID(B665,4,2)),VALUE(LEFT(B665,2))),IF(MID(B665,5,1)="-",DATE(VALUE(LEFT(B665,4)),VALUE(MID(B665,6,2)),VALUE(RIGHT(B665,2))),DATE(VALUE(RIGHT(B665,4)),MATCH(MID(B665,4,3),{"Jan","Feb","Mar","Apr","May","Jun","Jul","Aug","Sep","Oct","Nov","Dec"},0),VALUE(LEFT(B665,2)))))</f>
        <v>45739</v>
      </c>
    </row>
    <row r="666" customFormat="false" ht="15" hidden="false" customHeight="false" outlineLevel="0" collapsed="false">
      <c r="A666" s="7" t="s">
        <v>2288</v>
      </c>
      <c r="B666" s="7" t="s">
        <v>231</v>
      </c>
      <c r="C666" s="7" t="s">
        <v>2289</v>
      </c>
      <c r="D666" s="7" t="s">
        <v>2290</v>
      </c>
      <c r="E666" s="7" t="s">
        <v>138</v>
      </c>
      <c r="F666" s="7" t="s">
        <v>110</v>
      </c>
      <c r="G666" s="7" t="s">
        <v>139</v>
      </c>
      <c r="H666" s="7" t="n">
        <v>5</v>
      </c>
      <c r="I666" s="7" t="n">
        <v>200</v>
      </c>
      <c r="J666" s="7" t="n">
        <v>0</v>
      </c>
      <c r="K666" s="7" t="s">
        <v>93</v>
      </c>
      <c r="L666" s="7" t="s">
        <v>194</v>
      </c>
      <c r="M666" s="7" t="n">
        <v>42</v>
      </c>
      <c r="N666" s="7" t="n">
        <v>5</v>
      </c>
      <c r="O666" s="7" t="str">
        <f aca="false">A666&amp;"|"&amp;B666&amp;"|"&amp;C666&amp;"|"&amp;D666&amp;"|"&amp;E666&amp;"|"&amp;F666&amp;"|"&amp;G666&amp;"|"&amp;H666&amp;"|"&amp;I666&amp;"|"&amp;J666&amp;"|"&amp;K666&amp;"|"&amp;L666&amp;"|"&amp;M666&amp;"|"&amp;N666</f>
        <v>ORD12718|2025-11-30|17:38|C0239|Burger Barn|Delhi|Burgers|5|200|0|Credit Card|Delivered|42|5</v>
      </c>
      <c r="P666" s="7" t="str">
        <f aca="false">IF(COUNTIF($O$2:O666,O666)&gt;1,"DUP","OK")</f>
        <v>OK</v>
      </c>
      <c r="Q666" s="7" t="n">
        <f aca="false">COUNTBLANK(A666:N666)</f>
        <v>0</v>
      </c>
      <c r="R666" s="7" t="n">
        <f aca="false">IF(A666="",0,COUNTIFS($A$2:$A$3058,A666,$P$2:$P$3058,"OK"))</f>
        <v>1</v>
      </c>
      <c r="S666" s="7" t="str">
        <f aca="false">IF(OR(A666="",P666="DUP",R666&lt;2),"",IF(Q666=_xlfn.MINIFS($Q$2:$Q$3058,$A$2:$A$3058,A666,$P$2:$P$3058,"OK"),"KEEP","DROP"))</f>
        <v/>
      </c>
      <c r="T666" s="9" t="n">
        <f aca="false">IF(A666="",1,0)</f>
        <v>0</v>
      </c>
      <c r="U666" s="9" t="n">
        <f aca="false">IF(D666="",1,0)</f>
        <v>0</v>
      </c>
      <c r="V666" s="9" t="n">
        <f aca="false">IF(E666="",1,0)</f>
        <v>0</v>
      </c>
      <c r="W666" s="9" t="n">
        <f aca="false">IF(OR(H666&lt;1,H666&gt;10),1,0)</f>
        <v>0</v>
      </c>
      <c r="X666" s="9" t="n">
        <f aca="false">IF(OR(I666&lt;=0,I666&gt;1500),1,0)</f>
        <v>0</v>
      </c>
      <c r="Y666" s="9" t="n">
        <f aca="false">IF(J666&gt;H666*I666,1,0)</f>
        <v>0</v>
      </c>
      <c r="Z666" s="9" t="n">
        <f aca="false">IF(AND(N666&lt;&gt;"",OR(N666&lt;1,N666&gt;5)),1,0)</f>
        <v>0</v>
      </c>
      <c r="AA666" s="9" t="n">
        <f aca="false">IF(AND(M666&lt;&gt;"",OR(M666&lt;5,M666&gt;180)),1,0)</f>
        <v>0</v>
      </c>
      <c r="AB666" s="7" t="str">
        <f aca="false">IF(P666="DUP","Exact duplicate row",IF(T666=1,"Missing Order ID",IF(S666="DROP","Duplicate Order ID (less complete row)",IF(U666=1,"Missing Customer ID",IF(V666=1,"Missing Restaurant name",IF(W666=1,"Invalid/outlier quantity",IF(X666=1,"Invalid/outlier unit price",IF(Y666=1,"Discount greater than order value",""))))))))</f>
        <v/>
      </c>
      <c r="AC666" s="7" t="str">
        <f aca="false">IF(AB666="","KEEP","DROP")</f>
        <v>KEEP</v>
      </c>
      <c r="AD666" s="7" t="str">
        <f aca="false">IF(TRIM(F666)="",IFERROR(INDEX(Map_Tables!$I$4:$I$37,MATCH(TRIM(E666),Map_Tables!$G$4:$G$37,0)),""),IFERROR(INDEX(Map_Tables!$B$4:$B$18,MATCH(TRIM(F666),Map_Tables!$A$4:$A$18,0)),"CHECK"))</f>
        <v>Delhi</v>
      </c>
      <c r="AE666" s="7" t="str">
        <f aca="false">IF(TRIM(E666)="","",IFERROR(INDEX(Map_Tables!$H$4:$H$37,MATCH(TRIM(E666),Map_Tables!$G$4:$G$37,0)),"CHECK"))</f>
        <v>Burger Barn</v>
      </c>
      <c r="AF666" s="7" t="str">
        <f aca="false">IF(TRIM(K666)="","Unknown",IFERROR(INDEX(Map_Tables!$E$4:$E$15,MATCH(TRIM(K666),Map_Tables!$D$4:$D$15,0)),"CHECK"))</f>
        <v>Credit Card</v>
      </c>
      <c r="AG666" s="7" t="str">
        <f aca="false">IF(LEFT(LOWER(TRIM(L666)),6)="cancel","Cancelled","Delivered")</f>
        <v>Delivered</v>
      </c>
      <c r="AH666" s="10" t="n">
        <f aca="false">IF(ISNUMBER(SEARCH("/",B666)),DATE(VALUE(RIGHT(B666,4)),VALUE(MID(B666,4,2)),VALUE(LEFT(B666,2))),IF(MID(B666,5,1)="-",DATE(VALUE(LEFT(B666,4)),VALUE(MID(B666,6,2)),VALUE(RIGHT(B666,2))),DATE(VALUE(RIGHT(B666,4)),MATCH(MID(B666,4,3),{"Jan","Feb","Mar","Apr","May","Jun","Jul","Aug","Sep","Oct","Nov","Dec"},0),VALUE(LEFT(B666,2)))))</f>
        <v>45991</v>
      </c>
    </row>
    <row r="667" customFormat="false" ht="15" hidden="false" customHeight="false" outlineLevel="0" collapsed="false">
      <c r="A667" s="7" t="s">
        <v>2291</v>
      </c>
      <c r="B667" s="7" t="s">
        <v>892</v>
      </c>
      <c r="C667" s="7" t="s">
        <v>2292</v>
      </c>
      <c r="D667" s="7" t="s">
        <v>429</v>
      </c>
      <c r="E667" s="7" t="s">
        <v>152</v>
      </c>
      <c r="F667" s="7" t="s">
        <v>128</v>
      </c>
      <c r="G667" s="7" t="s">
        <v>95</v>
      </c>
      <c r="H667" s="7" t="n">
        <v>4</v>
      </c>
      <c r="I667" s="7" t="n">
        <v>115</v>
      </c>
      <c r="J667" s="7" t="n">
        <v>0</v>
      </c>
      <c r="K667" s="7" t="s">
        <v>93</v>
      </c>
      <c r="L667" s="7" t="s">
        <v>194</v>
      </c>
      <c r="M667" s="7" t="n">
        <v>28</v>
      </c>
      <c r="N667" s="7" t="n">
        <v>4</v>
      </c>
      <c r="O667" s="7" t="str">
        <f aca="false">A667&amp;"|"&amp;B667&amp;"|"&amp;C667&amp;"|"&amp;D667&amp;"|"&amp;E667&amp;"|"&amp;F667&amp;"|"&amp;G667&amp;"|"&amp;H667&amp;"|"&amp;I667&amp;"|"&amp;J667&amp;"|"&amp;K667&amp;"|"&amp;L667&amp;"|"&amp;M667&amp;"|"&amp;N667</f>
        <v>ORD12535|2025-11-12|20:11|C1150|Filter Coffee &amp; Tiffin|Chennai|South Indian|4|115|0|Credit Card|Delivered|28|4</v>
      </c>
      <c r="P667" s="7" t="str">
        <f aca="false">IF(COUNTIF($O$2:O667,O667)&gt;1,"DUP","OK")</f>
        <v>OK</v>
      </c>
      <c r="Q667" s="7" t="n">
        <f aca="false">COUNTBLANK(A667:N667)</f>
        <v>0</v>
      </c>
      <c r="R667" s="7" t="n">
        <f aca="false">IF(A667="",0,COUNTIFS($A$2:$A$3058,A667,$P$2:$P$3058,"OK"))</f>
        <v>1</v>
      </c>
      <c r="S667" s="7" t="str">
        <f aca="false">IF(OR(A667="",P667="DUP",R667&lt;2),"",IF(Q667=_xlfn.MINIFS($Q$2:$Q$3058,$A$2:$A$3058,A667,$P$2:$P$3058,"OK"),"KEEP","DROP"))</f>
        <v/>
      </c>
      <c r="T667" s="9" t="n">
        <f aca="false">IF(A667="",1,0)</f>
        <v>0</v>
      </c>
      <c r="U667" s="9" t="n">
        <f aca="false">IF(D667="",1,0)</f>
        <v>0</v>
      </c>
      <c r="V667" s="9" t="n">
        <f aca="false">IF(E667="",1,0)</f>
        <v>0</v>
      </c>
      <c r="W667" s="9" t="n">
        <f aca="false">IF(OR(H667&lt;1,H667&gt;10),1,0)</f>
        <v>0</v>
      </c>
      <c r="X667" s="9" t="n">
        <f aca="false">IF(OR(I667&lt;=0,I667&gt;1500),1,0)</f>
        <v>0</v>
      </c>
      <c r="Y667" s="9" t="n">
        <f aca="false">IF(J667&gt;H667*I667,1,0)</f>
        <v>0</v>
      </c>
      <c r="Z667" s="9" t="n">
        <f aca="false">IF(AND(N667&lt;&gt;"",OR(N667&lt;1,N667&gt;5)),1,0)</f>
        <v>0</v>
      </c>
      <c r="AA667" s="9" t="n">
        <f aca="false">IF(AND(M667&lt;&gt;"",OR(M667&lt;5,M667&gt;180)),1,0)</f>
        <v>0</v>
      </c>
      <c r="AB667" s="7" t="str">
        <f aca="false">IF(P667="DUP","Exact duplicate row",IF(T667=1,"Missing Order ID",IF(S667="DROP","Duplicate Order ID (less complete row)",IF(U667=1,"Missing Customer ID",IF(V667=1,"Missing Restaurant name",IF(W667=1,"Invalid/outlier quantity",IF(X667=1,"Invalid/outlier unit price",IF(Y667=1,"Discount greater than order value",""))))))))</f>
        <v/>
      </c>
      <c r="AC667" s="7" t="str">
        <f aca="false">IF(AB667="","KEEP","DROP")</f>
        <v>KEEP</v>
      </c>
      <c r="AD667" s="7" t="str">
        <f aca="false">IF(TRIM(F667)="",IFERROR(INDEX(Map_Tables!$I$4:$I$37,MATCH(TRIM(E667),Map_Tables!$G$4:$G$37,0)),""),IFERROR(INDEX(Map_Tables!$B$4:$B$18,MATCH(TRIM(F667),Map_Tables!$A$4:$A$18,0)),"CHECK"))</f>
        <v>Chennai</v>
      </c>
      <c r="AE667" s="7" t="str">
        <f aca="false">IF(TRIM(E667)="","",IFERROR(INDEX(Map_Tables!$H$4:$H$37,MATCH(TRIM(E667),Map_Tables!$G$4:$G$37,0)),"CHECK"))</f>
        <v>Filter Coffee &amp; Tiffin</v>
      </c>
      <c r="AF667" s="7" t="str">
        <f aca="false">IF(TRIM(K667)="","Unknown",IFERROR(INDEX(Map_Tables!$E$4:$E$15,MATCH(TRIM(K667),Map_Tables!$D$4:$D$15,0)),"CHECK"))</f>
        <v>Credit Card</v>
      </c>
      <c r="AG667" s="7" t="str">
        <f aca="false">IF(LEFT(LOWER(TRIM(L667)),6)="cancel","Cancelled","Delivered")</f>
        <v>Delivered</v>
      </c>
      <c r="AH667" s="10" t="n">
        <f aca="false">IF(ISNUMBER(SEARCH("/",B667)),DATE(VALUE(RIGHT(B667,4)),VALUE(MID(B667,4,2)),VALUE(LEFT(B667,2))),IF(MID(B667,5,1)="-",DATE(VALUE(LEFT(B667,4)),VALUE(MID(B667,6,2)),VALUE(RIGHT(B667,2))),DATE(VALUE(RIGHT(B667,4)),MATCH(MID(B667,4,3),{"Jan","Feb","Mar","Apr","May","Jun","Jul","Aug","Sep","Oct","Nov","Dec"},0),VALUE(LEFT(B667,2)))))</f>
        <v>45973</v>
      </c>
    </row>
    <row r="668" customFormat="false" ht="15" hidden="false" customHeight="false" outlineLevel="0" collapsed="false">
      <c r="A668" s="7" t="s">
        <v>2293</v>
      </c>
      <c r="B668" s="7" t="s">
        <v>1183</v>
      </c>
      <c r="C668" s="7" t="s">
        <v>1715</v>
      </c>
      <c r="D668" s="7" t="s">
        <v>228</v>
      </c>
      <c r="E668" s="7" t="s">
        <v>2294</v>
      </c>
      <c r="F668" s="7" t="s">
        <v>110</v>
      </c>
      <c r="G668" s="7" t="s">
        <v>139</v>
      </c>
      <c r="H668" s="7" t="n">
        <v>2</v>
      </c>
      <c r="I668" s="7" t="n">
        <v>210</v>
      </c>
      <c r="J668" s="7" t="n">
        <v>0</v>
      </c>
      <c r="K668" s="7" t="s">
        <v>93</v>
      </c>
      <c r="L668" s="7" t="s">
        <v>194</v>
      </c>
      <c r="M668" s="7" t="n">
        <v>33</v>
      </c>
      <c r="N668" s="7" t="n">
        <v>5</v>
      </c>
      <c r="O668" s="7" t="str">
        <f aca="false">A668&amp;"|"&amp;B668&amp;"|"&amp;C668&amp;"|"&amp;D668&amp;"|"&amp;E668&amp;"|"&amp;F668&amp;"|"&amp;G668&amp;"|"&amp;H668&amp;"|"&amp;I668&amp;"|"&amp;J668&amp;"|"&amp;K668&amp;"|"&amp;L668&amp;"|"&amp;M668&amp;"|"&amp;N668</f>
        <v>ORD11584|2025-07-26|16:00|C1488|burger barn|Delhi|Burgers|2|210|0|Credit Card|Delivered|33|5</v>
      </c>
      <c r="P668" s="7" t="str">
        <f aca="false">IF(COUNTIF($O$2:O668,O668)&gt;1,"DUP","OK")</f>
        <v>OK</v>
      </c>
      <c r="Q668" s="7" t="n">
        <f aca="false">COUNTBLANK(A668:N668)</f>
        <v>0</v>
      </c>
      <c r="R668" s="7" t="n">
        <f aca="false">IF(A668="",0,COUNTIFS($A$2:$A$3058,A668,$P$2:$P$3058,"OK"))</f>
        <v>1</v>
      </c>
      <c r="S668" s="7" t="str">
        <f aca="false">IF(OR(A668="",P668="DUP",R668&lt;2),"",IF(Q668=_xlfn.MINIFS($Q$2:$Q$3058,$A$2:$A$3058,A668,$P$2:$P$3058,"OK"),"KEEP","DROP"))</f>
        <v/>
      </c>
      <c r="T668" s="9" t="n">
        <f aca="false">IF(A668="",1,0)</f>
        <v>0</v>
      </c>
      <c r="U668" s="9" t="n">
        <f aca="false">IF(D668="",1,0)</f>
        <v>0</v>
      </c>
      <c r="V668" s="9" t="n">
        <f aca="false">IF(E668="",1,0)</f>
        <v>0</v>
      </c>
      <c r="W668" s="9" t="n">
        <f aca="false">IF(OR(H668&lt;1,H668&gt;10),1,0)</f>
        <v>0</v>
      </c>
      <c r="X668" s="9" t="n">
        <f aca="false">IF(OR(I668&lt;=0,I668&gt;1500),1,0)</f>
        <v>0</v>
      </c>
      <c r="Y668" s="9" t="n">
        <f aca="false">IF(J668&gt;H668*I668,1,0)</f>
        <v>0</v>
      </c>
      <c r="Z668" s="9" t="n">
        <f aca="false">IF(AND(N668&lt;&gt;"",OR(N668&lt;1,N668&gt;5)),1,0)</f>
        <v>0</v>
      </c>
      <c r="AA668" s="9" t="n">
        <f aca="false">IF(AND(M668&lt;&gt;"",OR(M668&lt;5,M668&gt;180)),1,0)</f>
        <v>0</v>
      </c>
      <c r="AB668" s="7" t="str">
        <f aca="false">IF(P668="DUP","Exact duplicate row",IF(T668=1,"Missing Order ID",IF(S668="DROP","Duplicate Order ID (less complete row)",IF(U668=1,"Missing Customer ID",IF(V668=1,"Missing Restaurant name",IF(W668=1,"Invalid/outlier quantity",IF(X668=1,"Invalid/outlier unit price",IF(Y668=1,"Discount greater than order value",""))))))))</f>
        <v/>
      </c>
      <c r="AC668" s="7" t="str">
        <f aca="false">IF(AB668="","KEEP","DROP")</f>
        <v>KEEP</v>
      </c>
      <c r="AD668" s="7" t="str">
        <f aca="false">IF(TRIM(F668)="",IFERROR(INDEX(Map_Tables!$I$4:$I$37,MATCH(TRIM(E668),Map_Tables!$G$4:$G$37,0)),""),IFERROR(INDEX(Map_Tables!$B$4:$B$18,MATCH(TRIM(F668),Map_Tables!$A$4:$A$18,0)),"CHECK"))</f>
        <v>Delhi</v>
      </c>
      <c r="AE668" s="7" t="str">
        <f aca="false">IF(TRIM(E668)="","",IFERROR(INDEX(Map_Tables!$H$4:$H$37,MATCH(TRIM(E668),Map_Tables!$G$4:$G$37,0)),"CHECK"))</f>
        <v>Burger Barn</v>
      </c>
      <c r="AF668" s="7" t="str">
        <f aca="false">IF(TRIM(K668)="","Unknown",IFERROR(INDEX(Map_Tables!$E$4:$E$15,MATCH(TRIM(K668),Map_Tables!$D$4:$D$15,0)),"CHECK"))</f>
        <v>Credit Card</v>
      </c>
      <c r="AG668" s="7" t="str">
        <f aca="false">IF(LEFT(LOWER(TRIM(L668)),6)="cancel","Cancelled","Delivered")</f>
        <v>Delivered</v>
      </c>
      <c r="AH668" s="10" t="n">
        <f aca="false">IF(ISNUMBER(SEARCH("/",B668)),DATE(VALUE(RIGHT(B668,4)),VALUE(MID(B668,4,2)),VALUE(LEFT(B668,2))),IF(MID(B668,5,1)="-",DATE(VALUE(LEFT(B668,4)),VALUE(MID(B668,6,2)),VALUE(RIGHT(B668,2))),DATE(VALUE(RIGHT(B668,4)),MATCH(MID(B668,4,3),{"Jan","Feb","Mar","Apr","May","Jun","Jul","Aug","Sep","Oct","Nov","Dec"},0),VALUE(LEFT(B668,2)))))</f>
        <v>45864</v>
      </c>
    </row>
    <row r="669" customFormat="false" ht="15" hidden="false" customHeight="false" outlineLevel="0" collapsed="false">
      <c r="A669" s="7" t="s">
        <v>2295</v>
      </c>
      <c r="B669" s="7" t="s">
        <v>1238</v>
      </c>
      <c r="C669" s="7" t="s">
        <v>2296</v>
      </c>
      <c r="D669" s="7" t="s">
        <v>2297</v>
      </c>
      <c r="E669" s="7" t="s">
        <v>122</v>
      </c>
      <c r="F669" s="7" t="s">
        <v>101</v>
      </c>
      <c r="G669" s="7" t="s">
        <v>123</v>
      </c>
      <c r="H669" s="7" t="n">
        <v>3</v>
      </c>
      <c r="I669" s="7" t="n">
        <v>335</v>
      </c>
      <c r="J669" s="7" t="n">
        <v>0</v>
      </c>
      <c r="K669" s="7" t="s">
        <v>88</v>
      </c>
      <c r="L669" s="7" t="s">
        <v>194</v>
      </c>
      <c r="M669" s="7" t="n">
        <v>35</v>
      </c>
      <c r="N669" s="7" t="n">
        <v>3</v>
      </c>
      <c r="O669" s="7" t="str">
        <f aca="false">A669&amp;"|"&amp;B669&amp;"|"&amp;C669&amp;"|"&amp;D669&amp;"|"&amp;E669&amp;"|"&amp;F669&amp;"|"&amp;G669&amp;"|"&amp;H669&amp;"|"&amp;I669&amp;"|"&amp;J669&amp;"|"&amp;K669&amp;"|"&amp;L669&amp;"|"&amp;M669&amp;"|"&amp;N669</f>
        <v>ORD10570|2025-03-14|13:01|C0730|Mumbai Pizza Co|Mumbai|Pizza|3|335|0|UPI|Delivered|35|3</v>
      </c>
      <c r="P669" s="7" t="str">
        <f aca="false">IF(COUNTIF($O$2:O669,O669)&gt;1,"DUP","OK")</f>
        <v>OK</v>
      </c>
      <c r="Q669" s="7" t="n">
        <f aca="false">COUNTBLANK(A669:N669)</f>
        <v>0</v>
      </c>
      <c r="R669" s="7" t="n">
        <f aca="false">IF(A669="",0,COUNTIFS($A$2:$A$3058,A669,$P$2:$P$3058,"OK"))</f>
        <v>1</v>
      </c>
      <c r="S669" s="7" t="str">
        <f aca="false">IF(OR(A669="",P669="DUP",R669&lt;2),"",IF(Q669=_xlfn.MINIFS($Q$2:$Q$3058,$A$2:$A$3058,A669,$P$2:$P$3058,"OK"),"KEEP","DROP"))</f>
        <v/>
      </c>
      <c r="T669" s="9" t="n">
        <f aca="false">IF(A669="",1,0)</f>
        <v>0</v>
      </c>
      <c r="U669" s="9" t="n">
        <f aca="false">IF(D669="",1,0)</f>
        <v>0</v>
      </c>
      <c r="V669" s="9" t="n">
        <f aca="false">IF(E669="",1,0)</f>
        <v>0</v>
      </c>
      <c r="W669" s="9" t="n">
        <f aca="false">IF(OR(H669&lt;1,H669&gt;10),1,0)</f>
        <v>0</v>
      </c>
      <c r="X669" s="9" t="n">
        <f aca="false">IF(OR(I669&lt;=0,I669&gt;1500),1,0)</f>
        <v>0</v>
      </c>
      <c r="Y669" s="9" t="n">
        <f aca="false">IF(J669&gt;H669*I669,1,0)</f>
        <v>0</v>
      </c>
      <c r="Z669" s="9" t="n">
        <f aca="false">IF(AND(N669&lt;&gt;"",OR(N669&lt;1,N669&gt;5)),1,0)</f>
        <v>0</v>
      </c>
      <c r="AA669" s="9" t="n">
        <f aca="false">IF(AND(M669&lt;&gt;"",OR(M669&lt;5,M669&gt;180)),1,0)</f>
        <v>0</v>
      </c>
      <c r="AB669" s="7" t="str">
        <f aca="false">IF(P669="DUP","Exact duplicate row",IF(T669=1,"Missing Order ID",IF(S669="DROP","Duplicate Order ID (less complete row)",IF(U669=1,"Missing Customer ID",IF(V669=1,"Missing Restaurant name",IF(W669=1,"Invalid/outlier quantity",IF(X669=1,"Invalid/outlier unit price",IF(Y669=1,"Discount greater than order value",""))))))))</f>
        <v/>
      </c>
      <c r="AC669" s="7" t="str">
        <f aca="false">IF(AB669="","KEEP","DROP")</f>
        <v>KEEP</v>
      </c>
      <c r="AD669" s="7" t="str">
        <f aca="false">IF(TRIM(F669)="",IFERROR(INDEX(Map_Tables!$I$4:$I$37,MATCH(TRIM(E669),Map_Tables!$G$4:$G$37,0)),""),IFERROR(INDEX(Map_Tables!$B$4:$B$18,MATCH(TRIM(F669),Map_Tables!$A$4:$A$18,0)),"CHECK"))</f>
        <v>Mumbai</v>
      </c>
      <c r="AE669" s="7" t="str">
        <f aca="false">IF(TRIM(E669)="","",IFERROR(INDEX(Map_Tables!$H$4:$H$37,MATCH(TRIM(E669),Map_Tables!$G$4:$G$37,0)),"CHECK"))</f>
        <v>Mumbai Pizza Co</v>
      </c>
      <c r="AF669" s="7" t="str">
        <f aca="false">IF(TRIM(K669)="","Unknown",IFERROR(INDEX(Map_Tables!$E$4:$E$15,MATCH(TRIM(K669),Map_Tables!$D$4:$D$15,0)),"CHECK"))</f>
        <v>UPI</v>
      </c>
      <c r="AG669" s="7" t="str">
        <f aca="false">IF(LEFT(LOWER(TRIM(L669)),6)="cancel","Cancelled","Delivered")</f>
        <v>Delivered</v>
      </c>
      <c r="AH669" s="10" t="n">
        <f aca="false">IF(ISNUMBER(SEARCH("/",B669)),DATE(VALUE(RIGHT(B669,4)),VALUE(MID(B669,4,2)),VALUE(LEFT(B669,2))),IF(MID(B669,5,1)="-",DATE(VALUE(LEFT(B669,4)),VALUE(MID(B669,6,2)),VALUE(RIGHT(B669,2))),DATE(VALUE(RIGHT(B669,4)),MATCH(MID(B669,4,3),{"Jan","Feb","Mar","Apr","May","Jun","Jul","Aug","Sep","Oct","Nov","Dec"},0),VALUE(LEFT(B669,2)))))</f>
        <v>45730</v>
      </c>
    </row>
    <row r="670" customFormat="false" ht="15" hidden="false" customHeight="false" outlineLevel="0" collapsed="false">
      <c r="A670" s="7" t="s">
        <v>2298</v>
      </c>
      <c r="B670" s="7" t="s">
        <v>253</v>
      </c>
      <c r="C670" s="7" t="s">
        <v>776</v>
      </c>
      <c r="D670" s="7" t="s">
        <v>2299</v>
      </c>
      <c r="E670" s="7" t="s">
        <v>94</v>
      </c>
      <c r="F670" s="7" t="s">
        <v>729</v>
      </c>
      <c r="G670" s="7" t="s">
        <v>95</v>
      </c>
      <c r="H670" s="7" t="n">
        <v>2</v>
      </c>
      <c r="I670" s="7" t="n">
        <v>145</v>
      </c>
      <c r="J670" s="7" t="n">
        <v>0</v>
      </c>
      <c r="K670" s="7" t="s">
        <v>88</v>
      </c>
      <c r="L670" s="7" t="s">
        <v>194</v>
      </c>
      <c r="M670" s="7" t="n">
        <v>25</v>
      </c>
      <c r="N670" s="7" t="n">
        <v>3</v>
      </c>
      <c r="O670" s="7" t="str">
        <f aca="false">A670&amp;"|"&amp;B670&amp;"|"&amp;C670&amp;"|"&amp;D670&amp;"|"&amp;E670&amp;"|"&amp;F670&amp;"|"&amp;G670&amp;"|"&amp;H670&amp;"|"&amp;I670&amp;"|"&amp;J670&amp;"|"&amp;K670&amp;"|"&amp;L670&amp;"|"&amp;M670&amp;"|"&amp;N670</f>
        <v>ORD10737|2025-04-04|16:13|C0644|Dosa Darbar|BENGALURU|South Indian|2|145|0|UPI|Delivered|25|3</v>
      </c>
      <c r="P670" s="7" t="str">
        <f aca="false">IF(COUNTIF($O$2:O670,O670)&gt;1,"DUP","OK")</f>
        <v>OK</v>
      </c>
      <c r="Q670" s="7" t="n">
        <f aca="false">COUNTBLANK(A670:N670)</f>
        <v>0</v>
      </c>
      <c r="R670" s="7" t="n">
        <f aca="false">IF(A670="",0,COUNTIFS($A$2:$A$3058,A670,$P$2:$P$3058,"OK"))</f>
        <v>1</v>
      </c>
      <c r="S670" s="7" t="str">
        <f aca="false">IF(OR(A670="",P670="DUP",R670&lt;2),"",IF(Q670=_xlfn.MINIFS($Q$2:$Q$3058,$A$2:$A$3058,A670,$P$2:$P$3058,"OK"),"KEEP","DROP"))</f>
        <v/>
      </c>
      <c r="T670" s="9" t="n">
        <f aca="false">IF(A670="",1,0)</f>
        <v>0</v>
      </c>
      <c r="U670" s="9" t="n">
        <f aca="false">IF(D670="",1,0)</f>
        <v>0</v>
      </c>
      <c r="V670" s="9" t="n">
        <f aca="false">IF(E670="",1,0)</f>
        <v>0</v>
      </c>
      <c r="W670" s="9" t="n">
        <f aca="false">IF(OR(H670&lt;1,H670&gt;10),1,0)</f>
        <v>0</v>
      </c>
      <c r="X670" s="9" t="n">
        <f aca="false">IF(OR(I670&lt;=0,I670&gt;1500),1,0)</f>
        <v>0</v>
      </c>
      <c r="Y670" s="9" t="n">
        <f aca="false">IF(J670&gt;H670*I670,1,0)</f>
        <v>0</v>
      </c>
      <c r="Z670" s="9" t="n">
        <f aca="false">IF(AND(N670&lt;&gt;"",OR(N670&lt;1,N670&gt;5)),1,0)</f>
        <v>0</v>
      </c>
      <c r="AA670" s="9" t="n">
        <f aca="false">IF(AND(M670&lt;&gt;"",OR(M670&lt;5,M670&gt;180)),1,0)</f>
        <v>0</v>
      </c>
      <c r="AB670" s="7" t="str">
        <f aca="false">IF(P670="DUP","Exact duplicate row",IF(T670=1,"Missing Order ID",IF(S670="DROP","Duplicate Order ID (less complete row)",IF(U670=1,"Missing Customer ID",IF(V670=1,"Missing Restaurant name",IF(W670=1,"Invalid/outlier quantity",IF(X670=1,"Invalid/outlier unit price",IF(Y670=1,"Discount greater than order value",""))))))))</f>
        <v/>
      </c>
      <c r="AC670" s="7" t="str">
        <f aca="false">IF(AB670="","KEEP","DROP")</f>
        <v>KEEP</v>
      </c>
      <c r="AD670" s="7" t="str">
        <f aca="false">IF(TRIM(F670)="",IFERROR(INDEX(Map_Tables!$I$4:$I$37,MATCH(TRIM(E670),Map_Tables!$G$4:$G$37,0)),""),IFERROR(INDEX(Map_Tables!$B$4:$B$18,MATCH(TRIM(F670),Map_Tables!$A$4:$A$18,0)),"CHECK"))</f>
        <v>Bengaluru</v>
      </c>
      <c r="AE670" s="7" t="str">
        <f aca="false">IF(TRIM(E670)="","",IFERROR(INDEX(Map_Tables!$H$4:$H$37,MATCH(TRIM(E670),Map_Tables!$G$4:$G$37,0)),"CHECK"))</f>
        <v>Dosa Darbar</v>
      </c>
      <c r="AF670" s="7" t="str">
        <f aca="false">IF(TRIM(K670)="","Unknown",IFERROR(INDEX(Map_Tables!$E$4:$E$15,MATCH(TRIM(K670),Map_Tables!$D$4:$D$15,0)),"CHECK"))</f>
        <v>UPI</v>
      </c>
      <c r="AG670" s="7" t="str">
        <f aca="false">IF(LEFT(LOWER(TRIM(L670)),6)="cancel","Cancelled","Delivered")</f>
        <v>Delivered</v>
      </c>
      <c r="AH670" s="10" t="n">
        <f aca="false">IF(ISNUMBER(SEARCH("/",B670)),DATE(VALUE(RIGHT(B670,4)),VALUE(MID(B670,4,2)),VALUE(LEFT(B670,2))),IF(MID(B670,5,1)="-",DATE(VALUE(LEFT(B670,4)),VALUE(MID(B670,6,2)),VALUE(RIGHT(B670,2))),DATE(VALUE(RIGHT(B670,4)),MATCH(MID(B670,4,3),{"Jan","Feb","Mar","Apr","May","Jun","Jul","Aug","Sep","Oct","Nov","Dec"},0),VALUE(LEFT(B670,2)))))</f>
        <v>45751</v>
      </c>
    </row>
    <row r="671" customFormat="false" ht="15" hidden="false" customHeight="false" outlineLevel="0" collapsed="false">
      <c r="A671" s="7" t="s">
        <v>2300</v>
      </c>
      <c r="B671" s="7" t="s">
        <v>1455</v>
      </c>
      <c r="C671" s="7" t="s">
        <v>952</v>
      </c>
      <c r="D671" s="7" t="s">
        <v>1482</v>
      </c>
      <c r="E671" s="7" t="s">
        <v>163</v>
      </c>
      <c r="F671" s="7" t="s">
        <v>141</v>
      </c>
      <c r="G671" s="7" t="s">
        <v>99</v>
      </c>
      <c r="H671" s="7" t="n">
        <v>1</v>
      </c>
      <c r="I671" s="7" t="n">
        <v>270</v>
      </c>
      <c r="J671" s="7" t="n">
        <v>0</v>
      </c>
      <c r="K671" s="7" t="s">
        <v>103</v>
      </c>
      <c r="L671" s="7" t="s">
        <v>194</v>
      </c>
      <c r="M671" s="7" t="n">
        <v>30</v>
      </c>
      <c r="N671" s="7" t="n">
        <v>4</v>
      </c>
      <c r="O671" s="7" t="str">
        <f aca="false">A671&amp;"|"&amp;B671&amp;"|"&amp;C671&amp;"|"&amp;D671&amp;"|"&amp;E671&amp;"|"&amp;F671&amp;"|"&amp;G671&amp;"|"&amp;H671&amp;"|"&amp;I671&amp;"|"&amp;J671&amp;"|"&amp;K671&amp;"|"&amp;L671&amp;"|"&amp;M671&amp;"|"&amp;N671</f>
        <v>ORD12337|22/10/2025|10:48|C0082|Biryani Baadshah|Kolkata|Biryani|1|270|0|Debit Card|Delivered|30|4</v>
      </c>
      <c r="P671" s="7" t="str">
        <f aca="false">IF(COUNTIF($O$2:O671,O671)&gt;1,"DUP","OK")</f>
        <v>OK</v>
      </c>
      <c r="Q671" s="7" t="n">
        <f aca="false">COUNTBLANK(A671:N671)</f>
        <v>0</v>
      </c>
      <c r="R671" s="7" t="n">
        <f aca="false">IF(A671="",0,COUNTIFS($A$2:$A$3058,A671,$P$2:$P$3058,"OK"))</f>
        <v>1</v>
      </c>
      <c r="S671" s="7" t="str">
        <f aca="false">IF(OR(A671="",P671="DUP",R671&lt;2),"",IF(Q671=_xlfn.MINIFS($Q$2:$Q$3058,$A$2:$A$3058,A671,$P$2:$P$3058,"OK"),"KEEP","DROP"))</f>
        <v/>
      </c>
      <c r="T671" s="9" t="n">
        <f aca="false">IF(A671="",1,0)</f>
        <v>0</v>
      </c>
      <c r="U671" s="9" t="n">
        <f aca="false">IF(D671="",1,0)</f>
        <v>0</v>
      </c>
      <c r="V671" s="9" t="n">
        <f aca="false">IF(E671="",1,0)</f>
        <v>0</v>
      </c>
      <c r="W671" s="9" t="n">
        <f aca="false">IF(OR(H671&lt;1,H671&gt;10),1,0)</f>
        <v>0</v>
      </c>
      <c r="X671" s="9" t="n">
        <f aca="false">IF(OR(I671&lt;=0,I671&gt;1500),1,0)</f>
        <v>0</v>
      </c>
      <c r="Y671" s="9" t="n">
        <f aca="false">IF(J671&gt;H671*I671,1,0)</f>
        <v>0</v>
      </c>
      <c r="Z671" s="9" t="n">
        <f aca="false">IF(AND(N671&lt;&gt;"",OR(N671&lt;1,N671&gt;5)),1,0)</f>
        <v>0</v>
      </c>
      <c r="AA671" s="9" t="n">
        <f aca="false">IF(AND(M671&lt;&gt;"",OR(M671&lt;5,M671&gt;180)),1,0)</f>
        <v>0</v>
      </c>
      <c r="AB671" s="7" t="str">
        <f aca="false">IF(P671="DUP","Exact duplicate row",IF(T671=1,"Missing Order ID",IF(S671="DROP","Duplicate Order ID (less complete row)",IF(U671=1,"Missing Customer ID",IF(V671=1,"Missing Restaurant name",IF(W671=1,"Invalid/outlier quantity",IF(X671=1,"Invalid/outlier unit price",IF(Y671=1,"Discount greater than order value",""))))))))</f>
        <v/>
      </c>
      <c r="AC671" s="7" t="str">
        <f aca="false">IF(AB671="","KEEP","DROP")</f>
        <v>KEEP</v>
      </c>
      <c r="AD671" s="7" t="str">
        <f aca="false">IF(TRIM(F671)="",IFERROR(INDEX(Map_Tables!$I$4:$I$37,MATCH(TRIM(E671),Map_Tables!$G$4:$G$37,0)),""),IFERROR(INDEX(Map_Tables!$B$4:$B$18,MATCH(TRIM(F671),Map_Tables!$A$4:$A$18,0)),"CHECK"))</f>
        <v>Kolkata</v>
      </c>
      <c r="AE671" s="7" t="str">
        <f aca="false">IF(TRIM(E671)="","",IFERROR(INDEX(Map_Tables!$H$4:$H$37,MATCH(TRIM(E671),Map_Tables!$G$4:$G$37,0)),"CHECK"))</f>
        <v>Biryani Baadshah</v>
      </c>
      <c r="AF671" s="7" t="str">
        <f aca="false">IF(TRIM(K671)="","Unknown",IFERROR(INDEX(Map_Tables!$E$4:$E$15,MATCH(TRIM(K671),Map_Tables!$D$4:$D$15,0)),"CHECK"))</f>
        <v>Debit Card</v>
      </c>
      <c r="AG671" s="7" t="str">
        <f aca="false">IF(LEFT(LOWER(TRIM(L671)),6)="cancel","Cancelled","Delivered")</f>
        <v>Delivered</v>
      </c>
      <c r="AH671" s="10" t="n">
        <f aca="false">IF(ISNUMBER(SEARCH("/",B671)),DATE(VALUE(RIGHT(B671,4)),VALUE(MID(B671,4,2)),VALUE(LEFT(B671,2))),IF(MID(B671,5,1)="-",DATE(VALUE(LEFT(B671,4)),VALUE(MID(B671,6,2)),VALUE(RIGHT(B671,2))),DATE(VALUE(RIGHT(B671,4)),MATCH(MID(B671,4,3),{"Jan","Feb","Mar","Apr","May","Jun","Jul","Aug","Sep","Oct","Nov","Dec"},0),VALUE(LEFT(B671,2)))))</f>
        <v>45952</v>
      </c>
    </row>
    <row r="672" customFormat="false" ht="15" hidden="false" customHeight="false" outlineLevel="0" collapsed="false">
      <c r="A672" s="7" t="s">
        <v>2301</v>
      </c>
      <c r="B672" s="7" t="s">
        <v>1393</v>
      </c>
      <c r="C672" s="7" t="s">
        <v>268</v>
      </c>
      <c r="D672" s="7" t="s">
        <v>1264</v>
      </c>
      <c r="E672" s="7" t="s">
        <v>2294</v>
      </c>
      <c r="F672" s="7" t="s">
        <v>110</v>
      </c>
      <c r="G672" s="7" t="s">
        <v>139</v>
      </c>
      <c r="H672" s="7" t="n">
        <v>1</v>
      </c>
      <c r="I672" s="7" t="n">
        <v>205</v>
      </c>
      <c r="J672" s="7" t="n">
        <v>82</v>
      </c>
      <c r="K672" s="7" t="s">
        <v>88</v>
      </c>
      <c r="L672" s="7" t="s">
        <v>194</v>
      </c>
      <c r="M672" s="7" t="n">
        <v>41</v>
      </c>
      <c r="N672" s="7" t="n">
        <v>2</v>
      </c>
      <c r="O672" s="7" t="str">
        <f aca="false">A672&amp;"|"&amp;B672&amp;"|"&amp;C672&amp;"|"&amp;D672&amp;"|"&amp;E672&amp;"|"&amp;F672&amp;"|"&amp;G672&amp;"|"&amp;H672&amp;"|"&amp;I672&amp;"|"&amp;J672&amp;"|"&amp;K672&amp;"|"&amp;L672&amp;"|"&amp;M672&amp;"|"&amp;N672</f>
        <v>ORD10518|2025-03-08|19:16|C0773|burger barn|Delhi|Burgers|1|205|82|UPI|Delivered|41|2</v>
      </c>
      <c r="P672" s="7" t="str">
        <f aca="false">IF(COUNTIF($O$2:O672,O672)&gt;1,"DUP","OK")</f>
        <v>OK</v>
      </c>
      <c r="Q672" s="7" t="n">
        <f aca="false">COUNTBLANK(A672:N672)</f>
        <v>0</v>
      </c>
      <c r="R672" s="7" t="n">
        <f aca="false">IF(A672="",0,COUNTIFS($A$2:$A$3058,A672,$P$2:$P$3058,"OK"))</f>
        <v>1</v>
      </c>
      <c r="S672" s="7" t="str">
        <f aca="false">IF(OR(A672="",P672="DUP",R672&lt;2),"",IF(Q672=_xlfn.MINIFS($Q$2:$Q$3058,$A$2:$A$3058,A672,$P$2:$P$3058,"OK"),"KEEP","DROP"))</f>
        <v/>
      </c>
      <c r="T672" s="9" t="n">
        <f aca="false">IF(A672="",1,0)</f>
        <v>0</v>
      </c>
      <c r="U672" s="9" t="n">
        <f aca="false">IF(D672="",1,0)</f>
        <v>0</v>
      </c>
      <c r="V672" s="9" t="n">
        <f aca="false">IF(E672="",1,0)</f>
        <v>0</v>
      </c>
      <c r="W672" s="9" t="n">
        <f aca="false">IF(OR(H672&lt;1,H672&gt;10),1,0)</f>
        <v>0</v>
      </c>
      <c r="X672" s="9" t="n">
        <f aca="false">IF(OR(I672&lt;=0,I672&gt;1500),1,0)</f>
        <v>0</v>
      </c>
      <c r="Y672" s="9" t="n">
        <f aca="false">IF(J672&gt;H672*I672,1,0)</f>
        <v>0</v>
      </c>
      <c r="Z672" s="9" t="n">
        <f aca="false">IF(AND(N672&lt;&gt;"",OR(N672&lt;1,N672&gt;5)),1,0)</f>
        <v>0</v>
      </c>
      <c r="AA672" s="9" t="n">
        <f aca="false">IF(AND(M672&lt;&gt;"",OR(M672&lt;5,M672&gt;180)),1,0)</f>
        <v>0</v>
      </c>
      <c r="AB672" s="7" t="str">
        <f aca="false">IF(P672="DUP","Exact duplicate row",IF(T672=1,"Missing Order ID",IF(S672="DROP","Duplicate Order ID (less complete row)",IF(U672=1,"Missing Customer ID",IF(V672=1,"Missing Restaurant name",IF(W672=1,"Invalid/outlier quantity",IF(X672=1,"Invalid/outlier unit price",IF(Y672=1,"Discount greater than order value",""))))))))</f>
        <v/>
      </c>
      <c r="AC672" s="7" t="str">
        <f aca="false">IF(AB672="","KEEP","DROP")</f>
        <v>KEEP</v>
      </c>
      <c r="AD672" s="7" t="str">
        <f aca="false">IF(TRIM(F672)="",IFERROR(INDEX(Map_Tables!$I$4:$I$37,MATCH(TRIM(E672),Map_Tables!$G$4:$G$37,0)),""),IFERROR(INDEX(Map_Tables!$B$4:$B$18,MATCH(TRIM(F672),Map_Tables!$A$4:$A$18,0)),"CHECK"))</f>
        <v>Delhi</v>
      </c>
      <c r="AE672" s="7" t="str">
        <f aca="false">IF(TRIM(E672)="","",IFERROR(INDEX(Map_Tables!$H$4:$H$37,MATCH(TRIM(E672),Map_Tables!$G$4:$G$37,0)),"CHECK"))</f>
        <v>Burger Barn</v>
      </c>
      <c r="AF672" s="7" t="str">
        <f aca="false">IF(TRIM(K672)="","Unknown",IFERROR(INDEX(Map_Tables!$E$4:$E$15,MATCH(TRIM(K672),Map_Tables!$D$4:$D$15,0)),"CHECK"))</f>
        <v>UPI</v>
      </c>
      <c r="AG672" s="7" t="str">
        <f aca="false">IF(LEFT(LOWER(TRIM(L672)),6)="cancel","Cancelled","Delivered")</f>
        <v>Delivered</v>
      </c>
      <c r="AH672" s="10" t="n">
        <f aca="false">IF(ISNUMBER(SEARCH("/",B672)),DATE(VALUE(RIGHT(B672,4)),VALUE(MID(B672,4,2)),VALUE(LEFT(B672,2))),IF(MID(B672,5,1)="-",DATE(VALUE(LEFT(B672,4)),VALUE(MID(B672,6,2)),VALUE(RIGHT(B672,2))),DATE(VALUE(RIGHT(B672,4)),MATCH(MID(B672,4,3),{"Jan","Feb","Mar","Apr","May","Jun","Jul","Aug","Sep","Oct","Nov","Dec"},0),VALUE(LEFT(B672,2)))))</f>
        <v>45724</v>
      </c>
    </row>
    <row r="673" customFormat="false" ht="15" hidden="false" customHeight="false" outlineLevel="0" collapsed="false">
      <c r="A673" s="7" t="s">
        <v>2302</v>
      </c>
      <c r="B673" s="7" t="s">
        <v>2303</v>
      </c>
      <c r="C673" s="7" t="s">
        <v>2304</v>
      </c>
      <c r="D673" s="7" t="s">
        <v>694</v>
      </c>
      <c r="E673" s="7" t="s">
        <v>122</v>
      </c>
      <c r="F673" s="7" t="s">
        <v>101</v>
      </c>
      <c r="G673" s="7" t="s">
        <v>123</v>
      </c>
      <c r="H673" s="7" t="n">
        <v>-1</v>
      </c>
      <c r="I673" s="7" t="n">
        <v>400</v>
      </c>
      <c r="J673" s="7" t="n">
        <v>40</v>
      </c>
      <c r="K673" s="7" t="s">
        <v>88</v>
      </c>
      <c r="L673" s="7" t="s">
        <v>194</v>
      </c>
      <c r="M673" s="7" t="n">
        <v>39</v>
      </c>
      <c r="N673" s="7" t="n">
        <v>4</v>
      </c>
      <c r="O673" s="7" t="str">
        <f aca="false">A673&amp;"|"&amp;B673&amp;"|"&amp;C673&amp;"|"&amp;D673&amp;"|"&amp;E673&amp;"|"&amp;F673&amp;"|"&amp;G673&amp;"|"&amp;H673&amp;"|"&amp;I673&amp;"|"&amp;J673&amp;"|"&amp;K673&amp;"|"&amp;L673&amp;"|"&amp;M673&amp;"|"&amp;N673</f>
        <v>ORD12293|2025-10-17|13:23|C0188|Mumbai Pizza Co|Mumbai|Pizza|-1|400|40|UPI|Delivered|39|4</v>
      </c>
      <c r="P673" s="7" t="str">
        <f aca="false">IF(COUNTIF($O$2:O673,O673)&gt;1,"DUP","OK")</f>
        <v>OK</v>
      </c>
      <c r="Q673" s="7" t="n">
        <f aca="false">COUNTBLANK(A673:N673)</f>
        <v>0</v>
      </c>
      <c r="R673" s="7" t="n">
        <f aca="false">IF(A673="",0,COUNTIFS($A$2:$A$3058,A673,$P$2:$P$3058,"OK"))</f>
        <v>1</v>
      </c>
      <c r="S673" s="7" t="str">
        <f aca="false">IF(OR(A673="",P673="DUP",R673&lt;2),"",IF(Q673=_xlfn.MINIFS($Q$2:$Q$3058,$A$2:$A$3058,A673,$P$2:$P$3058,"OK"),"KEEP","DROP"))</f>
        <v/>
      </c>
      <c r="T673" s="9" t="n">
        <f aca="false">IF(A673="",1,0)</f>
        <v>0</v>
      </c>
      <c r="U673" s="9" t="n">
        <f aca="false">IF(D673="",1,0)</f>
        <v>0</v>
      </c>
      <c r="V673" s="9" t="n">
        <f aca="false">IF(E673="",1,0)</f>
        <v>0</v>
      </c>
      <c r="W673" s="9" t="n">
        <f aca="false">IF(OR(H673&lt;1,H673&gt;10),1,0)</f>
        <v>1</v>
      </c>
      <c r="X673" s="9" t="n">
        <f aca="false">IF(OR(I673&lt;=0,I673&gt;1500),1,0)</f>
        <v>0</v>
      </c>
      <c r="Y673" s="9" t="n">
        <f aca="false">IF(J673&gt;H673*I673,1,0)</f>
        <v>1</v>
      </c>
      <c r="Z673" s="9" t="n">
        <f aca="false">IF(AND(N673&lt;&gt;"",OR(N673&lt;1,N673&gt;5)),1,0)</f>
        <v>0</v>
      </c>
      <c r="AA673" s="9" t="n">
        <f aca="false">IF(AND(M673&lt;&gt;"",OR(M673&lt;5,M673&gt;180)),1,0)</f>
        <v>0</v>
      </c>
      <c r="AB673" s="7" t="str">
        <f aca="false">IF(P673="DUP","Exact duplicate row",IF(T673=1,"Missing Order ID",IF(S673="DROP","Duplicate Order ID (less complete row)",IF(U673=1,"Missing Customer ID",IF(V673=1,"Missing Restaurant name",IF(W673=1,"Invalid/outlier quantity",IF(X673=1,"Invalid/outlier unit price",IF(Y673=1,"Discount greater than order value",""))))))))</f>
        <v>Invalid/outlier quantity</v>
      </c>
      <c r="AC673" s="7" t="str">
        <f aca="false">IF(AB673="","KEEP","DROP")</f>
        <v>DROP</v>
      </c>
      <c r="AD673" s="7" t="str">
        <f aca="false">IF(TRIM(F673)="",IFERROR(INDEX(Map_Tables!$I$4:$I$37,MATCH(TRIM(E673),Map_Tables!$G$4:$G$37,0)),""),IFERROR(INDEX(Map_Tables!$B$4:$B$18,MATCH(TRIM(F673),Map_Tables!$A$4:$A$18,0)),"CHECK"))</f>
        <v>Mumbai</v>
      </c>
      <c r="AE673" s="7" t="str">
        <f aca="false">IF(TRIM(E673)="","",IFERROR(INDEX(Map_Tables!$H$4:$H$37,MATCH(TRIM(E673),Map_Tables!$G$4:$G$37,0)),"CHECK"))</f>
        <v>Mumbai Pizza Co</v>
      </c>
      <c r="AF673" s="7" t="str">
        <f aca="false">IF(TRIM(K673)="","Unknown",IFERROR(INDEX(Map_Tables!$E$4:$E$15,MATCH(TRIM(K673),Map_Tables!$D$4:$D$15,0)),"CHECK"))</f>
        <v>UPI</v>
      </c>
      <c r="AG673" s="7" t="str">
        <f aca="false">IF(LEFT(LOWER(TRIM(L673)),6)="cancel","Cancelled","Delivered")</f>
        <v>Delivered</v>
      </c>
      <c r="AH673" s="10" t="n">
        <f aca="false">IF(ISNUMBER(SEARCH("/",B673)),DATE(VALUE(RIGHT(B673,4)),VALUE(MID(B673,4,2)),VALUE(LEFT(B673,2))),IF(MID(B673,5,1)="-",DATE(VALUE(LEFT(B673,4)),VALUE(MID(B673,6,2)),VALUE(RIGHT(B673,2))),DATE(VALUE(RIGHT(B673,4)),MATCH(MID(B673,4,3),{"Jan","Feb","Mar","Apr","May","Jun","Jul","Aug","Sep","Oct","Nov","Dec"},0),VALUE(LEFT(B673,2)))))</f>
        <v>45947</v>
      </c>
    </row>
    <row r="674" customFormat="false" ht="15" hidden="false" customHeight="false" outlineLevel="0" collapsed="false">
      <c r="A674" s="7" t="s">
        <v>2305</v>
      </c>
      <c r="B674" s="7" t="s">
        <v>629</v>
      </c>
      <c r="C674" s="7" t="s">
        <v>668</v>
      </c>
      <c r="D674" s="7" t="s">
        <v>2306</v>
      </c>
      <c r="E674" s="7" t="s">
        <v>144</v>
      </c>
      <c r="F674" s="7" t="s">
        <v>119</v>
      </c>
      <c r="G674" s="7" t="s">
        <v>99</v>
      </c>
      <c r="H674" s="7" t="n">
        <v>1</v>
      </c>
      <c r="I674" s="7" t="n">
        <v>275</v>
      </c>
      <c r="J674" s="7" t="n">
        <v>75</v>
      </c>
      <c r="K674" s="7" t="s">
        <v>121</v>
      </c>
      <c r="L674" s="7" t="s">
        <v>194</v>
      </c>
      <c r="M674" s="7" t="n">
        <v>38</v>
      </c>
      <c r="N674" s="7" t="n">
        <v>5</v>
      </c>
      <c r="O674" s="7" t="str">
        <f aca="false">A674&amp;"|"&amp;B674&amp;"|"&amp;C674&amp;"|"&amp;D674&amp;"|"&amp;E674&amp;"|"&amp;F674&amp;"|"&amp;G674&amp;"|"&amp;H674&amp;"|"&amp;I674&amp;"|"&amp;J674&amp;"|"&amp;K674&amp;"|"&amp;L674&amp;"|"&amp;M674&amp;"|"&amp;N674</f>
        <v>ORD12088|2025-09-26|13:33|C0226|Hyderabad Dum Biryani|Hyderabad|Biryani|1|275|75|Wallet|Delivered|38|5</v>
      </c>
      <c r="P674" s="7" t="str">
        <f aca="false">IF(COUNTIF($O$2:O674,O674)&gt;1,"DUP","OK")</f>
        <v>OK</v>
      </c>
      <c r="Q674" s="7" t="n">
        <f aca="false">COUNTBLANK(A674:N674)</f>
        <v>0</v>
      </c>
      <c r="R674" s="7" t="n">
        <f aca="false">IF(A674="",0,COUNTIFS($A$2:$A$3058,A674,$P$2:$P$3058,"OK"))</f>
        <v>1</v>
      </c>
      <c r="S674" s="7" t="str">
        <f aca="false">IF(OR(A674="",P674="DUP",R674&lt;2),"",IF(Q674=_xlfn.MINIFS($Q$2:$Q$3058,$A$2:$A$3058,A674,$P$2:$P$3058,"OK"),"KEEP","DROP"))</f>
        <v/>
      </c>
      <c r="T674" s="9" t="n">
        <f aca="false">IF(A674="",1,0)</f>
        <v>0</v>
      </c>
      <c r="U674" s="9" t="n">
        <f aca="false">IF(D674="",1,0)</f>
        <v>0</v>
      </c>
      <c r="V674" s="9" t="n">
        <f aca="false">IF(E674="",1,0)</f>
        <v>0</v>
      </c>
      <c r="W674" s="9" t="n">
        <f aca="false">IF(OR(H674&lt;1,H674&gt;10),1,0)</f>
        <v>0</v>
      </c>
      <c r="X674" s="9" t="n">
        <f aca="false">IF(OR(I674&lt;=0,I674&gt;1500),1,0)</f>
        <v>0</v>
      </c>
      <c r="Y674" s="9" t="n">
        <f aca="false">IF(J674&gt;H674*I674,1,0)</f>
        <v>0</v>
      </c>
      <c r="Z674" s="9" t="n">
        <f aca="false">IF(AND(N674&lt;&gt;"",OR(N674&lt;1,N674&gt;5)),1,0)</f>
        <v>0</v>
      </c>
      <c r="AA674" s="9" t="n">
        <f aca="false">IF(AND(M674&lt;&gt;"",OR(M674&lt;5,M674&gt;180)),1,0)</f>
        <v>0</v>
      </c>
      <c r="AB674" s="7" t="str">
        <f aca="false">IF(P674="DUP","Exact duplicate row",IF(T674=1,"Missing Order ID",IF(S674="DROP","Duplicate Order ID (less complete row)",IF(U674=1,"Missing Customer ID",IF(V674=1,"Missing Restaurant name",IF(W674=1,"Invalid/outlier quantity",IF(X674=1,"Invalid/outlier unit price",IF(Y674=1,"Discount greater than order value",""))))))))</f>
        <v/>
      </c>
      <c r="AC674" s="7" t="str">
        <f aca="false">IF(AB674="","KEEP","DROP")</f>
        <v>KEEP</v>
      </c>
      <c r="AD674" s="7" t="str">
        <f aca="false">IF(TRIM(F674)="",IFERROR(INDEX(Map_Tables!$I$4:$I$37,MATCH(TRIM(E674),Map_Tables!$G$4:$G$37,0)),""),IFERROR(INDEX(Map_Tables!$B$4:$B$18,MATCH(TRIM(F674),Map_Tables!$A$4:$A$18,0)),"CHECK"))</f>
        <v>Hyderabad</v>
      </c>
      <c r="AE674" s="7" t="str">
        <f aca="false">IF(TRIM(E674)="","",IFERROR(INDEX(Map_Tables!$H$4:$H$37,MATCH(TRIM(E674),Map_Tables!$G$4:$G$37,0)),"CHECK"))</f>
        <v>Hyderabad Dum Biryani</v>
      </c>
      <c r="AF674" s="7" t="str">
        <f aca="false">IF(TRIM(K674)="","Unknown",IFERROR(INDEX(Map_Tables!$E$4:$E$15,MATCH(TRIM(K674),Map_Tables!$D$4:$D$15,0)),"CHECK"))</f>
        <v>Wallet</v>
      </c>
      <c r="AG674" s="7" t="str">
        <f aca="false">IF(LEFT(LOWER(TRIM(L674)),6)="cancel","Cancelled","Delivered")</f>
        <v>Delivered</v>
      </c>
      <c r="AH674" s="10" t="n">
        <f aca="false">IF(ISNUMBER(SEARCH("/",B674)),DATE(VALUE(RIGHT(B674,4)),VALUE(MID(B674,4,2)),VALUE(LEFT(B674,2))),IF(MID(B674,5,1)="-",DATE(VALUE(LEFT(B674,4)),VALUE(MID(B674,6,2)),VALUE(RIGHT(B674,2))),DATE(VALUE(RIGHT(B674,4)),MATCH(MID(B674,4,3),{"Jan","Feb","Mar","Apr","May","Jun","Jul","Aug","Sep","Oct","Nov","Dec"},0),VALUE(LEFT(B674,2)))))</f>
        <v>45926</v>
      </c>
    </row>
    <row r="675" customFormat="false" ht="15" hidden="false" customHeight="false" outlineLevel="0" collapsed="false">
      <c r="A675" s="7" t="s">
        <v>2307</v>
      </c>
      <c r="B675" s="7" t="s">
        <v>2308</v>
      </c>
      <c r="C675" s="7" t="s">
        <v>2309</v>
      </c>
      <c r="D675" s="7" t="s">
        <v>2310</v>
      </c>
      <c r="E675" s="7" t="s">
        <v>126</v>
      </c>
      <c r="F675" s="7" t="s">
        <v>101</v>
      </c>
      <c r="G675" s="7" t="s">
        <v>105</v>
      </c>
      <c r="H675" s="7" t="n">
        <v>4</v>
      </c>
      <c r="I675" s="7" t="n">
        <v>180</v>
      </c>
      <c r="J675" s="7" t="n">
        <v>150</v>
      </c>
      <c r="K675" s="7" t="s">
        <v>88</v>
      </c>
      <c r="L675" s="7" t="s">
        <v>194</v>
      </c>
      <c r="M675" s="7" t="n">
        <v>58</v>
      </c>
      <c r="N675" s="7" t="n">
        <v>4</v>
      </c>
      <c r="O675" s="7" t="str">
        <f aca="false">A675&amp;"|"&amp;B675&amp;"|"&amp;C675&amp;"|"&amp;D675&amp;"|"&amp;E675&amp;"|"&amp;F675&amp;"|"&amp;G675&amp;"|"&amp;H675&amp;"|"&amp;I675&amp;"|"&amp;J675&amp;"|"&amp;K675&amp;"|"&amp;L675&amp;"|"&amp;M675&amp;"|"&amp;N675</f>
        <v>ORD10896|2025-04-23|14:33|C0240|Dragon Express|Mumbai|Chinese|4|180|150|UPI|Delivered|58|4</v>
      </c>
      <c r="P675" s="7" t="str">
        <f aca="false">IF(COUNTIF($O$2:O675,O675)&gt;1,"DUP","OK")</f>
        <v>OK</v>
      </c>
      <c r="Q675" s="7" t="n">
        <f aca="false">COUNTBLANK(A675:N675)</f>
        <v>0</v>
      </c>
      <c r="R675" s="7" t="n">
        <f aca="false">IF(A675="",0,COUNTIFS($A$2:$A$3058,A675,$P$2:$P$3058,"OK"))</f>
        <v>1</v>
      </c>
      <c r="S675" s="7" t="str">
        <f aca="false">IF(OR(A675="",P675="DUP",R675&lt;2),"",IF(Q675=_xlfn.MINIFS($Q$2:$Q$3058,$A$2:$A$3058,A675,$P$2:$P$3058,"OK"),"KEEP","DROP"))</f>
        <v/>
      </c>
      <c r="T675" s="9" t="n">
        <f aca="false">IF(A675="",1,0)</f>
        <v>0</v>
      </c>
      <c r="U675" s="9" t="n">
        <f aca="false">IF(D675="",1,0)</f>
        <v>0</v>
      </c>
      <c r="V675" s="9" t="n">
        <f aca="false">IF(E675="",1,0)</f>
        <v>0</v>
      </c>
      <c r="W675" s="9" t="n">
        <f aca="false">IF(OR(H675&lt;1,H675&gt;10),1,0)</f>
        <v>0</v>
      </c>
      <c r="X675" s="9" t="n">
        <f aca="false">IF(OR(I675&lt;=0,I675&gt;1500),1,0)</f>
        <v>0</v>
      </c>
      <c r="Y675" s="9" t="n">
        <f aca="false">IF(J675&gt;H675*I675,1,0)</f>
        <v>0</v>
      </c>
      <c r="Z675" s="9" t="n">
        <f aca="false">IF(AND(N675&lt;&gt;"",OR(N675&lt;1,N675&gt;5)),1,0)</f>
        <v>0</v>
      </c>
      <c r="AA675" s="9" t="n">
        <f aca="false">IF(AND(M675&lt;&gt;"",OR(M675&lt;5,M675&gt;180)),1,0)</f>
        <v>0</v>
      </c>
      <c r="AB675" s="7" t="str">
        <f aca="false">IF(P675="DUP","Exact duplicate row",IF(T675=1,"Missing Order ID",IF(S675="DROP","Duplicate Order ID (less complete row)",IF(U675=1,"Missing Customer ID",IF(V675=1,"Missing Restaurant name",IF(W675=1,"Invalid/outlier quantity",IF(X675=1,"Invalid/outlier unit price",IF(Y675=1,"Discount greater than order value",""))))))))</f>
        <v/>
      </c>
      <c r="AC675" s="7" t="str">
        <f aca="false">IF(AB675="","KEEP","DROP")</f>
        <v>KEEP</v>
      </c>
      <c r="AD675" s="7" t="str">
        <f aca="false">IF(TRIM(F675)="",IFERROR(INDEX(Map_Tables!$I$4:$I$37,MATCH(TRIM(E675),Map_Tables!$G$4:$G$37,0)),""),IFERROR(INDEX(Map_Tables!$B$4:$B$18,MATCH(TRIM(F675),Map_Tables!$A$4:$A$18,0)),"CHECK"))</f>
        <v>Mumbai</v>
      </c>
      <c r="AE675" s="7" t="str">
        <f aca="false">IF(TRIM(E675)="","",IFERROR(INDEX(Map_Tables!$H$4:$H$37,MATCH(TRIM(E675),Map_Tables!$G$4:$G$37,0)),"CHECK"))</f>
        <v>Dragon Express</v>
      </c>
      <c r="AF675" s="7" t="str">
        <f aca="false">IF(TRIM(K675)="","Unknown",IFERROR(INDEX(Map_Tables!$E$4:$E$15,MATCH(TRIM(K675),Map_Tables!$D$4:$D$15,0)),"CHECK"))</f>
        <v>UPI</v>
      </c>
      <c r="AG675" s="7" t="str">
        <f aca="false">IF(LEFT(LOWER(TRIM(L675)),6)="cancel","Cancelled","Delivered")</f>
        <v>Delivered</v>
      </c>
      <c r="AH675" s="10" t="n">
        <f aca="false">IF(ISNUMBER(SEARCH("/",B675)),DATE(VALUE(RIGHT(B675,4)),VALUE(MID(B675,4,2)),VALUE(LEFT(B675,2))),IF(MID(B675,5,1)="-",DATE(VALUE(LEFT(B675,4)),VALUE(MID(B675,6,2)),VALUE(RIGHT(B675,2))),DATE(VALUE(RIGHT(B675,4)),MATCH(MID(B675,4,3),{"Jan","Feb","Mar","Apr","May","Jun","Jul","Aug","Sep","Oct","Nov","Dec"},0),VALUE(LEFT(B675,2)))))</f>
        <v>45770</v>
      </c>
    </row>
    <row r="676" customFormat="false" ht="15" hidden="false" customHeight="false" outlineLevel="0" collapsed="false">
      <c r="A676" s="7" t="s">
        <v>2311</v>
      </c>
      <c r="B676" s="7" t="s">
        <v>2312</v>
      </c>
      <c r="C676" s="7" t="s">
        <v>1941</v>
      </c>
      <c r="D676" s="7" t="s">
        <v>2313</v>
      </c>
      <c r="E676" s="7" t="s">
        <v>94</v>
      </c>
      <c r="F676" s="7" t="s">
        <v>86</v>
      </c>
      <c r="G676" s="7" t="s">
        <v>95</v>
      </c>
      <c r="H676" s="7" t="n">
        <v>4</v>
      </c>
      <c r="I676" s="7" t="n">
        <v>130</v>
      </c>
      <c r="J676" s="7" t="n">
        <v>0</v>
      </c>
      <c r="K676" s="7" t="s">
        <v>88</v>
      </c>
      <c r="L676" s="7" t="s">
        <v>194</v>
      </c>
      <c r="M676" s="7" t="n">
        <v>47</v>
      </c>
      <c r="N676" s="7" t="n">
        <v>3</v>
      </c>
      <c r="O676" s="7" t="str">
        <f aca="false">A676&amp;"|"&amp;B676&amp;"|"&amp;C676&amp;"|"&amp;D676&amp;"|"&amp;E676&amp;"|"&amp;F676&amp;"|"&amp;G676&amp;"|"&amp;H676&amp;"|"&amp;I676&amp;"|"&amp;J676&amp;"|"&amp;K676&amp;"|"&amp;L676&amp;"|"&amp;M676&amp;"|"&amp;N676</f>
        <v>ORD12426|2025-11-01|21:01|C0523|Dosa Darbar|Bengaluru|South Indian|4|130|0|UPI|Delivered|47|3</v>
      </c>
      <c r="P676" s="7" t="str">
        <f aca="false">IF(COUNTIF($O$2:O676,O676)&gt;1,"DUP","OK")</f>
        <v>OK</v>
      </c>
      <c r="Q676" s="7" t="n">
        <f aca="false">COUNTBLANK(A676:N676)</f>
        <v>0</v>
      </c>
      <c r="R676" s="7" t="n">
        <f aca="false">IF(A676="",0,COUNTIFS($A$2:$A$3058,A676,$P$2:$P$3058,"OK"))</f>
        <v>1</v>
      </c>
      <c r="S676" s="7" t="str">
        <f aca="false">IF(OR(A676="",P676="DUP",R676&lt;2),"",IF(Q676=_xlfn.MINIFS($Q$2:$Q$3058,$A$2:$A$3058,A676,$P$2:$P$3058,"OK"),"KEEP","DROP"))</f>
        <v/>
      </c>
      <c r="T676" s="9" t="n">
        <f aca="false">IF(A676="",1,0)</f>
        <v>0</v>
      </c>
      <c r="U676" s="9" t="n">
        <f aca="false">IF(D676="",1,0)</f>
        <v>0</v>
      </c>
      <c r="V676" s="9" t="n">
        <f aca="false">IF(E676="",1,0)</f>
        <v>0</v>
      </c>
      <c r="W676" s="9" t="n">
        <f aca="false">IF(OR(H676&lt;1,H676&gt;10),1,0)</f>
        <v>0</v>
      </c>
      <c r="X676" s="9" t="n">
        <f aca="false">IF(OR(I676&lt;=0,I676&gt;1500),1,0)</f>
        <v>0</v>
      </c>
      <c r="Y676" s="9" t="n">
        <f aca="false">IF(J676&gt;H676*I676,1,0)</f>
        <v>0</v>
      </c>
      <c r="Z676" s="9" t="n">
        <f aca="false">IF(AND(N676&lt;&gt;"",OR(N676&lt;1,N676&gt;5)),1,0)</f>
        <v>0</v>
      </c>
      <c r="AA676" s="9" t="n">
        <f aca="false">IF(AND(M676&lt;&gt;"",OR(M676&lt;5,M676&gt;180)),1,0)</f>
        <v>0</v>
      </c>
      <c r="AB676" s="7" t="str">
        <f aca="false">IF(P676="DUP","Exact duplicate row",IF(T676=1,"Missing Order ID",IF(S676="DROP","Duplicate Order ID (less complete row)",IF(U676=1,"Missing Customer ID",IF(V676=1,"Missing Restaurant name",IF(W676=1,"Invalid/outlier quantity",IF(X676=1,"Invalid/outlier unit price",IF(Y676=1,"Discount greater than order value",""))))))))</f>
        <v/>
      </c>
      <c r="AC676" s="7" t="str">
        <f aca="false">IF(AB676="","KEEP","DROP")</f>
        <v>KEEP</v>
      </c>
      <c r="AD676" s="7" t="str">
        <f aca="false">IF(TRIM(F676)="",IFERROR(INDEX(Map_Tables!$I$4:$I$37,MATCH(TRIM(E676),Map_Tables!$G$4:$G$37,0)),""),IFERROR(INDEX(Map_Tables!$B$4:$B$18,MATCH(TRIM(F676),Map_Tables!$A$4:$A$18,0)),"CHECK"))</f>
        <v>Bengaluru</v>
      </c>
      <c r="AE676" s="7" t="str">
        <f aca="false">IF(TRIM(E676)="","",IFERROR(INDEX(Map_Tables!$H$4:$H$37,MATCH(TRIM(E676),Map_Tables!$G$4:$G$37,0)),"CHECK"))</f>
        <v>Dosa Darbar</v>
      </c>
      <c r="AF676" s="7" t="str">
        <f aca="false">IF(TRIM(K676)="","Unknown",IFERROR(INDEX(Map_Tables!$E$4:$E$15,MATCH(TRIM(K676),Map_Tables!$D$4:$D$15,0)),"CHECK"))</f>
        <v>UPI</v>
      </c>
      <c r="AG676" s="7" t="str">
        <f aca="false">IF(LEFT(LOWER(TRIM(L676)),6)="cancel","Cancelled","Delivered")</f>
        <v>Delivered</v>
      </c>
      <c r="AH676" s="10" t="n">
        <f aca="false">IF(ISNUMBER(SEARCH("/",B676)),DATE(VALUE(RIGHT(B676,4)),VALUE(MID(B676,4,2)),VALUE(LEFT(B676,2))),IF(MID(B676,5,1)="-",DATE(VALUE(LEFT(B676,4)),VALUE(MID(B676,6,2)),VALUE(RIGHT(B676,2))),DATE(VALUE(RIGHT(B676,4)),MATCH(MID(B676,4,3),{"Jan","Feb","Mar","Apr","May","Jun","Jul","Aug","Sep","Oct","Nov","Dec"},0),VALUE(LEFT(B676,2)))))</f>
        <v>45962</v>
      </c>
    </row>
    <row r="677" customFormat="false" ht="15" hidden="false" customHeight="false" outlineLevel="0" collapsed="false">
      <c r="A677" s="7" t="s">
        <v>2314</v>
      </c>
      <c r="B677" s="7" t="s">
        <v>2315</v>
      </c>
      <c r="C677" s="7" t="s">
        <v>319</v>
      </c>
      <c r="D677" s="7" t="s">
        <v>2134</v>
      </c>
      <c r="E677" s="7" t="s">
        <v>134</v>
      </c>
      <c r="F677" s="7" t="s">
        <v>110</v>
      </c>
      <c r="G677" s="7" t="s">
        <v>117</v>
      </c>
      <c r="H677" s="7" t="n">
        <v>1</v>
      </c>
      <c r="I677" s="7" t="n">
        <v>90</v>
      </c>
      <c r="J677" s="7" t="n">
        <v>0</v>
      </c>
      <c r="K677" s="7" t="s">
        <v>112</v>
      </c>
      <c r="L677" s="7" t="s">
        <v>194</v>
      </c>
      <c r="M677" s="7" t="n">
        <v>45</v>
      </c>
      <c r="N677" s="7" t="n">
        <v>3</v>
      </c>
      <c r="O677" s="7" t="str">
        <f aca="false">A677&amp;"|"&amp;B677&amp;"|"&amp;C677&amp;"|"&amp;D677&amp;"|"&amp;E677&amp;"|"&amp;F677&amp;"|"&amp;G677&amp;"|"&amp;H677&amp;"|"&amp;I677&amp;"|"&amp;J677&amp;"|"&amp;K677&amp;"|"&amp;L677&amp;"|"&amp;M677&amp;"|"&amp;N677</f>
        <v>ORD12083|25/09/2025|21:52|C1016|Chaat Corner|Delhi|Street Food|1|90|0|Cash on Delivery|Delivered|45|3</v>
      </c>
      <c r="P677" s="7" t="str">
        <f aca="false">IF(COUNTIF($O$2:O677,O677)&gt;1,"DUP","OK")</f>
        <v>OK</v>
      </c>
      <c r="Q677" s="7" t="n">
        <f aca="false">COUNTBLANK(A677:N677)</f>
        <v>0</v>
      </c>
      <c r="R677" s="7" t="n">
        <f aca="false">IF(A677="",0,COUNTIFS($A$2:$A$3058,A677,$P$2:$P$3058,"OK"))</f>
        <v>1</v>
      </c>
      <c r="S677" s="7" t="str">
        <f aca="false">IF(OR(A677="",P677="DUP",R677&lt;2),"",IF(Q677=_xlfn.MINIFS($Q$2:$Q$3058,$A$2:$A$3058,A677,$P$2:$P$3058,"OK"),"KEEP","DROP"))</f>
        <v/>
      </c>
      <c r="T677" s="9" t="n">
        <f aca="false">IF(A677="",1,0)</f>
        <v>0</v>
      </c>
      <c r="U677" s="9" t="n">
        <f aca="false">IF(D677="",1,0)</f>
        <v>0</v>
      </c>
      <c r="V677" s="9" t="n">
        <f aca="false">IF(E677="",1,0)</f>
        <v>0</v>
      </c>
      <c r="W677" s="9" t="n">
        <f aca="false">IF(OR(H677&lt;1,H677&gt;10),1,0)</f>
        <v>0</v>
      </c>
      <c r="X677" s="9" t="n">
        <f aca="false">IF(OR(I677&lt;=0,I677&gt;1500),1,0)</f>
        <v>0</v>
      </c>
      <c r="Y677" s="9" t="n">
        <f aca="false">IF(J677&gt;H677*I677,1,0)</f>
        <v>0</v>
      </c>
      <c r="Z677" s="9" t="n">
        <f aca="false">IF(AND(N677&lt;&gt;"",OR(N677&lt;1,N677&gt;5)),1,0)</f>
        <v>0</v>
      </c>
      <c r="AA677" s="9" t="n">
        <f aca="false">IF(AND(M677&lt;&gt;"",OR(M677&lt;5,M677&gt;180)),1,0)</f>
        <v>0</v>
      </c>
      <c r="AB677" s="7" t="str">
        <f aca="false">IF(P677="DUP","Exact duplicate row",IF(T677=1,"Missing Order ID",IF(S677="DROP","Duplicate Order ID (less complete row)",IF(U677=1,"Missing Customer ID",IF(V677=1,"Missing Restaurant name",IF(W677=1,"Invalid/outlier quantity",IF(X677=1,"Invalid/outlier unit price",IF(Y677=1,"Discount greater than order value",""))))))))</f>
        <v/>
      </c>
      <c r="AC677" s="7" t="str">
        <f aca="false">IF(AB677="","KEEP","DROP")</f>
        <v>KEEP</v>
      </c>
      <c r="AD677" s="7" t="str">
        <f aca="false">IF(TRIM(F677)="",IFERROR(INDEX(Map_Tables!$I$4:$I$37,MATCH(TRIM(E677),Map_Tables!$G$4:$G$37,0)),""),IFERROR(INDEX(Map_Tables!$B$4:$B$18,MATCH(TRIM(F677),Map_Tables!$A$4:$A$18,0)),"CHECK"))</f>
        <v>Delhi</v>
      </c>
      <c r="AE677" s="7" t="str">
        <f aca="false">IF(TRIM(E677)="","",IFERROR(INDEX(Map_Tables!$H$4:$H$37,MATCH(TRIM(E677),Map_Tables!$G$4:$G$37,0)),"CHECK"))</f>
        <v>Chaat Corner</v>
      </c>
      <c r="AF677" s="7" t="str">
        <f aca="false">IF(TRIM(K677)="","Unknown",IFERROR(INDEX(Map_Tables!$E$4:$E$15,MATCH(TRIM(K677),Map_Tables!$D$4:$D$15,0)),"CHECK"))</f>
        <v>Cash on Delivery</v>
      </c>
      <c r="AG677" s="7" t="str">
        <f aca="false">IF(LEFT(LOWER(TRIM(L677)),6)="cancel","Cancelled","Delivered")</f>
        <v>Delivered</v>
      </c>
      <c r="AH677" s="10" t="n">
        <f aca="false">IF(ISNUMBER(SEARCH("/",B677)),DATE(VALUE(RIGHT(B677,4)),VALUE(MID(B677,4,2)),VALUE(LEFT(B677,2))),IF(MID(B677,5,1)="-",DATE(VALUE(LEFT(B677,4)),VALUE(MID(B677,6,2)),VALUE(RIGHT(B677,2))),DATE(VALUE(RIGHT(B677,4)),MATCH(MID(B677,4,3),{"Jan","Feb","Mar","Apr","May","Jun","Jul","Aug","Sep","Oct","Nov","Dec"},0),VALUE(LEFT(B677,2)))))</f>
        <v>45925</v>
      </c>
    </row>
    <row r="678" customFormat="false" ht="15" hidden="false" customHeight="false" outlineLevel="0" collapsed="false">
      <c r="A678" s="7" t="s">
        <v>2316</v>
      </c>
      <c r="B678" s="7" t="s">
        <v>1190</v>
      </c>
      <c r="C678" s="7" t="s">
        <v>2317</v>
      </c>
      <c r="D678" s="7" t="s">
        <v>2318</v>
      </c>
      <c r="E678" s="7" t="s">
        <v>158</v>
      </c>
      <c r="F678" s="7" t="s">
        <v>136</v>
      </c>
      <c r="G678" s="7" t="s">
        <v>139</v>
      </c>
      <c r="H678" s="7" t="n">
        <v>1</v>
      </c>
      <c r="I678" s="7" t="n">
        <v>175</v>
      </c>
      <c r="J678" s="7" t="n">
        <v>0</v>
      </c>
      <c r="K678" s="7" t="s">
        <v>93</v>
      </c>
      <c r="L678" s="7" t="s">
        <v>194</v>
      </c>
      <c r="M678" s="7" t="n">
        <v>29</v>
      </c>
      <c r="N678" s="7" t="n">
        <v>4</v>
      </c>
      <c r="O678" s="7" t="str">
        <f aca="false">A678&amp;"|"&amp;B678&amp;"|"&amp;C678&amp;"|"&amp;D678&amp;"|"&amp;E678&amp;"|"&amp;F678&amp;"|"&amp;G678&amp;"|"&amp;H678&amp;"|"&amp;I678&amp;"|"&amp;J678&amp;"|"&amp;K678&amp;"|"&amp;L678&amp;"|"&amp;M678&amp;"|"&amp;N678</f>
        <v>ORD10193|2025-01-26|13:06|C0718|Pune Burger Hub|Pune|Burgers|1|175|0|Credit Card|Delivered|29|4</v>
      </c>
      <c r="P678" s="7" t="str">
        <f aca="false">IF(COUNTIF($O$2:O678,O678)&gt;1,"DUP","OK")</f>
        <v>OK</v>
      </c>
      <c r="Q678" s="7" t="n">
        <f aca="false">COUNTBLANK(A678:N678)</f>
        <v>0</v>
      </c>
      <c r="R678" s="7" t="n">
        <f aca="false">IF(A678="",0,COUNTIFS($A$2:$A$3058,A678,$P$2:$P$3058,"OK"))</f>
        <v>1</v>
      </c>
      <c r="S678" s="7" t="str">
        <f aca="false">IF(OR(A678="",P678="DUP",R678&lt;2),"",IF(Q678=_xlfn.MINIFS($Q$2:$Q$3058,$A$2:$A$3058,A678,$P$2:$P$3058,"OK"),"KEEP","DROP"))</f>
        <v/>
      </c>
      <c r="T678" s="9" t="n">
        <f aca="false">IF(A678="",1,0)</f>
        <v>0</v>
      </c>
      <c r="U678" s="9" t="n">
        <f aca="false">IF(D678="",1,0)</f>
        <v>0</v>
      </c>
      <c r="V678" s="9" t="n">
        <f aca="false">IF(E678="",1,0)</f>
        <v>0</v>
      </c>
      <c r="W678" s="9" t="n">
        <f aca="false">IF(OR(H678&lt;1,H678&gt;10),1,0)</f>
        <v>0</v>
      </c>
      <c r="X678" s="9" t="n">
        <f aca="false">IF(OR(I678&lt;=0,I678&gt;1500),1,0)</f>
        <v>0</v>
      </c>
      <c r="Y678" s="9" t="n">
        <f aca="false">IF(J678&gt;H678*I678,1,0)</f>
        <v>0</v>
      </c>
      <c r="Z678" s="9" t="n">
        <f aca="false">IF(AND(N678&lt;&gt;"",OR(N678&lt;1,N678&gt;5)),1,0)</f>
        <v>0</v>
      </c>
      <c r="AA678" s="9" t="n">
        <f aca="false">IF(AND(M678&lt;&gt;"",OR(M678&lt;5,M678&gt;180)),1,0)</f>
        <v>0</v>
      </c>
      <c r="AB678" s="7" t="str">
        <f aca="false">IF(P678="DUP","Exact duplicate row",IF(T678=1,"Missing Order ID",IF(S678="DROP","Duplicate Order ID (less complete row)",IF(U678=1,"Missing Customer ID",IF(V678=1,"Missing Restaurant name",IF(W678=1,"Invalid/outlier quantity",IF(X678=1,"Invalid/outlier unit price",IF(Y678=1,"Discount greater than order value",""))))))))</f>
        <v/>
      </c>
      <c r="AC678" s="7" t="str">
        <f aca="false">IF(AB678="","KEEP","DROP")</f>
        <v>KEEP</v>
      </c>
      <c r="AD678" s="7" t="str">
        <f aca="false">IF(TRIM(F678)="",IFERROR(INDEX(Map_Tables!$I$4:$I$37,MATCH(TRIM(E678),Map_Tables!$G$4:$G$37,0)),""),IFERROR(INDEX(Map_Tables!$B$4:$B$18,MATCH(TRIM(F678),Map_Tables!$A$4:$A$18,0)),"CHECK"))</f>
        <v>Pune</v>
      </c>
      <c r="AE678" s="7" t="str">
        <f aca="false">IF(TRIM(E678)="","",IFERROR(INDEX(Map_Tables!$H$4:$H$37,MATCH(TRIM(E678),Map_Tables!$G$4:$G$37,0)),"CHECK"))</f>
        <v>Pune Burger Hub</v>
      </c>
      <c r="AF678" s="7" t="str">
        <f aca="false">IF(TRIM(K678)="","Unknown",IFERROR(INDEX(Map_Tables!$E$4:$E$15,MATCH(TRIM(K678),Map_Tables!$D$4:$D$15,0)),"CHECK"))</f>
        <v>Credit Card</v>
      </c>
      <c r="AG678" s="7" t="str">
        <f aca="false">IF(LEFT(LOWER(TRIM(L678)),6)="cancel","Cancelled","Delivered")</f>
        <v>Delivered</v>
      </c>
      <c r="AH678" s="10" t="n">
        <f aca="false">IF(ISNUMBER(SEARCH("/",B678)),DATE(VALUE(RIGHT(B678,4)),VALUE(MID(B678,4,2)),VALUE(LEFT(B678,2))),IF(MID(B678,5,1)="-",DATE(VALUE(LEFT(B678,4)),VALUE(MID(B678,6,2)),VALUE(RIGHT(B678,2))),DATE(VALUE(RIGHT(B678,4)),MATCH(MID(B678,4,3),{"Jan","Feb","Mar","Apr","May","Jun","Jul","Aug","Sep","Oct","Nov","Dec"},0),VALUE(LEFT(B678,2)))))</f>
        <v>45683</v>
      </c>
    </row>
    <row r="679" customFormat="false" ht="15" hidden="false" customHeight="false" outlineLevel="0" collapsed="false">
      <c r="A679" s="7" t="s">
        <v>2319</v>
      </c>
      <c r="B679" s="7" t="s">
        <v>2320</v>
      </c>
      <c r="C679" s="7" t="s">
        <v>2263</v>
      </c>
      <c r="D679" s="7" t="s">
        <v>988</v>
      </c>
      <c r="E679" s="7" t="s">
        <v>104</v>
      </c>
      <c r="F679" s="7" t="s">
        <v>86</v>
      </c>
      <c r="G679" s="7" t="s">
        <v>105</v>
      </c>
      <c r="H679" s="7" t="n">
        <v>1</v>
      </c>
      <c r="I679" s="7" t="n">
        <v>225</v>
      </c>
      <c r="J679" s="7" t="n">
        <v>0</v>
      </c>
      <c r="K679" s="7" t="s">
        <v>103</v>
      </c>
      <c r="L679" s="7" t="s">
        <v>194</v>
      </c>
      <c r="M679" s="7" t="n">
        <v>55</v>
      </c>
      <c r="N679" s="7" t="n">
        <v>3</v>
      </c>
      <c r="O679" s="7" t="str">
        <f aca="false">A679&amp;"|"&amp;B679&amp;"|"&amp;C679&amp;"|"&amp;D679&amp;"|"&amp;E679&amp;"|"&amp;F679&amp;"|"&amp;G679&amp;"|"&amp;H679&amp;"|"&amp;I679&amp;"|"&amp;J679&amp;"|"&amp;K679&amp;"|"&amp;L679&amp;"|"&amp;M679&amp;"|"&amp;N679</f>
        <v>ORD11472|2025-07-10|21:41|C0775|Wok &amp; Roll|Bengaluru|Chinese|1|225|0|Debit Card|Delivered|55|3</v>
      </c>
      <c r="P679" s="7" t="str">
        <f aca="false">IF(COUNTIF($O$2:O679,O679)&gt;1,"DUP","OK")</f>
        <v>OK</v>
      </c>
      <c r="Q679" s="7" t="n">
        <f aca="false">COUNTBLANK(A679:N679)</f>
        <v>0</v>
      </c>
      <c r="R679" s="7" t="n">
        <f aca="false">IF(A679="",0,COUNTIFS($A$2:$A$3058,A679,$P$2:$P$3058,"OK"))</f>
        <v>1</v>
      </c>
      <c r="S679" s="7" t="str">
        <f aca="false">IF(OR(A679="",P679="DUP",R679&lt;2),"",IF(Q679=_xlfn.MINIFS($Q$2:$Q$3058,$A$2:$A$3058,A679,$P$2:$P$3058,"OK"),"KEEP","DROP"))</f>
        <v/>
      </c>
      <c r="T679" s="9" t="n">
        <f aca="false">IF(A679="",1,0)</f>
        <v>0</v>
      </c>
      <c r="U679" s="9" t="n">
        <f aca="false">IF(D679="",1,0)</f>
        <v>0</v>
      </c>
      <c r="V679" s="9" t="n">
        <f aca="false">IF(E679="",1,0)</f>
        <v>0</v>
      </c>
      <c r="W679" s="9" t="n">
        <f aca="false">IF(OR(H679&lt;1,H679&gt;10),1,0)</f>
        <v>0</v>
      </c>
      <c r="X679" s="9" t="n">
        <f aca="false">IF(OR(I679&lt;=0,I679&gt;1500),1,0)</f>
        <v>0</v>
      </c>
      <c r="Y679" s="9" t="n">
        <f aca="false">IF(J679&gt;H679*I679,1,0)</f>
        <v>0</v>
      </c>
      <c r="Z679" s="9" t="n">
        <f aca="false">IF(AND(N679&lt;&gt;"",OR(N679&lt;1,N679&gt;5)),1,0)</f>
        <v>0</v>
      </c>
      <c r="AA679" s="9" t="n">
        <f aca="false">IF(AND(M679&lt;&gt;"",OR(M679&lt;5,M679&gt;180)),1,0)</f>
        <v>0</v>
      </c>
      <c r="AB679" s="7" t="str">
        <f aca="false">IF(P679="DUP","Exact duplicate row",IF(T679=1,"Missing Order ID",IF(S679="DROP","Duplicate Order ID (less complete row)",IF(U679=1,"Missing Customer ID",IF(V679=1,"Missing Restaurant name",IF(W679=1,"Invalid/outlier quantity",IF(X679=1,"Invalid/outlier unit price",IF(Y679=1,"Discount greater than order value",""))))))))</f>
        <v/>
      </c>
      <c r="AC679" s="7" t="str">
        <f aca="false">IF(AB679="","KEEP","DROP")</f>
        <v>KEEP</v>
      </c>
      <c r="AD679" s="7" t="str">
        <f aca="false">IF(TRIM(F679)="",IFERROR(INDEX(Map_Tables!$I$4:$I$37,MATCH(TRIM(E679),Map_Tables!$G$4:$G$37,0)),""),IFERROR(INDEX(Map_Tables!$B$4:$B$18,MATCH(TRIM(F679),Map_Tables!$A$4:$A$18,0)),"CHECK"))</f>
        <v>Bengaluru</v>
      </c>
      <c r="AE679" s="7" t="str">
        <f aca="false">IF(TRIM(E679)="","",IFERROR(INDEX(Map_Tables!$H$4:$H$37,MATCH(TRIM(E679),Map_Tables!$G$4:$G$37,0)),"CHECK"))</f>
        <v>Wok &amp; Roll</v>
      </c>
      <c r="AF679" s="7" t="str">
        <f aca="false">IF(TRIM(K679)="","Unknown",IFERROR(INDEX(Map_Tables!$E$4:$E$15,MATCH(TRIM(K679),Map_Tables!$D$4:$D$15,0)),"CHECK"))</f>
        <v>Debit Card</v>
      </c>
      <c r="AG679" s="7" t="str">
        <f aca="false">IF(LEFT(LOWER(TRIM(L679)),6)="cancel","Cancelled","Delivered")</f>
        <v>Delivered</v>
      </c>
      <c r="AH679" s="10" t="n">
        <f aca="false">IF(ISNUMBER(SEARCH("/",B679)),DATE(VALUE(RIGHT(B679,4)),VALUE(MID(B679,4,2)),VALUE(LEFT(B679,2))),IF(MID(B679,5,1)="-",DATE(VALUE(LEFT(B679,4)),VALUE(MID(B679,6,2)),VALUE(RIGHT(B679,2))),DATE(VALUE(RIGHT(B679,4)),MATCH(MID(B679,4,3),{"Jan","Feb","Mar","Apr","May","Jun","Jul","Aug","Sep","Oct","Nov","Dec"},0),VALUE(LEFT(B679,2)))))</f>
        <v>45848</v>
      </c>
    </row>
    <row r="680" customFormat="false" ht="15" hidden="false" customHeight="false" outlineLevel="0" collapsed="false">
      <c r="A680" s="7" t="s">
        <v>2321</v>
      </c>
      <c r="B680" s="7" t="s">
        <v>2322</v>
      </c>
      <c r="C680" s="7" t="s">
        <v>638</v>
      </c>
      <c r="D680" s="7" t="s">
        <v>2057</v>
      </c>
      <c r="E680" s="7" t="s">
        <v>98</v>
      </c>
      <c r="F680" s="7" t="s">
        <v>86</v>
      </c>
      <c r="G680" s="7" t="s">
        <v>99</v>
      </c>
      <c r="H680" s="7" t="n">
        <v>3</v>
      </c>
      <c r="I680" s="7" t="n">
        <v>325</v>
      </c>
      <c r="J680" s="7" t="n">
        <v>125</v>
      </c>
      <c r="K680" s="7" t="s">
        <v>229</v>
      </c>
      <c r="L680" s="7" t="s">
        <v>194</v>
      </c>
      <c r="M680" s="7" t="n">
        <v>37</v>
      </c>
      <c r="N680" s="7" t="n">
        <v>4</v>
      </c>
      <c r="O680" s="7" t="str">
        <f aca="false">A680&amp;"|"&amp;B680&amp;"|"&amp;C680&amp;"|"&amp;D680&amp;"|"&amp;E680&amp;"|"&amp;F680&amp;"|"&amp;G680&amp;"|"&amp;H680&amp;"|"&amp;I680&amp;"|"&amp;J680&amp;"|"&amp;K680&amp;"|"&amp;L680&amp;"|"&amp;M680&amp;"|"&amp;N680</f>
        <v>ORD10960|2025-05-01|20:38|C1104|Nawabi Biryani House|Bengaluru|Biryani|3|325|125|Upi|Delivered|37|4</v>
      </c>
      <c r="P680" s="7" t="str">
        <f aca="false">IF(COUNTIF($O$2:O680,O680)&gt;1,"DUP","OK")</f>
        <v>OK</v>
      </c>
      <c r="Q680" s="7" t="n">
        <f aca="false">COUNTBLANK(A680:N680)</f>
        <v>0</v>
      </c>
      <c r="R680" s="7" t="n">
        <f aca="false">IF(A680="",0,COUNTIFS($A$2:$A$3058,A680,$P$2:$P$3058,"OK"))</f>
        <v>1</v>
      </c>
      <c r="S680" s="7" t="str">
        <f aca="false">IF(OR(A680="",P680="DUP",R680&lt;2),"",IF(Q680=_xlfn.MINIFS($Q$2:$Q$3058,$A$2:$A$3058,A680,$P$2:$P$3058,"OK"),"KEEP","DROP"))</f>
        <v/>
      </c>
      <c r="T680" s="9" t="n">
        <f aca="false">IF(A680="",1,0)</f>
        <v>0</v>
      </c>
      <c r="U680" s="9" t="n">
        <f aca="false">IF(D680="",1,0)</f>
        <v>0</v>
      </c>
      <c r="V680" s="9" t="n">
        <f aca="false">IF(E680="",1,0)</f>
        <v>0</v>
      </c>
      <c r="W680" s="9" t="n">
        <f aca="false">IF(OR(H680&lt;1,H680&gt;10),1,0)</f>
        <v>0</v>
      </c>
      <c r="X680" s="9" t="n">
        <f aca="false">IF(OR(I680&lt;=0,I680&gt;1500),1,0)</f>
        <v>0</v>
      </c>
      <c r="Y680" s="9" t="n">
        <f aca="false">IF(J680&gt;H680*I680,1,0)</f>
        <v>0</v>
      </c>
      <c r="Z680" s="9" t="n">
        <f aca="false">IF(AND(N680&lt;&gt;"",OR(N680&lt;1,N680&gt;5)),1,0)</f>
        <v>0</v>
      </c>
      <c r="AA680" s="9" t="n">
        <f aca="false">IF(AND(M680&lt;&gt;"",OR(M680&lt;5,M680&gt;180)),1,0)</f>
        <v>0</v>
      </c>
      <c r="AB680" s="7" t="str">
        <f aca="false">IF(P680="DUP","Exact duplicate row",IF(T680=1,"Missing Order ID",IF(S680="DROP","Duplicate Order ID (less complete row)",IF(U680=1,"Missing Customer ID",IF(V680=1,"Missing Restaurant name",IF(W680=1,"Invalid/outlier quantity",IF(X680=1,"Invalid/outlier unit price",IF(Y680=1,"Discount greater than order value",""))))))))</f>
        <v/>
      </c>
      <c r="AC680" s="7" t="str">
        <f aca="false">IF(AB680="","KEEP","DROP")</f>
        <v>KEEP</v>
      </c>
      <c r="AD680" s="7" t="str">
        <f aca="false">IF(TRIM(F680)="",IFERROR(INDEX(Map_Tables!$I$4:$I$37,MATCH(TRIM(E680),Map_Tables!$G$4:$G$37,0)),""),IFERROR(INDEX(Map_Tables!$B$4:$B$18,MATCH(TRIM(F680),Map_Tables!$A$4:$A$18,0)),"CHECK"))</f>
        <v>Bengaluru</v>
      </c>
      <c r="AE680" s="7" t="str">
        <f aca="false">IF(TRIM(E680)="","",IFERROR(INDEX(Map_Tables!$H$4:$H$37,MATCH(TRIM(E680),Map_Tables!$G$4:$G$37,0)),"CHECK"))</f>
        <v>Nawabi Biryani House</v>
      </c>
      <c r="AF680" s="7" t="str">
        <f aca="false">IF(TRIM(K680)="","Unknown",IFERROR(INDEX(Map_Tables!$E$4:$E$15,MATCH(TRIM(K680),Map_Tables!$D$4:$D$15,0)),"CHECK"))</f>
        <v>UPI</v>
      </c>
      <c r="AG680" s="7" t="str">
        <f aca="false">IF(LEFT(LOWER(TRIM(L680)),6)="cancel","Cancelled","Delivered")</f>
        <v>Delivered</v>
      </c>
      <c r="AH680" s="10" t="n">
        <f aca="false">IF(ISNUMBER(SEARCH("/",B680)),DATE(VALUE(RIGHT(B680,4)),VALUE(MID(B680,4,2)),VALUE(LEFT(B680,2))),IF(MID(B680,5,1)="-",DATE(VALUE(LEFT(B680,4)),VALUE(MID(B680,6,2)),VALUE(RIGHT(B680,2))),DATE(VALUE(RIGHT(B680,4)),MATCH(MID(B680,4,3),{"Jan","Feb","Mar","Apr","May","Jun","Jul","Aug","Sep","Oct","Nov","Dec"},0),VALUE(LEFT(B680,2)))))</f>
        <v>45778</v>
      </c>
    </row>
    <row r="681" customFormat="false" ht="15" hidden="false" customHeight="false" outlineLevel="0" collapsed="false">
      <c r="A681" s="7" t="s">
        <v>2323</v>
      </c>
      <c r="B681" s="7" t="s">
        <v>2324</v>
      </c>
      <c r="C681" s="7" t="s">
        <v>2325</v>
      </c>
      <c r="D681" s="7" t="s">
        <v>2326</v>
      </c>
      <c r="E681" s="7" t="s">
        <v>134</v>
      </c>
      <c r="F681" s="7" t="s">
        <v>110</v>
      </c>
      <c r="G681" s="7" t="s">
        <v>117</v>
      </c>
      <c r="H681" s="7" t="n">
        <v>4</v>
      </c>
      <c r="I681" s="7" t="n">
        <v>105</v>
      </c>
      <c r="J681" s="7" t="n">
        <v>0</v>
      </c>
      <c r="K681" s="7" t="s">
        <v>103</v>
      </c>
      <c r="L681" s="7" t="s">
        <v>194</v>
      </c>
      <c r="M681" s="7" t="n">
        <v>48</v>
      </c>
      <c r="N681" s="7" t="n">
        <v>5</v>
      </c>
      <c r="O681" s="7" t="str">
        <f aca="false">A681&amp;"|"&amp;B681&amp;"|"&amp;C681&amp;"|"&amp;D681&amp;"|"&amp;E681&amp;"|"&amp;F681&amp;"|"&amp;G681&amp;"|"&amp;H681&amp;"|"&amp;I681&amp;"|"&amp;J681&amp;"|"&amp;K681&amp;"|"&amp;L681&amp;"|"&amp;M681&amp;"|"&amp;N681</f>
        <v>ORD12194|2025-10-06|18:46|C0396|Chaat Corner|Delhi|Street Food|4|105|0|Debit Card|Delivered|48|5</v>
      </c>
      <c r="P681" s="7" t="str">
        <f aca="false">IF(COUNTIF($O$2:O681,O681)&gt;1,"DUP","OK")</f>
        <v>OK</v>
      </c>
      <c r="Q681" s="7" t="n">
        <f aca="false">COUNTBLANK(A681:N681)</f>
        <v>0</v>
      </c>
      <c r="R681" s="7" t="n">
        <f aca="false">IF(A681="",0,COUNTIFS($A$2:$A$3058,A681,$P$2:$P$3058,"OK"))</f>
        <v>1</v>
      </c>
      <c r="S681" s="7" t="str">
        <f aca="false">IF(OR(A681="",P681="DUP",R681&lt;2),"",IF(Q681=_xlfn.MINIFS($Q$2:$Q$3058,$A$2:$A$3058,A681,$P$2:$P$3058,"OK"),"KEEP","DROP"))</f>
        <v/>
      </c>
      <c r="T681" s="9" t="n">
        <f aca="false">IF(A681="",1,0)</f>
        <v>0</v>
      </c>
      <c r="U681" s="9" t="n">
        <f aca="false">IF(D681="",1,0)</f>
        <v>0</v>
      </c>
      <c r="V681" s="9" t="n">
        <f aca="false">IF(E681="",1,0)</f>
        <v>0</v>
      </c>
      <c r="W681" s="9" t="n">
        <f aca="false">IF(OR(H681&lt;1,H681&gt;10),1,0)</f>
        <v>0</v>
      </c>
      <c r="X681" s="9" t="n">
        <f aca="false">IF(OR(I681&lt;=0,I681&gt;1500),1,0)</f>
        <v>0</v>
      </c>
      <c r="Y681" s="9" t="n">
        <f aca="false">IF(J681&gt;H681*I681,1,0)</f>
        <v>0</v>
      </c>
      <c r="Z681" s="9" t="n">
        <f aca="false">IF(AND(N681&lt;&gt;"",OR(N681&lt;1,N681&gt;5)),1,0)</f>
        <v>0</v>
      </c>
      <c r="AA681" s="9" t="n">
        <f aca="false">IF(AND(M681&lt;&gt;"",OR(M681&lt;5,M681&gt;180)),1,0)</f>
        <v>0</v>
      </c>
      <c r="AB681" s="7" t="str">
        <f aca="false">IF(P681="DUP","Exact duplicate row",IF(T681=1,"Missing Order ID",IF(S681="DROP","Duplicate Order ID (less complete row)",IF(U681=1,"Missing Customer ID",IF(V681=1,"Missing Restaurant name",IF(W681=1,"Invalid/outlier quantity",IF(X681=1,"Invalid/outlier unit price",IF(Y681=1,"Discount greater than order value",""))))))))</f>
        <v/>
      </c>
      <c r="AC681" s="7" t="str">
        <f aca="false">IF(AB681="","KEEP","DROP")</f>
        <v>KEEP</v>
      </c>
      <c r="AD681" s="7" t="str">
        <f aca="false">IF(TRIM(F681)="",IFERROR(INDEX(Map_Tables!$I$4:$I$37,MATCH(TRIM(E681),Map_Tables!$G$4:$G$37,0)),""),IFERROR(INDEX(Map_Tables!$B$4:$B$18,MATCH(TRIM(F681),Map_Tables!$A$4:$A$18,0)),"CHECK"))</f>
        <v>Delhi</v>
      </c>
      <c r="AE681" s="7" t="str">
        <f aca="false">IF(TRIM(E681)="","",IFERROR(INDEX(Map_Tables!$H$4:$H$37,MATCH(TRIM(E681),Map_Tables!$G$4:$G$37,0)),"CHECK"))</f>
        <v>Chaat Corner</v>
      </c>
      <c r="AF681" s="7" t="str">
        <f aca="false">IF(TRIM(K681)="","Unknown",IFERROR(INDEX(Map_Tables!$E$4:$E$15,MATCH(TRIM(K681),Map_Tables!$D$4:$D$15,0)),"CHECK"))</f>
        <v>Debit Card</v>
      </c>
      <c r="AG681" s="7" t="str">
        <f aca="false">IF(LEFT(LOWER(TRIM(L681)),6)="cancel","Cancelled","Delivered")</f>
        <v>Delivered</v>
      </c>
      <c r="AH681" s="10" t="n">
        <f aca="false">IF(ISNUMBER(SEARCH("/",B681)),DATE(VALUE(RIGHT(B681,4)),VALUE(MID(B681,4,2)),VALUE(LEFT(B681,2))),IF(MID(B681,5,1)="-",DATE(VALUE(LEFT(B681,4)),VALUE(MID(B681,6,2)),VALUE(RIGHT(B681,2))),DATE(VALUE(RIGHT(B681,4)),MATCH(MID(B681,4,3),{"Jan","Feb","Mar","Apr","May","Jun","Jul","Aug","Sep","Oct","Nov","Dec"},0),VALUE(LEFT(B681,2)))))</f>
        <v>45936</v>
      </c>
    </row>
    <row r="682" customFormat="false" ht="15" hidden="false" customHeight="false" outlineLevel="0" collapsed="false">
      <c r="A682" s="7" t="s">
        <v>2327</v>
      </c>
      <c r="B682" s="7" t="s">
        <v>882</v>
      </c>
      <c r="C682" s="7" t="s">
        <v>1062</v>
      </c>
      <c r="D682" s="7" t="s">
        <v>840</v>
      </c>
      <c r="E682" s="7" t="s">
        <v>160</v>
      </c>
      <c r="F682" s="7" t="s">
        <v>136</v>
      </c>
      <c r="G682" s="7" t="s">
        <v>150</v>
      </c>
      <c r="H682" s="7" t="n">
        <v>2</v>
      </c>
      <c r="I682" s="7" t="n">
        <v>195</v>
      </c>
      <c r="J682" s="7" t="n">
        <v>0</v>
      </c>
      <c r="K682" s="7" t="s">
        <v>93</v>
      </c>
      <c r="L682" s="7" t="s">
        <v>194</v>
      </c>
      <c r="M682" s="7" t="n">
        <v>20</v>
      </c>
      <c r="N682" s="7" t="n">
        <v>4</v>
      </c>
      <c r="O682" s="7" t="str">
        <f aca="false">A682&amp;"|"&amp;B682&amp;"|"&amp;C682&amp;"|"&amp;D682&amp;"|"&amp;E682&amp;"|"&amp;F682&amp;"|"&amp;G682&amp;"|"&amp;H682&amp;"|"&amp;I682&amp;"|"&amp;J682&amp;"|"&amp;K682&amp;"|"&amp;L682&amp;"|"&amp;M682&amp;"|"&amp;N682</f>
        <v>ORD12741|01/12/2025|21:10|C0393|Cake Walk|Pune|Desserts|2|195|0|Credit Card|Delivered|20|4</v>
      </c>
      <c r="P682" s="7" t="str">
        <f aca="false">IF(COUNTIF($O$2:O682,O682)&gt;1,"DUP","OK")</f>
        <v>OK</v>
      </c>
      <c r="Q682" s="7" t="n">
        <f aca="false">COUNTBLANK(A682:N682)</f>
        <v>0</v>
      </c>
      <c r="R682" s="7" t="n">
        <f aca="false">IF(A682="",0,COUNTIFS($A$2:$A$3058,A682,$P$2:$P$3058,"OK"))</f>
        <v>1</v>
      </c>
      <c r="S682" s="7" t="str">
        <f aca="false">IF(OR(A682="",P682="DUP",R682&lt;2),"",IF(Q682=_xlfn.MINIFS($Q$2:$Q$3058,$A$2:$A$3058,A682,$P$2:$P$3058,"OK"),"KEEP","DROP"))</f>
        <v/>
      </c>
      <c r="T682" s="9" t="n">
        <f aca="false">IF(A682="",1,0)</f>
        <v>0</v>
      </c>
      <c r="U682" s="9" t="n">
        <f aca="false">IF(D682="",1,0)</f>
        <v>0</v>
      </c>
      <c r="V682" s="9" t="n">
        <f aca="false">IF(E682="",1,0)</f>
        <v>0</v>
      </c>
      <c r="W682" s="9" t="n">
        <f aca="false">IF(OR(H682&lt;1,H682&gt;10),1,0)</f>
        <v>0</v>
      </c>
      <c r="X682" s="9" t="n">
        <f aca="false">IF(OR(I682&lt;=0,I682&gt;1500),1,0)</f>
        <v>0</v>
      </c>
      <c r="Y682" s="9" t="n">
        <f aca="false">IF(J682&gt;H682*I682,1,0)</f>
        <v>0</v>
      </c>
      <c r="Z682" s="9" t="n">
        <f aca="false">IF(AND(N682&lt;&gt;"",OR(N682&lt;1,N682&gt;5)),1,0)</f>
        <v>0</v>
      </c>
      <c r="AA682" s="9" t="n">
        <f aca="false">IF(AND(M682&lt;&gt;"",OR(M682&lt;5,M682&gt;180)),1,0)</f>
        <v>0</v>
      </c>
      <c r="AB682" s="7" t="str">
        <f aca="false">IF(P682="DUP","Exact duplicate row",IF(T682=1,"Missing Order ID",IF(S682="DROP","Duplicate Order ID (less complete row)",IF(U682=1,"Missing Customer ID",IF(V682=1,"Missing Restaurant name",IF(W682=1,"Invalid/outlier quantity",IF(X682=1,"Invalid/outlier unit price",IF(Y682=1,"Discount greater than order value",""))))))))</f>
        <v/>
      </c>
      <c r="AC682" s="7" t="str">
        <f aca="false">IF(AB682="","KEEP","DROP")</f>
        <v>KEEP</v>
      </c>
      <c r="AD682" s="7" t="str">
        <f aca="false">IF(TRIM(F682)="",IFERROR(INDEX(Map_Tables!$I$4:$I$37,MATCH(TRIM(E682),Map_Tables!$G$4:$G$37,0)),""),IFERROR(INDEX(Map_Tables!$B$4:$B$18,MATCH(TRIM(F682),Map_Tables!$A$4:$A$18,0)),"CHECK"))</f>
        <v>Pune</v>
      </c>
      <c r="AE682" s="7" t="str">
        <f aca="false">IF(TRIM(E682)="","",IFERROR(INDEX(Map_Tables!$H$4:$H$37,MATCH(TRIM(E682),Map_Tables!$G$4:$G$37,0)),"CHECK"))</f>
        <v>Cake Walk</v>
      </c>
      <c r="AF682" s="7" t="str">
        <f aca="false">IF(TRIM(K682)="","Unknown",IFERROR(INDEX(Map_Tables!$E$4:$E$15,MATCH(TRIM(K682),Map_Tables!$D$4:$D$15,0)),"CHECK"))</f>
        <v>Credit Card</v>
      </c>
      <c r="AG682" s="7" t="str">
        <f aca="false">IF(LEFT(LOWER(TRIM(L682)),6)="cancel","Cancelled","Delivered")</f>
        <v>Delivered</v>
      </c>
      <c r="AH682" s="10" t="n">
        <f aca="false">IF(ISNUMBER(SEARCH("/",B682)),DATE(VALUE(RIGHT(B682,4)),VALUE(MID(B682,4,2)),VALUE(LEFT(B682,2))),IF(MID(B682,5,1)="-",DATE(VALUE(LEFT(B682,4)),VALUE(MID(B682,6,2)),VALUE(RIGHT(B682,2))),DATE(VALUE(RIGHT(B682,4)),MATCH(MID(B682,4,3),{"Jan","Feb","Mar","Apr","May","Jun","Jul","Aug","Sep","Oct","Nov","Dec"},0),VALUE(LEFT(B682,2)))))</f>
        <v>45992</v>
      </c>
    </row>
    <row r="683" customFormat="false" ht="15" hidden="false" customHeight="false" outlineLevel="0" collapsed="false">
      <c r="A683" s="7" t="s">
        <v>2328</v>
      </c>
      <c r="B683" s="7" t="s">
        <v>926</v>
      </c>
      <c r="C683" s="7" t="s">
        <v>2329</v>
      </c>
      <c r="D683" s="7" t="s">
        <v>2114</v>
      </c>
      <c r="E683" s="7" t="s">
        <v>154</v>
      </c>
      <c r="F683" s="7" t="s">
        <v>128</v>
      </c>
      <c r="G683" s="7" t="s">
        <v>99</v>
      </c>
      <c r="H683" s="7" t="n">
        <v>4</v>
      </c>
      <c r="I683" s="7" t="n">
        <v>255</v>
      </c>
      <c r="J683" s="7" t="n">
        <v>100</v>
      </c>
      <c r="K683" s="7" t="s">
        <v>88</v>
      </c>
      <c r="L683" s="7" t="s">
        <v>194</v>
      </c>
      <c r="M683" s="7" t="n">
        <v>37</v>
      </c>
      <c r="N683" s="7" t="n">
        <v>5</v>
      </c>
      <c r="O683" s="7" t="str">
        <f aca="false">A683&amp;"|"&amp;B683&amp;"|"&amp;C683&amp;"|"&amp;D683&amp;"|"&amp;E683&amp;"|"&amp;F683&amp;"|"&amp;G683&amp;"|"&amp;H683&amp;"|"&amp;I683&amp;"|"&amp;J683&amp;"|"&amp;K683&amp;"|"&amp;L683&amp;"|"&amp;M683&amp;"|"&amp;N683</f>
        <v>ORD10073|2025-01-10|20:12|C0955|Madras Biryani Co|Chennai|Biryani|4|255|100|UPI|Delivered|37|5</v>
      </c>
      <c r="P683" s="7" t="str">
        <f aca="false">IF(COUNTIF($O$2:O683,O683)&gt;1,"DUP","OK")</f>
        <v>OK</v>
      </c>
      <c r="Q683" s="7" t="n">
        <f aca="false">COUNTBLANK(A683:N683)</f>
        <v>0</v>
      </c>
      <c r="R683" s="7" t="n">
        <f aca="false">IF(A683="",0,COUNTIFS($A$2:$A$3058,A683,$P$2:$P$3058,"OK"))</f>
        <v>1</v>
      </c>
      <c r="S683" s="7" t="str">
        <f aca="false">IF(OR(A683="",P683="DUP",R683&lt;2),"",IF(Q683=_xlfn.MINIFS($Q$2:$Q$3058,$A$2:$A$3058,A683,$P$2:$P$3058,"OK"),"KEEP","DROP"))</f>
        <v/>
      </c>
      <c r="T683" s="9" t="n">
        <f aca="false">IF(A683="",1,0)</f>
        <v>0</v>
      </c>
      <c r="U683" s="9" t="n">
        <f aca="false">IF(D683="",1,0)</f>
        <v>0</v>
      </c>
      <c r="V683" s="9" t="n">
        <f aca="false">IF(E683="",1,0)</f>
        <v>0</v>
      </c>
      <c r="W683" s="9" t="n">
        <f aca="false">IF(OR(H683&lt;1,H683&gt;10),1,0)</f>
        <v>0</v>
      </c>
      <c r="X683" s="9" t="n">
        <f aca="false">IF(OR(I683&lt;=0,I683&gt;1500),1,0)</f>
        <v>0</v>
      </c>
      <c r="Y683" s="9" t="n">
        <f aca="false">IF(J683&gt;H683*I683,1,0)</f>
        <v>0</v>
      </c>
      <c r="Z683" s="9" t="n">
        <f aca="false">IF(AND(N683&lt;&gt;"",OR(N683&lt;1,N683&gt;5)),1,0)</f>
        <v>0</v>
      </c>
      <c r="AA683" s="9" t="n">
        <f aca="false">IF(AND(M683&lt;&gt;"",OR(M683&lt;5,M683&gt;180)),1,0)</f>
        <v>0</v>
      </c>
      <c r="AB683" s="7" t="str">
        <f aca="false">IF(P683="DUP","Exact duplicate row",IF(T683=1,"Missing Order ID",IF(S683="DROP","Duplicate Order ID (less complete row)",IF(U683=1,"Missing Customer ID",IF(V683=1,"Missing Restaurant name",IF(W683=1,"Invalid/outlier quantity",IF(X683=1,"Invalid/outlier unit price",IF(Y683=1,"Discount greater than order value",""))))))))</f>
        <v/>
      </c>
      <c r="AC683" s="7" t="str">
        <f aca="false">IF(AB683="","KEEP","DROP")</f>
        <v>KEEP</v>
      </c>
      <c r="AD683" s="7" t="str">
        <f aca="false">IF(TRIM(F683)="",IFERROR(INDEX(Map_Tables!$I$4:$I$37,MATCH(TRIM(E683),Map_Tables!$G$4:$G$37,0)),""),IFERROR(INDEX(Map_Tables!$B$4:$B$18,MATCH(TRIM(F683),Map_Tables!$A$4:$A$18,0)),"CHECK"))</f>
        <v>Chennai</v>
      </c>
      <c r="AE683" s="7" t="str">
        <f aca="false">IF(TRIM(E683)="","",IFERROR(INDEX(Map_Tables!$H$4:$H$37,MATCH(TRIM(E683),Map_Tables!$G$4:$G$37,0)),"CHECK"))</f>
        <v>Madras Biryani Co</v>
      </c>
      <c r="AF683" s="7" t="str">
        <f aca="false">IF(TRIM(K683)="","Unknown",IFERROR(INDEX(Map_Tables!$E$4:$E$15,MATCH(TRIM(K683),Map_Tables!$D$4:$D$15,0)),"CHECK"))</f>
        <v>UPI</v>
      </c>
      <c r="AG683" s="7" t="str">
        <f aca="false">IF(LEFT(LOWER(TRIM(L683)),6)="cancel","Cancelled","Delivered")</f>
        <v>Delivered</v>
      </c>
      <c r="AH683" s="10" t="n">
        <f aca="false">IF(ISNUMBER(SEARCH("/",B683)),DATE(VALUE(RIGHT(B683,4)),VALUE(MID(B683,4,2)),VALUE(LEFT(B683,2))),IF(MID(B683,5,1)="-",DATE(VALUE(LEFT(B683,4)),VALUE(MID(B683,6,2)),VALUE(RIGHT(B683,2))),DATE(VALUE(RIGHT(B683,4)),MATCH(MID(B683,4,3),{"Jan","Feb","Mar","Apr","May","Jun","Jul","Aug","Sep","Oct","Nov","Dec"},0),VALUE(LEFT(B683,2)))))</f>
        <v>45667</v>
      </c>
    </row>
    <row r="684" customFormat="false" ht="15" hidden="false" customHeight="false" outlineLevel="0" collapsed="false">
      <c r="A684" s="7" t="s">
        <v>2330</v>
      </c>
      <c r="B684" s="7" t="s">
        <v>1976</v>
      </c>
      <c r="C684" s="7" t="s">
        <v>1263</v>
      </c>
      <c r="D684" s="7" t="s">
        <v>2331</v>
      </c>
      <c r="E684" s="7" t="s">
        <v>130</v>
      </c>
      <c r="F684" s="7" t="s">
        <v>110</v>
      </c>
      <c r="G684" s="7" t="s">
        <v>1928</v>
      </c>
      <c r="H684" s="7" t="n">
        <v>4</v>
      </c>
      <c r="I684" s="7" t="n">
        <v>250</v>
      </c>
      <c r="J684" s="7" t="n">
        <v>50</v>
      </c>
      <c r="K684" s="7" t="s">
        <v>93</v>
      </c>
      <c r="L684" s="7" t="s">
        <v>194</v>
      </c>
      <c r="M684" s="7" t="n">
        <v>49</v>
      </c>
      <c r="N684" s="7" t="n">
        <v>4</v>
      </c>
      <c r="O684" s="7" t="str">
        <f aca="false">A684&amp;"|"&amp;B684&amp;"|"&amp;C684&amp;"|"&amp;D684&amp;"|"&amp;E684&amp;"|"&amp;F684&amp;"|"&amp;G684&amp;"|"&amp;H684&amp;"|"&amp;I684&amp;"|"&amp;J684&amp;"|"&amp;K684&amp;"|"&amp;L684&amp;"|"&amp;M684&amp;"|"&amp;N684</f>
        <v>ORD11303|2025-06-16|19:19|C0351|Tandoor Tales|Delhi|north indian|4|250|50|Credit Card|Delivered|49|4</v>
      </c>
      <c r="P684" s="7" t="str">
        <f aca="false">IF(COUNTIF($O$2:O684,O684)&gt;1,"DUP","OK")</f>
        <v>OK</v>
      </c>
      <c r="Q684" s="7" t="n">
        <f aca="false">COUNTBLANK(A684:N684)</f>
        <v>0</v>
      </c>
      <c r="R684" s="7" t="n">
        <f aca="false">IF(A684="",0,COUNTIFS($A$2:$A$3058,A684,$P$2:$P$3058,"OK"))</f>
        <v>1</v>
      </c>
      <c r="S684" s="7" t="str">
        <f aca="false">IF(OR(A684="",P684="DUP",R684&lt;2),"",IF(Q684=_xlfn.MINIFS($Q$2:$Q$3058,$A$2:$A$3058,A684,$P$2:$P$3058,"OK"),"KEEP","DROP"))</f>
        <v/>
      </c>
      <c r="T684" s="9" t="n">
        <f aca="false">IF(A684="",1,0)</f>
        <v>0</v>
      </c>
      <c r="U684" s="9" t="n">
        <f aca="false">IF(D684="",1,0)</f>
        <v>0</v>
      </c>
      <c r="V684" s="9" t="n">
        <f aca="false">IF(E684="",1,0)</f>
        <v>0</v>
      </c>
      <c r="W684" s="9" t="n">
        <f aca="false">IF(OR(H684&lt;1,H684&gt;10),1,0)</f>
        <v>0</v>
      </c>
      <c r="X684" s="9" t="n">
        <f aca="false">IF(OR(I684&lt;=0,I684&gt;1500),1,0)</f>
        <v>0</v>
      </c>
      <c r="Y684" s="9" t="n">
        <f aca="false">IF(J684&gt;H684*I684,1,0)</f>
        <v>0</v>
      </c>
      <c r="Z684" s="9" t="n">
        <f aca="false">IF(AND(N684&lt;&gt;"",OR(N684&lt;1,N684&gt;5)),1,0)</f>
        <v>0</v>
      </c>
      <c r="AA684" s="9" t="n">
        <f aca="false">IF(AND(M684&lt;&gt;"",OR(M684&lt;5,M684&gt;180)),1,0)</f>
        <v>0</v>
      </c>
      <c r="AB684" s="7" t="str">
        <f aca="false">IF(P684="DUP","Exact duplicate row",IF(T684=1,"Missing Order ID",IF(S684="DROP","Duplicate Order ID (less complete row)",IF(U684=1,"Missing Customer ID",IF(V684=1,"Missing Restaurant name",IF(W684=1,"Invalid/outlier quantity",IF(X684=1,"Invalid/outlier unit price",IF(Y684=1,"Discount greater than order value",""))))))))</f>
        <v/>
      </c>
      <c r="AC684" s="7" t="str">
        <f aca="false">IF(AB684="","KEEP","DROP")</f>
        <v>KEEP</v>
      </c>
      <c r="AD684" s="7" t="str">
        <f aca="false">IF(TRIM(F684)="",IFERROR(INDEX(Map_Tables!$I$4:$I$37,MATCH(TRIM(E684),Map_Tables!$G$4:$G$37,0)),""),IFERROR(INDEX(Map_Tables!$B$4:$B$18,MATCH(TRIM(F684),Map_Tables!$A$4:$A$18,0)),"CHECK"))</f>
        <v>Delhi</v>
      </c>
      <c r="AE684" s="7" t="str">
        <f aca="false">IF(TRIM(E684)="","",IFERROR(INDEX(Map_Tables!$H$4:$H$37,MATCH(TRIM(E684),Map_Tables!$G$4:$G$37,0)),"CHECK"))</f>
        <v>Tandoor Tales</v>
      </c>
      <c r="AF684" s="7" t="str">
        <f aca="false">IF(TRIM(K684)="","Unknown",IFERROR(INDEX(Map_Tables!$E$4:$E$15,MATCH(TRIM(K684),Map_Tables!$D$4:$D$15,0)),"CHECK"))</f>
        <v>Credit Card</v>
      </c>
      <c r="AG684" s="7" t="str">
        <f aca="false">IF(LEFT(LOWER(TRIM(L684)),6)="cancel","Cancelled","Delivered")</f>
        <v>Delivered</v>
      </c>
      <c r="AH684" s="10" t="n">
        <f aca="false">IF(ISNUMBER(SEARCH("/",B684)),DATE(VALUE(RIGHT(B684,4)),VALUE(MID(B684,4,2)),VALUE(LEFT(B684,2))),IF(MID(B684,5,1)="-",DATE(VALUE(LEFT(B684,4)),VALUE(MID(B684,6,2)),VALUE(RIGHT(B684,2))),DATE(VALUE(RIGHT(B684,4)),MATCH(MID(B684,4,3),{"Jan","Feb","Mar","Apr","May","Jun","Jul","Aug","Sep","Oct","Nov","Dec"},0),VALUE(LEFT(B684,2)))))</f>
        <v>45824</v>
      </c>
    </row>
    <row r="685" customFormat="false" ht="15" hidden="false" customHeight="false" outlineLevel="0" collapsed="false">
      <c r="A685" s="7" t="s">
        <v>861</v>
      </c>
      <c r="B685" s="7" t="s">
        <v>436</v>
      </c>
      <c r="C685" s="7" t="s">
        <v>862</v>
      </c>
      <c r="D685" s="7" t="s">
        <v>863</v>
      </c>
      <c r="E685" s="7" t="s">
        <v>162</v>
      </c>
      <c r="F685" s="7" t="s">
        <v>141</v>
      </c>
      <c r="G685" s="7" t="s">
        <v>117</v>
      </c>
      <c r="H685" s="7" t="n">
        <v>1</v>
      </c>
      <c r="I685" s="7" t="n">
        <v>95</v>
      </c>
      <c r="J685" s="7" t="n">
        <v>0</v>
      </c>
      <c r="K685" s="7" t="s">
        <v>88</v>
      </c>
      <c r="L685" s="7" t="s">
        <v>457</v>
      </c>
      <c r="M685" s="7" t="n">
        <v>44</v>
      </c>
      <c r="N685" s="7"/>
      <c r="O685" s="7" t="str">
        <f aca="false">A685&amp;"|"&amp;B685&amp;"|"&amp;C685&amp;"|"&amp;D685&amp;"|"&amp;E685&amp;"|"&amp;F685&amp;"|"&amp;G685&amp;"|"&amp;H685&amp;"|"&amp;I685&amp;"|"&amp;J685&amp;"|"&amp;K685&amp;"|"&amp;L685&amp;"|"&amp;M685&amp;"|"&amp;N685</f>
        <v>ORD10090|2025-01-12|19:00|C0648|Kolkata Roll Centre|Kolkata|Street Food|1|95|0|UPI|Delivered |44|</v>
      </c>
      <c r="P685" s="7" t="str">
        <f aca="false">IF(COUNTIF($O$2:O685,O685)&gt;1,"DUP","OK")</f>
        <v>OK</v>
      </c>
      <c r="Q685" s="7" t="n">
        <f aca="false">COUNTBLANK(A685:N685)</f>
        <v>1</v>
      </c>
      <c r="R685" s="7" t="n">
        <f aca="false">IF(A685="",0,COUNTIFS($A$2:$A$3058,A685,$P$2:$P$3058,"OK"))</f>
        <v>2</v>
      </c>
      <c r="S685" s="7" t="str">
        <f aca="false">IF(OR(A685="",P685="DUP",R685&lt;2),"",IF(Q685=_xlfn.MINIFS($Q$2:$Q$3058,$A$2:$A$3058,A685,$P$2:$P$3058,"OK"),"KEEP","DROP"))</f>
        <v>DROP</v>
      </c>
      <c r="T685" s="9" t="n">
        <f aca="false">IF(A685="",1,0)</f>
        <v>0</v>
      </c>
      <c r="U685" s="9" t="n">
        <f aca="false">IF(D685="",1,0)</f>
        <v>0</v>
      </c>
      <c r="V685" s="9" t="n">
        <f aca="false">IF(E685="",1,0)</f>
        <v>0</v>
      </c>
      <c r="W685" s="9" t="n">
        <f aca="false">IF(OR(H685&lt;1,H685&gt;10),1,0)</f>
        <v>0</v>
      </c>
      <c r="X685" s="9" t="n">
        <f aca="false">IF(OR(I685&lt;=0,I685&gt;1500),1,0)</f>
        <v>0</v>
      </c>
      <c r="Y685" s="9" t="n">
        <f aca="false">IF(J685&gt;H685*I685,1,0)</f>
        <v>0</v>
      </c>
      <c r="Z685" s="9" t="n">
        <f aca="false">IF(AND(N685&lt;&gt;"",OR(N685&lt;1,N685&gt;5)),1,0)</f>
        <v>0</v>
      </c>
      <c r="AA685" s="9" t="n">
        <f aca="false">IF(AND(M685&lt;&gt;"",OR(M685&lt;5,M685&gt;180)),1,0)</f>
        <v>0</v>
      </c>
      <c r="AB685" s="7" t="str">
        <f aca="false">IF(P685="DUP","Exact duplicate row",IF(T685=1,"Missing Order ID",IF(S685="DROP","Duplicate Order ID (less complete row)",IF(U685=1,"Missing Customer ID",IF(V685=1,"Missing Restaurant name",IF(W685=1,"Invalid/outlier quantity",IF(X685=1,"Invalid/outlier unit price",IF(Y685=1,"Discount greater than order value",""))))))))</f>
        <v>Duplicate Order ID (less complete row)</v>
      </c>
      <c r="AC685" s="7" t="str">
        <f aca="false">IF(AB685="","KEEP","DROP")</f>
        <v>DROP</v>
      </c>
      <c r="AD685" s="7" t="str">
        <f aca="false">IF(TRIM(F685)="",IFERROR(INDEX(Map_Tables!$I$4:$I$37,MATCH(TRIM(E685),Map_Tables!$G$4:$G$37,0)),""),IFERROR(INDEX(Map_Tables!$B$4:$B$18,MATCH(TRIM(F685),Map_Tables!$A$4:$A$18,0)),"CHECK"))</f>
        <v>Kolkata</v>
      </c>
      <c r="AE685" s="7" t="str">
        <f aca="false">IF(TRIM(E685)="","",IFERROR(INDEX(Map_Tables!$H$4:$H$37,MATCH(TRIM(E685),Map_Tables!$G$4:$G$37,0)),"CHECK"))</f>
        <v>Kolkata Roll Centre</v>
      </c>
      <c r="AF685" s="7" t="str">
        <f aca="false">IF(TRIM(K685)="","Unknown",IFERROR(INDEX(Map_Tables!$E$4:$E$15,MATCH(TRIM(K685),Map_Tables!$D$4:$D$15,0)),"CHECK"))</f>
        <v>UPI</v>
      </c>
      <c r="AG685" s="7" t="str">
        <f aca="false">IF(LEFT(LOWER(TRIM(L685)),6)="cancel","Cancelled","Delivered")</f>
        <v>Delivered</v>
      </c>
      <c r="AH685" s="10" t="n">
        <f aca="false">IF(ISNUMBER(SEARCH("/",B685)),DATE(VALUE(RIGHT(B685,4)),VALUE(MID(B685,4,2)),VALUE(LEFT(B685,2))),IF(MID(B685,5,1)="-",DATE(VALUE(LEFT(B685,4)),VALUE(MID(B685,6,2)),VALUE(RIGHT(B685,2))),DATE(VALUE(RIGHT(B685,4)),MATCH(MID(B685,4,3),{"Jan","Feb","Mar","Apr","May","Jun","Jul","Aug","Sep","Oct","Nov","Dec"},0),VALUE(LEFT(B685,2)))))</f>
        <v>45669</v>
      </c>
    </row>
    <row r="686" customFormat="false" ht="15" hidden="false" customHeight="false" outlineLevel="0" collapsed="false">
      <c r="A686" s="7" t="s">
        <v>2332</v>
      </c>
      <c r="B686" s="7" t="s">
        <v>2333</v>
      </c>
      <c r="C686" s="7" t="s">
        <v>2138</v>
      </c>
      <c r="D686" s="7" t="s">
        <v>2334</v>
      </c>
      <c r="E686" s="7" t="s">
        <v>89</v>
      </c>
      <c r="F686" s="7" t="s">
        <v>86</v>
      </c>
      <c r="G686" s="7" t="s">
        <v>1928</v>
      </c>
      <c r="H686" s="7" t="n">
        <v>3</v>
      </c>
      <c r="I686" s="7" t="n">
        <v>250</v>
      </c>
      <c r="J686" s="7" t="n">
        <v>0</v>
      </c>
      <c r="K686" s="7" t="s">
        <v>88</v>
      </c>
      <c r="L686" s="7" t="s">
        <v>194</v>
      </c>
      <c r="M686" s="7" t="n">
        <v>45</v>
      </c>
      <c r="N686" s="7" t="n">
        <v>3</v>
      </c>
      <c r="O686" s="7" t="str">
        <f aca="false">A686&amp;"|"&amp;B686&amp;"|"&amp;C686&amp;"|"&amp;D686&amp;"|"&amp;E686&amp;"|"&amp;F686&amp;"|"&amp;G686&amp;"|"&amp;H686&amp;"|"&amp;I686&amp;"|"&amp;J686&amp;"|"&amp;K686&amp;"|"&amp;L686&amp;"|"&amp;M686&amp;"|"&amp;N686</f>
        <v>ORD11171|2025-05-29|12:55|C0052|Spice Junction|Bengaluru|north indian|3|250|0|UPI|Delivered|45|3</v>
      </c>
      <c r="P686" s="7" t="str">
        <f aca="false">IF(COUNTIF($O$2:O686,O686)&gt;1,"DUP","OK")</f>
        <v>OK</v>
      </c>
      <c r="Q686" s="7" t="n">
        <f aca="false">COUNTBLANK(A686:N686)</f>
        <v>0</v>
      </c>
      <c r="R686" s="7" t="n">
        <f aca="false">IF(A686="",0,COUNTIFS($A$2:$A$3058,A686,$P$2:$P$3058,"OK"))</f>
        <v>1</v>
      </c>
      <c r="S686" s="7" t="str">
        <f aca="false">IF(OR(A686="",P686="DUP",R686&lt;2),"",IF(Q686=_xlfn.MINIFS($Q$2:$Q$3058,$A$2:$A$3058,A686,$P$2:$P$3058,"OK"),"KEEP","DROP"))</f>
        <v/>
      </c>
      <c r="T686" s="9" t="n">
        <f aca="false">IF(A686="",1,0)</f>
        <v>0</v>
      </c>
      <c r="U686" s="9" t="n">
        <f aca="false">IF(D686="",1,0)</f>
        <v>0</v>
      </c>
      <c r="V686" s="9" t="n">
        <f aca="false">IF(E686="",1,0)</f>
        <v>0</v>
      </c>
      <c r="W686" s="9" t="n">
        <f aca="false">IF(OR(H686&lt;1,H686&gt;10),1,0)</f>
        <v>0</v>
      </c>
      <c r="X686" s="9" t="n">
        <f aca="false">IF(OR(I686&lt;=0,I686&gt;1500),1,0)</f>
        <v>0</v>
      </c>
      <c r="Y686" s="9" t="n">
        <f aca="false">IF(J686&gt;H686*I686,1,0)</f>
        <v>0</v>
      </c>
      <c r="Z686" s="9" t="n">
        <f aca="false">IF(AND(N686&lt;&gt;"",OR(N686&lt;1,N686&gt;5)),1,0)</f>
        <v>0</v>
      </c>
      <c r="AA686" s="9" t="n">
        <f aca="false">IF(AND(M686&lt;&gt;"",OR(M686&lt;5,M686&gt;180)),1,0)</f>
        <v>0</v>
      </c>
      <c r="AB686" s="7" t="str">
        <f aca="false">IF(P686="DUP","Exact duplicate row",IF(T686=1,"Missing Order ID",IF(S686="DROP","Duplicate Order ID (less complete row)",IF(U686=1,"Missing Customer ID",IF(V686=1,"Missing Restaurant name",IF(W686=1,"Invalid/outlier quantity",IF(X686=1,"Invalid/outlier unit price",IF(Y686=1,"Discount greater than order value",""))))))))</f>
        <v/>
      </c>
      <c r="AC686" s="7" t="str">
        <f aca="false">IF(AB686="","KEEP","DROP")</f>
        <v>KEEP</v>
      </c>
      <c r="AD686" s="7" t="str">
        <f aca="false">IF(TRIM(F686)="",IFERROR(INDEX(Map_Tables!$I$4:$I$37,MATCH(TRIM(E686),Map_Tables!$G$4:$G$37,0)),""),IFERROR(INDEX(Map_Tables!$B$4:$B$18,MATCH(TRIM(F686),Map_Tables!$A$4:$A$18,0)),"CHECK"))</f>
        <v>Bengaluru</v>
      </c>
      <c r="AE686" s="7" t="str">
        <f aca="false">IF(TRIM(E686)="","",IFERROR(INDEX(Map_Tables!$H$4:$H$37,MATCH(TRIM(E686),Map_Tables!$G$4:$G$37,0)),"CHECK"))</f>
        <v>Spice Junction</v>
      </c>
      <c r="AF686" s="7" t="str">
        <f aca="false">IF(TRIM(K686)="","Unknown",IFERROR(INDEX(Map_Tables!$E$4:$E$15,MATCH(TRIM(K686),Map_Tables!$D$4:$D$15,0)),"CHECK"))</f>
        <v>UPI</v>
      </c>
      <c r="AG686" s="7" t="str">
        <f aca="false">IF(LEFT(LOWER(TRIM(L686)),6)="cancel","Cancelled","Delivered")</f>
        <v>Delivered</v>
      </c>
      <c r="AH686" s="10" t="n">
        <f aca="false">IF(ISNUMBER(SEARCH("/",B686)),DATE(VALUE(RIGHT(B686,4)),VALUE(MID(B686,4,2)),VALUE(LEFT(B686,2))),IF(MID(B686,5,1)="-",DATE(VALUE(LEFT(B686,4)),VALUE(MID(B686,6,2)),VALUE(RIGHT(B686,2))),DATE(VALUE(RIGHT(B686,4)),MATCH(MID(B686,4,3),{"Jan","Feb","Mar","Apr","May","Jun","Jul","Aug","Sep","Oct","Nov","Dec"},0),VALUE(LEFT(B686,2)))))</f>
        <v>45806</v>
      </c>
    </row>
    <row r="687" customFormat="false" ht="15" hidden="false" customHeight="false" outlineLevel="0" collapsed="false">
      <c r="A687" s="7" t="s">
        <v>2335</v>
      </c>
      <c r="B687" s="7" t="s">
        <v>2336</v>
      </c>
      <c r="C687" s="7" t="s">
        <v>2337</v>
      </c>
      <c r="D687" s="7" t="s">
        <v>1272</v>
      </c>
      <c r="E687" s="7" t="s">
        <v>122</v>
      </c>
      <c r="F687" s="7" t="s">
        <v>101</v>
      </c>
      <c r="G687" s="7" t="s">
        <v>123</v>
      </c>
      <c r="H687" s="7" t="n">
        <v>3</v>
      </c>
      <c r="I687" s="7" t="n">
        <v>390</v>
      </c>
      <c r="J687" s="7" t="n">
        <v>0</v>
      </c>
      <c r="K687" s="7" t="s">
        <v>93</v>
      </c>
      <c r="L687" s="7" t="s">
        <v>194</v>
      </c>
      <c r="M687" s="7" t="n">
        <v>36</v>
      </c>
      <c r="N687" s="7" t="n">
        <v>3</v>
      </c>
      <c r="O687" s="7" t="str">
        <f aca="false">A687&amp;"|"&amp;B687&amp;"|"&amp;C687&amp;"|"&amp;D687&amp;"|"&amp;E687&amp;"|"&amp;F687&amp;"|"&amp;G687&amp;"|"&amp;H687&amp;"|"&amp;I687&amp;"|"&amp;J687&amp;"|"&amp;K687&amp;"|"&amp;L687&amp;"|"&amp;M687&amp;"|"&amp;N687</f>
        <v>ORD10018|2025-01-03|18:29|C0717|Mumbai Pizza Co|Mumbai|Pizza|3|390|0|Credit Card|Delivered|36|3</v>
      </c>
      <c r="P687" s="7" t="str">
        <f aca="false">IF(COUNTIF($O$2:O687,O687)&gt;1,"DUP","OK")</f>
        <v>OK</v>
      </c>
      <c r="Q687" s="7" t="n">
        <f aca="false">COUNTBLANK(A687:N687)</f>
        <v>0</v>
      </c>
      <c r="R687" s="7" t="n">
        <f aca="false">IF(A687="",0,COUNTIFS($A$2:$A$3058,A687,$P$2:$P$3058,"OK"))</f>
        <v>1</v>
      </c>
      <c r="S687" s="7" t="str">
        <f aca="false">IF(OR(A687="",P687="DUP",R687&lt;2),"",IF(Q687=_xlfn.MINIFS($Q$2:$Q$3058,$A$2:$A$3058,A687,$P$2:$P$3058,"OK"),"KEEP","DROP"))</f>
        <v/>
      </c>
      <c r="T687" s="9" t="n">
        <f aca="false">IF(A687="",1,0)</f>
        <v>0</v>
      </c>
      <c r="U687" s="9" t="n">
        <f aca="false">IF(D687="",1,0)</f>
        <v>0</v>
      </c>
      <c r="V687" s="9" t="n">
        <f aca="false">IF(E687="",1,0)</f>
        <v>0</v>
      </c>
      <c r="W687" s="9" t="n">
        <f aca="false">IF(OR(H687&lt;1,H687&gt;10),1,0)</f>
        <v>0</v>
      </c>
      <c r="X687" s="9" t="n">
        <f aca="false">IF(OR(I687&lt;=0,I687&gt;1500),1,0)</f>
        <v>0</v>
      </c>
      <c r="Y687" s="9" t="n">
        <f aca="false">IF(J687&gt;H687*I687,1,0)</f>
        <v>0</v>
      </c>
      <c r="Z687" s="9" t="n">
        <f aca="false">IF(AND(N687&lt;&gt;"",OR(N687&lt;1,N687&gt;5)),1,0)</f>
        <v>0</v>
      </c>
      <c r="AA687" s="9" t="n">
        <f aca="false">IF(AND(M687&lt;&gt;"",OR(M687&lt;5,M687&gt;180)),1,0)</f>
        <v>0</v>
      </c>
      <c r="AB687" s="7" t="str">
        <f aca="false">IF(P687="DUP","Exact duplicate row",IF(T687=1,"Missing Order ID",IF(S687="DROP","Duplicate Order ID (less complete row)",IF(U687=1,"Missing Customer ID",IF(V687=1,"Missing Restaurant name",IF(W687=1,"Invalid/outlier quantity",IF(X687=1,"Invalid/outlier unit price",IF(Y687=1,"Discount greater than order value",""))))))))</f>
        <v/>
      </c>
      <c r="AC687" s="7" t="str">
        <f aca="false">IF(AB687="","KEEP","DROP")</f>
        <v>KEEP</v>
      </c>
      <c r="AD687" s="7" t="str">
        <f aca="false">IF(TRIM(F687)="",IFERROR(INDEX(Map_Tables!$I$4:$I$37,MATCH(TRIM(E687),Map_Tables!$G$4:$G$37,0)),""),IFERROR(INDEX(Map_Tables!$B$4:$B$18,MATCH(TRIM(F687),Map_Tables!$A$4:$A$18,0)),"CHECK"))</f>
        <v>Mumbai</v>
      </c>
      <c r="AE687" s="7" t="str">
        <f aca="false">IF(TRIM(E687)="","",IFERROR(INDEX(Map_Tables!$H$4:$H$37,MATCH(TRIM(E687),Map_Tables!$G$4:$G$37,0)),"CHECK"))</f>
        <v>Mumbai Pizza Co</v>
      </c>
      <c r="AF687" s="7" t="str">
        <f aca="false">IF(TRIM(K687)="","Unknown",IFERROR(INDEX(Map_Tables!$E$4:$E$15,MATCH(TRIM(K687),Map_Tables!$D$4:$D$15,0)),"CHECK"))</f>
        <v>Credit Card</v>
      </c>
      <c r="AG687" s="7" t="str">
        <f aca="false">IF(LEFT(LOWER(TRIM(L687)),6)="cancel","Cancelled","Delivered")</f>
        <v>Delivered</v>
      </c>
      <c r="AH687" s="10" t="n">
        <f aca="false">IF(ISNUMBER(SEARCH("/",B687)),DATE(VALUE(RIGHT(B687,4)),VALUE(MID(B687,4,2)),VALUE(LEFT(B687,2))),IF(MID(B687,5,1)="-",DATE(VALUE(LEFT(B687,4)),VALUE(MID(B687,6,2)),VALUE(RIGHT(B687,2))),DATE(VALUE(RIGHT(B687,4)),MATCH(MID(B687,4,3),{"Jan","Feb","Mar","Apr","May","Jun","Jul","Aug","Sep","Oct","Nov","Dec"},0),VALUE(LEFT(B687,2)))))</f>
        <v>45660</v>
      </c>
    </row>
    <row r="688" customFormat="false" ht="15" hidden="false" customHeight="false" outlineLevel="0" collapsed="false">
      <c r="A688" s="7" t="s">
        <v>2338</v>
      </c>
      <c r="B688" s="7" t="s">
        <v>1532</v>
      </c>
      <c r="C688" s="7" t="s">
        <v>504</v>
      </c>
      <c r="D688" s="7" t="s">
        <v>2339</v>
      </c>
      <c r="E688" s="7" t="s">
        <v>116</v>
      </c>
      <c r="F688" s="7" t="s">
        <v>101</v>
      </c>
      <c r="G688" s="7" t="s">
        <v>117</v>
      </c>
      <c r="H688" s="7" t="n">
        <v>2</v>
      </c>
      <c r="I688" s="7" t="n">
        <v>135</v>
      </c>
      <c r="J688" s="7" t="n">
        <v>75</v>
      </c>
      <c r="K688" s="7"/>
      <c r="L688" s="7" t="s">
        <v>194</v>
      </c>
      <c r="M688" s="7" t="n">
        <v>51</v>
      </c>
      <c r="N688" s="7" t="n">
        <v>5</v>
      </c>
      <c r="O688" s="7" t="str">
        <f aca="false">A688&amp;"|"&amp;B688&amp;"|"&amp;C688&amp;"|"&amp;D688&amp;"|"&amp;E688&amp;"|"&amp;F688&amp;"|"&amp;G688&amp;"|"&amp;H688&amp;"|"&amp;I688&amp;"|"&amp;J688&amp;"|"&amp;K688&amp;"|"&amp;L688&amp;"|"&amp;M688&amp;"|"&amp;N688</f>
        <v>ORD10878|2025-04-21|13:56|C1381|Pav Bhaji Point|Mumbai|Street Food|2|135|75||Delivered|51|5</v>
      </c>
      <c r="P688" s="7" t="str">
        <f aca="false">IF(COUNTIF($O$2:O688,O688)&gt;1,"DUP","OK")</f>
        <v>OK</v>
      </c>
      <c r="Q688" s="7" t="n">
        <f aca="false">COUNTBLANK(A688:N688)</f>
        <v>1</v>
      </c>
      <c r="R688" s="7" t="n">
        <f aca="false">IF(A688="",0,COUNTIFS($A$2:$A$3058,A688,$P$2:$P$3058,"OK"))</f>
        <v>1</v>
      </c>
      <c r="S688" s="7" t="str">
        <f aca="false">IF(OR(A688="",P688="DUP",R688&lt;2),"",IF(Q688=_xlfn.MINIFS($Q$2:$Q$3058,$A$2:$A$3058,A688,$P$2:$P$3058,"OK"),"KEEP","DROP"))</f>
        <v/>
      </c>
      <c r="T688" s="9" t="n">
        <f aca="false">IF(A688="",1,0)</f>
        <v>0</v>
      </c>
      <c r="U688" s="9" t="n">
        <f aca="false">IF(D688="",1,0)</f>
        <v>0</v>
      </c>
      <c r="V688" s="9" t="n">
        <f aca="false">IF(E688="",1,0)</f>
        <v>0</v>
      </c>
      <c r="W688" s="9" t="n">
        <f aca="false">IF(OR(H688&lt;1,H688&gt;10),1,0)</f>
        <v>0</v>
      </c>
      <c r="X688" s="9" t="n">
        <f aca="false">IF(OR(I688&lt;=0,I688&gt;1500),1,0)</f>
        <v>0</v>
      </c>
      <c r="Y688" s="9" t="n">
        <f aca="false">IF(J688&gt;H688*I688,1,0)</f>
        <v>0</v>
      </c>
      <c r="Z688" s="9" t="n">
        <f aca="false">IF(AND(N688&lt;&gt;"",OR(N688&lt;1,N688&gt;5)),1,0)</f>
        <v>0</v>
      </c>
      <c r="AA688" s="9" t="n">
        <f aca="false">IF(AND(M688&lt;&gt;"",OR(M688&lt;5,M688&gt;180)),1,0)</f>
        <v>0</v>
      </c>
      <c r="AB688" s="7" t="str">
        <f aca="false">IF(P688="DUP","Exact duplicate row",IF(T688=1,"Missing Order ID",IF(S688="DROP","Duplicate Order ID (less complete row)",IF(U688=1,"Missing Customer ID",IF(V688=1,"Missing Restaurant name",IF(W688=1,"Invalid/outlier quantity",IF(X688=1,"Invalid/outlier unit price",IF(Y688=1,"Discount greater than order value",""))))))))</f>
        <v/>
      </c>
      <c r="AC688" s="7" t="str">
        <f aca="false">IF(AB688="","KEEP","DROP")</f>
        <v>KEEP</v>
      </c>
      <c r="AD688" s="7" t="str">
        <f aca="false">IF(TRIM(F688)="",IFERROR(INDEX(Map_Tables!$I$4:$I$37,MATCH(TRIM(E688),Map_Tables!$G$4:$G$37,0)),""),IFERROR(INDEX(Map_Tables!$B$4:$B$18,MATCH(TRIM(F688),Map_Tables!$A$4:$A$18,0)),"CHECK"))</f>
        <v>Mumbai</v>
      </c>
      <c r="AE688" s="7" t="str">
        <f aca="false">IF(TRIM(E688)="","",IFERROR(INDEX(Map_Tables!$H$4:$H$37,MATCH(TRIM(E688),Map_Tables!$G$4:$G$37,0)),"CHECK"))</f>
        <v>Pav Bhaji Point</v>
      </c>
      <c r="AF688" s="7" t="str">
        <f aca="false">IF(TRIM(K688)="","Unknown",IFERROR(INDEX(Map_Tables!$E$4:$E$15,MATCH(TRIM(K688),Map_Tables!$D$4:$D$15,0)),"CHECK"))</f>
        <v>Unknown</v>
      </c>
      <c r="AG688" s="7" t="str">
        <f aca="false">IF(LEFT(LOWER(TRIM(L688)),6)="cancel","Cancelled","Delivered")</f>
        <v>Delivered</v>
      </c>
      <c r="AH688" s="10" t="n">
        <f aca="false">IF(ISNUMBER(SEARCH("/",B688)),DATE(VALUE(RIGHT(B688,4)),VALUE(MID(B688,4,2)),VALUE(LEFT(B688,2))),IF(MID(B688,5,1)="-",DATE(VALUE(LEFT(B688,4)),VALUE(MID(B688,6,2)),VALUE(RIGHT(B688,2))),DATE(VALUE(RIGHT(B688,4)),MATCH(MID(B688,4,3),{"Jan","Feb","Mar","Apr","May","Jun","Jul","Aug","Sep","Oct","Nov","Dec"},0),VALUE(LEFT(B688,2)))))</f>
        <v>45768</v>
      </c>
    </row>
    <row r="689" customFormat="false" ht="15" hidden="false" customHeight="false" outlineLevel="0" collapsed="false">
      <c r="A689" s="7" t="s">
        <v>2340</v>
      </c>
      <c r="B689" s="7" t="s">
        <v>678</v>
      </c>
      <c r="C689" s="7" t="s">
        <v>2341</v>
      </c>
      <c r="D689" s="7" t="s">
        <v>2342</v>
      </c>
      <c r="E689" s="7" t="s">
        <v>94</v>
      </c>
      <c r="F689" s="7" t="s">
        <v>85</v>
      </c>
      <c r="G689" s="7" t="s">
        <v>95</v>
      </c>
      <c r="H689" s="7" t="n">
        <v>3</v>
      </c>
      <c r="I689" s="7" t="n">
        <v>120</v>
      </c>
      <c r="J689" s="7" t="n">
        <v>0</v>
      </c>
      <c r="K689" s="7" t="s">
        <v>88</v>
      </c>
      <c r="L689" s="7" t="s">
        <v>194</v>
      </c>
      <c r="M689" s="7" t="n">
        <v>39</v>
      </c>
      <c r="N689" s="7" t="n">
        <v>4</v>
      </c>
      <c r="O689" s="7" t="str">
        <f aca="false">A689&amp;"|"&amp;B689&amp;"|"&amp;C689&amp;"|"&amp;D689&amp;"|"&amp;E689&amp;"|"&amp;F689&amp;"|"&amp;G689&amp;"|"&amp;H689&amp;"|"&amp;I689&amp;"|"&amp;J689&amp;"|"&amp;K689&amp;"|"&amp;L689&amp;"|"&amp;M689&amp;"|"&amp;N689</f>
        <v>ORD10665|2025-03-26|15:51|C0608|Dosa Darbar|bangalore|South Indian|3|120|0|UPI|Delivered|39|4</v>
      </c>
      <c r="P689" s="7" t="str">
        <f aca="false">IF(COUNTIF($O$2:O689,O689)&gt;1,"DUP","OK")</f>
        <v>OK</v>
      </c>
      <c r="Q689" s="7" t="n">
        <f aca="false">COUNTBLANK(A689:N689)</f>
        <v>0</v>
      </c>
      <c r="R689" s="7" t="n">
        <f aca="false">IF(A689="",0,COUNTIFS($A$2:$A$3058,A689,$P$2:$P$3058,"OK"))</f>
        <v>1</v>
      </c>
      <c r="S689" s="7" t="str">
        <f aca="false">IF(OR(A689="",P689="DUP",R689&lt;2),"",IF(Q689=_xlfn.MINIFS($Q$2:$Q$3058,$A$2:$A$3058,A689,$P$2:$P$3058,"OK"),"KEEP","DROP"))</f>
        <v/>
      </c>
      <c r="T689" s="9" t="n">
        <f aca="false">IF(A689="",1,0)</f>
        <v>0</v>
      </c>
      <c r="U689" s="9" t="n">
        <f aca="false">IF(D689="",1,0)</f>
        <v>0</v>
      </c>
      <c r="V689" s="9" t="n">
        <f aca="false">IF(E689="",1,0)</f>
        <v>0</v>
      </c>
      <c r="W689" s="9" t="n">
        <f aca="false">IF(OR(H689&lt;1,H689&gt;10),1,0)</f>
        <v>0</v>
      </c>
      <c r="X689" s="9" t="n">
        <f aca="false">IF(OR(I689&lt;=0,I689&gt;1500),1,0)</f>
        <v>0</v>
      </c>
      <c r="Y689" s="9" t="n">
        <f aca="false">IF(J689&gt;H689*I689,1,0)</f>
        <v>0</v>
      </c>
      <c r="Z689" s="9" t="n">
        <f aca="false">IF(AND(N689&lt;&gt;"",OR(N689&lt;1,N689&gt;5)),1,0)</f>
        <v>0</v>
      </c>
      <c r="AA689" s="9" t="n">
        <f aca="false">IF(AND(M689&lt;&gt;"",OR(M689&lt;5,M689&gt;180)),1,0)</f>
        <v>0</v>
      </c>
      <c r="AB689" s="7" t="str">
        <f aca="false">IF(P689="DUP","Exact duplicate row",IF(T689=1,"Missing Order ID",IF(S689="DROP","Duplicate Order ID (less complete row)",IF(U689=1,"Missing Customer ID",IF(V689=1,"Missing Restaurant name",IF(W689=1,"Invalid/outlier quantity",IF(X689=1,"Invalid/outlier unit price",IF(Y689=1,"Discount greater than order value",""))))))))</f>
        <v/>
      </c>
      <c r="AC689" s="7" t="str">
        <f aca="false">IF(AB689="","KEEP","DROP")</f>
        <v>KEEP</v>
      </c>
      <c r="AD689" s="7" t="str">
        <f aca="false">IF(TRIM(F689)="",IFERROR(INDEX(Map_Tables!$I$4:$I$37,MATCH(TRIM(E689),Map_Tables!$G$4:$G$37,0)),""),IFERROR(INDEX(Map_Tables!$B$4:$B$18,MATCH(TRIM(F689),Map_Tables!$A$4:$A$18,0)),"CHECK"))</f>
        <v>Bengaluru</v>
      </c>
      <c r="AE689" s="7" t="str">
        <f aca="false">IF(TRIM(E689)="","",IFERROR(INDEX(Map_Tables!$H$4:$H$37,MATCH(TRIM(E689),Map_Tables!$G$4:$G$37,0)),"CHECK"))</f>
        <v>Dosa Darbar</v>
      </c>
      <c r="AF689" s="7" t="str">
        <f aca="false">IF(TRIM(K689)="","Unknown",IFERROR(INDEX(Map_Tables!$E$4:$E$15,MATCH(TRIM(K689),Map_Tables!$D$4:$D$15,0)),"CHECK"))</f>
        <v>UPI</v>
      </c>
      <c r="AG689" s="7" t="str">
        <f aca="false">IF(LEFT(LOWER(TRIM(L689)),6)="cancel","Cancelled","Delivered")</f>
        <v>Delivered</v>
      </c>
      <c r="AH689" s="10" t="n">
        <f aca="false">IF(ISNUMBER(SEARCH("/",B689)),DATE(VALUE(RIGHT(B689,4)),VALUE(MID(B689,4,2)),VALUE(LEFT(B689,2))),IF(MID(B689,5,1)="-",DATE(VALUE(LEFT(B689,4)),VALUE(MID(B689,6,2)),VALUE(RIGHT(B689,2))),DATE(VALUE(RIGHT(B689,4)),MATCH(MID(B689,4,3),{"Jan","Feb","Mar","Apr","May","Jun","Jul","Aug","Sep","Oct","Nov","Dec"},0),VALUE(LEFT(B689,2)))))</f>
        <v>45742</v>
      </c>
    </row>
    <row r="690" customFormat="false" ht="15" hidden="false" customHeight="false" outlineLevel="0" collapsed="false">
      <c r="A690" s="7" t="s">
        <v>2343</v>
      </c>
      <c r="B690" s="7" t="s">
        <v>2190</v>
      </c>
      <c r="C690" s="7" t="s">
        <v>870</v>
      </c>
      <c r="D690" s="7" t="s">
        <v>965</v>
      </c>
      <c r="E690" s="7" t="s">
        <v>122</v>
      </c>
      <c r="F690" s="7" t="s">
        <v>101</v>
      </c>
      <c r="G690" s="7" t="s">
        <v>123</v>
      </c>
      <c r="H690" s="7" t="n">
        <v>3</v>
      </c>
      <c r="I690" s="7" t="n">
        <v>350</v>
      </c>
      <c r="J690" s="7" t="n">
        <v>0</v>
      </c>
      <c r="K690" s="7" t="s">
        <v>93</v>
      </c>
      <c r="L690" s="7" t="s">
        <v>194</v>
      </c>
      <c r="M690" s="7" t="n">
        <v>48</v>
      </c>
      <c r="N690" s="7" t="n">
        <v>3</v>
      </c>
      <c r="O690" s="7" t="str">
        <f aca="false">A690&amp;"|"&amp;B690&amp;"|"&amp;C690&amp;"|"&amp;D690&amp;"|"&amp;E690&amp;"|"&amp;F690&amp;"|"&amp;G690&amp;"|"&amp;H690&amp;"|"&amp;I690&amp;"|"&amp;J690&amp;"|"&amp;K690&amp;"|"&amp;L690&amp;"|"&amp;M690&amp;"|"&amp;N690</f>
        <v>ORD11679|2025-08-07|22:14|C1416|Mumbai Pizza Co|Mumbai|Pizza|3|350|0|Credit Card|Delivered|48|3</v>
      </c>
      <c r="P690" s="7" t="str">
        <f aca="false">IF(COUNTIF($O$2:O690,O690)&gt;1,"DUP","OK")</f>
        <v>OK</v>
      </c>
      <c r="Q690" s="7" t="n">
        <f aca="false">COUNTBLANK(A690:N690)</f>
        <v>0</v>
      </c>
      <c r="R690" s="7" t="n">
        <f aca="false">IF(A690="",0,COUNTIFS($A$2:$A$3058,A690,$P$2:$P$3058,"OK"))</f>
        <v>1</v>
      </c>
      <c r="S690" s="7" t="str">
        <f aca="false">IF(OR(A690="",P690="DUP",R690&lt;2),"",IF(Q690=_xlfn.MINIFS($Q$2:$Q$3058,$A$2:$A$3058,A690,$P$2:$P$3058,"OK"),"KEEP","DROP"))</f>
        <v/>
      </c>
      <c r="T690" s="9" t="n">
        <f aca="false">IF(A690="",1,0)</f>
        <v>0</v>
      </c>
      <c r="U690" s="9" t="n">
        <f aca="false">IF(D690="",1,0)</f>
        <v>0</v>
      </c>
      <c r="V690" s="9" t="n">
        <f aca="false">IF(E690="",1,0)</f>
        <v>0</v>
      </c>
      <c r="W690" s="9" t="n">
        <f aca="false">IF(OR(H690&lt;1,H690&gt;10),1,0)</f>
        <v>0</v>
      </c>
      <c r="X690" s="9" t="n">
        <f aca="false">IF(OR(I690&lt;=0,I690&gt;1500),1,0)</f>
        <v>0</v>
      </c>
      <c r="Y690" s="9" t="n">
        <f aca="false">IF(J690&gt;H690*I690,1,0)</f>
        <v>0</v>
      </c>
      <c r="Z690" s="9" t="n">
        <f aca="false">IF(AND(N690&lt;&gt;"",OR(N690&lt;1,N690&gt;5)),1,0)</f>
        <v>0</v>
      </c>
      <c r="AA690" s="9" t="n">
        <f aca="false">IF(AND(M690&lt;&gt;"",OR(M690&lt;5,M690&gt;180)),1,0)</f>
        <v>0</v>
      </c>
      <c r="AB690" s="7" t="str">
        <f aca="false">IF(P690="DUP","Exact duplicate row",IF(T690=1,"Missing Order ID",IF(S690="DROP","Duplicate Order ID (less complete row)",IF(U690=1,"Missing Customer ID",IF(V690=1,"Missing Restaurant name",IF(W690=1,"Invalid/outlier quantity",IF(X690=1,"Invalid/outlier unit price",IF(Y690=1,"Discount greater than order value",""))))))))</f>
        <v/>
      </c>
      <c r="AC690" s="7" t="str">
        <f aca="false">IF(AB690="","KEEP","DROP")</f>
        <v>KEEP</v>
      </c>
      <c r="AD690" s="7" t="str">
        <f aca="false">IF(TRIM(F690)="",IFERROR(INDEX(Map_Tables!$I$4:$I$37,MATCH(TRIM(E690),Map_Tables!$G$4:$G$37,0)),""),IFERROR(INDEX(Map_Tables!$B$4:$B$18,MATCH(TRIM(F690),Map_Tables!$A$4:$A$18,0)),"CHECK"))</f>
        <v>Mumbai</v>
      </c>
      <c r="AE690" s="7" t="str">
        <f aca="false">IF(TRIM(E690)="","",IFERROR(INDEX(Map_Tables!$H$4:$H$37,MATCH(TRIM(E690),Map_Tables!$G$4:$G$37,0)),"CHECK"))</f>
        <v>Mumbai Pizza Co</v>
      </c>
      <c r="AF690" s="7" t="str">
        <f aca="false">IF(TRIM(K690)="","Unknown",IFERROR(INDEX(Map_Tables!$E$4:$E$15,MATCH(TRIM(K690),Map_Tables!$D$4:$D$15,0)),"CHECK"))</f>
        <v>Credit Card</v>
      </c>
      <c r="AG690" s="7" t="str">
        <f aca="false">IF(LEFT(LOWER(TRIM(L690)),6)="cancel","Cancelled","Delivered")</f>
        <v>Delivered</v>
      </c>
      <c r="AH690" s="10" t="n">
        <f aca="false">IF(ISNUMBER(SEARCH("/",B690)),DATE(VALUE(RIGHT(B690,4)),VALUE(MID(B690,4,2)),VALUE(LEFT(B690,2))),IF(MID(B690,5,1)="-",DATE(VALUE(LEFT(B690,4)),VALUE(MID(B690,6,2)),VALUE(RIGHT(B690,2))),DATE(VALUE(RIGHT(B690,4)),MATCH(MID(B690,4,3),{"Jan","Feb","Mar","Apr","May","Jun","Jul","Aug","Sep","Oct","Nov","Dec"},0),VALUE(LEFT(B690,2)))))</f>
        <v>45876</v>
      </c>
    </row>
    <row r="691" customFormat="false" ht="15" hidden="false" customHeight="false" outlineLevel="0" collapsed="false">
      <c r="A691" s="7" t="s">
        <v>2344</v>
      </c>
      <c r="B691" s="7" t="s">
        <v>2345</v>
      </c>
      <c r="C691" s="7" t="s">
        <v>1153</v>
      </c>
      <c r="D691" s="7" t="s">
        <v>2346</v>
      </c>
      <c r="E691" s="7" t="s">
        <v>138</v>
      </c>
      <c r="F691" s="7" t="s">
        <v>110</v>
      </c>
      <c r="G691" s="7" t="s">
        <v>139</v>
      </c>
      <c r="H691" s="7" t="n">
        <v>1</v>
      </c>
      <c r="I691" s="7" t="n">
        <v>155</v>
      </c>
      <c r="J691" s="7" t="n">
        <v>0</v>
      </c>
      <c r="K691" s="7" t="s">
        <v>88</v>
      </c>
      <c r="L691" s="7" t="s">
        <v>194</v>
      </c>
      <c r="M691" s="7" t="n">
        <v>43</v>
      </c>
      <c r="N691" s="7"/>
      <c r="O691" s="7" t="str">
        <f aca="false">A691&amp;"|"&amp;B691&amp;"|"&amp;C691&amp;"|"&amp;D691&amp;"|"&amp;E691&amp;"|"&amp;F691&amp;"|"&amp;G691&amp;"|"&amp;H691&amp;"|"&amp;I691&amp;"|"&amp;J691&amp;"|"&amp;K691&amp;"|"&amp;L691&amp;"|"&amp;M691&amp;"|"&amp;N691</f>
        <v>ORD12680|26/11/2025|20:45|C0777|Burger Barn|Delhi|Burgers|1|155|0|UPI|Delivered|43|</v>
      </c>
      <c r="P691" s="7" t="str">
        <f aca="false">IF(COUNTIF($O$2:O691,O691)&gt;1,"DUP","OK")</f>
        <v>OK</v>
      </c>
      <c r="Q691" s="7" t="n">
        <f aca="false">COUNTBLANK(A691:N691)</f>
        <v>1</v>
      </c>
      <c r="R691" s="7" t="n">
        <f aca="false">IF(A691="",0,COUNTIFS($A$2:$A$3058,A691,$P$2:$P$3058,"OK"))</f>
        <v>1</v>
      </c>
      <c r="S691" s="7" t="str">
        <f aca="false">IF(OR(A691="",P691="DUP",R691&lt;2),"",IF(Q691=_xlfn.MINIFS($Q$2:$Q$3058,$A$2:$A$3058,A691,$P$2:$P$3058,"OK"),"KEEP","DROP"))</f>
        <v/>
      </c>
      <c r="T691" s="9" t="n">
        <f aca="false">IF(A691="",1,0)</f>
        <v>0</v>
      </c>
      <c r="U691" s="9" t="n">
        <f aca="false">IF(D691="",1,0)</f>
        <v>0</v>
      </c>
      <c r="V691" s="9" t="n">
        <f aca="false">IF(E691="",1,0)</f>
        <v>0</v>
      </c>
      <c r="W691" s="9" t="n">
        <f aca="false">IF(OR(H691&lt;1,H691&gt;10),1,0)</f>
        <v>0</v>
      </c>
      <c r="X691" s="9" t="n">
        <f aca="false">IF(OR(I691&lt;=0,I691&gt;1500),1,0)</f>
        <v>0</v>
      </c>
      <c r="Y691" s="9" t="n">
        <f aca="false">IF(J691&gt;H691*I691,1,0)</f>
        <v>0</v>
      </c>
      <c r="Z691" s="9" t="n">
        <f aca="false">IF(AND(N691&lt;&gt;"",OR(N691&lt;1,N691&gt;5)),1,0)</f>
        <v>0</v>
      </c>
      <c r="AA691" s="9" t="n">
        <f aca="false">IF(AND(M691&lt;&gt;"",OR(M691&lt;5,M691&gt;180)),1,0)</f>
        <v>0</v>
      </c>
      <c r="AB691" s="7" t="str">
        <f aca="false">IF(P691="DUP","Exact duplicate row",IF(T691=1,"Missing Order ID",IF(S691="DROP","Duplicate Order ID (less complete row)",IF(U691=1,"Missing Customer ID",IF(V691=1,"Missing Restaurant name",IF(W691=1,"Invalid/outlier quantity",IF(X691=1,"Invalid/outlier unit price",IF(Y691=1,"Discount greater than order value",""))))))))</f>
        <v/>
      </c>
      <c r="AC691" s="7" t="str">
        <f aca="false">IF(AB691="","KEEP","DROP")</f>
        <v>KEEP</v>
      </c>
      <c r="AD691" s="7" t="str">
        <f aca="false">IF(TRIM(F691)="",IFERROR(INDEX(Map_Tables!$I$4:$I$37,MATCH(TRIM(E691),Map_Tables!$G$4:$G$37,0)),""),IFERROR(INDEX(Map_Tables!$B$4:$B$18,MATCH(TRIM(F691),Map_Tables!$A$4:$A$18,0)),"CHECK"))</f>
        <v>Delhi</v>
      </c>
      <c r="AE691" s="7" t="str">
        <f aca="false">IF(TRIM(E691)="","",IFERROR(INDEX(Map_Tables!$H$4:$H$37,MATCH(TRIM(E691),Map_Tables!$G$4:$G$37,0)),"CHECK"))</f>
        <v>Burger Barn</v>
      </c>
      <c r="AF691" s="7" t="str">
        <f aca="false">IF(TRIM(K691)="","Unknown",IFERROR(INDEX(Map_Tables!$E$4:$E$15,MATCH(TRIM(K691),Map_Tables!$D$4:$D$15,0)),"CHECK"))</f>
        <v>UPI</v>
      </c>
      <c r="AG691" s="7" t="str">
        <f aca="false">IF(LEFT(LOWER(TRIM(L691)),6)="cancel","Cancelled","Delivered")</f>
        <v>Delivered</v>
      </c>
      <c r="AH691" s="10" t="n">
        <f aca="false">IF(ISNUMBER(SEARCH("/",B691)),DATE(VALUE(RIGHT(B691,4)),VALUE(MID(B691,4,2)),VALUE(LEFT(B691,2))),IF(MID(B691,5,1)="-",DATE(VALUE(LEFT(B691,4)),VALUE(MID(B691,6,2)),VALUE(RIGHT(B691,2))),DATE(VALUE(RIGHT(B691,4)),MATCH(MID(B691,4,3),{"Jan","Feb","Mar","Apr","May","Jun","Jul","Aug","Sep","Oct","Nov","Dec"},0),VALUE(LEFT(B691,2)))))</f>
        <v>45987</v>
      </c>
    </row>
    <row r="692" customFormat="false" ht="15" hidden="false" customHeight="false" outlineLevel="0" collapsed="false">
      <c r="A692" s="7" t="s">
        <v>2347</v>
      </c>
      <c r="B692" s="7" t="s">
        <v>2348</v>
      </c>
      <c r="C692" s="7" t="s">
        <v>254</v>
      </c>
      <c r="D692" s="7" t="s">
        <v>2349</v>
      </c>
      <c r="E692" s="7" t="s">
        <v>157</v>
      </c>
      <c r="F692" s="7" t="s">
        <v>136</v>
      </c>
      <c r="G692" s="7" t="s">
        <v>117</v>
      </c>
      <c r="H692" s="7" t="n">
        <v>1</v>
      </c>
      <c r="I692" s="7" t="n">
        <v>135</v>
      </c>
      <c r="J692" s="7" t="n">
        <v>0</v>
      </c>
      <c r="K692" s="7" t="s">
        <v>421</v>
      </c>
      <c r="L692" s="7" t="s">
        <v>194</v>
      </c>
      <c r="M692" s="7" t="n">
        <v>33</v>
      </c>
      <c r="N692" s="7"/>
      <c r="O692" s="7" t="str">
        <f aca="false">A692&amp;"|"&amp;B692&amp;"|"&amp;C692&amp;"|"&amp;D692&amp;"|"&amp;E692&amp;"|"&amp;F692&amp;"|"&amp;G692&amp;"|"&amp;H692&amp;"|"&amp;I692&amp;"|"&amp;J692&amp;"|"&amp;K692&amp;"|"&amp;L692&amp;"|"&amp;M692&amp;"|"&amp;N692</f>
        <v>ORD10116|2025-01-15|20:58|C1424|Misal Mantra|Pune|Street Food|1|135|0|UPI |Delivered|33|</v>
      </c>
      <c r="P692" s="7" t="str">
        <f aca="false">IF(COUNTIF($O$2:O692,O692)&gt;1,"DUP","OK")</f>
        <v>OK</v>
      </c>
      <c r="Q692" s="7" t="n">
        <f aca="false">COUNTBLANK(A692:N692)</f>
        <v>1</v>
      </c>
      <c r="R692" s="7" t="n">
        <f aca="false">IF(A692="",0,COUNTIFS($A$2:$A$3058,A692,$P$2:$P$3058,"OK"))</f>
        <v>1</v>
      </c>
      <c r="S692" s="7" t="str">
        <f aca="false">IF(OR(A692="",P692="DUP",R692&lt;2),"",IF(Q692=_xlfn.MINIFS($Q$2:$Q$3058,$A$2:$A$3058,A692,$P$2:$P$3058,"OK"),"KEEP","DROP"))</f>
        <v/>
      </c>
      <c r="T692" s="9" t="n">
        <f aca="false">IF(A692="",1,0)</f>
        <v>0</v>
      </c>
      <c r="U692" s="9" t="n">
        <f aca="false">IF(D692="",1,0)</f>
        <v>0</v>
      </c>
      <c r="V692" s="9" t="n">
        <f aca="false">IF(E692="",1,0)</f>
        <v>0</v>
      </c>
      <c r="W692" s="9" t="n">
        <f aca="false">IF(OR(H692&lt;1,H692&gt;10),1,0)</f>
        <v>0</v>
      </c>
      <c r="X692" s="9" t="n">
        <f aca="false">IF(OR(I692&lt;=0,I692&gt;1500),1,0)</f>
        <v>0</v>
      </c>
      <c r="Y692" s="9" t="n">
        <f aca="false">IF(J692&gt;H692*I692,1,0)</f>
        <v>0</v>
      </c>
      <c r="Z692" s="9" t="n">
        <f aca="false">IF(AND(N692&lt;&gt;"",OR(N692&lt;1,N692&gt;5)),1,0)</f>
        <v>0</v>
      </c>
      <c r="AA692" s="9" t="n">
        <f aca="false">IF(AND(M692&lt;&gt;"",OR(M692&lt;5,M692&gt;180)),1,0)</f>
        <v>0</v>
      </c>
      <c r="AB692" s="7" t="str">
        <f aca="false">IF(P692="DUP","Exact duplicate row",IF(T692=1,"Missing Order ID",IF(S692="DROP","Duplicate Order ID (less complete row)",IF(U692=1,"Missing Customer ID",IF(V692=1,"Missing Restaurant name",IF(W692=1,"Invalid/outlier quantity",IF(X692=1,"Invalid/outlier unit price",IF(Y692=1,"Discount greater than order value",""))))))))</f>
        <v/>
      </c>
      <c r="AC692" s="7" t="str">
        <f aca="false">IF(AB692="","KEEP","DROP")</f>
        <v>KEEP</v>
      </c>
      <c r="AD692" s="7" t="str">
        <f aca="false">IF(TRIM(F692)="",IFERROR(INDEX(Map_Tables!$I$4:$I$37,MATCH(TRIM(E692),Map_Tables!$G$4:$G$37,0)),""),IFERROR(INDEX(Map_Tables!$B$4:$B$18,MATCH(TRIM(F692),Map_Tables!$A$4:$A$18,0)),"CHECK"))</f>
        <v>Pune</v>
      </c>
      <c r="AE692" s="7" t="str">
        <f aca="false">IF(TRIM(E692)="","",IFERROR(INDEX(Map_Tables!$H$4:$H$37,MATCH(TRIM(E692),Map_Tables!$G$4:$G$37,0)),"CHECK"))</f>
        <v>Misal Mantra</v>
      </c>
      <c r="AF692" s="7" t="str">
        <f aca="false">IF(TRIM(K692)="","Unknown",IFERROR(INDEX(Map_Tables!$E$4:$E$15,MATCH(TRIM(K692),Map_Tables!$D$4:$D$15,0)),"CHECK"))</f>
        <v>UPI</v>
      </c>
      <c r="AG692" s="7" t="str">
        <f aca="false">IF(LEFT(LOWER(TRIM(L692)),6)="cancel","Cancelled","Delivered")</f>
        <v>Delivered</v>
      </c>
      <c r="AH692" s="10" t="n">
        <f aca="false">IF(ISNUMBER(SEARCH("/",B692)),DATE(VALUE(RIGHT(B692,4)),VALUE(MID(B692,4,2)),VALUE(LEFT(B692,2))),IF(MID(B692,5,1)="-",DATE(VALUE(LEFT(B692,4)),VALUE(MID(B692,6,2)),VALUE(RIGHT(B692,2))),DATE(VALUE(RIGHT(B692,4)),MATCH(MID(B692,4,3),{"Jan","Feb","Mar","Apr","May","Jun","Jul","Aug","Sep","Oct","Nov","Dec"},0),VALUE(LEFT(B692,2)))))</f>
        <v>45672</v>
      </c>
    </row>
    <row r="693" customFormat="false" ht="15" hidden="false" customHeight="false" outlineLevel="0" collapsed="false">
      <c r="A693" s="7" t="s">
        <v>2350</v>
      </c>
      <c r="B693" s="7" t="s">
        <v>2351</v>
      </c>
      <c r="C693" s="7" t="s">
        <v>1191</v>
      </c>
      <c r="D693" s="7" t="s">
        <v>202</v>
      </c>
      <c r="E693" s="7" t="s">
        <v>159</v>
      </c>
      <c r="F693" s="7" t="s">
        <v>1226</v>
      </c>
      <c r="G693" s="7" t="s">
        <v>90</v>
      </c>
      <c r="H693" s="7" t="n">
        <v>1</v>
      </c>
      <c r="I693" s="7" t="n">
        <v>245</v>
      </c>
      <c r="J693" s="7" t="n">
        <v>98</v>
      </c>
      <c r="K693" s="7" t="s">
        <v>88</v>
      </c>
      <c r="L693" s="7" t="s">
        <v>194</v>
      </c>
      <c r="M693" s="7" t="n">
        <v>40</v>
      </c>
      <c r="N693" s="7" t="n">
        <v>4</v>
      </c>
      <c r="O693" s="7" t="str">
        <f aca="false">A693&amp;"|"&amp;B693&amp;"|"&amp;C693&amp;"|"&amp;D693&amp;"|"&amp;E693&amp;"|"&amp;F693&amp;"|"&amp;G693&amp;"|"&amp;H693&amp;"|"&amp;I693&amp;"|"&amp;J693&amp;"|"&amp;K693&amp;"|"&amp;L693&amp;"|"&amp;M693&amp;"|"&amp;N693</f>
        <v>ORD12377|2025-10-27|10:59|C0376|Maratha Thali House|Pune |North Indian|1|245|98|UPI|Delivered|40|4</v>
      </c>
      <c r="P693" s="7" t="str">
        <f aca="false">IF(COUNTIF($O$2:O693,O693)&gt;1,"DUP","OK")</f>
        <v>OK</v>
      </c>
      <c r="Q693" s="7" t="n">
        <f aca="false">COUNTBLANK(A693:N693)</f>
        <v>0</v>
      </c>
      <c r="R693" s="7" t="n">
        <f aca="false">IF(A693="",0,COUNTIFS($A$2:$A$3058,A693,$P$2:$P$3058,"OK"))</f>
        <v>1</v>
      </c>
      <c r="S693" s="7" t="str">
        <f aca="false">IF(OR(A693="",P693="DUP",R693&lt;2),"",IF(Q693=_xlfn.MINIFS($Q$2:$Q$3058,$A$2:$A$3058,A693,$P$2:$P$3058,"OK"),"KEEP","DROP"))</f>
        <v/>
      </c>
      <c r="T693" s="9" t="n">
        <f aca="false">IF(A693="",1,0)</f>
        <v>0</v>
      </c>
      <c r="U693" s="9" t="n">
        <f aca="false">IF(D693="",1,0)</f>
        <v>0</v>
      </c>
      <c r="V693" s="9" t="n">
        <f aca="false">IF(E693="",1,0)</f>
        <v>0</v>
      </c>
      <c r="W693" s="9" t="n">
        <f aca="false">IF(OR(H693&lt;1,H693&gt;10),1,0)</f>
        <v>0</v>
      </c>
      <c r="X693" s="9" t="n">
        <f aca="false">IF(OR(I693&lt;=0,I693&gt;1500),1,0)</f>
        <v>0</v>
      </c>
      <c r="Y693" s="9" t="n">
        <f aca="false">IF(J693&gt;H693*I693,1,0)</f>
        <v>0</v>
      </c>
      <c r="Z693" s="9" t="n">
        <f aca="false">IF(AND(N693&lt;&gt;"",OR(N693&lt;1,N693&gt;5)),1,0)</f>
        <v>0</v>
      </c>
      <c r="AA693" s="9" t="n">
        <f aca="false">IF(AND(M693&lt;&gt;"",OR(M693&lt;5,M693&gt;180)),1,0)</f>
        <v>0</v>
      </c>
      <c r="AB693" s="7" t="str">
        <f aca="false">IF(P693="DUP","Exact duplicate row",IF(T693=1,"Missing Order ID",IF(S693="DROP","Duplicate Order ID (less complete row)",IF(U693=1,"Missing Customer ID",IF(V693=1,"Missing Restaurant name",IF(W693=1,"Invalid/outlier quantity",IF(X693=1,"Invalid/outlier unit price",IF(Y693=1,"Discount greater than order value",""))))))))</f>
        <v/>
      </c>
      <c r="AC693" s="7" t="str">
        <f aca="false">IF(AB693="","KEEP","DROP")</f>
        <v>KEEP</v>
      </c>
      <c r="AD693" s="7" t="str">
        <f aca="false">IF(TRIM(F693)="",IFERROR(INDEX(Map_Tables!$I$4:$I$37,MATCH(TRIM(E693),Map_Tables!$G$4:$G$37,0)),""),IFERROR(INDEX(Map_Tables!$B$4:$B$18,MATCH(TRIM(F693),Map_Tables!$A$4:$A$18,0)),"CHECK"))</f>
        <v>Pune</v>
      </c>
      <c r="AE693" s="7" t="str">
        <f aca="false">IF(TRIM(E693)="","",IFERROR(INDEX(Map_Tables!$H$4:$H$37,MATCH(TRIM(E693),Map_Tables!$G$4:$G$37,0)),"CHECK"))</f>
        <v>Maratha Thali House</v>
      </c>
      <c r="AF693" s="7" t="str">
        <f aca="false">IF(TRIM(K693)="","Unknown",IFERROR(INDEX(Map_Tables!$E$4:$E$15,MATCH(TRIM(K693),Map_Tables!$D$4:$D$15,0)),"CHECK"))</f>
        <v>UPI</v>
      </c>
      <c r="AG693" s="7" t="str">
        <f aca="false">IF(LEFT(LOWER(TRIM(L693)),6)="cancel","Cancelled","Delivered")</f>
        <v>Delivered</v>
      </c>
      <c r="AH693" s="10" t="n">
        <f aca="false">IF(ISNUMBER(SEARCH("/",B693)),DATE(VALUE(RIGHT(B693,4)),VALUE(MID(B693,4,2)),VALUE(LEFT(B693,2))),IF(MID(B693,5,1)="-",DATE(VALUE(LEFT(B693,4)),VALUE(MID(B693,6,2)),VALUE(RIGHT(B693,2))),DATE(VALUE(RIGHT(B693,4)),MATCH(MID(B693,4,3),{"Jan","Feb","Mar","Apr","May","Jun","Jul","Aug","Sep","Oct","Nov","Dec"},0),VALUE(LEFT(B693,2)))))</f>
        <v>45957</v>
      </c>
    </row>
    <row r="694" customFormat="false" ht="15" hidden="false" customHeight="false" outlineLevel="0" collapsed="false">
      <c r="A694" s="7" t="s">
        <v>2352</v>
      </c>
      <c r="B694" s="7" t="s">
        <v>2124</v>
      </c>
      <c r="C694" s="7" t="s">
        <v>1235</v>
      </c>
      <c r="D694" s="7" t="s">
        <v>2353</v>
      </c>
      <c r="E694" s="7" t="s">
        <v>1595</v>
      </c>
      <c r="F694" s="7" t="s">
        <v>136</v>
      </c>
      <c r="G694" s="7" t="s">
        <v>139</v>
      </c>
      <c r="H694" s="7" t="n">
        <v>1</v>
      </c>
      <c r="I694" s="7" t="n">
        <v>235</v>
      </c>
      <c r="J694" s="7" t="n">
        <v>94</v>
      </c>
      <c r="K694" s="7" t="s">
        <v>112</v>
      </c>
      <c r="L694" s="7" t="s">
        <v>194</v>
      </c>
      <c r="M694" s="7" t="n">
        <v>36</v>
      </c>
      <c r="N694" s="7" t="n">
        <v>4</v>
      </c>
      <c r="O694" s="7" t="str">
        <f aca="false">A694&amp;"|"&amp;B694&amp;"|"&amp;C694&amp;"|"&amp;D694&amp;"|"&amp;E694&amp;"|"&amp;F694&amp;"|"&amp;G694&amp;"|"&amp;H694&amp;"|"&amp;I694&amp;"|"&amp;J694&amp;"|"&amp;K694&amp;"|"&amp;L694&amp;"|"&amp;M694&amp;"|"&amp;N694</f>
        <v>ORD12997|2025-12-31|17:36|C0013|PUNE BURGER HUB|Pune|Burgers|1|235|94|Cash on Delivery|Delivered|36|4</v>
      </c>
      <c r="P694" s="7" t="str">
        <f aca="false">IF(COUNTIF($O$2:O694,O694)&gt;1,"DUP","OK")</f>
        <v>OK</v>
      </c>
      <c r="Q694" s="7" t="n">
        <f aca="false">COUNTBLANK(A694:N694)</f>
        <v>0</v>
      </c>
      <c r="R694" s="7" t="n">
        <f aca="false">IF(A694="",0,COUNTIFS($A$2:$A$3058,A694,$P$2:$P$3058,"OK"))</f>
        <v>1</v>
      </c>
      <c r="S694" s="7" t="str">
        <f aca="false">IF(OR(A694="",P694="DUP",R694&lt;2),"",IF(Q694=_xlfn.MINIFS($Q$2:$Q$3058,$A$2:$A$3058,A694,$P$2:$P$3058,"OK"),"KEEP","DROP"))</f>
        <v/>
      </c>
      <c r="T694" s="9" t="n">
        <f aca="false">IF(A694="",1,0)</f>
        <v>0</v>
      </c>
      <c r="U694" s="9" t="n">
        <f aca="false">IF(D694="",1,0)</f>
        <v>0</v>
      </c>
      <c r="V694" s="9" t="n">
        <f aca="false">IF(E694="",1,0)</f>
        <v>0</v>
      </c>
      <c r="W694" s="9" t="n">
        <f aca="false">IF(OR(H694&lt;1,H694&gt;10),1,0)</f>
        <v>0</v>
      </c>
      <c r="X694" s="9" t="n">
        <f aca="false">IF(OR(I694&lt;=0,I694&gt;1500),1,0)</f>
        <v>0</v>
      </c>
      <c r="Y694" s="9" t="n">
        <f aca="false">IF(J694&gt;H694*I694,1,0)</f>
        <v>0</v>
      </c>
      <c r="Z694" s="9" t="n">
        <f aca="false">IF(AND(N694&lt;&gt;"",OR(N694&lt;1,N694&gt;5)),1,0)</f>
        <v>0</v>
      </c>
      <c r="AA694" s="9" t="n">
        <f aca="false">IF(AND(M694&lt;&gt;"",OR(M694&lt;5,M694&gt;180)),1,0)</f>
        <v>0</v>
      </c>
      <c r="AB694" s="7" t="str">
        <f aca="false">IF(P694="DUP","Exact duplicate row",IF(T694=1,"Missing Order ID",IF(S694="DROP","Duplicate Order ID (less complete row)",IF(U694=1,"Missing Customer ID",IF(V694=1,"Missing Restaurant name",IF(W694=1,"Invalid/outlier quantity",IF(X694=1,"Invalid/outlier unit price",IF(Y694=1,"Discount greater than order value",""))))))))</f>
        <v/>
      </c>
      <c r="AC694" s="7" t="str">
        <f aca="false">IF(AB694="","KEEP","DROP")</f>
        <v>KEEP</v>
      </c>
      <c r="AD694" s="7" t="str">
        <f aca="false">IF(TRIM(F694)="",IFERROR(INDEX(Map_Tables!$I$4:$I$37,MATCH(TRIM(E694),Map_Tables!$G$4:$G$37,0)),""),IFERROR(INDEX(Map_Tables!$B$4:$B$18,MATCH(TRIM(F694),Map_Tables!$A$4:$A$18,0)),"CHECK"))</f>
        <v>Pune</v>
      </c>
      <c r="AE694" s="7" t="str">
        <f aca="false">IF(TRIM(E694)="","",IFERROR(INDEX(Map_Tables!$H$4:$H$37,MATCH(TRIM(E694),Map_Tables!$G$4:$G$37,0)),"CHECK"))</f>
        <v>Pune Burger Hub</v>
      </c>
      <c r="AF694" s="7" t="str">
        <f aca="false">IF(TRIM(K694)="","Unknown",IFERROR(INDEX(Map_Tables!$E$4:$E$15,MATCH(TRIM(K694),Map_Tables!$D$4:$D$15,0)),"CHECK"))</f>
        <v>Cash on Delivery</v>
      </c>
      <c r="AG694" s="7" t="str">
        <f aca="false">IF(LEFT(LOWER(TRIM(L694)),6)="cancel","Cancelled","Delivered")</f>
        <v>Delivered</v>
      </c>
      <c r="AH694" s="10" t="n">
        <f aca="false">IF(ISNUMBER(SEARCH("/",B694)),DATE(VALUE(RIGHT(B694,4)),VALUE(MID(B694,4,2)),VALUE(LEFT(B694,2))),IF(MID(B694,5,1)="-",DATE(VALUE(LEFT(B694,4)),VALUE(MID(B694,6,2)),VALUE(RIGHT(B694,2))),DATE(VALUE(RIGHT(B694,4)),MATCH(MID(B694,4,3),{"Jan","Feb","Mar","Apr","May","Jun","Jul","Aug","Sep","Oct","Nov","Dec"},0),VALUE(LEFT(B694,2)))))</f>
        <v>46022</v>
      </c>
    </row>
    <row r="695" customFormat="false" ht="15" hidden="false" customHeight="false" outlineLevel="0" collapsed="false">
      <c r="A695" s="7" t="s">
        <v>2354</v>
      </c>
      <c r="B695" s="7" t="s">
        <v>1469</v>
      </c>
      <c r="C695" s="7" t="s">
        <v>2355</v>
      </c>
      <c r="D695" s="7" t="s">
        <v>2342</v>
      </c>
      <c r="E695" s="7" t="s">
        <v>149</v>
      </c>
      <c r="F695" s="7" t="s">
        <v>312</v>
      </c>
      <c r="G695" s="7" t="s">
        <v>150</v>
      </c>
      <c r="H695" s="7" t="n">
        <v>3</v>
      </c>
      <c r="I695" s="7" t="n">
        <v>200</v>
      </c>
      <c r="J695" s="7" t="n">
        <v>75</v>
      </c>
      <c r="K695" s="7" t="s">
        <v>88</v>
      </c>
      <c r="L695" s="7" t="s">
        <v>194</v>
      </c>
      <c r="M695" s="7" t="n">
        <v>28</v>
      </c>
      <c r="N695" s="7" t="n">
        <v>3</v>
      </c>
      <c r="O695" s="7" t="str">
        <f aca="false">A695&amp;"|"&amp;B695&amp;"|"&amp;C695&amp;"|"&amp;D695&amp;"|"&amp;E695&amp;"|"&amp;F695&amp;"|"&amp;G695&amp;"|"&amp;H695&amp;"|"&amp;I695&amp;"|"&amp;J695&amp;"|"&amp;K695&amp;"|"&amp;L695&amp;"|"&amp;M695&amp;"|"&amp;N695</f>
        <v>ORD11058|2025-05-14|10:05|C0608|Sweet Tooth Studio|Hyd|Desserts|3|200|75|UPI|Delivered|28|3</v>
      </c>
      <c r="P695" s="7" t="str">
        <f aca="false">IF(COUNTIF($O$2:O695,O695)&gt;1,"DUP","OK")</f>
        <v>OK</v>
      </c>
      <c r="Q695" s="7" t="n">
        <f aca="false">COUNTBLANK(A695:N695)</f>
        <v>0</v>
      </c>
      <c r="R695" s="7" t="n">
        <f aca="false">IF(A695="",0,COUNTIFS($A$2:$A$3058,A695,$P$2:$P$3058,"OK"))</f>
        <v>1</v>
      </c>
      <c r="S695" s="7" t="str">
        <f aca="false">IF(OR(A695="",P695="DUP",R695&lt;2),"",IF(Q695=_xlfn.MINIFS($Q$2:$Q$3058,$A$2:$A$3058,A695,$P$2:$P$3058,"OK"),"KEEP","DROP"))</f>
        <v/>
      </c>
      <c r="T695" s="9" t="n">
        <f aca="false">IF(A695="",1,0)</f>
        <v>0</v>
      </c>
      <c r="U695" s="9" t="n">
        <f aca="false">IF(D695="",1,0)</f>
        <v>0</v>
      </c>
      <c r="V695" s="9" t="n">
        <f aca="false">IF(E695="",1,0)</f>
        <v>0</v>
      </c>
      <c r="W695" s="9" t="n">
        <f aca="false">IF(OR(H695&lt;1,H695&gt;10),1,0)</f>
        <v>0</v>
      </c>
      <c r="X695" s="9" t="n">
        <f aca="false">IF(OR(I695&lt;=0,I695&gt;1500),1,0)</f>
        <v>0</v>
      </c>
      <c r="Y695" s="9" t="n">
        <f aca="false">IF(J695&gt;H695*I695,1,0)</f>
        <v>0</v>
      </c>
      <c r="Z695" s="9" t="n">
        <f aca="false">IF(AND(N695&lt;&gt;"",OR(N695&lt;1,N695&gt;5)),1,0)</f>
        <v>0</v>
      </c>
      <c r="AA695" s="9" t="n">
        <f aca="false">IF(AND(M695&lt;&gt;"",OR(M695&lt;5,M695&gt;180)),1,0)</f>
        <v>0</v>
      </c>
      <c r="AB695" s="7" t="str">
        <f aca="false">IF(P695="DUP","Exact duplicate row",IF(T695=1,"Missing Order ID",IF(S695="DROP","Duplicate Order ID (less complete row)",IF(U695=1,"Missing Customer ID",IF(V695=1,"Missing Restaurant name",IF(W695=1,"Invalid/outlier quantity",IF(X695=1,"Invalid/outlier unit price",IF(Y695=1,"Discount greater than order value",""))))))))</f>
        <v/>
      </c>
      <c r="AC695" s="7" t="str">
        <f aca="false">IF(AB695="","KEEP","DROP")</f>
        <v>KEEP</v>
      </c>
      <c r="AD695" s="7" t="str">
        <f aca="false">IF(TRIM(F695)="",IFERROR(INDEX(Map_Tables!$I$4:$I$37,MATCH(TRIM(E695),Map_Tables!$G$4:$G$37,0)),""),IFERROR(INDEX(Map_Tables!$B$4:$B$18,MATCH(TRIM(F695),Map_Tables!$A$4:$A$18,0)),"CHECK"))</f>
        <v>Hyderabad</v>
      </c>
      <c r="AE695" s="7" t="str">
        <f aca="false">IF(TRIM(E695)="","",IFERROR(INDEX(Map_Tables!$H$4:$H$37,MATCH(TRIM(E695),Map_Tables!$G$4:$G$37,0)),"CHECK"))</f>
        <v>Sweet Tooth Studio</v>
      </c>
      <c r="AF695" s="7" t="str">
        <f aca="false">IF(TRIM(K695)="","Unknown",IFERROR(INDEX(Map_Tables!$E$4:$E$15,MATCH(TRIM(K695),Map_Tables!$D$4:$D$15,0)),"CHECK"))</f>
        <v>UPI</v>
      </c>
      <c r="AG695" s="7" t="str">
        <f aca="false">IF(LEFT(LOWER(TRIM(L695)),6)="cancel","Cancelled","Delivered")</f>
        <v>Delivered</v>
      </c>
      <c r="AH695" s="10" t="n">
        <f aca="false">IF(ISNUMBER(SEARCH("/",B695)),DATE(VALUE(RIGHT(B695,4)),VALUE(MID(B695,4,2)),VALUE(LEFT(B695,2))),IF(MID(B695,5,1)="-",DATE(VALUE(LEFT(B695,4)),VALUE(MID(B695,6,2)),VALUE(RIGHT(B695,2))),DATE(VALUE(RIGHT(B695,4)),MATCH(MID(B695,4,3),{"Jan","Feb","Mar","Apr","May","Jun","Jul","Aug","Sep","Oct","Nov","Dec"},0),VALUE(LEFT(B695,2)))))</f>
        <v>45791</v>
      </c>
    </row>
    <row r="696" customFormat="false" ht="15" hidden="false" customHeight="false" outlineLevel="0" collapsed="false">
      <c r="A696" s="7" t="s">
        <v>2356</v>
      </c>
      <c r="B696" s="7" t="s">
        <v>2357</v>
      </c>
      <c r="C696" s="7" t="s">
        <v>2358</v>
      </c>
      <c r="D696" s="7" t="s">
        <v>2359</v>
      </c>
      <c r="E696" s="7" t="s">
        <v>2294</v>
      </c>
      <c r="F696" s="7" t="s">
        <v>110</v>
      </c>
      <c r="G696" s="7" t="s">
        <v>139</v>
      </c>
      <c r="H696" s="7" t="n">
        <v>2</v>
      </c>
      <c r="I696" s="7" t="n">
        <v>180</v>
      </c>
      <c r="J696" s="7" t="n">
        <v>0</v>
      </c>
      <c r="K696" s="7" t="s">
        <v>88</v>
      </c>
      <c r="L696" s="7" t="s">
        <v>194</v>
      </c>
      <c r="M696" s="7" t="n">
        <v>48</v>
      </c>
      <c r="N696" s="7" t="n">
        <v>4</v>
      </c>
      <c r="O696" s="7" t="str">
        <f aca="false">A696&amp;"|"&amp;B696&amp;"|"&amp;C696&amp;"|"&amp;D696&amp;"|"&amp;E696&amp;"|"&amp;F696&amp;"|"&amp;G696&amp;"|"&amp;H696&amp;"|"&amp;I696&amp;"|"&amp;J696&amp;"|"&amp;K696&amp;"|"&amp;L696&amp;"|"&amp;M696&amp;"|"&amp;N696</f>
        <v>ORD11899|2025-09-04|13:47|C0116|burger barn|Delhi|Burgers|2|180|0|UPI|Delivered|48|4</v>
      </c>
      <c r="P696" s="7" t="str">
        <f aca="false">IF(COUNTIF($O$2:O696,O696)&gt;1,"DUP","OK")</f>
        <v>OK</v>
      </c>
      <c r="Q696" s="7" t="n">
        <f aca="false">COUNTBLANK(A696:N696)</f>
        <v>0</v>
      </c>
      <c r="R696" s="7" t="n">
        <f aca="false">IF(A696="",0,COUNTIFS($A$2:$A$3058,A696,$P$2:$P$3058,"OK"))</f>
        <v>1</v>
      </c>
      <c r="S696" s="7" t="str">
        <f aca="false">IF(OR(A696="",P696="DUP",R696&lt;2),"",IF(Q696=_xlfn.MINIFS($Q$2:$Q$3058,$A$2:$A$3058,A696,$P$2:$P$3058,"OK"),"KEEP","DROP"))</f>
        <v/>
      </c>
      <c r="T696" s="9" t="n">
        <f aca="false">IF(A696="",1,0)</f>
        <v>0</v>
      </c>
      <c r="U696" s="9" t="n">
        <f aca="false">IF(D696="",1,0)</f>
        <v>0</v>
      </c>
      <c r="V696" s="9" t="n">
        <f aca="false">IF(E696="",1,0)</f>
        <v>0</v>
      </c>
      <c r="W696" s="9" t="n">
        <f aca="false">IF(OR(H696&lt;1,H696&gt;10),1,0)</f>
        <v>0</v>
      </c>
      <c r="X696" s="9" t="n">
        <f aca="false">IF(OR(I696&lt;=0,I696&gt;1500),1,0)</f>
        <v>0</v>
      </c>
      <c r="Y696" s="9" t="n">
        <f aca="false">IF(J696&gt;H696*I696,1,0)</f>
        <v>0</v>
      </c>
      <c r="Z696" s="9" t="n">
        <f aca="false">IF(AND(N696&lt;&gt;"",OR(N696&lt;1,N696&gt;5)),1,0)</f>
        <v>0</v>
      </c>
      <c r="AA696" s="9" t="n">
        <f aca="false">IF(AND(M696&lt;&gt;"",OR(M696&lt;5,M696&gt;180)),1,0)</f>
        <v>0</v>
      </c>
      <c r="AB696" s="7" t="str">
        <f aca="false">IF(P696="DUP","Exact duplicate row",IF(T696=1,"Missing Order ID",IF(S696="DROP","Duplicate Order ID (less complete row)",IF(U696=1,"Missing Customer ID",IF(V696=1,"Missing Restaurant name",IF(W696=1,"Invalid/outlier quantity",IF(X696=1,"Invalid/outlier unit price",IF(Y696=1,"Discount greater than order value",""))))))))</f>
        <v/>
      </c>
      <c r="AC696" s="7" t="str">
        <f aca="false">IF(AB696="","KEEP","DROP")</f>
        <v>KEEP</v>
      </c>
      <c r="AD696" s="7" t="str">
        <f aca="false">IF(TRIM(F696)="",IFERROR(INDEX(Map_Tables!$I$4:$I$37,MATCH(TRIM(E696),Map_Tables!$G$4:$G$37,0)),""),IFERROR(INDEX(Map_Tables!$B$4:$B$18,MATCH(TRIM(F696),Map_Tables!$A$4:$A$18,0)),"CHECK"))</f>
        <v>Delhi</v>
      </c>
      <c r="AE696" s="7" t="str">
        <f aca="false">IF(TRIM(E696)="","",IFERROR(INDEX(Map_Tables!$H$4:$H$37,MATCH(TRIM(E696),Map_Tables!$G$4:$G$37,0)),"CHECK"))</f>
        <v>Burger Barn</v>
      </c>
      <c r="AF696" s="7" t="str">
        <f aca="false">IF(TRIM(K696)="","Unknown",IFERROR(INDEX(Map_Tables!$E$4:$E$15,MATCH(TRIM(K696),Map_Tables!$D$4:$D$15,0)),"CHECK"))</f>
        <v>UPI</v>
      </c>
      <c r="AG696" s="7" t="str">
        <f aca="false">IF(LEFT(LOWER(TRIM(L696)),6)="cancel","Cancelled","Delivered")</f>
        <v>Delivered</v>
      </c>
      <c r="AH696" s="10" t="n">
        <f aca="false">IF(ISNUMBER(SEARCH("/",B696)),DATE(VALUE(RIGHT(B696,4)),VALUE(MID(B696,4,2)),VALUE(LEFT(B696,2))),IF(MID(B696,5,1)="-",DATE(VALUE(LEFT(B696,4)),VALUE(MID(B696,6,2)),VALUE(RIGHT(B696,2))),DATE(VALUE(RIGHT(B696,4)),MATCH(MID(B696,4,3),{"Jan","Feb","Mar","Apr","May","Jun","Jul","Aug","Sep","Oct","Nov","Dec"},0),VALUE(LEFT(B696,2)))))</f>
        <v>45904</v>
      </c>
    </row>
    <row r="697" customFormat="false" ht="15" hidden="false" customHeight="false" outlineLevel="0" collapsed="false">
      <c r="A697" s="7" t="s">
        <v>2360</v>
      </c>
      <c r="B697" s="7" t="s">
        <v>402</v>
      </c>
      <c r="C697" s="7" t="s">
        <v>588</v>
      </c>
      <c r="D697" s="7" t="s">
        <v>2361</v>
      </c>
      <c r="E697" s="7" t="s">
        <v>155</v>
      </c>
      <c r="F697" s="7" t="s">
        <v>128</v>
      </c>
      <c r="G697" s="7" t="s">
        <v>156</v>
      </c>
      <c r="H697" s="7" t="n">
        <v>1</v>
      </c>
      <c r="I697" s="7" t="n">
        <v>295</v>
      </c>
      <c r="J697" s="7" t="n">
        <v>100</v>
      </c>
      <c r="K697" s="7" t="s">
        <v>298</v>
      </c>
      <c r="L697" s="7" t="s">
        <v>194</v>
      </c>
      <c r="M697" s="7" t="n">
        <v>34</v>
      </c>
      <c r="N697" s="7" t="n">
        <v>4</v>
      </c>
      <c r="O697" s="7" t="str">
        <f aca="false">A697&amp;"|"&amp;B697&amp;"|"&amp;C697&amp;"|"&amp;D697&amp;"|"&amp;E697&amp;"|"&amp;F697&amp;"|"&amp;G697&amp;"|"&amp;H697&amp;"|"&amp;I697&amp;"|"&amp;J697&amp;"|"&amp;K697&amp;"|"&amp;L697&amp;"|"&amp;M697&amp;"|"&amp;N697</f>
        <v>ORD12103|2025-09-28|12:31|C1026|Green Bowl Kitchen|Chennai|Healthy Food|1|295|100|Cash On Delivery|Delivered|34|4</v>
      </c>
      <c r="P697" s="7" t="str">
        <f aca="false">IF(COUNTIF($O$2:O697,O697)&gt;1,"DUP","OK")</f>
        <v>OK</v>
      </c>
      <c r="Q697" s="7" t="n">
        <f aca="false">COUNTBLANK(A697:N697)</f>
        <v>0</v>
      </c>
      <c r="R697" s="7" t="n">
        <f aca="false">IF(A697="",0,COUNTIFS($A$2:$A$3058,A697,$P$2:$P$3058,"OK"))</f>
        <v>1</v>
      </c>
      <c r="S697" s="7" t="str">
        <f aca="false">IF(OR(A697="",P697="DUP",R697&lt;2),"",IF(Q697=_xlfn.MINIFS($Q$2:$Q$3058,$A$2:$A$3058,A697,$P$2:$P$3058,"OK"),"KEEP","DROP"))</f>
        <v/>
      </c>
      <c r="T697" s="9" t="n">
        <f aca="false">IF(A697="",1,0)</f>
        <v>0</v>
      </c>
      <c r="U697" s="9" t="n">
        <f aca="false">IF(D697="",1,0)</f>
        <v>0</v>
      </c>
      <c r="V697" s="9" t="n">
        <f aca="false">IF(E697="",1,0)</f>
        <v>0</v>
      </c>
      <c r="W697" s="9" t="n">
        <f aca="false">IF(OR(H697&lt;1,H697&gt;10),1,0)</f>
        <v>0</v>
      </c>
      <c r="X697" s="9" t="n">
        <f aca="false">IF(OR(I697&lt;=0,I697&gt;1500),1,0)</f>
        <v>0</v>
      </c>
      <c r="Y697" s="9" t="n">
        <f aca="false">IF(J697&gt;H697*I697,1,0)</f>
        <v>0</v>
      </c>
      <c r="Z697" s="9" t="n">
        <f aca="false">IF(AND(N697&lt;&gt;"",OR(N697&lt;1,N697&gt;5)),1,0)</f>
        <v>0</v>
      </c>
      <c r="AA697" s="9" t="n">
        <f aca="false">IF(AND(M697&lt;&gt;"",OR(M697&lt;5,M697&gt;180)),1,0)</f>
        <v>0</v>
      </c>
      <c r="AB697" s="7" t="str">
        <f aca="false">IF(P697="DUP","Exact duplicate row",IF(T697=1,"Missing Order ID",IF(S697="DROP","Duplicate Order ID (less complete row)",IF(U697=1,"Missing Customer ID",IF(V697=1,"Missing Restaurant name",IF(W697=1,"Invalid/outlier quantity",IF(X697=1,"Invalid/outlier unit price",IF(Y697=1,"Discount greater than order value",""))))))))</f>
        <v/>
      </c>
      <c r="AC697" s="7" t="str">
        <f aca="false">IF(AB697="","KEEP","DROP")</f>
        <v>KEEP</v>
      </c>
      <c r="AD697" s="7" t="str">
        <f aca="false">IF(TRIM(F697)="",IFERROR(INDEX(Map_Tables!$I$4:$I$37,MATCH(TRIM(E697),Map_Tables!$G$4:$G$37,0)),""),IFERROR(INDEX(Map_Tables!$B$4:$B$18,MATCH(TRIM(F697),Map_Tables!$A$4:$A$18,0)),"CHECK"))</f>
        <v>Chennai</v>
      </c>
      <c r="AE697" s="7" t="str">
        <f aca="false">IF(TRIM(E697)="","",IFERROR(INDEX(Map_Tables!$H$4:$H$37,MATCH(TRIM(E697),Map_Tables!$G$4:$G$37,0)),"CHECK"))</f>
        <v>Green Bowl Kitchen</v>
      </c>
      <c r="AF697" s="7" t="str">
        <f aca="false">IF(TRIM(K697)="","Unknown",IFERROR(INDEX(Map_Tables!$E$4:$E$15,MATCH(TRIM(K697),Map_Tables!$D$4:$D$15,0)),"CHECK"))</f>
        <v>Cash on Delivery</v>
      </c>
      <c r="AG697" s="7" t="str">
        <f aca="false">IF(LEFT(LOWER(TRIM(L697)),6)="cancel","Cancelled","Delivered")</f>
        <v>Delivered</v>
      </c>
      <c r="AH697" s="10" t="n">
        <f aca="false">IF(ISNUMBER(SEARCH("/",B697)),DATE(VALUE(RIGHT(B697,4)),VALUE(MID(B697,4,2)),VALUE(LEFT(B697,2))),IF(MID(B697,5,1)="-",DATE(VALUE(LEFT(B697,4)),VALUE(MID(B697,6,2)),VALUE(RIGHT(B697,2))),DATE(VALUE(RIGHT(B697,4)),MATCH(MID(B697,4,3),{"Jan","Feb","Mar","Apr","May","Jun","Jul","Aug","Sep","Oct","Nov","Dec"},0),VALUE(LEFT(B697,2)))))</f>
        <v>45928</v>
      </c>
    </row>
    <row r="698" customFormat="false" ht="15" hidden="false" customHeight="false" outlineLevel="0" collapsed="false">
      <c r="A698" s="7" t="s">
        <v>2362</v>
      </c>
      <c r="B698" s="7" t="s">
        <v>515</v>
      </c>
      <c r="C698" s="7" t="s">
        <v>1520</v>
      </c>
      <c r="D698" s="7" t="s">
        <v>851</v>
      </c>
      <c r="E698" s="7" t="s">
        <v>116</v>
      </c>
      <c r="F698" s="7" t="s">
        <v>101</v>
      </c>
      <c r="G698" s="7" t="s">
        <v>117</v>
      </c>
      <c r="H698" s="7" t="n">
        <v>2</v>
      </c>
      <c r="I698" s="7" t="n">
        <v>110</v>
      </c>
      <c r="J698" s="7" t="n">
        <v>0</v>
      </c>
      <c r="K698" s="7" t="s">
        <v>88</v>
      </c>
      <c r="L698" s="7" t="s">
        <v>194</v>
      </c>
      <c r="M698" s="7" t="n">
        <v>30</v>
      </c>
      <c r="N698" s="7" t="n">
        <v>3</v>
      </c>
      <c r="O698" s="7" t="str">
        <f aca="false">A698&amp;"|"&amp;B698&amp;"|"&amp;C698&amp;"|"&amp;D698&amp;"|"&amp;E698&amp;"|"&amp;F698&amp;"|"&amp;G698&amp;"|"&amp;H698&amp;"|"&amp;I698&amp;"|"&amp;J698&amp;"|"&amp;K698&amp;"|"&amp;L698&amp;"|"&amp;M698&amp;"|"&amp;N698</f>
        <v>ORD10263|2025-02-04|12:11|C0264|Pav Bhaji Point|Mumbai|Street Food|2|110|0|UPI|Delivered|30|3</v>
      </c>
      <c r="P698" s="7" t="str">
        <f aca="false">IF(COUNTIF($O$2:O698,O698)&gt;1,"DUP","OK")</f>
        <v>OK</v>
      </c>
      <c r="Q698" s="7" t="n">
        <f aca="false">COUNTBLANK(A698:N698)</f>
        <v>0</v>
      </c>
      <c r="R698" s="7" t="n">
        <f aca="false">IF(A698="",0,COUNTIFS($A$2:$A$3058,A698,$P$2:$P$3058,"OK"))</f>
        <v>1</v>
      </c>
      <c r="S698" s="7" t="str">
        <f aca="false">IF(OR(A698="",P698="DUP",R698&lt;2),"",IF(Q698=_xlfn.MINIFS($Q$2:$Q$3058,$A$2:$A$3058,A698,$P$2:$P$3058,"OK"),"KEEP","DROP"))</f>
        <v/>
      </c>
      <c r="T698" s="9" t="n">
        <f aca="false">IF(A698="",1,0)</f>
        <v>0</v>
      </c>
      <c r="U698" s="9" t="n">
        <f aca="false">IF(D698="",1,0)</f>
        <v>0</v>
      </c>
      <c r="V698" s="9" t="n">
        <f aca="false">IF(E698="",1,0)</f>
        <v>0</v>
      </c>
      <c r="W698" s="9" t="n">
        <f aca="false">IF(OR(H698&lt;1,H698&gt;10),1,0)</f>
        <v>0</v>
      </c>
      <c r="X698" s="9" t="n">
        <f aca="false">IF(OR(I698&lt;=0,I698&gt;1500),1,0)</f>
        <v>0</v>
      </c>
      <c r="Y698" s="9" t="n">
        <f aca="false">IF(J698&gt;H698*I698,1,0)</f>
        <v>0</v>
      </c>
      <c r="Z698" s="9" t="n">
        <f aca="false">IF(AND(N698&lt;&gt;"",OR(N698&lt;1,N698&gt;5)),1,0)</f>
        <v>0</v>
      </c>
      <c r="AA698" s="9" t="n">
        <f aca="false">IF(AND(M698&lt;&gt;"",OR(M698&lt;5,M698&gt;180)),1,0)</f>
        <v>0</v>
      </c>
      <c r="AB698" s="7" t="str">
        <f aca="false">IF(P698="DUP","Exact duplicate row",IF(T698=1,"Missing Order ID",IF(S698="DROP","Duplicate Order ID (less complete row)",IF(U698=1,"Missing Customer ID",IF(V698=1,"Missing Restaurant name",IF(W698=1,"Invalid/outlier quantity",IF(X698=1,"Invalid/outlier unit price",IF(Y698=1,"Discount greater than order value",""))))))))</f>
        <v/>
      </c>
      <c r="AC698" s="7" t="str">
        <f aca="false">IF(AB698="","KEEP","DROP")</f>
        <v>KEEP</v>
      </c>
      <c r="AD698" s="7" t="str">
        <f aca="false">IF(TRIM(F698)="",IFERROR(INDEX(Map_Tables!$I$4:$I$37,MATCH(TRIM(E698),Map_Tables!$G$4:$G$37,0)),""),IFERROR(INDEX(Map_Tables!$B$4:$B$18,MATCH(TRIM(F698),Map_Tables!$A$4:$A$18,0)),"CHECK"))</f>
        <v>Mumbai</v>
      </c>
      <c r="AE698" s="7" t="str">
        <f aca="false">IF(TRIM(E698)="","",IFERROR(INDEX(Map_Tables!$H$4:$H$37,MATCH(TRIM(E698),Map_Tables!$G$4:$G$37,0)),"CHECK"))</f>
        <v>Pav Bhaji Point</v>
      </c>
      <c r="AF698" s="7" t="str">
        <f aca="false">IF(TRIM(K698)="","Unknown",IFERROR(INDEX(Map_Tables!$E$4:$E$15,MATCH(TRIM(K698),Map_Tables!$D$4:$D$15,0)),"CHECK"))</f>
        <v>UPI</v>
      </c>
      <c r="AG698" s="7" t="str">
        <f aca="false">IF(LEFT(LOWER(TRIM(L698)),6)="cancel","Cancelled","Delivered")</f>
        <v>Delivered</v>
      </c>
      <c r="AH698" s="10" t="n">
        <f aca="false">IF(ISNUMBER(SEARCH("/",B698)),DATE(VALUE(RIGHT(B698,4)),VALUE(MID(B698,4,2)),VALUE(LEFT(B698,2))),IF(MID(B698,5,1)="-",DATE(VALUE(LEFT(B698,4)),VALUE(MID(B698,6,2)),VALUE(RIGHT(B698,2))),DATE(VALUE(RIGHT(B698,4)),MATCH(MID(B698,4,3),{"Jan","Feb","Mar","Apr","May","Jun","Jul","Aug","Sep","Oct","Nov","Dec"},0),VALUE(LEFT(B698,2)))))</f>
        <v>45692</v>
      </c>
    </row>
    <row r="699" customFormat="false" ht="15" hidden="false" customHeight="false" outlineLevel="0" collapsed="false">
      <c r="A699" s="7" t="s">
        <v>2363</v>
      </c>
      <c r="B699" s="7" t="s">
        <v>446</v>
      </c>
      <c r="C699" s="7" t="s">
        <v>1664</v>
      </c>
      <c r="D699" s="7" t="s">
        <v>2364</v>
      </c>
      <c r="E699" s="7" t="s">
        <v>130</v>
      </c>
      <c r="F699" s="7" t="s">
        <v>294</v>
      </c>
      <c r="G699" s="7" t="s">
        <v>90</v>
      </c>
      <c r="H699" s="7" t="n">
        <v>4</v>
      </c>
      <c r="I699" s="7" t="n">
        <v>240</v>
      </c>
      <c r="J699" s="7" t="n">
        <v>50</v>
      </c>
      <c r="K699" s="7" t="s">
        <v>88</v>
      </c>
      <c r="L699" s="7" t="s">
        <v>194</v>
      </c>
      <c r="M699" s="7" t="n">
        <v>42</v>
      </c>
      <c r="N699" s="7" t="n">
        <v>4</v>
      </c>
      <c r="O699" s="7" t="str">
        <f aca="false">A699&amp;"|"&amp;B699&amp;"|"&amp;C699&amp;"|"&amp;D699&amp;"|"&amp;E699&amp;"|"&amp;F699&amp;"|"&amp;G699&amp;"|"&amp;H699&amp;"|"&amp;I699&amp;"|"&amp;J699&amp;"|"&amp;K699&amp;"|"&amp;L699&amp;"|"&amp;M699&amp;"|"&amp;N699</f>
        <v>ORD10525|2025-03-09|18:35|C1266|Tandoor Tales|New Delhi|North Indian|4|240|50|UPI|Delivered|42|4</v>
      </c>
      <c r="P699" s="7" t="str">
        <f aca="false">IF(COUNTIF($O$2:O699,O699)&gt;1,"DUP","OK")</f>
        <v>OK</v>
      </c>
      <c r="Q699" s="7" t="n">
        <f aca="false">COUNTBLANK(A699:N699)</f>
        <v>0</v>
      </c>
      <c r="R699" s="7" t="n">
        <f aca="false">IF(A699="",0,COUNTIFS($A$2:$A$3058,A699,$P$2:$P$3058,"OK"))</f>
        <v>1</v>
      </c>
      <c r="S699" s="7" t="str">
        <f aca="false">IF(OR(A699="",P699="DUP",R699&lt;2),"",IF(Q699=_xlfn.MINIFS($Q$2:$Q$3058,$A$2:$A$3058,A699,$P$2:$P$3058,"OK"),"KEEP","DROP"))</f>
        <v/>
      </c>
      <c r="T699" s="9" t="n">
        <f aca="false">IF(A699="",1,0)</f>
        <v>0</v>
      </c>
      <c r="U699" s="9" t="n">
        <f aca="false">IF(D699="",1,0)</f>
        <v>0</v>
      </c>
      <c r="V699" s="9" t="n">
        <f aca="false">IF(E699="",1,0)</f>
        <v>0</v>
      </c>
      <c r="W699" s="9" t="n">
        <f aca="false">IF(OR(H699&lt;1,H699&gt;10),1,0)</f>
        <v>0</v>
      </c>
      <c r="X699" s="9" t="n">
        <f aca="false">IF(OR(I699&lt;=0,I699&gt;1500),1,0)</f>
        <v>0</v>
      </c>
      <c r="Y699" s="9" t="n">
        <f aca="false">IF(J699&gt;H699*I699,1,0)</f>
        <v>0</v>
      </c>
      <c r="Z699" s="9" t="n">
        <f aca="false">IF(AND(N699&lt;&gt;"",OR(N699&lt;1,N699&gt;5)),1,0)</f>
        <v>0</v>
      </c>
      <c r="AA699" s="9" t="n">
        <f aca="false">IF(AND(M699&lt;&gt;"",OR(M699&lt;5,M699&gt;180)),1,0)</f>
        <v>0</v>
      </c>
      <c r="AB699" s="7" t="str">
        <f aca="false">IF(P699="DUP","Exact duplicate row",IF(T699=1,"Missing Order ID",IF(S699="DROP","Duplicate Order ID (less complete row)",IF(U699=1,"Missing Customer ID",IF(V699=1,"Missing Restaurant name",IF(W699=1,"Invalid/outlier quantity",IF(X699=1,"Invalid/outlier unit price",IF(Y699=1,"Discount greater than order value",""))))))))</f>
        <v/>
      </c>
      <c r="AC699" s="7" t="str">
        <f aca="false">IF(AB699="","KEEP","DROP")</f>
        <v>KEEP</v>
      </c>
      <c r="AD699" s="7" t="str">
        <f aca="false">IF(TRIM(F699)="",IFERROR(INDEX(Map_Tables!$I$4:$I$37,MATCH(TRIM(E699),Map_Tables!$G$4:$G$37,0)),""),IFERROR(INDEX(Map_Tables!$B$4:$B$18,MATCH(TRIM(F699),Map_Tables!$A$4:$A$18,0)),"CHECK"))</f>
        <v>Delhi</v>
      </c>
      <c r="AE699" s="7" t="str">
        <f aca="false">IF(TRIM(E699)="","",IFERROR(INDEX(Map_Tables!$H$4:$H$37,MATCH(TRIM(E699),Map_Tables!$G$4:$G$37,0)),"CHECK"))</f>
        <v>Tandoor Tales</v>
      </c>
      <c r="AF699" s="7" t="str">
        <f aca="false">IF(TRIM(K699)="","Unknown",IFERROR(INDEX(Map_Tables!$E$4:$E$15,MATCH(TRIM(K699),Map_Tables!$D$4:$D$15,0)),"CHECK"))</f>
        <v>UPI</v>
      </c>
      <c r="AG699" s="7" t="str">
        <f aca="false">IF(LEFT(LOWER(TRIM(L699)),6)="cancel","Cancelled","Delivered")</f>
        <v>Delivered</v>
      </c>
      <c r="AH699" s="10" t="n">
        <f aca="false">IF(ISNUMBER(SEARCH("/",B699)),DATE(VALUE(RIGHT(B699,4)),VALUE(MID(B699,4,2)),VALUE(LEFT(B699,2))),IF(MID(B699,5,1)="-",DATE(VALUE(LEFT(B699,4)),VALUE(MID(B699,6,2)),VALUE(RIGHT(B699,2))),DATE(VALUE(RIGHT(B699,4)),MATCH(MID(B699,4,3),{"Jan","Feb","Mar","Apr","May","Jun","Jul","Aug","Sep","Oct","Nov","Dec"},0),VALUE(LEFT(B699,2)))))</f>
        <v>45725</v>
      </c>
    </row>
    <row r="700" customFormat="false" ht="15" hidden="false" customHeight="false" outlineLevel="0" collapsed="false">
      <c r="A700" s="7" t="s">
        <v>2365</v>
      </c>
      <c r="B700" s="7" t="s">
        <v>1429</v>
      </c>
      <c r="C700" s="7" t="s">
        <v>2366</v>
      </c>
      <c r="D700" s="7" t="s">
        <v>2367</v>
      </c>
      <c r="E700" s="7" t="s">
        <v>113</v>
      </c>
      <c r="F700" s="7" t="s">
        <v>101</v>
      </c>
      <c r="G700" s="7" t="s">
        <v>90</v>
      </c>
      <c r="H700" s="7" t="n">
        <v>3</v>
      </c>
      <c r="I700" s="7" t="n">
        <v>220</v>
      </c>
      <c r="J700" s="7" t="n">
        <v>40</v>
      </c>
      <c r="K700" s="7" t="s">
        <v>103</v>
      </c>
      <c r="L700" s="7" t="s">
        <v>194</v>
      </c>
      <c r="M700" s="7" t="n">
        <v>46</v>
      </c>
      <c r="N700" s="7" t="n">
        <v>3</v>
      </c>
      <c r="O700" s="7" t="str">
        <f aca="false">A700&amp;"|"&amp;B700&amp;"|"&amp;C700&amp;"|"&amp;D700&amp;"|"&amp;E700&amp;"|"&amp;F700&amp;"|"&amp;G700&amp;"|"&amp;H700&amp;"|"&amp;I700&amp;"|"&amp;J700&amp;"|"&amp;K700&amp;"|"&amp;L700&amp;"|"&amp;M700&amp;"|"&amp;N700</f>
        <v>ORD12894|2025-12-20|20:50|C0785|Curry Leaf Kitchen|Mumbai|North Indian|3|220|40|Debit Card|Delivered|46|3</v>
      </c>
      <c r="P700" s="7" t="str">
        <f aca="false">IF(COUNTIF($O$2:O700,O700)&gt;1,"DUP","OK")</f>
        <v>OK</v>
      </c>
      <c r="Q700" s="7" t="n">
        <f aca="false">COUNTBLANK(A700:N700)</f>
        <v>0</v>
      </c>
      <c r="R700" s="7" t="n">
        <f aca="false">IF(A700="",0,COUNTIFS($A$2:$A$3058,A700,$P$2:$P$3058,"OK"))</f>
        <v>1</v>
      </c>
      <c r="S700" s="7" t="str">
        <f aca="false">IF(OR(A700="",P700="DUP",R700&lt;2),"",IF(Q700=_xlfn.MINIFS($Q$2:$Q$3058,$A$2:$A$3058,A700,$P$2:$P$3058,"OK"),"KEEP","DROP"))</f>
        <v/>
      </c>
      <c r="T700" s="9" t="n">
        <f aca="false">IF(A700="",1,0)</f>
        <v>0</v>
      </c>
      <c r="U700" s="9" t="n">
        <f aca="false">IF(D700="",1,0)</f>
        <v>0</v>
      </c>
      <c r="V700" s="9" t="n">
        <f aca="false">IF(E700="",1,0)</f>
        <v>0</v>
      </c>
      <c r="W700" s="9" t="n">
        <f aca="false">IF(OR(H700&lt;1,H700&gt;10),1,0)</f>
        <v>0</v>
      </c>
      <c r="X700" s="9" t="n">
        <f aca="false">IF(OR(I700&lt;=0,I700&gt;1500),1,0)</f>
        <v>0</v>
      </c>
      <c r="Y700" s="9" t="n">
        <f aca="false">IF(J700&gt;H700*I700,1,0)</f>
        <v>0</v>
      </c>
      <c r="Z700" s="9" t="n">
        <f aca="false">IF(AND(N700&lt;&gt;"",OR(N700&lt;1,N700&gt;5)),1,0)</f>
        <v>0</v>
      </c>
      <c r="AA700" s="9" t="n">
        <f aca="false">IF(AND(M700&lt;&gt;"",OR(M700&lt;5,M700&gt;180)),1,0)</f>
        <v>0</v>
      </c>
      <c r="AB700" s="7" t="str">
        <f aca="false">IF(P700="DUP","Exact duplicate row",IF(T700=1,"Missing Order ID",IF(S700="DROP","Duplicate Order ID (less complete row)",IF(U700=1,"Missing Customer ID",IF(V700=1,"Missing Restaurant name",IF(W700=1,"Invalid/outlier quantity",IF(X700=1,"Invalid/outlier unit price",IF(Y700=1,"Discount greater than order value",""))))))))</f>
        <v/>
      </c>
      <c r="AC700" s="7" t="str">
        <f aca="false">IF(AB700="","KEEP","DROP")</f>
        <v>KEEP</v>
      </c>
      <c r="AD700" s="7" t="str">
        <f aca="false">IF(TRIM(F700)="",IFERROR(INDEX(Map_Tables!$I$4:$I$37,MATCH(TRIM(E700),Map_Tables!$G$4:$G$37,0)),""),IFERROR(INDEX(Map_Tables!$B$4:$B$18,MATCH(TRIM(F700),Map_Tables!$A$4:$A$18,0)),"CHECK"))</f>
        <v>Mumbai</v>
      </c>
      <c r="AE700" s="7" t="str">
        <f aca="false">IF(TRIM(E700)="","",IFERROR(INDEX(Map_Tables!$H$4:$H$37,MATCH(TRIM(E700),Map_Tables!$G$4:$G$37,0)),"CHECK"))</f>
        <v>Curry Leaf Kitchen</v>
      </c>
      <c r="AF700" s="7" t="str">
        <f aca="false">IF(TRIM(K700)="","Unknown",IFERROR(INDEX(Map_Tables!$E$4:$E$15,MATCH(TRIM(K700),Map_Tables!$D$4:$D$15,0)),"CHECK"))</f>
        <v>Debit Card</v>
      </c>
      <c r="AG700" s="7" t="str">
        <f aca="false">IF(LEFT(LOWER(TRIM(L700)),6)="cancel","Cancelled","Delivered")</f>
        <v>Delivered</v>
      </c>
      <c r="AH700" s="10" t="n">
        <f aca="false">IF(ISNUMBER(SEARCH("/",B700)),DATE(VALUE(RIGHT(B700,4)),VALUE(MID(B700,4,2)),VALUE(LEFT(B700,2))),IF(MID(B700,5,1)="-",DATE(VALUE(LEFT(B700,4)),VALUE(MID(B700,6,2)),VALUE(RIGHT(B700,2))),DATE(VALUE(RIGHT(B700,4)),MATCH(MID(B700,4,3),{"Jan","Feb","Mar","Apr","May","Jun","Jul","Aug","Sep","Oct","Nov","Dec"},0),VALUE(LEFT(B700,2)))))</f>
        <v>46011</v>
      </c>
    </row>
    <row r="701" customFormat="false" ht="15" hidden="false" customHeight="false" outlineLevel="0" collapsed="false">
      <c r="A701" s="7" t="s">
        <v>2368</v>
      </c>
      <c r="B701" s="7" t="s">
        <v>318</v>
      </c>
      <c r="C701" s="7" t="s">
        <v>2369</v>
      </c>
      <c r="D701" s="7" t="s">
        <v>2370</v>
      </c>
      <c r="E701" s="7" t="s">
        <v>711</v>
      </c>
      <c r="F701" s="7" t="s">
        <v>101</v>
      </c>
      <c r="G701" s="7" t="s">
        <v>90</v>
      </c>
      <c r="H701" s="7" t="n">
        <v>2</v>
      </c>
      <c r="I701" s="7" t="n">
        <v>225</v>
      </c>
      <c r="J701" s="7" t="n">
        <v>0</v>
      </c>
      <c r="K701" s="7" t="s">
        <v>93</v>
      </c>
      <c r="L701" s="7" t="s">
        <v>194</v>
      </c>
      <c r="M701" s="7" t="n">
        <v>52</v>
      </c>
      <c r="N701" s="7" t="n">
        <v>4</v>
      </c>
      <c r="O701" s="7" t="str">
        <f aca="false">A701&amp;"|"&amp;B701&amp;"|"&amp;C701&amp;"|"&amp;D701&amp;"|"&amp;E701&amp;"|"&amp;F701&amp;"|"&amp;G701&amp;"|"&amp;H701&amp;"|"&amp;I701&amp;"|"&amp;J701&amp;"|"&amp;K701&amp;"|"&amp;L701&amp;"|"&amp;M701&amp;"|"&amp;N701</f>
        <v>ORD10751|2025-04-05|21:38|C0375|Curry  Leaf Kitchen|Mumbai|North Indian|2|225|0|Credit Card|Delivered|52|4</v>
      </c>
      <c r="P701" s="7" t="str">
        <f aca="false">IF(COUNTIF($O$2:O701,O701)&gt;1,"DUP","OK")</f>
        <v>OK</v>
      </c>
      <c r="Q701" s="7" t="n">
        <f aca="false">COUNTBLANK(A701:N701)</f>
        <v>0</v>
      </c>
      <c r="R701" s="7" t="n">
        <f aca="false">IF(A701="",0,COUNTIFS($A$2:$A$3058,A701,$P$2:$P$3058,"OK"))</f>
        <v>1</v>
      </c>
      <c r="S701" s="7" t="str">
        <f aca="false">IF(OR(A701="",P701="DUP",R701&lt;2),"",IF(Q701=_xlfn.MINIFS($Q$2:$Q$3058,$A$2:$A$3058,A701,$P$2:$P$3058,"OK"),"KEEP","DROP"))</f>
        <v/>
      </c>
      <c r="T701" s="9" t="n">
        <f aca="false">IF(A701="",1,0)</f>
        <v>0</v>
      </c>
      <c r="U701" s="9" t="n">
        <f aca="false">IF(D701="",1,0)</f>
        <v>0</v>
      </c>
      <c r="V701" s="9" t="n">
        <f aca="false">IF(E701="",1,0)</f>
        <v>0</v>
      </c>
      <c r="W701" s="9" t="n">
        <f aca="false">IF(OR(H701&lt;1,H701&gt;10),1,0)</f>
        <v>0</v>
      </c>
      <c r="X701" s="9" t="n">
        <f aca="false">IF(OR(I701&lt;=0,I701&gt;1500),1,0)</f>
        <v>0</v>
      </c>
      <c r="Y701" s="9" t="n">
        <f aca="false">IF(J701&gt;H701*I701,1,0)</f>
        <v>0</v>
      </c>
      <c r="Z701" s="9" t="n">
        <f aca="false">IF(AND(N701&lt;&gt;"",OR(N701&lt;1,N701&gt;5)),1,0)</f>
        <v>0</v>
      </c>
      <c r="AA701" s="9" t="n">
        <f aca="false">IF(AND(M701&lt;&gt;"",OR(M701&lt;5,M701&gt;180)),1,0)</f>
        <v>0</v>
      </c>
      <c r="AB701" s="7" t="str">
        <f aca="false">IF(P701="DUP","Exact duplicate row",IF(T701=1,"Missing Order ID",IF(S701="DROP","Duplicate Order ID (less complete row)",IF(U701=1,"Missing Customer ID",IF(V701=1,"Missing Restaurant name",IF(W701=1,"Invalid/outlier quantity",IF(X701=1,"Invalid/outlier unit price",IF(Y701=1,"Discount greater than order value",""))))))))</f>
        <v/>
      </c>
      <c r="AC701" s="7" t="str">
        <f aca="false">IF(AB701="","KEEP","DROP")</f>
        <v>KEEP</v>
      </c>
      <c r="AD701" s="7" t="str">
        <f aca="false">IF(TRIM(F701)="",IFERROR(INDEX(Map_Tables!$I$4:$I$37,MATCH(TRIM(E701),Map_Tables!$G$4:$G$37,0)),""),IFERROR(INDEX(Map_Tables!$B$4:$B$18,MATCH(TRIM(F701),Map_Tables!$A$4:$A$18,0)),"CHECK"))</f>
        <v>Mumbai</v>
      </c>
      <c r="AE701" s="7" t="str">
        <f aca="false">IF(TRIM(E701)="","",IFERROR(INDEX(Map_Tables!$H$4:$H$37,MATCH(TRIM(E701),Map_Tables!$G$4:$G$37,0)),"CHECK"))</f>
        <v>Curry Leaf Kitchen</v>
      </c>
      <c r="AF701" s="7" t="str">
        <f aca="false">IF(TRIM(K701)="","Unknown",IFERROR(INDEX(Map_Tables!$E$4:$E$15,MATCH(TRIM(K701),Map_Tables!$D$4:$D$15,0)),"CHECK"))</f>
        <v>Credit Card</v>
      </c>
      <c r="AG701" s="7" t="str">
        <f aca="false">IF(LEFT(LOWER(TRIM(L701)),6)="cancel","Cancelled","Delivered")</f>
        <v>Delivered</v>
      </c>
      <c r="AH701" s="10" t="n">
        <f aca="false">IF(ISNUMBER(SEARCH("/",B701)),DATE(VALUE(RIGHT(B701,4)),VALUE(MID(B701,4,2)),VALUE(LEFT(B701,2))),IF(MID(B701,5,1)="-",DATE(VALUE(LEFT(B701,4)),VALUE(MID(B701,6,2)),VALUE(RIGHT(B701,2))),DATE(VALUE(RIGHT(B701,4)),MATCH(MID(B701,4,3),{"Jan","Feb","Mar","Apr","May","Jun","Jul","Aug","Sep","Oct","Nov","Dec"},0),VALUE(LEFT(B701,2)))))</f>
        <v>45752</v>
      </c>
    </row>
    <row r="702" customFormat="false" ht="15" hidden="false" customHeight="false" outlineLevel="0" collapsed="false">
      <c r="A702" s="7" t="s">
        <v>2371</v>
      </c>
      <c r="B702" s="7" t="s">
        <v>1989</v>
      </c>
      <c r="C702" s="7" t="s">
        <v>1449</v>
      </c>
      <c r="D702" s="7" t="s">
        <v>1705</v>
      </c>
      <c r="E702" s="7" t="s">
        <v>134</v>
      </c>
      <c r="F702" s="7" t="s">
        <v>110</v>
      </c>
      <c r="G702" s="7" t="s">
        <v>117</v>
      </c>
      <c r="H702" s="7" t="n">
        <v>3</v>
      </c>
      <c r="I702" s="7" t="n">
        <v>120</v>
      </c>
      <c r="J702" s="7" t="n">
        <v>20</v>
      </c>
      <c r="K702" s="7" t="s">
        <v>88</v>
      </c>
      <c r="L702" s="7" t="s">
        <v>194</v>
      </c>
      <c r="M702" s="7" t="n">
        <v>44</v>
      </c>
      <c r="N702" s="7" t="n">
        <v>3</v>
      </c>
      <c r="O702" s="7" t="str">
        <f aca="false">A702&amp;"|"&amp;B702&amp;"|"&amp;C702&amp;"|"&amp;D702&amp;"|"&amp;E702&amp;"|"&amp;F702&amp;"|"&amp;G702&amp;"|"&amp;H702&amp;"|"&amp;I702&amp;"|"&amp;J702&amp;"|"&amp;K702&amp;"|"&amp;L702&amp;"|"&amp;M702&amp;"|"&amp;N702</f>
        <v>ORD11396|2025-06-30|11:58|C1181|Chaat Corner|Delhi|Street Food|3|120|20|UPI|Delivered|44|3</v>
      </c>
      <c r="P702" s="7" t="str">
        <f aca="false">IF(COUNTIF($O$2:O702,O702)&gt;1,"DUP","OK")</f>
        <v>OK</v>
      </c>
      <c r="Q702" s="7" t="n">
        <f aca="false">COUNTBLANK(A702:N702)</f>
        <v>0</v>
      </c>
      <c r="R702" s="7" t="n">
        <f aca="false">IF(A702="",0,COUNTIFS($A$2:$A$3058,A702,$P$2:$P$3058,"OK"))</f>
        <v>1</v>
      </c>
      <c r="S702" s="7" t="str">
        <f aca="false">IF(OR(A702="",P702="DUP",R702&lt;2),"",IF(Q702=_xlfn.MINIFS($Q$2:$Q$3058,$A$2:$A$3058,A702,$P$2:$P$3058,"OK"),"KEEP","DROP"))</f>
        <v/>
      </c>
      <c r="T702" s="9" t="n">
        <f aca="false">IF(A702="",1,0)</f>
        <v>0</v>
      </c>
      <c r="U702" s="9" t="n">
        <f aca="false">IF(D702="",1,0)</f>
        <v>0</v>
      </c>
      <c r="V702" s="9" t="n">
        <f aca="false">IF(E702="",1,0)</f>
        <v>0</v>
      </c>
      <c r="W702" s="9" t="n">
        <f aca="false">IF(OR(H702&lt;1,H702&gt;10),1,0)</f>
        <v>0</v>
      </c>
      <c r="X702" s="9" t="n">
        <f aca="false">IF(OR(I702&lt;=0,I702&gt;1500),1,0)</f>
        <v>0</v>
      </c>
      <c r="Y702" s="9" t="n">
        <f aca="false">IF(J702&gt;H702*I702,1,0)</f>
        <v>0</v>
      </c>
      <c r="Z702" s="9" t="n">
        <f aca="false">IF(AND(N702&lt;&gt;"",OR(N702&lt;1,N702&gt;5)),1,0)</f>
        <v>0</v>
      </c>
      <c r="AA702" s="9" t="n">
        <f aca="false">IF(AND(M702&lt;&gt;"",OR(M702&lt;5,M702&gt;180)),1,0)</f>
        <v>0</v>
      </c>
      <c r="AB702" s="7" t="str">
        <f aca="false">IF(P702="DUP","Exact duplicate row",IF(T702=1,"Missing Order ID",IF(S702="DROP","Duplicate Order ID (less complete row)",IF(U702=1,"Missing Customer ID",IF(V702=1,"Missing Restaurant name",IF(W702=1,"Invalid/outlier quantity",IF(X702=1,"Invalid/outlier unit price",IF(Y702=1,"Discount greater than order value",""))))))))</f>
        <v/>
      </c>
      <c r="AC702" s="7" t="str">
        <f aca="false">IF(AB702="","KEEP","DROP")</f>
        <v>KEEP</v>
      </c>
      <c r="AD702" s="7" t="str">
        <f aca="false">IF(TRIM(F702)="",IFERROR(INDEX(Map_Tables!$I$4:$I$37,MATCH(TRIM(E702),Map_Tables!$G$4:$G$37,0)),""),IFERROR(INDEX(Map_Tables!$B$4:$B$18,MATCH(TRIM(F702),Map_Tables!$A$4:$A$18,0)),"CHECK"))</f>
        <v>Delhi</v>
      </c>
      <c r="AE702" s="7" t="str">
        <f aca="false">IF(TRIM(E702)="","",IFERROR(INDEX(Map_Tables!$H$4:$H$37,MATCH(TRIM(E702),Map_Tables!$G$4:$G$37,0)),"CHECK"))</f>
        <v>Chaat Corner</v>
      </c>
      <c r="AF702" s="7" t="str">
        <f aca="false">IF(TRIM(K702)="","Unknown",IFERROR(INDEX(Map_Tables!$E$4:$E$15,MATCH(TRIM(K702),Map_Tables!$D$4:$D$15,0)),"CHECK"))</f>
        <v>UPI</v>
      </c>
      <c r="AG702" s="7" t="str">
        <f aca="false">IF(LEFT(LOWER(TRIM(L702)),6)="cancel","Cancelled","Delivered")</f>
        <v>Delivered</v>
      </c>
      <c r="AH702" s="10" t="n">
        <f aca="false">IF(ISNUMBER(SEARCH("/",B702)),DATE(VALUE(RIGHT(B702,4)),VALUE(MID(B702,4,2)),VALUE(LEFT(B702,2))),IF(MID(B702,5,1)="-",DATE(VALUE(LEFT(B702,4)),VALUE(MID(B702,6,2)),VALUE(RIGHT(B702,2))),DATE(VALUE(RIGHT(B702,4)),MATCH(MID(B702,4,3),{"Jan","Feb","Mar","Apr","May","Jun","Jul","Aug","Sep","Oct","Nov","Dec"},0),VALUE(LEFT(B702,2)))))</f>
        <v>45838</v>
      </c>
    </row>
    <row r="703" customFormat="false" ht="15" hidden="false" customHeight="false" outlineLevel="0" collapsed="false">
      <c r="A703" s="7" t="s">
        <v>2372</v>
      </c>
      <c r="B703" s="7" t="s">
        <v>800</v>
      </c>
      <c r="C703" s="7" t="s">
        <v>573</v>
      </c>
      <c r="D703" s="7" t="s">
        <v>2373</v>
      </c>
      <c r="E703" s="7" t="s">
        <v>94</v>
      </c>
      <c r="F703" s="7" t="s">
        <v>86</v>
      </c>
      <c r="G703" s="7" t="s">
        <v>95</v>
      </c>
      <c r="H703" s="7" t="n">
        <v>1</v>
      </c>
      <c r="I703" s="7" t="n">
        <v>110</v>
      </c>
      <c r="J703" s="7" t="n">
        <v>0</v>
      </c>
      <c r="K703" s="7" t="s">
        <v>133</v>
      </c>
      <c r="L703" s="7" t="s">
        <v>194</v>
      </c>
      <c r="M703" s="7" t="n">
        <v>45</v>
      </c>
      <c r="N703" s="7"/>
      <c r="O703" s="7" t="str">
        <f aca="false">A703&amp;"|"&amp;B703&amp;"|"&amp;C703&amp;"|"&amp;D703&amp;"|"&amp;E703&amp;"|"&amp;F703&amp;"|"&amp;G703&amp;"|"&amp;H703&amp;"|"&amp;I703&amp;"|"&amp;J703&amp;"|"&amp;K703&amp;"|"&amp;L703&amp;"|"&amp;M703&amp;"|"&amp;N703</f>
        <v>ORD11136|2025-05-24|21:43|C0039|Dosa Darbar|Bengaluru|South Indian|1|110|0|Net Banking|Delivered|45|</v>
      </c>
      <c r="P703" s="7" t="str">
        <f aca="false">IF(COUNTIF($O$2:O703,O703)&gt;1,"DUP","OK")</f>
        <v>OK</v>
      </c>
      <c r="Q703" s="7" t="n">
        <f aca="false">COUNTBLANK(A703:N703)</f>
        <v>1</v>
      </c>
      <c r="R703" s="7" t="n">
        <f aca="false">IF(A703="",0,COUNTIFS($A$2:$A$3058,A703,$P$2:$P$3058,"OK"))</f>
        <v>1</v>
      </c>
      <c r="S703" s="7" t="str">
        <f aca="false">IF(OR(A703="",P703="DUP",R703&lt;2),"",IF(Q703=_xlfn.MINIFS($Q$2:$Q$3058,$A$2:$A$3058,A703,$P$2:$P$3058,"OK"),"KEEP","DROP"))</f>
        <v/>
      </c>
      <c r="T703" s="9" t="n">
        <f aca="false">IF(A703="",1,0)</f>
        <v>0</v>
      </c>
      <c r="U703" s="9" t="n">
        <f aca="false">IF(D703="",1,0)</f>
        <v>0</v>
      </c>
      <c r="V703" s="9" t="n">
        <f aca="false">IF(E703="",1,0)</f>
        <v>0</v>
      </c>
      <c r="W703" s="9" t="n">
        <f aca="false">IF(OR(H703&lt;1,H703&gt;10),1,0)</f>
        <v>0</v>
      </c>
      <c r="X703" s="9" t="n">
        <f aca="false">IF(OR(I703&lt;=0,I703&gt;1500),1,0)</f>
        <v>0</v>
      </c>
      <c r="Y703" s="9" t="n">
        <f aca="false">IF(J703&gt;H703*I703,1,0)</f>
        <v>0</v>
      </c>
      <c r="Z703" s="9" t="n">
        <f aca="false">IF(AND(N703&lt;&gt;"",OR(N703&lt;1,N703&gt;5)),1,0)</f>
        <v>0</v>
      </c>
      <c r="AA703" s="9" t="n">
        <f aca="false">IF(AND(M703&lt;&gt;"",OR(M703&lt;5,M703&gt;180)),1,0)</f>
        <v>0</v>
      </c>
      <c r="AB703" s="7" t="str">
        <f aca="false">IF(P703="DUP","Exact duplicate row",IF(T703=1,"Missing Order ID",IF(S703="DROP","Duplicate Order ID (less complete row)",IF(U703=1,"Missing Customer ID",IF(V703=1,"Missing Restaurant name",IF(W703=1,"Invalid/outlier quantity",IF(X703=1,"Invalid/outlier unit price",IF(Y703=1,"Discount greater than order value",""))))))))</f>
        <v/>
      </c>
      <c r="AC703" s="7" t="str">
        <f aca="false">IF(AB703="","KEEP","DROP")</f>
        <v>KEEP</v>
      </c>
      <c r="AD703" s="7" t="str">
        <f aca="false">IF(TRIM(F703)="",IFERROR(INDEX(Map_Tables!$I$4:$I$37,MATCH(TRIM(E703),Map_Tables!$G$4:$G$37,0)),""),IFERROR(INDEX(Map_Tables!$B$4:$B$18,MATCH(TRIM(F703),Map_Tables!$A$4:$A$18,0)),"CHECK"))</f>
        <v>Bengaluru</v>
      </c>
      <c r="AE703" s="7" t="str">
        <f aca="false">IF(TRIM(E703)="","",IFERROR(INDEX(Map_Tables!$H$4:$H$37,MATCH(TRIM(E703),Map_Tables!$G$4:$G$37,0)),"CHECK"))</f>
        <v>Dosa Darbar</v>
      </c>
      <c r="AF703" s="7" t="str">
        <f aca="false">IF(TRIM(K703)="","Unknown",IFERROR(INDEX(Map_Tables!$E$4:$E$15,MATCH(TRIM(K703),Map_Tables!$D$4:$D$15,0)),"CHECK"))</f>
        <v>Net Banking</v>
      </c>
      <c r="AG703" s="7" t="str">
        <f aca="false">IF(LEFT(LOWER(TRIM(L703)),6)="cancel","Cancelled","Delivered")</f>
        <v>Delivered</v>
      </c>
      <c r="AH703" s="10" t="n">
        <f aca="false">IF(ISNUMBER(SEARCH("/",B703)),DATE(VALUE(RIGHT(B703,4)),VALUE(MID(B703,4,2)),VALUE(LEFT(B703,2))),IF(MID(B703,5,1)="-",DATE(VALUE(LEFT(B703,4)),VALUE(MID(B703,6,2)),VALUE(RIGHT(B703,2))),DATE(VALUE(RIGHT(B703,4)),MATCH(MID(B703,4,3),{"Jan","Feb","Mar","Apr","May","Jun","Jul","Aug","Sep","Oct","Nov","Dec"},0),VALUE(LEFT(B703,2)))))</f>
        <v>45801</v>
      </c>
    </row>
    <row r="704" customFormat="false" ht="15" hidden="false" customHeight="false" outlineLevel="0" collapsed="false">
      <c r="A704" s="7" t="s">
        <v>2374</v>
      </c>
      <c r="B704" s="7" t="s">
        <v>2375</v>
      </c>
      <c r="C704" s="7" t="s">
        <v>1384</v>
      </c>
      <c r="D704" s="7" t="s">
        <v>2220</v>
      </c>
      <c r="E704" s="7" t="s">
        <v>168</v>
      </c>
      <c r="F704" s="7" t="s">
        <v>146</v>
      </c>
      <c r="G704" s="7" t="s">
        <v>123</v>
      </c>
      <c r="H704" s="7" t="n">
        <v>2</v>
      </c>
      <c r="I704" s="7" t="n">
        <v>305</v>
      </c>
      <c r="J704" s="7" t="n">
        <v>0</v>
      </c>
      <c r="K704" s="7" t="s">
        <v>103</v>
      </c>
      <c r="L704" s="7" t="s">
        <v>194</v>
      </c>
      <c r="M704" s="7" t="n">
        <v>21</v>
      </c>
      <c r="N704" s="7" t="n">
        <v>3</v>
      </c>
      <c r="O704" s="7" t="str">
        <f aca="false">A704&amp;"|"&amp;B704&amp;"|"&amp;C704&amp;"|"&amp;D704&amp;"|"&amp;E704&amp;"|"&amp;F704&amp;"|"&amp;G704&amp;"|"&amp;H704&amp;"|"&amp;I704&amp;"|"&amp;J704&amp;"|"&amp;K704&amp;"|"&amp;L704&amp;"|"&amp;M704&amp;"|"&amp;N704</f>
        <v>ORD10299|10/02/2025|12:24|C0878|Cheesy Slice|Ahmedabad|Pizza|2|305|0|Debit Card|Delivered|21|3</v>
      </c>
      <c r="P704" s="7" t="str">
        <f aca="false">IF(COUNTIF($O$2:O704,O704)&gt;1,"DUP","OK")</f>
        <v>OK</v>
      </c>
      <c r="Q704" s="7" t="n">
        <f aca="false">COUNTBLANK(A704:N704)</f>
        <v>0</v>
      </c>
      <c r="R704" s="7" t="n">
        <f aca="false">IF(A704="",0,COUNTIFS($A$2:$A$3058,A704,$P$2:$P$3058,"OK"))</f>
        <v>1</v>
      </c>
      <c r="S704" s="7" t="str">
        <f aca="false">IF(OR(A704="",P704="DUP",R704&lt;2),"",IF(Q704=_xlfn.MINIFS($Q$2:$Q$3058,$A$2:$A$3058,A704,$P$2:$P$3058,"OK"),"KEEP","DROP"))</f>
        <v/>
      </c>
      <c r="T704" s="9" t="n">
        <f aca="false">IF(A704="",1,0)</f>
        <v>0</v>
      </c>
      <c r="U704" s="9" t="n">
        <f aca="false">IF(D704="",1,0)</f>
        <v>0</v>
      </c>
      <c r="V704" s="9" t="n">
        <f aca="false">IF(E704="",1,0)</f>
        <v>0</v>
      </c>
      <c r="W704" s="9" t="n">
        <f aca="false">IF(OR(H704&lt;1,H704&gt;10),1,0)</f>
        <v>0</v>
      </c>
      <c r="X704" s="9" t="n">
        <f aca="false">IF(OR(I704&lt;=0,I704&gt;1500),1,0)</f>
        <v>0</v>
      </c>
      <c r="Y704" s="9" t="n">
        <f aca="false">IF(J704&gt;H704*I704,1,0)</f>
        <v>0</v>
      </c>
      <c r="Z704" s="9" t="n">
        <f aca="false">IF(AND(N704&lt;&gt;"",OR(N704&lt;1,N704&gt;5)),1,0)</f>
        <v>0</v>
      </c>
      <c r="AA704" s="9" t="n">
        <f aca="false">IF(AND(M704&lt;&gt;"",OR(M704&lt;5,M704&gt;180)),1,0)</f>
        <v>0</v>
      </c>
      <c r="AB704" s="7" t="str">
        <f aca="false">IF(P704="DUP","Exact duplicate row",IF(T704=1,"Missing Order ID",IF(S704="DROP","Duplicate Order ID (less complete row)",IF(U704=1,"Missing Customer ID",IF(V704=1,"Missing Restaurant name",IF(W704=1,"Invalid/outlier quantity",IF(X704=1,"Invalid/outlier unit price",IF(Y704=1,"Discount greater than order value",""))))))))</f>
        <v/>
      </c>
      <c r="AC704" s="7" t="str">
        <f aca="false">IF(AB704="","KEEP","DROP")</f>
        <v>KEEP</v>
      </c>
      <c r="AD704" s="7" t="str">
        <f aca="false">IF(TRIM(F704)="",IFERROR(INDEX(Map_Tables!$I$4:$I$37,MATCH(TRIM(E704),Map_Tables!$G$4:$G$37,0)),""),IFERROR(INDEX(Map_Tables!$B$4:$B$18,MATCH(TRIM(F704),Map_Tables!$A$4:$A$18,0)),"CHECK"))</f>
        <v>Ahmedabad</v>
      </c>
      <c r="AE704" s="7" t="str">
        <f aca="false">IF(TRIM(E704)="","",IFERROR(INDEX(Map_Tables!$H$4:$H$37,MATCH(TRIM(E704),Map_Tables!$G$4:$G$37,0)),"CHECK"))</f>
        <v>Cheesy Slice</v>
      </c>
      <c r="AF704" s="7" t="str">
        <f aca="false">IF(TRIM(K704)="","Unknown",IFERROR(INDEX(Map_Tables!$E$4:$E$15,MATCH(TRIM(K704),Map_Tables!$D$4:$D$15,0)),"CHECK"))</f>
        <v>Debit Card</v>
      </c>
      <c r="AG704" s="7" t="str">
        <f aca="false">IF(LEFT(LOWER(TRIM(L704)),6)="cancel","Cancelled","Delivered")</f>
        <v>Delivered</v>
      </c>
      <c r="AH704" s="10" t="n">
        <f aca="false">IF(ISNUMBER(SEARCH("/",B704)),DATE(VALUE(RIGHT(B704,4)),VALUE(MID(B704,4,2)),VALUE(LEFT(B704,2))),IF(MID(B704,5,1)="-",DATE(VALUE(LEFT(B704,4)),VALUE(MID(B704,6,2)),VALUE(RIGHT(B704,2))),DATE(VALUE(RIGHT(B704,4)),MATCH(MID(B704,4,3),{"Jan","Feb","Mar","Apr","May","Jun","Jul","Aug","Sep","Oct","Nov","Dec"},0),VALUE(LEFT(B704,2)))))</f>
        <v>45698</v>
      </c>
    </row>
    <row r="705" customFormat="false" ht="15" hidden="false" customHeight="false" outlineLevel="0" collapsed="false">
      <c r="A705" s="7" t="s">
        <v>2376</v>
      </c>
      <c r="B705" s="7" t="s">
        <v>466</v>
      </c>
      <c r="C705" s="7" t="s">
        <v>2377</v>
      </c>
      <c r="D705" s="7" t="s">
        <v>2378</v>
      </c>
      <c r="E705" s="7" t="s">
        <v>2379</v>
      </c>
      <c r="F705" s="7" t="s">
        <v>146</v>
      </c>
      <c r="G705" s="7" t="s">
        <v>123</v>
      </c>
      <c r="H705" s="7" t="n">
        <v>4</v>
      </c>
      <c r="I705" s="7" t="n">
        <v>375</v>
      </c>
      <c r="J705" s="7" t="n">
        <v>0</v>
      </c>
      <c r="K705" s="7" t="s">
        <v>103</v>
      </c>
      <c r="L705" s="7" t="s">
        <v>194</v>
      </c>
      <c r="M705" s="7" t="n">
        <v>39</v>
      </c>
      <c r="N705" s="7" t="n">
        <v>4</v>
      </c>
      <c r="O705" s="7" t="str">
        <f aca="false">A705&amp;"|"&amp;B705&amp;"|"&amp;C705&amp;"|"&amp;D705&amp;"|"&amp;E705&amp;"|"&amp;F705&amp;"|"&amp;G705&amp;"|"&amp;H705&amp;"|"&amp;I705&amp;"|"&amp;J705&amp;"|"&amp;K705&amp;"|"&amp;L705&amp;"|"&amp;M705&amp;"|"&amp;N705</f>
        <v>ORD12484|2025-11-08|11:55|C0559|CHEESY SLICE|Ahmedabad|Pizza|4|375|0|Debit Card|Delivered|39|4</v>
      </c>
      <c r="P705" s="7" t="str">
        <f aca="false">IF(COUNTIF($O$2:O705,O705)&gt;1,"DUP","OK")</f>
        <v>OK</v>
      </c>
      <c r="Q705" s="7" t="n">
        <f aca="false">COUNTBLANK(A705:N705)</f>
        <v>0</v>
      </c>
      <c r="R705" s="7" t="n">
        <f aca="false">IF(A705="",0,COUNTIFS($A$2:$A$3058,A705,$P$2:$P$3058,"OK"))</f>
        <v>1</v>
      </c>
      <c r="S705" s="7" t="str">
        <f aca="false">IF(OR(A705="",P705="DUP",R705&lt;2),"",IF(Q705=_xlfn.MINIFS($Q$2:$Q$3058,$A$2:$A$3058,A705,$P$2:$P$3058,"OK"),"KEEP","DROP"))</f>
        <v/>
      </c>
      <c r="T705" s="9" t="n">
        <f aca="false">IF(A705="",1,0)</f>
        <v>0</v>
      </c>
      <c r="U705" s="9" t="n">
        <f aca="false">IF(D705="",1,0)</f>
        <v>0</v>
      </c>
      <c r="V705" s="9" t="n">
        <f aca="false">IF(E705="",1,0)</f>
        <v>0</v>
      </c>
      <c r="W705" s="9" t="n">
        <f aca="false">IF(OR(H705&lt;1,H705&gt;10),1,0)</f>
        <v>0</v>
      </c>
      <c r="X705" s="9" t="n">
        <f aca="false">IF(OR(I705&lt;=0,I705&gt;1500),1,0)</f>
        <v>0</v>
      </c>
      <c r="Y705" s="9" t="n">
        <f aca="false">IF(J705&gt;H705*I705,1,0)</f>
        <v>0</v>
      </c>
      <c r="Z705" s="9" t="n">
        <f aca="false">IF(AND(N705&lt;&gt;"",OR(N705&lt;1,N705&gt;5)),1,0)</f>
        <v>0</v>
      </c>
      <c r="AA705" s="9" t="n">
        <f aca="false">IF(AND(M705&lt;&gt;"",OR(M705&lt;5,M705&gt;180)),1,0)</f>
        <v>0</v>
      </c>
      <c r="AB705" s="7" t="str">
        <f aca="false">IF(P705="DUP","Exact duplicate row",IF(T705=1,"Missing Order ID",IF(S705="DROP","Duplicate Order ID (less complete row)",IF(U705=1,"Missing Customer ID",IF(V705=1,"Missing Restaurant name",IF(W705=1,"Invalid/outlier quantity",IF(X705=1,"Invalid/outlier unit price",IF(Y705=1,"Discount greater than order value",""))))))))</f>
        <v/>
      </c>
      <c r="AC705" s="7" t="str">
        <f aca="false">IF(AB705="","KEEP","DROP")</f>
        <v>KEEP</v>
      </c>
      <c r="AD705" s="7" t="str">
        <f aca="false">IF(TRIM(F705)="",IFERROR(INDEX(Map_Tables!$I$4:$I$37,MATCH(TRIM(E705),Map_Tables!$G$4:$G$37,0)),""),IFERROR(INDEX(Map_Tables!$B$4:$B$18,MATCH(TRIM(F705),Map_Tables!$A$4:$A$18,0)),"CHECK"))</f>
        <v>Ahmedabad</v>
      </c>
      <c r="AE705" s="7" t="str">
        <f aca="false">IF(TRIM(E705)="","",IFERROR(INDEX(Map_Tables!$H$4:$H$37,MATCH(TRIM(E705),Map_Tables!$G$4:$G$37,0)),"CHECK"))</f>
        <v>Cheesy Slice</v>
      </c>
      <c r="AF705" s="7" t="str">
        <f aca="false">IF(TRIM(K705)="","Unknown",IFERROR(INDEX(Map_Tables!$E$4:$E$15,MATCH(TRIM(K705),Map_Tables!$D$4:$D$15,0)),"CHECK"))</f>
        <v>Debit Card</v>
      </c>
      <c r="AG705" s="7" t="str">
        <f aca="false">IF(LEFT(LOWER(TRIM(L705)),6)="cancel","Cancelled","Delivered")</f>
        <v>Delivered</v>
      </c>
      <c r="AH705" s="10" t="n">
        <f aca="false">IF(ISNUMBER(SEARCH("/",B705)),DATE(VALUE(RIGHT(B705,4)),VALUE(MID(B705,4,2)),VALUE(LEFT(B705,2))),IF(MID(B705,5,1)="-",DATE(VALUE(LEFT(B705,4)),VALUE(MID(B705,6,2)),VALUE(RIGHT(B705,2))),DATE(VALUE(RIGHT(B705,4)),MATCH(MID(B705,4,3),{"Jan","Feb","Mar","Apr","May","Jun","Jul","Aug","Sep","Oct","Nov","Dec"},0),VALUE(LEFT(B705,2)))))</f>
        <v>45969</v>
      </c>
    </row>
    <row r="706" customFormat="false" ht="15" hidden="false" customHeight="false" outlineLevel="0" collapsed="false">
      <c r="A706" s="7" t="s">
        <v>2380</v>
      </c>
      <c r="B706" s="7" t="s">
        <v>2381</v>
      </c>
      <c r="C706" s="7" t="s">
        <v>1791</v>
      </c>
      <c r="D706" s="7" t="s">
        <v>2382</v>
      </c>
      <c r="E706" s="7" t="s">
        <v>159</v>
      </c>
      <c r="F706" s="7" t="s">
        <v>136</v>
      </c>
      <c r="G706" s="7" t="s">
        <v>90</v>
      </c>
      <c r="H706" s="7" t="n">
        <v>3</v>
      </c>
      <c r="I706" s="7" t="n">
        <v>235</v>
      </c>
      <c r="J706" s="7" t="n">
        <v>20</v>
      </c>
      <c r="K706" s="7" t="s">
        <v>88</v>
      </c>
      <c r="L706" s="7" t="s">
        <v>194</v>
      </c>
      <c r="M706" s="7" t="n">
        <v>32</v>
      </c>
      <c r="N706" s="7" t="n">
        <v>4</v>
      </c>
      <c r="O706" s="7" t="str">
        <f aca="false">A706&amp;"|"&amp;B706&amp;"|"&amp;C706&amp;"|"&amp;D706&amp;"|"&amp;E706&amp;"|"&amp;F706&amp;"|"&amp;G706&amp;"|"&amp;H706&amp;"|"&amp;I706&amp;"|"&amp;J706&amp;"|"&amp;K706&amp;"|"&amp;L706&amp;"|"&amp;M706&amp;"|"&amp;N706</f>
        <v>ORD11142|2025-05-25|19:21|C1434|Maratha Thali House|Pune|North Indian|3|235|20|UPI|Delivered|32|4</v>
      </c>
      <c r="P706" s="7" t="str">
        <f aca="false">IF(COUNTIF($O$2:O706,O706)&gt;1,"DUP","OK")</f>
        <v>OK</v>
      </c>
      <c r="Q706" s="7" t="n">
        <f aca="false">COUNTBLANK(A706:N706)</f>
        <v>0</v>
      </c>
      <c r="R706" s="7" t="n">
        <f aca="false">IF(A706="",0,COUNTIFS($A$2:$A$3058,A706,$P$2:$P$3058,"OK"))</f>
        <v>1</v>
      </c>
      <c r="S706" s="7" t="str">
        <f aca="false">IF(OR(A706="",P706="DUP",R706&lt;2),"",IF(Q706=_xlfn.MINIFS($Q$2:$Q$3058,$A$2:$A$3058,A706,$P$2:$P$3058,"OK"),"KEEP","DROP"))</f>
        <v/>
      </c>
      <c r="T706" s="9" t="n">
        <f aca="false">IF(A706="",1,0)</f>
        <v>0</v>
      </c>
      <c r="U706" s="9" t="n">
        <f aca="false">IF(D706="",1,0)</f>
        <v>0</v>
      </c>
      <c r="V706" s="9" t="n">
        <f aca="false">IF(E706="",1,0)</f>
        <v>0</v>
      </c>
      <c r="W706" s="9" t="n">
        <f aca="false">IF(OR(H706&lt;1,H706&gt;10),1,0)</f>
        <v>0</v>
      </c>
      <c r="X706" s="9" t="n">
        <f aca="false">IF(OR(I706&lt;=0,I706&gt;1500),1,0)</f>
        <v>0</v>
      </c>
      <c r="Y706" s="9" t="n">
        <f aca="false">IF(J706&gt;H706*I706,1,0)</f>
        <v>0</v>
      </c>
      <c r="Z706" s="9" t="n">
        <f aca="false">IF(AND(N706&lt;&gt;"",OR(N706&lt;1,N706&gt;5)),1,0)</f>
        <v>0</v>
      </c>
      <c r="AA706" s="9" t="n">
        <f aca="false">IF(AND(M706&lt;&gt;"",OR(M706&lt;5,M706&gt;180)),1,0)</f>
        <v>0</v>
      </c>
      <c r="AB706" s="7" t="str">
        <f aca="false">IF(P706="DUP","Exact duplicate row",IF(T706=1,"Missing Order ID",IF(S706="DROP","Duplicate Order ID (less complete row)",IF(U706=1,"Missing Customer ID",IF(V706=1,"Missing Restaurant name",IF(W706=1,"Invalid/outlier quantity",IF(X706=1,"Invalid/outlier unit price",IF(Y706=1,"Discount greater than order value",""))))))))</f>
        <v/>
      </c>
      <c r="AC706" s="7" t="str">
        <f aca="false">IF(AB706="","KEEP","DROP")</f>
        <v>KEEP</v>
      </c>
      <c r="AD706" s="7" t="str">
        <f aca="false">IF(TRIM(F706)="",IFERROR(INDEX(Map_Tables!$I$4:$I$37,MATCH(TRIM(E706),Map_Tables!$G$4:$G$37,0)),""),IFERROR(INDEX(Map_Tables!$B$4:$B$18,MATCH(TRIM(F706),Map_Tables!$A$4:$A$18,0)),"CHECK"))</f>
        <v>Pune</v>
      </c>
      <c r="AE706" s="7" t="str">
        <f aca="false">IF(TRIM(E706)="","",IFERROR(INDEX(Map_Tables!$H$4:$H$37,MATCH(TRIM(E706),Map_Tables!$G$4:$G$37,0)),"CHECK"))</f>
        <v>Maratha Thali House</v>
      </c>
      <c r="AF706" s="7" t="str">
        <f aca="false">IF(TRIM(K706)="","Unknown",IFERROR(INDEX(Map_Tables!$E$4:$E$15,MATCH(TRIM(K706),Map_Tables!$D$4:$D$15,0)),"CHECK"))</f>
        <v>UPI</v>
      </c>
      <c r="AG706" s="7" t="str">
        <f aca="false">IF(LEFT(LOWER(TRIM(L706)),6)="cancel","Cancelled","Delivered")</f>
        <v>Delivered</v>
      </c>
      <c r="AH706" s="10" t="n">
        <f aca="false">IF(ISNUMBER(SEARCH("/",B706)),DATE(VALUE(RIGHT(B706,4)),VALUE(MID(B706,4,2)),VALUE(LEFT(B706,2))),IF(MID(B706,5,1)="-",DATE(VALUE(LEFT(B706,4)),VALUE(MID(B706,6,2)),VALUE(RIGHT(B706,2))),DATE(VALUE(RIGHT(B706,4)),MATCH(MID(B706,4,3),{"Jan","Feb","Mar","Apr","May","Jun","Jul","Aug","Sep","Oct","Nov","Dec"},0),VALUE(LEFT(B706,2)))))</f>
        <v>45802</v>
      </c>
    </row>
    <row r="707" customFormat="false" ht="15" hidden="false" customHeight="false" outlineLevel="0" collapsed="false">
      <c r="A707" s="7" t="s">
        <v>2383</v>
      </c>
      <c r="B707" s="7" t="s">
        <v>283</v>
      </c>
      <c r="C707" s="7" t="s">
        <v>2384</v>
      </c>
      <c r="D707" s="7" t="s">
        <v>2385</v>
      </c>
      <c r="E707" s="7" t="s">
        <v>126</v>
      </c>
      <c r="F707" s="7" t="s">
        <v>101</v>
      </c>
      <c r="G707" s="7" t="s">
        <v>105</v>
      </c>
      <c r="H707" s="7" t="n">
        <v>3</v>
      </c>
      <c r="I707" s="7" t="n">
        <v>255</v>
      </c>
      <c r="J707" s="7" t="n">
        <v>150</v>
      </c>
      <c r="K707" s="7" t="s">
        <v>112</v>
      </c>
      <c r="L707" s="7" t="s">
        <v>238</v>
      </c>
      <c r="M707" s="7"/>
      <c r="N707" s="7"/>
      <c r="O707" s="7" t="str">
        <f aca="false">A707&amp;"|"&amp;B707&amp;"|"&amp;C707&amp;"|"&amp;D707&amp;"|"&amp;E707&amp;"|"&amp;F707&amp;"|"&amp;G707&amp;"|"&amp;H707&amp;"|"&amp;I707&amp;"|"&amp;J707&amp;"|"&amp;K707&amp;"|"&amp;L707&amp;"|"&amp;M707&amp;"|"&amp;N707</f>
        <v>ORD12439|2025-11-03|11:07|C0646|Dragon Express|Mumbai|Chinese|3|255|150|Cash on Delivery|Cancelled||</v>
      </c>
      <c r="P707" s="7" t="str">
        <f aca="false">IF(COUNTIF($O$2:O707,O707)&gt;1,"DUP","OK")</f>
        <v>OK</v>
      </c>
      <c r="Q707" s="7" t="n">
        <f aca="false">COUNTBLANK(A707:N707)</f>
        <v>2</v>
      </c>
      <c r="R707" s="7" t="n">
        <f aca="false">IF(A707="",0,COUNTIFS($A$2:$A$3058,A707,$P$2:$P$3058,"OK"))</f>
        <v>1</v>
      </c>
      <c r="S707" s="7" t="str">
        <f aca="false">IF(OR(A707="",P707="DUP",R707&lt;2),"",IF(Q707=_xlfn.MINIFS($Q$2:$Q$3058,$A$2:$A$3058,A707,$P$2:$P$3058,"OK"),"KEEP","DROP"))</f>
        <v/>
      </c>
      <c r="T707" s="9" t="n">
        <f aca="false">IF(A707="",1,0)</f>
        <v>0</v>
      </c>
      <c r="U707" s="9" t="n">
        <f aca="false">IF(D707="",1,0)</f>
        <v>0</v>
      </c>
      <c r="V707" s="9" t="n">
        <f aca="false">IF(E707="",1,0)</f>
        <v>0</v>
      </c>
      <c r="W707" s="9" t="n">
        <f aca="false">IF(OR(H707&lt;1,H707&gt;10),1,0)</f>
        <v>0</v>
      </c>
      <c r="X707" s="9" t="n">
        <f aca="false">IF(OR(I707&lt;=0,I707&gt;1500),1,0)</f>
        <v>0</v>
      </c>
      <c r="Y707" s="9" t="n">
        <f aca="false">IF(J707&gt;H707*I707,1,0)</f>
        <v>0</v>
      </c>
      <c r="Z707" s="9" t="n">
        <f aca="false">IF(AND(N707&lt;&gt;"",OR(N707&lt;1,N707&gt;5)),1,0)</f>
        <v>0</v>
      </c>
      <c r="AA707" s="9" t="n">
        <f aca="false">IF(AND(M707&lt;&gt;"",OR(M707&lt;5,M707&gt;180)),1,0)</f>
        <v>0</v>
      </c>
      <c r="AB707" s="7" t="str">
        <f aca="false">IF(P707="DUP","Exact duplicate row",IF(T707=1,"Missing Order ID",IF(S707="DROP","Duplicate Order ID (less complete row)",IF(U707=1,"Missing Customer ID",IF(V707=1,"Missing Restaurant name",IF(W707=1,"Invalid/outlier quantity",IF(X707=1,"Invalid/outlier unit price",IF(Y707=1,"Discount greater than order value",""))))))))</f>
        <v/>
      </c>
      <c r="AC707" s="7" t="str">
        <f aca="false">IF(AB707="","KEEP","DROP")</f>
        <v>KEEP</v>
      </c>
      <c r="AD707" s="7" t="str">
        <f aca="false">IF(TRIM(F707)="",IFERROR(INDEX(Map_Tables!$I$4:$I$37,MATCH(TRIM(E707),Map_Tables!$G$4:$G$37,0)),""),IFERROR(INDEX(Map_Tables!$B$4:$B$18,MATCH(TRIM(F707),Map_Tables!$A$4:$A$18,0)),"CHECK"))</f>
        <v>Mumbai</v>
      </c>
      <c r="AE707" s="7" t="str">
        <f aca="false">IF(TRIM(E707)="","",IFERROR(INDEX(Map_Tables!$H$4:$H$37,MATCH(TRIM(E707),Map_Tables!$G$4:$G$37,0)),"CHECK"))</f>
        <v>Dragon Express</v>
      </c>
      <c r="AF707" s="7" t="str">
        <f aca="false">IF(TRIM(K707)="","Unknown",IFERROR(INDEX(Map_Tables!$E$4:$E$15,MATCH(TRIM(K707),Map_Tables!$D$4:$D$15,0)),"CHECK"))</f>
        <v>Cash on Delivery</v>
      </c>
      <c r="AG707" s="7" t="str">
        <f aca="false">IF(LEFT(LOWER(TRIM(L707)),6)="cancel","Cancelled","Delivered")</f>
        <v>Cancelled</v>
      </c>
      <c r="AH707" s="10" t="n">
        <f aca="false">IF(ISNUMBER(SEARCH("/",B707)),DATE(VALUE(RIGHT(B707,4)),VALUE(MID(B707,4,2)),VALUE(LEFT(B707,2))),IF(MID(B707,5,1)="-",DATE(VALUE(LEFT(B707,4)),VALUE(MID(B707,6,2)),VALUE(RIGHT(B707,2))),DATE(VALUE(RIGHT(B707,4)),MATCH(MID(B707,4,3),{"Jan","Feb","Mar","Apr","May","Jun","Jul","Aug","Sep","Oct","Nov","Dec"},0),VALUE(LEFT(B707,2)))))</f>
        <v>45964</v>
      </c>
    </row>
    <row r="708" customFormat="false" ht="15" hidden="false" customHeight="false" outlineLevel="0" collapsed="false">
      <c r="A708" s="7" t="s">
        <v>2386</v>
      </c>
      <c r="B708" s="7" t="s">
        <v>1561</v>
      </c>
      <c r="C708" s="7" t="s">
        <v>213</v>
      </c>
      <c r="D708" s="7" t="s">
        <v>2122</v>
      </c>
      <c r="E708" s="7" t="s">
        <v>130</v>
      </c>
      <c r="F708" s="7" t="s">
        <v>110</v>
      </c>
      <c r="G708" s="7" t="s">
        <v>90</v>
      </c>
      <c r="H708" s="7" t="n">
        <v>2</v>
      </c>
      <c r="I708" s="7" t="n">
        <v>265</v>
      </c>
      <c r="J708" s="7" t="n">
        <v>0</v>
      </c>
      <c r="K708" s="7" t="s">
        <v>112</v>
      </c>
      <c r="L708" s="7" t="s">
        <v>238</v>
      </c>
      <c r="M708" s="7"/>
      <c r="N708" s="7"/>
      <c r="O708" s="7" t="str">
        <f aca="false">A708&amp;"|"&amp;B708&amp;"|"&amp;C708&amp;"|"&amp;D708&amp;"|"&amp;E708&amp;"|"&amp;F708&amp;"|"&amp;G708&amp;"|"&amp;H708&amp;"|"&amp;I708&amp;"|"&amp;J708&amp;"|"&amp;K708&amp;"|"&amp;L708&amp;"|"&amp;M708&amp;"|"&amp;N708</f>
        <v>ORD11733|2025-08-15|20:37|C0817|Tandoor Tales|Delhi|North Indian|2|265|0|Cash on Delivery|Cancelled||</v>
      </c>
      <c r="P708" s="7" t="str">
        <f aca="false">IF(COUNTIF($O$2:O708,O708)&gt;1,"DUP","OK")</f>
        <v>OK</v>
      </c>
      <c r="Q708" s="7" t="n">
        <f aca="false">COUNTBLANK(A708:N708)</f>
        <v>2</v>
      </c>
      <c r="R708" s="7" t="n">
        <f aca="false">IF(A708="",0,COUNTIFS($A$2:$A$3058,A708,$P$2:$P$3058,"OK"))</f>
        <v>1</v>
      </c>
      <c r="S708" s="7" t="str">
        <f aca="false">IF(OR(A708="",P708="DUP",R708&lt;2),"",IF(Q708=_xlfn.MINIFS($Q$2:$Q$3058,$A$2:$A$3058,A708,$P$2:$P$3058,"OK"),"KEEP","DROP"))</f>
        <v/>
      </c>
      <c r="T708" s="9" t="n">
        <f aca="false">IF(A708="",1,0)</f>
        <v>0</v>
      </c>
      <c r="U708" s="9" t="n">
        <f aca="false">IF(D708="",1,0)</f>
        <v>0</v>
      </c>
      <c r="V708" s="9" t="n">
        <f aca="false">IF(E708="",1,0)</f>
        <v>0</v>
      </c>
      <c r="W708" s="9" t="n">
        <f aca="false">IF(OR(H708&lt;1,H708&gt;10),1,0)</f>
        <v>0</v>
      </c>
      <c r="X708" s="9" t="n">
        <f aca="false">IF(OR(I708&lt;=0,I708&gt;1500),1,0)</f>
        <v>0</v>
      </c>
      <c r="Y708" s="9" t="n">
        <f aca="false">IF(J708&gt;H708*I708,1,0)</f>
        <v>0</v>
      </c>
      <c r="Z708" s="9" t="n">
        <f aca="false">IF(AND(N708&lt;&gt;"",OR(N708&lt;1,N708&gt;5)),1,0)</f>
        <v>0</v>
      </c>
      <c r="AA708" s="9" t="n">
        <f aca="false">IF(AND(M708&lt;&gt;"",OR(M708&lt;5,M708&gt;180)),1,0)</f>
        <v>0</v>
      </c>
      <c r="AB708" s="7" t="str">
        <f aca="false">IF(P708="DUP","Exact duplicate row",IF(T708=1,"Missing Order ID",IF(S708="DROP","Duplicate Order ID (less complete row)",IF(U708=1,"Missing Customer ID",IF(V708=1,"Missing Restaurant name",IF(W708=1,"Invalid/outlier quantity",IF(X708=1,"Invalid/outlier unit price",IF(Y708=1,"Discount greater than order value",""))))))))</f>
        <v/>
      </c>
      <c r="AC708" s="7" t="str">
        <f aca="false">IF(AB708="","KEEP","DROP")</f>
        <v>KEEP</v>
      </c>
      <c r="AD708" s="7" t="str">
        <f aca="false">IF(TRIM(F708)="",IFERROR(INDEX(Map_Tables!$I$4:$I$37,MATCH(TRIM(E708),Map_Tables!$G$4:$G$37,0)),""),IFERROR(INDEX(Map_Tables!$B$4:$B$18,MATCH(TRIM(F708),Map_Tables!$A$4:$A$18,0)),"CHECK"))</f>
        <v>Delhi</v>
      </c>
      <c r="AE708" s="7" t="str">
        <f aca="false">IF(TRIM(E708)="","",IFERROR(INDEX(Map_Tables!$H$4:$H$37,MATCH(TRIM(E708),Map_Tables!$G$4:$G$37,0)),"CHECK"))</f>
        <v>Tandoor Tales</v>
      </c>
      <c r="AF708" s="7" t="str">
        <f aca="false">IF(TRIM(K708)="","Unknown",IFERROR(INDEX(Map_Tables!$E$4:$E$15,MATCH(TRIM(K708),Map_Tables!$D$4:$D$15,0)),"CHECK"))</f>
        <v>Cash on Delivery</v>
      </c>
      <c r="AG708" s="7" t="str">
        <f aca="false">IF(LEFT(LOWER(TRIM(L708)),6)="cancel","Cancelled","Delivered")</f>
        <v>Cancelled</v>
      </c>
      <c r="AH708" s="10" t="n">
        <f aca="false">IF(ISNUMBER(SEARCH("/",B708)),DATE(VALUE(RIGHT(B708,4)),VALUE(MID(B708,4,2)),VALUE(LEFT(B708,2))),IF(MID(B708,5,1)="-",DATE(VALUE(LEFT(B708,4)),VALUE(MID(B708,6,2)),VALUE(RIGHT(B708,2))),DATE(VALUE(RIGHT(B708,4)),MATCH(MID(B708,4,3),{"Jan","Feb","Mar","Apr","May","Jun","Jul","Aug","Sep","Oct","Nov","Dec"},0),VALUE(LEFT(B708,2)))))</f>
        <v>45884</v>
      </c>
    </row>
    <row r="709" customFormat="false" ht="15" hidden="false" customHeight="false" outlineLevel="0" collapsed="false">
      <c r="A709" s="7" t="s">
        <v>2387</v>
      </c>
      <c r="B709" s="7" t="s">
        <v>1393</v>
      </c>
      <c r="C709" s="7" t="s">
        <v>2113</v>
      </c>
      <c r="D709" s="7" t="s">
        <v>2388</v>
      </c>
      <c r="E709" s="7" t="s">
        <v>113</v>
      </c>
      <c r="F709" s="7" t="s">
        <v>101</v>
      </c>
      <c r="G709" s="7" t="s">
        <v>90</v>
      </c>
      <c r="H709" s="7" t="n">
        <v>3</v>
      </c>
      <c r="I709" s="7" t="n">
        <v>255</v>
      </c>
      <c r="J709" s="7" t="n">
        <v>0</v>
      </c>
      <c r="K709" s="7" t="s">
        <v>229</v>
      </c>
      <c r="L709" s="7" t="s">
        <v>194</v>
      </c>
      <c r="M709" s="7" t="n">
        <v>42</v>
      </c>
      <c r="N709" s="7" t="n">
        <v>4</v>
      </c>
      <c r="O709" s="7" t="str">
        <f aca="false">A709&amp;"|"&amp;B709&amp;"|"&amp;C709&amp;"|"&amp;D709&amp;"|"&amp;E709&amp;"|"&amp;F709&amp;"|"&amp;G709&amp;"|"&amp;H709&amp;"|"&amp;I709&amp;"|"&amp;J709&amp;"|"&amp;K709&amp;"|"&amp;L709&amp;"|"&amp;M709&amp;"|"&amp;N709</f>
        <v>ORD10513|2025-03-08|14:02|C0077|Curry Leaf Kitchen|Mumbai|North Indian|3|255|0|Upi|Delivered|42|4</v>
      </c>
      <c r="P709" s="7" t="str">
        <f aca="false">IF(COUNTIF($O$2:O709,O709)&gt;1,"DUP","OK")</f>
        <v>OK</v>
      </c>
      <c r="Q709" s="7" t="n">
        <f aca="false">COUNTBLANK(A709:N709)</f>
        <v>0</v>
      </c>
      <c r="R709" s="7" t="n">
        <f aca="false">IF(A709="",0,COUNTIFS($A$2:$A$3058,A709,$P$2:$P$3058,"OK"))</f>
        <v>1</v>
      </c>
      <c r="S709" s="7" t="str">
        <f aca="false">IF(OR(A709="",P709="DUP",R709&lt;2),"",IF(Q709=_xlfn.MINIFS($Q$2:$Q$3058,$A$2:$A$3058,A709,$P$2:$P$3058,"OK"),"KEEP","DROP"))</f>
        <v/>
      </c>
      <c r="T709" s="9" t="n">
        <f aca="false">IF(A709="",1,0)</f>
        <v>0</v>
      </c>
      <c r="U709" s="9" t="n">
        <f aca="false">IF(D709="",1,0)</f>
        <v>0</v>
      </c>
      <c r="V709" s="9" t="n">
        <f aca="false">IF(E709="",1,0)</f>
        <v>0</v>
      </c>
      <c r="W709" s="9" t="n">
        <f aca="false">IF(OR(H709&lt;1,H709&gt;10),1,0)</f>
        <v>0</v>
      </c>
      <c r="X709" s="9" t="n">
        <f aca="false">IF(OR(I709&lt;=0,I709&gt;1500),1,0)</f>
        <v>0</v>
      </c>
      <c r="Y709" s="9" t="n">
        <f aca="false">IF(J709&gt;H709*I709,1,0)</f>
        <v>0</v>
      </c>
      <c r="Z709" s="9" t="n">
        <f aca="false">IF(AND(N709&lt;&gt;"",OR(N709&lt;1,N709&gt;5)),1,0)</f>
        <v>0</v>
      </c>
      <c r="AA709" s="9" t="n">
        <f aca="false">IF(AND(M709&lt;&gt;"",OR(M709&lt;5,M709&gt;180)),1,0)</f>
        <v>0</v>
      </c>
      <c r="AB709" s="7" t="str">
        <f aca="false">IF(P709="DUP","Exact duplicate row",IF(T709=1,"Missing Order ID",IF(S709="DROP","Duplicate Order ID (less complete row)",IF(U709=1,"Missing Customer ID",IF(V709=1,"Missing Restaurant name",IF(W709=1,"Invalid/outlier quantity",IF(X709=1,"Invalid/outlier unit price",IF(Y709=1,"Discount greater than order value",""))))))))</f>
        <v/>
      </c>
      <c r="AC709" s="7" t="str">
        <f aca="false">IF(AB709="","KEEP","DROP")</f>
        <v>KEEP</v>
      </c>
      <c r="AD709" s="7" t="str">
        <f aca="false">IF(TRIM(F709)="",IFERROR(INDEX(Map_Tables!$I$4:$I$37,MATCH(TRIM(E709),Map_Tables!$G$4:$G$37,0)),""),IFERROR(INDEX(Map_Tables!$B$4:$B$18,MATCH(TRIM(F709),Map_Tables!$A$4:$A$18,0)),"CHECK"))</f>
        <v>Mumbai</v>
      </c>
      <c r="AE709" s="7" t="str">
        <f aca="false">IF(TRIM(E709)="","",IFERROR(INDEX(Map_Tables!$H$4:$H$37,MATCH(TRIM(E709),Map_Tables!$G$4:$G$37,0)),"CHECK"))</f>
        <v>Curry Leaf Kitchen</v>
      </c>
      <c r="AF709" s="7" t="str">
        <f aca="false">IF(TRIM(K709)="","Unknown",IFERROR(INDEX(Map_Tables!$E$4:$E$15,MATCH(TRIM(K709),Map_Tables!$D$4:$D$15,0)),"CHECK"))</f>
        <v>UPI</v>
      </c>
      <c r="AG709" s="7" t="str">
        <f aca="false">IF(LEFT(LOWER(TRIM(L709)),6)="cancel","Cancelled","Delivered")</f>
        <v>Delivered</v>
      </c>
      <c r="AH709" s="10" t="n">
        <f aca="false">IF(ISNUMBER(SEARCH("/",B709)),DATE(VALUE(RIGHT(B709,4)),VALUE(MID(B709,4,2)),VALUE(LEFT(B709,2))),IF(MID(B709,5,1)="-",DATE(VALUE(LEFT(B709,4)),VALUE(MID(B709,6,2)),VALUE(RIGHT(B709,2))),DATE(VALUE(RIGHT(B709,4)),MATCH(MID(B709,4,3),{"Jan","Feb","Mar","Apr","May","Jun","Jul","Aug","Sep","Oct","Nov","Dec"},0),VALUE(LEFT(B709,2)))))</f>
        <v>45724</v>
      </c>
    </row>
    <row r="710" customFormat="false" ht="15" hidden="false" customHeight="false" outlineLevel="0" collapsed="false">
      <c r="A710" s="7" t="s">
        <v>2389</v>
      </c>
      <c r="B710" s="7" t="s">
        <v>1426</v>
      </c>
      <c r="C710" s="7" t="s">
        <v>2390</v>
      </c>
      <c r="D710" s="7" t="s">
        <v>2391</v>
      </c>
      <c r="E710" s="7" t="s">
        <v>94</v>
      </c>
      <c r="F710" s="7" t="s">
        <v>86</v>
      </c>
      <c r="G710" s="7" t="s">
        <v>95</v>
      </c>
      <c r="H710" s="7" t="n">
        <v>1</v>
      </c>
      <c r="I710" s="7" t="n">
        <v>125</v>
      </c>
      <c r="J710" s="7" t="n">
        <v>0</v>
      </c>
      <c r="K710" s="7" t="s">
        <v>93</v>
      </c>
      <c r="L710" s="7" t="s">
        <v>194</v>
      </c>
      <c r="M710" s="7" t="n">
        <v>50</v>
      </c>
      <c r="N710" s="7" t="n">
        <v>5</v>
      </c>
      <c r="O710" s="7" t="str">
        <f aca="false">A710&amp;"|"&amp;B710&amp;"|"&amp;C710&amp;"|"&amp;D710&amp;"|"&amp;E710&amp;"|"&amp;F710&amp;"|"&amp;G710&amp;"|"&amp;H710&amp;"|"&amp;I710&amp;"|"&amp;J710&amp;"|"&amp;K710&amp;"|"&amp;L710&amp;"|"&amp;M710&amp;"|"&amp;N710</f>
        <v>ORD10038|06/01/2025|12:42|C0997|Dosa Darbar|Bengaluru|South Indian|1|125|0|Credit Card|Delivered|50|5</v>
      </c>
      <c r="P710" s="7" t="str">
        <f aca="false">IF(COUNTIF($O$2:O710,O710)&gt;1,"DUP","OK")</f>
        <v>OK</v>
      </c>
      <c r="Q710" s="7" t="n">
        <f aca="false">COUNTBLANK(A710:N710)</f>
        <v>0</v>
      </c>
      <c r="R710" s="7" t="n">
        <f aca="false">IF(A710="",0,COUNTIFS($A$2:$A$3058,A710,$P$2:$P$3058,"OK"))</f>
        <v>1</v>
      </c>
      <c r="S710" s="7" t="str">
        <f aca="false">IF(OR(A710="",P710="DUP",R710&lt;2),"",IF(Q710=_xlfn.MINIFS($Q$2:$Q$3058,$A$2:$A$3058,A710,$P$2:$P$3058,"OK"),"KEEP","DROP"))</f>
        <v/>
      </c>
      <c r="T710" s="9" t="n">
        <f aca="false">IF(A710="",1,0)</f>
        <v>0</v>
      </c>
      <c r="U710" s="9" t="n">
        <f aca="false">IF(D710="",1,0)</f>
        <v>0</v>
      </c>
      <c r="V710" s="9" t="n">
        <f aca="false">IF(E710="",1,0)</f>
        <v>0</v>
      </c>
      <c r="W710" s="9" t="n">
        <f aca="false">IF(OR(H710&lt;1,H710&gt;10),1,0)</f>
        <v>0</v>
      </c>
      <c r="X710" s="9" t="n">
        <f aca="false">IF(OR(I710&lt;=0,I710&gt;1500),1,0)</f>
        <v>0</v>
      </c>
      <c r="Y710" s="9" t="n">
        <f aca="false">IF(J710&gt;H710*I710,1,0)</f>
        <v>0</v>
      </c>
      <c r="Z710" s="9" t="n">
        <f aca="false">IF(AND(N710&lt;&gt;"",OR(N710&lt;1,N710&gt;5)),1,0)</f>
        <v>0</v>
      </c>
      <c r="AA710" s="9" t="n">
        <f aca="false">IF(AND(M710&lt;&gt;"",OR(M710&lt;5,M710&gt;180)),1,0)</f>
        <v>0</v>
      </c>
      <c r="AB710" s="7" t="str">
        <f aca="false">IF(P710="DUP","Exact duplicate row",IF(T710=1,"Missing Order ID",IF(S710="DROP","Duplicate Order ID (less complete row)",IF(U710=1,"Missing Customer ID",IF(V710=1,"Missing Restaurant name",IF(W710=1,"Invalid/outlier quantity",IF(X710=1,"Invalid/outlier unit price",IF(Y710=1,"Discount greater than order value",""))))))))</f>
        <v/>
      </c>
      <c r="AC710" s="7" t="str">
        <f aca="false">IF(AB710="","KEEP","DROP")</f>
        <v>KEEP</v>
      </c>
      <c r="AD710" s="7" t="str">
        <f aca="false">IF(TRIM(F710)="",IFERROR(INDEX(Map_Tables!$I$4:$I$37,MATCH(TRIM(E710),Map_Tables!$G$4:$G$37,0)),""),IFERROR(INDEX(Map_Tables!$B$4:$B$18,MATCH(TRIM(F710),Map_Tables!$A$4:$A$18,0)),"CHECK"))</f>
        <v>Bengaluru</v>
      </c>
      <c r="AE710" s="7" t="str">
        <f aca="false">IF(TRIM(E710)="","",IFERROR(INDEX(Map_Tables!$H$4:$H$37,MATCH(TRIM(E710),Map_Tables!$G$4:$G$37,0)),"CHECK"))</f>
        <v>Dosa Darbar</v>
      </c>
      <c r="AF710" s="7" t="str">
        <f aca="false">IF(TRIM(K710)="","Unknown",IFERROR(INDEX(Map_Tables!$E$4:$E$15,MATCH(TRIM(K710),Map_Tables!$D$4:$D$15,0)),"CHECK"))</f>
        <v>Credit Card</v>
      </c>
      <c r="AG710" s="7" t="str">
        <f aca="false">IF(LEFT(LOWER(TRIM(L710)),6)="cancel","Cancelled","Delivered")</f>
        <v>Delivered</v>
      </c>
      <c r="AH710" s="10" t="n">
        <f aca="false">IF(ISNUMBER(SEARCH("/",B710)),DATE(VALUE(RIGHT(B710,4)),VALUE(MID(B710,4,2)),VALUE(LEFT(B710,2))),IF(MID(B710,5,1)="-",DATE(VALUE(LEFT(B710,4)),VALUE(MID(B710,6,2)),VALUE(RIGHT(B710,2))),DATE(VALUE(RIGHT(B710,4)),MATCH(MID(B710,4,3),{"Jan","Feb","Mar","Apr","May","Jun","Jul","Aug","Sep","Oct","Nov","Dec"},0),VALUE(LEFT(B710,2)))))</f>
        <v>45663</v>
      </c>
    </row>
    <row r="711" customFormat="false" ht="15" hidden="false" customHeight="false" outlineLevel="0" collapsed="false">
      <c r="A711" s="7" t="s">
        <v>2392</v>
      </c>
      <c r="B711" s="7" t="s">
        <v>283</v>
      </c>
      <c r="C711" s="7" t="s">
        <v>2393</v>
      </c>
      <c r="D711" s="7" t="s">
        <v>2394</v>
      </c>
      <c r="E711" s="7" t="s">
        <v>2395</v>
      </c>
      <c r="F711" s="7" t="s">
        <v>101</v>
      </c>
      <c r="G711" s="7" t="s">
        <v>90</v>
      </c>
      <c r="H711" s="7" t="n">
        <v>2</v>
      </c>
      <c r="I711" s="7" t="n">
        <v>300</v>
      </c>
      <c r="J711" s="7" t="n">
        <v>30</v>
      </c>
      <c r="K711" s="7" t="s">
        <v>103</v>
      </c>
      <c r="L711" s="7" t="s">
        <v>194</v>
      </c>
      <c r="M711" s="7" t="n">
        <v>48</v>
      </c>
      <c r="N711" s="7" t="n">
        <v>2</v>
      </c>
      <c r="O711" s="7" t="str">
        <f aca="false">A711&amp;"|"&amp;B711&amp;"|"&amp;C711&amp;"|"&amp;D711&amp;"|"&amp;E711&amp;"|"&amp;F711&amp;"|"&amp;G711&amp;"|"&amp;H711&amp;"|"&amp;I711&amp;"|"&amp;J711&amp;"|"&amp;K711&amp;"|"&amp;L711&amp;"|"&amp;M711&amp;"|"&amp;N711</f>
        <v>ORD12442|2025-11-03|13:21|C0451|Curry Leaf Kitchen |Mumbai|North Indian|2|300|30|Debit Card|Delivered|48|2</v>
      </c>
      <c r="P711" s="7" t="str">
        <f aca="false">IF(COUNTIF($O$2:O711,O711)&gt;1,"DUP","OK")</f>
        <v>OK</v>
      </c>
      <c r="Q711" s="7" t="n">
        <f aca="false">COUNTBLANK(A711:N711)</f>
        <v>0</v>
      </c>
      <c r="R711" s="7" t="n">
        <f aca="false">IF(A711="",0,COUNTIFS($A$2:$A$3058,A711,$P$2:$P$3058,"OK"))</f>
        <v>1</v>
      </c>
      <c r="S711" s="7" t="str">
        <f aca="false">IF(OR(A711="",P711="DUP",R711&lt;2),"",IF(Q711=_xlfn.MINIFS($Q$2:$Q$3058,$A$2:$A$3058,A711,$P$2:$P$3058,"OK"),"KEEP","DROP"))</f>
        <v/>
      </c>
      <c r="T711" s="9" t="n">
        <f aca="false">IF(A711="",1,0)</f>
        <v>0</v>
      </c>
      <c r="U711" s="9" t="n">
        <f aca="false">IF(D711="",1,0)</f>
        <v>0</v>
      </c>
      <c r="V711" s="9" t="n">
        <f aca="false">IF(E711="",1,0)</f>
        <v>0</v>
      </c>
      <c r="W711" s="9" t="n">
        <f aca="false">IF(OR(H711&lt;1,H711&gt;10),1,0)</f>
        <v>0</v>
      </c>
      <c r="X711" s="9" t="n">
        <f aca="false">IF(OR(I711&lt;=0,I711&gt;1500),1,0)</f>
        <v>0</v>
      </c>
      <c r="Y711" s="9" t="n">
        <f aca="false">IF(J711&gt;H711*I711,1,0)</f>
        <v>0</v>
      </c>
      <c r="Z711" s="9" t="n">
        <f aca="false">IF(AND(N711&lt;&gt;"",OR(N711&lt;1,N711&gt;5)),1,0)</f>
        <v>0</v>
      </c>
      <c r="AA711" s="9" t="n">
        <f aca="false">IF(AND(M711&lt;&gt;"",OR(M711&lt;5,M711&gt;180)),1,0)</f>
        <v>0</v>
      </c>
      <c r="AB711" s="7" t="str">
        <f aca="false">IF(P711="DUP","Exact duplicate row",IF(T711=1,"Missing Order ID",IF(S711="DROP","Duplicate Order ID (less complete row)",IF(U711=1,"Missing Customer ID",IF(V711=1,"Missing Restaurant name",IF(W711=1,"Invalid/outlier quantity",IF(X711=1,"Invalid/outlier unit price",IF(Y711=1,"Discount greater than order value",""))))))))</f>
        <v/>
      </c>
      <c r="AC711" s="7" t="str">
        <f aca="false">IF(AB711="","KEEP","DROP")</f>
        <v>KEEP</v>
      </c>
      <c r="AD711" s="7" t="str">
        <f aca="false">IF(TRIM(F711)="",IFERROR(INDEX(Map_Tables!$I$4:$I$37,MATCH(TRIM(E711),Map_Tables!$G$4:$G$37,0)),""),IFERROR(INDEX(Map_Tables!$B$4:$B$18,MATCH(TRIM(F711),Map_Tables!$A$4:$A$18,0)),"CHECK"))</f>
        <v>Mumbai</v>
      </c>
      <c r="AE711" s="7" t="str">
        <f aca="false">IF(TRIM(E711)="","",IFERROR(INDEX(Map_Tables!$H$4:$H$37,MATCH(TRIM(E711),Map_Tables!$G$4:$G$37,0)),"CHECK"))</f>
        <v>Curry Leaf Kitchen</v>
      </c>
      <c r="AF711" s="7" t="str">
        <f aca="false">IF(TRIM(K711)="","Unknown",IFERROR(INDEX(Map_Tables!$E$4:$E$15,MATCH(TRIM(K711),Map_Tables!$D$4:$D$15,0)),"CHECK"))</f>
        <v>Debit Card</v>
      </c>
      <c r="AG711" s="7" t="str">
        <f aca="false">IF(LEFT(LOWER(TRIM(L711)),6)="cancel","Cancelled","Delivered")</f>
        <v>Delivered</v>
      </c>
      <c r="AH711" s="10" t="n">
        <f aca="false">IF(ISNUMBER(SEARCH("/",B711)),DATE(VALUE(RIGHT(B711,4)),VALUE(MID(B711,4,2)),VALUE(LEFT(B711,2))),IF(MID(B711,5,1)="-",DATE(VALUE(LEFT(B711,4)),VALUE(MID(B711,6,2)),VALUE(RIGHT(B711,2))),DATE(VALUE(RIGHT(B711,4)),MATCH(MID(B711,4,3),{"Jan","Feb","Mar","Apr","May","Jun","Jul","Aug","Sep","Oct","Nov","Dec"},0),VALUE(LEFT(B711,2)))))</f>
        <v>45964</v>
      </c>
    </row>
    <row r="712" customFormat="false" ht="15" hidden="false" customHeight="false" outlineLevel="0" collapsed="false">
      <c r="A712" s="7" t="s">
        <v>2396</v>
      </c>
      <c r="B712" s="7" t="s">
        <v>2397</v>
      </c>
      <c r="C712" s="7" t="s">
        <v>2398</v>
      </c>
      <c r="D712" s="7" t="s">
        <v>2399</v>
      </c>
      <c r="E712" s="7" t="s">
        <v>2400</v>
      </c>
      <c r="F712" s="7" t="s">
        <v>86</v>
      </c>
      <c r="G712" s="7" t="s">
        <v>90</v>
      </c>
      <c r="H712" s="7" t="n">
        <v>1</v>
      </c>
      <c r="I712" s="7" t="n">
        <v>250</v>
      </c>
      <c r="J712" s="7" t="n">
        <v>20</v>
      </c>
      <c r="K712" s="7" t="s">
        <v>88</v>
      </c>
      <c r="L712" s="7" t="s">
        <v>194</v>
      </c>
      <c r="M712" s="7" t="n">
        <v>40</v>
      </c>
      <c r="N712" s="7" t="n">
        <v>4</v>
      </c>
      <c r="O712" s="7" t="str">
        <f aca="false">A712&amp;"|"&amp;B712&amp;"|"&amp;C712&amp;"|"&amp;D712&amp;"|"&amp;E712&amp;"|"&amp;F712&amp;"|"&amp;G712&amp;"|"&amp;H712&amp;"|"&amp;I712&amp;"|"&amp;J712&amp;"|"&amp;K712&amp;"|"&amp;L712&amp;"|"&amp;M712&amp;"|"&amp;N712</f>
        <v>ORD10985|2025-05-05|12:14|C1244| Spice Junction|Bengaluru|North Indian|1|250|20|UPI|Delivered|40|4</v>
      </c>
      <c r="P712" s="7" t="str">
        <f aca="false">IF(COUNTIF($O$2:O712,O712)&gt;1,"DUP","OK")</f>
        <v>OK</v>
      </c>
      <c r="Q712" s="7" t="n">
        <f aca="false">COUNTBLANK(A712:N712)</f>
        <v>0</v>
      </c>
      <c r="R712" s="7" t="n">
        <f aca="false">IF(A712="",0,COUNTIFS($A$2:$A$3058,A712,$P$2:$P$3058,"OK"))</f>
        <v>1</v>
      </c>
      <c r="S712" s="7" t="str">
        <f aca="false">IF(OR(A712="",P712="DUP",R712&lt;2),"",IF(Q712=_xlfn.MINIFS($Q$2:$Q$3058,$A$2:$A$3058,A712,$P$2:$P$3058,"OK"),"KEEP","DROP"))</f>
        <v/>
      </c>
      <c r="T712" s="9" t="n">
        <f aca="false">IF(A712="",1,0)</f>
        <v>0</v>
      </c>
      <c r="U712" s="9" t="n">
        <f aca="false">IF(D712="",1,0)</f>
        <v>0</v>
      </c>
      <c r="V712" s="9" t="n">
        <f aca="false">IF(E712="",1,0)</f>
        <v>0</v>
      </c>
      <c r="W712" s="9" t="n">
        <f aca="false">IF(OR(H712&lt;1,H712&gt;10),1,0)</f>
        <v>0</v>
      </c>
      <c r="X712" s="9" t="n">
        <f aca="false">IF(OR(I712&lt;=0,I712&gt;1500),1,0)</f>
        <v>0</v>
      </c>
      <c r="Y712" s="9" t="n">
        <f aca="false">IF(J712&gt;H712*I712,1,0)</f>
        <v>0</v>
      </c>
      <c r="Z712" s="9" t="n">
        <f aca="false">IF(AND(N712&lt;&gt;"",OR(N712&lt;1,N712&gt;5)),1,0)</f>
        <v>0</v>
      </c>
      <c r="AA712" s="9" t="n">
        <f aca="false">IF(AND(M712&lt;&gt;"",OR(M712&lt;5,M712&gt;180)),1,0)</f>
        <v>0</v>
      </c>
      <c r="AB712" s="7" t="str">
        <f aca="false">IF(P712="DUP","Exact duplicate row",IF(T712=1,"Missing Order ID",IF(S712="DROP","Duplicate Order ID (less complete row)",IF(U712=1,"Missing Customer ID",IF(V712=1,"Missing Restaurant name",IF(W712=1,"Invalid/outlier quantity",IF(X712=1,"Invalid/outlier unit price",IF(Y712=1,"Discount greater than order value",""))))))))</f>
        <v/>
      </c>
      <c r="AC712" s="7" t="str">
        <f aca="false">IF(AB712="","KEEP","DROP")</f>
        <v>KEEP</v>
      </c>
      <c r="AD712" s="7" t="str">
        <f aca="false">IF(TRIM(F712)="",IFERROR(INDEX(Map_Tables!$I$4:$I$37,MATCH(TRIM(E712),Map_Tables!$G$4:$G$37,0)),""),IFERROR(INDEX(Map_Tables!$B$4:$B$18,MATCH(TRIM(F712),Map_Tables!$A$4:$A$18,0)),"CHECK"))</f>
        <v>Bengaluru</v>
      </c>
      <c r="AE712" s="7" t="str">
        <f aca="false">IF(TRIM(E712)="","",IFERROR(INDEX(Map_Tables!$H$4:$H$37,MATCH(TRIM(E712),Map_Tables!$G$4:$G$37,0)),"CHECK"))</f>
        <v>Spice Junction</v>
      </c>
      <c r="AF712" s="7" t="str">
        <f aca="false">IF(TRIM(K712)="","Unknown",IFERROR(INDEX(Map_Tables!$E$4:$E$15,MATCH(TRIM(K712),Map_Tables!$D$4:$D$15,0)),"CHECK"))</f>
        <v>UPI</v>
      </c>
      <c r="AG712" s="7" t="str">
        <f aca="false">IF(LEFT(LOWER(TRIM(L712)),6)="cancel","Cancelled","Delivered")</f>
        <v>Delivered</v>
      </c>
      <c r="AH712" s="10" t="n">
        <f aca="false">IF(ISNUMBER(SEARCH("/",B712)),DATE(VALUE(RIGHT(B712,4)),VALUE(MID(B712,4,2)),VALUE(LEFT(B712,2))),IF(MID(B712,5,1)="-",DATE(VALUE(LEFT(B712,4)),VALUE(MID(B712,6,2)),VALUE(RIGHT(B712,2))),DATE(VALUE(RIGHT(B712,4)),MATCH(MID(B712,4,3),{"Jan","Feb","Mar","Apr","May","Jun","Jul","Aug","Sep","Oct","Nov","Dec"},0),VALUE(LEFT(B712,2)))))</f>
        <v>45782</v>
      </c>
    </row>
    <row r="713" customFormat="false" ht="15" hidden="false" customHeight="false" outlineLevel="0" collapsed="false">
      <c r="A713" s="7" t="s">
        <v>2401</v>
      </c>
      <c r="B713" s="7" t="s">
        <v>253</v>
      </c>
      <c r="C713" s="7" t="s">
        <v>2402</v>
      </c>
      <c r="D713" s="7" t="s">
        <v>2403</v>
      </c>
      <c r="E713" s="7" t="s">
        <v>138</v>
      </c>
      <c r="F713" s="7" t="s">
        <v>110</v>
      </c>
      <c r="G713" s="7" t="s">
        <v>139</v>
      </c>
      <c r="H713" s="7" t="n">
        <v>2</v>
      </c>
      <c r="I713" s="7" t="n">
        <v>195</v>
      </c>
      <c r="J713" s="7" t="n">
        <v>0</v>
      </c>
      <c r="K713" s="7" t="s">
        <v>112</v>
      </c>
      <c r="L713" s="7" t="s">
        <v>194</v>
      </c>
      <c r="M713" s="7" t="n">
        <v>37</v>
      </c>
      <c r="N713" s="7" t="n">
        <v>4</v>
      </c>
      <c r="O713" s="7" t="str">
        <f aca="false">A713&amp;"|"&amp;B713&amp;"|"&amp;C713&amp;"|"&amp;D713&amp;"|"&amp;E713&amp;"|"&amp;F713&amp;"|"&amp;G713&amp;"|"&amp;H713&amp;"|"&amp;I713&amp;"|"&amp;J713&amp;"|"&amp;K713&amp;"|"&amp;L713&amp;"|"&amp;M713&amp;"|"&amp;N713</f>
        <v>ORD10740|2025-04-04|19:55|C0988|Burger Barn|Delhi|Burgers|2|195|0|Cash on Delivery|Delivered|37|4</v>
      </c>
      <c r="P713" s="7" t="str">
        <f aca="false">IF(COUNTIF($O$2:O713,O713)&gt;1,"DUP","OK")</f>
        <v>OK</v>
      </c>
      <c r="Q713" s="7" t="n">
        <f aca="false">COUNTBLANK(A713:N713)</f>
        <v>0</v>
      </c>
      <c r="R713" s="7" t="n">
        <f aca="false">IF(A713="",0,COUNTIFS($A$2:$A$3058,A713,$P$2:$P$3058,"OK"))</f>
        <v>1</v>
      </c>
      <c r="S713" s="7" t="str">
        <f aca="false">IF(OR(A713="",P713="DUP",R713&lt;2),"",IF(Q713=_xlfn.MINIFS($Q$2:$Q$3058,$A$2:$A$3058,A713,$P$2:$P$3058,"OK"),"KEEP","DROP"))</f>
        <v/>
      </c>
      <c r="T713" s="9" t="n">
        <f aca="false">IF(A713="",1,0)</f>
        <v>0</v>
      </c>
      <c r="U713" s="9" t="n">
        <f aca="false">IF(D713="",1,0)</f>
        <v>0</v>
      </c>
      <c r="V713" s="9" t="n">
        <f aca="false">IF(E713="",1,0)</f>
        <v>0</v>
      </c>
      <c r="W713" s="9" t="n">
        <f aca="false">IF(OR(H713&lt;1,H713&gt;10),1,0)</f>
        <v>0</v>
      </c>
      <c r="X713" s="9" t="n">
        <f aca="false">IF(OR(I713&lt;=0,I713&gt;1500),1,0)</f>
        <v>0</v>
      </c>
      <c r="Y713" s="9" t="n">
        <f aca="false">IF(J713&gt;H713*I713,1,0)</f>
        <v>0</v>
      </c>
      <c r="Z713" s="9" t="n">
        <f aca="false">IF(AND(N713&lt;&gt;"",OR(N713&lt;1,N713&gt;5)),1,0)</f>
        <v>0</v>
      </c>
      <c r="AA713" s="9" t="n">
        <f aca="false">IF(AND(M713&lt;&gt;"",OR(M713&lt;5,M713&gt;180)),1,0)</f>
        <v>0</v>
      </c>
      <c r="AB713" s="7" t="str">
        <f aca="false">IF(P713="DUP","Exact duplicate row",IF(T713=1,"Missing Order ID",IF(S713="DROP","Duplicate Order ID (less complete row)",IF(U713=1,"Missing Customer ID",IF(V713=1,"Missing Restaurant name",IF(W713=1,"Invalid/outlier quantity",IF(X713=1,"Invalid/outlier unit price",IF(Y713=1,"Discount greater than order value",""))))))))</f>
        <v/>
      </c>
      <c r="AC713" s="7" t="str">
        <f aca="false">IF(AB713="","KEEP","DROP")</f>
        <v>KEEP</v>
      </c>
      <c r="AD713" s="7" t="str">
        <f aca="false">IF(TRIM(F713)="",IFERROR(INDEX(Map_Tables!$I$4:$I$37,MATCH(TRIM(E713),Map_Tables!$G$4:$G$37,0)),""),IFERROR(INDEX(Map_Tables!$B$4:$B$18,MATCH(TRIM(F713),Map_Tables!$A$4:$A$18,0)),"CHECK"))</f>
        <v>Delhi</v>
      </c>
      <c r="AE713" s="7" t="str">
        <f aca="false">IF(TRIM(E713)="","",IFERROR(INDEX(Map_Tables!$H$4:$H$37,MATCH(TRIM(E713),Map_Tables!$G$4:$G$37,0)),"CHECK"))</f>
        <v>Burger Barn</v>
      </c>
      <c r="AF713" s="7" t="str">
        <f aca="false">IF(TRIM(K713)="","Unknown",IFERROR(INDEX(Map_Tables!$E$4:$E$15,MATCH(TRIM(K713),Map_Tables!$D$4:$D$15,0)),"CHECK"))</f>
        <v>Cash on Delivery</v>
      </c>
      <c r="AG713" s="7" t="str">
        <f aca="false">IF(LEFT(LOWER(TRIM(L713)),6)="cancel","Cancelled","Delivered")</f>
        <v>Delivered</v>
      </c>
      <c r="AH713" s="10" t="n">
        <f aca="false">IF(ISNUMBER(SEARCH("/",B713)),DATE(VALUE(RIGHT(B713,4)),VALUE(MID(B713,4,2)),VALUE(LEFT(B713,2))),IF(MID(B713,5,1)="-",DATE(VALUE(LEFT(B713,4)),VALUE(MID(B713,6,2)),VALUE(RIGHT(B713,2))),DATE(VALUE(RIGHT(B713,4)),MATCH(MID(B713,4,3),{"Jan","Feb","Mar","Apr","May","Jun","Jul","Aug","Sep","Oct","Nov","Dec"},0),VALUE(LEFT(B713,2)))))</f>
        <v>45751</v>
      </c>
    </row>
    <row r="714" customFormat="false" ht="15" hidden="false" customHeight="false" outlineLevel="0" collapsed="false">
      <c r="A714" s="7" t="s">
        <v>2404</v>
      </c>
      <c r="B714" s="7" t="s">
        <v>1639</v>
      </c>
      <c r="C714" s="7" t="s">
        <v>2405</v>
      </c>
      <c r="D714" s="7" t="s">
        <v>777</v>
      </c>
      <c r="E714" s="7" t="s">
        <v>94</v>
      </c>
      <c r="F714" s="7" t="s">
        <v>86</v>
      </c>
      <c r="G714" s="7" t="s">
        <v>95</v>
      </c>
      <c r="H714" s="7" t="n">
        <v>2</v>
      </c>
      <c r="I714" s="7" t="n">
        <v>100</v>
      </c>
      <c r="J714" s="7" t="n">
        <v>80</v>
      </c>
      <c r="K714" s="7" t="s">
        <v>88</v>
      </c>
      <c r="L714" s="7" t="s">
        <v>194</v>
      </c>
      <c r="M714" s="7" t="n">
        <v>53</v>
      </c>
      <c r="N714" s="7" t="n">
        <v>3</v>
      </c>
      <c r="O714" s="7" t="str">
        <f aca="false">A714&amp;"|"&amp;B714&amp;"|"&amp;C714&amp;"|"&amp;D714&amp;"|"&amp;E714&amp;"|"&amp;F714&amp;"|"&amp;G714&amp;"|"&amp;H714&amp;"|"&amp;I714&amp;"|"&amp;J714&amp;"|"&amp;K714&amp;"|"&amp;L714&amp;"|"&amp;M714&amp;"|"&amp;N714</f>
        <v>ORD10399|2025-02-22|13:48|C0816|Dosa Darbar|Bengaluru|South Indian|2|100|80|UPI|Delivered|53|3</v>
      </c>
      <c r="P714" s="7" t="str">
        <f aca="false">IF(COUNTIF($O$2:O714,O714)&gt;1,"DUP","OK")</f>
        <v>OK</v>
      </c>
      <c r="Q714" s="7" t="n">
        <f aca="false">COUNTBLANK(A714:N714)</f>
        <v>0</v>
      </c>
      <c r="R714" s="7" t="n">
        <f aca="false">IF(A714="",0,COUNTIFS($A$2:$A$3058,A714,$P$2:$P$3058,"OK"))</f>
        <v>1</v>
      </c>
      <c r="S714" s="7" t="str">
        <f aca="false">IF(OR(A714="",P714="DUP",R714&lt;2),"",IF(Q714=_xlfn.MINIFS($Q$2:$Q$3058,$A$2:$A$3058,A714,$P$2:$P$3058,"OK"),"KEEP","DROP"))</f>
        <v/>
      </c>
      <c r="T714" s="9" t="n">
        <f aca="false">IF(A714="",1,0)</f>
        <v>0</v>
      </c>
      <c r="U714" s="9" t="n">
        <f aca="false">IF(D714="",1,0)</f>
        <v>0</v>
      </c>
      <c r="V714" s="9" t="n">
        <f aca="false">IF(E714="",1,0)</f>
        <v>0</v>
      </c>
      <c r="W714" s="9" t="n">
        <f aca="false">IF(OR(H714&lt;1,H714&gt;10),1,0)</f>
        <v>0</v>
      </c>
      <c r="X714" s="9" t="n">
        <f aca="false">IF(OR(I714&lt;=0,I714&gt;1500),1,0)</f>
        <v>0</v>
      </c>
      <c r="Y714" s="9" t="n">
        <f aca="false">IF(J714&gt;H714*I714,1,0)</f>
        <v>0</v>
      </c>
      <c r="Z714" s="9" t="n">
        <f aca="false">IF(AND(N714&lt;&gt;"",OR(N714&lt;1,N714&gt;5)),1,0)</f>
        <v>0</v>
      </c>
      <c r="AA714" s="9" t="n">
        <f aca="false">IF(AND(M714&lt;&gt;"",OR(M714&lt;5,M714&gt;180)),1,0)</f>
        <v>0</v>
      </c>
      <c r="AB714" s="7" t="str">
        <f aca="false">IF(P714="DUP","Exact duplicate row",IF(T714=1,"Missing Order ID",IF(S714="DROP","Duplicate Order ID (less complete row)",IF(U714=1,"Missing Customer ID",IF(V714=1,"Missing Restaurant name",IF(W714=1,"Invalid/outlier quantity",IF(X714=1,"Invalid/outlier unit price",IF(Y714=1,"Discount greater than order value",""))))))))</f>
        <v/>
      </c>
      <c r="AC714" s="7" t="str">
        <f aca="false">IF(AB714="","KEEP","DROP")</f>
        <v>KEEP</v>
      </c>
      <c r="AD714" s="7" t="str">
        <f aca="false">IF(TRIM(F714)="",IFERROR(INDEX(Map_Tables!$I$4:$I$37,MATCH(TRIM(E714),Map_Tables!$G$4:$G$37,0)),""),IFERROR(INDEX(Map_Tables!$B$4:$B$18,MATCH(TRIM(F714),Map_Tables!$A$4:$A$18,0)),"CHECK"))</f>
        <v>Bengaluru</v>
      </c>
      <c r="AE714" s="7" t="str">
        <f aca="false">IF(TRIM(E714)="","",IFERROR(INDEX(Map_Tables!$H$4:$H$37,MATCH(TRIM(E714),Map_Tables!$G$4:$G$37,0)),"CHECK"))</f>
        <v>Dosa Darbar</v>
      </c>
      <c r="AF714" s="7" t="str">
        <f aca="false">IF(TRIM(K714)="","Unknown",IFERROR(INDEX(Map_Tables!$E$4:$E$15,MATCH(TRIM(K714),Map_Tables!$D$4:$D$15,0)),"CHECK"))</f>
        <v>UPI</v>
      </c>
      <c r="AG714" s="7" t="str">
        <f aca="false">IF(LEFT(LOWER(TRIM(L714)),6)="cancel","Cancelled","Delivered")</f>
        <v>Delivered</v>
      </c>
      <c r="AH714" s="10" t="n">
        <f aca="false">IF(ISNUMBER(SEARCH("/",B714)),DATE(VALUE(RIGHT(B714,4)),VALUE(MID(B714,4,2)),VALUE(LEFT(B714,2))),IF(MID(B714,5,1)="-",DATE(VALUE(LEFT(B714,4)),VALUE(MID(B714,6,2)),VALUE(RIGHT(B714,2))),DATE(VALUE(RIGHT(B714,4)),MATCH(MID(B714,4,3),{"Jan","Feb","Mar","Apr","May","Jun","Jul","Aug","Sep","Oct","Nov","Dec"},0),VALUE(LEFT(B714,2)))))</f>
        <v>45710</v>
      </c>
    </row>
    <row r="715" customFormat="false" ht="15" hidden="false" customHeight="false" outlineLevel="0" collapsed="false">
      <c r="A715" s="7" t="s">
        <v>2406</v>
      </c>
      <c r="B715" s="7" t="s">
        <v>629</v>
      </c>
      <c r="C715" s="7" t="s">
        <v>1390</v>
      </c>
      <c r="D715" s="7" t="s">
        <v>2279</v>
      </c>
      <c r="E715" s="7" t="s">
        <v>142</v>
      </c>
      <c r="F715" s="7" t="s">
        <v>110</v>
      </c>
      <c r="G715" s="7" t="s">
        <v>105</v>
      </c>
      <c r="H715" s="7" t="n">
        <v>4</v>
      </c>
      <c r="I715" s="7" t="n">
        <v>170</v>
      </c>
      <c r="J715" s="7" t="n">
        <v>0</v>
      </c>
      <c r="K715" s="7" t="s">
        <v>121</v>
      </c>
      <c r="L715" s="7" t="s">
        <v>194</v>
      </c>
      <c r="M715" s="7" t="n">
        <v>43</v>
      </c>
      <c r="N715" s="7" t="n">
        <v>4</v>
      </c>
      <c r="O715" s="7" t="str">
        <f aca="false">A715&amp;"|"&amp;B715&amp;"|"&amp;C715&amp;"|"&amp;D715&amp;"|"&amp;E715&amp;"|"&amp;F715&amp;"|"&amp;G715&amp;"|"&amp;H715&amp;"|"&amp;I715&amp;"|"&amp;J715&amp;"|"&amp;K715&amp;"|"&amp;L715&amp;"|"&amp;M715&amp;"|"&amp;N715</f>
        <v>ORD12095|2025-09-26|23:25|C0126|Momo Magic|Delhi|Chinese|4|170|0|Wallet|Delivered|43|4</v>
      </c>
      <c r="P715" s="7" t="str">
        <f aca="false">IF(COUNTIF($O$2:O715,O715)&gt;1,"DUP","OK")</f>
        <v>OK</v>
      </c>
      <c r="Q715" s="7" t="n">
        <f aca="false">COUNTBLANK(A715:N715)</f>
        <v>0</v>
      </c>
      <c r="R715" s="7" t="n">
        <f aca="false">IF(A715="",0,COUNTIFS($A$2:$A$3058,A715,$P$2:$P$3058,"OK"))</f>
        <v>1</v>
      </c>
      <c r="S715" s="7" t="str">
        <f aca="false">IF(OR(A715="",P715="DUP",R715&lt;2),"",IF(Q715=_xlfn.MINIFS($Q$2:$Q$3058,$A$2:$A$3058,A715,$P$2:$P$3058,"OK"),"KEEP","DROP"))</f>
        <v/>
      </c>
      <c r="T715" s="9" t="n">
        <f aca="false">IF(A715="",1,0)</f>
        <v>0</v>
      </c>
      <c r="U715" s="9" t="n">
        <f aca="false">IF(D715="",1,0)</f>
        <v>0</v>
      </c>
      <c r="V715" s="9" t="n">
        <f aca="false">IF(E715="",1,0)</f>
        <v>0</v>
      </c>
      <c r="W715" s="9" t="n">
        <f aca="false">IF(OR(H715&lt;1,H715&gt;10),1,0)</f>
        <v>0</v>
      </c>
      <c r="X715" s="9" t="n">
        <f aca="false">IF(OR(I715&lt;=0,I715&gt;1500),1,0)</f>
        <v>0</v>
      </c>
      <c r="Y715" s="9" t="n">
        <f aca="false">IF(J715&gt;H715*I715,1,0)</f>
        <v>0</v>
      </c>
      <c r="Z715" s="9" t="n">
        <f aca="false">IF(AND(N715&lt;&gt;"",OR(N715&lt;1,N715&gt;5)),1,0)</f>
        <v>0</v>
      </c>
      <c r="AA715" s="9" t="n">
        <f aca="false">IF(AND(M715&lt;&gt;"",OR(M715&lt;5,M715&gt;180)),1,0)</f>
        <v>0</v>
      </c>
      <c r="AB715" s="7" t="str">
        <f aca="false">IF(P715="DUP","Exact duplicate row",IF(T715=1,"Missing Order ID",IF(S715="DROP","Duplicate Order ID (less complete row)",IF(U715=1,"Missing Customer ID",IF(V715=1,"Missing Restaurant name",IF(W715=1,"Invalid/outlier quantity",IF(X715=1,"Invalid/outlier unit price",IF(Y715=1,"Discount greater than order value",""))))))))</f>
        <v/>
      </c>
      <c r="AC715" s="7" t="str">
        <f aca="false">IF(AB715="","KEEP","DROP")</f>
        <v>KEEP</v>
      </c>
      <c r="AD715" s="7" t="str">
        <f aca="false">IF(TRIM(F715)="",IFERROR(INDEX(Map_Tables!$I$4:$I$37,MATCH(TRIM(E715),Map_Tables!$G$4:$G$37,0)),""),IFERROR(INDEX(Map_Tables!$B$4:$B$18,MATCH(TRIM(F715),Map_Tables!$A$4:$A$18,0)),"CHECK"))</f>
        <v>Delhi</v>
      </c>
      <c r="AE715" s="7" t="str">
        <f aca="false">IF(TRIM(E715)="","",IFERROR(INDEX(Map_Tables!$H$4:$H$37,MATCH(TRIM(E715),Map_Tables!$G$4:$G$37,0)),"CHECK"))</f>
        <v>Momo Magic</v>
      </c>
      <c r="AF715" s="7" t="str">
        <f aca="false">IF(TRIM(K715)="","Unknown",IFERROR(INDEX(Map_Tables!$E$4:$E$15,MATCH(TRIM(K715),Map_Tables!$D$4:$D$15,0)),"CHECK"))</f>
        <v>Wallet</v>
      </c>
      <c r="AG715" s="7" t="str">
        <f aca="false">IF(LEFT(LOWER(TRIM(L715)),6)="cancel","Cancelled","Delivered")</f>
        <v>Delivered</v>
      </c>
      <c r="AH715" s="10" t="n">
        <f aca="false">IF(ISNUMBER(SEARCH("/",B715)),DATE(VALUE(RIGHT(B715,4)),VALUE(MID(B715,4,2)),VALUE(LEFT(B715,2))),IF(MID(B715,5,1)="-",DATE(VALUE(LEFT(B715,4)),VALUE(MID(B715,6,2)),VALUE(RIGHT(B715,2))),DATE(VALUE(RIGHT(B715,4)),MATCH(MID(B715,4,3),{"Jan","Feb","Mar","Apr","May","Jun","Jul","Aug","Sep","Oct","Nov","Dec"},0),VALUE(LEFT(B715,2)))))</f>
        <v>45926</v>
      </c>
    </row>
    <row r="716" customFormat="false" ht="15" hidden="false" customHeight="false" outlineLevel="0" collapsed="false">
      <c r="A716" s="7" t="s">
        <v>2407</v>
      </c>
      <c r="B716" s="7" t="s">
        <v>739</v>
      </c>
      <c r="C716" s="7" t="s">
        <v>2408</v>
      </c>
      <c r="D716" s="7" t="s">
        <v>1020</v>
      </c>
      <c r="E716" s="7" t="s">
        <v>160</v>
      </c>
      <c r="F716" s="7" t="s">
        <v>136</v>
      </c>
      <c r="G716" s="7" t="s">
        <v>150</v>
      </c>
      <c r="H716" s="7" t="n">
        <v>2</v>
      </c>
      <c r="I716" s="7" t="n">
        <v>175</v>
      </c>
      <c r="J716" s="7" t="n">
        <v>30</v>
      </c>
      <c r="K716" s="7" t="s">
        <v>133</v>
      </c>
      <c r="L716" s="7" t="s">
        <v>194</v>
      </c>
      <c r="M716" s="7" t="n">
        <v>39</v>
      </c>
      <c r="N716" s="7" t="n">
        <v>4</v>
      </c>
      <c r="O716" s="7" t="str">
        <f aca="false">A716&amp;"|"&amp;B716&amp;"|"&amp;C716&amp;"|"&amp;D716&amp;"|"&amp;E716&amp;"|"&amp;F716&amp;"|"&amp;G716&amp;"|"&amp;H716&amp;"|"&amp;I716&amp;"|"&amp;J716&amp;"|"&amp;K716&amp;"|"&amp;L716&amp;"|"&amp;M716&amp;"|"&amp;N716</f>
        <v>ORD10802|2025-04-11|22:35|C1422|Cake Walk|Pune|Desserts|2|175|30|Net Banking|Delivered|39|4</v>
      </c>
      <c r="P716" s="7" t="str">
        <f aca="false">IF(COUNTIF($O$2:O716,O716)&gt;1,"DUP","OK")</f>
        <v>OK</v>
      </c>
      <c r="Q716" s="7" t="n">
        <f aca="false">COUNTBLANK(A716:N716)</f>
        <v>0</v>
      </c>
      <c r="R716" s="7" t="n">
        <f aca="false">IF(A716="",0,COUNTIFS($A$2:$A$3058,A716,$P$2:$P$3058,"OK"))</f>
        <v>1</v>
      </c>
      <c r="S716" s="7" t="str">
        <f aca="false">IF(OR(A716="",P716="DUP",R716&lt;2),"",IF(Q716=_xlfn.MINIFS($Q$2:$Q$3058,$A$2:$A$3058,A716,$P$2:$P$3058,"OK"),"KEEP","DROP"))</f>
        <v/>
      </c>
      <c r="T716" s="9" t="n">
        <f aca="false">IF(A716="",1,0)</f>
        <v>0</v>
      </c>
      <c r="U716" s="9" t="n">
        <f aca="false">IF(D716="",1,0)</f>
        <v>0</v>
      </c>
      <c r="V716" s="9" t="n">
        <f aca="false">IF(E716="",1,0)</f>
        <v>0</v>
      </c>
      <c r="W716" s="9" t="n">
        <f aca="false">IF(OR(H716&lt;1,H716&gt;10),1,0)</f>
        <v>0</v>
      </c>
      <c r="X716" s="9" t="n">
        <f aca="false">IF(OR(I716&lt;=0,I716&gt;1500),1,0)</f>
        <v>0</v>
      </c>
      <c r="Y716" s="9" t="n">
        <f aca="false">IF(J716&gt;H716*I716,1,0)</f>
        <v>0</v>
      </c>
      <c r="Z716" s="9" t="n">
        <f aca="false">IF(AND(N716&lt;&gt;"",OR(N716&lt;1,N716&gt;5)),1,0)</f>
        <v>0</v>
      </c>
      <c r="AA716" s="9" t="n">
        <f aca="false">IF(AND(M716&lt;&gt;"",OR(M716&lt;5,M716&gt;180)),1,0)</f>
        <v>0</v>
      </c>
      <c r="AB716" s="7" t="str">
        <f aca="false">IF(P716="DUP","Exact duplicate row",IF(T716=1,"Missing Order ID",IF(S716="DROP","Duplicate Order ID (less complete row)",IF(U716=1,"Missing Customer ID",IF(V716=1,"Missing Restaurant name",IF(W716=1,"Invalid/outlier quantity",IF(X716=1,"Invalid/outlier unit price",IF(Y716=1,"Discount greater than order value",""))))))))</f>
        <v/>
      </c>
      <c r="AC716" s="7" t="str">
        <f aca="false">IF(AB716="","KEEP","DROP")</f>
        <v>KEEP</v>
      </c>
      <c r="AD716" s="7" t="str">
        <f aca="false">IF(TRIM(F716)="",IFERROR(INDEX(Map_Tables!$I$4:$I$37,MATCH(TRIM(E716),Map_Tables!$G$4:$G$37,0)),""),IFERROR(INDEX(Map_Tables!$B$4:$B$18,MATCH(TRIM(F716),Map_Tables!$A$4:$A$18,0)),"CHECK"))</f>
        <v>Pune</v>
      </c>
      <c r="AE716" s="7" t="str">
        <f aca="false">IF(TRIM(E716)="","",IFERROR(INDEX(Map_Tables!$H$4:$H$37,MATCH(TRIM(E716),Map_Tables!$G$4:$G$37,0)),"CHECK"))</f>
        <v>Cake Walk</v>
      </c>
      <c r="AF716" s="7" t="str">
        <f aca="false">IF(TRIM(K716)="","Unknown",IFERROR(INDEX(Map_Tables!$E$4:$E$15,MATCH(TRIM(K716),Map_Tables!$D$4:$D$15,0)),"CHECK"))</f>
        <v>Net Banking</v>
      </c>
      <c r="AG716" s="7" t="str">
        <f aca="false">IF(LEFT(LOWER(TRIM(L716)),6)="cancel","Cancelled","Delivered")</f>
        <v>Delivered</v>
      </c>
      <c r="AH716" s="10" t="n">
        <f aca="false">IF(ISNUMBER(SEARCH("/",B716)),DATE(VALUE(RIGHT(B716,4)),VALUE(MID(B716,4,2)),VALUE(LEFT(B716,2))),IF(MID(B716,5,1)="-",DATE(VALUE(LEFT(B716,4)),VALUE(MID(B716,6,2)),VALUE(RIGHT(B716,2))),DATE(VALUE(RIGHT(B716,4)),MATCH(MID(B716,4,3),{"Jan","Feb","Mar","Apr","May","Jun","Jul","Aug","Sep","Oct","Nov","Dec"},0),VALUE(LEFT(B716,2)))))</f>
        <v>45758</v>
      </c>
    </row>
    <row r="717" customFormat="false" ht="15" hidden="false" customHeight="false" outlineLevel="0" collapsed="false">
      <c r="A717" s="7" t="s">
        <v>2409</v>
      </c>
      <c r="B717" s="7" t="s">
        <v>1946</v>
      </c>
      <c r="C717" s="7" t="s">
        <v>2410</v>
      </c>
      <c r="D717" s="7" t="s">
        <v>2411</v>
      </c>
      <c r="E717" s="7" t="s">
        <v>98</v>
      </c>
      <c r="F717" s="7" t="s">
        <v>86</v>
      </c>
      <c r="G717" s="7" t="s">
        <v>99</v>
      </c>
      <c r="H717" s="7" t="n">
        <v>3</v>
      </c>
      <c r="I717" s="7" t="n">
        <v>215</v>
      </c>
      <c r="J717" s="7" t="n">
        <v>0</v>
      </c>
      <c r="K717" s="7"/>
      <c r="L717" s="7" t="s">
        <v>194</v>
      </c>
      <c r="M717" s="7" t="n">
        <v>36</v>
      </c>
      <c r="N717" s="7" t="n">
        <v>4</v>
      </c>
      <c r="O717" s="7" t="str">
        <f aca="false">A717&amp;"|"&amp;B717&amp;"|"&amp;C717&amp;"|"&amp;D717&amp;"|"&amp;E717&amp;"|"&amp;F717&amp;"|"&amp;G717&amp;"|"&amp;H717&amp;"|"&amp;I717&amp;"|"&amp;J717&amp;"|"&amp;K717&amp;"|"&amp;L717&amp;"|"&amp;M717&amp;"|"&amp;N717</f>
        <v>ORD12028|2025-09-19|12:50|C0477|Nawabi Biryani House|Bengaluru|Biryani|3|215|0||Delivered|36|4</v>
      </c>
      <c r="P717" s="7" t="str">
        <f aca="false">IF(COUNTIF($O$2:O717,O717)&gt;1,"DUP","OK")</f>
        <v>OK</v>
      </c>
      <c r="Q717" s="7" t="n">
        <f aca="false">COUNTBLANK(A717:N717)</f>
        <v>1</v>
      </c>
      <c r="R717" s="7" t="n">
        <f aca="false">IF(A717="",0,COUNTIFS($A$2:$A$3058,A717,$P$2:$P$3058,"OK"))</f>
        <v>1</v>
      </c>
      <c r="S717" s="7" t="str">
        <f aca="false">IF(OR(A717="",P717="DUP",R717&lt;2),"",IF(Q717=_xlfn.MINIFS($Q$2:$Q$3058,$A$2:$A$3058,A717,$P$2:$P$3058,"OK"),"KEEP","DROP"))</f>
        <v/>
      </c>
      <c r="T717" s="9" t="n">
        <f aca="false">IF(A717="",1,0)</f>
        <v>0</v>
      </c>
      <c r="U717" s="9" t="n">
        <f aca="false">IF(D717="",1,0)</f>
        <v>0</v>
      </c>
      <c r="V717" s="9" t="n">
        <f aca="false">IF(E717="",1,0)</f>
        <v>0</v>
      </c>
      <c r="W717" s="9" t="n">
        <f aca="false">IF(OR(H717&lt;1,H717&gt;10),1,0)</f>
        <v>0</v>
      </c>
      <c r="X717" s="9" t="n">
        <f aca="false">IF(OR(I717&lt;=0,I717&gt;1500),1,0)</f>
        <v>0</v>
      </c>
      <c r="Y717" s="9" t="n">
        <f aca="false">IF(J717&gt;H717*I717,1,0)</f>
        <v>0</v>
      </c>
      <c r="Z717" s="9" t="n">
        <f aca="false">IF(AND(N717&lt;&gt;"",OR(N717&lt;1,N717&gt;5)),1,0)</f>
        <v>0</v>
      </c>
      <c r="AA717" s="9" t="n">
        <f aca="false">IF(AND(M717&lt;&gt;"",OR(M717&lt;5,M717&gt;180)),1,0)</f>
        <v>0</v>
      </c>
      <c r="AB717" s="7" t="str">
        <f aca="false">IF(P717="DUP","Exact duplicate row",IF(T717=1,"Missing Order ID",IF(S717="DROP","Duplicate Order ID (less complete row)",IF(U717=1,"Missing Customer ID",IF(V717=1,"Missing Restaurant name",IF(W717=1,"Invalid/outlier quantity",IF(X717=1,"Invalid/outlier unit price",IF(Y717=1,"Discount greater than order value",""))))))))</f>
        <v/>
      </c>
      <c r="AC717" s="7" t="str">
        <f aca="false">IF(AB717="","KEEP","DROP")</f>
        <v>KEEP</v>
      </c>
      <c r="AD717" s="7" t="str">
        <f aca="false">IF(TRIM(F717)="",IFERROR(INDEX(Map_Tables!$I$4:$I$37,MATCH(TRIM(E717),Map_Tables!$G$4:$G$37,0)),""),IFERROR(INDEX(Map_Tables!$B$4:$B$18,MATCH(TRIM(F717),Map_Tables!$A$4:$A$18,0)),"CHECK"))</f>
        <v>Bengaluru</v>
      </c>
      <c r="AE717" s="7" t="str">
        <f aca="false">IF(TRIM(E717)="","",IFERROR(INDEX(Map_Tables!$H$4:$H$37,MATCH(TRIM(E717),Map_Tables!$G$4:$G$37,0)),"CHECK"))</f>
        <v>Nawabi Biryani House</v>
      </c>
      <c r="AF717" s="7" t="str">
        <f aca="false">IF(TRIM(K717)="","Unknown",IFERROR(INDEX(Map_Tables!$E$4:$E$15,MATCH(TRIM(K717),Map_Tables!$D$4:$D$15,0)),"CHECK"))</f>
        <v>Unknown</v>
      </c>
      <c r="AG717" s="7" t="str">
        <f aca="false">IF(LEFT(LOWER(TRIM(L717)),6)="cancel","Cancelled","Delivered")</f>
        <v>Delivered</v>
      </c>
      <c r="AH717" s="10" t="n">
        <f aca="false">IF(ISNUMBER(SEARCH("/",B717)),DATE(VALUE(RIGHT(B717,4)),VALUE(MID(B717,4,2)),VALUE(LEFT(B717,2))),IF(MID(B717,5,1)="-",DATE(VALUE(LEFT(B717,4)),VALUE(MID(B717,6,2)),VALUE(RIGHT(B717,2))),DATE(VALUE(RIGHT(B717,4)),MATCH(MID(B717,4,3),{"Jan","Feb","Mar","Apr","May","Jun","Jul","Aug","Sep","Oct","Nov","Dec"},0),VALUE(LEFT(B717,2)))))</f>
        <v>45919</v>
      </c>
    </row>
    <row r="718" customFormat="false" ht="15" hidden="false" customHeight="false" outlineLevel="0" collapsed="false">
      <c r="A718" s="7" t="s">
        <v>2412</v>
      </c>
      <c r="B718" s="7" t="s">
        <v>921</v>
      </c>
      <c r="C718" s="7" t="s">
        <v>2413</v>
      </c>
      <c r="D718" s="7" t="s">
        <v>2117</v>
      </c>
      <c r="E718" s="7" t="s">
        <v>154</v>
      </c>
      <c r="F718" s="7" t="s">
        <v>127</v>
      </c>
      <c r="G718" s="7" t="s">
        <v>99</v>
      </c>
      <c r="H718" s="7" t="n">
        <v>4</v>
      </c>
      <c r="I718" s="7" t="n">
        <v>295</v>
      </c>
      <c r="J718" s="7" t="n">
        <v>20</v>
      </c>
      <c r="K718" s="7" t="s">
        <v>88</v>
      </c>
      <c r="L718" s="7" t="s">
        <v>194</v>
      </c>
      <c r="M718" s="7" t="n">
        <v>37</v>
      </c>
      <c r="N718" s="7" t="n">
        <v>5</v>
      </c>
      <c r="O718" s="7" t="str">
        <f aca="false">A718&amp;"|"&amp;B718&amp;"|"&amp;C718&amp;"|"&amp;D718&amp;"|"&amp;E718&amp;"|"&amp;F718&amp;"|"&amp;G718&amp;"|"&amp;H718&amp;"|"&amp;I718&amp;"|"&amp;J718&amp;"|"&amp;K718&amp;"|"&amp;L718&amp;"|"&amp;M718&amp;"|"&amp;N718</f>
        <v>ORD12155|2025-10-03|10:14|C1391|Madras Biryani Co|chennai|Biryani|4|295|20|UPI|Delivered|37|5</v>
      </c>
      <c r="P718" s="7" t="str">
        <f aca="false">IF(COUNTIF($O$2:O718,O718)&gt;1,"DUP","OK")</f>
        <v>OK</v>
      </c>
      <c r="Q718" s="7" t="n">
        <f aca="false">COUNTBLANK(A718:N718)</f>
        <v>0</v>
      </c>
      <c r="R718" s="7" t="n">
        <f aca="false">IF(A718="",0,COUNTIFS($A$2:$A$3058,A718,$P$2:$P$3058,"OK"))</f>
        <v>1</v>
      </c>
      <c r="S718" s="7" t="str">
        <f aca="false">IF(OR(A718="",P718="DUP",R718&lt;2),"",IF(Q718=_xlfn.MINIFS($Q$2:$Q$3058,$A$2:$A$3058,A718,$P$2:$P$3058,"OK"),"KEEP","DROP"))</f>
        <v/>
      </c>
      <c r="T718" s="9" t="n">
        <f aca="false">IF(A718="",1,0)</f>
        <v>0</v>
      </c>
      <c r="U718" s="9" t="n">
        <f aca="false">IF(D718="",1,0)</f>
        <v>0</v>
      </c>
      <c r="V718" s="9" t="n">
        <f aca="false">IF(E718="",1,0)</f>
        <v>0</v>
      </c>
      <c r="W718" s="9" t="n">
        <f aca="false">IF(OR(H718&lt;1,H718&gt;10),1,0)</f>
        <v>0</v>
      </c>
      <c r="X718" s="9" t="n">
        <f aca="false">IF(OR(I718&lt;=0,I718&gt;1500),1,0)</f>
        <v>0</v>
      </c>
      <c r="Y718" s="9" t="n">
        <f aca="false">IF(J718&gt;H718*I718,1,0)</f>
        <v>0</v>
      </c>
      <c r="Z718" s="9" t="n">
        <f aca="false">IF(AND(N718&lt;&gt;"",OR(N718&lt;1,N718&gt;5)),1,0)</f>
        <v>0</v>
      </c>
      <c r="AA718" s="9" t="n">
        <f aca="false">IF(AND(M718&lt;&gt;"",OR(M718&lt;5,M718&gt;180)),1,0)</f>
        <v>0</v>
      </c>
      <c r="AB718" s="7" t="str">
        <f aca="false">IF(P718="DUP","Exact duplicate row",IF(T718=1,"Missing Order ID",IF(S718="DROP","Duplicate Order ID (less complete row)",IF(U718=1,"Missing Customer ID",IF(V718=1,"Missing Restaurant name",IF(W718=1,"Invalid/outlier quantity",IF(X718=1,"Invalid/outlier unit price",IF(Y718=1,"Discount greater than order value",""))))))))</f>
        <v/>
      </c>
      <c r="AC718" s="7" t="str">
        <f aca="false">IF(AB718="","KEEP","DROP")</f>
        <v>KEEP</v>
      </c>
      <c r="AD718" s="7" t="str">
        <f aca="false">IF(TRIM(F718)="",IFERROR(INDEX(Map_Tables!$I$4:$I$37,MATCH(TRIM(E718),Map_Tables!$G$4:$G$37,0)),""),IFERROR(INDEX(Map_Tables!$B$4:$B$18,MATCH(TRIM(F718),Map_Tables!$A$4:$A$18,0)),"CHECK"))</f>
        <v>Chennai</v>
      </c>
      <c r="AE718" s="7" t="str">
        <f aca="false">IF(TRIM(E718)="","",IFERROR(INDEX(Map_Tables!$H$4:$H$37,MATCH(TRIM(E718),Map_Tables!$G$4:$G$37,0)),"CHECK"))</f>
        <v>Madras Biryani Co</v>
      </c>
      <c r="AF718" s="7" t="str">
        <f aca="false">IF(TRIM(K718)="","Unknown",IFERROR(INDEX(Map_Tables!$E$4:$E$15,MATCH(TRIM(K718),Map_Tables!$D$4:$D$15,0)),"CHECK"))</f>
        <v>UPI</v>
      </c>
      <c r="AG718" s="7" t="str">
        <f aca="false">IF(LEFT(LOWER(TRIM(L718)),6)="cancel","Cancelled","Delivered")</f>
        <v>Delivered</v>
      </c>
      <c r="AH718" s="10" t="n">
        <f aca="false">IF(ISNUMBER(SEARCH("/",B718)),DATE(VALUE(RIGHT(B718,4)),VALUE(MID(B718,4,2)),VALUE(LEFT(B718,2))),IF(MID(B718,5,1)="-",DATE(VALUE(LEFT(B718,4)),VALUE(MID(B718,6,2)),VALUE(RIGHT(B718,2))),DATE(VALUE(RIGHT(B718,4)),MATCH(MID(B718,4,3),{"Jan","Feb","Mar","Apr","May","Jun","Jul","Aug","Sep","Oct","Nov","Dec"},0),VALUE(LEFT(B718,2)))))</f>
        <v>45933</v>
      </c>
    </row>
    <row r="719" customFormat="false" ht="15" hidden="false" customHeight="false" outlineLevel="0" collapsed="false">
      <c r="A719" s="7" t="s">
        <v>2414</v>
      </c>
      <c r="B719" s="7" t="s">
        <v>2415</v>
      </c>
      <c r="C719" s="7" t="s">
        <v>697</v>
      </c>
      <c r="D719" s="7" t="s">
        <v>2256</v>
      </c>
      <c r="E719" s="7" t="s">
        <v>89</v>
      </c>
      <c r="F719" s="7" t="s">
        <v>86</v>
      </c>
      <c r="G719" s="7" t="s">
        <v>90</v>
      </c>
      <c r="H719" s="7" t="n">
        <v>1</v>
      </c>
      <c r="I719" s="7" t="n">
        <v>265</v>
      </c>
      <c r="J719" s="7" t="n">
        <v>0</v>
      </c>
      <c r="K719" s="7" t="s">
        <v>112</v>
      </c>
      <c r="L719" s="7" t="s">
        <v>238</v>
      </c>
      <c r="M719" s="7"/>
      <c r="N719" s="7"/>
      <c r="O719" s="7" t="str">
        <f aca="false">A719&amp;"|"&amp;B719&amp;"|"&amp;C719&amp;"|"&amp;D719&amp;"|"&amp;E719&amp;"|"&amp;F719&amp;"|"&amp;G719&amp;"|"&amp;H719&amp;"|"&amp;I719&amp;"|"&amp;J719&amp;"|"&amp;K719&amp;"|"&amp;L719&amp;"|"&amp;M719&amp;"|"&amp;N719</f>
        <v>ORD12622|20/11/2025|11:46|C1066|Spice Junction|Bengaluru|North Indian|1|265|0|Cash on Delivery|Cancelled||</v>
      </c>
      <c r="P719" s="7" t="str">
        <f aca="false">IF(COUNTIF($O$2:O719,O719)&gt;1,"DUP","OK")</f>
        <v>OK</v>
      </c>
      <c r="Q719" s="7" t="n">
        <f aca="false">COUNTBLANK(A719:N719)</f>
        <v>2</v>
      </c>
      <c r="R719" s="7" t="n">
        <f aca="false">IF(A719="",0,COUNTIFS($A$2:$A$3058,A719,$P$2:$P$3058,"OK"))</f>
        <v>1</v>
      </c>
      <c r="S719" s="7" t="str">
        <f aca="false">IF(OR(A719="",P719="DUP",R719&lt;2),"",IF(Q719=_xlfn.MINIFS($Q$2:$Q$3058,$A$2:$A$3058,A719,$P$2:$P$3058,"OK"),"KEEP","DROP"))</f>
        <v/>
      </c>
      <c r="T719" s="9" t="n">
        <f aca="false">IF(A719="",1,0)</f>
        <v>0</v>
      </c>
      <c r="U719" s="9" t="n">
        <f aca="false">IF(D719="",1,0)</f>
        <v>0</v>
      </c>
      <c r="V719" s="9" t="n">
        <f aca="false">IF(E719="",1,0)</f>
        <v>0</v>
      </c>
      <c r="W719" s="9" t="n">
        <f aca="false">IF(OR(H719&lt;1,H719&gt;10),1,0)</f>
        <v>0</v>
      </c>
      <c r="X719" s="9" t="n">
        <f aca="false">IF(OR(I719&lt;=0,I719&gt;1500),1,0)</f>
        <v>0</v>
      </c>
      <c r="Y719" s="9" t="n">
        <f aca="false">IF(J719&gt;H719*I719,1,0)</f>
        <v>0</v>
      </c>
      <c r="Z719" s="9" t="n">
        <f aca="false">IF(AND(N719&lt;&gt;"",OR(N719&lt;1,N719&gt;5)),1,0)</f>
        <v>0</v>
      </c>
      <c r="AA719" s="9" t="n">
        <f aca="false">IF(AND(M719&lt;&gt;"",OR(M719&lt;5,M719&gt;180)),1,0)</f>
        <v>0</v>
      </c>
      <c r="AB719" s="7" t="str">
        <f aca="false">IF(P719="DUP","Exact duplicate row",IF(T719=1,"Missing Order ID",IF(S719="DROP","Duplicate Order ID (less complete row)",IF(U719=1,"Missing Customer ID",IF(V719=1,"Missing Restaurant name",IF(W719=1,"Invalid/outlier quantity",IF(X719=1,"Invalid/outlier unit price",IF(Y719=1,"Discount greater than order value",""))))))))</f>
        <v/>
      </c>
      <c r="AC719" s="7" t="str">
        <f aca="false">IF(AB719="","KEEP","DROP")</f>
        <v>KEEP</v>
      </c>
      <c r="AD719" s="7" t="str">
        <f aca="false">IF(TRIM(F719)="",IFERROR(INDEX(Map_Tables!$I$4:$I$37,MATCH(TRIM(E719),Map_Tables!$G$4:$G$37,0)),""),IFERROR(INDEX(Map_Tables!$B$4:$B$18,MATCH(TRIM(F719),Map_Tables!$A$4:$A$18,0)),"CHECK"))</f>
        <v>Bengaluru</v>
      </c>
      <c r="AE719" s="7" t="str">
        <f aca="false">IF(TRIM(E719)="","",IFERROR(INDEX(Map_Tables!$H$4:$H$37,MATCH(TRIM(E719),Map_Tables!$G$4:$G$37,0)),"CHECK"))</f>
        <v>Spice Junction</v>
      </c>
      <c r="AF719" s="7" t="str">
        <f aca="false">IF(TRIM(K719)="","Unknown",IFERROR(INDEX(Map_Tables!$E$4:$E$15,MATCH(TRIM(K719),Map_Tables!$D$4:$D$15,0)),"CHECK"))</f>
        <v>Cash on Delivery</v>
      </c>
      <c r="AG719" s="7" t="str">
        <f aca="false">IF(LEFT(LOWER(TRIM(L719)),6)="cancel","Cancelled","Delivered")</f>
        <v>Cancelled</v>
      </c>
      <c r="AH719" s="10" t="n">
        <f aca="false">IF(ISNUMBER(SEARCH("/",B719)),DATE(VALUE(RIGHT(B719,4)),VALUE(MID(B719,4,2)),VALUE(LEFT(B719,2))),IF(MID(B719,5,1)="-",DATE(VALUE(LEFT(B719,4)),VALUE(MID(B719,6,2)),VALUE(RIGHT(B719,2))),DATE(VALUE(RIGHT(B719,4)),MATCH(MID(B719,4,3),{"Jan","Feb","Mar","Apr","May","Jun","Jul","Aug","Sep","Oct","Nov","Dec"},0),VALUE(LEFT(B719,2)))))</f>
        <v>45981</v>
      </c>
    </row>
    <row r="720" customFormat="false" ht="15" hidden="false" customHeight="false" outlineLevel="0" collapsed="false">
      <c r="A720" s="7" t="s">
        <v>2416</v>
      </c>
      <c r="B720" s="7" t="s">
        <v>2045</v>
      </c>
      <c r="C720" s="7" t="s">
        <v>1671</v>
      </c>
      <c r="D720" s="7" t="s">
        <v>1658</v>
      </c>
      <c r="E720" s="7" t="s">
        <v>113</v>
      </c>
      <c r="F720" s="7" t="s">
        <v>101</v>
      </c>
      <c r="G720" s="7" t="s">
        <v>90</v>
      </c>
      <c r="H720" s="7" t="n">
        <v>2</v>
      </c>
      <c r="I720" s="7" t="n">
        <v>260</v>
      </c>
      <c r="J720" s="7" t="n">
        <v>0</v>
      </c>
      <c r="K720" s="7" t="s">
        <v>133</v>
      </c>
      <c r="L720" s="7" t="s">
        <v>194</v>
      </c>
      <c r="M720" s="7" t="n">
        <v>42</v>
      </c>
      <c r="N720" s="7" t="n">
        <v>2</v>
      </c>
      <c r="O720" s="7" t="str">
        <f aca="false">A720&amp;"|"&amp;B720&amp;"|"&amp;C720&amp;"|"&amp;D720&amp;"|"&amp;E720&amp;"|"&amp;F720&amp;"|"&amp;G720&amp;"|"&amp;H720&amp;"|"&amp;I720&amp;"|"&amp;J720&amp;"|"&amp;K720&amp;"|"&amp;L720&amp;"|"&amp;M720&amp;"|"&amp;N720</f>
        <v>ORD12069|2025-09-24|13:13|C1233|Curry Leaf Kitchen|Mumbai|North Indian|2|260|0|Net Banking|Delivered|42|2</v>
      </c>
      <c r="P720" s="7" t="str">
        <f aca="false">IF(COUNTIF($O$2:O720,O720)&gt;1,"DUP","OK")</f>
        <v>OK</v>
      </c>
      <c r="Q720" s="7" t="n">
        <f aca="false">COUNTBLANK(A720:N720)</f>
        <v>0</v>
      </c>
      <c r="R720" s="7" t="n">
        <f aca="false">IF(A720="",0,COUNTIFS($A$2:$A$3058,A720,$P$2:$P$3058,"OK"))</f>
        <v>1</v>
      </c>
      <c r="S720" s="7" t="str">
        <f aca="false">IF(OR(A720="",P720="DUP",R720&lt;2),"",IF(Q720=_xlfn.MINIFS($Q$2:$Q$3058,$A$2:$A$3058,A720,$P$2:$P$3058,"OK"),"KEEP","DROP"))</f>
        <v/>
      </c>
      <c r="T720" s="9" t="n">
        <f aca="false">IF(A720="",1,0)</f>
        <v>0</v>
      </c>
      <c r="U720" s="9" t="n">
        <f aca="false">IF(D720="",1,0)</f>
        <v>0</v>
      </c>
      <c r="V720" s="9" t="n">
        <f aca="false">IF(E720="",1,0)</f>
        <v>0</v>
      </c>
      <c r="W720" s="9" t="n">
        <f aca="false">IF(OR(H720&lt;1,H720&gt;10),1,0)</f>
        <v>0</v>
      </c>
      <c r="X720" s="9" t="n">
        <f aca="false">IF(OR(I720&lt;=0,I720&gt;1500),1,0)</f>
        <v>0</v>
      </c>
      <c r="Y720" s="9" t="n">
        <f aca="false">IF(J720&gt;H720*I720,1,0)</f>
        <v>0</v>
      </c>
      <c r="Z720" s="9" t="n">
        <f aca="false">IF(AND(N720&lt;&gt;"",OR(N720&lt;1,N720&gt;5)),1,0)</f>
        <v>0</v>
      </c>
      <c r="AA720" s="9" t="n">
        <f aca="false">IF(AND(M720&lt;&gt;"",OR(M720&lt;5,M720&gt;180)),1,0)</f>
        <v>0</v>
      </c>
      <c r="AB720" s="7" t="str">
        <f aca="false">IF(P720="DUP","Exact duplicate row",IF(T720=1,"Missing Order ID",IF(S720="DROP","Duplicate Order ID (less complete row)",IF(U720=1,"Missing Customer ID",IF(V720=1,"Missing Restaurant name",IF(W720=1,"Invalid/outlier quantity",IF(X720=1,"Invalid/outlier unit price",IF(Y720=1,"Discount greater than order value",""))))))))</f>
        <v/>
      </c>
      <c r="AC720" s="7" t="str">
        <f aca="false">IF(AB720="","KEEP","DROP")</f>
        <v>KEEP</v>
      </c>
      <c r="AD720" s="7" t="str">
        <f aca="false">IF(TRIM(F720)="",IFERROR(INDEX(Map_Tables!$I$4:$I$37,MATCH(TRIM(E720),Map_Tables!$G$4:$G$37,0)),""),IFERROR(INDEX(Map_Tables!$B$4:$B$18,MATCH(TRIM(F720),Map_Tables!$A$4:$A$18,0)),"CHECK"))</f>
        <v>Mumbai</v>
      </c>
      <c r="AE720" s="7" t="str">
        <f aca="false">IF(TRIM(E720)="","",IFERROR(INDEX(Map_Tables!$H$4:$H$37,MATCH(TRIM(E720),Map_Tables!$G$4:$G$37,0)),"CHECK"))</f>
        <v>Curry Leaf Kitchen</v>
      </c>
      <c r="AF720" s="7" t="str">
        <f aca="false">IF(TRIM(K720)="","Unknown",IFERROR(INDEX(Map_Tables!$E$4:$E$15,MATCH(TRIM(K720),Map_Tables!$D$4:$D$15,0)),"CHECK"))</f>
        <v>Net Banking</v>
      </c>
      <c r="AG720" s="7" t="str">
        <f aca="false">IF(LEFT(LOWER(TRIM(L720)),6)="cancel","Cancelled","Delivered")</f>
        <v>Delivered</v>
      </c>
      <c r="AH720" s="10" t="n">
        <f aca="false">IF(ISNUMBER(SEARCH("/",B720)),DATE(VALUE(RIGHT(B720,4)),VALUE(MID(B720,4,2)),VALUE(LEFT(B720,2))),IF(MID(B720,5,1)="-",DATE(VALUE(LEFT(B720,4)),VALUE(MID(B720,6,2)),VALUE(RIGHT(B720,2))),DATE(VALUE(RIGHT(B720,4)),MATCH(MID(B720,4,3),{"Jan","Feb","Mar","Apr","May","Jun","Jul","Aug","Sep","Oct","Nov","Dec"},0),VALUE(LEFT(B720,2)))))</f>
        <v>45924</v>
      </c>
    </row>
    <row r="721" customFormat="false" ht="15" hidden="false" customHeight="false" outlineLevel="0" collapsed="false">
      <c r="A721" s="7" t="s">
        <v>2417</v>
      </c>
      <c r="B721" s="7" t="s">
        <v>2218</v>
      </c>
      <c r="C721" s="7" t="s">
        <v>588</v>
      </c>
      <c r="D721" s="7" t="s">
        <v>2418</v>
      </c>
      <c r="E721" s="7" t="s">
        <v>116</v>
      </c>
      <c r="F721" s="7" t="s">
        <v>101</v>
      </c>
      <c r="G721" s="7" t="s">
        <v>117</v>
      </c>
      <c r="H721" s="7" t="n">
        <v>4</v>
      </c>
      <c r="I721" s="7" t="n">
        <v>145</v>
      </c>
      <c r="J721" s="7" t="n">
        <v>0</v>
      </c>
      <c r="K721" s="7" t="s">
        <v>121</v>
      </c>
      <c r="L721" s="7" t="s">
        <v>194</v>
      </c>
      <c r="M721" s="7" t="n">
        <v>46</v>
      </c>
      <c r="N721" s="7" t="n">
        <v>4</v>
      </c>
      <c r="O721" s="7" t="str">
        <f aca="false">A721&amp;"|"&amp;B721&amp;"|"&amp;C721&amp;"|"&amp;D721&amp;"|"&amp;E721&amp;"|"&amp;F721&amp;"|"&amp;G721&amp;"|"&amp;H721&amp;"|"&amp;I721&amp;"|"&amp;J721&amp;"|"&amp;K721&amp;"|"&amp;L721&amp;"|"&amp;M721&amp;"|"&amp;N721</f>
        <v>ORD11253|09-Jun-2025|12:31|C0786|Pav Bhaji Point|Mumbai|Street Food|4|145|0|Wallet|Delivered|46|4</v>
      </c>
      <c r="P721" s="7" t="str">
        <f aca="false">IF(COUNTIF($O$2:O721,O721)&gt;1,"DUP","OK")</f>
        <v>OK</v>
      </c>
      <c r="Q721" s="7" t="n">
        <f aca="false">COUNTBLANK(A721:N721)</f>
        <v>0</v>
      </c>
      <c r="R721" s="7" t="n">
        <f aca="false">IF(A721="",0,COUNTIFS($A$2:$A$3058,A721,$P$2:$P$3058,"OK"))</f>
        <v>1</v>
      </c>
      <c r="S721" s="7" t="str">
        <f aca="false">IF(OR(A721="",P721="DUP",R721&lt;2),"",IF(Q721=_xlfn.MINIFS($Q$2:$Q$3058,$A$2:$A$3058,A721,$P$2:$P$3058,"OK"),"KEEP","DROP"))</f>
        <v/>
      </c>
      <c r="T721" s="9" t="n">
        <f aca="false">IF(A721="",1,0)</f>
        <v>0</v>
      </c>
      <c r="U721" s="9" t="n">
        <f aca="false">IF(D721="",1,0)</f>
        <v>0</v>
      </c>
      <c r="V721" s="9" t="n">
        <f aca="false">IF(E721="",1,0)</f>
        <v>0</v>
      </c>
      <c r="W721" s="9" t="n">
        <f aca="false">IF(OR(H721&lt;1,H721&gt;10),1,0)</f>
        <v>0</v>
      </c>
      <c r="X721" s="9" t="n">
        <f aca="false">IF(OR(I721&lt;=0,I721&gt;1500),1,0)</f>
        <v>0</v>
      </c>
      <c r="Y721" s="9" t="n">
        <f aca="false">IF(J721&gt;H721*I721,1,0)</f>
        <v>0</v>
      </c>
      <c r="Z721" s="9" t="n">
        <f aca="false">IF(AND(N721&lt;&gt;"",OR(N721&lt;1,N721&gt;5)),1,0)</f>
        <v>0</v>
      </c>
      <c r="AA721" s="9" t="n">
        <f aca="false">IF(AND(M721&lt;&gt;"",OR(M721&lt;5,M721&gt;180)),1,0)</f>
        <v>0</v>
      </c>
      <c r="AB721" s="7" t="str">
        <f aca="false">IF(P721="DUP","Exact duplicate row",IF(T721=1,"Missing Order ID",IF(S721="DROP","Duplicate Order ID (less complete row)",IF(U721=1,"Missing Customer ID",IF(V721=1,"Missing Restaurant name",IF(W721=1,"Invalid/outlier quantity",IF(X721=1,"Invalid/outlier unit price",IF(Y721=1,"Discount greater than order value",""))))))))</f>
        <v/>
      </c>
      <c r="AC721" s="7" t="str">
        <f aca="false">IF(AB721="","KEEP","DROP")</f>
        <v>KEEP</v>
      </c>
      <c r="AD721" s="7" t="str">
        <f aca="false">IF(TRIM(F721)="",IFERROR(INDEX(Map_Tables!$I$4:$I$37,MATCH(TRIM(E721),Map_Tables!$G$4:$G$37,0)),""),IFERROR(INDEX(Map_Tables!$B$4:$B$18,MATCH(TRIM(F721),Map_Tables!$A$4:$A$18,0)),"CHECK"))</f>
        <v>Mumbai</v>
      </c>
      <c r="AE721" s="7" t="str">
        <f aca="false">IF(TRIM(E721)="","",IFERROR(INDEX(Map_Tables!$H$4:$H$37,MATCH(TRIM(E721),Map_Tables!$G$4:$G$37,0)),"CHECK"))</f>
        <v>Pav Bhaji Point</v>
      </c>
      <c r="AF721" s="7" t="str">
        <f aca="false">IF(TRIM(K721)="","Unknown",IFERROR(INDEX(Map_Tables!$E$4:$E$15,MATCH(TRIM(K721),Map_Tables!$D$4:$D$15,0)),"CHECK"))</f>
        <v>Wallet</v>
      </c>
      <c r="AG721" s="7" t="str">
        <f aca="false">IF(LEFT(LOWER(TRIM(L721)),6)="cancel","Cancelled","Delivered")</f>
        <v>Delivered</v>
      </c>
      <c r="AH721" s="10" t="n">
        <f aca="false">IF(ISNUMBER(SEARCH("/",B721)),DATE(VALUE(RIGHT(B721,4)),VALUE(MID(B721,4,2)),VALUE(LEFT(B721,2))),IF(MID(B721,5,1)="-",DATE(VALUE(LEFT(B721,4)),VALUE(MID(B721,6,2)),VALUE(RIGHT(B721,2))),DATE(VALUE(RIGHT(B721,4)),MATCH(MID(B721,4,3),{"Jan","Feb","Mar","Apr","May","Jun","Jul","Aug","Sep","Oct","Nov","Dec"},0),VALUE(LEFT(B721,2)))))</f>
        <v>45817</v>
      </c>
    </row>
    <row r="722" customFormat="false" ht="15" hidden="false" customHeight="false" outlineLevel="0" collapsed="false">
      <c r="A722" s="7" t="s">
        <v>2419</v>
      </c>
      <c r="B722" s="7" t="s">
        <v>1639</v>
      </c>
      <c r="C722" s="7" t="s">
        <v>1626</v>
      </c>
      <c r="D722" s="7" t="s">
        <v>1612</v>
      </c>
      <c r="E722" s="7" t="s">
        <v>157</v>
      </c>
      <c r="F722" s="7" t="s">
        <v>136</v>
      </c>
      <c r="G722" s="7" t="s">
        <v>117</v>
      </c>
      <c r="H722" s="7" t="n">
        <v>2</v>
      </c>
      <c r="I722" s="7" t="n">
        <v>125</v>
      </c>
      <c r="J722" s="7" t="n">
        <v>0</v>
      </c>
      <c r="K722" s="7" t="s">
        <v>229</v>
      </c>
      <c r="L722" s="7" t="s">
        <v>194</v>
      </c>
      <c r="M722" s="7" t="n">
        <v>33</v>
      </c>
      <c r="N722" s="7" t="n">
        <v>4</v>
      </c>
      <c r="O722" s="7" t="str">
        <f aca="false">A722&amp;"|"&amp;B722&amp;"|"&amp;C722&amp;"|"&amp;D722&amp;"|"&amp;E722&amp;"|"&amp;F722&amp;"|"&amp;G722&amp;"|"&amp;H722&amp;"|"&amp;I722&amp;"|"&amp;J722&amp;"|"&amp;K722&amp;"|"&amp;L722&amp;"|"&amp;M722&amp;"|"&amp;N722</f>
        <v>ORD10396|2025-02-22|11:40|C1157|Misal Mantra|Pune|Street Food|2|125|0|Upi|Delivered|33|4</v>
      </c>
      <c r="P722" s="7" t="str">
        <f aca="false">IF(COUNTIF($O$2:O722,O722)&gt;1,"DUP","OK")</f>
        <v>OK</v>
      </c>
      <c r="Q722" s="7" t="n">
        <f aca="false">COUNTBLANK(A722:N722)</f>
        <v>0</v>
      </c>
      <c r="R722" s="7" t="n">
        <f aca="false">IF(A722="",0,COUNTIFS($A$2:$A$3058,A722,$P$2:$P$3058,"OK"))</f>
        <v>1</v>
      </c>
      <c r="S722" s="7" t="str">
        <f aca="false">IF(OR(A722="",P722="DUP",R722&lt;2),"",IF(Q722=_xlfn.MINIFS($Q$2:$Q$3058,$A$2:$A$3058,A722,$P$2:$P$3058,"OK"),"KEEP","DROP"))</f>
        <v/>
      </c>
      <c r="T722" s="9" t="n">
        <f aca="false">IF(A722="",1,0)</f>
        <v>0</v>
      </c>
      <c r="U722" s="9" t="n">
        <f aca="false">IF(D722="",1,0)</f>
        <v>0</v>
      </c>
      <c r="V722" s="9" t="n">
        <f aca="false">IF(E722="",1,0)</f>
        <v>0</v>
      </c>
      <c r="W722" s="9" t="n">
        <f aca="false">IF(OR(H722&lt;1,H722&gt;10),1,0)</f>
        <v>0</v>
      </c>
      <c r="X722" s="9" t="n">
        <f aca="false">IF(OR(I722&lt;=0,I722&gt;1500),1,0)</f>
        <v>0</v>
      </c>
      <c r="Y722" s="9" t="n">
        <f aca="false">IF(J722&gt;H722*I722,1,0)</f>
        <v>0</v>
      </c>
      <c r="Z722" s="9" t="n">
        <f aca="false">IF(AND(N722&lt;&gt;"",OR(N722&lt;1,N722&gt;5)),1,0)</f>
        <v>0</v>
      </c>
      <c r="AA722" s="9" t="n">
        <f aca="false">IF(AND(M722&lt;&gt;"",OR(M722&lt;5,M722&gt;180)),1,0)</f>
        <v>0</v>
      </c>
      <c r="AB722" s="7" t="str">
        <f aca="false">IF(P722="DUP","Exact duplicate row",IF(T722=1,"Missing Order ID",IF(S722="DROP","Duplicate Order ID (less complete row)",IF(U722=1,"Missing Customer ID",IF(V722=1,"Missing Restaurant name",IF(W722=1,"Invalid/outlier quantity",IF(X722=1,"Invalid/outlier unit price",IF(Y722=1,"Discount greater than order value",""))))))))</f>
        <v/>
      </c>
      <c r="AC722" s="7" t="str">
        <f aca="false">IF(AB722="","KEEP","DROP")</f>
        <v>KEEP</v>
      </c>
      <c r="AD722" s="7" t="str">
        <f aca="false">IF(TRIM(F722)="",IFERROR(INDEX(Map_Tables!$I$4:$I$37,MATCH(TRIM(E722),Map_Tables!$G$4:$G$37,0)),""),IFERROR(INDEX(Map_Tables!$B$4:$B$18,MATCH(TRIM(F722),Map_Tables!$A$4:$A$18,0)),"CHECK"))</f>
        <v>Pune</v>
      </c>
      <c r="AE722" s="7" t="str">
        <f aca="false">IF(TRIM(E722)="","",IFERROR(INDEX(Map_Tables!$H$4:$H$37,MATCH(TRIM(E722),Map_Tables!$G$4:$G$37,0)),"CHECK"))</f>
        <v>Misal Mantra</v>
      </c>
      <c r="AF722" s="7" t="str">
        <f aca="false">IF(TRIM(K722)="","Unknown",IFERROR(INDEX(Map_Tables!$E$4:$E$15,MATCH(TRIM(K722),Map_Tables!$D$4:$D$15,0)),"CHECK"))</f>
        <v>UPI</v>
      </c>
      <c r="AG722" s="7" t="str">
        <f aca="false">IF(LEFT(LOWER(TRIM(L722)),6)="cancel","Cancelled","Delivered")</f>
        <v>Delivered</v>
      </c>
      <c r="AH722" s="10" t="n">
        <f aca="false">IF(ISNUMBER(SEARCH("/",B722)),DATE(VALUE(RIGHT(B722,4)),VALUE(MID(B722,4,2)),VALUE(LEFT(B722,2))),IF(MID(B722,5,1)="-",DATE(VALUE(LEFT(B722,4)),VALUE(MID(B722,6,2)),VALUE(RIGHT(B722,2))),DATE(VALUE(RIGHT(B722,4)),MATCH(MID(B722,4,3),{"Jan","Feb","Mar","Apr","May","Jun","Jul","Aug","Sep","Oct","Nov","Dec"},0),VALUE(LEFT(B722,2)))))</f>
        <v>45710</v>
      </c>
    </row>
    <row r="723" customFormat="false" ht="15" hidden="false" customHeight="false" outlineLevel="0" collapsed="false">
      <c r="A723" s="7" t="s">
        <v>2420</v>
      </c>
      <c r="B723" s="7" t="s">
        <v>436</v>
      </c>
      <c r="C723" s="7" t="s">
        <v>1926</v>
      </c>
      <c r="D723" s="7" t="s">
        <v>2421</v>
      </c>
      <c r="E723" s="7" t="s">
        <v>89</v>
      </c>
      <c r="F723" s="7" t="s">
        <v>86</v>
      </c>
      <c r="G723" s="7" t="s">
        <v>90</v>
      </c>
      <c r="H723" s="7" t="n">
        <v>2</v>
      </c>
      <c r="I723" s="7" t="n">
        <v>290</v>
      </c>
      <c r="J723" s="7" t="n">
        <v>0</v>
      </c>
      <c r="K723" s="7" t="s">
        <v>93</v>
      </c>
      <c r="L723" s="7" t="s">
        <v>194</v>
      </c>
      <c r="M723" s="7" t="n">
        <v>40</v>
      </c>
      <c r="N723" s="7" t="n">
        <v>3</v>
      </c>
      <c r="O723" s="7" t="str">
        <f aca="false">A723&amp;"|"&amp;B723&amp;"|"&amp;C723&amp;"|"&amp;D723&amp;"|"&amp;E723&amp;"|"&amp;F723&amp;"|"&amp;G723&amp;"|"&amp;H723&amp;"|"&amp;I723&amp;"|"&amp;J723&amp;"|"&amp;K723&amp;"|"&amp;L723&amp;"|"&amp;M723&amp;"|"&amp;N723</f>
        <v>ORD10095|2025-01-12|22:56|C0316|Spice Junction|Bengaluru|North Indian|2|290|0|Credit Card|Delivered|40|3</v>
      </c>
      <c r="P723" s="7" t="str">
        <f aca="false">IF(COUNTIF($O$2:O723,O723)&gt;1,"DUP","OK")</f>
        <v>OK</v>
      </c>
      <c r="Q723" s="7" t="n">
        <f aca="false">COUNTBLANK(A723:N723)</f>
        <v>0</v>
      </c>
      <c r="R723" s="7" t="n">
        <f aca="false">IF(A723="",0,COUNTIFS($A$2:$A$3058,A723,$P$2:$P$3058,"OK"))</f>
        <v>1</v>
      </c>
      <c r="S723" s="7" t="str">
        <f aca="false">IF(OR(A723="",P723="DUP",R723&lt;2),"",IF(Q723=_xlfn.MINIFS($Q$2:$Q$3058,$A$2:$A$3058,A723,$P$2:$P$3058,"OK"),"KEEP","DROP"))</f>
        <v/>
      </c>
      <c r="T723" s="9" t="n">
        <f aca="false">IF(A723="",1,0)</f>
        <v>0</v>
      </c>
      <c r="U723" s="9" t="n">
        <f aca="false">IF(D723="",1,0)</f>
        <v>0</v>
      </c>
      <c r="V723" s="9" t="n">
        <f aca="false">IF(E723="",1,0)</f>
        <v>0</v>
      </c>
      <c r="W723" s="9" t="n">
        <f aca="false">IF(OR(H723&lt;1,H723&gt;10),1,0)</f>
        <v>0</v>
      </c>
      <c r="X723" s="9" t="n">
        <f aca="false">IF(OR(I723&lt;=0,I723&gt;1500),1,0)</f>
        <v>0</v>
      </c>
      <c r="Y723" s="9" t="n">
        <f aca="false">IF(J723&gt;H723*I723,1,0)</f>
        <v>0</v>
      </c>
      <c r="Z723" s="9" t="n">
        <f aca="false">IF(AND(N723&lt;&gt;"",OR(N723&lt;1,N723&gt;5)),1,0)</f>
        <v>0</v>
      </c>
      <c r="AA723" s="9" t="n">
        <f aca="false">IF(AND(M723&lt;&gt;"",OR(M723&lt;5,M723&gt;180)),1,0)</f>
        <v>0</v>
      </c>
      <c r="AB723" s="7" t="str">
        <f aca="false">IF(P723="DUP","Exact duplicate row",IF(T723=1,"Missing Order ID",IF(S723="DROP","Duplicate Order ID (less complete row)",IF(U723=1,"Missing Customer ID",IF(V723=1,"Missing Restaurant name",IF(W723=1,"Invalid/outlier quantity",IF(X723=1,"Invalid/outlier unit price",IF(Y723=1,"Discount greater than order value",""))))))))</f>
        <v/>
      </c>
      <c r="AC723" s="7" t="str">
        <f aca="false">IF(AB723="","KEEP","DROP")</f>
        <v>KEEP</v>
      </c>
      <c r="AD723" s="7" t="str">
        <f aca="false">IF(TRIM(F723)="",IFERROR(INDEX(Map_Tables!$I$4:$I$37,MATCH(TRIM(E723),Map_Tables!$G$4:$G$37,0)),""),IFERROR(INDEX(Map_Tables!$B$4:$B$18,MATCH(TRIM(F723),Map_Tables!$A$4:$A$18,0)),"CHECK"))</f>
        <v>Bengaluru</v>
      </c>
      <c r="AE723" s="7" t="str">
        <f aca="false">IF(TRIM(E723)="","",IFERROR(INDEX(Map_Tables!$H$4:$H$37,MATCH(TRIM(E723),Map_Tables!$G$4:$G$37,0)),"CHECK"))</f>
        <v>Spice Junction</v>
      </c>
      <c r="AF723" s="7" t="str">
        <f aca="false">IF(TRIM(K723)="","Unknown",IFERROR(INDEX(Map_Tables!$E$4:$E$15,MATCH(TRIM(K723),Map_Tables!$D$4:$D$15,0)),"CHECK"))</f>
        <v>Credit Card</v>
      </c>
      <c r="AG723" s="7" t="str">
        <f aca="false">IF(LEFT(LOWER(TRIM(L723)),6)="cancel","Cancelled","Delivered")</f>
        <v>Delivered</v>
      </c>
      <c r="AH723" s="10" t="n">
        <f aca="false">IF(ISNUMBER(SEARCH("/",B723)),DATE(VALUE(RIGHT(B723,4)),VALUE(MID(B723,4,2)),VALUE(LEFT(B723,2))),IF(MID(B723,5,1)="-",DATE(VALUE(LEFT(B723,4)),VALUE(MID(B723,6,2)),VALUE(RIGHT(B723,2))),DATE(VALUE(RIGHT(B723,4)),MATCH(MID(B723,4,3),{"Jan","Feb","Mar","Apr","May","Jun","Jul","Aug","Sep","Oct","Nov","Dec"},0),VALUE(LEFT(B723,2)))))</f>
        <v>45669</v>
      </c>
    </row>
    <row r="724" customFormat="false" ht="15" hidden="false" customHeight="false" outlineLevel="0" collapsed="false">
      <c r="A724" s="7" t="s">
        <v>2422</v>
      </c>
      <c r="B724" s="7" t="s">
        <v>2423</v>
      </c>
      <c r="C724" s="7" t="s">
        <v>254</v>
      </c>
      <c r="D724" s="7" t="s">
        <v>2424</v>
      </c>
      <c r="E724" s="7" t="s">
        <v>94</v>
      </c>
      <c r="F724" s="7" t="s">
        <v>86</v>
      </c>
      <c r="G724" s="7" t="s">
        <v>95</v>
      </c>
      <c r="H724" s="7" t="n">
        <v>1</v>
      </c>
      <c r="I724" s="7" t="n">
        <v>130</v>
      </c>
      <c r="J724" s="7" t="n">
        <v>0</v>
      </c>
      <c r="K724" s="7" t="s">
        <v>93</v>
      </c>
      <c r="L724" s="7" t="s">
        <v>194</v>
      </c>
      <c r="M724" s="7" t="n">
        <v>39</v>
      </c>
      <c r="N724" s="7" t="n">
        <v>5</v>
      </c>
      <c r="O724" s="7" t="str">
        <f aca="false">A724&amp;"|"&amp;B724&amp;"|"&amp;C724&amp;"|"&amp;D724&amp;"|"&amp;E724&amp;"|"&amp;F724&amp;"|"&amp;G724&amp;"|"&amp;H724&amp;"|"&amp;I724&amp;"|"&amp;J724&amp;"|"&amp;K724&amp;"|"&amp;L724&amp;"|"&amp;M724&amp;"|"&amp;N724</f>
        <v>ORD12031|19/09/2025|20:58|C0267|Dosa Darbar|Bengaluru|South Indian|1|130|0|Credit Card|Delivered|39|5</v>
      </c>
      <c r="P724" s="7" t="str">
        <f aca="false">IF(COUNTIF($O$2:O724,O724)&gt;1,"DUP","OK")</f>
        <v>OK</v>
      </c>
      <c r="Q724" s="7" t="n">
        <f aca="false">COUNTBLANK(A724:N724)</f>
        <v>0</v>
      </c>
      <c r="R724" s="7" t="n">
        <f aca="false">IF(A724="",0,COUNTIFS($A$2:$A$3058,A724,$P$2:$P$3058,"OK"))</f>
        <v>1</v>
      </c>
      <c r="S724" s="7" t="str">
        <f aca="false">IF(OR(A724="",P724="DUP",R724&lt;2),"",IF(Q724=_xlfn.MINIFS($Q$2:$Q$3058,$A$2:$A$3058,A724,$P$2:$P$3058,"OK"),"KEEP","DROP"))</f>
        <v/>
      </c>
      <c r="T724" s="9" t="n">
        <f aca="false">IF(A724="",1,0)</f>
        <v>0</v>
      </c>
      <c r="U724" s="9" t="n">
        <f aca="false">IF(D724="",1,0)</f>
        <v>0</v>
      </c>
      <c r="V724" s="9" t="n">
        <f aca="false">IF(E724="",1,0)</f>
        <v>0</v>
      </c>
      <c r="W724" s="9" t="n">
        <f aca="false">IF(OR(H724&lt;1,H724&gt;10),1,0)</f>
        <v>0</v>
      </c>
      <c r="X724" s="9" t="n">
        <f aca="false">IF(OR(I724&lt;=0,I724&gt;1500),1,0)</f>
        <v>0</v>
      </c>
      <c r="Y724" s="9" t="n">
        <f aca="false">IF(J724&gt;H724*I724,1,0)</f>
        <v>0</v>
      </c>
      <c r="Z724" s="9" t="n">
        <f aca="false">IF(AND(N724&lt;&gt;"",OR(N724&lt;1,N724&gt;5)),1,0)</f>
        <v>0</v>
      </c>
      <c r="AA724" s="9" t="n">
        <f aca="false">IF(AND(M724&lt;&gt;"",OR(M724&lt;5,M724&gt;180)),1,0)</f>
        <v>0</v>
      </c>
      <c r="AB724" s="7" t="str">
        <f aca="false">IF(P724="DUP","Exact duplicate row",IF(T724=1,"Missing Order ID",IF(S724="DROP","Duplicate Order ID (less complete row)",IF(U724=1,"Missing Customer ID",IF(V724=1,"Missing Restaurant name",IF(W724=1,"Invalid/outlier quantity",IF(X724=1,"Invalid/outlier unit price",IF(Y724=1,"Discount greater than order value",""))))))))</f>
        <v/>
      </c>
      <c r="AC724" s="7" t="str">
        <f aca="false">IF(AB724="","KEEP","DROP")</f>
        <v>KEEP</v>
      </c>
      <c r="AD724" s="7" t="str">
        <f aca="false">IF(TRIM(F724)="",IFERROR(INDEX(Map_Tables!$I$4:$I$37,MATCH(TRIM(E724),Map_Tables!$G$4:$G$37,0)),""),IFERROR(INDEX(Map_Tables!$B$4:$B$18,MATCH(TRIM(F724),Map_Tables!$A$4:$A$18,0)),"CHECK"))</f>
        <v>Bengaluru</v>
      </c>
      <c r="AE724" s="7" t="str">
        <f aca="false">IF(TRIM(E724)="","",IFERROR(INDEX(Map_Tables!$H$4:$H$37,MATCH(TRIM(E724),Map_Tables!$G$4:$G$37,0)),"CHECK"))</f>
        <v>Dosa Darbar</v>
      </c>
      <c r="AF724" s="7" t="str">
        <f aca="false">IF(TRIM(K724)="","Unknown",IFERROR(INDEX(Map_Tables!$E$4:$E$15,MATCH(TRIM(K724),Map_Tables!$D$4:$D$15,0)),"CHECK"))</f>
        <v>Credit Card</v>
      </c>
      <c r="AG724" s="7" t="str">
        <f aca="false">IF(LEFT(LOWER(TRIM(L724)),6)="cancel","Cancelled","Delivered")</f>
        <v>Delivered</v>
      </c>
      <c r="AH724" s="10" t="n">
        <f aca="false">IF(ISNUMBER(SEARCH("/",B724)),DATE(VALUE(RIGHT(B724,4)),VALUE(MID(B724,4,2)),VALUE(LEFT(B724,2))),IF(MID(B724,5,1)="-",DATE(VALUE(LEFT(B724,4)),VALUE(MID(B724,6,2)),VALUE(RIGHT(B724,2))),DATE(VALUE(RIGHT(B724,4)),MATCH(MID(B724,4,3),{"Jan","Feb","Mar","Apr","May","Jun","Jul","Aug","Sep","Oct","Nov","Dec"},0),VALUE(LEFT(B724,2)))))</f>
        <v>45919</v>
      </c>
    </row>
    <row r="725" customFormat="false" ht="15" hidden="false" customHeight="false" outlineLevel="0" collapsed="false">
      <c r="A725" s="7" t="s">
        <v>2425</v>
      </c>
      <c r="B725" s="7" t="s">
        <v>244</v>
      </c>
      <c r="C725" s="7" t="s">
        <v>1572</v>
      </c>
      <c r="D725" s="7" t="s">
        <v>2426</v>
      </c>
      <c r="E725" s="7" t="s">
        <v>163</v>
      </c>
      <c r="F725" s="7" t="s">
        <v>141</v>
      </c>
      <c r="G725" s="7" t="s">
        <v>99</v>
      </c>
      <c r="H725" s="7" t="n">
        <v>2</v>
      </c>
      <c r="I725" s="7" t="n">
        <v>245</v>
      </c>
      <c r="J725" s="7" t="n">
        <v>20</v>
      </c>
      <c r="K725" s="7" t="s">
        <v>121</v>
      </c>
      <c r="L725" s="7" t="s">
        <v>194</v>
      </c>
      <c r="M725" s="7" t="n">
        <v>38</v>
      </c>
      <c r="N725" s="7" t="n">
        <v>5</v>
      </c>
      <c r="O725" s="7" t="str">
        <f aca="false">A725&amp;"|"&amp;B725&amp;"|"&amp;C725&amp;"|"&amp;D725&amp;"|"&amp;E725&amp;"|"&amp;F725&amp;"|"&amp;G725&amp;"|"&amp;H725&amp;"|"&amp;I725&amp;"|"&amp;J725&amp;"|"&amp;K725&amp;"|"&amp;L725&amp;"|"&amp;M725&amp;"|"&amp;N725</f>
        <v>ORD10730|2025-04-03|20:41|C0220|Biryani Baadshah|Kolkata|Biryani|2|245|20|Wallet|Delivered|38|5</v>
      </c>
      <c r="P725" s="7" t="str">
        <f aca="false">IF(COUNTIF($O$2:O725,O725)&gt;1,"DUP","OK")</f>
        <v>OK</v>
      </c>
      <c r="Q725" s="7" t="n">
        <f aca="false">COUNTBLANK(A725:N725)</f>
        <v>0</v>
      </c>
      <c r="R725" s="7" t="n">
        <f aca="false">IF(A725="",0,COUNTIFS($A$2:$A$3058,A725,$P$2:$P$3058,"OK"))</f>
        <v>1</v>
      </c>
      <c r="S725" s="7" t="str">
        <f aca="false">IF(OR(A725="",P725="DUP",R725&lt;2),"",IF(Q725=_xlfn.MINIFS($Q$2:$Q$3058,$A$2:$A$3058,A725,$P$2:$P$3058,"OK"),"KEEP","DROP"))</f>
        <v/>
      </c>
      <c r="T725" s="9" t="n">
        <f aca="false">IF(A725="",1,0)</f>
        <v>0</v>
      </c>
      <c r="U725" s="9" t="n">
        <f aca="false">IF(D725="",1,0)</f>
        <v>0</v>
      </c>
      <c r="V725" s="9" t="n">
        <f aca="false">IF(E725="",1,0)</f>
        <v>0</v>
      </c>
      <c r="W725" s="9" t="n">
        <f aca="false">IF(OR(H725&lt;1,H725&gt;10),1,0)</f>
        <v>0</v>
      </c>
      <c r="X725" s="9" t="n">
        <f aca="false">IF(OR(I725&lt;=0,I725&gt;1500),1,0)</f>
        <v>0</v>
      </c>
      <c r="Y725" s="9" t="n">
        <f aca="false">IF(J725&gt;H725*I725,1,0)</f>
        <v>0</v>
      </c>
      <c r="Z725" s="9" t="n">
        <f aca="false">IF(AND(N725&lt;&gt;"",OR(N725&lt;1,N725&gt;5)),1,0)</f>
        <v>0</v>
      </c>
      <c r="AA725" s="9" t="n">
        <f aca="false">IF(AND(M725&lt;&gt;"",OR(M725&lt;5,M725&gt;180)),1,0)</f>
        <v>0</v>
      </c>
      <c r="AB725" s="7" t="str">
        <f aca="false">IF(P725="DUP","Exact duplicate row",IF(T725=1,"Missing Order ID",IF(S725="DROP","Duplicate Order ID (less complete row)",IF(U725=1,"Missing Customer ID",IF(V725=1,"Missing Restaurant name",IF(W725=1,"Invalid/outlier quantity",IF(X725=1,"Invalid/outlier unit price",IF(Y725=1,"Discount greater than order value",""))))))))</f>
        <v/>
      </c>
      <c r="AC725" s="7" t="str">
        <f aca="false">IF(AB725="","KEEP","DROP")</f>
        <v>KEEP</v>
      </c>
      <c r="AD725" s="7" t="str">
        <f aca="false">IF(TRIM(F725)="",IFERROR(INDEX(Map_Tables!$I$4:$I$37,MATCH(TRIM(E725),Map_Tables!$G$4:$G$37,0)),""),IFERROR(INDEX(Map_Tables!$B$4:$B$18,MATCH(TRIM(F725),Map_Tables!$A$4:$A$18,0)),"CHECK"))</f>
        <v>Kolkata</v>
      </c>
      <c r="AE725" s="7" t="str">
        <f aca="false">IF(TRIM(E725)="","",IFERROR(INDEX(Map_Tables!$H$4:$H$37,MATCH(TRIM(E725),Map_Tables!$G$4:$G$37,0)),"CHECK"))</f>
        <v>Biryani Baadshah</v>
      </c>
      <c r="AF725" s="7" t="str">
        <f aca="false">IF(TRIM(K725)="","Unknown",IFERROR(INDEX(Map_Tables!$E$4:$E$15,MATCH(TRIM(K725),Map_Tables!$D$4:$D$15,0)),"CHECK"))</f>
        <v>Wallet</v>
      </c>
      <c r="AG725" s="7" t="str">
        <f aca="false">IF(LEFT(LOWER(TRIM(L725)),6)="cancel","Cancelled","Delivered")</f>
        <v>Delivered</v>
      </c>
      <c r="AH725" s="10" t="n">
        <f aca="false">IF(ISNUMBER(SEARCH("/",B725)),DATE(VALUE(RIGHT(B725,4)),VALUE(MID(B725,4,2)),VALUE(LEFT(B725,2))),IF(MID(B725,5,1)="-",DATE(VALUE(LEFT(B725,4)),VALUE(MID(B725,6,2)),VALUE(RIGHT(B725,2))),DATE(VALUE(RIGHT(B725,4)),MATCH(MID(B725,4,3),{"Jan","Feb","Mar","Apr","May","Jun","Jul","Aug","Sep","Oct","Nov","Dec"},0),VALUE(LEFT(B725,2)))))</f>
        <v>45750</v>
      </c>
    </row>
    <row r="726" customFormat="false" ht="15" hidden="false" customHeight="false" outlineLevel="0" collapsed="false">
      <c r="A726" s="7" t="s">
        <v>2427</v>
      </c>
      <c r="B726" s="7" t="s">
        <v>2428</v>
      </c>
      <c r="C726" s="7" t="s">
        <v>2125</v>
      </c>
      <c r="D726" s="7" t="s">
        <v>2429</v>
      </c>
      <c r="E726" s="7" t="s">
        <v>152</v>
      </c>
      <c r="F726" s="7" t="s">
        <v>128</v>
      </c>
      <c r="G726" s="7" t="s">
        <v>95</v>
      </c>
      <c r="H726" s="7" t="n">
        <v>1</v>
      </c>
      <c r="I726" s="7" t="n">
        <v>105</v>
      </c>
      <c r="J726" s="7" t="n">
        <v>0</v>
      </c>
      <c r="K726" s="7" t="s">
        <v>121</v>
      </c>
      <c r="L726" s="7" t="s">
        <v>194</v>
      </c>
      <c r="M726" s="7" t="n">
        <v>34</v>
      </c>
      <c r="N726" s="7" t="n">
        <v>4</v>
      </c>
      <c r="O726" s="7" t="str">
        <f aca="false">A726&amp;"|"&amp;B726&amp;"|"&amp;C726&amp;"|"&amp;D726&amp;"|"&amp;E726&amp;"|"&amp;F726&amp;"|"&amp;G726&amp;"|"&amp;H726&amp;"|"&amp;I726&amp;"|"&amp;J726&amp;"|"&amp;K726&amp;"|"&amp;L726&amp;"|"&amp;M726&amp;"|"&amp;N726</f>
        <v>ORD11632|2025-08-01|17:20|C1033|Filter Coffee &amp; Tiffin|Chennai|South Indian|1|105|0|Wallet|Delivered|34|4</v>
      </c>
      <c r="P726" s="7" t="str">
        <f aca="false">IF(COUNTIF($O$2:O726,O726)&gt;1,"DUP","OK")</f>
        <v>OK</v>
      </c>
      <c r="Q726" s="7" t="n">
        <f aca="false">COUNTBLANK(A726:N726)</f>
        <v>0</v>
      </c>
      <c r="R726" s="7" t="n">
        <f aca="false">IF(A726="",0,COUNTIFS($A$2:$A$3058,A726,$P$2:$P$3058,"OK"))</f>
        <v>1</v>
      </c>
      <c r="S726" s="7" t="str">
        <f aca="false">IF(OR(A726="",P726="DUP",R726&lt;2),"",IF(Q726=_xlfn.MINIFS($Q$2:$Q$3058,$A$2:$A$3058,A726,$P$2:$P$3058,"OK"),"KEEP","DROP"))</f>
        <v/>
      </c>
      <c r="T726" s="9" t="n">
        <f aca="false">IF(A726="",1,0)</f>
        <v>0</v>
      </c>
      <c r="U726" s="9" t="n">
        <f aca="false">IF(D726="",1,0)</f>
        <v>0</v>
      </c>
      <c r="V726" s="9" t="n">
        <f aca="false">IF(E726="",1,0)</f>
        <v>0</v>
      </c>
      <c r="W726" s="9" t="n">
        <f aca="false">IF(OR(H726&lt;1,H726&gt;10),1,0)</f>
        <v>0</v>
      </c>
      <c r="X726" s="9" t="n">
        <f aca="false">IF(OR(I726&lt;=0,I726&gt;1500),1,0)</f>
        <v>0</v>
      </c>
      <c r="Y726" s="9" t="n">
        <f aca="false">IF(J726&gt;H726*I726,1,0)</f>
        <v>0</v>
      </c>
      <c r="Z726" s="9" t="n">
        <f aca="false">IF(AND(N726&lt;&gt;"",OR(N726&lt;1,N726&gt;5)),1,0)</f>
        <v>0</v>
      </c>
      <c r="AA726" s="9" t="n">
        <f aca="false">IF(AND(M726&lt;&gt;"",OR(M726&lt;5,M726&gt;180)),1,0)</f>
        <v>0</v>
      </c>
      <c r="AB726" s="7" t="str">
        <f aca="false">IF(P726="DUP","Exact duplicate row",IF(T726=1,"Missing Order ID",IF(S726="DROP","Duplicate Order ID (less complete row)",IF(U726=1,"Missing Customer ID",IF(V726=1,"Missing Restaurant name",IF(W726=1,"Invalid/outlier quantity",IF(X726=1,"Invalid/outlier unit price",IF(Y726=1,"Discount greater than order value",""))))))))</f>
        <v/>
      </c>
      <c r="AC726" s="7" t="str">
        <f aca="false">IF(AB726="","KEEP","DROP")</f>
        <v>KEEP</v>
      </c>
      <c r="AD726" s="7" t="str">
        <f aca="false">IF(TRIM(F726)="",IFERROR(INDEX(Map_Tables!$I$4:$I$37,MATCH(TRIM(E726),Map_Tables!$G$4:$G$37,0)),""),IFERROR(INDEX(Map_Tables!$B$4:$B$18,MATCH(TRIM(F726),Map_Tables!$A$4:$A$18,0)),"CHECK"))</f>
        <v>Chennai</v>
      </c>
      <c r="AE726" s="7" t="str">
        <f aca="false">IF(TRIM(E726)="","",IFERROR(INDEX(Map_Tables!$H$4:$H$37,MATCH(TRIM(E726),Map_Tables!$G$4:$G$37,0)),"CHECK"))</f>
        <v>Filter Coffee &amp; Tiffin</v>
      </c>
      <c r="AF726" s="7" t="str">
        <f aca="false">IF(TRIM(K726)="","Unknown",IFERROR(INDEX(Map_Tables!$E$4:$E$15,MATCH(TRIM(K726),Map_Tables!$D$4:$D$15,0)),"CHECK"))</f>
        <v>Wallet</v>
      </c>
      <c r="AG726" s="7" t="str">
        <f aca="false">IF(LEFT(LOWER(TRIM(L726)),6)="cancel","Cancelled","Delivered")</f>
        <v>Delivered</v>
      </c>
      <c r="AH726" s="10" t="n">
        <f aca="false">IF(ISNUMBER(SEARCH("/",B726)),DATE(VALUE(RIGHT(B726,4)),VALUE(MID(B726,4,2)),VALUE(LEFT(B726,2))),IF(MID(B726,5,1)="-",DATE(VALUE(LEFT(B726,4)),VALUE(MID(B726,6,2)),VALUE(RIGHT(B726,2))),DATE(VALUE(RIGHT(B726,4)),MATCH(MID(B726,4,3),{"Jan","Feb","Mar","Apr","May","Jun","Jul","Aug","Sep","Oct","Nov","Dec"},0),VALUE(LEFT(B726,2)))))</f>
        <v>45870</v>
      </c>
    </row>
    <row r="727" customFormat="false" ht="15" hidden="false" customHeight="false" outlineLevel="0" collapsed="false">
      <c r="A727" s="7" t="s">
        <v>2430</v>
      </c>
      <c r="B727" s="7" t="s">
        <v>869</v>
      </c>
      <c r="C727" s="7" t="s">
        <v>2431</v>
      </c>
      <c r="D727" s="7" t="s">
        <v>2432</v>
      </c>
      <c r="E727" s="7" t="s">
        <v>126</v>
      </c>
      <c r="F727" s="7" t="s">
        <v>101</v>
      </c>
      <c r="G727" s="7" t="s">
        <v>105</v>
      </c>
      <c r="H727" s="7" t="n">
        <v>1</v>
      </c>
      <c r="I727" s="7" t="n">
        <v>235</v>
      </c>
      <c r="J727" s="7" t="n">
        <v>0</v>
      </c>
      <c r="K727" s="7" t="s">
        <v>87</v>
      </c>
      <c r="L727" s="7" t="s">
        <v>194</v>
      </c>
      <c r="M727" s="7" t="n">
        <v>26</v>
      </c>
      <c r="N727" s="7" t="n">
        <v>5</v>
      </c>
      <c r="O727" s="7" t="str">
        <f aca="false">A727&amp;"|"&amp;B727&amp;"|"&amp;C727&amp;"|"&amp;D727&amp;"|"&amp;E727&amp;"|"&amp;F727&amp;"|"&amp;G727&amp;"|"&amp;H727&amp;"|"&amp;I727&amp;"|"&amp;J727&amp;"|"&amp;K727&amp;"|"&amp;L727&amp;"|"&amp;M727&amp;"|"&amp;N727</f>
        <v>ORD11314|2025-06-19|15:04|C1116|Dragon Express|Mumbai|Chinese|1|235|0|upi|Delivered|26|5</v>
      </c>
      <c r="P727" s="7" t="str">
        <f aca="false">IF(COUNTIF($O$2:O727,O727)&gt;1,"DUP","OK")</f>
        <v>OK</v>
      </c>
      <c r="Q727" s="7" t="n">
        <f aca="false">COUNTBLANK(A727:N727)</f>
        <v>0</v>
      </c>
      <c r="R727" s="7" t="n">
        <f aca="false">IF(A727="",0,COUNTIFS($A$2:$A$3058,A727,$P$2:$P$3058,"OK"))</f>
        <v>1</v>
      </c>
      <c r="S727" s="7" t="str">
        <f aca="false">IF(OR(A727="",P727="DUP",R727&lt;2),"",IF(Q727=_xlfn.MINIFS($Q$2:$Q$3058,$A$2:$A$3058,A727,$P$2:$P$3058,"OK"),"KEEP","DROP"))</f>
        <v/>
      </c>
      <c r="T727" s="9" t="n">
        <f aca="false">IF(A727="",1,0)</f>
        <v>0</v>
      </c>
      <c r="U727" s="9" t="n">
        <f aca="false">IF(D727="",1,0)</f>
        <v>0</v>
      </c>
      <c r="V727" s="9" t="n">
        <f aca="false">IF(E727="",1,0)</f>
        <v>0</v>
      </c>
      <c r="W727" s="9" t="n">
        <f aca="false">IF(OR(H727&lt;1,H727&gt;10),1,0)</f>
        <v>0</v>
      </c>
      <c r="X727" s="9" t="n">
        <f aca="false">IF(OR(I727&lt;=0,I727&gt;1500),1,0)</f>
        <v>0</v>
      </c>
      <c r="Y727" s="9" t="n">
        <f aca="false">IF(J727&gt;H727*I727,1,0)</f>
        <v>0</v>
      </c>
      <c r="Z727" s="9" t="n">
        <f aca="false">IF(AND(N727&lt;&gt;"",OR(N727&lt;1,N727&gt;5)),1,0)</f>
        <v>0</v>
      </c>
      <c r="AA727" s="9" t="n">
        <f aca="false">IF(AND(M727&lt;&gt;"",OR(M727&lt;5,M727&gt;180)),1,0)</f>
        <v>0</v>
      </c>
      <c r="AB727" s="7" t="str">
        <f aca="false">IF(P727="DUP","Exact duplicate row",IF(T727=1,"Missing Order ID",IF(S727="DROP","Duplicate Order ID (less complete row)",IF(U727=1,"Missing Customer ID",IF(V727=1,"Missing Restaurant name",IF(W727=1,"Invalid/outlier quantity",IF(X727=1,"Invalid/outlier unit price",IF(Y727=1,"Discount greater than order value",""))))))))</f>
        <v/>
      </c>
      <c r="AC727" s="7" t="str">
        <f aca="false">IF(AB727="","KEEP","DROP")</f>
        <v>KEEP</v>
      </c>
      <c r="AD727" s="7" t="str">
        <f aca="false">IF(TRIM(F727)="",IFERROR(INDEX(Map_Tables!$I$4:$I$37,MATCH(TRIM(E727),Map_Tables!$G$4:$G$37,0)),""),IFERROR(INDEX(Map_Tables!$B$4:$B$18,MATCH(TRIM(F727),Map_Tables!$A$4:$A$18,0)),"CHECK"))</f>
        <v>Mumbai</v>
      </c>
      <c r="AE727" s="7" t="str">
        <f aca="false">IF(TRIM(E727)="","",IFERROR(INDEX(Map_Tables!$H$4:$H$37,MATCH(TRIM(E727),Map_Tables!$G$4:$G$37,0)),"CHECK"))</f>
        <v>Dragon Express</v>
      </c>
      <c r="AF727" s="7" t="str">
        <f aca="false">IF(TRIM(K727)="","Unknown",IFERROR(INDEX(Map_Tables!$E$4:$E$15,MATCH(TRIM(K727),Map_Tables!$D$4:$D$15,0)),"CHECK"))</f>
        <v>UPI</v>
      </c>
      <c r="AG727" s="7" t="str">
        <f aca="false">IF(LEFT(LOWER(TRIM(L727)),6)="cancel","Cancelled","Delivered")</f>
        <v>Delivered</v>
      </c>
      <c r="AH727" s="10" t="n">
        <f aca="false">IF(ISNUMBER(SEARCH("/",B727)),DATE(VALUE(RIGHT(B727,4)),VALUE(MID(B727,4,2)),VALUE(LEFT(B727,2))),IF(MID(B727,5,1)="-",DATE(VALUE(LEFT(B727,4)),VALUE(MID(B727,6,2)),VALUE(RIGHT(B727,2))),DATE(VALUE(RIGHT(B727,4)),MATCH(MID(B727,4,3),{"Jan","Feb","Mar","Apr","May","Jun","Jul","Aug","Sep","Oct","Nov","Dec"},0),VALUE(LEFT(B727,2)))))</f>
        <v>45827</v>
      </c>
    </row>
    <row r="728" customFormat="false" ht="15" hidden="false" customHeight="false" outlineLevel="0" collapsed="false">
      <c r="A728" s="7" t="s">
        <v>2433</v>
      </c>
      <c r="B728" s="7" t="s">
        <v>2322</v>
      </c>
      <c r="C728" s="7" t="s">
        <v>463</v>
      </c>
      <c r="D728" s="7" t="s">
        <v>905</v>
      </c>
      <c r="E728" s="7" t="s">
        <v>2434</v>
      </c>
      <c r="F728" s="7" t="s">
        <v>110</v>
      </c>
      <c r="G728" s="7" t="s">
        <v>90</v>
      </c>
      <c r="H728" s="7" t="n">
        <v>5</v>
      </c>
      <c r="I728" s="7" t="n">
        <v>250</v>
      </c>
      <c r="J728" s="7" t="n">
        <v>0</v>
      </c>
      <c r="K728" s="7" t="s">
        <v>121</v>
      </c>
      <c r="L728" s="7" t="s">
        <v>194</v>
      </c>
      <c r="M728" s="7" t="n">
        <v>32</v>
      </c>
      <c r="N728" s="7" t="n">
        <v>5</v>
      </c>
      <c r="O728" s="7" t="str">
        <f aca="false">A728&amp;"|"&amp;B728&amp;"|"&amp;C728&amp;"|"&amp;D728&amp;"|"&amp;E728&amp;"|"&amp;F728&amp;"|"&amp;G728&amp;"|"&amp;H728&amp;"|"&amp;I728&amp;"|"&amp;J728&amp;"|"&amp;K728&amp;"|"&amp;L728&amp;"|"&amp;M728&amp;"|"&amp;N728</f>
        <v>ORD10962|2025-05-01|23:54|C0467|tandoor tales|Delhi|North Indian|5|250|0|Wallet|Delivered|32|5</v>
      </c>
      <c r="P728" s="7" t="str">
        <f aca="false">IF(COUNTIF($O$2:O728,O728)&gt;1,"DUP","OK")</f>
        <v>OK</v>
      </c>
      <c r="Q728" s="7" t="n">
        <f aca="false">COUNTBLANK(A728:N728)</f>
        <v>0</v>
      </c>
      <c r="R728" s="7" t="n">
        <f aca="false">IF(A728="",0,COUNTIFS($A$2:$A$3058,A728,$P$2:$P$3058,"OK"))</f>
        <v>1</v>
      </c>
      <c r="S728" s="7" t="str">
        <f aca="false">IF(OR(A728="",P728="DUP",R728&lt;2),"",IF(Q728=_xlfn.MINIFS($Q$2:$Q$3058,$A$2:$A$3058,A728,$P$2:$P$3058,"OK"),"KEEP","DROP"))</f>
        <v/>
      </c>
      <c r="T728" s="9" t="n">
        <f aca="false">IF(A728="",1,0)</f>
        <v>0</v>
      </c>
      <c r="U728" s="9" t="n">
        <f aca="false">IF(D728="",1,0)</f>
        <v>0</v>
      </c>
      <c r="V728" s="9" t="n">
        <f aca="false">IF(E728="",1,0)</f>
        <v>0</v>
      </c>
      <c r="W728" s="9" t="n">
        <f aca="false">IF(OR(H728&lt;1,H728&gt;10),1,0)</f>
        <v>0</v>
      </c>
      <c r="X728" s="9" t="n">
        <f aca="false">IF(OR(I728&lt;=0,I728&gt;1500),1,0)</f>
        <v>0</v>
      </c>
      <c r="Y728" s="9" t="n">
        <f aca="false">IF(J728&gt;H728*I728,1,0)</f>
        <v>0</v>
      </c>
      <c r="Z728" s="9" t="n">
        <f aca="false">IF(AND(N728&lt;&gt;"",OR(N728&lt;1,N728&gt;5)),1,0)</f>
        <v>0</v>
      </c>
      <c r="AA728" s="9" t="n">
        <f aca="false">IF(AND(M728&lt;&gt;"",OR(M728&lt;5,M728&gt;180)),1,0)</f>
        <v>0</v>
      </c>
      <c r="AB728" s="7" t="str">
        <f aca="false">IF(P728="DUP","Exact duplicate row",IF(T728=1,"Missing Order ID",IF(S728="DROP","Duplicate Order ID (less complete row)",IF(U728=1,"Missing Customer ID",IF(V728=1,"Missing Restaurant name",IF(W728=1,"Invalid/outlier quantity",IF(X728=1,"Invalid/outlier unit price",IF(Y728=1,"Discount greater than order value",""))))))))</f>
        <v/>
      </c>
      <c r="AC728" s="7" t="str">
        <f aca="false">IF(AB728="","KEEP","DROP")</f>
        <v>KEEP</v>
      </c>
      <c r="AD728" s="7" t="str">
        <f aca="false">IF(TRIM(F728)="",IFERROR(INDEX(Map_Tables!$I$4:$I$37,MATCH(TRIM(E728),Map_Tables!$G$4:$G$37,0)),""),IFERROR(INDEX(Map_Tables!$B$4:$B$18,MATCH(TRIM(F728),Map_Tables!$A$4:$A$18,0)),"CHECK"))</f>
        <v>Delhi</v>
      </c>
      <c r="AE728" s="7" t="str">
        <f aca="false">IF(TRIM(E728)="","",IFERROR(INDEX(Map_Tables!$H$4:$H$37,MATCH(TRIM(E728),Map_Tables!$G$4:$G$37,0)),"CHECK"))</f>
        <v>Tandoor Tales</v>
      </c>
      <c r="AF728" s="7" t="str">
        <f aca="false">IF(TRIM(K728)="","Unknown",IFERROR(INDEX(Map_Tables!$E$4:$E$15,MATCH(TRIM(K728),Map_Tables!$D$4:$D$15,0)),"CHECK"))</f>
        <v>Wallet</v>
      </c>
      <c r="AG728" s="7" t="str">
        <f aca="false">IF(LEFT(LOWER(TRIM(L728)),6)="cancel","Cancelled","Delivered")</f>
        <v>Delivered</v>
      </c>
      <c r="AH728" s="10" t="n">
        <f aca="false">IF(ISNUMBER(SEARCH("/",B728)),DATE(VALUE(RIGHT(B728,4)),VALUE(MID(B728,4,2)),VALUE(LEFT(B728,2))),IF(MID(B728,5,1)="-",DATE(VALUE(LEFT(B728,4)),VALUE(MID(B728,6,2)),VALUE(RIGHT(B728,2))),DATE(VALUE(RIGHT(B728,4)),MATCH(MID(B728,4,3),{"Jan","Feb","Mar","Apr","May","Jun","Jul","Aug","Sep","Oct","Nov","Dec"},0),VALUE(LEFT(B728,2)))))</f>
        <v>45778</v>
      </c>
    </row>
    <row r="729" customFormat="false" ht="15" hidden="false" customHeight="false" outlineLevel="0" collapsed="false">
      <c r="A729" s="7" t="s">
        <v>2435</v>
      </c>
      <c r="B729" s="7" t="s">
        <v>2436</v>
      </c>
      <c r="C729" s="7" t="s">
        <v>2155</v>
      </c>
      <c r="D729" s="7" t="s">
        <v>2437</v>
      </c>
      <c r="E729" s="7" t="s">
        <v>113</v>
      </c>
      <c r="F729" s="7" t="s">
        <v>101</v>
      </c>
      <c r="G729" s="7" t="s">
        <v>90</v>
      </c>
      <c r="H729" s="7" t="n">
        <v>2</v>
      </c>
      <c r="I729" s="7" t="n">
        <v>260</v>
      </c>
      <c r="J729" s="7" t="n">
        <v>0</v>
      </c>
      <c r="K729" s="7" t="s">
        <v>93</v>
      </c>
      <c r="L729" s="7" t="s">
        <v>194</v>
      </c>
      <c r="M729" s="7" t="n">
        <v>52</v>
      </c>
      <c r="N729" s="7" t="n">
        <v>3</v>
      </c>
      <c r="O729" s="7" t="str">
        <f aca="false">A729&amp;"|"&amp;B729&amp;"|"&amp;C729&amp;"|"&amp;D729&amp;"|"&amp;E729&amp;"|"&amp;F729&amp;"|"&amp;G729&amp;"|"&amp;H729&amp;"|"&amp;I729&amp;"|"&amp;J729&amp;"|"&amp;K729&amp;"|"&amp;L729&amp;"|"&amp;M729&amp;"|"&amp;N729</f>
        <v>ORD11284|13/06/2025|12:10|C0133|Curry Leaf Kitchen|Mumbai|North Indian|2|260|0|Credit Card|Delivered|52|3</v>
      </c>
      <c r="P729" s="7" t="str">
        <f aca="false">IF(COUNTIF($O$2:O729,O729)&gt;1,"DUP","OK")</f>
        <v>OK</v>
      </c>
      <c r="Q729" s="7" t="n">
        <f aca="false">COUNTBLANK(A729:N729)</f>
        <v>0</v>
      </c>
      <c r="R729" s="7" t="n">
        <f aca="false">IF(A729="",0,COUNTIFS($A$2:$A$3058,A729,$P$2:$P$3058,"OK"))</f>
        <v>1</v>
      </c>
      <c r="S729" s="7" t="str">
        <f aca="false">IF(OR(A729="",P729="DUP",R729&lt;2),"",IF(Q729=_xlfn.MINIFS($Q$2:$Q$3058,$A$2:$A$3058,A729,$P$2:$P$3058,"OK"),"KEEP","DROP"))</f>
        <v/>
      </c>
      <c r="T729" s="9" t="n">
        <f aca="false">IF(A729="",1,0)</f>
        <v>0</v>
      </c>
      <c r="U729" s="9" t="n">
        <f aca="false">IF(D729="",1,0)</f>
        <v>0</v>
      </c>
      <c r="V729" s="9" t="n">
        <f aca="false">IF(E729="",1,0)</f>
        <v>0</v>
      </c>
      <c r="W729" s="9" t="n">
        <f aca="false">IF(OR(H729&lt;1,H729&gt;10),1,0)</f>
        <v>0</v>
      </c>
      <c r="X729" s="9" t="n">
        <f aca="false">IF(OR(I729&lt;=0,I729&gt;1500),1,0)</f>
        <v>0</v>
      </c>
      <c r="Y729" s="9" t="n">
        <f aca="false">IF(J729&gt;H729*I729,1,0)</f>
        <v>0</v>
      </c>
      <c r="Z729" s="9" t="n">
        <f aca="false">IF(AND(N729&lt;&gt;"",OR(N729&lt;1,N729&gt;5)),1,0)</f>
        <v>0</v>
      </c>
      <c r="AA729" s="9" t="n">
        <f aca="false">IF(AND(M729&lt;&gt;"",OR(M729&lt;5,M729&gt;180)),1,0)</f>
        <v>0</v>
      </c>
      <c r="AB729" s="7" t="str">
        <f aca="false">IF(P729="DUP","Exact duplicate row",IF(T729=1,"Missing Order ID",IF(S729="DROP","Duplicate Order ID (less complete row)",IF(U729=1,"Missing Customer ID",IF(V729=1,"Missing Restaurant name",IF(W729=1,"Invalid/outlier quantity",IF(X729=1,"Invalid/outlier unit price",IF(Y729=1,"Discount greater than order value",""))))))))</f>
        <v/>
      </c>
      <c r="AC729" s="7" t="str">
        <f aca="false">IF(AB729="","KEEP","DROP")</f>
        <v>KEEP</v>
      </c>
      <c r="AD729" s="7" t="str">
        <f aca="false">IF(TRIM(F729)="",IFERROR(INDEX(Map_Tables!$I$4:$I$37,MATCH(TRIM(E729),Map_Tables!$G$4:$G$37,0)),""),IFERROR(INDEX(Map_Tables!$B$4:$B$18,MATCH(TRIM(F729),Map_Tables!$A$4:$A$18,0)),"CHECK"))</f>
        <v>Mumbai</v>
      </c>
      <c r="AE729" s="7" t="str">
        <f aca="false">IF(TRIM(E729)="","",IFERROR(INDEX(Map_Tables!$H$4:$H$37,MATCH(TRIM(E729),Map_Tables!$G$4:$G$37,0)),"CHECK"))</f>
        <v>Curry Leaf Kitchen</v>
      </c>
      <c r="AF729" s="7" t="str">
        <f aca="false">IF(TRIM(K729)="","Unknown",IFERROR(INDEX(Map_Tables!$E$4:$E$15,MATCH(TRIM(K729),Map_Tables!$D$4:$D$15,0)),"CHECK"))</f>
        <v>Credit Card</v>
      </c>
      <c r="AG729" s="7" t="str">
        <f aca="false">IF(LEFT(LOWER(TRIM(L729)),6)="cancel","Cancelled","Delivered")</f>
        <v>Delivered</v>
      </c>
      <c r="AH729" s="10" t="n">
        <f aca="false">IF(ISNUMBER(SEARCH("/",B729)),DATE(VALUE(RIGHT(B729,4)),VALUE(MID(B729,4,2)),VALUE(LEFT(B729,2))),IF(MID(B729,5,1)="-",DATE(VALUE(LEFT(B729,4)),VALUE(MID(B729,6,2)),VALUE(RIGHT(B729,2))),DATE(VALUE(RIGHT(B729,4)),MATCH(MID(B729,4,3),{"Jan","Feb","Mar","Apr","May","Jun","Jul","Aug","Sep","Oct","Nov","Dec"},0),VALUE(LEFT(B729,2)))))</f>
        <v>45821</v>
      </c>
    </row>
    <row r="730" customFormat="false" ht="15" hidden="false" customHeight="false" outlineLevel="0" collapsed="false">
      <c r="A730" s="7" t="s">
        <v>2438</v>
      </c>
      <c r="B730" s="7" t="s">
        <v>824</v>
      </c>
      <c r="C730" s="7" t="s">
        <v>2439</v>
      </c>
      <c r="D730" s="7" t="s">
        <v>2203</v>
      </c>
      <c r="E730" s="7" t="s">
        <v>94</v>
      </c>
      <c r="F730" s="7" t="s">
        <v>86</v>
      </c>
      <c r="G730" s="7" t="s">
        <v>95</v>
      </c>
      <c r="H730" s="7" t="n">
        <v>1</v>
      </c>
      <c r="I730" s="7" t="n">
        <v>135</v>
      </c>
      <c r="J730" s="7" t="n">
        <v>0</v>
      </c>
      <c r="K730" s="7" t="s">
        <v>88</v>
      </c>
      <c r="L730" s="7" t="s">
        <v>194</v>
      </c>
      <c r="M730" s="7" t="n">
        <v>38</v>
      </c>
      <c r="N730" s="7" t="n">
        <v>4</v>
      </c>
      <c r="O730" s="7" t="str">
        <f aca="false">A730&amp;"|"&amp;B730&amp;"|"&amp;C730&amp;"|"&amp;D730&amp;"|"&amp;E730&amp;"|"&amp;F730&amp;"|"&amp;G730&amp;"|"&amp;H730&amp;"|"&amp;I730&amp;"|"&amp;J730&amp;"|"&amp;K730&amp;"|"&amp;L730&amp;"|"&amp;M730&amp;"|"&amp;N730</f>
        <v>ORD12775|2025-12-05|19:39|C0086|Dosa Darbar|Bengaluru|South Indian|1|135|0|UPI|Delivered|38|4</v>
      </c>
      <c r="P730" s="7" t="str">
        <f aca="false">IF(COUNTIF($O$2:O730,O730)&gt;1,"DUP","OK")</f>
        <v>OK</v>
      </c>
      <c r="Q730" s="7" t="n">
        <f aca="false">COUNTBLANK(A730:N730)</f>
        <v>0</v>
      </c>
      <c r="R730" s="7" t="n">
        <f aca="false">IF(A730="",0,COUNTIFS($A$2:$A$3058,A730,$P$2:$P$3058,"OK"))</f>
        <v>1</v>
      </c>
      <c r="S730" s="7" t="str">
        <f aca="false">IF(OR(A730="",P730="DUP",R730&lt;2),"",IF(Q730=_xlfn.MINIFS($Q$2:$Q$3058,$A$2:$A$3058,A730,$P$2:$P$3058,"OK"),"KEEP","DROP"))</f>
        <v/>
      </c>
      <c r="T730" s="9" t="n">
        <f aca="false">IF(A730="",1,0)</f>
        <v>0</v>
      </c>
      <c r="U730" s="9" t="n">
        <f aca="false">IF(D730="",1,0)</f>
        <v>0</v>
      </c>
      <c r="V730" s="9" t="n">
        <f aca="false">IF(E730="",1,0)</f>
        <v>0</v>
      </c>
      <c r="W730" s="9" t="n">
        <f aca="false">IF(OR(H730&lt;1,H730&gt;10),1,0)</f>
        <v>0</v>
      </c>
      <c r="X730" s="9" t="n">
        <f aca="false">IF(OR(I730&lt;=0,I730&gt;1500),1,0)</f>
        <v>0</v>
      </c>
      <c r="Y730" s="9" t="n">
        <f aca="false">IF(J730&gt;H730*I730,1,0)</f>
        <v>0</v>
      </c>
      <c r="Z730" s="9" t="n">
        <f aca="false">IF(AND(N730&lt;&gt;"",OR(N730&lt;1,N730&gt;5)),1,0)</f>
        <v>0</v>
      </c>
      <c r="AA730" s="9" t="n">
        <f aca="false">IF(AND(M730&lt;&gt;"",OR(M730&lt;5,M730&gt;180)),1,0)</f>
        <v>0</v>
      </c>
      <c r="AB730" s="7" t="str">
        <f aca="false">IF(P730="DUP","Exact duplicate row",IF(T730=1,"Missing Order ID",IF(S730="DROP","Duplicate Order ID (less complete row)",IF(U730=1,"Missing Customer ID",IF(V730=1,"Missing Restaurant name",IF(W730=1,"Invalid/outlier quantity",IF(X730=1,"Invalid/outlier unit price",IF(Y730=1,"Discount greater than order value",""))))))))</f>
        <v/>
      </c>
      <c r="AC730" s="7" t="str">
        <f aca="false">IF(AB730="","KEEP","DROP")</f>
        <v>KEEP</v>
      </c>
      <c r="AD730" s="7" t="str">
        <f aca="false">IF(TRIM(F730)="",IFERROR(INDEX(Map_Tables!$I$4:$I$37,MATCH(TRIM(E730),Map_Tables!$G$4:$G$37,0)),""),IFERROR(INDEX(Map_Tables!$B$4:$B$18,MATCH(TRIM(F730),Map_Tables!$A$4:$A$18,0)),"CHECK"))</f>
        <v>Bengaluru</v>
      </c>
      <c r="AE730" s="7" t="str">
        <f aca="false">IF(TRIM(E730)="","",IFERROR(INDEX(Map_Tables!$H$4:$H$37,MATCH(TRIM(E730),Map_Tables!$G$4:$G$37,0)),"CHECK"))</f>
        <v>Dosa Darbar</v>
      </c>
      <c r="AF730" s="7" t="str">
        <f aca="false">IF(TRIM(K730)="","Unknown",IFERROR(INDEX(Map_Tables!$E$4:$E$15,MATCH(TRIM(K730),Map_Tables!$D$4:$D$15,0)),"CHECK"))</f>
        <v>UPI</v>
      </c>
      <c r="AG730" s="7" t="str">
        <f aca="false">IF(LEFT(LOWER(TRIM(L730)),6)="cancel","Cancelled","Delivered")</f>
        <v>Delivered</v>
      </c>
      <c r="AH730" s="10" t="n">
        <f aca="false">IF(ISNUMBER(SEARCH("/",B730)),DATE(VALUE(RIGHT(B730,4)),VALUE(MID(B730,4,2)),VALUE(LEFT(B730,2))),IF(MID(B730,5,1)="-",DATE(VALUE(LEFT(B730,4)),VALUE(MID(B730,6,2)),VALUE(RIGHT(B730,2))),DATE(VALUE(RIGHT(B730,4)),MATCH(MID(B730,4,3),{"Jan","Feb","Mar","Apr","May","Jun","Jul","Aug","Sep","Oct","Nov","Dec"},0),VALUE(LEFT(B730,2)))))</f>
        <v>45996</v>
      </c>
    </row>
    <row r="731" customFormat="false" ht="15" hidden="false" customHeight="false" outlineLevel="0" collapsed="false">
      <c r="A731" s="7" t="s">
        <v>2440</v>
      </c>
      <c r="B731" s="7" t="s">
        <v>2441</v>
      </c>
      <c r="C731" s="7" t="s">
        <v>1317</v>
      </c>
      <c r="D731" s="7" t="s">
        <v>2442</v>
      </c>
      <c r="E731" s="7" t="s">
        <v>159</v>
      </c>
      <c r="F731" s="7" t="s">
        <v>136</v>
      </c>
      <c r="G731" s="7" t="s">
        <v>90</v>
      </c>
      <c r="H731" s="7" t="n">
        <v>2</v>
      </c>
      <c r="I731" s="7" t="n">
        <v>265</v>
      </c>
      <c r="J731" s="7" t="n">
        <v>75</v>
      </c>
      <c r="K731" s="7" t="s">
        <v>88</v>
      </c>
      <c r="L731" s="7" t="s">
        <v>220</v>
      </c>
      <c r="M731" s="7" t="n">
        <v>30</v>
      </c>
      <c r="N731" s="7" t="n">
        <v>4</v>
      </c>
      <c r="O731" s="7" t="str">
        <f aca="false">A731&amp;"|"&amp;B731&amp;"|"&amp;C731&amp;"|"&amp;D731&amp;"|"&amp;E731&amp;"|"&amp;F731&amp;"|"&amp;G731&amp;"|"&amp;H731&amp;"|"&amp;I731&amp;"|"&amp;J731&amp;"|"&amp;K731&amp;"|"&amp;L731&amp;"|"&amp;M731&amp;"|"&amp;N731</f>
        <v>ORD12679|2025-11-26|20:35|C0452|Maratha Thali House|Pune|North Indian|2|265|75|UPI|DELIVERED|30|4</v>
      </c>
      <c r="P731" s="7" t="str">
        <f aca="false">IF(COUNTIF($O$2:O731,O731)&gt;1,"DUP","OK")</f>
        <v>OK</v>
      </c>
      <c r="Q731" s="7" t="n">
        <f aca="false">COUNTBLANK(A731:N731)</f>
        <v>0</v>
      </c>
      <c r="R731" s="7" t="n">
        <f aca="false">IF(A731="",0,COUNTIFS($A$2:$A$3058,A731,$P$2:$P$3058,"OK"))</f>
        <v>1</v>
      </c>
      <c r="S731" s="7" t="str">
        <f aca="false">IF(OR(A731="",P731="DUP",R731&lt;2),"",IF(Q731=_xlfn.MINIFS($Q$2:$Q$3058,$A$2:$A$3058,A731,$P$2:$P$3058,"OK"),"KEEP","DROP"))</f>
        <v/>
      </c>
      <c r="T731" s="9" t="n">
        <f aca="false">IF(A731="",1,0)</f>
        <v>0</v>
      </c>
      <c r="U731" s="9" t="n">
        <f aca="false">IF(D731="",1,0)</f>
        <v>0</v>
      </c>
      <c r="V731" s="9" t="n">
        <f aca="false">IF(E731="",1,0)</f>
        <v>0</v>
      </c>
      <c r="W731" s="9" t="n">
        <f aca="false">IF(OR(H731&lt;1,H731&gt;10),1,0)</f>
        <v>0</v>
      </c>
      <c r="X731" s="9" t="n">
        <f aca="false">IF(OR(I731&lt;=0,I731&gt;1500),1,0)</f>
        <v>0</v>
      </c>
      <c r="Y731" s="9" t="n">
        <f aca="false">IF(J731&gt;H731*I731,1,0)</f>
        <v>0</v>
      </c>
      <c r="Z731" s="9" t="n">
        <f aca="false">IF(AND(N731&lt;&gt;"",OR(N731&lt;1,N731&gt;5)),1,0)</f>
        <v>0</v>
      </c>
      <c r="AA731" s="9" t="n">
        <f aca="false">IF(AND(M731&lt;&gt;"",OR(M731&lt;5,M731&gt;180)),1,0)</f>
        <v>0</v>
      </c>
      <c r="AB731" s="7" t="str">
        <f aca="false">IF(P731="DUP","Exact duplicate row",IF(T731=1,"Missing Order ID",IF(S731="DROP","Duplicate Order ID (less complete row)",IF(U731=1,"Missing Customer ID",IF(V731=1,"Missing Restaurant name",IF(W731=1,"Invalid/outlier quantity",IF(X731=1,"Invalid/outlier unit price",IF(Y731=1,"Discount greater than order value",""))))))))</f>
        <v/>
      </c>
      <c r="AC731" s="7" t="str">
        <f aca="false">IF(AB731="","KEEP","DROP")</f>
        <v>KEEP</v>
      </c>
      <c r="AD731" s="7" t="str">
        <f aca="false">IF(TRIM(F731)="",IFERROR(INDEX(Map_Tables!$I$4:$I$37,MATCH(TRIM(E731),Map_Tables!$G$4:$G$37,0)),""),IFERROR(INDEX(Map_Tables!$B$4:$B$18,MATCH(TRIM(F731),Map_Tables!$A$4:$A$18,0)),"CHECK"))</f>
        <v>Pune</v>
      </c>
      <c r="AE731" s="7" t="str">
        <f aca="false">IF(TRIM(E731)="","",IFERROR(INDEX(Map_Tables!$H$4:$H$37,MATCH(TRIM(E731),Map_Tables!$G$4:$G$37,0)),"CHECK"))</f>
        <v>Maratha Thali House</v>
      </c>
      <c r="AF731" s="7" t="str">
        <f aca="false">IF(TRIM(K731)="","Unknown",IFERROR(INDEX(Map_Tables!$E$4:$E$15,MATCH(TRIM(K731),Map_Tables!$D$4:$D$15,0)),"CHECK"))</f>
        <v>UPI</v>
      </c>
      <c r="AG731" s="7" t="str">
        <f aca="false">IF(LEFT(LOWER(TRIM(L731)),6)="cancel","Cancelled","Delivered")</f>
        <v>Delivered</v>
      </c>
      <c r="AH731" s="10" t="n">
        <f aca="false">IF(ISNUMBER(SEARCH("/",B731)),DATE(VALUE(RIGHT(B731,4)),VALUE(MID(B731,4,2)),VALUE(LEFT(B731,2))),IF(MID(B731,5,1)="-",DATE(VALUE(LEFT(B731,4)),VALUE(MID(B731,6,2)),VALUE(RIGHT(B731,2))),DATE(VALUE(RIGHT(B731,4)),MATCH(MID(B731,4,3),{"Jan","Feb","Mar","Apr","May","Jun","Jul","Aug","Sep","Oct","Nov","Dec"},0),VALUE(LEFT(B731,2)))))</f>
        <v>45987</v>
      </c>
    </row>
    <row r="732" customFormat="false" ht="15" hidden="false" customHeight="false" outlineLevel="0" collapsed="false">
      <c r="A732" s="7" t="s">
        <v>2443</v>
      </c>
      <c r="B732" s="7" t="s">
        <v>1108</v>
      </c>
      <c r="C732" s="7" t="s">
        <v>478</v>
      </c>
      <c r="D732" s="7" t="s">
        <v>2030</v>
      </c>
      <c r="E732" s="7" t="s">
        <v>155</v>
      </c>
      <c r="F732" s="7" t="s">
        <v>128</v>
      </c>
      <c r="G732" s="7" t="s">
        <v>156</v>
      </c>
      <c r="H732" s="7" t="n">
        <v>3</v>
      </c>
      <c r="I732" s="7" t="n">
        <v>265</v>
      </c>
      <c r="J732" s="7" t="n">
        <v>150</v>
      </c>
      <c r="K732" s="7" t="s">
        <v>93</v>
      </c>
      <c r="L732" s="7" t="s">
        <v>194</v>
      </c>
      <c r="M732" s="7" t="n">
        <v>31</v>
      </c>
      <c r="N732" s="7" t="n">
        <v>5</v>
      </c>
      <c r="O732" s="7" t="str">
        <f aca="false">A732&amp;"|"&amp;B732&amp;"|"&amp;C732&amp;"|"&amp;D732&amp;"|"&amp;E732&amp;"|"&amp;F732&amp;"|"&amp;G732&amp;"|"&amp;H732&amp;"|"&amp;I732&amp;"|"&amp;J732&amp;"|"&amp;K732&amp;"|"&amp;L732&amp;"|"&amp;M732&amp;"|"&amp;N732</f>
        <v>ORD12616|2025-11-19|20:03|C0613|Green Bowl Kitchen|Chennai|Healthy Food|3|265|150|Credit Card|Delivered|31|5</v>
      </c>
      <c r="P732" s="7" t="str">
        <f aca="false">IF(COUNTIF($O$2:O732,O732)&gt;1,"DUP","OK")</f>
        <v>OK</v>
      </c>
      <c r="Q732" s="7" t="n">
        <f aca="false">COUNTBLANK(A732:N732)</f>
        <v>0</v>
      </c>
      <c r="R732" s="7" t="n">
        <f aca="false">IF(A732="",0,COUNTIFS($A$2:$A$3058,A732,$P$2:$P$3058,"OK"))</f>
        <v>1</v>
      </c>
      <c r="S732" s="7" t="str">
        <f aca="false">IF(OR(A732="",P732="DUP",R732&lt;2),"",IF(Q732=_xlfn.MINIFS($Q$2:$Q$3058,$A$2:$A$3058,A732,$P$2:$P$3058,"OK"),"KEEP","DROP"))</f>
        <v/>
      </c>
      <c r="T732" s="9" t="n">
        <f aca="false">IF(A732="",1,0)</f>
        <v>0</v>
      </c>
      <c r="U732" s="9" t="n">
        <f aca="false">IF(D732="",1,0)</f>
        <v>0</v>
      </c>
      <c r="V732" s="9" t="n">
        <f aca="false">IF(E732="",1,0)</f>
        <v>0</v>
      </c>
      <c r="W732" s="9" t="n">
        <f aca="false">IF(OR(H732&lt;1,H732&gt;10),1,0)</f>
        <v>0</v>
      </c>
      <c r="X732" s="9" t="n">
        <f aca="false">IF(OR(I732&lt;=0,I732&gt;1500),1,0)</f>
        <v>0</v>
      </c>
      <c r="Y732" s="9" t="n">
        <f aca="false">IF(J732&gt;H732*I732,1,0)</f>
        <v>0</v>
      </c>
      <c r="Z732" s="9" t="n">
        <f aca="false">IF(AND(N732&lt;&gt;"",OR(N732&lt;1,N732&gt;5)),1,0)</f>
        <v>0</v>
      </c>
      <c r="AA732" s="9" t="n">
        <f aca="false">IF(AND(M732&lt;&gt;"",OR(M732&lt;5,M732&gt;180)),1,0)</f>
        <v>0</v>
      </c>
      <c r="AB732" s="7" t="str">
        <f aca="false">IF(P732="DUP","Exact duplicate row",IF(T732=1,"Missing Order ID",IF(S732="DROP","Duplicate Order ID (less complete row)",IF(U732=1,"Missing Customer ID",IF(V732=1,"Missing Restaurant name",IF(W732=1,"Invalid/outlier quantity",IF(X732=1,"Invalid/outlier unit price",IF(Y732=1,"Discount greater than order value",""))))))))</f>
        <v/>
      </c>
      <c r="AC732" s="7" t="str">
        <f aca="false">IF(AB732="","KEEP","DROP")</f>
        <v>KEEP</v>
      </c>
      <c r="AD732" s="7" t="str">
        <f aca="false">IF(TRIM(F732)="",IFERROR(INDEX(Map_Tables!$I$4:$I$37,MATCH(TRIM(E732),Map_Tables!$G$4:$G$37,0)),""),IFERROR(INDEX(Map_Tables!$B$4:$B$18,MATCH(TRIM(F732),Map_Tables!$A$4:$A$18,0)),"CHECK"))</f>
        <v>Chennai</v>
      </c>
      <c r="AE732" s="7" t="str">
        <f aca="false">IF(TRIM(E732)="","",IFERROR(INDEX(Map_Tables!$H$4:$H$37,MATCH(TRIM(E732),Map_Tables!$G$4:$G$37,0)),"CHECK"))</f>
        <v>Green Bowl Kitchen</v>
      </c>
      <c r="AF732" s="7" t="str">
        <f aca="false">IF(TRIM(K732)="","Unknown",IFERROR(INDEX(Map_Tables!$E$4:$E$15,MATCH(TRIM(K732),Map_Tables!$D$4:$D$15,0)),"CHECK"))</f>
        <v>Credit Card</v>
      </c>
      <c r="AG732" s="7" t="str">
        <f aca="false">IF(LEFT(LOWER(TRIM(L732)),6)="cancel","Cancelled","Delivered")</f>
        <v>Delivered</v>
      </c>
      <c r="AH732" s="10" t="n">
        <f aca="false">IF(ISNUMBER(SEARCH("/",B732)),DATE(VALUE(RIGHT(B732,4)),VALUE(MID(B732,4,2)),VALUE(LEFT(B732,2))),IF(MID(B732,5,1)="-",DATE(VALUE(LEFT(B732,4)),VALUE(MID(B732,6,2)),VALUE(RIGHT(B732,2))),DATE(VALUE(RIGHT(B732,4)),MATCH(MID(B732,4,3),{"Jan","Feb","Mar","Apr","May","Jun","Jul","Aug","Sep","Oct","Nov","Dec"},0),VALUE(LEFT(B732,2)))))</f>
        <v>45980</v>
      </c>
    </row>
    <row r="733" customFormat="false" ht="15" hidden="false" customHeight="false" outlineLevel="0" collapsed="false">
      <c r="A733" s="7" t="s">
        <v>2444</v>
      </c>
      <c r="B733" s="7" t="s">
        <v>2436</v>
      </c>
      <c r="C733" s="7" t="s">
        <v>2445</v>
      </c>
      <c r="D733" s="7" t="s">
        <v>2446</v>
      </c>
      <c r="E733" s="7" t="s">
        <v>144</v>
      </c>
      <c r="F733" s="7" t="s">
        <v>119</v>
      </c>
      <c r="G733" s="7" t="s">
        <v>99</v>
      </c>
      <c r="H733" s="7" t="n">
        <v>1</v>
      </c>
      <c r="I733" s="7" t="n">
        <v>305</v>
      </c>
      <c r="J733" s="7" t="n">
        <v>122</v>
      </c>
      <c r="K733" s="7" t="s">
        <v>112</v>
      </c>
      <c r="L733" s="7" t="s">
        <v>194</v>
      </c>
      <c r="M733" s="7" t="n">
        <v>42</v>
      </c>
      <c r="N733" s="7" t="n">
        <v>4</v>
      </c>
      <c r="O733" s="7" t="str">
        <f aca="false">A733&amp;"|"&amp;B733&amp;"|"&amp;C733&amp;"|"&amp;D733&amp;"|"&amp;E733&amp;"|"&amp;F733&amp;"|"&amp;G733&amp;"|"&amp;H733&amp;"|"&amp;I733&amp;"|"&amp;J733&amp;"|"&amp;K733&amp;"|"&amp;L733&amp;"|"&amp;M733&amp;"|"&amp;N733</f>
        <v>ORD11287|13/06/2025|15:47|C0430|Hyderabad Dum Biryani|Hyderabad|Biryani|1|305|122|Cash on Delivery|Delivered|42|4</v>
      </c>
      <c r="P733" s="7" t="str">
        <f aca="false">IF(COUNTIF($O$2:O733,O733)&gt;1,"DUP","OK")</f>
        <v>OK</v>
      </c>
      <c r="Q733" s="7" t="n">
        <f aca="false">COUNTBLANK(A733:N733)</f>
        <v>0</v>
      </c>
      <c r="R733" s="7" t="n">
        <f aca="false">IF(A733="",0,COUNTIFS($A$2:$A$3058,A733,$P$2:$P$3058,"OK"))</f>
        <v>1</v>
      </c>
      <c r="S733" s="7" t="str">
        <f aca="false">IF(OR(A733="",P733="DUP",R733&lt;2),"",IF(Q733=_xlfn.MINIFS($Q$2:$Q$3058,$A$2:$A$3058,A733,$P$2:$P$3058,"OK"),"KEEP","DROP"))</f>
        <v/>
      </c>
      <c r="T733" s="9" t="n">
        <f aca="false">IF(A733="",1,0)</f>
        <v>0</v>
      </c>
      <c r="U733" s="9" t="n">
        <f aca="false">IF(D733="",1,0)</f>
        <v>0</v>
      </c>
      <c r="V733" s="9" t="n">
        <f aca="false">IF(E733="",1,0)</f>
        <v>0</v>
      </c>
      <c r="W733" s="9" t="n">
        <f aca="false">IF(OR(H733&lt;1,H733&gt;10),1,0)</f>
        <v>0</v>
      </c>
      <c r="X733" s="9" t="n">
        <f aca="false">IF(OR(I733&lt;=0,I733&gt;1500),1,0)</f>
        <v>0</v>
      </c>
      <c r="Y733" s="9" t="n">
        <f aca="false">IF(J733&gt;H733*I733,1,0)</f>
        <v>0</v>
      </c>
      <c r="Z733" s="9" t="n">
        <f aca="false">IF(AND(N733&lt;&gt;"",OR(N733&lt;1,N733&gt;5)),1,0)</f>
        <v>0</v>
      </c>
      <c r="AA733" s="9" t="n">
        <f aca="false">IF(AND(M733&lt;&gt;"",OR(M733&lt;5,M733&gt;180)),1,0)</f>
        <v>0</v>
      </c>
      <c r="AB733" s="7" t="str">
        <f aca="false">IF(P733="DUP","Exact duplicate row",IF(T733=1,"Missing Order ID",IF(S733="DROP","Duplicate Order ID (less complete row)",IF(U733=1,"Missing Customer ID",IF(V733=1,"Missing Restaurant name",IF(W733=1,"Invalid/outlier quantity",IF(X733=1,"Invalid/outlier unit price",IF(Y733=1,"Discount greater than order value",""))))))))</f>
        <v/>
      </c>
      <c r="AC733" s="7" t="str">
        <f aca="false">IF(AB733="","KEEP","DROP")</f>
        <v>KEEP</v>
      </c>
      <c r="AD733" s="7" t="str">
        <f aca="false">IF(TRIM(F733)="",IFERROR(INDEX(Map_Tables!$I$4:$I$37,MATCH(TRIM(E733),Map_Tables!$G$4:$G$37,0)),""),IFERROR(INDEX(Map_Tables!$B$4:$B$18,MATCH(TRIM(F733),Map_Tables!$A$4:$A$18,0)),"CHECK"))</f>
        <v>Hyderabad</v>
      </c>
      <c r="AE733" s="7" t="str">
        <f aca="false">IF(TRIM(E733)="","",IFERROR(INDEX(Map_Tables!$H$4:$H$37,MATCH(TRIM(E733),Map_Tables!$G$4:$G$37,0)),"CHECK"))</f>
        <v>Hyderabad Dum Biryani</v>
      </c>
      <c r="AF733" s="7" t="str">
        <f aca="false">IF(TRIM(K733)="","Unknown",IFERROR(INDEX(Map_Tables!$E$4:$E$15,MATCH(TRIM(K733),Map_Tables!$D$4:$D$15,0)),"CHECK"))</f>
        <v>Cash on Delivery</v>
      </c>
      <c r="AG733" s="7" t="str">
        <f aca="false">IF(LEFT(LOWER(TRIM(L733)),6)="cancel","Cancelled","Delivered")</f>
        <v>Delivered</v>
      </c>
      <c r="AH733" s="10" t="n">
        <f aca="false">IF(ISNUMBER(SEARCH("/",B733)),DATE(VALUE(RIGHT(B733,4)),VALUE(MID(B733,4,2)),VALUE(LEFT(B733,2))),IF(MID(B733,5,1)="-",DATE(VALUE(LEFT(B733,4)),VALUE(MID(B733,6,2)),VALUE(RIGHT(B733,2))),DATE(VALUE(RIGHT(B733,4)),MATCH(MID(B733,4,3),{"Jan","Feb","Mar","Apr","May","Jun","Jul","Aug","Sep","Oct","Nov","Dec"},0),VALUE(LEFT(B733,2)))))</f>
        <v>45821</v>
      </c>
    </row>
    <row r="734" customFormat="false" ht="15" hidden="false" customHeight="false" outlineLevel="0" collapsed="false">
      <c r="A734" s="7" t="s">
        <v>2447</v>
      </c>
      <c r="B734" s="7" t="s">
        <v>1190</v>
      </c>
      <c r="C734" s="7" t="s">
        <v>1758</v>
      </c>
      <c r="D734" s="7" t="s">
        <v>2448</v>
      </c>
      <c r="E734" s="7" t="s">
        <v>151</v>
      </c>
      <c r="F734" s="7" t="s">
        <v>806</v>
      </c>
      <c r="G734" s="7" t="s">
        <v>95</v>
      </c>
      <c r="H734" s="7" t="n">
        <v>2</v>
      </c>
      <c r="I734" s="7" t="n">
        <v>190</v>
      </c>
      <c r="J734" s="7" t="n">
        <v>0</v>
      </c>
      <c r="K734" s="7" t="s">
        <v>88</v>
      </c>
      <c r="L734" s="7" t="s">
        <v>238</v>
      </c>
      <c r="M734" s="7"/>
      <c r="N734" s="7"/>
      <c r="O734" s="7" t="str">
        <f aca="false">A734&amp;"|"&amp;B734&amp;"|"&amp;C734&amp;"|"&amp;D734&amp;"|"&amp;E734&amp;"|"&amp;F734&amp;"|"&amp;G734&amp;"|"&amp;H734&amp;"|"&amp;I734&amp;"|"&amp;J734&amp;"|"&amp;K734&amp;"|"&amp;L734&amp;"|"&amp;M734&amp;"|"&amp;N734</f>
        <v>ORD10197|2025-01-26|20:10|C0568|Chettinad House|Madras|South Indian|2|190|0|UPI|Cancelled||</v>
      </c>
      <c r="P734" s="7" t="str">
        <f aca="false">IF(COUNTIF($O$2:O734,O734)&gt;1,"DUP","OK")</f>
        <v>OK</v>
      </c>
      <c r="Q734" s="7" t="n">
        <f aca="false">COUNTBLANK(A734:N734)</f>
        <v>2</v>
      </c>
      <c r="R734" s="7" t="n">
        <f aca="false">IF(A734="",0,COUNTIFS($A$2:$A$3058,A734,$P$2:$P$3058,"OK"))</f>
        <v>1</v>
      </c>
      <c r="S734" s="7" t="str">
        <f aca="false">IF(OR(A734="",P734="DUP",R734&lt;2),"",IF(Q734=_xlfn.MINIFS($Q$2:$Q$3058,$A$2:$A$3058,A734,$P$2:$P$3058,"OK"),"KEEP","DROP"))</f>
        <v/>
      </c>
      <c r="T734" s="9" t="n">
        <f aca="false">IF(A734="",1,0)</f>
        <v>0</v>
      </c>
      <c r="U734" s="9" t="n">
        <f aca="false">IF(D734="",1,0)</f>
        <v>0</v>
      </c>
      <c r="V734" s="9" t="n">
        <f aca="false">IF(E734="",1,0)</f>
        <v>0</v>
      </c>
      <c r="W734" s="9" t="n">
        <f aca="false">IF(OR(H734&lt;1,H734&gt;10),1,0)</f>
        <v>0</v>
      </c>
      <c r="X734" s="9" t="n">
        <f aca="false">IF(OR(I734&lt;=0,I734&gt;1500),1,0)</f>
        <v>0</v>
      </c>
      <c r="Y734" s="9" t="n">
        <f aca="false">IF(J734&gt;H734*I734,1,0)</f>
        <v>0</v>
      </c>
      <c r="Z734" s="9" t="n">
        <f aca="false">IF(AND(N734&lt;&gt;"",OR(N734&lt;1,N734&gt;5)),1,0)</f>
        <v>0</v>
      </c>
      <c r="AA734" s="9" t="n">
        <f aca="false">IF(AND(M734&lt;&gt;"",OR(M734&lt;5,M734&gt;180)),1,0)</f>
        <v>0</v>
      </c>
      <c r="AB734" s="7" t="str">
        <f aca="false">IF(P734="DUP","Exact duplicate row",IF(T734=1,"Missing Order ID",IF(S734="DROP","Duplicate Order ID (less complete row)",IF(U734=1,"Missing Customer ID",IF(V734=1,"Missing Restaurant name",IF(W734=1,"Invalid/outlier quantity",IF(X734=1,"Invalid/outlier unit price",IF(Y734=1,"Discount greater than order value",""))))))))</f>
        <v/>
      </c>
      <c r="AC734" s="7" t="str">
        <f aca="false">IF(AB734="","KEEP","DROP")</f>
        <v>KEEP</v>
      </c>
      <c r="AD734" s="7" t="str">
        <f aca="false">IF(TRIM(F734)="",IFERROR(INDEX(Map_Tables!$I$4:$I$37,MATCH(TRIM(E734),Map_Tables!$G$4:$G$37,0)),""),IFERROR(INDEX(Map_Tables!$B$4:$B$18,MATCH(TRIM(F734),Map_Tables!$A$4:$A$18,0)),"CHECK"))</f>
        <v>Chennai</v>
      </c>
      <c r="AE734" s="7" t="str">
        <f aca="false">IF(TRIM(E734)="","",IFERROR(INDEX(Map_Tables!$H$4:$H$37,MATCH(TRIM(E734),Map_Tables!$G$4:$G$37,0)),"CHECK"))</f>
        <v>Chettinad House</v>
      </c>
      <c r="AF734" s="7" t="str">
        <f aca="false">IF(TRIM(K734)="","Unknown",IFERROR(INDEX(Map_Tables!$E$4:$E$15,MATCH(TRIM(K734),Map_Tables!$D$4:$D$15,0)),"CHECK"))</f>
        <v>UPI</v>
      </c>
      <c r="AG734" s="7" t="str">
        <f aca="false">IF(LEFT(LOWER(TRIM(L734)),6)="cancel","Cancelled","Delivered")</f>
        <v>Cancelled</v>
      </c>
      <c r="AH734" s="10" t="n">
        <f aca="false">IF(ISNUMBER(SEARCH("/",B734)),DATE(VALUE(RIGHT(B734,4)),VALUE(MID(B734,4,2)),VALUE(LEFT(B734,2))),IF(MID(B734,5,1)="-",DATE(VALUE(LEFT(B734,4)),VALUE(MID(B734,6,2)),VALUE(RIGHT(B734,2))),DATE(VALUE(RIGHT(B734,4)),MATCH(MID(B734,4,3),{"Jan","Feb","Mar","Apr","May","Jun","Jul","Aug","Sep","Oct","Nov","Dec"},0),VALUE(LEFT(B734,2)))))</f>
        <v>45683</v>
      </c>
    </row>
    <row r="735" customFormat="false" ht="15" hidden="false" customHeight="false" outlineLevel="0" collapsed="false">
      <c r="A735" s="7" t="s">
        <v>2449</v>
      </c>
      <c r="B735" s="7" t="s">
        <v>2450</v>
      </c>
      <c r="C735" s="7" t="s">
        <v>2451</v>
      </c>
      <c r="D735" s="7" t="s">
        <v>2452</v>
      </c>
      <c r="E735" s="7" t="s">
        <v>154</v>
      </c>
      <c r="F735" s="7" t="s">
        <v>128</v>
      </c>
      <c r="G735" s="7" t="s">
        <v>99</v>
      </c>
      <c r="H735" s="7" t="n">
        <v>1</v>
      </c>
      <c r="I735" s="7" t="n">
        <v>235</v>
      </c>
      <c r="J735" s="7" t="n">
        <v>0</v>
      </c>
      <c r="K735" s="7" t="s">
        <v>566</v>
      </c>
      <c r="L735" s="7" t="s">
        <v>194</v>
      </c>
      <c r="M735" s="7" t="n">
        <v>40</v>
      </c>
      <c r="N735" s="7" t="n">
        <v>2</v>
      </c>
      <c r="O735" s="7" t="str">
        <f aca="false">A735&amp;"|"&amp;B735&amp;"|"&amp;C735&amp;"|"&amp;D735&amp;"|"&amp;E735&amp;"|"&amp;F735&amp;"|"&amp;G735&amp;"|"&amp;H735&amp;"|"&amp;I735&amp;"|"&amp;J735&amp;"|"&amp;K735&amp;"|"&amp;L735&amp;"|"&amp;M735&amp;"|"&amp;N735</f>
        <v>ORD10408|2025-02-24|10:31|C0455|Madras Biryani Co|Chennai|Biryani|1|235|0|NetBanking|Delivered|40|2</v>
      </c>
      <c r="P735" s="7" t="str">
        <f aca="false">IF(COUNTIF($O$2:O735,O735)&gt;1,"DUP","OK")</f>
        <v>OK</v>
      </c>
      <c r="Q735" s="7" t="n">
        <f aca="false">COUNTBLANK(A735:N735)</f>
        <v>0</v>
      </c>
      <c r="R735" s="7" t="n">
        <f aca="false">IF(A735="",0,COUNTIFS($A$2:$A$3058,A735,$P$2:$P$3058,"OK"))</f>
        <v>1</v>
      </c>
      <c r="S735" s="7" t="str">
        <f aca="false">IF(OR(A735="",P735="DUP",R735&lt;2),"",IF(Q735=_xlfn.MINIFS($Q$2:$Q$3058,$A$2:$A$3058,A735,$P$2:$P$3058,"OK"),"KEEP","DROP"))</f>
        <v/>
      </c>
      <c r="T735" s="9" t="n">
        <f aca="false">IF(A735="",1,0)</f>
        <v>0</v>
      </c>
      <c r="U735" s="9" t="n">
        <f aca="false">IF(D735="",1,0)</f>
        <v>0</v>
      </c>
      <c r="V735" s="9" t="n">
        <f aca="false">IF(E735="",1,0)</f>
        <v>0</v>
      </c>
      <c r="W735" s="9" t="n">
        <f aca="false">IF(OR(H735&lt;1,H735&gt;10),1,0)</f>
        <v>0</v>
      </c>
      <c r="X735" s="9" t="n">
        <f aca="false">IF(OR(I735&lt;=0,I735&gt;1500),1,0)</f>
        <v>0</v>
      </c>
      <c r="Y735" s="9" t="n">
        <f aca="false">IF(J735&gt;H735*I735,1,0)</f>
        <v>0</v>
      </c>
      <c r="Z735" s="9" t="n">
        <f aca="false">IF(AND(N735&lt;&gt;"",OR(N735&lt;1,N735&gt;5)),1,0)</f>
        <v>0</v>
      </c>
      <c r="AA735" s="9" t="n">
        <f aca="false">IF(AND(M735&lt;&gt;"",OR(M735&lt;5,M735&gt;180)),1,0)</f>
        <v>0</v>
      </c>
      <c r="AB735" s="7" t="str">
        <f aca="false">IF(P735="DUP","Exact duplicate row",IF(T735=1,"Missing Order ID",IF(S735="DROP","Duplicate Order ID (less complete row)",IF(U735=1,"Missing Customer ID",IF(V735=1,"Missing Restaurant name",IF(W735=1,"Invalid/outlier quantity",IF(X735=1,"Invalid/outlier unit price",IF(Y735=1,"Discount greater than order value",""))))))))</f>
        <v/>
      </c>
      <c r="AC735" s="7" t="str">
        <f aca="false">IF(AB735="","KEEP","DROP")</f>
        <v>KEEP</v>
      </c>
      <c r="AD735" s="7" t="str">
        <f aca="false">IF(TRIM(F735)="",IFERROR(INDEX(Map_Tables!$I$4:$I$37,MATCH(TRIM(E735),Map_Tables!$G$4:$G$37,0)),""),IFERROR(INDEX(Map_Tables!$B$4:$B$18,MATCH(TRIM(F735),Map_Tables!$A$4:$A$18,0)),"CHECK"))</f>
        <v>Chennai</v>
      </c>
      <c r="AE735" s="7" t="str">
        <f aca="false">IF(TRIM(E735)="","",IFERROR(INDEX(Map_Tables!$H$4:$H$37,MATCH(TRIM(E735),Map_Tables!$G$4:$G$37,0)),"CHECK"))</f>
        <v>Madras Biryani Co</v>
      </c>
      <c r="AF735" s="7" t="str">
        <f aca="false">IF(TRIM(K735)="","Unknown",IFERROR(INDEX(Map_Tables!$E$4:$E$15,MATCH(TRIM(K735),Map_Tables!$D$4:$D$15,0)),"CHECK"))</f>
        <v>Net Banking</v>
      </c>
      <c r="AG735" s="7" t="str">
        <f aca="false">IF(LEFT(LOWER(TRIM(L735)),6)="cancel","Cancelled","Delivered")</f>
        <v>Delivered</v>
      </c>
      <c r="AH735" s="10" t="n">
        <f aca="false">IF(ISNUMBER(SEARCH("/",B735)),DATE(VALUE(RIGHT(B735,4)),VALUE(MID(B735,4,2)),VALUE(LEFT(B735,2))),IF(MID(B735,5,1)="-",DATE(VALUE(LEFT(B735,4)),VALUE(MID(B735,6,2)),VALUE(RIGHT(B735,2))),DATE(VALUE(RIGHT(B735,4)),MATCH(MID(B735,4,3),{"Jan","Feb","Mar","Apr","May","Jun","Jul","Aug","Sep","Oct","Nov","Dec"},0),VALUE(LEFT(B735,2)))))</f>
        <v>45712</v>
      </c>
    </row>
    <row r="736" customFormat="false" ht="15" hidden="false" customHeight="false" outlineLevel="0" collapsed="false">
      <c r="A736" s="7" t="s">
        <v>2453</v>
      </c>
      <c r="B736" s="7" t="s">
        <v>678</v>
      </c>
      <c r="C736" s="7" t="s">
        <v>2454</v>
      </c>
      <c r="D736" s="7" t="s">
        <v>487</v>
      </c>
      <c r="E736" s="7" t="s">
        <v>138</v>
      </c>
      <c r="F736" s="7" t="s">
        <v>110</v>
      </c>
      <c r="G736" s="7" t="s">
        <v>139</v>
      </c>
      <c r="H736" s="7" t="n">
        <v>2</v>
      </c>
      <c r="I736" s="7" t="n">
        <v>185</v>
      </c>
      <c r="J736" s="7" t="n">
        <v>0</v>
      </c>
      <c r="K736" s="7" t="s">
        <v>93</v>
      </c>
      <c r="L736" s="7" t="s">
        <v>194</v>
      </c>
      <c r="M736" s="7" t="n">
        <v>40</v>
      </c>
      <c r="N736" s="7" t="n">
        <v>4</v>
      </c>
      <c r="O736" s="7" t="str">
        <f aca="false">A736&amp;"|"&amp;B736&amp;"|"&amp;C736&amp;"|"&amp;D736&amp;"|"&amp;E736&amp;"|"&amp;F736&amp;"|"&amp;G736&amp;"|"&amp;H736&amp;"|"&amp;I736&amp;"|"&amp;J736&amp;"|"&amp;K736&amp;"|"&amp;L736&amp;"|"&amp;M736&amp;"|"&amp;N736</f>
        <v>ORD10662|2025-03-26|10:54|C0170|Burger Barn|Delhi|Burgers|2|185|0|Credit Card|Delivered|40|4</v>
      </c>
      <c r="P736" s="7" t="str">
        <f aca="false">IF(COUNTIF($O$2:O736,O736)&gt;1,"DUP","OK")</f>
        <v>OK</v>
      </c>
      <c r="Q736" s="7" t="n">
        <f aca="false">COUNTBLANK(A736:N736)</f>
        <v>0</v>
      </c>
      <c r="R736" s="7" t="n">
        <f aca="false">IF(A736="",0,COUNTIFS($A$2:$A$3058,A736,$P$2:$P$3058,"OK"))</f>
        <v>1</v>
      </c>
      <c r="S736" s="7" t="str">
        <f aca="false">IF(OR(A736="",P736="DUP",R736&lt;2),"",IF(Q736=_xlfn.MINIFS($Q$2:$Q$3058,$A$2:$A$3058,A736,$P$2:$P$3058,"OK"),"KEEP","DROP"))</f>
        <v/>
      </c>
      <c r="T736" s="9" t="n">
        <f aca="false">IF(A736="",1,0)</f>
        <v>0</v>
      </c>
      <c r="U736" s="9" t="n">
        <f aca="false">IF(D736="",1,0)</f>
        <v>0</v>
      </c>
      <c r="V736" s="9" t="n">
        <f aca="false">IF(E736="",1,0)</f>
        <v>0</v>
      </c>
      <c r="W736" s="9" t="n">
        <f aca="false">IF(OR(H736&lt;1,H736&gt;10),1,0)</f>
        <v>0</v>
      </c>
      <c r="X736" s="9" t="n">
        <f aca="false">IF(OR(I736&lt;=0,I736&gt;1500),1,0)</f>
        <v>0</v>
      </c>
      <c r="Y736" s="9" t="n">
        <f aca="false">IF(J736&gt;H736*I736,1,0)</f>
        <v>0</v>
      </c>
      <c r="Z736" s="9" t="n">
        <f aca="false">IF(AND(N736&lt;&gt;"",OR(N736&lt;1,N736&gt;5)),1,0)</f>
        <v>0</v>
      </c>
      <c r="AA736" s="9" t="n">
        <f aca="false">IF(AND(M736&lt;&gt;"",OR(M736&lt;5,M736&gt;180)),1,0)</f>
        <v>0</v>
      </c>
      <c r="AB736" s="7" t="str">
        <f aca="false">IF(P736="DUP","Exact duplicate row",IF(T736=1,"Missing Order ID",IF(S736="DROP","Duplicate Order ID (less complete row)",IF(U736=1,"Missing Customer ID",IF(V736=1,"Missing Restaurant name",IF(W736=1,"Invalid/outlier quantity",IF(X736=1,"Invalid/outlier unit price",IF(Y736=1,"Discount greater than order value",""))))))))</f>
        <v/>
      </c>
      <c r="AC736" s="7" t="str">
        <f aca="false">IF(AB736="","KEEP","DROP")</f>
        <v>KEEP</v>
      </c>
      <c r="AD736" s="7" t="str">
        <f aca="false">IF(TRIM(F736)="",IFERROR(INDEX(Map_Tables!$I$4:$I$37,MATCH(TRIM(E736),Map_Tables!$G$4:$G$37,0)),""),IFERROR(INDEX(Map_Tables!$B$4:$B$18,MATCH(TRIM(F736),Map_Tables!$A$4:$A$18,0)),"CHECK"))</f>
        <v>Delhi</v>
      </c>
      <c r="AE736" s="7" t="str">
        <f aca="false">IF(TRIM(E736)="","",IFERROR(INDEX(Map_Tables!$H$4:$H$37,MATCH(TRIM(E736),Map_Tables!$G$4:$G$37,0)),"CHECK"))</f>
        <v>Burger Barn</v>
      </c>
      <c r="AF736" s="7" t="str">
        <f aca="false">IF(TRIM(K736)="","Unknown",IFERROR(INDEX(Map_Tables!$E$4:$E$15,MATCH(TRIM(K736),Map_Tables!$D$4:$D$15,0)),"CHECK"))</f>
        <v>Credit Card</v>
      </c>
      <c r="AG736" s="7" t="str">
        <f aca="false">IF(LEFT(LOWER(TRIM(L736)),6)="cancel","Cancelled","Delivered")</f>
        <v>Delivered</v>
      </c>
      <c r="AH736" s="10" t="n">
        <f aca="false">IF(ISNUMBER(SEARCH("/",B736)),DATE(VALUE(RIGHT(B736,4)),VALUE(MID(B736,4,2)),VALUE(LEFT(B736,2))),IF(MID(B736,5,1)="-",DATE(VALUE(LEFT(B736,4)),VALUE(MID(B736,6,2)),VALUE(RIGHT(B736,2))),DATE(VALUE(RIGHT(B736,4)),MATCH(MID(B736,4,3),{"Jan","Feb","Mar","Apr","May","Jun","Jul","Aug","Sep","Oct","Nov","Dec"},0),VALUE(LEFT(B736,2)))))</f>
        <v>45742</v>
      </c>
    </row>
    <row r="737" customFormat="false" ht="15" hidden="false" customHeight="false" outlineLevel="0" collapsed="false">
      <c r="A737" s="7" t="s">
        <v>2455</v>
      </c>
      <c r="B737" s="7" t="s">
        <v>271</v>
      </c>
      <c r="C737" s="7" t="s">
        <v>2456</v>
      </c>
      <c r="D737" s="7" t="s">
        <v>2457</v>
      </c>
      <c r="E737" s="7" t="s">
        <v>154</v>
      </c>
      <c r="F737" s="7" t="s">
        <v>128</v>
      </c>
      <c r="G737" s="7" t="s">
        <v>99</v>
      </c>
      <c r="H737" s="7" t="n">
        <v>4</v>
      </c>
      <c r="I737" s="7" t="n">
        <v>250</v>
      </c>
      <c r="J737" s="7" t="n">
        <v>0</v>
      </c>
      <c r="K737" s="7" t="s">
        <v>133</v>
      </c>
      <c r="L737" s="7" t="s">
        <v>194</v>
      </c>
      <c r="M737" s="7" t="n">
        <v>48</v>
      </c>
      <c r="N737" s="7" t="n">
        <v>3</v>
      </c>
      <c r="O737" s="7" t="str">
        <f aca="false">A737&amp;"|"&amp;B737&amp;"|"&amp;C737&amp;"|"&amp;D737&amp;"|"&amp;E737&amp;"|"&amp;F737&amp;"|"&amp;G737&amp;"|"&amp;H737&amp;"|"&amp;I737&amp;"|"&amp;J737&amp;"|"&amp;K737&amp;"|"&amp;L737&amp;"|"&amp;M737&amp;"|"&amp;N737</f>
        <v>ORD10579|2025-03-15|13:04|C0853|Madras Biryani Co|Chennai|Biryani|4|250|0|Net Banking|Delivered|48|3</v>
      </c>
      <c r="P737" s="7" t="str">
        <f aca="false">IF(COUNTIF($O$2:O737,O737)&gt;1,"DUP","OK")</f>
        <v>OK</v>
      </c>
      <c r="Q737" s="7" t="n">
        <f aca="false">COUNTBLANK(A737:N737)</f>
        <v>0</v>
      </c>
      <c r="R737" s="7" t="n">
        <f aca="false">IF(A737="",0,COUNTIFS($A$2:$A$3058,A737,$P$2:$P$3058,"OK"))</f>
        <v>1</v>
      </c>
      <c r="S737" s="7" t="str">
        <f aca="false">IF(OR(A737="",P737="DUP",R737&lt;2),"",IF(Q737=_xlfn.MINIFS($Q$2:$Q$3058,$A$2:$A$3058,A737,$P$2:$P$3058,"OK"),"KEEP","DROP"))</f>
        <v/>
      </c>
      <c r="T737" s="9" t="n">
        <f aca="false">IF(A737="",1,0)</f>
        <v>0</v>
      </c>
      <c r="U737" s="9" t="n">
        <f aca="false">IF(D737="",1,0)</f>
        <v>0</v>
      </c>
      <c r="V737" s="9" t="n">
        <f aca="false">IF(E737="",1,0)</f>
        <v>0</v>
      </c>
      <c r="W737" s="9" t="n">
        <f aca="false">IF(OR(H737&lt;1,H737&gt;10),1,0)</f>
        <v>0</v>
      </c>
      <c r="X737" s="9" t="n">
        <f aca="false">IF(OR(I737&lt;=0,I737&gt;1500),1,0)</f>
        <v>0</v>
      </c>
      <c r="Y737" s="9" t="n">
        <f aca="false">IF(J737&gt;H737*I737,1,0)</f>
        <v>0</v>
      </c>
      <c r="Z737" s="9" t="n">
        <f aca="false">IF(AND(N737&lt;&gt;"",OR(N737&lt;1,N737&gt;5)),1,0)</f>
        <v>0</v>
      </c>
      <c r="AA737" s="9" t="n">
        <f aca="false">IF(AND(M737&lt;&gt;"",OR(M737&lt;5,M737&gt;180)),1,0)</f>
        <v>0</v>
      </c>
      <c r="AB737" s="7" t="str">
        <f aca="false">IF(P737="DUP","Exact duplicate row",IF(T737=1,"Missing Order ID",IF(S737="DROP","Duplicate Order ID (less complete row)",IF(U737=1,"Missing Customer ID",IF(V737=1,"Missing Restaurant name",IF(W737=1,"Invalid/outlier quantity",IF(X737=1,"Invalid/outlier unit price",IF(Y737=1,"Discount greater than order value",""))))))))</f>
        <v/>
      </c>
      <c r="AC737" s="7" t="str">
        <f aca="false">IF(AB737="","KEEP","DROP")</f>
        <v>KEEP</v>
      </c>
      <c r="AD737" s="7" t="str">
        <f aca="false">IF(TRIM(F737)="",IFERROR(INDEX(Map_Tables!$I$4:$I$37,MATCH(TRIM(E737),Map_Tables!$G$4:$G$37,0)),""),IFERROR(INDEX(Map_Tables!$B$4:$B$18,MATCH(TRIM(F737),Map_Tables!$A$4:$A$18,0)),"CHECK"))</f>
        <v>Chennai</v>
      </c>
      <c r="AE737" s="7" t="str">
        <f aca="false">IF(TRIM(E737)="","",IFERROR(INDEX(Map_Tables!$H$4:$H$37,MATCH(TRIM(E737),Map_Tables!$G$4:$G$37,0)),"CHECK"))</f>
        <v>Madras Biryani Co</v>
      </c>
      <c r="AF737" s="7" t="str">
        <f aca="false">IF(TRIM(K737)="","Unknown",IFERROR(INDEX(Map_Tables!$E$4:$E$15,MATCH(TRIM(K737),Map_Tables!$D$4:$D$15,0)),"CHECK"))</f>
        <v>Net Banking</v>
      </c>
      <c r="AG737" s="7" t="str">
        <f aca="false">IF(LEFT(LOWER(TRIM(L737)),6)="cancel","Cancelled","Delivered")</f>
        <v>Delivered</v>
      </c>
      <c r="AH737" s="10" t="n">
        <f aca="false">IF(ISNUMBER(SEARCH("/",B737)),DATE(VALUE(RIGHT(B737,4)),VALUE(MID(B737,4,2)),VALUE(LEFT(B737,2))),IF(MID(B737,5,1)="-",DATE(VALUE(LEFT(B737,4)),VALUE(MID(B737,6,2)),VALUE(RIGHT(B737,2))),DATE(VALUE(RIGHT(B737,4)),MATCH(MID(B737,4,3),{"Jan","Feb","Mar","Apr","May","Jun","Jul","Aug","Sep","Oct","Nov","Dec"},0),VALUE(LEFT(B737,2)))))</f>
        <v>45731</v>
      </c>
    </row>
    <row r="738" customFormat="false" ht="15" hidden="false" customHeight="false" outlineLevel="0" collapsed="false">
      <c r="A738" s="7" t="s">
        <v>2458</v>
      </c>
      <c r="B738" s="7" t="s">
        <v>546</v>
      </c>
      <c r="C738" s="7" t="s">
        <v>759</v>
      </c>
      <c r="D738" s="7" t="s">
        <v>2459</v>
      </c>
      <c r="E738" s="7" t="s">
        <v>159</v>
      </c>
      <c r="F738" s="7" t="s">
        <v>136</v>
      </c>
      <c r="G738" s="7" t="s">
        <v>90</v>
      </c>
      <c r="H738" s="7" t="n">
        <v>1</v>
      </c>
      <c r="I738" s="7" t="n">
        <v>170</v>
      </c>
      <c r="J738" s="7" t="n">
        <v>0</v>
      </c>
      <c r="K738" s="7" t="s">
        <v>103</v>
      </c>
      <c r="L738" s="7" t="s">
        <v>194</v>
      </c>
      <c r="M738" s="7" t="n">
        <v>24</v>
      </c>
      <c r="N738" s="7" t="n">
        <v>5</v>
      </c>
      <c r="O738" s="7" t="str">
        <f aca="false">A738&amp;"|"&amp;B738&amp;"|"&amp;C738&amp;"|"&amp;D738&amp;"|"&amp;E738&amp;"|"&amp;F738&amp;"|"&amp;G738&amp;"|"&amp;H738&amp;"|"&amp;I738&amp;"|"&amp;J738&amp;"|"&amp;K738&amp;"|"&amp;L738&amp;"|"&amp;M738&amp;"|"&amp;N738</f>
        <v>ORD12601|2025-11-18|11:50|C0846|Maratha Thali House|Pune|North Indian|1|170|0|Debit Card|Delivered|24|5</v>
      </c>
      <c r="P738" s="7" t="str">
        <f aca="false">IF(COUNTIF($O$2:O738,O738)&gt;1,"DUP","OK")</f>
        <v>OK</v>
      </c>
      <c r="Q738" s="7" t="n">
        <f aca="false">COUNTBLANK(A738:N738)</f>
        <v>0</v>
      </c>
      <c r="R738" s="7" t="n">
        <f aca="false">IF(A738="",0,COUNTIFS($A$2:$A$3058,A738,$P$2:$P$3058,"OK"))</f>
        <v>1</v>
      </c>
      <c r="S738" s="7" t="str">
        <f aca="false">IF(OR(A738="",P738="DUP",R738&lt;2),"",IF(Q738=_xlfn.MINIFS($Q$2:$Q$3058,$A$2:$A$3058,A738,$P$2:$P$3058,"OK"),"KEEP","DROP"))</f>
        <v/>
      </c>
      <c r="T738" s="9" t="n">
        <f aca="false">IF(A738="",1,0)</f>
        <v>0</v>
      </c>
      <c r="U738" s="9" t="n">
        <f aca="false">IF(D738="",1,0)</f>
        <v>0</v>
      </c>
      <c r="V738" s="9" t="n">
        <f aca="false">IF(E738="",1,0)</f>
        <v>0</v>
      </c>
      <c r="W738" s="9" t="n">
        <f aca="false">IF(OR(H738&lt;1,H738&gt;10),1,0)</f>
        <v>0</v>
      </c>
      <c r="X738" s="9" t="n">
        <f aca="false">IF(OR(I738&lt;=0,I738&gt;1500),1,0)</f>
        <v>0</v>
      </c>
      <c r="Y738" s="9" t="n">
        <f aca="false">IF(J738&gt;H738*I738,1,0)</f>
        <v>0</v>
      </c>
      <c r="Z738" s="9" t="n">
        <f aca="false">IF(AND(N738&lt;&gt;"",OR(N738&lt;1,N738&gt;5)),1,0)</f>
        <v>0</v>
      </c>
      <c r="AA738" s="9" t="n">
        <f aca="false">IF(AND(M738&lt;&gt;"",OR(M738&lt;5,M738&gt;180)),1,0)</f>
        <v>0</v>
      </c>
      <c r="AB738" s="7" t="str">
        <f aca="false">IF(P738="DUP","Exact duplicate row",IF(T738=1,"Missing Order ID",IF(S738="DROP","Duplicate Order ID (less complete row)",IF(U738=1,"Missing Customer ID",IF(V738=1,"Missing Restaurant name",IF(W738=1,"Invalid/outlier quantity",IF(X738=1,"Invalid/outlier unit price",IF(Y738=1,"Discount greater than order value",""))))))))</f>
        <v/>
      </c>
      <c r="AC738" s="7" t="str">
        <f aca="false">IF(AB738="","KEEP","DROP")</f>
        <v>KEEP</v>
      </c>
      <c r="AD738" s="7" t="str">
        <f aca="false">IF(TRIM(F738)="",IFERROR(INDEX(Map_Tables!$I$4:$I$37,MATCH(TRIM(E738),Map_Tables!$G$4:$G$37,0)),""),IFERROR(INDEX(Map_Tables!$B$4:$B$18,MATCH(TRIM(F738),Map_Tables!$A$4:$A$18,0)),"CHECK"))</f>
        <v>Pune</v>
      </c>
      <c r="AE738" s="7" t="str">
        <f aca="false">IF(TRIM(E738)="","",IFERROR(INDEX(Map_Tables!$H$4:$H$37,MATCH(TRIM(E738),Map_Tables!$G$4:$G$37,0)),"CHECK"))</f>
        <v>Maratha Thali House</v>
      </c>
      <c r="AF738" s="7" t="str">
        <f aca="false">IF(TRIM(K738)="","Unknown",IFERROR(INDEX(Map_Tables!$E$4:$E$15,MATCH(TRIM(K738),Map_Tables!$D$4:$D$15,0)),"CHECK"))</f>
        <v>Debit Card</v>
      </c>
      <c r="AG738" s="7" t="str">
        <f aca="false">IF(LEFT(LOWER(TRIM(L738)),6)="cancel","Cancelled","Delivered")</f>
        <v>Delivered</v>
      </c>
      <c r="AH738" s="10" t="n">
        <f aca="false">IF(ISNUMBER(SEARCH("/",B738)),DATE(VALUE(RIGHT(B738,4)),VALUE(MID(B738,4,2)),VALUE(LEFT(B738,2))),IF(MID(B738,5,1)="-",DATE(VALUE(LEFT(B738,4)),VALUE(MID(B738,6,2)),VALUE(RIGHT(B738,2))),DATE(VALUE(RIGHT(B738,4)),MATCH(MID(B738,4,3),{"Jan","Feb","Mar","Apr","May","Jun","Jul","Aug","Sep","Oct","Nov","Dec"},0),VALUE(LEFT(B738,2)))))</f>
        <v>45979</v>
      </c>
    </row>
    <row r="739" customFormat="false" ht="15" hidden="false" customHeight="false" outlineLevel="0" collapsed="false">
      <c r="A739" s="7" t="s">
        <v>2460</v>
      </c>
      <c r="B739" s="7" t="s">
        <v>2461</v>
      </c>
      <c r="C739" s="7" t="s">
        <v>2176</v>
      </c>
      <c r="D739" s="7" t="s">
        <v>1110</v>
      </c>
      <c r="E739" s="7" t="s">
        <v>2400</v>
      </c>
      <c r="F739" s="7" t="s">
        <v>86</v>
      </c>
      <c r="G739" s="7" t="s">
        <v>90</v>
      </c>
      <c r="H739" s="7" t="n">
        <v>2</v>
      </c>
      <c r="I739" s="7" t="n">
        <v>240</v>
      </c>
      <c r="J739" s="7" t="n">
        <v>0</v>
      </c>
      <c r="K739" s="7" t="s">
        <v>93</v>
      </c>
      <c r="L739" s="7" t="s">
        <v>194</v>
      </c>
      <c r="M739" s="7" t="n">
        <v>47</v>
      </c>
      <c r="N739" s="7" t="n">
        <v>3</v>
      </c>
      <c r="O739" s="7" t="str">
        <f aca="false">A739&amp;"|"&amp;B739&amp;"|"&amp;C739&amp;"|"&amp;D739&amp;"|"&amp;E739&amp;"|"&amp;F739&amp;"|"&amp;G739&amp;"|"&amp;H739&amp;"|"&amp;I739&amp;"|"&amp;J739&amp;"|"&amp;K739&amp;"|"&amp;L739&amp;"|"&amp;M739&amp;"|"&amp;N739</f>
        <v>ORD10965|2025-05-02|14:48|C1252| Spice Junction|Bengaluru|North Indian|2|240|0|Credit Card|Delivered|47|3</v>
      </c>
      <c r="P739" s="7" t="str">
        <f aca="false">IF(COUNTIF($O$2:O739,O739)&gt;1,"DUP","OK")</f>
        <v>OK</v>
      </c>
      <c r="Q739" s="7" t="n">
        <f aca="false">COUNTBLANK(A739:N739)</f>
        <v>0</v>
      </c>
      <c r="R739" s="7" t="n">
        <f aca="false">IF(A739="",0,COUNTIFS($A$2:$A$3058,A739,$P$2:$P$3058,"OK"))</f>
        <v>1</v>
      </c>
      <c r="S739" s="7" t="str">
        <f aca="false">IF(OR(A739="",P739="DUP",R739&lt;2),"",IF(Q739=_xlfn.MINIFS($Q$2:$Q$3058,$A$2:$A$3058,A739,$P$2:$P$3058,"OK"),"KEEP","DROP"))</f>
        <v/>
      </c>
      <c r="T739" s="9" t="n">
        <f aca="false">IF(A739="",1,0)</f>
        <v>0</v>
      </c>
      <c r="U739" s="9" t="n">
        <f aca="false">IF(D739="",1,0)</f>
        <v>0</v>
      </c>
      <c r="V739" s="9" t="n">
        <f aca="false">IF(E739="",1,0)</f>
        <v>0</v>
      </c>
      <c r="W739" s="9" t="n">
        <f aca="false">IF(OR(H739&lt;1,H739&gt;10),1,0)</f>
        <v>0</v>
      </c>
      <c r="X739" s="9" t="n">
        <f aca="false">IF(OR(I739&lt;=0,I739&gt;1500),1,0)</f>
        <v>0</v>
      </c>
      <c r="Y739" s="9" t="n">
        <f aca="false">IF(J739&gt;H739*I739,1,0)</f>
        <v>0</v>
      </c>
      <c r="Z739" s="9" t="n">
        <f aca="false">IF(AND(N739&lt;&gt;"",OR(N739&lt;1,N739&gt;5)),1,0)</f>
        <v>0</v>
      </c>
      <c r="AA739" s="9" t="n">
        <f aca="false">IF(AND(M739&lt;&gt;"",OR(M739&lt;5,M739&gt;180)),1,0)</f>
        <v>0</v>
      </c>
      <c r="AB739" s="7" t="str">
        <f aca="false">IF(P739="DUP","Exact duplicate row",IF(T739=1,"Missing Order ID",IF(S739="DROP","Duplicate Order ID (less complete row)",IF(U739=1,"Missing Customer ID",IF(V739=1,"Missing Restaurant name",IF(W739=1,"Invalid/outlier quantity",IF(X739=1,"Invalid/outlier unit price",IF(Y739=1,"Discount greater than order value",""))))))))</f>
        <v/>
      </c>
      <c r="AC739" s="7" t="str">
        <f aca="false">IF(AB739="","KEEP","DROP")</f>
        <v>KEEP</v>
      </c>
      <c r="AD739" s="7" t="str">
        <f aca="false">IF(TRIM(F739)="",IFERROR(INDEX(Map_Tables!$I$4:$I$37,MATCH(TRIM(E739),Map_Tables!$G$4:$G$37,0)),""),IFERROR(INDEX(Map_Tables!$B$4:$B$18,MATCH(TRIM(F739),Map_Tables!$A$4:$A$18,0)),"CHECK"))</f>
        <v>Bengaluru</v>
      </c>
      <c r="AE739" s="7" t="str">
        <f aca="false">IF(TRIM(E739)="","",IFERROR(INDEX(Map_Tables!$H$4:$H$37,MATCH(TRIM(E739),Map_Tables!$G$4:$G$37,0)),"CHECK"))</f>
        <v>Spice Junction</v>
      </c>
      <c r="AF739" s="7" t="str">
        <f aca="false">IF(TRIM(K739)="","Unknown",IFERROR(INDEX(Map_Tables!$E$4:$E$15,MATCH(TRIM(K739),Map_Tables!$D$4:$D$15,0)),"CHECK"))</f>
        <v>Credit Card</v>
      </c>
      <c r="AG739" s="7" t="str">
        <f aca="false">IF(LEFT(LOWER(TRIM(L739)),6)="cancel","Cancelled","Delivered")</f>
        <v>Delivered</v>
      </c>
      <c r="AH739" s="10" t="n">
        <f aca="false">IF(ISNUMBER(SEARCH("/",B739)),DATE(VALUE(RIGHT(B739,4)),VALUE(MID(B739,4,2)),VALUE(LEFT(B739,2))),IF(MID(B739,5,1)="-",DATE(VALUE(LEFT(B739,4)),VALUE(MID(B739,6,2)),VALUE(RIGHT(B739,2))),DATE(VALUE(RIGHT(B739,4)),MATCH(MID(B739,4,3),{"Jan","Feb","Mar","Apr","May","Jun","Jul","Aug","Sep","Oct","Nov","Dec"},0),VALUE(LEFT(B739,2)))))</f>
        <v>45779</v>
      </c>
    </row>
    <row r="740" customFormat="false" ht="15" hidden="false" customHeight="false" outlineLevel="0" collapsed="false">
      <c r="A740" s="7" t="s">
        <v>2462</v>
      </c>
      <c r="B740" s="7" t="s">
        <v>542</v>
      </c>
      <c r="C740" s="7" t="s">
        <v>433</v>
      </c>
      <c r="D740" s="7" t="s">
        <v>1849</v>
      </c>
      <c r="E740" s="7" t="s">
        <v>159</v>
      </c>
      <c r="F740" s="7" t="s">
        <v>136</v>
      </c>
      <c r="G740" s="7" t="s">
        <v>90</v>
      </c>
      <c r="H740" s="7" t="n">
        <v>1</v>
      </c>
      <c r="I740" s="7" t="n">
        <v>280</v>
      </c>
      <c r="J740" s="7" t="n">
        <v>0</v>
      </c>
      <c r="K740" s="7" t="s">
        <v>112</v>
      </c>
      <c r="L740" s="7" t="s">
        <v>194</v>
      </c>
      <c r="M740" s="7" t="n">
        <v>31</v>
      </c>
      <c r="N740" s="7" t="n">
        <v>5</v>
      </c>
      <c r="O740" s="7" t="str">
        <f aca="false">A740&amp;"|"&amp;B740&amp;"|"&amp;C740&amp;"|"&amp;D740&amp;"|"&amp;E740&amp;"|"&amp;F740&amp;"|"&amp;G740&amp;"|"&amp;H740&amp;"|"&amp;I740&amp;"|"&amp;J740&amp;"|"&amp;K740&amp;"|"&amp;L740&amp;"|"&amp;M740&amp;"|"&amp;N740</f>
        <v>ORD12335|2025-10-21|19:43|C0547|Maratha Thali House|Pune|North Indian|1|280|0|Cash on Delivery|Delivered|31|5</v>
      </c>
      <c r="P740" s="7" t="str">
        <f aca="false">IF(COUNTIF($O$2:O740,O740)&gt;1,"DUP","OK")</f>
        <v>OK</v>
      </c>
      <c r="Q740" s="7" t="n">
        <f aca="false">COUNTBLANK(A740:N740)</f>
        <v>0</v>
      </c>
      <c r="R740" s="7" t="n">
        <f aca="false">IF(A740="",0,COUNTIFS($A$2:$A$3058,A740,$P$2:$P$3058,"OK"))</f>
        <v>1</v>
      </c>
      <c r="S740" s="7" t="str">
        <f aca="false">IF(OR(A740="",P740="DUP",R740&lt;2),"",IF(Q740=_xlfn.MINIFS($Q$2:$Q$3058,$A$2:$A$3058,A740,$P$2:$P$3058,"OK"),"KEEP","DROP"))</f>
        <v/>
      </c>
      <c r="T740" s="9" t="n">
        <f aca="false">IF(A740="",1,0)</f>
        <v>0</v>
      </c>
      <c r="U740" s="9" t="n">
        <f aca="false">IF(D740="",1,0)</f>
        <v>0</v>
      </c>
      <c r="V740" s="9" t="n">
        <f aca="false">IF(E740="",1,0)</f>
        <v>0</v>
      </c>
      <c r="W740" s="9" t="n">
        <f aca="false">IF(OR(H740&lt;1,H740&gt;10),1,0)</f>
        <v>0</v>
      </c>
      <c r="X740" s="9" t="n">
        <f aca="false">IF(OR(I740&lt;=0,I740&gt;1500),1,0)</f>
        <v>0</v>
      </c>
      <c r="Y740" s="9" t="n">
        <f aca="false">IF(J740&gt;H740*I740,1,0)</f>
        <v>0</v>
      </c>
      <c r="Z740" s="9" t="n">
        <f aca="false">IF(AND(N740&lt;&gt;"",OR(N740&lt;1,N740&gt;5)),1,0)</f>
        <v>0</v>
      </c>
      <c r="AA740" s="9" t="n">
        <f aca="false">IF(AND(M740&lt;&gt;"",OR(M740&lt;5,M740&gt;180)),1,0)</f>
        <v>0</v>
      </c>
      <c r="AB740" s="7" t="str">
        <f aca="false">IF(P740="DUP","Exact duplicate row",IF(T740=1,"Missing Order ID",IF(S740="DROP","Duplicate Order ID (less complete row)",IF(U740=1,"Missing Customer ID",IF(V740=1,"Missing Restaurant name",IF(W740=1,"Invalid/outlier quantity",IF(X740=1,"Invalid/outlier unit price",IF(Y740=1,"Discount greater than order value",""))))))))</f>
        <v/>
      </c>
      <c r="AC740" s="7" t="str">
        <f aca="false">IF(AB740="","KEEP","DROP")</f>
        <v>KEEP</v>
      </c>
      <c r="AD740" s="7" t="str">
        <f aca="false">IF(TRIM(F740)="",IFERROR(INDEX(Map_Tables!$I$4:$I$37,MATCH(TRIM(E740),Map_Tables!$G$4:$G$37,0)),""),IFERROR(INDEX(Map_Tables!$B$4:$B$18,MATCH(TRIM(F740),Map_Tables!$A$4:$A$18,0)),"CHECK"))</f>
        <v>Pune</v>
      </c>
      <c r="AE740" s="7" t="str">
        <f aca="false">IF(TRIM(E740)="","",IFERROR(INDEX(Map_Tables!$H$4:$H$37,MATCH(TRIM(E740),Map_Tables!$G$4:$G$37,0)),"CHECK"))</f>
        <v>Maratha Thali House</v>
      </c>
      <c r="AF740" s="7" t="str">
        <f aca="false">IF(TRIM(K740)="","Unknown",IFERROR(INDEX(Map_Tables!$E$4:$E$15,MATCH(TRIM(K740),Map_Tables!$D$4:$D$15,0)),"CHECK"))</f>
        <v>Cash on Delivery</v>
      </c>
      <c r="AG740" s="7" t="str">
        <f aca="false">IF(LEFT(LOWER(TRIM(L740)),6)="cancel","Cancelled","Delivered")</f>
        <v>Delivered</v>
      </c>
      <c r="AH740" s="10" t="n">
        <f aca="false">IF(ISNUMBER(SEARCH("/",B740)),DATE(VALUE(RIGHT(B740,4)),VALUE(MID(B740,4,2)),VALUE(LEFT(B740,2))),IF(MID(B740,5,1)="-",DATE(VALUE(LEFT(B740,4)),VALUE(MID(B740,6,2)),VALUE(RIGHT(B740,2))),DATE(VALUE(RIGHT(B740,4)),MATCH(MID(B740,4,3),{"Jan","Feb","Mar","Apr","May","Jun","Jul","Aug","Sep","Oct","Nov","Dec"},0),VALUE(LEFT(B740,2)))))</f>
        <v>45951</v>
      </c>
    </row>
    <row r="741" customFormat="false" ht="15" hidden="false" customHeight="false" outlineLevel="0" collapsed="false">
      <c r="A741" s="7" t="s">
        <v>2463</v>
      </c>
      <c r="B741" s="7" t="s">
        <v>1029</v>
      </c>
      <c r="C741" s="7" t="s">
        <v>1390</v>
      </c>
      <c r="D741" s="7" t="s">
        <v>2464</v>
      </c>
      <c r="E741" s="7" t="s">
        <v>98</v>
      </c>
      <c r="F741" s="7" t="s">
        <v>86</v>
      </c>
      <c r="G741" s="7" t="s">
        <v>99</v>
      </c>
      <c r="H741" s="7" t="n">
        <v>2</v>
      </c>
      <c r="I741" s="7" t="n">
        <v>300</v>
      </c>
      <c r="J741" s="7" t="n">
        <v>30</v>
      </c>
      <c r="K741" s="7" t="s">
        <v>88</v>
      </c>
      <c r="L741" s="7" t="s">
        <v>194</v>
      </c>
      <c r="M741" s="7" t="n">
        <v>48</v>
      </c>
      <c r="N741" s="7"/>
      <c r="O741" s="7" t="str">
        <f aca="false">A741&amp;"|"&amp;B741&amp;"|"&amp;C741&amp;"|"&amp;D741&amp;"|"&amp;E741&amp;"|"&amp;F741&amp;"|"&amp;G741&amp;"|"&amp;H741&amp;"|"&amp;I741&amp;"|"&amp;J741&amp;"|"&amp;K741&amp;"|"&amp;L741&amp;"|"&amp;M741&amp;"|"&amp;N741</f>
        <v>ORD10318|2025-02-11|23:25|C0301|Nawabi Biryani House|Bengaluru|Biryani|2|300|30|UPI|Delivered|48|</v>
      </c>
      <c r="P741" s="7" t="str">
        <f aca="false">IF(COUNTIF($O$2:O741,O741)&gt;1,"DUP","OK")</f>
        <v>OK</v>
      </c>
      <c r="Q741" s="7" t="n">
        <f aca="false">COUNTBLANK(A741:N741)</f>
        <v>1</v>
      </c>
      <c r="R741" s="7" t="n">
        <f aca="false">IF(A741="",0,COUNTIFS($A$2:$A$3058,A741,$P$2:$P$3058,"OK"))</f>
        <v>1</v>
      </c>
      <c r="S741" s="7" t="str">
        <f aca="false">IF(OR(A741="",P741="DUP",R741&lt;2),"",IF(Q741=_xlfn.MINIFS($Q$2:$Q$3058,$A$2:$A$3058,A741,$P$2:$P$3058,"OK"),"KEEP","DROP"))</f>
        <v/>
      </c>
      <c r="T741" s="9" t="n">
        <f aca="false">IF(A741="",1,0)</f>
        <v>0</v>
      </c>
      <c r="U741" s="9" t="n">
        <f aca="false">IF(D741="",1,0)</f>
        <v>0</v>
      </c>
      <c r="V741" s="9" t="n">
        <f aca="false">IF(E741="",1,0)</f>
        <v>0</v>
      </c>
      <c r="W741" s="9" t="n">
        <f aca="false">IF(OR(H741&lt;1,H741&gt;10),1,0)</f>
        <v>0</v>
      </c>
      <c r="X741" s="9" t="n">
        <f aca="false">IF(OR(I741&lt;=0,I741&gt;1500),1,0)</f>
        <v>0</v>
      </c>
      <c r="Y741" s="9" t="n">
        <f aca="false">IF(J741&gt;H741*I741,1,0)</f>
        <v>0</v>
      </c>
      <c r="Z741" s="9" t="n">
        <f aca="false">IF(AND(N741&lt;&gt;"",OR(N741&lt;1,N741&gt;5)),1,0)</f>
        <v>0</v>
      </c>
      <c r="AA741" s="9" t="n">
        <f aca="false">IF(AND(M741&lt;&gt;"",OR(M741&lt;5,M741&gt;180)),1,0)</f>
        <v>0</v>
      </c>
      <c r="AB741" s="7" t="str">
        <f aca="false">IF(P741="DUP","Exact duplicate row",IF(T741=1,"Missing Order ID",IF(S741="DROP","Duplicate Order ID (less complete row)",IF(U741=1,"Missing Customer ID",IF(V741=1,"Missing Restaurant name",IF(W741=1,"Invalid/outlier quantity",IF(X741=1,"Invalid/outlier unit price",IF(Y741=1,"Discount greater than order value",""))))))))</f>
        <v/>
      </c>
      <c r="AC741" s="7" t="str">
        <f aca="false">IF(AB741="","KEEP","DROP")</f>
        <v>KEEP</v>
      </c>
      <c r="AD741" s="7" t="str">
        <f aca="false">IF(TRIM(F741)="",IFERROR(INDEX(Map_Tables!$I$4:$I$37,MATCH(TRIM(E741),Map_Tables!$G$4:$G$37,0)),""),IFERROR(INDEX(Map_Tables!$B$4:$B$18,MATCH(TRIM(F741),Map_Tables!$A$4:$A$18,0)),"CHECK"))</f>
        <v>Bengaluru</v>
      </c>
      <c r="AE741" s="7" t="str">
        <f aca="false">IF(TRIM(E741)="","",IFERROR(INDEX(Map_Tables!$H$4:$H$37,MATCH(TRIM(E741),Map_Tables!$G$4:$G$37,0)),"CHECK"))</f>
        <v>Nawabi Biryani House</v>
      </c>
      <c r="AF741" s="7" t="str">
        <f aca="false">IF(TRIM(K741)="","Unknown",IFERROR(INDEX(Map_Tables!$E$4:$E$15,MATCH(TRIM(K741),Map_Tables!$D$4:$D$15,0)),"CHECK"))</f>
        <v>UPI</v>
      </c>
      <c r="AG741" s="7" t="str">
        <f aca="false">IF(LEFT(LOWER(TRIM(L741)),6)="cancel","Cancelled","Delivered")</f>
        <v>Delivered</v>
      </c>
      <c r="AH741" s="10" t="n">
        <f aca="false">IF(ISNUMBER(SEARCH("/",B741)),DATE(VALUE(RIGHT(B741,4)),VALUE(MID(B741,4,2)),VALUE(LEFT(B741,2))),IF(MID(B741,5,1)="-",DATE(VALUE(LEFT(B741,4)),VALUE(MID(B741,6,2)),VALUE(RIGHT(B741,2))),DATE(VALUE(RIGHT(B741,4)),MATCH(MID(B741,4,3),{"Jan","Feb","Mar","Apr","May","Jun","Jul","Aug","Sep","Oct","Nov","Dec"},0),VALUE(LEFT(B741,2)))))</f>
        <v>45699</v>
      </c>
    </row>
    <row r="742" customFormat="false" ht="15" hidden="false" customHeight="false" outlineLevel="0" collapsed="false">
      <c r="A742" s="7" t="s">
        <v>2465</v>
      </c>
      <c r="B742" s="7" t="s">
        <v>469</v>
      </c>
      <c r="C742" s="7" t="s">
        <v>2466</v>
      </c>
      <c r="D742" s="7"/>
      <c r="E742" s="7" t="s">
        <v>130</v>
      </c>
      <c r="F742" s="7" t="s">
        <v>110</v>
      </c>
      <c r="G742" s="7" t="s">
        <v>90</v>
      </c>
      <c r="H742" s="7" t="n">
        <v>1</v>
      </c>
      <c r="I742" s="7" t="n">
        <v>250</v>
      </c>
      <c r="J742" s="7" t="n">
        <v>0</v>
      </c>
      <c r="K742" s="7" t="s">
        <v>112</v>
      </c>
      <c r="L742" s="7" t="s">
        <v>194</v>
      </c>
      <c r="M742" s="7" t="n">
        <v>28</v>
      </c>
      <c r="N742" s="7" t="n">
        <v>5</v>
      </c>
      <c r="O742" s="7" t="str">
        <f aca="false">A742&amp;"|"&amp;B742&amp;"|"&amp;C742&amp;"|"&amp;D742&amp;"|"&amp;E742&amp;"|"&amp;F742&amp;"|"&amp;G742&amp;"|"&amp;H742&amp;"|"&amp;I742&amp;"|"&amp;J742&amp;"|"&amp;K742&amp;"|"&amp;L742&amp;"|"&amp;M742&amp;"|"&amp;N742</f>
        <v>ORD11681|2025-08-08|01:36||Tandoor Tales|Delhi|North Indian|1|250|0|Cash on Delivery|Delivered|28|5</v>
      </c>
      <c r="P742" s="7" t="str">
        <f aca="false">IF(COUNTIF($O$2:O742,O742)&gt;1,"DUP","OK")</f>
        <v>OK</v>
      </c>
      <c r="Q742" s="7" t="n">
        <f aca="false">COUNTBLANK(A742:N742)</f>
        <v>1</v>
      </c>
      <c r="R742" s="7" t="n">
        <f aca="false">IF(A742="",0,COUNTIFS($A$2:$A$3058,A742,$P$2:$P$3058,"OK"))</f>
        <v>1</v>
      </c>
      <c r="S742" s="7" t="str">
        <f aca="false">IF(OR(A742="",P742="DUP",R742&lt;2),"",IF(Q742=_xlfn.MINIFS($Q$2:$Q$3058,$A$2:$A$3058,A742,$P$2:$P$3058,"OK"),"KEEP","DROP"))</f>
        <v/>
      </c>
      <c r="T742" s="9" t="n">
        <f aca="false">IF(A742="",1,0)</f>
        <v>0</v>
      </c>
      <c r="U742" s="9" t="n">
        <f aca="false">IF(D742="",1,0)</f>
        <v>1</v>
      </c>
      <c r="V742" s="9" t="n">
        <f aca="false">IF(E742="",1,0)</f>
        <v>0</v>
      </c>
      <c r="W742" s="9" t="n">
        <f aca="false">IF(OR(H742&lt;1,H742&gt;10),1,0)</f>
        <v>0</v>
      </c>
      <c r="X742" s="9" t="n">
        <f aca="false">IF(OR(I742&lt;=0,I742&gt;1500),1,0)</f>
        <v>0</v>
      </c>
      <c r="Y742" s="9" t="n">
        <f aca="false">IF(J742&gt;H742*I742,1,0)</f>
        <v>0</v>
      </c>
      <c r="Z742" s="9" t="n">
        <f aca="false">IF(AND(N742&lt;&gt;"",OR(N742&lt;1,N742&gt;5)),1,0)</f>
        <v>0</v>
      </c>
      <c r="AA742" s="9" t="n">
        <f aca="false">IF(AND(M742&lt;&gt;"",OR(M742&lt;5,M742&gt;180)),1,0)</f>
        <v>0</v>
      </c>
      <c r="AB742" s="7" t="str">
        <f aca="false">IF(P742="DUP","Exact duplicate row",IF(T742=1,"Missing Order ID",IF(S742="DROP","Duplicate Order ID (less complete row)",IF(U742=1,"Missing Customer ID",IF(V742=1,"Missing Restaurant name",IF(W742=1,"Invalid/outlier quantity",IF(X742=1,"Invalid/outlier unit price",IF(Y742=1,"Discount greater than order value",""))))))))</f>
        <v>Missing Customer ID</v>
      </c>
      <c r="AC742" s="7" t="str">
        <f aca="false">IF(AB742="","KEEP","DROP")</f>
        <v>DROP</v>
      </c>
      <c r="AD742" s="7" t="str">
        <f aca="false">IF(TRIM(F742)="",IFERROR(INDEX(Map_Tables!$I$4:$I$37,MATCH(TRIM(E742),Map_Tables!$G$4:$G$37,0)),""),IFERROR(INDEX(Map_Tables!$B$4:$B$18,MATCH(TRIM(F742),Map_Tables!$A$4:$A$18,0)),"CHECK"))</f>
        <v>Delhi</v>
      </c>
      <c r="AE742" s="7" t="str">
        <f aca="false">IF(TRIM(E742)="","",IFERROR(INDEX(Map_Tables!$H$4:$H$37,MATCH(TRIM(E742),Map_Tables!$G$4:$G$37,0)),"CHECK"))</f>
        <v>Tandoor Tales</v>
      </c>
      <c r="AF742" s="7" t="str">
        <f aca="false">IF(TRIM(K742)="","Unknown",IFERROR(INDEX(Map_Tables!$E$4:$E$15,MATCH(TRIM(K742),Map_Tables!$D$4:$D$15,0)),"CHECK"))</f>
        <v>Cash on Delivery</v>
      </c>
      <c r="AG742" s="7" t="str">
        <f aca="false">IF(LEFT(LOWER(TRIM(L742)),6)="cancel","Cancelled","Delivered")</f>
        <v>Delivered</v>
      </c>
      <c r="AH742" s="10" t="n">
        <f aca="false">IF(ISNUMBER(SEARCH("/",B742)),DATE(VALUE(RIGHT(B742,4)),VALUE(MID(B742,4,2)),VALUE(LEFT(B742,2))),IF(MID(B742,5,1)="-",DATE(VALUE(LEFT(B742,4)),VALUE(MID(B742,6,2)),VALUE(RIGHT(B742,2))),DATE(VALUE(RIGHT(B742,4)),MATCH(MID(B742,4,3),{"Jan","Feb","Mar","Apr","May","Jun","Jul","Aug","Sep","Oct","Nov","Dec"},0),VALUE(LEFT(B742,2)))))</f>
        <v>45877</v>
      </c>
    </row>
    <row r="743" customFormat="false" ht="15" hidden="false" customHeight="false" outlineLevel="0" collapsed="false">
      <c r="A743" s="7" t="s">
        <v>2467</v>
      </c>
      <c r="B743" s="7" t="s">
        <v>2357</v>
      </c>
      <c r="C743" s="7" t="s">
        <v>2468</v>
      </c>
      <c r="D743" s="7" t="s">
        <v>2469</v>
      </c>
      <c r="E743" s="7" t="s">
        <v>154</v>
      </c>
      <c r="F743" s="7" t="s">
        <v>128</v>
      </c>
      <c r="G743" s="7" t="s">
        <v>99</v>
      </c>
      <c r="H743" s="7" t="n">
        <v>2</v>
      </c>
      <c r="I743" s="7" t="n">
        <v>170</v>
      </c>
      <c r="J743" s="7" t="n">
        <v>50</v>
      </c>
      <c r="K743" s="7" t="s">
        <v>103</v>
      </c>
      <c r="L743" s="7" t="s">
        <v>194</v>
      </c>
      <c r="M743" s="7" t="n">
        <v>29</v>
      </c>
      <c r="N743" s="7" t="n">
        <v>3</v>
      </c>
      <c r="O743" s="7" t="str">
        <f aca="false">A743&amp;"|"&amp;B743&amp;"|"&amp;C743&amp;"|"&amp;D743&amp;"|"&amp;E743&amp;"|"&amp;F743&amp;"|"&amp;G743&amp;"|"&amp;H743&amp;"|"&amp;I743&amp;"|"&amp;J743&amp;"|"&amp;K743&amp;"|"&amp;L743&amp;"|"&amp;M743&amp;"|"&amp;N743</f>
        <v>ORD11901|2025-09-04|16:05|C0315|Madras Biryani Co|Chennai|Biryani|2|170|50|Debit Card|Delivered|29|3</v>
      </c>
      <c r="P743" s="7" t="str">
        <f aca="false">IF(COUNTIF($O$2:O743,O743)&gt;1,"DUP","OK")</f>
        <v>OK</v>
      </c>
      <c r="Q743" s="7" t="n">
        <f aca="false">COUNTBLANK(A743:N743)</f>
        <v>0</v>
      </c>
      <c r="R743" s="7" t="n">
        <f aca="false">IF(A743="",0,COUNTIFS($A$2:$A$3058,A743,$P$2:$P$3058,"OK"))</f>
        <v>1</v>
      </c>
      <c r="S743" s="7" t="str">
        <f aca="false">IF(OR(A743="",P743="DUP",R743&lt;2),"",IF(Q743=_xlfn.MINIFS($Q$2:$Q$3058,$A$2:$A$3058,A743,$P$2:$P$3058,"OK"),"KEEP","DROP"))</f>
        <v/>
      </c>
      <c r="T743" s="9" t="n">
        <f aca="false">IF(A743="",1,0)</f>
        <v>0</v>
      </c>
      <c r="U743" s="9" t="n">
        <f aca="false">IF(D743="",1,0)</f>
        <v>0</v>
      </c>
      <c r="V743" s="9" t="n">
        <f aca="false">IF(E743="",1,0)</f>
        <v>0</v>
      </c>
      <c r="W743" s="9" t="n">
        <f aca="false">IF(OR(H743&lt;1,H743&gt;10),1,0)</f>
        <v>0</v>
      </c>
      <c r="X743" s="9" t="n">
        <f aca="false">IF(OR(I743&lt;=0,I743&gt;1500),1,0)</f>
        <v>0</v>
      </c>
      <c r="Y743" s="9" t="n">
        <f aca="false">IF(J743&gt;H743*I743,1,0)</f>
        <v>0</v>
      </c>
      <c r="Z743" s="9" t="n">
        <f aca="false">IF(AND(N743&lt;&gt;"",OR(N743&lt;1,N743&gt;5)),1,0)</f>
        <v>0</v>
      </c>
      <c r="AA743" s="9" t="n">
        <f aca="false">IF(AND(M743&lt;&gt;"",OR(M743&lt;5,M743&gt;180)),1,0)</f>
        <v>0</v>
      </c>
      <c r="AB743" s="7" t="str">
        <f aca="false">IF(P743="DUP","Exact duplicate row",IF(T743=1,"Missing Order ID",IF(S743="DROP","Duplicate Order ID (less complete row)",IF(U743=1,"Missing Customer ID",IF(V743=1,"Missing Restaurant name",IF(W743=1,"Invalid/outlier quantity",IF(X743=1,"Invalid/outlier unit price",IF(Y743=1,"Discount greater than order value",""))))))))</f>
        <v/>
      </c>
      <c r="AC743" s="7" t="str">
        <f aca="false">IF(AB743="","KEEP","DROP")</f>
        <v>KEEP</v>
      </c>
      <c r="AD743" s="7" t="str">
        <f aca="false">IF(TRIM(F743)="",IFERROR(INDEX(Map_Tables!$I$4:$I$37,MATCH(TRIM(E743),Map_Tables!$G$4:$G$37,0)),""),IFERROR(INDEX(Map_Tables!$B$4:$B$18,MATCH(TRIM(F743),Map_Tables!$A$4:$A$18,0)),"CHECK"))</f>
        <v>Chennai</v>
      </c>
      <c r="AE743" s="7" t="str">
        <f aca="false">IF(TRIM(E743)="","",IFERROR(INDEX(Map_Tables!$H$4:$H$37,MATCH(TRIM(E743),Map_Tables!$G$4:$G$37,0)),"CHECK"))</f>
        <v>Madras Biryani Co</v>
      </c>
      <c r="AF743" s="7" t="str">
        <f aca="false">IF(TRIM(K743)="","Unknown",IFERROR(INDEX(Map_Tables!$E$4:$E$15,MATCH(TRIM(K743),Map_Tables!$D$4:$D$15,0)),"CHECK"))</f>
        <v>Debit Card</v>
      </c>
      <c r="AG743" s="7" t="str">
        <f aca="false">IF(LEFT(LOWER(TRIM(L743)),6)="cancel","Cancelled","Delivered")</f>
        <v>Delivered</v>
      </c>
      <c r="AH743" s="10" t="n">
        <f aca="false">IF(ISNUMBER(SEARCH("/",B743)),DATE(VALUE(RIGHT(B743,4)),VALUE(MID(B743,4,2)),VALUE(LEFT(B743,2))),IF(MID(B743,5,1)="-",DATE(VALUE(LEFT(B743,4)),VALUE(MID(B743,6,2)),VALUE(RIGHT(B743,2))),DATE(VALUE(RIGHT(B743,4)),MATCH(MID(B743,4,3),{"Jan","Feb","Mar","Apr","May","Jun","Jul","Aug","Sep","Oct","Nov","Dec"},0),VALUE(LEFT(B743,2)))))</f>
        <v>45904</v>
      </c>
    </row>
    <row r="744" customFormat="false" ht="15" hidden="false" customHeight="false" outlineLevel="0" collapsed="false">
      <c r="A744" s="7" t="s">
        <v>2470</v>
      </c>
      <c r="B744" s="7" t="s">
        <v>629</v>
      </c>
      <c r="C744" s="7" t="s">
        <v>1087</v>
      </c>
      <c r="D744" s="7" t="s">
        <v>797</v>
      </c>
      <c r="E744" s="7" t="s">
        <v>798</v>
      </c>
      <c r="F744" s="7" t="s">
        <v>136</v>
      </c>
      <c r="G744" s="7" t="s">
        <v>139</v>
      </c>
      <c r="H744" s="7" t="n">
        <v>3</v>
      </c>
      <c r="I744" s="7" t="n">
        <v>170</v>
      </c>
      <c r="J744" s="7" t="n">
        <v>30</v>
      </c>
      <c r="K744" s="7" t="s">
        <v>103</v>
      </c>
      <c r="L744" s="7" t="s">
        <v>194</v>
      </c>
      <c r="M744" s="7" t="n">
        <v>38</v>
      </c>
      <c r="N744" s="7"/>
      <c r="O744" s="7" t="str">
        <f aca="false">A744&amp;"|"&amp;B744&amp;"|"&amp;C744&amp;"|"&amp;D744&amp;"|"&amp;E744&amp;"|"&amp;F744&amp;"|"&amp;G744&amp;"|"&amp;H744&amp;"|"&amp;I744&amp;"|"&amp;J744&amp;"|"&amp;K744&amp;"|"&amp;L744&amp;"|"&amp;M744&amp;"|"&amp;N744</f>
        <v>ORD12092|2025-09-26|19:47|C0944|Pune  Burger Hub|Pune|Burgers|3|170|30|Debit Card|Delivered|38|</v>
      </c>
      <c r="P744" s="7" t="str">
        <f aca="false">IF(COUNTIF($O$2:O744,O744)&gt;1,"DUP","OK")</f>
        <v>OK</v>
      </c>
      <c r="Q744" s="7" t="n">
        <f aca="false">COUNTBLANK(A744:N744)</f>
        <v>1</v>
      </c>
      <c r="R744" s="7" t="n">
        <f aca="false">IF(A744="",0,COUNTIFS($A$2:$A$3058,A744,$P$2:$P$3058,"OK"))</f>
        <v>1</v>
      </c>
      <c r="S744" s="7" t="str">
        <f aca="false">IF(OR(A744="",P744="DUP",R744&lt;2),"",IF(Q744=_xlfn.MINIFS($Q$2:$Q$3058,$A$2:$A$3058,A744,$P$2:$P$3058,"OK"),"KEEP","DROP"))</f>
        <v/>
      </c>
      <c r="T744" s="9" t="n">
        <f aca="false">IF(A744="",1,0)</f>
        <v>0</v>
      </c>
      <c r="U744" s="9" t="n">
        <f aca="false">IF(D744="",1,0)</f>
        <v>0</v>
      </c>
      <c r="V744" s="9" t="n">
        <f aca="false">IF(E744="",1,0)</f>
        <v>0</v>
      </c>
      <c r="W744" s="9" t="n">
        <f aca="false">IF(OR(H744&lt;1,H744&gt;10),1,0)</f>
        <v>0</v>
      </c>
      <c r="X744" s="9" t="n">
        <f aca="false">IF(OR(I744&lt;=0,I744&gt;1500),1,0)</f>
        <v>0</v>
      </c>
      <c r="Y744" s="9" t="n">
        <f aca="false">IF(J744&gt;H744*I744,1,0)</f>
        <v>0</v>
      </c>
      <c r="Z744" s="9" t="n">
        <f aca="false">IF(AND(N744&lt;&gt;"",OR(N744&lt;1,N744&gt;5)),1,0)</f>
        <v>0</v>
      </c>
      <c r="AA744" s="9" t="n">
        <f aca="false">IF(AND(M744&lt;&gt;"",OR(M744&lt;5,M744&gt;180)),1,0)</f>
        <v>0</v>
      </c>
      <c r="AB744" s="7" t="str">
        <f aca="false">IF(P744="DUP","Exact duplicate row",IF(T744=1,"Missing Order ID",IF(S744="DROP","Duplicate Order ID (less complete row)",IF(U744=1,"Missing Customer ID",IF(V744=1,"Missing Restaurant name",IF(W744=1,"Invalid/outlier quantity",IF(X744=1,"Invalid/outlier unit price",IF(Y744=1,"Discount greater than order value",""))))))))</f>
        <v/>
      </c>
      <c r="AC744" s="7" t="str">
        <f aca="false">IF(AB744="","KEEP","DROP")</f>
        <v>KEEP</v>
      </c>
      <c r="AD744" s="7" t="str">
        <f aca="false">IF(TRIM(F744)="",IFERROR(INDEX(Map_Tables!$I$4:$I$37,MATCH(TRIM(E744),Map_Tables!$G$4:$G$37,0)),""),IFERROR(INDEX(Map_Tables!$B$4:$B$18,MATCH(TRIM(F744),Map_Tables!$A$4:$A$18,0)),"CHECK"))</f>
        <v>Pune</v>
      </c>
      <c r="AE744" s="7" t="str">
        <f aca="false">IF(TRIM(E744)="","",IFERROR(INDEX(Map_Tables!$H$4:$H$37,MATCH(TRIM(E744),Map_Tables!$G$4:$G$37,0)),"CHECK"))</f>
        <v>Pune Burger Hub</v>
      </c>
      <c r="AF744" s="7" t="str">
        <f aca="false">IF(TRIM(K744)="","Unknown",IFERROR(INDEX(Map_Tables!$E$4:$E$15,MATCH(TRIM(K744),Map_Tables!$D$4:$D$15,0)),"CHECK"))</f>
        <v>Debit Card</v>
      </c>
      <c r="AG744" s="7" t="str">
        <f aca="false">IF(LEFT(LOWER(TRIM(L744)),6)="cancel","Cancelled","Delivered")</f>
        <v>Delivered</v>
      </c>
      <c r="AH744" s="10" t="n">
        <f aca="false">IF(ISNUMBER(SEARCH("/",B744)),DATE(VALUE(RIGHT(B744,4)),VALUE(MID(B744,4,2)),VALUE(LEFT(B744,2))),IF(MID(B744,5,1)="-",DATE(VALUE(LEFT(B744,4)),VALUE(MID(B744,6,2)),VALUE(RIGHT(B744,2))),DATE(VALUE(RIGHT(B744,4)),MATCH(MID(B744,4,3),{"Jan","Feb","Mar","Apr","May","Jun","Jul","Aug","Sep","Oct","Nov","Dec"},0),VALUE(LEFT(B744,2)))))</f>
        <v>45926</v>
      </c>
    </row>
    <row r="745" customFormat="false" ht="15" hidden="false" customHeight="false" outlineLevel="0" collapsed="false">
      <c r="A745" s="7" t="s">
        <v>2471</v>
      </c>
      <c r="B745" s="7" t="s">
        <v>345</v>
      </c>
      <c r="C745" s="7" t="s">
        <v>2472</v>
      </c>
      <c r="D745" s="7" t="s">
        <v>2473</v>
      </c>
      <c r="E745" s="7" t="s">
        <v>148</v>
      </c>
      <c r="F745" s="7" t="s">
        <v>119</v>
      </c>
      <c r="G745" s="7" t="s">
        <v>123</v>
      </c>
      <c r="H745" s="7" t="n">
        <v>2</v>
      </c>
      <c r="I745" s="7" t="n">
        <v>330</v>
      </c>
      <c r="J745" s="7" t="n">
        <v>0</v>
      </c>
      <c r="K745" s="7" t="s">
        <v>93</v>
      </c>
      <c r="L745" s="7" t="s">
        <v>194</v>
      </c>
      <c r="M745" s="7" t="n">
        <v>34</v>
      </c>
      <c r="N745" s="7" t="n">
        <v>5</v>
      </c>
      <c r="O745" s="7" t="str">
        <f aca="false">A745&amp;"|"&amp;B745&amp;"|"&amp;C745&amp;"|"&amp;D745&amp;"|"&amp;E745&amp;"|"&amp;F745&amp;"|"&amp;G745&amp;"|"&amp;H745&amp;"|"&amp;I745&amp;"|"&amp;J745&amp;"|"&amp;K745&amp;"|"&amp;L745&amp;"|"&amp;M745&amp;"|"&amp;N745</f>
        <v>ORD10893|2025-04-22|22:19|C0450|Pizza Palace|Hyderabad|Pizza|2|330|0|Credit Card|Delivered|34|5</v>
      </c>
      <c r="P745" s="7" t="str">
        <f aca="false">IF(COUNTIF($O$2:O745,O745)&gt;1,"DUP","OK")</f>
        <v>OK</v>
      </c>
      <c r="Q745" s="7" t="n">
        <f aca="false">COUNTBLANK(A745:N745)</f>
        <v>0</v>
      </c>
      <c r="R745" s="7" t="n">
        <f aca="false">IF(A745="",0,COUNTIFS($A$2:$A$3058,A745,$P$2:$P$3058,"OK"))</f>
        <v>1</v>
      </c>
      <c r="S745" s="7" t="str">
        <f aca="false">IF(OR(A745="",P745="DUP",R745&lt;2),"",IF(Q745=_xlfn.MINIFS($Q$2:$Q$3058,$A$2:$A$3058,A745,$P$2:$P$3058,"OK"),"KEEP","DROP"))</f>
        <v/>
      </c>
      <c r="T745" s="9" t="n">
        <f aca="false">IF(A745="",1,0)</f>
        <v>0</v>
      </c>
      <c r="U745" s="9" t="n">
        <f aca="false">IF(D745="",1,0)</f>
        <v>0</v>
      </c>
      <c r="V745" s="9" t="n">
        <f aca="false">IF(E745="",1,0)</f>
        <v>0</v>
      </c>
      <c r="W745" s="9" t="n">
        <f aca="false">IF(OR(H745&lt;1,H745&gt;10),1,0)</f>
        <v>0</v>
      </c>
      <c r="X745" s="9" t="n">
        <f aca="false">IF(OR(I745&lt;=0,I745&gt;1500),1,0)</f>
        <v>0</v>
      </c>
      <c r="Y745" s="9" t="n">
        <f aca="false">IF(J745&gt;H745*I745,1,0)</f>
        <v>0</v>
      </c>
      <c r="Z745" s="9" t="n">
        <f aca="false">IF(AND(N745&lt;&gt;"",OR(N745&lt;1,N745&gt;5)),1,0)</f>
        <v>0</v>
      </c>
      <c r="AA745" s="9" t="n">
        <f aca="false">IF(AND(M745&lt;&gt;"",OR(M745&lt;5,M745&gt;180)),1,0)</f>
        <v>0</v>
      </c>
      <c r="AB745" s="7" t="str">
        <f aca="false">IF(P745="DUP","Exact duplicate row",IF(T745=1,"Missing Order ID",IF(S745="DROP","Duplicate Order ID (less complete row)",IF(U745=1,"Missing Customer ID",IF(V745=1,"Missing Restaurant name",IF(W745=1,"Invalid/outlier quantity",IF(X745=1,"Invalid/outlier unit price",IF(Y745=1,"Discount greater than order value",""))))))))</f>
        <v/>
      </c>
      <c r="AC745" s="7" t="str">
        <f aca="false">IF(AB745="","KEEP","DROP")</f>
        <v>KEEP</v>
      </c>
      <c r="AD745" s="7" t="str">
        <f aca="false">IF(TRIM(F745)="",IFERROR(INDEX(Map_Tables!$I$4:$I$37,MATCH(TRIM(E745),Map_Tables!$G$4:$G$37,0)),""),IFERROR(INDEX(Map_Tables!$B$4:$B$18,MATCH(TRIM(F745),Map_Tables!$A$4:$A$18,0)),"CHECK"))</f>
        <v>Hyderabad</v>
      </c>
      <c r="AE745" s="7" t="str">
        <f aca="false">IF(TRIM(E745)="","",IFERROR(INDEX(Map_Tables!$H$4:$H$37,MATCH(TRIM(E745),Map_Tables!$G$4:$G$37,0)),"CHECK"))</f>
        <v>Pizza Palace</v>
      </c>
      <c r="AF745" s="7" t="str">
        <f aca="false">IF(TRIM(K745)="","Unknown",IFERROR(INDEX(Map_Tables!$E$4:$E$15,MATCH(TRIM(K745),Map_Tables!$D$4:$D$15,0)),"CHECK"))</f>
        <v>Credit Card</v>
      </c>
      <c r="AG745" s="7" t="str">
        <f aca="false">IF(LEFT(LOWER(TRIM(L745)),6)="cancel","Cancelled","Delivered")</f>
        <v>Delivered</v>
      </c>
      <c r="AH745" s="10" t="n">
        <f aca="false">IF(ISNUMBER(SEARCH("/",B745)),DATE(VALUE(RIGHT(B745,4)),VALUE(MID(B745,4,2)),VALUE(LEFT(B745,2))),IF(MID(B745,5,1)="-",DATE(VALUE(LEFT(B745,4)),VALUE(MID(B745,6,2)),VALUE(RIGHT(B745,2))),DATE(VALUE(RIGHT(B745,4)),MATCH(MID(B745,4,3),{"Jan","Feb","Mar","Apr","May","Jun","Jul","Aug","Sep","Oct","Nov","Dec"},0),VALUE(LEFT(B745,2)))))</f>
        <v>45769</v>
      </c>
    </row>
    <row r="746" customFormat="false" ht="15" hidden="false" customHeight="false" outlineLevel="0" collapsed="false">
      <c r="A746" s="7" t="s">
        <v>2474</v>
      </c>
      <c r="B746" s="7" t="s">
        <v>1074</v>
      </c>
      <c r="C746" s="7" t="s">
        <v>2475</v>
      </c>
      <c r="D746" s="7" t="s">
        <v>332</v>
      </c>
      <c r="E746" s="7" t="s">
        <v>126</v>
      </c>
      <c r="F746" s="7" t="s">
        <v>101</v>
      </c>
      <c r="G746" s="7" t="s">
        <v>105</v>
      </c>
      <c r="H746" s="7" t="n">
        <v>3</v>
      </c>
      <c r="I746" s="7" t="n">
        <v>260</v>
      </c>
      <c r="J746" s="7" t="n">
        <v>0</v>
      </c>
      <c r="K746" s="7" t="s">
        <v>93</v>
      </c>
      <c r="L746" s="7" t="s">
        <v>194</v>
      </c>
      <c r="M746" s="7" t="n">
        <v>40</v>
      </c>
      <c r="N746" s="7" t="n">
        <v>3</v>
      </c>
      <c r="O746" s="7" t="str">
        <f aca="false">A746&amp;"|"&amp;B746&amp;"|"&amp;C746&amp;"|"&amp;D746&amp;"|"&amp;E746&amp;"|"&amp;F746&amp;"|"&amp;G746&amp;"|"&amp;H746&amp;"|"&amp;I746&amp;"|"&amp;J746&amp;"|"&amp;K746&amp;"|"&amp;L746&amp;"|"&amp;M746&amp;"|"&amp;N746</f>
        <v>ORD10849|17/04/2025|22:54|C1296|Dragon Express|Mumbai|Chinese|3|260|0|Credit Card|Delivered|40|3</v>
      </c>
      <c r="P746" s="7" t="str">
        <f aca="false">IF(COUNTIF($O$2:O746,O746)&gt;1,"DUP","OK")</f>
        <v>OK</v>
      </c>
      <c r="Q746" s="7" t="n">
        <f aca="false">COUNTBLANK(A746:N746)</f>
        <v>0</v>
      </c>
      <c r="R746" s="7" t="n">
        <f aca="false">IF(A746="",0,COUNTIFS($A$2:$A$3058,A746,$P$2:$P$3058,"OK"))</f>
        <v>1</v>
      </c>
      <c r="S746" s="7" t="str">
        <f aca="false">IF(OR(A746="",P746="DUP",R746&lt;2),"",IF(Q746=_xlfn.MINIFS($Q$2:$Q$3058,$A$2:$A$3058,A746,$P$2:$P$3058,"OK"),"KEEP","DROP"))</f>
        <v/>
      </c>
      <c r="T746" s="9" t="n">
        <f aca="false">IF(A746="",1,0)</f>
        <v>0</v>
      </c>
      <c r="U746" s="9" t="n">
        <f aca="false">IF(D746="",1,0)</f>
        <v>0</v>
      </c>
      <c r="V746" s="9" t="n">
        <f aca="false">IF(E746="",1,0)</f>
        <v>0</v>
      </c>
      <c r="W746" s="9" t="n">
        <f aca="false">IF(OR(H746&lt;1,H746&gt;10),1,0)</f>
        <v>0</v>
      </c>
      <c r="X746" s="9" t="n">
        <f aca="false">IF(OR(I746&lt;=0,I746&gt;1500),1,0)</f>
        <v>0</v>
      </c>
      <c r="Y746" s="9" t="n">
        <f aca="false">IF(J746&gt;H746*I746,1,0)</f>
        <v>0</v>
      </c>
      <c r="Z746" s="9" t="n">
        <f aca="false">IF(AND(N746&lt;&gt;"",OR(N746&lt;1,N746&gt;5)),1,0)</f>
        <v>0</v>
      </c>
      <c r="AA746" s="9" t="n">
        <f aca="false">IF(AND(M746&lt;&gt;"",OR(M746&lt;5,M746&gt;180)),1,0)</f>
        <v>0</v>
      </c>
      <c r="AB746" s="7" t="str">
        <f aca="false">IF(P746="DUP","Exact duplicate row",IF(T746=1,"Missing Order ID",IF(S746="DROP","Duplicate Order ID (less complete row)",IF(U746=1,"Missing Customer ID",IF(V746=1,"Missing Restaurant name",IF(W746=1,"Invalid/outlier quantity",IF(X746=1,"Invalid/outlier unit price",IF(Y746=1,"Discount greater than order value",""))))))))</f>
        <v/>
      </c>
      <c r="AC746" s="7" t="str">
        <f aca="false">IF(AB746="","KEEP","DROP")</f>
        <v>KEEP</v>
      </c>
      <c r="AD746" s="7" t="str">
        <f aca="false">IF(TRIM(F746)="",IFERROR(INDEX(Map_Tables!$I$4:$I$37,MATCH(TRIM(E746),Map_Tables!$G$4:$G$37,0)),""),IFERROR(INDEX(Map_Tables!$B$4:$B$18,MATCH(TRIM(F746),Map_Tables!$A$4:$A$18,0)),"CHECK"))</f>
        <v>Mumbai</v>
      </c>
      <c r="AE746" s="7" t="str">
        <f aca="false">IF(TRIM(E746)="","",IFERROR(INDEX(Map_Tables!$H$4:$H$37,MATCH(TRIM(E746),Map_Tables!$G$4:$G$37,0)),"CHECK"))</f>
        <v>Dragon Express</v>
      </c>
      <c r="AF746" s="7" t="str">
        <f aca="false">IF(TRIM(K746)="","Unknown",IFERROR(INDEX(Map_Tables!$E$4:$E$15,MATCH(TRIM(K746),Map_Tables!$D$4:$D$15,0)),"CHECK"))</f>
        <v>Credit Card</v>
      </c>
      <c r="AG746" s="7" t="str">
        <f aca="false">IF(LEFT(LOWER(TRIM(L746)),6)="cancel","Cancelled","Delivered")</f>
        <v>Delivered</v>
      </c>
      <c r="AH746" s="10" t="n">
        <f aca="false">IF(ISNUMBER(SEARCH("/",B746)),DATE(VALUE(RIGHT(B746,4)),VALUE(MID(B746,4,2)),VALUE(LEFT(B746,2))),IF(MID(B746,5,1)="-",DATE(VALUE(LEFT(B746,4)),VALUE(MID(B746,6,2)),VALUE(RIGHT(B746,2))),DATE(VALUE(RIGHT(B746,4)),MATCH(MID(B746,4,3),{"Jan","Feb","Mar","Apr","May","Jun","Jul","Aug","Sep","Oct","Nov","Dec"},0),VALUE(LEFT(B746,2)))))</f>
        <v>45764</v>
      </c>
    </row>
    <row r="747" customFormat="false" ht="15" hidden="false" customHeight="false" outlineLevel="0" collapsed="false">
      <c r="A747" s="7" t="s">
        <v>2476</v>
      </c>
      <c r="B747" s="7" t="s">
        <v>1500</v>
      </c>
      <c r="C747" s="7" t="s">
        <v>1325</v>
      </c>
      <c r="D747" s="7" t="s">
        <v>2477</v>
      </c>
      <c r="E747" s="7" t="s">
        <v>98</v>
      </c>
      <c r="F747" s="7" t="s">
        <v>86</v>
      </c>
      <c r="G747" s="7" t="s">
        <v>99</v>
      </c>
      <c r="H747" s="7" t="n">
        <v>1</v>
      </c>
      <c r="I747" s="7" t="n">
        <v>315</v>
      </c>
      <c r="J747" s="7" t="n">
        <v>125</v>
      </c>
      <c r="K747" s="7" t="s">
        <v>112</v>
      </c>
      <c r="L747" s="7" t="s">
        <v>194</v>
      </c>
      <c r="M747" s="7" t="n">
        <v>49</v>
      </c>
      <c r="N747" s="7" t="n">
        <v>4</v>
      </c>
      <c r="O747" s="7" t="str">
        <f aca="false">A747&amp;"|"&amp;B747&amp;"|"&amp;C747&amp;"|"&amp;D747&amp;"|"&amp;E747&amp;"|"&amp;F747&amp;"|"&amp;G747&amp;"|"&amp;H747&amp;"|"&amp;I747&amp;"|"&amp;J747&amp;"|"&amp;K747&amp;"|"&amp;L747&amp;"|"&amp;M747&amp;"|"&amp;N747</f>
        <v>ORD11654|2025-08-04|16:26|C0825|Nawabi Biryani House|Bengaluru|Biryani|1|315|125|Cash on Delivery|Delivered|49|4</v>
      </c>
      <c r="P747" s="7" t="str">
        <f aca="false">IF(COUNTIF($O$2:O747,O747)&gt;1,"DUP","OK")</f>
        <v>OK</v>
      </c>
      <c r="Q747" s="7" t="n">
        <f aca="false">COUNTBLANK(A747:N747)</f>
        <v>0</v>
      </c>
      <c r="R747" s="7" t="n">
        <f aca="false">IF(A747="",0,COUNTIFS($A$2:$A$3058,A747,$P$2:$P$3058,"OK"))</f>
        <v>1</v>
      </c>
      <c r="S747" s="7" t="str">
        <f aca="false">IF(OR(A747="",P747="DUP",R747&lt;2),"",IF(Q747=_xlfn.MINIFS($Q$2:$Q$3058,$A$2:$A$3058,A747,$P$2:$P$3058,"OK"),"KEEP","DROP"))</f>
        <v/>
      </c>
      <c r="T747" s="9" t="n">
        <f aca="false">IF(A747="",1,0)</f>
        <v>0</v>
      </c>
      <c r="U747" s="9" t="n">
        <f aca="false">IF(D747="",1,0)</f>
        <v>0</v>
      </c>
      <c r="V747" s="9" t="n">
        <f aca="false">IF(E747="",1,0)</f>
        <v>0</v>
      </c>
      <c r="W747" s="9" t="n">
        <f aca="false">IF(OR(H747&lt;1,H747&gt;10),1,0)</f>
        <v>0</v>
      </c>
      <c r="X747" s="9" t="n">
        <f aca="false">IF(OR(I747&lt;=0,I747&gt;1500),1,0)</f>
        <v>0</v>
      </c>
      <c r="Y747" s="9" t="n">
        <f aca="false">IF(J747&gt;H747*I747,1,0)</f>
        <v>0</v>
      </c>
      <c r="Z747" s="9" t="n">
        <f aca="false">IF(AND(N747&lt;&gt;"",OR(N747&lt;1,N747&gt;5)),1,0)</f>
        <v>0</v>
      </c>
      <c r="AA747" s="9" t="n">
        <f aca="false">IF(AND(M747&lt;&gt;"",OR(M747&lt;5,M747&gt;180)),1,0)</f>
        <v>0</v>
      </c>
      <c r="AB747" s="7" t="str">
        <f aca="false">IF(P747="DUP","Exact duplicate row",IF(T747=1,"Missing Order ID",IF(S747="DROP","Duplicate Order ID (less complete row)",IF(U747=1,"Missing Customer ID",IF(V747=1,"Missing Restaurant name",IF(W747=1,"Invalid/outlier quantity",IF(X747=1,"Invalid/outlier unit price",IF(Y747=1,"Discount greater than order value",""))))))))</f>
        <v/>
      </c>
      <c r="AC747" s="7" t="str">
        <f aca="false">IF(AB747="","KEEP","DROP")</f>
        <v>KEEP</v>
      </c>
      <c r="AD747" s="7" t="str">
        <f aca="false">IF(TRIM(F747)="",IFERROR(INDEX(Map_Tables!$I$4:$I$37,MATCH(TRIM(E747),Map_Tables!$G$4:$G$37,0)),""),IFERROR(INDEX(Map_Tables!$B$4:$B$18,MATCH(TRIM(F747),Map_Tables!$A$4:$A$18,0)),"CHECK"))</f>
        <v>Bengaluru</v>
      </c>
      <c r="AE747" s="7" t="str">
        <f aca="false">IF(TRIM(E747)="","",IFERROR(INDEX(Map_Tables!$H$4:$H$37,MATCH(TRIM(E747),Map_Tables!$G$4:$G$37,0)),"CHECK"))</f>
        <v>Nawabi Biryani House</v>
      </c>
      <c r="AF747" s="7" t="str">
        <f aca="false">IF(TRIM(K747)="","Unknown",IFERROR(INDEX(Map_Tables!$E$4:$E$15,MATCH(TRIM(K747),Map_Tables!$D$4:$D$15,0)),"CHECK"))</f>
        <v>Cash on Delivery</v>
      </c>
      <c r="AG747" s="7" t="str">
        <f aca="false">IF(LEFT(LOWER(TRIM(L747)),6)="cancel","Cancelled","Delivered")</f>
        <v>Delivered</v>
      </c>
      <c r="AH747" s="10" t="n">
        <f aca="false">IF(ISNUMBER(SEARCH("/",B747)),DATE(VALUE(RIGHT(B747,4)),VALUE(MID(B747,4,2)),VALUE(LEFT(B747,2))),IF(MID(B747,5,1)="-",DATE(VALUE(LEFT(B747,4)),VALUE(MID(B747,6,2)),VALUE(RIGHT(B747,2))),DATE(VALUE(RIGHT(B747,4)),MATCH(MID(B747,4,3),{"Jan","Feb","Mar","Apr","May","Jun","Jul","Aug","Sep","Oct","Nov","Dec"},0),VALUE(LEFT(B747,2)))))</f>
        <v>45873</v>
      </c>
    </row>
    <row r="748" customFormat="false" ht="15" hidden="false" customHeight="false" outlineLevel="0" collapsed="false">
      <c r="A748" s="7" t="s">
        <v>2478</v>
      </c>
      <c r="B748" s="7" t="s">
        <v>2479</v>
      </c>
      <c r="C748" s="7" t="s">
        <v>543</v>
      </c>
      <c r="D748" s="7" t="s">
        <v>2480</v>
      </c>
      <c r="E748" s="7" t="s">
        <v>116</v>
      </c>
      <c r="F748" s="7" t="s">
        <v>101</v>
      </c>
      <c r="G748" s="7" t="s">
        <v>117</v>
      </c>
      <c r="H748" s="7" t="n">
        <v>4</v>
      </c>
      <c r="I748" s="7" t="n">
        <v>170</v>
      </c>
      <c r="J748" s="7" t="n">
        <v>0</v>
      </c>
      <c r="K748" s="7" t="s">
        <v>121</v>
      </c>
      <c r="L748" s="7" t="s">
        <v>1265</v>
      </c>
      <c r="M748" s="7" t="n">
        <v>36</v>
      </c>
      <c r="N748" s="7" t="n">
        <v>5</v>
      </c>
      <c r="O748" s="7" t="str">
        <f aca="false">A748&amp;"|"&amp;B748&amp;"|"&amp;C748&amp;"|"&amp;D748&amp;"|"&amp;E748&amp;"|"&amp;F748&amp;"|"&amp;G748&amp;"|"&amp;H748&amp;"|"&amp;I748&amp;"|"&amp;J748&amp;"|"&amp;K748&amp;"|"&amp;L748&amp;"|"&amp;M748&amp;"|"&amp;N748</f>
        <v>ORD12473|2025-11-06|19:40|C0121|Pav Bhaji Point|Mumbai|Street Food|4|170|0|Wallet|delivered|36|5</v>
      </c>
      <c r="P748" s="7" t="str">
        <f aca="false">IF(COUNTIF($O$2:O748,O748)&gt;1,"DUP","OK")</f>
        <v>OK</v>
      </c>
      <c r="Q748" s="7" t="n">
        <f aca="false">COUNTBLANK(A748:N748)</f>
        <v>0</v>
      </c>
      <c r="R748" s="7" t="n">
        <f aca="false">IF(A748="",0,COUNTIFS($A$2:$A$3058,A748,$P$2:$P$3058,"OK"))</f>
        <v>1</v>
      </c>
      <c r="S748" s="7" t="str">
        <f aca="false">IF(OR(A748="",P748="DUP",R748&lt;2),"",IF(Q748=_xlfn.MINIFS($Q$2:$Q$3058,$A$2:$A$3058,A748,$P$2:$P$3058,"OK"),"KEEP","DROP"))</f>
        <v/>
      </c>
      <c r="T748" s="9" t="n">
        <f aca="false">IF(A748="",1,0)</f>
        <v>0</v>
      </c>
      <c r="U748" s="9" t="n">
        <f aca="false">IF(D748="",1,0)</f>
        <v>0</v>
      </c>
      <c r="V748" s="9" t="n">
        <f aca="false">IF(E748="",1,0)</f>
        <v>0</v>
      </c>
      <c r="W748" s="9" t="n">
        <f aca="false">IF(OR(H748&lt;1,H748&gt;10),1,0)</f>
        <v>0</v>
      </c>
      <c r="X748" s="9" t="n">
        <f aca="false">IF(OR(I748&lt;=0,I748&gt;1500),1,0)</f>
        <v>0</v>
      </c>
      <c r="Y748" s="9" t="n">
        <f aca="false">IF(J748&gt;H748*I748,1,0)</f>
        <v>0</v>
      </c>
      <c r="Z748" s="9" t="n">
        <f aca="false">IF(AND(N748&lt;&gt;"",OR(N748&lt;1,N748&gt;5)),1,0)</f>
        <v>0</v>
      </c>
      <c r="AA748" s="9" t="n">
        <f aca="false">IF(AND(M748&lt;&gt;"",OR(M748&lt;5,M748&gt;180)),1,0)</f>
        <v>0</v>
      </c>
      <c r="AB748" s="7" t="str">
        <f aca="false">IF(P748="DUP","Exact duplicate row",IF(T748=1,"Missing Order ID",IF(S748="DROP","Duplicate Order ID (less complete row)",IF(U748=1,"Missing Customer ID",IF(V748=1,"Missing Restaurant name",IF(W748=1,"Invalid/outlier quantity",IF(X748=1,"Invalid/outlier unit price",IF(Y748=1,"Discount greater than order value",""))))))))</f>
        <v/>
      </c>
      <c r="AC748" s="7" t="str">
        <f aca="false">IF(AB748="","KEEP","DROP")</f>
        <v>KEEP</v>
      </c>
      <c r="AD748" s="7" t="str">
        <f aca="false">IF(TRIM(F748)="",IFERROR(INDEX(Map_Tables!$I$4:$I$37,MATCH(TRIM(E748),Map_Tables!$G$4:$G$37,0)),""),IFERROR(INDEX(Map_Tables!$B$4:$B$18,MATCH(TRIM(F748),Map_Tables!$A$4:$A$18,0)),"CHECK"))</f>
        <v>Mumbai</v>
      </c>
      <c r="AE748" s="7" t="str">
        <f aca="false">IF(TRIM(E748)="","",IFERROR(INDEX(Map_Tables!$H$4:$H$37,MATCH(TRIM(E748),Map_Tables!$G$4:$G$37,0)),"CHECK"))</f>
        <v>Pav Bhaji Point</v>
      </c>
      <c r="AF748" s="7" t="str">
        <f aca="false">IF(TRIM(K748)="","Unknown",IFERROR(INDEX(Map_Tables!$E$4:$E$15,MATCH(TRIM(K748),Map_Tables!$D$4:$D$15,0)),"CHECK"))</f>
        <v>Wallet</v>
      </c>
      <c r="AG748" s="7" t="str">
        <f aca="false">IF(LEFT(LOWER(TRIM(L748)),6)="cancel","Cancelled","Delivered")</f>
        <v>Delivered</v>
      </c>
      <c r="AH748" s="10" t="n">
        <f aca="false">IF(ISNUMBER(SEARCH("/",B748)),DATE(VALUE(RIGHT(B748,4)),VALUE(MID(B748,4,2)),VALUE(LEFT(B748,2))),IF(MID(B748,5,1)="-",DATE(VALUE(LEFT(B748,4)),VALUE(MID(B748,6,2)),VALUE(RIGHT(B748,2))),DATE(VALUE(RIGHT(B748,4)),MATCH(MID(B748,4,3),{"Jan","Feb","Mar","Apr","May","Jun","Jul","Aug","Sep","Oct","Nov","Dec"},0),VALUE(LEFT(B748,2)))))</f>
        <v>45967</v>
      </c>
    </row>
    <row r="749" customFormat="false" ht="15" hidden="false" customHeight="false" outlineLevel="0" collapsed="false">
      <c r="A749" s="7" t="s">
        <v>2481</v>
      </c>
      <c r="B749" s="7" t="s">
        <v>1160</v>
      </c>
      <c r="C749" s="7" t="s">
        <v>1692</v>
      </c>
      <c r="D749" s="7" t="s">
        <v>246</v>
      </c>
      <c r="E749" s="7" t="s">
        <v>126</v>
      </c>
      <c r="F749" s="7" t="s">
        <v>101</v>
      </c>
      <c r="G749" s="7" t="s">
        <v>105</v>
      </c>
      <c r="H749" s="7" t="n">
        <v>4</v>
      </c>
      <c r="I749" s="7" t="n">
        <v>270</v>
      </c>
      <c r="J749" s="7" t="n">
        <v>0</v>
      </c>
      <c r="K749" s="7" t="s">
        <v>88</v>
      </c>
      <c r="L749" s="7" t="s">
        <v>194</v>
      </c>
      <c r="M749" s="7" t="n">
        <v>41</v>
      </c>
      <c r="N749" s="7" t="n">
        <v>4</v>
      </c>
      <c r="O749" s="7" t="str">
        <f aca="false">A749&amp;"|"&amp;B749&amp;"|"&amp;C749&amp;"|"&amp;D749&amp;"|"&amp;E749&amp;"|"&amp;F749&amp;"|"&amp;G749&amp;"|"&amp;H749&amp;"|"&amp;I749&amp;"|"&amp;J749&amp;"|"&amp;K749&amp;"|"&amp;L749&amp;"|"&amp;M749&amp;"|"&amp;N749</f>
        <v>ORD10545|2025-03-11|12:03|C1478|Dragon Express|Mumbai|Chinese|4|270|0|UPI|Delivered|41|4</v>
      </c>
      <c r="P749" s="7" t="str">
        <f aca="false">IF(COUNTIF($O$2:O749,O749)&gt;1,"DUP","OK")</f>
        <v>OK</v>
      </c>
      <c r="Q749" s="7" t="n">
        <f aca="false">COUNTBLANK(A749:N749)</f>
        <v>0</v>
      </c>
      <c r="R749" s="7" t="n">
        <f aca="false">IF(A749="",0,COUNTIFS($A$2:$A$3058,A749,$P$2:$P$3058,"OK"))</f>
        <v>1</v>
      </c>
      <c r="S749" s="7" t="str">
        <f aca="false">IF(OR(A749="",P749="DUP",R749&lt;2),"",IF(Q749=_xlfn.MINIFS($Q$2:$Q$3058,$A$2:$A$3058,A749,$P$2:$P$3058,"OK"),"KEEP","DROP"))</f>
        <v/>
      </c>
      <c r="T749" s="9" t="n">
        <f aca="false">IF(A749="",1,0)</f>
        <v>0</v>
      </c>
      <c r="U749" s="9" t="n">
        <f aca="false">IF(D749="",1,0)</f>
        <v>0</v>
      </c>
      <c r="V749" s="9" t="n">
        <f aca="false">IF(E749="",1,0)</f>
        <v>0</v>
      </c>
      <c r="W749" s="9" t="n">
        <f aca="false">IF(OR(H749&lt;1,H749&gt;10),1,0)</f>
        <v>0</v>
      </c>
      <c r="X749" s="9" t="n">
        <f aca="false">IF(OR(I749&lt;=0,I749&gt;1500),1,0)</f>
        <v>0</v>
      </c>
      <c r="Y749" s="9" t="n">
        <f aca="false">IF(J749&gt;H749*I749,1,0)</f>
        <v>0</v>
      </c>
      <c r="Z749" s="9" t="n">
        <f aca="false">IF(AND(N749&lt;&gt;"",OR(N749&lt;1,N749&gt;5)),1,0)</f>
        <v>0</v>
      </c>
      <c r="AA749" s="9" t="n">
        <f aca="false">IF(AND(M749&lt;&gt;"",OR(M749&lt;5,M749&gt;180)),1,0)</f>
        <v>0</v>
      </c>
      <c r="AB749" s="7" t="str">
        <f aca="false">IF(P749="DUP","Exact duplicate row",IF(T749=1,"Missing Order ID",IF(S749="DROP","Duplicate Order ID (less complete row)",IF(U749=1,"Missing Customer ID",IF(V749=1,"Missing Restaurant name",IF(W749=1,"Invalid/outlier quantity",IF(X749=1,"Invalid/outlier unit price",IF(Y749=1,"Discount greater than order value",""))))))))</f>
        <v/>
      </c>
      <c r="AC749" s="7" t="str">
        <f aca="false">IF(AB749="","KEEP","DROP")</f>
        <v>KEEP</v>
      </c>
      <c r="AD749" s="7" t="str">
        <f aca="false">IF(TRIM(F749)="",IFERROR(INDEX(Map_Tables!$I$4:$I$37,MATCH(TRIM(E749),Map_Tables!$G$4:$G$37,0)),""),IFERROR(INDEX(Map_Tables!$B$4:$B$18,MATCH(TRIM(F749),Map_Tables!$A$4:$A$18,0)),"CHECK"))</f>
        <v>Mumbai</v>
      </c>
      <c r="AE749" s="7" t="str">
        <f aca="false">IF(TRIM(E749)="","",IFERROR(INDEX(Map_Tables!$H$4:$H$37,MATCH(TRIM(E749),Map_Tables!$G$4:$G$37,0)),"CHECK"))</f>
        <v>Dragon Express</v>
      </c>
      <c r="AF749" s="7" t="str">
        <f aca="false">IF(TRIM(K749)="","Unknown",IFERROR(INDEX(Map_Tables!$E$4:$E$15,MATCH(TRIM(K749),Map_Tables!$D$4:$D$15,0)),"CHECK"))</f>
        <v>UPI</v>
      </c>
      <c r="AG749" s="7" t="str">
        <f aca="false">IF(LEFT(LOWER(TRIM(L749)),6)="cancel","Cancelled","Delivered")</f>
        <v>Delivered</v>
      </c>
      <c r="AH749" s="10" t="n">
        <f aca="false">IF(ISNUMBER(SEARCH("/",B749)),DATE(VALUE(RIGHT(B749,4)),VALUE(MID(B749,4,2)),VALUE(LEFT(B749,2))),IF(MID(B749,5,1)="-",DATE(VALUE(LEFT(B749,4)),VALUE(MID(B749,6,2)),VALUE(RIGHT(B749,2))),DATE(VALUE(RIGHT(B749,4)),MATCH(MID(B749,4,3),{"Jan","Feb","Mar","Apr","May","Jun","Jul","Aug","Sep","Oct","Nov","Dec"},0),VALUE(LEFT(B749,2)))))</f>
        <v>45727</v>
      </c>
    </row>
    <row r="750" customFormat="false" ht="15" hidden="false" customHeight="false" outlineLevel="0" collapsed="false">
      <c r="A750" s="7" t="s">
        <v>2482</v>
      </c>
      <c r="B750" s="7" t="s">
        <v>518</v>
      </c>
      <c r="C750" s="7" t="s">
        <v>1140</v>
      </c>
      <c r="D750" s="7" t="s">
        <v>2483</v>
      </c>
      <c r="E750" s="7" t="s">
        <v>138</v>
      </c>
      <c r="F750" s="7" t="s">
        <v>110</v>
      </c>
      <c r="G750" s="7" t="s">
        <v>1003</v>
      </c>
      <c r="H750" s="7" t="n">
        <v>5</v>
      </c>
      <c r="I750" s="7" t="n">
        <v>205</v>
      </c>
      <c r="J750" s="7" t="n">
        <v>30</v>
      </c>
      <c r="K750" s="7" t="s">
        <v>103</v>
      </c>
      <c r="L750" s="7" t="s">
        <v>194</v>
      </c>
      <c r="M750" s="7" t="n">
        <v>39</v>
      </c>
      <c r="N750" s="7" t="n">
        <v>3</v>
      </c>
      <c r="O750" s="7" t="str">
        <f aca="false">A750&amp;"|"&amp;B750&amp;"|"&amp;C750&amp;"|"&amp;D750&amp;"|"&amp;E750&amp;"|"&amp;F750&amp;"|"&amp;G750&amp;"|"&amp;H750&amp;"|"&amp;I750&amp;"|"&amp;J750&amp;"|"&amp;K750&amp;"|"&amp;L750&amp;"|"&amp;M750&amp;"|"&amp;N750</f>
        <v>ORD11456|2025-07-09|11:04|C0360|Burger Barn|Delhi|BURGERS|5|205|30|Debit Card|Delivered|39|3</v>
      </c>
      <c r="P750" s="7" t="str">
        <f aca="false">IF(COUNTIF($O$2:O750,O750)&gt;1,"DUP","OK")</f>
        <v>OK</v>
      </c>
      <c r="Q750" s="7" t="n">
        <f aca="false">COUNTBLANK(A750:N750)</f>
        <v>0</v>
      </c>
      <c r="R750" s="7" t="n">
        <f aca="false">IF(A750="",0,COUNTIFS($A$2:$A$3058,A750,$P$2:$P$3058,"OK"))</f>
        <v>1</v>
      </c>
      <c r="S750" s="7" t="str">
        <f aca="false">IF(OR(A750="",P750="DUP",R750&lt;2),"",IF(Q750=_xlfn.MINIFS($Q$2:$Q$3058,$A$2:$A$3058,A750,$P$2:$P$3058,"OK"),"KEEP","DROP"))</f>
        <v/>
      </c>
      <c r="T750" s="9" t="n">
        <f aca="false">IF(A750="",1,0)</f>
        <v>0</v>
      </c>
      <c r="U750" s="9" t="n">
        <f aca="false">IF(D750="",1,0)</f>
        <v>0</v>
      </c>
      <c r="V750" s="9" t="n">
        <f aca="false">IF(E750="",1,0)</f>
        <v>0</v>
      </c>
      <c r="W750" s="9" t="n">
        <f aca="false">IF(OR(H750&lt;1,H750&gt;10),1,0)</f>
        <v>0</v>
      </c>
      <c r="X750" s="9" t="n">
        <f aca="false">IF(OR(I750&lt;=0,I750&gt;1500),1,0)</f>
        <v>0</v>
      </c>
      <c r="Y750" s="9" t="n">
        <f aca="false">IF(J750&gt;H750*I750,1,0)</f>
        <v>0</v>
      </c>
      <c r="Z750" s="9" t="n">
        <f aca="false">IF(AND(N750&lt;&gt;"",OR(N750&lt;1,N750&gt;5)),1,0)</f>
        <v>0</v>
      </c>
      <c r="AA750" s="9" t="n">
        <f aca="false">IF(AND(M750&lt;&gt;"",OR(M750&lt;5,M750&gt;180)),1,0)</f>
        <v>0</v>
      </c>
      <c r="AB750" s="7" t="str">
        <f aca="false">IF(P750="DUP","Exact duplicate row",IF(T750=1,"Missing Order ID",IF(S750="DROP","Duplicate Order ID (less complete row)",IF(U750=1,"Missing Customer ID",IF(V750=1,"Missing Restaurant name",IF(W750=1,"Invalid/outlier quantity",IF(X750=1,"Invalid/outlier unit price",IF(Y750=1,"Discount greater than order value",""))))))))</f>
        <v/>
      </c>
      <c r="AC750" s="7" t="str">
        <f aca="false">IF(AB750="","KEEP","DROP")</f>
        <v>KEEP</v>
      </c>
      <c r="AD750" s="7" t="str">
        <f aca="false">IF(TRIM(F750)="",IFERROR(INDEX(Map_Tables!$I$4:$I$37,MATCH(TRIM(E750),Map_Tables!$G$4:$G$37,0)),""),IFERROR(INDEX(Map_Tables!$B$4:$B$18,MATCH(TRIM(F750),Map_Tables!$A$4:$A$18,0)),"CHECK"))</f>
        <v>Delhi</v>
      </c>
      <c r="AE750" s="7" t="str">
        <f aca="false">IF(TRIM(E750)="","",IFERROR(INDEX(Map_Tables!$H$4:$H$37,MATCH(TRIM(E750),Map_Tables!$G$4:$G$37,0)),"CHECK"))</f>
        <v>Burger Barn</v>
      </c>
      <c r="AF750" s="7" t="str">
        <f aca="false">IF(TRIM(K750)="","Unknown",IFERROR(INDEX(Map_Tables!$E$4:$E$15,MATCH(TRIM(K750),Map_Tables!$D$4:$D$15,0)),"CHECK"))</f>
        <v>Debit Card</v>
      </c>
      <c r="AG750" s="7" t="str">
        <f aca="false">IF(LEFT(LOWER(TRIM(L750)),6)="cancel","Cancelled","Delivered")</f>
        <v>Delivered</v>
      </c>
      <c r="AH750" s="10" t="n">
        <f aca="false">IF(ISNUMBER(SEARCH("/",B750)),DATE(VALUE(RIGHT(B750,4)),VALUE(MID(B750,4,2)),VALUE(LEFT(B750,2))),IF(MID(B750,5,1)="-",DATE(VALUE(LEFT(B750,4)),VALUE(MID(B750,6,2)),VALUE(RIGHT(B750,2))),DATE(VALUE(RIGHT(B750,4)),MATCH(MID(B750,4,3),{"Jan","Feb","Mar","Apr","May","Jun","Jul","Aug","Sep","Oct","Nov","Dec"},0),VALUE(LEFT(B750,2)))))</f>
        <v>45847</v>
      </c>
    </row>
    <row r="751" customFormat="false" ht="15" hidden="false" customHeight="false" outlineLevel="0" collapsed="false">
      <c r="A751" s="7" t="s">
        <v>2484</v>
      </c>
      <c r="B751" s="7" t="s">
        <v>731</v>
      </c>
      <c r="C751" s="7" t="s">
        <v>2485</v>
      </c>
      <c r="D751" s="7" t="s">
        <v>2486</v>
      </c>
      <c r="E751" s="7" t="s">
        <v>1806</v>
      </c>
      <c r="F751" s="7" t="s">
        <v>101</v>
      </c>
      <c r="G751" s="7" t="s">
        <v>90</v>
      </c>
      <c r="H751" s="7" t="n">
        <v>1</v>
      </c>
      <c r="I751" s="7" t="n">
        <v>260</v>
      </c>
      <c r="J751" s="7" t="n">
        <v>30</v>
      </c>
      <c r="K751" s="7" t="s">
        <v>88</v>
      </c>
      <c r="L751" s="7" t="s">
        <v>194</v>
      </c>
      <c r="M751" s="7" t="n">
        <v>36</v>
      </c>
      <c r="N751" s="7" t="n">
        <v>4</v>
      </c>
      <c r="O751" s="7" t="str">
        <f aca="false">A751&amp;"|"&amp;B751&amp;"|"&amp;C751&amp;"|"&amp;D751&amp;"|"&amp;E751&amp;"|"&amp;F751&amp;"|"&amp;G751&amp;"|"&amp;H751&amp;"|"&amp;I751&amp;"|"&amp;J751&amp;"|"&amp;K751&amp;"|"&amp;L751&amp;"|"&amp;M751&amp;"|"&amp;N751</f>
        <v>ORD12226|2025-10-09|22:33|C0229|curry leaf kitchen|Mumbai|North Indian|1|260|30|UPI|Delivered|36|4</v>
      </c>
      <c r="P751" s="7" t="str">
        <f aca="false">IF(COUNTIF($O$2:O751,O751)&gt;1,"DUP","OK")</f>
        <v>OK</v>
      </c>
      <c r="Q751" s="7" t="n">
        <f aca="false">COUNTBLANK(A751:N751)</f>
        <v>0</v>
      </c>
      <c r="R751" s="7" t="n">
        <f aca="false">IF(A751="",0,COUNTIFS($A$2:$A$3058,A751,$P$2:$P$3058,"OK"))</f>
        <v>1</v>
      </c>
      <c r="S751" s="7" t="str">
        <f aca="false">IF(OR(A751="",P751="DUP",R751&lt;2),"",IF(Q751=_xlfn.MINIFS($Q$2:$Q$3058,$A$2:$A$3058,A751,$P$2:$P$3058,"OK"),"KEEP","DROP"))</f>
        <v/>
      </c>
      <c r="T751" s="9" t="n">
        <f aca="false">IF(A751="",1,0)</f>
        <v>0</v>
      </c>
      <c r="U751" s="9" t="n">
        <f aca="false">IF(D751="",1,0)</f>
        <v>0</v>
      </c>
      <c r="V751" s="9" t="n">
        <f aca="false">IF(E751="",1,0)</f>
        <v>0</v>
      </c>
      <c r="W751" s="9" t="n">
        <f aca="false">IF(OR(H751&lt;1,H751&gt;10),1,0)</f>
        <v>0</v>
      </c>
      <c r="X751" s="9" t="n">
        <f aca="false">IF(OR(I751&lt;=0,I751&gt;1500),1,0)</f>
        <v>0</v>
      </c>
      <c r="Y751" s="9" t="n">
        <f aca="false">IF(J751&gt;H751*I751,1,0)</f>
        <v>0</v>
      </c>
      <c r="Z751" s="9" t="n">
        <f aca="false">IF(AND(N751&lt;&gt;"",OR(N751&lt;1,N751&gt;5)),1,0)</f>
        <v>0</v>
      </c>
      <c r="AA751" s="9" t="n">
        <f aca="false">IF(AND(M751&lt;&gt;"",OR(M751&lt;5,M751&gt;180)),1,0)</f>
        <v>0</v>
      </c>
      <c r="AB751" s="7" t="str">
        <f aca="false">IF(P751="DUP","Exact duplicate row",IF(T751=1,"Missing Order ID",IF(S751="DROP","Duplicate Order ID (less complete row)",IF(U751=1,"Missing Customer ID",IF(V751=1,"Missing Restaurant name",IF(W751=1,"Invalid/outlier quantity",IF(X751=1,"Invalid/outlier unit price",IF(Y751=1,"Discount greater than order value",""))))))))</f>
        <v/>
      </c>
      <c r="AC751" s="7" t="str">
        <f aca="false">IF(AB751="","KEEP","DROP")</f>
        <v>KEEP</v>
      </c>
      <c r="AD751" s="7" t="str">
        <f aca="false">IF(TRIM(F751)="",IFERROR(INDEX(Map_Tables!$I$4:$I$37,MATCH(TRIM(E751),Map_Tables!$G$4:$G$37,0)),""),IFERROR(INDEX(Map_Tables!$B$4:$B$18,MATCH(TRIM(F751),Map_Tables!$A$4:$A$18,0)),"CHECK"))</f>
        <v>Mumbai</v>
      </c>
      <c r="AE751" s="7" t="str">
        <f aca="false">IF(TRIM(E751)="","",IFERROR(INDEX(Map_Tables!$H$4:$H$37,MATCH(TRIM(E751),Map_Tables!$G$4:$G$37,0)),"CHECK"))</f>
        <v>Curry Leaf Kitchen</v>
      </c>
      <c r="AF751" s="7" t="str">
        <f aca="false">IF(TRIM(K751)="","Unknown",IFERROR(INDEX(Map_Tables!$E$4:$E$15,MATCH(TRIM(K751),Map_Tables!$D$4:$D$15,0)),"CHECK"))</f>
        <v>UPI</v>
      </c>
      <c r="AG751" s="7" t="str">
        <f aca="false">IF(LEFT(LOWER(TRIM(L751)),6)="cancel","Cancelled","Delivered")</f>
        <v>Delivered</v>
      </c>
      <c r="AH751" s="10" t="n">
        <f aca="false">IF(ISNUMBER(SEARCH("/",B751)),DATE(VALUE(RIGHT(B751,4)),VALUE(MID(B751,4,2)),VALUE(LEFT(B751,2))),IF(MID(B751,5,1)="-",DATE(VALUE(LEFT(B751,4)),VALUE(MID(B751,6,2)),VALUE(RIGHT(B751,2))),DATE(VALUE(RIGHT(B751,4)),MATCH(MID(B751,4,3),{"Jan","Feb","Mar","Apr","May","Jun","Jul","Aug","Sep","Oct","Nov","Dec"},0),VALUE(LEFT(B751,2)))))</f>
        <v>45939</v>
      </c>
    </row>
    <row r="752" customFormat="false" ht="15" hidden="false" customHeight="false" outlineLevel="0" collapsed="false">
      <c r="A752" s="7" t="s">
        <v>2487</v>
      </c>
      <c r="B752" s="7" t="s">
        <v>1108</v>
      </c>
      <c r="C752" s="7" t="s">
        <v>191</v>
      </c>
      <c r="D752" s="7" t="s">
        <v>1504</v>
      </c>
      <c r="E752" s="7" t="s">
        <v>147</v>
      </c>
      <c r="F752" s="7" t="s">
        <v>2488</v>
      </c>
      <c r="G752" s="7" t="s">
        <v>95</v>
      </c>
      <c r="H752" s="7" t="n">
        <v>4</v>
      </c>
      <c r="I752" s="7" t="n">
        <v>130</v>
      </c>
      <c r="J752" s="7" t="n">
        <v>40</v>
      </c>
      <c r="K752" s="7" t="s">
        <v>112</v>
      </c>
      <c r="L752" s="7" t="s">
        <v>194</v>
      </c>
      <c r="M752" s="7" t="n">
        <v>32</v>
      </c>
      <c r="N752" s="7" t="n">
        <v>4</v>
      </c>
      <c r="O752" s="7" t="str">
        <f aca="false">A752&amp;"|"&amp;B752&amp;"|"&amp;C752&amp;"|"&amp;D752&amp;"|"&amp;E752&amp;"|"&amp;F752&amp;"|"&amp;G752&amp;"|"&amp;H752&amp;"|"&amp;I752&amp;"|"&amp;J752&amp;"|"&amp;K752&amp;"|"&amp;L752&amp;"|"&amp;M752&amp;"|"&amp;N752</f>
        <v>ORD12612|2025-11-19|12:57|C0190|Andhra Meals Mess|HYDERABAD|South Indian|4|130|40|Cash on Delivery|Delivered|32|4</v>
      </c>
      <c r="P752" s="7" t="str">
        <f aca="false">IF(COUNTIF($O$2:O752,O752)&gt;1,"DUP","OK")</f>
        <v>OK</v>
      </c>
      <c r="Q752" s="7" t="n">
        <f aca="false">COUNTBLANK(A752:N752)</f>
        <v>0</v>
      </c>
      <c r="R752" s="7" t="n">
        <f aca="false">IF(A752="",0,COUNTIFS($A$2:$A$3058,A752,$P$2:$P$3058,"OK"))</f>
        <v>1</v>
      </c>
      <c r="S752" s="7" t="str">
        <f aca="false">IF(OR(A752="",P752="DUP",R752&lt;2),"",IF(Q752=_xlfn.MINIFS($Q$2:$Q$3058,$A$2:$A$3058,A752,$P$2:$P$3058,"OK"),"KEEP","DROP"))</f>
        <v/>
      </c>
      <c r="T752" s="9" t="n">
        <f aca="false">IF(A752="",1,0)</f>
        <v>0</v>
      </c>
      <c r="U752" s="9" t="n">
        <f aca="false">IF(D752="",1,0)</f>
        <v>0</v>
      </c>
      <c r="V752" s="9" t="n">
        <f aca="false">IF(E752="",1,0)</f>
        <v>0</v>
      </c>
      <c r="W752" s="9" t="n">
        <f aca="false">IF(OR(H752&lt;1,H752&gt;10),1,0)</f>
        <v>0</v>
      </c>
      <c r="X752" s="9" t="n">
        <f aca="false">IF(OR(I752&lt;=0,I752&gt;1500),1,0)</f>
        <v>0</v>
      </c>
      <c r="Y752" s="9" t="n">
        <f aca="false">IF(J752&gt;H752*I752,1,0)</f>
        <v>0</v>
      </c>
      <c r="Z752" s="9" t="n">
        <f aca="false">IF(AND(N752&lt;&gt;"",OR(N752&lt;1,N752&gt;5)),1,0)</f>
        <v>0</v>
      </c>
      <c r="AA752" s="9" t="n">
        <f aca="false">IF(AND(M752&lt;&gt;"",OR(M752&lt;5,M752&gt;180)),1,0)</f>
        <v>0</v>
      </c>
      <c r="AB752" s="7" t="str">
        <f aca="false">IF(P752="DUP","Exact duplicate row",IF(T752=1,"Missing Order ID",IF(S752="DROP","Duplicate Order ID (less complete row)",IF(U752=1,"Missing Customer ID",IF(V752=1,"Missing Restaurant name",IF(W752=1,"Invalid/outlier quantity",IF(X752=1,"Invalid/outlier unit price",IF(Y752=1,"Discount greater than order value",""))))))))</f>
        <v/>
      </c>
      <c r="AC752" s="7" t="str">
        <f aca="false">IF(AB752="","KEEP","DROP")</f>
        <v>KEEP</v>
      </c>
      <c r="AD752" s="7" t="str">
        <f aca="false">IF(TRIM(F752)="",IFERROR(INDEX(Map_Tables!$I$4:$I$37,MATCH(TRIM(E752),Map_Tables!$G$4:$G$37,0)),""),IFERROR(INDEX(Map_Tables!$B$4:$B$18,MATCH(TRIM(F752),Map_Tables!$A$4:$A$18,0)),"CHECK"))</f>
        <v>Hyderabad</v>
      </c>
      <c r="AE752" s="7" t="str">
        <f aca="false">IF(TRIM(E752)="","",IFERROR(INDEX(Map_Tables!$H$4:$H$37,MATCH(TRIM(E752),Map_Tables!$G$4:$G$37,0)),"CHECK"))</f>
        <v>Andhra Meals Mess</v>
      </c>
      <c r="AF752" s="7" t="str">
        <f aca="false">IF(TRIM(K752)="","Unknown",IFERROR(INDEX(Map_Tables!$E$4:$E$15,MATCH(TRIM(K752),Map_Tables!$D$4:$D$15,0)),"CHECK"))</f>
        <v>Cash on Delivery</v>
      </c>
      <c r="AG752" s="7" t="str">
        <f aca="false">IF(LEFT(LOWER(TRIM(L752)),6)="cancel","Cancelled","Delivered")</f>
        <v>Delivered</v>
      </c>
      <c r="AH752" s="10" t="n">
        <f aca="false">IF(ISNUMBER(SEARCH("/",B752)),DATE(VALUE(RIGHT(B752,4)),VALUE(MID(B752,4,2)),VALUE(LEFT(B752,2))),IF(MID(B752,5,1)="-",DATE(VALUE(LEFT(B752,4)),VALUE(MID(B752,6,2)),VALUE(RIGHT(B752,2))),DATE(VALUE(RIGHT(B752,4)),MATCH(MID(B752,4,3),{"Jan","Feb","Mar","Apr","May","Jun","Jul","Aug","Sep","Oct","Nov","Dec"},0),VALUE(LEFT(B752,2)))))</f>
        <v>45980</v>
      </c>
    </row>
    <row r="753" customFormat="false" ht="15" hidden="false" customHeight="false" outlineLevel="0" collapsed="false">
      <c r="A753" s="7" t="s">
        <v>2489</v>
      </c>
      <c r="B753" s="7" t="s">
        <v>1160</v>
      </c>
      <c r="C753" s="7" t="s">
        <v>1820</v>
      </c>
      <c r="D753" s="7" t="s">
        <v>2490</v>
      </c>
      <c r="E753" s="7" t="s">
        <v>122</v>
      </c>
      <c r="F753" s="7" t="s">
        <v>101</v>
      </c>
      <c r="G753" s="7" t="s">
        <v>123</v>
      </c>
      <c r="H753" s="7" t="n">
        <v>2</v>
      </c>
      <c r="I753" s="7" t="n">
        <v>285</v>
      </c>
      <c r="J753" s="7" t="n">
        <v>150</v>
      </c>
      <c r="K753" s="7" t="s">
        <v>88</v>
      </c>
      <c r="L753" s="7" t="s">
        <v>194</v>
      </c>
      <c r="M753" s="7" t="n">
        <v>52</v>
      </c>
      <c r="N753" s="7"/>
      <c r="O753" s="7" t="str">
        <f aca="false">A753&amp;"|"&amp;B753&amp;"|"&amp;C753&amp;"|"&amp;D753&amp;"|"&amp;E753&amp;"|"&amp;F753&amp;"|"&amp;G753&amp;"|"&amp;H753&amp;"|"&amp;I753&amp;"|"&amp;J753&amp;"|"&amp;K753&amp;"|"&amp;L753&amp;"|"&amp;M753&amp;"|"&amp;N753</f>
        <v>ORD10547|2025-03-11|12:34|C0436|Mumbai Pizza Co|Mumbai|Pizza|2|285|150|UPI|Delivered|52|</v>
      </c>
      <c r="P753" s="7" t="str">
        <f aca="false">IF(COUNTIF($O$2:O753,O753)&gt;1,"DUP","OK")</f>
        <v>OK</v>
      </c>
      <c r="Q753" s="7" t="n">
        <f aca="false">COUNTBLANK(A753:N753)</f>
        <v>1</v>
      </c>
      <c r="R753" s="7" t="n">
        <f aca="false">IF(A753="",0,COUNTIFS($A$2:$A$3058,A753,$P$2:$P$3058,"OK"))</f>
        <v>1</v>
      </c>
      <c r="S753" s="7" t="str">
        <f aca="false">IF(OR(A753="",P753="DUP",R753&lt;2),"",IF(Q753=_xlfn.MINIFS($Q$2:$Q$3058,$A$2:$A$3058,A753,$P$2:$P$3058,"OK"),"KEEP","DROP"))</f>
        <v/>
      </c>
      <c r="T753" s="9" t="n">
        <f aca="false">IF(A753="",1,0)</f>
        <v>0</v>
      </c>
      <c r="U753" s="9" t="n">
        <f aca="false">IF(D753="",1,0)</f>
        <v>0</v>
      </c>
      <c r="V753" s="9" t="n">
        <f aca="false">IF(E753="",1,0)</f>
        <v>0</v>
      </c>
      <c r="W753" s="9" t="n">
        <f aca="false">IF(OR(H753&lt;1,H753&gt;10),1,0)</f>
        <v>0</v>
      </c>
      <c r="X753" s="9" t="n">
        <f aca="false">IF(OR(I753&lt;=0,I753&gt;1500),1,0)</f>
        <v>0</v>
      </c>
      <c r="Y753" s="9" t="n">
        <f aca="false">IF(J753&gt;H753*I753,1,0)</f>
        <v>0</v>
      </c>
      <c r="Z753" s="9" t="n">
        <f aca="false">IF(AND(N753&lt;&gt;"",OR(N753&lt;1,N753&gt;5)),1,0)</f>
        <v>0</v>
      </c>
      <c r="AA753" s="9" t="n">
        <f aca="false">IF(AND(M753&lt;&gt;"",OR(M753&lt;5,M753&gt;180)),1,0)</f>
        <v>0</v>
      </c>
      <c r="AB753" s="7" t="str">
        <f aca="false">IF(P753="DUP","Exact duplicate row",IF(T753=1,"Missing Order ID",IF(S753="DROP","Duplicate Order ID (less complete row)",IF(U753=1,"Missing Customer ID",IF(V753=1,"Missing Restaurant name",IF(W753=1,"Invalid/outlier quantity",IF(X753=1,"Invalid/outlier unit price",IF(Y753=1,"Discount greater than order value",""))))))))</f>
        <v/>
      </c>
      <c r="AC753" s="7" t="str">
        <f aca="false">IF(AB753="","KEEP","DROP")</f>
        <v>KEEP</v>
      </c>
      <c r="AD753" s="7" t="str">
        <f aca="false">IF(TRIM(F753)="",IFERROR(INDEX(Map_Tables!$I$4:$I$37,MATCH(TRIM(E753),Map_Tables!$G$4:$G$37,0)),""),IFERROR(INDEX(Map_Tables!$B$4:$B$18,MATCH(TRIM(F753),Map_Tables!$A$4:$A$18,0)),"CHECK"))</f>
        <v>Mumbai</v>
      </c>
      <c r="AE753" s="7" t="str">
        <f aca="false">IF(TRIM(E753)="","",IFERROR(INDEX(Map_Tables!$H$4:$H$37,MATCH(TRIM(E753),Map_Tables!$G$4:$G$37,0)),"CHECK"))</f>
        <v>Mumbai Pizza Co</v>
      </c>
      <c r="AF753" s="7" t="str">
        <f aca="false">IF(TRIM(K753)="","Unknown",IFERROR(INDEX(Map_Tables!$E$4:$E$15,MATCH(TRIM(K753),Map_Tables!$D$4:$D$15,0)),"CHECK"))</f>
        <v>UPI</v>
      </c>
      <c r="AG753" s="7" t="str">
        <f aca="false">IF(LEFT(LOWER(TRIM(L753)),6)="cancel","Cancelled","Delivered")</f>
        <v>Delivered</v>
      </c>
      <c r="AH753" s="10" t="n">
        <f aca="false">IF(ISNUMBER(SEARCH("/",B753)),DATE(VALUE(RIGHT(B753,4)),VALUE(MID(B753,4,2)),VALUE(LEFT(B753,2))),IF(MID(B753,5,1)="-",DATE(VALUE(LEFT(B753,4)),VALUE(MID(B753,6,2)),VALUE(RIGHT(B753,2))),DATE(VALUE(RIGHT(B753,4)),MATCH(MID(B753,4,3),{"Jan","Feb","Mar","Apr","May","Jun","Jul","Aug","Sep","Oct","Nov","Dec"},0),VALUE(LEFT(B753,2)))))</f>
        <v>45727</v>
      </c>
    </row>
    <row r="754" customFormat="false" ht="15" hidden="false" customHeight="false" outlineLevel="0" collapsed="false">
      <c r="A754" s="7" t="s">
        <v>2491</v>
      </c>
      <c r="B754" s="7" t="s">
        <v>2492</v>
      </c>
      <c r="C754" s="7" t="s">
        <v>2155</v>
      </c>
      <c r="D754" s="7" t="s">
        <v>2493</v>
      </c>
      <c r="E754" s="7" t="s">
        <v>159</v>
      </c>
      <c r="F754" s="7" t="s">
        <v>136</v>
      </c>
      <c r="G754" s="7" t="s">
        <v>90</v>
      </c>
      <c r="H754" s="7" t="n">
        <v>1</v>
      </c>
      <c r="I754" s="7" t="n">
        <v>205</v>
      </c>
      <c r="J754" s="7" t="n">
        <v>0</v>
      </c>
      <c r="K754" s="7" t="s">
        <v>88</v>
      </c>
      <c r="L754" s="7" t="s">
        <v>194</v>
      </c>
      <c r="M754" s="7" t="n">
        <v>21</v>
      </c>
      <c r="N754" s="7" t="n">
        <v>5</v>
      </c>
      <c r="O754" s="7" t="str">
        <f aca="false">A754&amp;"|"&amp;B754&amp;"|"&amp;C754&amp;"|"&amp;D754&amp;"|"&amp;E754&amp;"|"&amp;F754&amp;"|"&amp;G754&amp;"|"&amp;H754&amp;"|"&amp;I754&amp;"|"&amp;J754&amp;"|"&amp;K754&amp;"|"&amp;L754&amp;"|"&amp;M754&amp;"|"&amp;N754</f>
        <v>ORD11245|2025-06-08|12:10|C0905|Maratha Thali House|Pune|North Indian|1|205|0|UPI|Delivered|21|5</v>
      </c>
      <c r="P754" s="7" t="str">
        <f aca="false">IF(COUNTIF($O$2:O754,O754)&gt;1,"DUP","OK")</f>
        <v>OK</v>
      </c>
      <c r="Q754" s="7" t="n">
        <f aca="false">COUNTBLANK(A754:N754)</f>
        <v>0</v>
      </c>
      <c r="R754" s="7" t="n">
        <f aca="false">IF(A754="",0,COUNTIFS($A$2:$A$3058,A754,$P$2:$P$3058,"OK"))</f>
        <v>1</v>
      </c>
      <c r="S754" s="7" t="str">
        <f aca="false">IF(OR(A754="",P754="DUP",R754&lt;2),"",IF(Q754=_xlfn.MINIFS($Q$2:$Q$3058,$A$2:$A$3058,A754,$P$2:$P$3058,"OK"),"KEEP","DROP"))</f>
        <v/>
      </c>
      <c r="T754" s="9" t="n">
        <f aca="false">IF(A754="",1,0)</f>
        <v>0</v>
      </c>
      <c r="U754" s="9" t="n">
        <f aca="false">IF(D754="",1,0)</f>
        <v>0</v>
      </c>
      <c r="V754" s="9" t="n">
        <f aca="false">IF(E754="",1,0)</f>
        <v>0</v>
      </c>
      <c r="W754" s="9" t="n">
        <f aca="false">IF(OR(H754&lt;1,H754&gt;10),1,0)</f>
        <v>0</v>
      </c>
      <c r="X754" s="9" t="n">
        <f aca="false">IF(OR(I754&lt;=0,I754&gt;1500),1,0)</f>
        <v>0</v>
      </c>
      <c r="Y754" s="9" t="n">
        <f aca="false">IF(J754&gt;H754*I754,1,0)</f>
        <v>0</v>
      </c>
      <c r="Z754" s="9" t="n">
        <f aca="false">IF(AND(N754&lt;&gt;"",OR(N754&lt;1,N754&gt;5)),1,0)</f>
        <v>0</v>
      </c>
      <c r="AA754" s="9" t="n">
        <f aca="false">IF(AND(M754&lt;&gt;"",OR(M754&lt;5,M754&gt;180)),1,0)</f>
        <v>0</v>
      </c>
      <c r="AB754" s="7" t="str">
        <f aca="false">IF(P754="DUP","Exact duplicate row",IF(T754=1,"Missing Order ID",IF(S754="DROP","Duplicate Order ID (less complete row)",IF(U754=1,"Missing Customer ID",IF(V754=1,"Missing Restaurant name",IF(W754=1,"Invalid/outlier quantity",IF(X754=1,"Invalid/outlier unit price",IF(Y754=1,"Discount greater than order value",""))))))))</f>
        <v/>
      </c>
      <c r="AC754" s="7" t="str">
        <f aca="false">IF(AB754="","KEEP","DROP")</f>
        <v>KEEP</v>
      </c>
      <c r="AD754" s="7" t="str">
        <f aca="false">IF(TRIM(F754)="",IFERROR(INDEX(Map_Tables!$I$4:$I$37,MATCH(TRIM(E754),Map_Tables!$G$4:$G$37,0)),""),IFERROR(INDEX(Map_Tables!$B$4:$B$18,MATCH(TRIM(F754),Map_Tables!$A$4:$A$18,0)),"CHECK"))</f>
        <v>Pune</v>
      </c>
      <c r="AE754" s="7" t="str">
        <f aca="false">IF(TRIM(E754)="","",IFERROR(INDEX(Map_Tables!$H$4:$H$37,MATCH(TRIM(E754),Map_Tables!$G$4:$G$37,0)),"CHECK"))</f>
        <v>Maratha Thali House</v>
      </c>
      <c r="AF754" s="7" t="str">
        <f aca="false">IF(TRIM(K754)="","Unknown",IFERROR(INDEX(Map_Tables!$E$4:$E$15,MATCH(TRIM(K754),Map_Tables!$D$4:$D$15,0)),"CHECK"))</f>
        <v>UPI</v>
      </c>
      <c r="AG754" s="7" t="str">
        <f aca="false">IF(LEFT(LOWER(TRIM(L754)),6)="cancel","Cancelled","Delivered")</f>
        <v>Delivered</v>
      </c>
      <c r="AH754" s="10" t="n">
        <f aca="false">IF(ISNUMBER(SEARCH("/",B754)),DATE(VALUE(RIGHT(B754,4)),VALUE(MID(B754,4,2)),VALUE(LEFT(B754,2))),IF(MID(B754,5,1)="-",DATE(VALUE(LEFT(B754,4)),VALUE(MID(B754,6,2)),VALUE(RIGHT(B754,2))),DATE(VALUE(RIGHT(B754,4)),MATCH(MID(B754,4,3),{"Jan","Feb","Mar","Apr","May","Jun","Jul","Aug","Sep","Oct","Nov","Dec"},0),VALUE(LEFT(B754,2)))))</f>
        <v>45816</v>
      </c>
    </row>
    <row r="755" customFormat="false" ht="15" hidden="false" customHeight="false" outlineLevel="0" collapsed="false">
      <c r="A755" s="7" t="s">
        <v>2494</v>
      </c>
      <c r="B755" s="7" t="s">
        <v>2495</v>
      </c>
      <c r="C755" s="7" t="s">
        <v>1737</v>
      </c>
      <c r="D755" s="7" t="s">
        <v>784</v>
      </c>
      <c r="E755" s="7" t="s">
        <v>162</v>
      </c>
      <c r="F755" s="7" t="s">
        <v>1793</v>
      </c>
      <c r="G755" s="7" t="s">
        <v>117</v>
      </c>
      <c r="H755" s="7" t="n">
        <v>1</v>
      </c>
      <c r="I755" s="7" t="n">
        <v>115</v>
      </c>
      <c r="J755" s="7" t="n">
        <v>20</v>
      </c>
      <c r="K755" s="7" t="s">
        <v>93</v>
      </c>
      <c r="L755" s="7" t="s">
        <v>194</v>
      </c>
      <c r="M755" s="7" t="n">
        <v>41</v>
      </c>
      <c r="N755" s="7"/>
      <c r="O755" s="7" t="str">
        <f aca="false">A755&amp;"|"&amp;B755&amp;"|"&amp;C755&amp;"|"&amp;D755&amp;"|"&amp;E755&amp;"|"&amp;F755&amp;"|"&amp;G755&amp;"|"&amp;H755&amp;"|"&amp;I755&amp;"|"&amp;J755&amp;"|"&amp;K755&amp;"|"&amp;L755&amp;"|"&amp;M755&amp;"|"&amp;N755</f>
        <v>ORD12631|2025-11-21|19:27|C0674|Kolkata Roll Centre|Calcutta|Street Food|1|115|20|Credit Card|Delivered|41|</v>
      </c>
      <c r="P755" s="7" t="str">
        <f aca="false">IF(COUNTIF($O$2:O755,O755)&gt;1,"DUP","OK")</f>
        <v>OK</v>
      </c>
      <c r="Q755" s="7" t="n">
        <f aca="false">COUNTBLANK(A755:N755)</f>
        <v>1</v>
      </c>
      <c r="R755" s="7" t="n">
        <f aca="false">IF(A755="",0,COUNTIFS($A$2:$A$3058,A755,$P$2:$P$3058,"OK"))</f>
        <v>1</v>
      </c>
      <c r="S755" s="7" t="str">
        <f aca="false">IF(OR(A755="",P755="DUP",R755&lt;2),"",IF(Q755=_xlfn.MINIFS($Q$2:$Q$3058,$A$2:$A$3058,A755,$P$2:$P$3058,"OK"),"KEEP","DROP"))</f>
        <v/>
      </c>
      <c r="T755" s="9" t="n">
        <f aca="false">IF(A755="",1,0)</f>
        <v>0</v>
      </c>
      <c r="U755" s="9" t="n">
        <f aca="false">IF(D755="",1,0)</f>
        <v>0</v>
      </c>
      <c r="V755" s="9" t="n">
        <f aca="false">IF(E755="",1,0)</f>
        <v>0</v>
      </c>
      <c r="W755" s="9" t="n">
        <f aca="false">IF(OR(H755&lt;1,H755&gt;10),1,0)</f>
        <v>0</v>
      </c>
      <c r="X755" s="9" t="n">
        <f aca="false">IF(OR(I755&lt;=0,I755&gt;1500),1,0)</f>
        <v>0</v>
      </c>
      <c r="Y755" s="9" t="n">
        <f aca="false">IF(J755&gt;H755*I755,1,0)</f>
        <v>0</v>
      </c>
      <c r="Z755" s="9" t="n">
        <f aca="false">IF(AND(N755&lt;&gt;"",OR(N755&lt;1,N755&gt;5)),1,0)</f>
        <v>0</v>
      </c>
      <c r="AA755" s="9" t="n">
        <f aca="false">IF(AND(M755&lt;&gt;"",OR(M755&lt;5,M755&gt;180)),1,0)</f>
        <v>0</v>
      </c>
      <c r="AB755" s="7" t="str">
        <f aca="false">IF(P755="DUP","Exact duplicate row",IF(T755=1,"Missing Order ID",IF(S755="DROP","Duplicate Order ID (less complete row)",IF(U755=1,"Missing Customer ID",IF(V755=1,"Missing Restaurant name",IF(W755=1,"Invalid/outlier quantity",IF(X755=1,"Invalid/outlier unit price",IF(Y755=1,"Discount greater than order value",""))))))))</f>
        <v/>
      </c>
      <c r="AC755" s="7" t="str">
        <f aca="false">IF(AB755="","KEEP","DROP")</f>
        <v>KEEP</v>
      </c>
      <c r="AD755" s="7" t="str">
        <f aca="false">IF(TRIM(F755)="",IFERROR(INDEX(Map_Tables!$I$4:$I$37,MATCH(TRIM(E755),Map_Tables!$G$4:$G$37,0)),""),IFERROR(INDEX(Map_Tables!$B$4:$B$18,MATCH(TRIM(F755),Map_Tables!$A$4:$A$18,0)),"CHECK"))</f>
        <v>Kolkata</v>
      </c>
      <c r="AE755" s="7" t="str">
        <f aca="false">IF(TRIM(E755)="","",IFERROR(INDEX(Map_Tables!$H$4:$H$37,MATCH(TRIM(E755),Map_Tables!$G$4:$G$37,0)),"CHECK"))</f>
        <v>Kolkata Roll Centre</v>
      </c>
      <c r="AF755" s="7" t="str">
        <f aca="false">IF(TRIM(K755)="","Unknown",IFERROR(INDEX(Map_Tables!$E$4:$E$15,MATCH(TRIM(K755),Map_Tables!$D$4:$D$15,0)),"CHECK"))</f>
        <v>Credit Card</v>
      </c>
      <c r="AG755" s="7" t="str">
        <f aca="false">IF(LEFT(LOWER(TRIM(L755)),6)="cancel","Cancelled","Delivered")</f>
        <v>Delivered</v>
      </c>
      <c r="AH755" s="10" t="n">
        <f aca="false">IF(ISNUMBER(SEARCH("/",B755)),DATE(VALUE(RIGHT(B755,4)),VALUE(MID(B755,4,2)),VALUE(LEFT(B755,2))),IF(MID(B755,5,1)="-",DATE(VALUE(LEFT(B755,4)),VALUE(MID(B755,6,2)),VALUE(RIGHT(B755,2))),DATE(VALUE(RIGHT(B755,4)),MATCH(MID(B755,4,3),{"Jan","Feb","Mar","Apr","May","Jun","Jul","Aug","Sep","Oct","Nov","Dec"},0),VALUE(LEFT(B755,2)))))</f>
        <v>45982</v>
      </c>
    </row>
    <row r="756" customFormat="false" ht="15" hidden="false" customHeight="false" outlineLevel="0" collapsed="false">
      <c r="A756" s="7" t="s">
        <v>2496</v>
      </c>
      <c r="B756" s="7" t="s">
        <v>1897</v>
      </c>
      <c r="C756" s="7" t="s">
        <v>630</v>
      </c>
      <c r="D756" s="7" t="s">
        <v>2497</v>
      </c>
      <c r="E756" s="7" t="s">
        <v>130</v>
      </c>
      <c r="F756" s="7" t="s">
        <v>110</v>
      </c>
      <c r="G756" s="7" t="s">
        <v>90</v>
      </c>
      <c r="H756" s="7" t="n">
        <v>2</v>
      </c>
      <c r="I756" s="7" t="n">
        <v>265</v>
      </c>
      <c r="J756" s="7" t="n">
        <v>0</v>
      </c>
      <c r="K756" s="7" t="s">
        <v>121</v>
      </c>
      <c r="L756" s="7" t="s">
        <v>194</v>
      </c>
      <c r="M756" s="7" t="n">
        <v>43</v>
      </c>
      <c r="N756" s="7" t="n">
        <v>4</v>
      </c>
      <c r="O756" s="7" t="str">
        <f aca="false">A756&amp;"|"&amp;B756&amp;"|"&amp;C756&amp;"|"&amp;D756&amp;"|"&amp;E756&amp;"|"&amp;F756&amp;"|"&amp;G756&amp;"|"&amp;H756&amp;"|"&amp;I756&amp;"|"&amp;J756&amp;"|"&amp;K756&amp;"|"&amp;L756&amp;"|"&amp;M756&amp;"|"&amp;N756</f>
        <v>ORD12249|12/10/2025|20:09|C1295|Tandoor Tales|Delhi|North Indian|2|265|0|Wallet|Delivered|43|4</v>
      </c>
      <c r="P756" s="7" t="str">
        <f aca="false">IF(COUNTIF($O$2:O756,O756)&gt;1,"DUP","OK")</f>
        <v>OK</v>
      </c>
      <c r="Q756" s="7" t="n">
        <f aca="false">COUNTBLANK(A756:N756)</f>
        <v>0</v>
      </c>
      <c r="R756" s="7" t="n">
        <f aca="false">IF(A756="",0,COUNTIFS($A$2:$A$3058,A756,$P$2:$P$3058,"OK"))</f>
        <v>1</v>
      </c>
      <c r="S756" s="7" t="str">
        <f aca="false">IF(OR(A756="",P756="DUP",R756&lt;2),"",IF(Q756=_xlfn.MINIFS($Q$2:$Q$3058,$A$2:$A$3058,A756,$P$2:$P$3058,"OK"),"KEEP","DROP"))</f>
        <v/>
      </c>
      <c r="T756" s="9" t="n">
        <f aca="false">IF(A756="",1,0)</f>
        <v>0</v>
      </c>
      <c r="U756" s="9" t="n">
        <f aca="false">IF(D756="",1,0)</f>
        <v>0</v>
      </c>
      <c r="V756" s="9" t="n">
        <f aca="false">IF(E756="",1,0)</f>
        <v>0</v>
      </c>
      <c r="W756" s="9" t="n">
        <f aca="false">IF(OR(H756&lt;1,H756&gt;10),1,0)</f>
        <v>0</v>
      </c>
      <c r="X756" s="9" t="n">
        <f aca="false">IF(OR(I756&lt;=0,I756&gt;1500),1,0)</f>
        <v>0</v>
      </c>
      <c r="Y756" s="9" t="n">
        <f aca="false">IF(J756&gt;H756*I756,1,0)</f>
        <v>0</v>
      </c>
      <c r="Z756" s="9" t="n">
        <f aca="false">IF(AND(N756&lt;&gt;"",OR(N756&lt;1,N756&gt;5)),1,0)</f>
        <v>0</v>
      </c>
      <c r="AA756" s="9" t="n">
        <f aca="false">IF(AND(M756&lt;&gt;"",OR(M756&lt;5,M756&gt;180)),1,0)</f>
        <v>0</v>
      </c>
      <c r="AB756" s="7" t="str">
        <f aca="false">IF(P756="DUP","Exact duplicate row",IF(T756=1,"Missing Order ID",IF(S756="DROP","Duplicate Order ID (less complete row)",IF(U756=1,"Missing Customer ID",IF(V756=1,"Missing Restaurant name",IF(W756=1,"Invalid/outlier quantity",IF(X756=1,"Invalid/outlier unit price",IF(Y756=1,"Discount greater than order value",""))))))))</f>
        <v/>
      </c>
      <c r="AC756" s="7" t="str">
        <f aca="false">IF(AB756="","KEEP","DROP")</f>
        <v>KEEP</v>
      </c>
      <c r="AD756" s="7" t="str">
        <f aca="false">IF(TRIM(F756)="",IFERROR(INDEX(Map_Tables!$I$4:$I$37,MATCH(TRIM(E756),Map_Tables!$G$4:$G$37,0)),""),IFERROR(INDEX(Map_Tables!$B$4:$B$18,MATCH(TRIM(F756),Map_Tables!$A$4:$A$18,0)),"CHECK"))</f>
        <v>Delhi</v>
      </c>
      <c r="AE756" s="7" t="str">
        <f aca="false">IF(TRIM(E756)="","",IFERROR(INDEX(Map_Tables!$H$4:$H$37,MATCH(TRIM(E756),Map_Tables!$G$4:$G$37,0)),"CHECK"))</f>
        <v>Tandoor Tales</v>
      </c>
      <c r="AF756" s="7" t="str">
        <f aca="false">IF(TRIM(K756)="","Unknown",IFERROR(INDEX(Map_Tables!$E$4:$E$15,MATCH(TRIM(K756),Map_Tables!$D$4:$D$15,0)),"CHECK"))</f>
        <v>Wallet</v>
      </c>
      <c r="AG756" s="7" t="str">
        <f aca="false">IF(LEFT(LOWER(TRIM(L756)),6)="cancel","Cancelled","Delivered")</f>
        <v>Delivered</v>
      </c>
      <c r="AH756" s="10" t="n">
        <f aca="false">IF(ISNUMBER(SEARCH("/",B756)),DATE(VALUE(RIGHT(B756,4)),VALUE(MID(B756,4,2)),VALUE(LEFT(B756,2))),IF(MID(B756,5,1)="-",DATE(VALUE(LEFT(B756,4)),VALUE(MID(B756,6,2)),VALUE(RIGHT(B756,2))),DATE(VALUE(RIGHT(B756,4)),MATCH(MID(B756,4,3),{"Jan","Feb","Mar","Apr","May","Jun","Jul","Aug","Sep","Oct","Nov","Dec"},0),VALUE(LEFT(B756,2)))))</f>
        <v>45942</v>
      </c>
    </row>
    <row r="757" customFormat="false" ht="15" hidden="false" customHeight="false" outlineLevel="0" collapsed="false">
      <c r="A757" s="7" t="s">
        <v>2498</v>
      </c>
      <c r="B757" s="7" t="s">
        <v>330</v>
      </c>
      <c r="C757" s="7" t="s">
        <v>1812</v>
      </c>
      <c r="D757" s="7" t="s">
        <v>2499</v>
      </c>
      <c r="E757" s="7" t="s">
        <v>116</v>
      </c>
      <c r="F757" s="7" t="s">
        <v>101</v>
      </c>
      <c r="G757" s="7" t="s">
        <v>117</v>
      </c>
      <c r="H757" s="7" t="n">
        <v>2</v>
      </c>
      <c r="I757" s="7" t="n">
        <v>135</v>
      </c>
      <c r="J757" s="7" t="n">
        <v>0</v>
      </c>
      <c r="K757" s="7" t="s">
        <v>88</v>
      </c>
      <c r="L757" s="7" t="s">
        <v>194</v>
      </c>
      <c r="M757" s="7" t="n">
        <v>38</v>
      </c>
      <c r="N757" s="7" t="n">
        <v>4</v>
      </c>
      <c r="O757" s="7" t="str">
        <f aca="false">A757&amp;"|"&amp;B757&amp;"|"&amp;C757&amp;"|"&amp;D757&amp;"|"&amp;E757&amp;"|"&amp;F757&amp;"|"&amp;G757&amp;"|"&amp;H757&amp;"|"&amp;I757&amp;"|"&amp;J757&amp;"|"&amp;K757&amp;"|"&amp;L757&amp;"|"&amp;M757&amp;"|"&amp;N757</f>
        <v>ORD12837|2025-12-13|12:28|C1495|Pav Bhaji Point|Mumbai|Street Food|2|135|0|UPI|Delivered|38|4</v>
      </c>
      <c r="P757" s="7" t="str">
        <f aca="false">IF(COUNTIF($O$2:O757,O757)&gt;1,"DUP","OK")</f>
        <v>OK</v>
      </c>
      <c r="Q757" s="7" t="n">
        <f aca="false">COUNTBLANK(A757:N757)</f>
        <v>0</v>
      </c>
      <c r="R757" s="7" t="n">
        <f aca="false">IF(A757="",0,COUNTIFS($A$2:$A$3058,A757,$P$2:$P$3058,"OK"))</f>
        <v>1</v>
      </c>
      <c r="S757" s="7" t="str">
        <f aca="false">IF(OR(A757="",P757="DUP",R757&lt;2),"",IF(Q757=_xlfn.MINIFS($Q$2:$Q$3058,$A$2:$A$3058,A757,$P$2:$P$3058,"OK"),"KEEP","DROP"))</f>
        <v/>
      </c>
      <c r="T757" s="9" t="n">
        <f aca="false">IF(A757="",1,0)</f>
        <v>0</v>
      </c>
      <c r="U757" s="9" t="n">
        <f aca="false">IF(D757="",1,0)</f>
        <v>0</v>
      </c>
      <c r="V757" s="9" t="n">
        <f aca="false">IF(E757="",1,0)</f>
        <v>0</v>
      </c>
      <c r="W757" s="9" t="n">
        <f aca="false">IF(OR(H757&lt;1,H757&gt;10),1,0)</f>
        <v>0</v>
      </c>
      <c r="X757" s="9" t="n">
        <f aca="false">IF(OR(I757&lt;=0,I757&gt;1500),1,0)</f>
        <v>0</v>
      </c>
      <c r="Y757" s="9" t="n">
        <f aca="false">IF(J757&gt;H757*I757,1,0)</f>
        <v>0</v>
      </c>
      <c r="Z757" s="9" t="n">
        <f aca="false">IF(AND(N757&lt;&gt;"",OR(N757&lt;1,N757&gt;5)),1,0)</f>
        <v>0</v>
      </c>
      <c r="AA757" s="9" t="n">
        <f aca="false">IF(AND(M757&lt;&gt;"",OR(M757&lt;5,M757&gt;180)),1,0)</f>
        <v>0</v>
      </c>
      <c r="AB757" s="7" t="str">
        <f aca="false">IF(P757="DUP","Exact duplicate row",IF(T757=1,"Missing Order ID",IF(S757="DROP","Duplicate Order ID (less complete row)",IF(U757=1,"Missing Customer ID",IF(V757=1,"Missing Restaurant name",IF(W757=1,"Invalid/outlier quantity",IF(X757=1,"Invalid/outlier unit price",IF(Y757=1,"Discount greater than order value",""))))))))</f>
        <v/>
      </c>
      <c r="AC757" s="7" t="str">
        <f aca="false">IF(AB757="","KEEP","DROP")</f>
        <v>KEEP</v>
      </c>
      <c r="AD757" s="7" t="str">
        <f aca="false">IF(TRIM(F757)="",IFERROR(INDEX(Map_Tables!$I$4:$I$37,MATCH(TRIM(E757),Map_Tables!$G$4:$G$37,0)),""),IFERROR(INDEX(Map_Tables!$B$4:$B$18,MATCH(TRIM(F757),Map_Tables!$A$4:$A$18,0)),"CHECK"))</f>
        <v>Mumbai</v>
      </c>
      <c r="AE757" s="7" t="str">
        <f aca="false">IF(TRIM(E757)="","",IFERROR(INDEX(Map_Tables!$H$4:$H$37,MATCH(TRIM(E757),Map_Tables!$G$4:$G$37,0)),"CHECK"))</f>
        <v>Pav Bhaji Point</v>
      </c>
      <c r="AF757" s="7" t="str">
        <f aca="false">IF(TRIM(K757)="","Unknown",IFERROR(INDEX(Map_Tables!$E$4:$E$15,MATCH(TRIM(K757),Map_Tables!$D$4:$D$15,0)),"CHECK"))</f>
        <v>UPI</v>
      </c>
      <c r="AG757" s="7" t="str">
        <f aca="false">IF(LEFT(LOWER(TRIM(L757)),6)="cancel","Cancelled","Delivered")</f>
        <v>Delivered</v>
      </c>
      <c r="AH757" s="10" t="n">
        <f aca="false">IF(ISNUMBER(SEARCH("/",B757)),DATE(VALUE(RIGHT(B757,4)),VALUE(MID(B757,4,2)),VALUE(LEFT(B757,2))),IF(MID(B757,5,1)="-",DATE(VALUE(LEFT(B757,4)),VALUE(MID(B757,6,2)),VALUE(RIGHT(B757,2))),DATE(VALUE(RIGHT(B757,4)),MATCH(MID(B757,4,3),{"Jan","Feb","Mar","Apr","May","Jun","Jul","Aug","Sep","Oct","Nov","Dec"},0),VALUE(LEFT(B757,2)))))</f>
        <v>46004</v>
      </c>
    </row>
    <row r="758" customFormat="false" ht="15" hidden="false" customHeight="false" outlineLevel="0" collapsed="false">
      <c r="A758" s="7" t="s">
        <v>2500</v>
      </c>
      <c r="B758" s="7" t="s">
        <v>2501</v>
      </c>
      <c r="C758" s="7" t="s">
        <v>2502</v>
      </c>
      <c r="D758" s="7" t="s">
        <v>2503</v>
      </c>
      <c r="E758" s="7" t="s">
        <v>138</v>
      </c>
      <c r="F758" s="7" t="s">
        <v>110</v>
      </c>
      <c r="G758" s="7" t="s">
        <v>139</v>
      </c>
      <c r="H758" s="7" t="n">
        <v>4</v>
      </c>
      <c r="I758" s="7" t="n">
        <v>195</v>
      </c>
      <c r="J758" s="7" t="n">
        <v>20</v>
      </c>
      <c r="K758" s="7" t="s">
        <v>103</v>
      </c>
      <c r="L758" s="7" t="s">
        <v>194</v>
      </c>
      <c r="M758" s="7" t="n">
        <v>40</v>
      </c>
      <c r="N758" s="7" t="n">
        <v>4</v>
      </c>
      <c r="O758" s="7" t="str">
        <f aca="false">A758&amp;"|"&amp;B758&amp;"|"&amp;C758&amp;"|"&amp;D758&amp;"|"&amp;E758&amp;"|"&amp;F758&amp;"|"&amp;G758&amp;"|"&amp;H758&amp;"|"&amp;I758&amp;"|"&amp;J758&amp;"|"&amp;K758&amp;"|"&amp;L758&amp;"|"&amp;M758&amp;"|"&amp;N758</f>
        <v>ORD12254|2025-10-12|22:38|C0807|Burger Barn|Delhi|Burgers|4|195|20|Debit Card|Delivered|40|4</v>
      </c>
      <c r="P758" s="7" t="str">
        <f aca="false">IF(COUNTIF($O$2:O758,O758)&gt;1,"DUP","OK")</f>
        <v>OK</v>
      </c>
      <c r="Q758" s="7" t="n">
        <f aca="false">COUNTBLANK(A758:N758)</f>
        <v>0</v>
      </c>
      <c r="R758" s="7" t="n">
        <f aca="false">IF(A758="",0,COUNTIFS($A$2:$A$3058,A758,$P$2:$P$3058,"OK"))</f>
        <v>1</v>
      </c>
      <c r="S758" s="7" t="str">
        <f aca="false">IF(OR(A758="",P758="DUP",R758&lt;2),"",IF(Q758=_xlfn.MINIFS($Q$2:$Q$3058,$A$2:$A$3058,A758,$P$2:$P$3058,"OK"),"KEEP","DROP"))</f>
        <v/>
      </c>
      <c r="T758" s="9" t="n">
        <f aca="false">IF(A758="",1,0)</f>
        <v>0</v>
      </c>
      <c r="U758" s="9" t="n">
        <f aca="false">IF(D758="",1,0)</f>
        <v>0</v>
      </c>
      <c r="V758" s="9" t="n">
        <f aca="false">IF(E758="",1,0)</f>
        <v>0</v>
      </c>
      <c r="W758" s="9" t="n">
        <f aca="false">IF(OR(H758&lt;1,H758&gt;10),1,0)</f>
        <v>0</v>
      </c>
      <c r="X758" s="9" t="n">
        <f aca="false">IF(OR(I758&lt;=0,I758&gt;1500),1,0)</f>
        <v>0</v>
      </c>
      <c r="Y758" s="9" t="n">
        <f aca="false">IF(J758&gt;H758*I758,1,0)</f>
        <v>0</v>
      </c>
      <c r="Z758" s="9" t="n">
        <f aca="false">IF(AND(N758&lt;&gt;"",OR(N758&lt;1,N758&gt;5)),1,0)</f>
        <v>0</v>
      </c>
      <c r="AA758" s="9" t="n">
        <f aca="false">IF(AND(M758&lt;&gt;"",OR(M758&lt;5,M758&gt;180)),1,0)</f>
        <v>0</v>
      </c>
      <c r="AB758" s="7" t="str">
        <f aca="false">IF(P758="DUP","Exact duplicate row",IF(T758=1,"Missing Order ID",IF(S758="DROP","Duplicate Order ID (less complete row)",IF(U758=1,"Missing Customer ID",IF(V758=1,"Missing Restaurant name",IF(W758=1,"Invalid/outlier quantity",IF(X758=1,"Invalid/outlier unit price",IF(Y758=1,"Discount greater than order value",""))))))))</f>
        <v/>
      </c>
      <c r="AC758" s="7" t="str">
        <f aca="false">IF(AB758="","KEEP","DROP")</f>
        <v>KEEP</v>
      </c>
      <c r="AD758" s="7" t="str">
        <f aca="false">IF(TRIM(F758)="",IFERROR(INDEX(Map_Tables!$I$4:$I$37,MATCH(TRIM(E758),Map_Tables!$G$4:$G$37,0)),""),IFERROR(INDEX(Map_Tables!$B$4:$B$18,MATCH(TRIM(F758),Map_Tables!$A$4:$A$18,0)),"CHECK"))</f>
        <v>Delhi</v>
      </c>
      <c r="AE758" s="7" t="str">
        <f aca="false">IF(TRIM(E758)="","",IFERROR(INDEX(Map_Tables!$H$4:$H$37,MATCH(TRIM(E758),Map_Tables!$G$4:$G$37,0)),"CHECK"))</f>
        <v>Burger Barn</v>
      </c>
      <c r="AF758" s="7" t="str">
        <f aca="false">IF(TRIM(K758)="","Unknown",IFERROR(INDEX(Map_Tables!$E$4:$E$15,MATCH(TRIM(K758),Map_Tables!$D$4:$D$15,0)),"CHECK"))</f>
        <v>Debit Card</v>
      </c>
      <c r="AG758" s="7" t="str">
        <f aca="false">IF(LEFT(LOWER(TRIM(L758)),6)="cancel","Cancelled","Delivered")</f>
        <v>Delivered</v>
      </c>
      <c r="AH758" s="10" t="n">
        <f aca="false">IF(ISNUMBER(SEARCH("/",B758)),DATE(VALUE(RIGHT(B758,4)),VALUE(MID(B758,4,2)),VALUE(LEFT(B758,2))),IF(MID(B758,5,1)="-",DATE(VALUE(LEFT(B758,4)),VALUE(MID(B758,6,2)),VALUE(RIGHT(B758,2))),DATE(VALUE(RIGHT(B758,4)),MATCH(MID(B758,4,3),{"Jan","Feb","Mar","Apr","May","Jun","Jul","Aug","Sep","Oct","Nov","Dec"},0),VALUE(LEFT(B758,2)))))</f>
        <v>45942</v>
      </c>
    </row>
    <row r="759" customFormat="false" ht="15" hidden="false" customHeight="false" outlineLevel="0" collapsed="false">
      <c r="A759" s="7" t="s">
        <v>2504</v>
      </c>
      <c r="B759" s="7" t="s">
        <v>231</v>
      </c>
      <c r="C759" s="7" t="s">
        <v>581</v>
      </c>
      <c r="D759" s="7" t="s">
        <v>2043</v>
      </c>
      <c r="E759" s="7" t="s">
        <v>2505</v>
      </c>
      <c r="F759" s="7" t="s">
        <v>86</v>
      </c>
      <c r="G759" s="7" t="s">
        <v>99</v>
      </c>
      <c r="H759" s="7" t="n">
        <v>1</v>
      </c>
      <c r="I759" s="7" t="n">
        <v>260</v>
      </c>
      <c r="J759" s="7" t="n">
        <v>75</v>
      </c>
      <c r="K759" s="7" t="s">
        <v>88</v>
      </c>
      <c r="L759" s="7" t="s">
        <v>194</v>
      </c>
      <c r="M759" s="7" t="n">
        <v>48</v>
      </c>
      <c r="N759" s="7"/>
      <c r="O759" s="7" t="str">
        <f aca="false">A759&amp;"|"&amp;B759&amp;"|"&amp;C759&amp;"|"&amp;D759&amp;"|"&amp;E759&amp;"|"&amp;F759&amp;"|"&amp;G759&amp;"|"&amp;H759&amp;"|"&amp;I759&amp;"|"&amp;J759&amp;"|"&amp;K759&amp;"|"&amp;L759&amp;"|"&amp;M759&amp;"|"&amp;N759</f>
        <v>ORD12723|2025-11-30|20:04|C0605|NAWABI BIRYANI HOUSE|Bengaluru|Biryani|1|260|75|UPI|Delivered|48|</v>
      </c>
      <c r="P759" s="7" t="str">
        <f aca="false">IF(COUNTIF($O$2:O759,O759)&gt;1,"DUP","OK")</f>
        <v>OK</v>
      </c>
      <c r="Q759" s="7" t="n">
        <f aca="false">COUNTBLANK(A759:N759)</f>
        <v>1</v>
      </c>
      <c r="R759" s="7" t="n">
        <f aca="false">IF(A759="",0,COUNTIFS($A$2:$A$3058,A759,$P$2:$P$3058,"OK"))</f>
        <v>1</v>
      </c>
      <c r="S759" s="7" t="str">
        <f aca="false">IF(OR(A759="",P759="DUP",R759&lt;2),"",IF(Q759=_xlfn.MINIFS($Q$2:$Q$3058,$A$2:$A$3058,A759,$P$2:$P$3058,"OK"),"KEEP","DROP"))</f>
        <v/>
      </c>
      <c r="T759" s="9" t="n">
        <f aca="false">IF(A759="",1,0)</f>
        <v>0</v>
      </c>
      <c r="U759" s="9" t="n">
        <f aca="false">IF(D759="",1,0)</f>
        <v>0</v>
      </c>
      <c r="V759" s="9" t="n">
        <f aca="false">IF(E759="",1,0)</f>
        <v>0</v>
      </c>
      <c r="W759" s="9" t="n">
        <f aca="false">IF(OR(H759&lt;1,H759&gt;10),1,0)</f>
        <v>0</v>
      </c>
      <c r="X759" s="9" t="n">
        <f aca="false">IF(OR(I759&lt;=0,I759&gt;1500),1,0)</f>
        <v>0</v>
      </c>
      <c r="Y759" s="9" t="n">
        <f aca="false">IF(J759&gt;H759*I759,1,0)</f>
        <v>0</v>
      </c>
      <c r="Z759" s="9" t="n">
        <f aca="false">IF(AND(N759&lt;&gt;"",OR(N759&lt;1,N759&gt;5)),1,0)</f>
        <v>0</v>
      </c>
      <c r="AA759" s="9" t="n">
        <f aca="false">IF(AND(M759&lt;&gt;"",OR(M759&lt;5,M759&gt;180)),1,0)</f>
        <v>0</v>
      </c>
      <c r="AB759" s="7" t="str">
        <f aca="false">IF(P759="DUP","Exact duplicate row",IF(T759=1,"Missing Order ID",IF(S759="DROP","Duplicate Order ID (less complete row)",IF(U759=1,"Missing Customer ID",IF(V759=1,"Missing Restaurant name",IF(W759=1,"Invalid/outlier quantity",IF(X759=1,"Invalid/outlier unit price",IF(Y759=1,"Discount greater than order value",""))))))))</f>
        <v/>
      </c>
      <c r="AC759" s="7" t="str">
        <f aca="false">IF(AB759="","KEEP","DROP")</f>
        <v>KEEP</v>
      </c>
      <c r="AD759" s="7" t="str">
        <f aca="false">IF(TRIM(F759)="",IFERROR(INDEX(Map_Tables!$I$4:$I$37,MATCH(TRIM(E759),Map_Tables!$G$4:$G$37,0)),""),IFERROR(INDEX(Map_Tables!$B$4:$B$18,MATCH(TRIM(F759),Map_Tables!$A$4:$A$18,0)),"CHECK"))</f>
        <v>Bengaluru</v>
      </c>
      <c r="AE759" s="7" t="str">
        <f aca="false">IF(TRIM(E759)="","",IFERROR(INDEX(Map_Tables!$H$4:$H$37,MATCH(TRIM(E759),Map_Tables!$G$4:$G$37,0)),"CHECK"))</f>
        <v>Nawabi Biryani House</v>
      </c>
      <c r="AF759" s="7" t="str">
        <f aca="false">IF(TRIM(K759)="","Unknown",IFERROR(INDEX(Map_Tables!$E$4:$E$15,MATCH(TRIM(K759),Map_Tables!$D$4:$D$15,0)),"CHECK"))</f>
        <v>UPI</v>
      </c>
      <c r="AG759" s="7" t="str">
        <f aca="false">IF(LEFT(LOWER(TRIM(L759)),6)="cancel","Cancelled","Delivered")</f>
        <v>Delivered</v>
      </c>
      <c r="AH759" s="10" t="n">
        <f aca="false">IF(ISNUMBER(SEARCH("/",B759)),DATE(VALUE(RIGHT(B759,4)),VALUE(MID(B759,4,2)),VALUE(LEFT(B759,2))),IF(MID(B759,5,1)="-",DATE(VALUE(LEFT(B759,4)),VALUE(MID(B759,6,2)),VALUE(RIGHT(B759,2))),DATE(VALUE(RIGHT(B759,4)),MATCH(MID(B759,4,3),{"Jan","Feb","Mar","Apr","May","Jun","Jul","Aug","Sep","Oct","Nov","Dec"},0),VALUE(LEFT(B759,2)))))</f>
        <v>45991</v>
      </c>
    </row>
    <row r="760" customFormat="false" ht="15" hidden="false" customHeight="false" outlineLevel="0" collapsed="false">
      <c r="A760" s="7" t="s">
        <v>2506</v>
      </c>
      <c r="B760" s="7" t="s">
        <v>2507</v>
      </c>
      <c r="C760" s="7" t="s">
        <v>2508</v>
      </c>
      <c r="D760" s="7" t="s">
        <v>2509</v>
      </c>
      <c r="E760" s="7" t="s">
        <v>94</v>
      </c>
      <c r="F760" s="7" t="s">
        <v>86</v>
      </c>
      <c r="G760" s="7" t="s">
        <v>95</v>
      </c>
      <c r="H760" s="7" t="n">
        <v>1</v>
      </c>
      <c r="I760" s="7" t="n">
        <v>120</v>
      </c>
      <c r="J760" s="7" t="n">
        <v>48</v>
      </c>
      <c r="K760" s="7" t="s">
        <v>88</v>
      </c>
      <c r="L760" s="7" t="s">
        <v>194</v>
      </c>
      <c r="M760" s="7" t="n">
        <v>43</v>
      </c>
      <c r="N760" s="7" t="n">
        <v>5</v>
      </c>
      <c r="O760" s="7" t="str">
        <f aca="false">A760&amp;"|"&amp;B760&amp;"|"&amp;C760&amp;"|"&amp;D760&amp;"|"&amp;E760&amp;"|"&amp;F760&amp;"|"&amp;G760&amp;"|"&amp;H760&amp;"|"&amp;I760&amp;"|"&amp;J760&amp;"|"&amp;K760&amp;"|"&amp;L760&amp;"|"&amp;M760&amp;"|"&amp;N760</f>
        <v>ORD10636|21/03/2025|20:22|C1003|Dosa Darbar|Bengaluru|South Indian|1|120|48|UPI|Delivered|43|5</v>
      </c>
      <c r="P760" s="7" t="str">
        <f aca="false">IF(COUNTIF($O$2:O760,O760)&gt;1,"DUP","OK")</f>
        <v>OK</v>
      </c>
      <c r="Q760" s="7" t="n">
        <f aca="false">COUNTBLANK(A760:N760)</f>
        <v>0</v>
      </c>
      <c r="R760" s="7" t="n">
        <f aca="false">IF(A760="",0,COUNTIFS($A$2:$A$3058,A760,$P$2:$P$3058,"OK"))</f>
        <v>1</v>
      </c>
      <c r="S760" s="7" t="str">
        <f aca="false">IF(OR(A760="",P760="DUP",R760&lt;2),"",IF(Q760=_xlfn.MINIFS($Q$2:$Q$3058,$A$2:$A$3058,A760,$P$2:$P$3058,"OK"),"KEEP","DROP"))</f>
        <v/>
      </c>
      <c r="T760" s="9" t="n">
        <f aca="false">IF(A760="",1,0)</f>
        <v>0</v>
      </c>
      <c r="U760" s="9" t="n">
        <f aca="false">IF(D760="",1,0)</f>
        <v>0</v>
      </c>
      <c r="V760" s="9" t="n">
        <f aca="false">IF(E760="",1,0)</f>
        <v>0</v>
      </c>
      <c r="W760" s="9" t="n">
        <f aca="false">IF(OR(H760&lt;1,H760&gt;10),1,0)</f>
        <v>0</v>
      </c>
      <c r="X760" s="9" t="n">
        <f aca="false">IF(OR(I760&lt;=0,I760&gt;1500),1,0)</f>
        <v>0</v>
      </c>
      <c r="Y760" s="9" t="n">
        <f aca="false">IF(J760&gt;H760*I760,1,0)</f>
        <v>0</v>
      </c>
      <c r="Z760" s="9" t="n">
        <f aca="false">IF(AND(N760&lt;&gt;"",OR(N760&lt;1,N760&gt;5)),1,0)</f>
        <v>0</v>
      </c>
      <c r="AA760" s="9" t="n">
        <f aca="false">IF(AND(M760&lt;&gt;"",OR(M760&lt;5,M760&gt;180)),1,0)</f>
        <v>0</v>
      </c>
      <c r="AB760" s="7" t="str">
        <f aca="false">IF(P760="DUP","Exact duplicate row",IF(T760=1,"Missing Order ID",IF(S760="DROP","Duplicate Order ID (less complete row)",IF(U760=1,"Missing Customer ID",IF(V760=1,"Missing Restaurant name",IF(W760=1,"Invalid/outlier quantity",IF(X760=1,"Invalid/outlier unit price",IF(Y760=1,"Discount greater than order value",""))))))))</f>
        <v/>
      </c>
      <c r="AC760" s="7" t="str">
        <f aca="false">IF(AB760="","KEEP","DROP")</f>
        <v>KEEP</v>
      </c>
      <c r="AD760" s="7" t="str">
        <f aca="false">IF(TRIM(F760)="",IFERROR(INDEX(Map_Tables!$I$4:$I$37,MATCH(TRIM(E760),Map_Tables!$G$4:$G$37,0)),""),IFERROR(INDEX(Map_Tables!$B$4:$B$18,MATCH(TRIM(F760),Map_Tables!$A$4:$A$18,0)),"CHECK"))</f>
        <v>Bengaluru</v>
      </c>
      <c r="AE760" s="7" t="str">
        <f aca="false">IF(TRIM(E760)="","",IFERROR(INDEX(Map_Tables!$H$4:$H$37,MATCH(TRIM(E760),Map_Tables!$G$4:$G$37,0)),"CHECK"))</f>
        <v>Dosa Darbar</v>
      </c>
      <c r="AF760" s="7" t="str">
        <f aca="false">IF(TRIM(K760)="","Unknown",IFERROR(INDEX(Map_Tables!$E$4:$E$15,MATCH(TRIM(K760),Map_Tables!$D$4:$D$15,0)),"CHECK"))</f>
        <v>UPI</v>
      </c>
      <c r="AG760" s="7" t="str">
        <f aca="false">IF(LEFT(LOWER(TRIM(L760)),6)="cancel","Cancelled","Delivered")</f>
        <v>Delivered</v>
      </c>
      <c r="AH760" s="10" t="n">
        <f aca="false">IF(ISNUMBER(SEARCH("/",B760)),DATE(VALUE(RIGHT(B760,4)),VALUE(MID(B760,4,2)),VALUE(LEFT(B760,2))),IF(MID(B760,5,1)="-",DATE(VALUE(LEFT(B760,4)),VALUE(MID(B760,6,2)),VALUE(RIGHT(B760,2))),DATE(VALUE(RIGHT(B760,4)),MATCH(MID(B760,4,3),{"Jan","Feb","Mar","Apr","May","Jun","Jul","Aug","Sep","Oct","Nov","Dec"},0),VALUE(LEFT(B760,2)))))</f>
        <v>45737</v>
      </c>
    </row>
    <row r="761" customFormat="false" ht="15" hidden="false" customHeight="false" outlineLevel="0" collapsed="false">
      <c r="A761" s="7" t="s">
        <v>2510</v>
      </c>
      <c r="B761" s="7" t="s">
        <v>1904</v>
      </c>
      <c r="C761" s="7" t="s">
        <v>1631</v>
      </c>
      <c r="D761" s="7" t="s">
        <v>2028</v>
      </c>
      <c r="E761" s="7" t="s">
        <v>142</v>
      </c>
      <c r="F761" s="7" t="s">
        <v>110</v>
      </c>
      <c r="G761" s="7" t="s">
        <v>105</v>
      </c>
      <c r="H761" s="7" t="n">
        <v>2</v>
      </c>
      <c r="I761" s="7" t="n">
        <v>145</v>
      </c>
      <c r="J761" s="7" t="n">
        <v>75</v>
      </c>
      <c r="K761" s="7" t="s">
        <v>121</v>
      </c>
      <c r="L761" s="7" t="s">
        <v>194</v>
      </c>
      <c r="M761" s="7" t="n">
        <v>42</v>
      </c>
      <c r="N761" s="7" t="n">
        <v>5</v>
      </c>
      <c r="O761" s="7" t="str">
        <f aca="false">A761&amp;"|"&amp;B761&amp;"|"&amp;C761&amp;"|"&amp;D761&amp;"|"&amp;E761&amp;"|"&amp;F761&amp;"|"&amp;G761&amp;"|"&amp;H761&amp;"|"&amp;I761&amp;"|"&amp;J761&amp;"|"&amp;K761&amp;"|"&amp;L761&amp;"|"&amp;M761&amp;"|"&amp;N761</f>
        <v>ORD11454|2025-07-08|19:53|C0394|Momo Magic|Delhi|Chinese|2|145|75|Wallet|Delivered|42|5</v>
      </c>
      <c r="P761" s="7" t="str">
        <f aca="false">IF(COUNTIF($O$2:O761,O761)&gt;1,"DUP","OK")</f>
        <v>OK</v>
      </c>
      <c r="Q761" s="7" t="n">
        <f aca="false">COUNTBLANK(A761:N761)</f>
        <v>0</v>
      </c>
      <c r="R761" s="7" t="n">
        <f aca="false">IF(A761="",0,COUNTIFS($A$2:$A$3058,A761,$P$2:$P$3058,"OK"))</f>
        <v>1</v>
      </c>
      <c r="S761" s="7" t="str">
        <f aca="false">IF(OR(A761="",P761="DUP",R761&lt;2),"",IF(Q761=_xlfn.MINIFS($Q$2:$Q$3058,$A$2:$A$3058,A761,$P$2:$P$3058,"OK"),"KEEP","DROP"))</f>
        <v/>
      </c>
      <c r="T761" s="9" t="n">
        <f aca="false">IF(A761="",1,0)</f>
        <v>0</v>
      </c>
      <c r="U761" s="9" t="n">
        <f aca="false">IF(D761="",1,0)</f>
        <v>0</v>
      </c>
      <c r="V761" s="9" t="n">
        <f aca="false">IF(E761="",1,0)</f>
        <v>0</v>
      </c>
      <c r="W761" s="9" t="n">
        <f aca="false">IF(OR(H761&lt;1,H761&gt;10),1,0)</f>
        <v>0</v>
      </c>
      <c r="X761" s="9" t="n">
        <f aca="false">IF(OR(I761&lt;=0,I761&gt;1500),1,0)</f>
        <v>0</v>
      </c>
      <c r="Y761" s="9" t="n">
        <f aca="false">IF(J761&gt;H761*I761,1,0)</f>
        <v>0</v>
      </c>
      <c r="Z761" s="9" t="n">
        <f aca="false">IF(AND(N761&lt;&gt;"",OR(N761&lt;1,N761&gt;5)),1,0)</f>
        <v>0</v>
      </c>
      <c r="AA761" s="9" t="n">
        <f aca="false">IF(AND(M761&lt;&gt;"",OR(M761&lt;5,M761&gt;180)),1,0)</f>
        <v>0</v>
      </c>
      <c r="AB761" s="7" t="str">
        <f aca="false">IF(P761="DUP","Exact duplicate row",IF(T761=1,"Missing Order ID",IF(S761="DROP","Duplicate Order ID (less complete row)",IF(U761=1,"Missing Customer ID",IF(V761=1,"Missing Restaurant name",IF(W761=1,"Invalid/outlier quantity",IF(X761=1,"Invalid/outlier unit price",IF(Y761=1,"Discount greater than order value",""))))))))</f>
        <v/>
      </c>
      <c r="AC761" s="7" t="str">
        <f aca="false">IF(AB761="","KEEP","DROP")</f>
        <v>KEEP</v>
      </c>
      <c r="AD761" s="7" t="str">
        <f aca="false">IF(TRIM(F761)="",IFERROR(INDEX(Map_Tables!$I$4:$I$37,MATCH(TRIM(E761),Map_Tables!$G$4:$G$37,0)),""),IFERROR(INDEX(Map_Tables!$B$4:$B$18,MATCH(TRIM(F761),Map_Tables!$A$4:$A$18,0)),"CHECK"))</f>
        <v>Delhi</v>
      </c>
      <c r="AE761" s="7" t="str">
        <f aca="false">IF(TRIM(E761)="","",IFERROR(INDEX(Map_Tables!$H$4:$H$37,MATCH(TRIM(E761),Map_Tables!$G$4:$G$37,0)),"CHECK"))</f>
        <v>Momo Magic</v>
      </c>
      <c r="AF761" s="7" t="str">
        <f aca="false">IF(TRIM(K761)="","Unknown",IFERROR(INDEX(Map_Tables!$E$4:$E$15,MATCH(TRIM(K761),Map_Tables!$D$4:$D$15,0)),"CHECK"))</f>
        <v>Wallet</v>
      </c>
      <c r="AG761" s="7" t="str">
        <f aca="false">IF(LEFT(LOWER(TRIM(L761)),6)="cancel","Cancelled","Delivered")</f>
        <v>Delivered</v>
      </c>
      <c r="AH761" s="10" t="n">
        <f aca="false">IF(ISNUMBER(SEARCH("/",B761)),DATE(VALUE(RIGHT(B761,4)),VALUE(MID(B761,4,2)),VALUE(LEFT(B761,2))),IF(MID(B761,5,1)="-",DATE(VALUE(LEFT(B761,4)),VALUE(MID(B761,6,2)),VALUE(RIGHT(B761,2))),DATE(VALUE(RIGHT(B761,4)),MATCH(MID(B761,4,3),{"Jan","Feb","Mar","Apr","May","Jun","Jul","Aug","Sep","Oct","Nov","Dec"},0),VALUE(LEFT(B761,2)))))</f>
        <v>45846</v>
      </c>
    </row>
    <row r="762" customFormat="false" ht="15" hidden="false" customHeight="false" outlineLevel="0" collapsed="false">
      <c r="A762" s="7" t="s">
        <v>2511</v>
      </c>
      <c r="B762" s="7" t="s">
        <v>1872</v>
      </c>
      <c r="C762" s="7" t="s">
        <v>306</v>
      </c>
      <c r="D762" s="7" t="s">
        <v>2512</v>
      </c>
      <c r="E762" s="7" t="s">
        <v>89</v>
      </c>
      <c r="F762" s="7" t="s">
        <v>86</v>
      </c>
      <c r="G762" s="7" t="s">
        <v>90</v>
      </c>
      <c r="H762" s="7" t="n">
        <v>4</v>
      </c>
      <c r="I762" s="7" t="n">
        <v>210</v>
      </c>
      <c r="J762" s="7" t="n">
        <v>0</v>
      </c>
      <c r="K762" s="7" t="s">
        <v>103</v>
      </c>
      <c r="L762" s="7" t="s">
        <v>194</v>
      </c>
      <c r="M762" s="7" t="n">
        <v>-5</v>
      </c>
      <c r="N762" s="7" t="n">
        <v>5</v>
      </c>
      <c r="O762" s="7" t="str">
        <f aca="false">A762&amp;"|"&amp;B762&amp;"|"&amp;C762&amp;"|"&amp;D762&amp;"|"&amp;E762&amp;"|"&amp;F762&amp;"|"&amp;G762&amp;"|"&amp;H762&amp;"|"&amp;I762&amp;"|"&amp;J762&amp;"|"&amp;K762&amp;"|"&amp;L762&amp;"|"&amp;M762&amp;"|"&amp;N762</f>
        <v>ORD10591|2025-03-16|20:06|C0933|Spice Junction|Bengaluru|North Indian|4|210|0|Debit Card|Delivered|-5|5</v>
      </c>
      <c r="P762" s="7" t="str">
        <f aca="false">IF(COUNTIF($O$2:O762,O762)&gt;1,"DUP","OK")</f>
        <v>OK</v>
      </c>
      <c r="Q762" s="7" t="n">
        <f aca="false">COUNTBLANK(A762:N762)</f>
        <v>0</v>
      </c>
      <c r="R762" s="7" t="n">
        <f aca="false">IF(A762="",0,COUNTIFS($A$2:$A$3058,A762,$P$2:$P$3058,"OK"))</f>
        <v>1</v>
      </c>
      <c r="S762" s="7" t="str">
        <f aca="false">IF(OR(A762="",P762="DUP",R762&lt;2),"",IF(Q762=_xlfn.MINIFS($Q$2:$Q$3058,$A$2:$A$3058,A762,$P$2:$P$3058,"OK"),"KEEP","DROP"))</f>
        <v/>
      </c>
      <c r="T762" s="9" t="n">
        <f aca="false">IF(A762="",1,0)</f>
        <v>0</v>
      </c>
      <c r="U762" s="9" t="n">
        <f aca="false">IF(D762="",1,0)</f>
        <v>0</v>
      </c>
      <c r="V762" s="9" t="n">
        <f aca="false">IF(E762="",1,0)</f>
        <v>0</v>
      </c>
      <c r="W762" s="9" t="n">
        <f aca="false">IF(OR(H762&lt;1,H762&gt;10),1,0)</f>
        <v>0</v>
      </c>
      <c r="X762" s="9" t="n">
        <f aca="false">IF(OR(I762&lt;=0,I762&gt;1500),1,0)</f>
        <v>0</v>
      </c>
      <c r="Y762" s="9" t="n">
        <f aca="false">IF(J762&gt;H762*I762,1,0)</f>
        <v>0</v>
      </c>
      <c r="Z762" s="9" t="n">
        <f aca="false">IF(AND(N762&lt;&gt;"",OR(N762&lt;1,N762&gt;5)),1,0)</f>
        <v>0</v>
      </c>
      <c r="AA762" s="9" t="n">
        <f aca="false">IF(AND(M762&lt;&gt;"",OR(M762&lt;5,M762&gt;180)),1,0)</f>
        <v>1</v>
      </c>
      <c r="AB762" s="7" t="str">
        <f aca="false">IF(P762="DUP","Exact duplicate row",IF(T762=1,"Missing Order ID",IF(S762="DROP","Duplicate Order ID (less complete row)",IF(U762=1,"Missing Customer ID",IF(V762=1,"Missing Restaurant name",IF(W762=1,"Invalid/outlier quantity",IF(X762=1,"Invalid/outlier unit price",IF(Y762=1,"Discount greater than order value",""))))))))</f>
        <v/>
      </c>
      <c r="AC762" s="7" t="str">
        <f aca="false">IF(AB762="","KEEP","DROP")</f>
        <v>KEEP</v>
      </c>
      <c r="AD762" s="7" t="str">
        <f aca="false">IF(TRIM(F762)="",IFERROR(INDEX(Map_Tables!$I$4:$I$37,MATCH(TRIM(E762),Map_Tables!$G$4:$G$37,0)),""),IFERROR(INDEX(Map_Tables!$B$4:$B$18,MATCH(TRIM(F762),Map_Tables!$A$4:$A$18,0)),"CHECK"))</f>
        <v>Bengaluru</v>
      </c>
      <c r="AE762" s="7" t="str">
        <f aca="false">IF(TRIM(E762)="","",IFERROR(INDEX(Map_Tables!$H$4:$H$37,MATCH(TRIM(E762),Map_Tables!$G$4:$G$37,0)),"CHECK"))</f>
        <v>Spice Junction</v>
      </c>
      <c r="AF762" s="7" t="str">
        <f aca="false">IF(TRIM(K762)="","Unknown",IFERROR(INDEX(Map_Tables!$E$4:$E$15,MATCH(TRIM(K762),Map_Tables!$D$4:$D$15,0)),"CHECK"))</f>
        <v>Debit Card</v>
      </c>
      <c r="AG762" s="7" t="str">
        <f aca="false">IF(LEFT(LOWER(TRIM(L762)),6)="cancel","Cancelled","Delivered")</f>
        <v>Delivered</v>
      </c>
      <c r="AH762" s="10" t="n">
        <f aca="false">IF(ISNUMBER(SEARCH("/",B762)),DATE(VALUE(RIGHT(B762,4)),VALUE(MID(B762,4,2)),VALUE(LEFT(B762,2))),IF(MID(B762,5,1)="-",DATE(VALUE(LEFT(B762,4)),VALUE(MID(B762,6,2)),VALUE(RIGHT(B762,2))),DATE(VALUE(RIGHT(B762,4)),MATCH(MID(B762,4,3),{"Jan","Feb","Mar","Apr","May","Jun","Jul","Aug","Sep","Oct","Nov","Dec"},0),VALUE(LEFT(B762,2)))))</f>
        <v>45732</v>
      </c>
    </row>
    <row r="763" customFormat="false" ht="15" hidden="false" customHeight="false" outlineLevel="0" collapsed="false">
      <c r="A763" s="7" t="s">
        <v>2513</v>
      </c>
      <c r="B763" s="7" t="s">
        <v>660</v>
      </c>
      <c r="C763" s="7" t="s">
        <v>2514</v>
      </c>
      <c r="D763" s="7" t="s">
        <v>2367</v>
      </c>
      <c r="E763" s="7" t="s">
        <v>134</v>
      </c>
      <c r="F763" s="7" t="s">
        <v>110</v>
      </c>
      <c r="G763" s="7" t="s">
        <v>117</v>
      </c>
      <c r="H763" s="7" t="n">
        <v>1</v>
      </c>
      <c r="I763" s="7" t="n">
        <v>115</v>
      </c>
      <c r="J763" s="7" t="n">
        <v>20</v>
      </c>
      <c r="K763" s="7" t="s">
        <v>421</v>
      </c>
      <c r="L763" s="7" t="s">
        <v>194</v>
      </c>
      <c r="M763" s="7" t="n">
        <v>36</v>
      </c>
      <c r="N763" s="7" t="n">
        <v>5</v>
      </c>
      <c r="O763" s="7" t="str">
        <f aca="false">A763&amp;"|"&amp;B763&amp;"|"&amp;C763&amp;"|"&amp;D763&amp;"|"&amp;E763&amp;"|"&amp;F763&amp;"|"&amp;G763&amp;"|"&amp;H763&amp;"|"&amp;I763&amp;"|"&amp;J763&amp;"|"&amp;K763&amp;"|"&amp;L763&amp;"|"&amp;M763&amp;"|"&amp;N763</f>
        <v>ORD12980|2025-12-29|14:05|C0785|Chaat Corner|Delhi|Street Food|1|115|20|UPI |Delivered|36|5</v>
      </c>
      <c r="P763" s="7" t="str">
        <f aca="false">IF(COUNTIF($O$2:O763,O763)&gt;1,"DUP","OK")</f>
        <v>OK</v>
      </c>
      <c r="Q763" s="7" t="n">
        <f aca="false">COUNTBLANK(A763:N763)</f>
        <v>0</v>
      </c>
      <c r="R763" s="7" t="n">
        <f aca="false">IF(A763="",0,COUNTIFS($A$2:$A$3058,A763,$P$2:$P$3058,"OK"))</f>
        <v>1</v>
      </c>
      <c r="S763" s="7" t="str">
        <f aca="false">IF(OR(A763="",P763="DUP",R763&lt;2),"",IF(Q763=_xlfn.MINIFS($Q$2:$Q$3058,$A$2:$A$3058,A763,$P$2:$P$3058,"OK"),"KEEP","DROP"))</f>
        <v/>
      </c>
      <c r="T763" s="9" t="n">
        <f aca="false">IF(A763="",1,0)</f>
        <v>0</v>
      </c>
      <c r="U763" s="9" t="n">
        <f aca="false">IF(D763="",1,0)</f>
        <v>0</v>
      </c>
      <c r="V763" s="9" t="n">
        <f aca="false">IF(E763="",1,0)</f>
        <v>0</v>
      </c>
      <c r="W763" s="9" t="n">
        <f aca="false">IF(OR(H763&lt;1,H763&gt;10),1,0)</f>
        <v>0</v>
      </c>
      <c r="X763" s="9" t="n">
        <f aca="false">IF(OR(I763&lt;=0,I763&gt;1500),1,0)</f>
        <v>0</v>
      </c>
      <c r="Y763" s="9" t="n">
        <f aca="false">IF(J763&gt;H763*I763,1,0)</f>
        <v>0</v>
      </c>
      <c r="Z763" s="9" t="n">
        <f aca="false">IF(AND(N763&lt;&gt;"",OR(N763&lt;1,N763&gt;5)),1,0)</f>
        <v>0</v>
      </c>
      <c r="AA763" s="9" t="n">
        <f aca="false">IF(AND(M763&lt;&gt;"",OR(M763&lt;5,M763&gt;180)),1,0)</f>
        <v>0</v>
      </c>
      <c r="AB763" s="7" t="str">
        <f aca="false">IF(P763="DUP","Exact duplicate row",IF(T763=1,"Missing Order ID",IF(S763="DROP","Duplicate Order ID (less complete row)",IF(U763=1,"Missing Customer ID",IF(V763=1,"Missing Restaurant name",IF(W763=1,"Invalid/outlier quantity",IF(X763=1,"Invalid/outlier unit price",IF(Y763=1,"Discount greater than order value",""))))))))</f>
        <v/>
      </c>
      <c r="AC763" s="7" t="str">
        <f aca="false">IF(AB763="","KEEP","DROP")</f>
        <v>KEEP</v>
      </c>
      <c r="AD763" s="7" t="str">
        <f aca="false">IF(TRIM(F763)="",IFERROR(INDEX(Map_Tables!$I$4:$I$37,MATCH(TRIM(E763),Map_Tables!$G$4:$G$37,0)),""),IFERROR(INDEX(Map_Tables!$B$4:$B$18,MATCH(TRIM(F763),Map_Tables!$A$4:$A$18,0)),"CHECK"))</f>
        <v>Delhi</v>
      </c>
      <c r="AE763" s="7" t="str">
        <f aca="false">IF(TRIM(E763)="","",IFERROR(INDEX(Map_Tables!$H$4:$H$37,MATCH(TRIM(E763),Map_Tables!$G$4:$G$37,0)),"CHECK"))</f>
        <v>Chaat Corner</v>
      </c>
      <c r="AF763" s="7" t="str">
        <f aca="false">IF(TRIM(K763)="","Unknown",IFERROR(INDEX(Map_Tables!$E$4:$E$15,MATCH(TRIM(K763),Map_Tables!$D$4:$D$15,0)),"CHECK"))</f>
        <v>UPI</v>
      </c>
      <c r="AG763" s="7" t="str">
        <f aca="false">IF(LEFT(LOWER(TRIM(L763)),6)="cancel","Cancelled","Delivered")</f>
        <v>Delivered</v>
      </c>
      <c r="AH763" s="10" t="n">
        <f aca="false">IF(ISNUMBER(SEARCH("/",B763)),DATE(VALUE(RIGHT(B763,4)),VALUE(MID(B763,4,2)),VALUE(LEFT(B763,2))),IF(MID(B763,5,1)="-",DATE(VALUE(LEFT(B763,4)),VALUE(MID(B763,6,2)),VALUE(RIGHT(B763,2))),DATE(VALUE(RIGHT(B763,4)),MATCH(MID(B763,4,3),{"Jan","Feb","Mar","Apr","May","Jun","Jul","Aug","Sep","Oct","Nov","Dec"},0),VALUE(LEFT(B763,2)))))</f>
        <v>46020</v>
      </c>
    </row>
    <row r="764" customFormat="false" ht="15" hidden="false" customHeight="false" outlineLevel="0" collapsed="false">
      <c r="A764" s="7" t="s">
        <v>2515</v>
      </c>
      <c r="B764" s="7" t="s">
        <v>533</v>
      </c>
      <c r="C764" s="7" t="s">
        <v>2516</v>
      </c>
      <c r="D764" s="7" t="s">
        <v>2179</v>
      </c>
      <c r="E764" s="7" t="s">
        <v>160</v>
      </c>
      <c r="F764" s="7" t="s">
        <v>136</v>
      </c>
      <c r="G764" s="7" t="s">
        <v>150</v>
      </c>
      <c r="H764" s="7" t="n">
        <v>1</v>
      </c>
      <c r="I764" s="7" t="n">
        <v>190</v>
      </c>
      <c r="J764" s="7" t="n">
        <v>76</v>
      </c>
      <c r="K764" s="7" t="s">
        <v>93</v>
      </c>
      <c r="L764" s="7" t="s">
        <v>194</v>
      </c>
      <c r="M764" s="7" t="n">
        <v>51</v>
      </c>
      <c r="N764" s="7" t="n">
        <v>3</v>
      </c>
      <c r="O764" s="7" t="str">
        <f aca="false">A764&amp;"|"&amp;B764&amp;"|"&amp;C764&amp;"|"&amp;D764&amp;"|"&amp;E764&amp;"|"&amp;F764&amp;"|"&amp;G764&amp;"|"&amp;H764&amp;"|"&amp;I764&amp;"|"&amp;J764&amp;"|"&amp;K764&amp;"|"&amp;L764&amp;"|"&amp;M764&amp;"|"&amp;N764</f>
        <v>ORD11385|2025-06-28|22:00|C0332|Cake Walk|Pune|Desserts|1|190|76|Credit Card|Delivered|51|3</v>
      </c>
      <c r="P764" s="7" t="str">
        <f aca="false">IF(COUNTIF($O$2:O764,O764)&gt;1,"DUP","OK")</f>
        <v>OK</v>
      </c>
      <c r="Q764" s="7" t="n">
        <f aca="false">COUNTBLANK(A764:N764)</f>
        <v>0</v>
      </c>
      <c r="R764" s="7" t="n">
        <f aca="false">IF(A764="",0,COUNTIFS($A$2:$A$3058,A764,$P$2:$P$3058,"OK"))</f>
        <v>1</v>
      </c>
      <c r="S764" s="7" t="str">
        <f aca="false">IF(OR(A764="",P764="DUP",R764&lt;2),"",IF(Q764=_xlfn.MINIFS($Q$2:$Q$3058,$A$2:$A$3058,A764,$P$2:$P$3058,"OK"),"KEEP","DROP"))</f>
        <v/>
      </c>
      <c r="T764" s="9" t="n">
        <f aca="false">IF(A764="",1,0)</f>
        <v>0</v>
      </c>
      <c r="U764" s="9" t="n">
        <f aca="false">IF(D764="",1,0)</f>
        <v>0</v>
      </c>
      <c r="V764" s="9" t="n">
        <f aca="false">IF(E764="",1,0)</f>
        <v>0</v>
      </c>
      <c r="W764" s="9" t="n">
        <f aca="false">IF(OR(H764&lt;1,H764&gt;10),1,0)</f>
        <v>0</v>
      </c>
      <c r="X764" s="9" t="n">
        <f aca="false">IF(OR(I764&lt;=0,I764&gt;1500),1,0)</f>
        <v>0</v>
      </c>
      <c r="Y764" s="9" t="n">
        <f aca="false">IF(J764&gt;H764*I764,1,0)</f>
        <v>0</v>
      </c>
      <c r="Z764" s="9" t="n">
        <f aca="false">IF(AND(N764&lt;&gt;"",OR(N764&lt;1,N764&gt;5)),1,0)</f>
        <v>0</v>
      </c>
      <c r="AA764" s="9" t="n">
        <f aca="false">IF(AND(M764&lt;&gt;"",OR(M764&lt;5,M764&gt;180)),1,0)</f>
        <v>0</v>
      </c>
      <c r="AB764" s="7" t="str">
        <f aca="false">IF(P764="DUP","Exact duplicate row",IF(T764=1,"Missing Order ID",IF(S764="DROP","Duplicate Order ID (less complete row)",IF(U764=1,"Missing Customer ID",IF(V764=1,"Missing Restaurant name",IF(W764=1,"Invalid/outlier quantity",IF(X764=1,"Invalid/outlier unit price",IF(Y764=1,"Discount greater than order value",""))))))))</f>
        <v/>
      </c>
      <c r="AC764" s="7" t="str">
        <f aca="false">IF(AB764="","KEEP","DROP")</f>
        <v>KEEP</v>
      </c>
      <c r="AD764" s="7" t="str">
        <f aca="false">IF(TRIM(F764)="",IFERROR(INDEX(Map_Tables!$I$4:$I$37,MATCH(TRIM(E764),Map_Tables!$G$4:$G$37,0)),""),IFERROR(INDEX(Map_Tables!$B$4:$B$18,MATCH(TRIM(F764),Map_Tables!$A$4:$A$18,0)),"CHECK"))</f>
        <v>Pune</v>
      </c>
      <c r="AE764" s="7" t="str">
        <f aca="false">IF(TRIM(E764)="","",IFERROR(INDEX(Map_Tables!$H$4:$H$37,MATCH(TRIM(E764),Map_Tables!$G$4:$G$37,0)),"CHECK"))</f>
        <v>Cake Walk</v>
      </c>
      <c r="AF764" s="7" t="str">
        <f aca="false">IF(TRIM(K764)="","Unknown",IFERROR(INDEX(Map_Tables!$E$4:$E$15,MATCH(TRIM(K764),Map_Tables!$D$4:$D$15,0)),"CHECK"))</f>
        <v>Credit Card</v>
      </c>
      <c r="AG764" s="7" t="str">
        <f aca="false">IF(LEFT(LOWER(TRIM(L764)),6)="cancel","Cancelled","Delivered")</f>
        <v>Delivered</v>
      </c>
      <c r="AH764" s="10" t="n">
        <f aca="false">IF(ISNUMBER(SEARCH("/",B764)),DATE(VALUE(RIGHT(B764,4)),VALUE(MID(B764,4,2)),VALUE(LEFT(B764,2))),IF(MID(B764,5,1)="-",DATE(VALUE(LEFT(B764,4)),VALUE(MID(B764,6,2)),VALUE(RIGHT(B764,2))),DATE(VALUE(RIGHT(B764,4)),MATCH(MID(B764,4,3),{"Jan","Feb","Mar","Apr","May","Jun","Jul","Aug","Sep","Oct","Nov","Dec"},0),VALUE(LEFT(B764,2)))))</f>
        <v>45836</v>
      </c>
    </row>
    <row r="765" customFormat="false" ht="15" hidden="false" customHeight="false" outlineLevel="0" collapsed="false">
      <c r="A765" s="7" t="s">
        <v>2517</v>
      </c>
      <c r="B765" s="7" t="s">
        <v>746</v>
      </c>
      <c r="C765" s="7" t="s">
        <v>559</v>
      </c>
      <c r="D765" s="7" t="s">
        <v>2518</v>
      </c>
      <c r="E765" s="7" t="s">
        <v>144</v>
      </c>
      <c r="F765" s="7" t="s">
        <v>119</v>
      </c>
      <c r="G765" s="7" t="s">
        <v>99</v>
      </c>
      <c r="H765" s="7" t="n">
        <v>4</v>
      </c>
      <c r="I765" s="7" t="n">
        <v>260</v>
      </c>
      <c r="J765" s="7" t="n">
        <v>30</v>
      </c>
      <c r="K765" s="7" t="s">
        <v>88</v>
      </c>
      <c r="L765" s="7" t="s">
        <v>194</v>
      </c>
      <c r="M765" s="7" t="n">
        <v>40</v>
      </c>
      <c r="N765" s="7" t="n">
        <v>4</v>
      </c>
      <c r="O765" s="7" t="str">
        <f aca="false">A765&amp;"|"&amp;B765&amp;"|"&amp;C765&amp;"|"&amp;D765&amp;"|"&amp;E765&amp;"|"&amp;F765&amp;"|"&amp;G765&amp;"|"&amp;H765&amp;"|"&amp;I765&amp;"|"&amp;J765&amp;"|"&amp;K765&amp;"|"&amp;L765&amp;"|"&amp;M765&amp;"|"&amp;N765</f>
        <v>ORD12186|05/10/2025|20:25|C0847|Hyderabad Dum Biryani|Hyderabad|Biryani|4|260|30|UPI|Delivered|40|4</v>
      </c>
      <c r="P765" s="7" t="str">
        <f aca="false">IF(COUNTIF($O$2:O765,O765)&gt;1,"DUP","OK")</f>
        <v>OK</v>
      </c>
      <c r="Q765" s="7" t="n">
        <f aca="false">COUNTBLANK(A765:N765)</f>
        <v>0</v>
      </c>
      <c r="R765" s="7" t="n">
        <f aca="false">IF(A765="",0,COUNTIFS($A$2:$A$3058,A765,$P$2:$P$3058,"OK"))</f>
        <v>1</v>
      </c>
      <c r="S765" s="7" t="str">
        <f aca="false">IF(OR(A765="",P765="DUP",R765&lt;2),"",IF(Q765=_xlfn.MINIFS($Q$2:$Q$3058,$A$2:$A$3058,A765,$P$2:$P$3058,"OK"),"KEEP","DROP"))</f>
        <v/>
      </c>
      <c r="T765" s="9" t="n">
        <f aca="false">IF(A765="",1,0)</f>
        <v>0</v>
      </c>
      <c r="U765" s="9" t="n">
        <f aca="false">IF(D765="",1,0)</f>
        <v>0</v>
      </c>
      <c r="V765" s="9" t="n">
        <f aca="false">IF(E765="",1,0)</f>
        <v>0</v>
      </c>
      <c r="W765" s="9" t="n">
        <f aca="false">IF(OR(H765&lt;1,H765&gt;10),1,0)</f>
        <v>0</v>
      </c>
      <c r="X765" s="9" t="n">
        <f aca="false">IF(OR(I765&lt;=0,I765&gt;1500),1,0)</f>
        <v>0</v>
      </c>
      <c r="Y765" s="9" t="n">
        <f aca="false">IF(J765&gt;H765*I765,1,0)</f>
        <v>0</v>
      </c>
      <c r="Z765" s="9" t="n">
        <f aca="false">IF(AND(N765&lt;&gt;"",OR(N765&lt;1,N765&gt;5)),1,0)</f>
        <v>0</v>
      </c>
      <c r="AA765" s="9" t="n">
        <f aca="false">IF(AND(M765&lt;&gt;"",OR(M765&lt;5,M765&gt;180)),1,0)</f>
        <v>0</v>
      </c>
      <c r="AB765" s="7" t="str">
        <f aca="false">IF(P765="DUP","Exact duplicate row",IF(T765=1,"Missing Order ID",IF(S765="DROP","Duplicate Order ID (less complete row)",IF(U765=1,"Missing Customer ID",IF(V765=1,"Missing Restaurant name",IF(W765=1,"Invalid/outlier quantity",IF(X765=1,"Invalid/outlier unit price",IF(Y765=1,"Discount greater than order value",""))))))))</f>
        <v/>
      </c>
      <c r="AC765" s="7" t="str">
        <f aca="false">IF(AB765="","KEEP","DROP")</f>
        <v>KEEP</v>
      </c>
      <c r="AD765" s="7" t="str">
        <f aca="false">IF(TRIM(F765)="",IFERROR(INDEX(Map_Tables!$I$4:$I$37,MATCH(TRIM(E765),Map_Tables!$G$4:$G$37,0)),""),IFERROR(INDEX(Map_Tables!$B$4:$B$18,MATCH(TRIM(F765),Map_Tables!$A$4:$A$18,0)),"CHECK"))</f>
        <v>Hyderabad</v>
      </c>
      <c r="AE765" s="7" t="str">
        <f aca="false">IF(TRIM(E765)="","",IFERROR(INDEX(Map_Tables!$H$4:$H$37,MATCH(TRIM(E765),Map_Tables!$G$4:$G$37,0)),"CHECK"))</f>
        <v>Hyderabad Dum Biryani</v>
      </c>
      <c r="AF765" s="7" t="str">
        <f aca="false">IF(TRIM(K765)="","Unknown",IFERROR(INDEX(Map_Tables!$E$4:$E$15,MATCH(TRIM(K765),Map_Tables!$D$4:$D$15,0)),"CHECK"))</f>
        <v>UPI</v>
      </c>
      <c r="AG765" s="7" t="str">
        <f aca="false">IF(LEFT(LOWER(TRIM(L765)),6)="cancel","Cancelled","Delivered")</f>
        <v>Delivered</v>
      </c>
      <c r="AH765" s="10" t="n">
        <f aca="false">IF(ISNUMBER(SEARCH("/",B765)),DATE(VALUE(RIGHT(B765,4)),VALUE(MID(B765,4,2)),VALUE(LEFT(B765,2))),IF(MID(B765,5,1)="-",DATE(VALUE(LEFT(B765,4)),VALUE(MID(B765,6,2)),VALUE(RIGHT(B765,2))),DATE(VALUE(RIGHT(B765,4)),MATCH(MID(B765,4,3),{"Jan","Feb","Mar","Apr","May","Jun","Jul","Aug","Sep","Oct","Nov","Dec"},0),VALUE(LEFT(B765,2)))))</f>
        <v>45935</v>
      </c>
    </row>
    <row r="766" customFormat="false" ht="15" hidden="false" customHeight="false" outlineLevel="0" collapsed="false">
      <c r="A766" s="7" t="s">
        <v>2519</v>
      </c>
      <c r="B766" s="7" t="s">
        <v>924</v>
      </c>
      <c r="C766" s="7" t="s">
        <v>1263</v>
      </c>
      <c r="D766" s="7" t="s">
        <v>1181</v>
      </c>
      <c r="E766" s="7" t="s">
        <v>353</v>
      </c>
      <c r="F766" s="7" t="s">
        <v>86</v>
      </c>
      <c r="G766" s="7" t="s">
        <v>95</v>
      </c>
      <c r="H766" s="7" t="n">
        <v>1</v>
      </c>
      <c r="I766" s="7" t="n">
        <v>100</v>
      </c>
      <c r="J766" s="7" t="n">
        <v>0</v>
      </c>
      <c r="K766" s="7" t="s">
        <v>112</v>
      </c>
      <c r="L766" s="7" t="s">
        <v>194</v>
      </c>
      <c r="M766" s="7" t="n">
        <v>49</v>
      </c>
      <c r="N766" s="7" t="n">
        <v>4</v>
      </c>
      <c r="O766" s="7" t="str">
        <f aca="false">A766&amp;"|"&amp;B766&amp;"|"&amp;C766&amp;"|"&amp;D766&amp;"|"&amp;E766&amp;"|"&amp;F766&amp;"|"&amp;G766&amp;"|"&amp;H766&amp;"|"&amp;I766&amp;"|"&amp;J766&amp;"|"&amp;K766&amp;"|"&amp;L766&amp;"|"&amp;M766&amp;"|"&amp;N766</f>
        <v>ORD10109|2025-01-14|19:19|C0857|Dosa Darbar |Bengaluru|South Indian|1|100|0|Cash on Delivery|Delivered|49|4</v>
      </c>
      <c r="P766" s="7" t="str">
        <f aca="false">IF(COUNTIF($O$2:O766,O766)&gt;1,"DUP","OK")</f>
        <v>OK</v>
      </c>
      <c r="Q766" s="7" t="n">
        <f aca="false">COUNTBLANK(A766:N766)</f>
        <v>0</v>
      </c>
      <c r="R766" s="7" t="n">
        <f aca="false">IF(A766="",0,COUNTIFS($A$2:$A$3058,A766,$P$2:$P$3058,"OK"))</f>
        <v>1</v>
      </c>
      <c r="S766" s="7" t="str">
        <f aca="false">IF(OR(A766="",P766="DUP",R766&lt;2),"",IF(Q766=_xlfn.MINIFS($Q$2:$Q$3058,$A$2:$A$3058,A766,$P$2:$P$3058,"OK"),"KEEP","DROP"))</f>
        <v/>
      </c>
      <c r="T766" s="9" t="n">
        <f aca="false">IF(A766="",1,0)</f>
        <v>0</v>
      </c>
      <c r="U766" s="9" t="n">
        <f aca="false">IF(D766="",1,0)</f>
        <v>0</v>
      </c>
      <c r="V766" s="9" t="n">
        <f aca="false">IF(E766="",1,0)</f>
        <v>0</v>
      </c>
      <c r="W766" s="9" t="n">
        <f aca="false">IF(OR(H766&lt;1,H766&gt;10),1,0)</f>
        <v>0</v>
      </c>
      <c r="X766" s="9" t="n">
        <f aca="false">IF(OR(I766&lt;=0,I766&gt;1500),1,0)</f>
        <v>0</v>
      </c>
      <c r="Y766" s="9" t="n">
        <f aca="false">IF(J766&gt;H766*I766,1,0)</f>
        <v>0</v>
      </c>
      <c r="Z766" s="9" t="n">
        <f aca="false">IF(AND(N766&lt;&gt;"",OR(N766&lt;1,N766&gt;5)),1,0)</f>
        <v>0</v>
      </c>
      <c r="AA766" s="9" t="n">
        <f aca="false">IF(AND(M766&lt;&gt;"",OR(M766&lt;5,M766&gt;180)),1,0)</f>
        <v>0</v>
      </c>
      <c r="AB766" s="7" t="str">
        <f aca="false">IF(P766="DUP","Exact duplicate row",IF(T766=1,"Missing Order ID",IF(S766="DROP","Duplicate Order ID (less complete row)",IF(U766=1,"Missing Customer ID",IF(V766=1,"Missing Restaurant name",IF(W766=1,"Invalid/outlier quantity",IF(X766=1,"Invalid/outlier unit price",IF(Y766=1,"Discount greater than order value",""))))))))</f>
        <v/>
      </c>
      <c r="AC766" s="7" t="str">
        <f aca="false">IF(AB766="","KEEP","DROP")</f>
        <v>KEEP</v>
      </c>
      <c r="AD766" s="7" t="str">
        <f aca="false">IF(TRIM(F766)="",IFERROR(INDEX(Map_Tables!$I$4:$I$37,MATCH(TRIM(E766),Map_Tables!$G$4:$G$37,0)),""),IFERROR(INDEX(Map_Tables!$B$4:$B$18,MATCH(TRIM(F766),Map_Tables!$A$4:$A$18,0)),"CHECK"))</f>
        <v>Bengaluru</v>
      </c>
      <c r="AE766" s="7" t="str">
        <f aca="false">IF(TRIM(E766)="","",IFERROR(INDEX(Map_Tables!$H$4:$H$37,MATCH(TRIM(E766),Map_Tables!$G$4:$G$37,0)),"CHECK"))</f>
        <v>Dosa Darbar</v>
      </c>
      <c r="AF766" s="7" t="str">
        <f aca="false">IF(TRIM(K766)="","Unknown",IFERROR(INDEX(Map_Tables!$E$4:$E$15,MATCH(TRIM(K766),Map_Tables!$D$4:$D$15,0)),"CHECK"))</f>
        <v>Cash on Delivery</v>
      </c>
      <c r="AG766" s="7" t="str">
        <f aca="false">IF(LEFT(LOWER(TRIM(L766)),6)="cancel","Cancelled","Delivered")</f>
        <v>Delivered</v>
      </c>
      <c r="AH766" s="10" t="n">
        <f aca="false">IF(ISNUMBER(SEARCH("/",B766)),DATE(VALUE(RIGHT(B766,4)),VALUE(MID(B766,4,2)),VALUE(LEFT(B766,2))),IF(MID(B766,5,1)="-",DATE(VALUE(LEFT(B766,4)),VALUE(MID(B766,6,2)),VALUE(RIGHT(B766,2))),DATE(VALUE(RIGHT(B766,4)),MATCH(MID(B766,4,3),{"Jan","Feb","Mar","Apr","May","Jun","Jul","Aug","Sep","Oct","Nov","Dec"},0),VALUE(LEFT(B766,2)))))</f>
        <v>45671</v>
      </c>
    </row>
    <row r="767" customFormat="false" ht="15" hidden="false" customHeight="false" outlineLevel="0" collapsed="false">
      <c r="A767" s="7" t="s">
        <v>2520</v>
      </c>
      <c r="B767" s="7" t="s">
        <v>360</v>
      </c>
      <c r="C767" s="7" t="s">
        <v>2521</v>
      </c>
      <c r="D767" s="7" t="s">
        <v>2522</v>
      </c>
      <c r="E767" s="7" t="s">
        <v>89</v>
      </c>
      <c r="F767" s="7" t="s">
        <v>86</v>
      </c>
      <c r="G767" s="7" t="s">
        <v>90</v>
      </c>
      <c r="H767" s="7" t="n">
        <v>2</v>
      </c>
      <c r="I767" s="7" t="n">
        <v>200</v>
      </c>
      <c r="J767" s="7" t="n">
        <v>100</v>
      </c>
      <c r="K767" s="7" t="s">
        <v>121</v>
      </c>
      <c r="L767" s="7" t="s">
        <v>194</v>
      </c>
      <c r="M767" s="7" t="n">
        <v>40</v>
      </c>
      <c r="N767" s="7" t="n">
        <v>4</v>
      </c>
      <c r="O767" s="7" t="str">
        <f aca="false">A767&amp;"|"&amp;B767&amp;"|"&amp;C767&amp;"|"&amp;D767&amp;"|"&amp;E767&amp;"|"&amp;F767&amp;"|"&amp;G767&amp;"|"&amp;H767&amp;"|"&amp;I767&amp;"|"&amp;J767&amp;"|"&amp;K767&amp;"|"&amp;L767&amp;"|"&amp;M767&amp;"|"&amp;N767</f>
        <v>ORD10719|2025-04-02|10:35|C0881|Spice Junction|Bengaluru|North Indian|2|200|100|Wallet|Delivered|40|4</v>
      </c>
      <c r="P767" s="7" t="str">
        <f aca="false">IF(COUNTIF($O$2:O767,O767)&gt;1,"DUP","OK")</f>
        <v>OK</v>
      </c>
      <c r="Q767" s="7" t="n">
        <f aca="false">COUNTBLANK(A767:N767)</f>
        <v>0</v>
      </c>
      <c r="R767" s="7" t="n">
        <f aca="false">IF(A767="",0,COUNTIFS($A$2:$A$3058,A767,$P$2:$P$3058,"OK"))</f>
        <v>1</v>
      </c>
      <c r="S767" s="7" t="str">
        <f aca="false">IF(OR(A767="",P767="DUP",R767&lt;2),"",IF(Q767=_xlfn.MINIFS($Q$2:$Q$3058,$A$2:$A$3058,A767,$P$2:$P$3058,"OK"),"KEEP","DROP"))</f>
        <v/>
      </c>
      <c r="T767" s="9" t="n">
        <f aca="false">IF(A767="",1,0)</f>
        <v>0</v>
      </c>
      <c r="U767" s="9" t="n">
        <f aca="false">IF(D767="",1,0)</f>
        <v>0</v>
      </c>
      <c r="V767" s="9" t="n">
        <f aca="false">IF(E767="",1,0)</f>
        <v>0</v>
      </c>
      <c r="W767" s="9" t="n">
        <f aca="false">IF(OR(H767&lt;1,H767&gt;10),1,0)</f>
        <v>0</v>
      </c>
      <c r="X767" s="9" t="n">
        <f aca="false">IF(OR(I767&lt;=0,I767&gt;1500),1,0)</f>
        <v>0</v>
      </c>
      <c r="Y767" s="9" t="n">
        <f aca="false">IF(J767&gt;H767*I767,1,0)</f>
        <v>0</v>
      </c>
      <c r="Z767" s="9" t="n">
        <f aca="false">IF(AND(N767&lt;&gt;"",OR(N767&lt;1,N767&gt;5)),1,0)</f>
        <v>0</v>
      </c>
      <c r="AA767" s="9" t="n">
        <f aca="false">IF(AND(M767&lt;&gt;"",OR(M767&lt;5,M767&gt;180)),1,0)</f>
        <v>0</v>
      </c>
      <c r="AB767" s="7" t="str">
        <f aca="false">IF(P767="DUP","Exact duplicate row",IF(T767=1,"Missing Order ID",IF(S767="DROP","Duplicate Order ID (less complete row)",IF(U767=1,"Missing Customer ID",IF(V767=1,"Missing Restaurant name",IF(W767=1,"Invalid/outlier quantity",IF(X767=1,"Invalid/outlier unit price",IF(Y767=1,"Discount greater than order value",""))))))))</f>
        <v/>
      </c>
      <c r="AC767" s="7" t="str">
        <f aca="false">IF(AB767="","KEEP","DROP")</f>
        <v>KEEP</v>
      </c>
      <c r="AD767" s="7" t="str">
        <f aca="false">IF(TRIM(F767)="",IFERROR(INDEX(Map_Tables!$I$4:$I$37,MATCH(TRIM(E767),Map_Tables!$G$4:$G$37,0)),""),IFERROR(INDEX(Map_Tables!$B$4:$B$18,MATCH(TRIM(F767),Map_Tables!$A$4:$A$18,0)),"CHECK"))</f>
        <v>Bengaluru</v>
      </c>
      <c r="AE767" s="7" t="str">
        <f aca="false">IF(TRIM(E767)="","",IFERROR(INDEX(Map_Tables!$H$4:$H$37,MATCH(TRIM(E767),Map_Tables!$G$4:$G$37,0)),"CHECK"))</f>
        <v>Spice Junction</v>
      </c>
      <c r="AF767" s="7" t="str">
        <f aca="false">IF(TRIM(K767)="","Unknown",IFERROR(INDEX(Map_Tables!$E$4:$E$15,MATCH(TRIM(K767),Map_Tables!$D$4:$D$15,0)),"CHECK"))</f>
        <v>Wallet</v>
      </c>
      <c r="AG767" s="7" t="str">
        <f aca="false">IF(LEFT(LOWER(TRIM(L767)),6)="cancel","Cancelled","Delivered")</f>
        <v>Delivered</v>
      </c>
      <c r="AH767" s="10" t="n">
        <f aca="false">IF(ISNUMBER(SEARCH("/",B767)),DATE(VALUE(RIGHT(B767,4)),VALUE(MID(B767,4,2)),VALUE(LEFT(B767,2))),IF(MID(B767,5,1)="-",DATE(VALUE(LEFT(B767,4)),VALUE(MID(B767,6,2)),VALUE(RIGHT(B767,2))),DATE(VALUE(RIGHT(B767,4)),MATCH(MID(B767,4,3),{"Jan","Feb","Mar","Apr","May","Jun","Jul","Aug","Sep","Oct","Nov","Dec"},0),VALUE(LEFT(B767,2)))))</f>
        <v>45749</v>
      </c>
    </row>
    <row r="768" customFormat="false" ht="15" hidden="false" customHeight="false" outlineLevel="0" collapsed="false">
      <c r="A768" s="7" t="s">
        <v>2523</v>
      </c>
      <c r="B768" s="7" t="s">
        <v>943</v>
      </c>
      <c r="C768" s="7" t="s">
        <v>2524</v>
      </c>
      <c r="D768" s="7" t="s">
        <v>2525</v>
      </c>
      <c r="E768" s="7" t="s">
        <v>138</v>
      </c>
      <c r="F768" s="7" t="s">
        <v>110</v>
      </c>
      <c r="G768" s="7" t="s">
        <v>139</v>
      </c>
      <c r="H768" s="7" t="n">
        <v>3</v>
      </c>
      <c r="I768" s="7" t="n">
        <v>195</v>
      </c>
      <c r="J768" s="7" t="n">
        <v>50</v>
      </c>
      <c r="K768" s="7" t="s">
        <v>88</v>
      </c>
      <c r="L768" s="7" t="s">
        <v>194</v>
      </c>
      <c r="M768" s="7" t="n">
        <v>32</v>
      </c>
      <c r="N768" s="7" t="n">
        <v>4</v>
      </c>
      <c r="O768" s="7" t="str">
        <f aca="false">A768&amp;"|"&amp;B768&amp;"|"&amp;C768&amp;"|"&amp;D768&amp;"|"&amp;E768&amp;"|"&amp;F768&amp;"|"&amp;G768&amp;"|"&amp;H768&amp;"|"&amp;I768&amp;"|"&amp;J768&amp;"|"&amp;K768&amp;"|"&amp;L768&amp;"|"&amp;M768&amp;"|"&amp;N768</f>
        <v>ORD12914|2025-12-22|16:55|C0604|Burger Barn|Delhi|Burgers|3|195|50|UPI|Delivered|32|4</v>
      </c>
      <c r="P768" s="7" t="str">
        <f aca="false">IF(COUNTIF($O$2:O768,O768)&gt;1,"DUP","OK")</f>
        <v>OK</v>
      </c>
      <c r="Q768" s="7" t="n">
        <f aca="false">COUNTBLANK(A768:N768)</f>
        <v>0</v>
      </c>
      <c r="R768" s="7" t="n">
        <f aca="false">IF(A768="",0,COUNTIFS($A$2:$A$3058,A768,$P$2:$P$3058,"OK"))</f>
        <v>1</v>
      </c>
      <c r="S768" s="7" t="str">
        <f aca="false">IF(OR(A768="",P768="DUP",R768&lt;2),"",IF(Q768=_xlfn.MINIFS($Q$2:$Q$3058,$A$2:$A$3058,A768,$P$2:$P$3058,"OK"),"KEEP","DROP"))</f>
        <v/>
      </c>
      <c r="T768" s="9" t="n">
        <f aca="false">IF(A768="",1,0)</f>
        <v>0</v>
      </c>
      <c r="U768" s="9" t="n">
        <f aca="false">IF(D768="",1,0)</f>
        <v>0</v>
      </c>
      <c r="V768" s="9" t="n">
        <f aca="false">IF(E768="",1,0)</f>
        <v>0</v>
      </c>
      <c r="W768" s="9" t="n">
        <f aca="false">IF(OR(H768&lt;1,H768&gt;10),1,0)</f>
        <v>0</v>
      </c>
      <c r="X768" s="9" t="n">
        <f aca="false">IF(OR(I768&lt;=0,I768&gt;1500),1,0)</f>
        <v>0</v>
      </c>
      <c r="Y768" s="9" t="n">
        <f aca="false">IF(J768&gt;H768*I768,1,0)</f>
        <v>0</v>
      </c>
      <c r="Z768" s="9" t="n">
        <f aca="false">IF(AND(N768&lt;&gt;"",OR(N768&lt;1,N768&gt;5)),1,0)</f>
        <v>0</v>
      </c>
      <c r="AA768" s="9" t="n">
        <f aca="false">IF(AND(M768&lt;&gt;"",OR(M768&lt;5,M768&gt;180)),1,0)</f>
        <v>0</v>
      </c>
      <c r="AB768" s="7" t="str">
        <f aca="false">IF(P768="DUP","Exact duplicate row",IF(T768=1,"Missing Order ID",IF(S768="DROP","Duplicate Order ID (less complete row)",IF(U768=1,"Missing Customer ID",IF(V768=1,"Missing Restaurant name",IF(W768=1,"Invalid/outlier quantity",IF(X768=1,"Invalid/outlier unit price",IF(Y768=1,"Discount greater than order value",""))))))))</f>
        <v/>
      </c>
      <c r="AC768" s="7" t="str">
        <f aca="false">IF(AB768="","KEEP","DROP")</f>
        <v>KEEP</v>
      </c>
      <c r="AD768" s="7" t="str">
        <f aca="false">IF(TRIM(F768)="",IFERROR(INDEX(Map_Tables!$I$4:$I$37,MATCH(TRIM(E768),Map_Tables!$G$4:$G$37,0)),""),IFERROR(INDEX(Map_Tables!$B$4:$B$18,MATCH(TRIM(F768),Map_Tables!$A$4:$A$18,0)),"CHECK"))</f>
        <v>Delhi</v>
      </c>
      <c r="AE768" s="7" t="str">
        <f aca="false">IF(TRIM(E768)="","",IFERROR(INDEX(Map_Tables!$H$4:$H$37,MATCH(TRIM(E768),Map_Tables!$G$4:$G$37,0)),"CHECK"))</f>
        <v>Burger Barn</v>
      </c>
      <c r="AF768" s="7" t="str">
        <f aca="false">IF(TRIM(K768)="","Unknown",IFERROR(INDEX(Map_Tables!$E$4:$E$15,MATCH(TRIM(K768),Map_Tables!$D$4:$D$15,0)),"CHECK"))</f>
        <v>UPI</v>
      </c>
      <c r="AG768" s="7" t="str">
        <f aca="false">IF(LEFT(LOWER(TRIM(L768)),6)="cancel","Cancelled","Delivered")</f>
        <v>Delivered</v>
      </c>
      <c r="AH768" s="10" t="n">
        <f aca="false">IF(ISNUMBER(SEARCH("/",B768)),DATE(VALUE(RIGHT(B768,4)),VALUE(MID(B768,4,2)),VALUE(LEFT(B768,2))),IF(MID(B768,5,1)="-",DATE(VALUE(LEFT(B768,4)),VALUE(MID(B768,6,2)),VALUE(RIGHT(B768,2))),DATE(VALUE(RIGHT(B768,4)),MATCH(MID(B768,4,3),{"Jan","Feb","Mar","Apr","May","Jun","Jul","Aug","Sep","Oct","Nov","Dec"},0),VALUE(LEFT(B768,2)))))</f>
        <v>46013</v>
      </c>
    </row>
    <row r="769" customFormat="false" ht="15" hidden="false" customHeight="false" outlineLevel="0" collapsed="false">
      <c r="A769" s="7" t="s">
        <v>2526</v>
      </c>
      <c r="B769" s="7" t="s">
        <v>2527</v>
      </c>
      <c r="C769" s="7" t="s">
        <v>268</v>
      </c>
      <c r="D769" s="7" t="s">
        <v>2528</v>
      </c>
      <c r="E769" s="7" t="s">
        <v>949</v>
      </c>
      <c r="F769" s="7" t="s">
        <v>110</v>
      </c>
      <c r="G769" s="7" t="s">
        <v>90</v>
      </c>
      <c r="H769" s="7" t="n">
        <v>2</v>
      </c>
      <c r="I769" s="7" t="n">
        <v>245</v>
      </c>
      <c r="J769" s="7" t="n">
        <v>20</v>
      </c>
      <c r="K769" s="7" t="s">
        <v>88</v>
      </c>
      <c r="L769" s="7" t="s">
        <v>194</v>
      </c>
      <c r="M769" s="7" t="n">
        <v>31</v>
      </c>
      <c r="N769" s="7" t="n">
        <v>4</v>
      </c>
      <c r="O769" s="7" t="str">
        <f aca="false">A769&amp;"|"&amp;B769&amp;"|"&amp;C769&amp;"|"&amp;D769&amp;"|"&amp;E769&amp;"|"&amp;F769&amp;"|"&amp;G769&amp;"|"&amp;H769&amp;"|"&amp;I769&amp;"|"&amp;J769&amp;"|"&amp;K769&amp;"|"&amp;L769&amp;"|"&amp;M769&amp;"|"&amp;N769</f>
        <v>ORD11334|2025-06-21|19:16|C0742|Tandoor  Tales|Delhi|North Indian|2|245|20|UPI|Delivered|31|4</v>
      </c>
      <c r="P769" s="7" t="str">
        <f aca="false">IF(COUNTIF($O$2:O769,O769)&gt;1,"DUP","OK")</f>
        <v>OK</v>
      </c>
      <c r="Q769" s="7" t="n">
        <f aca="false">COUNTBLANK(A769:N769)</f>
        <v>0</v>
      </c>
      <c r="R769" s="7" t="n">
        <f aca="false">IF(A769="",0,COUNTIFS($A$2:$A$3058,A769,$P$2:$P$3058,"OK"))</f>
        <v>1</v>
      </c>
      <c r="S769" s="7" t="str">
        <f aca="false">IF(OR(A769="",P769="DUP",R769&lt;2),"",IF(Q769=_xlfn.MINIFS($Q$2:$Q$3058,$A$2:$A$3058,A769,$P$2:$P$3058,"OK"),"KEEP","DROP"))</f>
        <v/>
      </c>
      <c r="T769" s="9" t="n">
        <f aca="false">IF(A769="",1,0)</f>
        <v>0</v>
      </c>
      <c r="U769" s="9" t="n">
        <f aca="false">IF(D769="",1,0)</f>
        <v>0</v>
      </c>
      <c r="V769" s="9" t="n">
        <f aca="false">IF(E769="",1,0)</f>
        <v>0</v>
      </c>
      <c r="W769" s="9" t="n">
        <f aca="false">IF(OR(H769&lt;1,H769&gt;10),1,0)</f>
        <v>0</v>
      </c>
      <c r="X769" s="9" t="n">
        <f aca="false">IF(OR(I769&lt;=0,I769&gt;1500),1,0)</f>
        <v>0</v>
      </c>
      <c r="Y769" s="9" t="n">
        <f aca="false">IF(J769&gt;H769*I769,1,0)</f>
        <v>0</v>
      </c>
      <c r="Z769" s="9" t="n">
        <f aca="false">IF(AND(N769&lt;&gt;"",OR(N769&lt;1,N769&gt;5)),1,0)</f>
        <v>0</v>
      </c>
      <c r="AA769" s="9" t="n">
        <f aca="false">IF(AND(M769&lt;&gt;"",OR(M769&lt;5,M769&gt;180)),1,0)</f>
        <v>0</v>
      </c>
      <c r="AB769" s="7" t="str">
        <f aca="false">IF(P769="DUP","Exact duplicate row",IF(T769=1,"Missing Order ID",IF(S769="DROP","Duplicate Order ID (less complete row)",IF(U769=1,"Missing Customer ID",IF(V769=1,"Missing Restaurant name",IF(W769=1,"Invalid/outlier quantity",IF(X769=1,"Invalid/outlier unit price",IF(Y769=1,"Discount greater than order value",""))))))))</f>
        <v/>
      </c>
      <c r="AC769" s="7" t="str">
        <f aca="false">IF(AB769="","KEEP","DROP")</f>
        <v>KEEP</v>
      </c>
      <c r="AD769" s="7" t="str">
        <f aca="false">IF(TRIM(F769)="",IFERROR(INDEX(Map_Tables!$I$4:$I$37,MATCH(TRIM(E769),Map_Tables!$G$4:$G$37,0)),""),IFERROR(INDEX(Map_Tables!$B$4:$B$18,MATCH(TRIM(F769),Map_Tables!$A$4:$A$18,0)),"CHECK"))</f>
        <v>Delhi</v>
      </c>
      <c r="AE769" s="7" t="str">
        <f aca="false">IF(TRIM(E769)="","",IFERROR(INDEX(Map_Tables!$H$4:$H$37,MATCH(TRIM(E769),Map_Tables!$G$4:$G$37,0)),"CHECK"))</f>
        <v>Tandoor Tales</v>
      </c>
      <c r="AF769" s="7" t="str">
        <f aca="false">IF(TRIM(K769)="","Unknown",IFERROR(INDEX(Map_Tables!$E$4:$E$15,MATCH(TRIM(K769),Map_Tables!$D$4:$D$15,0)),"CHECK"))</f>
        <v>UPI</v>
      </c>
      <c r="AG769" s="7" t="str">
        <f aca="false">IF(LEFT(LOWER(TRIM(L769)),6)="cancel","Cancelled","Delivered")</f>
        <v>Delivered</v>
      </c>
      <c r="AH769" s="10" t="n">
        <f aca="false">IF(ISNUMBER(SEARCH("/",B769)),DATE(VALUE(RIGHT(B769,4)),VALUE(MID(B769,4,2)),VALUE(LEFT(B769,2))),IF(MID(B769,5,1)="-",DATE(VALUE(LEFT(B769,4)),VALUE(MID(B769,6,2)),VALUE(RIGHT(B769,2))),DATE(VALUE(RIGHT(B769,4)),MATCH(MID(B769,4,3),{"Jan","Feb","Mar","Apr","May","Jun","Jul","Aug","Sep","Oct","Nov","Dec"},0),VALUE(LEFT(B769,2)))))</f>
        <v>45829</v>
      </c>
    </row>
    <row r="770" customFormat="false" ht="15" hidden="false" customHeight="false" outlineLevel="0" collapsed="false">
      <c r="A770" s="7" t="s">
        <v>2529</v>
      </c>
      <c r="B770" s="7" t="s">
        <v>554</v>
      </c>
      <c r="C770" s="7" t="s">
        <v>386</v>
      </c>
      <c r="D770" s="7" t="s">
        <v>2525</v>
      </c>
      <c r="E770" s="7" t="s">
        <v>160</v>
      </c>
      <c r="F770" s="7" t="s">
        <v>136</v>
      </c>
      <c r="G770" s="7" t="s">
        <v>150</v>
      </c>
      <c r="H770" s="7" t="n">
        <v>1</v>
      </c>
      <c r="I770" s="7" t="n">
        <v>155</v>
      </c>
      <c r="J770" s="7" t="n">
        <v>0</v>
      </c>
      <c r="K770" s="7" t="s">
        <v>88</v>
      </c>
      <c r="L770" s="7" t="s">
        <v>194</v>
      </c>
      <c r="M770" s="7" t="n">
        <v>34</v>
      </c>
      <c r="N770" s="7" t="n">
        <v>4</v>
      </c>
      <c r="O770" s="7" t="str">
        <f aca="false">A770&amp;"|"&amp;B770&amp;"|"&amp;C770&amp;"|"&amp;D770&amp;"|"&amp;E770&amp;"|"&amp;F770&amp;"|"&amp;G770&amp;"|"&amp;H770&amp;"|"&amp;I770&amp;"|"&amp;J770&amp;"|"&amp;K770&amp;"|"&amp;L770&amp;"|"&amp;M770&amp;"|"&amp;N770</f>
        <v>ORD12303|2025-10-18|11:53|C0604|Cake Walk|Pune|Desserts|1|155|0|UPI|Delivered|34|4</v>
      </c>
      <c r="P770" s="7" t="str">
        <f aca="false">IF(COUNTIF($O$2:O770,O770)&gt;1,"DUP","OK")</f>
        <v>OK</v>
      </c>
      <c r="Q770" s="7" t="n">
        <f aca="false">COUNTBLANK(A770:N770)</f>
        <v>0</v>
      </c>
      <c r="R770" s="7" t="n">
        <f aca="false">IF(A770="",0,COUNTIFS($A$2:$A$3058,A770,$P$2:$P$3058,"OK"))</f>
        <v>1</v>
      </c>
      <c r="S770" s="7" t="str">
        <f aca="false">IF(OR(A770="",P770="DUP",R770&lt;2),"",IF(Q770=_xlfn.MINIFS($Q$2:$Q$3058,$A$2:$A$3058,A770,$P$2:$P$3058,"OK"),"KEEP","DROP"))</f>
        <v/>
      </c>
      <c r="T770" s="9" t="n">
        <f aca="false">IF(A770="",1,0)</f>
        <v>0</v>
      </c>
      <c r="U770" s="9" t="n">
        <f aca="false">IF(D770="",1,0)</f>
        <v>0</v>
      </c>
      <c r="V770" s="9" t="n">
        <f aca="false">IF(E770="",1,0)</f>
        <v>0</v>
      </c>
      <c r="W770" s="9" t="n">
        <f aca="false">IF(OR(H770&lt;1,H770&gt;10),1,0)</f>
        <v>0</v>
      </c>
      <c r="X770" s="9" t="n">
        <f aca="false">IF(OR(I770&lt;=0,I770&gt;1500),1,0)</f>
        <v>0</v>
      </c>
      <c r="Y770" s="9" t="n">
        <f aca="false">IF(J770&gt;H770*I770,1,0)</f>
        <v>0</v>
      </c>
      <c r="Z770" s="9" t="n">
        <f aca="false">IF(AND(N770&lt;&gt;"",OR(N770&lt;1,N770&gt;5)),1,0)</f>
        <v>0</v>
      </c>
      <c r="AA770" s="9" t="n">
        <f aca="false">IF(AND(M770&lt;&gt;"",OR(M770&lt;5,M770&gt;180)),1,0)</f>
        <v>0</v>
      </c>
      <c r="AB770" s="7" t="str">
        <f aca="false">IF(P770="DUP","Exact duplicate row",IF(T770=1,"Missing Order ID",IF(S770="DROP","Duplicate Order ID (less complete row)",IF(U770=1,"Missing Customer ID",IF(V770=1,"Missing Restaurant name",IF(W770=1,"Invalid/outlier quantity",IF(X770=1,"Invalid/outlier unit price",IF(Y770=1,"Discount greater than order value",""))))))))</f>
        <v/>
      </c>
      <c r="AC770" s="7" t="str">
        <f aca="false">IF(AB770="","KEEP","DROP")</f>
        <v>KEEP</v>
      </c>
      <c r="AD770" s="7" t="str">
        <f aca="false">IF(TRIM(F770)="",IFERROR(INDEX(Map_Tables!$I$4:$I$37,MATCH(TRIM(E770),Map_Tables!$G$4:$G$37,0)),""),IFERROR(INDEX(Map_Tables!$B$4:$B$18,MATCH(TRIM(F770),Map_Tables!$A$4:$A$18,0)),"CHECK"))</f>
        <v>Pune</v>
      </c>
      <c r="AE770" s="7" t="str">
        <f aca="false">IF(TRIM(E770)="","",IFERROR(INDEX(Map_Tables!$H$4:$H$37,MATCH(TRIM(E770),Map_Tables!$G$4:$G$37,0)),"CHECK"))</f>
        <v>Cake Walk</v>
      </c>
      <c r="AF770" s="7" t="str">
        <f aca="false">IF(TRIM(K770)="","Unknown",IFERROR(INDEX(Map_Tables!$E$4:$E$15,MATCH(TRIM(K770),Map_Tables!$D$4:$D$15,0)),"CHECK"))</f>
        <v>UPI</v>
      </c>
      <c r="AG770" s="7" t="str">
        <f aca="false">IF(LEFT(LOWER(TRIM(L770)),6)="cancel","Cancelled","Delivered")</f>
        <v>Delivered</v>
      </c>
      <c r="AH770" s="10" t="n">
        <f aca="false">IF(ISNUMBER(SEARCH("/",B770)),DATE(VALUE(RIGHT(B770,4)),VALUE(MID(B770,4,2)),VALUE(LEFT(B770,2))),IF(MID(B770,5,1)="-",DATE(VALUE(LEFT(B770,4)),VALUE(MID(B770,6,2)),VALUE(RIGHT(B770,2))),DATE(VALUE(RIGHT(B770,4)),MATCH(MID(B770,4,3),{"Jan","Feb","Mar","Apr","May","Jun","Jul","Aug","Sep","Oct","Nov","Dec"},0),VALUE(LEFT(B770,2)))))</f>
        <v>45948</v>
      </c>
    </row>
    <row r="771" customFormat="false" ht="15" hidden="false" customHeight="false" outlineLevel="0" collapsed="false">
      <c r="A771" s="7" t="s">
        <v>2530</v>
      </c>
      <c r="B771" s="7" t="s">
        <v>2357</v>
      </c>
      <c r="C771" s="7" t="s">
        <v>2083</v>
      </c>
      <c r="D771" s="7" t="s">
        <v>1405</v>
      </c>
      <c r="E771" s="7" t="s">
        <v>130</v>
      </c>
      <c r="F771" s="7" t="s">
        <v>110</v>
      </c>
      <c r="G771" s="7" t="s">
        <v>90</v>
      </c>
      <c r="H771" s="7" t="n">
        <v>2</v>
      </c>
      <c r="I771" s="7" t="n">
        <v>200</v>
      </c>
      <c r="J771" s="7" t="n">
        <v>75</v>
      </c>
      <c r="K771" s="7" t="s">
        <v>229</v>
      </c>
      <c r="L771" s="7" t="s">
        <v>194</v>
      </c>
      <c r="M771" s="7" t="n">
        <v>63</v>
      </c>
      <c r="N771" s="7" t="n">
        <v>4</v>
      </c>
      <c r="O771" s="7" t="str">
        <f aca="false">A771&amp;"|"&amp;B771&amp;"|"&amp;C771&amp;"|"&amp;D771&amp;"|"&amp;E771&amp;"|"&amp;F771&amp;"|"&amp;G771&amp;"|"&amp;H771&amp;"|"&amp;I771&amp;"|"&amp;J771&amp;"|"&amp;K771&amp;"|"&amp;L771&amp;"|"&amp;M771&amp;"|"&amp;N771</f>
        <v>ORD11904|2025-09-04|21:13|C0621|Tandoor Tales|Delhi|North Indian|2|200|75|Upi|Delivered|63|4</v>
      </c>
      <c r="P771" s="7" t="str">
        <f aca="false">IF(COUNTIF($O$2:O771,O771)&gt;1,"DUP","OK")</f>
        <v>OK</v>
      </c>
      <c r="Q771" s="7" t="n">
        <f aca="false">COUNTBLANK(A771:N771)</f>
        <v>0</v>
      </c>
      <c r="R771" s="7" t="n">
        <f aca="false">IF(A771="",0,COUNTIFS($A$2:$A$3058,A771,$P$2:$P$3058,"OK"))</f>
        <v>1</v>
      </c>
      <c r="S771" s="7" t="str">
        <f aca="false">IF(OR(A771="",P771="DUP",R771&lt;2),"",IF(Q771=_xlfn.MINIFS($Q$2:$Q$3058,$A$2:$A$3058,A771,$P$2:$P$3058,"OK"),"KEEP","DROP"))</f>
        <v/>
      </c>
      <c r="T771" s="9" t="n">
        <f aca="false">IF(A771="",1,0)</f>
        <v>0</v>
      </c>
      <c r="U771" s="9" t="n">
        <f aca="false">IF(D771="",1,0)</f>
        <v>0</v>
      </c>
      <c r="V771" s="9" t="n">
        <f aca="false">IF(E771="",1,0)</f>
        <v>0</v>
      </c>
      <c r="W771" s="9" t="n">
        <f aca="false">IF(OR(H771&lt;1,H771&gt;10),1,0)</f>
        <v>0</v>
      </c>
      <c r="X771" s="9" t="n">
        <f aca="false">IF(OR(I771&lt;=0,I771&gt;1500),1,0)</f>
        <v>0</v>
      </c>
      <c r="Y771" s="9" t="n">
        <f aca="false">IF(J771&gt;H771*I771,1,0)</f>
        <v>0</v>
      </c>
      <c r="Z771" s="9" t="n">
        <f aca="false">IF(AND(N771&lt;&gt;"",OR(N771&lt;1,N771&gt;5)),1,0)</f>
        <v>0</v>
      </c>
      <c r="AA771" s="9" t="n">
        <f aca="false">IF(AND(M771&lt;&gt;"",OR(M771&lt;5,M771&gt;180)),1,0)</f>
        <v>0</v>
      </c>
      <c r="AB771" s="7" t="str">
        <f aca="false">IF(P771="DUP","Exact duplicate row",IF(T771=1,"Missing Order ID",IF(S771="DROP","Duplicate Order ID (less complete row)",IF(U771=1,"Missing Customer ID",IF(V771=1,"Missing Restaurant name",IF(W771=1,"Invalid/outlier quantity",IF(X771=1,"Invalid/outlier unit price",IF(Y771=1,"Discount greater than order value",""))))))))</f>
        <v/>
      </c>
      <c r="AC771" s="7" t="str">
        <f aca="false">IF(AB771="","KEEP","DROP")</f>
        <v>KEEP</v>
      </c>
      <c r="AD771" s="7" t="str">
        <f aca="false">IF(TRIM(F771)="",IFERROR(INDEX(Map_Tables!$I$4:$I$37,MATCH(TRIM(E771),Map_Tables!$G$4:$G$37,0)),""),IFERROR(INDEX(Map_Tables!$B$4:$B$18,MATCH(TRIM(F771),Map_Tables!$A$4:$A$18,0)),"CHECK"))</f>
        <v>Delhi</v>
      </c>
      <c r="AE771" s="7" t="str">
        <f aca="false">IF(TRIM(E771)="","",IFERROR(INDEX(Map_Tables!$H$4:$H$37,MATCH(TRIM(E771),Map_Tables!$G$4:$G$37,0)),"CHECK"))</f>
        <v>Tandoor Tales</v>
      </c>
      <c r="AF771" s="7" t="str">
        <f aca="false">IF(TRIM(K771)="","Unknown",IFERROR(INDEX(Map_Tables!$E$4:$E$15,MATCH(TRIM(K771),Map_Tables!$D$4:$D$15,0)),"CHECK"))</f>
        <v>UPI</v>
      </c>
      <c r="AG771" s="7" t="str">
        <f aca="false">IF(LEFT(LOWER(TRIM(L771)),6)="cancel","Cancelled","Delivered")</f>
        <v>Delivered</v>
      </c>
      <c r="AH771" s="10" t="n">
        <f aca="false">IF(ISNUMBER(SEARCH("/",B771)),DATE(VALUE(RIGHT(B771,4)),VALUE(MID(B771,4,2)),VALUE(LEFT(B771,2))),IF(MID(B771,5,1)="-",DATE(VALUE(LEFT(B771,4)),VALUE(MID(B771,6,2)),VALUE(RIGHT(B771,2))),DATE(VALUE(RIGHT(B771,4)),MATCH(MID(B771,4,3),{"Jan","Feb","Mar","Apr","May","Jun","Jul","Aug","Sep","Oct","Nov","Dec"},0),VALUE(LEFT(B771,2)))))</f>
        <v>45904</v>
      </c>
    </row>
    <row r="772" customFormat="false" ht="15" hidden="false" customHeight="false" outlineLevel="0" collapsed="false">
      <c r="A772" s="7" t="s">
        <v>2531</v>
      </c>
      <c r="B772" s="7" t="s">
        <v>196</v>
      </c>
      <c r="C772" s="7" t="s">
        <v>1058</v>
      </c>
      <c r="D772" s="7" t="s">
        <v>2532</v>
      </c>
      <c r="E772" s="7" t="s">
        <v>94</v>
      </c>
      <c r="F772" s="7" t="s">
        <v>86</v>
      </c>
      <c r="G772" s="7" t="s">
        <v>95</v>
      </c>
      <c r="H772" s="7" t="n">
        <v>1</v>
      </c>
      <c r="I772" s="7" t="n">
        <v>90</v>
      </c>
      <c r="J772" s="7" t="n">
        <v>36</v>
      </c>
      <c r="K772" s="7" t="s">
        <v>229</v>
      </c>
      <c r="L772" s="7" t="s">
        <v>194</v>
      </c>
      <c r="M772" s="7" t="n">
        <v>38</v>
      </c>
      <c r="N772" s="7" t="n">
        <v>5</v>
      </c>
      <c r="O772" s="7" t="str">
        <f aca="false">A772&amp;"|"&amp;B772&amp;"|"&amp;C772&amp;"|"&amp;D772&amp;"|"&amp;E772&amp;"|"&amp;F772&amp;"|"&amp;G772&amp;"|"&amp;H772&amp;"|"&amp;I772&amp;"|"&amp;J772&amp;"|"&amp;K772&amp;"|"&amp;L772&amp;"|"&amp;M772&amp;"|"&amp;N772</f>
        <v>ORD12668|2025-11-24|20:49|C1383|Dosa Darbar|Bengaluru|South Indian|1|90|36|Upi|Delivered|38|5</v>
      </c>
      <c r="P772" s="7" t="str">
        <f aca="false">IF(COUNTIF($O$2:O772,O772)&gt;1,"DUP","OK")</f>
        <v>OK</v>
      </c>
      <c r="Q772" s="7" t="n">
        <f aca="false">COUNTBLANK(A772:N772)</f>
        <v>0</v>
      </c>
      <c r="R772" s="7" t="n">
        <f aca="false">IF(A772="",0,COUNTIFS($A$2:$A$3058,A772,$P$2:$P$3058,"OK"))</f>
        <v>1</v>
      </c>
      <c r="S772" s="7" t="str">
        <f aca="false">IF(OR(A772="",P772="DUP",R772&lt;2),"",IF(Q772=_xlfn.MINIFS($Q$2:$Q$3058,$A$2:$A$3058,A772,$P$2:$P$3058,"OK"),"KEEP","DROP"))</f>
        <v/>
      </c>
      <c r="T772" s="9" t="n">
        <f aca="false">IF(A772="",1,0)</f>
        <v>0</v>
      </c>
      <c r="U772" s="9" t="n">
        <f aca="false">IF(D772="",1,0)</f>
        <v>0</v>
      </c>
      <c r="V772" s="9" t="n">
        <f aca="false">IF(E772="",1,0)</f>
        <v>0</v>
      </c>
      <c r="W772" s="9" t="n">
        <f aca="false">IF(OR(H772&lt;1,H772&gt;10),1,0)</f>
        <v>0</v>
      </c>
      <c r="X772" s="9" t="n">
        <f aca="false">IF(OR(I772&lt;=0,I772&gt;1500),1,0)</f>
        <v>0</v>
      </c>
      <c r="Y772" s="9" t="n">
        <f aca="false">IF(J772&gt;H772*I772,1,0)</f>
        <v>0</v>
      </c>
      <c r="Z772" s="9" t="n">
        <f aca="false">IF(AND(N772&lt;&gt;"",OR(N772&lt;1,N772&gt;5)),1,0)</f>
        <v>0</v>
      </c>
      <c r="AA772" s="9" t="n">
        <f aca="false">IF(AND(M772&lt;&gt;"",OR(M772&lt;5,M772&gt;180)),1,0)</f>
        <v>0</v>
      </c>
      <c r="AB772" s="7" t="str">
        <f aca="false">IF(P772="DUP","Exact duplicate row",IF(T772=1,"Missing Order ID",IF(S772="DROP","Duplicate Order ID (less complete row)",IF(U772=1,"Missing Customer ID",IF(V772=1,"Missing Restaurant name",IF(W772=1,"Invalid/outlier quantity",IF(X772=1,"Invalid/outlier unit price",IF(Y772=1,"Discount greater than order value",""))))))))</f>
        <v/>
      </c>
      <c r="AC772" s="7" t="str">
        <f aca="false">IF(AB772="","KEEP","DROP")</f>
        <v>KEEP</v>
      </c>
      <c r="AD772" s="7" t="str">
        <f aca="false">IF(TRIM(F772)="",IFERROR(INDEX(Map_Tables!$I$4:$I$37,MATCH(TRIM(E772),Map_Tables!$G$4:$G$37,0)),""),IFERROR(INDEX(Map_Tables!$B$4:$B$18,MATCH(TRIM(F772),Map_Tables!$A$4:$A$18,0)),"CHECK"))</f>
        <v>Bengaluru</v>
      </c>
      <c r="AE772" s="7" t="str">
        <f aca="false">IF(TRIM(E772)="","",IFERROR(INDEX(Map_Tables!$H$4:$H$37,MATCH(TRIM(E772),Map_Tables!$G$4:$G$37,0)),"CHECK"))</f>
        <v>Dosa Darbar</v>
      </c>
      <c r="AF772" s="7" t="str">
        <f aca="false">IF(TRIM(K772)="","Unknown",IFERROR(INDEX(Map_Tables!$E$4:$E$15,MATCH(TRIM(K772),Map_Tables!$D$4:$D$15,0)),"CHECK"))</f>
        <v>UPI</v>
      </c>
      <c r="AG772" s="7" t="str">
        <f aca="false">IF(LEFT(LOWER(TRIM(L772)),6)="cancel","Cancelled","Delivered")</f>
        <v>Delivered</v>
      </c>
      <c r="AH772" s="10" t="n">
        <f aca="false">IF(ISNUMBER(SEARCH("/",B772)),DATE(VALUE(RIGHT(B772,4)),VALUE(MID(B772,4,2)),VALUE(LEFT(B772,2))),IF(MID(B772,5,1)="-",DATE(VALUE(LEFT(B772,4)),VALUE(MID(B772,6,2)),VALUE(RIGHT(B772,2))),DATE(VALUE(RIGHT(B772,4)),MATCH(MID(B772,4,3),{"Jan","Feb","Mar","Apr","May","Jun","Jul","Aug","Sep","Oct","Nov","Dec"},0),VALUE(LEFT(B772,2)))))</f>
        <v>45985</v>
      </c>
    </row>
    <row r="773" customFormat="false" ht="15" hidden="false" customHeight="false" outlineLevel="0" collapsed="false">
      <c r="A773" s="7" t="s">
        <v>2533</v>
      </c>
      <c r="B773" s="7" t="s">
        <v>865</v>
      </c>
      <c r="C773" s="7" t="s">
        <v>2402</v>
      </c>
      <c r="D773" s="7" t="s">
        <v>198</v>
      </c>
      <c r="E773" s="7" t="s">
        <v>126</v>
      </c>
      <c r="F773" s="7" t="s">
        <v>101</v>
      </c>
      <c r="G773" s="7" t="s">
        <v>105</v>
      </c>
      <c r="H773" s="7" t="n">
        <v>5</v>
      </c>
      <c r="I773" s="7" t="n">
        <v>225</v>
      </c>
      <c r="J773" s="7" t="n">
        <v>150</v>
      </c>
      <c r="K773" s="7" t="s">
        <v>88</v>
      </c>
      <c r="L773" s="7" t="s">
        <v>194</v>
      </c>
      <c r="M773" s="7" t="n">
        <v>55</v>
      </c>
      <c r="N773" s="7" t="n">
        <v>5</v>
      </c>
      <c r="O773" s="7" t="str">
        <f aca="false">A773&amp;"|"&amp;B773&amp;"|"&amp;C773&amp;"|"&amp;D773&amp;"|"&amp;E773&amp;"|"&amp;F773&amp;"|"&amp;G773&amp;"|"&amp;H773&amp;"|"&amp;I773&amp;"|"&amp;J773&amp;"|"&amp;K773&amp;"|"&amp;L773&amp;"|"&amp;M773&amp;"|"&amp;N773</f>
        <v>ORD12639|2025-11-22|19:55|C0449|Dragon Express|Mumbai|Chinese|5|225|150|UPI|Delivered|55|5</v>
      </c>
      <c r="P773" s="7" t="str">
        <f aca="false">IF(COUNTIF($O$2:O773,O773)&gt;1,"DUP","OK")</f>
        <v>OK</v>
      </c>
      <c r="Q773" s="7" t="n">
        <f aca="false">COUNTBLANK(A773:N773)</f>
        <v>0</v>
      </c>
      <c r="R773" s="7" t="n">
        <f aca="false">IF(A773="",0,COUNTIFS($A$2:$A$3058,A773,$P$2:$P$3058,"OK"))</f>
        <v>1</v>
      </c>
      <c r="S773" s="7" t="str">
        <f aca="false">IF(OR(A773="",P773="DUP",R773&lt;2),"",IF(Q773=_xlfn.MINIFS($Q$2:$Q$3058,$A$2:$A$3058,A773,$P$2:$P$3058,"OK"),"KEEP","DROP"))</f>
        <v/>
      </c>
      <c r="T773" s="9" t="n">
        <f aca="false">IF(A773="",1,0)</f>
        <v>0</v>
      </c>
      <c r="U773" s="9" t="n">
        <f aca="false">IF(D773="",1,0)</f>
        <v>0</v>
      </c>
      <c r="V773" s="9" t="n">
        <f aca="false">IF(E773="",1,0)</f>
        <v>0</v>
      </c>
      <c r="W773" s="9" t="n">
        <f aca="false">IF(OR(H773&lt;1,H773&gt;10),1,0)</f>
        <v>0</v>
      </c>
      <c r="X773" s="9" t="n">
        <f aca="false">IF(OR(I773&lt;=0,I773&gt;1500),1,0)</f>
        <v>0</v>
      </c>
      <c r="Y773" s="9" t="n">
        <f aca="false">IF(J773&gt;H773*I773,1,0)</f>
        <v>0</v>
      </c>
      <c r="Z773" s="9" t="n">
        <f aca="false">IF(AND(N773&lt;&gt;"",OR(N773&lt;1,N773&gt;5)),1,0)</f>
        <v>0</v>
      </c>
      <c r="AA773" s="9" t="n">
        <f aca="false">IF(AND(M773&lt;&gt;"",OR(M773&lt;5,M773&gt;180)),1,0)</f>
        <v>0</v>
      </c>
      <c r="AB773" s="7" t="str">
        <f aca="false">IF(P773="DUP","Exact duplicate row",IF(T773=1,"Missing Order ID",IF(S773="DROP","Duplicate Order ID (less complete row)",IF(U773=1,"Missing Customer ID",IF(V773=1,"Missing Restaurant name",IF(W773=1,"Invalid/outlier quantity",IF(X773=1,"Invalid/outlier unit price",IF(Y773=1,"Discount greater than order value",""))))))))</f>
        <v/>
      </c>
      <c r="AC773" s="7" t="str">
        <f aca="false">IF(AB773="","KEEP","DROP")</f>
        <v>KEEP</v>
      </c>
      <c r="AD773" s="7" t="str">
        <f aca="false">IF(TRIM(F773)="",IFERROR(INDEX(Map_Tables!$I$4:$I$37,MATCH(TRIM(E773),Map_Tables!$G$4:$G$37,0)),""),IFERROR(INDEX(Map_Tables!$B$4:$B$18,MATCH(TRIM(F773),Map_Tables!$A$4:$A$18,0)),"CHECK"))</f>
        <v>Mumbai</v>
      </c>
      <c r="AE773" s="7" t="str">
        <f aca="false">IF(TRIM(E773)="","",IFERROR(INDEX(Map_Tables!$H$4:$H$37,MATCH(TRIM(E773),Map_Tables!$G$4:$G$37,0)),"CHECK"))</f>
        <v>Dragon Express</v>
      </c>
      <c r="AF773" s="7" t="str">
        <f aca="false">IF(TRIM(K773)="","Unknown",IFERROR(INDEX(Map_Tables!$E$4:$E$15,MATCH(TRIM(K773),Map_Tables!$D$4:$D$15,0)),"CHECK"))</f>
        <v>UPI</v>
      </c>
      <c r="AG773" s="7" t="str">
        <f aca="false">IF(LEFT(LOWER(TRIM(L773)),6)="cancel","Cancelled","Delivered")</f>
        <v>Delivered</v>
      </c>
      <c r="AH773" s="10" t="n">
        <f aca="false">IF(ISNUMBER(SEARCH("/",B773)),DATE(VALUE(RIGHT(B773,4)),VALUE(MID(B773,4,2)),VALUE(LEFT(B773,2))),IF(MID(B773,5,1)="-",DATE(VALUE(LEFT(B773,4)),VALUE(MID(B773,6,2)),VALUE(RIGHT(B773,2))),DATE(VALUE(RIGHT(B773,4)),MATCH(MID(B773,4,3),{"Jan","Feb","Mar","Apr","May","Jun","Jul","Aug","Sep","Oct","Nov","Dec"},0),VALUE(LEFT(B773,2)))))</f>
        <v>45983</v>
      </c>
    </row>
    <row r="774" customFormat="false" ht="15" hidden="false" customHeight="false" outlineLevel="0" collapsed="false">
      <c r="A774" s="7" t="s">
        <v>2534</v>
      </c>
      <c r="B774" s="7" t="s">
        <v>2535</v>
      </c>
      <c r="C774" s="7" t="s">
        <v>2536</v>
      </c>
      <c r="D774" s="7" t="s">
        <v>2537</v>
      </c>
      <c r="E774" s="7" t="s">
        <v>167</v>
      </c>
      <c r="F774" s="7" t="s">
        <v>146</v>
      </c>
      <c r="G774" s="7" t="s">
        <v>156</v>
      </c>
      <c r="H774" s="7" t="n">
        <v>2</v>
      </c>
      <c r="I774" s="7" t="n">
        <v>245</v>
      </c>
      <c r="J774" s="7" t="n">
        <v>0</v>
      </c>
      <c r="K774" s="7" t="s">
        <v>88</v>
      </c>
      <c r="L774" s="7" t="s">
        <v>194</v>
      </c>
      <c r="M774" s="7" t="n">
        <v>28</v>
      </c>
      <c r="N774" s="7" t="n">
        <v>4</v>
      </c>
      <c r="O774" s="7" t="str">
        <f aca="false">A774&amp;"|"&amp;B774&amp;"|"&amp;C774&amp;"|"&amp;D774&amp;"|"&amp;E774&amp;"|"&amp;F774&amp;"|"&amp;G774&amp;"|"&amp;H774&amp;"|"&amp;I774&amp;"|"&amp;J774&amp;"|"&amp;K774&amp;"|"&amp;L774&amp;"|"&amp;M774&amp;"|"&amp;N774</f>
        <v>ORD10922|2025-04-27|10:09|C0654|Fit Fuel Kitchen|Ahmedabad|Healthy Food|2|245|0|UPI|Delivered|28|4</v>
      </c>
      <c r="P774" s="7" t="str">
        <f aca="false">IF(COUNTIF($O$2:O774,O774)&gt;1,"DUP","OK")</f>
        <v>OK</v>
      </c>
      <c r="Q774" s="7" t="n">
        <f aca="false">COUNTBLANK(A774:N774)</f>
        <v>0</v>
      </c>
      <c r="R774" s="7" t="n">
        <f aca="false">IF(A774="",0,COUNTIFS($A$2:$A$3058,A774,$P$2:$P$3058,"OK"))</f>
        <v>1</v>
      </c>
      <c r="S774" s="7" t="str">
        <f aca="false">IF(OR(A774="",P774="DUP",R774&lt;2),"",IF(Q774=_xlfn.MINIFS($Q$2:$Q$3058,$A$2:$A$3058,A774,$P$2:$P$3058,"OK"),"KEEP","DROP"))</f>
        <v/>
      </c>
      <c r="T774" s="9" t="n">
        <f aca="false">IF(A774="",1,0)</f>
        <v>0</v>
      </c>
      <c r="U774" s="9" t="n">
        <f aca="false">IF(D774="",1,0)</f>
        <v>0</v>
      </c>
      <c r="V774" s="9" t="n">
        <f aca="false">IF(E774="",1,0)</f>
        <v>0</v>
      </c>
      <c r="W774" s="9" t="n">
        <f aca="false">IF(OR(H774&lt;1,H774&gt;10),1,0)</f>
        <v>0</v>
      </c>
      <c r="X774" s="9" t="n">
        <f aca="false">IF(OR(I774&lt;=0,I774&gt;1500),1,0)</f>
        <v>0</v>
      </c>
      <c r="Y774" s="9" t="n">
        <f aca="false">IF(J774&gt;H774*I774,1,0)</f>
        <v>0</v>
      </c>
      <c r="Z774" s="9" t="n">
        <f aca="false">IF(AND(N774&lt;&gt;"",OR(N774&lt;1,N774&gt;5)),1,0)</f>
        <v>0</v>
      </c>
      <c r="AA774" s="9" t="n">
        <f aca="false">IF(AND(M774&lt;&gt;"",OR(M774&lt;5,M774&gt;180)),1,0)</f>
        <v>0</v>
      </c>
      <c r="AB774" s="7" t="str">
        <f aca="false">IF(P774="DUP","Exact duplicate row",IF(T774=1,"Missing Order ID",IF(S774="DROP","Duplicate Order ID (less complete row)",IF(U774=1,"Missing Customer ID",IF(V774=1,"Missing Restaurant name",IF(W774=1,"Invalid/outlier quantity",IF(X774=1,"Invalid/outlier unit price",IF(Y774=1,"Discount greater than order value",""))))))))</f>
        <v/>
      </c>
      <c r="AC774" s="7" t="str">
        <f aca="false">IF(AB774="","KEEP","DROP")</f>
        <v>KEEP</v>
      </c>
      <c r="AD774" s="7" t="str">
        <f aca="false">IF(TRIM(F774)="",IFERROR(INDEX(Map_Tables!$I$4:$I$37,MATCH(TRIM(E774),Map_Tables!$G$4:$G$37,0)),""),IFERROR(INDEX(Map_Tables!$B$4:$B$18,MATCH(TRIM(F774),Map_Tables!$A$4:$A$18,0)),"CHECK"))</f>
        <v>Ahmedabad</v>
      </c>
      <c r="AE774" s="7" t="str">
        <f aca="false">IF(TRIM(E774)="","",IFERROR(INDEX(Map_Tables!$H$4:$H$37,MATCH(TRIM(E774),Map_Tables!$G$4:$G$37,0)),"CHECK"))</f>
        <v>Fit Fuel Kitchen</v>
      </c>
      <c r="AF774" s="7" t="str">
        <f aca="false">IF(TRIM(K774)="","Unknown",IFERROR(INDEX(Map_Tables!$E$4:$E$15,MATCH(TRIM(K774),Map_Tables!$D$4:$D$15,0)),"CHECK"))</f>
        <v>UPI</v>
      </c>
      <c r="AG774" s="7" t="str">
        <f aca="false">IF(LEFT(LOWER(TRIM(L774)),6)="cancel","Cancelled","Delivered")</f>
        <v>Delivered</v>
      </c>
      <c r="AH774" s="10" t="n">
        <f aca="false">IF(ISNUMBER(SEARCH("/",B774)),DATE(VALUE(RIGHT(B774,4)),VALUE(MID(B774,4,2)),VALUE(LEFT(B774,2))),IF(MID(B774,5,1)="-",DATE(VALUE(LEFT(B774,4)),VALUE(MID(B774,6,2)),VALUE(RIGHT(B774,2))),DATE(VALUE(RIGHT(B774,4)),MATCH(MID(B774,4,3),{"Jan","Feb","Mar","Apr","May","Jun","Jul","Aug","Sep","Oct","Nov","Dec"},0),VALUE(LEFT(B774,2)))))</f>
        <v>45774</v>
      </c>
    </row>
    <row r="775" customFormat="false" ht="15" hidden="false" customHeight="false" outlineLevel="0" collapsed="false">
      <c r="A775" s="7" t="s">
        <v>2538</v>
      </c>
      <c r="B775" s="7" t="s">
        <v>406</v>
      </c>
      <c r="C775" s="7" t="s">
        <v>2539</v>
      </c>
      <c r="D775" s="7" t="s">
        <v>2540</v>
      </c>
      <c r="E775" s="7" t="s">
        <v>149</v>
      </c>
      <c r="F775" s="7" t="s">
        <v>119</v>
      </c>
      <c r="G775" s="7" t="s">
        <v>150</v>
      </c>
      <c r="H775" s="7" t="n">
        <v>3</v>
      </c>
      <c r="I775" s="7" t="n">
        <v>160</v>
      </c>
      <c r="J775" s="7" t="n">
        <v>40</v>
      </c>
      <c r="K775" s="7" t="s">
        <v>88</v>
      </c>
      <c r="L775" s="7" t="s">
        <v>220</v>
      </c>
      <c r="M775" s="7" t="n">
        <v>37</v>
      </c>
      <c r="N775" s="7"/>
      <c r="O775" s="7" t="str">
        <f aca="false">A775&amp;"|"&amp;B775&amp;"|"&amp;C775&amp;"|"&amp;D775&amp;"|"&amp;E775&amp;"|"&amp;F775&amp;"|"&amp;G775&amp;"|"&amp;H775&amp;"|"&amp;I775&amp;"|"&amp;J775&amp;"|"&amp;K775&amp;"|"&amp;L775&amp;"|"&amp;M775&amp;"|"&amp;N775</f>
        <v>ORD10713|2025-04-01|12:25|C0903|Sweet Tooth Studio|Hyderabad|Desserts|3|160|40|UPI|DELIVERED|37|</v>
      </c>
      <c r="P775" s="7" t="str">
        <f aca="false">IF(COUNTIF($O$2:O775,O775)&gt;1,"DUP","OK")</f>
        <v>OK</v>
      </c>
      <c r="Q775" s="7" t="n">
        <f aca="false">COUNTBLANK(A775:N775)</f>
        <v>1</v>
      </c>
      <c r="R775" s="7" t="n">
        <f aca="false">IF(A775="",0,COUNTIFS($A$2:$A$3058,A775,$P$2:$P$3058,"OK"))</f>
        <v>1</v>
      </c>
      <c r="S775" s="7" t="str">
        <f aca="false">IF(OR(A775="",P775="DUP",R775&lt;2),"",IF(Q775=_xlfn.MINIFS($Q$2:$Q$3058,$A$2:$A$3058,A775,$P$2:$P$3058,"OK"),"KEEP","DROP"))</f>
        <v/>
      </c>
      <c r="T775" s="9" t="n">
        <f aca="false">IF(A775="",1,0)</f>
        <v>0</v>
      </c>
      <c r="U775" s="9" t="n">
        <f aca="false">IF(D775="",1,0)</f>
        <v>0</v>
      </c>
      <c r="V775" s="9" t="n">
        <f aca="false">IF(E775="",1,0)</f>
        <v>0</v>
      </c>
      <c r="W775" s="9" t="n">
        <f aca="false">IF(OR(H775&lt;1,H775&gt;10),1,0)</f>
        <v>0</v>
      </c>
      <c r="X775" s="9" t="n">
        <f aca="false">IF(OR(I775&lt;=0,I775&gt;1500),1,0)</f>
        <v>0</v>
      </c>
      <c r="Y775" s="9" t="n">
        <f aca="false">IF(J775&gt;H775*I775,1,0)</f>
        <v>0</v>
      </c>
      <c r="Z775" s="9" t="n">
        <f aca="false">IF(AND(N775&lt;&gt;"",OR(N775&lt;1,N775&gt;5)),1,0)</f>
        <v>0</v>
      </c>
      <c r="AA775" s="9" t="n">
        <f aca="false">IF(AND(M775&lt;&gt;"",OR(M775&lt;5,M775&gt;180)),1,0)</f>
        <v>0</v>
      </c>
      <c r="AB775" s="7" t="str">
        <f aca="false">IF(P775="DUP","Exact duplicate row",IF(T775=1,"Missing Order ID",IF(S775="DROP","Duplicate Order ID (less complete row)",IF(U775=1,"Missing Customer ID",IF(V775=1,"Missing Restaurant name",IF(W775=1,"Invalid/outlier quantity",IF(X775=1,"Invalid/outlier unit price",IF(Y775=1,"Discount greater than order value",""))))))))</f>
        <v/>
      </c>
      <c r="AC775" s="7" t="str">
        <f aca="false">IF(AB775="","KEEP","DROP")</f>
        <v>KEEP</v>
      </c>
      <c r="AD775" s="7" t="str">
        <f aca="false">IF(TRIM(F775)="",IFERROR(INDEX(Map_Tables!$I$4:$I$37,MATCH(TRIM(E775),Map_Tables!$G$4:$G$37,0)),""),IFERROR(INDEX(Map_Tables!$B$4:$B$18,MATCH(TRIM(F775),Map_Tables!$A$4:$A$18,0)),"CHECK"))</f>
        <v>Hyderabad</v>
      </c>
      <c r="AE775" s="7" t="str">
        <f aca="false">IF(TRIM(E775)="","",IFERROR(INDEX(Map_Tables!$H$4:$H$37,MATCH(TRIM(E775),Map_Tables!$G$4:$G$37,0)),"CHECK"))</f>
        <v>Sweet Tooth Studio</v>
      </c>
      <c r="AF775" s="7" t="str">
        <f aca="false">IF(TRIM(K775)="","Unknown",IFERROR(INDEX(Map_Tables!$E$4:$E$15,MATCH(TRIM(K775),Map_Tables!$D$4:$D$15,0)),"CHECK"))</f>
        <v>UPI</v>
      </c>
      <c r="AG775" s="7" t="str">
        <f aca="false">IF(LEFT(LOWER(TRIM(L775)),6)="cancel","Cancelled","Delivered")</f>
        <v>Delivered</v>
      </c>
      <c r="AH775" s="10" t="n">
        <f aca="false">IF(ISNUMBER(SEARCH("/",B775)),DATE(VALUE(RIGHT(B775,4)),VALUE(MID(B775,4,2)),VALUE(LEFT(B775,2))),IF(MID(B775,5,1)="-",DATE(VALUE(LEFT(B775,4)),VALUE(MID(B775,6,2)),VALUE(RIGHT(B775,2))),DATE(VALUE(RIGHT(B775,4)),MATCH(MID(B775,4,3),{"Jan","Feb","Mar","Apr","May","Jun","Jul","Aug","Sep","Oct","Nov","Dec"},0),VALUE(LEFT(B775,2)))))</f>
        <v>45748</v>
      </c>
    </row>
    <row r="776" customFormat="false" ht="15" hidden="false" customHeight="false" outlineLevel="0" collapsed="false">
      <c r="A776" s="7" t="s">
        <v>2541</v>
      </c>
      <c r="B776" s="7" t="s">
        <v>704</v>
      </c>
      <c r="C776" s="7" t="s">
        <v>2542</v>
      </c>
      <c r="D776" s="7" t="s">
        <v>1212</v>
      </c>
      <c r="E776" s="7" t="s">
        <v>163</v>
      </c>
      <c r="F776" s="7" t="s">
        <v>1915</v>
      </c>
      <c r="G776" s="7" t="s">
        <v>99</v>
      </c>
      <c r="H776" s="7" t="n">
        <v>1</v>
      </c>
      <c r="I776" s="7" t="n">
        <v>250</v>
      </c>
      <c r="J776" s="7" t="n">
        <v>0</v>
      </c>
      <c r="K776" s="7" t="s">
        <v>112</v>
      </c>
      <c r="L776" s="7" t="s">
        <v>194</v>
      </c>
      <c r="M776" s="7" t="n">
        <v>25</v>
      </c>
      <c r="N776" s="7"/>
      <c r="O776" s="7" t="str">
        <f aca="false">A776&amp;"|"&amp;B776&amp;"|"&amp;C776&amp;"|"&amp;D776&amp;"|"&amp;E776&amp;"|"&amp;F776&amp;"|"&amp;G776&amp;"|"&amp;H776&amp;"|"&amp;I776&amp;"|"&amp;J776&amp;"|"&amp;K776&amp;"|"&amp;L776&amp;"|"&amp;M776&amp;"|"&amp;N776</f>
        <v>ORD10288|2025-02-08|17:30|C1123|Biryani Baadshah|KOLKATA|Biryani|1|250|0|Cash on Delivery|Delivered|25|</v>
      </c>
      <c r="P776" s="7" t="str">
        <f aca="false">IF(COUNTIF($O$2:O776,O776)&gt;1,"DUP","OK")</f>
        <v>OK</v>
      </c>
      <c r="Q776" s="7" t="n">
        <f aca="false">COUNTBLANK(A776:N776)</f>
        <v>1</v>
      </c>
      <c r="R776" s="7" t="n">
        <f aca="false">IF(A776="",0,COUNTIFS($A$2:$A$3058,A776,$P$2:$P$3058,"OK"))</f>
        <v>1</v>
      </c>
      <c r="S776" s="7" t="str">
        <f aca="false">IF(OR(A776="",P776="DUP",R776&lt;2),"",IF(Q776=_xlfn.MINIFS($Q$2:$Q$3058,$A$2:$A$3058,A776,$P$2:$P$3058,"OK"),"KEEP","DROP"))</f>
        <v/>
      </c>
      <c r="T776" s="9" t="n">
        <f aca="false">IF(A776="",1,0)</f>
        <v>0</v>
      </c>
      <c r="U776" s="9" t="n">
        <f aca="false">IF(D776="",1,0)</f>
        <v>0</v>
      </c>
      <c r="V776" s="9" t="n">
        <f aca="false">IF(E776="",1,0)</f>
        <v>0</v>
      </c>
      <c r="W776" s="9" t="n">
        <f aca="false">IF(OR(H776&lt;1,H776&gt;10),1,0)</f>
        <v>0</v>
      </c>
      <c r="X776" s="9" t="n">
        <f aca="false">IF(OR(I776&lt;=0,I776&gt;1500),1,0)</f>
        <v>0</v>
      </c>
      <c r="Y776" s="9" t="n">
        <f aca="false">IF(J776&gt;H776*I776,1,0)</f>
        <v>0</v>
      </c>
      <c r="Z776" s="9" t="n">
        <f aca="false">IF(AND(N776&lt;&gt;"",OR(N776&lt;1,N776&gt;5)),1,0)</f>
        <v>0</v>
      </c>
      <c r="AA776" s="9" t="n">
        <f aca="false">IF(AND(M776&lt;&gt;"",OR(M776&lt;5,M776&gt;180)),1,0)</f>
        <v>0</v>
      </c>
      <c r="AB776" s="7" t="str">
        <f aca="false">IF(P776="DUP","Exact duplicate row",IF(T776=1,"Missing Order ID",IF(S776="DROP","Duplicate Order ID (less complete row)",IF(U776=1,"Missing Customer ID",IF(V776=1,"Missing Restaurant name",IF(W776=1,"Invalid/outlier quantity",IF(X776=1,"Invalid/outlier unit price",IF(Y776=1,"Discount greater than order value",""))))))))</f>
        <v/>
      </c>
      <c r="AC776" s="7" t="str">
        <f aca="false">IF(AB776="","KEEP","DROP")</f>
        <v>KEEP</v>
      </c>
      <c r="AD776" s="7" t="str">
        <f aca="false">IF(TRIM(F776)="",IFERROR(INDEX(Map_Tables!$I$4:$I$37,MATCH(TRIM(E776),Map_Tables!$G$4:$G$37,0)),""),IFERROR(INDEX(Map_Tables!$B$4:$B$18,MATCH(TRIM(F776),Map_Tables!$A$4:$A$18,0)),"CHECK"))</f>
        <v>Kolkata</v>
      </c>
      <c r="AE776" s="7" t="str">
        <f aca="false">IF(TRIM(E776)="","",IFERROR(INDEX(Map_Tables!$H$4:$H$37,MATCH(TRIM(E776),Map_Tables!$G$4:$G$37,0)),"CHECK"))</f>
        <v>Biryani Baadshah</v>
      </c>
      <c r="AF776" s="7" t="str">
        <f aca="false">IF(TRIM(K776)="","Unknown",IFERROR(INDEX(Map_Tables!$E$4:$E$15,MATCH(TRIM(K776),Map_Tables!$D$4:$D$15,0)),"CHECK"))</f>
        <v>Cash on Delivery</v>
      </c>
      <c r="AG776" s="7" t="str">
        <f aca="false">IF(LEFT(LOWER(TRIM(L776)),6)="cancel","Cancelled","Delivered")</f>
        <v>Delivered</v>
      </c>
      <c r="AH776" s="10" t="n">
        <f aca="false">IF(ISNUMBER(SEARCH("/",B776)),DATE(VALUE(RIGHT(B776,4)),VALUE(MID(B776,4,2)),VALUE(LEFT(B776,2))),IF(MID(B776,5,1)="-",DATE(VALUE(LEFT(B776,4)),VALUE(MID(B776,6,2)),VALUE(RIGHT(B776,2))),DATE(VALUE(RIGHT(B776,4)),MATCH(MID(B776,4,3),{"Jan","Feb","Mar","Apr","May","Jun","Jul","Aug","Sep","Oct","Nov","Dec"},0),VALUE(LEFT(B776,2)))))</f>
        <v>45696</v>
      </c>
    </row>
    <row r="777" customFormat="false" ht="15" hidden="false" customHeight="false" outlineLevel="0" collapsed="false">
      <c r="A777" s="7" t="s">
        <v>2543</v>
      </c>
      <c r="B777" s="7" t="s">
        <v>322</v>
      </c>
      <c r="C777" s="7" t="s">
        <v>1809</v>
      </c>
      <c r="D777" s="7" t="s">
        <v>985</v>
      </c>
      <c r="E777" s="7" t="s">
        <v>1806</v>
      </c>
      <c r="F777" s="7" t="s">
        <v>101</v>
      </c>
      <c r="G777" s="7" t="s">
        <v>90</v>
      </c>
      <c r="H777" s="7" t="n">
        <v>1</v>
      </c>
      <c r="I777" s="7" t="n">
        <v>245</v>
      </c>
      <c r="J777" s="7" t="n">
        <v>0</v>
      </c>
      <c r="K777" s="7" t="s">
        <v>112</v>
      </c>
      <c r="L777" s="7" t="s">
        <v>238</v>
      </c>
      <c r="M777" s="7"/>
      <c r="N777" s="7"/>
      <c r="O777" s="7" t="str">
        <f aca="false">A777&amp;"|"&amp;B777&amp;"|"&amp;C777&amp;"|"&amp;D777&amp;"|"&amp;E777&amp;"|"&amp;F777&amp;"|"&amp;G777&amp;"|"&amp;H777&amp;"|"&amp;I777&amp;"|"&amp;J777&amp;"|"&amp;K777&amp;"|"&amp;L777&amp;"|"&amp;M777&amp;"|"&amp;N777</f>
        <v>ORD11055|2025-05-13|12:07|C0143|curry leaf kitchen|Mumbai|North Indian|1|245|0|Cash on Delivery|Cancelled||</v>
      </c>
      <c r="P777" s="7" t="str">
        <f aca="false">IF(COUNTIF($O$2:O777,O777)&gt;1,"DUP","OK")</f>
        <v>OK</v>
      </c>
      <c r="Q777" s="7" t="n">
        <f aca="false">COUNTBLANK(A777:N777)</f>
        <v>2</v>
      </c>
      <c r="R777" s="7" t="n">
        <f aca="false">IF(A777="",0,COUNTIFS($A$2:$A$3058,A777,$P$2:$P$3058,"OK"))</f>
        <v>1</v>
      </c>
      <c r="S777" s="7" t="str">
        <f aca="false">IF(OR(A777="",P777="DUP",R777&lt;2),"",IF(Q777=_xlfn.MINIFS($Q$2:$Q$3058,$A$2:$A$3058,A777,$P$2:$P$3058,"OK"),"KEEP","DROP"))</f>
        <v/>
      </c>
      <c r="T777" s="9" t="n">
        <f aca="false">IF(A777="",1,0)</f>
        <v>0</v>
      </c>
      <c r="U777" s="9" t="n">
        <f aca="false">IF(D777="",1,0)</f>
        <v>0</v>
      </c>
      <c r="V777" s="9" t="n">
        <f aca="false">IF(E777="",1,0)</f>
        <v>0</v>
      </c>
      <c r="W777" s="9" t="n">
        <f aca="false">IF(OR(H777&lt;1,H777&gt;10),1,0)</f>
        <v>0</v>
      </c>
      <c r="X777" s="9" t="n">
        <f aca="false">IF(OR(I777&lt;=0,I777&gt;1500),1,0)</f>
        <v>0</v>
      </c>
      <c r="Y777" s="9" t="n">
        <f aca="false">IF(J777&gt;H777*I777,1,0)</f>
        <v>0</v>
      </c>
      <c r="Z777" s="9" t="n">
        <f aca="false">IF(AND(N777&lt;&gt;"",OR(N777&lt;1,N777&gt;5)),1,0)</f>
        <v>0</v>
      </c>
      <c r="AA777" s="9" t="n">
        <f aca="false">IF(AND(M777&lt;&gt;"",OR(M777&lt;5,M777&gt;180)),1,0)</f>
        <v>0</v>
      </c>
      <c r="AB777" s="7" t="str">
        <f aca="false">IF(P777="DUP","Exact duplicate row",IF(T777=1,"Missing Order ID",IF(S777="DROP","Duplicate Order ID (less complete row)",IF(U777=1,"Missing Customer ID",IF(V777=1,"Missing Restaurant name",IF(W777=1,"Invalid/outlier quantity",IF(X777=1,"Invalid/outlier unit price",IF(Y777=1,"Discount greater than order value",""))))))))</f>
        <v/>
      </c>
      <c r="AC777" s="7" t="str">
        <f aca="false">IF(AB777="","KEEP","DROP")</f>
        <v>KEEP</v>
      </c>
      <c r="AD777" s="7" t="str">
        <f aca="false">IF(TRIM(F777)="",IFERROR(INDEX(Map_Tables!$I$4:$I$37,MATCH(TRIM(E777),Map_Tables!$G$4:$G$37,0)),""),IFERROR(INDEX(Map_Tables!$B$4:$B$18,MATCH(TRIM(F777),Map_Tables!$A$4:$A$18,0)),"CHECK"))</f>
        <v>Mumbai</v>
      </c>
      <c r="AE777" s="7" t="str">
        <f aca="false">IF(TRIM(E777)="","",IFERROR(INDEX(Map_Tables!$H$4:$H$37,MATCH(TRIM(E777),Map_Tables!$G$4:$G$37,0)),"CHECK"))</f>
        <v>Curry Leaf Kitchen</v>
      </c>
      <c r="AF777" s="7" t="str">
        <f aca="false">IF(TRIM(K777)="","Unknown",IFERROR(INDEX(Map_Tables!$E$4:$E$15,MATCH(TRIM(K777),Map_Tables!$D$4:$D$15,0)),"CHECK"))</f>
        <v>Cash on Delivery</v>
      </c>
      <c r="AG777" s="7" t="str">
        <f aca="false">IF(LEFT(LOWER(TRIM(L777)),6)="cancel","Cancelled","Delivered")</f>
        <v>Cancelled</v>
      </c>
      <c r="AH777" s="10" t="n">
        <f aca="false">IF(ISNUMBER(SEARCH("/",B777)),DATE(VALUE(RIGHT(B777,4)),VALUE(MID(B777,4,2)),VALUE(LEFT(B777,2))),IF(MID(B777,5,1)="-",DATE(VALUE(LEFT(B777,4)),VALUE(MID(B777,6,2)),VALUE(RIGHT(B777,2))),DATE(VALUE(RIGHT(B777,4)),MATCH(MID(B777,4,3),{"Jan","Feb","Mar","Apr","May","Jun","Jul","Aug","Sep","Oct","Nov","Dec"},0),VALUE(LEFT(B777,2)))))</f>
        <v>45790</v>
      </c>
    </row>
    <row r="778" customFormat="false" ht="15" hidden="false" customHeight="false" outlineLevel="0" collapsed="false">
      <c r="A778" s="7" t="s">
        <v>2544</v>
      </c>
      <c r="B778" s="7" t="s">
        <v>1357</v>
      </c>
      <c r="C778" s="7" t="s">
        <v>2545</v>
      </c>
      <c r="D778" s="7" t="s">
        <v>2546</v>
      </c>
      <c r="E778" s="7" t="s">
        <v>98</v>
      </c>
      <c r="F778" s="7" t="s">
        <v>928</v>
      </c>
      <c r="G778" s="7" t="s">
        <v>99</v>
      </c>
      <c r="H778" s="7" t="n">
        <v>1</v>
      </c>
      <c r="I778" s="7" t="n">
        <v>285</v>
      </c>
      <c r="J778" s="7" t="n">
        <v>75</v>
      </c>
      <c r="K778" s="7" t="s">
        <v>103</v>
      </c>
      <c r="L778" s="7" t="s">
        <v>194</v>
      </c>
      <c r="M778" s="7" t="n">
        <v>38</v>
      </c>
      <c r="N778" s="7" t="n">
        <v>5</v>
      </c>
      <c r="O778" s="7" t="str">
        <f aca="false">A778&amp;"|"&amp;B778&amp;"|"&amp;C778&amp;"|"&amp;D778&amp;"|"&amp;E778&amp;"|"&amp;F778&amp;"|"&amp;G778&amp;"|"&amp;H778&amp;"|"&amp;I778&amp;"|"&amp;J778&amp;"|"&amp;K778&amp;"|"&amp;L778&amp;"|"&amp;M778&amp;"|"&amp;N778</f>
        <v>ORD12040|2025-09-21|17:11|C0373|Nawabi Biryani House|Bangalore|Biryani|1|285|75|Debit Card|Delivered|38|5</v>
      </c>
      <c r="P778" s="7" t="str">
        <f aca="false">IF(COUNTIF($O$2:O778,O778)&gt;1,"DUP","OK")</f>
        <v>OK</v>
      </c>
      <c r="Q778" s="7" t="n">
        <f aca="false">COUNTBLANK(A778:N778)</f>
        <v>0</v>
      </c>
      <c r="R778" s="7" t="n">
        <f aca="false">IF(A778="",0,COUNTIFS($A$2:$A$3058,A778,$P$2:$P$3058,"OK"))</f>
        <v>1</v>
      </c>
      <c r="S778" s="7" t="str">
        <f aca="false">IF(OR(A778="",P778="DUP",R778&lt;2),"",IF(Q778=_xlfn.MINIFS($Q$2:$Q$3058,$A$2:$A$3058,A778,$P$2:$P$3058,"OK"),"KEEP","DROP"))</f>
        <v/>
      </c>
      <c r="T778" s="9" t="n">
        <f aca="false">IF(A778="",1,0)</f>
        <v>0</v>
      </c>
      <c r="U778" s="9" t="n">
        <f aca="false">IF(D778="",1,0)</f>
        <v>0</v>
      </c>
      <c r="V778" s="9" t="n">
        <f aca="false">IF(E778="",1,0)</f>
        <v>0</v>
      </c>
      <c r="W778" s="9" t="n">
        <f aca="false">IF(OR(H778&lt;1,H778&gt;10),1,0)</f>
        <v>0</v>
      </c>
      <c r="X778" s="9" t="n">
        <f aca="false">IF(OR(I778&lt;=0,I778&gt;1500),1,0)</f>
        <v>0</v>
      </c>
      <c r="Y778" s="9" t="n">
        <f aca="false">IF(J778&gt;H778*I778,1,0)</f>
        <v>0</v>
      </c>
      <c r="Z778" s="9" t="n">
        <f aca="false">IF(AND(N778&lt;&gt;"",OR(N778&lt;1,N778&gt;5)),1,0)</f>
        <v>0</v>
      </c>
      <c r="AA778" s="9" t="n">
        <f aca="false">IF(AND(M778&lt;&gt;"",OR(M778&lt;5,M778&gt;180)),1,0)</f>
        <v>0</v>
      </c>
      <c r="AB778" s="7" t="str">
        <f aca="false">IF(P778="DUP","Exact duplicate row",IF(T778=1,"Missing Order ID",IF(S778="DROP","Duplicate Order ID (less complete row)",IF(U778=1,"Missing Customer ID",IF(V778=1,"Missing Restaurant name",IF(W778=1,"Invalid/outlier quantity",IF(X778=1,"Invalid/outlier unit price",IF(Y778=1,"Discount greater than order value",""))))))))</f>
        <v/>
      </c>
      <c r="AC778" s="7" t="str">
        <f aca="false">IF(AB778="","KEEP","DROP")</f>
        <v>KEEP</v>
      </c>
      <c r="AD778" s="7" t="str">
        <f aca="false">IF(TRIM(F778)="",IFERROR(INDEX(Map_Tables!$I$4:$I$37,MATCH(TRIM(E778),Map_Tables!$G$4:$G$37,0)),""),IFERROR(INDEX(Map_Tables!$B$4:$B$18,MATCH(TRIM(F778),Map_Tables!$A$4:$A$18,0)),"CHECK"))</f>
        <v>Bengaluru</v>
      </c>
      <c r="AE778" s="7" t="str">
        <f aca="false">IF(TRIM(E778)="","",IFERROR(INDEX(Map_Tables!$H$4:$H$37,MATCH(TRIM(E778),Map_Tables!$G$4:$G$37,0)),"CHECK"))</f>
        <v>Nawabi Biryani House</v>
      </c>
      <c r="AF778" s="7" t="str">
        <f aca="false">IF(TRIM(K778)="","Unknown",IFERROR(INDEX(Map_Tables!$E$4:$E$15,MATCH(TRIM(K778),Map_Tables!$D$4:$D$15,0)),"CHECK"))</f>
        <v>Debit Card</v>
      </c>
      <c r="AG778" s="7" t="str">
        <f aca="false">IF(LEFT(LOWER(TRIM(L778)),6)="cancel","Cancelled","Delivered")</f>
        <v>Delivered</v>
      </c>
      <c r="AH778" s="10" t="n">
        <f aca="false">IF(ISNUMBER(SEARCH("/",B778)),DATE(VALUE(RIGHT(B778,4)),VALUE(MID(B778,4,2)),VALUE(LEFT(B778,2))),IF(MID(B778,5,1)="-",DATE(VALUE(LEFT(B778,4)),VALUE(MID(B778,6,2)),VALUE(RIGHT(B778,2))),DATE(VALUE(RIGHT(B778,4)),MATCH(MID(B778,4,3),{"Jan","Feb","Mar","Apr","May","Jun","Jul","Aug","Sep","Oct","Nov","Dec"},0),VALUE(LEFT(B778,2)))))</f>
        <v>45921</v>
      </c>
    </row>
    <row r="779" customFormat="false" ht="15" hidden="false" customHeight="false" outlineLevel="0" collapsed="false">
      <c r="A779" s="7" t="s">
        <v>2547</v>
      </c>
      <c r="B779" s="7" t="s">
        <v>2548</v>
      </c>
      <c r="C779" s="7" t="s">
        <v>218</v>
      </c>
      <c r="D779" s="7" t="s">
        <v>2549</v>
      </c>
      <c r="E779" s="7" t="s">
        <v>168</v>
      </c>
      <c r="F779" s="7" t="s">
        <v>146</v>
      </c>
      <c r="G779" s="7" t="s">
        <v>123</v>
      </c>
      <c r="H779" s="7" t="n">
        <v>4</v>
      </c>
      <c r="I779" s="7" t="n">
        <v>245</v>
      </c>
      <c r="J779" s="7" t="n">
        <v>0</v>
      </c>
      <c r="K779" s="7" t="s">
        <v>112</v>
      </c>
      <c r="L779" s="7" t="s">
        <v>194</v>
      </c>
      <c r="M779" s="7" t="n">
        <v>47</v>
      </c>
      <c r="N779" s="7" t="n">
        <v>3</v>
      </c>
      <c r="O779" s="7" t="str">
        <f aca="false">A779&amp;"|"&amp;B779&amp;"|"&amp;C779&amp;"|"&amp;D779&amp;"|"&amp;E779&amp;"|"&amp;F779&amp;"|"&amp;G779&amp;"|"&amp;H779&amp;"|"&amp;I779&amp;"|"&amp;J779&amp;"|"&amp;K779&amp;"|"&amp;L779&amp;"|"&amp;M779&amp;"|"&amp;N779</f>
        <v>ORD11037|2025-05-11|12:48|C0733|Cheesy Slice|Ahmedabad|Pizza|4|245|0|Cash on Delivery|Delivered|47|3</v>
      </c>
      <c r="P779" s="7" t="str">
        <f aca="false">IF(COUNTIF($O$2:O779,O779)&gt;1,"DUP","OK")</f>
        <v>OK</v>
      </c>
      <c r="Q779" s="7" t="n">
        <f aca="false">COUNTBLANK(A779:N779)</f>
        <v>0</v>
      </c>
      <c r="R779" s="7" t="n">
        <f aca="false">IF(A779="",0,COUNTIFS($A$2:$A$3058,A779,$P$2:$P$3058,"OK"))</f>
        <v>1</v>
      </c>
      <c r="S779" s="7" t="str">
        <f aca="false">IF(OR(A779="",P779="DUP",R779&lt;2),"",IF(Q779=_xlfn.MINIFS($Q$2:$Q$3058,$A$2:$A$3058,A779,$P$2:$P$3058,"OK"),"KEEP","DROP"))</f>
        <v/>
      </c>
      <c r="T779" s="9" t="n">
        <f aca="false">IF(A779="",1,0)</f>
        <v>0</v>
      </c>
      <c r="U779" s="9" t="n">
        <f aca="false">IF(D779="",1,0)</f>
        <v>0</v>
      </c>
      <c r="V779" s="9" t="n">
        <f aca="false">IF(E779="",1,0)</f>
        <v>0</v>
      </c>
      <c r="W779" s="9" t="n">
        <f aca="false">IF(OR(H779&lt;1,H779&gt;10),1,0)</f>
        <v>0</v>
      </c>
      <c r="X779" s="9" t="n">
        <f aca="false">IF(OR(I779&lt;=0,I779&gt;1500),1,0)</f>
        <v>0</v>
      </c>
      <c r="Y779" s="9" t="n">
        <f aca="false">IF(J779&gt;H779*I779,1,0)</f>
        <v>0</v>
      </c>
      <c r="Z779" s="9" t="n">
        <f aca="false">IF(AND(N779&lt;&gt;"",OR(N779&lt;1,N779&gt;5)),1,0)</f>
        <v>0</v>
      </c>
      <c r="AA779" s="9" t="n">
        <f aca="false">IF(AND(M779&lt;&gt;"",OR(M779&lt;5,M779&gt;180)),1,0)</f>
        <v>0</v>
      </c>
      <c r="AB779" s="7" t="str">
        <f aca="false">IF(P779="DUP","Exact duplicate row",IF(T779=1,"Missing Order ID",IF(S779="DROP","Duplicate Order ID (less complete row)",IF(U779=1,"Missing Customer ID",IF(V779=1,"Missing Restaurant name",IF(W779=1,"Invalid/outlier quantity",IF(X779=1,"Invalid/outlier unit price",IF(Y779=1,"Discount greater than order value",""))))))))</f>
        <v/>
      </c>
      <c r="AC779" s="7" t="str">
        <f aca="false">IF(AB779="","KEEP","DROP")</f>
        <v>KEEP</v>
      </c>
      <c r="AD779" s="7" t="str">
        <f aca="false">IF(TRIM(F779)="",IFERROR(INDEX(Map_Tables!$I$4:$I$37,MATCH(TRIM(E779),Map_Tables!$G$4:$G$37,0)),""),IFERROR(INDEX(Map_Tables!$B$4:$B$18,MATCH(TRIM(F779),Map_Tables!$A$4:$A$18,0)),"CHECK"))</f>
        <v>Ahmedabad</v>
      </c>
      <c r="AE779" s="7" t="str">
        <f aca="false">IF(TRIM(E779)="","",IFERROR(INDEX(Map_Tables!$H$4:$H$37,MATCH(TRIM(E779),Map_Tables!$G$4:$G$37,0)),"CHECK"))</f>
        <v>Cheesy Slice</v>
      </c>
      <c r="AF779" s="7" t="str">
        <f aca="false">IF(TRIM(K779)="","Unknown",IFERROR(INDEX(Map_Tables!$E$4:$E$15,MATCH(TRIM(K779),Map_Tables!$D$4:$D$15,0)),"CHECK"))</f>
        <v>Cash on Delivery</v>
      </c>
      <c r="AG779" s="7" t="str">
        <f aca="false">IF(LEFT(LOWER(TRIM(L779)),6)="cancel","Cancelled","Delivered")</f>
        <v>Delivered</v>
      </c>
      <c r="AH779" s="10" t="n">
        <f aca="false">IF(ISNUMBER(SEARCH("/",B779)),DATE(VALUE(RIGHT(B779,4)),VALUE(MID(B779,4,2)),VALUE(LEFT(B779,2))),IF(MID(B779,5,1)="-",DATE(VALUE(LEFT(B779,4)),VALUE(MID(B779,6,2)),VALUE(RIGHT(B779,2))),DATE(VALUE(RIGHT(B779,4)),MATCH(MID(B779,4,3),{"Jan","Feb","Mar","Apr","May","Jun","Jul","Aug","Sep","Oct","Nov","Dec"},0),VALUE(LEFT(B779,2)))))</f>
        <v>45788</v>
      </c>
    </row>
    <row r="780" customFormat="false" ht="15" hidden="false" customHeight="false" outlineLevel="0" collapsed="false">
      <c r="A780" s="7" t="s">
        <v>2550</v>
      </c>
      <c r="B780" s="7" t="s">
        <v>2182</v>
      </c>
      <c r="C780" s="7" t="s">
        <v>2278</v>
      </c>
      <c r="D780" s="7" t="s">
        <v>1385</v>
      </c>
      <c r="E780" s="7" t="s">
        <v>138</v>
      </c>
      <c r="F780" s="7" t="s">
        <v>756</v>
      </c>
      <c r="G780" s="7" t="s">
        <v>139</v>
      </c>
      <c r="H780" s="7" t="n">
        <v>3</v>
      </c>
      <c r="I780" s="7" t="n">
        <v>235</v>
      </c>
      <c r="J780" s="7" t="n">
        <v>150</v>
      </c>
      <c r="K780" s="7" t="s">
        <v>93</v>
      </c>
      <c r="L780" s="7" t="s">
        <v>194</v>
      </c>
      <c r="M780" s="7" t="n">
        <v>53</v>
      </c>
      <c r="N780" s="7" t="n">
        <v>4</v>
      </c>
      <c r="O780" s="7" t="str">
        <f aca="false">A780&amp;"|"&amp;B780&amp;"|"&amp;C780&amp;"|"&amp;D780&amp;"|"&amp;E780&amp;"|"&amp;F780&amp;"|"&amp;G780&amp;"|"&amp;H780&amp;"|"&amp;I780&amp;"|"&amp;J780&amp;"|"&amp;K780&amp;"|"&amp;L780&amp;"|"&amp;M780&amp;"|"&amp;N780</f>
        <v>ORD11752|2025-08-17|18:10|C0178|Burger Barn|Delhi |Burgers|3|235|150|Credit Card|Delivered|53|4</v>
      </c>
      <c r="P780" s="7" t="str">
        <f aca="false">IF(COUNTIF($O$2:O780,O780)&gt;1,"DUP","OK")</f>
        <v>OK</v>
      </c>
      <c r="Q780" s="7" t="n">
        <f aca="false">COUNTBLANK(A780:N780)</f>
        <v>0</v>
      </c>
      <c r="R780" s="7" t="n">
        <f aca="false">IF(A780="",0,COUNTIFS($A$2:$A$3058,A780,$P$2:$P$3058,"OK"))</f>
        <v>1</v>
      </c>
      <c r="S780" s="7" t="str">
        <f aca="false">IF(OR(A780="",P780="DUP",R780&lt;2),"",IF(Q780=_xlfn.MINIFS($Q$2:$Q$3058,$A$2:$A$3058,A780,$P$2:$P$3058,"OK"),"KEEP","DROP"))</f>
        <v/>
      </c>
      <c r="T780" s="9" t="n">
        <f aca="false">IF(A780="",1,0)</f>
        <v>0</v>
      </c>
      <c r="U780" s="9" t="n">
        <f aca="false">IF(D780="",1,0)</f>
        <v>0</v>
      </c>
      <c r="V780" s="9" t="n">
        <f aca="false">IF(E780="",1,0)</f>
        <v>0</v>
      </c>
      <c r="W780" s="9" t="n">
        <f aca="false">IF(OR(H780&lt;1,H780&gt;10),1,0)</f>
        <v>0</v>
      </c>
      <c r="X780" s="9" t="n">
        <f aca="false">IF(OR(I780&lt;=0,I780&gt;1500),1,0)</f>
        <v>0</v>
      </c>
      <c r="Y780" s="9" t="n">
        <f aca="false">IF(J780&gt;H780*I780,1,0)</f>
        <v>0</v>
      </c>
      <c r="Z780" s="9" t="n">
        <f aca="false">IF(AND(N780&lt;&gt;"",OR(N780&lt;1,N780&gt;5)),1,0)</f>
        <v>0</v>
      </c>
      <c r="AA780" s="9" t="n">
        <f aca="false">IF(AND(M780&lt;&gt;"",OR(M780&lt;5,M780&gt;180)),1,0)</f>
        <v>0</v>
      </c>
      <c r="AB780" s="7" t="str">
        <f aca="false">IF(P780="DUP","Exact duplicate row",IF(T780=1,"Missing Order ID",IF(S780="DROP","Duplicate Order ID (less complete row)",IF(U780=1,"Missing Customer ID",IF(V780=1,"Missing Restaurant name",IF(W780=1,"Invalid/outlier quantity",IF(X780=1,"Invalid/outlier unit price",IF(Y780=1,"Discount greater than order value",""))))))))</f>
        <v/>
      </c>
      <c r="AC780" s="7" t="str">
        <f aca="false">IF(AB780="","KEEP","DROP")</f>
        <v>KEEP</v>
      </c>
      <c r="AD780" s="7" t="str">
        <f aca="false">IF(TRIM(F780)="",IFERROR(INDEX(Map_Tables!$I$4:$I$37,MATCH(TRIM(E780),Map_Tables!$G$4:$G$37,0)),""),IFERROR(INDEX(Map_Tables!$B$4:$B$18,MATCH(TRIM(F780),Map_Tables!$A$4:$A$18,0)),"CHECK"))</f>
        <v>Delhi</v>
      </c>
      <c r="AE780" s="7" t="str">
        <f aca="false">IF(TRIM(E780)="","",IFERROR(INDEX(Map_Tables!$H$4:$H$37,MATCH(TRIM(E780),Map_Tables!$G$4:$G$37,0)),"CHECK"))</f>
        <v>Burger Barn</v>
      </c>
      <c r="AF780" s="7" t="str">
        <f aca="false">IF(TRIM(K780)="","Unknown",IFERROR(INDEX(Map_Tables!$E$4:$E$15,MATCH(TRIM(K780),Map_Tables!$D$4:$D$15,0)),"CHECK"))</f>
        <v>Credit Card</v>
      </c>
      <c r="AG780" s="7" t="str">
        <f aca="false">IF(LEFT(LOWER(TRIM(L780)),6)="cancel","Cancelled","Delivered")</f>
        <v>Delivered</v>
      </c>
      <c r="AH780" s="10" t="n">
        <f aca="false">IF(ISNUMBER(SEARCH("/",B780)),DATE(VALUE(RIGHT(B780,4)),VALUE(MID(B780,4,2)),VALUE(LEFT(B780,2))),IF(MID(B780,5,1)="-",DATE(VALUE(LEFT(B780,4)),VALUE(MID(B780,6,2)),VALUE(RIGHT(B780,2))),DATE(VALUE(RIGHT(B780,4)),MATCH(MID(B780,4,3),{"Jan","Feb","Mar","Apr","May","Jun","Jul","Aug","Sep","Oct","Nov","Dec"},0),VALUE(LEFT(B780,2)))))</f>
        <v>45886</v>
      </c>
    </row>
    <row r="781" customFormat="false" ht="15" hidden="false" customHeight="false" outlineLevel="0" collapsed="false">
      <c r="A781" s="7" t="s">
        <v>2551</v>
      </c>
      <c r="B781" s="7" t="s">
        <v>1883</v>
      </c>
      <c r="C781" s="7" t="s">
        <v>2552</v>
      </c>
      <c r="D781" s="7" t="s">
        <v>2334</v>
      </c>
      <c r="E781" s="7" t="s">
        <v>134</v>
      </c>
      <c r="F781" s="7" t="s">
        <v>110</v>
      </c>
      <c r="G781" s="7" t="s">
        <v>117</v>
      </c>
      <c r="H781" s="7" t="n">
        <v>3</v>
      </c>
      <c r="I781" s="7" t="n">
        <v>100</v>
      </c>
      <c r="J781" s="7" t="n">
        <v>0</v>
      </c>
      <c r="K781" s="7" t="s">
        <v>88</v>
      </c>
      <c r="L781" s="7" t="s">
        <v>194</v>
      </c>
      <c r="M781" s="7" t="n">
        <v>37</v>
      </c>
      <c r="N781" s="7"/>
      <c r="O781" s="7" t="str">
        <f aca="false">A781&amp;"|"&amp;B781&amp;"|"&amp;C781&amp;"|"&amp;D781&amp;"|"&amp;E781&amp;"|"&amp;F781&amp;"|"&amp;G781&amp;"|"&amp;H781&amp;"|"&amp;I781&amp;"|"&amp;J781&amp;"|"&amp;K781&amp;"|"&amp;L781&amp;"|"&amp;M781&amp;"|"&amp;N781</f>
        <v>ORD11644|2025-08-03|10:38|C0052|Chaat Corner|Delhi|Street Food|3|100|0|UPI|Delivered|37|</v>
      </c>
      <c r="P781" s="7" t="str">
        <f aca="false">IF(COUNTIF($O$2:O781,O781)&gt;1,"DUP","OK")</f>
        <v>OK</v>
      </c>
      <c r="Q781" s="7" t="n">
        <f aca="false">COUNTBLANK(A781:N781)</f>
        <v>1</v>
      </c>
      <c r="R781" s="7" t="n">
        <f aca="false">IF(A781="",0,COUNTIFS($A$2:$A$3058,A781,$P$2:$P$3058,"OK"))</f>
        <v>1</v>
      </c>
      <c r="S781" s="7" t="str">
        <f aca="false">IF(OR(A781="",P781="DUP",R781&lt;2),"",IF(Q781=_xlfn.MINIFS($Q$2:$Q$3058,$A$2:$A$3058,A781,$P$2:$P$3058,"OK"),"KEEP","DROP"))</f>
        <v/>
      </c>
      <c r="T781" s="9" t="n">
        <f aca="false">IF(A781="",1,0)</f>
        <v>0</v>
      </c>
      <c r="U781" s="9" t="n">
        <f aca="false">IF(D781="",1,0)</f>
        <v>0</v>
      </c>
      <c r="V781" s="9" t="n">
        <f aca="false">IF(E781="",1,0)</f>
        <v>0</v>
      </c>
      <c r="W781" s="9" t="n">
        <f aca="false">IF(OR(H781&lt;1,H781&gt;10),1,0)</f>
        <v>0</v>
      </c>
      <c r="X781" s="9" t="n">
        <f aca="false">IF(OR(I781&lt;=0,I781&gt;1500),1,0)</f>
        <v>0</v>
      </c>
      <c r="Y781" s="9" t="n">
        <f aca="false">IF(J781&gt;H781*I781,1,0)</f>
        <v>0</v>
      </c>
      <c r="Z781" s="9" t="n">
        <f aca="false">IF(AND(N781&lt;&gt;"",OR(N781&lt;1,N781&gt;5)),1,0)</f>
        <v>0</v>
      </c>
      <c r="AA781" s="9" t="n">
        <f aca="false">IF(AND(M781&lt;&gt;"",OR(M781&lt;5,M781&gt;180)),1,0)</f>
        <v>0</v>
      </c>
      <c r="AB781" s="7" t="str">
        <f aca="false">IF(P781="DUP","Exact duplicate row",IF(T781=1,"Missing Order ID",IF(S781="DROP","Duplicate Order ID (less complete row)",IF(U781=1,"Missing Customer ID",IF(V781=1,"Missing Restaurant name",IF(W781=1,"Invalid/outlier quantity",IF(X781=1,"Invalid/outlier unit price",IF(Y781=1,"Discount greater than order value",""))))))))</f>
        <v/>
      </c>
      <c r="AC781" s="7" t="str">
        <f aca="false">IF(AB781="","KEEP","DROP")</f>
        <v>KEEP</v>
      </c>
      <c r="AD781" s="7" t="str">
        <f aca="false">IF(TRIM(F781)="",IFERROR(INDEX(Map_Tables!$I$4:$I$37,MATCH(TRIM(E781),Map_Tables!$G$4:$G$37,0)),""),IFERROR(INDEX(Map_Tables!$B$4:$B$18,MATCH(TRIM(F781),Map_Tables!$A$4:$A$18,0)),"CHECK"))</f>
        <v>Delhi</v>
      </c>
      <c r="AE781" s="7" t="str">
        <f aca="false">IF(TRIM(E781)="","",IFERROR(INDEX(Map_Tables!$H$4:$H$37,MATCH(TRIM(E781),Map_Tables!$G$4:$G$37,0)),"CHECK"))</f>
        <v>Chaat Corner</v>
      </c>
      <c r="AF781" s="7" t="str">
        <f aca="false">IF(TRIM(K781)="","Unknown",IFERROR(INDEX(Map_Tables!$E$4:$E$15,MATCH(TRIM(K781),Map_Tables!$D$4:$D$15,0)),"CHECK"))</f>
        <v>UPI</v>
      </c>
      <c r="AG781" s="7" t="str">
        <f aca="false">IF(LEFT(LOWER(TRIM(L781)),6)="cancel","Cancelled","Delivered")</f>
        <v>Delivered</v>
      </c>
      <c r="AH781" s="10" t="n">
        <f aca="false">IF(ISNUMBER(SEARCH("/",B781)),DATE(VALUE(RIGHT(B781,4)),VALUE(MID(B781,4,2)),VALUE(LEFT(B781,2))),IF(MID(B781,5,1)="-",DATE(VALUE(LEFT(B781,4)),VALUE(MID(B781,6,2)),VALUE(RIGHT(B781,2))),DATE(VALUE(RIGHT(B781,4)),MATCH(MID(B781,4,3),{"Jan","Feb","Mar","Apr","May","Jun","Jul","Aug","Sep","Oct","Nov","Dec"},0),VALUE(LEFT(B781,2)))))</f>
        <v>45872</v>
      </c>
    </row>
    <row r="782" customFormat="false" ht="15" hidden="false" customHeight="false" outlineLevel="0" collapsed="false">
      <c r="A782" s="7" t="s">
        <v>2553</v>
      </c>
      <c r="B782" s="7" t="s">
        <v>715</v>
      </c>
      <c r="C782" s="7" t="s">
        <v>2024</v>
      </c>
      <c r="D782" s="7" t="s">
        <v>2554</v>
      </c>
      <c r="E782" s="7" t="s">
        <v>126</v>
      </c>
      <c r="F782" s="7" t="s">
        <v>1557</v>
      </c>
      <c r="G782" s="7" t="s">
        <v>105</v>
      </c>
      <c r="H782" s="7" t="n">
        <v>1</v>
      </c>
      <c r="I782" s="7" t="n">
        <v>225</v>
      </c>
      <c r="J782" s="7" t="n">
        <v>40</v>
      </c>
      <c r="K782" s="7" t="s">
        <v>121</v>
      </c>
      <c r="L782" s="7" t="s">
        <v>194</v>
      </c>
      <c r="M782" s="7" t="n">
        <v>38</v>
      </c>
      <c r="N782" s="7" t="n">
        <v>5</v>
      </c>
      <c r="O782" s="7" t="str">
        <f aca="false">A782&amp;"|"&amp;B782&amp;"|"&amp;C782&amp;"|"&amp;D782&amp;"|"&amp;E782&amp;"|"&amp;F782&amp;"|"&amp;G782&amp;"|"&amp;H782&amp;"|"&amp;I782&amp;"|"&amp;J782&amp;"|"&amp;K782&amp;"|"&amp;L782&amp;"|"&amp;M782&amp;"|"&amp;N782</f>
        <v>ORD11268|2025-06-11|17:19|C1184|Dragon Express|Mumbai |Chinese|1|225|40|Wallet|Delivered|38|5</v>
      </c>
      <c r="P782" s="7" t="str">
        <f aca="false">IF(COUNTIF($O$2:O782,O782)&gt;1,"DUP","OK")</f>
        <v>OK</v>
      </c>
      <c r="Q782" s="7" t="n">
        <f aca="false">COUNTBLANK(A782:N782)</f>
        <v>0</v>
      </c>
      <c r="R782" s="7" t="n">
        <f aca="false">IF(A782="",0,COUNTIFS($A$2:$A$3058,A782,$P$2:$P$3058,"OK"))</f>
        <v>1</v>
      </c>
      <c r="S782" s="7" t="str">
        <f aca="false">IF(OR(A782="",P782="DUP",R782&lt;2),"",IF(Q782=_xlfn.MINIFS($Q$2:$Q$3058,$A$2:$A$3058,A782,$P$2:$P$3058,"OK"),"KEEP","DROP"))</f>
        <v/>
      </c>
      <c r="T782" s="9" t="n">
        <f aca="false">IF(A782="",1,0)</f>
        <v>0</v>
      </c>
      <c r="U782" s="9" t="n">
        <f aca="false">IF(D782="",1,0)</f>
        <v>0</v>
      </c>
      <c r="V782" s="9" t="n">
        <f aca="false">IF(E782="",1,0)</f>
        <v>0</v>
      </c>
      <c r="W782" s="9" t="n">
        <f aca="false">IF(OR(H782&lt;1,H782&gt;10),1,0)</f>
        <v>0</v>
      </c>
      <c r="X782" s="9" t="n">
        <f aca="false">IF(OR(I782&lt;=0,I782&gt;1500),1,0)</f>
        <v>0</v>
      </c>
      <c r="Y782" s="9" t="n">
        <f aca="false">IF(J782&gt;H782*I782,1,0)</f>
        <v>0</v>
      </c>
      <c r="Z782" s="9" t="n">
        <f aca="false">IF(AND(N782&lt;&gt;"",OR(N782&lt;1,N782&gt;5)),1,0)</f>
        <v>0</v>
      </c>
      <c r="AA782" s="9" t="n">
        <f aca="false">IF(AND(M782&lt;&gt;"",OR(M782&lt;5,M782&gt;180)),1,0)</f>
        <v>0</v>
      </c>
      <c r="AB782" s="7" t="str">
        <f aca="false">IF(P782="DUP","Exact duplicate row",IF(T782=1,"Missing Order ID",IF(S782="DROP","Duplicate Order ID (less complete row)",IF(U782=1,"Missing Customer ID",IF(V782=1,"Missing Restaurant name",IF(W782=1,"Invalid/outlier quantity",IF(X782=1,"Invalid/outlier unit price",IF(Y782=1,"Discount greater than order value",""))))))))</f>
        <v/>
      </c>
      <c r="AC782" s="7" t="str">
        <f aca="false">IF(AB782="","KEEP","DROP")</f>
        <v>KEEP</v>
      </c>
      <c r="AD782" s="7" t="str">
        <f aca="false">IF(TRIM(F782)="",IFERROR(INDEX(Map_Tables!$I$4:$I$37,MATCH(TRIM(E782),Map_Tables!$G$4:$G$37,0)),""),IFERROR(INDEX(Map_Tables!$B$4:$B$18,MATCH(TRIM(F782),Map_Tables!$A$4:$A$18,0)),"CHECK"))</f>
        <v>Mumbai</v>
      </c>
      <c r="AE782" s="7" t="str">
        <f aca="false">IF(TRIM(E782)="","",IFERROR(INDEX(Map_Tables!$H$4:$H$37,MATCH(TRIM(E782),Map_Tables!$G$4:$G$37,0)),"CHECK"))</f>
        <v>Dragon Express</v>
      </c>
      <c r="AF782" s="7" t="str">
        <f aca="false">IF(TRIM(K782)="","Unknown",IFERROR(INDEX(Map_Tables!$E$4:$E$15,MATCH(TRIM(K782),Map_Tables!$D$4:$D$15,0)),"CHECK"))</f>
        <v>Wallet</v>
      </c>
      <c r="AG782" s="7" t="str">
        <f aca="false">IF(LEFT(LOWER(TRIM(L782)),6)="cancel","Cancelled","Delivered")</f>
        <v>Delivered</v>
      </c>
      <c r="AH782" s="10" t="n">
        <f aca="false">IF(ISNUMBER(SEARCH("/",B782)),DATE(VALUE(RIGHT(B782,4)),VALUE(MID(B782,4,2)),VALUE(LEFT(B782,2))),IF(MID(B782,5,1)="-",DATE(VALUE(LEFT(B782,4)),VALUE(MID(B782,6,2)),VALUE(RIGHT(B782,2))),DATE(VALUE(RIGHT(B782,4)),MATCH(MID(B782,4,3),{"Jan","Feb","Mar","Apr","May","Jun","Jul","Aug","Sep","Oct","Nov","Dec"},0),VALUE(LEFT(B782,2)))))</f>
        <v>45819</v>
      </c>
    </row>
    <row r="783" customFormat="false" ht="15" hidden="false" customHeight="false" outlineLevel="0" collapsed="false">
      <c r="A783" s="7" t="s">
        <v>2555</v>
      </c>
      <c r="B783" s="7" t="s">
        <v>1883</v>
      </c>
      <c r="C783" s="7" t="s">
        <v>2033</v>
      </c>
      <c r="D783" s="7" t="s">
        <v>2556</v>
      </c>
      <c r="E783" s="7" t="s">
        <v>134</v>
      </c>
      <c r="F783" s="7" t="s">
        <v>294</v>
      </c>
      <c r="G783" s="7" t="s">
        <v>117</v>
      </c>
      <c r="H783" s="7" t="n">
        <v>4</v>
      </c>
      <c r="I783" s="7" t="n">
        <v>140</v>
      </c>
      <c r="J783" s="7" t="n">
        <v>0</v>
      </c>
      <c r="K783" s="7" t="s">
        <v>112</v>
      </c>
      <c r="L783" s="7" t="s">
        <v>194</v>
      </c>
      <c r="M783" s="7" t="n">
        <v>44</v>
      </c>
      <c r="N783" s="7" t="n">
        <v>5</v>
      </c>
      <c r="O783" s="7" t="str">
        <f aca="false">A783&amp;"|"&amp;B783&amp;"|"&amp;C783&amp;"|"&amp;D783&amp;"|"&amp;E783&amp;"|"&amp;F783&amp;"|"&amp;G783&amp;"|"&amp;H783&amp;"|"&amp;I783&amp;"|"&amp;J783&amp;"|"&amp;K783&amp;"|"&amp;L783&amp;"|"&amp;M783&amp;"|"&amp;N783</f>
        <v>ORD11648|2025-08-03|19:02|C0544|Chaat Corner|New Delhi|Street Food|4|140|0|Cash on Delivery|Delivered|44|5</v>
      </c>
      <c r="P783" s="7" t="str">
        <f aca="false">IF(COUNTIF($O$2:O783,O783)&gt;1,"DUP","OK")</f>
        <v>OK</v>
      </c>
      <c r="Q783" s="7" t="n">
        <f aca="false">COUNTBLANK(A783:N783)</f>
        <v>0</v>
      </c>
      <c r="R783" s="7" t="n">
        <f aca="false">IF(A783="",0,COUNTIFS($A$2:$A$3058,A783,$P$2:$P$3058,"OK"))</f>
        <v>1</v>
      </c>
      <c r="S783" s="7" t="str">
        <f aca="false">IF(OR(A783="",P783="DUP",R783&lt;2),"",IF(Q783=_xlfn.MINIFS($Q$2:$Q$3058,$A$2:$A$3058,A783,$P$2:$P$3058,"OK"),"KEEP","DROP"))</f>
        <v/>
      </c>
      <c r="T783" s="9" t="n">
        <f aca="false">IF(A783="",1,0)</f>
        <v>0</v>
      </c>
      <c r="U783" s="9" t="n">
        <f aca="false">IF(D783="",1,0)</f>
        <v>0</v>
      </c>
      <c r="V783" s="9" t="n">
        <f aca="false">IF(E783="",1,0)</f>
        <v>0</v>
      </c>
      <c r="W783" s="9" t="n">
        <f aca="false">IF(OR(H783&lt;1,H783&gt;10),1,0)</f>
        <v>0</v>
      </c>
      <c r="X783" s="9" t="n">
        <f aca="false">IF(OR(I783&lt;=0,I783&gt;1500),1,0)</f>
        <v>0</v>
      </c>
      <c r="Y783" s="9" t="n">
        <f aca="false">IF(J783&gt;H783*I783,1,0)</f>
        <v>0</v>
      </c>
      <c r="Z783" s="9" t="n">
        <f aca="false">IF(AND(N783&lt;&gt;"",OR(N783&lt;1,N783&gt;5)),1,0)</f>
        <v>0</v>
      </c>
      <c r="AA783" s="9" t="n">
        <f aca="false">IF(AND(M783&lt;&gt;"",OR(M783&lt;5,M783&gt;180)),1,0)</f>
        <v>0</v>
      </c>
      <c r="AB783" s="7" t="str">
        <f aca="false">IF(P783="DUP","Exact duplicate row",IF(T783=1,"Missing Order ID",IF(S783="DROP","Duplicate Order ID (less complete row)",IF(U783=1,"Missing Customer ID",IF(V783=1,"Missing Restaurant name",IF(W783=1,"Invalid/outlier quantity",IF(X783=1,"Invalid/outlier unit price",IF(Y783=1,"Discount greater than order value",""))))))))</f>
        <v/>
      </c>
      <c r="AC783" s="7" t="str">
        <f aca="false">IF(AB783="","KEEP","DROP")</f>
        <v>KEEP</v>
      </c>
      <c r="AD783" s="7" t="str">
        <f aca="false">IF(TRIM(F783)="",IFERROR(INDEX(Map_Tables!$I$4:$I$37,MATCH(TRIM(E783),Map_Tables!$G$4:$G$37,0)),""),IFERROR(INDEX(Map_Tables!$B$4:$B$18,MATCH(TRIM(F783),Map_Tables!$A$4:$A$18,0)),"CHECK"))</f>
        <v>Delhi</v>
      </c>
      <c r="AE783" s="7" t="str">
        <f aca="false">IF(TRIM(E783)="","",IFERROR(INDEX(Map_Tables!$H$4:$H$37,MATCH(TRIM(E783),Map_Tables!$G$4:$G$37,0)),"CHECK"))</f>
        <v>Chaat Corner</v>
      </c>
      <c r="AF783" s="7" t="str">
        <f aca="false">IF(TRIM(K783)="","Unknown",IFERROR(INDEX(Map_Tables!$E$4:$E$15,MATCH(TRIM(K783),Map_Tables!$D$4:$D$15,0)),"CHECK"))</f>
        <v>Cash on Delivery</v>
      </c>
      <c r="AG783" s="7" t="str">
        <f aca="false">IF(LEFT(LOWER(TRIM(L783)),6)="cancel","Cancelled","Delivered")</f>
        <v>Delivered</v>
      </c>
      <c r="AH783" s="10" t="n">
        <f aca="false">IF(ISNUMBER(SEARCH("/",B783)),DATE(VALUE(RIGHT(B783,4)),VALUE(MID(B783,4,2)),VALUE(LEFT(B783,2))),IF(MID(B783,5,1)="-",DATE(VALUE(LEFT(B783,4)),VALUE(MID(B783,6,2)),VALUE(RIGHT(B783,2))),DATE(VALUE(RIGHT(B783,4)),MATCH(MID(B783,4,3),{"Jan","Feb","Mar","Apr","May","Jun","Jul","Aug","Sep","Oct","Nov","Dec"},0),VALUE(LEFT(B783,2)))))</f>
        <v>45872</v>
      </c>
    </row>
    <row r="784" customFormat="false" ht="15" hidden="false" customHeight="false" outlineLevel="0" collapsed="false">
      <c r="A784" s="7" t="s">
        <v>2557</v>
      </c>
      <c r="B784" s="7" t="s">
        <v>318</v>
      </c>
      <c r="C784" s="7" t="s">
        <v>644</v>
      </c>
      <c r="D784" s="7" t="s">
        <v>1385</v>
      </c>
      <c r="E784" s="7"/>
      <c r="F784" s="7" t="s">
        <v>110</v>
      </c>
      <c r="G784" s="7" t="s">
        <v>139</v>
      </c>
      <c r="H784" s="7" t="n">
        <v>1</v>
      </c>
      <c r="I784" s="7" t="n">
        <v>160</v>
      </c>
      <c r="J784" s="7" t="n">
        <v>0</v>
      </c>
      <c r="K784" s="7" t="s">
        <v>88</v>
      </c>
      <c r="L784" s="7" t="s">
        <v>194</v>
      </c>
      <c r="M784" s="7" t="n">
        <v>38</v>
      </c>
      <c r="N784" s="7" t="n">
        <v>4</v>
      </c>
      <c r="O784" s="7" t="str">
        <f aca="false">A784&amp;"|"&amp;B784&amp;"|"&amp;C784&amp;"|"&amp;D784&amp;"|"&amp;E784&amp;"|"&amp;F784&amp;"|"&amp;G784&amp;"|"&amp;H784&amp;"|"&amp;I784&amp;"|"&amp;J784&amp;"|"&amp;K784&amp;"|"&amp;L784&amp;"|"&amp;M784&amp;"|"&amp;N784</f>
        <v>ORD10745|2025-04-05|13:27|C0178||Delhi|Burgers|1|160|0|UPI|Delivered|38|4</v>
      </c>
      <c r="P784" s="7" t="str">
        <f aca="false">IF(COUNTIF($O$2:O784,O784)&gt;1,"DUP","OK")</f>
        <v>OK</v>
      </c>
      <c r="Q784" s="7" t="n">
        <f aca="false">COUNTBLANK(A784:N784)</f>
        <v>1</v>
      </c>
      <c r="R784" s="7" t="n">
        <f aca="false">IF(A784="",0,COUNTIFS($A$2:$A$3058,A784,$P$2:$P$3058,"OK"))</f>
        <v>1</v>
      </c>
      <c r="S784" s="7" t="str">
        <f aca="false">IF(OR(A784="",P784="DUP",R784&lt;2),"",IF(Q784=_xlfn.MINIFS($Q$2:$Q$3058,$A$2:$A$3058,A784,$P$2:$P$3058,"OK"),"KEEP","DROP"))</f>
        <v/>
      </c>
      <c r="T784" s="9" t="n">
        <f aca="false">IF(A784="",1,0)</f>
        <v>0</v>
      </c>
      <c r="U784" s="9" t="n">
        <f aca="false">IF(D784="",1,0)</f>
        <v>0</v>
      </c>
      <c r="V784" s="9" t="n">
        <f aca="false">IF(E784="",1,0)</f>
        <v>1</v>
      </c>
      <c r="W784" s="9" t="n">
        <f aca="false">IF(OR(H784&lt;1,H784&gt;10),1,0)</f>
        <v>0</v>
      </c>
      <c r="X784" s="9" t="n">
        <f aca="false">IF(OR(I784&lt;=0,I784&gt;1500),1,0)</f>
        <v>0</v>
      </c>
      <c r="Y784" s="9" t="n">
        <f aca="false">IF(J784&gt;H784*I784,1,0)</f>
        <v>0</v>
      </c>
      <c r="Z784" s="9" t="n">
        <f aca="false">IF(AND(N784&lt;&gt;"",OR(N784&lt;1,N784&gt;5)),1,0)</f>
        <v>0</v>
      </c>
      <c r="AA784" s="9" t="n">
        <f aca="false">IF(AND(M784&lt;&gt;"",OR(M784&lt;5,M784&gt;180)),1,0)</f>
        <v>0</v>
      </c>
      <c r="AB784" s="7" t="str">
        <f aca="false">IF(P784="DUP","Exact duplicate row",IF(T784=1,"Missing Order ID",IF(S784="DROP","Duplicate Order ID (less complete row)",IF(U784=1,"Missing Customer ID",IF(V784=1,"Missing Restaurant name",IF(W784=1,"Invalid/outlier quantity",IF(X784=1,"Invalid/outlier unit price",IF(Y784=1,"Discount greater than order value",""))))))))</f>
        <v>Missing Restaurant name</v>
      </c>
      <c r="AC784" s="7" t="str">
        <f aca="false">IF(AB784="","KEEP","DROP")</f>
        <v>DROP</v>
      </c>
      <c r="AD784" s="7" t="str">
        <f aca="false">IF(TRIM(F784)="",IFERROR(INDEX(Map_Tables!$I$4:$I$37,MATCH(TRIM(E784),Map_Tables!$G$4:$G$37,0)),""),IFERROR(INDEX(Map_Tables!$B$4:$B$18,MATCH(TRIM(F784),Map_Tables!$A$4:$A$18,0)),"CHECK"))</f>
        <v>Delhi</v>
      </c>
      <c r="AE784" s="7" t="str">
        <f aca="false">IF(TRIM(E784)="","",IFERROR(INDEX(Map_Tables!$H$4:$H$37,MATCH(TRIM(E784),Map_Tables!$G$4:$G$37,0)),"CHECK"))</f>
        <v/>
      </c>
      <c r="AF784" s="7" t="str">
        <f aca="false">IF(TRIM(K784)="","Unknown",IFERROR(INDEX(Map_Tables!$E$4:$E$15,MATCH(TRIM(K784),Map_Tables!$D$4:$D$15,0)),"CHECK"))</f>
        <v>UPI</v>
      </c>
      <c r="AG784" s="7" t="str">
        <f aca="false">IF(LEFT(LOWER(TRIM(L784)),6)="cancel","Cancelled","Delivered")</f>
        <v>Delivered</v>
      </c>
      <c r="AH784" s="10" t="n">
        <f aca="false">IF(ISNUMBER(SEARCH("/",B784)),DATE(VALUE(RIGHT(B784,4)),VALUE(MID(B784,4,2)),VALUE(LEFT(B784,2))),IF(MID(B784,5,1)="-",DATE(VALUE(LEFT(B784,4)),VALUE(MID(B784,6,2)),VALUE(RIGHT(B784,2))),DATE(VALUE(RIGHT(B784,4)),MATCH(MID(B784,4,3),{"Jan","Feb","Mar","Apr","May","Jun","Jul","Aug","Sep","Oct","Nov","Dec"},0),VALUE(LEFT(B784,2)))))</f>
        <v>45752</v>
      </c>
    </row>
    <row r="785" customFormat="false" ht="15" hidden="false" customHeight="false" outlineLevel="0" collapsed="false">
      <c r="A785" s="7" t="s">
        <v>2558</v>
      </c>
      <c r="B785" s="7" t="s">
        <v>1304</v>
      </c>
      <c r="C785" s="7" t="s">
        <v>2559</v>
      </c>
      <c r="D785" s="7" t="s">
        <v>2426</v>
      </c>
      <c r="E785" s="7" t="s">
        <v>104</v>
      </c>
      <c r="F785" s="7" t="s">
        <v>86</v>
      </c>
      <c r="G785" s="7" t="s">
        <v>105</v>
      </c>
      <c r="H785" s="7" t="n">
        <v>1</v>
      </c>
      <c r="I785" s="7" t="n">
        <v>230</v>
      </c>
      <c r="J785" s="7" t="n">
        <v>0</v>
      </c>
      <c r="K785" s="7" t="s">
        <v>112</v>
      </c>
      <c r="L785" s="7" t="s">
        <v>238</v>
      </c>
      <c r="M785" s="7"/>
      <c r="N785" s="7"/>
      <c r="O785" s="7" t="str">
        <f aca="false">A785&amp;"|"&amp;B785&amp;"|"&amp;C785&amp;"|"&amp;D785&amp;"|"&amp;E785&amp;"|"&amp;F785&amp;"|"&amp;G785&amp;"|"&amp;H785&amp;"|"&amp;I785&amp;"|"&amp;J785&amp;"|"&amp;K785&amp;"|"&amp;L785&amp;"|"&amp;M785&amp;"|"&amp;N785</f>
        <v>ORD11797|2025-08-22|18:20|C0220|Wok &amp; Roll|Bengaluru|Chinese|1|230|0|Cash on Delivery|Cancelled||</v>
      </c>
      <c r="P785" s="7" t="str">
        <f aca="false">IF(COUNTIF($O$2:O785,O785)&gt;1,"DUP","OK")</f>
        <v>OK</v>
      </c>
      <c r="Q785" s="7" t="n">
        <f aca="false">COUNTBLANK(A785:N785)</f>
        <v>2</v>
      </c>
      <c r="R785" s="7" t="n">
        <f aca="false">IF(A785="",0,COUNTIFS($A$2:$A$3058,A785,$P$2:$P$3058,"OK"))</f>
        <v>1</v>
      </c>
      <c r="S785" s="7" t="str">
        <f aca="false">IF(OR(A785="",P785="DUP",R785&lt;2),"",IF(Q785=_xlfn.MINIFS($Q$2:$Q$3058,$A$2:$A$3058,A785,$P$2:$P$3058,"OK"),"KEEP","DROP"))</f>
        <v/>
      </c>
      <c r="T785" s="9" t="n">
        <f aca="false">IF(A785="",1,0)</f>
        <v>0</v>
      </c>
      <c r="U785" s="9" t="n">
        <f aca="false">IF(D785="",1,0)</f>
        <v>0</v>
      </c>
      <c r="V785" s="9" t="n">
        <f aca="false">IF(E785="",1,0)</f>
        <v>0</v>
      </c>
      <c r="W785" s="9" t="n">
        <f aca="false">IF(OR(H785&lt;1,H785&gt;10),1,0)</f>
        <v>0</v>
      </c>
      <c r="X785" s="9" t="n">
        <f aca="false">IF(OR(I785&lt;=0,I785&gt;1500),1,0)</f>
        <v>0</v>
      </c>
      <c r="Y785" s="9" t="n">
        <f aca="false">IF(J785&gt;H785*I785,1,0)</f>
        <v>0</v>
      </c>
      <c r="Z785" s="9" t="n">
        <f aca="false">IF(AND(N785&lt;&gt;"",OR(N785&lt;1,N785&gt;5)),1,0)</f>
        <v>0</v>
      </c>
      <c r="AA785" s="9" t="n">
        <f aca="false">IF(AND(M785&lt;&gt;"",OR(M785&lt;5,M785&gt;180)),1,0)</f>
        <v>0</v>
      </c>
      <c r="AB785" s="7" t="str">
        <f aca="false">IF(P785="DUP","Exact duplicate row",IF(T785=1,"Missing Order ID",IF(S785="DROP","Duplicate Order ID (less complete row)",IF(U785=1,"Missing Customer ID",IF(V785=1,"Missing Restaurant name",IF(W785=1,"Invalid/outlier quantity",IF(X785=1,"Invalid/outlier unit price",IF(Y785=1,"Discount greater than order value",""))))))))</f>
        <v/>
      </c>
      <c r="AC785" s="7" t="str">
        <f aca="false">IF(AB785="","KEEP","DROP")</f>
        <v>KEEP</v>
      </c>
      <c r="AD785" s="7" t="str">
        <f aca="false">IF(TRIM(F785)="",IFERROR(INDEX(Map_Tables!$I$4:$I$37,MATCH(TRIM(E785),Map_Tables!$G$4:$G$37,0)),""),IFERROR(INDEX(Map_Tables!$B$4:$B$18,MATCH(TRIM(F785),Map_Tables!$A$4:$A$18,0)),"CHECK"))</f>
        <v>Bengaluru</v>
      </c>
      <c r="AE785" s="7" t="str">
        <f aca="false">IF(TRIM(E785)="","",IFERROR(INDEX(Map_Tables!$H$4:$H$37,MATCH(TRIM(E785),Map_Tables!$G$4:$G$37,0)),"CHECK"))</f>
        <v>Wok &amp; Roll</v>
      </c>
      <c r="AF785" s="7" t="str">
        <f aca="false">IF(TRIM(K785)="","Unknown",IFERROR(INDEX(Map_Tables!$E$4:$E$15,MATCH(TRIM(K785),Map_Tables!$D$4:$D$15,0)),"CHECK"))</f>
        <v>Cash on Delivery</v>
      </c>
      <c r="AG785" s="7" t="str">
        <f aca="false">IF(LEFT(LOWER(TRIM(L785)),6)="cancel","Cancelled","Delivered")</f>
        <v>Cancelled</v>
      </c>
      <c r="AH785" s="10" t="n">
        <f aca="false">IF(ISNUMBER(SEARCH("/",B785)),DATE(VALUE(RIGHT(B785,4)),VALUE(MID(B785,4,2)),VALUE(LEFT(B785,2))),IF(MID(B785,5,1)="-",DATE(VALUE(LEFT(B785,4)),VALUE(MID(B785,6,2)),VALUE(RIGHT(B785,2))),DATE(VALUE(RIGHT(B785,4)),MATCH(MID(B785,4,3),{"Jan","Feb","Mar","Apr","May","Jun","Jul","Aug","Sep","Oct","Nov","Dec"},0),VALUE(LEFT(B785,2)))))</f>
        <v>45891</v>
      </c>
    </row>
    <row r="786" customFormat="false" ht="15" hidden="false" customHeight="false" outlineLevel="0" collapsed="false">
      <c r="A786" s="7" t="s">
        <v>2560</v>
      </c>
      <c r="B786" s="7" t="s">
        <v>279</v>
      </c>
      <c r="C786" s="7" t="s">
        <v>762</v>
      </c>
      <c r="D786" s="7" t="s">
        <v>2139</v>
      </c>
      <c r="E786" s="7" t="s">
        <v>154</v>
      </c>
      <c r="F786" s="7" t="s">
        <v>128</v>
      </c>
      <c r="G786" s="7" t="s">
        <v>99</v>
      </c>
      <c r="H786" s="7" t="n">
        <v>3</v>
      </c>
      <c r="I786" s="7" t="n">
        <v>270</v>
      </c>
      <c r="J786" s="7" t="n">
        <v>0</v>
      </c>
      <c r="K786" s="7" t="s">
        <v>88</v>
      </c>
      <c r="L786" s="7" t="s">
        <v>194</v>
      </c>
      <c r="M786" s="7" t="n">
        <v>21</v>
      </c>
      <c r="N786" s="7" t="n">
        <v>5</v>
      </c>
      <c r="O786" s="7" t="str">
        <f aca="false">A786&amp;"|"&amp;B786&amp;"|"&amp;C786&amp;"|"&amp;D786&amp;"|"&amp;E786&amp;"|"&amp;F786&amp;"|"&amp;G786&amp;"|"&amp;H786&amp;"|"&amp;I786&amp;"|"&amp;J786&amp;"|"&amp;K786&amp;"|"&amp;L786&amp;"|"&amp;M786&amp;"|"&amp;N786</f>
        <v>ORD12697|28/11/2025|13:50|C0675|Madras Biryani Co|Chennai|Biryani|3|270|0|UPI|Delivered|21|5</v>
      </c>
      <c r="P786" s="7" t="str">
        <f aca="false">IF(COUNTIF($O$2:O786,O786)&gt;1,"DUP","OK")</f>
        <v>OK</v>
      </c>
      <c r="Q786" s="7" t="n">
        <f aca="false">COUNTBLANK(A786:N786)</f>
        <v>0</v>
      </c>
      <c r="R786" s="7" t="n">
        <f aca="false">IF(A786="",0,COUNTIFS($A$2:$A$3058,A786,$P$2:$P$3058,"OK"))</f>
        <v>1</v>
      </c>
      <c r="S786" s="7" t="str">
        <f aca="false">IF(OR(A786="",P786="DUP",R786&lt;2),"",IF(Q786=_xlfn.MINIFS($Q$2:$Q$3058,$A$2:$A$3058,A786,$P$2:$P$3058,"OK"),"KEEP","DROP"))</f>
        <v/>
      </c>
      <c r="T786" s="9" t="n">
        <f aca="false">IF(A786="",1,0)</f>
        <v>0</v>
      </c>
      <c r="U786" s="9" t="n">
        <f aca="false">IF(D786="",1,0)</f>
        <v>0</v>
      </c>
      <c r="V786" s="9" t="n">
        <f aca="false">IF(E786="",1,0)</f>
        <v>0</v>
      </c>
      <c r="W786" s="9" t="n">
        <f aca="false">IF(OR(H786&lt;1,H786&gt;10),1,0)</f>
        <v>0</v>
      </c>
      <c r="X786" s="9" t="n">
        <f aca="false">IF(OR(I786&lt;=0,I786&gt;1500),1,0)</f>
        <v>0</v>
      </c>
      <c r="Y786" s="9" t="n">
        <f aca="false">IF(J786&gt;H786*I786,1,0)</f>
        <v>0</v>
      </c>
      <c r="Z786" s="9" t="n">
        <f aca="false">IF(AND(N786&lt;&gt;"",OR(N786&lt;1,N786&gt;5)),1,0)</f>
        <v>0</v>
      </c>
      <c r="AA786" s="9" t="n">
        <f aca="false">IF(AND(M786&lt;&gt;"",OR(M786&lt;5,M786&gt;180)),1,0)</f>
        <v>0</v>
      </c>
      <c r="AB786" s="7" t="str">
        <f aca="false">IF(P786="DUP","Exact duplicate row",IF(T786=1,"Missing Order ID",IF(S786="DROP","Duplicate Order ID (less complete row)",IF(U786=1,"Missing Customer ID",IF(V786=1,"Missing Restaurant name",IF(W786=1,"Invalid/outlier quantity",IF(X786=1,"Invalid/outlier unit price",IF(Y786=1,"Discount greater than order value",""))))))))</f>
        <v/>
      </c>
      <c r="AC786" s="7" t="str">
        <f aca="false">IF(AB786="","KEEP","DROP")</f>
        <v>KEEP</v>
      </c>
      <c r="AD786" s="7" t="str">
        <f aca="false">IF(TRIM(F786)="",IFERROR(INDEX(Map_Tables!$I$4:$I$37,MATCH(TRIM(E786),Map_Tables!$G$4:$G$37,0)),""),IFERROR(INDEX(Map_Tables!$B$4:$B$18,MATCH(TRIM(F786),Map_Tables!$A$4:$A$18,0)),"CHECK"))</f>
        <v>Chennai</v>
      </c>
      <c r="AE786" s="7" t="str">
        <f aca="false">IF(TRIM(E786)="","",IFERROR(INDEX(Map_Tables!$H$4:$H$37,MATCH(TRIM(E786),Map_Tables!$G$4:$G$37,0)),"CHECK"))</f>
        <v>Madras Biryani Co</v>
      </c>
      <c r="AF786" s="7" t="str">
        <f aca="false">IF(TRIM(K786)="","Unknown",IFERROR(INDEX(Map_Tables!$E$4:$E$15,MATCH(TRIM(K786),Map_Tables!$D$4:$D$15,0)),"CHECK"))</f>
        <v>UPI</v>
      </c>
      <c r="AG786" s="7" t="str">
        <f aca="false">IF(LEFT(LOWER(TRIM(L786)),6)="cancel","Cancelled","Delivered")</f>
        <v>Delivered</v>
      </c>
      <c r="AH786" s="10" t="n">
        <f aca="false">IF(ISNUMBER(SEARCH("/",B786)),DATE(VALUE(RIGHT(B786,4)),VALUE(MID(B786,4,2)),VALUE(LEFT(B786,2))),IF(MID(B786,5,1)="-",DATE(VALUE(LEFT(B786,4)),VALUE(MID(B786,6,2)),VALUE(RIGHT(B786,2))),DATE(VALUE(RIGHT(B786,4)),MATCH(MID(B786,4,3),{"Jan","Feb","Mar","Apr","May","Jun","Jul","Aug","Sep","Oct","Nov","Dec"},0),VALUE(LEFT(B786,2)))))</f>
        <v>45989</v>
      </c>
    </row>
    <row r="787" customFormat="false" ht="15" hidden="false" customHeight="false" outlineLevel="0" collapsed="false">
      <c r="A787" s="7" t="s">
        <v>2561</v>
      </c>
      <c r="B787" s="7" t="s">
        <v>217</v>
      </c>
      <c r="C787" s="7" t="s">
        <v>555</v>
      </c>
      <c r="D787" s="7" t="s">
        <v>2562</v>
      </c>
      <c r="E787" s="7" t="s">
        <v>162</v>
      </c>
      <c r="F787" s="7" t="s">
        <v>141</v>
      </c>
      <c r="G787" s="7" t="s">
        <v>117</v>
      </c>
      <c r="H787" s="7" t="n">
        <v>5</v>
      </c>
      <c r="I787" s="7" t="n">
        <v>95</v>
      </c>
      <c r="J787" s="7" t="n">
        <v>0</v>
      </c>
      <c r="K787" s="7" t="s">
        <v>112</v>
      </c>
      <c r="L787" s="7" t="s">
        <v>194</v>
      </c>
      <c r="M787" s="7" t="n">
        <v>44</v>
      </c>
      <c r="N787" s="7" t="n">
        <v>2</v>
      </c>
      <c r="O787" s="7" t="str">
        <f aca="false">A787&amp;"|"&amp;B787&amp;"|"&amp;C787&amp;"|"&amp;D787&amp;"|"&amp;E787&amp;"|"&amp;F787&amp;"|"&amp;G787&amp;"|"&amp;H787&amp;"|"&amp;I787&amp;"|"&amp;J787&amp;"|"&amp;K787&amp;"|"&amp;L787&amp;"|"&amp;M787&amp;"|"&amp;N787</f>
        <v>ORD10855|2025-04-18|18:12|C1045|Kolkata Roll Centre|Kolkata|Street Food|5|95|0|Cash on Delivery|Delivered|44|2</v>
      </c>
      <c r="P787" s="7" t="str">
        <f aca="false">IF(COUNTIF($O$2:O787,O787)&gt;1,"DUP","OK")</f>
        <v>OK</v>
      </c>
      <c r="Q787" s="7" t="n">
        <f aca="false">COUNTBLANK(A787:N787)</f>
        <v>0</v>
      </c>
      <c r="R787" s="7" t="n">
        <f aca="false">IF(A787="",0,COUNTIFS($A$2:$A$3058,A787,$P$2:$P$3058,"OK"))</f>
        <v>1</v>
      </c>
      <c r="S787" s="7" t="str">
        <f aca="false">IF(OR(A787="",P787="DUP",R787&lt;2),"",IF(Q787=_xlfn.MINIFS($Q$2:$Q$3058,$A$2:$A$3058,A787,$P$2:$P$3058,"OK"),"KEEP","DROP"))</f>
        <v/>
      </c>
      <c r="T787" s="9" t="n">
        <f aca="false">IF(A787="",1,0)</f>
        <v>0</v>
      </c>
      <c r="U787" s="9" t="n">
        <f aca="false">IF(D787="",1,0)</f>
        <v>0</v>
      </c>
      <c r="V787" s="9" t="n">
        <f aca="false">IF(E787="",1,0)</f>
        <v>0</v>
      </c>
      <c r="W787" s="9" t="n">
        <f aca="false">IF(OR(H787&lt;1,H787&gt;10),1,0)</f>
        <v>0</v>
      </c>
      <c r="X787" s="9" t="n">
        <f aca="false">IF(OR(I787&lt;=0,I787&gt;1500),1,0)</f>
        <v>0</v>
      </c>
      <c r="Y787" s="9" t="n">
        <f aca="false">IF(J787&gt;H787*I787,1,0)</f>
        <v>0</v>
      </c>
      <c r="Z787" s="9" t="n">
        <f aca="false">IF(AND(N787&lt;&gt;"",OR(N787&lt;1,N787&gt;5)),1,0)</f>
        <v>0</v>
      </c>
      <c r="AA787" s="9" t="n">
        <f aca="false">IF(AND(M787&lt;&gt;"",OR(M787&lt;5,M787&gt;180)),1,0)</f>
        <v>0</v>
      </c>
      <c r="AB787" s="7" t="str">
        <f aca="false">IF(P787="DUP","Exact duplicate row",IF(T787=1,"Missing Order ID",IF(S787="DROP","Duplicate Order ID (less complete row)",IF(U787=1,"Missing Customer ID",IF(V787=1,"Missing Restaurant name",IF(W787=1,"Invalid/outlier quantity",IF(X787=1,"Invalid/outlier unit price",IF(Y787=1,"Discount greater than order value",""))))))))</f>
        <v/>
      </c>
      <c r="AC787" s="7" t="str">
        <f aca="false">IF(AB787="","KEEP","DROP")</f>
        <v>KEEP</v>
      </c>
      <c r="AD787" s="7" t="str">
        <f aca="false">IF(TRIM(F787)="",IFERROR(INDEX(Map_Tables!$I$4:$I$37,MATCH(TRIM(E787),Map_Tables!$G$4:$G$37,0)),""),IFERROR(INDEX(Map_Tables!$B$4:$B$18,MATCH(TRIM(F787),Map_Tables!$A$4:$A$18,0)),"CHECK"))</f>
        <v>Kolkata</v>
      </c>
      <c r="AE787" s="7" t="str">
        <f aca="false">IF(TRIM(E787)="","",IFERROR(INDEX(Map_Tables!$H$4:$H$37,MATCH(TRIM(E787),Map_Tables!$G$4:$G$37,0)),"CHECK"))</f>
        <v>Kolkata Roll Centre</v>
      </c>
      <c r="AF787" s="7" t="str">
        <f aca="false">IF(TRIM(K787)="","Unknown",IFERROR(INDEX(Map_Tables!$E$4:$E$15,MATCH(TRIM(K787),Map_Tables!$D$4:$D$15,0)),"CHECK"))</f>
        <v>Cash on Delivery</v>
      </c>
      <c r="AG787" s="7" t="str">
        <f aca="false">IF(LEFT(LOWER(TRIM(L787)),6)="cancel","Cancelled","Delivered")</f>
        <v>Delivered</v>
      </c>
      <c r="AH787" s="10" t="n">
        <f aca="false">IF(ISNUMBER(SEARCH("/",B787)),DATE(VALUE(RIGHT(B787,4)),VALUE(MID(B787,4,2)),VALUE(LEFT(B787,2))),IF(MID(B787,5,1)="-",DATE(VALUE(LEFT(B787,4)),VALUE(MID(B787,6,2)),VALUE(RIGHT(B787,2))),DATE(VALUE(RIGHT(B787,4)),MATCH(MID(B787,4,3),{"Jan","Feb","Mar","Apr","May","Jun","Jul","Aug","Sep","Oct","Nov","Dec"},0),VALUE(LEFT(B787,2)))))</f>
        <v>45765</v>
      </c>
    </row>
    <row r="788" customFormat="false" ht="15" hidden="false" customHeight="false" outlineLevel="0" collapsed="false">
      <c r="A788" s="7" t="s">
        <v>2563</v>
      </c>
      <c r="B788" s="7" t="s">
        <v>2564</v>
      </c>
      <c r="C788" s="7" t="s">
        <v>2565</v>
      </c>
      <c r="D788" s="7" t="s">
        <v>2566</v>
      </c>
      <c r="E788" s="7" t="s">
        <v>147</v>
      </c>
      <c r="F788" s="7" t="s">
        <v>2488</v>
      </c>
      <c r="G788" s="7" t="s">
        <v>95</v>
      </c>
      <c r="H788" s="7" t="n">
        <v>4</v>
      </c>
      <c r="I788" s="7" t="n">
        <v>170</v>
      </c>
      <c r="J788" s="7" t="n">
        <v>0</v>
      </c>
      <c r="K788" s="7" t="s">
        <v>88</v>
      </c>
      <c r="L788" s="7" t="s">
        <v>194</v>
      </c>
      <c r="M788" s="7" t="n">
        <v>24</v>
      </c>
      <c r="N788" s="7" t="n">
        <v>5</v>
      </c>
      <c r="O788" s="7" t="str">
        <f aca="false">A788&amp;"|"&amp;B788&amp;"|"&amp;C788&amp;"|"&amp;D788&amp;"|"&amp;E788&amp;"|"&amp;F788&amp;"|"&amp;G788&amp;"|"&amp;H788&amp;"|"&amp;I788&amp;"|"&amp;J788&amp;"|"&amp;K788&amp;"|"&amp;L788&amp;"|"&amp;M788&amp;"|"&amp;N788</f>
        <v>ORD10201|2025-01-27|22:24|C1302|Andhra Meals Mess|HYDERABAD|South Indian|4|170|0|UPI|Delivered|24|5</v>
      </c>
      <c r="P788" s="7" t="str">
        <f aca="false">IF(COUNTIF($O$2:O788,O788)&gt;1,"DUP","OK")</f>
        <v>OK</v>
      </c>
      <c r="Q788" s="7" t="n">
        <f aca="false">COUNTBLANK(A788:N788)</f>
        <v>0</v>
      </c>
      <c r="R788" s="7" t="n">
        <f aca="false">IF(A788="",0,COUNTIFS($A$2:$A$3058,A788,$P$2:$P$3058,"OK"))</f>
        <v>1</v>
      </c>
      <c r="S788" s="7" t="str">
        <f aca="false">IF(OR(A788="",P788="DUP",R788&lt;2),"",IF(Q788=_xlfn.MINIFS($Q$2:$Q$3058,$A$2:$A$3058,A788,$P$2:$P$3058,"OK"),"KEEP","DROP"))</f>
        <v/>
      </c>
      <c r="T788" s="9" t="n">
        <f aca="false">IF(A788="",1,0)</f>
        <v>0</v>
      </c>
      <c r="U788" s="9" t="n">
        <f aca="false">IF(D788="",1,0)</f>
        <v>0</v>
      </c>
      <c r="V788" s="9" t="n">
        <f aca="false">IF(E788="",1,0)</f>
        <v>0</v>
      </c>
      <c r="W788" s="9" t="n">
        <f aca="false">IF(OR(H788&lt;1,H788&gt;10),1,0)</f>
        <v>0</v>
      </c>
      <c r="X788" s="9" t="n">
        <f aca="false">IF(OR(I788&lt;=0,I788&gt;1500),1,0)</f>
        <v>0</v>
      </c>
      <c r="Y788" s="9" t="n">
        <f aca="false">IF(J788&gt;H788*I788,1,0)</f>
        <v>0</v>
      </c>
      <c r="Z788" s="9" t="n">
        <f aca="false">IF(AND(N788&lt;&gt;"",OR(N788&lt;1,N788&gt;5)),1,0)</f>
        <v>0</v>
      </c>
      <c r="AA788" s="9" t="n">
        <f aca="false">IF(AND(M788&lt;&gt;"",OR(M788&lt;5,M788&gt;180)),1,0)</f>
        <v>0</v>
      </c>
      <c r="AB788" s="7" t="str">
        <f aca="false">IF(P788="DUP","Exact duplicate row",IF(T788=1,"Missing Order ID",IF(S788="DROP","Duplicate Order ID (less complete row)",IF(U788=1,"Missing Customer ID",IF(V788=1,"Missing Restaurant name",IF(W788=1,"Invalid/outlier quantity",IF(X788=1,"Invalid/outlier unit price",IF(Y788=1,"Discount greater than order value",""))))))))</f>
        <v/>
      </c>
      <c r="AC788" s="7" t="str">
        <f aca="false">IF(AB788="","KEEP","DROP")</f>
        <v>KEEP</v>
      </c>
      <c r="AD788" s="7" t="str">
        <f aca="false">IF(TRIM(F788)="",IFERROR(INDEX(Map_Tables!$I$4:$I$37,MATCH(TRIM(E788),Map_Tables!$G$4:$G$37,0)),""),IFERROR(INDEX(Map_Tables!$B$4:$B$18,MATCH(TRIM(F788),Map_Tables!$A$4:$A$18,0)),"CHECK"))</f>
        <v>Hyderabad</v>
      </c>
      <c r="AE788" s="7" t="str">
        <f aca="false">IF(TRIM(E788)="","",IFERROR(INDEX(Map_Tables!$H$4:$H$37,MATCH(TRIM(E788),Map_Tables!$G$4:$G$37,0)),"CHECK"))</f>
        <v>Andhra Meals Mess</v>
      </c>
      <c r="AF788" s="7" t="str">
        <f aca="false">IF(TRIM(K788)="","Unknown",IFERROR(INDEX(Map_Tables!$E$4:$E$15,MATCH(TRIM(K788),Map_Tables!$D$4:$D$15,0)),"CHECK"))</f>
        <v>UPI</v>
      </c>
      <c r="AG788" s="7" t="str">
        <f aca="false">IF(LEFT(LOWER(TRIM(L788)),6)="cancel","Cancelled","Delivered")</f>
        <v>Delivered</v>
      </c>
      <c r="AH788" s="10" t="n">
        <f aca="false">IF(ISNUMBER(SEARCH("/",B788)),DATE(VALUE(RIGHT(B788,4)),VALUE(MID(B788,4,2)),VALUE(LEFT(B788,2))),IF(MID(B788,5,1)="-",DATE(VALUE(LEFT(B788,4)),VALUE(MID(B788,6,2)),VALUE(RIGHT(B788,2))),DATE(VALUE(RIGHT(B788,4)),MATCH(MID(B788,4,3),{"Jan","Feb","Mar","Apr","May","Jun","Jul","Aug","Sep","Oct","Nov","Dec"},0),VALUE(LEFT(B788,2)))))</f>
        <v>45684</v>
      </c>
    </row>
    <row r="789" customFormat="false" ht="15" hidden="false" customHeight="false" outlineLevel="0" collapsed="false">
      <c r="A789" s="7" t="s">
        <v>2567</v>
      </c>
      <c r="B789" s="7" t="s">
        <v>2568</v>
      </c>
      <c r="C789" s="7" t="s">
        <v>619</v>
      </c>
      <c r="D789" s="7" t="s">
        <v>1966</v>
      </c>
      <c r="E789" s="7" t="s">
        <v>94</v>
      </c>
      <c r="F789" s="7" t="s">
        <v>86</v>
      </c>
      <c r="G789" s="7" t="s">
        <v>95</v>
      </c>
      <c r="H789" s="7" t="n">
        <v>2</v>
      </c>
      <c r="I789" s="7" t="n">
        <v>125</v>
      </c>
      <c r="J789" s="7" t="n">
        <v>0</v>
      </c>
      <c r="K789" s="7" t="s">
        <v>93</v>
      </c>
      <c r="L789" s="7" t="s">
        <v>238</v>
      </c>
      <c r="M789" s="7"/>
      <c r="N789" s="7"/>
      <c r="O789" s="7" t="str">
        <f aca="false">A789&amp;"|"&amp;B789&amp;"|"&amp;C789&amp;"|"&amp;D789&amp;"|"&amp;E789&amp;"|"&amp;F789&amp;"|"&amp;G789&amp;"|"&amp;H789&amp;"|"&amp;I789&amp;"|"&amp;J789&amp;"|"&amp;K789&amp;"|"&amp;L789&amp;"|"&amp;M789&amp;"|"&amp;N789</f>
        <v>ORD11915|2025-09-05|21:59|C1333|Dosa Darbar|Bengaluru|South Indian|2|125|0|Credit Card|Cancelled||</v>
      </c>
      <c r="P789" s="7" t="str">
        <f aca="false">IF(COUNTIF($O$2:O789,O789)&gt;1,"DUP","OK")</f>
        <v>OK</v>
      </c>
      <c r="Q789" s="7" t="n">
        <f aca="false">COUNTBLANK(A789:N789)</f>
        <v>2</v>
      </c>
      <c r="R789" s="7" t="n">
        <f aca="false">IF(A789="",0,COUNTIFS($A$2:$A$3058,A789,$P$2:$P$3058,"OK"))</f>
        <v>1</v>
      </c>
      <c r="S789" s="7" t="str">
        <f aca="false">IF(OR(A789="",P789="DUP",R789&lt;2),"",IF(Q789=_xlfn.MINIFS($Q$2:$Q$3058,$A$2:$A$3058,A789,$P$2:$P$3058,"OK"),"KEEP","DROP"))</f>
        <v/>
      </c>
      <c r="T789" s="9" t="n">
        <f aca="false">IF(A789="",1,0)</f>
        <v>0</v>
      </c>
      <c r="U789" s="9" t="n">
        <f aca="false">IF(D789="",1,0)</f>
        <v>0</v>
      </c>
      <c r="V789" s="9" t="n">
        <f aca="false">IF(E789="",1,0)</f>
        <v>0</v>
      </c>
      <c r="W789" s="9" t="n">
        <f aca="false">IF(OR(H789&lt;1,H789&gt;10),1,0)</f>
        <v>0</v>
      </c>
      <c r="X789" s="9" t="n">
        <f aca="false">IF(OR(I789&lt;=0,I789&gt;1500),1,0)</f>
        <v>0</v>
      </c>
      <c r="Y789" s="9" t="n">
        <f aca="false">IF(J789&gt;H789*I789,1,0)</f>
        <v>0</v>
      </c>
      <c r="Z789" s="9" t="n">
        <f aca="false">IF(AND(N789&lt;&gt;"",OR(N789&lt;1,N789&gt;5)),1,0)</f>
        <v>0</v>
      </c>
      <c r="AA789" s="9" t="n">
        <f aca="false">IF(AND(M789&lt;&gt;"",OR(M789&lt;5,M789&gt;180)),1,0)</f>
        <v>0</v>
      </c>
      <c r="AB789" s="7" t="str">
        <f aca="false">IF(P789="DUP","Exact duplicate row",IF(T789=1,"Missing Order ID",IF(S789="DROP","Duplicate Order ID (less complete row)",IF(U789=1,"Missing Customer ID",IF(V789=1,"Missing Restaurant name",IF(W789=1,"Invalid/outlier quantity",IF(X789=1,"Invalid/outlier unit price",IF(Y789=1,"Discount greater than order value",""))))))))</f>
        <v/>
      </c>
      <c r="AC789" s="7" t="str">
        <f aca="false">IF(AB789="","KEEP","DROP")</f>
        <v>KEEP</v>
      </c>
      <c r="AD789" s="7" t="str">
        <f aca="false">IF(TRIM(F789)="",IFERROR(INDEX(Map_Tables!$I$4:$I$37,MATCH(TRIM(E789),Map_Tables!$G$4:$G$37,0)),""),IFERROR(INDEX(Map_Tables!$B$4:$B$18,MATCH(TRIM(F789),Map_Tables!$A$4:$A$18,0)),"CHECK"))</f>
        <v>Bengaluru</v>
      </c>
      <c r="AE789" s="7" t="str">
        <f aca="false">IF(TRIM(E789)="","",IFERROR(INDEX(Map_Tables!$H$4:$H$37,MATCH(TRIM(E789),Map_Tables!$G$4:$G$37,0)),"CHECK"))</f>
        <v>Dosa Darbar</v>
      </c>
      <c r="AF789" s="7" t="str">
        <f aca="false">IF(TRIM(K789)="","Unknown",IFERROR(INDEX(Map_Tables!$E$4:$E$15,MATCH(TRIM(K789),Map_Tables!$D$4:$D$15,0)),"CHECK"))</f>
        <v>Credit Card</v>
      </c>
      <c r="AG789" s="7" t="str">
        <f aca="false">IF(LEFT(LOWER(TRIM(L789)),6)="cancel","Cancelled","Delivered")</f>
        <v>Cancelled</v>
      </c>
      <c r="AH789" s="10" t="n">
        <f aca="false">IF(ISNUMBER(SEARCH("/",B789)),DATE(VALUE(RIGHT(B789,4)),VALUE(MID(B789,4,2)),VALUE(LEFT(B789,2))),IF(MID(B789,5,1)="-",DATE(VALUE(LEFT(B789,4)),VALUE(MID(B789,6,2)),VALUE(RIGHT(B789,2))),DATE(VALUE(RIGHT(B789,4)),MATCH(MID(B789,4,3),{"Jan","Feb","Mar","Apr","May","Jun","Jul","Aug","Sep","Oct","Nov","Dec"},0),VALUE(LEFT(B789,2)))))</f>
        <v>45905</v>
      </c>
    </row>
    <row r="790" customFormat="false" ht="15" hidden="false" customHeight="false" outlineLevel="0" collapsed="false">
      <c r="A790" s="7" t="s">
        <v>2569</v>
      </c>
      <c r="B790" s="7" t="s">
        <v>2570</v>
      </c>
      <c r="C790" s="7" t="s">
        <v>2571</v>
      </c>
      <c r="D790" s="7" t="s">
        <v>2566</v>
      </c>
      <c r="E790" s="7" t="s">
        <v>134</v>
      </c>
      <c r="F790" s="7" t="s">
        <v>110</v>
      </c>
      <c r="G790" s="7" t="s">
        <v>117</v>
      </c>
      <c r="H790" s="7" t="n">
        <v>2</v>
      </c>
      <c r="I790" s="7" t="n">
        <v>125</v>
      </c>
      <c r="J790" s="7" t="n">
        <v>75</v>
      </c>
      <c r="K790" s="7" t="s">
        <v>88</v>
      </c>
      <c r="L790" s="7" t="s">
        <v>194</v>
      </c>
      <c r="M790" s="7" t="n">
        <v>24</v>
      </c>
      <c r="N790" s="7" t="n">
        <v>5</v>
      </c>
      <c r="O790" s="7" t="str">
        <f aca="false">A790&amp;"|"&amp;B790&amp;"|"&amp;C790&amp;"|"&amp;D790&amp;"|"&amp;E790&amp;"|"&amp;F790&amp;"|"&amp;G790&amp;"|"&amp;H790&amp;"|"&amp;I790&amp;"|"&amp;J790&amp;"|"&amp;K790&amp;"|"&amp;L790&amp;"|"&amp;M790&amp;"|"&amp;N790</f>
        <v>ORD12814|10/12/2025|18:09|C1302|Chaat Corner|Delhi|Street Food|2|125|75|UPI|Delivered|24|5</v>
      </c>
      <c r="P790" s="7" t="str">
        <f aca="false">IF(COUNTIF($O$2:O790,O790)&gt;1,"DUP","OK")</f>
        <v>OK</v>
      </c>
      <c r="Q790" s="7" t="n">
        <f aca="false">COUNTBLANK(A790:N790)</f>
        <v>0</v>
      </c>
      <c r="R790" s="7" t="n">
        <f aca="false">IF(A790="",0,COUNTIFS($A$2:$A$3058,A790,$P$2:$P$3058,"OK"))</f>
        <v>1</v>
      </c>
      <c r="S790" s="7" t="str">
        <f aca="false">IF(OR(A790="",P790="DUP",R790&lt;2),"",IF(Q790=_xlfn.MINIFS($Q$2:$Q$3058,$A$2:$A$3058,A790,$P$2:$P$3058,"OK"),"KEEP","DROP"))</f>
        <v/>
      </c>
      <c r="T790" s="9" t="n">
        <f aca="false">IF(A790="",1,0)</f>
        <v>0</v>
      </c>
      <c r="U790" s="9" t="n">
        <f aca="false">IF(D790="",1,0)</f>
        <v>0</v>
      </c>
      <c r="V790" s="9" t="n">
        <f aca="false">IF(E790="",1,0)</f>
        <v>0</v>
      </c>
      <c r="W790" s="9" t="n">
        <f aca="false">IF(OR(H790&lt;1,H790&gt;10),1,0)</f>
        <v>0</v>
      </c>
      <c r="X790" s="9" t="n">
        <f aca="false">IF(OR(I790&lt;=0,I790&gt;1500),1,0)</f>
        <v>0</v>
      </c>
      <c r="Y790" s="9" t="n">
        <f aca="false">IF(J790&gt;H790*I790,1,0)</f>
        <v>0</v>
      </c>
      <c r="Z790" s="9" t="n">
        <f aca="false">IF(AND(N790&lt;&gt;"",OR(N790&lt;1,N790&gt;5)),1,0)</f>
        <v>0</v>
      </c>
      <c r="AA790" s="9" t="n">
        <f aca="false">IF(AND(M790&lt;&gt;"",OR(M790&lt;5,M790&gt;180)),1,0)</f>
        <v>0</v>
      </c>
      <c r="AB790" s="7" t="str">
        <f aca="false">IF(P790="DUP","Exact duplicate row",IF(T790=1,"Missing Order ID",IF(S790="DROP","Duplicate Order ID (less complete row)",IF(U790=1,"Missing Customer ID",IF(V790=1,"Missing Restaurant name",IF(W790=1,"Invalid/outlier quantity",IF(X790=1,"Invalid/outlier unit price",IF(Y790=1,"Discount greater than order value",""))))))))</f>
        <v/>
      </c>
      <c r="AC790" s="7" t="str">
        <f aca="false">IF(AB790="","KEEP","DROP")</f>
        <v>KEEP</v>
      </c>
      <c r="AD790" s="7" t="str">
        <f aca="false">IF(TRIM(F790)="",IFERROR(INDEX(Map_Tables!$I$4:$I$37,MATCH(TRIM(E790),Map_Tables!$G$4:$G$37,0)),""),IFERROR(INDEX(Map_Tables!$B$4:$B$18,MATCH(TRIM(F790),Map_Tables!$A$4:$A$18,0)),"CHECK"))</f>
        <v>Delhi</v>
      </c>
      <c r="AE790" s="7" t="str">
        <f aca="false">IF(TRIM(E790)="","",IFERROR(INDEX(Map_Tables!$H$4:$H$37,MATCH(TRIM(E790),Map_Tables!$G$4:$G$37,0)),"CHECK"))</f>
        <v>Chaat Corner</v>
      </c>
      <c r="AF790" s="7" t="str">
        <f aca="false">IF(TRIM(K790)="","Unknown",IFERROR(INDEX(Map_Tables!$E$4:$E$15,MATCH(TRIM(K790),Map_Tables!$D$4:$D$15,0)),"CHECK"))</f>
        <v>UPI</v>
      </c>
      <c r="AG790" s="7" t="str">
        <f aca="false">IF(LEFT(LOWER(TRIM(L790)),6)="cancel","Cancelled","Delivered")</f>
        <v>Delivered</v>
      </c>
      <c r="AH790" s="10" t="n">
        <f aca="false">IF(ISNUMBER(SEARCH("/",B790)),DATE(VALUE(RIGHT(B790,4)),VALUE(MID(B790,4,2)),VALUE(LEFT(B790,2))),IF(MID(B790,5,1)="-",DATE(VALUE(LEFT(B790,4)),VALUE(MID(B790,6,2)),VALUE(RIGHT(B790,2))),DATE(VALUE(RIGHT(B790,4)),MATCH(MID(B790,4,3),{"Jan","Feb","Mar","Apr","May","Jun","Jul","Aug","Sep","Oct","Nov","Dec"},0),VALUE(LEFT(B790,2)))))</f>
        <v>46001</v>
      </c>
    </row>
    <row r="791" customFormat="false" ht="15" hidden="false" customHeight="false" outlineLevel="0" collapsed="false">
      <c r="A791" s="7" t="s">
        <v>2572</v>
      </c>
      <c r="B791" s="7" t="s">
        <v>731</v>
      </c>
      <c r="C791" s="7" t="s">
        <v>2573</v>
      </c>
      <c r="D791" s="7" t="s">
        <v>2574</v>
      </c>
      <c r="E791" s="7" t="s">
        <v>144</v>
      </c>
      <c r="F791" s="7" t="s">
        <v>312</v>
      </c>
      <c r="G791" s="7" t="s">
        <v>99</v>
      </c>
      <c r="H791" s="7" t="n">
        <v>2</v>
      </c>
      <c r="I791" s="7" t="n">
        <v>255</v>
      </c>
      <c r="J791" s="7" t="n">
        <v>40</v>
      </c>
      <c r="K791" s="7" t="s">
        <v>93</v>
      </c>
      <c r="L791" s="7" t="s">
        <v>194</v>
      </c>
      <c r="M791" s="7" t="n">
        <v>41</v>
      </c>
      <c r="N791" s="7" t="n">
        <v>5</v>
      </c>
      <c r="O791" s="7" t="str">
        <f aca="false">A791&amp;"|"&amp;B791&amp;"|"&amp;C791&amp;"|"&amp;D791&amp;"|"&amp;E791&amp;"|"&amp;F791&amp;"|"&amp;G791&amp;"|"&amp;H791&amp;"|"&amp;I791&amp;"|"&amp;J791&amp;"|"&amp;K791&amp;"|"&amp;L791&amp;"|"&amp;M791&amp;"|"&amp;N791</f>
        <v>ORD12220|2025-10-09|15:37|C1073|Hyderabad Dum Biryani|Hyd|Biryani|2|255|40|Credit Card|Delivered|41|5</v>
      </c>
      <c r="P791" s="7" t="str">
        <f aca="false">IF(COUNTIF($O$2:O791,O791)&gt;1,"DUP","OK")</f>
        <v>OK</v>
      </c>
      <c r="Q791" s="7" t="n">
        <f aca="false">COUNTBLANK(A791:N791)</f>
        <v>0</v>
      </c>
      <c r="R791" s="7" t="n">
        <f aca="false">IF(A791="",0,COUNTIFS($A$2:$A$3058,A791,$P$2:$P$3058,"OK"))</f>
        <v>1</v>
      </c>
      <c r="S791" s="7" t="str">
        <f aca="false">IF(OR(A791="",P791="DUP",R791&lt;2),"",IF(Q791=_xlfn.MINIFS($Q$2:$Q$3058,$A$2:$A$3058,A791,$P$2:$P$3058,"OK"),"KEEP","DROP"))</f>
        <v/>
      </c>
      <c r="T791" s="9" t="n">
        <f aca="false">IF(A791="",1,0)</f>
        <v>0</v>
      </c>
      <c r="U791" s="9" t="n">
        <f aca="false">IF(D791="",1,0)</f>
        <v>0</v>
      </c>
      <c r="V791" s="9" t="n">
        <f aca="false">IF(E791="",1,0)</f>
        <v>0</v>
      </c>
      <c r="W791" s="9" t="n">
        <f aca="false">IF(OR(H791&lt;1,H791&gt;10),1,0)</f>
        <v>0</v>
      </c>
      <c r="X791" s="9" t="n">
        <f aca="false">IF(OR(I791&lt;=0,I791&gt;1500),1,0)</f>
        <v>0</v>
      </c>
      <c r="Y791" s="9" t="n">
        <f aca="false">IF(J791&gt;H791*I791,1,0)</f>
        <v>0</v>
      </c>
      <c r="Z791" s="9" t="n">
        <f aca="false">IF(AND(N791&lt;&gt;"",OR(N791&lt;1,N791&gt;5)),1,0)</f>
        <v>0</v>
      </c>
      <c r="AA791" s="9" t="n">
        <f aca="false">IF(AND(M791&lt;&gt;"",OR(M791&lt;5,M791&gt;180)),1,0)</f>
        <v>0</v>
      </c>
      <c r="AB791" s="7" t="str">
        <f aca="false">IF(P791="DUP","Exact duplicate row",IF(T791=1,"Missing Order ID",IF(S791="DROP","Duplicate Order ID (less complete row)",IF(U791=1,"Missing Customer ID",IF(V791=1,"Missing Restaurant name",IF(W791=1,"Invalid/outlier quantity",IF(X791=1,"Invalid/outlier unit price",IF(Y791=1,"Discount greater than order value",""))))))))</f>
        <v/>
      </c>
      <c r="AC791" s="7" t="str">
        <f aca="false">IF(AB791="","KEEP","DROP")</f>
        <v>KEEP</v>
      </c>
      <c r="AD791" s="7" t="str">
        <f aca="false">IF(TRIM(F791)="",IFERROR(INDEX(Map_Tables!$I$4:$I$37,MATCH(TRIM(E791),Map_Tables!$G$4:$G$37,0)),""),IFERROR(INDEX(Map_Tables!$B$4:$B$18,MATCH(TRIM(F791),Map_Tables!$A$4:$A$18,0)),"CHECK"))</f>
        <v>Hyderabad</v>
      </c>
      <c r="AE791" s="7" t="str">
        <f aca="false">IF(TRIM(E791)="","",IFERROR(INDEX(Map_Tables!$H$4:$H$37,MATCH(TRIM(E791),Map_Tables!$G$4:$G$37,0)),"CHECK"))</f>
        <v>Hyderabad Dum Biryani</v>
      </c>
      <c r="AF791" s="7" t="str">
        <f aca="false">IF(TRIM(K791)="","Unknown",IFERROR(INDEX(Map_Tables!$E$4:$E$15,MATCH(TRIM(K791),Map_Tables!$D$4:$D$15,0)),"CHECK"))</f>
        <v>Credit Card</v>
      </c>
      <c r="AG791" s="7" t="str">
        <f aca="false">IF(LEFT(LOWER(TRIM(L791)),6)="cancel","Cancelled","Delivered")</f>
        <v>Delivered</v>
      </c>
      <c r="AH791" s="10" t="n">
        <f aca="false">IF(ISNUMBER(SEARCH("/",B791)),DATE(VALUE(RIGHT(B791,4)),VALUE(MID(B791,4,2)),VALUE(LEFT(B791,2))),IF(MID(B791,5,1)="-",DATE(VALUE(LEFT(B791,4)),VALUE(MID(B791,6,2)),VALUE(RIGHT(B791,2))),DATE(VALUE(RIGHT(B791,4)),MATCH(MID(B791,4,3),{"Jan","Feb","Mar","Apr","May","Jun","Jul","Aug","Sep","Oct","Nov","Dec"},0),VALUE(LEFT(B791,2)))))</f>
        <v>45939</v>
      </c>
    </row>
    <row r="792" customFormat="false" ht="15" hidden="false" customHeight="false" outlineLevel="0" collapsed="false">
      <c r="A792" s="7" t="s">
        <v>2575</v>
      </c>
      <c r="B792" s="7" t="s">
        <v>2535</v>
      </c>
      <c r="C792" s="7" t="s">
        <v>2576</v>
      </c>
      <c r="D792" s="7" t="s">
        <v>2577</v>
      </c>
      <c r="E792" s="7" t="s">
        <v>168</v>
      </c>
      <c r="F792" s="7" t="s">
        <v>146</v>
      </c>
      <c r="G792" s="7" t="s">
        <v>123</v>
      </c>
      <c r="H792" s="7" t="n">
        <v>1</v>
      </c>
      <c r="I792" s="7" t="n">
        <v>355</v>
      </c>
      <c r="J792" s="7" t="n">
        <v>75</v>
      </c>
      <c r="K792" s="7" t="s">
        <v>88</v>
      </c>
      <c r="L792" s="7" t="s">
        <v>194</v>
      </c>
      <c r="M792" s="7" t="n">
        <v>38</v>
      </c>
      <c r="N792" s="7"/>
      <c r="O792" s="7" t="str">
        <f aca="false">A792&amp;"|"&amp;B792&amp;"|"&amp;C792&amp;"|"&amp;D792&amp;"|"&amp;E792&amp;"|"&amp;F792&amp;"|"&amp;G792&amp;"|"&amp;H792&amp;"|"&amp;I792&amp;"|"&amp;J792&amp;"|"&amp;K792&amp;"|"&amp;L792&amp;"|"&amp;M792&amp;"|"&amp;N792</f>
        <v>ORD10929|2025-04-27|22:52|C0705|Cheesy Slice|Ahmedabad|Pizza|1|355|75|UPI|Delivered|38|</v>
      </c>
      <c r="P792" s="7" t="str">
        <f aca="false">IF(COUNTIF($O$2:O792,O792)&gt;1,"DUP","OK")</f>
        <v>OK</v>
      </c>
      <c r="Q792" s="7" t="n">
        <f aca="false">COUNTBLANK(A792:N792)</f>
        <v>1</v>
      </c>
      <c r="R792" s="7" t="n">
        <f aca="false">IF(A792="",0,COUNTIFS($A$2:$A$3058,A792,$P$2:$P$3058,"OK"))</f>
        <v>1</v>
      </c>
      <c r="S792" s="7" t="str">
        <f aca="false">IF(OR(A792="",P792="DUP",R792&lt;2),"",IF(Q792=_xlfn.MINIFS($Q$2:$Q$3058,$A$2:$A$3058,A792,$P$2:$P$3058,"OK"),"KEEP","DROP"))</f>
        <v/>
      </c>
      <c r="T792" s="9" t="n">
        <f aca="false">IF(A792="",1,0)</f>
        <v>0</v>
      </c>
      <c r="U792" s="9" t="n">
        <f aca="false">IF(D792="",1,0)</f>
        <v>0</v>
      </c>
      <c r="V792" s="9" t="n">
        <f aca="false">IF(E792="",1,0)</f>
        <v>0</v>
      </c>
      <c r="W792" s="9" t="n">
        <f aca="false">IF(OR(H792&lt;1,H792&gt;10),1,0)</f>
        <v>0</v>
      </c>
      <c r="X792" s="9" t="n">
        <f aca="false">IF(OR(I792&lt;=0,I792&gt;1500),1,0)</f>
        <v>0</v>
      </c>
      <c r="Y792" s="9" t="n">
        <f aca="false">IF(J792&gt;H792*I792,1,0)</f>
        <v>0</v>
      </c>
      <c r="Z792" s="9" t="n">
        <f aca="false">IF(AND(N792&lt;&gt;"",OR(N792&lt;1,N792&gt;5)),1,0)</f>
        <v>0</v>
      </c>
      <c r="AA792" s="9" t="n">
        <f aca="false">IF(AND(M792&lt;&gt;"",OR(M792&lt;5,M792&gt;180)),1,0)</f>
        <v>0</v>
      </c>
      <c r="AB792" s="7" t="str">
        <f aca="false">IF(P792="DUP","Exact duplicate row",IF(T792=1,"Missing Order ID",IF(S792="DROP","Duplicate Order ID (less complete row)",IF(U792=1,"Missing Customer ID",IF(V792=1,"Missing Restaurant name",IF(W792=1,"Invalid/outlier quantity",IF(X792=1,"Invalid/outlier unit price",IF(Y792=1,"Discount greater than order value",""))))))))</f>
        <v/>
      </c>
      <c r="AC792" s="7" t="str">
        <f aca="false">IF(AB792="","KEEP","DROP")</f>
        <v>KEEP</v>
      </c>
      <c r="AD792" s="7" t="str">
        <f aca="false">IF(TRIM(F792)="",IFERROR(INDEX(Map_Tables!$I$4:$I$37,MATCH(TRIM(E792),Map_Tables!$G$4:$G$37,0)),""),IFERROR(INDEX(Map_Tables!$B$4:$B$18,MATCH(TRIM(F792),Map_Tables!$A$4:$A$18,0)),"CHECK"))</f>
        <v>Ahmedabad</v>
      </c>
      <c r="AE792" s="7" t="str">
        <f aca="false">IF(TRIM(E792)="","",IFERROR(INDEX(Map_Tables!$H$4:$H$37,MATCH(TRIM(E792),Map_Tables!$G$4:$G$37,0)),"CHECK"))</f>
        <v>Cheesy Slice</v>
      </c>
      <c r="AF792" s="7" t="str">
        <f aca="false">IF(TRIM(K792)="","Unknown",IFERROR(INDEX(Map_Tables!$E$4:$E$15,MATCH(TRIM(K792),Map_Tables!$D$4:$D$15,0)),"CHECK"))</f>
        <v>UPI</v>
      </c>
      <c r="AG792" s="7" t="str">
        <f aca="false">IF(LEFT(LOWER(TRIM(L792)),6)="cancel","Cancelled","Delivered")</f>
        <v>Delivered</v>
      </c>
      <c r="AH792" s="10" t="n">
        <f aca="false">IF(ISNUMBER(SEARCH("/",B792)),DATE(VALUE(RIGHT(B792,4)),VALUE(MID(B792,4,2)),VALUE(LEFT(B792,2))),IF(MID(B792,5,1)="-",DATE(VALUE(LEFT(B792,4)),VALUE(MID(B792,6,2)),VALUE(RIGHT(B792,2))),DATE(VALUE(RIGHT(B792,4)),MATCH(MID(B792,4,3),{"Jan","Feb","Mar","Apr","May","Jun","Jul","Aug","Sep","Oct","Nov","Dec"},0),VALUE(LEFT(B792,2)))))</f>
        <v>45774</v>
      </c>
    </row>
    <row r="793" customFormat="false" ht="15" hidden="false" customHeight="false" outlineLevel="0" collapsed="false">
      <c r="A793" s="7" t="s">
        <v>2578</v>
      </c>
      <c r="B793" s="7" t="s">
        <v>2579</v>
      </c>
      <c r="C793" s="7" t="s">
        <v>310</v>
      </c>
      <c r="D793" s="7" t="s">
        <v>2580</v>
      </c>
      <c r="E793" s="7" t="s">
        <v>1142</v>
      </c>
      <c r="F793" s="7" t="s">
        <v>101</v>
      </c>
      <c r="G793" s="7" t="s">
        <v>105</v>
      </c>
      <c r="H793" s="7" t="n">
        <v>5</v>
      </c>
      <c r="I793" s="7" t="n">
        <v>230</v>
      </c>
      <c r="J793" s="7" t="n">
        <v>125</v>
      </c>
      <c r="K793" s="7" t="s">
        <v>88</v>
      </c>
      <c r="L793" s="7" t="s">
        <v>194</v>
      </c>
      <c r="M793" s="7" t="n">
        <v>35</v>
      </c>
      <c r="N793" s="7" t="n">
        <v>4</v>
      </c>
      <c r="O793" s="7" t="str">
        <f aca="false">A793&amp;"|"&amp;B793&amp;"|"&amp;C793&amp;"|"&amp;D793&amp;"|"&amp;E793&amp;"|"&amp;F793&amp;"|"&amp;G793&amp;"|"&amp;H793&amp;"|"&amp;I793&amp;"|"&amp;J793&amp;"|"&amp;K793&amp;"|"&amp;L793&amp;"|"&amp;M793&amp;"|"&amp;N793</f>
        <v>ORD11380|2025-06-27|19:09|C0859|Dragon  Express|Mumbai|Chinese|5|230|125|UPI|Delivered|35|4</v>
      </c>
      <c r="P793" s="7" t="str">
        <f aca="false">IF(COUNTIF($O$2:O793,O793)&gt;1,"DUP","OK")</f>
        <v>OK</v>
      </c>
      <c r="Q793" s="7" t="n">
        <f aca="false">COUNTBLANK(A793:N793)</f>
        <v>0</v>
      </c>
      <c r="R793" s="7" t="n">
        <f aca="false">IF(A793="",0,COUNTIFS($A$2:$A$3058,A793,$P$2:$P$3058,"OK"))</f>
        <v>1</v>
      </c>
      <c r="S793" s="7" t="str">
        <f aca="false">IF(OR(A793="",P793="DUP",R793&lt;2),"",IF(Q793=_xlfn.MINIFS($Q$2:$Q$3058,$A$2:$A$3058,A793,$P$2:$P$3058,"OK"),"KEEP","DROP"))</f>
        <v/>
      </c>
      <c r="T793" s="9" t="n">
        <f aca="false">IF(A793="",1,0)</f>
        <v>0</v>
      </c>
      <c r="U793" s="9" t="n">
        <f aca="false">IF(D793="",1,0)</f>
        <v>0</v>
      </c>
      <c r="V793" s="9" t="n">
        <f aca="false">IF(E793="",1,0)</f>
        <v>0</v>
      </c>
      <c r="W793" s="9" t="n">
        <f aca="false">IF(OR(H793&lt;1,H793&gt;10),1,0)</f>
        <v>0</v>
      </c>
      <c r="X793" s="9" t="n">
        <f aca="false">IF(OR(I793&lt;=0,I793&gt;1500),1,0)</f>
        <v>0</v>
      </c>
      <c r="Y793" s="9" t="n">
        <f aca="false">IF(J793&gt;H793*I793,1,0)</f>
        <v>0</v>
      </c>
      <c r="Z793" s="9" t="n">
        <f aca="false">IF(AND(N793&lt;&gt;"",OR(N793&lt;1,N793&gt;5)),1,0)</f>
        <v>0</v>
      </c>
      <c r="AA793" s="9" t="n">
        <f aca="false">IF(AND(M793&lt;&gt;"",OR(M793&lt;5,M793&gt;180)),1,0)</f>
        <v>0</v>
      </c>
      <c r="AB793" s="7" t="str">
        <f aca="false">IF(P793="DUP","Exact duplicate row",IF(T793=1,"Missing Order ID",IF(S793="DROP","Duplicate Order ID (less complete row)",IF(U793=1,"Missing Customer ID",IF(V793=1,"Missing Restaurant name",IF(W793=1,"Invalid/outlier quantity",IF(X793=1,"Invalid/outlier unit price",IF(Y793=1,"Discount greater than order value",""))))))))</f>
        <v/>
      </c>
      <c r="AC793" s="7" t="str">
        <f aca="false">IF(AB793="","KEEP","DROP")</f>
        <v>KEEP</v>
      </c>
      <c r="AD793" s="7" t="str">
        <f aca="false">IF(TRIM(F793)="",IFERROR(INDEX(Map_Tables!$I$4:$I$37,MATCH(TRIM(E793),Map_Tables!$G$4:$G$37,0)),""),IFERROR(INDEX(Map_Tables!$B$4:$B$18,MATCH(TRIM(F793),Map_Tables!$A$4:$A$18,0)),"CHECK"))</f>
        <v>Mumbai</v>
      </c>
      <c r="AE793" s="7" t="str">
        <f aca="false">IF(TRIM(E793)="","",IFERROR(INDEX(Map_Tables!$H$4:$H$37,MATCH(TRIM(E793),Map_Tables!$G$4:$G$37,0)),"CHECK"))</f>
        <v>Dragon Express</v>
      </c>
      <c r="AF793" s="7" t="str">
        <f aca="false">IF(TRIM(K793)="","Unknown",IFERROR(INDEX(Map_Tables!$E$4:$E$15,MATCH(TRIM(K793),Map_Tables!$D$4:$D$15,0)),"CHECK"))</f>
        <v>UPI</v>
      </c>
      <c r="AG793" s="7" t="str">
        <f aca="false">IF(LEFT(LOWER(TRIM(L793)),6)="cancel","Cancelled","Delivered")</f>
        <v>Delivered</v>
      </c>
      <c r="AH793" s="10" t="n">
        <f aca="false">IF(ISNUMBER(SEARCH("/",B793)),DATE(VALUE(RIGHT(B793,4)),VALUE(MID(B793,4,2)),VALUE(LEFT(B793,2))),IF(MID(B793,5,1)="-",DATE(VALUE(LEFT(B793,4)),VALUE(MID(B793,6,2)),VALUE(RIGHT(B793,2))),DATE(VALUE(RIGHT(B793,4)),MATCH(MID(B793,4,3),{"Jan","Feb","Mar","Apr","May","Jun","Jul","Aug","Sep","Oct","Nov","Dec"},0),VALUE(LEFT(B793,2)))))</f>
        <v>45835</v>
      </c>
    </row>
    <row r="794" customFormat="false" ht="15" hidden="false" customHeight="false" outlineLevel="0" collapsed="false">
      <c r="A794" s="7" t="s">
        <v>2581</v>
      </c>
      <c r="B794" s="7" t="s">
        <v>2582</v>
      </c>
      <c r="C794" s="7" t="s">
        <v>2583</v>
      </c>
      <c r="D794" s="7" t="s">
        <v>2326</v>
      </c>
      <c r="E794" s="7" t="s">
        <v>113</v>
      </c>
      <c r="F794" s="7" t="s">
        <v>215</v>
      </c>
      <c r="G794" s="7" t="s">
        <v>90</v>
      </c>
      <c r="H794" s="7" t="n">
        <v>2</v>
      </c>
      <c r="I794" s="7" t="n">
        <v>250</v>
      </c>
      <c r="J794" s="7" t="n">
        <v>0</v>
      </c>
      <c r="K794" s="7" t="s">
        <v>88</v>
      </c>
      <c r="L794" s="7" t="s">
        <v>194</v>
      </c>
      <c r="M794" s="7" t="n">
        <v>32</v>
      </c>
      <c r="N794" s="7"/>
      <c r="O794" s="7" t="str">
        <f aca="false">A794&amp;"|"&amp;B794&amp;"|"&amp;C794&amp;"|"&amp;D794&amp;"|"&amp;E794&amp;"|"&amp;F794&amp;"|"&amp;G794&amp;"|"&amp;H794&amp;"|"&amp;I794&amp;"|"&amp;J794&amp;"|"&amp;K794&amp;"|"&amp;L794&amp;"|"&amp;M794&amp;"|"&amp;N794</f>
        <v>ORD11443|2025-07-06|23:04|C0396|Curry Leaf Kitchen|MUMBAI|North Indian|2|250|0|UPI|Delivered|32|</v>
      </c>
      <c r="P794" s="7" t="str">
        <f aca="false">IF(COUNTIF($O$2:O794,O794)&gt;1,"DUP","OK")</f>
        <v>OK</v>
      </c>
      <c r="Q794" s="7" t="n">
        <f aca="false">COUNTBLANK(A794:N794)</f>
        <v>1</v>
      </c>
      <c r="R794" s="7" t="n">
        <f aca="false">IF(A794="",0,COUNTIFS($A$2:$A$3058,A794,$P$2:$P$3058,"OK"))</f>
        <v>1</v>
      </c>
      <c r="S794" s="7" t="str">
        <f aca="false">IF(OR(A794="",P794="DUP",R794&lt;2),"",IF(Q794=_xlfn.MINIFS($Q$2:$Q$3058,$A$2:$A$3058,A794,$P$2:$P$3058,"OK"),"KEEP","DROP"))</f>
        <v/>
      </c>
      <c r="T794" s="9" t="n">
        <f aca="false">IF(A794="",1,0)</f>
        <v>0</v>
      </c>
      <c r="U794" s="9" t="n">
        <f aca="false">IF(D794="",1,0)</f>
        <v>0</v>
      </c>
      <c r="V794" s="9" t="n">
        <f aca="false">IF(E794="",1,0)</f>
        <v>0</v>
      </c>
      <c r="W794" s="9" t="n">
        <f aca="false">IF(OR(H794&lt;1,H794&gt;10),1,0)</f>
        <v>0</v>
      </c>
      <c r="X794" s="9" t="n">
        <f aca="false">IF(OR(I794&lt;=0,I794&gt;1500),1,0)</f>
        <v>0</v>
      </c>
      <c r="Y794" s="9" t="n">
        <f aca="false">IF(J794&gt;H794*I794,1,0)</f>
        <v>0</v>
      </c>
      <c r="Z794" s="9" t="n">
        <f aca="false">IF(AND(N794&lt;&gt;"",OR(N794&lt;1,N794&gt;5)),1,0)</f>
        <v>0</v>
      </c>
      <c r="AA794" s="9" t="n">
        <f aca="false">IF(AND(M794&lt;&gt;"",OR(M794&lt;5,M794&gt;180)),1,0)</f>
        <v>0</v>
      </c>
      <c r="AB794" s="7" t="str">
        <f aca="false">IF(P794="DUP","Exact duplicate row",IF(T794=1,"Missing Order ID",IF(S794="DROP","Duplicate Order ID (less complete row)",IF(U794=1,"Missing Customer ID",IF(V794=1,"Missing Restaurant name",IF(W794=1,"Invalid/outlier quantity",IF(X794=1,"Invalid/outlier unit price",IF(Y794=1,"Discount greater than order value",""))))))))</f>
        <v/>
      </c>
      <c r="AC794" s="7" t="str">
        <f aca="false">IF(AB794="","KEEP","DROP")</f>
        <v>KEEP</v>
      </c>
      <c r="AD794" s="7" t="str">
        <f aca="false">IF(TRIM(F794)="",IFERROR(INDEX(Map_Tables!$I$4:$I$37,MATCH(TRIM(E794),Map_Tables!$G$4:$G$37,0)),""),IFERROR(INDEX(Map_Tables!$B$4:$B$18,MATCH(TRIM(F794),Map_Tables!$A$4:$A$18,0)),"CHECK"))</f>
        <v>Mumbai</v>
      </c>
      <c r="AE794" s="7" t="str">
        <f aca="false">IF(TRIM(E794)="","",IFERROR(INDEX(Map_Tables!$H$4:$H$37,MATCH(TRIM(E794),Map_Tables!$G$4:$G$37,0)),"CHECK"))</f>
        <v>Curry Leaf Kitchen</v>
      </c>
      <c r="AF794" s="7" t="str">
        <f aca="false">IF(TRIM(K794)="","Unknown",IFERROR(INDEX(Map_Tables!$E$4:$E$15,MATCH(TRIM(K794),Map_Tables!$D$4:$D$15,0)),"CHECK"))</f>
        <v>UPI</v>
      </c>
      <c r="AG794" s="7" t="str">
        <f aca="false">IF(LEFT(LOWER(TRIM(L794)),6)="cancel","Cancelled","Delivered")</f>
        <v>Delivered</v>
      </c>
      <c r="AH794" s="10" t="n">
        <f aca="false">IF(ISNUMBER(SEARCH("/",B794)),DATE(VALUE(RIGHT(B794,4)),VALUE(MID(B794,4,2)),VALUE(LEFT(B794,2))),IF(MID(B794,5,1)="-",DATE(VALUE(LEFT(B794,4)),VALUE(MID(B794,6,2)),VALUE(RIGHT(B794,2))),DATE(VALUE(RIGHT(B794,4)),MATCH(MID(B794,4,3),{"Jan","Feb","Mar","Apr","May","Jun","Jul","Aug","Sep","Oct","Nov","Dec"},0),VALUE(LEFT(B794,2)))))</f>
        <v>45844</v>
      </c>
    </row>
    <row r="795" customFormat="false" ht="15" hidden="false" customHeight="false" outlineLevel="0" collapsed="false">
      <c r="A795" s="7" t="s">
        <v>2584</v>
      </c>
      <c r="B795" s="7" t="s">
        <v>446</v>
      </c>
      <c r="C795" s="7" t="s">
        <v>543</v>
      </c>
      <c r="D795" s="7" t="s">
        <v>2585</v>
      </c>
      <c r="E795" s="7" t="s">
        <v>130</v>
      </c>
      <c r="F795" s="7" t="s">
        <v>110</v>
      </c>
      <c r="G795" s="7" t="s">
        <v>90</v>
      </c>
      <c r="H795" s="7" t="n">
        <v>1</v>
      </c>
      <c r="I795" s="7" t="n">
        <v>255</v>
      </c>
      <c r="J795" s="7" t="n">
        <v>100</v>
      </c>
      <c r="K795" s="7" t="s">
        <v>121</v>
      </c>
      <c r="L795" s="7" t="s">
        <v>194</v>
      </c>
      <c r="M795" s="7" t="n">
        <v>56</v>
      </c>
      <c r="N795" s="7" t="n">
        <v>4</v>
      </c>
      <c r="O795" s="7" t="str">
        <f aca="false">A795&amp;"|"&amp;B795&amp;"|"&amp;C795&amp;"|"&amp;D795&amp;"|"&amp;E795&amp;"|"&amp;F795&amp;"|"&amp;G795&amp;"|"&amp;H795&amp;"|"&amp;I795&amp;"|"&amp;J795&amp;"|"&amp;K795&amp;"|"&amp;L795&amp;"|"&amp;M795&amp;"|"&amp;N795</f>
        <v>ORD10526|2025-03-09|19:40|C1248|Tandoor Tales|Delhi|North Indian|1|255|100|Wallet|Delivered|56|4</v>
      </c>
      <c r="P795" s="7" t="str">
        <f aca="false">IF(COUNTIF($O$2:O795,O795)&gt;1,"DUP","OK")</f>
        <v>OK</v>
      </c>
      <c r="Q795" s="7" t="n">
        <f aca="false">COUNTBLANK(A795:N795)</f>
        <v>0</v>
      </c>
      <c r="R795" s="7" t="n">
        <f aca="false">IF(A795="",0,COUNTIFS($A$2:$A$3058,A795,$P$2:$P$3058,"OK"))</f>
        <v>1</v>
      </c>
      <c r="S795" s="7" t="str">
        <f aca="false">IF(OR(A795="",P795="DUP",R795&lt;2),"",IF(Q795=_xlfn.MINIFS($Q$2:$Q$3058,$A$2:$A$3058,A795,$P$2:$P$3058,"OK"),"KEEP","DROP"))</f>
        <v/>
      </c>
      <c r="T795" s="9" t="n">
        <f aca="false">IF(A795="",1,0)</f>
        <v>0</v>
      </c>
      <c r="U795" s="9" t="n">
        <f aca="false">IF(D795="",1,0)</f>
        <v>0</v>
      </c>
      <c r="V795" s="9" t="n">
        <f aca="false">IF(E795="",1,0)</f>
        <v>0</v>
      </c>
      <c r="W795" s="9" t="n">
        <f aca="false">IF(OR(H795&lt;1,H795&gt;10),1,0)</f>
        <v>0</v>
      </c>
      <c r="X795" s="9" t="n">
        <f aca="false">IF(OR(I795&lt;=0,I795&gt;1500),1,0)</f>
        <v>0</v>
      </c>
      <c r="Y795" s="9" t="n">
        <f aca="false">IF(J795&gt;H795*I795,1,0)</f>
        <v>0</v>
      </c>
      <c r="Z795" s="9" t="n">
        <f aca="false">IF(AND(N795&lt;&gt;"",OR(N795&lt;1,N795&gt;5)),1,0)</f>
        <v>0</v>
      </c>
      <c r="AA795" s="9" t="n">
        <f aca="false">IF(AND(M795&lt;&gt;"",OR(M795&lt;5,M795&gt;180)),1,0)</f>
        <v>0</v>
      </c>
      <c r="AB795" s="7" t="str">
        <f aca="false">IF(P795="DUP","Exact duplicate row",IF(T795=1,"Missing Order ID",IF(S795="DROP","Duplicate Order ID (less complete row)",IF(U795=1,"Missing Customer ID",IF(V795=1,"Missing Restaurant name",IF(W795=1,"Invalid/outlier quantity",IF(X795=1,"Invalid/outlier unit price",IF(Y795=1,"Discount greater than order value",""))))))))</f>
        <v/>
      </c>
      <c r="AC795" s="7" t="str">
        <f aca="false">IF(AB795="","KEEP","DROP")</f>
        <v>KEEP</v>
      </c>
      <c r="AD795" s="7" t="str">
        <f aca="false">IF(TRIM(F795)="",IFERROR(INDEX(Map_Tables!$I$4:$I$37,MATCH(TRIM(E795),Map_Tables!$G$4:$G$37,0)),""),IFERROR(INDEX(Map_Tables!$B$4:$B$18,MATCH(TRIM(F795),Map_Tables!$A$4:$A$18,0)),"CHECK"))</f>
        <v>Delhi</v>
      </c>
      <c r="AE795" s="7" t="str">
        <f aca="false">IF(TRIM(E795)="","",IFERROR(INDEX(Map_Tables!$H$4:$H$37,MATCH(TRIM(E795),Map_Tables!$G$4:$G$37,0)),"CHECK"))</f>
        <v>Tandoor Tales</v>
      </c>
      <c r="AF795" s="7" t="str">
        <f aca="false">IF(TRIM(K795)="","Unknown",IFERROR(INDEX(Map_Tables!$E$4:$E$15,MATCH(TRIM(K795),Map_Tables!$D$4:$D$15,0)),"CHECK"))</f>
        <v>Wallet</v>
      </c>
      <c r="AG795" s="7" t="str">
        <f aca="false">IF(LEFT(LOWER(TRIM(L795)),6)="cancel","Cancelled","Delivered")</f>
        <v>Delivered</v>
      </c>
      <c r="AH795" s="10" t="n">
        <f aca="false">IF(ISNUMBER(SEARCH("/",B795)),DATE(VALUE(RIGHT(B795,4)),VALUE(MID(B795,4,2)),VALUE(LEFT(B795,2))),IF(MID(B795,5,1)="-",DATE(VALUE(LEFT(B795,4)),VALUE(MID(B795,6,2)),VALUE(RIGHT(B795,2))),DATE(VALUE(RIGHT(B795,4)),MATCH(MID(B795,4,3),{"Jan","Feb","Mar","Apr","May","Jun","Jul","Aug","Sep","Oct","Nov","Dec"},0),VALUE(LEFT(B795,2)))))</f>
        <v>45725</v>
      </c>
    </row>
    <row r="796" customFormat="false" ht="15" hidden="false" customHeight="false" outlineLevel="0" collapsed="false">
      <c r="A796" s="7" t="s">
        <v>2586</v>
      </c>
      <c r="B796" s="7" t="s">
        <v>2587</v>
      </c>
      <c r="C796" s="7" t="s">
        <v>2588</v>
      </c>
      <c r="D796" s="7" t="s">
        <v>2589</v>
      </c>
      <c r="E796" s="7" t="s">
        <v>154</v>
      </c>
      <c r="F796" s="7" t="s">
        <v>128</v>
      </c>
      <c r="G796" s="7" t="s">
        <v>99</v>
      </c>
      <c r="H796" s="7" t="n">
        <v>3</v>
      </c>
      <c r="I796" s="7" t="n">
        <v>240</v>
      </c>
      <c r="J796" s="7" t="n">
        <v>0</v>
      </c>
      <c r="K796" s="7" t="s">
        <v>112</v>
      </c>
      <c r="L796" s="7" t="s">
        <v>194</v>
      </c>
      <c r="M796" s="7" t="n">
        <v>30</v>
      </c>
      <c r="N796" s="7" t="n">
        <v>4</v>
      </c>
      <c r="O796" s="7" t="str">
        <f aca="false">A796&amp;"|"&amp;B796&amp;"|"&amp;C796&amp;"|"&amp;D796&amp;"|"&amp;E796&amp;"|"&amp;F796&amp;"|"&amp;G796&amp;"|"&amp;H796&amp;"|"&amp;I796&amp;"|"&amp;J796&amp;"|"&amp;K796&amp;"|"&amp;L796&amp;"|"&amp;M796&amp;"|"&amp;N796</f>
        <v>ORD11402|2025-07-01|11:01|C1119|Madras Biryani Co|Chennai|Biryani|3|240|0|Cash on Delivery|Delivered|30|4</v>
      </c>
      <c r="P796" s="7" t="str">
        <f aca="false">IF(COUNTIF($O$2:O796,O796)&gt;1,"DUP","OK")</f>
        <v>OK</v>
      </c>
      <c r="Q796" s="7" t="n">
        <f aca="false">COUNTBLANK(A796:N796)</f>
        <v>0</v>
      </c>
      <c r="R796" s="7" t="n">
        <f aca="false">IF(A796="",0,COUNTIFS($A$2:$A$3058,A796,$P$2:$P$3058,"OK"))</f>
        <v>1</v>
      </c>
      <c r="S796" s="7" t="str">
        <f aca="false">IF(OR(A796="",P796="DUP",R796&lt;2),"",IF(Q796=_xlfn.MINIFS($Q$2:$Q$3058,$A$2:$A$3058,A796,$P$2:$P$3058,"OK"),"KEEP","DROP"))</f>
        <v/>
      </c>
      <c r="T796" s="9" t="n">
        <f aca="false">IF(A796="",1,0)</f>
        <v>0</v>
      </c>
      <c r="U796" s="9" t="n">
        <f aca="false">IF(D796="",1,0)</f>
        <v>0</v>
      </c>
      <c r="V796" s="9" t="n">
        <f aca="false">IF(E796="",1,0)</f>
        <v>0</v>
      </c>
      <c r="W796" s="9" t="n">
        <f aca="false">IF(OR(H796&lt;1,H796&gt;10),1,0)</f>
        <v>0</v>
      </c>
      <c r="X796" s="9" t="n">
        <f aca="false">IF(OR(I796&lt;=0,I796&gt;1500),1,0)</f>
        <v>0</v>
      </c>
      <c r="Y796" s="9" t="n">
        <f aca="false">IF(J796&gt;H796*I796,1,0)</f>
        <v>0</v>
      </c>
      <c r="Z796" s="9" t="n">
        <f aca="false">IF(AND(N796&lt;&gt;"",OR(N796&lt;1,N796&gt;5)),1,0)</f>
        <v>0</v>
      </c>
      <c r="AA796" s="9" t="n">
        <f aca="false">IF(AND(M796&lt;&gt;"",OR(M796&lt;5,M796&gt;180)),1,0)</f>
        <v>0</v>
      </c>
      <c r="AB796" s="7" t="str">
        <f aca="false">IF(P796="DUP","Exact duplicate row",IF(T796=1,"Missing Order ID",IF(S796="DROP","Duplicate Order ID (less complete row)",IF(U796=1,"Missing Customer ID",IF(V796=1,"Missing Restaurant name",IF(W796=1,"Invalid/outlier quantity",IF(X796=1,"Invalid/outlier unit price",IF(Y796=1,"Discount greater than order value",""))))))))</f>
        <v/>
      </c>
      <c r="AC796" s="7" t="str">
        <f aca="false">IF(AB796="","KEEP","DROP")</f>
        <v>KEEP</v>
      </c>
      <c r="AD796" s="7" t="str">
        <f aca="false">IF(TRIM(F796)="",IFERROR(INDEX(Map_Tables!$I$4:$I$37,MATCH(TRIM(E796),Map_Tables!$G$4:$G$37,0)),""),IFERROR(INDEX(Map_Tables!$B$4:$B$18,MATCH(TRIM(F796),Map_Tables!$A$4:$A$18,0)),"CHECK"))</f>
        <v>Chennai</v>
      </c>
      <c r="AE796" s="7" t="str">
        <f aca="false">IF(TRIM(E796)="","",IFERROR(INDEX(Map_Tables!$H$4:$H$37,MATCH(TRIM(E796),Map_Tables!$G$4:$G$37,0)),"CHECK"))</f>
        <v>Madras Biryani Co</v>
      </c>
      <c r="AF796" s="7" t="str">
        <f aca="false">IF(TRIM(K796)="","Unknown",IFERROR(INDEX(Map_Tables!$E$4:$E$15,MATCH(TRIM(K796),Map_Tables!$D$4:$D$15,0)),"CHECK"))</f>
        <v>Cash on Delivery</v>
      </c>
      <c r="AG796" s="7" t="str">
        <f aca="false">IF(LEFT(LOWER(TRIM(L796)),6)="cancel","Cancelled","Delivered")</f>
        <v>Delivered</v>
      </c>
      <c r="AH796" s="10" t="n">
        <f aca="false">IF(ISNUMBER(SEARCH("/",B796)),DATE(VALUE(RIGHT(B796,4)),VALUE(MID(B796,4,2)),VALUE(LEFT(B796,2))),IF(MID(B796,5,1)="-",DATE(VALUE(LEFT(B796,4)),VALUE(MID(B796,6,2)),VALUE(RIGHT(B796,2))),DATE(VALUE(RIGHT(B796,4)),MATCH(MID(B796,4,3),{"Jan","Feb","Mar","Apr","May","Jun","Jul","Aug","Sep","Oct","Nov","Dec"},0),VALUE(LEFT(B796,2)))))</f>
        <v>45839</v>
      </c>
    </row>
    <row r="797" customFormat="false" ht="15" hidden="false" customHeight="false" outlineLevel="0" collapsed="false">
      <c r="A797" s="7" t="s">
        <v>2590</v>
      </c>
      <c r="B797" s="7" t="s">
        <v>2591</v>
      </c>
      <c r="C797" s="7" t="s">
        <v>2592</v>
      </c>
      <c r="D797" s="7" t="s">
        <v>1958</v>
      </c>
      <c r="E797" s="7" t="s">
        <v>144</v>
      </c>
      <c r="F797" s="7" t="s">
        <v>119</v>
      </c>
      <c r="G797" s="7" t="s">
        <v>99</v>
      </c>
      <c r="H797" s="7" t="n">
        <v>1</v>
      </c>
      <c r="I797" s="7" t="n">
        <v>340</v>
      </c>
      <c r="J797" s="7" t="n">
        <v>0</v>
      </c>
      <c r="K797" s="7" t="s">
        <v>103</v>
      </c>
      <c r="L797" s="7" t="s">
        <v>194</v>
      </c>
      <c r="M797" s="7" t="n">
        <v>33</v>
      </c>
      <c r="N797" s="7" t="n">
        <v>3</v>
      </c>
      <c r="O797" s="7" t="str">
        <f aca="false">A797&amp;"|"&amp;B797&amp;"|"&amp;C797&amp;"|"&amp;D797&amp;"|"&amp;E797&amp;"|"&amp;F797&amp;"|"&amp;G797&amp;"|"&amp;H797&amp;"|"&amp;I797&amp;"|"&amp;J797&amp;"|"&amp;K797&amp;"|"&amp;L797&amp;"|"&amp;M797&amp;"|"&amp;N797</f>
        <v>ORD12302|18-Oct-2025|11:03|C0798|Hyderabad Dum Biryani|Hyderabad|Biryani|1|340|0|Debit Card|Delivered|33|3</v>
      </c>
      <c r="P797" s="7" t="str">
        <f aca="false">IF(COUNTIF($O$2:O797,O797)&gt;1,"DUP","OK")</f>
        <v>OK</v>
      </c>
      <c r="Q797" s="7" t="n">
        <f aca="false">COUNTBLANK(A797:N797)</f>
        <v>0</v>
      </c>
      <c r="R797" s="7" t="n">
        <f aca="false">IF(A797="",0,COUNTIFS($A$2:$A$3058,A797,$P$2:$P$3058,"OK"))</f>
        <v>1</v>
      </c>
      <c r="S797" s="7" t="str">
        <f aca="false">IF(OR(A797="",P797="DUP",R797&lt;2),"",IF(Q797=_xlfn.MINIFS($Q$2:$Q$3058,$A$2:$A$3058,A797,$P$2:$P$3058,"OK"),"KEEP","DROP"))</f>
        <v/>
      </c>
      <c r="T797" s="9" t="n">
        <f aca="false">IF(A797="",1,0)</f>
        <v>0</v>
      </c>
      <c r="U797" s="9" t="n">
        <f aca="false">IF(D797="",1,0)</f>
        <v>0</v>
      </c>
      <c r="V797" s="9" t="n">
        <f aca="false">IF(E797="",1,0)</f>
        <v>0</v>
      </c>
      <c r="W797" s="9" t="n">
        <f aca="false">IF(OR(H797&lt;1,H797&gt;10),1,0)</f>
        <v>0</v>
      </c>
      <c r="X797" s="9" t="n">
        <f aca="false">IF(OR(I797&lt;=0,I797&gt;1500),1,0)</f>
        <v>0</v>
      </c>
      <c r="Y797" s="9" t="n">
        <f aca="false">IF(J797&gt;H797*I797,1,0)</f>
        <v>0</v>
      </c>
      <c r="Z797" s="9" t="n">
        <f aca="false">IF(AND(N797&lt;&gt;"",OR(N797&lt;1,N797&gt;5)),1,0)</f>
        <v>0</v>
      </c>
      <c r="AA797" s="9" t="n">
        <f aca="false">IF(AND(M797&lt;&gt;"",OR(M797&lt;5,M797&gt;180)),1,0)</f>
        <v>0</v>
      </c>
      <c r="AB797" s="7" t="str">
        <f aca="false">IF(P797="DUP","Exact duplicate row",IF(T797=1,"Missing Order ID",IF(S797="DROP","Duplicate Order ID (less complete row)",IF(U797=1,"Missing Customer ID",IF(V797=1,"Missing Restaurant name",IF(W797=1,"Invalid/outlier quantity",IF(X797=1,"Invalid/outlier unit price",IF(Y797=1,"Discount greater than order value",""))))))))</f>
        <v/>
      </c>
      <c r="AC797" s="7" t="str">
        <f aca="false">IF(AB797="","KEEP","DROP")</f>
        <v>KEEP</v>
      </c>
      <c r="AD797" s="7" t="str">
        <f aca="false">IF(TRIM(F797)="",IFERROR(INDEX(Map_Tables!$I$4:$I$37,MATCH(TRIM(E797),Map_Tables!$G$4:$G$37,0)),""),IFERROR(INDEX(Map_Tables!$B$4:$B$18,MATCH(TRIM(F797),Map_Tables!$A$4:$A$18,0)),"CHECK"))</f>
        <v>Hyderabad</v>
      </c>
      <c r="AE797" s="7" t="str">
        <f aca="false">IF(TRIM(E797)="","",IFERROR(INDEX(Map_Tables!$H$4:$H$37,MATCH(TRIM(E797),Map_Tables!$G$4:$G$37,0)),"CHECK"))</f>
        <v>Hyderabad Dum Biryani</v>
      </c>
      <c r="AF797" s="7" t="str">
        <f aca="false">IF(TRIM(K797)="","Unknown",IFERROR(INDEX(Map_Tables!$E$4:$E$15,MATCH(TRIM(K797),Map_Tables!$D$4:$D$15,0)),"CHECK"))</f>
        <v>Debit Card</v>
      </c>
      <c r="AG797" s="7" t="str">
        <f aca="false">IF(LEFT(LOWER(TRIM(L797)),6)="cancel","Cancelled","Delivered")</f>
        <v>Delivered</v>
      </c>
      <c r="AH797" s="10" t="n">
        <f aca="false">IF(ISNUMBER(SEARCH("/",B797)),DATE(VALUE(RIGHT(B797,4)),VALUE(MID(B797,4,2)),VALUE(LEFT(B797,2))),IF(MID(B797,5,1)="-",DATE(VALUE(LEFT(B797,4)),VALUE(MID(B797,6,2)),VALUE(RIGHT(B797,2))),DATE(VALUE(RIGHT(B797,4)),MATCH(MID(B797,4,3),{"Jan","Feb","Mar","Apr","May","Jun","Jul","Aug","Sep","Oct","Nov","Dec"},0),VALUE(LEFT(B797,2)))))</f>
        <v>45948</v>
      </c>
    </row>
    <row r="798" customFormat="false" ht="15" hidden="false" customHeight="false" outlineLevel="0" collapsed="false">
      <c r="A798" s="7" t="s">
        <v>2593</v>
      </c>
      <c r="B798" s="7" t="s">
        <v>921</v>
      </c>
      <c r="C798" s="7" t="s">
        <v>2594</v>
      </c>
      <c r="D798" s="7" t="s">
        <v>2595</v>
      </c>
      <c r="E798" s="7" t="s">
        <v>89</v>
      </c>
      <c r="F798" s="7" t="s">
        <v>86</v>
      </c>
      <c r="G798" s="7" t="s">
        <v>90</v>
      </c>
      <c r="H798" s="7" t="n">
        <v>1</v>
      </c>
      <c r="I798" s="7" t="n">
        <v>220</v>
      </c>
      <c r="J798" s="7" t="n">
        <v>0</v>
      </c>
      <c r="K798" s="7" t="s">
        <v>2596</v>
      </c>
      <c r="L798" s="7" t="s">
        <v>194</v>
      </c>
      <c r="M798" s="7" t="n">
        <v>49</v>
      </c>
      <c r="N798" s="7" t="n">
        <v>2</v>
      </c>
      <c r="O798" s="7" t="str">
        <f aca="false">A798&amp;"|"&amp;B798&amp;"|"&amp;C798&amp;"|"&amp;D798&amp;"|"&amp;E798&amp;"|"&amp;F798&amp;"|"&amp;G798&amp;"|"&amp;H798&amp;"|"&amp;I798&amp;"|"&amp;J798&amp;"|"&amp;K798&amp;"|"&amp;L798&amp;"|"&amp;M798&amp;"|"&amp;N798</f>
        <v>ORD12162|2025-10-03|19:51|C0447|Spice Junction|Bengaluru|North Indian|1|220|0|COD|Delivered|49|2</v>
      </c>
      <c r="P798" s="7" t="str">
        <f aca="false">IF(COUNTIF($O$2:O798,O798)&gt;1,"DUP","OK")</f>
        <v>OK</v>
      </c>
      <c r="Q798" s="7" t="n">
        <f aca="false">COUNTBLANK(A798:N798)</f>
        <v>0</v>
      </c>
      <c r="R798" s="7" t="n">
        <f aca="false">IF(A798="",0,COUNTIFS($A$2:$A$3058,A798,$P$2:$P$3058,"OK"))</f>
        <v>1</v>
      </c>
      <c r="S798" s="7" t="str">
        <f aca="false">IF(OR(A798="",P798="DUP",R798&lt;2),"",IF(Q798=_xlfn.MINIFS($Q$2:$Q$3058,$A$2:$A$3058,A798,$P$2:$P$3058,"OK"),"KEEP","DROP"))</f>
        <v/>
      </c>
      <c r="T798" s="9" t="n">
        <f aca="false">IF(A798="",1,0)</f>
        <v>0</v>
      </c>
      <c r="U798" s="9" t="n">
        <f aca="false">IF(D798="",1,0)</f>
        <v>0</v>
      </c>
      <c r="V798" s="9" t="n">
        <f aca="false">IF(E798="",1,0)</f>
        <v>0</v>
      </c>
      <c r="W798" s="9" t="n">
        <f aca="false">IF(OR(H798&lt;1,H798&gt;10),1,0)</f>
        <v>0</v>
      </c>
      <c r="X798" s="9" t="n">
        <f aca="false">IF(OR(I798&lt;=0,I798&gt;1500),1,0)</f>
        <v>0</v>
      </c>
      <c r="Y798" s="9" t="n">
        <f aca="false">IF(J798&gt;H798*I798,1,0)</f>
        <v>0</v>
      </c>
      <c r="Z798" s="9" t="n">
        <f aca="false">IF(AND(N798&lt;&gt;"",OR(N798&lt;1,N798&gt;5)),1,0)</f>
        <v>0</v>
      </c>
      <c r="AA798" s="9" t="n">
        <f aca="false">IF(AND(M798&lt;&gt;"",OR(M798&lt;5,M798&gt;180)),1,0)</f>
        <v>0</v>
      </c>
      <c r="AB798" s="7" t="str">
        <f aca="false">IF(P798="DUP","Exact duplicate row",IF(T798=1,"Missing Order ID",IF(S798="DROP","Duplicate Order ID (less complete row)",IF(U798=1,"Missing Customer ID",IF(V798=1,"Missing Restaurant name",IF(W798=1,"Invalid/outlier quantity",IF(X798=1,"Invalid/outlier unit price",IF(Y798=1,"Discount greater than order value",""))))))))</f>
        <v/>
      </c>
      <c r="AC798" s="7" t="str">
        <f aca="false">IF(AB798="","KEEP","DROP")</f>
        <v>KEEP</v>
      </c>
      <c r="AD798" s="7" t="str">
        <f aca="false">IF(TRIM(F798)="",IFERROR(INDEX(Map_Tables!$I$4:$I$37,MATCH(TRIM(E798),Map_Tables!$G$4:$G$37,0)),""),IFERROR(INDEX(Map_Tables!$B$4:$B$18,MATCH(TRIM(F798),Map_Tables!$A$4:$A$18,0)),"CHECK"))</f>
        <v>Bengaluru</v>
      </c>
      <c r="AE798" s="7" t="str">
        <f aca="false">IF(TRIM(E798)="","",IFERROR(INDEX(Map_Tables!$H$4:$H$37,MATCH(TRIM(E798),Map_Tables!$G$4:$G$37,0)),"CHECK"))</f>
        <v>Spice Junction</v>
      </c>
      <c r="AF798" s="7" t="str">
        <f aca="false">IF(TRIM(K798)="","Unknown",IFERROR(INDEX(Map_Tables!$E$4:$E$15,MATCH(TRIM(K798),Map_Tables!$D$4:$D$15,0)),"CHECK"))</f>
        <v>Cash on Delivery</v>
      </c>
      <c r="AG798" s="7" t="str">
        <f aca="false">IF(LEFT(LOWER(TRIM(L798)),6)="cancel","Cancelled","Delivered")</f>
        <v>Delivered</v>
      </c>
      <c r="AH798" s="10" t="n">
        <f aca="false">IF(ISNUMBER(SEARCH("/",B798)),DATE(VALUE(RIGHT(B798,4)),VALUE(MID(B798,4,2)),VALUE(LEFT(B798,2))),IF(MID(B798,5,1)="-",DATE(VALUE(LEFT(B798,4)),VALUE(MID(B798,6,2)),VALUE(RIGHT(B798,2))),DATE(VALUE(RIGHT(B798,4)),MATCH(MID(B798,4,3),{"Jan","Feb","Mar","Apr","May","Jun","Jul","Aug","Sep","Oct","Nov","Dec"},0),VALUE(LEFT(B798,2)))))</f>
        <v>45933</v>
      </c>
    </row>
    <row r="799" customFormat="false" ht="15" hidden="false" customHeight="false" outlineLevel="0" collapsed="false">
      <c r="A799" s="7" t="s">
        <v>2597</v>
      </c>
      <c r="B799" s="7" t="s">
        <v>2598</v>
      </c>
      <c r="C799" s="7" t="s">
        <v>1317</v>
      </c>
      <c r="D799" s="7"/>
      <c r="E799" s="7" t="s">
        <v>116</v>
      </c>
      <c r="F799" s="7" t="s">
        <v>101</v>
      </c>
      <c r="G799" s="7" t="s">
        <v>117</v>
      </c>
      <c r="H799" s="7" t="n">
        <v>2</v>
      </c>
      <c r="I799" s="7" t="n">
        <v>175</v>
      </c>
      <c r="J799" s="7" t="n">
        <v>75</v>
      </c>
      <c r="K799" s="7" t="s">
        <v>88</v>
      </c>
      <c r="L799" s="7" t="s">
        <v>194</v>
      </c>
      <c r="M799" s="7" t="n">
        <v>58</v>
      </c>
      <c r="N799" s="7" t="n">
        <v>3</v>
      </c>
      <c r="O799" s="7" t="str">
        <f aca="false">A799&amp;"|"&amp;B799&amp;"|"&amp;C799&amp;"|"&amp;D799&amp;"|"&amp;E799&amp;"|"&amp;F799&amp;"|"&amp;G799&amp;"|"&amp;H799&amp;"|"&amp;I799&amp;"|"&amp;J799&amp;"|"&amp;K799&amp;"|"&amp;L799&amp;"|"&amp;M799&amp;"|"&amp;N799</f>
        <v>ORD10507|2025-03-07|20:35||Pav Bhaji Point|Mumbai|Street Food|2|175|75|UPI|Delivered|58|3</v>
      </c>
      <c r="P799" s="7" t="str">
        <f aca="false">IF(COUNTIF($O$2:O799,O799)&gt;1,"DUP","OK")</f>
        <v>OK</v>
      </c>
      <c r="Q799" s="7" t="n">
        <f aca="false">COUNTBLANK(A799:N799)</f>
        <v>1</v>
      </c>
      <c r="R799" s="7" t="n">
        <f aca="false">IF(A799="",0,COUNTIFS($A$2:$A$3058,A799,$P$2:$P$3058,"OK"))</f>
        <v>1</v>
      </c>
      <c r="S799" s="7" t="str">
        <f aca="false">IF(OR(A799="",P799="DUP",R799&lt;2),"",IF(Q799=_xlfn.MINIFS($Q$2:$Q$3058,$A$2:$A$3058,A799,$P$2:$P$3058,"OK"),"KEEP","DROP"))</f>
        <v/>
      </c>
      <c r="T799" s="9" t="n">
        <f aca="false">IF(A799="",1,0)</f>
        <v>0</v>
      </c>
      <c r="U799" s="9" t="n">
        <f aca="false">IF(D799="",1,0)</f>
        <v>1</v>
      </c>
      <c r="V799" s="9" t="n">
        <f aca="false">IF(E799="",1,0)</f>
        <v>0</v>
      </c>
      <c r="W799" s="9" t="n">
        <f aca="false">IF(OR(H799&lt;1,H799&gt;10),1,0)</f>
        <v>0</v>
      </c>
      <c r="X799" s="9" t="n">
        <f aca="false">IF(OR(I799&lt;=0,I799&gt;1500),1,0)</f>
        <v>0</v>
      </c>
      <c r="Y799" s="9" t="n">
        <f aca="false">IF(J799&gt;H799*I799,1,0)</f>
        <v>0</v>
      </c>
      <c r="Z799" s="9" t="n">
        <f aca="false">IF(AND(N799&lt;&gt;"",OR(N799&lt;1,N799&gt;5)),1,0)</f>
        <v>0</v>
      </c>
      <c r="AA799" s="9" t="n">
        <f aca="false">IF(AND(M799&lt;&gt;"",OR(M799&lt;5,M799&gt;180)),1,0)</f>
        <v>0</v>
      </c>
      <c r="AB799" s="7" t="str">
        <f aca="false">IF(P799="DUP","Exact duplicate row",IF(T799=1,"Missing Order ID",IF(S799="DROP","Duplicate Order ID (less complete row)",IF(U799=1,"Missing Customer ID",IF(V799=1,"Missing Restaurant name",IF(W799=1,"Invalid/outlier quantity",IF(X799=1,"Invalid/outlier unit price",IF(Y799=1,"Discount greater than order value",""))))))))</f>
        <v>Missing Customer ID</v>
      </c>
      <c r="AC799" s="7" t="str">
        <f aca="false">IF(AB799="","KEEP","DROP")</f>
        <v>DROP</v>
      </c>
      <c r="AD799" s="7" t="str">
        <f aca="false">IF(TRIM(F799)="",IFERROR(INDEX(Map_Tables!$I$4:$I$37,MATCH(TRIM(E799),Map_Tables!$G$4:$G$37,0)),""),IFERROR(INDEX(Map_Tables!$B$4:$B$18,MATCH(TRIM(F799),Map_Tables!$A$4:$A$18,0)),"CHECK"))</f>
        <v>Mumbai</v>
      </c>
      <c r="AE799" s="7" t="str">
        <f aca="false">IF(TRIM(E799)="","",IFERROR(INDEX(Map_Tables!$H$4:$H$37,MATCH(TRIM(E799),Map_Tables!$G$4:$G$37,0)),"CHECK"))</f>
        <v>Pav Bhaji Point</v>
      </c>
      <c r="AF799" s="7" t="str">
        <f aca="false">IF(TRIM(K799)="","Unknown",IFERROR(INDEX(Map_Tables!$E$4:$E$15,MATCH(TRIM(K799),Map_Tables!$D$4:$D$15,0)),"CHECK"))</f>
        <v>UPI</v>
      </c>
      <c r="AG799" s="7" t="str">
        <f aca="false">IF(LEFT(LOWER(TRIM(L799)),6)="cancel","Cancelled","Delivered")</f>
        <v>Delivered</v>
      </c>
      <c r="AH799" s="10" t="n">
        <f aca="false">IF(ISNUMBER(SEARCH("/",B799)),DATE(VALUE(RIGHT(B799,4)),VALUE(MID(B799,4,2)),VALUE(LEFT(B799,2))),IF(MID(B799,5,1)="-",DATE(VALUE(LEFT(B799,4)),VALUE(MID(B799,6,2)),VALUE(RIGHT(B799,2))),DATE(VALUE(RIGHT(B799,4)),MATCH(MID(B799,4,3),{"Jan","Feb","Mar","Apr","May","Jun","Jul","Aug","Sep","Oct","Nov","Dec"},0),VALUE(LEFT(B799,2)))))</f>
        <v>45723</v>
      </c>
    </row>
    <row r="800" customFormat="false" ht="15" hidden="false" customHeight="false" outlineLevel="0" collapsed="false">
      <c r="A800" s="7" t="s">
        <v>2599</v>
      </c>
      <c r="B800" s="7" t="s">
        <v>1267</v>
      </c>
      <c r="C800" s="7" t="s">
        <v>2600</v>
      </c>
      <c r="D800" s="7" t="s">
        <v>1088</v>
      </c>
      <c r="E800" s="7" t="s">
        <v>160</v>
      </c>
      <c r="F800" s="7" t="s">
        <v>303</v>
      </c>
      <c r="G800" s="7" t="s">
        <v>150</v>
      </c>
      <c r="H800" s="7" t="n">
        <v>1</v>
      </c>
      <c r="I800" s="7" t="n">
        <v>200</v>
      </c>
      <c r="J800" s="7" t="n">
        <v>30</v>
      </c>
      <c r="K800" s="7" t="s">
        <v>88</v>
      </c>
      <c r="L800" s="7" t="s">
        <v>194</v>
      </c>
      <c r="M800" s="7" t="n">
        <v>36</v>
      </c>
      <c r="N800" s="7" t="n">
        <v>4</v>
      </c>
      <c r="O800" s="7" t="str">
        <f aca="false">A800&amp;"|"&amp;B800&amp;"|"&amp;C800&amp;"|"&amp;D800&amp;"|"&amp;E800&amp;"|"&amp;F800&amp;"|"&amp;G800&amp;"|"&amp;H800&amp;"|"&amp;I800&amp;"|"&amp;J800&amp;"|"&amp;K800&amp;"|"&amp;L800&amp;"|"&amp;M800&amp;"|"&amp;N800</f>
        <v>ORD10480|2025-03-05|12:27|C1191|Cake Walk|PUNE|Desserts|1|200|30|UPI|Delivered|36|4</v>
      </c>
      <c r="P800" s="7" t="str">
        <f aca="false">IF(COUNTIF($O$2:O800,O800)&gt;1,"DUP","OK")</f>
        <v>OK</v>
      </c>
      <c r="Q800" s="7" t="n">
        <f aca="false">COUNTBLANK(A800:N800)</f>
        <v>0</v>
      </c>
      <c r="R800" s="7" t="n">
        <f aca="false">IF(A800="",0,COUNTIFS($A$2:$A$3058,A800,$P$2:$P$3058,"OK"))</f>
        <v>1</v>
      </c>
      <c r="S800" s="7" t="str">
        <f aca="false">IF(OR(A800="",P800="DUP",R800&lt;2),"",IF(Q800=_xlfn.MINIFS($Q$2:$Q$3058,$A$2:$A$3058,A800,$P$2:$P$3058,"OK"),"KEEP","DROP"))</f>
        <v/>
      </c>
      <c r="T800" s="9" t="n">
        <f aca="false">IF(A800="",1,0)</f>
        <v>0</v>
      </c>
      <c r="U800" s="9" t="n">
        <f aca="false">IF(D800="",1,0)</f>
        <v>0</v>
      </c>
      <c r="V800" s="9" t="n">
        <f aca="false">IF(E800="",1,0)</f>
        <v>0</v>
      </c>
      <c r="W800" s="9" t="n">
        <f aca="false">IF(OR(H800&lt;1,H800&gt;10),1,0)</f>
        <v>0</v>
      </c>
      <c r="X800" s="9" t="n">
        <f aca="false">IF(OR(I800&lt;=0,I800&gt;1500),1,0)</f>
        <v>0</v>
      </c>
      <c r="Y800" s="9" t="n">
        <f aca="false">IF(J800&gt;H800*I800,1,0)</f>
        <v>0</v>
      </c>
      <c r="Z800" s="9" t="n">
        <f aca="false">IF(AND(N800&lt;&gt;"",OR(N800&lt;1,N800&gt;5)),1,0)</f>
        <v>0</v>
      </c>
      <c r="AA800" s="9" t="n">
        <f aca="false">IF(AND(M800&lt;&gt;"",OR(M800&lt;5,M800&gt;180)),1,0)</f>
        <v>0</v>
      </c>
      <c r="AB800" s="7" t="str">
        <f aca="false">IF(P800="DUP","Exact duplicate row",IF(T800=1,"Missing Order ID",IF(S800="DROP","Duplicate Order ID (less complete row)",IF(U800=1,"Missing Customer ID",IF(V800=1,"Missing Restaurant name",IF(W800=1,"Invalid/outlier quantity",IF(X800=1,"Invalid/outlier unit price",IF(Y800=1,"Discount greater than order value",""))))))))</f>
        <v/>
      </c>
      <c r="AC800" s="7" t="str">
        <f aca="false">IF(AB800="","KEEP","DROP")</f>
        <v>KEEP</v>
      </c>
      <c r="AD800" s="7" t="str">
        <f aca="false">IF(TRIM(F800)="",IFERROR(INDEX(Map_Tables!$I$4:$I$37,MATCH(TRIM(E800),Map_Tables!$G$4:$G$37,0)),""),IFERROR(INDEX(Map_Tables!$B$4:$B$18,MATCH(TRIM(F800),Map_Tables!$A$4:$A$18,0)),"CHECK"))</f>
        <v>Pune</v>
      </c>
      <c r="AE800" s="7" t="str">
        <f aca="false">IF(TRIM(E800)="","",IFERROR(INDEX(Map_Tables!$H$4:$H$37,MATCH(TRIM(E800),Map_Tables!$G$4:$G$37,0)),"CHECK"))</f>
        <v>Cake Walk</v>
      </c>
      <c r="AF800" s="7" t="str">
        <f aca="false">IF(TRIM(K800)="","Unknown",IFERROR(INDEX(Map_Tables!$E$4:$E$15,MATCH(TRIM(K800),Map_Tables!$D$4:$D$15,0)),"CHECK"))</f>
        <v>UPI</v>
      </c>
      <c r="AG800" s="7" t="str">
        <f aca="false">IF(LEFT(LOWER(TRIM(L800)),6)="cancel","Cancelled","Delivered")</f>
        <v>Delivered</v>
      </c>
      <c r="AH800" s="10" t="n">
        <f aca="false">IF(ISNUMBER(SEARCH("/",B800)),DATE(VALUE(RIGHT(B800,4)),VALUE(MID(B800,4,2)),VALUE(LEFT(B800,2))),IF(MID(B800,5,1)="-",DATE(VALUE(LEFT(B800,4)),VALUE(MID(B800,6,2)),VALUE(RIGHT(B800,2))),DATE(VALUE(RIGHT(B800,4)),MATCH(MID(B800,4,3),{"Jan","Feb","Mar","Apr","May","Jun","Jul","Aug","Sep","Oct","Nov","Dec"},0),VALUE(LEFT(B800,2)))))</f>
        <v>45721</v>
      </c>
    </row>
    <row r="801" customFormat="false" ht="15" hidden="false" customHeight="false" outlineLevel="0" collapsed="false">
      <c r="A801" s="7" t="s">
        <v>2601</v>
      </c>
      <c r="B801" s="7" t="s">
        <v>1132</v>
      </c>
      <c r="C801" s="7" t="s">
        <v>2602</v>
      </c>
      <c r="D801" s="7" t="s">
        <v>1172</v>
      </c>
      <c r="E801" s="7" t="s">
        <v>1912</v>
      </c>
      <c r="F801" s="7" t="s">
        <v>110</v>
      </c>
      <c r="G801" s="7" t="s">
        <v>139</v>
      </c>
      <c r="H801" s="7" t="n">
        <v>1</v>
      </c>
      <c r="I801" s="7" t="n">
        <v>185</v>
      </c>
      <c r="J801" s="7" t="n">
        <v>0</v>
      </c>
      <c r="K801" s="7" t="s">
        <v>121</v>
      </c>
      <c r="L801" s="7" t="s">
        <v>194</v>
      </c>
      <c r="M801" s="7" t="n">
        <v>37</v>
      </c>
      <c r="N801" s="7" t="n">
        <v>3</v>
      </c>
      <c r="O801" s="7" t="str">
        <f aca="false">A801&amp;"|"&amp;B801&amp;"|"&amp;C801&amp;"|"&amp;D801&amp;"|"&amp;E801&amp;"|"&amp;F801&amp;"|"&amp;G801&amp;"|"&amp;H801&amp;"|"&amp;I801&amp;"|"&amp;J801&amp;"|"&amp;K801&amp;"|"&amp;L801&amp;"|"&amp;M801&amp;"|"&amp;N801</f>
        <v>ORD10688|2025-03-28|18:41|C0443|Burger  Barn|Delhi|Burgers|1|185|0|Wallet|Delivered|37|3</v>
      </c>
      <c r="P801" s="7" t="str">
        <f aca="false">IF(COUNTIF($O$2:O801,O801)&gt;1,"DUP","OK")</f>
        <v>OK</v>
      </c>
      <c r="Q801" s="7" t="n">
        <f aca="false">COUNTBLANK(A801:N801)</f>
        <v>0</v>
      </c>
      <c r="R801" s="7" t="n">
        <f aca="false">IF(A801="",0,COUNTIFS($A$2:$A$3058,A801,$P$2:$P$3058,"OK"))</f>
        <v>1</v>
      </c>
      <c r="S801" s="7" t="str">
        <f aca="false">IF(OR(A801="",P801="DUP",R801&lt;2),"",IF(Q801=_xlfn.MINIFS($Q$2:$Q$3058,$A$2:$A$3058,A801,$P$2:$P$3058,"OK"),"KEEP","DROP"))</f>
        <v/>
      </c>
      <c r="T801" s="9" t="n">
        <f aca="false">IF(A801="",1,0)</f>
        <v>0</v>
      </c>
      <c r="U801" s="9" t="n">
        <f aca="false">IF(D801="",1,0)</f>
        <v>0</v>
      </c>
      <c r="V801" s="9" t="n">
        <f aca="false">IF(E801="",1,0)</f>
        <v>0</v>
      </c>
      <c r="W801" s="9" t="n">
        <f aca="false">IF(OR(H801&lt;1,H801&gt;10),1,0)</f>
        <v>0</v>
      </c>
      <c r="X801" s="9" t="n">
        <f aca="false">IF(OR(I801&lt;=0,I801&gt;1500),1,0)</f>
        <v>0</v>
      </c>
      <c r="Y801" s="9" t="n">
        <f aca="false">IF(J801&gt;H801*I801,1,0)</f>
        <v>0</v>
      </c>
      <c r="Z801" s="9" t="n">
        <f aca="false">IF(AND(N801&lt;&gt;"",OR(N801&lt;1,N801&gt;5)),1,0)</f>
        <v>0</v>
      </c>
      <c r="AA801" s="9" t="n">
        <f aca="false">IF(AND(M801&lt;&gt;"",OR(M801&lt;5,M801&gt;180)),1,0)</f>
        <v>0</v>
      </c>
      <c r="AB801" s="7" t="str">
        <f aca="false">IF(P801="DUP","Exact duplicate row",IF(T801=1,"Missing Order ID",IF(S801="DROP","Duplicate Order ID (less complete row)",IF(U801=1,"Missing Customer ID",IF(V801=1,"Missing Restaurant name",IF(W801=1,"Invalid/outlier quantity",IF(X801=1,"Invalid/outlier unit price",IF(Y801=1,"Discount greater than order value",""))))))))</f>
        <v/>
      </c>
      <c r="AC801" s="7" t="str">
        <f aca="false">IF(AB801="","KEEP","DROP")</f>
        <v>KEEP</v>
      </c>
      <c r="AD801" s="7" t="str">
        <f aca="false">IF(TRIM(F801)="",IFERROR(INDEX(Map_Tables!$I$4:$I$37,MATCH(TRIM(E801),Map_Tables!$G$4:$G$37,0)),""),IFERROR(INDEX(Map_Tables!$B$4:$B$18,MATCH(TRIM(F801),Map_Tables!$A$4:$A$18,0)),"CHECK"))</f>
        <v>Delhi</v>
      </c>
      <c r="AE801" s="7" t="str">
        <f aca="false">IF(TRIM(E801)="","",IFERROR(INDEX(Map_Tables!$H$4:$H$37,MATCH(TRIM(E801),Map_Tables!$G$4:$G$37,0)),"CHECK"))</f>
        <v>Burger Barn</v>
      </c>
      <c r="AF801" s="7" t="str">
        <f aca="false">IF(TRIM(K801)="","Unknown",IFERROR(INDEX(Map_Tables!$E$4:$E$15,MATCH(TRIM(K801),Map_Tables!$D$4:$D$15,0)),"CHECK"))</f>
        <v>Wallet</v>
      </c>
      <c r="AG801" s="7" t="str">
        <f aca="false">IF(LEFT(LOWER(TRIM(L801)),6)="cancel","Cancelled","Delivered")</f>
        <v>Delivered</v>
      </c>
      <c r="AH801" s="10" t="n">
        <f aca="false">IF(ISNUMBER(SEARCH("/",B801)),DATE(VALUE(RIGHT(B801,4)),VALUE(MID(B801,4,2)),VALUE(LEFT(B801,2))),IF(MID(B801,5,1)="-",DATE(VALUE(LEFT(B801,4)),VALUE(MID(B801,6,2)),VALUE(RIGHT(B801,2))),DATE(VALUE(RIGHT(B801,4)),MATCH(MID(B801,4,3),{"Jan","Feb","Mar","Apr","May","Jun","Jul","Aug","Sep","Oct","Nov","Dec"},0),VALUE(LEFT(B801,2)))))</f>
        <v>45744</v>
      </c>
    </row>
    <row r="802" customFormat="false" ht="15" hidden="false" customHeight="false" outlineLevel="0" collapsed="false">
      <c r="A802" s="7" t="s">
        <v>2603</v>
      </c>
      <c r="B802" s="7" t="s">
        <v>1469</v>
      </c>
      <c r="C802" s="7" t="s">
        <v>2604</v>
      </c>
      <c r="D802" s="7" t="s">
        <v>784</v>
      </c>
      <c r="E802" s="7" t="s">
        <v>130</v>
      </c>
      <c r="F802" s="7" t="s">
        <v>110</v>
      </c>
      <c r="G802" s="7" t="s">
        <v>90</v>
      </c>
      <c r="H802" s="7" t="n">
        <v>1</v>
      </c>
      <c r="I802" s="7" t="n">
        <v>270</v>
      </c>
      <c r="J802" s="7" t="n">
        <v>20</v>
      </c>
      <c r="K802" s="7" t="s">
        <v>112</v>
      </c>
      <c r="L802" s="7" t="s">
        <v>194</v>
      </c>
      <c r="M802" s="7" t="n">
        <v>40</v>
      </c>
      <c r="N802" s="7" t="n">
        <v>3</v>
      </c>
      <c r="O802" s="7" t="str">
        <f aca="false">A802&amp;"|"&amp;B802&amp;"|"&amp;C802&amp;"|"&amp;D802&amp;"|"&amp;E802&amp;"|"&amp;F802&amp;"|"&amp;G802&amp;"|"&amp;H802&amp;"|"&amp;I802&amp;"|"&amp;J802&amp;"|"&amp;K802&amp;"|"&amp;L802&amp;"|"&amp;M802&amp;"|"&amp;N802</f>
        <v>ORD11063|2025-05-14|23:15|C0674|Tandoor Tales|Delhi|North Indian|1|270|20|Cash on Delivery|Delivered|40|3</v>
      </c>
      <c r="P802" s="7" t="str">
        <f aca="false">IF(COUNTIF($O$2:O802,O802)&gt;1,"DUP","OK")</f>
        <v>OK</v>
      </c>
      <c r="Q802" s="7" t="n">
        <f aca="false">COUNTBLANK(A802:N802)</f>
        <v>0</v>
      </c>
      <c r="R802" s="7" t="n">
        <f aca="false">IF(A802="",0,COUNTIFS($A$2:$A$3058,A802,$P$2:$P$3058,"OK"))</f>
        <v>1</v>
      </c>
      <c r="S802" s="7" t="str">
        <f aca="false">IF(OR(A802="",P802="DUP",R802&lt;2),"",IF(Q802=_xlfn.MINIFS($Q$2:$Q$3058,$A$2:$A$3058,A802,$P$2:$P$3058,"OK"),"KEEP","DROP"))</f>
        <v/>
      </c>
      <c r="T802" s="9" t="n">
        <f aca="false">IF(A802="",1,0)</f>
        <v>0</v>
      </c>
      <c r="U802" s="9" t="n">
        <f aca="false">IF(D802="",1,0)</f>
        <v>0</v>
      </c>
      <c r="V802" s="9" t="n">
        <f aca="false">IF(E802="",1,0)</f>
        <v>0</v>
      </c>
      <c r="W802" s="9" t="n">
        <f aca="false">IF(OR(H802&lt;1,H802&gt;10),1,0)</f>
        <v>0</v>
      </c>
      <c r="X802" s="9" t="n">
        <f aca="false">IF(OR(I802&lt;=0,I802&gt;1500),1,0)</f>
        <v>0</v>
      </c>
      <c r="Y802" s="9" t="n">
        <f aca="false">IF(J802&gt;H802*I802,1,0)</f>
        <v>0</v>
      </c>
      <c r="Z802" s="9" t="n">
        <f aca="false">IF(AND(N802&lt;&gt;"",OR(N802&lt;1,N802&gt;5)),1,0)</f>
        <v>0</v>
      </c>
      <c r="AA802" s="9" t="n">
        <f aca="false">IF(AND(M802&lt;&gt;"",OR(M802&lt;5,M802&gt;180)),1,0)</f>
        <v>0</v>
      </c>
      <c r="AB802" s="7" t="str">
        <f aca="false">IF(P802="DUP","Exact duplicate row",IF(T802=1,"Missing Order ID",IF(S802="DROP","Duplicate Order ID (less complete row)",IF(U802=1,"Missing Customer ID",IF(V802=1,"Missing Restaurant name",IF(W802=1,"Invalid/outlier quantity",IF(X802=1,"Invalid/outlier unit price",IF(Y802=1,"Discount greater than order value",""))))))))</f>
        <v/>
      </c>
      <c r="AC802" s="7" t="str">
        <f aca="false">IF(AB802="","KEEP","DROP")</f>
        <v>KEEP</v>
      </c>
      <c r="AD802" s="7" t="str">
        <f aca="false">IF(TRIM(F802)="",IFERROR(INDEX(Map_Tables!$I$4:$I$37,MATCH(TRIM(E802),Map_Tables!$G$4:$G$37,0)),""),IFERROR(INDEX(Map_Tables!$B$4:$B$18,MATCH(TRIM(F802),Map_Tables!$A$4:$A$18,0)),"CHECK"))</f>
        <v>Delhi</v>
      </c>
      <c r="AE802" s="7" t="str">
        <f aca="false">IF(TRIM(E802)="","",IFERROR(INDEX(Map_Tables!$H$4:$H$37,MATCH(TRIM(E802),Map_Tables!$G$4:$G$37,0)),"CHECK"))</f>
        <v>Tandoor Tales</v>
      </c>
      <c r="AF802" s="7" t="str">
        <f aca="false">IF(TRIM(K802)="","Unknown",IFERROR(INDEX(Map_Tables!$E$4:$E$15,MATCH(TRIM(K802),Map_Tables!$D$4:$D$15,0)),"CHECK"))</f>
        <v>Cash on Delivery</v>
      </c>
      <c r="AG802" s="7" t="str">
        <f aca="false">IF(LEFT(LOWER(TRIM(L802)),6)="cancel","Cancelled","Delivered")</f>
        <v>Delivered</v>
      </c>
      <c r="AH802" s="10" t="n">
        <f aca="false">IF(ISNUMBER(SEARCH("/",B802)),DATE(VALUE(RIGHT(B802,4)),VALUE(MID(B802,4,2)),VALUE(LEFT(B802,2))),IF(MID(B802,5,1)="-",DATE(VALUE(LEFT(B802,4)),VALUE(MID(B802,6,2)),VALUE(RIGHT(B802,2))),DATE(VALUE(RIGHT(B802,4)),MATCH(MID(B802,4,3),{"Jan","Feb","Mar","Apr","May","Jun","Jul","Aug","Sep","Oct","Nov","Dec"},0),VALUE(LEFT(B802,2)))))</f>
        <v>45791</v>
      </c>
    </row>
    <row r="803" customFormat="false" ht="15" hidden="false" customHeight="false" outlineLevel="0" collapsed="false">
      <c r="A803" s="7" t="s">
        <v>2605</v>
      </c>
      <c r="B803" s="7" t="s">
        <v>869</v>
      </c>
      <c r="C803" s="7" t="s">
        <v>1137</v>
      </c>
      <c r="D803" s="7" t="s">
        <v>2210</v>
      </c>
      <c r="E803" s="7" t="s">
        <v>130</v>
      </c>
      <c r="F803" s="7" t="s">
        <v>756</v>
      </c>
      <c r="G803" s="7" t="s">
        <v>90</v>
      </c>
      <c r="H803" s="7" t="n">
        <v>1</v>
      </c>
      <c r="I803" s="7" t="n">
        <v>275</v>
      </c>
      <c r="J803" s="7" t="n">
        <v>30</v>
      </c>
      <c r="K803" s="7" t="s">
        <v>88</v>
      </c>
      <c r="L803" s="7" t="s">
        <v>194</v>
      </c>
      <c r="M803" s="7" t="n">
        <v>39</v>
      </c>
      <c r="N803" s="7" t="n">
        <v>4</v>
      </c>
      <c r="O803" s="7" t="str">
        <f aca="false">A803&amp;"|"&amp;B803&amp;"|"&amp;C803&amp;"|"&amp;D803&amp;"|"&amp;E803&amp;"|"&amp;F803&amp;"|"&amp;G803&amp;"|"&amp;H803&amp;"|"&amp;I803&amp;"|"&amp;J803&amp;"|"&amp;K803&amp;"|"&amp;L803&amp;"|"&amp;M803&amp;"|"&amp;N803</f>
        <v>ORD11319|2025-06-19|18:04|C0919|Tandoor Tales|Delhi |North Indian|1|275|30|UPI|Delivered|39|4</v>
      </c>
      <c r="P803" s="7" t="str">
        <f aca="false">IF(COUNTIF($O$2:O803,O803)&gt;1,"DUP","OK")</f>
        <v>OK</v>
      </c>
      <c r="Q803" s="7" t="n">
        <f aca="false">COUNTBLANK(A803:N803)</f>
        <v>0</v>
      </c>
      <c r="R803" s="7" t="n">
        <f aca="false">IF(A803="",0,COUNTIFS($A$2:$A$3058,A803,$P$2:$P$3058,"OK"))</f>
        <v>1</v>
      </c>
      <c r="S803" s="7" t="str">
        <f aca="false">IF(OR(A803="",P803="DUP",R803&lt;2),"",IF(Q803=_xlfn.MINIFS($Q$2:$Q$3058,$A$2:$A$3058,A803,$P$2:$P$3058,"OK"),"KEEP","DROP"))</f>
        <v/>
      </c>
      <c r="T803" s="9" t="n">
        <f aca="false">IF(A803="",1,0)</f>
        <v>0</v>
      </c>
      <c r="U803" s="9" t="n">
        <f aca="false">IF(D803="",1,0)</f>
        <v>0</v>
      </c>
      <c r="V803" s="9" t="n">
        <f aca="false">IF(E803="",1,0)</f>
        <v>0</v>
      </c>
      <c r="W803" s="9" t="n">
        <f aca="false">IF(OR(H803&lt;1,H803&gt;10),1,0)</f>
        <v>0</v>
      </c>
      <c r="X803" s="9" t="n">
        <f aca="false">IF(OR(I803&lt;=0,I803&gt;1500),1,0)</f>
        <v>0</v>
      </c>
      <c r="Y803" s="9" t="n">
        <f aca="false">IF(J803&gt;H803*I803,1,0)</f>
        <v>0</v>
      </c>
      <c r="Z803" s="9" t="n">
        <f aca="false">IF(AND(N803&lt;&gt;"",OR(N803&lt;1,N803&gt;5)),1,0)</f>
        <v>0</v>
      </c>
      <c r="AA803" s="9" t="n">
        <f aca="false">IF(AND(M803&lt;&gt;"",OR(M803&lt;5,M803&gt;180)),1,0)</f>
        <v>0</v>
      </c>
      <c r="AB803" s="7" t="str">
        <f aca="false">IF(P803="DUP","Exact duplicate row",IF(T803=1,"Missing Order ID",IF(S803="DROP","Duplicate Order ID (less complete row)",IF(U803=1,"Missing Customer ID",IF(V803=1,"Missing Restaurant name",IF(W803=1,"Invalid/outlier quantity",IF(X803=1,"Invalid/outlier unit price",IF(Y803=1,"Discount greater than order value",""))))))))</f>
        <v/>
      </c>
      <c r="AC803" s="7" t="str">
        <f aca="false">IF(AB803="","KEEP","DROP")</f>
        <v>KEEP</v>
      </c>
      <c r="AD803" s="7" t="str">
        <f aca="false">IF(TRIM(F803)="",IFERROR(INDEX(Map_Tables!$I$4:$I$37,MATCH(TRIM(E803),Map_Tables!$G$4:$G$37,0)),""),IFERROR(INDEX(Map_Tables!$B$4:$B$18,MATCH(TRIM(F803),Map_Tables!$A$4:$A$18,0)),"CHECK"))</f>
        <v>Delhi</v>
      </c>
      <c r="AE803" s="7" t="str">
        <f aca="false">IF(TRIM(E803)="","",IFERROR(INDEX(Map_Tables!$H$4:$H$37,MATCH(TRIM(E803),Map_Tables!$G$4:$G$37,0)),"CHECK"))</f>
        <v>Tandoor Tales</v>
      </c>
      <c r="AF803" s="7" t="str">
        <f aca="false">IF(TRIM(K803)="","Unknown",IFERROR(INDEX(Map_Tables!$E$4:$E$15,MATCH(TRIM(K803),Map_Tables!$D$4:$D$15,0)),"CHECK"))</f>
        <v>UPI</v>
      </c>
      <c r="AG803" s="7" t="str">
        <f aca="false">IF(LEFT(LOWER(TRIM(L803)),6)="cancel","Cancelled","Delivered")</f>
        <v>Delivered</v>
      </c>
      <c r="AH803" s="10" t="n">
        <f aca="false">IF(ISNUMBER(SEARCH("/",B803)),DATE(VALUE(RIGHT(B803,4)),VALUE(MID(B803,4,2)),VALUE(LEFT(B803,2))),IF(MID(B803,5,1)="-",DATE(VALUE(LEFT(B803,4)),VALUE(MID(B803,6,2)),VALUE(RIGHT(B803,2))),DATE(VALUE(RIGHT(B803,4)),MATCH(MID(B803,4,3),{"Jan","Feb","Mar","Apr","May","Jun","Jul","Aug","Sep","Oct","Nov","Dec"},0),VALUE(LEFT(B803,2)))))</f>
        <v>45827</v>
      </c>
    </row>
    <row r="804" customFormat="false" ht="15" hidden="false" customHeight="false" outlineLevel="0" collapsed="false">
      <c r="A804" s="7" t="s">
        <v>2606</v>
      </c>
      <c r="B804" s="7" t="s">
        <v>1639</v>
      </c>
      <c r="C804" s="7" t="s">
        <v>2607</v>
      </c>
      <c r="D804" s="7" t="s">
        <v>884</v>
      </c>
      <c r="E804" s="7" t="s">
        <v>166</v>
      </c>
      <c r="F804" s="7" t="s">
        <v>146</v>
      </c>
      <c r="G804" s="7" t="s">
        <v>117</v>
      </c>
      <c r="H804" s="7" t="n">
        <v>1</v>
      </c>
      <c r="I804" s="7" t="n">
        <v>95</v>
      </c>
      <c r="J804" s="7" t="n">
        <v>0</v>
      </c>
      <c r="K804" s="7" t="s">
        <v>112</v>
      </c>
      <c r="L804" s="7" t="s">
        <v>194</v>
      </c>
      <c r="M804" s="7" t="n">
        <v>35</v>
      </c>
      <c r="N804" s="7" t="n">
        <v>3</v>
      </c>
      <c r="O804" s="7" t="str">
        <f aca="false">A804&amp;"|"&amp;B804&amp;"|"&amp;C804&amp;"|"&amp;D804&amp;"|"&amp;E804&amp;"|"&amp;F804&amp;"|"&amp;G804&amp;"|"&amp;H804&amp;"|"&amp;I804&amp;"|"&amp;J804&amp;"|"&amp;K804&amp;"|"&amp;L804&amp;"|"&amp;M804&amp;"|"&amp;N804</f>
        <v>ORD10397|2025-02-22|12:01|C0114|Dhokla Delight|Ahmedabad|Street Food|1|95|0|Cash on Delivery|Delivered|35|3</v>
      </c>
      <c r="P804" s="7" t="str">
        <f aca="false">IF(COUNTIF($O$2:O804,O804)&gt;1,"DUP","OK")</f>
        <v>OK</v>
      </c>
      <c r="Q804" s="7" t="n">
        <f aca="false">COUNTBLANK(A804:N804)</f>
        <v>0</v>
      </c>
      <c r="R804" s="7" t="n">
        <f aca="false">IF(A804="",0,COUNTIFS($A$2:$A$3058,A804,$P$2:$P$3058,"OK"))</f>
        <v>1</v>
      </c>
      <c r="S804" s="7" t="str">
        <f aca="false">IF(OR(A804="",P804="DUP",R804&lt;2),"",IF(Q804=_xlfn.MINIFS($Q$2:$Q$3058,$A$2:$A$3058,A804,$P$2:$P$3058,"OK"),"KEEP","DROP"))</f>
        <v/>
      </c>
      <c r="T804" s="9" t="n">
        <f aca="false">IF(A804="",1,0)</f>
        <v>0</v>
      </c>
      <c r="U804" s="9" t="n">
        <f aca="false">IF(D804="",1,0)</f>
        <v>0</v>
      </c>
      <c r="V804" s="9" t="n">
        <f aca="false">IF(E804="",1,0)</f>
        <v>0</v>
      </c>
      <c r="W804" s="9" t="n">
        <f aca="false">IF(OR(H804&lt;1,H804&gt;10),1,0)</f>
        <v>0</v>
      </c>
      <c r="X804" s="9" t="n">
        <f aca="false">IF(OR(I804&lt;=0,I804&gt;1500),1,0)</f>
        <v>0</v>
      </c>
      <c r="Y804" s="9" t="n">
        <f aca="false">IF(J804&gt;H804*I804,1,0)</f>
        <v>0</v>
      </c>
      <c r="Z804" s="9" t="n">
        <f aca="false">IF(AND(N804&lt;&gt;"",OR(N804&lt;1,N804&gt;5)),1,0)</f>
        <v>0</v>
      </c>
      <c r="AA804" s="9" t="n">
        <f aca="false">IF(AND(M804&lt;&gt;"",OR(M804&lt;5,M804&gt;180)),1,0)</f>
        <v>0</v>
      </c>
      <c r="AB804" s="7" t="str">
        <f aca="false">IF(P804="DUP","Exact duplicate row",IF(T804=1,"Missing Order ID",IF(S804="DROP","Duplicate Order ID (less complete row)",IF(U804=1,"Missing Customer ID",IF(V804=1,"Missing Restaurant name",IF(W804=1,"Invalid/outlier quantity",IF(X804=1,"Invalid/outlier unit price",IF(Y804=1,"Discount greater than order value",""))))))))</f>
        <v/>
      </c>
      <c r="AC804" s="7" t="str">
        <f aca="false">IF(AB804="","KEEP","DROP")</f>
        <v>KEEP</v>
      </c>
      <c r="AD804" s="7" t="str">
        <f aca="false">IF(TRIM(F804)="",IFERROR(INDEX(Map_Tables!$I$4:$I$37,MATCH(TRIM(E804),Map_Tables!$G$4:$G$37,0)),""),IFERROR(INDEX(Map_Tables!$B$4:$B$18,MATCH(TRIM(F804),Map_Tables!$A$4:$A$18,0)),"CHECK"))</f>
        <v>Ahmedabad</v>
      </c>
      <c r="AE804" s="7" t="str">
        <f aca="false">IF(TRIM(E804)="","",IFERROR(INDEX(Map_Tables!$H$4:$H$37,MATCH(TRIM(E804),Map_Tables!$G$4:$G$37,0)),"CHECK"))</f>
        <v>Dhokla Delight</v>
      </c>
      <c r="AF804" s="7" t="str">
        <f aca="false">IF(TRIM(K804)="","Unknown",IFERROR(INDEX(Map_Tables!$E$4:$E$15,MATCH(TRIM(K804),Map_Tables!$D$4:$D$15,0)),"CHECK"))</f>
        <v>Cash on Delivery</v>
      </c>
      <c r="AG804" s="7" t="str">
        <f aca="false">IF(LEFT(LOWER(TRIM(L804)),6)="cancel","Cancelled","Delivered")</f>
        <v>Delivered</v>
      </c>
      <c r="AH804" s="10" t="n">
        <f aca="false">IF(ISNUMBER(SEARCH("/",B804)),DATE(VALUE(RIGHT(B804,4)),VALUE(MID(B804,4,2)),VALUE(LEFT(B804,2))),IF(MID(B804,5,1)="-",DATE(VALUE(LEFT(B804,4)),VALUE(MID(B804,6,2)),VALUE(RIGHT(B804,2))),DATE(VALUE(RIGHT(B804,4)),MATCH(MID(B804,4,3),{"Jan","Feb","Mar","Apr","May","Jun","Jul","Aug","Sep","Oct","Nov","Dec"},0),VALUE(LEFT(B804,2)))))</f>
        <v>45710</v>
      </c>
    </row>
    <row r="805" customFormat="false" ht="15" hidden="false" customHeight="false" outlineLevel="0" collapsed="false">
      <c r="A805" s="7" t="s">
        <v>2608</v>
      </c>
      <c r="B805" s="7" t="s">
        <v>2609</v>
      </c>
      <c r="C805" s="7" t="s">
        <v>2610</v>
      </c>
      <c r="D805" s="7" t="s">
        <v>198</v>
      </c>
      <c r="E805" s="7" t="s">
        <v>89</v>
      </c>
      <c r="F805" s="7" t="s">
        <v>86</v>
      </c>
      <c r="G805" s="7" t="s">
        <v>90</v>
      </c>
      <c r="H805" s="7" t="n">
        <v>1</v>
      </c>
      <c r="I805" s="7" t="n">
        <v>260</v>
      </c>
      <c r="J805" s="7" t="n">
        <v>0</v>
      </c>
      <c r="K805" s="7" t="s">
        <v>103</v>
      </c>
      <c r="L805" s="7" t="s">
        <v>194</v>
      </c>
      <c r="M805" s="7" t="n">
        <v>35</v>
      </c>
      <c r="N805" s="7" t="n">
        <v>4</v>
      </c>
      <c r="O805" s="7" t="str">
        <f aca="false">A805&amp;"|"&amp;B805&amp;"|"&amp;C805&amp;"|"&amp;D805&amp;"|"&amp;E805&amp;"|"&amp;F805&amp;"|"&amp;G805&amp;"|"&amp;H805&amp;"|"&amp;I805&amp;"|"&amp;J805&amp;"|"&amp;K805&amp;"|"&amp;L805&amp;"|"&amp;M805&amp;"|"&amp;N805</f>
        <v>ORD12231|11/10/2025|10:28|C0449|Spice Junction|Bengaluru|North Indian|1|260|0|Debit Card|Delivered|35|4</v>
      </c>
      <c r="P805" s="7" t="str">
        <f aca="false">IF(COUNTIF($O$2:O805,O805)&gt;1,"DUP","OK")</f>
        <v>OK</v>
      </c>
      <c r="Q805" s="7" t="n">
        <f aca="false">COUNTBLANK(A805:N805)</f>
        <v>0</v>
      </c>
      <c r="R805" s="7" t="n">
        <f aca="false">IF(A805="",0,COUNTIFS($A$2:$A$3058,A805,$P$2:$P$3058,"OK"))</f>
        <v>1</v>
      </c>
      <c r="S805" s="7" t="str">
        <f aca="false">IF(OR(A805="",P805="DUP",R805&lt;2),"",IF(Q805=_xlfn.MINIFS($Q$2:$Q$3058,$A$2:$A$3058,A805,$P$2:$P$3058,"OK"),"KEEP","DROP"))</f>
        <v/>
      </c>
      <c r="T805" s="9" t="n">
        <f aca="false">IF(A805="",1,0)</f>
        <v>0</v>
      </c>
      <c r="U805" s="9" t="n">
        <f aca="false">IF(D805="",1,0)</f>
        <v>0</v>
      </c>
      <c r="V805" s="9" t="n">
        <f aca="false">IF(E805="",1,0)</f>
        <v>0</v>
      </c>
      <c r="W805" s="9" t="n">
        <f aca="false">IF(OR(H805&lt;1,H805&gt;10),1,0)</f>
        <v>0</v>
      </c>
      <c r="X805" s="9" t="n">
        <f aca="false">IF(OR(I805&lt;=0,I805&gt;1500),1,0)</f>
        <v>0</v>
      </c>
      <c r="Y805" s="9" t="n">
        <f aca="false">IF(J805&gt;H805*I805,1,0)</f>
        <v>0</v>
      </c>
      <c r="Z805" s="9" t="n">
        <f aca="false">IF(AND(N805&lt;&gt;"",OR(N805&lt;1,N805&gt;5)),1,0)</f>
        <v>0</v>
      </c>
      <c r="AA805" s="9" t="n">
        <f aca="false">IF(AND(M805&lt;&gt;"",OR(M805&lt;5,M805&gt;180)),1,0)</f>
        <v>0</v>
      </c>
      <c r="AB805" s="7" t="str">
        <f aca="false">IF(P805="DUP","Exact duplicate row",IF(T805=1,"Missing Order ID",IF(S805="DROP","Duplicate Order ID (less complete row)",IF(U805=1,"Missing Customer ID",IF(V805=1,"Missing Restaurant name",IF(W805=1,"Invalid/outlier quantity",IF(X805=1,"Invalid/outlier unit price",IF(Y805=1,"Discount greater than order value",""))))))))</f>
        <v/>
      </c>
      <c r="AC805" s="7" t="str">
        <f aca="false">IF(AB805="","KEEP","DROP")</f>
        <v>KEEP</v>
      </c>
      <c r="AD805" s="7" t="str">
        <f aca="false">IF(TRIM(F805)="",IFERROR(INDEX(Map_Tables!$I$4:$I$37,MATCH(TRIM(E805),Map_Tables!$G$4:$G$37,0)),""),IFERROR(INDEX(Map_Tables!$B$4:$B$18,MATCH(TRIM(F805),Map_Tables!$A$4:$A$18,0)),"CHECK"))</f>
        <v>Bengaluru</v>
      </c>
      <c r="AE805" s="7" t="str">
        <f aca="false">IF(TRIM(E805)="","",IFERROR(INDEX(Map_Tables!$H$4:$H$37,MATCH(TRIM(E805),Map_Tables!$G$4:$G$37,0)),"CHECK"))</f>
        <v>Spice Junction</v>
      </c>
      <c r="AF805" s="7" t="str">
        <f aca="false">IF(TRIM(K805)="","Unknown",IFERROR(INDEX(Map_Tables!$E$4:$E$15,MATCH(TRIM(K805),Map_Tables!$D$4:$D$15,0)),"CHECK"))</f>
        <v>Debit Card</v>
      </c>
      <c r="AG805" s="7" t="str">
        <f aca="false">IF(LEFT(LOWER(TRIM(L805)),6)="cancel","Cancelled","Delivered")</f>
        <v>Delivered</v>
      </c>
      <c r="AH805" s="10" t="n">
        <f aca="false">IF(ISNUMBER(SEARCH("/",B805)),DATE(VALUE(RIGHT(B805,4)),VALUE(MID(B805,4,2)),VALUE(LEFT(B805,2))),IF(MID(B805,5,1)="-",DATE(VALUE(LEFT(B805,4)),VALUE(MID(B805,6,2)),VALUE(RIGHT(B805,2))),DATE(VALUE(RIGHT(B805,4)),MATCH(MID(B805,4,3),{"Jan","Feb","Mar","Apr","May","Jun","Jul","Aug","Sep","Oct","Nov","Dec"},0),VALUE(LEFT(B805,2)))))</f>
        <v>45941</v>
      </c>
    </row>
    <row r="806" customFormat="false" ht="15" hidden="false" customHeight="false" outlineLevel="0" collapsed="false">
      <c r="A806" s="7" t="s">
        <v>2611</v>
      </c>
      <c r="B806" s="7" t="s">
        <v>1351</v>
      </c>
      <c r="C806" s="7" t="s">
        <v>1764</v>
      </c>
      <c r="D806" s="7" t="s">
        <v>2612</v>
      </c>
      <c r="E806" s="7" t="s">
        <v>148</v>
      </c>
      <c r="F806" s="7" t="s">
        <v>119</v>
      </c>
      <c r="G806" s="7" t="s">
        <v>123</v>
      </c>
      <c r="H806" s="7" t="n">
        <v>4</v>
      </c>
      <c r="I806" s="7" t="n">
        <v>335</v>
      </c>
      <c r="J806" s="7" t="n">
        <v>20</v>
      </c>
      <c r="K806" s="7" t="s">
        <v>88</v>
      </c>
      <c r="L806" s="7" t="s">
        <v>194</v>
      </c>
      <c r="M806" s="7" t="n">
        <v>28</v>
      </c>
      <c r="N806" s="7" t="n">
        <v>5</v>
      </c>
      <c r="O806" s="7" t="str">
        <f aca="false">A806&amp;"|"&amp;B806&amp;"|"&amp;C806&amp;"|"&amp;D806&amp;"|"&amp;E806&amp;"|"&amp;F806&amp;"|"&amp;G806&amp;"|"&amp;H806&amp;"|"&amp;I806&amp;"|"&amp;J806&amp;"|"&amp;K806&amp;"|"&amp;L806&amp;"|"&amp;M806&amp;"|"&amp;N806</f>
        <v>ORD11423|2025-07-04|19:36|C0421|Pizza Palace|Hyderabad|Pizza|4|335|20|UPI|Delivered|28|5</v>
      </c>
      <c r="P806" s="7" t="str">
        <f aca="false">IF(COUNTIF($O$2:O806,O806)&gt;1,"DUP","OK")</f>
        <v>OK</v>
      </c>
      <c r="Q806" s="7" t="n">
        <f aca="false">COUNTBLANK(A806:N806)</f>
        <v>0</v>
      </c>
      <c r="R806" s="7" t="n">
        <f aca="false">IF(A806="",0,COUNTIFS($A$2:$A$3058,A806,$P$2:$P$3058,"OK"))</f>
        <v>1</v>
      </c>
      <c r="S806" s="7" t="str">
        <f aca="false">IF(OR(A806="",P806="DUP",R806&lt;2),"",IF(Q806=_xlfn.MINIFS($Q$2:$Q$3058,$A$2:$A$3058,A806,$P$2:$P$3058,"OK"),"KEEP","DROP"))</f>
        <v/>
      </c>
      <c r="T806" s="9" t="n">
        <f aca="false">IF(A806="",1,0)</f>
        <v>0</v>
      </c>
      <c r="U806" s="9" t="n">
        <f aca="false">IF(D806="",1,0)</f>
        <v>0</v>
      </c>
      <c r="V806" s="9" t="n">
        <f aca="false">IF(E806="",1,0)</f>
        <v>0</v>
      </c>
      <c r="W806" s="9" t="n">
        <f aca="false">IF(OR(H806&lt;1,H806&gt;10),1,0)</f>
        <v>0</v>
      </c>
      <c r="X806" s="9" t="n">
        <f aca="false">IF(OR(I806&lt;=0,I806&gt;1500),1,0)</f>
        <v>0</v>
      </c>
      <c r="Y806" s="9" t="n">
        <f aca="false">IF(J806&gt;H806*I806,1,0)</f>
        <v>0</v>
      </c>
      <c r="Z806" s="9" t="n">
        <f aca="false">IF(AND(N806&lt;&gt;"",OR(N806&lt;1,N806&gt;5)),1,0)</f>
        <v>0</v>
      </c>
      <c r="AA806" s="9" t="n">
        <f aca="false">IF(AND(M806&lt;&gt;"",OR(M806&lt;5,M806&gt;180)),1,0)</f>
        <v>0</v>
      </c>
      <c r="AB806" s="7" t="str">
        <f aca="false">IF(P806="DUP","Exact duplicate row",IF(T806=1,"Missing Order ID",IF(S806="DROP","Duplicate Order ID (less complete row)",IF(U806=1,"Missing Customer ID",IF(V806=1,"Missing Restaurant name",IF(W806=1,"Invalid/outlier quantity",IF(X806=1,"Invalid/outlier unit price",IF(Y806=1,"Discount greater than order value",""))))))))</f>
        <v/>
      </c>
      <c r="AC806" s="7" t="str">
        <f aca="false">IF(AB806="","KEEP","DROP")</f>
        <v>KEEP</v>
      </c>
      <c r="AD806" s="7" t="str">
        <f aca="false">IF(TRIM(F806)="",IFERROR(INDEX(Map_Tables!$I$4:$I$37,MATCH(TRIM(E806),Map_Tables!$G$4:$G$37,0)),""),IFERROR(INDEX(Map_Tables!$B$4:$B$18,MATCH(TRIM(F806),Map_Tables!$A$4:$A$18,0)),"CHECK"))</f>
        <v>Hyderabad</v>
      </c>
      <c r="AE806" s="7" t="str">
        <f aca="false">IF(TRIM(E806)="","",IFERROR(INDEX(Map_Tables!$H$4:$H$37,MATCH(TRIM(E806),Map_Tables!$G$4:$G$37,0)),"CHECK"))</f>
        <v>Pizza Palace</v>
      </c>
      <c r="AF806" s="7" t="str">
        <f aca="false">IF(TRIM(K806)="","Unknown",IFERROR(INDEX(Map_Tables!$E$4:$E$15,MATCH(TRIM(K806),Map_Tables!$D$4:$D$15,0)),"CHECK"))</f>
        <v>UPI</v>
      </c>
      <c r="AG806" s="7" t="str">
        <f aca="false">IF(LEFT(LOWER(TRIM(L806)),6)="cancel","Cancelled","Delivered")</f>
        <v>Delivered</v>
      </c>
      <c r="AH806" s="10" t="n">
        <f aca="false">IF(ISNUMBER(SEARCH("/",B806)),DATE(VALUE(RIGHT(B806,4)),VALUE(MID(B806,4,2)),VALUE(LEFT(B806,2))),IF(MID(B806,5,1)="-",DATE(VALUE(LEFT(B806,4)),VALUE(MID(B806,6,2)),VALUE(RIGHT(B806,2))),DATE(VALUE(RIGHT(B806,4)),MATCH(MID(B806,4,3),{"Jan","Feb","Mar","Apr","May","Jun","Jul","Aug","Sep","Oct","Nov","Dec"},0),VALUE(LEFT(B806,2)))))</f>
        <v>45842</v>
      </c>
    </row>
    <row r="807" customFormat="false" ht="15" hidden="false" customHeight="false" outlineLevel="0" collapsed="false">
      <c r="A807" s="7" t="s">
        <v>2613</v>
      </c>
      <c r="B807" s="7" t="s">
        <v>2579</v>
      </c>
      <c r="C807" s="7" t="s">
        <v>1285</v>
      </c>
      <c r="D807" s="7" t="s">
        <v>2614</v>
      </c>
      <c r="E807" s="7" t="s">
        <v>681</v>
      </c>
      <c r="F807" s="7" t="s">
        <v>110</v>
      </c>
      <c r="G807" s="7" t="s">
        <v>117</v>
      </c>
      <c r="H807" s="7" t="n">
        <v>1</v>
      </c>
      <c r="I807" s="7" t="n">
        <v>85</v>
      </c>
      <c r="J807" s="7" t="n">
        <v>0</v>
      </c>
      <c r="K807" s="7" t="s">
        <v>112</v>
      </c>
      <c r="L807" s="7" t="s">
        <v>194</v>
      </c>
      <c r="M807" s="7" t="n">
        <v>34</v>
      </c>
      <c r="N807" s="7" t="n">
        <v>5</v>
      </c>
      <c r="O807" s="7" t="str">
        <f aca="false">A807&amp;"|"&amp;B807&amp;"|"&amp;C807&amp;"|"&amp;D807&amp;"|"&amp;E807&amp;"|"&amp;F807&amp;"|"&amp;G807&amp;"|"&amp;H807&amp;"|"&amp;I807&amp;"|"&amp;J807&amp;"|"&amp;K807&amp;"|"&amp;L807&amp;"|"&amp;M807&amp;"|"&amp;N807</f>
        <v>ORD11378|2025-06-27|14:27|C1313|chaat corner|Delhi|Street Food|1|85|0|Cash on Delivery|Delivered|34|5</v>
      </c>
      <c r="P807" s="7" t="str">
        <f aca="false">IF(COUNTIF($O$2:O807,O807)&gt;1,"DUP","OK")</f>
        <v>OK</v>
      </c>
      <c r="Q807" s="7" t="n">
        <f aca="false">COUNTBLANK(A807:N807)</f>
        <v>0</v>
      </c>
      <c r="R807" s="7" t="n">
        <f aca="false">IF(A807="",0,COUNTIFS($A$2:$A$3058,A807,$P$2:$P$3058,"OK"))</f>
        <v>1</v>
      </c>
      <c r="S807" s="7" t="str">
        <f aca="false">IF(OR(A807="",P807="DUP",R807&lt;2),"",IF(Q807=_xlfn.MINIFS($Q$2:$Q$3058,$A$2:$A$3058,A807,$P$2:$P$3058,"OK"),"KEEP","DROP"))</f>
        <v/>
      </c>
      <c r="T807" s="9" t="n">
        <f aca="false">IF(A807="",1,0)</f>
        <v>0</v>
      </c>
      <c r="U807" s="9" t="n">
        <f aca="false">IF(D807="",1,0)</f>
        <v>0</v>
      </c>
      <c r="V807" s="9" t="n">
        <f aca="false">IF(E807="",1,0)</f>
        <v>0</v>
      </c>
      <c r="W807" s="9" t="n">
        <f aca="false">IF(OR(H807&lt;1,H807&gt;10),1,0)</f>
        <v>0</v>
      </c>
      <c r="X807" s="9" t="n">
        <f aca="false">IF(OR(I807&lt;=0,I807&gt;1500),1,0)</f>
        <v>0</v>
      </c>
      <c r="Y807" s="9" t="n">
        <f aca="false">IF(J807&gt;H807*I807,1,0)</f>
        <v>0</v>
      </c>
      <c r="Z807" s="9" t="n">
        <f aca="false">IF(AND(N807&lt;&gt;"",OR(N807&lt;1,N807&gt;5)),1,0)</f>
        <v>0</v>
      </c>
      <c r="AA807" s="9" t="n">
        <f aca="false">IF(AND(M807&lt;&gt;"",OR(M807&lt;5,M807&gt;180)),1,0)</f>
        <v>0</v>
      </c>
      <c r="AB807" s="7" t="str">
        <f aca="false">IF(P807="DUP","Exact duplicate row",IF(T807=1,"Missing Order ID",IF(S807="DROP","Duplicate Order ID (less complete row)",IF(U807=1,"Missing Customer ID",IF(V807=1,"Missing Restaurant name",IF(W807=1,"Invalid/outlier quantity",IF(X807=1,"Invalid/outlier unit price",IF(Y807=1,"Discount greater than order value",""))))))))</f>
        <v/>
      </c>
      <c r="AC807" s="7" t="str">
        <f aca="false">IF(AB807="","KEEP","DROP")</f>
        <v>KEEP</v>
      </c>
      <c r="AD807" s="7" t="str">
        <f aca="false">IF(TRIM(F807)="",IFERROR(INDEX(Map_Tables!$I$4:$I$37,MATCH(TRIM(E807),Map_Tables!$G$4:$G$37,0)),""),IFERROR(INDEX(Map_Tables!$B$4:$B$18,MATCH(TRIM(F807),Map_Tables!$A$4:$A$18,0)),"CHECK"))</f>
        <v>Delhi</v>
      </c>
      <c r="AE807" s="7" t="str">
        <f aca="false">IF(TRIM(E807)="","",IFERROR(INDEX(Map_Tables!$H$4:$H$37,MATCH(TRIM(E807),Map_Tables!$G$4:$G$37,0)),"CHECK"))</f>
        <v>Chaat Corner</v>
      </c>
      <c r="AF807" s="7" t="str">
        <f aca="false">IF(TRIM(K807)="","Unknown",IFERROR(INDEX(Map_Tables!$E$4:$E$15,MATCH(TRIM(K807),Map_Tables!$D$4:$D$15,0)),"CHECK"))</f>
        <v>Cash on Delivery</v>
      </c>
      <c r="AG807" s="7" t="str">
        <f aca="false">IF(LEFT(LOWER(TRIM(L807)),6)="cancel","Cancelled","Delivered")</f>
        <v>Delivered</v>
      </c>
      <c r="AH807" s="10" t="n">
        <f aca="false">IF(ISNUMBER(SEARCH("/",B807)),DATE(VALUE(RIGHT(B807,4)),VALUE(MID(B807,4,2)),VALUE(LEFT(B807,2))),IF(MID(B807,5,1)="-",DATE(VALUE(LEFT(B807,4)),VALUE(MID(B807,6,2)),VALUE(RIGHT(B807,2))),DATE(VALUE(RIGHT(B807,4)),MATCH(MID(B807,4,3),{"Jan","Feb","Mar","Apr","May","Jun","Jul","Aug","Sep","Oct","Nov","Dec"},0),VALUE(LEFT(B807,2)))))</f>
        <v>45835</v>
      </c>
    </row>
    <row r="808" customFormat="false" ht="15" hidden="false" customHeight="false" outlineLevel="0" collapsed="false">
      <c r="A808" s="7" t="s">
        <v>2615</v>
      </c>
      <c r="B808" s="7" t="s">
        <v>2308</v>
      </c>
      <c r="C808" s="7" t="s">
        <v>1407</v>
      </c>
      <c r="D808" s="7" t="s">
        <v>1251</v>
      </c>
      <c r="E808" s="7" t="s">
        <v>94</v>
      </c>
      <c r="F808" s="7" t="s">
        <v>785</v>
      </c>
      <c r="G808" s="7" t="s">
        <v>95</v>
      </c>
      <c r="H808" s="7" t="n">
        <v>5</v>
      </c>
      <c r="I808" s="7" t="n">
        <v>100</v>
      </c>
      <c r="J808" s="7" t="n">
        <v>0</v>
      </c>
      <c r="K808" s="7" t="s">
        <v>93</v>
      </c>
      <c r="L808" s="7" t="s">
        <v>194</v>
      </c>
      <c r="M808" s="7" t="n">
        <v>44</v>
      </c>
      <c r="N808" s="7" t="n">
        <v>3</v>
      </c>
      <c r="O808" s="7" t="str">
        <f aca="false">A808&amp;"|"&amp;B808&amp;"|"&amp;C808&amp;"|"&amp;D808&amp;"|"&amp;E808&amp;"|"&amp;F808&amp;"|"&amp;G808&amp;"|"&amp;H808&amp;"|"&amp;I808&amp;"|"&amp;J808&amp;"|"&amp;K808&amp;"|"&amp;L808&amp;"|"&amp;M808&amp;"|"&amp;N808</f>
        <v>ORD10898|2025-04-23|18:21|C0595|Dosa Darbar|Bengaluru |South Indian|5|100|0|Credit Card|Delivered|44|3</v>
      </c>
      <c r="P808" s="7" t="str">
        <f aca="false">IF(COUNTIF($O$2:O808,O808)&gt;1,"DUP","OK")</f>
        <v>OK</v>
      </c>
      <c r="Q808" s="7" t="n">
        <f aca="false">COUNTBLANK(A808:N808)</f>
        <v>0</v>
      </c>
      <c r="R808" s="7" t="n">
        <f aca="false">IF(A808="",0,COUNTIFS($A$2:$A$3058,A808,$P$2:$P$3058,"OK"))</f>
        <v>1</v>
      </c>
      <c r="S808" s="7" t="str">
        <f aca="false">IF(OR(A808="",P808="DUP",R808&lt;2),"",IF(Q808=_xlfn.MINIFS($Q$2:$Q$3058,$A$2:$A$3058,A808,$P$2:$P$3058,"OK"),"KEEP","DROP"))</f>
        <v/>
      </c>
      <c r="T808" s="9" t="n">
        <f aca="false">IF(A808="",1,0)</f>
        <v>0</v>
      </c>
      <c r="U808" s="9" t="n">
        <f aca="false">IF(D808="",1,0)</f>
        <v>0</v>
      </c>
      <c r="V808" s="9" t="n">
        <f aca="false">IF(E808="",1,0)</f>
        <v>0</v>
      </c>
      <c r="W808" s="9" t="n">
        <f aca="false">IF(OR(H808&lt;1,H808&gt;10),1,0)</f>
        <v>0</v>
      </c>
      <c r="X808" s="9" t="n">
        <f aca="false">IF(OR(I808&lt;=0,I808&gt;1500),1,0)</f>
        <v>0</v>
      </c>
      <c r="Y808" s="9" t="n">
        <f aca="false">IF(J808&gt;H808*I808,1,0)</f>
        <v>0</v>
      </c>
      <c r="Z808" s="9" t="n">
        <f aca="false">IF(AND(N808&lt;&gt;"",OR(N808&lt;1,N808&gt;5)),1,0)</f>
        <v>0</v>
      </c>
      <c r="AA808" s="9" t="n">
        <f aca="false">IF(AND(M808&lt;&gt;"",OR(M808&lt;5,M808&gt;180)),1,0)</f>
        <v>0</v>
      </c>
      <c r="AB808" s="7" t="str">
        <f aca="false">IF(P808="DUP","Exact duplicate row",IF(T808=1,"Missing Order ID",IF(S808="DROP","Duplicate Order ID (less complete row)",IF(U808=1,"Missing Customer ID",IF(V808=1,"Missing Restaurant name",IF(W808=1,"Invalid/outlier quantity",IF(X808=1,"Invalid/outlier unit price",IF(Y808=1,"Discount greater than order value",""))))))))</f>
        <v/>
      </c>
      <c r="AC808" s="7" t="str">
        <f aca="false">IF(AB808="","KEEP","DROP")</f>
        <v>KEEP</v>
      </c>
      <c r="AD808" s="7" t="str">
        <f aca="false">IF(TRIM(F808)="",IFERROR(INDEX(Map_Tables!$I$4:$I$37,MATCH(TRIM(E808),Map_Tables!$G$4:$G$37,0)),""),IFERROR(INDEX(Map_Tables!$B$4:$B$18,MATCH(TRIM(F808),Map_Tables!$A$4:$A$18,0)),"CHECK"))</f>
        <v>Bengaluru</v>
      </c>
      <c r="AE808" s="7" t="str">
        <f aca="false">IF(TRIM(E808)="","",IFERROR(INDEX(Map_Tables!$H$4:$H$37,MATCH(TRIM(E808),Map_Tables!$G$4:$G$37,0)),"CHECK"))</f>
        <v>Dosa Darbar</v>
      </c>
      <c r="AF808" s="7" t="str">
        <f aca="false">IF(TRIM(K808)="","Unknown",IFERROR(INDEX(Map_Tables!$E$4:$E$15,MATCH(TRIM(K808),Map_Tables!$D$4:$D$15,0)),"CHECK"))</f>
        <v>Credit Card</v>
      </c>
      <c r="AG808" s="7" t="str">
        <f aca="false">IF(LEFT(LOWER(TRIM(L808)),6)="cancel","Cancelled","Delivered")</f>
        <v>Delivered</v>
      </c>
      <c r="AH808" s="10" t="n">
        <f aca="false">IF(ISNUMBER(SEARCH("/",B808)),DATE(VALUE(RIGHT(B808,4)),VALUE(MID(B808,4,2)),VALUE(LEFT(B808,2))),IF(MID(B808,5,1)="-",DATE(VALUE(LEFT(B808,4)),VALUE(MID(B808,6,2)),VALUE(RIGHT(B808,2))),DATE(VALUE(RIGHT(B808,4)),MATCH(MID(B808,4,3),{"Jan","Feb","Mar","Apr","May","Jun","Jul","Aug","Sep","Oct","Nov","Dec"},0),VALUE(LEFT(B808,2)))))</f>
        <v>45770</v>
      </c>
    </row>
    <row r="809" customFormat="false" ht="15" hidden="false" customHeight="false" outlineLevel="0" collapsed="false">
      <c r="A809" s="7" t="s">
        <v>2616</v>
      </c>
      <c r="B809" s="7" t="s">
        <v>2617</v>
      </c>
      <c r="C809" s="7" t="s">
        <v>792</v>
      </c>
      <c r="D809" s="7" t="s">
        <v>2618</v>
      </c>
      <c r="E809" s="7" t="s">
        <v>168</v>
      </c>
      <c r="F809" s="7" t="s">
        <v>146</v>
      </c>
      <c r="G809" s="7" t="s">
        <v>123</v>
      </c>
      <c r="H809" s="7" t="n">
        <v>2</v>
      </c>
      <c r="I809" s="7" t="n">
        <v>340</v>
      </c>
      <c r="J809" s="7" t="n">
        <v>0</v>
      </c>
      <c r="K809" s="7" t="s">
        <v>112</v>
      </c>
      <c r="L809" s="7" t="s">
        <v>194</v>
      </c>
      <c r="M809" s="7" t="n">
        <v>33</v>
      </c>
      <c r="N809" s="7" t="n">
        <v>4</v>
      </c>
      <c r="O809" s="7" t="str">
        <f aca="false">A809&amp;"|"&amp;B809&amp;"|"&amp;C809&amp;"|"&amp;D809&amp;"|"&amp;E809&amp;"|"&amp;F809&amp;"|"&amp;G809&amp;"|"&amp;H809&amp;"|"&amp;I809&amp;"|"&amp;J809&amp;"|"&amp;K809&amp;"|"&amp;L809&amp;"|"&amp;M809&amp;"|"&amp;N809</f>
        <v>ORD12684|2025-11-27|11:38|C1168|Cheesy Slice|Ahmedabad|Pizza|2|340|0|Cash on Delivery|Delivered|33|4</v>
      </c>
      <c r="P809" s="7" t="str">
        <f aca="false">IF(COUNTIF($O$2:O809,O809)&gt;1,"DUP","OK")</f>
        <v>OK</v>
      </c>
      <c r="Q809" s="7" t="n">
        <f aca="false">COUNTBLANK(A809:N809)</f>
        <v>0</v>
      </c>
      <c r="R809" s="7" t="n">
        <f aca="false">IF(A809="",0,COUNTIFS($A$2:$A$3058,A809,$P$2:$P$3058,"OK"))</f>
        <v>1</v>
      </c>
      <c r="S809" s="7" t="str">
        <f aca="false">IF(OR(A809="",P809="DUP",R809&lt;2),"",IF(Q809=_xlfn.MINIFS($Q$2:$Q$3058,$A$2:$A$3058,A809,$P$2:$P$3058,"OK"),"KEEP","DROP"))</f>
        <v/>
      </c>
      <c r="T809" s="9" t="n">
        <f aca="false">IF(A809="",1,0)</f>
        <v>0</v>
      </c>
      <c r="U809" s="9" t="n">
        <f aca="false">IF(D809="",1,0)</f>
        <v>0</v>
      </c>
      <c r="V809" s="9" t="n">
        <f aca="false">IF(E809="",1,0)</f>
        <v>0</v>
      </c>
      <c r="W809" s="9" t="n">
        <f aca="false">IF(OR(H809&lt;1,H809&gt;10),1,0)</f>
        <v>0</v>
      </c>
      <c r="X809" s="9" t="n">
        <f aca="false">IF(OR(I809&lt;=0,I809&gt;1500),1,0)</f>
        <v>0</v>
      </c>
      <c r="Y809" s="9" t="n">
        <f aca="false">IF(J809&gt;H809*I809,1,0)</f>
        <v>0</v>
      </c>
      <c r="Z809" s="9" t="n">
        <f aca="false">IF(AND(N809&lt;&gt;"",OR(N809&lt;1,N809&gt;5)),1,0)</f>
        <v>0</v>
      </c>
      <c r="AA809" s="9" t="n">
        <f aca="false">IF(AND(M809&lt;&gt;"",OR(M809&lt;5,M809&gt;180)),1,0)</f>
        <v>0</v>
      </c>
      <c r="AB809" s="7" t="str">
        <f aca="false">IF(P809="DUP","Exact duplicate row",IF(T809=1,"Missing Order ID",IF(S809="DROP","Duplicate Order ID (less complete row)",IF(U809=1,"Missing Customer ID",IF(V809=1,"Missing Restaurant name",IF(W809=1,"Invalid/outlier quantity",IF(X809=1,"Invalid/outlier unit price",IF(Y809=1,"Discount greater than order value",""))))))))</f>
        <v/>
      </c>
      <c r="AC809" s="7" t="str">
        <f aca="false">IF(AB809="","KEEP","DROP")</f>
        <v>KEEP</v>
      </c>
      <c r="AD809" s="7" t="str">
        <f aca="false">IF(TRIM(F809)="",IFERROR(INDEX(Map_Tables!$I$4:$I$37,MATCH(TRIM(E809),Map_Tables!$G$4:$G$37,0)),""),IFERROR(INDEX(Map_Tables!$B$4:$B$18,MATCH(TRIM(F809),Map_Tables!$A$4:$A$18,0)),"CHECK"))</f>
        <v>Ahmedabad</v>
      </c>
      <c r="AE809" s="7" t="str">
        <f aca="false">IF(TRIM(E809)="","",IFERROR(INDEX(Map_Tables!$H$4:$H$37,MATCH(TRIM(E809),Map_Tables!$G$4:$G$37,0)),"CHECK"))</f>
        <v>Cheesy Slice</v>
      </c>
      <c r="AF809" s="7" t="str">
        <f aca="false">IF(TRIM(K809)="","Unknown",IFERROR(INDEX(Map_Tables!$E$4:$E$15,MATCH(TRIM(K809),Map_Tables!$D$4:$D$15,0)),"CHECK"))</f>
        <v>Cash on Delivery</v>
      </c>
      <c r="AG809" s="7" t="str">
        <f aca="false">IF(LEFT(LOWER(TRIM(L809)),6)="cancel","Cancelled","Delivered")</f>
        <v>Delivered</v>
      </c>
      <c r="AH809" s="10" t="n">
        <f aca="false">IF(ISNUMBER(SEARCH("/",B809)),DATE(VALUE(RIGHT(B809,4)),VALUE(MID(B809,4,2)),VALUE(LEFT(B809,2))),IF(MID(B809,5,1)="-",DATE(VALUE(LEFT(B809,4)),VALUE(MID(B809,6,2)),VALUE(RIGHT(B809,2))),DATE(VALUE(RIGHT(B809,4)),MATCH(MID(B809,4,3),{"Jan","Feb","Mar","Apr","May","Jun","Jul","Aug","Sep","Oct","Nov","Dec"},0),VALUE(LEFT(B809,2)))))</f>
        <v>45988</v>
      </c>
    </row>
    <row r="810" customFormat="false" ht="15" hidden="false" customHeight="false" outlineLevel="0" collapsed="false">
      <c r="A810" s="7" t="s">
        <v>2619</v>
      </c>
      <c r="B810" s="7" t="s">
        <v>643</v>
      </c>
      <c r="C810" s="7" t="s">
        <v>1664</v>
      </c>
      <c r="D810" s="7" t="s">
        <v>255</v>
      </c>
      <c r="E810" s="7" t="s">
        <v>2620</v>
      </c>
      <c r="F810" s="7" t="s">
        <v>110</v>
      </c>
      <c r="G810" s="7" t="s">
        <v>105</v>
      </c>
      <c r="H810" s="7" t="n">
        <v>2</v>
      </c>
      <c r="I810" s="7" t="n">
        <v>150</v>
      </c>
      <c r="J810" s="7" t="n">
        <v>120</v>
      </c>
      <c r="K810" s="7" t="s">
        <v>93</v>
      </c>
      <c r="L810" s="7" t="s">
        <v>194</v>
      </c>
      <c r="M810" s="7" t="n">
        <v>37</v>
      </c>
      <c r="N810" s="7"/>
      <c r="O810" s="7" t="str">
        <f aca="false">A810&amp;"|"&amp;B810&amp;"|"&amp;C810&amp;"|"&amp;D810&amp;"|"&amp;E810&amp;"|"&amp;F810&amp;"|"&amp;G810&amp;"|"&amp;H810&amp;"|"&amp;I810&amp;"|"&amp;J810&amp;"|"&amp;K810&amp;"|"&amp;L810&amp;"|"&amp;M810&amp;"|"&amp;N810</f>
        <v>ORD12866|2025-12-17|18:35|C0821|momo magic|Delhi|Chinese|2|150|120|Credit Card|Delivered|37|</v>
      </c>
      <c r="P810" s="7" t="str">
        <f aca="false">IF(COUNTIF($O$2:O810,O810)&gt;1,"DUP","OK")</f>
        <v>OK</v>
      </c>
      <c r="Q810" s="7" t="n">
        <f aca="false">COUNTBLANK(A810:N810)</f>
        <v>1</v>
      </c>
      <c r="R810" s="7" t="n">
        <f aca="false">IF(A810="",0,COUNTIFS($A$2:$A$3058,A810,$P$2:$P$3058,"OK"))</f>
        <v>1</v>
      </c>
      <c r="S810" s="7" t="str">
        <f aca="false">IF(OR(A810="",P810="DUP",R810&lt;2),"",IF(Q810=_xlfn.MINIFS($Q$2:$Q$3058,$A$2:$A$3058,A810,$P$2:$P$3058,"OK"),"KEEP","DROP"))</f>
        <v/>
      </c>
      <c r="T810" s="9" t="n">
        <f aca="false">IF(A810="",1,0)</f>
        <v>0</v>
      </c>
      <c r="U810" s="9" t="n">
        <f aca="false">IF(D810="",1,0)</f>
        <v>0</v>
      </c>
      <c r="V810" s="9" t="n">
        <f aca="false">IF(E810="",1,0)</f>
        <v>0</v>
      </c>
      <c r="W810" s="9" t="n">
        <f aca="false">IF(OR(H810&lt;1,H810&gt;10),1,0)</f>
        <v>0</v>
      </c>
      <c r="X810" s="9" t="n">
        <f aca="false">IF(OR(I810&lt;=0,I810&gt;1500),1,0)</f>
        <v>0</v>
      </c>
      <c r="Y810" s="9" t="n">
        <f aca="false">IF(J810&gt;H810*I810,1,0)</f>
        <v>0</v>
      </c>
      <c r="Z810" s="9" t="n">
        <f aca="false">IF(AND(N810&lt;&gt;"",OR(N810&lt;1,N810&gt;5)),1,0)</f>
        <v>0</v>
      </c>
      <c r="AA810" s="9" t="n">
        <f aca="false">IF(AND(M810&lt;&gt;"",OR(M810&lt;5,M810&gt;180)),1,0)</f>
        <v>0</v>
      </c>
      <c r="AB810" s="7" t="str">
        <f aca="false">IF(P810="DUP","Exact duplicate row",IF(T810=1,"Missing Order ID",IF(S810="DROP","Duplicate Order ID (less complete row)",IF(U810=1,"Missing Customer ID",IF(V810=1,"Missing Restaurant name",IF(W810=1,"Invalid/outlier quantity",IF(X810=1,"Invalid/outlier unit price",IF(Y810=1,"Discount greater than order value",""))))))))</f>
        <v/>
      </c>
      <c r="AC810" s="7" t="str">
        <f aca="false">IF(AB810="","KEEP","DROP")</f>
        <v>KEEP</v>
      </c>
      <c r="AD810" s="7" t="str">
        <f aca="false">IF(TRIM(F810)="",IFERROR(INDEX(Map_Tables!$I$4:$I$37,MATCH(TRIM(E810),Map_Tables!$G$4:$G$37,0)),""),IFERROR(INDEX(Map_Tables!$B$4:$B$18,MATCH(TRIM(F810),Map_Tables!$A$4:$A$18,0)),"CHECK"))</f>
        <v>Delhi</v>
      </c>
      <c r="AE810" s="7" t="str">
        <f aca="false">IF(TRIM(E810)="","",IFERROR(INDEX(Map_Tables!$H$4:$H$37,MATCH(TRIM(E810),Map_Tables!$G$4:$G$37,0)),"CHECK"))</f>
        <v>Momo Magic</v>
      </c>
      <c r="AF810" s="7" t="str">
        <f aca="false">IF(TRIM(K810)="","Unknown",IFERROR(INDEX(Map_Tables!$E$4:$E$15,MATCH(TRIM(K810),Map_Tables!$D$4:$D$15,0)),"CHECK"))</f>
        <v>Credit Card</v>
      </c>
      <c r="AG810" s="7" t="str">
        <f aca="false">IF(LEFT(LOWER(TRIM(L810)),6)="cancel","Cancelled","Delivered")</f>
        <v>Delivered</v>
      </c>
      <c r="AH810" s="10" t="n">
        <f aca="false">IF(ISNUMBER(SEARCH("/",B810)),DATE(VALUE(RIGHT(B810,4)),VALUE(MID(B810,4,2)),VALUE(LEFT(B810,2))),IF(MID(B810,5,1)="-",DATE(VALUE(LEFT(B810,4)),VALUE(MID(B810,6,2)),VALUE(RIGHT(B810,2))),DATE(VALUE(RIGHT(B810,4)),MATCH(MID(B810,4,3),{"Jan","Feb","Mar","Apr","May","Jun","Jul","Aug","Sep","Oct","Nov","Dec"},0),VALUE(LEFT(B810,2)))))</f>
        <v>46008</v>
      </c>
    </row>
    <row r="811" customFormat="false" ht="15" hidden="false" customHeight="false" outlineLevel="0" collapsed="false">
      <c r="A811" s="7" t="s">
        <v>2621</v>
      </c>
      <c r="B811" s="7" t="s">
        <v>442</v>
      </c>
      <c r="C811" s="7" t="s">
        <v>856</v>
      </c>
      <c r="D811" s="7" t="s">
        <v>2622</v>
      </c>
      <c r="E811" s="7" t="s">
        <v>159</v>
      </c>
      <c r="F811" s="7" t="s">
        <v>136</v>
      </c>
      <c r="G811" s="7" t="s">
        <v>90</v>
      </c>
      <c r="H811" s="7" t="n">
        <v>4</v>
      </c>
      <c r="I811" s="7" t="n">
        <v>265</v>
      </c>
      <c r="J811" s="7" t="n">
        <v>50</v>
      </c>
      <c r="K811" s="7" t="s">
        <v>88</v>
      </c>
      <c r="L811" s="7" t="s">
        <v>194</v>
      </c>
      <c r="M811" s="7" t="n">
        <v>42</v>
      </c>
      <c r="N811" s="7" t="n">
        <v>3</v>
      </c>
      <c r="O811" s="7" t="str">
        <f aca="false">A811&amp;"|"&amp;B811&amp;"|"&amp;C811&amp;"|"&amp;D811&amp;"|"&amp;E811&amp;"|"&amp;F811&amp;"|"&amp;G811&amp;"|"&amp;H811&amp;"|"&amp;I811&amp;"|"&amp;J811&amp;"|"&amp;K811&amp;"|"&amp;L811&amp;"|"&amp;M811&amp;"|"&amp;N811</f>
        <v>ORD10603|2025-03-17|21:04|C0876|Maratha Thali House|Pune|North Indian|4|265|50|UPI|Delivered|42|3</v>
      </c>
      <c r="P811" s="7" t="str">
        <f aca="false">IF(COUNTIF($O$2:O811,O811)&gt;1,"DUP","OK")</f>
        <v>OK</v>
      </c>
      <c r="Q811" s="7" t="n">
        <f aca="false">COUNTBLANK(A811:N811)</f>
        <v>0</v>
      </c>
      <c r="R811" s="7" t="n">
        <f aca="false">IF(A811="",0,COUNTIFS($A$2:$A$3058,A811,$P$2:$P$3058,"OK"))</f>
        <v>1</v>
      </c>
      <c r="S811" s="7" t="str">
        <f aca="false">IF(OR(A811="",P811="DUP",R811&lt;2),"",IF(Q811=_xlfn.MINIFS($Q$2:$Q$3058,$A$2:$A$3058,A811,$P$2:$P$3058,"OK"),"KEEP","DROP"))</f>
        <v/>
      </c>
      <c r="T811" s="9" t="n">
        <f aca="false">IF(A811="",1,0)</f>
        <v>0</v>
      </c>
      <c r="U811" s="9" t="n">
        <f aca="false">IF(D811="",1,0)</f>
        <v>0</v>
      </c>
      <c r="V811" s="9" t="n">
        <f aca="false">IF(E811="",1,0)</f>
        <v>0</v>
      </c>
      <c r="W811" s="9" t="n">
        <f aca="false">IF(OR(H811&lt;1,H811&gt;10),1,0)</f>
        <v>0</v>
      </c>
      <c r="X811" s="9" t="n">
        <f aca="false">IF(OR(I811&lt;=0,I811&gt;1500),1,0)</f>
        <v>0</v>
      </c>
      <c r="Y811" s="9" t="n">
        <f aca="false">IF(J811&gt;H811*I811,1,0)</f>
        <v>0</v>
      </c>
      <c r="Z811" s="9" t="n">
        <f aca="false">IF(AND(N811&lt;&gt;"",OR(N811&lt;1,N811&gt;5)),1,0)</f>
        <v>0</v>
      </c>
      <c r="AA811" s="9" t="n">
        <f aca="false">IF(AND(M811&lt;&gt;"",OR(M811&lt;5,M811&gt;180)),1,0)</f>
        <v>0</v>
      </c>
      <c r="AB811" s="7" t="str">
        <f aca="false">IF(P811="DUP","Exact duplicate row",IF(T811=1,"Missing Order ID",IF(S811="DROP","Duplicate Order ID (less complete row)",IF(U811=1,"Missing Customer ID",IF(V811=1,"Missing Restaurant name",IF(W811=1,"Invalid/outlier quantity",IF(X811=1,"Invalid/outlier unit price",IF(Y811=1,"Discount greater than order value",""))))))))</f>
        <v/>
      </c>
      <c r="AC811" s="7" t="str">
        <f aca="false">IF(AB811="","KEEP","DROP")</f>
        <v>KEEP</v>
      </c>
      <c r="AD811" s="7" t="str">
        <f aca="false">IF(TRIM(F811)="",IFERROR(INDEX(Map_Tables!$I$4:$I$37,MATCH(TRIM(E811),Map_Tables!$G$4:$G$37,0)),""),IFERROR(INDEX(Map_Tables!$B$4:$B$18,MATCH(TRIM(F811),Map_Tables!$A$4:$A$18,0)),"CHECK"))</f>
        <v>Pune</v>
      </c>
      <c r="AE811" s="7" t="str">
        <f aca="false">IF(TRIM(E811)="","",IFERROR(INDEX(Map_Tables!$H$4:$H$37,MATCH(TRIM(E811),Map_Tables!$G$4:$G$37,0)),"CHECK"))</f>
        <v>Maratha Thali House</v>
      </c>
      <c r="AF811" s="7" t="str">
        <f aca="false">IF(TRIM(K811)="","Unknown",IFERROR(INDEX(Map_Tables!$E$4:$E$15,MATCH(TRIM(K811),Map_Tables!$D$4:$D$15,0)),"CHECK"))</f>
        <v>UPI</v>
      </c>
      <c r="AG811" s="7" t="str">
        <f aca="false">IF(LEFT(LOWER(TRIM(L811)),6)="cancel","Cancelled","Delivered")</f>
        <v>Delivered</v>
      </c>
      <c r="AH811" s="10" t="n">
        <f aca="false">IF(ISNUMBER(SEARCH("/",B811)),DATE(VALUE(RIGHT(B811,4)),VALUE(MID(B811,4,2)),VALUE(LEFT(B811,2))),IF(MID(B811,5,1)="-",DATE(VALUE(LEFT(B811,4)),VALUE(MID(B811,6,2)),VALUE(RIGHT(B811,2))),DATE(VALUE(RIGHT(B811,4)),MATCH(MID(B811,4,3),{"Jan","Feb","Mar","Apr","May","Jun","Jul","Aug","Sep","Oct","Nov","Dec"},0),VALUE(LEFT(B811,2)))))</f>
        <v>45733</v>
      </c>
    </row>
    <row r="812" customFormat="false" ht="15" hidden="false" customHeight="false" outlineLevel="0" collapsed="false">
      <c r="A812" s="7" t="s">
        <v>2623</v>
      </c>
      <c r="B812" s="7" t="s">
        <v>1760</v>
      </c>
      <c r="C812" s="7" t="s">
        <v>1011</v>
      </c>
      <c r="D812" s="7" t="s">
        <v>2624</v>
      </c>
      <c r="E812" s="7" t="s">
        <v>113</v>
      </c>
      <c r="F812" s="7" t="s">
        <v>101</v>
      </c>
      <c r="G812" s="7" t="s">
        <v>90</v>
      </c>
      <c r="H812" s="7" t="n">
        <v>1</v>
      </c>
      <c r="I812" s="7" t="n">
        <v>250</v>
      </c>
      <c r="J812" s="7" t="n">
        <v>0</v>
      </c>
      <c r="K812" s="7" t="s">
        <v>93</v>
      </c>
      <c r="L812" s="7" t="s">
        <v>194</v>
      </c>
      <c r="M812" s="7" t="n">
        <v>36</v>
      </c>
      <c r="N812" s="7" t="n">
        <v>5</v>
      </c>
      <c r="O812" s="7" t="str">
        <f aca="false">A812&amp;"|"&amp;B812&amp;"|"&amp;C812&amp;"|"&amp;D812&amp;"|"&amp;E812&amp;"|"&amp;F812&amp;"|"&amp;G812&amp;"|"&amp;H812&amp;"|"&amp;I812&amp;"|"&amp;J812&amp;"|"&amp;K812&amp;"|"&amp;L812&amp;"|"&amp;M812&amp;"|"&amp;N812</f>
        <v>ORD10241|2025-02-01|17:29|C0496|Curry Leaf Kitchen|Mumbai|North Indian|1|250|0|Credit Card|Delivered|36|5</v>
      </c>
      <c r="P812" s="7" t="str">
        <f aca="false">IF(COUNTIF($O$2:O812,O812)&gt;1,"DUP","OK")</f>
        <v>OK</v>
      </c>
      <c r="Q812" s="7" t="n">
        <f aca="false">COUNTBLANK(A812:N812)</f>
        <v>0</v>
      </c>
      <c r="R812" s="7" t="n">
        <f aca="false">IF(A812="",0,COUNTIFS($A$2:$A$3058,A812,$P$2:$P$3058,"OK"))</f>
        <v>1</v>
      </c>
      <c r="S812" s="7" t="str">
        <f aca="false">IF(OR(A812="",P812="DUP",R812&lt;2),"",IF(Q812=_xlfn.MINIFS($Q$2:$Q$3058,$A$2:$A$3058,A812,$P$2:$P$3058,"OK"),"KEEP","DROP"))</f>
        <v/>
      </c>
      <c r="T812" s="9" t="n">
        <f aca="false">IF(A812="",1,0)</f>
        <v>0</v>
      </c>
      <c r="U812" s="9" t="n">
        <f aca="false">IF(D812="",1,0)</f>
        <v>0</v>
      </c>
      <c r="V812" s="9" t="n">
        <f aca="false">IF(E812="",1,0)</f>
        <v>0</v>
      </c>
      <c r="W812" s="9" t="n">
        <f aca="false">IF(OR(H812&lt;1,H812&gt;10),1,0)</f>
        <v>0</v>
      </c>
      <c r="X812" s="9" t="n">
        <f aca="false">IF(OR(I812&lt;=0,I812&gt;1500),1,0)</f>
        <v>0</v>
      </c>
      <c r="Y812" s="9" t="n">
        <f aca="false">IF(J812&gt;H812*I812,1,0)</f>
        <v>0</v>
      </c>
      <c r="Z812" s="9" t="n">
        <f aca="false">IF(AND(N812&lt;&gt;"",OR(N812&lt;1,N812&gt;5)),1,0)</f>
        <v>0</v>
      </c>
      <c r="AA812" s="9" t="n">
        <f aca="false">IF(AND(M812&lt;&gt;"",OR(M812&lt;5,M812&gt;180)),1,0)</f>
        <v>0</v>
      </c>
      <c r="AB812" s="7" t="str">
        <f aca="false">IF(P812="DUP","Exact duplicate row",IF(T812=1,"Missing Order ID",IF(S812="DROP","Duplicate Order ID (less complete row)",IF(U812=1,"Missing Customer ID",IF(V812=1,"Missing Restaurant name",IF(W812=1,"Invalid/outlier quantity",IF(X812=1,"Invalid/outlier unit price",IF(Y812=1,"Discount greater than order value",""))))))))</f>
        <v/>
      </c>
      <c r="AC812" s="7" t="str">
        <f aca="false">IF(AB812="","KEEP","DROP")</f>
        <v>KEEP</v>
      </c>
      <c r="AD812" s="7" t="str">
        <f aca="false">IF(TRIM(F812)="",IFERROR(INDEX(Map_Tables!$I$4:$I$37,MATCH(TRIM(E812),Map_Tables!$G$4:$G$37,0)),""),IFERROR(INDEX(Map_Tables!$B$4:$B$18,MATCH(TRIM(F812),Map_Tables!$A$4:$A$18,0)),"CHECK"))</f>
        <v>Mumbai</v>
      </c>
      <c r="AE812" s="7" t="str">
        <f aca="false">IF(TRIM(E812)="","",IFERROR(INDEX(Map_Tables!$H$4:$H$37,MATCH(TRIM(E812),Map_Tables!$G$4:$G$37,0)),"CHECK"))</f>
        <v>Curry Leaf Kitchen</v>
      </c>
      <c r="AF812" s="7" t="str">
        <f aca="false">IF(TRIM(K812)="","Unknown",IFERROR(INDEX(Map_Tables!$E$4:$E$15,MATCH(TRIM(K812),Map_Tables!$D$4:$D$15,0)),"CHECK"))</f>
        <v>Credit Card</v>
      </c>
      <c r="AG812" s="7" t="str">
        <f aca="false">IF(LEFT(LOWER(TRIM(L812)),6)="cancel","Cancelled","Delivered")</f>
        <v>Delivered</v>
      </c>
      <c r="AH812" s="10" t="n">
        <f aca="false">IF(ISNUMBER(SEARCH("/",B812)),DATE(VALUE(RIGHT(B812,4)),VALUE(MID(B812,4,2)),VALUE(LEFT(B812,2))),IF(MID(B812,5,1)="-",DATE(VALUE(LEFT(B812,4)),VALUE(MID(B812,6,2)),VALUE(RIGHT(B812,2))),DATE(VALUE(RIGHT(B812,4)),MATCH(MID(B812,4,3),{"Jan","Feb","Mar","Apr","May","Jun","Jul","Aug","Sep","Oct","Nov","Dec"},0),VALUE(LEFT(B812,2)))))</f>
        <v>45689</v>
      </c>
    </row>
    <row r="813" customFormat="false" ht="15" hidden="false" customHeight="false" outlineLevel="0" collapsed="false">
      <c r="A813" s="7" t="s">
        <v>2625</v>
      </c>
      <c r="B813" s="7" t="s">
        <v>2587</v>
      </c>
      <c r="C813" s="7" t="s">
        <v>697</v>
      </c>
      <c r="D813" s="7" t="s">
        <v>1661</v>
      </c>
      <c r="E813" s="7" t="s">
        <v>130</v>
      </c>
      <c r="F813" s="7" t="s">
        <v>110</v>
      </c>
      <c r="G813" s="7" t="s">
        <v>90</v>
      </c>
      <c r="H813" s="7" t="n">
        <v>3</v>
      </c>
      <c r="I813" s="7" t="n">
        <v>285</v>
      </c>
      <c r="J813" s="7" t="n">
        <v>0</v>
      </c>
      <c r="K813" s="7" t="s">
        <v>88</v>
      </c>
      <c r="L813" s="7" t="s">
        <v>194</v>
      </c>
      <c r="M813" s="7" t="n">
        <v>33</v>
      </c>
      <c r="N813" s="7" t="n">
        <v>3</v>
      </c>
      <c r="O813" s="7" t="str">
        <f aca="false">A813&amp;"|"&amp;B813&amp;"|"&amp;C813&amp;"|"&amp;D813&amp;"|"&amp;E813&amp;"|"&amp;F813&amp;"|"&amp;G813&amp;"|"&amp;H813&amp;"|"&amp;I813&amp;"|"&amp;J813&amp;"|"&amp;K813&amp;"|"&amp;L813&amp;"|"&amp;M813&amp;"|"&amp;N813</f>
        <v>ORD11403|2025-07-01|11:46|C0848|Tandoor Tales|Delhi|North Indian|3|285|0|UPI|Delivered|33|3</v>
      </c>
      <c r="P813" s="7" t="str">
        <f aca="false">IF(COUNTIF($O$2:O813,O813)&gt;1,"DUP","OK")</f>
        <v>OK</v>
      </c>
      <c r="Q813" s="7" t="n">
        <f aca="false">COUNTBLANK(A813:N813)</f>
        <v>0</v>
      </c>
      <c r="R813" s="7" t="n">
        <f aca="false">IF(A813="",0,COUNTIFS($A$2:$A$3058,A813,$P$2:$P$3058,"OK"))</f>
        <v>1</v>
      </c>
      <c r="S813" s="7" t="str">
        <f aca="false">IF(OR(A813="",P813="DUP",R813&lt;2),"",IF(Q813=_xlfn.MINIFS($Q$2:$Q$3058,$A$2:$A$3058,A813,$P$2:$P$3058,"OK"),"KEEP","DROP"))</f>
        <v/>
      </c>
      <c r="T813" s="9" t="n">
        <f aca="false">IF(A813="",1,0)</f>
        <v>0</v>
      </c>
      <c r="U813" s="9" t="n">
        <f aca="false">IF(D813="",1,0)</f>
        <v>0</v>
      </c>
      <c r="V813" s="9" t="n">
        <f aca="false">IF(E813="",1,0)</f>
        <v>0</v>
      </c>
      <c r="W813" s="9" t="n">
        <f aca="false">IF(OR(H813&lt;1,H813&gt;10),1,0)</f>
        <v>0</v>
      </c>
      <c r="X813" s="9" t="n">
        <f aca="false">IF(OR(I813&lt;=0,I813&gt;1500),1,0)</f>
        <v>0</v>
      </c>
      <c r="Y813" s="9" t="n">
        <f aca="false">IF(J813&gt;H813*I813,1,0)</f>
        <v>0</v>
      </c>
      <c r="Z813" s="9" t="n">
        <f aca="false">IF(AND(N813&lt;&gt;"",OR(N813&lt;1,N813&gt;5)),1,0)</f>
        <v>0</v>
      </c>
      <c r="AA813" s="9" t="n">
        <f aca="false">IF(AND(M813&lt;&gt;"",OR(M813&lt;5,M813&gt;180)),1,0)</f>
        <v>0</v>
      </c>
      <c r="AB813" s="7" t="str">
        <f aca="false">IF(P813="DUP","Exact duplicate row",IF(T813=1,"Missing Order ID",IF(S813="DROP","Duplicate Order ID (less complete row)",IF(U813=1,"Missing Customer ID",IF(V813=1,"Missing Restaurant name",IF(W813=1,"Invalid/outlier quantity",IF(X813=1,"Invalid/outlier unit price",IF(Y813=1,"Discount greater than order value",""))))))))</f>
        <v/>
      </c>
      <c r="AC813" s="7" t="str">
        <f aca="false">IF(AB813="","KEEP","DROP")</f>
        <v>KEEP</v>
      </c>
      <c r="AD813" s="7" t="str">
        <f aca="false">IF(TRIM(F813)="",IFERROR(INDEX(Map_Tables!$I$4:$I$37,MATCH(TRIM(E813),Map_Tables!$G$4:$G$37,0)),""),IFERROR(INDEX(Map_Tables!$B$4:$B$18,MATCH(TRIM(F813),Map_Tables!$A$4:$A$18,0)),"CHECK"))</f>
        <v>Delhi</v>
      </c>
      <c r="AE813" s="7" t="str">
        <f aca="false">IF(TRIM(E813)="","",IFERROR(INDEX(Map_Tables!$H$4:$H$37,MATCH(TRIM(E813),Map_Tables!$G$4:$G$37,0)),"CHECK"))</f>
        <v>Tandoor Tales</v>
      </c>
      <c r="AF813" s="7" t="str">
        <f aca="false">IF(TRIM(K813)="","Unknown",IFERROR(INDEX(Map_Tables!$E$4:$E$15,MATCH(TRIM(K813),Map_Tables!$D$4:$D$15,0)),"CHECK"))</f>
        <v>UPI</v>
      </c>
      <c r="AG813" s="7" t="str">
        <f aca="false">IF(LEFT(LOWER(TRIM(L813)),6)="cancel","Cancelled","Delivered")</f>
        <v>Delivered</v>
      </c>
      <c r="AH813" s="10" t="n">
        <f aca="false">IF(ISNUMBER(SEARCH("/",B813)),DATE(VALUE(RIGHT(B813,4)),VALUE(MID(B813,4,2)),VALUE(LEFT(B813,2))),IF(MID(B813,5,1)="-",DATE(VALUE(LEFT(B813,4)),VALUE(MID(B813,6,2)),VALUE(RIGHT(B813,2))),DATE(VALUE(RIGHT(B813,4)),MATCH(MID(B813,4,3),{"Jan","Feb","Mar","Apr","May","Jun","Jul","Aug","Sep","Oct","Nov","Dec"},0),VALUE(LEFT(B813,2)))))</f>
        <v>45839</v>
      </c>
    </row>
    <row r="814" customFormat="false" ht="15" hidden="false" customHeight="false" outlineLevel="0" collapsed="false">
      <c r="A814" s="7" t="s">
        <v>2626</v>
      </c>
      <c r="B814" s="7" t="s">
        <v>1292</v>
      </c>
      <c r="C814" s="7" t="s">
        <v>883</v>
      </c>
      <c r="D814" s="7" t="s">
        <v>2077</v>
      </c>
      <c r="E814" s="7" t="s">
        <v>138</v>
      </c>
      <c r="F814" s="7" t="s">
        <v>110</v>
      </c>
      <c r="G814" s="7" t="s">
        <v>139</v>
      </c>
      <c r="H814" s="7" t="n">
        <v>1</v>
      </c>
      <c r="I814" s="7" t="n">
        <v>210</v>
      </c>
      <c r="J814" s="7" t="n">
        <v>0</v>
      </c>
      <c r="K814" s="7" t="s">
        <v>103</v>
      </c>
      <c r="L814" s="7" t="s">
        <v>194</v>
      </c>
      <c r="M814" s="7" t="n">
        <v>47</v>
      </c>
      <c r="N814" s="7" t="n">
        <v>4</v>
      </c>
      <c r="O814" s="7" t="str">
        <f aca="false">A814&amp;"|"&amp;B814&amp;"|"&amp;C814&amp;"|"&amp;D814&amp;"|"&amp;E814&amp;"|"&amp;F814&amp;"|"&amp;G814&amp;"|"&amp;H814&amp;"|"&amp;I814&amp;"|"&amp;J814&amp;"|"&amp;K814&amp;"|"&amp;L814&amp;"|"&amp;M814&amp;"|"&amp;N814</f>
        <v>ORD10449|2025-03-01|13:42|C0006|Burger Barn|Delhi|Burgers|1|210|0|Debit Card|Delivered|47|4</v>
      </c>
      <c r="P814" s="7" t="str">
        <f aca="false">IF(COUNTIF($O$2:O814,O814)&gt;1,"DUP","OK")</f>
        <v>OK</v>
      </c>
      <c r="Q814" s="7" t="n">
        <f aca="false">COUNTBLANK(A814:N814)</f>
        <v>0</v>
      </c>
      <c r="R814" s="7" t="n">
        <f aca="false">IF(A814="",0,COUNTIFS($A$2:$A$3058,A814,$P$2:$P$3058,"OK"))</f>
        <v>1</v>
      </c>
      <c r="S814" s="7" t="str">
        <f aca="false">IF(OR(A814="",P814="DUP",R814&lt;2),"",IF(Q814=_xlfn.MINIFS($Q$2:$Q$3058,$A$2:$A$3058,A814,$P$2:$P$3058,"OK"),"KEEP","DROP"))</f>
        <v/>
      </c>
      <c r="T814" s="9" t="n">
        <f aca="false">IF(A814="",1,0)</f>
        <v>0</v>
      </c>
      <c r="U814" s="9" t="n">
        <f aca="false">IF(D814="",1,0)</f>
        <v>0</v>
      </c>
      <c r="V814" s="9" t="n">
        <f aca="false">IF(E814="",1,0)</f>
        <v>0</v>
      </c>
      <c r="W814" s="9" t="n">
        <f aca="false">IF(OR(H814&lt;1,H814&gt;10),1,0)</f>
        <v>0</v>
      </c>
      <c r="X814" s="9" t="n">
        <f aca="false">IF(OR(I814&lt;=0,I814&gt;1500),1,0)</f>
        <v>0</v>
      </c>
      <c r="Y814" s="9" t="n">
        <f aca="false">IF(J814&gt;H814*I814,1,0)</f>
        <v>0</v>
      </c>
      <c r="Z814" s="9" t="n">
        <f aca="false">IF(AND(N814&lt;&gt;"",OR(N814&lt;1,N814&gt;5)),1,0)</f>
        <v>0</v>
      </c>
      <c r="AA814" s="9" t="n">
        <f aca="false">IF(AND(M814&lt;&gt;"",OR(M814&lt;5,M814&gt;180)),1,0)</f>
        <v>0</v>
      </c>
      <c r="AB814" s="7" t="str">
        <f aca="false">IF(P814="DUP","Exact duplicate row",IF(T814=1,"Missing Order ID",IF(S814="DROP","Duplicate Order ID (less complete row)",IF(U814=1,"Missing Customer ID",IF(V814=1,"Missing Restaurant name",IF(W814=1,"Invalid/outlier quantity",IF(X814=1,"Invalid/outlier unit price",IF(Y814=1,"Discount greater than order value",""))))))))</f>
        <v/>
      </c>
      <c r="AC814" s="7" t="str">
        <f aca="false">IF(AB814="","KEEP","DROP")</f>
        <v>KEEP</v>
      </c>
      <c r="AD814" s="7" t="str">
        <f aca="false">IF(TRIM(F814)="",IFERROR(INDEX(Map_Tables!$I$4:$I$37,MATCH(TRIM(E814),Map_Tables!$G$4:$G$37,0)),""),IFERROR(INDEX(Map_Tables!$B$4:$B$18,MATCH(TRIM(F814),Map_Tables!$A$4:$A$18,0)),"CHECK"))</f>
        <v>Delhi</v>
      </c>
      <c r="AE814" s="7" t="str">
        <f aca="false">IF(TRIM(E814)="","",IFERROR(INDEX(Map_Tables!$H$4:$H$37,MATCH(TRIM(E814),Map_Tables!$G$4:$G$37,0)),"CHECK"))</f>
        <v>Burger Barn</v>
      </c>
      <c r="AF814" s="7" t="str">
        <f aca="false">IF(TRIM(K814)="","Unknown",IFERROR(INDEX(Map_Tables!$E$4:$E$15,MATCH(TRIM(K814),Map_Tables!$D$4:$D$15,0)),"CHECK"))</f>
        <v>Debit Card</v>
      </c>
      <c r="AG814" s="7" t="str">
        <f aca="false">IF(LEFT(LOWER(TRIM(L814)),6)="cancel","Cancelled","Delivered")</f>
        <v>Delivered</v>
      </c>
      <c r="AH814" s="10" t="n">
        <f aca="false">IF(ISNUMBER(SEARCH("/",B814)),DATE(VALUE(RIGHT(B814,4)),VALUE(MID(B814,4,2)),VALUE(LEFT(B814,2))),IF(MID(B814,5,1)="-",DATE(VALUE(LEFT(B814,4)),VALUE(MID(B814,6,2)),VALUE(RIGHT(B814,2))),DATE(VALUE(RIGHT(B814,4)),MATCH(MID(B814,4,3),{"Jan","Feb","Mar","Apr","May","Jun","Jul","Aug","Sep","Oct","Nov","Dec"},0),VALUE(LEFT(B814,2)))))</f>
        <v>45717</v>
      </c>
    </row>
    <row r="815" customFormat="false" ht="15" hidden="false" customHeight="false" outlineLevel="0" collapsed="false">
      <c r="A815" s="7" t="s">
        <v>2627</v>
      </c>
      <c r="B815" s="7" t="s">
        <v>473</v>
      </c>
      <c r="C815" s="7" t="s">
        <v>2628</v>
      </c>
      <c r="D815" s="7" t="s">
        <v>1981</v>
      </c>
      <c r="E815" s="7" t="s">
        <v>165</v>
      </c>
      <c r="F815" s="7" t="s">
        <v>146</v>
      </c>
      <c r="G815" s="7" t="s">
        <v>90</v>
      </c>
      <c r="H815" s="7" t="n">
        <v>4</v>
      </c>
      <c r="I815" s="7" t="n">
        <v>215</v>
      </c>
      <c r="J815" s="7" t="n">
        <v>125</v>
      </c>
      <c r="K815" s="7" t="s">
        <v>88</v>
      </c>
      <c r="L815" s="7" t="s">
        <v>238</v>
      </c>
      <c r="M815" s="7"/>
      <c r="N815" s="7"/>
      <c r="O815" s="7" t="str">
        <f aca="false">A815&amp;"|"&amp;B815&amp;"|"&amp;C815&amp;"|"&amp;D815&amp;"|"&amp;E815&amp;"|"&amp;F815&amp;"|"&amp;G815&amp;"|"&amp;H815&amp;"|"&amp;I815&amp;"|"&amp;J815&amp;"|"&amp;K815&amp;"|"&amp;L815&amp;"|"&amp;M815&amp;"|"&amp;N815</f>
        <v>ORD10825|2025-04-14|22:47|C0607|Gujarati Thali Ghar|Ahmedabad|North Indian|4|215|125|UPI|Cancelled||</v>
      </c>
      <c r="P815" s="7" t="str">
        <f aca="false">IF(COUNTIF($O$2:O815,O815)&gt;1,"DUP","OK")</f>
        <v>OK</v>
      </c>
      <c r="Q815" s="7" t="n">
        <f aca="false">COUNTBLANK(A815:N815)</f>
        <v>2</v>
      </c>
      <c r="R815" s="7" t="n">
        <f aca="false">IF(A815="",0,COUNTIFS($A$2:$A$3058,A815,$P$2:$P$3058,"OK"))</f>
        <v>1</v>
      </c>
      <c r="S815" s="7" t="str">
        <f aca="false">IF(OR(A815="",P815="DUP",R815&lt;2),"",IF(Q815=_xlfn.MINIFS($Q$2:$Q$3058,$A$2:$A$3058,A815,$P$2:$P$3058,"OK"),"KEEP","DROP"))</f>
        <v/>
      </c>
      <c r="T815" s="9" t="n">
        <f aca="false">IF(A815="",1,0)</f>
        <v>0</v>
      </c>
      <c r="U815" s="9" t="n">
        <f aca="false">IF(D815="",1,0)</f>
        <v>0</v>
      </c>
      <c r="V815" s="9" t="n">
        <f aca="false">IF(E815="",1,0)</f>
        <v>0</v>
      </c>
      <c r="W815" s="9" t="n">
        <f aca="false">IF(OR(H815&lt;1,H815&gt;10),1,0)</f>
        <v>0</v>
      </c>
      <c r="X815" s="9" t="n">
        <f aca="false">IF(OR(I815&lt;=0,I815&gt;1500),1,0)</f>
        <v>0</v>
      </c>
      <c r="Y815" s="9" t="n">
        <f aca="false">IF(J815&gt;H815*I815,1,0)</f>
        <v>0</v>
      </c>
      <c r="Z815" s="9" t="n">
        <f aca="false">IF(AND(N815&lt;&gt;"",OR(N815&lt;1,N815&gt;5)),1,0)</f>
        <v>0</v>
      </c>
      <c r="AA815" s="9" t="n">
        <f aca="false">IF(AND(M815&lt;&gt;"",OR(M815&lt;5,M815&gt;180)),1,0)</f>
        <v>0</v>
      </c>
      <c r="AB815" s="7" t="str">
        <f aca="false">IF(P815="DUP","Exact duplicate row",IF(T815=1,"Missing Order ID",IF(S815="DROP","Duplicate Order ID (less complete row)",IF(U815=1,"Missing Customer ID",IF(V815=1,"Missing Restaurant name",IF(W815=1,"Invalid/outlier quantity",IF(X815=1,"Invalid/outlier unit price",IF(Y815=1,"Discount greater than order value",""))))))))</f>
        <v/>
      </c>
      <c r="AC815" s="7" t="str">
        <f aca="false">IF(AB815="","KEEP","DROP")</f>
        <v>KEEP</v>
      </c>
      <c r="AD815" s="7" t="str">
        <f aca="false">IF(TRIM(F815)="",IFERROR(INDEX(Map_Tables!$I$4:$I$37,MATCH(TRIM(E815),Map_Tables!$G$4:$G$37,0)),""),IFERROR(INDEX(Map_Tables!$B$4:$B$18,MATCH(TRIM(F815),Map_Tables!$A$4:$A$18,0)),"CHECK"))</f>
        <v>Ahmedabad</v>
      </c>
      <c r="AE815" s="7" t="str">
        <f aca="false">IF(TRIM(E815)="","",IFERROR(INDEX(Map_Tables!$H$4:$H$37,MATCH(TRIM(E815),Map_Tables!$G$4:$G$37,0)),"CHECK"))</f>
        <v>Gujarati Thali Ghar</v>
      </c>
      <c r="AF815" s="7" t="str">
        <f aca="false">IF(TRIM(K815)="","Unknown",IFERROR(INDEX(Map_Tables!$E$4:$E$15,MATCH(TRIM(K815),Map_Tables!$D$4:$D$15,0)),"CHECK"))</f>
        <v>UPI</v>
      </c>
      <c r="AG815" s="7" t="str">
        <f aca="false">IF(LEFT(LOWER(TRIM(L815)),6)="cancel","Cancelled","Delivered")</f>
        <v>Cancelled</v>
      </c>
      <c r="AH815" s="10" t="n">
        <f aca="false">IF(ISNUMBER(SEARCH("/",B815)),DATE(VALUE(RIGHT(B815,4)),VALUE(MID(B815,4,2)),VALUE(LEFT(B815,2))),IF(MID(B815,5,1)="-",DATE(VALUE(LEFT(B815,4)),VALUE(MID(B815,6,2)),VALUE(RIGHT(B815,2))),DATE(VALUE(RIGHT(B815,4)),MATCH(MID(B815,4,3),{"Jan","Feb","Mar","Apr","May","Jun","Jul","Aug","Sep","Oct","Nov","Dec"},0),VALUE(LEFT(B815,2)))))</f>
        <v>45761</v>
      </c>
    </row>
    <row r="816" customFormat="false" ht="15" hidden="false" customHeight="false" outlineLevel="0" collapsed="false">
      <c r="A816" s="7" t="s">
        <v>2629</v>
      </c>
      <c r="B816" s="7" t="s">
        <v>2234</v>
      </c>
      <c r="C816" s="7" t="s">
        <v>559</v>
      </c>
      <c r="D816" s="7" t="s">
        <v>2630</v>
      </c>
      <c r="E816" s="7" t="s">
        <v>138</v>
      </c>
      <c r="F816" s="7" t="s">
        <v>110</v>
      </c>
      <c r="G816" s="7" t="s">
        <v>139</v>
      </c>
      <c r="H816" s="7" t="n">
        <v>2</v>
      </c>
      <c r="I816" s="7" t="n">
        <v>205</v>
      </c>
      <c r="J816" s="7" t="n">
        <v>0</v>
      </c>
      <c r="K816" s="7" t="s">
        <v>88</v>
      </c>
      <c r="L816" s="7" t="s">
        <v>194</v>
      </c>
      <c r="M816" s="7" t="n">
        <v>47</v>
      </c>
      <c r="N816" s="7" t="n">
        <v>4</v>
      </c>
      <c r="O816" s="7" t="str">
        <f aca="false">A816&amp;"|"&amp;B816&amp;"|"&amp;C816&amp;"|"&amp;D816&amp;"|"&amp;E816&amp;"|"&amp;F816&amp;"|"&amp;G816&amp;"|"&amp;H816&amp;"|"&amp;I816&amp;"|"&amp;J816&amp;"|"&amp;K816&amp;"|"&amp;L816&amp;"|"&amp;M816&amp;"|"&amp;N816</f>
        <v>ORD12834|2025-12-12|20:25|C1164|Burger Barn|Delhi|Burgers|2|205|0|UPI|Delivered|47|4</v>
      </c>
      <c r="P816" s="7" t="str">
        <f aca="false">IF(COUNTIF($O$2:O816,O816)&gt;1,"DUP","OK")</f>
        <v>OK</v>
      </c>
      <c r="Q816" s="7" t="n">
        <f aca="false">COUNTBLANK(A816:N816)</f>
        <v>0</v>
      </c>
      <c r="R816" s="7" t="n">
        <f aca="false">IF(A816="",0,COUNTIFS($A$2:$A$3058,A816,$P$2:$P$3058,"OK"))</f>
        <v>1</v>
      </c>
      <c r="S816" s="7" t="str">
        <f aca="false">IF(OR(A816="",P816="DUP",R816&lt;2),"",IF(Q816=_xlfn.MINIFS($Q$2:$Q$3058,$A$2:$A$3058,A816,$P$2:$P$3058,"OK"),"KEEP","DROP"))</f>
        <v/>
      </c>
      <c r="T816" s="9" t="n">
        <f aca="false">IF(A816="",1,0)</f>
        <v>0</v>
      </c>
      <c r="U816" s="9" t="n">
        <f aca="false">IF(D816="",1,0)</f>
        <v>0</v>
      </c>
      <c r="V816" s="9" t="n">
        <f aca="false">IF(E816="",1,0)</f>
        <v>0</v>
      </c>
      <c r="W816" s="9" t="n">
        <f aca="false">IF(OR(H816&lt;1,H816&gt;10),1,0)</f>
        <v>0</v>
      </c>
      <c r="X816" s="9" t="n">
        <f aca="false">IF(OR(I816&lt;=0,I816&gt;1500),1,0)</f>
        <v>0</v>
      </c>
      <c r="Y816" s="9" t="n">
        <f aca="false">IF(J816&gt;H816*I816,1,0)</f>
        <v>0</v>
      </c>
      <c r="Z816" s="9" t="n">
        <f aca="false">IF(AND(N816&lt;&gt;"",OR(N816&lt;1,N816&gt;5)),1,0)</f>
        <v>0</v>
      </c>
      <c r="AA816" s="9" t="n">
        <f aca="false">IF(AND(M816&lt;&gt;"",OR(M816&lt;5,M816&gt;180)),1,0)</f>
        <v>0</v>
      </c>
      <c r="AB816" s="7" t="str">
        <f aca="false">IF(P816="DUP","Exact duplicate row",IF(T816=1,"Missing Order ID",IF(S816="DROP","Duplicate Order ID (less complete row)",IF(U816=1,"Missing Customer ID",IF(V816=1,"Missing Restaurant name",IF(W816=1,"Invalid/outlier quantity",IF(X816=1,"Invalid/outlier unit price",IF(Y816=1,"Discount greater than order value",""))))))))</f>
        <v/>
      </c>
      <c r="AC816" s="7" t="str">
        <f aca="false">IF(AB816="","KEEP","DROP")</f>
        <v>KEEP</v>
      </c>
      <c r="AD816" s="7" t="str">
        <f aca="false">IF(TRIM(F816)="",IFERROR(INDEX(Map_Tables!$I$4:$I$37,MATCH(TRIM(E816),Map_Tables!$G$4:$G$37,0)),""),IFERROR(INDEX(Map_Tables!$B$4:$B$18,MATCH(TRIM(F816),Map_Tables!$A$4:$A$18,0)),"CHECK"))</f>
        <v>Delhi</v>
      </c>
      <c r="AE816" s="7" t="str">
        <f aca="false">IF(TRIM(E816)="","",IFERROR(INDEX(Map_Tables!$H$4:$H$37,MATCH(TRIM(E816),Map_Tables!$G$4:$G$37,0)),"CHECK"))</f>
        <v>Burger Barn</v>
      </c>
      <c r="AF816" s="7" t="str">
        <f aca="false">IF(TRIM(K816)="","Unknown",IFERROR(INDEX(Map_Tables!$E$4:$E$15,MATCH(TRIM(K816),Map_Tables!$D$4:$D$15,0)),"CHECK"))</f>
        <v>UPI</v>
      </c>
      <c r="AG816" s="7" t="str">
        <f aca="false">IF(LEFT(LOWER(TRIM(L816)),6)="cancel","Cancelled","Delivered")</f>
        <v>Delivered</v>
      </c>
      <c r="AH816" s="10" t="n">
        <f aca="false">IF(ISNUMBER(SEARCH("/",B816)),DATE(VALUE(RIGHT(B816,4)),VALUE(MID(B816,4,2)),VALUE(LEFT(B816,2))),IF(MID(B816,5,1)="-",DATE(VALUE(LEFT(B816,4)),VALUE(MID(B816,6,2)),VALUE(RIGHT(B816,2))),DATE(VALUE(RIGHT(B816,4)),MATCH(MID(B816,4,3),{"Jan","Feb","Mar","Apr","May","Jun","Jul","Aug","Sep","Oct","Nov","Dec"},0),VALUE(LEFT(B816,2)))))</f>
        <v>46003</v>
      </c>
    </row>
    <row r="817" customFormat="false" ht="15" hidden="false" customHeight="false" outlineLevel="0" collapsed="false">
      <c r="A817" s="7" t="s">
        <v>2631</v>
      </c>
      <c r="B817" s="7" t="s">
        <v>2632</v>
      </c>
      <c r="C817" s="7" t="s">
        <v>976</v>
      </c>
      <c r="D817" s="7" t="s">
        <v>1833</v>
      </c>
      <c r="E817" s="7" t="s">
        <v>113</v>
      </c>
      <c r="F817" s="7" t="s">
        <v>101</v>
      </c>
      <c r="G817" s="7" t="s">
        <v>90</v>
      </c>
      <c r="H817" s="7" t="n">
        <v>1</v>
      </c>
      <c r="I817" s="7" t="n">
        <v>195</v>
      </c>
      <c r="J817" s="7" t="n">
        <v>0</v>
      </c>
      <c r="K817" s="7" t="s">
        <v>93</v>
      </c>
      <c r="L817" s="7" t="s">
        <v>194</v>
      </c>
      <c r="M817" s="7" t="n">
        <v>53</v>
      </c>
      <c r="N817" s="7" t="n">
        <v>2</v>
      </c>
      <c r="O817" s="7" t="str">
        <f aca="false">A817&amp;"|"&amp;B817&amp;"|"&amp;C817&amp;"|"&amp;D817&amp;"|"&amp;E817&amp;"|"&amp;F817&amp;"|"&amp;G817&amp;"|"&amp;H817&amp;"|"&amp;I817&amp;"|"&amp;J817&amp;"|"&amp;K817&amp;"|"&amp;L817&amp;"|"&amp;M817&amp;"|"&amp;N817</f>
        <v>ORD10014|2025-01-02|20:20|C0366|Curry Leaf Kitchen|Mumbai|North Indian|1|195|0|Credit Card|Delivered|53|2</v>
      </c>
      <c r="P817" s="7" t="str">
        <f aca="false">IF(COUNTIF($O$2:O817,O817)&gt;1,"DUP","OK")</f>
        <v>OK</v>
      </c>
      <c r="Q817" s="7" t="n">
        <f aca="false">COUNTBLANK(A817:N817)</f>
        <v>0</v>
      </c>
      <c r="R817" s="7" t="n">
        <f aca="false">IF(A817="",0,COUNTIFS($A$2:$A$3058,A817,$P$2:$P$3058,"OK"))</f>
        <v>1</v>
      </c>
      <c r="S817" s="7" t="str">
        <f aca="false">IF(OR(A817="",P817="DUP",R817&lt;2),"",IF(Q817=_xlfn.MINIFS($Q$2:$Q$3058,$A$2:$A$3058,A817,$P$2:$P$3058,"OK"),"KEEP","DROP"))</f>
        <v/>
      </c>
      <c r="T817" s="9" t="n">
        <f aca="false">IF(A817="",1,0)</f>
        <v>0</v>
      </c>
      <c r="U817" s="9" t="n">
        <f aca="false">IF(D817="",1,0)</f>
        <v>0</v>
      </c>
      <c r="V817" s="9" t="n">
        <f aca="false">IF(E817="",1,0)</f>
        <v>0</v>
      </c>
      <c r="W817" s="9" t="n">
        <f aca="false">IF(OR(H817&lt;1,H817&gt;10),1,0)</f>
        <v>0</v>
      </c>
      <c r="X817" s="9" t="n">
        <f aca="false">IF(OR(I817&lt;=0,I817&gt;1500),1,0)</f>
        <v>0</v>
      </c>
      <c r="Y817" s="9" t="n">
        <f aca="false">IF(J817&gt;H817*I817,1,0)</f>
        <v>0</v>
      </c>
      <c r="Z817" s="9" t="n">
        <f aca="false">IF(AND(N817&lt;&gt;"",OR(N817&lt;1,N817&gt;5)),1,0)</f>
        <v>0</v>
      </c>
      <c r="AA817" s="9" t="n">
        <f aca="false">IF(AND(M817&lt;&gt;"",OR(M817&lt;5,M817&gt;180)),1,0)</f>
        <v>0</v>
      </c>
      <c r="AB817" s="7" t="str">
        <f aca="false">IF(P817="DUP","Exact duplicate row",IF(T817=1,"Missing Order ID",IF(S817="DROP","Duplicate Order ID (less complete row)",IF(U817=1,"Missing Customer ID",IF(V817=1,"Missing Restaurant name",IF(W817=1,"Invalid/outlier quantity",IF(X817=1,"Invalid/outlier unit price",IF(Y817=1,"Discount greater than order value",""))))))))</f>
        <v/>
      </c>
      <c r="AC817" s="7" t="str">
        <f aca="false">IF(AB817="","KEEP","DROP")</f>
        <v>KEEP</v>
      </c>
      <c r="AD817" s="7" t="str">
        <f aca="false">IF(TRIM(F817)="",IFERROR(INDEX(Map_Tables!$I$4:$I$37,MATCH(TRIM(E817),Map_Tables!$G$4:$G$37,0)),""),IFERROR(INDEX(Map_Tables!$B$4:$B$18,MATCH(TRIM(F817),Map_Tables!$A$4:$A$18,0)),"CHECK"))</f>
        <v>Mumbai</v>
      </c>
      <c r="AE817" s="7" t="str">
        <f aca="false">IF(TRIM(E817)="","",IFERROR(INDEX(Map_Tables!$H$4:$H$37,MATCH(TRIM(E817),Map_Tables!$G$4:$G$37,0)),"CHECK"))</f>
        <v>Curry Leaf Kitchen</v>
      </c>
      <c r="AF817" s="7" t="str">
        <f aca="false">IF(TRIM(K817)="","Unknown",IFERROR(INDEX(Map_Tables!$E$4:$E$15,MATCH(TRIM(K817),Map_Tables!$D$4:$D$15,0)),"CHECK"))</f>
        <v>Credit Card</v>
      </c>
      <c r="AG817" s="7" t="str">
        <f aca="false">IF(LEFT(LOWER(TRIM(L817)),6)="cancel","Cancelled","Delivered")</f>
        <v>Delivered</v>
      </c>
      <c r="AH817" s="10" t="n">
        <f aca="false">IF(ISNUMBER(SEARCH("/",B817)),DATE(VALUE(RIGHT(B817,4)),VALUE(MID(B817,4,2)),VALUE(LEFT(B817,2))),IF(MID(B817,5,1)="-",DATE(VALUE(LEFT(B817,4)),VALUE(MID(B817,6,2)),VALUE(RIGHT(B817,2))),DATE(VALUE(RIGHT(B817,4)),MATCH(MID(B817,4,3),{"Jan","Feb","Mar","Apr","May","Jun","Jul","Aug","Sep","Oct","Nov","Dec"},0),VALUE(LEFT(B817,2)))))</f>
        <v>45659</v>
      </c>
    </row>
    <row r="818" customFormat="false" ht="15" hidden="false" customHeight="false" outlineLevel="0" collapsed="false">
      <c r="A818" s="7" t="s">
        <v>2633</v>
      </c>
      <c r="B818" s="7" t="s">
        <v>1603</v>
      </c>
      <c r="C818" s="7" t="s">
        <v>2634</v>
      </c>
      <c r="D818" s="7" t="s">
        <v>2635</v>
      </c>
      <c r="E818" s="7" t="s">
        <v>94</v>
      </c>
      <c r="F818" s="7" t="s">
        <v>86</v>
      </c>
      <c r="G818" s="7" t="s">
        <v>95</v>
      </c>
      <c r="H818" s="7" t="n">
        <v>1</v>
      </c>
      <c r="I818" s="7" t="n">
        <v>95</v>
      </c>
      <c r="J818" s="7" t="n">
        <v>0</v>
      </c>
      <c r="K818" s="7" t="s">
        <v>103</v>
      </c>
      <c r="L818" s="7" t="s">
        <v>194</v>
      </c>
      <c r="M818" s="7" t="n">
        <v>42</v>
      </c>
      <c r="N818" s="7" t="n">
        <v>4</v>
      </c>
      <c r="O818" s="7" t="str">
        <f aca="false">A818&amp;"|"&amp;B818&amp;"|"&amp;C818&amp;"|"&amp;D818&amp;"|"&amp;E818&amp;"|"&amp;F818&amp;"|"&amp;G818&amp;"|"&amp;H818&amp;"|"&amp;I818&amp;"|"&amp;J818&amp;"|"&amp;K818&amp;"|"&amp;L818&amp;"|"&amp;M818&amp;"|"&amp;N818</f>
        <v>ORD12993|2025-12-30|23:02|C0724|Dosa Darbar|Bengaluru|South Indian|1|95|0|Debit Card|Delivered|42|4</v>
      </c>
      <c r="P818" s="7" t="str">
        <f aca="false">IF(COUNTIF($O$2:O818,O818)&gt;1,"DUP","OK")</f>
        <v>OK</v>
      </c>
      <c r="Q818" s="7" t="n">
        <f aca="false">COUNTBLANK(A818:N818)</f>
        <v>0</v>
      </c>
      <c r="R818" s="7" t="n">
        <f aca="false">IF(A818="",0,COUNTIFS($A$2:$A$3058,A818,$P$2:$P$3058,"OK"))</f>
        <v>1</v>
      </c>
      <c r="S818" s="7" t="str">
        <f aca="false">IF(OR(A818="",P818="DUP",R818&lt;2),"",IF(Q818=_xlfn.MINIFS($Q$2:$Q$3058,$A$2:$A$3058,A818,$P$2:$P$3058,"OK"),"KEEP","DROP"))</f>
        <v/>
      </c>
      <c r="T818" s="9" t="n">
        <f aca="false">IF(A818="",1,0)</f>
        <v>0</v>
      </c>
      <c r="U818" s="9" t="n">
        <f aca="false">IF(D818="",1,0)</f>
        <v>0</v>
      </c>
      <c r="V818" s="9" t="n">
        <f aca="false">IF(E818="",1,0)</f>
        <v>0</v>
      </c>
      <c r="W818" s="9" t="n">
        <f aca="false">IF(OR(H818&lt;1,H818&gt;10),1,0)</f>
        <v>0</v>
      </c>
      <c r="X818" s="9" t="n">
        <f aca="false">IF(OR(I818&lt;=0,I818&gt;1500),1,0)</f>
        <v>0</v>
      </c>
      <c r="Y818" s="9" t="n">
        <f aca="false">IF(J818&gt;H818*I818,1,0)</f>
        <v>0</v>
      </c>
      <c r="Z818" s="9" t="n">
        <f aca="false">IF(AND(N818&lt;&gt;"",OR(N818&lt;1,N818&gt;5)),1,0)</f>
        <v>0</v>
      </c>
      <c r="AA818" s="9" t="n">
        <f aca="false">IF(AND(M818&lt;&gt;"",OR(M818&lt;5,M818&gt;180)),1,0)</f>
        <v>0</v>
      </c>
      <c r="AB818" s="7" t="str">
        <f aca="false">IF(P818="DUP","Exact duplicate row",IF(T818=1,"Missing Order ID",IF(S818="DROP","Duplicate Order ID (less complete row)",IF(U818=1,"Missing Customer ID",IF(V818=1,"Missing Restaurant name",IF(W818=1,"Invalid/outlier quantity",IF(X818=1,"Invalid/outlier unit price",IF(Y818=1,"Discount greater than order value",""))))))))</f>
        <v/>
      </c>
      <c r="AC818" s="7" t="str">
        <f aca="false">IF(AB818="","KEEP","DROP")</f>
        <v>KEEP</v>
      </c>
      <c r="AD818" s="7" t="str">
        <f aca="false">IF(TRIM(F818)="",IFERROR(INDEX(Map_Tables!$I$4:$I$37,MATCH(TRIM(E818),Map_Tables!$G$4:$G$37,0)),""),IFERROR(INDEX(Map_Tables!$B$4:$B$18,MATCH(TRIM(F818),Map_Tables!$A$4:$A$18,0)),"CHECK"))</f>
        <v>Bengaluru</v>
      </c>
      <c r="AE818" s="7" t="str">
        <f aca="false">IF(TRIM(E818)="","",IFERROR(INDEX(Map_Tables!$H$4:$H$37,MATCH(TRIM(E818),Map_Tables!$G$4:$G$37,0)),"CHECK"))</f>
        <v>Dosa Darbar</v>
      </c>
      <c r="AF818" s="7" t="str">
        <f aca="false">IF(TRIM(K818)="","Unknown",IFERROR(INDEX(Map_Tables!$E$4:$E$15,MATCH(TRIM(K818),Map_Tables!$D$4:$D$15,0)),"CHECK"))</f>
        <v>Debit Card</v>
      </c>
      <c r="AG818" s="7" t="str">
        <f aca="false">IF(LEFT(LOWER(TRIM(L818)),6)="cancel","Cancelled","Delivered")</f>
        <v>Delivered</v>
      </c>
      <c r="AH818" s="10" t="n">
        <f aca="false">IF(ISNUMBER(SEARCH("/",B818)),DATE(VALUE(RIGHT(B818,4)),VALUE(MID(B818,4,2)),VALUE(LEFT(B818,2))),IF(MID(B818,5,1)="-",DATE(VALUE(LEFT(B818,4)),VALUE(MID(B818,6,2)),VALUE(RIGHT(B818,2))),DATE(VALUE(RIGHT(B818,4)),MATCH(MID(B818,4,3),{"Jan","Feb","Mar","Apr","May","Jun","Jul","Aug","Sep","Oct","Nov","Dec"},0),VALUE(LEFT(B818,2)))))</f>
        <v>46021</v>
      </c>
    </row>
    <row r="819" customFormat="false" ht="15" hidden="false" customHeight="false" outlineLevel="0" collapsed="false">
      <c r="A819" s="7" t="s">
        <v>2636</v>
      </c>
      <c r="B819" s="7" t="s">
        <v>240</v>
      </c>
      <c r="C819" s="7" t="s">
        <v>2266</v>
      </c>
      <c r="D819" s="7" t="s">
        <v>1333</v>
      </c>
      <c r="E819" s="7" t="s">
        <v>104</v>
      </c>
      <c r="F819" s="7" t="s">
        <v>86</v>
      </c>
      <c r="G819" s="7" t="s">
        <v>105</v>
      </c>
      <c r="H819" s="7" t="n">
        <v>3</v>
      </c>
      <c r="I819" s="7" t="n">
        <v>225</v>
      </c>
      <c r="J819" s="7" t="n">
        <v>125</v>
      </c>
      <c r="K819" s="7" t="s">
        <v>112</v>
      </c>
      <c r="L819" s="7" t="s">
        <v>194</v>
      </c>
      <c r="M819" s="7" t="n">
        <v>34</v>
      </c>
      <c r="N819" s="7" t="n">
        <v>4</v>
      </c>
      <c r="O819" s="7" t="str">
        <f aca="false">A819&amp;"|"&amp;B819&amp;"|"&amp;C819&amp;"|"&amp;D819&amp;"|"&amp;E819&amp;"|"&amp;F819&amp;"|"&amp;G819&amp;"|"&amp;H819&amp;"|"&amp;I819&amp;"|"&amp;J819&amp;"|"&amp;K819&amp;"|"&amp;L819&amp;"|"&amp;M819&amp;"|"&amp;N819</f>
        <v>ORD12147|2025-10-02|11:45|C0411|Wok &amp; Roll|Bengaluru|Chinese|3|225|125|Cash on Delivery|Delivered|34|4</v>
      </c>
      <c r="P819" s="7" t="str">
        <f aca="false">IF(COUNTIF($O$2:O819,O819)&gt;1,"DUP","OK")</f>
        <v>OK</v>
      </c>
      <c r="Q819" s="7" t="n">
        <f aca="false">COUNTBLANK(A819:N819)</f>
        <v>0</v>
      </c>
      <c r="R819" s="7" t="n">
        <f aca="false">IF(A819="",0,COUNTIFS($A$2:$A$3058,A819,$P$2:$P$3058,"OK"))</f>
        <v>1</v>
      </c>
      <c r="S819" s="7" t="str">
        <f aca="false">IF(OR(A819="",P819="DUP",R819&lt;2),"",IF(Q819=_xlfn.MINIFS($Q$2:$Q$3058,$A$2:$A$3058,A819,$P$2:$P$3058,"OK"),"KEEP","DROP"))</f>
        <v/>
      </c>
      <c r="T819" s="9" t="n">
        <f aca="false">IF(A819="",1,0)</f>
        <v>0</v>
      </c>
      <c r="U819" s="9" t="n">
        <f aca="false">IF(D819="",1,0)</f>
        <v>0</v>
      </c>
      <c r="V819" s="9" t="n">
        <f aca="false">IF(E819="",1,0)</f>
        <v>0</v>
      </c>
      <c r="W819" s="9" t="n">
        <f aca="false">IF(OR(H819&lt;1,H819&gt;10),1,0)</f>
        <v>0</v>
      </c>
      <c r="X819" s="9" t="n">
        <f aca="false">IF(OR(I819&lt;=0,I819&gt;1500),1,0)</f>
        <v>0</v>
      </c>
      <c r="Y819" s="9" t="n">
        <f aca="false">IF(J819&gt;H819*I819,1,0)</f>
        <v>0</v>
      </c>
      <c r="Z819" s="9" t="n">
        <f aca="false">IF(AND(N819&lt;&gt;"",OR(N819&lt;1,N819&gt;5)),1,0)</f>
        <v>0</v>
      </c>
      <c r="AA819" s="9" t="n">
        <f aca="false">IF(AND(M819&lt;&gt;"",OR(M819&lt;5,M819&gt;180)),1,0)</f>
        <v>0</v>
      </c>
      <c r="AB819" s="7" t="str">
        <f aca="false">IF(P819="DUP","Exact duplicate row",IF(T819=1,"Missing Order ID",IF(S819="DROP","Duplicate Order ID (less complete row)",IF(U819=1,"Missing Customer ID",IF(V819=1,"Missing Restaurant name",IF(W819=1,"Invalid/outlier quantity",IF(X819=1,"Invalid/outlier unit price",IF(Y819=1,"Discount greater than order value",""))))))))</f>
        <v/>
      </c>
      <c r="AC819" s="7" t="str">
        <f aca="false">IF(AB819="","KEEP","DROP")</f>
        <v>KEEP</v>
      </c>
      <c r="AD819" s="7" t="str">
        <f aca="false">IF(TRIM(F819)="",IFERROR(INDEX(Map_Tables!$I$4:$I$37,MATCH(TRIM(E819),Map_Tables!$G$4:$G$37,0)),""),IFERROR(INDEX(Map_Tables!$B$4:$B$18,MATCH(TRIM(F819),Map_Tables!$A$4:$A$18,0)),"CHECK"))</f>
        <v>Bengaluru</v>
      </c>
      <c r="AE819" s="7" t="str">
        <f aca="false">IF(TRIM(E819)="","",IFERROR(INDEX(Map_Tables!$H$4:$H$37,MATCH(TRIM(E819),Map_Tables!$G$4:$G$37,0)),"CHECK"))</f>
        <v>Wok &amp; Roll</v>
      </c>
      <c r="AF819" s="7" t="str">
        <f aca="false">IF(TRIM(K819)="","Unknown",IFERROR(INDEX(Map_Tables!$E$4:$E$15,MATCH(TRIM(K819),Map_Tables!$D$4:$D$15,0)),"CHECK"))</f>
        <v>Cash on Delivery</v>
      </c>
      <c r="AG819" s="7" t="str">
        <f aca="false">IF(LEFT(LOWER(TRIM(L819)),6)="cancel","Cancelled","Delivered")</f>
        <v>Delivered</v>
      </c>
      <c r="AH819" s="10" t="n">
        <f aca="false">IF(ISNUMBER(SEARCH("/",B819)),DATE(VALUE(RIGHT(B819,4)),VALUE(MID(B819,4,2)),VALUE(LEFT(B819,2))),IF(MID(B819,5,1)="-",DATE(VALUE(LEFT(B819,4)),VALUE(MID(B819,6,2)),VALUE(RIGHT(B819,2))),DATE(VALUE(RIGHT(B819,4)),MATCH(MID(B819,4,3),{"Jan","Feb","Mar","Apr","May","Jun","Jul","Aug","Sep","Oct","Nov","Dec"},0),VALUE(LEFT(B819,2)))))</f>
        <v>45932</v>
      </c>
    </row>
    <row r="820" customFormat="false" ht="15" hidden="false" customHeight="false" outlineLevel="0" collapsed="false">
      <c r="A820" s="7" t="s">
        <v>2637</v>
      </c>
      <c r="B820" s="7" t="s">
        <v>1790</v>
      </c>
      <c r="C820" s="7" t="s">
        <v>2638</v>
      </c>
      <c r="D820" s="7" t="s">
        <v>2639</v>
      </c>
      <c r="E820" s="7" t="s">
        <v>126</v>
      </c>
      <c r="F820" s="7" t="s">
        <v>101</v>
      </c>
      <c r="G820" s="7" t="s">
        <v>105</v>
      </c>
      <c r="H820" s="7" t="n">
        <v>1</v>
      </c>
      <c r="I820" s="7" t="n">
        <v>230</v>
      </c>
      <c r="J820" s="7" t="n">
        <v>0</v>
      </c>
      <c r="K820" s="7" t="s">
        <v>566</v>
      </c>
      <c r="L820" s="7" t="s">
        <v>194</v>
      </c>
      <c r="M820" s="7" t="n">
        <v>47</v>
      </c>
      <c r="N820" s="7"/>
      <c r="O820" s="7" t="str">
        <f aca="false">A820&amp;"|"&amp;B820&amp;"|"&amp;C820&amp;"|"&amp;D820&amp;"|"&amp;E820&amp;"|"&amp;F820&amp;"|"&amp;G820&amp;"|"&amp;H820&amp;"|"&amp;I820&amp;"|"&amp;J820&amp;"|"&amp;K820&amp;"|"&amp;L820&amp;"|"&amp;M820&amp;"|"&amp;N820</f>
        <v>ORD11068|2025-05-15|16:01|C0408|Dragon Express|Mumbai|Chinese|1|230|0|NetBanking|Delivered|47|</v>
      </c>
      <c r="P820" s="7" t="str">
        <f aca="false">IF(COUNTIF($O$2:O820,O820)&gt;1,"DUP","OK")</f>
        <v>OK</v>
      </c>
      <c r="Q820" s="7" t="n">
        <f aca="false">COUNTBLANK(A820:N820)</f>
        <v>1</v>
      </c>
      <c r="R820" s="7" t="n">
        <f aca="false">IF(A820="",0,COUNTIFS($A$2:$A$3058,A820,$P$2:$P$3058,"OK"))</f>
        <v>1</v>
      </c>
      <c r="S820" s="7" t="str">
        <f aca="false">IF(OR(A820="",P820="DUP",R820&lt;2),"",IF(Q820=_xlfn.MINIFS($Q$2:$Q$3058,$A$2:$A$3058,A820,$P$2:$P$3058,"OK"),"KEEP","DROP"))</f>
        <v/>
      </c>
      <c r="T820" s="9" t="n">
        <f aca="false">IF(A820="",1,0)</f>
        <v>0</v>
      </c>
      <c r="U820" s="9" t="n">
        <f aca="false">IF(D820="",1,0)</f>
        <v>0</v>
      </c>
      <c r="V820" s="9" t="n">
        <f aca="false">IF(E820="",1,0)</f>
        <v>0</v>
      </c>
      <c r="W820" s="9" t="n">
        <f aca="false">IF(OR(H820&lt;1,H820&gt;10),1,0)</f>
        <v>0</v>
      </c>
      <c r="X820" s="9" t="n">
        <f aca="false">IF(OR(I820&lt;=0,I820&gt;1500),1,0)</f>
        <v>0</v>
      </c>
      <c r="Y820" s="9" t="n">
        <f aca="false">IF(J820&gt;H820*I820,1,0)</f>
        <v>0</v>
      </c>
      <c r="Z820" s="9" t="n">
        <f aca="false">IF(AND(N820&lt;&gt;"",OR(N820&lt;1,N820&gt;5)),1,0)</f>
        <v>0</v>
      </c>
      <c r="AA820" s="9" t="n">
        <f aca="false">IF(AND(M820&lt;&gt;"",OR(M820&lt;5,M820&gt;180)),1,0)</f>
        <v>0</v>
      </c>
      <c r="AB820" s="7" t="str">
        <f aca="false">IF(P820="DUP","Exact duplicate row",IF(T820=1,"Missing Order ID",IF(S820="DROP","Duplicate Order ID (less complete row)",IF(U820=1,"Missing Customer ID",IF(V820=1,"Missing Restaurant name",IF(W820=1,"Invalid/outlier quantity",IF(X820=1,"Invalid/outlier unit price",IF(Y820=1,"Discount greater than order value",""))))))))</f>
        <v/>
      </c>
      <c r="AC820" s="7" t="str">
        <f aca="false">IF(AB820="","KEEP","DROP")</f>
        <v>KEEP</v>
      </c>
      <c r="AD820" s="7" t="str">
        <f aca="false">IF(TRIM(F820)="",IFERROR(INDEX(Map_Tables!$I$4:$I$37,MATCH(TRIM(E820),Map_Tables!$G$4:$G$37,0)),""),IFERROR(INDEX(Map_Tables!$B$4:$B$18,MATCH(TRIM(F820),Map_Tables!$A$4:$A$18,0)),"CHECK"))</f>
        <v>Mumbai</v>
      </c>
      <c r="AE820" s="7" t="str">
        <f aca="false">IF(TRIM(E820)="","",IFERROR(INDEX(Map_Tables!$H$4:$H$37,MATCH(TRIM(E820),Map_Tables!$G$4:$G$37,0)),"CHECK"))</f>
        <v>Dragon Express</v>
      </c>
      <c r="AF820" s="7" t="str">
        <f aca="false">IF(TRIM(K820)="","Unknown",IFERROR(INDEX(Map_Tables!$E$4:$E$15,MATCH(TRIM(K820),Map_Tables!$D$4:$D$15,0)),"CHECK"))</f>
        <v>Net Banking</v>
      </c>
      <c r="AG820" s="7" t="str">
        <f aca="false">IF(LEFT(LOWER(TRIM(L820)),6)="cancel","Cancelled","Delivered")</f>
        <v>Delivered</v>
      </c>
      <c r="AH820" s="10" t="n">
        <f aca="false">IF(ISNUMBER(SEARCH("/",B820)),DATE(VALUE(RIGHT(B820,4)),VALUE(MID(B820,4,2)),VALUE(LEFT(B820,2))),IF(MID(B820,5,1)="-",DATE(VALUE(LEFT(B820,4)),VALUE(MID(B820,6,2)),VALUE(RIGHT(B820,2))),DATE(VALUE(RIGHT(B820,4)),MATCH(MID(B820,4,3),{"Jan","Feb","Mar","Apr","May","Jun","Jul","Aug","Sep","Oct","Nov","Dec"},0),VALUE(LEFT(B820,2)))))</f>
        <v>45792</v>
      </c>
    </row>
    <row r="821" customFormat="false" ht="15" hidden="false" customHeight="false" outlineLevel="0" collapsed="false">
      <c r="A821" s="7" t="s">
        <v>2640</v>
      </c>
      <c r="B821" s="7" t="s">
        <v>1108</v>
      </c>
      <c r="C821" s="7" t="s">
        <v>2641</v>
      </c>
      <c r="D821" s="7" t="s">
        <v>2642</v>
      </c>
      <c r="E821" s="7" t="s">
        <v>164</v>
      </c>
      <c r="F821" s="7" t="s">
        <v>1915</v>
      </c>
      <c r="G821" s="7" t="s">
        <v>150</v>
      </c>
      <c r="H821" s="7" t="n">
        <v>3</v>
      </c>
      <c r="I821" s="7" t="n">
        <v>130</v>
      </c>
      <c r="J821" s="7" t="n">
        <v>0</v>
      </c>
      <c r="K821" s="7" t="s">
        <v>112</v>
      </c>
      <c r="L821" s="7" t="s">
        <v>194</v>
      </c>
      <c r="M821" s="7" t="n">
        <v>37</v>
      </c>
      <c r="N821" s="7" t="n">
        <v>4</v>
      </c>
      <c r="O821" s="7" t="str">
        <f aca="false">A821&amp;"|"&amp;B821&amp;"|"&amp;C821&amp;"|"&amp;D821&amp;"|"&amp;E821&amp;"|"&amp;F821&amp;"|"&amp;G821&amp;"|"&amp;H821&amp;"|"&amp;I821&amp;"|"&amp;J821&amp;"|"&amp;K821&amp;"|"&amp;L821&amp;"|"&amp;M821&amp;"|"&amp;N821</f>
        <v>ORD12610|2025-11-19|09:25|C0983|Mishti Mandir|KOLKATA|Desserts|3|130|0|Cash on Delivery|Delivered|37|4</v>
      </c>
      <c r="P821" s="7" t="str">
        <f aca="false">IF(COUNTIF($O$2:O821,O821)&gt;1,"DUP","OK")</f>
        <v>OK</v>
      </c>
      <c r="Q821" s="7" t="n">
        <f aca="false">COUNTBLANK(A821:N821)</f>
        <v>0</v>
      </c>
      <c r="R821" s="7" t="n">
        <f aca="false">IF(A821="",0,COUNTIFS($A$2:$A$3058,A821,$P$2:$P$3058,"OK"))</f>
        <v>1</v>
      </c>
      <c r="S821" s="7" t="str">
        <f aca="false">IF(OR(A821="",P821="DUP",R821&lt;2),"",IF(Q821=_xlfn.MINIFS($Q$2:$Q$3058,$A$2:$A$3058,A821,$P$2:$P$3058,"OK"),"KEEP","DROP"))</f>
        <v/>
      </c>
      <c r="T821" s="9" t="n">
        <f aca="false">IF(A821="",1,0)</f>
        <v>0</v>
      </c>
      <c r="U821" s="9" t="n">
        <f aca="false">IF(D821="",1,0)</f>
        <v>0</v>
      </c>
      <c r="V821" s="9" t="n">
        <f aca="false">IF(E821="",1,0)</f>
        <v>0</v>
      </c>
      <c r="W821" s="9" t="n">
        <f aca="false">IF(OR(H821&lt;1,H821&gt;10),1,0)</f>
        <v>0</v>
      </c>
      <c r="X821" s="9" t="n">
        <f aca="false">IF(OR(I821&lt;=0,I821&gt;1500),1,0)</f>
        <v>0</v>
      </c>
      <c r="Y821" s="9" t="n">
        <f aca="false">IF(J821&gt;H821*I821,1,0)</f>
        <v>0</v>
      </c>
      <c r="Z821" s="9" t="n">
        <f aca="false">IF(AND(N821&lt;&gt;"",OR(N821&lt;1,N821&gt;5)),1,0)</f>
        <v>0</v>
      </c>
      <c r="AA821" s="9" t="n">
        <f aca="false">IF(AND(M821&lt;&gt;"",OR(M821&lt;5,M821&gt;180)),1,0)</f>
        <v>0</v>
      </c>
      <c r="AB821" s="7" t="str">
        <f aca="false">IF(P821="DUP","Exact duplicate row",IF(T821=1,"Missing Order ID",IF(S821="DROP","Duplicate Order ID (less complete row)",IF(U821=1,"Missing Customer ID",IF(V821=1,"Missing Restaurant name",IF(W821=1,"Invalid/outlier quantity",IF(X821=1,"Invalid/outlier unit price",IF(Y821=1,"Discount greater than order value",""))))))))</f>
        <v/>
      </c>
      <c r="AC821" s="7" t="str">
        <f aca="false">IF(AB821="","KEEP","DROP")</f>
        <v>KEEP</v>
      </c>
      <c r="AD821" s="7" t="str">
        <f aca="false">IF(TRIM(F821)="",IFERROR(INDEX(Map_Tables!$I$4:$I$37,MATCH(TRIM(E821),Map_Tables!$G$4:$G$37,0)),""),IFERROR(INDEX(Map_Tables!$B$4:$B$18,MATCH(TRIM(F821),Map_Tables!$A$4:$A$18,0)),"CHECK"))</f>
        <v>Kolkata</v>
      </c>
      <c r="AE821" s="7" t="str">
        <f aca="false">IF(TRIM(E821)="","",IFERROR(INDEX(Map_Tables!$H$4:$H$37,MATCH(TRIM(E821),Map_Tables!$G$4:$G$37,0)),"CHECK"))</f>
        <v>Mishti Mandir</v>
      </c>
      <c r="AF821" s="7" t="str">
        <f aca="false">IF(TRIM(K821)="","Unknown",IFERROR(INDEX(Map_Tables!$E$4:$E$15,MATCH(TRIM(K821),Map_Tables!$D$4:$D$15,0)),"CHECK"))</f>
        <v>Cash on Delivery</v>
      </c>
      <c r="AG821" s="7" t="str">
        <f aca="false">IF(LEFT(LOWER(TRIM(L821)),6)="cancel","Cancelled","Delivered")</f>
        <v>Delivered</v>
      </c>
      <c r="AH821" s="10" t="n">
        <f aca="false">IF(ISNUMBER(SEARCH("/",B821)),DATE(VALUE(RIGHT(B821,4)),VALUE(MID(B821,4,2)),VALUE(LEFT(B821,2))),IF(MID(B821,5,1)="-",DATE(VALUE(LEFT(B821,4)),VALUE(MID(B821,6,2)),VALUE(RIGHT(B821,2))),DATE(VALUE(RIGHT(B821,4)),MATCH(MID(B821,4,3),{"Jan","Feb","Mar","Apr","May","Jun","Jul","Aug","Sep","Oct","Nov","Dec"},0),VALUE(LEFT(B821,2)))))</f>
        <v>45980</v>
      </c>
    </row>
    <row r="822" customFormat="false" ht="15" hidden="false" customHeight="false" outlineLevel="0" collapsed="false">
      <c r="A822" s="7" t="s">
        <v>2643</v>
      </c>
      <c r="B822" s="7" t="s">
        <v>2357</v>
      </c>
      <c r="C822" s="7" t="s">
        <v>2644</v>
      </c>
      <c r="D822" s="7" t="s">
        <v>641</v>
      </c>
      <c r="E822" s="7" t="s">
        <v>152</v>
      </c>
      <c r="F822" s="7" t="s">
        <v>128</v>
      </c>
      <c r="G822" s="7" t="s">
        <v>95</v>
      </c>
      <c r="H822" s="7" t="n">
        <v>4</v>
      </c>
      <c r="I822" s="7" t="n">
        <v>95</v>
      </c>
      <c r="J822" s="7" t="n">
        <v>0</v>
      </c>
      <c r="K822" s="7" t="s">
        <v>93</v>
      </c>
      <c r="L822" s="7" t="s">
        <v>238</v>
      </c>
      <c r="M822" s="7"/>
      <c r="N822" s="7"/>
      <c r="O822" s="7" t="str">
        <f aca="false">A822&amp;"|"&amp;B822&amp;"|"&amp;C822&amp;"|"&amp;D822&amp;"|"&amp;E822&amp;"|"&amp;F822&amp;"|"&amp;G822&amp;"|"&amp;H822&amp;"|"&amp;I822&amp;"|"&amp;J822&amp;"|"&amp;K822&amp;"|"&amp;L822&amp;"|"&amp;M822&amp;"|"&amp;N822</f>
        <v>ORD11902|2025-09-04|19:41|C0324|Filter Coffee &amp; Tiffin|Chennai|South Indian|4|95|0|Credit Card|Cancelled||</v>
      </c>
      <c r="P822" s="7" t="str">
        <f aca="false">IF(COUNTIF($O$2:O822,O822)&gt;1,"DUP","OK")</f>
        <v>OK</v>
      </c>
      <c r="Q822" s="7" t="n">
        <f aca="false">COUNTBLANK(A822:N822)</f>
        <v>2</v>
      </c>
      <c r="R822" s="7" t="n">
        <f aca="false">IF(A822="",0,COUNTIFS($A$2:$A$3058,A822,$P$2:$P$3058,"OK"))</f>
        <v>1</v>
      </c>
      <c r="S822" s="7" t="str">
        <f aca="false">IF(OR(A822="",P822="DUP",R822&lt;2),"",IF(Q822=_xlfn.MINIFS($Q$2:$Q$3058,$A$2:$A$3058,A822,$P$2:$P$3058,"OK"),"KEEP","DROP"))</f>
        <v/>
      </c>
      <c r="T822" s="9" t="n">
        <f aca="false">IF(A822="",1,0)</f>
        <v>0</v>
      </c>
      <c r="U822" s="9" t="n">
        <f aca="false">IF(D822="",1,0)</f>
        <v>0</v>
      </c>
      <c r="V822" s="9" t="n">
        <f aca="false">IF(E822="",1,0)</f>
        <v>0</v>
      </c>
      <c r="W822" s="9" t="n">
        <f aca="false">IF(OR(H822&lt;1,H822&gt;10),1,0)</f>
        <v>0</v>
      </c>
      <c r="X822" s="9" t="n">
        <f aca="false">IF(OR(I822&lt;=0,I822&gt;1500),1,0)</f>
        <v>0</v>
      </c>
      <c r="Y822" s="9" t="n">
        <f aca="false">IF(J822&gt;H822*I822,1,0)</f>
        <v>0</v>
      </c>
      <c r="Z822" s="9" t="n">
        <f aca="false">IF(AND(N822&lt;&gt;"",OR(N822&lt;1,N822&gt;5)),1,0)</f>
        <v>0</v>
      </c>
      <c r="AA822" s="9" t="n">
        <f aca="false">IF(AND(M822&lt;&gt;"",OR(M822&lt;5,M822&gt;180)),1,0)</f>
        <v>0</v>
      </c>
      <c r="AB822" s="7" t="str">
        <f aca="false">IF(P822="DUP","Exact duplicate row",IF(T822=1,"Missing Order ID",IF(S822="DROP","Duplicate Order ID (less complete row)",IF(U822=1,"Missing Customer ID",IF(V822=1,"Missing Restaurant name",IF(W822=1,"Invalid/outlier quantity",IF(X822=1,"Invalid/outlier unit price",IF(Y822=1,"Discount greater than order value",""))))))))</f>
        <v/>
      </c>
      <c r="AC822" s="7" t="str">
        <f aca="false">IF(AB822="","KEEP","DROP")</f>
        <v>KEEP</v>
      </c>
      <c r="AD822" s="7" t="str">
        <f aca="false">IF(TRIM(F822)="",IFERROR(INDEX(Map_Tables!$I$4:$I$37,MATCH(TRIM(E822),Map_Tables!$G$4:$G$37,0)),""),IFERROR(INDEX(Map_Tables!$B$4:$B$18,MATCH(TRIM(F822),Map_Tables!$A$4:$A$18,0)),"CHECK"))</f>
        <v>Chennai</v>
      </c>
      <c r="AE822" s="7" t="str">
        <f aca="false">IF(TRIM(E822)="","",IFERROR(INDEX(Map_Tables!$H$4:$H$37,MATCH(TRIM(E822),Map_Tables!$G$4:$G$37,0)),"CHECK"))</f>
        <v>Filter Coffee &amp; Tiffin</v>
      </c>
      <c r="AF822" s="7" t="str">
        <f aca="false">IF(TRIM(K822)="","Unknown",IFERROR(INDEX(Map_Tables!$E$4:$E$15,MATCH(TRIM(K822),Map_Tables!$D$4:$D$15,0)),"CHECK"))</f>
        <v>Credit Card</v>
      </c>
      <c r="AG822" s="7" t="str">
        <f aca="false">IF(LEFT(LOWER(TRIM(L822)),6)="cancel","Cancelled","Delivered")</f>
        <v>Cancelled</v>
      </c>
      <c r="AH822" s="10" t="n">
        <f aca="false">IF(ISNUMBER(SEARCH("/",B822)),DATE(VALUE(RIGHT(B822,4)),VALUE(MID(B822,4,2)),VALUE(LEFT(B822,2))),IF(MID(B822,5,1)="-",DATE(VALUE(LEFT(B822,4)),VALUE(MID(B822,6,2)),VALUE(RIGHT(B822,2))),DATE(VALUE(RIGHT(B822,4)),MATCH(MID(B822,4,3),{"Jan","Feb","Mar","Apr","May","Jun","Jul","Aug","Sep","Oct","Nov","Dec"},0),VALUE(LEFT(B822,2)))))</f>
        <v>45904</v>
      </c>
    </row>
    <row r="823" customFormat="false" ht="15" hidden="false" customHeight="false" outlineLevel="0" collapsed="false">
      <c r="A823" s="7" t="s">
        <v>2645</v>
      </c>
      <c r="B823" s="7" t="s">
        <v>2646</v>
      </c>
      <c r="C823" s="7" t="s">
        <v>1456</v>
      </c>
      <c r="D823" s="7" t="s">
        <v>219</v>
      </c>
      <c r="E823" s="7" t="s">
        <v>138</v>
      </c>
      <c r="F823" s="7" t="s">
        <v>110</v>
      </c>
      <c r="G823" s="7" t="s">
        <v>139</v>
      </c>
      <c r="H823" s="7" t="n">
        <v>1</v>
      </c>
      <c r="I823" s="7" t="n">
        <v>205</v>
      </c>
      <c r="J823" s="7" t="n">
        <v>20</v>
      </c>
      <c r="K823" s="7" t="s">
        <v>88</v>
      </c>
      <c r="L823" s="7" t="s">
        <v>194</v>
      </c>
      <c r="M823" s="7" t="n">
        <v>30</v>
      </c>
      <c r="N823" s="7" t="n">
        <v>4</v>
      </c>
      <c r="O823" s="7" t="str">
        <f aca="false">A823&amp;"|"&amp;B823&amp;"|"&amp;C823&amp;"|"&amp;D823&amp;"|"&amp;E823&amp;"|"&amp;F823&amp;"|"&amp;G823&amp;"|"&amp;H823&amp;"|"&amp;I823&amp;"|"&amp;J823&amp;"|"&amp;K823&amp;"|"&amp;L823&amp;"|"&amp;M823&amp;"|"&amp;N823</f>
        <v>ORD10377|19/02/2025|18:30|C1006|Burger Barn|Delhi|Burgers|1|205|20|UPI|Delivered|30|4</v>
      </c>
      <c r="P823" s="7" t="str">
        <f aca="false">IF(COUNTIF($O$2:O823,O823)&gt;1,"DUP","OK")</f>
        <v>OK</v>
      </c>
      <c r="Q823" s="7" t="n">
        <f aca="false">COUNTBLANK(A823:N823)</f>
        <v>0</v>
      </c>
      <c r="R823" s="7" t="n">
        <f aca="false">IF(A823="",0,COUNTIFS($A$2:$A$3058,A823,$P$2:$P$3058,"OK"))</f>
        <v>1</v>
      </c>
      <c r="S823" s="7" t="str">
        <f aca="false">IF(OR(A823="",P823="DUP",R823&lt;2),"",IF(Q823=_xlfn.MINIFS($Q$2:$Q$3058,$A$2:$A$3058,A823,$P$2:$P$3058,"OK"),"KEEP","DROP"))</f>
        <v/>
      </c>
      <c r="T823" s="9" t="n">
        <f aca="false">IF(A823="",1,0)</f>
        <v>0</v>
      </c>
      <c r="U823" s="9" t="n">
        <f aca="false">IF(D823="",1,0)</f>
        <v>0</v>
      </c>
      <c r="V823" s="9" t="n">
        <f aca="false">IF(E823="",1,0)</f>
        <v>0</v>
      </c>
      <c r="W823" s="9" t="n">
        <f aca="false">IF(OR(H823&lt;1,H823&gt;10),1,0)</f>
        <v>0</v>
      </c>
      <c r="X823" s="9" t="n">
        <f aca="false">IF(OR(I823&lt;=0,I823&gt;1500),1,0)</f>
        <v>0</v>
      </c>
      <c r="Y823" s="9" t="n">
        <f aca="false">IF(J823&gt;H823*I823,1,0)</f>
        <v>0</v>
      </c>
      <c r="Z823" s="9" t="n">
        <f aca="false">IF(AND(N823&lt;&gt;"",OR(N823&lt;1,N823&gt;5)),1,0)</f>
        <v>0</v>
      </c>
      <c r="AA823" s="9" t="n">
        <f aca="false">IF(AND(M823&lt;&gt;"",OR(M823&lt;5,M823&gt;180)),1,0)</f>
        <v>0</v>
      </c>
      <c r="AB823" s="7" t="str">
        <f aca="false">IF(P823="DUP","Exact duplicate row",IF(T823=1,"Missing Order ID",IF(S823="DROP","Duplicate Order ID (less complete row)",IF(U823=1,"Missing Customer ID",IF(V823=1,"Missing Restaurant name",IF(W823=1,"Invalid/outlier quantity",IF(X823=1,"Invalid/outlier unit price",IF(Y823=1,"Discount greater than order value",""))))))))</f>
        <v/>
      </c>
      <c r="AC823" s="7" t="str">
        <f aca="false">IF(AB823="","KEEP","DROP")</f>
        <v>KEEP</v>
      </c>
      <c r="AD823" s="7" t="str">
        <f aca="false">IF(TRIM(F823)="",IFERROR(INDEX(Map_Tables!$I$4:$I$37,MATCH(TRIM(E823),Map_Tables!$G$4:$G$37,0)),""),IFERROR(INDEX(Map_Tables!$B$4:$B$18,MATCH(TRIM(F823),Map_Tables!$A$4:$A$18,0)),"CHECK"))</f>
        <v>Delhi</v>
      </c>
      <c r="AE823" s="7" t="str">
        <f aca="false">IF(TRIM(E823)="","",IFERROR(INDEX(Map_Tables!$H$4:$H$37,MATCH(TRIM(E823),Map_Tables!$G$4:$G$37,0)),"CHECK"))</f>
        <v>Burger Barn</v>
      </c>
      <c r="AF823" s="7" t="str">
        <f aca="false">IF(TRIM(K823)="","Unknown",IFERROR(INDEX(Map_Tables!$E$4:$E$15,MATCH(TRIM(K823),Map_Tables!$D$4:$D$15,0)),"CHECK"))</f>
        <v>UPI</v>
      </c>
      <c r="AG823" s="7" t="str">
        <f aca="false">IF(LEFT(LOWER(TRIM(L823)),6)="cancel","Cancelled","Delivered")</f>
        <v>Delivered</v>
      </c>
      <c r="AH823" s="10" t="n">
        <f aca="false">IF(ISNUMBER(SEARCH("/",B823)),DATE(VALUE(RIGHT(B823,4)),VALUE(MID(B823,4,2)),VALUE(LEFT(B823,2))),IF(MID(B823,5,1)="-",DATE(VALUE(LEFT(B823,4)),VALUE(MID(B823,6,2)),VALUE(RIGHT(B823,2))),DATE(VALUE(RIGHT(B823,4)),MATCH(MID(B823,4,3),{"Jan","Feb","Mar","Apr","May","Jun","Jul","Aug","Sep","Oct","Nov","Dec"},0),VALUE(LEFT(B823,2)))))</f>
        <v>45707</v>
      </c>
    </row>
    <row r="824" customFormat="false" ht="15" hidden="false" customHeight="false" outlineLevel="0" collapsed="false">
      <c r="A824" s="7" t="s">
        <v>2647</v>
      </c>
      <c r="B824" s="7" t="s">
        <v>2224</v>
      </c>
      <c r="C824" s="7" t="s">
        <v>1749</v>
      </c>
      <c r="D824" s="7" t="s">
        <v>2648</v>
      </c>
      <c r="E824" s="7" t="s">
        <v>138</v>
      </c>
      <c r="F824" s="7" t="s">
        <v>110</v>
      </c>
      <c r="G824" s="7" t="s">
        <v>139</v>
      </c>
      <c r="H824" s="7" t="n">
        <v>3</v>
      </c>
      <c r="I824" s="7" t="n">
        <v>160</v>
      </c>
      <c r="J824" s="7" t="n">
        <v>0</v>
      </c>
      <c r="K824" s="7" t="s">
        <v>88</v>
      </c>
      <c r="L824" s="7" t="s">
        <v>194</v>
      </c>
      <c r="M824" s="7" t="n">
        <v>38</v>
      </c>
      <c r="N824" s="7" t="n">
        <v>5</v>
      </c>
      <c r="O824" s="7" t="str">
        <f aca="false">A824&amp;"|"&amp;B824&amp;"|"&amp;C824&amp;"|"&amp;D824&amp;"|"&amp;E824&amp;"|"&amp;F824&amp;"|"&amp;G824&amp;"|"&amp;H824&amp;"|"&amp;I824&amp;"|"&amp;J824&amp;"|"&amp;K824&amp;"|"&amp;L824&amp;"|"&amp;M824&amp;"|"&amp;N824</f>
        <v>ORD11226|05/06/2025|14:44|C0461|Burger Barn|Delhi|Burgers|3|160|0|UPI|Delivered|38|5</v>
      </c>
      <c r="P824" s="7" t="str">
        <f aca="false">IF(COUNTIF($O$2:O824,O824)&gt;1,"DUP","OK")</f>
        <v>OK</v>
      </c>
      <c r="Q824" s="7" t="n">
        <f aca="false">COUNTBLANK(A824:N824)</f>
        <v>0</v>
      </c>
      <c r="R824" s="7" t="n">
        <f aca="false">IF(A824="",0,COUNTIFS($A$2:$A$3058,A824,$P$2:$P$3058,"OK"))</f>
        <v>1</v>
      </c>
      <c r="S824" s="7" t="str">
        <f aca="false">IF(OR(A824="",P824="DUP",R824&lt;2),"",IF(Q824=_xlfn.MINIFS($Q$2:$Q$3058,$A$2:$A$3058,A824,$P$2:$P$3058,"OK"),"KEEP","DROP"))</f>
        <v/>
      </c>
      <c r="T824" s="9" t="n">
        <f aca="false">IF(A824="",1,0)</f>
        <v>0</v>
      </c>
      <c r="U824" s="9" t="n">
        <f aca="false">IF(D824="",1,0)</f>
        <v>0</v>
      </c>
      <c r="V824" s="9" t="n">
        <f aca="false">IF(E824="",1,0)</f>
        <v>0</v>
      </c>
      <c r="W824" s="9" t="n">
        <f aca="false">IF(OR(H824&lt;1,H824&gt;10),1,0)</f>
        <v>0</v>
      </c>
      <c r="X824" s="9" t="n">
        <f aca="false">IF(OR(I824&lt;=0,I824&gt;1500),1,0)</f>
        <v>0</v>
      </c>
      <c r="Y824" s="9" t="n">
        <f aca="false">IF(J824&gt;H824*I824,1,0)</f>
        <v>0</v>
      </c>
      <c r="Z824" s="9" t="n">
        <f aca="false">IF(AND(N824&lt;&gt;"",OR(N824&lt;1,N824&gt;5)),1,0)</f>
        <v>0</v>
      </c>
      <c r="AA824" s="9" t="n">
        <f aca="false">IF(AND(M824&lt;&gt;"",OR(M824&lt;5,M824&gt;180)),1,0)</f>
        <v>0</v>
      </c>
      <c r="AB824" s="7" t="str">
        <f aca="false">IF(P824="DUP","Exact duplicate row",IF(T824=1,"Missing Order ID",IF(S824="DROP","Duplicate Order ID (less complete row)",IF(U824=1,"Missing Customer ID",IF(V824=1,"Missing Restaurant name",IF(W824=1,"Invalid/outlier quantity",IF(X824=1,"Invalid/outlier unit price",IF(Y824=1,"Discount greater than order value",""))))))))</f>
        <v/>
      </c>
      <c r="AC824" s="7" t="str">
        <f aca="false">IF(AB824="","KEEP","DROP")</f>
        <v>KEEP</v>
      </c>
      <c r="AD824" s="7" t="str">
        <f aca="false">IF(TRIM(F824)="",IFERROR(INDEX(Map_Tables!$I$4:$I$37,MATCH(TRIM(E824),Map_Tables!$G$4:$G$37,0)),""),IFERROR(INDEX(Map_Tables!$B$4:$B$18,MATCH(TRIM(F824),Map_Tables!$A$4:$A$18,0)),"CHECK"))</f>
        <v>Delhi</v>
      </c>
      <c r="AE824" s="7" t="str">
        <f aca="false">IF(TRIM(E824)="","",IFERROR(INDEX(Map_Tables!$H$4:$H$37,MATCH(TRIM(E824),Map_Tables!$G$4:$G$37,0)),"CHECK"))</f>
        <v>Burger Barn</v>
      </c>
      <c r="AF824" s="7" t="str">
        <f aca="false">IF(TRIM(K824)="","Unknown",IFERROR(INDEX(Map_Tables!$E$4:$E$15,MATCH(TRIM(K824),Map_Tables!$D$4:$D$15,0)),"CHECK"))</f>
        <v>UPI</v>
      </c>
      <c r="AG824" s="7" t="str">
        <f aca="false">IF(LEFT(LOWER(TRIM(L824)),6)="cancel","Cancelled","Delivered")</f>
        <v>Delivered</v>
      </c>
      <c r="AH824" s="10" t="n">
        <f aca="false">IF(ISNUMBER(SEARCH("/",B824)),DATE(VALUE(RIGHT(B824,4)),VALUE(MID(B824,4,2)),VALUE(LEFT(B824,2))),IF(MID(B824,5,1)="-",DATE(VALUE(LEFT(B824,4)),VALUE(MID(B824,6,2)),VALUE(RIGHT(B824,2))),DATE(VALUE(RIGHT(B824,4)),MATCH(MID(B824,4,3),{"Jan","Feb","Mar","Apr","May","Jun","Jul","Aug","Sep","Oct","Nov","Dec"},0),VALUE(LEFT(B824,2)))))</f>
        <v>45813</v>
      </c>
    </row>
    <row r="825" customFormat="false" ht="15" hidden="false" customHeight="false" outlineLevel="0" collapsed="false">
      <c r="A825" s="7" t="s">
        <v>2649</v>
      </c>
      <c r="B825" s="7" t="s">
        <v>1919</v>
      </c>
      <c r="C825" s="7" t="s">
        <v>606</v>
      </c>
      <c r="D825" s="7" t="s">
        <v>2241</v>
      </c>
      <c r="E825" s="7" t="s">
        <v>94</v>
      </c>
      <c r="F825" s="7" t="s">
        <v>86</v>
      </c>
      <c r="G825" s="7" t="s">
        <v>95</v>
      </c>
      <c r="H825" s="7" t="n">
        <v>1</v>
      </c>
      <c r="I825" s="7" t="n">
        <v>95</v>
      </c>
      <c r="J825" s="7" t="n">
        <v>0</v>
      </c>
      <c r="K825" s="7" t="s">
        <v>112</v>
      </c>
      <c r="L825" s="7" t="s">
        <v>194</v>
      </c>
      <c r="M825" s="7" t="n">
        <v>37</v>
      </c>
      <c r="N825" s="7" t="n">
        <v>3</v>
      </c>
      <c r="O825" s="7" t="str">
        <f aca="false">A825&amp;"|"&amp;B825&amp;"|"&amp;C825&amp;"|"&amp;D825&amp;"|"&amp;E825&amp;"|"&amp;F825&amp;"|"&amp;G825&amp;"|"&amp;H825&amp;"|"&amp;I825&amp;"|"&amp;J825&amp;"|"&amp;K825&amp;"|"&amp;L825&amp;"|"&amp;M825&amp;"|"&amp;N825</f>
        <v>ORD10264|2025-02-05|11:12|C0162|Dosa Darbar|Bengaluru|South Indian|1|95|0|Cash on Delivery|Delivered|37|3</v>
      </c>
      <c r="P825" s="7" t="str">
        <f aca="false">IF(COUNTIF($O$2:O825,O825)&gt;1,"DUP","OK")</f>
        <v>OK</v>
      </c>
      <c r="Q825" s="7" t="n">
        <f aca="false">COUNTBLANK(A825:N825)</f>
        <v>0</v>
      </c>
      <c r="R825" s="7" t="n">
        <f aca="false">IF(A825="",0,COUNTIFS($A$2:$A$3058,A825,$P$2:$P$3058,"OK"))</f>
        <v>1</v>
      </c>
      <c r="S825" s="7" t="str">
        <f aca="false">IF(OR(A825="",P825="DUP",R825&lt;2),"",IF(Q825=_xlfn.MINIFS($Q$2:$Q$3058,$A$2:$A$3058,A825,$P$2:$P$3058,"OK"),"KEEP","DROP"))</f>
        <v/>
      </c>
      <c r="T825" s="9" t="n">
        <f aca="false">IF(A825="",1,0)</f>
        <v>0</v>
      </c>
      <c r="U825" s="9" t="n">
        <f aca="false">IF(D825="",1,0)</f>
        <v>0</v>
      </c>
      <c r="V825" s="9" t="n">
        <f aca="false">IF(E825="",1,0)</f>
        <v>0</v>
      </c>
      <c r="W825" s="9" t="n">
        <f aca="false">IF(OR(H825&lt;1,H825&gt;10),1,0)</f>
        <v>0</v>
      </c>
      <c r="X825" s="9" t="n">
        <f aca="false">IF(OR(I825&lt;=0,I825&gt;1500),1,0)</f>
        <v>0</v>
      </c>
      <c r="Y825" s="9" t="n">
        <f aca="false">IF(J825&gt;H825*I825,1,0)</f>
        <v>0</v>
      </c>
      <c r="Z825" s="9" t="n">
        <f aca="false">IF(AND(N825&lt;&gt;"",OR(N825&lt;1,N825&gt;5)),1,0)</f>
        <v>0</v>
      </c>
      <c r="AA825" s="9" t="n">
        <f aca="false">IF(AND(M825&lt;&gt;"",OR(M825&lt;5,M825&gt;180)),1,0)</f>
        <v>0</v>
      </c>
      <c r="AB825" s="7" t="str">
        <f aca="false">IF(P825="DUP","Exact duplicate row",IF(T825=1,"Missing Order ID",IF(S825="DROP","Duplicate Order ID (less complete row)",IF(U825=1,"Missing Customer ID",IF(V825=1,"Missing Restaurant name",IF(W825=1,"Invalid/outlier quantity",IF(X825=1,"Invalid/outlier unit price",IF(Y825=1,"Discount greater than order value",""))))))))</f>
        <v/>
      </c>
      <c r="AC825" s="7" t="str">
        <f aca="false">IF(AB825="","KEEP","DROP")</f>
        <v>KEEP</v>
      </c>
      <c r="AD825" s="7" t="str">
        <f aca="false">IF(TRIM(F825)="",IFERROR(INDEX(Map_Tables!$I$4:$I$37,MATCH(TRIM(E825),Map_Tables!$G$4:$G$37,0)),""),IFERROR(INDEX(Map_Tables!$B$4:$B$18,MATCH(TRIM(F825),Map_Tables!$A$4:$A$18,0)),"CHECK"))</f>
        <v>Bengaluru</v>
      </c>
      <c r="AE825" s="7" t="str">
        <f aca="false">IF(TRIM(E825)="","",IFERROR(INDEX(Map_Tables!$H$4:$H$37,MATCH(TRIM(E825),Map_Tables!$G$4:$G$37,0)),"CHECK"))</f>
        <v>Dosa Darbar</v>
      </c>
      <c r="AF825" s="7" t="str">
        <f aca="false">IF(TRIM(K825)="","Unknown",IFERROR(INDEX(Map_Tables!$E$4:$E$15,MATCH(TRIM(K825),Map_Tables!$D$4:$D$15,0)),"CHECK"))</f>
        <v>Cash on Delivery</v>
      </c>
      <c r="AG825" s="7" t="str">
        <f aca="false">IF(LEFT(LOWER(TRIM(L825)),6)="cancel","Cancelled","Delivered")</f>
        <v>Delivered</v>
      </c>
      <c r="AH825" s="10" t="n">
        <f aca="false">IF(ISNUMBER(SEARCH("/",B825)),DATE(VALUE(RIGHT(B825,4)),VALUE(MID(B825,4,2)),VALUE(LEFT(B825,2))),IF(MID(B825,5,1)="-",DATE(VALUE(LEFT(B825,4)),VALUE(MID(B825,6,2)),VALUE(RIGHT(B825,2))),DATE(VALUE(RIGHT(B825,4)),MATCH(MID(B825,4,3),{"Jan","Feb","Mar","Apr","May","Jun","Jul","Aug","Sep","Oct","Nov","Dec"},0),VALUE(LEFT(B825,2)))))</f>
        <v>45693</v>
      </c>
    </row>
    <row r="826" customFormat="false" ht="15" hidden="false" customHeight="false" outlineLevel="0" collapsed="false">
      <c r="A826" s="7" t="s">
        <v>2650</v>
      </c>
      <c r="B826" s="7" t="s">
        <v>984</v>
      </c>
      <c r="C826" s="7" t="s">
        <v>1478</v>
      </c>
      <c r="D826" s="7" t="s">
        <v>2651</v>
      </c>
      <c r="E826" s="7" t="s">
        <v>144</v>
      </c>
      <c r="F826" s="7" t="s">
        <v>119</v>
      </c>
      <c r="G826" s="7" t="s">
        <v>99</v>
      </c>
      <c r="H826" s="7" t="n">
        <v>1</v>
      </c>
      <c r="I826" s="7" t="n">
        <v>285</v>
      </c>
      <c r="J826" s="7" t="n">
        <v>0</v>
      </c>
      <c r="K826" s="7" t="s">
        <v>1739</v>
      </c>
      <c r="L826" s="7" t="s">
        <v>194</v>
      </c>
      <c r="M826" s="7" t="n">
        <v>35</v>
      </c>
      <c r="N826" s="7"/>
      <c r="O826" s="7" t="str">
        <f aca="false">A826&amp;"|"&amp;B826&amp;"|"&amp;C826&amp;"|"&amp;D826&amp;"|"&amp;E826&amp;"|"&amp;F826&amp;"|"&amp;G826&amp;"|"&amp;H826&amp;"|"&amp;I826&amp;"|"&amp;J826&amp;"|"&amp;K826&amp;"|"&amp;L826&amp;"|"&amp;M826&amp;"|"&amp;N826</f>
        <v>ORD10616|2025-03-19|13:16|C0402|Hyderabad Dum Biryani|Hyderabad|Biryani|1|285|0|CC|Delivered|35|</v>
      </c>
      <c r="P826" s="7" t="str">
        <f aca="false">IF(COUNTIF($O$2:O826,O826)&gt;1,"DUP","OK")</f>
        <v>OK</v>
      </c>
      <c r="Q826" s="7" t="n">
        <f aca="false">COUNTBLANK(A826:N826)</f>
        <v>1</v>
      </c>
      <c r="R826" s="7" t="n">
        <f aca="false">IF(A826="",0,COUNTIFS($A$2:$A$3058,A826,$P$2:$P$3058,"OK"))</f>
        <v>2</v>
      </c>
      <c r="S826" s="7" t="str">
        <f aca="false">IF(OR(A826="",P826="DUP",R826&lt;2),"",IF(Q826=_xlfn.MINIFS($Q$2:$Q$3058,$A$2:$A$3058,A826,$P$2:$P$3058,"OK"),"KEEP","DROP"))</f>
        <v>DROP</v>
      </c>
      <c r="T826" s="9" t="n">
        <f aca="false">IF(A826="",1,0)</f>
        <v>0</v>
      </c>
      <c r="U826" s="9" t="n">
        <f aca="false">IF(D826="",1,0)</f>
        <v>0</v>
      </c>
      <c r="V826" s="9" t="n">
        <f aca="false">IF(E826="",1,0)</f>
        <v>0</v>
      </c>
      <c r="W826" s="9" t="n">
        <f aca="false">IF(OR(H826&lt;1,H826&gt;10),1,0)</f>
        <v>0</v>
      </c>
      <c r="X826" s="9" t="n">
        <f aca="false">IF(OR(I826&lt;=0,I826&gt;1500),1,0)</f>
        <v>0</v>
      </c>
      <c r="Y826" s="9" t="n">
        <f aca="false">IF(J826&gt;H826*I826,1,0)</f>
        <v>0</v>
      </c>
      <c r="Z826" s="9" t="n">
        <f aca="false">IF(AND(N826&lt;&gt;"",OR(N826&lt;1,N826&gt;5)),1,0)</f>
        <v>0</v>
      </c>
      <c r="AA826" s="9" t="n">
        <f aca="false">IF(AND(M826&lt;&gt;"",OR(M826&lt;5,M826&gt;180)),1,0)</f>
        <v>0</v>
      </c>
      <c r="AB826" s="7" t="str">
        <f aca="false">IF(P826="DUP","Exact duplicate row",IF(T826=1,"Missing Order ID",IF(S826="DROP","Duplicate Order ID (less complete row)",IF(U826=1,"Missing Customer ID",IF(V826=1,"Missing Restaurant name",IF(W826=1,"Invalid/outlier quantity",IF(X826=1,"Invalid/outlier unit price",IF(Y826=1,"Discount greater than order value",""))))))))</f>
        <v>Duplicate Order ID (less complete row)</v>
      </c>
      <c r="AC826" s="7" t="str">
        <f aca="false">IF(AB826="","KEEP","DROP")</f>
        <v>DROP</v>
      </c>
      <c r="AD826" s="7" t="str">
        <f aca="false">IF(TRIM(F826)="",IFERROR(INDEX(Map_Tables!$I$4:$I$37,MATCH(TRIM(E826),Map_Tables!$G$4:$G$37,0)),""),IFERROR(INDEX(Map_Tables!$B$4:$B$18,MATCH(TRIM(F826),Map_Tables!$A$4:$A$18,0)),"CHECK"))</f>
        <v>Hyderabad</v>
      </c>
      <c r="AE826" s="7" t="str">
        <f aca="false">IF(TRIM(E826)="","",IFERROR(INDEX(Map_Tables!$H$4:$H$37,MATCH(TRIM(E826),Map_Tables!$G$4:$G$37,0)),"CHECK"))</f>
        <v>Hyderabad Dum Biryani</v>
      </c>
      <c r="AF826" s="7" t="str">
        <f aca="false">IF(TRIM(K826)="","Unknown",IFERROR(INDEX(Map_Tables!$E$4:$E$15,MATCH(TRIM(K826),Map_Tables!$D$4:$D$15,0)),"CHECK"))</f>
        <v>Credit Card</v>
      </c>
      <c r="AG826" s="7" t="str">
        <f aca="false">IF(LEFT(LOWER(TRIM(L826)),6)="cancel","Cancelled","Delivered")</f>
        <v>Delivered</v>
      </c>
      <c r="AH826" s="10" t="n">
        <f aca="false">IF(ISNUMBER(SEARCH("/",B826)),DATE(VALUE(RIGHT(B826,4)),VALUE(MID(B826,4,2)),VALUE(LEFT(B826,2))),IF(MID(B826,5,1)="-",DATE(VALUE(LEFT(B826,4)),VALUE(MID(B826,6,2)),VALUE(RIGHT(B826,2))),DATE(VALUE(RIGHT(B826,4)),MATCH(MID(B826,4,3),{"Jan","Feb","Mar","Apr","May","Jun","Jul","Aug","Sep","Oct","Nov","Dec"},0),VALUE(LEFT(B826,2)))))</f>
        <v>45735</v>
      </c>
    </row>
    <row r="827" customFormat="false" ht="15" hidden="false" customHeight="false" outlineLevel="0" collapsed="false">
      <c r="A827" s="7" t="s">
        <v>2652</v>
      </c>
      <c r="B827" s="7" t="s">
        <v>2653</v>
      </c>
      <c r="C827" s="7" t="s">
        <v>2654</v>
      </c>
      <c r="D827" s="7" t="s">
        <v>2464</v>
      </c>
      <c r="E827" s="7" t="s">
        <v>142</v>
      </c>
      <c r="F827" s="7" t="s">
        <v>110</v>
      </c>
      <c r="G827" s="7" t="s">
        <v>105</v>
      </c>
      <c r="H827" s="7" t="n">
        <v>3</v>
      </c>
      <c r="I827" s="7" t="n">
        <v>170</v>
      </c>
      <c r="J827" s="7" t="n">
        <v>150</v>
      </c>
      <c r="K827" s="7" t="s">
        <v>93</v>
      </c>
      <c r="L827" s="7" t="s">
        <v>194</v>
      </c>
      <c r="M827" s="7" t="n">
        <v>41</v>
      </c>
      <c r="N827" s="7" t="n">
        <v>5</v>
      </c>
      <c r="O827" s="7" t="str">
        <f aca="false">A827&amp;"|"&amp;B827&amp;"|"&amp;C827&amp;"|"&amp;D827&amp;"|"&amp;E827&amp;"|"&amp;F827&amp;"|"&amp;G827&amp;"|"&amp;H827&amp;"|"&amp;I827&amp;"|"&amp;J827&amp;"|"&amp;K827&amp;"|"&amp;L827&amp;"|"&amp;M827&amp;"|"&amp;N827</f>
        <v>ORD10504|07-Mar-2025|17:43|C0301|Momo Magic|Delhi|Chinese|3|170|150|Credit Card|Delivered|41|5</v>
      </c>
      <c r="P827" s="7" t="str">
        <f aca="false">IF(COUNTIF($O$2:O827,O827)&gt;1,"DUP","OK")</f>
        <v>OK</v>
      </c>
      <c r="Q827" s="7" t="n">
        <f aca="false">COUNTBLANK(A827:N827)</f>
        <v>0</v>
      </c>
      <c r="R827" s="7" t="n">
        <f aca="false">IF(A827="",0,COUNTIFS($A$2:$A$3058,A827,$P$2:$P$3058,"OK"))</f>
        <v>1</v>
      </c>
      <c r="S827" s="7" t="str">
        <f aca="false">IF(OR(A827="",P827="DUP",R827&lt;2),"",IF(Q827=_xlfn.MINIFS($Q$2:$Q$3058,$A$2:$A$3058,A827,$P$2:$P$3058,"OK"),"KEEP","DROP"))</f>
        <v/>
      </c>
      <c r="T827" s="9" t="n">
        <f aca="false">IF(A827="",1,0)</f>
        <v>0</v>
      </c>
      <c r="U827" s="9" t="n">
        <f aca="false">IF(D827="",1,0)</f>
        <v>0</v>
      </c>
      <c r="V827" s="9" t="n">
        <f aca="false">IF(E827="",1,0)</f>
        <v>0</v>
      </c>
      <c r="W827" s="9" t="n">
        <f aca="false">IF(OR(H827&lt;1,H827&gt;10),1,0)</f>
        <v>0</v>
      </c>
      <c r="X827" s="9" t="n">
        <f aca="false">IF(OR(I827&lt;=0,I827&gt;1500),1,0)</f>
        <v>0</v>
      </c>
      <c r="Y827" s="9" t="n">
        <f aca="false">IF(J827&gt;H827*I827,1,0)</f>
        <v>0</v>
      </c>
      <c r="Z827" s="9" t="n">
        <f aca="false">IF(AND(N827&lt;&gt;"",OR(N827&lt;1,N827&gt;5)),1,0)</f>
        <v>0</v>
      </c>
      <c r="AA827" s="9" t="n">
        <f aca="false">IF(AND(M827&lt;&gt;"",OR(M827&lt;5,M827&gt;180)),1,0)</f>
        <v>0</v>
      </c>
      <c r="AB827" s="7" t="str">
        <f aca="false">IF(P827="DUP","Exact duplicate row",IF(T827=1,"Missing Order ID",IF(S827="DROP","Duplicate Order ID (less complete row)",IF(U827=1,"Missing Customer ID",IF(V827=1,"Missing Restaurant name",IF(W827=1,"Invalid/outlier quantity",IF(X827=1,"Invalid/outlier unit price",IF(Y827=1,"Discount greater than order value",""))))))))</f>
        <v/>
      </c>
      <c r="AC827" s="7" t="str">
        <f aca="false">IF(AB827="","KEEP","DROP")</f>
        <v>KEEP</v>
      </c>
      <c r="AD827" s="7" t="str">
        <f aca="false">IF(TRIM(F827)="",IFERROR(INDEX(Map_Tables!$I$4:$I$37,MATCH(TRIM(E827),Map_Tables!$G$4:$G$37,0)),""),IFERROR(INDEX(Map_Tables!$B$4:$B$18,MATCH(TRIM(F827),Map_Tables!$A$4:$A$18,0)),"CHECK"))</f>
        <v>Delhi</v>
      </c>
      <c r="AE827" s="7" t="str">
        <f aca="false">IF(TRIM(E827)="","",IFERROR(INDEX(Map_Tables!$H$4:$H$37,MATCH(TRIM(E827),Map_Tables!$G$4:$G$37,0)),"CHECK"))</f>
        <v>Momo Magic</v>
      </c>
      <c r="AF827" s="7" t="str">
        <f aca="false">IF(TRIM(K827)="","Unknown",IFERROR(INDEX(Map_Tables!$E$4:$E$15,MATCH(TRIM(K827),Map_Tables!$D$4:$D$15,0)),"CHECK"))</f>
        <v>Credit Card</v>
      </c>
      <c r="AG827" s="7" t="str">
        <f aca="false">IF(LEFT(LOWER(TRIM(L827)),6)="cancel","Cancelled","Delivered")</f>
        <v>Delivered</v>
      </c>
      <c r="AH827" s="10" t="n">
        <f aca="false">IF(ISNUMBER(SEARCH("/",B827)),DATE(VALUE(RIGHT(B827,4)),VALUE(MID(B827,4,2)),VALUE(LEFT(B827,2))),IF(MID(B827,5,1)="-",DATE(VALUE(LEFT(B827,4)),VALUE(MID(B827,6,2)),VALUE(RIGHT(B827,2))),DATE(VALUE(RIGHT(B827,4)),MATCH(MID(B827,4,3),{"Jan","Feb","Mar","Apr","May","Jun","Jul","Aug","Sep","Oct","Nov","Dec"},0),VALUE(LEFT(B827,2)))))</f>
        <v>45723</v>
      </c>
    </row>
    <row r="828" customFormat="false" ht="15" hidden="false" customHeight="false" outlineLevel="0" collapsed="false">
      <c r="A828" s="7" t="s">
        <v>2655</v>
      </c>
      <c r="B828" s="7" t="s">
        <v>1714</v>
      </c>
      <c r="C828" s="7" t="s">
        <v>1795</v>
      </c>
      <c r="D828" s="7" t="s">
        <v>2256</v>
      </c>
      <c r="E828" s="7" t="s">
        <v>147</v>
      </c>
      <c r="F828" s="7" t="s">
        <v>119</v>
      </c>
      <c r="G828" s="7" t="s">
        <v>95</v>
      </c>
      <c r="H828" s="7" t="n">
        <v>1</v>
      </c>
      <c r="I828" s="7" t="n">
        <v>160</v>
      </c>
      <c r="J828" s="7" t="n">
        <v>0</v>
      </c>
      <c r="K828" s="7"/>
      <c r="L828" s="7" t="s">
        <v>194</v>
      </c>
      <c r="M828" s="7" t="n">
        <v>31</v>
      </c>
      <c r="N828" s="7"/>
      <c r="O828" s="7" t="str">
        <f aca="false">A828&amp;"|"&amp;B828&amp;"|"&amp;C828&amp;"|"&amp;D828&amp;"|"&amp;E828&amp;"|"&amp;F828&amp;"|"&amp;G828&amp;"|"&amp;H828&amp;"|"&amp;I828&amp;"|"&amp;J828&amp;"|"&amp;K828&amp;"|"&amp;L828&amp;"|"&amp;M828&amp;"|"&amp;N828</f>
        <v>ORD10058|2025-01-09|12:33|C1066|Andhra Meals Mess|Hyderabad|South Indian|1|160|0||Delivered|31|</v>
      </c>
      <c r="P828" s="7" t="str">
        <f aca="false">IF(COUNTIF($O$2:O828,O828)&gt;1,"DUP","OK")</f>
        <v>OK</v>
      </c>
      <c r="Q828" s="7" t="n">
        <f aca="false">COUNTBLANK(A828:N828)</f>
        <v>2</v>
      </c>
      <c r="R828" s="7" t="n">
        <f aca="false">IF(A828="",0,COUNTIFS($A$2:$A$3058,A828,$P$2:$P$3058,"OK"))</f>
        <v>1</v>
      </c>
      <c r="S828" s="7" t="str">
        <f aca="false">IF(OR(A828="",P828="DUP",R828&lt;2),"",IF(Q828=_xlfn.MINIFS($Q$2:$Q$3058,$A$2:$A$3058,A828,$P$2:$P$3058,"OK"),"KEEP","DROP"))</f>
        <v/>
      </c>
      <c r="T828" s="9" t="n">
        <f aca="false">IF(A828="",1,0)</f>
        <v>0</v>
      </c>
      <c r="U828" s="9" t="n">
        <f aca="false">IF(D828="",1,0)</f>
        <v>0</v>
      </c>
      <c r="V828" s="9" t="n">
        <f aca="false">IF(E828="",1,0)</f>
        <v>0</v>
      </c>
      <c r="W828" s="9" t="n">
        <f aca="false">IF(OR(H828&lt;1,H828&gt;10),1,0)</f>
        <v>0</v>
      </c>
      <c r="X828" s="9" t="n">
        <f aca="false">IF(OR(I828&lt;=0,I828&gt;1500),1,0)</f>
        <v>0</v>
      </c>
      <c r="Y828" s="9" t="n">
        <f aca="false">IF(J828&gt;H828*I828,1,0)</f>
        <v>0</v>
      </c>
      <c r="Z828" s="9" t="n">
        <f aca="false">IF(AND(N828&lt;&gt;"",OR(N828&lt;1,N828&gt;5)),1,0)</f>
        <v>0</v>
      </c>
      <c r="AA828" s="9" t="n">
        <f aca="false">IF(AND(M828&lt;&gt;"",OR(M828&lt;5,M828&gt;180)),1,0)</f>
        <v>0</v>
      </c>
      <c r="AB828" s="7" t="str">
        <f aca="false">IF(P828="DUP","Exact duplicate row",IF(T828=1,"Missing Order ID",IF(S828="DROP","Duplicate Order ID (less complete row)",IF(U828=1,"Missing Customer ID",IF(V828=1,"Missing Restaurant name",IF(W828=1,"Invalid/outlier quantity",IF(X828=1,"Invalid/outlier unit price",IF(Y828=1,"Discount greater than order value",""))))))))</f>
        <v/>
      </c>
      <c r="AC828" s="7" t="str">
        <f aca="false">IF(AB828="","KEEP","DROP")</f>
        <v>KEEP</v>
      </c>
      <c r="AD828" s="7" t="str">
        <f aca="false">IF(TRIM(F828)="",IFERROR(INDEX(Map_Tables!$I$4:$I$37,MATCH(TRIM(E828),Map_Tables!$G$4:$G$37,0)),""),IFERROR(INDEX(Map_Tables!$B$4:$B$18,MATCH(TRIM(F828),Map_Tables!$A$4:$A$18,0)),"CHECK"))</f>
        <v>Hyderabad</v>
      </c>
      <c r="AE828" s="7" t="str">
        <f aca="false">IF(TRIM(E828)="","",IFERROR(INDEX(Map_Tables!$H$4:$H$37,MATCH(TRIM(E828),Map_Tables!$G$4:$G$37,0)),"CHECK"))</f>
        <v>Andhra Meals Mess</v>
      </c>
      <c r="AF828" s="7" t="str">
        <f aca="false">IF(TRIM(K828)="","Unknown",IFERROR(INDEX(Map_Tables!$E$4:$E$15,MATCH(TRIM(K828),Map_Tables!$D$4:$D$15,0)),"CHECK"))</f>
        <v>Unknown</v>
      </c>
      <c r="AG828" s="7" t="str">
        <f aca="false">IF(LEFT(LOWER(TRIM(L828)),6)="cancel","Cancelled","Delivered")</f>
        <v>Delivered</v>
      </c>
      <c r="AH828" s="10" t="n">
        <f aca="false">IF(ISNUMBER(SEARCH("/",B828)),DATE(VALUE(RIGHT(B828,4)),VALUE(MID(B828,4,2)),VALUE(LEFT(B828,2))),IF(MID(B828,5,1)="-",DATE(VALUE(LEFT(B828,4)),VALUE(MID(B828,6,2)),VALUE(RIGHT(B828,2))),DATE(VALUE(RIGHT(B828,4)),MATCH(MID(B828,4,3),{"Jan","Feb","Mar","Apr","May","Jun","Jul","Aug","Sep","Oct","Nov","Dec"},0),VALUE(LEFT(B828,2)))))</f>
        <v>45666</v>
      </c>
    </row>
    <row r="829" customFormat="false" ht="15" hidden="false" customHeight="false" outlineLevel="0" collapsed="false">
      <c r="A829" s="7" t="s">
        <v>2656</v>
      </c>
      <c r="B829" s="7" t="s">
        <v>563</v>
      </c>
      <c r="C829" s="7" t="s">
        <v>2398</v>
      </c>
      <c r="D829" s="7" t="s">
        <v>2657</v>
      </c>
      <c r="E829" s="7" t="s">
        <v>89</v>
      </c>
      <c r="F829" s="7" t="s">
        <v>86</v>
      </c>
      <c r="G829" s="7" t="s">
        <v>90</v>
      </c>
      <c r="H829" s="7" t="n">
        <v>3</v>
      </c>
      <c r="I829" s="7" t="n">
        <v>220</v>
      </c>
      <c r="J829" s="7" t="n">
        <v>150</v>
      </c>
      <c r="K829" s="7" t="s">
        <v>112</v>
      </c>
      <c r="L829" s="7" t="s">
        <v>194</v>
      </c>
      <c r="M829" s="7" t="n">
        <v>60</v>
      </c>
      <c r="N829" s="7" t="n">
        <v>3</v>
      </c>
      <c r="O829" s="7" t="str">
        <f aca="false">A829&amp;"|"&amp;B829&amp;"|"&amp;C829&amp;"|"&amp;D829&amp;"|"&amp;E829&amp;"|"&amp;F829&amp;"|"&amp;G829&amp;"|"&amp;H829&amp;"|"&amp;I829&amp;"|"&amp;J829&amp;"|"&amp;K829&amp;"|"&amp;L829&amp;"|"&amp;M829&amp;"|"&amp;N829</f>
        <v>ORD11775|2025-08-20|12:14|C1214|Spice Junction|Bengaluru|North Indian|3|220|150|Cash on Delivery|Delivered|60|3</v>
      </c>
      <c r="P829" s="7" t="str">
        <f aca="false">IF(COUNTIF($O$2:O829,O829)&gt;1,"DUP","OK")</f>
        <v>OK</v>
      </c>
      <c r="Q829" s="7" t="n">
        <f aca="false">COUNTBLANK(A829:N829)</f>
        <v>0</v>
      </c>
      <c r="R829" s="7" t="n">
        <f aca="false">IF(A829="",0,COUNTIFS($A$2:$A$3058,A829,$P$2:$P$3058,"OK"))</f>
        <v>1</v>
      </c>
      <c r="S829" s="7" t="str">
        <f aca="false">IF(OR(A829="",P829="DUP",R829&lt;2),"",IF(Q829=_xlfn.MINIFS($Q$2:$Q$3058,$A$2:$A$3058,A829,$P$2:$P$3058,"OK"),"KEEP","DROP"))</f>
        <v/>
      </c>
      <c r="T829" s="9" t="n">
        <f aca="false">IF(A829="",1,0)</f>
        <v>0</v>
      </c>
      <c r="U829" s="9" t="n">
        <f aca="false">IF(D829="",1,0)</f>
        <v>0</v>
      </c>
      <c r="V829" s="9" t="n">
        <f aca="false">IF(E829="",1,0)</f>
        <v>0</v>
      </c>
      <c r="W829" s="9" t="n">
        <f aca="false">IF(OR(H829&lt;1,H829&gt;10),1,0)</f>
        <v>0</v>
      </c>
      <c r="X829" s="9" t="n">
        <f aca="false">IF(OR(I829&lt;=0,I829&gt;1500),1,0)</f>
        <v>0</v>
      </c>
      <c r="Y829" s="9" t="n">
        <f aca="false">IF(J829&gt;H829*I829,1,0)</f>
        <v>0</v>
      </c>
      <c r="Z829" s="9" t="n">
        <f aca="false">IF(AND(N829&lt;&gt;"",OR(N829&lt;1,N829&gt;5)),1,0)</f>
        <v>0</v>
      </c>
      <c r="AA829" s="9" t="n">
        <f aca="false">IF(AND(M829&lt;&gt;"",OR(M829&lt;5,M829&gt;180)),1,0)</f>
        <v>0</v>
      </c>
      <c r="AB829" s="7" t="str">
        <f aca="false">IF(P829="DUP","Exact duplicate row",IF(T829=1,"Missing Order ID",IF(S829="DROP","Duplicate Order ID (less complete row)",IF(U829=1,"Missing Customer ID",IF(V829=1,"Missing Restaurant name",IF(W829=1,"Invalid/outlier quantity",IF(X829=1,"Invalid/outlier unit price",IF(Y829=1,"Discount greater than order value",""))))))))</f>
        <v/>
      </c>
      <c r="AC829" s="7" t="str">
        <f aca="false">IF(AB829="","KEEP","DROP")</f>
        <v>KEEP</v>
      </c>
      <c r="AD829" s="7" t="str">
        <f aca="false">IF(TRIM(F829)="",IFERROR(INDEX(Map_Tables!$I$4:$I$37,MATCH(TRIM(E829),Map_Tables!$G$4:$G$37,0)),""),IFERROR(INDEX(Map_Tables!$B$4:$B$18,MATCH(TRIM(F829),Map_Tables!$A$4:$A$18,0)),"CHECK"))</f>
        <v>Bengaluru</v>
      </c>
      <c r="AE829" s="7" t="str">
        <f aca="false">IF(TRIM(E829)="","",IFERROR(INDEX(Map_Tables!$H$4:$H$37,MATCH(TRIM(E829),Map_Tables!$G$4:$G$37,0)),"CHECK"))</f>
        <v>Spice Junction</v>
      </c>
      <c r="AF829" s="7" t="str">
        <f aca="false">IF(TRIM(K829)="","Unknown",IFERROR(INDEX(Map_Tables!$E$4:$E$15,MATCH(TRIM(K829),Map_Tables!$D$4:$D$15,0)),"CHECK"))</f>
        <v>Cash on Delivery</v>
      </c>
      <c r="AG829" s="7" t="str">
        <f aca="false">IF(LEFT(LOWER(TRIM(L829)),6)="cancel","Cancelled","Delivered")</f>
        <v>Delivered</v>
      </c>
      <c r="AH829" s="10" t="n">
        <f aca="false">IF(ISNUMBER(SEARCH("/",B829)),DATE(VALUE(RIGHT(B829,4)),VALUE(MID(B829,4,2)),VALUE(LEFT(B829,2))),IF(MID(B829,5,1)="-",DATE(VALUE(LEFT(B829,4)),VALUE(MID(B829,6,2)),VALUE(RIGHT(B829,2))),DATE(VALUE(RIGHT(B829,4)),MATCH(MID(B829,4,3),{"Jan","Feb","Mar","Apr","May","Jun","Jul","Aug","Sep","Oct","Nov","Dec"},0),VALUE(LEFT(B829,2)))))</f>
        <v>45889</v>
      </c>
    </row>
    <row r="830" customFormat="false" ht="15" hidden="false" customHeight="false" outlineLevel="0" collapsed="false">
      <c r="A830" s="7" t="s">
        <v>2658</v>
      </c>
      <c r="B830" s="7" t="s">
        <v>1079</v>
      </c>
      <c r="C830" s="7" t="s">
        <v>2659</v>
      </c>
      <c r="D830" s="7" t="s">
        <v>1000</v>
      </c>
      <c r="E830" s="7" t="s">
        <v>2660</v>
      </c>
      <c r="F830" s="7" t="s">
        <v>128</v>
      </c>
      <c r="G830" s="7" t="s">
        <v>99</v>
      </c>
      <c r="H830" s="7" t="n">
        <v>1</v>
      </c>
      <c r="I830" s="7" t="n">
        <v>265</v>
      </c>
      <c r="J830" s="7" t="n">
        <v>0</v>
      </c>
      <c r="K830" s="7" t="s">
        <v>88</v>
      </c>
      <c r="L830" s="7" t="s">
        <v>194</v>
      </c>
      <c r="M830" s="7" t="n">
        <v>27</v>
      </c>
      <c r="N830" s="7" t="n">
        <v>3</v>
      </c>
      <c r="O830" s="7" t="str">
        <f aca="false">A830&amp;"|"&amp;B830&amp;"|"&amp;C830&amp;"|"&amp;D830&amp;"|"&amp;E830&amp;"|"&amp;F830&amp;"|"&amp;G830&amp;"|"&amp;H830&amp;"|"&amp;I830&amp;"|"&amp;J830&amp;"|"&amp;K830&amp;"|"&amp;L830&amp;"|"&amp;M830&amp;"|"&amp;N830</f>
        <v>ORD12317|2025-10-19|19:31|C0776|Madras Biryani Co |Chennai|Biryani|1|265|0|UPI|Delivered|27|3</v>
      </c>
      <c r="P830" s="7" t="str">
        <f aca="false">IF(COUNTIF($O$2:O830,O830)&gt;1,"DUP","OK")</f>
        <v>OK</v>
      </c>
      <c r="Q830" s="7" t="n">
        <f aca="false">COUNTBLANK(A830:N830)</f>
        <v>0</v>
      </c>
      <c r="R830" s="7" t="n">
        <f aca="false">IF(A830="",0,COUNTIFS($A$2:$A$3058,A830,$P$2:$P$3058,"OK"))</f>
        <v>1</v>
      </c>
      <c r="S830" s="7" t="str">
        <f aca="false">IF(OR(A830="",P830="DUP",R830&lt;2),"",IF(Q830=_xlfn.MINIFS($Q$2:$Q$3058,$A$2:$A$3058,A830,$P$2:$P$3058,"OK"),"KEEP","DROP"))</f>
        <v/>
      </c>
      <c r="T830" s="9" t="n">
        <f aca="false">IF(A830="",1,0)</f>
        <v>0</v>
      </c>
      <c r="U830" s="9" t="n">
        <f aca="false">IF(D830="",1,0)</f>
        <v>0</v>
      </c>
      <c r="V830" s="9" t="n">
        <f aca="false">IF(E830="",1,0)</f>
        <v>0</v>
      </c>
      <c r="W830" s="9" t="n">
        <f aca="false">IF(OR(H830&lt;1,H830&gt;10),1,0)</f>
        <v>0</v>
      </c>
      <c r="X830" s="9" t="n">
        <f aca="false">IF(OR(I830&lt;=0,I830&gt;1500),1,0)</f>
        <v>0</v>
      </c>
      <c r="Y830" s="9" t="n">
        <f aca="false">IF(J830&gt;H830*I830,1,0)</f>
        <v>0</v>
      </c>
      <c r="Z830" s="9" t="n">
        <f aca="false">IF(AND(N830&lt;&gt;"",OR(N830&lt;1,N830&gt;5)),1,0)</f>
        <v>0</v>
      </c>
      <c r="AA830" s="9" t="n">
        <f aca="false">IF(AND(M830&lt;&gt;"",OR(M830&lt;5,M830&gt;180)),1,0)</f>
        <v>0</v>
      </c>
      <c r="AB830" s="7" t="str">
        <f aca="false">IF(P830="DUP","Exact duplicate row",IF(T830=1,"Missing Order ID",IF(S830="DROP","Duplicate Order ID (less complete row)",IF(U830=1,"Missing Customer ID",IF(V830=1,"Missing Restaurant name",IF(W830=1,"Invalid/outlier quantity",IF(X830=1,"Invalid/outlier unit price",IF(Y830=1,"Discount greater than order value",""))))))))</f>
        <v/>
      </c>
      <c r="AC830" s="7" t="str">
        <f aca="false">IF(AB830="","KEEP","DROP")</f>
        <v>KEEP</v>
      </c>
      <c r="AD830" s="7" t="str">
        <f aca="false">IF(TRIM(F830)="",IFERROR(INDEX(Map_Tables!$I$4:$I$37,MATCH(TRIM(E830),Map_Tables!$G$4:$G$37,0)),""),IFERROR(INDEX(Map_Tables!$B$4:$B$18,MATCH(TRIM(F830),Map_Tables!$A$4:$A$18,0)),"CHECK"))</f>
        <v>Chennai</v>
      </c>
      <c r="AE830" s="7" t="str">
        <f aca="false">IF(TRIM(E830)="","",IFERROR(INDEX(Map_Tables!$H$4:$H$37,MATCH(TRIM(E830),Map_Tables!$G$4:$G$37,0)),"CHECK"))</f>
        <v>Madras Biryani Co</v>
      </c>
      <c r="AF830" s="7" t="str">
        <f aca="false">IF(TRIM(K830)="","Unknown",IFERROR(INDEX(Map_Tables!$E$4:$E$15,MATCH(TRIM(K830),Map_Tables!$D$4:$D$15,0)),"CHECK"))</f>
        <v>UPI</v>
      </c>
      <c r="AG830" s="7" t="str">
        <f aca="false">IF(LEFT(LOWER(TRIM(L830)),6)="cancel","Cancelled","Delivered")</f>
        <v>Delivered</v>
      </c>
      <c r="AH830" s="10" t="n">
        <f aca="false">IF(ISNUMBER(SEARCH("/",B830)),DATE(VALUE(RIGHT(B830,4)),VALUE(MID(B830,4,2)),VALUE(LEFT(B830,2))),IF(MID(B830,5,1)="-",DATE(VALUE(LEFT(B830,4)),VALUE(MID(B830,6,2)),VALUE(RIGHT(B830,2))),DATE(VALUE(RIGHT(B830,4)),MATCH(MID(B830,4,3),{"Jan","Feb","Mar","Apr","May","Jun","Jul","Aug","Sep","Oct","Nov","Dec"},0),VALUE(LEFT(B830,2)))))</f>
        <v>45949</v>
      </c>
    </row>
    <row r="831" customFormat="false" ht="15" hidden="false" customHeight="false" outlineLevel="0" collapsed="false">
      <c r="A831" s="7" t="s">
        <v>2661</v>
      </c>
      <c r="B831" s="7" t="s">
        <v>2662</v>
      </c>
      <c r="C831" s="7" t="s">
        <v>2663</v>
      </c>
      <c r="D831" s="7" t="s">
        <v>2664</v>
      </c>
      <c r="E831" s="7" t="s">
        <v>94</v>
      </c>
      <c r="F831" s="7" t="s">
        <v>86</v>
      </c>
      <c r="G831" s="7" t="s">
        <v>95</v>
      </c>
      <c r="H831" s="7" t="n">
        <v>1</v>
      </c>
      <c r="I831" s="7" t="n">
        <v>135</v>
      </c>
      <c r="J831" s="7" t="n">
        <v>0</v>
      </c>
      <c r="K831" s="7" t="s">
        <v>121</v>
      </c>
      <c r="L831" s="7" t="s">
        <v>194</v>
      </c>
      <c r="M831" s="7" t="n">
        <v>45</v>
      </c>
      <c r="N831" s="7" t="n">
        <v>4</v>
      </c>
      <c r="O831" s="7" t="str">
        <f aca="false">A831&amp;"|"&amp;B831&amp;"|"&amp;C831&amp;"|"&amp;D831&amp;"|"&amp;E831&amp;"|"&amp;F831&amp;"|"&amp;G831&amp;"|"&amp;H831&amp;"|"&amp;I831&amp;"|"&amp;J831&amp;"|"&amp;K831&amp;"|"&amp;L831&amp;"|"&amp;M831&amp;"|"&amp;N831</f>
        <v>ORD12067|24-Sep-2025|11:37|C0971|Dosa Darbar|Bengaluru|South Indian|1|135|0|Wallet|Delivered|45|4</v>
      </c>
      <c r="P831" s="7" t="str">
        <f aca="false">IF(COUNTIF($O$2:O831,O831)&gt;1,"DUP","OK")</f>
        <v>OK</v>
      </c>
      <c r="Q831" s="7" t="n">
        <f aca="false">COUNTBLANK(A831:N831)</f>
        <v>0</v>
      </c>
      <c r="R831" s="7" t="n">
        <f aca="false">IF(A831="",0,COUNTIFS($A$2:$A$3058,A831,$P$2:$P$3058,"OK"))</f>
        <v>1</v>
      </c>
      <c r="S831" s="7" t="str">
        <f aca="false">IF(OR(A831="",P831="DUP",R831&lt;2),"",IF(Q831=_xlfn.MINIFS($Q$2:$Q$3058,$A$2:$A$3058,A831,$P$2:$P$3058,"OK"),"KEEP","DROP"))</f>
        <v/>
      </c>
      <c r="T831" s="9" t="n">
        <f aca="false">IF(A831="",1,0)</f>
        <v>0</v>
      </c>
      <c r="U831" s="9" t="n">
        <f aca="false">IF(D831="",1,0)</f>
        <v>0</v>
      </c>
      <c r="V831" s="9" t="n">
        <f aca="false">IF(E831="",1,0)</f>
        <v>0</v>
      </c>
      <c r="W831" s="9" t="n">
        <f aca="false">IF(OR(H831&lt;1,H831&gt;10),1,0)</f>
        <v>0</v>
      </c>
      <c r="X831" s="9" t="n">
        <f aca="false">IF(OR(I831&lt;=0,I831&gt;1500),1,0)</f>
        <v>0</v>
      </c>
      <c r="Y831" s="9" t="n">
        <f aca="false">IF(J831&gt;H831*I831,1,0)</f>
        <v>0</v>
      </c>
      <c r="Z831" s="9" t="n">
        <f aca="false">IF(AND(N831&lt;&gt;"",OR(N831&lt;1,N831&gt;5)),1,0)</f>
        <v>0</v>
      </c>
      <c r="AA831" s="9" t="n">
        <f aca="false">IF(AND(M831&lt;&gt;"",OR(M831&lt;5,M831&gt;180)),1,0)</f>
        <v>0</v>
      </c>
      <c r="AB831" s="7" t="str">
        <f aca="false">IF(P831="DUP","Exact duplicate row",IF(T831=1,"Missing Order ID",IF(S831="DROP","Duplicate Order ID (less complete row)",IF(U831=1,"Missing Customer ID",IF(V831=1,"Missing Restaurant name",IF(W831=1,"Invalid/outlier quantity",IF(X831=1,"Invalid/outlier unit price",IF(Y831=1,"Discount greater than order value",""))))))))</f>
        <v/>
      </c>
      <c r="AC831" s="7" t="str">
        <f aca="false">IF(AB831="","KEEP","DROP")</f>
        <v>KEEP</v>
      </c>
      <c r="AD831" s="7" t="str">
        <f aca="false">IF(TRIM(F831)="",IFERROR(INDEX(Map_Tables!$I$4:$I$37,MATCH(TRIM(E831),Map_Tables!$G$4:$G$37,0)),""),IFERROR(INDEX(Map_Tables!$B$4:$B$18,MATCH(TRIM(F831),Map_Tables!$A$4:$A$18,0)),"CHECK"))</f>
        <v>Bengaluru</v>
      </c>
      <c r="AE831" s="7" t="str">
        <f aca="false">IF(TRIM(E831)="","",IFERROR(INDEX(Map_Tables!$H$4:$H$37,MATCH(TRIM(E831),Map_Tables!$G$4:$G$37,0)),"CHECK"))</f>
        <v>Dosa Darbar</v>
      </c>
      <c r="AF831" s="7" t="str">
        <f aca="false">IF(TRIM(K831)="","Unknown",IFERROR(INDEX(Map_Tables!$E$4:$E$15,MATCH(TRIM(K831),Map_Tables!$D$4:$D$15,0)),"CHECK"))</f>
        <v>Wallet</v>
      </c>
      <c r="AG831" s="7" t="str">
        <f aca="false">IF(LEFT(LOWER(TRIM(L831)),6)="cancel","Cancelled","Delivered")</f>
        <v>Delivered</v>
      </c>
      <c r="AH831" s="10" t="n">
        <f aca="false">IF(ISNUMBER(SEARCH("/",B831)),DATE(VALUE(RIGHT(B831,4)),VALUE(MID(B831,4,2)),VALUE(LEFT(B831,2))),IF(MID(B831,5,1)="-",DATE(VALUE(LEFT(B831,4)),VALUE(MID(B831,6,2)),VALUE(RIGHT(B831,2))),DATE(VALUE(RIGHT(B831,4)),MATCH(MID(B831,4,3),{"Jan","Feb","Mar","Apr","May","Jun","Jul","Aug","Sep","Oct","Nov","Dec"},0),VALUE(LEFT(B831,2)))))</f>
        <v>45924</v>
      </c>
    </row>
    <row r="832" customFormat="false" ht="15" hidden="false" customHeight="false" outlineLevel="0" collapsed="false">
      <c r="A832" s="7" t="s">
        <v>2665</v>
      </c>
      <c r="B832" s="7" t="s">
        <v>1623</v>
      </c>
      <c r="C832" s="7" t="s">
        <v>1419</v>
      </c>
      <c r="D832" s="7" t="s">
        <v>2114</v>
      </c>
      <c r="E832" s="7" t="s">
        <v>126</v>
      </c>
      <c r="F832" s="7" t="s">
        <v>101</v>
      </c>
      <c r="G832" s="7" t="s">
        <v>105</v>
      </c>
      <c r="H832" s="7" t="n">
        <v>1</v>
      </c>
      <c r="I832" s="7" t="n">
        <v>210</v>
      </c>
      <c r="J832" s="7" t="n">
        <v>0</v>
      </c>
      <c r="K832" s="7" t="s">
        <v>88</v>
      </c>
      <c r="L832" s="7" t="s">
        <v>194</v>
      </c>
      <c r="M832" s="7" t="n">
        <v>44</v>
      </c>
      <c r="N832" s="7" t="n">
        <v>5</v>
      </c>
      <c r="O832" s="7" t="str">
        <f aca="false">A832&amp;"|"&amp;B832&amp;"|"&amp;C832&amp;"|"&amp;D832&amp;"|"&amp;E832&amp;"|"&amp;F832&amp;"|"&amp;G832&amp;"|"&amp;H832&amp;"|"&amp;I832&amp;"|"&amp;J832&amp;"|"&amp;K832&amp;"|"&amp;L832&amp;"|"&amp;M832&amp;"|"&amp;N832</f>
        <v>ORD12384|2025-10-28|11:21|C0955|Dragon Express|Mumbai|Chinese|1|210|0|UPI|Delivered|44|5</v>
      </c>
      <c r="P832" s="7" t="str">
        <f aca="false">IF(COUNTIF($O$2:O832,O832)&gt;1,"DUP","OK")</f>
        <v>OK</v>
      </c>
      <c r="Q832" s="7" t="n">
        <f aca="false">COUNTBLANK(A832:N832)</f>
        <v>0</v>
      </c>
      <c r="R832" s="7" t="n">
        <f aca="false">IF(A832="",0,COUNTIFS($A$2:$A$3058,A832,$P$2:$P$3058,"OK"))</f>
        <v>1</v>
      </c>
      <c r="S832" s="7" t="str">
        <f aca="false">IF(OR(A832="",P832="DUP",R832&lt;2),"",IF(Q832=_xlfn.MINIFS($Q$2:$Q$3058,$A$2:$A$3058,A832,$P$2:$P$3058,"OK"),"KEEP","DROP"))</f>
        <v/>
      </c>
      <c r="T832" s="9" t="n">
        <f aca="false">IF(A832="",1,0)</f>
        <v>0</v>
      </c>
      <c r="U832" s="9" t="n">
        <f aca="false">IF(D832="",1,0)</f>
        <v>0</v>
      </c>
      <c r="V832" s="9" t="n">
        <f aca="false">IF(E832="",1,0)</f>
        <v>0</v>
      </c>
      <c r="W832" s="9" t="n">
        <f aca="false">IF(OR(H832&lt;1,H832&gt;10),1,0)</f>
        <v>0</v>
      </c>
      <c r="X832" s="9" t="n">
        <f aca="false">IF(OR(I832&lt;=0,I832&gt;1500),1,0)</f>
        <v>0</v>
      </c>
      <c r="Y832" s="9" t="n">
        <f aca="false">IF(J832&gt;H832*I832,1,0)</f>
        <v>0</v>
      </c>
      <c r="Z832" s="9" t="n">
        <f aca="false">IF(AND(N832&lt;&gt;"",OR(N832&lt;1,N832&gt;5)),1,0)</f>
        <v>0</v>
      </c>
      <c r="AA832" s="9" t="n">
        <f aca="false">IF(AND(M832&lt;&gt;"",OR(M832&lt;5,M832&gt;180)),1,0)</f>
        <v>0</v>
      </c>
      <c r="AB832" s="7" t="str">
        <f aca="false">IF(P832="DUP","Exact duplicate row",IF(T832=1,"Missing Order ID",IF(S832="DROP","Duplicate Order ID (less complete row)",IF(U832=1,"Missing Customer ID",IF(V832=1,"Missing Restaurant name",IF(W832=1,"Invalid/outlier quantity",IF(X832=1,"Invalid/outlier unit price",IF(Y832=1,"Discount greater than order value",""))))))))</f>
        <v/>
      </c>
      <c r="AC832" s="7" t="str">
        <f aca="false">IF(AB832="","KEEP","DROP")</f>
        <v>KEEP</v>
      </c>
      <c r="AD832" s="7" t="str">
        <f aca="false">IF(TRIM(F832)="",IFERROR(INDEX(Map_Tables!$I$4:$I$37,MATCH(TRIM(E832),Map_Tables!$G$4:$G$37,0)),""),IFERROR(INDEX(Map_Tables!$B$4:$B$18,MATCH(TRIM(F832),Map_Tables!$A$4:$A$18,0)),"CHECK"))</f>
        <v>Mumbai</v>
      </c>
      <c r="AE832" s="7" t="str">
        <f aca="false">IF(TRIM(E832)="","",IFERROR(INDEX(Map_Tables!$H$4:$H$37,MATCH(TRIM(E832),Map_Tables!$G$4:$G$37,0)),"CHECK"))</f>
        <v>Dragon Express</v>
      </c>
      <c r="AF832" s="7" t="str">
        <f aca="false">IF(TRIM(K832)="","Unknown",IFERROR(INDEX(Map_Tables!$E$4:$E$15,MATCH(TRIM(K832),Map_Tables!$D$4:$D$15,0)),"CHECK"))</f>
        <v>UPI</v>
      </c>
      <c r="AG832" s="7" t="str">
        <f aca="false">IF(LEFT(LOWER(TRIM(L832)),6)="cancel","Cancelled","Delivered")</f>
        <v>Delivered</v>
      </c>
      <c r="AH832" s="10" t="n">
        <f aca="false">IF(ISNUMBER(SEARCH("/",B832)),DATE(VALUE(RIGHT(B832,4)),VALUE(MID(B832,4,2)),VALUE(LEFT(B832,2))),IF(MID(B832,5,1)="-",DATE(VALUE(LEFT(B832,4)),VALUE(MID(B832,6,2)),VALUE(RIGHT(B832,2))),DATE(VALUE(RIGHT(B832,4)),MATCH(MID(B832,4,3),{"Jan","Feb","Mar","Apr","May","Jun","Jul","Aug","Sep","Oct","Nov","Dec"},0),VALUE(LEFT(B832,2)))))</f>
        <v>45958</v>
      </c>
    </row>
    <row r="833" customFormat="false" ht="15" hidden="false" customHeight="false" outlineLevel="0" collapsed="false">
      <c r="A833" s="7" t="s">
        <v>2666</v>
      </c>
      <c r="B833" s="7" t="s">
        <v>2026</v>
      </c>
      <c r="C833" s="7" t="s">
        <v>817</v>
      </c>
      <c r="D833" s="7" t="s">
        <v>2667</v>
      </c>
      <c r="E833" s="7" t="s">
        <v>1221</v>
      </c>
      <c r="F833" s="7" t="s">
        <v>141</v>
      </c>
      <c r="G833" s="7" t="s">
        <v>99</v>
      </c>
      <c r="H833" s="7" t="n">
        <v>2</v>
      </c>
      <c r="I833" s="7" t="n">
        <v>250</v>
      </c>
      <c r="J833" s="7" t="n">
        <v>0</v>
      </c>
      <c r="K833" s="7" t="s">
        <v>88</v>
      </c>
      <c r="L833" s="7" t="s">
        <v>194</v>
      </c>
      <c r="M833" s="7" t="n">
        <v>40</v>
      </c>
      <c r="N833" s="7" t="n">
        <v>4</v>
      </c>
      <c r="O833" s="7" t="str">
        <f aca="false">A833&amp;"|"&amp;B833&amp;"|"&amp;C833&amp;"|"&amp;D833&amp;"|"&amp;E833&amp;"|"&amp;F833&amp;"|"&amp;G833&amp;"|"&amp;H833&amp;"|"&amp;I833&amp;"|"&amp;J833&amp;"|"&amp;K833&amp;"|"&amp;L833&amp;"|"&amp;M833&amp;"|"&amp;N833</f>
        <v>ORD12703|2025-11-28|20:53|C0149| Biryani Baadshah|Kolkata|Biryani|2|250|0|UPI|Delivered|40|4</v>
      </c>
      <c r="P833" s="7" t="str">
        <f aca="false">IF(COUNTIF($O$2:O833,O833)&gt;1,"DUP","OK")</f>
        <v>OK</v>
      </c>
      <c r="Q833" s="7" t="n">
        <f aca="false">COUNTBLANK(A833:N833)</f>
        <v>0</v>
      </c>
      <c r="R833" s="7" t="n">
        <f aca="false">IF(A833="",0,COUNTIFS($A$2:$A$3058,A833,$P$2:$P$3058,"OK"))</f>
        <v>1</v>
      </c>
      <c r="S833" s="7" t="str">
        <f aca="false">IF(OR(A833="",P833="DUP",R833&lt;2),"",IF(Q833=_xlfn.MINIFS($Q$2:$Q$3058,$A$2:$A$3058,A833,$P$2:$P$3058,"OK"),"KEEP","DROP"))</f>
        <v/>
      </c>
      <c r="T833" s="9" t="n">
        <f aca="false">IF(A833="",1,0)</f>
        <v>0</v>
      </c>
      <c r="U833" s="9" t="n">
        <f aca="false">IF(D833="",1,0)</f>
        <v>0</v>
      </c>
      <c r="V833" s="9" t="n">
        <f aca="false">IF(E833="",1,0)</f>
        <v>0</v>
      </c>
      <c r="W833" s="9" t="n">
        <f aca="false">IF(OR(H833&lt;1,H833&gt;10),1,0)</f>
        <v>0</v>
      </c>
      <c r="X833" s="9" t="n">
        <f aca="false">IF(OR(I833&lt;=0,I833&gt;1500),1,0)</f>
        <v>0</v>
      </c>
      <c r="Y833" s="9" t="n">
        <f aca="false">IF(J833&gt;H833*I833,1,0)</f>
        <v>0</v>
      </c>
      <c r="Z833" s="9" t="n">
        <f aca="false">IF(AND(N833&lt;&gt;"",OR(N833&lt;1,N833&gt;5)),1,0)</f>
        <v>0</v>
      </c>
      <c r="AA833" s="9" t="n">
        <f aca="false">IF(AND(M833&lt;&gt;"",OR(M833&lt;5,M833&gt;180)),1,0)</f>
        <v>0</v>
      </c>
      <c r="AB833" s="7" t="str">
        <f aca="false">IF(P833="DUP","Exact duplicate row",IF(T833=1,"Missing Order ID",IF(S833="DROP","Duplicate Order ID (less complete row)",IF(U833=1,"Missing Customer ID",IF(V833=1,"Missing Restaurant name",IF(W833=1,"Invalid/outlier quantity",IF(X833=1,"Invalid/outlier unit price",IF(Y833=1,"Discount greater than order value",""))))))))</f>
        <v/>
      </c>
      <c r="AC833" s="7" t="str">
        <f aca="false">IF(AB833="","KEEP","DROP")</f>
        <v>KEEP</v>
      </c>
      <c r="AD833" s="7" t="str">
        <f aca="false">IF(TRIM(F833)="",IFERROR(INDEX(Map_Tables!$I$4:$I$37,MATCH(TRIM(E833),Map_Tables!$G$4:$G$37,0)),""),IFERROR(INDEX(Map_Tables!$B$4:$B$18,MATCH(TRIM(F833),Map_Tables!$A$4:$A$18,0)),"CHECK"))</f>
        <v>Kolkata</v>
      </c>
      <c r="AE833" s="7" t="str">
        <f aca="false">IF(TRIM(E833)="","",IFERROR(INDEX(Map_Tables!$H$4:$H$37,MATCH(TRIM(E833),Map_Tables!$G$4:$G$37,0)),"CHECK"))</f>
        <v>Biryani Baadshah</v>
      </c>
      <c r="AF833" s="7" t="str">
        <f aca="false">IF(TRIM(K833)="","Unknown",IFERROR(INDEX(Map_Tables!$E$4:$E$15,MATCH(TRIM(K833),Map_Tables!$D$4:$D$15,0)),"CHECK"))</f>
        <v>UPI</v>
      </c>
      <c r="AG833" s="7" t="str">
        <f aca="false">IF(LEFT(LOWER(TRIM(L833)),6)="cancel","Cancelled","Delivered")</f>
        <v>Delivered</v>
      </c>
      <c r="AH833" s="10" t="n">
        <f aca="false">IF(ISNUMBER(SEARCH("/",B833)),DATE(VALUE(RIGHT(B833,4)),VALUE(MID(B833,4,2)),VALUE(LEFT(B833,2))),IF(MID(B833,5,1)="-",DATE(VALUE(LEFT(B833,4)),VALUE(MID(B833,6,2)),VALUE(RIGHT(B833,2))),DATE(VALUE(RIGHT(B833,4)),MATCH(MID(B833,4,3),{"Jan","Feb","Mar","Apr","May","Jun","Jul","Aug","Sep","Oct","Nov","Dec"},0),VALUE(LEFT(B833,2)))))</f>
        <v>45989</v>
      </c>
    </row>
    <row r="834" customFormat="false" ht="15" hidden="false" customHeight="false" outlineLevel="0" collapsed="false">
      <c r="A834" s="7" t="s">
        <v>2668</v>
      </c>
      <c r="B834" s="7" t="s">
        <v>1760</v>
      </c>
      <c r="C834" s="7" t="s">
        <v>1125</v>
      </c>
      <c r="D834" s="7" t="s">
        <v>2669</v>
      </c>
      <c r="E834" s="7" t="s">
        <v>94</v>
      </c>
      <c r="F834" s="7" t="s">
        <v>86</v>
      </c>
      <c r="G834" s="7" t="s">
        <v>95</v>
      </c>
      <c r="H834" s="7" t="n">
        <v>1</v>
      </c>
      <c r="I834" s="7" t="n">
        <v>130</v>
      </c>
      <c r="J834" s="7" t="n">
        <v>52</v>
      </c>
      <c r="K834" s="7" t="s">
        <v>88</v>
      </c>
      <c r="L834" s="7" t="s">
        <v>194</v>
      </c>
      <c r="M834" s="7"/>
      <c r="N834" s="7" t="n">
        <v>3</v>
      </c>
      <c r="O834" s="7" t="str">
        <f aca="false">A834&amp;"|"&amp;B834&amp;"|"&amp;C834&amp;"|"&amp;D834&amp;"|"&amp;E834&amp;"|"&amp;F834&amp;"|"&amp;G834&amp;"|"&amp;H834&amp;"|"&amp;I834&amp;"|"&amp;J834&amp;"|"&amp;K834&amp;"|"&amp;L834&amp;"|"&amp;M834&amp;"|"&amp;N834</f>
        <v>ORD10233|2025-02-01|11:49|C1273|Dosa Darbar|Bengaluru|South Indian|1|130|52|UPI|Delivered||3</v>
      </c>
      <c r="P834" s="7" t="str">
        <f aca="false">IF(COUNTIF($O$2:O834,O834)&gt;1,"DUP","OK")</f>
        <v>OK</v>
      </c>
      <c r="Q834" s="7" t="n">
        <f aca="false">COUNTBLANK(A834:N834)</f>
        <v>1</v>
      </c>
      <c r="R834" s="7" t="n">
        <f aca="false">IF(A834="",0,COUNTIFS($A$2:$A$3058,A834,$P$2:$P$3058,"OK"))</f>
        <v>1</v>
      </c>
      <c r="S834" s="7" t="str">
        <f aca="false">IF(OR(A834="",P834="DUP",R834&lt;2),"",IF(Q834=_xlfn.MINIFS($Q$2:$Q$3058,$A$2:$A$3058,A834,$P$2:$P$3058,"OK"),"KEEP","DROP"))</f>
        <v/>
      </c>
      <c r="T834" s="9" t="n">
        <f aca="false">IF(A834="",1,0)</f>
        <v>0</v>
      </c>
      <c r="U834" s="9" t="n">
        <f aca="false">IF(D834="",1,0)</f>
        <v>0</v>
      </c>
      <c r="V834" s="9" t="n">
        <f aca="false">IF(E834="",1,0)</f>
        <v>0</v>
      </c>
      <c r="W834" s="9" t="n">
        <f aca="false">IF(OR(H834&lt;1,H834&gt;10),1,0)</f>
        <v>0</v>
      </c>
      <c r="X834" s="9" t="n">
        <f aca="false">IF(OR(I834&lt;=0,I834&gt;1500),1,0)</f>
        <v>0</v>
      </c>
      <c r="Y834" s="9" t="n">
        <f aca="false">IF(J834&gt;H834*I834,1,0)</f>
        <v>0</v>
      </c>
      <c r="Z834" s="9" t="n">
        <f aca="false">IF(AND(N834&lt;&gt;"",OR(N834&lt;1,N834&gt;5)),1,0)</f>
        <v>0</v>
      </c>
      <c r="AA834" s="9" t="n">
        <f aca="false">IF(AND(M834&lt;&gt;"",OR(M834&lt;5,M834&gt;180)),1,0)</f>
        <v>0</v>
      </c>
      <c r="AB834" s="7" t="str">
        <f aca="false">IF(P834="DUP","Exact duplicate row",IF(T834=1,"Missing Order ID",IF(S834="DROP","Duplicate Order ID (less complete row)",IF(U834=1,"Missing Customer ID",IF(V834=1,"Missing Restaurant name",IF(W834=1,"Invalid/outlier quantity",IF(X834=1,"Invalid/outlier unit price",IF(Y834=1,"Discount greater than order value",""))))))))</f>
        <v/>
      </c>
      <c r="AC834" s="7" t="str">
        <f aca="false">IF(AB834="","KEEP","DROP")</f>
        <v>KEEP</v>
      </c>
      <c r="AD834" s="7" t="str">
        <f aca="false">IF(TRIM(F834)="",IFERROR(INDEX(Map_Tables!$I$4:$I$37,MATCH(TRIM(E834),Map_Tables!$G$4:$G$37,0)),""),IFERROR(INDEX(Map_Tables!$B$4:$B$18,MATCH(TRIM(F834),Map_Tables!$A$4:$A$18,0)),"CHECK"))</f>
        <v>Bengaluru</v>
      </c>
      <c r="AE834" s="7" t="str">
        <f aca="false">IF(TRIM(E834)="","",IFERROR(INDEX(Map_Tables!$H$4:$H$37,MATCH(TRIM(E834),Map_Tables!$G$4:$G$37,0)),"CHECK"))</f>
        <v>Dosa Darbar</v>
      </c>
      <c r="AF834" s="7" t="str">
        <f aca="false">IF(TRIM(K834)="","Unknown",IFERROR(INDEX(Map_Tables!$E$4:$E$15,MATCH(TRIM(K834),Map_Tables!$D$4:$D$15,0)),"CHECK"))</f>
        <v>UPI</v>
      </c>
      <c r="AG834" s="7" t="str">
        <f aca="false">IF(LEFT(LOWER(TRIM(L834)),6)="cancel","Cancelled","Delivered")</f>
        <v>Delivered</v>
      </c>
      <c r="AH834" s="10" t="n">
        <f aca="false">IF(ISNUMBER(SEARCH("/",B834)),DATE(VALUE(RIGHT(B834,4)),VALUE(MID(B834,4,2)),VALUE(LEFT(B834,2))),IF(MID(B834,5,1)="-",DATE(VALUE(LEFT(B834,4)),VALUE(MID(B834,6,2)),VALUE(RIGHT(B834,2))),DATE(VALUE(RIGHT(B834,4)),MATCH(MID(B834,4,3),{"Jan","Feb","Mar","Apr","May","Jun","Jul","Aug","Sep","Oct","Nov","Dec"},0),VALUE(LEFT(B834,2)))))</f>
        <v>45689</v>
      </c>
    </row>
    <row r="835" customFormat="false" ht="15" hidden="false" customHeight="false" outlineLevel="0" collapsed="false">
      <c r="A835" s="7" t="s">
        <v>2670</v>
      </c>
      <c r="B835" s="7" t="s">
        <v>2104</v>
      </c>
      <c r="C835" s="7" t="s">
        <v>769</v>
      </c>
      <c r="D835" s="7" t="s">
        <v>2017</v>
      </c>
      <c r="E835" s="7" t="s">
        <v>113</v>
      </c>
      <c r="F835" s="7" t="s">
        <v>101</v>
      </c>
      <c r="G835" s="7" t="s">
        <v>90</v>
      </c>
      <c r="H835" s="7" t="n">
        <v>1</v>
      </c>
      <c r="I835" s="7" t="n">
        <v>235</v>
      </c>
      <c r="J835" s="7" t="n">
        <v>40</v>
      </c>
      <c r="K835" s="7" t="s">
        <v>88</v>
      </c>
      <c r="L835" s="7" t="s">
        <v>194</v>
      </c>
      <c r="M835" s="7" t="n">
        <v>47</v>
      </c>
      <c r="N835" s="7" t="n">
        <v>3</v>
      </c>
      <c r="O835" s="7" t="str">
        <f aca="false">A835&amp;"|"&amp;B835&amp;"|"&amp;C835&amp;"|"&amp;D835&amp;"|"&amp;E835&amp;"|"&amp;F835&amp;"|"&amp;G835&amp;"|"&amp;H835&amp;"|"&amp;I835&amp;"|"&amp;J835&amp;"|"&amp;K835&amp;"|"&amp;L835&amp;"|"&amp;M835&amp;"|"&amp;N835</f>
        <v>ORD11943|2025-09-09|20:43|C0334|Curry Leaf Kitchen|Mumbai|North Indian|1|235|40|UPI|Delivered|47|3</v>
      </c>
      <c r="P835" s="7" t="str">
        <f aca="false">IF(COUNTIF($O$2:O835,O835)&gt;1,"DUP","OK")</f>
        <v>OK</v>
      </c>
      <c r="Q835" s="7" t="n">
        <f aca="false">COUNTBLANK(A835:N835)</f>
        <v>0</v>
      </c>
      <c r="R835" s="7" t="n">
        <f aca="false">IF(A835="",0,COUNTIFS($A$2:$A$3058,A835,$P$2:$P$3058,"OK"))</f>
        <v>1</v>
      </c>
      <c r="S835" s="7" t="str">
        <f aca="false">IF(OR(A835="",P835="DUP",R835&lt;2),"",IF(Q835=_xlfn.MINIFS($Q$2:$Q$3058,$A$2:$A$3058,A835,$P$2:$P$3058,"OK"),"KEEP","DROP"))</f>
        <v/>
      </c>
      <c r="T835" s="9" t="n">
        <f aca="false">IF(A835="",1,0)</f>
        <v>0</v>
      </c>
      <c r="U835" s="9" t="n">
        <f aca="false">IF(D835="",1,0)</f>
        <v>0</v>
      </c>
      <c r="V835" s="9" t="n">
        <f aca="false">IF(E835="",1,0)</f>
        <v>0</v>
      </c>
      <c r="W835" s="9" t="n">
        <f aca="false">IF(OR(H835&lt;1,H835&gt;10),1,0)</f>
        <v>0</v>
      </c>
      <c r="X835" s="9" t="n">
        <f aca="false">IF(OR(I835&lt;=0,I835&gt;1500),1,0)</f>
        <v>0</v>
      </c>
      <c r="Y835" s="9" t="n">
        <f aca="false">IF(J835&gt;H835*I835,1,0)</f>
        <v>0</v>
      </c>
      <c r="Z835" s="9" t="n">
        <f aca="false">IF(AND(N835&lt;&gt;"",OR(N835&lt;1,N835&gt;5)),1,0)</f>
        <v>0</v>
      </c>
      <c r="AA835" s="9" t="n">
        <f aca="false">IF(AND(M835&lt;&gt;"",OR(M835&lt;5,M835&gt;180)),1,0)</f>
        <v>0</v>
      </c>
      <c r="AB835" s="7" t="str">
        <f aca="false">IF(P835="DUP","Exact duplicate row",IF(T835=1,"Missing Order ID",IF(S835="DROP","Duplicate Order ID (less complete row)",IF(U835=1,"Missing Customer ID",IF(V835=1,"Missing Restaurant name",IF(W835=1,"Invalid/outlier quantity",IF(X835=1,"Invalid/outlier unit price",IF(Y835=1,"Discount greater than order value",""))))))))</f>
        <v/>
      </c>
      <c r="AC835" s="7" t="str">
        <f aca="false">IF(AB835="","KEEP","DROP")</f>
        <v>KEEP</v>
      </c>
      <c r="AD835" s="7" t="str">
        <f aca="false">IF(TRIM(F835)="",IFERROR(INDEX(Map_Tables!$I$4:$I$37,MATCH(TRIM(E835),Map_Tables!$G$4:$G$37,0)),""),IFERROR(INDEX(Map_Tables!$B$4:$B$18,MATCH(TRIM(F835),Map_Tables!$A$4:$A$18,0)),"CHECK"))</f>
        <v>Mumbai</v>
      </c>
      <c r="AE835" s="7" t="str">
        <f aca="false">IF(TRIM(E835)="","",IFERROR(INDEX(Map_Tables!$H$4:$H$37,MATCH(TRIM(E835),Map_Tables!$G$4:$G$37,0)),"CHECK"))</f>
        <v>Curry Leaf Kitchen</v>
      </c>
      <c r="AF835" s="7" t="str">
        <f aca="false">IF(TRIM(K835)="","Unknown",IFERROR(INDEX(Map_Tables!$E$4:$E$15,MATCH(TRIM(K835),Map_Tables!$D$4:$D$15,0)),"CHECK"))</f>
        <v>UPI</v>
      </c>
      <c r="AG835" s="7" t="str">
        <f aca="false">IF(LEFT(LOWER(TRIM(L835)),6)="cancel","Cancelled","Delivered")</f>
        <v>Delivered</v>
      </c>
      <c r="AH835" s="10" t="n">
        <f aca="false">IF(ISNUMBER(SEARCH("/",B835)),DATE(VALUE(RIGHT(B835,4)),VALUE(MID(B835,4,2)),VALUE(LEFT(B835,2))),IF(MID(B835,5,1)="-",DATE(VALUE(LEFT(B835,4)),VALUE(MID(B835,6,2)),VALUE(RIGHT(B835,2))),DATE(VALUE(RIGHT(B835,4)),MATCH(MID(B835,4,3),{"Jan","Feb","Mar","Apr","May","Jun","Jul","Aug","Sep","Oct","Nov","Dec"},0),VALUE(LEFT(B835,2)))))</f>
        <v>45909</v>
      </c>
    </row>
    <row r="836" customFormat="false" ht="15" hidden="false" customHeight="false" outlineLevel="0" collapsed="false">
      <c r="A836" s="7" t="s">
        <v>2671</v>
      </c>
      <c r="B836" s="7" t="s">
        <v>1516</v>
      </c>
      <c r="C836" s="7" t="s">
        <v>2672</v>
      </c>
      <c r="D836" s="7" t="s">
        <v>1115</v>
      </c>
      <c r="E836" s="7" t="s">
        <v>130</v>
      </c>
      <c r="F836" s="7" t="s">
        <v>110</v>
      </c>
      <c r="G836" s="7" t="s">
        <v>90</v>
      </c>
      <c r="H836" s="7" t="n">
        <v>2</v>
      </c>
      <c r="I836" s="7" t="n">
        <v>250</v>
      </c>
      <c r="J836" s="7" t="n">
        <v>50</v>
      </c>
      <c r="K836" s="7" t="s">
        <v>88</v>
      </c>
      <c r="L836" s="7" t="s">
        <v>194</v>
      </c>
      <c r="M836" s="7" t="n">
        <v>45</v>
      </c>
      <c r="N836" s="7" t="n">
        <v>5</v>
      </c>
      <c r="O836" s="7" t="str">
        <f aca="false">A836&amp;"|"&amp;B836&amp;"|"&amp;C836&amp;"|"&amp;D836&amp;"|"&amp;E836&amp;"|"&amp;F836&amp;"|"&amp;G836&amp;"|"&amp;H836&amp;"|"&amp;I836&amp;"|"&amp;J836&amp;"|"&amp;K836&amp;"|"&amp;L836&amp;"|"&amp;M836&amp;"|"&amp;N836</f>
        <v>ORD11626|2025-07-31|12:09|C0935|Tandoor Tales|Delhi|North Indian|2|250|50|UPI|Delivered|45|5</v>
      </c>
      <c r="P836" s="7" t="str">
        <f aca="false">IF(COUNTIF($O$2:O836,O836)&gt;1,"DUP","OK")</f>
        <v>OK</v>
      </c>
      <c r="Q836" s="7" t="n">
        <f aca="false">COUNTBLANK(A836:N836)</f>
        <v>0</v>
      </c>
      <c r="R836" s="7" t="n">
        <f aca="false">IF(A836="",0,COUNTIFS($A$2:$A$3058,A836,$P$2:$P$3058,"OK"))</f>
        <v>1</v>
      </c>
      <c r="S836" s="7" t="str">
        <f aca="false">IF(OR(A836="",P836="DUP",R836&lt;2),"",IF(Q836=_xlfn.MINIFS($Q$2:$Q$3058,$A$2:$A$3058,A836,$P$2:$P$3058,"OK"),"KEEP","DROP"))</f>
        <v/>
      </c>
      <c r="T836" s="9" t="n">
        <f aca="false">IF(A836="",1,0)</f>
        <v>0</v>
      </c>
      <c r="U836" s="9" t="n">
        <f aca="false">IF(D836="",1,0)</f>
        <v>0</v>
      </c>
      <c r="V836" s="9" t="n">
        <f aca="false">IF(E836="",1,0)</f>
        <v>0</v>
      </c>
      <c r="W836" s="9" t="n">
        <f aca="false">IF(OR(H836&lt;1,H836&gt;10),1,0)</f>
        <v>0</v>
      </c>
      <c r="X836" s="9" t="n">
        <f aca="false">IF(OR(I836&lt;=0,I836&gt;1500),1,0)</f>
        <v>0</v>
      </c>
      <c r="Y836" s="9" t="n">
        <f aca="false">IF(J836&gt;H836*I836,1,0)</f>
        <v>0</v>
      </c>
      <c r="Z836" s="9" t="n">
        <f aca="false">IF(AND(N836&lt;&gt;"",OR(N836&lt;1,N836&gt;5)),1,0)</f>
        <v>0</v>
      </c>
      <c r="AA836" s="9" t="n">
        <f aca="false">IF(AND(M836&lt;&gt;"",OR(M836&lt;5,M836&gt;180)),1,0)</f>
        <v>0</v>
      </c>
      <c r="AB836" s="7" t="str">
        <f aca="false">IF(P836="DUP","Exact duplicate row",IF(T836=1,"Missing Order ID",IF(S836="DROP","Duplicate Order ID (less complete row)",IF(U836=1,"Missing Customer ID",IF(V836=1,"Missing Restaurant name",IF(W836=1,"Invalid/outlier quantity",IF(X836=1,"Invalid/outlier unit price",IF(Y836=1,"Discount greater than order value",""))))))))</f>
        <v/>
      </c>
      <c r="AC836" s="7" t="str">
        <f aca="false">IF(AB836="","KEEP","DROP")</f>
        <v>KEEP</v>
      </c>
      <c r="AD836" s="7" t="str">
        <f aca="false">IF(TRIM(F836)="",IFERROR(INDEX(Map_Tables!$I$4:$I$37,MATCH(TRIM(E836),Map_Tables!$G$4:$G$37,0)),""),IFERROR(INDEX(Map_Tables!$B$4:$B$18,MATCH(TRIM(F836),Map_Tables!$A$4:$A$18,0)),"CHECK"))</f>
        <v>Delhi</v>
      </c>
      <c r="AE836" s="7" t="str">
        <f aca="false">IF(TRIM(E836)="","",IFERROR(INDEX(Map_Tables!$H$4:$H$37,MATCH(TRIM(E836),Map_Tables!$G$4:$G$37,0)),"CHECK"))</f>
        <v>Tandoor Tales</v>
      </c>
      <c r="AF836" s="7" t="str">
        <f aca="false">IF(TRIM(K836)="","Unknown",IFERROR(INDEX(Map_Tables!$E$4:$E$15,MATCH(TRIM(K836),Map_Tables!$D$4:$D$15,0)),"CHECK"))</f>
        <v>UPI</v>
      </c>
      <c r="AG836" s="7" t="str">
        <f aca="false">IF(LEFT(LOWER(TRIM(L836)),6)="cancel","Cancelled","Delivered")</f>
        <v>Delivered</v>
      </c>
      <c r="AH836" s="10" t="n">
        <f aca="false">IF(ISNUMBER(SEARCH("/",B836)),DATE(VALUE(RIGHT(B836,4)),VALUE(MID(B836,4,2)),VALUE(LEFT(B836,2))),IF(MID(B836,5,1)="-",DATE(VALUE(LEFT(B836,4)),VALUE(MID(B836,6,2)),VALUE(RIGHT(B836,2))),DATE(VALUE(RIGHT(B836,4)),MATCH(MID(B836,4,3),{"Jan","Feb","Mar","Apr","May","Jun","Jul","Aug","Sep","Oct","Nov","Dec"},0),VALUE(LEFT(B836,2)))))</f>
        <v>45869</v>
      </c>
    </row>
    <row r="837" customFormat="false" ht="15" hidden="false" customHeight="false" outlineLevel="0" collapsed="false">
      <c r="A837" s="7" t="s">
        <v>2673</v>
      </c>
      <c r="B837" s="7" t="s">
        <v>330</v>
      </c>
      <c r="C837" s="7" t="s">
        <v>2663</v>
      </c>
      <c r="D837" s="7" t="s">
        <v>822</v>
      </c>
      <c r="E837" s="7" t="s">
        <v>147</v>
      </c>
      <c r="F837" s="7" t="s">
        <v>119</v>
      </c>
      <c r="G837" s="7" t="s">
        <v>95</v>
      </c>
      <c r="H837" s="7" t="n">
        <v>3</v>
      </c>
      <c r="I837" s="7" t="n">
        <v>155</v>
      </c>
      <c r="J837" s="7" t="n">
        <v>0</v>
      </c>
      <c r="K837" s="7" t="s">
        <v>87</v>
      </c>
      <c r="L837" s="7" t="s">
        <v>194</v>
      </c>
      <c r="M837" s="7" t="n">
        <v>35</v>
      </c>
      <c r="N837" s="7"/>
      <c r="O837" s="7" t="str">
        <f aca="false">A837&amp;"|"&amp;B837&amp;"|"&amp;C837&amp;"|"&amp;D837&amp;"|"&amp;E837&amp;"|"&amp;F837&amp;"|"&amp;G837&amp;"|"&amp;H837&amp;"|"&amp;I837&amp;"|"&amp;J837&amp;"|"&amp;K837&amp;"|"&amp;L837&amp;"|"&amp;M837&amp;"|"&amp;N837</f>
        <v>ORD12836|2025-12-13|11:37|C0602|Andhra Meals Mess|Hyderabad|South Indian|3|155|0|upi|Delivered|35|</v>
      </c>
      <c r="P837" s="7" t="str">
        <f aca="false">IF(COUNTIF($O$2:O837,O837)&gt;1,"DUP","OK")</f>
        <v>OK</v>
      </c>
      <c r="Q837" s="7" t="n">
        <f aca="false">COUNTBLANK(A837:N837)</f>
        <v>1</v>
      </c>
      <c r="R837" s="7" t="n">
        <f aca="false">IF(A837="",0,COUNTIFS($A$2:$A$3058,A837,$P$2:$P$3058,"OK"))</f>
        <v>1</v>
      </c>
      <c r="S837" s="7" t="str">
        <f aca="false">IF(OR(A837="",P837="DUP",R837&lt;2),"",IF(Q837=_xlfn.MINIFS($Q$2:$Q$3058,$A$2:$A$3058,A837,$P$2:$P$3058,"OK"),"KEEP","DROP"))</f>
        <v/>
      </c>
      <c r="T837" s="9" t="n">
        <f aca="false">IF(A837="",1,0)</f>
        <v>0</v>
      </c>
      <c r="U837" s="9" t="n">
        <f aca="false">IF(D837="",1,0)</f>
        <v>0</v>
      </c>
      <c r="V837" s="9" t="n">
        <f aca="false">IF(E837="",1,0)</f>
        <v>0</v>
      </c>
      <c r="W837" s="9" t="n">
        <f aca="false">IF(OR(H837&lt;1,H837&gt;10),1,0)</f>
        <v>0</v>
      </c>
      <c r="X837" s="9" t="n">
        <f aca="false">IF(OR(I837&lt;=0,I837&gt;1500),1,0)</f>
        <v>0</v>
      </c>
      <c r="Y837" s="9" t="n">
        <f aca="false">IF(J837&gt;H837*I837,1,0)</f>
        <v>0</v>
      </c>
      <c r="Z837" s="9" t="n">
        <f aca="false">IF(AND(N837&lt;&gt;"",OR(N837&lt;1,N837&gt;5)),1,0)</f>
        <v>0</v>
      </c>
      <c r="AA837" s="9" t="n">
        <f aca="false">IF(AND(M837&lt;&gt;"",OR(M837&lt;5,M837&gt;180)),1,0)</f>
        <v>0</v>
      </c>
      <c r="AB837" s="7" t="str">
        <f aca="false">IF(P837="DUP","Exact duplicate row",IF(T837=1,"Missing Order ID",IF(S837="DROP","Duplicate Order ID (less complete row)",IF(U837=1,"Missing Customer ID",IF(V837=1,"Missing Restaurant name",IF(W837=1,"Invalid/outlier quantity",IF(X837=1,"Invalid/outlier unit price",IF(Y837=1,"Discount greater than order value",""))))))))</f>
        <v/>
      </c>
      <c r="AC837" s="7" t="str">
        <f aca="false">IF(AB837="","KEEP","DROP")</f>
        <v>KEEP</v>
      </c>
      <c r="AD837" s="7" t="str">
        <f aca="false">IF(TRIM(F837)="",IFERROR(INDEX(Map_Tables!$I$4:$I$37,MATCH(TRIM(E837),Map_Tables!$G$4:$G$37,0)),""),IFERROR(INDEX(Map_Tables!$B$4:$B$18,MATCH(TRIM(F837),Map_Tables!$A$4:$A$18,0)),"CHECK"))</f>
        <v>Hyderabad</v>
      </c>
      <c r="AE837" s="7" t="str">
        <f aca="false">IF(TRIM(E837)="","",IFERROR(INDEX(Map_Tables!$H$4:$H$37,MATCH(TRIM(E837),Map_Tables!$G$4:$G$37,0)),"CHECK"))</f>
        <v>Andhra Meals Mess</v>
      </c>
      <c r="AF837" s="7" t="str">
        <f aca="false">IF(TRIM(K837)="","Unknown",IFERROR(INDEX(Map_Tables!$E$4:$E$15,MATCH(TRIM(K837),Map_Tables!$D$4:$D$15,0)),"CHECK"))</f>
        <v>UPI</v>
      </c>
      <c r="AG837" s="7" t="str">
        <f aca="false">IF(LEFT(LOWER(TRIM(L837)),6)="cancel","Cancelled","Delivered")</f>
        <v>Delivered</v>
      </c>
      <c r="AH837" s="10" t="n">
        <f aca="false">IF(ISNUMBER(SEARCH("/",B837)),DATE(VALUE(RIGHT(B837,4)),VALUE(MID(B837,4,2)),VALUE(LEFT(B837,2))),IF(MID(B837,5,1)="-",DATE(VALUE(LEFT(B837,4)),VALUE(MID(B837,6,2)),VALUE(RIGHT(B837,2))),DATE(VALUE(RIGHT(B837,4)),MATCH(MID(B837,4,3),{"Jan","Feb","Mar","Apr","May","Jun","Jul","Aug","Sep","Oct","Nov","Dec"},0),VALUE(LEFT(B837,2)))))</f>
        <v>46004</v>
      </c>
    </row>
    <row r="838" customFormat="false" ht="15" hidden="false" customHeight="false" outlineLevel="0" collapsed="false">
      <c r="A838" s="7" t="s">
        <v>2674</v>
      </c>
      <c r="B838" s="7" t="s">
        <v>1663</v>
      </c>
      <c r="C838" s="7" t="s">
        <v>626</v>
      </c>
      <c r="D838" s="7" t="s">
        <v>2172</v>
      </c>
      <c r="E838" s="7" t="s">
        <v>941</v>
      </c>
      <c r="F838" s="7" t="s">
        <v>86</v>
      </c>
      <c r="G838" s="7" t="s">
        <v>99</v>
      </c>
      <c r="H838" s="7" t="n">
        <v>2</v>
      </c>
      <c r="I838" s="7" t="n">
        <v>300</v>
      </c>
      <c r="J838" s="7" t="n">
        <v>150</v>
      </c>
      <c r="K838" s="7" t="s">
        <v>88</v>
      </c>
      <c r="L838" s="7" t="s">
        <v>194</v>
      </c>
      <c r="M838" s="7" t="n">
        <v>37</v>
      </c>
      <c r="N838" s="7" t="n">
        <v>5</v>
      </c>
      <c r="O838" s="7" t="str">
        <f aca="false">A838&amp;"|"&amp;B838&amp;"|"&amp;C838&amp;"|"&amp;D838&amp;"|"&amp;E838&amp;"|"&amp;F838&amp;"|"&amp;G838&amp;"|"&amp;H838&amp;"|"&amp;I838&amp;"|"&amp;J838&amp;"|"&amp;K838&amp;"|"&amp;L838&amp;"|"&amp;M838&amp;"|"&amp;N838</f>
        <v>ORD11086|2025-05-17|23:03|C0537|Nawabi Biryani House |Bengaluru|Biryani|2|300|150|UPI|Delivered|37|5</v>
      </c>
      <c r="P838" s="7" t="str">
        <f aca="false">IF(COUNTIF($O$2:O838,O838)&gt;1,"DUP","OK")</f>
        <v>OK</v>
      </c>
      <c r="Q838" s="7" t="n">
        <f aca="false">COUNTBLANK(A838:N838)</f>
        <v>0</v>
      </c>
      <c r="R838" s="7" t="n">
        <f aca="false">IF(A838="",0,COUNTIFS($A$2:$A$3058,A838,$P$2:$P$3058,"OK"))</f>
        <v>1</v>
      </c>
      <c r="S838" s="7" t="str">
        <f aca="false">IF(OR(A838="",P838="DUP",R838&lt;2),"",IF(Q838=_xlfn.MINIFS($Q$2:$Q$3058,$A$2:$A$3058,A838,$P$2:$P$3058,"OK"),"KEEP","DROP"))</f>
        <v/>
      </c>
      <c r="T838" s="9" t="n">
        <f aca="false">IF(A838="",1,0)</f>
        <v>0</v>
      </c>
      <c r="U838" s="9" t="n">
        <f aca="false">IF(D838="",1,0)</f>
        <v>0</v>
      </c>
      <c r="V838" s="9" t="n">
        <f aca="false">IF(E838="",1,0)</f>
        <v>0</v>
      </c>
      <c r="W838" s="9" t="n">
        <f aca="false">IF(OR(H838&lt;1,H838&gt;10),1,0)</f>
        <v>0</v>
      </c>
      <c r="X838" s="9" t="n">
        <f aca="false">IF(OR(I838&lt;=0,I838&gt;1500),1,0)</f>
        <v>0</v>
      </c>
      <c r="Y838" s="9" t="n">
        <f aca="false">IF(J838&gt;H838*I838,1,0)</f>
        <v>0</v>
      </c>
      <c r="Z838" s="9" t="n">
        <f aca="false">IF(AND(N838&lt;&gt;"",OR(N838&lt;1,N838&gt;5)),1,0)</f>
        <v>0</v>
      </c>
      <c r="AA838" s="9" t="n">
        <f aca="false">IF(AND(M838&lt;&gt;"",OR(M838&lt;5,M838&gt;180)),1,0)</f>
        <v>0</v>
      </c>
      <c r="AB838" s="7" t="str">
        <f aca="false">IF(P838="DUP","Exact duplicate row",IF(T838=1,"Missing Order ID",IF(S838="DROP","Duplicate Order ID (less complete row)",IF(U838=1,"Missing Customer ID",IF(V838=1,"Missing Restaurant name",IF(W838=1,"Invalid/outlier quantity",IF(X838=1,"Invalid/outlier unit price",IF(Y838=1,"Discount greater than order value",""))))))))</f>
        <v/>
      </c>
      <c r="AC838" s="7" t="str">
        <f aca="false">IF(AB838="","KEEP","DROP")</f>
        <v>KEEP</v>
      </c>
      <c r="AD838" s="7" t="str">
        <f aca="false">IF(TRIM(F838)="",IFERROR(INDEX(Map_Tables!$I$4:$I$37,MATCH(TRIM(E838),Map_Tables!$G$4:$G$37,0)),""),IFERROR(INDEX(Map_Tables!$B$4:$B$18,MATCH(TRIM(F838),Map_Tables!$A$4:$A$18,0)),"CHECK"))</f>
        <v>Bengaluru</v>
      </c>
      <c r="AE838" s="7" t="str">
        <f aca="false">IF(TRIM(E838)="","",IFERROR(INDEX(Map_Tables!$H$4:$H$37,MATCH(TRIM(E838),Map_Tables!$G$4:$G$37,0)),"CHECK"))</f>
        <v>Nawabi Biryani House</v>
      </c>
      <c r="AF838" s="7" t="str">
        <f aca="false">IF(TRIM(K838)="","Unknown",IFERROR(INDEX(Map_Tables!$E$4:$E$15,MATCH(TRIM(K838),Map_Tables!$D$4:$D$15,0)),"CHECK"))</f>
        <v>UPI</v>
      </c>
      <c r="AG838" s="7" t="str">
        <f aca="false">IF(LEFT(LOWER(TRIM(L838)),6)="cancel","Cancelled","Delivered")</f>
        <v>Delivered</v>
      </c>
      <c r="AH838" s="10" t="n">
        <f aca="false">IF(ISNUMBER(SEARCH("/",B838)),DATE(VALUE(RIGHT(B838,4)),VALUE(MID(B838,4,2)),VALUE(LEFT(B838,2))),IF(MID(B838,5,1)="-",DATE(VALUE(LEFT(B838,4)),VALUE(MID(B838,6,2)),VALUE(RIGHT(B838,2))),DATE(VALUE(RIGHT(B838,4)),MATCH(MID(B838,4,3),{"Jan","Feb","Mar","Apr","May","Jun","Jul","Aug","Sep","Oct","Nov","Dec"},0),VALUE(LEFT(B838,2)))))</f>
        <v>45794</v>
      </c>
    </row>
    <row r="839" customFormat="false" ht="15" hidden="false" customHeight="false" outlineLevel="0" collapsed="false">
      <c r="A839" s="7" t="s">
        <v>2675</v>
      </c>
      <c r="B839" s="7" t="s">
        <v>2214</v>
      </c>
      <c r="C839" s="7" t="s">
        <v>2676</v>
      </c>
      <c r="D839" s="7" t="s">
        <v>2677</v>
      </c>
      <c r="E839" s="7" t="s">
        <v>160</v>
      </c>
      <c r="F839" s="7" t="s">
        <v>136</v>
      </c>
      <c r="G839" s="7" t="s">
        <v>150</v>
      </c>
      <c r="H839" s="7" t="n">
        <v>5</v>
      </c>
      <c r="I839" s="7" t="n">
        <v>170</v>
      </c>
      <c r="J839" s="7" t="n">
        <v>40</v>
      </c>
      <c r="K839" s="7" t="s">
        <v>112</v>
      </c>
      <c r="L839" s="7" t="s">
        <v>194</v>
      </c>
      <c r="M839" s="7" t="n">
        <v>34</v>
      </c>
      <c r="N839" s="7" t="n">
        <v>3</v>
      </c>
      <c r="O839" s="7" t="str">
        <f aca="false">A839&amp;"|"&amp;B839&amp;"|"&amp;C839&amp;"|"&amp;D839&amp;"|"&amp;E839&amp;"|"&amp;F839&amp;"|"&amp;G839&amp;"|"&amp;H839&amp;"|"&amp;I839&amp;"|"&amp;J839&amp;"|"&amp;K839&amp;"|"&amp;L839&amp;"|"&amp;M839&amp;"|"&amp;N839</f>
        <v>ORD11292|2025-06-14|12:36|C1439|Cake Walk|Pune|Desserts|5|170|40|Cash on Delivery|Delivered|34|3</v>
      </c>
      <c r="P839" s="7" t="str">
        <f aca="false">IF(COUNTIF($O$2:O839,O839)&gt;1,"DUP","OK")</f>
        <v>OK</v>
      </c>
      <c r="Q839" s="7" t="n">
        <f aca="false">COUNTBLANK(A839:N839)</f>
        <v>0</v>
      </c>
      <c r="R839" s="7" t="n">
        <f aca="false">IF(A839="",0,COUNTIFS($A$2:$A$3058,A839,$P$2:$P$3058,"OK"))</f>
        <v>1</v>
      </c>
      <c r="S839" s="7" t="str">
        <f aca="false">IF(OR(A839="",P839="DUP",R839&lt;2),"",IF(Q839=_xlfn.MINIFS($Q$2:$Q$3058,$A$2:$A$3058,A839,$P$2:$P$3058,"OK"),"KEEP","DROP"))</f>
        <v/>
      </c>
      <c r="T839" s="9" t="n">
        <f aca="false">IF(A839="",1,0)</f>
        <v>0</v>
      </c>
      <c r="U839" s="9" t="n">
        <f aca="false">IF(D839="",1,0)</f>
        <v>0</v>
      </c>
      <c r="V839" s="9" t="n">
        <f aca="false">IF(E839="",1,0)</f>
        <v>0</v>
      </c>
      <c r="W839" s="9" t="n">
        <f aca="false">IF(OR(H839&lt;1,H839&gt;10),1,0)</f>
        <v>0</v>
      </c>
      <c r="X839" s="9" t="n">
        <f aca="false">IF(OR(I839&lt;=0,I839&gt;1500),1,0)</f>
        <v>0</v>
      </c>
      <c r="Y839" s="9" t="n">
        <f aca="false">IF(J839&gt;H839*I839,1,0)</f>
        <v>0</v>
      </c>
      <c r="Z839" s="9" t="n">
        <f aca="false">IF(AND(N839&lt;&gt;"",OR(N839&lt;1,N839&gt;5)),1,0)</f>
        <v>0</v>
      </c>
      <c r="AA839" s="9" t="n">
        <f aca="false">IF(AND(M839&lt;&gt;"",OR(M839&lt;5,M839&gt;180)),1,0)</f>
        <v>0</v>
      </c>
      <c r="AB839" s="7" t="str">
        <f aca="false">IF(P839="DUP","Exact duplicate row",IF(T839=1,"Missing Order ID",IF(S839="DROP","Duplicate Order ID (less complete row)",IF(U839=1,"Missing Customer ID",IF(V839=1,"Missing Restaurant name",IF(W839=1,"Invalid/outlier quantity",IF(X839=1,"Invalid/outlier unit price",IF(Y839=1,"Discount greater than order value",""))))))))</f>
        <v/>
      </c>
      <c r="AC839" s="7" t="str">
        <f aca="false">IF(AB839="","KEEP","DROP")</f>
        <v>KEEP</v>
      </c>
      <c r="AD839" s="7" t="str">
        <f aca="false">IF(TRIM(F839)="",IFERROR(INDEX(Map_Tables!$I$4:$I$37,MATCH(TRIM(E839),Map_Tables!$G$4:$G$37,0)),""),IFERROR(INDEX(Map_Tables!$B$4:$B$18,MATCH(TRIM(F839),Map_Tables!$A$4:$A$18,0)),"CHECK"))</f>
        <v>Pune</v>
      </c>
      <c r="AE839" s="7" t="str">
        <f aca="false">IF(TRIM(E839)="","",IFERROR(INDEX(Map_Tables!$H$4:$H$37,MATCH(TRIM(E839),Map_Tables!$G$4:$G$37,0)),"CHECK"))</f>
        <v>Cake Walk</v>
      </c>
      <c r="AF839" s="7" t="str">
        <f aca="false">IF(TRIM(K839)="","Unknown",IFERROR(INDEX(Map_Tables!$E$4:$E$15,MATCH(TRIM(K839),Map_Tables!$D$4:$D$15,0)),"CHECK"))</f>
        <v>Cash on Delivery</v>
      </c>
      <c r="AG839" s="7" t="str">
        <f aca="false">IF(LEFT(LOWER(TRIM(L839)),6)="cancel","Cancelled","Delivered")</f>
        <v>Delivered</v>
      </c>
      <c r="AH839" s="10" t="n">
        <f aca="false">IF(ISNUMBER(SEARCH("/",B839)),DATE(VALUE(RIGHT(B839,4)),VALUE(MID(B839,4,2)),VALUE(LEFT(B839,2))),IF(MID(B839,5,1)="-",DATE(VALUE(LEFT(B839,4)),VALUE(MID(B839,6,2)),VALUE(RIGHT(B839,2))),DATE(VALUE(RIGHT(B839,4)),MATCH(MID(B839,4,3),{"Jan","Feb","Mar","Apr","May","Jun","Jul","Aug","Sep","Oct","Nov","Dec"},0),VALUE(LEFT(B839,2)))))</f>
        <v>45822</v>
      </c>
    </row>
    <row r="840" customFormat="false" ht="15" hidden="false" customHeight="false" outlineLevel="0" collapsed="false">
      <c r="A840" s="7" t="s">
        <v>2678</v>
      </c>
      <c r="B840" s="7" t="s">
        <v>2679</v>
      </c>
      <c r="C840" s="7" t="s">
        <v>1704</v>
      </c>
      <c r="D840" s="7" t="s">
        <v>2680</v>
      </c>
      <c r="E840" s="7" t="s">
        <v>94</v>
      </c>
      <c r="F840" s="7" t="s">
        <v>86</v>
      </c>
      <c r="G840" s="7" t="s">
        <v>95</v>
      </c>
      <c r="H840" s="7" t="n">
        <v>2</v>
      </c>
      <c r="I840" s="7" t="n">
        <v>125</v>
      </c>
      <c r="J840" s="7" t="n">
        <v>0</v>
      </c>
      <c r="K840" s="7" t="s">
        <v>103</v>
      </c>
      <c r="L840" s="7" t="s">
        <v>194</v>
      </c>
      <c r="M840" s="7" t="n">
        <v>55</v>
      </c>
      <c r="N840" s="7" t="n">
        <v>4</v>
      </c>
      <c r="O840" s="7" t="str">
        <f aca="false">A840&amp;"|"&amp;B840&amp;"|"&amp;C840&amp;"|"&amp;D840&amp;"|"&amp;E840&amp;"|"&amp;F840&amp;"|"&amp;G840&amp;"|"&amp;H840&amp;"|"&amp;I840&amp;"|"&amp;J840&amp;"|"&amp;K840&amp;"|"&amp;L840&amp;"|"&amp;M840&amp;"|"&amp;N840</f>
        <v>ORD12517|11/11/2025|20:01|C0067|Dosa Darbar|Bengaluru|South Indian|2|125|0|Debit Card|Delivered|55|4</v>
      </c>
      <c r="P840" s="7" t="str">
        <f aca="false">IF(COUNTIF($O$2:O840,O840)&gt;1,"DUP","OK")</f>
        <v>OK</v>
      </c>
      <c r="Q840" s="7" t="n">
        <f aca="false">COUNTBLANK(A840:N840)</f>
        <v>0</v>
      </c>
      <c r="R840" s="7" t="n">
        <f aca="false">IF(A840="",0,COUNTIFS($A$2:$A$3058,A840,$P$2:$P$3058,"OK"))</f>
        <v>1</v>
      </c>
      <c r="S840" s="7" t="str">
        <f aca="false">IF(OR(A840="",P840="DUP",R840&lt;2),"",IF(Q840=_xlfn.MINIFS($Q$2:$Q$3058,$A$2:$A$3058,A840,$P$2:$P$3058,"OK"),"KEEP","DROP"))</f>
        <v/>
      </c>
      <c r="T840" s="9" t="n">
        <f aca="false">IF(A840="",1,0)</f>
        <v>0</v>
      </c>
      <c r="U840" s="9" t="n">
        <f aca="false">IF(D840="",1,0)</f>
        <v>0</v>
      </c>
      <c r="V840" s="9" t="n">
        <f aca="false">IF(E840="",1,0)</f>
        <v>0</v>
      </c>
      <c r="W840" s="9" t="n">
        <f aca="false">IF(OR(H840&lt;1,H840&gt;10),1,0)</f>
        <v>0</v>
      </c>
      <c r="X840" s="9" t="n">
        <f aca="false">IF(OR(I840&lt;=0,I840&gt;1500),1,0)</f>
        <v>0</v>
      </c>
      <c r="Y840" s="9" t="n">
        <f aca="false">IF(J840&gt;H840*I840,1,0)</f>
        <v>0</v>
      </c>
      <c r="Z840" s="9" t="n">
        <f aca="false">IF(AND(N840&lt;&gt;"",OR(N840&lt;1,N840&gt;5)),1,0)</f>
        <v>0</v>
      </c>
      <c r="AA840" s="9" t="n">
        <f aca="false">IF(AND(M840&lt;&gt;"",OR(M840&lt;5,M840&gt;180)),1,0)</f>
        <v>0</v>
      </c>
      <c r="AB840" s="7" t="str">
        <f aca="false">IF(P840="DUP","Exact duplicate row",IF(T840=1,"Missing Order ID",IF(S840="DROP","Duplicate Order ID (less complete row)",IF(U840=1,"Missing Customer ID",IF(V840=1,"Missing Restaurant name",IF(W840=1,"Invalid/outlier quantity",IF(X840=1,"Invalid/outlier unit price",IF(Y840=1,"Discount greater than order value",""))))))))</f>
        <v/>
      </c>
      <c r="AC840" s="7" t="str">
        <f aca="false">IF(AB840="","KEEP","DROP")</f>
        <v>KEEP</v>
      </c>
      <c r="AD840" s="7" t="str">
        <f aca="false">IF(TRIM(F840)="",IFERROR(INDEX(Map_Tables!$I$4:$I$37,MATCH(TRIM(E840),Map_Tables!$G$4:$G$37,0)),""),IFERROR(INDEX(Map_Tables!$B$4:$B$18,MATCH(TRIM(F840),Map_Tables!$A$4:$A$18,0)),"CHECK"))</f>
        <v>Bengaluru</v>
      </c>
      <c r="AE840" s="7" t="str">
        <f aca="false">IF(TRIM(E840)="","",IFERROR(INDEX(Map_Tables!$H$4:$H$37,MATCH(TRIM(E840),Map_Tables!$G$4:$G$37,0)),"CHECK"))</f>
        <v>Dosa Darbar</v>
      </c>
      <c r="AF840" s="7" t="str">
        <f aca="false">IF(TRIM(K840)="","Unknown",IFERROR(INDEX(Map_Tables!$E$4:$E$15,MATCH(TRIM(K840),Map_Tables!$D$4:$D$15,0)),"CHECK"))</f>
        <v>Debit Card</v>
      </c>
      <c r="AG840" s="7" t="str">
        <f aca="false">IF(LEFT(LOWER(TRIM(L840)),6)="cancel","Cancelled","Delivered")</f>
        <v>Delivered</v>
      </c>
      <c r="AH840" s="10" t="n">
        <f aca="false">IF(ISNUMBER(SEARCH("/",B840)),DATE(VALUE(RIGHT(B840,4)),VALUE(MID(B840,4,2)),VALUE(LEFT(B840,2))),IF(MID(B840,5,1)="-",DATE(VALUE(LEFT(B840,4)),VALUE(MID(B840,6,2)),VALUE(RIGHT(B840,2))),DATE(VALUE(RIGHT(B840,4)),MATCH(MID(B840,4,3),{"Jan","Feb","Mar","Apr","May","Jun","Jul","Aug","Sep","Oct","Nov","Dec"},0),VALUE(LEFT(B840,2)))))</f>
        <v>45972</v>
      </c>
    </row>
    <row r="841" customFormat="false" ht="15" hidden="false" customHeight="false" outlineLevel="0" collapsed="false">
      <c r="A841" s="7" t="s">
        <v>2681</v>
      </c>
      <c r="B841" s="7" t="s">
        <v>1667</v>
      </c>
      <c r="C841" s="7" t="s">
        <v>2125</v>
      </c>
      <c r="D841" s="7" t="s">
        <v>2682</v>
      </c>
      <c r="E841" s="7" t="s">
        <v>160</v>
      </c>
      <c r="F841" s="7" t="s">
        <v>135</v>
      </c>
      <c r="G841" s="7" t="s">
        <v>150</v>
      </c>
      <c r="H841" s="7" t="n">
        <v>2</v>
      </c>
      <c r="I841" s="7" t="n">
        <v>190</v>
      </c>
      <c r="J841" s="7" t="n">
        <v>40</v>
      </c>
      <c r="K841" s="7" t="s">
        <v>88</v>
      </c>
      <c r="L841" s="7" t="s">
        <v>194</v>
      </c>
      <c r="M841" s="7" t="n">
        <v>36</v>
      </c>
      <c r="N841" s="7" t="n">
        <v>5</v>
      </c>
      <c r="O841" s="7" t="str">
        <f aca="false">A841&amp;"|"&amp;B841&amp;"|"&amp;C841&amp;"|"&amp;D841&amp;"|"&amp;E841&amp;"|"&amp;F841&amp;"|"&amp;G841&amp;"|"&amp;H841&amp;"|"&amp;I841&amp;"|"&amp;J841&amp;"|"&amp;K841&amp;"|"&amp;L841&amp;"|"&amp;M841&amp;"|"&amp;N841</f>
        <v>ORD11569|2025-07-24|17:20|C0492|Cake Walk|pune|Desserts|2|190|40|UPI|Delivered|36|5</v>
      </c>
      <c r="P841" s="7" t="str">
        <f aca="false">IF(COUNTIF($O$2:O841,O841)&gt;1,"DUP","OK")</f>
        <v>OK</v>
      </c>
      <c r="Q841" s="7" t="n">
        <f aca="false">COUNTBLANK(A841:N841)</f>
        <v>0</v>
      </c>
      <c r="R841" s="7" t="n">
        <f aca="false">IF(A841="",0,COUNTIFS($A$2:$A$3058,A841,$P$2:$P$3058,"OK"))</f>
        <v>1</v>
      </c>
      <c r="S841" s="7" t="str">
        <f aca="false">IF(OR(A841="",P841="DUP",R841&lt;2),"",IF(Q841=_xlfn.MINIFS($Q$2:$Q$3058,$A$2:$A$3058,A841,$P$2:$P$3058,"OK"),"KEEP","DROP"))</f>
        <v/>
      </c>
      <c r="T841" s="9" t="n">
        <f aca="false">IF(A841="",1,0)</f>
        <v>0</v>
      </c>
      <c r="U841" s="9" t="n">
        <f aca="false">IF(D841="",1,0)</f>
        <v>0</v>
      </c>
      <c r="V841" s="9" t="n">
        <f aca="false">IF(E841="",1,0)</f>
        <v>0</v>
      </c>
      <c r="W841" s="9" t="n">
        <f aca="false">IF(OR(H841&lt;1,H841&gt;10),1,0)</f>
        <v>0</v>
      </c>
      <c r="X841" s="9" t="n">
        <f aca="false">IF(OR(I841&lt;=0,I841&gt;1500),1,0)</f>
        <v>0</v>
      </c>
      <c r="Y841" s="9" t="n">
        <f aca="false">IF(J841&gt;H841*I841,1,0)</f>
        <v>0</v>
      </c>
      <c r="Z841" s="9" t="n">
        <f aca="false">IF(AND(N841&lt;&gt;"",OR(N841&lt;1,N841&gt;5)),1,0)</f>
        <v>0</v>
      </c>
      <c r="AA841" s="9" t="n">
        <f aca="false">IF(AND(M841&lt;&gt;"",OR(M841&lt;5,M841&gt;180)),1,0)</f>
        <v>0</v>
      </c>
      <c r="AB841" s="7" t="str">
        <f aca="false">IF(P841="DUP","Exact duplicate row",IF(T841=1,"Missing Order ID",IF(S841="DROP","Duplicate Order ID (less complete row)",IF(U841=1,"Missing Customer ID",IF(V841=1,"Missing Restaurant name",IF(W841=1,"Invalid/outlier quantity",IF(X841=1,"Invalid/outlier unit price",IF(Y841=1,"Discount greater than order value",""))))))))</f>
        <v/>
      </c>
      <c r="AC841" s="7" t="str">
        <f aca="false">IF(AB841="","KEEP","DROP")</f>
        <v>KEEP</v>
      </c>
      <c r="AD841" s="7" t="str">
        <f aca="false">IF(TRIM(F841)="",IFERROR(INDEX(Map_Tables!$I$4:$I$37,MATCH(TRIM(E841),Map_Tables!$G$4:$G$37,0)),""),IFERROR(INDEX(Map_Tables!$B$4:$B$18,MATCH(TRIM(F841),Map_Tables!$A$4:$A$18,0)),"CHECK"))</f>
        <v>Pune</v>
      </c>
      <c r="AE841" s="7" t="str">
        <f aca="false">IF(TRIM(E841)="","",IFERROR(INDEX(Map_Tables!$H$4:$H$37,MATCH(TRIM(E841),Map_Tables!$G$4:$G$37,0)),"CHECK"))</f>
        <v>Cake Walk</v>
      </c>
      <c r="AF841" s="7" t="str">
        <f aca="false">IF(TRIM(K841)="","Unknown",IFERROR(INDEX(Map_Tables!$E$4:$E$15,MATCH(TRIM(K841),Map_Tables!$D$4:$D$15,0)),"CHECK"))</f>
        <v>UPI</v>
      </c>
      <c r="AG841" s="7" t="str">
        <f aca="false">IF(LEFT(LOWER(TRIM(L841)),6)="cancel","Cancelled","Delivered")</f>
        <v>Delivered</v>
      </c>
      <c r="AH841" s="10" t="n">
        <f aca="false">IF(ISNUMBER(SEARCH("/",B841)),DATE(VALUE(RIGHT(B841,4)),VALUE(MID(B841,4,2)),VALUE(LEFT(B841,2))),IF(MID(B841,5,1)="-",DATE(VALUE(LEFT(B841,4)),VALUE(MID(B841,6,2)),VALUE(RIGHT(B841,2))),DATE(VALUE(RIGHT(B841,4)),MATCH(MID(B841,4,3),{"Jan","Feb","Mar","Apr","May","Jun","Jul","Aug","Sep","Oct","Nov","Dec"},0),VALUE(LEFT(B841,2)))))</f>
        <v>45862</v>
      </c>
    </row>
    <row r="842" customFormat="false" ht="15" hidden="false" customHeight="false" outlineLevel="0" collapsed="false">
      <c r="A842" s="7" t="s">
        <v>2683</v>
      </c>
      <c r="B842" s="7" t="s">
        <v>917</v>
      </c>
      <c r="C842" s="7" t="s">
        <v>976</v>
      </c>
      <c r="D842" s="7"/>
      <c r="E842" s="7" t="s">
        <v>159</v>
      </c>
      <c r="F842" s="7" t="s">
        <v>136</v>
      </c>
      <c r="G842" s="7" t="s">
        <v>90</v>
      </c>
      <c r="H842" s="7" t="n">
        <v>3</v>
      </c>
      <c r="I842" s="7" t="n">
        <v>280</v>
      </c>
      <c r="J842" s="7" t="n">
        <v>0</v>
      </c>
      <c r="K842" s="7" t="s">
        <v>88</v>
      </c>
      <c r="L842" s="7" t="s">
        <v>194</v>
      </c>
      <c r="M842" s="7" t="n">
        <v>35</v>
      </c>
      <c r="N842" s="7" t="n">
        <v>3</v>
      </c>
      <c r="O842" s="7" t="str">
        <f aca="false">A842&amp;"|"&amp;B842&amp;"|"&amp;C842&amp;"|"&amp;D842&amp;"|"&amp;E842&amp;"|"&amp;F842&amp;"|"&amp;G842&amp;"|"&amp;H842&amp;"|"&amp;I842&amp;"|"&amp;J842&amp;"|"&amp;K842&amp;"|"&amp;L842&amp;"|"&amp;M842&amp;"|"&amp;N842</f>
        <v>ORD11076|2025-05-16|20:20||Maratha Thali House|Pune|North Indian|3|280|0|UPI|Delivered|35|3</v>
      </c>
      <c r="P842" s="7" t="str">
        <f aca="false">IF(COUNTIF($O$2:O842,O842)&gt;1,"DUP","OK")</f>
        <v>OK</v>
      </c>
      <c r="Q842" s="7" t="n">
        <f aca="false">COUNTBLANK(A842:N842)</f>
        <v>1</v>
      </c>
      <c r="R842" s="7" t="n">
        <f aca="false">IF(A842="",0,COUNTIFS($A$2:$A$3058,A842,$P$2:$P$3058,"OK"))</f>
        <v>1</v>
      </c>
      <c r="S842" s="7" t="str">
        <f aca="false">IF(OR(A842="",P842="DUP",R842&lt;2),"",IF(Q842=_xlfn.MINIFS($Q$2:$Q$3058,$A$2:$A$3058,A842,$P$2:$P$3058,"OK"),"KEEP","DROP"))</f>
        <v/>
      </c>
      <c r="T842" s="9" t="n">
        <f aca="false">IF(A842="",1,0)</f>
        <v>0</v>
      </c>
      <c r="U842" s="9" t="n">
        <f aca="false">IF(D842="",1,0)</f>
        <v>1</v>
      </c>
      <c r="V842" s="9" t="n">
        <f aca="false">IF(E842="",1,0)</f>
        <v>0</v>
      </c>
      <c r="W842" s="9" t="n">
        <f aca="false">IF(OR(H842&lt;1,H842&gt;10),1,0)</f>
        <v>0</v>
      </c>
      <c r="X842" s="9" t="n">
        <f aca="false">IF(OR(I842&lt;=0,I842&gt;1500),1,0)</f>
        <v>0</v>
      </c>
      <c r="Y842" s="9" t="n">
        <f aca="false">IF(J842&gt;H842*I842,1,0)</f>
        <v>0</v>
      </c>
      <c r="Z842" s="9" t="n">
        <f aca="false">IF(AND(N842&lt;&gt;"",OR(N842&lt;1,N842&gt;5)),1,0)</f>
        <v>0</v>
      </c>
      <c r="AA842" s="9" t="n">
        <f aca="false">IF(AND(M842&lt;&gt;"",OR(M842&lt;5,M842&gt;180)),1,0)</f>
        <v>0</v>
      </c>
      <c r="AB842" s="7" t="str">
        <f aca="false">IF(P842="DUP","Exact duplicate row",IF(T842=1,"Missing Order ID",IF(S842="DROP","Duplicate Order ID (less complete row)",IF(U842=1,"Missing Customer ID",IF(V842=1,"Missing Restaurant name",IF(W842=1,"Invalid/outlier quantity",IF(X842=1,"Invalid/outlier unit price",IF(Y842=1,"Discount greater than order value",""))))))))</f>
        <v>Missing Customer ID</v>
      </c>
      <c r="AC842" s="7" t="str">
        <f aca="false">IF(AB842="","KEEP","DROP")</f>
        <v>DROP</v>
      </c>
      <c r="AD842" s="7" t="str">
        <f aca="false">IF(TRIM(F842)="",IFERROR(INDEX(Map_Tables!$I$4:$I$37,MATCH(TRIM(E842),Map_Tables!$G$4:$G$37,0)),""),IFERROR(INDEX(Map_Tables!$B$4:$B$18,MATCH(TRIM(F842),Map_Tables!$A$4:$A$18,0)),"CHECK"))</f>
        <v>Pune</v>
      </c>
      <c r="AE842" s="7" t="str">
        <f aca="false">IF(TRIM(E842)="","",IFERROR(INDEX(Map_Tables!$H$4:$H$37,MATCH(TRIM(E842),Map_Tables!$G$4:$G$37,0)),"CHECK"))</f>
        <v>Maratha Thali House</v>
      </c>
      <c r="AF842" s="7" t="str">
        <f aca="false">IF(TRIM(K842)="","Unknown",IFERROR(INDEX(Map_Tables!$E$4:$E$15,MATCH(TRIM(K842),Map_Tables!$D$4:$D$15,0)),"CHECK"))</f>
        <v>UPI</v>
      </c>
      <c r="AG842" s="7" t="str">
        <f aca="false">IF(LEFT(LOWER(TRIM(L842)),6)="cancel","Cancelled","Delivered")</f>
        <v>Delivered</v>
      </c>
      <c r="AH842" s="10" t="n">
        <f aca="false">IF(ISNUMBER(SEARCH("/",B842)),DATE(VALUE(RIGHT(B842,4)),VALUE(MID(B842,4,2)),VALUE(LEFT(B842,2))),IF(MID(B842,5,1)="-",DATE(VALUE(LEFT(B842,4)),VALUE(MID(B842,6,2)),VALUE(RIGHT(B842,2))),DATE(VALUE(RIGHT(B842,4)),MATCH(MID(B842,4,3),{"Jan","Feb","Mar","Apr","May","Jun","Jul","Aug","Sep","Oct","Nov","Dec"},0),VALUE(LEFT(B842,2)))))</f>
        <v>45793</v>
      </c>
    </row>
    <row r="843" customFormat="false" ht="15" hidden="false" customHeight="false" outlineLevel="0" collapsed="false">
      <c r="A843" s="7" t="s">
        <v>2684</v>
      </c>
      <c r="B843" s="7" t="s">
        <v>2685</v>
      </c>
      <c r="C843" s="7" t="s">
        <v>2007</v>
      </c>
      <c r="D843" s="7" t="s">
        <v>2686</v>
      </c>
      <c r="E843" s="7" t="s">
        <v>104</v>
      </c>
      <c r="F843" s="7" t="s">
        <v>86</v>
      </c>
      <c r="G843" s="7" t="s">
        <v>105</v>
      </c>
      <c r="H843" s="7" t="n">
        <v>1</v>
      </c>
      <c r="I843" s="7" t="n">
        <v>220</v>
      </c>
      <c r="J843" s="7" t="n">
        <v>0</v>
      </c>
      <c r="K843" s="7" t="s">
        <v>112</v>
      </c>
      <c r="L843" s="7" t="s">
        <v>238</v>
      </c>
      <c r="M843" s="7"/>
      <c r="N843" s="7"/>
      <c r="O843" s="7" t="str">
        <f aca="false">A843&amp;"|"&amp;B843&amp;"|"&amp;C843&amp;"|"&amp;D843&amp;"|"&amp;E843&amp;"|"&amp;F843&amp;"|"&amp;G843&amp;"|"&amp;H843&amp;"|"&amp;I843&amp;"|"&amp;J843&amp;"|"&amp;K843&amp;"|"&amp;L843&amp;"|"&amp;M843&amp;"|"&amp;N843</f>
        <v>ORD10786|2025-04-09|22:22|C0627|Wok &amp; Roll|Bengaluru|Chinese|1|220|0|Cash on Delivery|Cancelled||</v>
      </c>
      <c r="P843" s="7" t="str">
        <f aca="false">IF(COUNTIF($O$2:O843,O843)&gt;1,"DUP","OK")</f>
        <v>OK</v>
      </c>
      <c r="Q843" s="7" t="n">
        <f aca="false">COUNTBLANK(A843:N843)</f>
        <v>2</v>
      </c>
      <c r="R843" s="7" t="n">
        <f aca="false">IF(A843="",0,COUNTIFS($A$2:$A$3058,A843,$P$2:$P$3058,"OK"))</f>
        <v>1</v>
      </c>
      <c r="S843" s="7" t="str">
        <f aca="false">IF(OR(A843="",P843="DUP",R843&lt;2),"",IF(Q843=_xlfn.MINIFS($Q$2:$Q$3058,$A$2:$A$3058,A843,$P$2:$P$3058,"OK"),"KEEP","DROP"))</f>
        <v/>
      </c>
      <c r="T843" s="9" t="n">
        <f aca="false">IF(A843="",1,0)</f>
        <v>0</v>
      </c>
      <c r="U843" s="9" t="n">
        <f aca="false">IF(D843="",1,0)</f>
        <v>0</v>
      </c>
      <c r="V843" s="9" t="n">
        <f aca="false">IF(E843="",1,0)</f>
        <v>0</v>
      </c>
      <c r="W843" s="9" t="n">
        <f aca="false">IF(OR(H843&lt;1,H843&gt;10),1,0)</f>
        <v>0</v>
      </c>
      <c r="X843" s="9" t="n">
        <f aca="false">IF(OR(I843&lt;=0,I843&gt;1500),1,0)</f>
        <v>0</v>
      </c>
      <c r="Y843" s="9" t="n">
        <f aca="false">IF(J843&gt;H843*I843,1,0)</f>
        <v>0</v>
      </c>
      <c r="Z843" s="9" t="n">
        <f aca="false">IF(AND(N843&lt;&gt;"",OR(N843&lt;1,N843&gt;5)),1,0)</f>
        <v>0</v>
      </c>
      <c r="AA843" s="9" t="n">
        <f aca="false">IF(AND(M843&lt;&gt;"",OR(M843&lt;5,M843&gt;180)),1,0)</f>
        <v>0</v>
      </c>
      <c r="AB843" s="7" t="str">
        <f aca="false">IF(P843="DUP","Exact duplicate row",IF(T843=1,"Missing Order ID",IF(S843="DROP","Duplicate Order ID (less complete row)",IF(U843=1,"Missing Customer ID",IF(V843=1,"Missing Restaurant name",IF(W843=1,"Invalid/outlier quantity",IF(X843=1,"Invalid/outlier unit price",IF(Y843=1,"Discount greater than order value",""))))))))</f>
        <v/>
      </c>
      <c r="AC843" s="7" t="str">
        <f aca="false">IF(AB843="","KEEP","DROP")</f>
        <v>KEEP</v>
      </c>
      <c r="AD843" s="7" t="str">
        <f aca="false">IF(TRIM(F843)="",IFERROR(INDEX(Map_Tables!$I$4:$I$37,MATCH(TRIM(E843),Map_Tables!$G$4:$G$37,0)),""),IFERROR(INDEX(Map_Tables!$B$4:$B$18,MATCH(TRIM(F843),Map_Tables!$A$4:$A$18,0)),"CHECK"))</f>
        <v>Bengaluru</v>
      </c>
      <c r="AE843" s="7" t="str">
        <f aca="false">IF(TRIM(E843)="","",IFERROR(INDEX(Map_Tables!$H$4:$H$37,MATCH(TRIM(E843),Map_Tables!$G$4:$G$37,0)),"CHECK"))</f>
        <v>Wok &amp; Roll</v>
      </c>
      <c r="AF843" s="7" t="str">
        <f aca="false">IF(TRIM(K843)="","Unknown",IFERROR(INDEX(Map_Tables!$E$4:$E$15,MATCH(TRIM(K843),Map_Tables!$D$4:$D$15,0)),"CHECK"))</f>
        <v>Cash on Delivery</v>
      </c>
      <c r="AG843" s="7" t="str">
        <f aca="false">IF(LEFT(LOWER(TRIM(L843)),6)="cancel","Cancelled","Delivered")</f>
        <v>Cancelled</v>
      </c>
      <c r="AH843" s="10" t="n">
        <f aca="false">IF(ISNUMBER(SEARCH("/",B843)),DATE(VALUE(RIGHT(B843,4)),VALUE(MID(B843,4,2)),VALUE(LEFT(B843,2))),IF(MID(B843,5,1)="-",DATE(VALUE(LEFT(B843,4)),VALUE(MID(B843,6,2)),VALUE(RIGHT(B843,2))),DATE(VALUE(RIGHT(B843,4)),MATCH(MID(B843,4,3),{"Jan","Feb","Mar","Apr","May","Jun","Jul","Aug","Sep","Oct","Nov","Dec"},0),VALUE(LEFT(B843,2)))))</f>
        <v>45756</v>
      </c>
    </row>
    <row r="844" customFormat="false" ht="15" hidden="false" customHeight="false" outlineLevel="0" collapsed="false">
      <c r="A844" s="7" t="s">
        <v>2687</v>
      </c>
      <c r="B844" s="7" t="s">
        <v>758</v>
      </c>
      <c r="C844" s="7" t="s">
        <v>2688</v>
      </c>
      <c r="D844" s="7" t="s">
        <v>2689</v>
      </c>
      <c r="E844" s="7" t="s">
        <v>122</v>
      </c>
      <c r="F844" s="7" t="s">
        <v>101</v>
      </c>
      <c r="G844" s="7" t="s">
        <v>123</v>
      </c>
      <c r="H844" s="7" t="n">
        <v>1</v>
      </c>
      <c r="I844" s="7" t="n">
        <v>300</v>
      </c>
      <c r="J844" s="7" t="n">
        <v>0</v>
      </c>
      <c r="K844" s="7" t="s">
        <v>87</v>
      </c>
      <c r="L844" s="7" t="s">
        <v>194</v>
      </c>
      <c r="M844" s="7" t="n">
        <v>39</v>
      </c>
      <c r="N844" s="7" t="n">
        <v>2</v>
      </c>
      <c r="O844" s="7" t="str">
        <f aca="false">A844&amp;"|"&amp;B844&amp;"|"&amp;C844&amp;"|"&amp;D844&amp;"|"&amp;E844&amp;"|"&amp;F844&amp;"|"&amp;G844&amp;"|"&amp;H844&amp;"|"&amp;I844&amp;"|"&amp;J844&amp;"|"&amp;K844&amp;"|"&amp;L844&amp;"|"&amp;M844&amp;"|"&amp;N844</f>
        <v>ORD12808|2025-12-10|11:23|C1448|Mumbai Pizza Co|Mumbai|Pizza|1|300|0|upi|Delivered|39|2</v>
      </c>
      <c r="P844" s="7" t="str">
        <f aca="false">IF(COUNTIF($O$2:O844,O844)&gt;1,"DUP","OK")</f>
        <v>OK</v>
      </c>
      <c r="Q844" s="7" t="n">
        <f aca="false">COUNTBLANK(A844:N844)</f>
        <v>0</v>
      </c>
      <c r="R844" s="7" t="n">
        <f aca="false">IF(A844="",0,COUNTIFS($A$2:$A$3058,A844,$P$2:$P$3058,"OK"))</f>
        <v>1</v>
      </c>
      <c r="S844" s="7" t="str">
        <f aca="false">IF(OR(A844="",P844="DUP",R844&lt;2),"",IF(Q844=_xlfn.MINIFS($Q$2:$Q$3058,$A$2:$A$3058,A844,$P$2:$P$3058,"OK"),"KEEP","DROP"))</f>
        <v/>
      </c>
      <c r="T844" s="9" t="n">
        <f aca="false">IF(A844="",1,0)</f>
        <v>0</v>
      </c>
      <c r="U844" s="9" t="n">
        <f aca="false">IF(D844="",1,0)</f>
        <v>0</v>
      </c>
      <c r="V844" s="9" t="n">
        <f aca="false">IF(E844="",1,0)</f>
        <v>0</v>
      </c>
      <c r="W844" s="9" t="n">
        <f aca="false">IF(OR(H844&lt;1,H844&gt;10),1,0)</f>
        <v>0</v>
      </c>
      <c r="X844" s="9" t="n">
        <f aca="false">IF(OR(I844&lt;=0,I844&gt;1500),1,0)</f>
        <v>0</v>
      </c>
      <c r="Y844" s="9" t="n">
        <f aca="false">IF(J844&gt;H844*I844,1,0)</f>
        <v>0</v>
      </c>
      <c r="Z844" s="9" t="n">
        <f aca="false">IF(AND(N844&lt;&gt;"",OR(N844&lt;1,N844&gt;5)),1,0)</f>
        <v>0</v>
      </c>
      <c r="AA844" s="9" t="n">
        <f aca="false">IF(AND(M844&lt;&gt;"",OR(M844&lt;5,M844&gt;180)),1,0)</f>
        <v>0</v>
      </c>
      <c r="AB844" s="7" t="str">
        <f aca="false">IF(P844="DUP","Exact duplicate row",IF(T844=1,"Missing Order ID",IF(S844="DROP","Duplicate Order ID (less complete row)",IF(U844=1,"Missing Customer ID",IF(V844=1,"Missing Restaurant name",IF(W844=1,"Invalid/outlier quantity",IF(X844=1,"Invalid/outlier unit price",IF(Y844=1,"Discount greater than order value",""))))))))</f>
        <v/>
      </c>
      <c r="AC844" s="7" t="str">
        <f aca="false">IF(AB844="","KEEP","DROP")</f>
        <v>KEEP</v>
      </c>
      <c r="AD844" s="7" t="str">
        <f aca="false">IF(TRIM(F844)="",IFERROR(INDEX(Map_Tables!$I$4:$I$37,MATCH(TRIM(E844),Map_Tables!$G$4:$G$37,0)),""),IFERROR(INDEX(Map_Tables!$B$4:$B$18,MATCH(TRIM(F844),Map_Tables!$A$4:$A$18,0)),"CHECK"))</f>
        <v>Mumbai</v>
      </c>
      <c r="AE844" s="7" t="str">
        <f aca="false">IF(TRIM(E844)="","",IFERROR(INDEX(Map_Tables!$H$4:$H$37,MATCH(TRIM(E844),Map_Tables!$G$4:$G$37,0)),"CHECK"))</f>
        <v>Mumbai Pizza Co</v>
      </c>
      <c r="AF844" s="7" t="str">
        <f aca="false">IF(TRIM(K844)="","Unknown",IFERROR(INDEX(Map_Tables!$E$4:$E$15,MATCH(TRIM(K844),Map_Tables!$D$4:$D$15,0)),"CHECK"))</f>
        <v>UPI</v>
      </c>
      <c r="AG844" s="7" t="str">
        <f aca="false">IF(LEFT(LOWER(TRIM(L844)),6)="cancel","Cancelled","Delivered")</f>
        <v>Delivered</v>
      </c>
      <c r="AH844" s="10" t="n">
        <f aca="false">IF(ISNUMBER(SEARCH("/",B844)),DATE(VALUE(RIGHT(B844,4)),VALUE(MID(B844,4,2)),VALUE(LEFT(B844,2))),IF(MID(B844,5,1)="-",DATE(VALUE(LEFT(B844,4)),VALUE(MID(B844,6,2)),VALUE(RIGHT(B844,2))),DATE(VALUE(RIGHT(B844,4)),MATCH(MID(B844,4,3),{"Jan","Feb","Mar","Apr","May","Jun","Jul","Aug","Sep","Oct","Nov","Dec"},0),VALUE(LEFT(B844,2)))))</f>
        <v>46001</v>
      </c>
    </row>
    <row r="845" customFormat="false" ht="15" hidden="false" customHeight="false" outlineLevel="0" collapsed="false">
      <c r="A845" s="7" t="s">
        <v>2690</v>
      </c>
      <c r="B845" s="7" t="s">
        <v>912</v>
      </c>
      <c r="C845" s="7" t="s">
        <v>2691</v>
      </c>
      <c r="D845" s="7" t="s">
        <v>408</v>
      </c>
      <c r="E845" s="7" t="s">
        <v>144</v>
      </c>
      <c r="F845" s="7" t="s">
        <v>118</v>
      </c>
      <c r="G845" s="7" t="s">
        <v>99</v>
      </c>
      <c r="H845" s="7" t="n">
        <v>1</v>
      </c>
      <c r="I845" s="7" t="n">
        <v>355</v>
      </c>
      <c r="J845" s="7" t="n">
        <v>40</v>
      </c>
      <c r="K845" s="7" t="s">
        <v>133</v>
      </c>
      <c r="L845" s="7" t="s">
        <v>194</v>
      </c>
      <c r="M845" s="7" t="n">
        <v>35</v>
      </c>
      <c r="N845" s="7" t="n">
        <v>5</v>
      </c>
      <c r="O845" s="7" t="str">
        <f aca="false">A845&amp;"|"&amp;B845&amp;"|"&amp;C845&amp;"|"&amp;D845&amp;"|"&amp;E845&amp;"|"&amp;F845&amp;"|"&amp;G845&amp;"|"&amp;H845&amp;"|"&amp;I845&amp;"|"&amp;J845&amp;"|"&amp;K845&amp;"|"&amp;L845&amp;"|"&amp;M845&amp;"|"&amp;N845</f>
        <v>ORD10174|2025-01-23|13:58|C0166|Hyderabad Dum Biryani|hyderabad|Biryani|1|355|40|Net Banking|Delivered|35|5</v>
      </c>
      <c r="P845" s="7" t="str">
        <f aca="false">IF(COUNTIF($O$2:O845,O845)&gt;1,"DUP","OK")</f>
        <v>OK</v>
      </c>
      <c r="Q845" s="7" t="n">
        <f aca="false">COUNTBLANK(A845:N845)</f>
        <v>0</v>
      </c>
      <c r="R845" s="7" t="n">
        <f aca="false">IF(A845="",0,COUNTIFS($A$2:$A$3058,A845,$P$2:$P$3058,"OK"))</f>
        <v>1</v>
      </c>
      <c r="S845" s="7" t="str">
        <f aca="false">IF(OR(A845="",P845="DUP",R845&lt;2),"",IF(Q845=_xlfn.MINIFS($Q$2:$Q$3058,$A$2:$A$3058,A845,$P$2:$P$3058,"OK"),"KEEP","DROP"))</f>
        <v/>
      </c>
      <c r="T845" s="9" t="n">
        <f aca="false">IF(A845="",1,0)</f>
        <v>0</v>
      </c>
      <c r="U845" s="9" t="n">
        <f aca="false">IF(D845="",1,0)</f>
        <v>0</v>
      </c>
      <c r="V845" s="9" t="n">
        <f aca="false">IF(E845="",1,0)</f>
        <v>0</v>
      </c>
      <c r="W845" s="9" t="n">
        <f aca="false">IF(OR(H845&lt;1,H845&gt;10),1,0)</f>
        <v>0</v>
      </c>
      <c r="X845" s="9" t="n">
        <f aca="false">IF(OR(I845&lt;=0,I845&gt;1500),1,0)</f>
        <v>0</v>
      </c>
      <c r="Y845" s="9" t="n">
        <f aca="false">IF(J845&gt;H845*I845,1,0)</f>
        <v>0</v>
      </c>
      <c r="Z845" s="9" t="n">
        <f aca="false">IF(AND(N845&lt;&gt;"",OR(N845&lt;1,N845&gt;5)),1,0)</f>
        <v>0</v>
      </c>
      <c r="AA845" s="9" t="n">
        <f aca="false">IF(AND(M845&lt;&gt;"",OR(M845&lt;5,M845&gt;180)),1,0)</f>
        <v>0</v>
      </c>
      <c r="AB845" s="7" t="str">
        <f aca="false">IF(P845="DUP","Exact duplicate row",IF(T845=1,"Missing Order ID",IF(S845="DROP","Duplicate Order ID (less complete row)",IF(U845=1,"Missing Customer ID",IF(V845=1,"Missing Restaurant name",IF(W845=1,"Invalid/outlier quantity",IF(X845=1,"Invalid/outlier unit price",IF(Y845=1,"Discount greater than order value",""))))))))</f>
        <v/>
      </c>
      <c r="AC845" s="7" t="str">
        <f aca="false">IF(AB845="","KEEP","DROP")</f>
        <v>KEEP</v>
      </c>
      <c r="AD845" s="7" t="str">
        <f aca="false">IF(TRIM(F845)="",IFERROR(INDEX(Map_Tables!$I$4:$I$37,MATCH(TRIM(E845),Map_Tables!$G$4:$G$37,0)),""),IFERROR(INDEX(Map_Tables!$B$4:$B$18,MATCH(TRIM(F845),Map_Tables!$A$4:$A$18,0)),"CHECK"))</f>
        <v>Hyderabad</v>
      </c>
      <c r="AE845" s="7" t="str">
        <f aca="false">IF(TRIM(E845)="","",IFERROR(INDEX(Map_Tables!$H$4:$H$37,MATCH(TRIM(E845),Map_Tables!$G$4:$G$37,0)),"CHECK"))</f>
        <v>Hyderabad Dum Biryani</v>
      </c>
      <c r="AF845" s="7" t="str">
        <f aca="false">IF(TRIM(K845)="","Unknown",IFERROR(INDEX(Map_Tables!$E$4:$E$15,MATCH(TRIM(K845),Map_Tables!$D$4:$D$15,0)),"CHECK"))</f>
        <v>Net Banking</v>
      </c>
      <c r="AG845" s="7" t="str">
        <f aca="false">IF(LEFT(LOWER(TRIM(L845)),6)="cancel","Cancelled","Delivered")</f>
        <v>Delivered</v>
      </c>
      <c r="AH845" s="10" t="n">
        <f aca="false">IF(ISNUMBER(SEARCH("/",B845)),DATE(VALUE(RIGHT(B845,4)),VALUE(MID(B845,4,2)),VALUE(LEFT(B845,2))),IF(MID(B845,5,1)="-",DATE(VALUE(LEFT(B845,4)),VALUE(MID(B845,6,2)),VALUE(RIGHT(B845,2))),DATE(VALUE(RIGHT(B845,4)),MATCH(MID(B845,4,3),{"Jan","Feb","Mar","Apr","May","Jun","Jul","Aug","Sep","Oct","Nov","Dec"},0),VALUE(LEFT(B845,2)))))</f>
        <v>45680</v>
      </c>
    </row>
    <row r="846" customFormat="false" ht="15" hidden="false" customHeight="false" outlineLevel="0" collapsed="false">
      <c r="A846" s="7" t="s">
        <v>2692</v>
      </c>
      <c r="B846" s="7" t="s">
        <v>1354</v>
      </c>
      <c r="C846" s="7" t="s">
        <v>361</v>
      </c>
      <c r="D846" s="7" t="s">
        <v>1681</v>
      </c>
      <c r="E846" s="7" t="s">
        <v>158</v>
      </c>
      <c r="F846" s="7" t="s">
        <v>136</v>
      </c>
      <c r="G846" s="7" t="s">
        <v>139</v>
      </c>
      <c r="H846" s="7" t="n">
        <v>2</v>
      </c>
      <c r="I846" s="7" t="n">
        <v>200</v>
      </c>
      <c r="J846" s="7" t="n">
        <v>0</v>
      </c>
      <c r="K846" s="7" t="s">
        <v>88</v>
      </c>
      <c r="L846" s="7" t="s">
        <v>194</v>
      </c>
      <c r="M846" s="7" t="n">
        <v>33</v>
      </c>
      <c r="N846" s="7" t="n">
        <v>4</v>
      </c>
      <c r="O846" s="7" t="str">
        <f aca="false">A846&amp;"|"&amp;B846&amp;"|"&amp;C846&amp;"|"&amp;D846&amp;"|"&amp;E846&amp;"|"&amp;F846&amp;"|"&amp;G846&amp;"|"&amp;H846&amp;"|"&amp;I846&amp;"|"&amp;J846&amp;"|"&amp;K846&amp;"|"&amp;L846&amp;"|"&amp;M846&amp;"|"&amp;N846</f>
        <v>ORD10142|2025-01-19|11:08|C0792|Pune Burger Hub|Pune|Burgers|2|200|0|UPI|Delivered|33|4</v>
      </c>
      <c r="P846" s="7" t="str">
        <f aca="false">IF(COUNTIF($O$2:O846,O846)&gt;1,"DUP","OK")</f>
        <v>OK</v>
      </c>
      <c r="Q846" s="7" t="n">
        <f aca="false">COUNTBLANK(A846:N846)</f>
        <v>0</v>
      </c>
      <c r="R846" s="7" t="n">
        <f aca="false">IF(A846="",0,COUNTIFS($A$2:$A$3058,A846,$P$2:$P$3058,"OK"))</f>
        <v>1</v>
      </c>
      <c r="S846" s="7" t="str">
        <f aca="false">IF(OR(A846="",P846="DUP",R846&lt;2),"",IF(Q846=_xlfn.MINIFS($Q$2:$Q$3058,$A$2:$A$3058,A846,$P$2:$P$3058,"OK"),"KEEP","DROP"))</f>
        <v/>
      </c>
      <c r="T846" s="9" t="n">
        <f aca="false">IF(A846="",1,0)</f>
        <v>0</v>
      </c>
      <c r="U846" s="9" t="n">
        <f aca="false">IF(D846="",1,0)</f>
        <v>0</v>
      </c>
      <c r="V846" s="9" t="n">
        <f aca="false">IF(E846="",1,0)</f>
        <v>0</v>
      </c>
      <c r="W846" s="9" t="n">
        <f aca="false">IF(OR(H846&lt;1,H846&gt;10),1,0)</f>
        <v>0</v>
      </c>
      <c r="X846" s="9" t="n">
        <f aca="false">IF(OR(I846&lt;=0,I846&gt;1500),1,0)</f>
        <v>0</v>
      </c>
      <c r="Y846" s="9" t="n">
        <f aca="false">IF(J846&gt;H846*I846,1,0)</f>
        <v>0</v>
      </c>
      <c r="Z846" s="9" t="n">
        <f aca="false">IF(AND(N846&lt;&gt;"",OR(N846&lt;1,N846&gt;5)),1,0)</f>
        <v>0</v>
      </c>
      <c r="AA846" s="9" t="n">
        <f aca="false">IF(AND(M846&lt;&gt;"",OR(M846&lt;5,M846&gt;180)),1,0)</f>
        <v>0</v>
      </c>
      <c r="AB846" s="7" t="str">
        <f aca="false">IF(P846="DUP","Exact duplicate row",IF(T846=1,"Missing Order ID",IF(S846="DROP","Duplicate Order ID (less complete row)",IF(U846=1,"Missing Customer ID",IF(V846=1,"Missing Restaurant name",IF(W846=1,"Invalid/outlier quantity",IF(X846=1,"Invalid/outlier unit price",IF(Y846=1,"Discount greater than order value",""))))))))</f>
        <v/>
      </c>
      <c r="AC846" s="7" t="str">
        <f aca="false">IF(AB846="","KEEP","DROP")</f>
        <v>KEEP</v>
      </c>
      <c r="AD846" s="7" t="str">
        <f aca="false">IF(TRIM(F846)="",IFERROR(INDEX(Map_Tables!$I$4:$I$37,MATCH(TRIM(E846),Map_Tables!$G$4:$G$37,0)),""),IFERROR(INDEX(Map_Tables!$B$4:$B$18,MATCH(TRIM(F846),Map_Tables!$A$4:$A$18,0)),"CHECK"))</f>
        <v>Pune</v>
      </c>
      <c r="AE846" s="7" t="str">
        <f aca="false">IF(TRIM(E846)="","",IFERROR(INDEX(Map_Tables!$H$4:$H$37,MATCH(TRIM(E846),Map_Tables!$G$4:$G$37,0)),"CHECK"))</f>
        <v>Pune Burger Hub</v>
      </c>
      <c r="AF846" s="7" t="str">
        <f aca="false">IF(TRIM(K846)="","Unknown",IFERROR(INDEX(Map_Tables!$E$4:$E$15,MATCH(TRIM(K846),Map_Tables!$D$4:$D$15,0)),"CHECK"))</f>
        <v>UPI</v>
      </c>
      <c r="AG846" s="7" t="str">
        <f aca="false">IF(LEFT(LOWER(TRIM(L846)),6)="cancel","Cancelled","Delivered")</f>
        <v>Delivered</v>
      </c>
      <c r="AH846" s="10" t="n">
        <f aca="false">IF(ISNUMBER(SEARCH("/",B846)),DATE(VALUE(RIGHT(B846,4)),VALUE(MID(B846,4,2)),VALUE(LEFT(B846,2))),IF(MID(B846,5,1)="-",DATE(VALUE(LEFT(B846,4)),VALUE(MID(B846,6,2)),VALUE(RIGHT(B846,2))),DATE(VALUE(RIGHT(B846,4)),MATCH(MID(B846,4,3),{"Jan","Feb","Mar","Apr","May","Jun","Jul","Aug","Sep","Oct","Nov","Dec"},0),VALUE(LEFT(B846,2)))))</f>
        <v>45676</v>
      </c>
    </row>
    <row r="847" customFormat="false" ht="15" hidden="false" customHeight="false" outlineLevel="0" collapsed="false">
      <c r="A847" s="7" t="s">
        <v>2693</v>
      </c>
      <c r="B847" s="7" t="s">
        <v>381</v>
      </c>
      <c r="C847" s="7" t="s">
        <v>1539</v>
      </c>
      <c r="D847" s="7" t="s">
        <v>2694</v>
      </c>
      <c r="E847" s="7" t="s">
        <v>116</v>
      </c>
      <c r="F847" s="7" t="s">
        <v>215</v>
      </c>
      <c r="G847" s="7" t="s">
        <v>117</v>
      </c>
      <c r="H847" s="7" t="n">
        <v>3</v>
      </c>
      <c r="I847" s="7" t="n">
        <v>110</v>
      </c>
      <c r="J847" s="7" t="n">
        <v>40</v>
      </c>
      <c r="K847" s="7" t="s">
        <v>121</v>
      </c>
      <c r="L847" s="7" t="s">
        <v>238</v>
      </c>
      <c r="M847" s="7"/>
      <c r="N847" s="7"/>
      <c r="O847" s="7" t="str">
        <f aca="false">A847&amp;"|"&amp;B847&amp;"|"&amp;C847&amp;"|"&amp;D847&amp;"|"&amp;E847&amp;"|"&amp;F847&amp;"|"&amp;G847&amp;"|"&amp;H847&amp;"|"&amp;I847&amp;"|"&amp;J847&amp;"|"&amp;K847&amp;"|"&amp;L847&amp;"|"&amp;M847&amp;"|"&amp;N847</f>
        <v>ORD10205|2025-01-28|11:32|C0117|Pav Bhaji Point|MUMBAI|Street Food|3|110|40|Wallet|Cancelled||</v>
      </c>
      <c r="P847" s="7" t="str">
        <f aca="false">IF(COUNTIF($O$2:O847,O847)&gt;1,"DUP","OK")</f>
        <v>OK</v>
      </c>
      <c r="Q847" s="7" t="n">
        <f aca="false">COUNTBLANK(A847:N847)</f>
        <v>2</v>
      </c>
      <c r="R847" s="7" t="n">
        <f aca="false">IF(A847="",0,COUNTIFS($A$2:$A$3058,A847,$P$2:$P$3058,"OK"))</f>
        <v>1</v>
      </c>
      <c r="S847" s="7" t="str">
        <f aca="false">IF(OR(A847="",P847="DUP",R847&lt;2),"",IF(Q847=_xlfn.MINIFS($Q$2:$Q$3058,$A$2:$A$3058,A847,$P$2:$P$3058,"OK"),"KEEP","DROP"))</f>
        <v/>
      </c>
      <c r="T847" s="9" t="n">
        <f aca="false">IF(A847="",1,0)</f>
        <v>0</v>
      </c>
      <c r="U847" s="9" t="n">
        <f aca="false">IF(D847="",1,0)</f>
        <v>0</v>
      </c>
      <c r="V847" s="9" t="n">
        <f aca="false">IF(E847="",1,0)</f>
        <v>0</v>
      </c>
      <c r="W847" s="9" t="n">
        <f aca="false">IF(OR(H847&lt;1,H847&gt;10),1,0)</f>
        <v>0</v>
      </c>
      <c r="X847" s="9" t="n">
        <f aca="false">IF(OR(I847&lt;=0,I847&gt;1500),1,0)</f>
        <v>0</v>
      </c>
      <c r="Y847" s="9" t="n">
        <f aca="false">IF(J847&gt;H847*I847,1,0)</f>
        <v>0</v>
      </c>
      <c r="Z847" s="9" t="n">
        <f aca="false">IF(AND(N847&lt;&gt;"",OR(N847&lt;1,N847&gt;5)),1,0)</f>
        <v>0</v>
      </c>
      <c r="AA847" s="9" t="n">
        <f aca="false">IF(AND(M847&lt;&gt;"",OR(M847&lt;5,M847&gt;180)),1,0)</f>
        <v>0</v>
      </c>
      <c r="AB847" s="7" t="str">
        <f aca="false">IF(P847="DUP","Exact duplicate row",IF(T847=1,"Missing Order ID",IF(S847="DROP","Duplicate Order ID (less complete row)",IF(U847=1,"Missing Customer ID",IF(V847=1,"Missing Restaurant name",IF(W847=1,"Invalid/outlier quantity",IF(X847=1,"Invalid/outlier unit price",IF(Y847=1,"Discount greater than order value",""))))))))</f>
        <v/>
      </c>
      <c r="AC847" s="7" t="str">
        <f aca="false">IF(AB847="","KEEP","DROP")</f>
        <v>KEEP</v>
      </c>
      <c r="AD847" s="7" t="str">
        <f aca="false">IF(TRIM(F847)="",IFERROR(INDEX(Map_Tables!$I$4:$I$37,MATCH(TRIM(E847),Map_Tables!$G$4:$G$37,0)),""),IFERROR(INDEX(Map_Tables!$B$4:$B$18,MATCH(TRIM(F847),Map_Tables!$A$4:$A$18,0)),"CHECK"))</f>
        <v>Mumbai</v>
      </c>
      <c r="AE847" s="7" t="str">
        <f aca="false">IF(TRIM(E847)="","",IFERROR(INDEX(Map_Tables!$H$4:$H$37,MATCH(TRIM(E847),Map_Tables!$G$4:$G$37,0)),"CHECK"))</f>
        <v>Pav Bhaji Point</v>
      </c>
      <c r="AF847" s="7" t="str">
        <f aca="false">IF(TRIM(K847)="","Unknown",IFERROR(INDEX(Map_Tables!$E$4:$E$15,MATCH(TRIM(K847),Map_Tables!$D$4:$D$15,0)),"CHECK"))</f>
        <v>Wallet</v>
      </c>
      <c r="AG847" s="7" t="str">
        <f aca="false">IF(LEFT(LOWER(TRIM(L847)),6)="cancel","Cancelled","Delivered")</f>
        <v>Cancelled</v>
      </c>
      <c r="AH847" s="10" t="n">
        <f aca="false">IF(ISNUMBER(SEARCH("/",B847)),DATE(VALUE(RIGHT(B847,4)),VALUE(MID(B847,4,2)),VALUE(LEFT(B847,2))),IF(MID(B847,5,1)="-",DATE(VALUE(LEFT(B847,4)),VALUE(MID(B847,6,2)),VALUE(RIGHT(B847,2))),DATE(VALUE(RIGHT(B847,4)),MATCH(MID(B847,4,3),{"Jan","Feb","Mar","Apr","May","Jun","Jul","Aug","Sep","Oct","Nov","Dec"},0),VALUE(LEFT(B847,2)))))</f>
        <v>45685</v>
      </c>
    </row>
    <row r="848" customFormat="false" ht="15" hidden="false" customHeight="false" outlineLevel="0" collapsed="false">
      <c r="A848" s="7" t="s">
        <v>2695</v>
      </c>
      <c r="B848" s="7" t="s">
        <v>1433</v>
      </c>
      <c r="C848" s="7" t="s">
        <v>2696</v>
      </c>
      <c r="D848" s="7" t="s">
        <v>2697</v>
      </c>
      <c r="E848" s="7" t="s">
        <v>89</v>
      </c>
      <c r="F848" s="7" t="s">
        <v>86</v>
      </c>
      <c r="G848" s="7" t="s">
        <v>90</v>
      </c>
      <c r="H848" s="7" t="n">
        <v>1</v>
      </c>
      <c r="I848" s="7" t="n">
        <v>180</v>
      </c>
      <c r="J848" s="7" t="n">
        <v>72</v>
      </c>
      <c r="K848" s="7" t="s">
        <v>88</v>
      </c>
      <c r="L848" s="7" t="s">
        <v>194</v>
      </c>
      <c r="M848" s="7" t="n">
        <v>58</v>
      </c>
      <c r="N848" s="7" t="n">
        <v>2</v>
      </c>
      <c r="O848" s="7" t="str">
        <f aca="false">A848&amp;"|"&amp;B848&amp;"|"&amp;C848&amp;"|"&amp;D848&amp;"|"&amp;E848&amp;"|"&amp;F848&amp;"|"&amp;G848&amp;"|"&amp;H848&amp;"|"&amp;I848&amp;"|"&amp;J848&amp;"|"&amp;K848&amp;"|"&amp;L848&amp;"|"&amp;M848&amp;"|"&amp;N848</f>
        <v>ORD12061|2025-09-23|19:05|C0626|Spice Junction|Bengaluru|North Indian|1|180|72|UPI|Delivered|58|2</v>
      </c>
      <c r="P848" s="7" t="str">
        <f aca="false">IF(COUNTIF($O$2:O848,O848)&gt;1,"DUP","OK")</f>
        <v>OK</v>
      </c>
      <c r="Q848" s="7" t="n">
        <f aca="false">COUNTBLANK(A848:N848)</f>
        <v>0</v>
      </c>
      <c r="R848" s="7" t="n">
        <f aca="false">IF(A848="",0,COUNTIFS($A$2:$A$3058,A848,$P$2:$P$3058,"OK"))</f>
        <v>1</v>
      </c>
      <c r="S848" s="7" t="str">
        <f aca="false">IF(OR(A848="",P848="DUP",R848&lt;2),"",IF(Q848=_xlfn.MINIFS($Q$2:$Q$3058,$A$2:$A$3058,A848,$P$2:$P$3058,"OK"),"KEEP","DROP"))</f>
        <v/>
      </c>
      <c r="T848" s="9" t="n">
        <f aca="false">IF(A848="",1,0)</f>
        <v>0</v>
      </c>
      <c r="U848" s="9" t="n">
        <f aca="false">IF(D848="",1,0)</f>
        <v>0</v>
      </c>
      <c r="V848" s="9" t="n">
        <f aca="false">IF(E848="",1,0)</f>
        <v>0</v>
      </c>
      <c r="W848" s="9" t="n">
        <f aca="false">IF(OR(H848&lt;1,H848&gt;10),1,0)</f>
        <v>0</v>
      </c>
      <c r="X848" s="9" t="n">
        <f aca="false">IF(OR(I848&lt;=0,I848&gt;1500),1,0)</f>
        <v>0</v>
      </c>
      <c r="Y848" s="9" t="n">
        <f aca="false">IF(J848&gt;H848*I848,1,0)</f>
        <v>0</v>
      </c>
      <c r="Z848" s="9" t="n">
        <f aca="false">IF(AND(N848&lt;&gt;"",OR(N848&lt;1,N848&gt;5)),1,0)</f>
        <v>0</v>
      </c>
      <c r="AA848" s="9" t="n">
        <f aca="false">IF(AND(M848&lt;&gt;"",OR(M848&lt;5,M848&gt;180)),1,0)</f>
        <v>0</v>
      </c>
      <c r="AB848" s="7" t="str">
        <f aca="false">IF(P848="DUP","Exact duplicate row",IF(T848=1,"Missing Order ID",IF(S848="DROP","Duplicate Order ID (less complete row)",IF(U848=1,"Missing Customer ID",IF(V848=1,"Missing Restaurant name",IF(W848=1,"Invalid/outlier quantity",IF(X848=1,"Invalid/outlier unit price",IF(Y848=1,"Discount greater than order value",""))))))))</f>
        <v/>
      </c>
      <c r="AC848" s="7" t="str">
        <f aca="false">IF(AB848="","KEEP","DROP")</f>
        <v>KEEP</v>
      </c>
      <c r="AD848" s="7" t="str">
        <f aca="false">IF(TRIM(F848)="",IFERROR(INDEX(Map_Tables!$I$4:$I$37,MATCH(TRIM(E848),Map_Tables!$G$4:$G$37,0)),""),IFERROR(INDEX(Map_Tables!$B$4:$B$18,MATCH(TRIM(F848),Map_Tables!$A$4:$A$18,0)),"CHECK"))</f>
        <v>Bengaluru</v>
      </c>
      <c r="AE848" s="7" t="str">
        <f aca="false">IF(TRIM(E848)="","",IFERROR(INDEX(Map_Tables!$H$4:$H$37,MATCH(TRIM(E848),Map_Tables!$G$4:$G$37,0)),"CHECK"))</f>
        <v>Spice Junction</v>
      </c>
      <c r="AF848" s="7" t="str">
        <f aca="false">IF(TRIM(K848)="","Unknown",IFERROR(INDEX(Map_Tables!$E$4:$E$15,MATCH(TRIM(K848),Map_Tables!$D$4:$D$15,0)),"CHECK"))</f>
        <v>UPI</v>
      </c>
      <c r="AG848" s="7" t="str">
        <f aca="false">IF(LEFT(LOWER(TRIM(L848)),6)="cancel","Cancelled","Delivered")</f>
        <v>Delivered</v>
      </c>
      <c r="AH848" s="10" t="n">
        <f aca="false">IF(ISNUMBER(SEARCH("/",B848)),DATE(VALUE(RIGHT(B848,4)),VALUE(MID(B848,4,2)),VALUE(LEFT(B848,2))),IF(MID(B848,5,1)="-",DATE(VALUE(LEFT(B848,4)),VALUE(MID(B848,6,2)),VALUE(RIGHT(B848,2))),DATE(VALUE(RIGHT(B848,4)),MATCH(MID(B848,4,3),{"Jan","Feb","Mar","Apr","May","Jun","Jul","Aug","Sep","Oct","Nov","Dec"},0),VALUE(LEFT(B848,2)))))</f>
        <v>45923</v>
      </c>
    </row>
    <row r="849" customFormat="false" ht="15" hidden="false" customHeight="false" outlineLevel="0" collapsed="false">
      <c r="A849" s="7" t="s">
        <v>2698</v>
      </c>
      <c r="B849" s="7" t="s">
        <v>2150</v>
      </c>
      <c r="C849" s="7" t="s">
        <v>2699</v>
      </c>
      <c r="D849" s="7" t="s">
        <v>1902</v>
      </c>
      <c r="E849" s="7" t="s">
        <v>149</v>
      </c>
      <c r="F849" s="7" t="s">
        <v>2488</v>
      </c>
      <c r="G849" s="7" t="s">
        <v>150</v>
      </c>
      <c r="H849" s="7" t="n">
        <v>2</v>
      </c>
      <c r="I849" s="7" t="n">
        <v>165</v>
      </c>
      <c r="J849" s="7" t="n">
        <v>20</v>
      </c>
      <c r="K849" s="7" t="s">
        <v>88</v>
      </c>
      <c r="L849" s="7" t="s">
        <v>238</v>
      </c>
      <c r="M849" s="7"/>
      <c r="N849" s="7"/>
      <c r="O849" s="7" t="str">
        <f aca="false">A849&amp;"|"&amp;B849&amp;"|"&amp;C849&amp;"|"&amp;D849&amp;"|"&amp;E849&amp;"|"&amp;F849&amp;"|"&amp;G849&amp;"|"&amp;H849&amp;"|"&amp;I849&amp;"|"&amp;J849&amp;"|"&amp;K849&amp;"|"&amp;L849&amp;"|"&amp;M849&amp;"|"&amp;N849</f>
        <v>ORD11765|2025-08-19|18:08|C0696|Sweet Tooth Studio|HYDERABAD|Desserts|2|165|20|UPI|Cancelled||</v>
      </c>
      <c r="P849" s="7" t="str">
        <f aca="false">IF(COUNTIF($O$2:O849,O849)&gt;1,"DUP","OK")</f>
        <v>OK</v>
      </c>
      <c r="Q849" s="7" t="n">
        <f aca="false">COUNTBLANK(A849:N849)</f>
        <v>2</v>
      </c>
      <c r="R849" s="7" t="n">
        <f aca="false">IF(A849="",0,COUNTIFS($A$2:$A$3058,A849,$P$2:$P$3058,"OK"))</f>
        <v>1</v>
      </c>
      <c r="S849" s="7" t="str">
        <f aca="false">IF(OR(A849="",P849="DUP",R849&lt;2),"",IF(Q849=_xlfn.MINIFS($Q$2:$Q$3058,$A$2:$A$3058,A849,$P$2:$P$3058,"OK"),"KEEP","DROP"))</f>
        <v/>
      </c>
      <c r="T849" s="9" t="n">
        <f aca="false">IF(A849="",1,0)</f>
        <v>0</v>
      </c>
      <c r="U849" s="9" t="n">
        <f aca="false">IF(D849="",1,0)</f>
        <v>0</v>
      </c>
      <c r="V849" s="9" t="n">
        <f aca="false">IF(E849="",1,0)</f>
        <v>0</v>
      </c>
      <c r="W849" s="9" t="n">
        <f aca="false">IF(OR(H849&lt;1,H849&gt;10),1,0)</f>
        <v>0</v>
      </c>
      <c r="X849" s="9" t="n">
        <f aca="false">IF(OR(I849&lt;=0,I849&gt;1500),1,0)</f>
        <v>0</v>
      </c>
      <c r="Y849" s="9" t="n">
        <f aca="false">IF(J849&gt;H849*I849,1,0)</f>
        <v>0</v>
      </c>
      <c r="Z849" s="9" t="n">
        <f aca="false">IF(AND(N849&lt;&gt;"",OR(N849&lt;1,N849&gt;5)),1,0)</f>
        <v>0</v>
      </c>
      <c r="AA849" s="9" t="n">
        <f aca="false">IF(AND(M849&lt;&gt;"",OR(M849&lt;5,M849&gt;180)),1,0)</f>
        <v>0</v>
      </c>
      <c r="AB849" s="7" t="str">
        <f aca="false">IF(P849="DUP","Exact duplicate row",IF(T849=1,"Missing Order ID",IF(S849="DROP","Duplicate Order ID (less complete row)",IF(U849=1,"Missing Customer ID",IF(V849=1,"Missing Restaurant name",IF(W849=1,"Invalid/outlier quantity",IF(X849=1,"Invalid/outlier unit price",IF(Y849=1,"Discount greater than order value",""))))))))</f>
        <v/>
      </c>
      <c r="AC849" s="7" t="str">
        <f aca="false">IF(AB849="","KEEP","DROP")</f>
        <v>KEEP</v>
      </c>
      <c r="AD849" s="7" t="str">
        <f aca="false">IF(TRIM(F849)="",IFERROR(INDEX(Map_Tables!$I$4:$I$37,MATCH(TRIM(E849),Map_Tables!$G$4:$G$37,0)),""),IFERROR(INDEX(Map_Tables!$B$4:$B$18,MATCH(TRIM(F849),Map_Tables!$A$4:$A$18,0)),"CHECK"))</f>
        <v>Hyderabad</v>
      </c>
      <c r="AE849" s="7" t="str">
        <f aca="false">IF(TRIM(E849)="","",IFERROR(INDEX(Map_Tables!$H$4:$H$37,MATCH(TRIM(E849),Map_Tables!$G$4:$G$37,0)),"CHECK"))</f>
        <v>Sweet Tooth Studio</v>
      </c>
      <c r="AF849" s="7" t="str">
        <f aca="false">IF(TRIM(K849)="","Unknown",IFERROR(INDEX(Map_Tables!$E$4:$E$15,MATCH(TRIM(K849),Map_Tables!$D$4:$D$15,0)),"CHECK"))</f>
        <v>UPI</v>
      </c>
      <c r="AG849" s="7" t="str">
        <f aca="false">IF(LEFT(LOWER(TRIM(L849)),6)="cancel","Cancelled","Delivered")</f>
        <v>Cancelled</v>
      </c>
      <c r="AH849" s="10" t="n">
        <f aca="false">IF(ISNUMBER(SEARCH("/",B849)),DATE(VALUE(RIGHT(B849,4)),VALUE(MID(B849,4,2)),VALUE(LEFT(B849,2))),IF(MID(B849,5,1)="-",DATE(VALUE(LEFT(B849,4)),VALUE(MID(B849,6,2)),VALUE(RIGHT(B849,2))),DATE(VALUE(RIGHT(B849,4)),MATCH(MID(B849,4,3),{"Jan","Feb","Mar","Apr","May","Jun","Jul","Aug","Sep","Oct","Nov","Dec"},0),VALUE(LEFT(B849,2)))))</f>
        <v>45888</v>
      </c>
    </row>
    <row r="850" customFormat="false" ht="15" hidden="false" customHeight="false" outlineLevel="0" collapsed="false">
      <c r="A850" s="7" t="s">
        <v>2700</v>
      </c>
      <c r="B850" s="7" t="s">
        <v>2045</v>
      </c>
      <c r="C850" s="7" t="s">
        <v>2701</v>
      </c>
      <c r="D850" s="7" t="s">
        <v>2210</v>
      </c>
      <c r="E850" s="7" t="s">
        <v>2702</v>
      </c>
      <c r="F850" s="7" t="s">
        <v>110</v>
      </c>
      <c r="G850" s="7" t="s">
        <v>139</v>
      </c>
      <c r="H850" s="7" t="n">
        <v>3</v>
      </c>
      <c r="I850" s="7" t="n">
        <v>185</v>
      </c>
      <c r="J850" s="7" t="n">
        <v>150</v>
      </c>
      <c r="K850" s="7" t="s">
        <v>88</v>
      </c>
      <c r="L850" s="7" t="s">
        <v>194</v>
      </c>
      <c r="M850" s="7" t="n">
        <v>42</v>
      </c>
      <c r="N850" s="7" t="n">
        <v>2</v>
      </c>
      <c r="O850" s="7" t="str">
        <f aca="false">A850&amp;"|"&amp;B850&amp;"|"&amp;C850&amp;"|"&amp;D850&amp;"|"&amp;E850&amp;"|"&amp;F850&amp;"|"&amp;G850&amp;"|"&amp;H850&amp;"|"&amp;I850&amp;"|"&amp;J850&amp;"|"&amp;K850&amp;"|"&amp;L850&amp;"|"&amp;M850&amp;"|"&amp;N850</f>
        <v>ORD12072|2025-09-24|14:39|C0919|Burger Barn |Delhi|Burgers|3|185|150|UPI|Delivered|42|2</v>
      </c>
      <c r="P850" s="7" t="str">
        <f aca="false">IF(COUNTIF($O$2:O850,O850)&gt;1,"DUP","OK")</f>
        <v>OK</v>
      </c>
      <c r="Q850" s="7" t="n">
        <f aca="false">COUNTBLANK(A850:N850)</f>
        <v>0</v>
      </c>
      <c r="R850" s="7" t="n">
        <f aca="false">IF(A850="",0,COUNTIFS($A$2:$A$3058,A850,$P$2:$P$3058,"OK"))</f>
        <v>1</v>
      </c>
      <c r="S850" s="7" t="str">
        <f aca="false">IF(OR(A850="",P850="DUP",R850&lt;2),"",IF(Q850=_xlfn.MINIFS($Q$2:$Q$3058,$A$2:$A$3058,A850,$P$2:$P$3058,"OK"),"KEEP","DROP"))</f>
        <v/>
      </c>
      <c r="T850" s="9" t="n">
        <f aca="false">IF(A850="",1,0)</f>
        <v>0</v>
      </c>
      <c r="U850" s="9" t="n">
        <f aca="false">IF(D850="",1,0)</f>
        <v>0</v>
      </c>
      <c r="V850" s="9" t="n">
        <f aca="false">IF(E850="",1,0)</f>
        <v>0</v>
      </c>
      <c r="W850" s="9" t="n">
        <f aca="false">IF(OR(H850&lt;1,H850&gt;10),1,0)</f>
        <v>0</v>
      </c>
      <c r="X850" s="9" t="n">
        <f aca="false">IF(OR(I850&lt;=0,I850&gt;1500),1,0)</f>
        <v>0</v>
      </c>
      <c r="Y850" s="9" t="n">
        <f aca="false">IF(J850&gt;H850*I850,1,0)</f>
        <v>0</v>
      </c>
      <c r="Z850" s="9" t="n">
        <f aca="false">IF(AND(N850&lt;&gt;"",OR(N850&lt;1,N850&gt;5)),1,0)</f>
        <v>0</v>
      </c>
      <c r="AA850" s="9" t="n">
        <f aca="false">IF(AND(M850&lt;&gt;"",OR(M850&lt;5,M850&gt;180)),1,0)</f>
        <v>0</v>
      </c>
      <c r="AB850" s="7" t="str">
        <f aca="false">IF(P850="DUP","Exact duplicate row",IF(T850=1,"Missing Order ID",IF(S850="DROP","Duplicate Order ID (less complete row)",IF(U850=1,"Missing Customer ID",IF(V850=1,"Missing Restaurant name",IF(W850=1,"Invalid/outlier quantity",IF(X850=1,"Invalid/outlier unit price",IF(Y850=1,"Discount greater than order value",""))))))))</f>
        <v/>
      </c>
      <c r="AC850" s="7" t="str">
        <f aca="false">IF(AB850="","KEEP","DROP")</f>
        <v>KEEP</v>
      </c>
      <c r="AD850" s="7" t="str">
        <f aca="false">IF(TRIM(F850)="",IFERROR(INDEX(Map_Tables!$I$4:$I$37,MATCH(TRIM(E850),Map_Tables!$G$4:$G$37,0)),""),IFERROR(INDEX(Map_Tables!$B$4:$B$18,MATCH(TRIM(F850),Map_Tables!$A$4:$A$18,0)),"CHECK"))</f>
        <v>Delhi</v>
      </c>
      <c r="AE850" s="7" t="str">
        <f aca="false">IF(TRIM(E850)="","",IFERROR(INDEX(Map_Tables!$H$4:$H$37,MATCH(TRIM(E850),Map_Tables!$G$4:$G$37,0)),"CHECK"))</f>
        <v>Burger Barn</v>
      </c>
      <c r="AF850" s="7" t="str">
        <f aca="false">IF(TRIM(K850)="","Unknown",IFERROR(INDEX(Map_Tables!$E$4:$E$15,MATCH(TRIM(K850),Map_Tables!$D$4:$D$15,0)),"CHECK"))</f>
        <v>UPI</v>
      </c>
      <c r="AG850" s="7" t="str">
        <f aca="false">IF(LEFT(LOWER(TRIM(L850)),6)="cancel","Cancelled","Delivered")</f>
        <v>Delivered</v>
      </c>
      <c r="AH850" s="10" t="n">
        <f aca="false">IF(ISNUMBER(SEARCH("/",B850)),DATE(VALUE(RIGHT(B850,4)),VALUE(MID(B850,4,2)),VALUE(LEFT(B850,2))),IF(MID(B850,5,1)="-",DATE(VALUE(LEFT(B850,4)),VALUE(MID(B850,6,2)),VALUE(RIGHT(B850,2))),DATE(VALUE(RIGHT(B850,4)),MATCH(MID(B850,4,3),{"Jan","Feb","Mar","Apr","May","Jun","Jul","Aug","Sep","Oct","Nov","Dec"},0),VALUE(LEFT(B850,2)))))</f>
        <v>45924</v>
      </c>
    </row>
    <row r="851" customFormat="false" ht="15" hidden="false" customHeight="false" outlineLevel="0" collapsed="false">
      <c r="A851" s="7" t="s">
        <v>2703</v>
      </c>
      <c r="B851" s="7" t="s">
        <v>2704</v>
      </c>
      <c r="C851" s="7" t="s">
        <v>2705</v>
      </c>
      <c r="D851" s="7" t="s">
        <v>2706</v>
      </c>
      <c r="E851" s="7" t="s">
        <v>134</v>
      </c>
      <c r="F851" s="7" t="s">
        <v>110</v>
      </c>
      <c r="G851" s="7" t="s">
        <v>117</v>
      </c>
      <c r="H851" s="7" t="n">
        <v>1</v>
      </c>
      <c r="I851" s="7" t="n">
        <v>115</v>
      </c>
      <c r="J851" s="7" t="n">
        <v>0</v>
      </c>
      <c r="K851" s="7" t="s">
        <v>103</v>
      </c>
      <c r="L851" s="7" t="s">
        <v>194</v>
      </c>
      <c r="M851" s="7" t="n">
        <v>36</v>
      </c>
      <c r="N851" s="7" t="n">
        <v>3</v>
      </c>
      <c r="O851" s="7" t="str">
        <f aca="false">A851&amp;"|"&amp;B851&amp;"|"&amp;C851&amp;"|"&amp;D851&amp;"|"&amp;E851&amp;"|"&amp;F851&amp;"|"&amp;G851&amp;"|"&amp;H851&amp;"|"&amp;I851&amp;"|"&amp;J851&amp;"|"&amp;K851&amp;"|"&amp;L851&amp;"|"&amp;M851&amp;"|"&amp;N851</f>
        <v>ORD11760|18-Aug-2025|21:53|C1039|Chaat Corner|Delhi|Street Food|1|115|0|Debit Card|Delivered|36|3</v>
      </c>
      <c r="P851" s="7" t="str">
        <f aca="false">IF(COUNTIF($O$2:O851,O851)&gt;1,"DUP","OK")</f>
        <v>OK</v>
      </c>
      <c r="Q851" s="7" t="n">
        <f aca="false">COUNTBLANK(A851:N851)</f>
        <v>0</v>
      </c>
      <c r="R851" s="7" t="n">
        <f aca="false">IF(A851="",0,COUNTIFS($A$2:$A$3058,A851,$P$2:$P$3058,"OK"))</f>
        <v>1</v>
      </c>
      <c r="S851" s="7" t="str">
        <f aca="false">IF(OR(A851="",P851="DUP",R851&lt;2),"",IF(Q851=_xlfn.MINIFS($Q$2:$Q$3058,$A$2:$A$3058,A851,$P$2:$P$3058,"OK"),"KEEP","DROP"))</f>
        <v/>
      </c>
      <c r="T851" s="9" t="n">
        <f aca="false">IF(A851="",1,0)</f>
        <v>0</v>
      </c>
      <c r="U851" s="9" t="n">
        <f aca="false">IF(D851="",1,0)</f>
        <v>0</v>
      </c>
      <c r="V851" s="9" t="n">
        <f aca="false">IF(E851="",1,0)</f>
        <v>0</v>
      </c>
      <c r="W851" s="9" t="n">
        <f aca="false">IF(OR(H851&lt;1,H851&gt;10),1,0)</f>
        <v>0</v>
      </c>
      <c r="X851" s="9" t="n">
        <f aca="false">IF(OR(I851&lt;=0,I851&gt;1500),1,0)</f>
        <v>0</v>
      </c>
      <c r="Y851" s="9" t="n">
        <f aca="false">IF(J851&gt;H851*I851,1,0)</f>
        <v>0</v>
      </c>
      <c r="Z851" s="9" t="n">
        <f aca="false">IF(AND(N851&lt;&gt;"",OR(N851&lt;1,N851&gt;5)),1,0)</f>
        <v>0</v>
      </c>
      <c r="AA851" s="9" t="n">
        <f aca="false">IF(AND(M851&lt;&gt;"",OR(M851&lt;5,M851&gt;180)),1,0)</f>
        <v>0</v>
      </c>
      <c r="AB851" s="7" t="str">
        <f aca="false">IF(P851="DUP","Exact duplicate row",IF(T851=1,"Missing Order ID",IF(S851="DROP","Duplicate Order ID (less complete row)",IF(U851=1,"Missing Customer ID",IF(V851=1,"Missing Restaurant name",IF(W851=1,"Invalid/outlier quantity",IF(X851=1,"Invalid/outlier unit price",IF(Y851=1,"Discount greater than order value",""))))))))</f>
        <v/>
      </c>
      <c r="AC851" s="7" t="str">
        <f aca="false">IF(AB851="","KEEP","DROP")</f>
        <v>KEEP</v>
      </c>
      <c r="AD851" s="7" t="str">
        <f aca="false">IF(TRIM(F851)="",IFERROR(INDEX(Map_Tables!$I$4:$I$37,MATCH(TRIM(E851),Map_Tables!$G$4:$G$37,0)),""),IFERROR(INDEX(Map_Tables!$B$4:$B$18,MATCH(TRIM(F851),Map_Tables!$A$4:$A$18,0)),"CHECK"))</f>
        <v>Delhi</v>
      </c>
      <c r="AE851" s="7" t="str">
        <f aca="false">IF(TRIM(E851)="","",IFERROR(INDEX(Map_Tables!$H$4:$H$37,MATCH(TRIM(E851),Map_Tables!$G$4:$G$37,0)),"CHECK"))</f>
        <v>Chaat Corner</v>
      </c>
      <c r="AF851" s="7" t="str">
        <f aca="false">IF(TRIM(K851)="","Unknown",IFERROR(INDEX(Map_Tables!$E$4:$E$15,MATCH(TRIM(K851),Map_Tables!$D$4:$D$15,0)),"CHECK"))</f>
        <v>Debit Card</v>
      </c>
      <c r="AG851" s="7" t="str">
        <f aca="false">IF(LEFT(LOWER(TRIM(L851)),6)="cancel","Cancelled","Delivered")</f>
        <v>Delivered</v>
      </c>
      <c r="AH851" s="10" t="n">
        <f aca="false">IF(ISNUMBER(SEARCH("/",B851)),DATE(VALUE(RIGHT(B851,4)),VALUE(MID(B851,4,2)),VALUE(LEFT(B851,2))),IF(MID(B851,5,1)="-",DATE(VALUE(LEFT(B851,4)),VALUE(MID(B851,6,2)),VALUE(RIGHT(B851,2))),DATE(VALUE(RIGHT(B851,4)),MATCH(MID(B851,4,3),{"Jan","Feb","Mar","Apr","May","Jun","Jul","Aug","Sep","Oct","Nov","Dec"},0),VALUE(LEFT(B851,2)))))</f>
        <v>45887</v>
      </c>
    </row>
    <row r="852" customFormat="false" ht="15" hidden="false" customHeight="false" outlineLevel="0" collapsed="false">
      <c r="A852" s="7" t="s">
        <v>2707</v>
      </c>
      <c r="B852" s="7" t="s">
        <v>542</v>
      </c>
      <c r="C852" s="7" t="s">
        <v>1091</v>
      </c>
      <c r="D852" s="7" t="s">
        <v>2708</v>
      </c>
      <c r="E852" s="7" t="s">
        <v>151</v>
      </c>
      <c r="F852" s="7" t="s">
        <v>128</v>
      </c>
      <c r="G852" s="7" t="s">
        <v>95</v>
      </c>
      <c r="H852" s="7" t="n">
        <v>2</v>
      </c>
      <c r="I852" s="7" t="n">
        <v>185</v>
      </c>
      <c r="J852" s="7" t="n">
        <v>0</v>
      </c>
      <c r="K852" s="7" t="s">
        <v>115</v>
      </c>
      <c r="L852" s="7" t="s">
        <v>194</v>
      </c>
      <c r="M852" s="7" t="n">
        <v>32</v>
      </c>
      <c r="N852" s="7"/>
      <c r="O852" s="7" t="str">
        <f aca="false">A852&amp;"|"&amp;B852&amp;"|"&amp;C852&amp;"|"&amp;D852&amp;"|"&amp;E852&amp;"|"&amp;F852&amp;"|"&amp;G852&amp;"|"&amp;H852&amp;"|"&amp;I852&amp;"|"&amp;J852&amp;"|"&amp;K852&amp;"|"&amp;L852&amp;"|"&amp;M852&amp;"|"&amp;N852</f>
        <v>ORD12329|2025-10-21|10:37|C0288|Chettinad House|Chennai|South Indian|2|185|0|cash on delivery|Delivered|32|</v>
      </c>
      <c r="P852" s="7" t="str">
        <f aca="false">IF(COUNTIF($O$2:O852,O852)&gt;1,"DUP","OK")</f>
        <v>OK</v>
      </c>
      <c r="Q852" s="7" t="n">
        <f aca="false">COUNTBLANK(A852:N852)</f>
        <v>1</v>
      </c>
      <c r="R852" s="7" t="n">
        <f aca="false">IF(A852="",0,COUNTIFS($A$2:$A$3058,A852,$P$2:$P$3058,"OK"))</f>
        <v>1</v>
      </c>
      <c r="S852" s="7" t="str">
        <f aca="false">IF(OR(A852="",P852="DUP",R852&lt;2),"",IF(Q852=_xlfn.MINIFS($Q$2:$Q$3058,$A$2:$A$3058,A852,$P$2:$P$3058,"OK"),"KEEP","DROP"))</f>
        <v/>
      </c>
      <c r="T852" s="9" t="n">
        <f aca="false">IF(A852="",1,0)</f>
        <v>0</v>
      </c>
      <c r="U852" s="9" t="n">
        <f aca="false">IF(D852="",1,0)</f>
        <v>0</v>
      </c>
      <c r="V852" s="9" t="n">
        <f aca="false">IF(E852="",1,0)</f>
        <v>0</v>
      </c>
      <c r="W852" s="9" t="n">
        <f aca="false">IF(OR(H852&lt;1,H852&gt;10),1,0)</f>
        <v>0</v>
      </c>
      <c r="X852" s="9" t="n">
        <f aca="false">IF(OR(I852&lt;=0,I852&gt;1500),1,0)</f>
        <v>0</v>
      </c>
      <c r="Y852" s="9" t="n">
        <f aca="false">IF(J852&gt;H852*I852,1,0)</f>
        <v>0</v>
      </c>
      <c r="Z852" s="9" t="n">
        <f aca="false">IF(AND(N852&lt;&gt;"",OR(N852&lt;1,N852&gt;5)),1,0)</f>
        <v>0</v>
      </c>
      <c r="AA852" s="9" t="n">
        <f aca="false">IF(AND(M852&lt;&gt;"",OR(M852&lt;5,M852&gt;180)),1,0)</f>
        <v>0</v>
      </c>
      <c r="AB852" s="7" t="str">
        <f aca="false">IF(P852="DUP","Exact duplicate row",IF(T852=1,"Missing Order ID",IF(S852="DROP","Duplicate Order ID (less complete row)",IF(U852=1,"Missing Customer ID",IF(V852=1,"Missing Restaurant name",IF(W852=1,"Invalid/outlier quantity",IF(X852=1,"Invalid/outlier unit price",IF(Y852=1,"Discount greater than order value",""))))))))</f>
        <v/>
      </c>
      <c r="AC852" s="7" t="str">
        <f aca="false">IF(AB852="","KEEP","DROP")</f>
        <v>KEEP</v>
      </c>
      <c r="AD852" s="7" t="str">
        <f aca="false">IF(TRIM(F852)="",IFERROR(INDEX(Map_Tables!$I$4:$I$37,MATCH(TRIM(E852),Map_Tables!$G$4:$G$37,0)),""),IFERROR(INDEX(Map_Tables!$B$4:$B$18,MATCH(TRIM(F852),Map_Tables!$A$4:$A$18,0)),"CHECK"))</f>
        <v>Chennai</v>
      </c>
      <c r="AE852" s="7" t="str">
        <f aca="false">IF(TRIM(E852)="","",IFERROR(INDEX(Map_Tables!$H$4:$H$37,MATCH(TRIM(E852),Map_Tables!$G$4:$G$37,0)),"CHECK"))</f>
        <v>Chettinad House</v>
      </c>
      <c r="AF852" s="7" t="str">
        <f aca="false">IF(TRIM(K852)="","Unknown",IFERROR(INDEX(Map_Tables!$E$4:$E$15,MATCH(TRIM(K852),Map_Tables!$D$4:$D$15,0)),"CHECK"))</f>
        <v>Cash on Delivery</v>
      </c>
      <c r="AG852" s="7" t="str">
        <f aca="false">IF(LEFT(LOWER(TRIM(L852)),6)="cancel","Cancelled","Delivered")</f>
        <v>Delivered</v>
      </c>
      <c r="AH852" s="10" t="n">
        <f aca="false">IF(ISNUMBER(SEARCH("/",B852)),DATE(VALUE(RIGHT(B852,4)),VALUE(MID(B852,4,2)),VALUE(LEFT(B852,2))),IF(MID(B852,5,1)="-",DATE(VALUE(LEFT(B852,4)),VALUE(MID(B852,6,2)),VALUE(RIGHT(B852,2))),DATE(VALUE(RIGHT(B852,4)),MATCH(MID(B852,4,3),{"Jan","Feb","Mar","Apr","May","Jun","Jul","Aug","Sep","Oct","Nov","Dec"},0),VALUE(LEFT(B852,2)))))</f>
        <v>45951</v>
      </c>
    </row>
    <row r="853" customFormat="false" ht="15" hidden="false" customHeight="false" outlineLevel="0" collapsed="false">
      <c r="A853" s="7" t="s">
        <v>2709</v>
      </c>
      <c r="B853" s="7" t="s">
        <v>2190</v>
      </c>
      <c r="C853" s="7" t="s">
        <v>2710</v>
      </c>
      <c r="D853" s="7" t="s">
        <v>1755</v>
      </c>
      <c r="E853" s="7" t="s">
        <v>160</v>
      </c>
      <c r="F853" s="7" t="s">
        <v>1226</v>
      </c>
      <c r="G853" s="7" t="s">
        <v>150</v>
      </c>
      <c r="H853" s="7" t="n">
        <v>1</v>
      </c>
      <c r="I853" s="7" t="n">
        <v>205</v>
      </c>
      <c r="J853" s="7" t="n">
        <v>0</v>
      </c>
      <c r="K853" s="7" t="s">
        <v>88</v>
      </c>
      <c r="L853" s="7" t="s">
        <v>194</v>
      </c>
      <c r="M853" s="7" t="n">
        <v>23</v>
      </c>
      <c r="N853" s="7" t="n">
        <v>3</v>
      </c>
      <c r="O853" s="7" t="str">
        <f aca="false">A853&amp;"|"&amp;B853&amp;"|"&amp;C853&amp;"|"&amp;D853&amp;"|"&amp;E853&amp;"|"&amp;F853&amp;"|"&amp;G853&amp;"|"&amp;H853&amp;"|"&amp;I853&amp;"|"&amp;J853&amp;"|"&amp;K853&amp;"|"&amp;L853&amp;"|"&amp;M853&amp;"|"&amp;N853</f>
        <v>ORD11676|2025-08-07|13:59|C0146|Cake Walk|Pune |Desserts|1|205|0|UPI|Delivered|23|3</v>
      </c>
      <c r="P853" s="7" t="str">
        <f aca="false">IF(COUNTIF($O$2:O853,O853)&gt;1,"DUP","OK")</f>
        <v>OK</v>
      </c>
      <c r="Q853" s="7" t="n">
        <f aca="false">COUNTBLANK(A853:N853)</f>
        <v>0</v>
      </c>
      <c r="R853" s="7" t="n">
        <f aca="false">IF(A853="",0,COUNTIFS($A$2:$A$3058,A853,$P$2:$P$3058,"OK"))</f>
        <v>1</v>
      </c>
      <c r="S853" s="7" t="str">
        <f aca="false">IF(OR(A853="",P853="DUP",R853&lt;2),"",IF(Q853=_xlfn.MINIFS($Q$2:$Q$3058,$A$2:$A$3058,A853,$P$2:$P$3058,"OK"),"KEEP","DROP"))</f>
        <v/>
      </c>
      <c r="T853" s="9" t="n">
        <f aca="false">IF(A853="",1,0)</f>
        <v>0</v>
      </c>
      <c r="U853" s="9" t="n">
        <f aca="false">IF(D853="",1,0)</f>
        <v>0</v>
      </c>
      <c r="V853" s="9" t="n">
        <f aca="false">IF(E853="",1,0)</f>
        <v>0</v>
      </c>
      <c r="W853" s="9" t="n">
        <f aca="false">IF(OR(H853&lt;1,H853&gt;10),1,0)</f>
        <v>0</v>
      </c>
      <c r="X853" s="9" t="n">
        <f aca="false">IF(OR(I853&lt;=0,I853&gt;1500),1,0)</f>
        <v>0</v>
      </c>
      <c r="Y853" s="9" t="n">
        <f aca="false">IF(J853&gt;H853*I853,1,0)</f>
        <v>0</v>
      </c>
      <c r="Z853" s="9" t="n">
        <f aca="false">IF(AND(N853&lt;&gt;"",OR(N853&lt;1,N853&gt;5)),1,0)</f>
        <v>0</v>
      </c>
      <c r="AA853" s="9" t="n">
        <f aca="false">IF(AND(M853&lt;&gt;"",OR(M853&lt;5,M853&gt;180)),1,0)</f>
        <v>0</v>
      </c>
      <c r="AB853" s="7" t="str">
        <f aca="false">IF(P853="DUP","Exact duplicate row",IF(T853=1,"Missing Order ID",IF(S853="DROP","Duplicate Order ID (less complete row)",IF(U853=1,"Missing Customer ID",IF(V853=1,"Missing Restaurant name",IF(W853=1,"Invalid/outlier quantity",IF(X853=1,"Invalid/outlier unit price",IF(Y853=1,"Discount greater than order value",""))))))))</f>
        <v/>
      </c>
      <c r="AC853" s="7" t="str">
        <f aca="false">IF(AB853="","KEEP","DROP")</f>
        <v>KEEP</v>
      </c>
      <c r="AD853" s="7" t="str">
        <f aca="false">IF(TRIM(F853)="",IFERROR(INDEX(Map_Tables!$I$4:$I$37,MATCH(TRIM(E853),Map_Tables!$G$4:$G$37,0)),""),IFERROR(INDEX(Map_Tables!$B$4:$B$18,MATCH(TRIM(F853),Map_Tables!$A$4:$A$18,0)),"CHECK"))</f>
        <v>Pune</v>
      </c>
      <c r="AE853" s="7" t="str">
        <f aca="false">IF(TRIM(E853)="","",IFERROR(INDEX(Map_Tables!$H$4:$H$37,MATCH(TRIM(E853),Map_Tables!$G$4:$G$37,0)),"CHECK"))</f>
        <v>Cake Walk</v>
      </c>
      <c r="AF853" s="7" t="str">
        <f aca="false">IF(TRIM(K853)="","Unknown",IFERROR(INDEX(Map_Tables!$E$4:$E$15,MATCH(TRIM(K853),Map_Tables!$D$4:$D$15,0)),"CHECK"))</f>
        <v>UPI</v>
      </c>
      <c r="AG853" s="7" t="str">
        <f aca="false">IF(LEFT(LOWER(TRIM(L853)),6)="cancel","Cancelled","Delivered")</f>
        <v>Delivered</v>
      </c>
      <c r="AH853" s="10" t="n">
        <f aca="false">IF(ISNUMBER(SEARCH("/",B853)),DATE(VALUE(RIGHT(B853,4)),VALUE(MID(B853,4,2)),VALUE(LEFT(B853,2))),IF(MID(B853,5,1)="-",DATE(VALUE(LEFT(B853,4)),VALUE(MID(B853,6,2)),VALUE(RIGHT(B853,2))),DATE(VALUE(RIGHT(B853,4)),MATCH(MID(B853,4,3),{"Jan","Feb","Mar","Apr","May","Jun","Jul","Aug","Sep","Oct","Nov","Dec"},0),VALUE(LEFT(B853,2)))))</f>
        <v>45876</v>
      </c>
    </row>
    <row r="854" customFormat="false" ht="15" hidden="false" customHeight="false" outlineLevel="0" collapsed="false">
      <c r="A854" s="7" t="s">
        <v>2711</v>
      </c>
      <c r="B854" s="7" t="s">
        <v>1132</v>
      </c>
      <c r="C854" s="7" t="s">
        <v>1438</v>
      </c>
      <c r="D854" s="7" t="s">
        <v>851</v>
      </c>
      <c r="E854" s="7" t="s">
        <v>130</v>
      </c>
      <c r="F854" s="7" t="s">
        <v>110</v>
      </c>
      <c r="G854" s="7" t="s">
        <v>90</v>
      </c>
      <c r="H854" s="7" t="n">
        <v>2</v>
      </c>
      <c r="I854" s="7" t="n">
        <v>235</v>
      </c>
      <c r="J854" s="7" t="n">
        <v>50</v>
      </c>
      <c r="K854" s="7" t="s">
        <v>88</v>
      </c>
      <c r="L854" s="7" t="s">
        <v>194</v>
      </c>
      <c r="M854" s="7" t="n">
        <v>43</v>
      </c>
      <c r="N854" s="7" t="n">
        <v>3</v>
      </c>
      <c r="O854" s="7" t="str">
        <f aca="false">A854&amp;"|"&amp;B854&amp;"|"&amp;C854&amp;"|"&amp;D854&amp;"|"&amp;E854&amp;"|"&amp;F854&amp;"|"&amp;G854&amp;"|"&amp;H854&amp;"|"&amp;I854&amp;"|"&amp;J854&amp;"|"&amp;K854&amp;"|"&amp;L854&amp;"|"&amp;M854&amp;"|"&amp;N854</f>
        <v>ORD10682|2025-03-28|09:47|C0264|Tandoor Tales|Delhi|North Indian|2|235|50|UPI|Delivered|43|3</v>
      </c>
      <c r="P854" s="7" t="str">
        <f aca="false">IF(COUNTIF($O$2:O854,O854)&gt;1,"DUP","OK")</f>
        <v>OK</v>
      </c>
      <c r="Q854" s="7" t="n">
        <f aca="false">COUNTBLANK(A854:N854)</f>
        <v>0</v>
      </c>
      <c r="R854" s="7" t="n">
        <f aca="false">IF(A854="",0,COUNTIFS($A$2:$A$3058,A854,$P$2:$P$3058,"OK"))</f>
        <v>1</v>
      </c>
      <c r="S854" s="7" t="str">
        <f aca="false">IF(OR(A854="",P854="DUP",R854&lt;2),"",IF(Q854=_xlfn.MINIFS($Q$2:$Q$3058,$A$2:$A$3058,A854,$P$2:$P$3058,"OK"),"KEEP","DROP"))</f>
        <v/>
      </c>
      <c r="T854" s="9" t="n">
        <f aca="false">IF(A854="",1,0)</f>
        <v>0</v>
      </c>
      <c r="U854" s="9" t="n">
        <f aca="false">IF(D854="",1,0)</f>
        <v>0</v>
      </c>
      <c r="V854" s="9" t="n">
        <f aca="false">IF(E854="",1,0)</f>
        <v>0</v>
      </c>
      <c r="W854" s="9" t="n">
        <f aca="false">IF(OR(H854&lt;1,H854&gt;10),1,0)</f>
        <v>0</v>
      </c>
      <c r="X854" s="9" t="n">
        <f aca="false">IF(OR(I854&lt;=0,I854&gt;1500),1,0)</f>
        <v>0</v>
      </c>
      <c r="Y854" s="9" t="n">
        <f aca="false">IF(J854&gt;H854*I854,1,0)</f>
        <v>0</v>
      </c>
      <c r="Z854" s="9" t="n">
        <f aca="false">IF(AND(N854&lt;&gt;"",OR(N854&lt;1,N854&gt;5)),1,0)</f>
        <v>0</v>
      </c>
      <c r="AA854" s="9" t="n">
        <f aca="false">IF(AND(M854&lt;&gt;"",OR(M854&lt;5,M854&gt;180)),1,0)</f>
        <v>0</v>
      </c>
      <c r="AB854" s="7" t="str">
        <f aca="false">IF(P854="DUP","Exact duplicate row",IF(T854=1,"Missing Order ID",IF(S854="DROP","Duplicate Order ID (less complete row)",IF(U854=1,"Missing Customer ID",IF(V854=1,"Missing Restaurant name",IF(W854=1,"Invalid/outlier quantity",IF(X854=1,"Invalid/outlier unit price",IF(Y854=1,"Discount greater than order value",""))))))))</f>
        <v/>
      </c>
      <c r="AC854" s="7" t="str">
        <f aca="false">IF(AB854="","KEEP","DROP")</f>
        <v>KEEP</v>
      </c>
      <c r="AD854" s="7" t="str">
        <f aca="false">IF(TRIM(F854)="",IFERROR(INDEX(Map_Tables!$I$4:$I$37,MATCH(TRIM(E854),Map_Tables!$G$4:$G$37,0)),""),IFERROR(INDEX(Map_Tables!$B$4:$B$18,MATCH(TRIM(F854),Map_Tables!$A$4:$A$18,0)),"CHECK"))</f>
        <v>Delhi</v>
      </c>
      <c r="AE854" s="7" t="str">
        <f aca="false">IF(TRIM(E854)="","",IFERROR(INDEX(Map_Tables!$H$4:$H$37,MATCH(TRIM(E854),Map_Tables!$G$4:$G$37,0)),"CHECK"))</f>
        <v>Tandoor Tales</v>
      </c>
      <c r="AF854" s="7" t="str">
        <f aca="false">IF(TRIM(K854)="","Unknown",IFERROR(INDEX(Map_Tables!$E$4:$E$15,MATCH(TRIM(K854),Map_Tables!$D$4:$D$15,0)),"CHECK"))</f>
        <v>UPI</v>
      </c>
      <c r="AG854" s="7" t="str">
        <f aca="false">IF(LEFT(LOWER(TRIM(L854)),6)="cancel","Cancelled","Delivered")</f>
        <v>Delivered</v>
      </c>
      <c r="AH854" s="10" t="n">
        <f aca="false">IF(ISNUMBER(SEARCH("/",B854)),DATE(VALUE(RIGHT(B854,4)),VALUE(MID(B854,4,2)),VALUE(LEFT(B854,2))),IF(MID(B854,5,1)="-",DATE(VALUE(LEFT(B854,4)),VALUE(MID(B854,6,2)),VALUE(RIGHT(B854,2))),DATE(VALUE(RIGHT(B854,4)),MATCH(MID(B854,4,3),{"Jan","Feb","Mar","Apr","May","Jun","Jul","Aug","Sep","Oct","Nov","Dec"},0),VALUE(LEFT(B854,2)))))</f>
        <v>45744</v>
      </c>
    </row>
    <row r="855" customFormat="false" ht="15" hidden="false" customHeight="false" outlineLevel="0" collapsed="false">
      <c r="A855" s="7" t="s">
        <v>2712</v>
      </c>
      <c r="B855" s="7" t="s">
        <v>2713</v>
      </c>
      <c r="C855" s="7" t="s">
        <v>2714</v>
      </c>
      <c r="D855" s="7" t="s">
        <v>491</v>
      </c>
      <c r="E855" s="7" t="s">
        <v>151</v>
      </c>
      <c r="F855" s="7" t="s">
        <v>128</v>
      </c>
      <c r="G855" s="7" t="s">
        <v>95</v>
      </c>
      <c r="H855" s="7" t="n">
        <v>1</v>
      </c>
      <c r="I855" s="7" t="n">
        <v>165</v>
      </c>
      <c r="J855" s="7" t="n">
        <v>66</v>
      </c>
      <c r="K855" s="7" t="s">
        <v>112</v>
      </c>
      <c r="L855" s="7" t="s">
        <v>194</v>
      </c>
      <c r="M855" s="7" t="n">
        <v>38</v>
      </c>
      <c r="N855" s="7" t="n">
        <v>4</v>
      </c>
      <c r="O855" s="7" t="str">
        <f aca="false">A855&amp;"|"&amp;B855&amp;"|"&amp;C855&amp;"|"&amp;D855&amp;"|"&amp;E855&amp;"|"&amp;F855&amp;"|"&amp;G855&amp;"|"&amp;H855&amp;"|"&amp;I855&amp;"|"&amp;J855&amp;"|"&amp;K855&amp;"|"&amp;L855&amp;"|"&amp;M855&amp;"|"&amp;N855</f>
        <v>ORD10978|2025-05-04|13:18|C0822|Chettinad House|Chennai|South Indian|1|165|66|Cash on Delivery|Delivered|38|4</v>
      </c>
      <c r="P855" s="7" t="str">
        <f aca="false">IF(COUNTIF($O$2:O855,O855)&gt;1,"DUP","OK")</f>
        <v>OK</v>
      </c>
      <c r="Q855" s="7" t="n">
        <f aca="false">COUNTBLANK(A855:N855)</f>
        <v>0</v>
      </c>
      <c r="R855" s="7" t="n">
        <f aca="false">IF(A855="",0,COUNTIFS($A$2:$A$3058,A855,$P$2:$P$3058,"OK"))</f>
        <v>1</v>
      </c>
      <c r="S855" s="7" t="str">
        <f aca="false">IF(OR(A855="",P855="DUP",R855&lt;2),"",IF(Q855=_xlfn.MINIFS($Q$2:$Q$3058,$A$2:$A$3058,A855,$P$2:$P$3058,"OK"),"KEEP","DROP"))</f>
        <v/>
      </c>
      <c r="T855" s="9" t="n">
        <f aca="false">IF(A855="",1,0)</f>
        <v>0</v>
      </c>
      <c r="U855" s="9" t="n">
        <f aca="false">IF(D855="",1,0)</f>
        <v>0</v>
      </c>
      <c r="V855" s="9" t="n">
        <f aca="false">IF(E855="",1,0)</f>
        <v>0</v>
      </c>
      <c r="W855" s="9" t="n">
        <f aca="false">IF(OR(H855&lt;1,H855&gt;10),1,0)</f>
        <v>0</v>
      </c>
      <c r="X855" s="9" t="n">
        <f aca="false">IF(OR(I855&lt;=0,I855&gt;1500),1,0)</f>
        <v>0</v>
      </c>
      <c r="Y855" s="9" t="n">
        <f aca="false">IF(J855&gt;H855*I855,1,0)</f>
        <v>0</v>
      </c>
      <c r="Z855" s="9" t="n">
        <f aca="false">IF(AND(N855&lt;&gt;"",OR(N855&lt;1,N855&gt;5)),1,0)</f>
        <v>0</v>
      </c>
      <c r="AA855" s="9" t="n">
        <f aca="false">IF(AND(M855&lt;&gt;"",OR(M855&lt;5,M855&gt;180)),1,0)</f>
        <v>0</v>
      </c>
      <c r="AB855" s="7" t="str">
        <f aca="false">IF(P855="DUP","Exact duplicate row",IF(T855=1,"Missing Order ID",IF(S855="DROP","Duplicate Order ID (less complete row)",IF(U855=1,"Missing Customer ID",IF(V855=1,"Missing Restaurant name",IF(W855=1,"Invalid/outlier quantity",IF(X855=1,"Invalid/outlier unit price",IF(Y855=1,"Discount greater than order value",""))))))))</f>
        <v/>
      </c>
      <c r="AC855" s="7" t="str">
        <f aca="false">IF(AB855="","KEEP","DROP")</f>
        <v>KEEP</v>
      </c>
      <c r="AD855" s="7" t="str">
        <f aca="false">IF(TRIM(F855)="",IFERROR(INDEX(Map_Tables!$I$4:$I$37,MATCH(TRIM(E855),Map_Tables!$G$4:$G$37,0)),""),IFERROR(INDEX(Map_Tables!$B$4:$B$18,MATCH(TRIM(F855),Map_Tables!$A$4:$A$18,0)),"CHECK"))</f>
        <v>Chennai</v>
      </c>
      <c r="AE855" s="7" t="str">
        <f aca="false">IF(TRIM(E855)="","",IFERROR(INDEX(Map_Tables!$H$4:$H$37,MATCH(TRIM(E855),Map_Tables!$G$4:$G$37,0)),"CHECK"))</f>
        <v>Chettinad House</v>
      </c>
      <c r="AF855" s="7" t="str">
        <f aca="false">IF(TRIM(K855)="","Unknown",IFERROR(INDEX(Map_Tables!$E$4:$E$15,MATCH(TRIM(K855),Map_Tables!$D$4:$D$15,0)),"CHECK"))</f>
        <v>Cash on Delivery</v>
      </c>
      <c r="AG855" s="7" t="str">
        <f aca="false">IF(LEFT(LOWER(TRIM(L855)),6)="cancel","Cancelled","Delivered")</f>
        <v>Delivered</v>
      </c>
      <c r="AH855" s="10" t="n">
        <f aca="false">IF(ISNUMBER(SEARCH("/",B855)),DATE(VALUE(RIGHT(B855,4)),VALUE(MID(B855,4,2)),VALUE(LEFT(B855,2))),IF(MID(B855,5,1)="-",DATE(VALUE(LEFT(B855,4)),VALUE(MID(B855,6,2)),VALUE(RIGHT(B855,2))),DATE(VALUE(RIGHT(B855,4)),MATCH(MID(B855,4,3),{"Jan","Feb","Mar","Apr","May","Jun","Jul","Aug","Sep","Oct","Nov","Dec"},0),VALUE(LEFT(B855,2)))))</f>
        <v>45781</v>
      </c>
    </row>
    <row r="856" customFormat="false" ht="15" hidden="false" customHeight="false" outlineLevel="0" collapsed="false">
      <c r="A856" s="7" t="s">
        <v>2715</v>
      </c>
      <c r="B856" s="7" t="s">
        <v>1733</v>
      </c>
      <c r="C856" s="7" t="s">
        <v>2716</v>
      </c>
      <c r="D856" s="7" t="s">
        <v>1207</v>
      </c>
      <c r="E856" s="7" t="s">
        <v>168</v>
      </c>
      <c r="F856" s="7" t="s">
        <v>146</v>
      </c>
      <c r="G856" s="7" t="s">
        <v>123</v>
      </c>
      <c r="H856" s="7" t="n">
        <v>3</v>
      </c>
      <c r="I856" s="7" t="n">
        <v>320</v>
      </c>
      <c r="J856" s="7" t="n">
        <v>75</v>
      </c>
      <c r="K856" s="7" t="s">
        <v>1173</v>
      </c>
      <c r="L856" s="7" t="s">
        <v>194</v>
      </c>
      <c r="M856" s="7" t="n">
        <v>33</v>
      </c>
      <c r="N856" s="7" t="n">
        <v>4</v>
      </c>
      <c r="O856" s="7" t="str">
        <f aca="false">A856&amp;"|"&amp;B856&amp;"|"&amp;C856&amp;"|"&amp;D856&amp;"|"&amp;E856&amp;"|"&amp;F856&amp;"|"&amp;G856&amp;"|"&amp;H856&amp;"|"&amp;I856&amp;"|"&amp;J856&amp;"|"&amp;K856&amp;"|"&amp;L856&amp;"|"&amp;M856&amp;"|"&amp;N856</f>
        <v>ORD12595|2025-11-17|19:45|C0732|Cheesy Slice|Ahmedabad|Pizza|3|320|75|E-Wallet|Delivered|33|4</v>
      </c>
      <c r="P856" s="7" t="str">
        <f aca="false">IF(COUNTIF($O$2:O856,O856)&gt;1,"DUP","OK")</f>
        <v>OK</v>
      </c>
      <c r="Q856" s="7" t="n">
        <f aca="false">COUNTBLANK(A856:N856)</f>
        <v>0</v>
      </c>
      <c r="R856" s="7" t="n">
        <f aca="false">IF(A856="",0,COUNTIFS($A$2:$A$3058,A856,$P$2:$P$3058,"OK"))</f>
        <v>1</v>
      </c>
      <c r="S856" s="7" t="str">
        <f aca="false">IF(OR(A856="",P856="DUP",R856&lt;2),"",IF(Q856=_xlfn.MINIFS($Q$2:$Q$3058,$A$2:$A$3058,A856,$P$2:$P$3058,"OK"),"KEEP","DROP"))</f>
        <v/>
      </c>
      <c r="T856" s="9" t="n">
        <f aca="false">IF(A856="",1,0)</f>
        <v>0</v>
      </c>
      <c r="U856" s="9" t="n">
        <f aca="false">IF(D856="",1,0)</f>
        <v>0</v>
      </c>
      <c r="V856" s="9" t="n">
        <f aca="false">IF(E856="",1,0)</f>
        <v>0</v>
      </c>
      <c r="W856" s="9" t="n">
        <f aca="false">IF(OR(H856&lt;1,H856&gt;10),1,0)</f>
        <v>0</v>
      </c>
      <c r="X856" s="9" t="n">
        <f aca="false">IF(OR(I856&lt;=0,I856&gt;1500),1,0)</f>
        <v>0</v>
      </c>
      <c r="Y856" s="9" t="n">
        <f aca="false">IF(J856&gt;H856*I856,1,0)</f>
        <v>0</v>
      </c>
      <c r="Z856" s="9" t="n">
        <f aca="false">IF(AND(N856&lt;&gt;"",OR(N856&lt;1,N856&gt;5)),1,0)</f>
        <v>0</v>
      </c>
      <c r="AA856" s="9" t="n">
        <f aca="false">IF(AND(M856&lt;&gt;"",OR(M856&lt;5,M856&gt;180)),1,0)</f>
        <v>0</v>
      </c>
      <c r="AB856" s="7" t="str">
        <f aca="false">IF(P856="DUP","Exact duplicate row",IF(T856=1,"Missing Order ID",IF(S856="DROP","Duplicate Order ID (less complete row)",IF(U856=1,"Missing Customer ID",IF(V856=1,"Missing Restaurant name",IF(W856=1,"Invalid/outlier quantity",IF(X856=1,"Invalid/outlier unit price",IF(Y856=1,"Discount greater than order value",""))))))))</f>
        <v/>
      </c>
      <c r="AC856" s="7" t="str">
        <f aca="false">IF(AB856="","KEEP","DROP")</f>
        <v>KEEP</v>
      </c>
      <c r="AD856" s="7" t="str">
        <f aca="false">IF(TRIM(F856)="",IFERROR(INDEX(Map_Tables!$I$4:$I$37,MATCH(TRIM(E856),Map_Tables!$G$4:$G$37,0)),""),IFERROR(INDEX(Map_Tables!$B$4:$B$18,MATCH(TRIM(F856),Map_Tables!$A$4:$A$18,0)),"CHECK"))</f>
        <v>Ahmedabad</v>
      </c>
      <c r="AE856" s="7" t="str">
        <f aca="false">IF(TRIM(E856)="","",IFERROR(INDEX(Map_Tables!$H$4:$H$37,MATCH(TRIM(E856),Map_Tables!$G$4:$G$37,0)),"CHECK"))</f>
        <v>Cheesy Slice</v>
      </c>
      <c r="AF856" s="7" t="str">
        <f aca="false">IF(TRIM(K856)="","Unknown",IFERROR(INDEX(Map_Tables!$E$4:$E$15,MATCH(TRIM(K856),Map_Tables!$D$4:$D$15,0)),"CHECK"))</f>
        <v>Wallet</v>
      </c>
      <c r="AG856" s="7" t="str">
        <f aca="false">IF(LEFT(LOWER(TRIM(L856)),6)="cancel","Cancelled","Delivered")</f>
        <v>Delivered</v>
      </c>
      <c r="AH856" s="10" t="n">
        <f aca="false">IF(ISNUMBER(SEARCH("/",B856)),DATE(VALUE(RIGHT(B856,4)),VALUE(MID(B856,4,2)),VALUE(LEFT(B856,2))),IF(MID(B856,5,1)="-",DATE(VALUE(LEFT(B856,4)),VALUE(MID(B856,6,2)),VALUE(RIGHT(B856,2))),DATE(VALUE(RIGHT(B856,4)),MATCH(MID(B856,4,3),{"Jan","Feb","Mar","Apr","May","Jun","Jul","Aug","Sep","Oct","Nov","Dec"},0),VALUE(LEFT(B856,2)))))</f>
        <v>45978</v>
      </c>
    </row>
    <row r="857" customFormat="false" ht="15" hidden="false" customHeight="false" outlineLevel="0" collapsed="false">
      <c r="A857" s="7" t="s">
        <v>2717</v>
      </c>
      <c r="B857" s="7" t="s">
        <v>1541</v>
      </c>
      <c r="C857" s="7" t="s">
        <v>2602</v>
      </c>
      <c r="D857" s="7" t="s">
        <v>2718</v>
      </c>
      <c r="E857" s="7" t="s">
        <v>134</v>
      </c>
      <c r="F857" s="7" t="s">
        <v>110</v>
      </c>
      <c r="G857" s="7" t="s">
        <v>117</v>
      </c>
      <c r="H857" s="7" t="n">
        <v>3</v>
      </c>
      <c r="I857" s="7" t="n">
        <v>100</v>
      </c>
      <c r="J857" s="7" t="n">
        <v>0</v>
      </c>
      <c r="K857" s="7" t="s">
        <v>133</v>
      </c>
      <c r="L857" s="7" t="s">
        <v>194</v>
      </c>
      <c r="M857" s="7" t="n">
        <v>42</v>
      </c>
      <c r="N857" s="7" t="n">
        <v>3</v>
      </c>
      <c r="O857" s="7" t="str">
        <f aca="false">A857&amp;"|"&amp;B857&amp;"|"&amp;C857&amp;"|"&amp;D857&amp;"|"&amp;E857&amp;"|"&amp;F857&amp;"|"&amp;G857&amp;"|"&amp;H857&amp;"|"&amp;I857&amp;"|"&amp;J857&amp;"|"&amp;K857&amp;"|"&amp;L857&amp;"|"&amp;M857&amp;"|"&amp;N857</f>
        <v>ORD10846|2025-04-17|18:41|C0155|Chaat Corner|Delhi|Street Food|3|100|0|Net Banking|Delivered|42|3</v>
      </c>
      <c r="P857" s="7" t="str">
        <f aca="false">IF(COUNTIF($O$2:O857,O857)&gt;1,"DUP","OK")</f>
        <v>OK</v>
      </c>
      <c r="Q857" s="7" t="n">
        <f aca="false">COUNTBLANK(A857:N857)</f>
        <v>0</v>
      </c>
      <c r="R857" s="7" t="n">
        <f aca="false">IF(A857="",0,COUNTIFS($A$2:$A$3058,A857,$P$2:$P$3058,"OK"))</f>
        <v>1</v>
      </c>
      <c r="S857" s="7" t="str">
        <f aca="false">IF(OR(A857="",P857="DUP",R857&lt;2),"",IF(Q857=_xlfn.MINIFS($Q$2:$Q$3058,$A$2:$A$3058,A857,$P$2:$P$3058,"OK"),"KEEP","DROP"))</f>
        <v/>
      </c>
      <c r="T857" s="9" t="n">
        <f aca="false">IF(A857="",1,0)</f>
        <v>0</v>
      </c>
      <c r="U857" s="9" t="n">
        <f aca="false">IF(D857="",1,0)</f>
        <v>0</v>
      </c>
      <c r="V857" s="9" t="n">
        <f aca="false">IF(E857="",1,0)</f>
        <v>0</v>
      </c>
      <c r="W857" s="9" t="n">
        <f aca="false">IF(OR(H857&lt;1,H857&gt;10),1,0)</f>
        <v>0</v>
      </c>
      <c r="X857" s="9" t="n">
        <f aca="false">IF(OR(I857&lt;=0,I857&gt;1500),1,0)</f>
        <v>0</v>
      </c>
      <c r="Y857" s="9" t="n">
        <f aca="false">IF(J857&gt;H857*I857,1,0)</f>
        <v>0</v>
      </c>
      <c r="Z857" s="9" t="n">
        <f aca="false">IF(AND(N857&lt;&gt;"",OR(N857&lt;1,N857&gt;5)),1,0)</f>
        <v>0</v>
      </c>
      <c r="AA857" s="9" t="n">
        <f aca="false">IF(AND(M857&lt;&gt;"",OR(M857&lt;5,M857&gt;180)),1,0)</f>
        <v>0</v>
      </c>
      <c r="AB857" s="7" t="str">
        <f aca="false">IF(P857="DUP","Exact duplicate row",IF(T857=1,"Missing Order ID",IF(S857="DROP","Duplicate Order ID (less complete row)",IF(U857=1,"Missing Customer ID",IF(V857=1,"Missing Restaurant name",IF(W857=1,"Invalid/outlier quantity",IF(X857=1,"Invalid/outlier unit price",IF(Y857=1,"Discount greater than order value",""))))))))</f>
        <v/>
      </c>
      <c r="AC857" s="7" t="str">
        <f aca="false">IF(AB857="","KEEP","DROP")</f>
        <v>KEEP</v>
      </c>
      <c r="AD857" s="7" t="str">
        <f aca="false">IF(TRIM(F857)="",IFERROR(INDEX(Map_Tables!$I$4:$I$37,MATCH(TRIM(E857),Map_Tables!$G$4:$G$37,0)),""),IFERROR(INDEX(Map_Tables!$B$4:$B$18,MATCH(TRIM(F857),Map_Tables!$A$4:$A$18,0)),"CHECK"))</f>
        <v>Delhi</v>
      </c>
      <c r="AE857" s="7" t="str">
        <f aca="false">IF(TRIM(E857)="","",IFERROR(INDEX(Map_Tables!$H$4:$H$37,MATCH(TRIM(E857),Map_Tables!$G$4:$G$37,0)),"CHECK"))</f>
        <v>Chaat Corner</v>
      </c>
      <c r="AF857" s="7" t="str">
        <f aca="false">IF(TRIM(K857)="","Unknown",IFERROR(INDEX(Map_Tables!$E$4:$E$15,MATCH(TRIM(K857),Map_Tables!$D$4:$D$15,0)),"CHECK"))</f>
        <v>Net Banking</v>
      </c>
      <c r="AG857" s="7" t="str">
        <f aca="false">IF(LEFT(LOWER(TRIM(L857)),6)="cancel","Cancelled","Delivered")</f>
        <v>Delivered</v>
      </c>
      <c r="AH857" s="10" t="n">
        <f aca="false">IF(ISNUMBER(SEARCH("/",B857)),DATE(VALUE(RIGHT(B857,4)),VALUE(MID(B857,4,2)),VALUE(LEFT(B857,2))),IF(MID(B857,5,1)="-",DATE(VALUE(LEFT(B857,4)),VALUE(MID(B857,6,2)),VALUE(RIGHT(B857,2))),DATE(VALUE(RIGHT(B857,4)),MATCH(MID(B857,4,3),{"Jan","Feb","Mar","Apr","May","Jun","Jul","Aug","Sep","Oct","Nov","Dec"},0),VALUE(LEFT(B857,2)))))</f>
        <v>45764</v>
      </c>
    </row>
    <row r="858" customFormat="false" ht="15" hidden="false" customHeight="false" outlineLevel="0" collapsed="false">
      <c r="A858" s="7" t="s">
        <v>2719</v>
      </c>
      <c r="B858" s="7" t="s">
        <v>1548</v>
      </c>
      <c r="C858" s="7" t="s">
        <v>1520</v>
      </c>
      <c r="D858" s="7" t="s">
        <v>2062</v>
      </c>
      <c r="E858" s="7" t="s">
        <v>130</v>
      </c>
      <c r="F858" s="7" t="s">
        <v>110</v>
      </c>
      <c r="G858" s="7" t="s">
        <v>90</v>
      </c>
      <c r="H858" s="7" t="n">
        <v>2</v>
      </c>
      <c r="I858" s="7" t="n">
        <v>275</v>
      </c>
      <c r="J858" s="7" t="n">
        <v>0</v>
      </c>
      <c r="K858" s="7" t="s">
        <v>88</v>
      </c>
      <c r="L858" s="7" t="s">
        <v>194</v>
      </c>
      <c r="M858" s="7" t="n">
        <v>50</v>
      </c>
      <c r="N858" s="7" t="n">
        <v>4</v>
      </c>
      <c r="O858" s="7" t="str">
        <f aca="false">A858&amp;"|"&amp;B858&amp;"|"&amp;C858&amp;"|"&amp;D858&amp;"|"&amp;E858&amp;"|"&amp;F858&amp;"|"&amp;G858&amp;"|"&amp;H858&amp;"|"&amp;I858&amp;"|"&amp;J858&amp;"|"&amp;K858&amp;"|"&amp;L858&amp;"|"&amp;M858&amp;"|"&amp;N858</f>
        <v>ORD12256|2025-10-13|12:11|C1052|Tandoor Tales|Delhi|North Indian|2|275|0|UPI|Delivered|50|4</v>
      </c>
      <c r="P858" s="7" t="str">
        <f aca="false">IF(COUNTIF($O$2:O858,O858)&gt;1,"DUP","OK")</f>
        <v>OK</v>
      </c>
      <c r="Q858" s="7" t="n">
        <f aca="false">COUNTBLANK(A858:N858)</f>
        <v>0</v>
      </c>
      <c r="R858" s="7" t="n">
        <f aca="false">IF(A858="",0,COUNTIFS($A$2:$A$3058,A858,$P$2:$P$3058,"OK"))</f>
        <v>1</v>
      </c>
      <c r="S858" s="7" t="str">
        <f aca="false">IF(OR(A858="",P858="DUP",R858&lt;2),"",IF(Q858=_xlfn.MINIFS($Q$2:$Q$3058,$A$2:$A$3058,A858,$P$2:$P$3058,"OK"),"KEEP","DROP"))</f>
        <v/>
      </c>
      <c r="T858" s="9" t="n">
        <f aca="false">IF(A858="",1,0)</f>
        <v>0</v>
      </c>
      <c r="U858" s="9" t="n">
        <f aca="false">IF(D858="",1,0)</f>
        <v>0</v>
      </c>
      <c r="V858" s="9" t="n">
        <f aca="false">IF(E858="",1,0)</f>
        <v>0</v>
      </c>
      <c r="W858" s="9" t="n">
        <f aca="false">IF(OR(H858&lt;1,H858&gt;10),1,0)</f>
        <v>0</v>
      </c>
      <c r="X858" s="9" t="n">
        <f aca="false">IF(OR(I858&lt;=0,I858&gt;1500),1,0)</f>
        <v>0</v>
      </c>
      <c r="Y858" s="9" t="n">
        <f aca="false">IF(J858&gt;H858*I858,1,0)</f>
        <v>0</v>
      </c>
      <c r="Z858" s="9" t="n">
        <f aca="false">IF(AND(N858&lt;&gt;"",OR(N858&lt;1,N858&gt;5)),1,0)</f>
        <v>0</v>
      </c>
      <c r="AA858" s="9" t="n">
        <f aca="false">IF(AND(M858&lt;&gt;"",OR(M858&lt;5,M858&gt;180)),1,0)</f>
        <v>0</v>
      </c>
      <c r="AB858" s="7" t="str">
        <f aca="false">IF(P858="DUP","Exact duplicate row",IF(T858=1,"Missing Order ID",IF(S858="DROP","Duplicate Order ID (less complete row)",IF(U858=1,"Missing Customer ID",IF(V858=1,"Missing Restaurant name",IF(W858=1,"Invalid/outlier quantity",IF(X858=1,"Invalid/outlier unit price",IF(Y858=1,"Discount greater than order value",""))))))))</f>
        <v/>
      </c>
      <c r="AC858" s="7" t="str">
        <f aca="false">IF(AB858="","KEEP","DROP")</f>
        <v>KEEP</v>
      </c>
      <c r="AD858" s="7" t="str">
        <f aca="false">IF(TRIM(F858)="",IFERROR(INDEX(Map_Tables!$I$4:$I$37,MATCH(TRIM(E858),Map_Tables!$G$4:$G$37,0)),""),IFERROR(INDEX(Map_Tables!$B$4:$B$18,MATCH(TRIM(F858),Map_Tables!$A$4:$A$18,0)),"CHECK"))</f>
        <v>Delhi</v>
      </c>
      <c r="AE858" s="7" t="str">
        <f aca="false">IF(TRIM(E858)="","",IFERROR(INDEX(Map_Tables!$H$4:$H$37,MATCH(TRIM(E858),Map_Tables!$G$4:$G$37,0)),"CHECK"))</f>
        <v>Tandoor Tales</v>
      </c>
      <c r="AF858" s="7" t="str">
        <f aca="false">IF(TRIM(K858)="","Unknown",IFERROR(INDEX(Map_Tables!$E$4:$E$15,MATCH(TRIM(K858),Map_Tables!$D$4:$D$15,0)),"CHECK"))</f>
        <v>UPI</v>
      </c>
      <c r="AG858" s="7" t="str">
        <f aca="false">IF(LEFT(LOWER(TRIM(L858)),6)="cancel","Cancelled","Delivered")</f>
        <v>Delivered</v>
      </c>
      <c r="AH858" s="10" t="n">
        <f aca="false">IF(ISNUMBER(SEARCH("/",B858)),DATE(VALUE(RIGHT(B858,4)),VALUE(MID(B858,4,2)),VALUE(LEFT(B858,2))),IF(MID(B858,5,1)="-",DATE(VALUE(LEFT(B858,4)),VALUE(MID(B858,6,2)),VALUE(RIGHT(B858,2))),DATE(VALUE(RIGHT(B858,4)),MATCH(MID(B858,4,3),{"Jan","Feb","Mar","Apr","May","Jun","Jul","Aug","Sep","Oct","Nov","Dec"},0),VALUE(LEFT(B858,2)))))</f>
        <v>45943</v>
      </c>
    </row>
    <row r="859" customFormat="false" ht="15" hidden="false" customHeight="false" outlineLevel="0" collapsed="false">
      <c r="A859" s="7" t="s">
        <v>2720</v>
      </c>
      <c r="B859" s="7" t="s">
        <v>2721</v>
      </c>
      <c r="C859" s="7" t="s">
        <v>1486</v>
      </c>
      <c r="D859" s="7" t="s">
        <v>2722</v>
      </c>
      <c r="E859" s="7" t="s">
        <v>163</v>
      </c>
      <c r="F859" s="7" t="s">
        <v>141</v>
      </c>
      <c r="G859" s="7" t="s">
        <v>99</v>
      </c>
      <c r="H859" s="7" t="n">
        <v>2</v>
      </c>
      <c r="I859" s="7" t="n">
        <v>285</v>
      </c>
      <c r="J859" s="7" t="n">
        <v>0</v>
      </c>
      <c r="K859" s="7" t="s">
        <v>88</v>
      </c>
      <c r="L859" s="7" t="s">
        <v>238</v>
      </c>
      <c r="M859" s="7"/>
      <c r="N859" s="7"/>
      <c r="O859" s="7" t="str">
        <f aca="false">A859&amp;"|"&amp;B859&amp;"|"&amp;C859&amp;"|"&amp;D859&amp;"|"&amp;E859&amp;"|"&amp;F859&amp;"|"&amp;G859&amp;"|"&amp;H859&amp;"|"&amp;I859&amp;"|"&amp;J859&amp;"|"&amp;K859&amp;"|"&amp;L859&amp;"|"&amp;M859&amp;"|"&amp;N859</f>
        <v>ORD11687|09/08/2025|11:43|C1169|Biryani Baadshah|Kolkata|Biryani|2|285|0|UPI|Cancelled||</v>
      </c>
      <c r="P859" s="7" t="str">
        <f aca="false">IF(COUNTIF($O$2:O859,O859)&gt;1,"DUP","OK")</f>
        <v>OK</v>
      </c>
      <c r="Q859" s="7" t="n">
        <f aca="false">COUNTBLANK(A859:N859)</f>
        <v>2</v>
      </c>
      <c r="R859" s="7" t="n">
        <f aca="false">IF(A859="",0,COUNTIFS($A$2:$A$3058,A859,$P$2:$P$3058,"OK"))</f>
        <v>1</v>
      </c>
      <c r="S859" s="7" t="str">
        <f aca="false">IF(OR(A859="",P859="DUP",R859&lt;2),"",IF(Q859=_xlfn.MINIFS($Q$2:$Q$3058,$A$2:$A$3058,A859,$P$2:$P$3058,"OK"),"KEEP","DROP"))</f>
        <v/>
      </c>
      <c r="T859" s="9" t="n">
        <f aca="false">IF(A859="",1,0)</f>
        <v>0</v>
      </c>
      <c r="U859" s="9" t="n">
        <f aca="false">IF(D859="",1,0)</f>
        <v>0</v>
      </c>
      <c r="V859" s="9" t="n">
        <f aca="false">IF(E859="",1,0)</f>
        <v>0</v>
      </c>
      <c r="W859" s="9" t="n">
        <f aca="false">IF(OR(H859&lt;1,H859&gt;10),1,0)</f>
        <v>0</v>
      </c>
      <c r="X859" s="9" t="n">
        <f aca="false">IF(OR(I859&lt;=0,I859&gt;1500),1,0)</f>
        <v>0</v>
      </c>
      <c r="Y859" s="9" t="n">
        <f aca="false">IF(J859&gt;H859*I859,1,0)</f>
        <v>0</v>
      </c>
      <c r="Z859" s="9" t="n">
        <f aca="false">IF(AND(N859&lt;&gt;"",OR(N859&lt;1,N859&gt;5)),1,0)</f>
        <v>0</v>
      </c>
      <c r="AA859" s="9" t="n">
        <f aca="false">IF(AND(M859&lt;&gt;"",OR(M859&lt;5,M859&gt;180)),1,0)</f>
        <v>0</v>
      </c>
      <c r="AB859" s="7" t="str">
        <f aca="false">IF(P859="DUP","Exact duplicate row",IF(T859=1,"Missing Order ID",IF(S859="DROP","Duplicate Order ID (less complete row)",IF(U859=1,"Missing Customer ID",IF(V859=1,"Missing Restaurant name",IF(W859=1,"Invalid/outlier quantity",IF(X859=1,"Invalid/outlier unit price",IF(Y859=1,"Discount greater than order value",""))))))))</f>
        <v/>
      </c>
      <c r="AC859" s="7" t="str">
        <f aca="false">IF(AB859="","KEEP","DROP")</f>
        <v>KEEP</v>
      </c>
      <c r="AD859" s="7" t="str">
        <f aca="false">IF(TRIM(F859)="",IFERROR(INDEX(Map_Tables!$I$4:$I$37,MATCH(TRIM(E859),Map_Tables!$G$4:$G$37,0)),""),IFERROR(INDEX(Map_Tables!$B$4:$B$18,MATCH(TRIM(F859),Map_Tables!$A$4:$A$18,0)),"CHECK"))</f>
        <v>Kolkata</v>
      </c>
      <c r="AE859" s="7" t="str">
        <f aca="false">IF(TRIM(E859)="","",IFERROR(INDEX(Map_Tables!$H$4:$H$37,MATCH(TRIM(E859),Map_Tables!$G$4:$G$37,0)),"CHECK"))</f>
        <v>Biryani Baadshah</v>
      </c>
      <c r="AF859" s="7" t="str">
        <f aca="false">IF(TRIM(K859)="","Unknown",IFERROR(INDEX(Map_Tables!$E$4:$E$15,MATCH(TRIM(K859),Map_Tables!$D$4:$D$15,0)),"CHECK"))</f>
        <v>UPI</v>
      </c>
      <c r="AG859" s="7" t="str">
        <f aca="false">IF(LEFT(LOWER(TRIM(L859)),6)="cancel","Cancelled","Delivered")</f>
        <v>Cancelled</v>
      </c>
      <c r="AH859" s="10" t="n">
        <f aca="false">IF(ISNUMBER(SEARCH("/",B859)),DATE(VALUE(RIGHT(B859,4)),VALUE(MID(B859,4,2)),VALUE(LEFT(B859,2))),IF(MID(B859,5,1)="-",DATE(VALUE(LEFT(B859,4)),VALUE(MID(B859,6,2)),VALUE(RIGHT(B859,2))),DATE(VALUE(RIGHT(B859,4)),MATCH(MID(B859,4,3),{"Jan","Feb","Mar","Apr","May","Jun","Jul","Aug","Sep","Oct","Nov","Dec"},0),VALUE(LEFT(B859,2)))))</f>
        <v>45878</v>
      </c>
    </row>
    <row r="860" customFormat="false" ht="15" hidden="false" customHeight="false" outlineLevel="0" collapsed="false">
      <c r="A860" s="7" t="s">
        <v>2723</v>
      </c>
      <c r="B860" s="7" t="s">
        <v>2244</v>
      </c>
      <c r="C860" s="7" t="s">
        <v>1779</v>
      </c>
      <c r="D860" s="7" t="s">
        <v>2724</v>
      </c>
      <c r="E860" s="7" t="s">
        <v>138</v>
      </c>
      <c r="F860" s="7" t="s">
        <v>110</v>
      </c>
      <c r="G860" s="7" t="s">
        <v>139</v>
      </c>
      <c r="H860" s="7" t="n">
        <v>1</v>
      </c>
      <c r="I860" s="7" t="n">
        <v>200</v>
      </c>
      <c r="J860" s="7" t="n">
        <v>0</v>
      </c>
      <c r="K860" s="7" t="s">
        <v>93</v>
      </c>
      <c r="L860" s="7" t="s">
        <v>194</v>
      </c>
      <c r="M860" s="7" t="n">
        <v>43</v>
      </c>
      <c r="N860" s="7" t="n">
        <v>2</v>
      </c>
      <c r="O860" s="7" t="str">
        <f aca="false">A860&amp;"|"&amp;B860&amp;"|"&amp;C860&amp;"|"&amp;D860&amp;"|"&amp;E860&amp;"|"&amp;F860&amp;"|"&amp;G860&amp;"|"&amp;H860&amp;"|"&amp;I860&amp;"|"&amp;J860&amp;"|"&amp;K860&amp;"|"&amp;L860&amp;"|"&amp;M860&amp;"|"&amp;N860</f>
        <v>ORD11124|2025-05-23|11:31|C1496|Burger Barn|Delhi|Burgers|1|200|0|Credit Card|Delivered|43|2</v>
      </c>
      <c r="P860" s="7" t="str">
        <f aca="false">IF(COUNTIF($O$2:O860,O860)&gt;1,"DUP","OK")</f>
        <v>OK</v>
      </c>
      <c r="Q860" s="7" t="n">
        <f aca="false">COUNTBLANK(A860:N860)</f>
        <v>0</v>
      </c>
      <c r="R860" s="7" t="n">
        <f aca="false">IF(A860="",0,COUNTIFS($A$2:$A$3058,A860,$P$2:$P$3058,"OK"))</f>
        <v>1</v>
      </c>
      <c r="S860" s="7" t="str">
        <f aca="false">IF(OR(A860="",P860="DUP",R860&lt;2),"",IF(Q860=_xlfn.MINIFS($Q$2:$Q$3058,$A$2:$A$3058,A860,$P$2:$P$3058,"OK"),"KEEP","DROP"))</f>
        <v/>
      </c>
      <c r="T860" s="9" t="n">
        <f aca="false">IF(A860="",1,0)</f>
        <v>0</v>
      </c>
      <c r="U860" s="9" t="n">
        <f aca="false">IF(D860="",1,0)</f>
        <v>0</v>
      </c>
      <c r="V860" s="9" t="n">
        <f aca="false">IF(E860="",1,0)</f>
        <v>0</v>
      </c>
      <c r="W860" s="9" t="n">
        <f aca="false">IF(OR(H860&lt;1,H860&gt;10),1,0)</f>
        <v>0</v>
      </c>
      <c r="X860" s="9" t="n">
        <f aca="false">IF(OR(I860&lt;=0,I860&gt;1500),1,0)</f>
        <v>0</v>
      </c>
      <c r="Y860" s="9" t="n">
        <f aca="false">IF(J860&gt;H860*I860,1,0)</f>
        <v>0</v>
      </c>
      <c r="Z860" s="9" t="n">
        <f aca="false">IF(AND(N860&lt;&gt;"",OR(N860&lt;1,N860&gt;5)),1,0)</f>
        <v>0</v>
      </c>
      <c r="AA860" s="9" t="n">
        <f aca="false">IF(AND(M860&lt;&gt;"",OR(M860&lt;5,M860&gt;180)),1,0)</f>
        <v>0</v>
      </c>
      <c r="AB860" s="7" t="str">
        <f aca="false">IF(P860="DUP","Exact duplicate row",IF(T860=1,"Missing Order ID",IF(S860="DROP","Duplicate Order ID (less complete row)",IF(U860=1,"Missing Customer ID",IF(V860=1,"Missing Restaurant name",IF(W860=1,"Invalid/outlier quantity",IF(X860=1,"Invalid/outlier unit price",IF(Y860=1,"Discount greater than order value",""))))))))</f>
        <v/>
      </c>
      <c r="AC860" s="7" t="str">
        <f aca="false">IF(AB860="","KEEP","DROP")</f>
        <v>KEEP</v>
      </c>
      <c r="AD860" s="7" t="str">
        <f aca="false">IF(TRIM(F860)="",IFERROR(INDEX(Map_Tables!$I$4:$I$37,MATCH(TRIM(E860),Map_Tables!$G$4:$G$37,0)),""),IFERROR(INDEX(Map_Tables!$B$4:$B$18,MATCH(TRIM(F860),Map_Tables!$A$4:$A$18,0)),"CHECK"))</f>
        <v>Delhi</v>
      </c>
      <c r="AE860" s="7" t="str">
        <f aca="false">IF(TRIM(E860)="","",IFERROR(INDEX(Map_Tables!$H$4:$H$37,MATCH(TRIM(E860),Map_Tables!$G$4:$G$37,0)),"CHECK"))</f>
        <v>Burger Barn</v>
      </c>
      <c r="AF860" s="7" t="str">
        <f aca="false">IF(TRIM(K860)="","Unknown",IFERROR(INDEX(Map_Tables!$E$4:$E$15,MATCH(TRIM(K860),Map_Tables!$D$4:$D$15,0)),"CHECK"))</f>
        <v>Credit Card</v>
      </c>
      <c r="AG860" s="7" t="str">
        <f aca="false">IF(LEFT(LOWER(TRIM(L860)),6)="cancel","Cancelled","Delivered")</f>
        <v>Delivered</v>
      </c>
      <c r="AH860" s="10" t="n">
        <f aca="false">IF(ISNUMBER(SEARCH("/",B860)),DATE(VALUE(RIGHT(B860,4)),VALUE(MID(B860,4,2)),VALUE(LEFT(B860,2))),IF(MID(B860,5,1)="-",DATE(VALUE(LEFT(B860,4)),VALUE(MID(B860,6,2)),VALUE(RIGHT(B860,2))),DATE(VALUE(RIGHT(B860,4)),MATCH(MID(B860,4,3),{"Jan","Feb","Mar","Apr","May","Jun","Jul","Aug","Sep","Oct","Nov","Dec"},0),VALUE(LEFT(B860,2)))))</f>
        <v>45800</v>
      </c>
    </row>
    <row r="861" customFormat="false" ht="15" hidden="false" customHeight="false" outlineLevel="0" collapsed="false">
      <c r="A861" s="7" t="s">
        <v>2725</v>
      </c>
      <c r="B861" s="7" t="s">
        <v>432</v>
      </c>
      <c r="C861" s="7" t="s">
        <v>839</v>
      </c>
      <c r="D861" s="7" t="s">
        <v>497</v>
      </c>
      <c r="E861" s="7" t="s">
        <v>134</v>
      </c>
      <c r="F861" s="7" t="s">
        <v>110</v>
      </c>
      <c r="G861" s="7" t="s">
        <v>117</v>
      </c>
      <c r="H861" s="7" t="n">
        <v>4</v>
      </c>
      <c r="I861" s="7" t="n">
        <v>100</v>
      </c>
      <c r="J861" s="7" t="n">
        <v>0</v>
      </c>
      <c r="K861" s="7" t="s">
        <v>112</v>
      </c>
      <c r="L861" s="7" t="s">
        <v>194</v>
      </c>
      <c r="M861" s="7" t="n">
        <v>55</v>
      </c>
      <c r="N861" s="7" t="n">
        <v>5</v>
      </c>
      <c r="O861" s="7" t="str">
        <f aca="false">A861&amp;"|"&amp;B861&amp;"|"&amp;C861&amp;"|"&amp;D861&amp;"|"&amp;E861&amp;"|"&amp;F861&amp;"|"&amp;G861&amp;"|"&amp;H861&amp;"|"&amp;I861&amp;"|"&amp;J861&amp;"|"&amp;K861&amp;"|"&amp;L861&amp;"|"&amp;M861&amp;"|"&amp;N861</f>
        <v>ORD11809|2025-08-24|19:46|C0413|Chaat Corner|Delhi|Street Food|4|100|0|Cash on Delivery|Delivered|55|5</v>
      </c>
      <c r="P861" s="7" t="str">
        <f aca="false">IF(COUNTIF($O$2:O861,O861)&gt;1,"DUP","OK")</f>
        <v>OK</v>
      </c>
      <c r="Q861" s="7" t="n">
        <f aca="false">COUNTBLANK(A861:N861)</f>
        <v>0</v>
      </c>
      <c r="R861" s="7" t="n">
        <f aca="false">IF(A861="",0,COUNTIFS($A$2:$A$3058,A861,$P$2:$P$3058,"OK"))</f>
        <v>1</v>
      </c>
      <c r="S861" s="7" t="str">
        <f aca="false">IF(OR(A861="",P861="DUP",R861&lt;2),"",IF(Q861=_xlfn.MINIFS($Q$2:$Q$3058,$A$2:$A$3058,A861,$P$2:$P$3058,"OK"),"KEEP","DROP"))</f>
        <v/>
      </c>
      <c r="T861" s="9" t="n">
        <f aca="false">IF(A861="",1,0)</f>
        <v>0</v>
      </c>
      <c r="U861" s="9" t="n">
        <f aca="false">IF(D861="",1,0)</f>
        <v>0</v>
      </c>
      <c r="V861" s="9" t="n">
        <f aca="false">IF(E861="",1,0)</f>
        <v>0</v>
      </c>
      <c r="W861" s="9" t="n">
        <f aca="false">IF(OR(H861&lt;1,H861&gt;10),1,0)</f>
        <v>0</v>
      </c>
      <c r="X861" s="9" t="n">
        <f aca="false">IF(OR(I861&lt;=0,I861&gt;1500),1,0)</f>
        <v>0</v>
      </c>
      <c r="Y861" s="9" t="n">
        <f aca="false">IF(J861&gt;H861*I861,1,0)</f>
        <v>0</v>
      </c>
      <c r="Z861" s="9" t="n">
        <f aca="false">IF(AND(N861&lt;&gt;"",OR(N861&lt;1,N861&gt;5)),1,0)</f>
        <v>0</v>
      </c>
      <c r="AA861" s="9" t="n">
        <f aca="false">IF(AND(M861&lt;&gt;"",OR(M861&lt;5,M861&gt;180)),1,0)</f>
        <v>0</v>
      </c>
      <c r="AB861" s="7" t="str">
        <f aca="false">IF(P861="DUP","Exact duplicate row",IF(T861=1,"Missing Order ID",IF(S861="DROP","Duplicate Order ID (less complete row)",IF(U861=1,"Missing Customer ID",IF(V861=1,"Missing Restaurant name",IF(W861=1,"Invalid/outlier quantity",IF(X861=1,"Invalid/outlier unit price",IF(Y861=1,"Discount greater than order value",""))))))))</f>
        <v/>
      </c>
      <c r="AC861" s="7" t="str">
        <f aca="false">IF(AB861="","KEEP","DROP")</f>
        <v>KEEP</v>
      </c>
      <c r="AD861" s="7" t="str">
        <f aca="false">IF(TRIM(F861)="",IFERROR(INDEX(Map_Tables!$I$4:$I$37,MATCH(TRIM(E861),Map_Tables!$G$4:$G$37,0)),""),IFERROR(INDEX(Map_Tables!$B$4:$B$18,MATCH(TRIM(F861),Map_Tables!$A$4:$A$18,0)),"CHECK"))</f>
        <v>Delhi</v>
      </c>
      <c r="AE861" s="7" t="str">
        <f aca="false">IF(TRIM(E861)="","",IFERROR(INDEX(Map_Tables!$H$4:$H$37,MATCH(TRIM(E861),Map_Tables!$G$4:$G$37,0)),"CHECK"))</f>
        <v>Chaat Corner</v>
      </c>
      <c r="AF861" s="7" t="str">
        <f aca="false">IF(TRIM(K861)="","Unknown",IFERROR(INDEX(Map_Tables!$E$4:$E$15,MATCH(TRIM(K861),Map_Tables!$D$4:$D$15,0)),"CHECK"))</f>
        <v>Cash on Delivery</v>
      </c>
      <c r="AG861" s="7" t="str">
        <f aca="false">IF(LEFT(LOWER(TRIM(L861)),6)="cancel","Cancelled","Delivered")</f>
        <v>Delivered</v>
      </c>
      <c r="AH861" s="10" t="n">
        <f aca="false">IF(ISNUMBER(SEARCH("/",B861)),DATE(VALUE(RIGHT(B861,4)),VALUE(MID(B861,4,2)),VALUE(LEFT(B861,2))),IF(MID(B861,5,1)="-",DATE(VALUE(LEFT(B861,4)),VALUE(MID(B861,6,2)),VALUE(RIGHT(B861,2))),DATE(VALUE(RIGHT(B861,4)),MATCH(MID(B861,4,3),{"Jan","Feb","Mar","Apr","May","Jun","Jul","Aug","Sep","Oct","Nov","Dec"},0),VALUE(LEFT(B861,2)))))</f>
        <v>45893</v>
      </c>
    </row>
    <row r="862" customFormat="false" ht="15" hidden="false" customHeight="false" outlineLevel="0" collapsed="false">
      <c r="A862" s="7" t="s">
        <v>2726</v>
      </c>
      <c r="B862" s="7" t="s">
        <v>2727</v>
      </c>
      <c r="C862" s="7" t="s">
        <v>1791</v>
      </c>
      <c r="D862" s="7" t="s">
        <v>2728</v>
      </c>
      <c r="E862" s="7" t="s">
        <v>711</v>
      </c>
      <c r="F862" s="7" t="s">
        <v>101</v>
      </c>
      <c r="G862" s="7" t="s">
        <v>90</v>
      </c>
      <c r="H862" s="7" t="n">
        <v>3</v>
      </c>
      <c r="I862" s="7" t="n">
        <v>240</v>
      </c>
      <c r="J862" s="7" t="n">
        <v>50</v>
      </c>
      <c r="K862" s="7" t="s">
        <v>88</v>
      </c>
      <c r="L862" s="7" t="s">
        <v>194</v>
      </c>
      <c r="M862" s="7" t="n">
        <v>42</v>
      </c>
      <c r="N862" s="7" t="n">
        <v>5</v>
      </c>
      <c r="O862" s="7" t="str">
        <f aca="false">A862&amp;"|"&amp;B862&amp;"|"&amp;C862&amp;"|"&amp;D862&amp;"|"&amp;E862&amp;"|"&amp;F862&amp;"|"&amp;G862&amp;"|"&amp;H862&amp;"|"&amp;I862&amp;"|"&amp;J862&amp;"|"&amp;K862&amp;"|"&amp;L862&amp;"|"&amp;M862&amp;"|"&amp;N862</f>
        <v>ORD10790|2025-04-10|19:21|C1500|Curry  Leaf Kitchen|Mumbai|North Indian|3|240|50|UPI|Delivered|42|5</v>
      </c>
      <c r="P862" s="7" t="str">
        <f aca="false">IF(COUNTIF($O$2:O862,O862)&gt;1,"DUP","OK")</f>
        <v>OK</v>
      </c>
      <c r="Q862" s="7" t="n">
        <f aca="false">COUNTBLANK(A862:N862)</f>
        <v>0</v>
      </c>
      <c r="R862" s="7" t="n">
        <f aca="false">IF(A862="",0,COUNTIFS($A$2:$A$3058,A862,$P$2:$P$3058,"OK"))</f>
        <v>1</v>
      </c>
      <c r="S862" s="7" t="str">
        <f aca="false">IF(OR(A862="",P862="DUP",R862&lt;2),"",IF(Q862=_xlfn.MINIFS($Q$2:$Q$3058,$A$2:$A$3058,A862,$P$2:$P$3058,"OK"),"KEEP","DROP"))</f>
        <v/>
      </c>
      <c r="T862" s="9" t="n">
        <f aca="false">IF(A862="",1,0)</f>
        <v>0</v>
      </c>
      <c r="U862" s="9" t="n">
        <f aca="false">IF(D862="",1,0)</f>
        <v>0</v>
      </c>
      <c r="V862" s="9" t="n">
        <f aca="false">IF(E862="",1,0)</f>
        <v>0</v>
      </c>
      <c r="W862" s="9" t="n">
        <f aca="false">IF(OR(H862&lt;1,H862&gt;10),1,0)</f>
        <v>0</v>
      </c>
      <c r="X862" s="9" t="n">
        <f aca="false">IF(OR(I862&lt;=0,I862&gt;1500),1,0)</f>
        <v>0</v>
      </c>
      <c r="Y862" s="9" t="n">
        <f aca="false">IF(J862&gt;H862*I862,1,0)</f>
        <v>0</v>
      </c>
      <c r="Z862" s="9" t="n">
        <f aca="false">IF(AND(N862&lt;&gt;"",OR(N862&lt;1,N862&gt;5)),1,0)</f>
        <v>0</v>
      </c>
      <c r="AA862" s="9" t="n">
        <f aca="false">IF(AND(M862&lt;&gt;"",OR(M862&lt;5,M862&gt;180)),1,0)</f>
        <v>0</v>
      </c>
      <c r="AB862" s="7" t="str">
        <f aca="false">IF(P862="DUP","Exact duplicate row",IF(T862=1,"Missing Order ID",IF(S862="DROP","Duplicate Order ID (less complete row)",IF(U862=1,"Missing Customer ID",IF(V862=1,"Missing Restaurant name",IF(W862=1,"Invalid/outlier quantity",IF(X862=1,"Invalid/outlier unit price",IF(Y862=1,"Discount greater than order value",""))))))))</f>
        <v/>
      </c>
      <c r="AC862" s="7" t="str">
        <f aca="false">IF(AB862="","KEEP","DROP")</f>
        <v>KEEP</v>
      </c>
      <c r="AD862" s="7" t="str">
        <f aca="false">IF(TRIM(F862)="",IFERROR(INDEX(Map_Tables!$I$4:$I$37,MATCH(TRIM(E862),Map_Tables!$G$4:$G$37,0)),""),IFERROR(INDEX(Map_Tables!$B$4:$B$18,MATCH(TRIM(F862),Map_Tables!$A$4:$A$18,0)),"CHECK"))</f>
        <v>Mumbai</v>
      </c>
      <c r="AE862" s="7" t="str">
        <f aca="false">IF(TRIM(E862)="","",IFERROR(INDEX(Map_Tables!$H$4:$H$37,MATCH(TRIM(E862),Map_Tables!$G$4:$G$37,0)),"CHECK"))</f>
        <v>Curry Leaf Kitchen</v>
      </c>
      <c r="AF862" s="7" t="str">
        <f aca="false">IF(TRIM(K862)="","Unknown",IFERROR(INDEX(Map_Tables!$E$4:$E$15,MATCH(TRIM(K862),Map_Tables!$D$4:$D$15,0)),"CHECK"))</f>
        <v>UPI</v>
      </c>
      <c r="AG862" s="7" t="str">
        <f aca="false">IF(LEFT(LOWER(TRIM(L862)),6)="cancel","Cancelled","Delivered")</f>
        <v>Delivered</v>
      </c>
      <c r="AH862" s="10" t="n">
        <f aca="false">IF(ISNUMBER(SEARCH("/",B862)),DATE(VALUE(RIGHT(B862,4)),VALUE(MID(B862,4,2)),VALUE(LEFT(B862,2))),IF(MID(B862,5,1)="-",DATE(VALUE(LEFT(B862,4)),VALUE(MID(B862,6,2)),VALUE(RIGHT(B862,2))),DATE(VALUE(RIGHT(B862,4)),MATCH(MID(B862,4,3),{"Jan","Feb","Mar","Apr","May","Jun","Jul","Aug","Sep","Oct","Nov","Dec"},0),VALUE(LEFT(B862,2)))))</f>
        <v>45757</v>
      </c>
    </row>
    <row r="863" customFormat="false" ht="15" hidden="false" customHeight="false" outlineLevel="0" collapsed="false">
      <c r="A863" s="7" t="s">
        <v>2729</v>
      </c>
      <c r="B863" s="7" t="s">
        <v>2730</v>
      </c>
      <c r="C863" s="7" t="s">
        <v>1062</v>
      </c>
      <c r="D863" s="7" t="s">
        <v>2731</v>
      </c>
      <c r="E863" s="7" t="s">
        <v>144</v>
      </c>
      <c r="F863" s="7" t="s">
        <v>119</v>
      </c>
      <c r="G863" s="7" t="s">
        <v>99</v>
      </c>
      <c r="H863" s="7" t="n">
        <v>1</v>
      </c>
      <c r="I863" s="7" t="n">
        <v>320</v>
      </c>
      <c r="J863" s="7" t="n">
        <v>0</v>
      </c>
      <c r="K863" s="7" t="s">
        <v>88</v>
      </c>
      <c r="L863" s="7" t="s">
        <v>194</v>
      </c>
      <c r="M863" s="7" t="n">
        <v>29</v>
      </c>
      <c r="N863" s="7" t="n">
        <v>3</v>
      </c>
      <c r="O863" s="7" t="str">
        <f aca="false">A863&amp;"|"&amp;B863&amp;"|"&amp;C863&amp;"|"&amp;D863&amp;"|"&amp;E863&amp;"|"&amp;F863&amp;"|"&amp;G863&amp;"|"&amp;H863&amp;"|"&amp;I863&amp;"|"&amp;J863&amp;"|"&amp;K863&amp;"|"&amp;L863&amp;"|"&amp;M863&amp;"|"&amp;N863</f>
        <v>ORD12889|19/12/2025|21:10|C0322|Hyderabad Dum Biryani|Hyderabad|Biryani|1|320|0|UPI|Delivered|29|3</v>
      </c>
      <c r="P863" s="7" t="str">
        <f aca="false">IF(COUNTIF($O$2:O863,O863)&gt;1,"DUP","OK")</f>
        <v>OK</v>
      </c>
      <c r="Q863" s="7" t="n">
        <f aca="false">COUNTBLANK(A863:N863)</f>
        <v>0</v>
      </c>
      <c r="R863" s="7" t="n">
        <f aca="false">IF(A863="",0,COUNTIFS($A$2:$A$3058,A863,$P$2:$P$3058,"OK"))</f>
        <v>1</v>
      </c>
      <c r="S863" s="7" t="str">
        <f aca="false">IF(OR(A863="",P863="DUP",R863&lt;2),"",IF(Q863=_xlfn.MINIFS($Q$2:$Q$3058,$A$2:$A$3058,A863,$P$2:$P$3058,"OK"),"KEEP","DROP"))</f>
        <v/>
      </c>
      <c r="T863" s="9" t="n">
        <f aca="false">IF(A863="",1,0)</f>
        <v>0</v>
      </c>
      <c r="U863" s="9" t="n">
        <f aca="false">IF(D863="",1,0)</f>
        <v>0</v>
      </c>
      <c r="V863" s="9" t="n">
        <f aca="false">IF(E863="",1,0)</f>
        <v>0</v>
      </c>
      <c r="W863" s="9" t="n">
        <f aca="false">IF(OR(H863&lt;1,H863&gt;10),1,0)</f>
        <v>0</v>
      </c>
      <c r="X863" s="9" t="n">
        <f aca="false">IF(OR(I863&lt;=0,I863&gt;1500),1,0)</f>
        <v>0</v>
      </c>
      <c r="Y863" s="9" t="n">
        <f aca="false">IF(J863&gt;H863*I863,1,0)</f>
        <v>0</v>
      </c>
      <c r="Z863" s="9" t="n">
        <f aca="false">IF(AND(N863&lt;&gt;"",OR(N863&lt;1,N863&gt;5)),1,0)</f>
        <v>0</v>
      </c>
      <c r="AA863" s="9" t="n">
        <f aca="false">IF(AND(M863&lt;&gt;"",OR(M863&lt;5,M863&gt;180)),1,0)</f>
        <v>0</v>
      </c>
      <c r="AB863" s="7" t="str">
        <f aca="false">IF(P863="DUP","Exact duplicate row",IF(T863=1,"Missing Order ID",IF(S863="DROP","Duplicate Order ID (less complete row)",IF(U863=1,"Missing Customer ID",IF(V863=1,"Missing Restaurant name",IF(W863=1,"Invalid/outlier quantity",IF(X863=1,"Invalid/outlier unit price",IF(Y863=1,"Discount greater than order value",""))))))))</f>
        <v/>
      </c>
      <c r="AC863" s="7" t="str">
        <f aca="false">IF(AB863="","KEEP","DROP")</f>
        <v>KEEP</v>
      </c>
      <c r="AD863" s="7" t="str">
        <f aca="false">IF(TRIM(F863)="",IFERROR(INDEX(Map_Tables!$I$4:$I$37,MATCH(TRIM(E863),Map_Tables!$G$4:$G$37,0)),""),IFERROR(INDEX(Map_Tables!$B$4:$B$18,MATCH(TRIM(F863),Map_Tables!$A$4:$A$18,0)),"CHECK"))</f>
        <v>Hyderabad</v>
      </c>
      <c r="AE863" s="7" t="str">
        <f aca="false">IF(TRIM(E863)="","",IFERROR(INDEX(Map_Tables!$H$4:$H$37,MATCH(TRIM(E863),Map_Tables!$G$4:$G$37,0)),"CHECK"))</f>
        <v>Hyderabad Dum Biryani</v>
      </c>
      <c r="AF863" s="7" t="str">
        <f aca="false">IF(TRIM(K863)="","Unknown",IFERROR(INDEX(Map_Tables!$E$4:$E$15,MATCH(TRIM(K863),Map_Tables!$D$4:$D$15,0)),"CHECK"))</f>
        <v>UPI</v>
      </c>
      <c r="AG863" s="7" t="str">
        <f aca="false">IF(LEFT(LOWER(TRIM(L863)),6)="cancel","Cancelled","Delivered")</f>
        <v>Delivered</v>
      </c>
      <c r="AH863" s="10" t="n">
        <f aca="false">IF(ISNUMBER(SEARCH("/",B863)),DATE(VALUE(RIGHT(B863,4)),VALUE(MID(B863,4,2)),VALUE(LEFT(B863,2))),IF(MID(B863,5,1)="-",DATE(VALUE(LEFT(B863,4)),VALUE(MID(B863,6,2)),VALUE(RIGHT(B863,2))),DATE(VALUE(RIGHT(B863,4)),MATCH(MID(B863,4,3),{"Jan","Feb","Mar","Apr","May","Jun","Jul","Aug","Sep","Oct","Nov","Dec"},0),VALUE(LEFT(B863,2)))))</f>
        <v>46010</v>
      </c>
    </row>
    <row r="864" customFormat="false" ht="15" hidden="false" customHeight="false" outlineLevel="0" collapsed="false">
      <c r="A864" s="7" t="s">
        <v>2732</v>
      </c>
      <c r="B864" s="7" t="s">
        <v>1127</v>
      </c>
      <c r="C864" s="7" t="s">
        <v>2733</v>
      </c>
      <c r="D864" s="7" t="s">
        <v>2399</v>
      </c>
      <c r="E864" s="7" t="s">
        <v>130</v>
      </c>
      <c r="F864" s="7" t="s">
        <v>294</v>
      </c>
      <c r="G864" s="7" t="s">
        <v>90</v>
      </c>
      <c r="H864" s="7" t="n">
        <v>1</v>
      </c>
      <c r="I864" s="7" t="n">
        <v>295</v>
      </c>
      <c r="J864" s="7" t="n">
        <v>75</v>
      </c>
      <c r="K864" s="7" t="s">
        <v>112</v>
      </c>
      <c r="L864" s="7" t="s">
        <v>194</v>
      </c>
      <c r="M864" s="7" t="n">
        <v>39</v>
      </c>
      <c r="N864" s="7" t="n">
        <v>4</v>
      </c>
      <c r="O864" s="7" t="str">
        <f aca="false">A864&amp;"|"&amp;B864&amp;"|"&amp;C864&amp;"|"&amp;D864&amp;"|"&amp;E864&amp;"|"&amp;F864&amp;"|"&amp;G864&amp;"|"&amp;H864&amp;"|"&amp;I864&amp;"|"&amp;J864&amp;"|"&amp;K864&amp;"|"&amp;L864&amp;"|"&amp;M864&amp;"|"&amp;N864</f>
        <v>ORD12760|2025-12-03|14:52|C1244|Tandoor Tales|New Delhi|North Indian|1|295|75|Cash on Delivery|Delivered|39|4</v>
      </c>
      <c r="P864" s="7" t="str">
        <f aca="false">IF(COUNTIF($O$2:O864,O864)&gt;1,"DUP","OK")</f>
        <v>OK</v>
      </c>
      <c r="Q864" s="7" t="n">
        <f aca="false">COUNTBLANK(A864:N864)</f>
        <v>0</v>
      </c>
      <c r="R864" s="7" t="n">
        <f aca="false">IF(A864="",0,COUNTIFS($A$2:$A$3058,A864,$P$2:$P$3058,"OK"))</f>
        <v>1</v>
      </c>
      <c r="S864" s="7" t="str">
        <f aca="false">IF(OR(A864="",P864="DUP",R864&lt;2),"",IF(Q864=_xlfn.MINIFS($Q$2:$Q$3058,$A$2:$A$3058,A864,$P$2:$P$3058,"OK"),"KEEP","DROP"))</f>
        <v/>
      </c>
      <c r="T864" s="9" t="n">
        <f aca="false">IF(A864="",1,0)</f>
        <v>0</v>
      </c>
      <c r="U864" s="9" t="n">
        <f aca="false">IF(D864="",1,0)</f>
        <v>0</v>
      </c>
      <c r="V864" s="9" t="n">
        <f aca="false">IF(E864="",1,0)</f>
        <v>0</v>
      </c>
      <c r="W864" s="9" t="n">
        <f aca="false">IF(OR(H864&lt;1,H864&gt;10),1,0)</f>
        <v>0</v>
      </c>
      <c r="X864" s="9" t="n">
        <f aca="false">IF(OR(I864&lt;=0,I864&gt;1500),1,0)</f>
        <v>0</v>
      </c>
      <c r="Y864" s="9" t="n">
        <f aca="false">IF(J864&gt;H864*I864,1,0)</f>
        <v>0</v>
      </c>
      <c r="Z864" s="9" t="n">
        <f aca="false">IF(AND(N864&lt;&gt;"",OR(N864&lt;1,N864&gt;5)),1,0)</f>
        <v>0</v>
      </c>
      <c r="AA864" s="9" t="n">
        <f aca="false">IF(AND(M864&lt;&gt;"",OR(M864&lt;5,M864&gt;180)),1,0)</f>
        <v>0</v>
      </c>
      <c r="AB864" s="7" t="str">
        <f aca="false">IF(P864="DUP","Exact duplicate row",IF(T864=1,"Missing Order ID",IF(S864="DROP","Duplicate Order ID (less complete row)",IF(U864=1,"Missing Customer ID",IF(V864=1,"Missing Restaurant name",IF(W864=1,"Invalid/outlier quantity",IF(X864=1,"Invalid/outlier unit price",IF(Y864=1,"Discount greater than order value",""))))))))</f>
        <v/>
      </c>
      <c r="AC864" s="7" t="str">
        <f aca="false">IF(AB864="","KEEP","DROP")</f>
        <v>KEEP</v>
      </c>
      <c r="AD864" s="7" t="str">
        <f aca="false">IF(TRIM(F864)="",IFERROR(INDEX(Map_Tables!$I$4:$I$37,MATCH(TRIM(E864),Map_Tables!$G$4:$G$37,0)),""),IFERROR(INDEX(Map_Tables!$B$4:$B$18,MATCH(TRIM(F864),Map_Tables!$A$4:$A$18,0)),"CHECK"))</f>
        <v>Delhi</v>
      </c>
      <c r="AE864" s="7" t="str">
        <f aca="false">IF(TRIM(E864)="","",IFERROR(INDEX(Map_Tables!$H$4:$H$37,MATCH(TRIM(E864),Map_Tables!$G$4:$G$37,0)),"CHECK"))</f>
        <v>Tandoor Tales</v>
      </c>
      <c r="AF864" s="7" t="str">
        <f aca="false">IF(TRIM(K864)="","Unknown",IFERROR(INDEX(Map_Tables!$E$4:$E$15,MATCH(TRIM(K864),Map_Tables!$D$4:$D$15,0)),"CHECK"))</f>
        <v>Cash on Delivery</v>
      </c>
      <c r="AG864" s="7" t="str">
        <f aca="false">IF(LEFT(LOWER(TRIM(L864)),6)="cancel","Cancelled","Delivered")</f>
        <v>Delivered</v>
      </c>
      <c r="AH864" s="10" t="n">
        <f aca="false">IF(ISNUMBER(SEARCH("/",B864)),DATE(VALUE(RIGHT(B864,4)),VALUE(MID(B864,4,2)),VALUE(LEFT(B864,2))),IF(MID(B864,5,1)="-",DATE(VALUE(LEFT(B864,4)),VALUE(MID(B864,6,2)),VALUE(RIGHT(B864,2))),DATE(VALUE(RIGHT(B864,4)),MATCH(MID(B864,4,3),{"Jan","Feb","Mar","Apr","May","Jun","Jul","Aug","Sep","Oct","Nov","Dec"},0),VALUE(LEFT(B864,2)))))</f>
        <v>45994</v>
      </c>
    </row>
    <row r="865" customFormat="false" ht="15" hidden="false" customHeight="false" outlineLevel="0" collapsed="false">
      <c r="A865" s="7" t="s">
        <v>2734</v>
      </c>
      <c r="B865" s="7" t="s">
        <v>875</v>
      </c>
      <c r="C865" s="7" t="s">
        <v>197</v>
      </c>
      <c r="D865" s="7" t="s">
        <v>2735</v>
      </c>
      <c r="E865" s="7" t="s">
        <v>89</v>
      </c>
      <c r="F865" s="7" t="s">
        <v>86</v>
      </c>
      <c r="G865" s="7" t="s">
        <v>90</v>
      </c>
      <c r="H865" s="7" t="n">
        <v>2</v>
      </c>
      <c r="I865" s="7" t="n">
        <v>255</v>
      </c>
      <c r="J865" s="7" t="n">
        <v>0</v>
      </c>
      <c r="K865" s="7" t="s">
        <v>229</v>
      </c>
      <c r="L865" s="7" t="s">
        <v>194</v>
      </c>
      <c r="M865" s="7" t="n">
        <v>61</v>
      </c>
      <c r="N865" s="7" t="n">
        <v>2</v>
      </c>
      <c r="O865" s="7" t="str">
        <f aca="false">A865&amp;"|"&amp;B865&amp;"|"&amp;C865&amp;"|"&amp;D865&amp;"|"&amp;E865&amp;"|"&amp;F865&amp;"|"&amp;G865&amp;"|"&amp;H865&amp;"|"&amp;I865&amp;"|"&amp;J865&amp;"|"&amp;K865&amp;"|"&amp;L865&amp;"|"&amp;M865&amp;"|"&amp;N865</f>
        <v>ORD12929|2025-12-23|22:08|C0400|Spice Junction|Bengaluru|North Indian|2|255|0|Upi|Delivered|61|2</v>
      </c>
      <c r="P865" s="7" t="str">
        <f aca="false">IF(COUNTIF($O$2:O865,O865)&gt;1,"DUP","OK")</f>
        <v>OK</v>
      </c>
      <c r="Q865" s="7" t="n">
        <f aca="false">COUNTBLANK(A865:N865)</f>
        <v>0</v>
      </c>
      <c r="R865" s="7" t="n">
        <f aca="false">IF(A865="",0,COUNTIFS($A$2:$A$3058,A865,$P$2:$P$3058,"OK"))</f>
        <v>1</v>
      </c>
      <c r="S865" s="7" t="str">
        <f aca="false">IF(OR(A865="",P865="DUP",R865&lt;2),"",IF(Q865=_xlfn.MINIFS($Q$2:$Q$3058,$A$2:$A$3058,A865,$P$2:$P$3058,"OK"),"KEEP","DROP"))</f>
        <v/>
      </c>
      <c r="T865" s="9" t="n">
        <f aca="false">IF(A865="",1,0)</f>
        <v>0</v>
      </c>
      <c r="U865" s="9" t="n">
        <f aca="false">IF(D865="",1,0)</f>
        <v>0</v>
      </c>
      <c r="V865" s="9" t="n">
        <f aca="false">IF(E865="",1,0)</f>
        <v>0</v>
      </c>
      <c r="W865" s="9" t="n">
        <f aca="false">IF(OR(H865&lt;1,H865&gt;10),1,0)</f>
        <v>0</v>
      </c>
      <c r="X865" s="9" t="n">
        <f aca="false">IF(OR(I865&lt;=0,I865&gt;1500),1,0)</f>
        <v>0</v>
      </c>
      <c r="Y865" s="9" t="n">
        <f aca="false">IF(J865&gt;H865*I865,1,0)</f>
        <v>0</v>
      </c>
      <c r="Z865" s="9" t="n">
        <f aca="false">IF(AND(N865&lt;&gt;"",OR(N865&lt;1,N865&gt;5)),1,0)</f>
        <v>0</v>
      </c>
      <c r="AA865" s="9" t="n">
        <f aca="false">IF(AND(M865&lt;&gt;"",OR(M865&lt;5,M865&gt;180)),1,0)</f>
        <v>0</v>
      </c>
      <c r="AB865" s="7" t="str">
        <f aca="false">IF(P865="DUP","Exact duplicate row",IF(T865=1,"Missing Order ID",IF(S865="DROP","Duplicate Order ID (less complete row)",IF(U865=1,"Missing Customer ID",IF(V865=1,"Missing Restaurant name",IF(W865=1,"Invalid/outlier quantity",IF(X865=1,"Invalid/outlier unit price",IF(Y865=1,"Discount greater than order value",""))))))))</f>
        <v/>
      </c>
      <c r="AC865" s="7" t="str">
        <f aca="false">IF(AB865="","KEEP","DROP")</f>
        <v>KEEP</v>
      </c>
      <c r="AD865" s="7" t="str">
        <f aca="false">IF(TRIM(F865)="",IFERROR(INDEX(Map_Tables!$I$4:$I$37,MATCH(TRIM(E865),Map_Tables!$G$4:$G$37,0)),""),IFERROR(INDEX(Map_Tables!$B$4:$B$18,MATCH(TRIM(F865),Map_Tables!$A$4:$A$18,0)),"CHECK"))</f>
        <v>Bengaluru</v>
      </c>
      <c r="AE865" s="7" t="str">
        <f aca="false">IF(TRIM(E865)="","",IFERROR(INDEX(Map_Tables!$H$4:$H$37,MATCH(TRIM(E865),Map_Tables!$G$4:$G$37,0)),"CHECK"))</f>
        <v>Spice Junction</v>
      </c>
      <c r="AF865" s="7" t="str">
        <f aca="false">IF(TRIM(K865)="","Unknown",IFERROR(INDEX(Map_Tables!$E$4:$E$15,MATCH(TRIM(K865),Map_Tables!$D$4:$D$15,0)),"CHECK"))</f>
        <v>UPI</v>
      </c>
      <c r="AG865" s="7" t="str">
        <f aca="false">IF(LEFT(LOWER(TRIM(L865)),6)="cancel","Cancelled","Delivered")</f>
        <v>Delivered</v>
      </c>
      <c r="AH865" s="10" t="n">
        <f aca="false">IF(ISNUMBER(SEARCH("/",B865)),DATE(VALUE(RIGHT(B865,4)),VALUE(MID(B865,4,2)),VALUE(LEFT(B865,2))),IF(MID(B865,5,1)="-",DATE(VALUE(LEFT(B865,4)),VALUE(MID(B865,6,2)),VALUE(RIGHT(B865,2))),DATE(VALUE(RIGHT(B865,4)),MATCH(MID(B865,4,3),{"Jan","Feb","Mar","Apr","May","Jun","Jul","Aug","Sep","Oct","Nov","Dec"},0),VALUE(LEFT(B865,2)))))</f>
        <v>46014</v>
      </c>
    </row>
    <row r="866" customFormat="false" ht="15" hidden="false" customHeight="false" outlineLevel="0" collapsed="false">
      <c r="A866" s="7" t="s">
        <v>2736</v>
      </c>
      <c r="B866" s="7" t="s">
        <v>2737</v>
      </c>
      <c r="C866" s="7" t="s">
        <v>1788</v>
      </c>
      <c r="D866" s="7" t="s">
        <v>2738</v>
      </c>
      <c r="E866" s="7" t="s">
        <v>144</v>
      </c>
      <c r="F866" s="7" t="s">
        <v>119</v>
      </c>
      <c r="G866" s="7" t="s">
        <v>99</v>
      </c>
      <c r="H866" s="7" t="n">
        <v>3</v>
      </c>
      <c r="I866" s="7" t="n">
        <v>275</v>
      </c>
      <c r="J866" s="7" t="n">
        <v>50</v>
      </c>
      <c r="K866" s="7" t="s">
        <v>112</v>
      </c>
      <c r="L866" s="7" t="s">
        <v>194</v>
      </c>
      <c r="M866" s="7" t="n">
        <v>35</v>
      </c>
      <c r="N866" s="7"/>
      <c r="O866" s="7" t="str">
        <f aca="false">A866&amp;"|"&amp;B866&amp;"|"&amp;C866&amp;"|"&amp;D866&amp;"|"&amp;E866&amp;"|"&amp;F866&amp;"|"&amp;G866&amp;"|"&amp;H866&amp;"|"&amp;I866&amp;"|"&amp;J866&amp;"|"&amp;K866&amp;"|"&amp;L866&amp;"|"&amp;M866&amp;"|"&amp;N866</f>
        <v>ORD11521|16/07/2025|20:33|C0152|Hyderabad Dum Biryani|Hyderabad|Biryani|3|275|50|Cash on Delivery|Delivered|35|</v>
      </c>
      <c r="P866" s="7" t="str">
        <f aca="false">IF(COUNTIF($O$2:O866,O866)&gt;1,"DUP","OK")</f>
        <v>OK</v>
      </c>
      <c r="Q866" s="7" t="n">
        <f aca="false">COUNTBLANK(A866:N866)</f>
        <v>1</v>
      </c>
      <c r="R866" s="7" t="n">
        <f aca="false">IF(A866="",0,COUNTIFS($A$2:$A$3058,A866,$P$2:$P$3058,"OK"))</f>
        <v>1</v>
      </c>
      <c r="S866" s="7" t="str">
        <f aca="false">IF(OR(A866="",P866="DUP",R866&lt;2),"",IF(Q866=_xlfn.MINIFS($Q$2:$Q$3058,$A$2:$A$3058,A866,$P$2:$P$3058,"OK"),"KEEP","DROP"))</f>
        <v/>
      </c>
      <c r="T866" s="9" t="n">
        <f aca="false">IF(A866="",1,0)</f>
        <v>0</v>
      </c>
      <c r="U866" s="9" t="n">
        <f aca="false">IF(D866="",1,0)</f>
        <v>0</v>
      </c>
      <c r="V866" s="9" t="n">
        <f aca="false">IF(E866="",1,0)</f>
        <v>0</v>
      </c>
      <c r="W866" s="9" t="n">
        <f aca="false">IF(OR(H866&lt;1,H866&gt;10),1,0)</f>
        <v>0</v>
      </c>
      <c r="X866" s="9" t="n">
        <f aca="false">IF(OR(I866&lt;=0,I866&gt;1500),1,0)</f>
        <v>0</v>
      </c>
      <c r="Y866" s="9" t="n">
        <f aca="false">IF(J866&gt;H866*I866,1,0)</f>
        <v>0</v>
      </c>
      <c r="Z866" s="9" t="n">
        <f aca="false">IF(AND(N866&lt;&gt;"",OR(N866&lt;1,N866&gt;5)),1,0)</f>
        <v>0</v>
      </c>
      <c r="AA866" s="9" t="n">
        <f aca="false">IF(AND(M866&lt;&gt;"",OR(M866&lt;5,M866&gt;180)),1,0)</f>
        <v>0</v>
      </c>
      <c r="AB866" s="7" t="str">
        <f aca="false">IF(P866="DUP","Exact duplicate row",IF(T866=1,"Missing Order ID",IF(S866="DROP","Duplicate Order ID (less complete row)",IF(U866=1,"Missing Customer ID",IF(V866=1,"Missing Restaurant name",IF(W866=1,"Invalid/outlier quantity",IF(X866=1,"Invalid/outlier unit price",IF(Y866=1,"Discount greater than order value",""))))))))</f>
        <v/>
      </c>
      <c r="AC866" s="7" t="str">
        <f aca="false">IF(AB866="","KEEP","DROP")</f>
        <v>KEEP</v>
      </c>
      <c r="AD866" s="7" t="str">
        <f aca="false">IF(TRIM(F866)="",IFERROR(INDEX(Map_Tables!$I$4:$I$37,MATCH(TRIM(E866),Map_Tables!$G$4:$G$37,0)),""),IFERROR(INDEX(Map_Tables!$B$4:$B$18,MATCH(TRIM(F866),Map_Tables!$A$4:$A$18,0)),"CHECK"))</f>
        <v>Hyderabad</v>
      </c>
      <c r="AE866" s="7" t="str">
        <f aca="false">IF(TRIM(E866)="","",IFERROR(INDEX(Map_Tables!$H$4:$H$37,MATCH(TRIM(E866),Map_Tables!$G$4:$G$37,0)),"CHECK"))</f>
        <v>Hyderabad Dum Biryani</v>
      </c>
      <c r="AF866" s="7" t="str">
        <f aca="false">IF(TRIM(K866)="","Unknown",IFERROR(INDEX(Map_Tables!$E$4:$E$15,MATCH(TRIM(K866),Map_Tables!$D$4:$D$15,0)),"CHECK"))</f>
        <v>Cash on Delivery</v>
      </c>
      <c r="AG866" s="7" t="str">
        <f aca="false">IF(LEFT(LOWER(TRIM(L866)),6)="cancel","Cancelled","Delivered")</f>
        <v>Delivered</v>
      </c>
      <c r="AH866" s="10" t="n">
        <f aca="false">IF(ISNUMBER(SEARCH("/",B866)),DATE(VALUE(RIGHT(B866,4)),VALUE(MID(B866,4,2)),VALUE(LEFT(B866,2))),IF(MID(B866,5,1)="-",DATE(VALUE(LEFT(B866,4)),VALUE(MID(B866,6,2)),VALUE(RIGHT(B866,2))),DATE(VALUE(RIGHT(B866,4)),MATCH(MID(B866,4,3),{"Jan","Feb","Mar","Apr","May","Jun","Jul","Aug","Sep","Oct","Nov","Dec"},0),VALUE(LEFT(B866,2)))))</f>
        <v>45854</v>
      </c>
    </row>
    <row r="867" customFormat="false" ht="15" hidden="false" customHeight="false" outlineLevel="0" collapsed="false">
      <c r="A867" s="7" t="s">
        <v>2739</v>
      </c>
      <c r="B867" s="7" t="s">
        <v>1329</v>
      </c>
      <c r="C867" s="7" t="s">
        <v>1784</v>
      </c>
      <c r="D867" s="7" t="s">
        <v>2411</v>
      </c>
      <c r="E867" s="7" t="s">
        <v>144</v>
      </c>
      <c r="F867" s="7" t="s">
        <v>119</v>
      </c>
      <c r="G867" s="7" t="s">
        <v>99</v>
      </c>
      <c r="H867" s="7" t="n">
        <v>5</v>
      </c>
      <c r="I867" s="7" t="n">
        <v>345</v>
      </c>
      <c r="J867" s="7" t="n">
        <v>40</v>
      </c>
      <c r="K867" s="7" t="s">
        <v>88</v>
      </c>
      <c r="L867" s="7" t="s">
        <v>194</v>
      </c>
      <c r="M867" s="7" t="n">
        <v>27</v>
      </c>
      <c r="N867" s="7" t="n">
        <v>4</v>
      </c>
      <c r="O867" s="7" t="str">
        <f aca="false">A867&amp;"|"&amp;B867&amp;"|"&amp;C867&amp;"|"&amp;D867&amp;"|"&amp;E867&amp;"|"&amp;F867&amp;"|"&amp;G867&amp;"|"&amp;H867&amp;"|"&amp;I867&amp;"|"&amp;J867&amp;"|"&amp;K867&amp;"|"&amp;L867&amp;"|"&amp;M867&amp;"|"&amp;N867</f>
        <v>ORD11182|2025-05-30|18:23|C0477|Hyderabad Dum Biryani|Hyderabad|Biryani|5|345|40|UPI|Delivered|27|4</v>
      </c>
      <c r="P867" s="7" t="str">
        <f aca="false">IF(COUNTIF($O$2:O867,O867)&gt;1,"DUP","OK")</f>
        <v>OK</v>
      </c>
      <c r="Q867" s="7" t="n">
        <f aca="false">COUNTBLANK(A867:N867)</f>
        <v>0</v>
      </c>
      <c r="R867" s="7" t="n">
        <f aca="false">IF(A867="",0,COUNTIFS($A$2:$A$3058,A867,$P$2:$P$3058,"OK"))</f>
        <v>1</v>
      </c>
      <c r="S867" s="7" t="str">
        <f aca="false">IF(OR(A867="",P867="DUP",R867&lt;2),"",IF(Q867=_xlfn.MINIFS($Q$2:$Q$3058,$A$2:$A$3058,A867,$P$2:$P$3058,"OK"),"KEEP","DROP"))</f>
        <v/>
      </c>
      <c r="T867" s="9" t="n">
        <f aca="false">IF(A867="",1,0)</f>
        <v>0</v>
      </c>
      <c r="U867" s="9" t="n">
        <f aca="false">IF(D867="",1,0)</f>
        <v>0</v>
      </c>
      <c r="V867" s="9" t="n">
        <f aca="false">IF(E867="",1,0)</f>
        <v>0</v>
      </c>
      <c r="W867" s="9" t="n">
        <f aca="false">IF(OR(H867&lt;1,H867&gt;10),1,0)</f>
        <v>0</v>
      </c>
      <c r="X867" s="9" t="n">
        <f aca="false">IF(OR(I867&lt;=0,I867&gt;1500),1,0)</f>
        <v>0</v>
      </c>
      <c r="Y867" s="9" t="n">
        <f aca="false">IF(J867&gt;H867*I867,1,0)</f>
        <v>0</v>
      </c>
      <c r="Z867" s="9" t="n">
        <f aca="false">IF(AND(N867&lt;&gt;"",OR(N867&lt;1,N867&gt;5)),1,0)</f>
        <v>0</v>
      </c>
      <c r="AA867" s="9" t="n">
        <f aca="false">IF(AND(M867&lt;&gt;"",OR(M867&lt;5,M867&gt;180)),1,0)</f>
        <v>0</v>
      </c>
      <c r="AB867" s="7" t="str">
        <f aca="false">IF(P867="DUP","Exact duplicate row",IF(T867=1,"Missing Order ID",IF(S867="DROP","Duplicate Order ID (less complete row)",IF(U867=1,"Missing Customer ID",IF(V867=1,"Missing Restaurant name",IF(W867=1,"Invalid/outlier quantity",IF(X867=1,"Invalid/outlier unit price",IF(Y867=1,"Discount greater than order value",""))))))))</f>
        <v/>
      </c>
      <c r="AC867" s="7" t="str">
        <f aca="false">IF(AB867="","KEEP","DROP")</f>
        <v>KEEP</v>
      </c>
      <c r="AD867" s="7" t="str">
        <f aca="false">IF(TRIM(F867)="",IFERROR(INDEX(Map_Tables!$I$4:$I$37,MATCH(TRIM(E867),Map_Tables!$G$4:$G$37,0)),""),IFERROR(INDEX(Map_Tables!$B$4:$B$18,MATCH(TRIM(F867),Map_Tables!$A$4:$A$18,0)),"CHECK"))</f>
        <v>Hyderabad</v>
      </c>
      <c r="AE867" s="7" t="str">
        <f aca="false">IF(TRIM(E867)="","",IFERROR(INDEX(Map_Tables!$H$4:$H$37,MATCH(TRIM(E867),Map_Tables!$G$4:$G$37,0)),"CHECK"))</f>
        <v>Hyderabad Dum Biryani</v>
      </c>
      <c r="AF867" s="7" t="str">
        <f aca="false">IF(TRIM(K867)="","Unknown",IFERROR(INDEX(Map_Tables!$E$4:$E$15,MATCH(TRIM(K867),Map_Tables!$D$4:$D$15,0)),"CHECK"))</f>
        <v>UPI</v>
      </c>
      <c r="AG867" s="7" t="str">
        <f aca="false">IF(LEFT(LOWER(TRIM(L867)),6)="cancel","Cancelled","Delivered")</f>
        <v>Delivered</v>
      </c>
      <c r="AH867" s="10" t="n">
        <f aca="false">IF(ISNUMBER(SEARCH("/",B867)),DATE(VALUE(RIGHT(B867,4)),VALUE(MID(B867,4,2)),VALUE(LEFT(B867,2))),IF(MID(B867,5,1)="-",DATE(VALUE(LEFT(B867,4)),VALUE(MID(B867,6,2)),VALUE(RIGHT(B867,2))),DATE(VALUE(RIGHT(B867,4)),MATCH(MID(B867,4,3),{"Jan","Feb","Mar","Apr","May","Jun","Jul","Aug","Sep","Oct","Nov","Dec"},0),VALUE(LEFT(B867,2)))))</f>
        <v>45807</v>
      </c>
    </row>
    <row r="868" customFormat="false" ht="15" hidden="false" customHeight="false" outlineLevel="0" collapsed="false">
      <c r="A868" s="7" t="s">
        <v>2740</v>
      </c>
      <c r="B868" s="7" t="s">
        <v>1919</v>
      </c>
      <c r="C868" s="7" t="s">
        <v>478</v>
      </c>
      <c r="D868" s="7" t="s">
        <v>2630</v>
      </c>
      <c r="E868" s="7" t="s">
        <v>98</v>
      </c>
      <c r="F868" s="7" t="s">
        <v>86</v>
      </c>
      <c r="G868" s="7" t="s">
        <v>99</v>
      </c>
      <c r="H868" s="7" t="n">
        <v>3</v>
      </c>
      <c r="I868" s="7" t="n">
        <v>200</v>
      </c>
      <c r="J868" s="7" t="n">
        <v>0</v>
      </c>
      <c r="K868" s="7" t="s">
        <v>88</v>
      </c>
      <c r="L868" s="7" t="s">
        <v>194</v>
      </c>
      <c r="M868" s="7" t="n">
        <v>48</v>
      </c>
      <c r="N868" s="7" t="n">
        <v>5</v>
      </c>
      <c r="O868" s="7" t="str">
        <f aca="false">A868&amp;"|"&amp;B868&amp;"|"&amp;C868&amp;"|"&amp;D868&amp;"|"&amp;E868&amp;"|"&amp;F868&amp;"|"&amp;G868&amp;"|"&amp;H868&amp;"|"&amp;I868&amp;"|"&amp;J868&amp;"|"&amp;K868&amp;"|"&amp;L868&amp;"|"&amp;M868&amp;"|"&amp;N868</f>
        <v>ORD10269|2025-02-05|20:03|C1164|Nawabi Biryani House|Bengaluru|Biryani|3|200|0|UPI|Delivered|48|5</v>
      </c>
      <c r="P868" s="7" t="str">
        <f aca="false">IF(COUNTIF($O$2:O868,O868)&gt;1,"DUP","OK")</f>
        <v>OK</v>
      </c>
      <c r="Q868" s="7" t="n">
        <f aca="false">COUNTBLANK(A868:N868)</f>
        <v>0</v>
      </c>
      <c r="R868" s="7" t="n">
        <f aca="false">IF(A868="",0,COUNTIFS($A$2:$A$3058,A868,$P$2:$P$3058,"OK"))</f>
        <v>1</v>
      </c>
      <c r="S868" s="7" t="str">
        <f aca="false">IF(OR(A868="",P868="DUP",R868&lt;2),"",IF(Q868=_xlfn.MINIFS($Q$2:$Q$3058,$A$2:$A$3058,A868,$P$2:$P$3058,"OK"),"KEEP","DROP"))</f>
        <v/>
      </c>
      <c r="T868" s="9" t="n">
        <f aca="false">IF(A868="",1,0)</f>
        <v>0</v>
      </c>
      <c r="U868" s="9" t="n">
        <f aca="false">IF(D868="",1,0)</f>
        <v>0</v>
      </c>
      <c r="V868" s="9" t="n">
        <f aca="false">IF(E868="",1,0)</f>
        <v>0</v>
      </c>
      <c r="W868" s="9" t="n">
        <f aca="false">IF(OR(H868&lt;1,H868&gt;10),1,0)</f>
        <v>0</v>
      </c>
      <c r="X868" s="9" t="n">
        <f aca="false">IF(OR(I868&lt;=0,I868&gt;1500),1,0)</f>
        <v>0</v>
      </c>
      <c r="Y868" s="9" t="n">
        <f aca="false">IF(J868&gt;H868*I868,1,0)</f>
        <v>0</v>
      </c>
      <c r="Z868" s="9" t="n">
        <f aca="false">IF(AND(N868&lt;&gt;"",OR(N868&lt;1,N868&gt;5)),1,0)</f>
        <v>0</v>
      </c>
      <c r="AA868" s="9" t="n">
        <f aca="false">IF(AND(M868&lt;&gt;"",OR(M868&lt;5,M868&gt;180)),1,0)</f>
        <v>0</v>
      </c>
      <c r="AB868" s="7" t="str">
        <f aca="false">IF(P868="DUP","Exact duplicate row",IF(T868=1,"Missing Order ID",IF(S868="DROP","Duplicate Order ID (less complete row)",IF(U868=1,"Missing Customer ID",IF(V868=1,"Missing Restaurant name",IF(W868=1,"Invalid/outlier quantity",IF(X868=1,"Invalid/outlier unit price",IF(Y868=1,"Discount greater than order value",""))))))))</f>
        <v/>
      </c>
      <c r="AC868" s="7" t="str">
        <f aca="false">IF(AB868="","KEEP","DROP")</f>
        <v>KEEP</v>
      </c>
      <c r="AD868" s="7" t="str">
        <f aca="false">IF(TRIM(F868)="",IFERROR(INDEX(Map_Tables!$I$4:$I$37,MATCH(TRIM(E868),Map_Tables!$G$4:$G$37,0)),""),IFERROR(INDEX(Map_Tables!$B$4:$B$18,MATCH(TRIM(F868),Map_Tables!$A$4:$A$18,0)),"CHECK"))</f>
        <v>Bengaluru</v>
      </c>
      <c r="AE868" s="7" t="str">
        <f aca="false">IF(TRIM(E868)="","",IFERROR(INDEX(Map_Tables!$H$4:$H$37,MATCH(TRIM(E868),Map_Tables!$G$4:$G$37,0)),"CHECK"))</f>
        <v>Nawabi Biryani House</v>
      </c>
      <c r="AF868" s="7" t="str">
        <f aca="false">IF(TRIM(K868)="","Unknown",IFERROR(INDEX(Map_Tables!$E$4:$E$15,MATCH(TRIM(K868),Map_Tables!$D$4:$D$15,0)),"CHECK"))</f>
        <v>UPI</v>
      </c>
      <c r="AG868" s="7" t="str">
        <f aca="false">IF(LEFT(LOWER(TRIM(L868)),6)="cancel","Cancelled","Delivered")</f>
        <v>Delivered</v>
      </c>
      <c r="AH868" s="10" t="n">
        <f aca="false">IF(ISNUMBER(SEARCH("/",B868)),DATE(VALUE(RIGHT(B868,4)),VALUE(MID(B868,4,2)),VALUE(LEFT(B868,2))),IF(MID(B868,5,1)="-",DATE(VALUE(LEFT(B868,4)),VALUE(MID(B868,6,2)),VALUE(RIGHT(B868,2))),DATE(VALUE(RIGHT(B868,4)),MATCH(MID(B868,4,3),{"Jan","Feb","Mar","Apr","May","Jun","Jul","Aug","Sep","Oct","Nov","Dec"},0),VALUE(LEFT(B868,2)))))</f>
        <v>45693</v>
      </c>
    </row>
    <row r="869" customFormat="false" ht="15" hidden="false" customHeight="false" outlineLevel="0" collapsed="false">
      <c r="A869" s="7" t="s">
        <v>2741</v>
      </c>
      <c r="B869" s="7" t="s">
        <v>2742</v>
      </c>
      <c r="C869" s="7" t="s">
        <v>2743</v>
      </c>
      <c r="D869" s="7" t="s">
        <v>2744</v>
      </c>
      <c r="E869" s="7" t="s">
        <v>148</v>
      </c>
      <c r="F869" s="7" t="s">
        <v>119</v>
      </c>
      <c r="G869" s="7" t="s">
        <v>123</v>
      </c>
      <c r="H869" s="7" t="n">
        <v>1</v>
      </c>
      <c r="I869" s="7" t="n">
        <v>270</v>
      </c>
      <c r="J869" s="7" t="n">
        <v>20</v>
      </c>
      <c r="K869" s="7" t="s">
        <v>112</v>
      </c>
      <c r="L869" s="7" t="s">
        <v>238</v>
      </c>
      <c r="M869" s="7"/>
      <c r="N869" s="7"/>
      <c r="O869" s="7" t="str">
        <f aca="false">A869&amp;"|"&amp;B869&amp;"|"&amp;C869&amp;"|"&amp;D869&amp;"|"&amp;E869&amp;"|"&amp;F869&amp;"|"&amp;G869&amp;"|"&amp;H869&amp;"|"&amp;I869&amp;"|"&amp;J869&amp;"|"&amp;K869&amp;"|"&amp;L869&amp;"|"&amp;M869&amp;"|"&amp;N869</f>
        <v>ORD12206|08/10/2025|12:51|C0219|Pizza Palace|Hyderabad|Pizza|1|270|20|Cash on Delivery|Cancelled||</v>
      </c>
      <c r="P869" s="7" t="str">
        <f aca="false">IF(COUNTIF($O$2:O869,O869)&gt;1,"DUP","OK")</f>
        <v>OK</v>
      </c>
      <c r="Q869" s="7" t="n">
        <f aca="false">COUNTBLANK(A869:N869)</f>
        <v>2</v>
      </c>
      <c r="R869" s="7" t="n">
        <f aca="false">IF(A869="",0,COUNTIFS($A$2:$A$3058,A869,$P$2:$P$3058,"OK"))</f>
        <v>1</v>
      </c>
      <c r="S869" s="7" t="str">
        <f aca="false">IF(OR(A869="",P869="DUP",R869&lt;2),"",IF(Q869=_xlfn.MINIFS($Q$2:$Q$3058,$A$2:$A$3058,A869,$P$2:$P$3058,"OK"),"KEEP","DROP"))</f>
        <v/>
      </c>
      <c r="T869" s="9" t="n">
        <f aca="false">IF(A869="",1,0)</f>
        <v>0</v>
      </c>
      <c r="U869" s="9" t="n">
        <f aca="false">IF(D869="",1,0)</f>
        <v>0</v>
      </c>
      <c r="V869" s="9" t="n">
        <f aca="false">IF(E869="",1,0)</f>
        <v>0</v>
      </c>
      <c r="W869" s="9" t="n">
        <f aca="false">IF(OR(H869&lt;1,H869&gt;10),1,0)</f>
        <v>0</v>
      </c>
      <c r="X869" s="9" t="n">
        <f aca="false">IF(OR(I869&lt;=0,I869&gt;1500),1,0)</f>
        <v>0</v>
      </c>
      <c r="Y869" s="9" t="n">
        <f aca="false">IF(J869&gt;H869*I869,1,0)</f>
        <v>0</v>
      </c>
      <c r="Z869" s="9" t="n">
        <f aca="false">IF(AND(N869&lt;&gt;"",OR(N869&lt;1,N869&gt;5)),1,0)</f>
        <v>0</v>
      </c>
      <c r="AA869" s="9" t="n">
        <f aca="false">IF(AND(M869&lt;&gt;"",OR(M869&lt;5,M869&gt;180)),1,0)</f>
        <v>0</v>
      </c>
      <c r="AB869" s="7" t="str">
        <f aca="false">IF(P869="DUP","Exact duplicate row",IF(T869=1,"Missing Order ID",IF(S869="DROP","Duplicate Order ID (less complete row)",IF(U869=1,"Missing Customer ID",IF(V869=1,"Missing Restaurant name",IF(W869=1,"Invalid/outlier quantity",IF(X869=1,"Invalid/outlier unit price",IF(Y869=1,"Discount greater than order value",""))))))))</f>
        <v/>
      </c>
      <c r="AC869" s="7" t="str">
        <f aca="false">IF(AB869="","KEEP","DROP")</f>
        <v>KEEP</v>
      </c>
      <c r="AD869" s="7" t="str">
        <f aca="false">IF(TRIM(F869)="",IFERROR(INDEX(Map_Tables!$I$4:$I$37,MATCH(TRIM(E869),Map_Tables!$G$4:$G$37,0)),""),IFERROR(INDEX(Map_Tables!$B$4:$B$18,MATCH(TRIM(F869),Map_Tables!$A$4:$A$18,0)),"CHECK"))</f>
        <v>Hyderabad</v>
      </c>
      <c r="AE869" s="7" t="str">
        <f aca="false">IF(TRIM(E869)="","",IFERROR(INDEX(Map_Tables!$H$4:$H$37,MATCH(TRIM(E869),Map_Tables!$G$4:$G$37,0)),"CHECK"))</f>
        <v>Pizza Palace</v>
      </c>
      <c r="AF869" s="7" t="str">
        <f aca="false">IF(TRIM(K869)="","Unknown",IFERROR(INDEX(Map_Tables!$E$4:$E$15,MATCH(TRIM(K869),Map_Tables!$D$4:$D$15,0)),"CHECK"))</f>
        <v>Cash on Delivery</v>
      </c>
      <c r="AG869" s="7" t="str">
        <f aca="false">IF(LEFT(LOWER(TRIM(L869)),6)="cancel","Cancelled","Delivered")</f>
        <v>Cancelled</v>
      </c>
      <c r="AH869" s="10" t="n">
        <f aca="false">IF(ISNUMBER(SEARCH("/",B869)),DATE(VALUE(RIGHT(B869,4)),VALUE(MID(B869,4,2)),VALUE(LEFT(B869,2))),IF(MID(B869,5,1)="-",DATE(VALUE(LEFT(B869,4)),VALUE(MID(B869,6,2)),VALUE(RIGHT(B869,2))),DATE(VALUE(RIGHT(B869,4)),MATCH(MID(B869,4,3),{"Jan","Feb","Mar","Apr","May","Jun","Jul","Aug","Sep","Oct","Nov","Dec"},0),VALUE(LEFT(B869,2)))))</f>
        <v>45938</v>
      </c>
    </row>
    <row r="870" customFormat="false" ht="15" hidden="false" customHeight="false" outlineLevel="0" collapsed="false">
      <c r="A870" s="7" t="s">
        <v>2745</v>
      </c>
      <c r="B870" s="7" t="s">
        <v>1376</v>
      </c>
      <c r="C870" s="7" t="s">
        <v>2033</v>
      </c>
      <c r="D870" s="7" t="s">
        <v>2746</v>
      </c>
      <c r="E870" s="7" t="s">
        <v>159</v>
      </c>
      <c r="F870" s="7" t="s">
        <v>136</v>
      </c>
      <c r="G870" s="7" t="s">
        <v>90</v>
      </c>
      <c r="H870" s="7" t="n">
        <v>2</v>
      </c>
      <c r="I870" s="7" t="n">
        <v>225</v>
      </c>
      <c r="J870" s="7" t="n">
        <v>30</v>
      </c>
      <c r="K870" s="7" t="s">
        <v>121</v>
      </c>
      <c r="L870" s="7" t="s">
        <v>194</v>
      </c>
      <c r="M870" s="7" t="n">
        <v>25</v>
      </c>
      <c r="N870" s="7" t="n">
        <v>4</v>
      </c>
      <c r="O870" s="7" t="str">
        <f aca="false">A870&amp;"|"&amp;B870&amp;"|"&amp;C870&amp;"|"&amp;D870&amp;"|"&amp;E870&amp;"|"&amp;F870&amp;"|"&amp;G870&amp;"|"&amp;H870&amp;"|"&amp;I870&amp;"|"&amp;J870&amp;"|"&amp;K870&amp;"|"&amp;L870&amp;"|"&amp;M870&amp;"|"&amp;N870</f>
        <v>ORD11003|2025-05-07|19:02|C0129|Maratha Thali House|Pune|North Indian|2|225|30|Wallet|Delivered|25|4</v>
      </c>
      <c r="P870" s="7" t="str">
        <f aca="false">IF(COUNTIF($O$2:O870,O870)&gt;1,"DUP","OK")</f>
        <v>OK</v>
      </c>
      <c r="Q870" s="7" t="n">
        <f aca="false">COUNTBLANK(A870:N870)</f>
        <v>0</v>
      </c>
      <c r="R870" s="7" t="n">
        <f aca="false">IF(A870="",0,COUNTIFS($A$2:$A$3058,A870,$P$2:$P$3058,"OK"))</f>
        <v>1</v>
      </c>
      <c r="S870" s="7" t="str">
        <f aca="false">IF(OR(A870="",P870="DUP",R870&lt;2),"",IF(Q870=_xlfn.MINIFS($Q$2:$Q$3058,$A$2:$A$3058,A870,$P$2:$P$3058,"OK"),"KEEP","DROP"))</f>
        <v/>
      </c>
      <c r="T870" s="9" t="n">
        <f aca="false">IF(A870="",1,0)</f>
        <v>0</v>
      </c>
      <c r="U870" s="9" t="n">
        <f aca="false">IF(D870="",1,0)</f>
        <v>0</v>
      </c>
      <c r="V870" s="9" t="n">
        <f aca="false">IF(E870="",1,0)</f>
        <v>0</v>
      </c>
      <c r="W870" s="9" t="n">
        <f aca="false">IF(OR(H870&lt;1,H870&gt;10),1,0)</f>
        <v>0</v>
      </c>
      <c r="X870" s="9" t="n">
        <f aca="false">IF(OR(I870&lt;=0,I870&gt;1500),1,0)</f>
        <v>0</v>
      </c>
      <c r="Y870" s="9" t="n">
        <f aca="false">IF(J870&gt;H870*I870,1,0)</f>
        <v>0</v>
      </c>
      <c r="Z870" s="9" t="n">
        <f aca="false">IF(AND(N870&lt;&gt;"",OR(N870&lt;1,N870&gt;5)),1,0)</f>
        <v>0</v>
      </c>
      <c r="AA870" s="9" t="n">
        <f aca="false">IF(AND(M870&lt;&gt;"",OR(M870&lt;5,M870&gt;180)),1,0)</f>
        <v>0</v>
      </c>
      <c r="AB870" s="7" t="str">
        <f aca="false">IF(P870="DUP","Exact duplicate row",IF(T870=1,"Missing Order ID",IF(S870="DROP","Duplicate Order ID (less complete row)",IF(U870=1,"Missing Customer ID",IF(V870=1,"Missing Restaurant name",IF(W870=1,"Invalid/outlier quantity",IF(X870=1,"Invalid/outlier unit price",IF(Y870=1,"Discount greater than order value",""))))))))</f>
        <v/>
      </c>
      <c r="AC870" s="7" t="str">
        <f aca="false">IF(AB870="","KEEP","DROP")</f>
        <v>KEEP</v>
      </c>
      <c r="AD870" s="7" t="str">
        <f aca="false">IF(TRIM(F870)="",IFERROR(INDEX(Map_Tables!$I$4:$I$37,MATCH(TRIM(E870),Map_Tables!$G$4:$G$37,0)),""),IFERROR(INDEX(Map_Tables!$B$4:$B$18,MATCH(TRIM(F870),Map_Tables!$A$4:$A$18,0)),"CHECK"))</f>
        <v>Pune</v>
      </c>
      <c r="AE870" s="7" t="str">
        <f aca="false">IF(TRIM(E870)="","",IFERROR(INDEX(Map_Tables!$H$4:$H$37,MATCH(TRIM(E870),Map_Tables!$G$4:$G$37,0)),"CHECK"))</f>
        <v>Maratha Thali House</v>
      </c>
      <c r="AF870" s="7" t="str">
        <f aca="false">IF(TRIM(K870)="","Unknown",IFERROR(INDEX(Map_Tables!$E$4:$E$15,MATCH(TRIM(K870),Map_Tables!$D$4:$D$15,0)),"CHECK"))</f>
        <v>Wallet</v>
      </c>
      <c r="AG870" s="7" t="str">
        <f aca="false">IF(LEFT(LOWER(TRIM(L870)),6)="cancel","Cancelled","Delivered")</f>
        <v>Delivered</v>
      </c>
      <c r="AH870" s="10" t="n">
        <f aca="false">IF(ISNUMBER(SEARCH("/",B870)),DATE(VALUE(RIGHT(B870,4)),VALUE(MID(B870,4,2)),VALUE(LEFT(B870,2))),IF(MID(B870,5,1)="-",DATE(VALUE(LEFT(B870,4)),VALUE(MID(B870,6,2)),VALUE(RIGHT(B870,2))),DATE(VALUE(RIGHT(B870,4)),MATCH(MID(B870,4,3),{"Jan","Feb","Mar","Apr","May","Jun","Jul","Aug","Sep","Oct","Nov","Dec"},0),VALUE(LEFT(B870,2)))))</f>
        <v>45784</v>
      </c>
    </row>
    <row r="871" customFormat="false" ht="15" hidden="false" customHeight="false" outlineLevel="0" collapsed="false">
      <c r="A871" s="7" t="s">
        <v>2747</v>
      </c>
      <c r="B871" s="7" t="s">
        <v>1393</v>
      </c>
      <c r="C871" s="7" t="s">
        <v>1164</v>
      </c>
      <c r="D871" s="7" t="s">
        <v>2748</v>
      </c>
      <c r="E871" s="7" t="s">
        <v>147</v>
      </c>
      <c r="F871" s="7" t="s">
        <v>312</v>
      </c>
      <c r="G871" s="7" t="s">
        <v>95</v>
      </c>
      <c r="H871" s="7" t="n">
        <v>3</v>
      </c>
      <c r="I871" s="7" t="n">
        <v>170</v>
      </c>
      <c r="J871" s="7" t="n">
        <v>0</v>
      </c>
      <c r="K871" s="7" t="s">
        <v>93</v>
      </c>
      <c r="L871" s="7" t="s">
        <v>194</v>
      </c>
      <c r="M871" s="7" t="n">
        <v>36</v>
      </c>
      <c r="N871" s="7" t="n">
        <v>5</v>
      </c>
      <c r="O871" s="7" t="str">
        <f aca="false">A871&amp;"|"&amp;B871&amp;"|"&amp;C871&amp;"|"&amp;D871&amp;"|"&amp;E871&amp;"|"&amp;F871&amp;"|"&amp;G871&amp;"|"&amp;H871&amp;"|"&amp;I871&amp;"|"&amp;J871&amp;"|"&amp;K871&amp;"|"&amp;L871&amp;"|"&amp;M871&amp;"|"&amp;N871</f>
        <v>ORD10512|2025-03-08|13:25|C0206|Andhra Meals Mess|Hyd|South Indian|3|170|0|Credit Card|Delivered|36|5</v>
      </c>
      <c r="P871" s="7" t="str">
        <f aca="false">IF(COUNTIF($O$2:O871,O871)&gt;1,"DUP","OK")</f>
        <v>OK</v>
      </c>
      <c r="Q871" s="7" t="n">
        <f aca="false">COUNTBLANK(A871:N871)</f>
        <v>0</v>
      </c>
      <c r="R871" s="7" t="n">
        <f aca="false">IF(A871="",0,COUNTIFS($A$2:$A$3058,A871,$P$2:$P$3058,"OK"))</f>
        <v>1</v>
      </c>
      <c r="S871" s="7" t="str">
        <f aca="false">IF(OR(A871="",P871="DUP",R871&lt;2),"",IF(Q871=_xlfn.MINIFS($Q$2:$Q$3058,$A$2:$A$3058,A871,$P$2:$P$3058,"OK"),"KEEP","DROP"))</f>
        <v/>
      </c>
      <c r="T871" s="9" t="n">
        <f aca="false">IF(A871="",1,0)</f>
        <v>0</v>
      </c>
      <c r="U871" s="9" t="n">
        <f aca="false">IF(D871="",1,0)</f>
        <v>0</v>
      </c>
      <c r="V871" s="9" t="n">
        <f aca="false">IF(E871="",1,0)</f>
        <v>0</v>
      </c>
      <c r="W871" s="9" t="n">
        <f aca="false">IF(OR(H871&lt;1,H871&gt;10),1,0)</f>
        <v>0</v>
      </c>
      <c r="X871" s="9" t="n">
        <f aca="false">IF(OR(I871&lt;=0,I871&gt;1500),1,0)</f>
        <v>0</v>
      </c>
      <c r="Y871" s="9" t="n">
        <f aca="false">IF(J871&gt;H871*I871,1,0)</f>
        <v>0</v>
      </c>
      <c r="Z871" s="9" t="n">
        <f aca="false">IF(AND(N871&lt;&gt;"",OR(N871&lt;1,N871&gt;5)),1,0)</f>
        <v>0</v>
      </c>
      <c r="AA871" s="9" t="n">
        <f aca="false">IF(AND(M871&lt;&gt;"",OR(M871&lt;5,M871&gt;180)),1,0)</f>
        <v>0</v>
      </c>
      <c r="AB871" s="7" t="str">
        <f aca="false">IF(P871="DUP","Exact duplicate row",IF(T871=1,"Missing Order ID",IF(S871="DROP","Duplicate Order ID (less complete row)",IF(U871=1,"Missing Customer ID",IF(V871=1,"Missing Restaurant name",IF(W871=1,"Invalid/outlier quantity",IF(X871=1,"Invalid/outlier unit price",IF(Y871=1,"Discount greater than order value",""))))))))</f>
        <v/>
      </c>
      <c r="AC871" s="7" t="str">
        <f aca="false">IF(AB871="","KEEP","DROP")</f>
        <v>KEEP</v>
      </c>
      <c r="AD871" s="7" t="str">
        <f aca="false">IF(TRIM(F871)="",IFERROR(INDEX(Map_Tables!$I$4:$I$37,MATCH(TRIM(E871),Map_Tables!$G$4:$G$37,0)),""),IFERROR(INDEX(Map_Tables!$B$4:$B$18,MATCH(TRIM(F871),Map_Tables!$A$4:$A$18,0)),"CHECK"))</f>
        <v>Hyderabad</v>
      </c>
      <c r="AE871" s="7" t="str">
        <f aca="false">IF(TRIM(E871)="","",IFERROR(INDEX(Map_Tables!$H$4:$H$37,MATCH(TRIM(E871),Map_Tables!$G$4:$G$37,0)),"CHECK"))</f>
        <v>Andhra Meals Mess</v>
      </c>
      <c r="AF871" s="7" t="str">
        <f aca="false">IF(TRIM(K871)="","Unknown",IFERROR(INDEX(Map_Tables!$E$4:$E$15,MATCH(TRIM(K871),Map_Tables!$D$4:$D$15,0)),"CHECK"))</f>
        <v>Credit Card</v>
      </c>
      <c r="AG871" s="7" t="str">
        <f aca="false">IF(LEFT(LOWER(TRIM(L871)),6)="cancel","Cancelled","Delivered")</f>
        <v>Delivered</v>
      </c>
      <c r="AH871" s="10" t="n">
        <f aca="false">IF(ISNUMBER(SEARCH("/",B871)),DATE(VALUE(RIGHT(B871,4)),VALUE(MID(B871,4,2)),VALUE(LEFT(B871,2))),IF(MID(B871,5,1)="-",DATE(VALUE(LEFT(B871,4)),VALUE(MID(B871,6,2)),VALUE(RIGHT(B871,2))),DATE(VALUE(RIGHT(B871,4)),MATCH(MID(B871,4,3),{"Jan","Feb","Mar","Apr","May","Jun","Jul","Aug","Sep","Oct","Nov","Dec"},0),VALUE(LEFT(B871,2)))))</f>
        <v>45724</v>
      </c>
    </row>
    <row r="872" customFormat="false" ht="15" hidden="false" customHeight="false" outlineLevel="0" collapsed="false">
      <c r="A872" s="7" t="s">
        <v>2749</v>
      </c>
      <c r="B872" s="7" t="s">
        <v>385</v>
      </c>
      <c r="C872" s="7" t="s">
        <v>1030</v>
      </c>
      <c r="D872" s="7" t="s">
        <v>2750</v>
      </c>
      <c r="E872" s="7" t="s">
        <v>160</v>
      </c>
      <c r="F872" s="7" t="s">
        <v>136</v>
      </c>
      <c r="G872" s="7" t="s">
        <v>150</v>
      </c>
      <c r="H872" s="7" t="n">
        <v>4</v>
      </c>
      <c r="I872" s="7" t="n">
        <v>185</v>
      </c>
      <c r="J872" s="7" t="n">
        <v>20</v>
      </c>
      <c r="K872" s="7" t="s">
        <v>88</v>
      </c>
      <c r="L872" s="7" t="s">
        <v>194</v>
      </c>
      <c r="M872" s="7" t="n">
        <v>34</v>
      </c>
      <c r="N872" s="7" t="n">
        <v>5</v>
      </c>
      <c r="O872" s="7" t="str">
        <f aca="false">A872&amp;"|"&amp;B872&amp;"|"&amp;C872&amp;"|"&amp;D872&amp;"|"&amp;E872&amp;"|"&amp;F872&amp;"|"&amp;G872&amp;"|"&amp;H872&amp;"|"&amp;I872&amp;"|"&amp;J872&amp;"|"&amp;K872&amp;"|"&amp;L872&amp;"|"&amp;M872&amp;"|"&amp;N872</f>
        <v>ORD11532|2025-07-18|10:11|C0479|Cake Walk|Pune|Desserts|4|185|20|UPI|Delivered|34|5</v>
      </c>
      <c r="P872" s="7" t="str">
        <f aca="false">IF(COUNTIF($O$2:O872,O872)&gt;1,"DUP","OK")</f>
        <v>OK</v>
      </c>
      <c r="Q872" s="7" t="n">
        <f aca="false">COUNTBLANK(A872:N872)</f>
        <v>0</v>
      </c>
      <c r="R872" s="7" t="n">
        <f aca="false">IF(A872="",0,COUNTIFS($A$2:$A$3058,A872,$P$2:$P$3058,"OK"))</f>
        <v>1</v>
      </c>
      <c r="S872" s="7" t="str">
        <f aca="false">IF(OR(A872="",P872="DUP",R872&lt;2),"",IF(Q872=_xlfn.MINIFS($Q$2:$Q$3058,$A$2:$A$3058,A872,$P$2:$P$3058,"OK"),"KEEP","DROP"))</f>
        <v/>
      </c>
      <c r="T872" s="9" t="n">
        <f aca="false">IF(A872="",1,0)</f>
        <v>0</v>
      </c>
      <c r="U872" s="9" t="n">
        <f aca="false">IF(D872="",1,0)</f>
        <v>0</v>
      </c>
      <c r="V872" s="9" t="n">
        <f aca="false">IF(E872="",1,0)</f>
        <v>0</v>
      </c>
      <c r="W872" s="9" t="n">
        <f aca="false">IF(OR(H872&lt;1,H872&gt;10),1,0)</f>
        <v>0</v>
      </c>
      <c r="X872" s="9" t="n">
        <f aca="false">IF(OR(I872&lt;=0,I872&gt;1500),1,0)</f>
        <v>0</v>
      </c>
      <c r="Y872" s="9" t="n">
        <f aca="false">IF(J872&gt;H872*I872,1,0)</f>
        <v>0</v>
      </c>
      <c r="Z872" s="9" t="n">
        <f aca="false">IF(AND(N872&lt;&gt;"",OR(N872&lt;1,N872&gt;5)),1,0)</f>
        <v>0</v>
      </c>
      <c r="AA872" s="9" t="n">
        <f aca="false">IF(AND(M872&lt;&gt;"",OR(M872&lt;5,M872&gt;180)),1,0)</f>
        <v>0</v>
      </c>
      <c r="AB872" s="7" t="str">
        <f aca="false">IF(P872="DUP","Exact duplicate row",IF(T872=1,"Missing Order ID",IF(S872="DROP","Duplicate Order ID (less complete row)",IF(U872=1,"Missing Customer ID",IF(V872=1,"Missing Restaurant name",IF(W872=1,"Invalid/outlier quantity",IF(X872=1,"Invalid/outlier unit price",IF(Y872=1,"Discount greater than order value",""))))))))</f>
        <v/>
      </c>
      <c r="AC872" s="7" t="str">
        <f aca="false">IF(AB872="","KEEP","DROP")</f>
        <v>KEEP</v>
      </c>
      <c r="AD872" s="7" t="str">
        <f aca="false">IF(TRIM(F872)="",IFERROR(INDEX(Map_Tables!$I$4:$I$37,MATCH(TRIM(E872),Map_Tables!$G$4:$G$37,0)),""),IFERROR(INDEX(Map_Tables!$B$4:$B$18,MATCH(TRIM(F872),Map_Tables!$A$4:$A$18,0)),"CHECK"))</f>
        <v>Pune</v>
      </c>
      <c r="AE872" s="7" t="str">
        <f aca="false">IF(TRIM(E872)="","",IFERROR(INDEX(Map_Tables!$H$4:$H$37,MATCH(TRIM(E872),Map_Tables!$G$4:$G$37,0)),"CHECK"))</f>
        <v>Cake Walk</v>
      </c>
      <c r="AF872" s="7" t="str">
        <f aca="false">IF(TRIM(K872)="","Unknown",IFERROR(INDEX(Map_Tables!$E$4:$E$15,MATCH(TRIM(K872),Map_Tables!$D$4:$D$15,0)),"CHECK"))</f>
        <v>UPI</v>
      </c>
      <c r="AG872" s="7" t="str">
        <f aca="false">IF(LEFT(LOWER(TRIM(L872)),6)="cancel","Cancelled","Delivered")</f>
        <v>Delivered</v>
      </c>
      <c r="AH872" s="10" t="n">
        <f aca="false">IF(ISNUMBER(SEARCH("/",B872)),DATE(VALUE(RIGHT(B872,4)),VALUE(MID(B872,4,2)),VALUE(LEFT(B872,2))),IF(MID(B872,5,1)="-",DATE(VALUE(LEFT(B872,4)),VALUE(MID(B872,6,2)),VALUE(RIGHT(B872,2))),DATE(VALUE(RIGHT(B872,4)),MATCH(MID(B872,4,3),{"Jan","Feb","Mar","Apr","May","Jun","Jul","Aug","Sep","Oct","Nov","Dec"},0),VALUE(LEFT(B872,2)))))</f>
        <v>45856</v>
      </c>
    </row>
    <row r="873" customFormat="false" ht="15" hidden="false" customHeight="false" outlineLevel="0" collapsed="false">
      <c r="A873" s="7" t="s">
        <v>2751</v>
      </c>
      <c r="B873" s="7" t="s">
        <v>1883</v>
      </c>
      <c r="C873" s="7" t="s">
        <v>268</v>
      </c>
      <c r="D873" s="7" t="s">
        <v>2532</v>
      </c>
      <c r="E873" s="7" t="s">
        <v>2752</v>
      </c>
      <c r="F873" s="7" t="s">
        <v>110</v>
      </c>
      <c r="G873" s="7" t="s">
        <v>90</v>
      </c>
      <c r="H873" s="7" t="n">
        <v>2</v>
      </c>
      <c r="I873" s="7" t="n">
        <v>240</v>
      </c>
      <c r="J873" s="7" t="n">
        <v>20</v>
      </c>
      <c r="K873" s="7" t="s">
        <v>112</v>
      </c>
      <c r="L873" s="7" t="s">
        <v>194</v>
      </c>
      <c r="M873" s="7" t="n">
        <v>47</v>
      </c>
      <c r="N873" s="7" t="n">
        <v>3</v>
      </c>
      <c r="O873" s="7" t="str">
        <f aca="false">A873&amp;"|"&amp;B873&amp;"|"&amp;C873&amp;"|"&amp;D873&amp;"|"&amp;E873&amp;"|"&amp;F873&amp;"|"&amp;G873&amp;"|"&amp;H873&amp;"|"&amp;I873&amp;"|"&amp;J873&amp;"|"&amp;K873&amp;"|"&amp;L873&amp;"|"&amp;M873&amp;"|"&amp;N873</f>
        <v>ORD11650|2025-08-03|19:16|C1383|Tandoor Tales |Delhi|North Indian|2|240|20|Cash on Delivery|Delivered|47|3</v>
      </c>
      <c r="P873" s="7" t="str">
        <f aca="false">IF(COUNTIF($O$2:O873,O873)&gt;1,"DUP","OK")</f>
        <v>OK</v>
      </c>
      <c r="Q873" s="7" t="n">
        <f aca="false">COUNTBLANK(A873:N873)</f>
        <v>0</v>
      </c>
      <c r="R873" s="7" t="n">
        <f aca="false">IF(A873="",0,COUNTIFS($A$2:$A$3058,A873,$P$2:$P$3058,"OK"))</f>
        <v>1</v>
      </c>
      <c r="S873" s="7" t="str">
        <f aca="false">IF(OR(A873="",P873="DUP",R873&lt;2),"",IF(Q873=_xlfn.MINIFS($Q$2:$Q$3058,$A$2:$A$3058,A873,$P$2:$P$3058,"OK"),"KEEP","DROP"))</f>
        <v/>
      </c>
      <c r="T873" s="9" t="n">
        <f aca="false">IF(A873="",1,0)</f>
        <v>0</v>
      </c>
      <c r="U873" s="9" t="n">
        <f aca="false">IF(D873="",1,0)</f>
        <v>0</v>
      </c>
      <c r="V873" s="9" t="n">
        <f aca="false">IF(E873="",1,0)</f>
        <v>0</v>
      </c>
      <c r="W873" s="9" t="n">
        <f aca="false">IF(OR(H873&lt;1,H873&gt;10),1,0)</f>
        <v>0</v>
      </c>
      <c r="X873" s="9" t="n">
        <f aca="false">IF(OR(I873&lt;=0,I873&gt;1500),1,0)</f>
        <v>0</v>
      </c>
      <c r="Y873" s="9" t="n">
        <f aca="false">IF(J873&gt;H873*I873,1,0)</f>
        <v>0</v>
      </c>
      <c r="Z873" s="9" t="n">
        <f aca="false">IF(AND(N873&lt;&gt;"",OR(N873&lt;1,N873&gt;5)),1,0)</f>
        <v>0</v>
      </c>
      <c r="AA873" s="9" t="n">
        <f aca="false">IF(AND(M873&lt;&gt;"",OR(M873&lt;5,M873&gt;180)),1,0)</f>
        <v>0</v>
      </c>
      <c r="AB873" s="7" t="str">
        <f aca="false">IF(P873="DUP","Exact duplicate row",IF(T873=1,"Missing Order ID",IF(S873="DROP","Duplicate Order ID (less complete row)",IF(U873=1,"Missing Customer ID",IF(V873=1,"Missing Restaurant name",IF(W873=1,"Invalid/outlier quantity",IF(X873=1,"Invalid/outlier unit price",IF(Y873=1,"Discount greater than order value",""))))))))</f>
        <v/>
      </c>
      <c r="AC873" s="7" t="str">
        <f aca="false">IF(AB873="","KEEP","DROP")</f>
        <v>KEEP</v>
      </c>
      <c r="AD873" s="7" t="str">
        <f aca="false">IF(TRIM(F873)="",IFERROR(INDEX(Map_Tables!$I$4:$I$37,MATCH(TRIM(E873),Map_Tables!$G$4:$G$37,0)),""),IFERROR(INDEX(Map_Tables!$B$4:$B$18,MATCH(TRIM(F873),Map_Tables!$A$4:$A$18,0)),"CHECK"))</f>
        <v>Delhi</v>
      </c>
      <c r="AE873" s="7" t="str">
        <f aca="false">IF(TRIM(E873)="","",IFERROR(INDEX(Map_Tables!$H$4:$H$37,MATCH(TRIM(E873),Map_Tables!$G$4:$G$37,0)),"CHECK"))</f>
        <v>Tandoor Tales</v>
      </c>
      <c r="AF873" s="7" t="str">
        <f aca="false">IF(TRIM(K873)="","Unknown",IFERROR(INDEX(Map_Tables!$E$4:$E$15,MATCH(TRIM(K873),Map_Tables!$D$4:$D$15,0)),"CHECK"))</f>
        <v>Cash on Delivery</v>
      </c>
      <c r="AG873" s="7" t="str">
        <f aca="false">IF(LEFT(LOWER(TRIM(L873)),6)="cancel","Cancelled","Delivered")</f>
        <v>Delivered</v>
      </c>
      <c r="AH873" s="10" t="n">
        <f aca="false">IF(ISNUMBER(SEARCH("/",B873)),DATE(VALUE(RIGHT(B873,4)),VALUE(MID(B873,4,2)),VALUE(LEFT(B873,2))),IF(MID(B873,5,1)="-",DATE(VALUE(LEFT(B873,4)),VALUE(MID(B873,6,2)),VALUE(RIGHT(B873,2))),DATE(VALUE(RIGHT(B873,4)),MATCH(MID(B873,4,3),{"Jan","Feb","Mar","Apr","May","Jun","Jul","Aug","Sep","Oct","Nov","Dec"},0),VALUE(LEFT(B873,2)))))</f>
        <v>45872</v>
      </c>
    </row>
    <row r="874" customFormat="false" ht="15" hidden="false" customHeight="false" outlineLevel="0" collapsed="false">
      <c r="A874" s="7" t="s">
        <v>2753</v>
      </c>
      <c r="B874" s="7" t="s">
        <v>2754</v>
      </c>
      <c r="C874" s="7" t="s">
        <v>2559</v>
      </c>
      <c r="D874" s="7" t="s">
        <v>2151</v>
      </c>
      <c r="E874" s="7" t="s">
        <v>130</v>
      </c>
      <c r="F874" s="7" t="s">
        <v>110</v>
      </c>
      <c r="G874" s="7" t="s">
        <v>90</v>
      </c>
      <c r="H874" s="7" t="n">
        <v>2</v>
      </c>
      <c r="I874" s="7" t="n">
        <v>275</v>
      </c>
      <c r="J874" s="7" t="n">
        <v>0</v>
      </c>
      <c r="K874" s="7" t="s">
        <v>88</v>
      </c>
      <c r="L874" s="7" t="s">
        <v>194</v>
      </c>
      <c r="M874" s="7" t="n">
        <v>34</v>
      </c>
      <c r="N874" s="7" t="n">
        <v>2</v>
      </c>
      <c r="O874" s="7" t="str">
        <f aca="false">A874&amp;"|"&amp;B874&amp;"|"&amp;C874&amp;"|"&amp;D874&amp;"|"&amp;E874&amp;"|"&amp;F874&amp;"|"&amp;G874&amp;"|"&amp;H874&amp;"|"&amp;I874&amp;"|"&amp;J874&amp;"|"&amp;K874&amp;"|"&amp;L874&amp;"|"&amp;M874&amp;"|"&amp;N874</f>
        <v>ORD10101|13/01/2025|18:20|C0880|Tandoor Tales|Delhi|North Indian|2|275|0|UPI|Delivered|34|2</v>
      </c>
      <c r="P874" s="7" t="str">
        <f aca="false">IF(COUNTIF($O$2:O874,O874)&gt;1,"DUP","OK")</f>
        <v>OK</v>
      </c>
      <c r="Q874" s="7" t="n">
        <f aca="false">COUNTBLANK(A874:N874)</f>
        <v>0</v>
      </c>
      <c r="R874" s="7" t="n">
        <f aca="false">IF(A874="",0,COUNTIFS($A$2:$A$3058,A874,$P$2:$P$3058,"OK"))</f>
        <v>1</v>
      </c>
      <c r="S874" s="7" t="str">
        <f aca="false">IF(OR(A874="",P874="DUP",R874&lt;2),"",IF(Q874=_xlfn.MINIFS($Q$2:$Q$3058,$A$2:$A$3058,A874,$P$2:$P$3058,"OK"),"KEEP","DROP"))</f>
        <v/>
      </c>
      <c r="T874" s="9" t="n">
        <f aca="false">IF(A874="",1,0)</f>
        <v>0</v>
      </c>
      <c r="U874" s="9" t="n">
        <f aca="false">IF(D874="",1,0)</f>
        <v>0</v>
      </c>
      <c r="V874" s="9" t="n">
        <f aca="false">IF(E874="",1,0)</f>
        <v>0</v>
      </c>
      <c r="W874" s="9" t="n">
        <f aca="false">IF(OR(H874&lt;1,H874&gt;10),1,0)</f>
        <v>0</v>
      </c>
      <c r="X874" s="9" t="n">
        <f aca="false">IF(OR(I874&lt;=0,I874&gt;1500),1,0)</f>
        <v>0</v>
      </c>
      <c r="Y874" s="9" t="n">
        <f aca="false">IF(J874&gt;H874*I874,1,0)</f>
        <v>0</v>
      </c>
      <c r="Z874" s="9" t="n">
        <f aca="false">IF(AND(N874&lt;&gt;"",OR(N874&lt;1,N874&gt;5)),1,0)</f>
        <v>0</v>
      </c>
      <c r="AA874" s="9" t="n">
        <f aca="false">IF(AND(M874&lt;&gt;"",OR(M874&lt;5,M874&gt;180)),1,0)</f>
        <v>0</v>
      </c>
      <c r="AB874" s="7" t="str">
        <f aca="false">IF(P874="DUP","Exact duplicate row",IF(T874=1,"Missing Order ID",IF(S874="DROP","Duplicate Order ID (less complete row)",IF(U874=1,"Missing Customer ID",IF(V874=1,"Missing Restaurant name",IF(W874=1,"Invalid/outlier quantity",IF(X874=1,"Invalid/outlier unit price",IF(Y874=1,"Discount greater than order value",""))))))))</f>
        <v/>
      </c>
      <c r="AC874" s="7" t="str">
        <f aca="false">IF(AB874="","KEEP","DROP")</f>
        <v>KEEP</v>
      </c>
      <c r="AD874" s="7" t="str">
        <f aca="false">IF(TRIM(F874)="",IFERROR(INDEX(Map_Tables!$I$4:$I$37,MATCH(TRIM(E874),Map_Tables!$G$4:$G$37,0)),""),IFERROR(INDEX(Map_Tables!$B$4:$B$18,MATCH(TRIM(F874),Map_Tables!$A$4:$A$18,0)),"CHECK"))</f>
        <v>Delhi</v>
      </c>
      <c r="AE874" s="7" t="str">
        <f aca="false">IF(TRIM(E874)="","",IFERROR(INDEX(Map_Tables!$H$4:$H$37,MATCH(TRIM(E874),Map_Tables!$G$4:$G$37,0)),"CHECK"))</f>
        <v>Tandoor Tales</v>
      </c>
      <c r="AF874" s="7" t="str">
        <f aca="false">IF(TRIM(K874)="","Unknown",IFERROR(INDEX(Map_Tables!$E$4:$E$15,MATCH(TRIM(K874),Map_Tables!$D$4:$D$15,0)),"CHECK"))</f>
        <v>UPI</v>
      </c>
      <c r="AG874" s="7" t="str">
        <f aca="false">IF(LEFT(LOWER(TRIM(L874)),6)="cancel","Cancelled","Delivered")</f>
        <v>Delivered</v>
      </c>
      <c r="AH874" s="10" t="n">
        <f aca="false">IF(ISNUMBER(SEARCH("/",B874)),DATE(VALUE(RIGHT(B874,4)),VALUE(MID(B874,4,2)),VALUE(LEFT(B874,2))),IF(MID(B874,5,1)="-",DATE(VALUE(LEFT(B874,4)),VALUE(MID(B874,6,2)),VALUE(RIGHT(B874,2))),DATE(VALUE(RIGHT(B874,4)),MATCH(MID(B874,4,3),{"Jan","Feb","Mar","Apr","May","Jun","Jul","Aug","Sep","Oct","Nov","Dec"},0),VALUE(LEFT(B874,2)))))</f>
        <v>45670</v>
      </c>
    </row>
    <row r="875" customFormat="false" ht="15" hidden="false" customHeight="false" outlineLevel="0" collapsed="false">
      <c r="A875" s="7" t="s">
        <v>2755</v>
      </c>
      <c r="B875" s="7" t="s">
        <v>2632</v>
      </c>
      <c r="C875" s="7" t="s">
        <v>2756</v>
      </c>
      <c r="D875" s="7" t="s">
        <v>2353</v>
      </c>
      <c r="E875" s="7" t="s">
        <v>142</v>
      </c>
      <c r="F875" s="7" t="s">
        <v>110</v>
      </c>
      <c r="G875" s="7" t="s">
        <v>105</v>
      </c>
      <c r="H875" s="7" t="n">
        <v>2</v>
      </c>
      <c r="I875" s="7" t="n">
        <v>170</v>
      </c>
      <c r="J875" s="7" t="n">
        <v>0</v>
      </c>
      <c r="K875" s="7" t="s">
        <v>112</v>
      </c>
      <c r="L875" s="7" t="s">
        <v>238</v>
      </c>
      <c r="M875" s="7"/>
      <c r="N875" s="7"/>
      <c r="O875" s="7" t="str">
        <f aca="false">A875&amp;"|"&amp;B875&amp;"|"&amp;C875&amp;"|"&amp;D875&amp;"|"&amp;E875&amp;"|"&amp;F875&amp;"|"&amp;G875&amp;"|"&amp;H875&amp;"|"&amp;I875&amp;"|"&amp;J875&amp;"|"&amp;K875&amp;"|"&amp;L875&amp;"|"&amp;M875&amp;"|"&amp;N875</f>
        <v>ORD10013|2025-01-02|20:17|C0013|Momo Magic|Delhi|Chinese|2|170|0|Cash on Delivery|Cancelled||</v>
      </c>
      <c r="P875" s="7" t="str">
        <f aca="false">IF(COUNTIF($O$2:O875,O875)&gt;1,"DUP","OK")</f>
        <v>OK</v>
      </c>
      <c r="Q875" s="7" t="n">
        <f aca="false">COUNTBLANK(A875:N875)</f>
        <v>2</v>
      </c>
      <c r="R875" s="7" t="n">
        <f aca="false">IF(A875="",0,COUNTIFS($A$2:$A$3058,A875,$P$2:$P$3058,"OK"))</f>
        <v>1</v>
      </c>
      <c r="S875" s="7" t="str">
        <f aca="false">IF(OR(A875="",P875="DUP",R875&lt;2),"",IF(Q875=_xlfn.MINIFS($Q$2:$Q$3058,$A$2:$A$3058,A875,$P$2:$P$3058,"OK"),"KEEP","DROP"))</f>
        <v/>
      </c>
      <c r="T875" s="9" t="n">
        <f aca="false">IF(A875="",1,0)</f>
        <v>0</v>
      </c>
      <c r="U875" s="9" t="n">
        <f aca="false">IF(D875="",1,0)</f>
        <v>0</v>
      </c>
      <c r="V875" s="9" t="n">
        <f aca="false">IF(E875="",1,0)</f>
        <v>0</v>
      </c>
      <c r="W875" s="9" t="n">
        <f aca="false">IF(OR(H875&lt;1,H875&gt;10),1,0)</f>
        <v>0</v>
      </c>
      <c r="X875" s="9" t="n">
        <f aca="false">IF(OR(I875&lt;=0,I875&gt;1500),1,0)</f>
        <v>0</v>
      </c>
      <c r="Y875" s="9" t="n">
        <f aca="false">IF(J875&gt;H875*I875,1,0)</f>
        <v>0</v>
      </c>
      <c r="Z875" s="9" t="n">
        <f aca="false">IF(AND(N875&lt;&gt;"",OR(N875&lt;1,N875&gt;5)),1,0)</f>
        <v>0</v>
      </c>
      <c r="AA875" s="9" t="n">
        <f aca="false">IF(AND(M875&lt;&gt;"",OR(M875&lt;5,M875&gt;180)),1,0)</f>
        <v>0</v>
      </c>
      <c r="AB875" s="7" t="str">
        <f aca="false">IF(P875="DUP","Exact duplicate row",IF(T875=1,"Missing Order ID",IF(S875="DROP","Duplicate Order ID (less complete row)",IF(U875=1,"Missing Customer ID",IF(V875=1,"Missing Restaurant name",IF(W875=1,"Invalid/outlier quantity",IF(X875=1,"Invalid/outlier unit price",IF(Y875=1,"Discount greater than order value",""))))))))</f>
        <v/>
      </c>
      <c r="AC875" s="7" t="str">
        <f aca="false">IF(AB875="","KEEP","DROP")</f>
        <v>KEEP</v>
      </c>
      <c r="AD875" s="7" t="str">
        <f aca="false">IF(TRIM(F875)="",IFERROR(INDEX(Map_Tables!$I$4:$I$37,MATCH(TRIM(E875),Map_Tables!$G$4:$G$37,0)),""),IFERROR(INDEX(Map_Tables!$B$4:$B$18,MATCH(TRIM(F875),Map_Tables!$A$4:$A$18,0)),"CHECK"))</f>
        <v>Delhi</v>
      </c>
      <c r="AE875" s="7" t="str">
        <f aca="false">IF(TRIM(E875)="","",IFERROR(INDEX(Map_Tables!$H$4:$H$37,MATCH(TRIM(E875),Map_Tables!$G$4:$G$37,0)),"CHECK"))</f>
        <v>Momo Magic</v>
      </c>
      <c r="AF875" s="7" t="str">
        <f aca="false">IF(TRIM(K875)="","Unknown",IFERROR(INDEX(Map_Tables!$E$4:$E$15,MATCH(TRIM(K875),Map_Tables!$D$4:$D$15,0)),"CHECK"))</f>
        <v>Cash on Delivery</v>
      </c>
      <c r="AG875" s="7" t="str">
        <f aca="false">IF(LEFT(LOWER(TRIM(L875)),6)="cancel","Cancelled","Delivered")</f>
        <v>Cancelled</v>
      </c>
      <c r="AH875" s="10" t="n">
        <f aca="false">IF(ISNUMBER(SEARCH("/",B875)),DATE(VALUE(RIGHT(B875,4)),VALUE(MID(B875,4,2)),VALUE(LEFT(B875,2))),IF(MID(B875,5,1)="-",DATE(VALUE(LEFT(B875,4)),VALUE(MID(B875,6,2)),VALUE(RIGHT(B875,2))),DATE(VALUE(RIGHT(B875,4)),MATCH(MID(B875,4,3),{"Jan","Feb","Mar","Apr","May","Jun","Jul","Aug","Sep","Oct","Nov","Dec"},0),VALUE(LEFT(B875,2)))))</f>
        <v>45659</v>
      </c>
    </row>
    <row r="876" customFormat="false" ht="15" hidden="false" customHeight="false" outlineLevel="0" collapsed="false">
      <c r="A876" s="7" t="s">
        <v>2757</v>
      </c>
      <c r="B876" s="7" t="s">
        <v>813</v>
      </c>
      <c r="C876" s="7" t="s">
        <v>2758</v>
      </c>
      <c r="D876" s="7" t="s">
        <v>1641</v>
      </c>
      <c r="E876" s="7" t="s">
        <v>152</v>
      </c>
      <c r="F876" s="7" t="s">
        <v>128</v>
      </c>
      <c r="G876" s="7" t="s">
        <v>95</v>
      </c>
      <c r="H876" s="7" t="n">
        <v>3</v>
      </c>
      <c r="I876" s="7" t="n">
        <v>95</v>
      </c>
      <c r="J876" s="7" t="n">
        <v>75</v>
      </c>
      <c r="K876" s="7" t="s">
        <v>88</v>
      </c>
      <c r="L876" s="7" t="s">
        <v>194</v>
      </c>
      <c r="M876" s="7" t="n">
        <v>35</v>
      </c>
      <c r="N876" s="7"/>
      <c r="O876" s="7" t="str">
        <f aca="false">A876&amp;"|"&amp;B876&amp;"|"&amp;C876&amp;"|"&amp;D876&amp;"|"&amp;E876&amp;"|"&amp;F876&amp;"|"&amp;G876&amp;"|"&amp;H876&amp;"|"&amp;I876&amp;"|"&amp;J876&amp;"|"&amp;K876&amp;"|"&amp;L876&amp;"|"&amp;M876&amp;"|"&amp;N876</f>
        <v>ORD10645|2025-03-23|16:08|C0879|Filter Coffee &amp; Tiffin|Chennai|South Indian|3|95|75|UPI|Delivered|35|</v>
      </c>
      <c r="P876" s="7" t="str">
        <f aca="false">IF(COUNTIF($O$2:O876,O876)&gt;1,"DUP","OK")</f>
        <v>OK</v>
      </c>
      <c r="Q876" s="7" t="n">
        <f aca="false">COUNTBLANK(A876:N876)</f>
        <v>1</v>
      </c>
      <c r="R876" s="7" t="n">
        <f aca="false">IF(A876="",0,COUNTIFS($A$2:$A$3058,A876,$P$2:$P$3058,"OK"))</f>
        <v>1</v>
      </c>
      <c r="S876" s="7" t="str">
        <f aca="false">IF(OR(A876="",P876="DUP",R876&lt;2),"",IF(Q876=_xlfn.MINIFS($Q$2:$Q$3058,$A$2:$A$3058,A876,$P$2:$P$3058,"OK"),"KEEP","DROP"))</f>
        <v/>
      </c>
      <c r="T876" s="9" t="n">
        <f aca="false">IF(A876="",1,0)</f>
        <v>0</v>
      </c>
      <c r="U876" s="9" t="n">
        <f aca="false">IF(D876="",1,0)</f>
        <v>0</v>
      </c>
      <c r="V876" s="9" t="n">
        <f aca="false">IF(E876="",1,0)</f>
        <v>0</v>
      </c>
      <c r="W876" s="9" t="n">
        <f aca="false">IF(OR(H876&lt;1,H876&gt;10),1,0)</f>
        <v>0</v>
      </c>
      <c r="X876" s="9" t="n">
        <f aca="false">IF(OR(I876&lt;=0,I876&gt;1500),1,0)</f>
        <v>0</v>
      </c>
      <c r="Y876" s="9" t="n">
        <f aca="false">IF(J876&gt;H876*I876,1,0)</f>
        <v>0</v>
      </c>
      <c r="Z876" s="9" t="n">
        <f aca="false">IF(AND(N876&lt;&gt;"",OR(N876&lt;1,N876&gt;5)),1,0)</f>
        <v>0</v>
      </c>
      <c r="AA876" s="9" t="n">
        <f aca="false">IF(AND(M876&lt;&gt;"",OR(M876&lt;5,M876&gt;180)),1,0)</f>
        <v>0</v>
      </c>
      <c r="AB876" s="7" t="str">
        <f aca="false">IF(P876="DUP","Exact duplicate row",IF(T876=1,"Missing Order ID",IF(S876="DROP","Duplicate Order ID (less complete row)",IF(U876=1,"Missing Customer ID",IF(V876=1,"Missing Restaurant name",IF(W876=1,"Invalid/outlier quantity",IF(X876=1,"Invalid/outlier unit price",IF(Y876=1,"Discount greater than order value",""))))))))</f>
        <v/>
      </c>
      <c r="AC876" s="7" t="str">
        <f aca="false">IF(AB876="","KEEP","DROP")</f>
        <v>KEEP</v>
      </c>
      <c r="AD876" s="7" t="str">
        <f aca="false">IF(TRIM(F876)="",IFERROR(INDEX(Map_Tables!$I$4:$I$37,MATCH(TRIM(E876),Map_Tables!$G$4:$G$37,0)),""),IFERROR(INDEX(Map_Tables!$B$4:$B$18,MATCH(TRIM(F876),Map_Tables!$A$4:$A$18,0)),"CHECK"))</f>
        <v>Chennai</v>
      </c>
      <c r="AE876" s="7" t="str">
        <f aca="false">IF(TRIM(E876)="","",IFERROR(INDEX(Map_Tables!$H$4:$H$37,MATCH(TRIM(E876),Map_Tables!$G$4:$G$37,0)),"CHECK"))</f>
        <v>Filter Coffee &amp; Tiffin</v>
      </c>
      <c r="AF876" s="7" t="str">
        <f aca="false">IF(TRIM(K876)="","Unknown",IFERROR(INDEX(Map_Tables!$E$4:$E$15,MATCH(TRIM(K876),Map_Tables!$D$4:$D$15,0)),"CHECK"))</f>
        <v>UPI</v>
      </c>
      <c r="AG876" s="7" t="str">
        <f aca="false">IF(LEFT(LOWER(TRIM(L876)),6)="cancel","Cancelled","Delivered")</f>
        <v>Delivered</v>
      </c>
      <c r="AH876" s="10" t="n">
        <f aca="false">IF(ISNUMBER(SEARCH("/",B876)),DATE(VALUE(RIGHT(B876,4)),VALUE(MID(B876,4,2)),VALUE(LEFT(B876,2))),IF(MID(B876,5,1)="-",DATE(VALUE(LEFT(B876,4)),VALUE(MID(B876,6,2)),VALUE(RIGHT(B876,2))),DATE(VALUE(RIGHT(B876,4)),MATCH(MID(B876,4,3),{"Jan","Feb","Mar","Apr","May","Jun","Jul","Aug","Sep","Oct","Nov","Dec"},0),VALUE(LEFT(B876,2)))))</f>
        <v>45739</v>
      </c>
    </row>
    <row r="877" customFormat="false" ht="15" hidden="false" customHeight="false" outlineLevel="0" collapsed="false">
      <c r="A877" s="7" t="s">
        <v>2759</v>
      </c>
      <c r="B877" s="7" t="s">
        <v>2760</v>
      </c>
      <c r="C877" s="7" t="s">
        <v>411</v>
      </c>
      <c r="D877" s="7" t="s">
        <v>1254</v>
      </c>
      <c r="E877" s="7" t="s">
        <v>104</v>
      </c>
      <c r="F877" s="7" t="s">
        <v>86</v>
      </c>
      <c r="G877" s="7" t="s">
        <v>105</v>
      </c>
      <c r="H877" s="7" t="n">
        <v>2</v>
      </c>
      <c r="I877" s="7" t="n">
        <v>195</v>
      </c>
      <c r="J877" s="7" t="n">
        <v>75</v>
      </c>
      <c r="K877" s="7" t="s">
        <v>112</v>
      </c>
      <c r="L877" s="7" t="s">
        <v>238</v>
      </c>
      <c r="M877" s="7"/>
      <c r="N877" s="7"/>
      <c r="O877" s="7" t="str">
        <f aca="false">A877&amp;"|"&amp;B877&amp;"|"&amp;C877&amp;"|"&amp;D877&amp;"|"&amp;E877&amp;"|"&amp;F877&amp;"|"&amp;G877&amp;"|"&amp;H877&amp;"|"&amp;I877&amp;"|"&amp;J877&amp;"|"&amp;K877&amp;"|"&amp;L877&amp;"|"&amp;M877&amp;"|"&amp;N877</f>
        <v>ORD11615|29/07/2025|18:00|C0514|Wok &amp; Roll|Bengaluru|Chinese|2|195|75|Cash on Delivery|Cancelled||</v>
      </c>
      <c r="P877" s="7" t="str">
        <f aca="false">IF(COUNTIF($O$2:O877,O877)&gt;1,"DUP","OK")</f>
        <v>OK</v>
      </c>
      <c r="Q877" s="7" t="n">
        <f aca="false">COUNTBLANK(A877:N877)</f>
        <v>2</v>
      </c>
      <c r="R877" s="7" t="n">
        <f aca="false">IF(A877="",0,COUNTIFS($A$2:$A$3058,A877,$P$2:$P$3058,"OK"))</f>
        <v>1</v>
      </c>
      <c r="S877" s="7" t="str">
        <f aca="false">IF(OR(A877="",P877="DUP",R877&lt;2),"",IF(Q877=_xlfn.MINIFS($Q$2:$Q$3058,$A$2:$A$3058,A877,$P$2:$P$3058,"OK"),"KEEP","DROP"))</f>
        <v/>
      </c>
      <c r="T877" s="9" t="n">
        <f aca="false">IF(A877="",1,0)</f>
        <v>0</v>
      </c>
      <c r="U877" s="9" t="n">
        <f aca="false">IF(D877="",1,0)</f>
        <v>0</v>
      </c>
      <c r="V877" s="9" t="n">
        <f aca="false">IF(E877="",1,0)</f>
        <v>0</v>
      </c>
      <c r="W877" s="9" t="n">
        <f aca="false">IF(OR(H877&lt;1,H877&gt;10),1,0)</f>
        <v>0</v>
      </c>
      <c r="X877" s="9" t="n">
        <f aca="false">IF(OR(I877&lt;=0,I877&gt;1500),1,0)</f>
        <v>0</v>
      </c>
      <c r="Y877" s="9" t="n">
        <f aca="false">IF(J877&gt;H877*I877,1,0)</f>
        <v>0</v>
      </c>
      <c r="Z877" s="9" t="n">
        <f aca="false">IF(AND(N877&lt;&gt;"",OR(N877&lt;1,N877&gt;5)),1,0)</f>
        <v>0</v>
      </c>
      <c r="AA877" s="9" t="n">
        <f aca="false">IF(AND(M877&lt;&gt;"",OR(M877&lt;5,M877&gt;180)),1,0)</f>
        <v>0</v>
      </c>
      <c r="AB877" s="7" t="str">
        <f aca="false">IF(P877="DUP","Exact duplicate row",IF(T877=1,"Missing Order ID",IF(S877="DROP","Duplicate Order ID (less complete row)",IF(U877=1,"Missing Customer ID",IF(V877=1,"Missing Restaurant name",IF(W877=1,"Invalid/outlier quantity",IF(X877=1,"Invalid/outlier unit price",IF(Y877=1,"Discount greater than order value",""))))))))</f>
        <v/>
      </c>
      <c r="AC877" s="7" t="str">
        <f aca="false">IF(AB877="","KEEP","DROP")</f>
        <v>KEEP</v>
      </c>
      <c r="AD877" s="7" t="str">
        <f aca="false">IF(TRIM(F877)="",IFERROR(INDEX(Map_Tables!$I$4:$I$37,MATCH(TRIM(E877),Map_Tables!$G$4:$G$37,0)),""),IFERROR(INDEX(Map_Tables!$B$4:$B$18,MATCH(TRIM(F877),Map_Tables!$A$4:$A$18,0)),"CHECK"))</f>
        <v>Bengaluru</v>
      </c>
      <c r="AE877" s="7" t="str">
        <f aca="false">IF(TRIM(E877)="","",IFERROR(INDEX(Map_Tables!$H$4:$H$37,MATCH(TRIM(E877),Map_Tables!$G$4:$G$37,0)),"CHECK"))</f>
        <v>Wok &amp; Roll</v>
      </c>
      <c r="AF877" s="7" t="str">
        <f aca="false">IF(TRIM(K877)="","Unknown",IFERROR(INDEX(Map_Tables!$E$4:$E$15,MATCH(TRIM(K877),Map_Tables!$D$4:$D$15,0)),"CHECK"))</f>
        <v>Cash on Delivery</v>
      </c>
      <c r="AG877" s="7" t="str">
        <f aca="false">IF(LEFT(LOWER(TRIM(L877)),6)="cancel","Cancelled","Delivered")</f>
        <v>Cancelled</v>
      </c>
      <c r="AH877" s="10" t="n">
        <f aca="false">IF(ISNUMBER(SEARCH("/",B877)),DATE(VALUE(RIGHT(B877,4)),VALUE(MID(B877,4,2)),VALUE(LEFT(B877,2))),IF(MID(B877,5,1)="-",DATE(VALUE(LEFT(B877,4)),VALUE(MID(B877,6,2)),VALUE(RIGHT(B877,2))),DATE(VALUE(RIGHT(B877,4)),MATCH(MID(B877,4,3),{"Jan","Feb","Mar","Apr","May","Jun","Jul","Aug","Sep","Oct","Nov","Dec"},0),VALUE(LEFT(B877,2)))))</f>
        <v>45867</v>
      </c>
    </row>
    <row r="878" customFormat="false" ht="15" hidden="false" customHeight="false" outlineLevel="0" collapsed="false">
      <c r="A878" s="7" t="s">
        <v>2761</v>
      </c>
      <c r="B878" s="7" t="s">
        <v>2685</v>
      </c>
      <c r="C878" s="7" t="s">
        <v>2762</v>
      </c>
      <c r="D878" s="7" t="s">
        <v>2763</v>
      </c>
      <c r="E878" s="7" t="s">
        <v>161</v>
      </c>
      <c r="F878" s="7" t="s">
        <v>141</v>
      </c>
      <c r="G878" s="7" t="s">
        <v>117</v>
      </c>
      <c r="H878" s="7" t="n">
        <v>5</v>
      </c>
      <c r="I878" s="7" t="n">
        <v>120</v>
      </c>
      <c r="J878" s="7" t="n">
        <v>100</v>
      </c>
      <c r="K878" s="7" t="s">
        <v>115</v>
      </c>
      <c r="L878" s="7" t="s">
        <v>194</v>
      </c>
      <c r="M878" s="7" t="n">
        <v>38</v>
      </c>
      <c r="N878" s="7" t="n">
        <v>5</v>
      </c>
      <c r="O878" s="7" t="str">
        <f aca="false">A878&amp;"|"&amp;B878&amp;"|"&amp;C878&amp;"|"&amp;D878&amp;"|"&amp;E878&amp;"|"&amp;F878&amp;"|"&amp;G878&amp;"|"&amp;H878&amp;"|"&amp;I878&amp;"|"&amp;J878&amp;"|"&amp;K878&amp;"|"&amp;L878&amp;"|"&amp;M878&amp;"|"&amp;N878</f>
        <v>ORD10779|2025-04-09|09:33|C0690|Bengal Bites|Kolkata|Street Food|5|120|100|cash on delivery|Delivered|38|5</v>
      </c>
      <c r="P878" s="7" t="str">
        <f aca="false">IF(COUNTIF($O$2:O878,O878)&gt;1,"DUP","OK")</f>
        <v>OK</v>
      </c>
      <c r="Q878" s="7" t="n">
        <f aca="false">COUNTBLANK(A878:N878)</f>
        <v>0</v>
      </c>
      <c r="R878" s="7" t="n">
        <f aca="false">IF(A878="",0,COUNTIFS($A$2:$A$3058,A878,$P$2:$P$3058,"OK"))</f>
        <v>1</v>
      </c>
      <c r="S878" s="7" t="str">
        <f aca="false">IF(OR(A878="",P878="DUP",R878&lt;2),"",IF(Q878=_xlfn.MINIFS($Q$2:$Q$3058,$A$2:$A$3058,A878,$P$2:$P$3058,"OK"),"KEEP","DROP"))</f>
        <v/>
      </c>
      <c r="T878" s="9" t="n">
        <f aca="false">IF(A878="",1,0)</f>
        <v>0</v>
      </c>
      <c r="U878" s="9" t="n">
        <f aca="false">IF(D878="",1,0)</f>
        <v>0</v>
      </c>
      <c r="V878" s="9" t="n">
        <f aca="false">IF(E878="",1,0)</f>
        <v>0</v>
      </c>
      <c r="W878" s="9" t="n">
        <f aca="false">IF(OR(H878&lt;1,H878&gt;10),1,0)</f>
        <v>0</v>
      </c>
      <c r="X878" s="9" t="n">
        <f aca="false">IF(OR(I878&lt;=0,I878&gt;1500),1,0)</f>
        <v>0</v>
      </c>
      <c r="Y878" s="9" t="n">
        <f aca="false">IF(J878&gt;H878*I878,1,0)</f>
        <v>0</v>
      </c>
      <c r="Z878" s="9" t="n">
        <f aca="false">IF(AND(N878&lt;&gt;"",OR(N878&lt;1,N878&gt;5)),1,0)</f>
        <v>0</v>
      </c>
      <c r="AA878" s="9" t="n">
        <f aca="false">IF(AND(M878&lt;&gt;"",OR(M878&lt;5,M878&gt;180)),1,0)</f>
        <v>0</v>
      </c>
      <c r="AB878" s="7" t="str">
        <f aca="false">IF(P878="DUP","Exact duplicate row",IF(T878=1,"Missing Order ID",IF(S878="DROP","Duplicate Order ID (less complete row)",IF(U878=1,"Missing Customer ID",IF(V878=1,"Missing Restaurant name",IF(W878=1,"Invalid/outlier quantity",IF(X878=1,"Invalid/outlier unit price",IF(Y878=1,"Discount greater than order value",""))))))))</f>
        <v/>
      </c>
      <c r="AC878" s="7" t="str">
        <f aca="false">IF(AB878="","KEEP","DROP")</f>
        <v>KEEP</v>
      </c>
      <c r="AD878" s="7" t="str">
        <f aca="false">IF(TRIM(F878)="",IFERROR(INDEX(Map_Tables!$I$4:$I$37,MATCH(TRIM(E878),Map_Tables!$G$4:$G$37,0)),""),IFERROR(INDEX(Map_Tables!$B$4:$B$18,MATCH(TRIM(F878),Map_Tables!$A$4:$A$18,0)),"CHECK"))</f>
        <v>Kolkata</v>
      </c>
      <c r="AE878" s="7" t="str">
        <f aca="false">IF(TRIM(E878)="","",IFERROR(INDEX(Map_Tables!$H$4:$H$37,MATCH(TRIM(E878),Map_Tables!$G$4:$G$37,0)),"CHECK"))</f>
        <v>Bengal Bites</v>
      </c>
      <c r="AF878" s="7" t="str">
        <f aca="false">IF(TRIM(K878)="","Unknown",IFERROR(INDEX(Map_Tables!$E$4:$E$15,MATCH(TRIM(K878),Map_Tables!$D$4:$D$15,0)),"CHECK"))</f>
        <v>Cash on Delivery</v>
      </c>
      <c r="AG878" s="7" t="str">
        <f aca="false">IF(LEFT(LOWER(TRIM(L878)),6)="cancel","Cancelled","Delivered")</f>
        <v>Delivered</v>
      </c>
      <c r="AH878" s="10" t="n">
        <f aca="false">IF(ISNUMBER(SEARCH("/",B878)),DATE(VALUE(RIGHT(B878,4)),VALUE(MID(B878,4,2)),VALUE(LEFT(B878,2))),IF(MID(B878,5,1)="-",DATE(VALUE(LEFT(B878,4)),VALUE(MID(B878,6,2)),VALUE(RIGHT(B878,2))),DATE(VALUE(RIGHT(B878,4)),MATCH(MID(B878,4,3),{"Jan","Feb","Mar","Apr","May","Jun","Jul","Aug","Sep","Oct","Nov","Dec"},0),VALUE(LEFT(B878,2)))))</f>
        <v>45756</v>
      </c>
    </row>
    <row r="879" customFormat="false" ht="15" hidden="false" customHeight="false" outlineLevel="0" collapsed="false">
      <c r="A879" s="7" t="s">
        <v>2764</v>
      </c>
      <c r="B879" s="7" t="s">
        <v>960</v>
      </c>
      <c r="C879" s="7" t="s">
        <v>2765</v>
      </c>
      <c r="D879" s="7" t="s">
        <v>237</v>
      </c>
      <c r="E879" s="7" t="s">
        <v>98</v>
      </c>
      <c r="F879" s="7" t="s">
        <v>86</v>
      </c>
      <c r="G879" s="7" t="s">
        <v>99</v>
      </c>
      <c r="H879" s="7" t="n">
        <v>3</v>
      </c>
      <c r="I879" s="7" t="n">
        <v>295</v>
      </c>
      <c r="J879" s="7" t="n">
        <v>0</v>
      </c>
      <c r="K879" s="7" t="s">
        <v>133</v>
      </c>
      <c r="L879" s="7" t="s">
        <v>194</v>
      </c>
      <c r="M879" s="7" t="n">
        <v>39</v>
      </c>
      <c r="N879" s="7"/>
      <c r="O879" s="7" t="str">
        <f aca="false">A879&amp;"|"&amp;B879&amp;"|"&amp;C879&amp;"|"&amp;D879&amp;"|"&amp;E879&amp;"|"&amp;F879&amp;"|"&amp;G879&amp;"|"&amp;H879&amp;"|"&amp;I879&amp;"|"&amp;J879&amp;"|"&amp;K879&amp;"|"&amp;L879&amp;"|"&amp;M879&amp;"|"&amp;N879</f>
        <v>ORD10930|2025-04-28|11:48|C1390|Nawabi Biryani House|Bengaluru|Biryani|3|295|0|Net Banking|Delivered|39|</v>
      </c>
      <c r="P879" s="7" t="str">
        <f aca="false">IF(COUNTIF($O$2:O879,O879)&gt;1,"DUP","OK")</f>
        <v>OK</v>
      </c>
      <c r="Q879" s="7" t="n">
        <f aca="false">COUNTBLANK(A879:N879)</f>
        <v>1</v>
      </c>
      <c r="R879" s="7" t="n">
        <f aca="false">IF(A879="",0,COUNTIFS($A$2:$A$3058,A879,$P$2:$P$3058,"OK"))</f>
        <v>1</v>
      </c>
      <c r="S879" s="7" t="str">
        <f aca="false">IF(OR(A879="",P879="DUP",R879&lt;2),"",IF(Q879=_xlfn.MINIFS($Q$2:$Q$3058,$A$2:$A$3058,A879,$P$2:$P$3058,"OK"),"KEEP","DROP"))</f>
        <v/>
      </c>
      <c r="T879" s="9" t="n">
        <f aca="false">IF(A879="",1,0)</f>
        <v>0</v>
      </c>
      <c r="U879" s="9" t="n">
        <f aca="false">IF(D879="",1,0)</f>
        <v>0</v>
      </c>
      <c r="V879" s="9" t="n">
        <f aca="false">IF(E879="",1,0)</f>
        <v>0</v>
      </c>
      <c r="W879" s="9" t="n">
        <f aca="false">IF(OR(H879&lt;1,H879&gt;10),1,0)</f>
        <v>0</v>
      </c>
      <c r="X879" s="9" t="n">
        <f aca="false">IF(OR(I879&lt;=0,I879&gt;1500),1,0)</f>
        <v>0</v>
      </c>
      <c r="Y879" s="9" t="n">
        <f aca="false">IF(J879&gt;H879*I879,1,0)</f>
        <v>0</v>
      </c>
      <c r="Z879" s="9" t="n">
        <f aca="false">IF(AND(N879&lt;&gt;"",OR(N879&lt;1,N879&gt;5)),1,0)</f>
        <v>0</v>
      </c>
      <c r="AA879" s="9" t="n">
        <f aca="false">IF(AND(M879&lt;&gt;"",OR(M879&lt;5,M879&gt;180)),1,0)</f>
        <v>0</v>
      </c>
      <c r="AB879" s="7" t="str">
        <f aca="false">IF(P879="DUP","Exact duplicate row",IF(T879=1,"Missing Order ID",IF(S879="DROP","Duplicate Order ID (less complete row)",IF(U879=1,"Missing Customer ID",IF(V879=1,"Missing Restaurant name",IF(W879=1,"Invalid/outlier quantity",IF(X879=1,"Invalid/outlier unit price",IF(Y879=1,"Discount greater than order value",""))))))))</f>
        <v/>
      </c>
      <c r="AC879" s="7" t="str">
        <f aca="false">IF(AB879="","KEEP","DROP")</f>
        <v>KEEP</v>
      </c>
      <c r="AD879" s="7" t="str">
        <f aca="false">IF(TRIM(F879)="",IFERROR(INDEX(Map_Tables!$I$4:$I$37,MATCH(TRIM(E879),Map_Tables!$G$4:$G$37,0)),""),IFERROR(INDEX(Map_Tables!$B$4:$B$18,MATCH(TRIM(F879),Map_Tables!$A$4:$A$18,0)),"CHECK"))</f>
        <v>Bengaluru</v>
      </c>
      <c r="AE879" s="7" t="str">
        <f aca="false">IF(TRIM(E879)="","",IFERROR(INDEX(Map_Tables!$H$4:$H$37,MATCH(TRIM(E879),Map_Tables!$G$4:$G$37,0)),"CHECK"))</f>
        <v>Nawabi Biryani House</v>
      </c>
      <c r="AF879" s="7" t="str">
        <f aca="false">IF(TRIM(K879)="","Unknown",IFERROR(INDEX(Map_Tables!$E$4:$E$15,MATCH(TRIM(K879),Map_Tables!$D$4:$D$15,0)),"CHECK"))</f>
        <v>Net Banking</v>
      </c>
      <c r="AG879" s="7" t="str">
        <f aca="false">IF(LEFT(LOWER(TRIM(L879)),6)="cancel","Cancelled","Delivered")</f>
        <v>Delivered</v>
      </c>
      <c r="AH879" s="10" t="n">
        <f aca="false">IF(ISNUMBER(SEARCH("/",B879)),DATE(VALUE(RIGHT(B879,4)),VALUE(MID(B879,4,2)),VALUE(LEFT(B879,2))),IF(MID(B879,5,1)="-",DATE(VALUE(LEFT(B879,4)),VALUE(MID(B879,6,2)),VALUE(RIGHT(B879,2))),DATE(VALUE(RIGHT(B879,4)),MATCH(MID(B879,4,3),{"Jan","Feb","Mar","Apr","May","Jun","Jul","Aug","Sep","Oct","Nov","Dec"},0),VALUE(LEFT(B879,2)))))</f>
        <v>45775</v>
      </c>
    </row>
    <row r="880" customFormat="false" ht="15" hidden="false" customHeight="false" outlineLevel="0" collapsed="false">
      <c r="A880" s="7" t="s">
        <v>2766</v>
      </c>
      <c r="B880" s="7" t="s">
        <v>869</v>
      </c>
      <c r="C880" s="7" t="s">
        <v>2767</v>
      </c>
      <c r="D880" s="7" t="s">
        <v>1579</v>
      </c>
      <c r="E880" s="7" t="s">
        <v>104</v>
      </c>
      <c r="F880" s="7" t="s">
        <v>86</v>
      </c>
      <c r="G880" s="7" t="s">
        <v>105</v>
      </c>
      <c r="H880" s="7" t="n">
        <v>1</v>
      </c>
      <c r="I880" s="7" t="n">
        <v>180</v>
      </c>
      <c r="J880" s="7" t="n">
        <v>72</v>
      </c>
      <c r="K880" s="7" t="s">
        <v>112</v>
      </c>
      <c r="L880" s="7" t="s">
        <v>194</v>
      </c>
      <c r="M880" s="7" t="n">
        <v>33</v>
      </c>
      <c r="N880" s="7"/>
      <c r="O880" s="7" t="str">
        <f aca="false">A880&amp;"|"&amp;B880&amp;"|"&amp;C880&amp;"|"&amp;D880&amp;"|"&amp;E880&amp;"|"&amp;F880&amp;"|"&amp;G880&amp;"|"&amp;H880&amp;"|"&amp;I880&amp;"|"&amp;J880&amp;"|"&amp;K880&amp;"|"&amp;L880&amp;"|"&amp;M880&amp;"|"&amp;N880</f>
        <v>ORD11321|2025-06-19|19:33|C0319|Wok &amp; Roll|Bengaluru|Chinese|1|180|72|Cash on Delivery|Delivered|33|</v>
      </c>
      <c r="P880" s="7" t="str">
        <f aca="false">IF(COUNTIF($O$2:O880,O880)&gt;1,"DUP","OK")</f>
        <v>OK</v>
      </c>
      <c r="Q880" s="7" t="n">
        <f aca="false">COUNTBLANK(A880:N880)</f>
        <v>1</v>
      </c>
      <c r="R880" s="7" t="n">
        <f aca="false">IF(A880="",0,COUNTIFS($A$2:$A$3058,A880,$P$2:$P$3058,"OK"))</f>
        <v>1</v>
      </c>
      <c r="S880" s="7" t="str">
        <f aca="false">IF(OR(A880="",P880="DUP",R880&lt;2),"",IF(Q880=_xlfn.MINIFS($Q$2:$Q$3058,$A$2:$A$3058,A880,$P$2:$P$3058,"OK"),"KEEP","DROP"))</f>
        <v/>
      </c>
      <c r="T880" s="9" t="n">
        <f aca="false">IF(A880="",1,0)</f>
        <v>0</v>
      </c>
      <c r="U880" s="9" t="n">
        <f aca="false">IF(D880="",1,0)</f>
        <v>0</v>
      </c>
      <c r="V880" s="9" t="n">
        <f aca="false">IF(E880="",1,0)</f>
        <v>0</v>
      </c>
      <c r="W880" s="9" t="n">
        <f aca="false">IF(OR(H880&lt;1,H880&gt;10),1,0)</f>
        <v>0</v>
      </c>
      <c r="X880" s="9" t="n">
        <f aca="false">IF(OR(I880&lt;=0,I880&gt;1500),1,0)</f>
        <v>0</v>
      </c>
      <c r="Y880" s="9" t="n">
        <f aca="false">IF(J880&gt;H880*I880,1,0)</f>
        <v>0</v>
      </c>
      <c r="Z880" s="9" t="n">
        <f aca="false">IF(AND(N880&lt;&gt;"",OR(N880&lt;1,N880&gt;5)),1,0)</f>
        <v>0</v>
      </c>
      <c r="AA880" s="9" t="n">
        <f aca="false">IF(AND(M880&lt;&gt;"",OR(M880&lt;5,M880&gt;180)),1,0)</f>
        <v>0</v>
      </c>
      <c r="AB880" s="7" t="str">
        <f aca="false">IF(P880="DUP","Exact duplicate row",IF(T880=1,"Missing Order ID",IF(S880="DROP","Duplicate Order ID (less complete row)",IF(U880=1,"Missing Customer ID",IF(V880=1,"Missing Restaurant name",IF(W880=1,"Invalid/outlier quantity",IF(X880=1,"Invalid/outlier unit price",IF(Y880=1,"Discount greater than order value",""))))))))</f>
        <v/>
      </c>
      <c r="AC880" s="7" t="str">
        <f aca="false">IF(AB880="","KEEP","DROP")</f>
        <v>KEEP</v>
      </c>
      <c r="AD880" s="7" t="str">
        <f aca="false">IF(TRIM(F880)="",IFERROR(INDEX(Map_Tables!$I$4:$I$37,MATCH(TRIM(E880),Map_Tables!$G$4:$G$37,0)),""),IFERROR(INDEX(Map_Tables!$B$4:$B$18,MATCH(TRIM(F880),Map_Tables!$A$4:$A$18,0)),"CHECK"))</f>
        <v>Bengaluru</v>
      </c>
      <c r="AE880" s="7" t="str">
        <f aca="false">IF(TRIM(E880)="","",IFERROR(INDEX(Map_Tables!$H$4:$H$37,MATCH(TRIM(E880),Map_Tables!$G$4:$G$37,0)),"CHECK"))</f>
        <v>Wok &amp; Roll</v>
      </c>
      <c r="AF880" s="7" t="str">
        <f aca="false">IF(TRIM(K880)="","Unknown",IFERROR(INDEX(Map_Tables!$E$4:$E$15,MATCH(TRIM(K880),Map_Tables!$D$4:$D$15,0)),"CHECK"))</f>
        <v>Cash on Delivery</v>
      </c>
      <c r="AG880" s="7" t="str">
        <f aca="false">IF(LEFT(LOWER(TRIM(L880)),6)="cancel","Cancelled","Delivered")</f>
        <v>Delivered</v>
      </c>
      <c r="AH880" s="10" t="n">
        <f aca="false">IF(ISNUMBER(SEARCH("/",B880)),DATE(VALUE(RIGHT(B880,4)),VALUE(MID(B880,4,2)),VALUE(LEFT(B880,2))),IF(MID(B880,5,1)="-",DATE(VALUE(LEFT(B880,4)),VALUE(MID(B880,6,2)),VALUE(RIGHT(B880,2))),DATE(VALUE(RIGHT(B880,4)),MATCH(MID(B880,4,3),{"Jan","Feb","Mar","Apr","May","Jun","Jul","Aug","Sep","Oct","Nov","Dec"},0),VALUE(LEFT(B880,2)))))</f>
        <v>45827</v>
      </c>
    </row>
    <row r="881" customFormat="false" ht="15" hidden="false" customHeight="false" outlineLevel="0" collapsed="false">
      <c r="A881" s="7" t="s">
        <v>2768</v>
      </c>
      <c r="B881" s="7" t="s">
        <v>1223</v>
      </c>
      <c r="C881" s="7" t="s">
        <v>930</v>
      </c>
      <c r="D881" s="7" t="s">
        <v>1033</v>
      </c>
      <c r="E881" s="7" t="s">
        <v>130</v>
      </c>
      <c r="F881" s="7" t="s">
        <v>521</v>
      </c>
      <c r="G881" s="7" t="s">
        <v>90</v>
      </c>
      <c r="H881" s="7" t="n">
        <v>2</v>
      </c>
      <c r="I881" s="7" t="n">
        <v>230</v>
      </c>
      <c r="J881" s="7" t="n">
        <v>0</v>
      </c>
      <c r="K881" s="7" t="s">
        <v>88</v>
      </c>
      <c r="L881" s="7" t="s">
        <v>194</v>
      </c>
      <c r="M881" s="7" t="n">
        <v>41</v>
      </c>
      <c r="N881" s="7" t="n">
        <v>3</v>
      </c>
      <c r="O881" s="7" t="str">
        <f aca="false">A881&amp;"|"&amp;B881&amp;"|"&amp;C881&amp;"|"&amp;D881&amp;"|"&amp;E881&amp;"|"&amp;F881&amp;"|"&amp;G881&amp;"|"&amp;H881&amp;"|"&amp;I881&amp;"|"&amp;J881&amp;"|"&amp;K881&amp;"|"&amp;L881&amp;"|"&amp;M881&amp;"|"&amp;N881</f>
        <v>ORD11166|2025-05-28|20:56|C0097|Tandoor Tales|DELHI|North Indian|2|230|0|UPI|Delivered|41|3</v>
      </c>
      <c r="P881" s="7" t="str">
        <f aca="false">IF(COUNTIF($O$2:O881,O881)&gt;1,"DUP","OK")</f>
        <v>OK</v>
      </c>
      <c r="Q881" s="7" t="n">
        <f aca="false">COUNTBLANK(A881:N881)</f>
        <v>0</v>
      </c>
      <c r="R881" s="7" t="n">
        <f aca="false">IF(A881="",0,COUNTIFS($A$2:$A$3058,A881,$P$2:$P$3058,"OK"))</f>
        <v>1</v>
      </c>
      <c r="S881" s="7" t="str">
        <f aca="false">IF(OR(A881="",P881="DUP",R881&lt;2),"",IF(Q881=_xlfn.MINIFS($Q$2:$Q$3058,$A$2:$A$3058,A881,$P$2:$P$3058,"OK"),"KEEP","DROP"))</f>
        <v/>
      </c>
      <c r="T881" s="9" t="n">
        <f aca="false">IF(A881="",1,0)</f>
        <v>0</v>
      </c>
      <c r="U881" s="9" t="n">
        <f aca="false">IF(D881="",1,0)</f>
        <v>0</v>
      </c>
      <c r="V881" s="9" t="n">
        <f aca="false">IF(E881="",1,0)</f>
        <v>0</v>
      </c>
      <c r="W881" s="9" t="n">
        <f aca="false">IF(OR(H881&lt;1,H881&gt;10),1,0)</f>
        <v>0</v>
      </c>
      <c r="X881" s="9" t="n">
        <f aca="false">IF(OR(I881&lt;=0,I881&gt;1500),1,0)</f>
        <v>0</v>
      </c>
      <c r="Y881" s="9" t="n">
        <f aca="false">IF(J881&gt;H881*I881,1,0)</f>
        <v>0</v>
      </c>
      <c r="Z881" s="9" t="n">
        <f aca="false">IF(AND(N881&lt;&gt;"",OR(N881&lt;1,N881&gt;5)),1,0)</f>
        <v>0</v>
      </c>
      <c r="AA881" s="9" t="n">
        <f aca="false">IF(AND(M881&lt;&gt;"",OR(M881&lt;5,M881&gt;180)),1,0)</f>
        <v>0</v>
      </c>
      <c r="AB881" s="7" t="str">
        <f aca="false">IF(P881="DUP","Exact duplicate row",IF(T881=1,"Missing Order ID",IF(S881="DROP","Duplicate Order ID (less complete row)",IF(U881=1,"Missing Customer ID",IF(V881=1,"Missing Restaurant name",IF(W881=1,"Invalid/outlier quantity",IF(X881=1,"Invalid/outlier unit price",IF(Y881=1,"Discount greater than order value",""))))))))</f>
        <v/>
      </c>
      <c r="AC881" s="7" t="str">
        <f aca="false">IF(AB881="","KEEP","DROP")</f>
        <v>KEEP</v>
      </c>
      <c r="AD881" s="7" t="str">
        <f aca="false">IF(TRIM(F881)="",IFERROR(INDEX(Map_Tables!$I$4:$I$37,MATCH(TRIM(E881),Map_Tables!$G$4:$G$37,0)),""),IFERROR(INDEX(Map_Tables!$B$4:$B$18,MATCH(TRIM(F881),Map_Tables!$A$4:$A$18,0)),"CHECK"))</f>
        <v>Delhi</v>
      </c>
      <c r="AE881" s="7" t="str">
        <f aca="false">IF(TRIM(E881)="","",IFERROR(INDEX(Map_Tables!$H$4:$H$37,MATCH(TRIM(E881),Map_Tables!$G$4:$G$37,0)),"CHECK"))</f>
        <v>Tandoor Tales</v>
      </c>
      <c r="AF881" s="7" t="str">
        <f aca="false">IF(TRIM(K881)="","Unknown",IFERROR(INDEX(Map_Tables!$E$4:$E$15,MATCH(TRIM(K881),Map_Tables!$D$4:$D$15,0)),"CHECK"))</f>
        <v>UPI</v>
      </c>
      <c r="AG881" s="7" t="str">
        <f aca="false">IF(LEFT(LOWER(TRIM(L881)),6)="cancel","Cancelled","Delivered")</f>
        <v>Delivered</v>
      </c>
      <c r="AH881" s="10" t="n">
        <f aca="false">IF(ISNUMBER(SEARCH("/",B881)),DATE(VALUE(RIGHT(B881,4)),VALUE(MID(B881,4,2)),VALUE(LEFT(B881,2))),IF(MID(B881,5,1)="-",DATE(VALUE(LEFT(B881,4)),VALUE(MID(B881,6,2)),VALUE(RIGHT(B881,2))),DATE(VALUE(RIGHT(B881,4)),MATCH(MID(B881,4,3),{"Jan","Feb","Mar","Apr","May","Jun","Jul","Aug","Sep","Oct","Nov","Dec"},0),VALUE(LEFT(B881,2)))))</f>
        <v>45805</v>
      </c>
    </row>
    <row r="882" customFormat="false" ht="15" hidden="false" customHeight="false" outlineLevel="0" collapsed="false">
      <c r="A882" s="7" t="s">
        <v>2769</v>
      </c>
      <c r="B882" s="7" t="s">
        <v>1972</v>
      </c>
      <c r="C882" s="7" t="s">
        <v>2770</v>
      </c>
      <c r="D882" s="7" t="s">
        <v>293</v>
      </c>
      <c r="E882" s="7" t="s">
        <v>116</v>
      </c>
      <c r="F882" s="7" t="s">
        <v>101</v>
      </c>
      <c r="G882" s="7" t="s">
        <v>117</v>
      </c>
      <c r="H882" s="7" t="n">
        <v>1</v>
      </c>
      <c r="I882" s="7" t="n">
        <v>135</v>
      </c>
      <c r="J882" s="7" t="n">
        <v>20</v>
      </c>
      <c r="K882" s="7" t="s">
        <v>93</v>
      </c>
      <c r="L882" s="7" t="s">
        <v>194</v>
      </c>
      <c r="M882" s="7" t="n">
        <v>48</v>
      </c>
      <c r="N882" s="7" t="n">
        <v>5</v>
      </c>
      <c r="O882" s="7" t="str">
        <f aca="false">A882&amp;"|"&amp;B882&amp;"|"&amp;C882&amp;"|"&amp;D882&amp;"|"&amp;E882&amp;"|"&amp;F882&amp;"|"&amp;G882&amp;"|"&amp;H882&amp;"|"&amp;I882&amp;"|"&amp;J882&amp;"|"&amp;K882&amp;"|"&amp;L882&amp;"|"&amp;M882&amp;"|"&amp;N882</f>
        <v>ORD12649|2025-11-23|15:56|C1451|Pav Bhaji Point|Mumbai|Street Food|1|135|20|Credit Card|Delivered|48|5</v>
      </c>
      <c r="P882" s="7" t="str">
        <f aca="false">IF(COUNTIF($O$2:O882,O882)&gt;1,"DUP","OK")</f>
        <v>OK</v>
      </c>
      <c r="Q882" s="7" t="n">
        <f aca="false">COUNTBLANK(A882:N882)</f>
        <v>0</v>
      </c>
      <c r="R882" s="7" t="n">
        <f aca="false">IF(A882="",0,COUNTIFS($A$2:$A$3058,A882,$P$2:$P$3058,"OK"))</f>
        <v>1</v>
      </c>
      <c r="S882" s="7" t="str">
        <f aca="false">IF(OR(A882="",P882="DUP",R882&lt;2),"",IF(Q882=_xlfn.MINIFS($Q$2:$Q$3058,$A$2:$A$3058,A882,$P$2:$P$3058,"OK"),"KEEP","DROP"))</f>
        <v/>
      </c>
      <c r="T882" s="9" t="n">
        <f aca="false">IF(A882="",1,0)</f>
        <v>0</v>
      </c>
      <c r="U882" s="9" t="n">
        <f aca="false">IF(D882="",1,0)</f>
        <v>0</v>
      </c>
      <c r="V882" s="9" t="n">
        <f aca="false">IF(E882="",1,0)</f>
        <v>0</v>
      </c>
      <c r="W882" s="9" t="n">
        <f aca="false">IF(OR(H882&lt;1,H882&gt;10),1,0)</f>
        <v>0</v>
      </c>
      <c r="X882" s="9" t="n">
        <f aca="false">IF(OR(I882&lt;=0,I882&gt;1500),1,0)</f>
        <v>0</v>
      </c>
      <c r="Y882" s="9" t="n">
        <f aca="false">IF(J882&gt;H882*I882,1,0)</f>
        <v>0</v>
      </c>
      <c r="Z882" s="9" t="n">
        <f aca="false">IF(AND(N882&lt;&gt;"",OR(N882&lt;1,N882&gt;5)),1,0)</f>
        <v>0</v>
      </c>
      <c r="AA882" s="9" t="n">
        <f aca="false">IF(AND(M882&lt;&gt;"",OR(M882&lt;5,M882&gt;180)),1,0)</f>
        <v>0</v>
      </c>
      <c r="AB882" s="7" t="str">
        <f aca="false">IF(P882="DUP","Exact duplicate row",IF(T882=1,"Missing Order ID",IF(S882="DROP","Duplicate Order ID (less complete row)",IF(U882=1,"Missing Customer ID",IF(V882=1,"Missing Restaurant name",IF(W882=1,"Invalid/outlier quantity",IF(X882=1,"Invalid/outlier unit price",IF(Y882=1,"Discount greater than order value",""))))))))</f>
        <v/>
      </c>
      <c r="AC882" s="7" t="str">
        <f aca="false">IF(AB882="","KEEP","DROP")</f>
        <v>KEEP</v>
      </c>
      <c r="AD882" s="7" t="str">
        <f aca="false">IF(TRIM(F882)="",IFERROR(INDEX(Map_Tables!$I$4:$I$37,MATCH(TRIM(E882),Map_Tables!$G$4:$G$37,0)),""),IFERROR(INDEX(Map_Tables!$B$4:$B$18,MATCH(TRIM(F882),Map_Tables!$A$4:$A$18,0)),"CHECK"))</f>
        <v>Mumbai</v>
      </c>
      <c r="AE882" s="7" t="str">
        <f aca="false">IF(TRIM(E882)="","",IFERROR(INDEX(Map_Tables!$H$4:$H$37,MATCH(TRIM(E882),Map_Tables!$G$4:$G$37,0)),"CHECK"))</f>
        <v>Pav Bhaji Point</v>
      </c>
      <c r="AF882" s="7" t="str">
        <f aca="false">IF(TRIM(K882)="","Unknown",IFERROR(INDEX(Map_Tables!$E$4:$E$15,MATCH(TRIM(K882),Map_Tables!$D$4:$D$15,0)),"CHECK"))</f>
        <v>Credit Card</v>
      </c>
      <c r="AG882" s="7" t="str">
        <f aca="false">IF(LEFT(LOWER(TRIM(L882)),6)="cancel","Cancelled","Delivered")</f>
        <v>Delivered</v>
      </c>
      <c r="AH882" s="10" t="n">
        <f aca="false">IF(ISNUMBER(SEARCH("/",B882)),DATE(VALUE(RIGHT(B882,4)),VALUE(MID(B882,4,2)),VALUE(LEFT(B882,2))),IF(MID(B882,5,1)="-",DATE(VALUE(LEFT(B882,4)),VALUE(MID(B882,6,2)),VALUE(RIGHT(B882,2))),DATE(VALUE(RIGHT(B882,4)),MATCH(MID(B882,4,3),{"Jan","Feb","Mar","Apr","May","Jun","Jul","Aug","Sep","Oct","Nov","Dec"},0),VALUE(LEFT(B882,2)))))</f>
        <v>45984</v>
      </c>
    </row>
    <row r="883" customFormat="false" ht="15" hidden="false" customHeight="false" outlineLevel="0" collapsed="false">
      <c r="A883" s="7" t="s">
        <v>2771</v>
      </c>
      <c r="B883" s="7" t="s">
        <v>500</v>
      </c>
      <c r="C883" s="7" t="s">
        <v>2475</v>
      </c>
      <c r="D883" s="7" t="s">
        <v>2772</v>
      </c>
      <c r="E883" s="7" t="s">
        <v>94</v>
      </c>
      <c r="F883" s="7" t="s">
        <v>86</v>
      </c>
      <c r="G883" s="7" t="s">
        <v>95</v>
      </c>
      <c r="H883" s="7" t="n">
        <v>3</v>
      </c>
      <c r="I883" s="7" t="n">
        <v>90</v>
      </c>
      <c r="J883" s="7" t="n">
        <v>0</v>
      </c>
      <c r="K883" s="7" t="s">
        <v>88</v>
      </c>
      <c r="L883" s="7" t="s">
        <v>194</v>
      </c>
      <c r="M883" s="7" t="n">
        <v>42</v>
      </c>
      <c r="N883" s="7" t="n">
        <v>1</v>
      </c>
      <c r="O883" s="7" t="str">
        <f aca="false">A883&amp;"|"&amp;B883&amp;"|"&amp;C883&amp;"|"&amp;D883&amp;"|"&amp;E883&amp;"|"&amp;F883&amp;"|"&amp;G883&amp;"|"&amp;H883&amp;"|"&amp;I883&amp;"|"&amp;J883&amp;"|"&amp;K883&amp;"|"&amp;L883&amp;"|"&amp;M883&amp;"|"&amp;N883</f>
        <v>ORD11367|2025-06-24|22:54|C1204|Dosa Darbar|Bengaluru|South Indian|3|90|0|UPI|Delivered|42|1</v>
      </c>
      <c r="P883" s="7" t="str">
        <f aca="false">IF(COUNTIF($O$2:O883,O883)&gt;1,"DUP","OK")</f>
        <v>OK</v>
      </c>
      <c r="Q883" s="7" t="n">
        <f aca="false">COUNTBLANK(A883:N883)</f>
        <v>0</v>
      </c>
      <c r="R883" s="7" t="n">
        <f aca="false">IF(A883="",0,COUNTIFS($A$2:$A$3058,A883,$P$2:$P$3058,"OK"))</f>
        <v>1</v>
      </c>
      <c r="S883" s="7" t="str">
        <f aca="false">IF(OR(A883="",P883="DUP",R883&lt;2),"",IF(Q883=_xlfn.MINIFS($Q$2:$Q$3058,$A$2:$A$3058,A883,$P$2:$P$3058,"OK"),"KEEP","DROP"))</f>
        <v/>
      </c>
      <c r="T883" s="9" t="n">
        <f aca="false">IF(A883="",1,0)</f>
        <v>0</v>
      </c>
      <c r="U883" s="9" t="n">
        <f aca="false">IF(D883="",1,0)</f>
        <v>0</v>
      </c>
      <c r="V883" s="9" t="n">
        <f aca="false">IF(E883="",1,0)</f>
        <v>0</v>
      </c>
      <c r="W883" s="9" t="n">
        <f aca="false">IF(OR(H883&lt;1,H883&gt;10),1,0)</f>
        <v>0</v>
      </c>
      <c r="X883" s="9" t="n">
        <f aca="false">IF(OR(I883&lt;=0,I883&gt;1500),1,0)</f>
        <v>0</v>
      </c>
      <c r="Y883" s="9" t="n">
        <f aca="false">IF(J883&gt;H883*I883,1,0)</f>
        <v>0</v>
      </c>
      <c r="Z883" s="9" t="n">
        <f aca="false">IF(AND(N883&lt;&gt;"",OR(N883&lt;1,N883&gt;5)),1,0)</f>
        <v>0</v>
      </c>
      <c r="AA883" s="9" t="n">
        <f aca="false">IF(AND(M883&lt;&gt;"",OR(M883&lt;5,M883&gt;180)),1,0)</f>
        <v>0</v>
      </c>
      <c r="AB883" s="7" t="str">
        <f aca="false">IF(P883="DUP","Exact duplicate row",IF(T883=1,"Missing Order ID",IF(S883="DROP","Duplicate Order ID (less complete row)",IF(U883=1,"Missing Customer ID",IF(V883=1,"Missing Restaurant name",IF(W883=1,"Invalid/outlier quantity",IF(X883=1,"Invalid/outlier unit price",IF(Y883=1,"Discount greater than order value",""))))))))</f>
        <v/>
      </c>
      <c r="AC883" s="7" t="str">
        <f aca="false">IF(AB883="","KEEP","DROP")</f>
        <v>KEEP</v>
      </c>
      <c r="AD883" s="7" t="str">
        <f aca="false">IF(TRIM(F883)="",IFERROR(INDEX(Map_Tables!$I$4:$I$37,MATCH(TRIM(E883),Map_Tables!$G$4:$G$37,0)),""),IFERROR(INDEX(Map_Tables!$B$4:$B$18,MATCH(TRIM(F883),Map_Tables!$A$4:$A$18,0)),"CHECK"))</f>
        <v>Bengaluru</v>
      </c>
      <c r="AE883" s="7" t="str">
        <f aca="false">IF(TRIM(E883)="","",IFERROR(INDEX(Map_Tables!$H$4:$H$37,MATCH(TRIM(E883),Map_Tables!$G$4:$G$37,0)),"CHECK"))</f>
        <v>Dosa Darbar</v>
      </c>
      <c r="AF883" s="7" t="str">
        <f aca="false">IF(TRIM(K883)="","Unknown",IFERROR(INDEX(Map_Tables!$E$4:$E$15,MATCH(TRIM(K883),Map_Tables!$D$4:$D$15,0)),"CHECK"))</f>
        <v>UPI</v>
      </c>
      <c r="AG883" s="7" t="str">
        <f aca="false">IF(LEFT(LOWER(TRIM(L883)),6)="cancel","Cancelled","Delivered")</f>
        <v>Delivered</v>
      </c>
      <c r="AH883" s="10" t="n">
        <f aca="false">IF(ISNUMBER(SEARCH("/",B883)),DATE(VALUE(RIGHT(B883,4)),VALUE(MID(B883,4,2)),VALUE(LEFT(B883,2))),IF(MID(B883,5,1)="-",DATE(VALUE(LEFT(B883,4)),VALUE(MID(B883,6,2)),VALUE(RIGHT(B883,2))),DATE(VALUE(RIGHT(B883,4)),MATCH(MID(B883,4,3),{"Jan","Feb","Mar","Apr","May","Jun","Jul","Aug","Sep","Oct","Nov","Dec"},0),VALUE(LEFT(B883,2)))))</f>
        <v>45832</v>
      </c>
    </row>
    <row r="884" customFormat="false" ht="15" hidden="false" customHeight="false" outlineLevel="0" collapsed="false">
      <c r="A884" s="7" t="s">
        <v>2773</v>
      </c>
      <c r="B884" s="7" t="s">
        <v>2324</v>
      </c>
      <c r="C884" s="7" t="s">
        <v>1545</v>
      </c>
      <c r="D884" s="7" t="s">
        <v>1658</v>
      </c>
      <c r="E884" s="7" t="s">
        <v>154</v>
      </c>
      <c r="F884" s="7" t="s">
        <v>128</v>
      </c>
      <c r="G884" s="7" t="s">
        <v>99</v>
      </c>
      <c r="H884" s="7" t="n">
        <v>3</v>
      </c>
      <c r="I884" s="7" t="n">
        <v>260</v>
      </c>
      <c r="J884" s="7" t="n">
        <v>0</v>
      </c>
      <c r="K884" s="7" t="s">
        <v>121</v>
      </c>
      <c r="L884" s="7" t="s">
        <v>238</v>
      </c>
      <c r="M884" s="7"/>
      <c r="N884" s="7"/>
      <c r="O884" s="7" t="str">
        <f aca="false">A884&amp;"|"&amp;B884&amp;"|"&amp;C884&amp;"|"&amp;D884&amp;"|"&amp;E884&amp;"|"&amp;F884&amp;"|"&amp;G884&amp;"|"&amp;H884&amp;"|"&amp;I884&amp;"|"&amp;J884&amp;"|"&amp;K884&amp;"|"&amp;L884&amp;"|"&amp;M884&amp;"|"&amp;N884</f>
        <v>ORD12198|2025-10-06|22:02|C1233|Madras Biryani Co|Chennai|Biryani|3|260|0|Wallet|Cancelled||</v>
      </c>
      <c r="P884" s="7" t="str">
        <f aca="false">IF(COUNTIF($O$2:O884,O884)&gt;1,"DUP","OK")</f>
        <v>OK</v>
      </c>
      <c r="Q884" s="7" t="n">
        <f aca="false">COUNTBLANK(A884:N884)</f>
        <v>2</v>
      </c>
      <c r="R884" s="7" t="n">
        <f aca="false">IF(A884="",0,COUNTIFS($A$2:$A$3058,A884,$P$2:$P$3058,"OK"))</f>
        <v>1</v>
      </c>
      <c r="S884" s="7" t="str">
        <f aca="false">IF(OR(A884="",P884="DUP",R884&lt;2),"",IF(Q884=_xlfn.MINIFS($Q$2:$Q$3058,$A$2:$A$3058,A884,$P$2:$P$3058,"OK"),"KEEP","DROP"))</f>
        <v/>
      </c>
      <c r="T884" s="9" t="n">
        <f aca="false">IF(A884="",1,0)</f>
        <v>0</v>
      </c>
      <c r="U884" s="9" t="n">
        <f aca="false">IF(D884="",1,0)</f>
        <v>0</v>
      </c>
      <c r="V884" s="9" t="n">
        <f aca="false">IF(E884="",1,0)</f>
        <v>0</v>
      </c>
      <c r="W884" s="9" t="n">
        <f aca="false">IF(OR(H884&lt;1,H884&gt;10),1,0)</f>
        <v>0</v>
      </c>
      <c r="X884" s="9" t="n">
        <f aca="false">IF(OR(I884&lt;=0,I884&gt;1500),1,0)</f>
        <v>0</v>
      </c>
      <c r="Y884" s="9" t="n">
        <f aca="false">IF(J884&gt;H884*I884,1,0)</f>
        <v>0</v>
      </c>
      <c r="Z884" s="9" t="n">
        <f aca="false">IF(AND(N884&lt;&gt;"",OR(N884&lt;1,N884&gt;5)),1,0)</f>
        <v>0</v>
      </c>
      <c r="AA884" s="9" t="n">
        <f aca="false">IF(AND(M884&lt;&gt;"",OR(M884&lt;5,M884&gt;180)),1,0)</f>
        <v>0</v>
      </c>
      <c r="AB884" s="7" t="str">
        <f aca="false">IF(P884="DUP","Exact duplicate row",IF(T884=1,"Missing Order ID",IF(S884="DROP","Duplicate Order ID (less complete row)",IF(U884=1,"Missing Customer ID",IF(V884=1,"Missing Restaurant name",IF(W884=1,"Invalid/outlier quantity",IF(X884=1,"Invalid/outlier unit price",IF(Y884=1,"Discount greater than order value",""))))))))</f>
        <v/>
      </c>
      <c r="AC884" s="7" t="str">
        <f aca="false">IF(AB884="","KEEP","DROP")</f>
        <v>KEEP</v>
      </c>
      <c r="AD884" s="7" t="str">
        <f aca="false">IF(TRIM(F884)="",IFERROR(INDEX(Map_Tables!$I$4:$I$37,MATCH(TRIM(E884),Map_Tables!$G$4:$G$37,0)),""),IFERROR(INDEX(Map_Tables!$B$4:$B$18,MATCH(TRIM(F884),Map_Tables!$A$4:$A$18,0)),"CHECK"))</f>
        <v>Chennai</v>
      </c>
      <c r="AE884" s="7" t="str">
        <f aca="false">IF(TRIM(E884)="","",IFERROR(INDEX(Map_Tables!$H$4:$H$37,MATCH(TRIM(E884),Map_Tables!$G$4:$G$37,0)),"CHECK"))</f>
        <v>Madras Biryani Co</v>
      </c>
      <c r="AF884" s="7" t="str">
        <f aca="false">IF(TRIM(K884)="","Unknown",IFERROR(INDEX(Map_Tables!$E$4:$E$15,MATCH(TRIM(K884),Map_Tables!$D$4:$D$15,0)),"CHECK"))</f>
        <v>Wallet</v>
      </c>
      <c r="AG884" s="7" t="str">
        <f aca="false">IF(LEFT(LOWER(TRIM(L884)),6)="cancel","Cancelled","Delivered")</f>
        <v>Cancelled</v>
      </c>
      <c r="AH884" s="10" t="n">
        <f aca="false">IF(ISNUMBER(SEARCH("/",B884)),DATE(VALUE(RIGHT(B884,4)),VALUE(MID(B884,4,2)),VALUE(LEFT(B884,2))),IF(MID(B884,5,1)="-",DATE(VALUE(LEFT(B884,4)),VALUE(MID(B884,6,2)),VALUE(RIGHT(B884,2))),DATE(VALUE(RIGHT(B884,4)),MATCH(MID(B884,4,3),{"Jan","Feb","Mar","Apr","May","Jun","Jul","Aug","Sep","Oct","Nov","Dec"},0),VALUE(LEFT(B884,2)))))</f>
        <v>45936</v>
      </c>
    </row>
    <row r="885" customFormat="false" ht="15" hidden="false" customHeight="false" outlineLevel="0" collapsed="false">
      <c r="A885" s="7" t="s">
        <v>2774</v>
      </c>
      <c r="B885" s="7" t="s">
        <v>2609</v>
      </c>
      <c r="C885" s="7" t="s">
        <v>2775</v>
      </c>
      <c r="D885" s="7" t="s">
        <v>2776</v>
      </c>
      <c r="E885" s="7" t="s">
        <v>122</v>
      </c>
      <c r="F885" s="7" t="s">
        <v>101</v>
      </c>
      <c r="G885" s="7" t="s">
        <v>123</v>
      </c>
      <c r="H885" s="7" t="n">
        <v>3</v>
      </c>
      <c r="I885" s="7" t="n">
        <v>365</v>
      </c>
      <c r="J885" s="7" t="n">
        <v>20</v>
      </c>
      <c r="K885" s="7" t="s">
        <v>88</v>
      </c>
      <c r="L885" s="7" t="s">
        <v>194</v>
      </c>
      <c r="M885" s="7" t="n">
        <v>46</v>
      </c>
      <c r="N885" s="7" t="n">
        <v>3</v>
      </c>
      <c r="O885" s="7" t="str">
        <f aca="false">A885&amp;"|"&amp;B885&amp;"|"&amp;C885&amp;"|"&amp;D885&amp;"|"&amp;E885&amp;"|"&amp;F885&amp;"|"&amp;G885&amp;"|"&amp;H885&amp;"|"&amp;I885&amp;"|"&amp;J885&amp;"|"&amp;K885&amp;"|"&amp;L885&amp;"|"&amp;M885&amp;"|"&amp;N885</f>
        <v>ORD12238|11/10/2025|15:46|C0326|Mumbai Pizza Co|Mumbai|Pizza|3|365|20|UPI|Delivered|46|3</v>
      </c>
      <c r="P885" s="7" t="str">
        <f aca="false">IF(COUNTIF($O$2:O885,O885)&gt;1,"DUP","OK")</f>
        <v>OK</v>
      </c>
      <c r="Q885" s="7" t="n">
        <f aca="false">COUNTBLANK(A885:N885)</f>
        <v>0</v>
      </c>
      <c r="R885" s="7" t="n">
        <f aca="false">IF(A885="",0,COUNTIFS($A$2:$A$3058,A885,$P$2:$P$3058,"OK"))</f>
        <v>1</v>
      </c>
      <c r="S885" s="7" t="str">
        <f aca="false">IF(OR(A885="",P885="DUP",R885&lt;2),"",IF(Q885=_xlfn.MINIFS($Q$2:$Q$3058,$A$2:$A$3058,A885,$P$2:$P$3058,"OK"),"KEEP","DROP"))</f>
        <v/>
      </c>
      <c r="T885" s="9" t="n">
        <f aca="false">IF(A885="",1,0)</f>
        <v>0</v>
      </c>
      <c r="U885" s="9" t="n">
        <f aca="false">IF(D885="",1,0)</f>
        <v>0</v>
      </c>
      <c r="V885" s="9" t="n">
        <f aca="false">IF(E885="",1,0)</f>
        <v>0</v>
      </c>
      <c r="W885" s="9" t="n">
        <f aca="false">IF(OR(H885&lt;1,H885&gt;10),1,0)</f>
        <v>0</v>
      </c>
      <c r="X885" s="9" t="n">
        <f aca="false">IF(OR(I885&lt;=0,I885&gt;1500),1,0)</f>
        <v>0</v>
      </c>
      <c r="Y885" s="9" t="n">
        <f aca="false">IF(J885&gt;H885*I885,1,0)</f>
        <v>0</v>
      </c>
      <c r="Z885" s="9" t="n">
        <f aca="false">IF(AND(N885&lt;&gt;"",OR(N885&lt;1,N885&gt;5)),1,0)</f>
        <v>0</v>
      </c>
      <c r="AA885" s="9" t="n">
        <f aca="false">IF(AND(M885&lt;&gt;"",OR(M885&lt;5,M885&gt;180)),1,0)</f>
        <v>0</v>
      </c>
      <c r="AB885" s="7" t="str">
        <f aca="false">IF(P885="DUP","Exact duplicate row",IF(T885=1,"Missing Order ID",IF(S885="DROP","Duplicate Order ID (less complete row)",IF(U885=1,"Missing Customer ID",IF(V885=1,"Missing Restaurant name",IF(W885=1,"Invalid/outlier quantity",IF(X885=1,"Invalid/outlier unit price",IF(Y885=1,"Discount greater than order value",""))))))))</f>
        <v/>
      </c>
      <c r="AC885" s="7" t="str">
        <f aca="false">IF(AB885="","KEEP","DROP")</f>
        <v>KEEP</v>
      </c>
      <c r="AD885" s="7" t="str">
        <f aca="false">IF(TRIM(F885)="",IFERROR(INDEX(Map_Tables!$I$4:$I$37,MATCH(TRIM(E885),Map_Tables!$G$4:$G$37,0)),""),IFERROR(INDEX(Map_Tables!$B$4:$B$18,MATCH(TRIM(F885),Map_Tables!$A$4:$A$18,0)),"CHECK"))</f>
        <v>Mumbai</v>
      </c>
      <c r="AE885" s="7" t="str">
        <f aca="false">IF(TRIM(E885)="","",IFERROR(INDEX(Map_Tables!$H$4:$H$37,MATCH(TRIM(E885),Map_Tables!$G$4:$G$37,0)),"CHECK"))</f>
        <v>Mumbai Pizza Co</v>
      </c>
      <c r="AF885" s="7" t="str">
        <f aca="false">IF(TRIM(K885)="","Unknown",IFERROR(INDEX(Map_Tables!$E$4:$E$15,MATCH(TRIM(K885),Map_Tables!$D$4:$D$15,0)),"CHECK"))</f>
        <v>UPI</v>
      </c>
      <c r="AG885" s="7" t="str">
        <f aca="false">IF(LEFT(LOWER(TRIM(L885)),6)="cancel","Cancelled","Delivered")</f>
        <v>Delivered</v>
      </c>
      <c r="AH885" s="10" t="n">
        <f aca="false">IF(ISNUMBER(SEARCH("/",B885)),DATE(VALUE(RIGHT(B885,4)),VALUE(MID(B885,4,2)),VALUE(LEFT(B885,2))),IF(MID(B885,5,1)="-",DATE(VALUE(LEFT(B885,4)),VALUE(MID(B885,6,2)),VALUE(RIGHT(B885,2))),DATE(VALUE(RIGHT(B885,4)),MATCH(MID(B885,4,3),{"Jan","Feb","Mar","Apr","May","Jun","Jul","Aug","Sep","Oct","Nov","Dec"},0),VALUE(LEFT(B885,2)))))</f>
        <v>45941</v>
      </c>
    </row>
    <row r="886" customFormat="false" ht="15" hidden="false" customHeight="false" outlineLevel="0" collapsed="false">
      <c r="A886" s="7" t="s">
        <v>2777</v>
      </c>
      <c r="B886" s="7" t="s">
        <v>451</v>
      </c>
      <c r="C886" s="7" t="s">
        <v>2778</v>
      </c>
      <c r="D886" s="7" t="s">
        <v>2779</v>
      </c>
      <c r="E886" s="7" t="s">
        <v>113</v>
      </c>
      <c r="F886" s="7" t="s">
        <v>101</v>
      </c>
      <c r="G886" s="7" t="s">
        <v>90</v>
      </c>
      <c r="H886" s="7" t="n">
        <v>2</v>
      </c>
      <c r="I886" s="7" t="n">
        <v>265</v>
      </c>
      <c r="J886" s="7" t="n">
        <v>75</v>
      </c>
      <c r="K886" s="7" t="s">
        <v>133</v>
      </c>
      <c r="L886" s="7" t="s">
        <v>194</v>
      </c>
      <c r="M886" s="7" t="n">
        <v>52</v>
      </c>
      <c r="N886" s="7" t="n">
        <v>3</v>
      </c>
      <c r="O886" s="7" t="str">
        <f aca="false">A886&amp;"|"&amp;B886&amp;"|"&amp;C886&amp;"|"&amp;D886&amp;"|"&amp;E886&amp;"|"&amp;F886&amp;"|"&amp;G886&amp;"|"&amp;H886&amp;"|"&amp;I886&amp;"|"&amp;J886&amp;"|"&amp;K886&amp;"|"&amp;L886&amp;"|"&amp;M886&amp;"|"&amp;N886</f>
        <v>ORD11524|2025-07-17|14:40|C0553|Curry Leaf Kitchen|Mumbai|North Indian|2|265|75|Net Banking|Delivered|52|3</v>
      </c>
      <c r="P886" s="7" t="str">
        <f aca="false">IF(COUNTIF($O$2:O886,O886)&gt;1,"DUP","OK")</f>
        <v>OK</v>
      </c>
      <c r="Q886" s="7" t="n">
        <f aca="false">COUNTBLANK(A886:N886)</f>
        <v>0</v>
      </c>
      <c r="R886" s="7" t="n">
        <f aca="false">IF(A886="",0,COUNTIFS($A$2:$A$3058,A886,$P$2:$P$3058,"OK"))</f>
        <v>1</v>
      </c>
      <c r="S886" s="7" t="str">
        <f aca="false">IF(OR(A886="",P886="DUP",R886&lt;2),"",IF(Q886=_xlfn.MINIFS($Q$2:$Q$3058,$A$2:$A$3058,A886,$P$2:$P$3058,"OK"),"KEEP","DROP"))</f>
        <v/>
      </c>
      <c r="T886" s="9" t="n">
        <f aca="false">IF(A886="",1,0)</f>
        <v>0</v>
      </c>
      <c r="U886" s="9" t="n">
        <f aca="false">IF(D886="",1,0)</f>
        <v>0</v>
      </c>
      <c r="V886" s="9" t="n">
        <f aca="false">IF(E886="",1,0)</f>
        <v>0</v>
      </c>
      <c r="W886" s="9" t="n">
        <f aca="false">IF(OR(H886&lt;1,H886&gt;10),1,0)</f>
        <v>0</v>
      </c>
      <c r="X886" s="9" t="n">
        <f aca="false">IF(OR(I886&lt;=0,I886&gt;1500),1,0)</f>
        <v>0</v>
      </c>
      <c r="Y886" s="9" t="n">
        <f aca="false">IF(J886&gt;H886*I886,1,0)</f>
        <v>0</v>
      </c>
      <c r="Z886" s="9" t="n">
        <f aca="false">IF(AND(N886&lt;&gt;"",OR(N886&lt;1,N886&gt;5)),1,0)</f>
        <v>0</v>
      </c>
      <c r="AA886" s="9" t="n">
        <f aca="false">IF(AND(M886&lt;&gt;"",OR(M886&lt;5,M886&gt;180)),1,0)</f>
        <v>0</v>
      </c>
      <c r="AB886" s="7" t="str">
        <f aca="false">IF(P886="DUP","Exact duplicate row",IF(T886=1,"Missing Order ID",IF(S886="DROP","Duplicate Order ID (less complete row)",IF(U886=1,"Missing Customer ID",IF(V886=1,"Missing Restaurant name",IF(W886=1,"Invalid/outlier quantity",IF(X886=1,"Invalid/outlier unit price",IF(Y886=1,"Discount greater than order value",""))))))))</f>
        <v/>
      </c>
      <c r="AC886" s="7" t="str">
        <f aca="false">IF(AB886="","KEEP","DROP")</f>
        <v>KEEP</v>
      </c>
      <c r="AD886" s="7" t="str">
        <f aca="false">IF(TRIM(F886)="",IFERROR(INDEX(Map_Tables!$I$4:$I$37,MATCH(TRIM(E886),Map_Tables!$G$4:$G$37,0)),""),IFERROR(INDEX(Map_Tables!$B$4:$B$18,MATCH(TRIM(F886),Map_Tables!$A$4:$A$18,0)),"CHECK"))</f>
        <v>Mumbai</v>
      </c>
      <c r="AE886" s="7" t="str">
        <f aca="false">IF(TRIM(E886)="","",IFERROR(INDEX(Map_Tables!$H$4:$H$37,MATCH(TRIM(E886),Map_Tables!$G$4:$G$37,0)),"CHECK"))</f>
        <v>Curry Leaf Kitchen</v>
      </c>
      <c r="AF886" s="7" t="str">
        <f aca="false">IF(TRIM(K886)="","Unknown",IFERROR(INDEX(Map_Tables!$E$4:$E$15,MATCH(TRIM(K886),Map_Tables!$D$4:$D$15,0)),"CHECK"))</f>
        <v>Net Banking</v>
      </c>
      <c r="AG886" s="7" t="str">
        <f aca="false">IF(LEFT(LOWER(TRIM(L886)),6)="cancel","Cancelled","Delivered")</f>
        <v>Delivered</v>
      </c>
      <c r="AH886" s="10" t="n">
        <f aca="false">IF(ISNUMBER(SEARCH("/",B886)),DATE(VALUE(RIGHT(B886,4)),VALUE(MID(B886,4,2)),VALUE(LEFT(B886,2))),IF(MID(B886,5,1)="-",DATE(VALUE(LEFT(B886,4)),VALUE(MID(B886,6,2)),VALUE(RIGHT(B886,2))),DATE(VALUE(RIGHT(B886,4)),MATCH(MID(B886,4,3),{"Jan","Feb","Mar","Apr","May","Jun","Jul","Aug","Sep","Oct","Nov","Dec"},0),VALUE(LEFT(B886,2)))))</f>
        <v>45855</v>
      </c>
    </row>
    <row r="887" customFormat="false" ht="15" hidden="false" customHeight="false" outlineLevel="0" collapsed="false">
      <c r="A887" s="7" t="s">
        <v>2780</v>
      </c>
      <c r="B887" s="7" t="s">
        <v>1687</v>
      </c>
      <c r="C887" s="7" t="s">
        <v>2781</v>
      </c>
      <c r="D887" s="7" t="s">
        <v>1508</v>
      </c>
      <c r="E887" s="7" t="s">
        <v>138</v>
      </c>
      <c r="F887" s="7" t="s">
        <v>110</v>
      </c>
      <c r="G887" s="7" t="s">
        <v>139</v>
      </c>
      <c r="H887" s="7" t="n">
        <v>4</v>
      </c>
      <c r="I887" s="7" t="n">
        <v>130</v>
      </c>
      <c r="J887" s="7" t="n">
        <v>40</v>
      </c>
      <c r="K887" s="7" t="s">
        <v>88</v>
      </c>
      <c r="L887" s="7" t="s">
        <v>194</v>
      </c>
      <c r="M887" s="7" t="n">
        <v>42</v>
      </c>
      <c r="N887" s="7" t="n">
        <v>4</v>
      </c>
      <c r="O887" s="7" t="str">
        <f aca="false">A887&amp;"|"&amp;B887&amp;"|"&amp;C887&amp;"|"&amp;D887&amp;"|"&amp;E887&amp;"|"&amp;F887&amp;"|"&amp;G887&amp;"|"&amp;H887&amp;"|"&amp;I887&amp;"|"&amp;J887&amp;"|"&amp;K887&amp;"|"&amp;L887&amp;"|"&amp;M887&amp;"|"&amp;N887</f>
        <v>ORD10021|2025-01-04|13:19|C0337|Burger Barn|Delhi|Burgers|4|130|40|UPI|Delivered|42|4</v>
      </c>
      <c r="P887" s="7" t="str">
        <f aca="false">IF(COUNTIF($O$2:O887,O887)&gt;1,"DUP","OK")</f>
        <v>OK</v>
      </c>
      <c r="Q887" s="7" t="n">
        <f aca="false">COUNTBLANK(A887:N887)</f>
        <v>0</v>
      </c>
      <c r="R887" s="7" t="n">
        <f aca="false">IF(A887="",0,COUNTIFS($A$2:$A$3058,A887,$P$2:$P$3058,"OK"))</f>
        <v>1</v>
      </c>
      <c r="S887" s="7" t="str">
        <f aca="false">IF(OR(A887="",P887="DUP",R887&lt;2),"",IF(Q887=_xlfn.MINIFS($Q$2:$Q$3058,$A$2:$A$3058,A887,$P$2:$P$3058,"OK"),"KEEP","DROP"))</f>
        <v/>
      </c>
      <c r="T887" s="9" t="n">
        <f aca="false">IF(A887="",1,0)</f>
        <v>0</v>
      </c>
      <c r="U887" s="9" t="n">
        <f aca="false">IF(D887="",1,0)</f>
        <v>0</v>
      </c>
      <c r="V887" s="9" t="n">
        <f aca="false">IF(E887="",1,0)</f>
        <v>0</v>
      </c>
      <c r="W887" s="9" t="n">
        <f aca="false">IF(OR(H887&lt;1,H887&gt;10),1,0)</f>
        <v>0</v>
      </c>
      <c r="X887" s="9" t="n">
        <f aca="false">IF(OR(I887&lt;=0,I887&gt;1500),1,0)</f>
        <v>0</v>
      </c>
      <c r="Y887" s="9" t="n">
        <f aca="false">IF(J887&gt;H887*I887,1,0)</f>
        <v>0</v>
      </c>
      <c r="Z887" s="9" t="n">
        <f aca="false">IF(AND(N887&lt;&gt;"",OR(N887&lt;1,N887&gt;5)),1,0)</f>
        <v>0</v>
      </c>
      <c r="AA887" s="9" t="n">
        <f aca="false">IF(AND(M887&lt;&gt;"",OR(M887&lt;5,M887&gt;180)),1,0)</f>
        <v>0</v>
      </c>
      <c r="AB887" s="7" t="str">
        <f aca="false">IF(P887="DUP","Exact duplicate row",IF(T887=1,"Missing Order ID",IF(S887="DROP","Duplicate Order ID (less complete row)",IF(U887=1,"Missing Customer ID",IF(V887=1,"Missing Restaurant name",IF(W887=1,"Invalid/outlier quantity",IF(X887=1,"Invalid/outlier unit price",IF(Y887=1,"Discount greater than order value",""))))))))</f>
        <v/>
      </c>
      <c r="AC887" s="7" t="str">
        <f aca="false">IF(AB887="","KEEP","DROP")</f>
        <v>KEEP</v>
      </c>
      <c r="AD887" s="7" t="str">
        <f aca="false">IF(TRIM(F887)="",IFERROR(INDEX(Map_Tables!$I$4:$I$37,MATCH(TRIM(E887),Map_Tables!$G$4:$G$37,0)),""),IFERROR(INDEX(Map_Tables!$B$4:$B$18,MATCH(TRIM(F887),Map_Tables!$A$4:$A$18,0)),"CHECK"))</f>
        <v>Delhi</v>
      </c>
      <c r="AE887" s="7" t="str">
        <f aca="false">IF(TRIM(E887)="","",IFERROR(INDEX(Map_Tables!$H$4:$H$37,MATCH(TRIM(E887),Map_Tables!$G$4:$G$37,0)),"CHECK"))</f>
        <v>Burger Barn</v>
      </c>
      <c r="AF887" s="7" t="str">
        <f aca="false">IF(TRIM(K887)="","Unknown",IFERROR(INDEX(Map_Tables!$E$4:$E$15,MATCH(TRIM(K887),Map_Tables!$D$4:$D$15,0)),"CHECK"))</f>
        <v>UPI</v>
      </c>
      <c r="AG887" s="7" t="str">
        <f aca="false">IF(LEFT(LOWER(TRIM(L887)),6)="cancel","Cancelled","Delivered")</f>
        <v>Delivered</v>
      </c>
      <c r="AH887" s="10" t="n">
        <f aca="false">IF(ISNUMBER(SEARCH("/",B887)),DATE(VALUE(RIGHT(B887,4)),VALUE(MID(B887,4,2)),VALUE(LEFT(B887,2))),IF(MID(B887,5,1)="-",DATE(VALUE(LEFT(B887,4)),VALUE(MID(B887,6,2)),VALUE(RIGHT(B887,2))),DATE(VALUE(RIGHT(B887,4)),MATCH(MID(B887,4,3),{"Jan","Feb","Mar","Apr","May","Jun","Jul","Aug","Sep","Oct","Nov","Dec"},0),VALUE(LEFT(B887,2)))))</f>
        <v>45661</v>
      </c>
    </row>
    <row r="888" customFormat="false" ht="15" hidden="false" customHeight="false" outlineLevel="0" collapsed="false">
      <c r="A888" s="7" t="s">
        <v>2782</v>
      </c>
      <c r="B888" s="7" t="s">
        <v>318</v>
      </c>
      <c r="C888" s="7" t="s">
        <v>893</v>
      </c>
      <c r="D888" s="7" t="s">
        <v>2373</v>
      </c>
      <c r="E888" s="7" t="s">
        <v>104</v>
      </c>
      <c r="F888" s="7" t="s">
        <v>86</v>
      </c>
      <c r="G888" s="7" t="s">
        <v>105</v>
      </c>
      <c r="H888" s="7" t="n">
        <v>2</v>
      </c>
      <c r="I888" s="7" t="n">
        <v>215</v>
      </c>
      <c r="J888" s="7" t="n">
        <v>0</v>
      </c>
      <c r="K888" s="7" t="s">
        <v>88</v>
      </c>
      <c r="L888" s="7" t="s">
        <v>194</v>
      </c>
      <c r="M888" s="7" t="n">
        <v>51</v>
      </c>
      <c r="N888" s="7" t="n">
        <v>1</v>
      </c>
      <c r="O888" s="7" t="str">
        <f aca="false">A888&amp;"|"&amp;B888&amp;"|"&amp;C888&amp;"|"&amp;D888&amp;"|"&amp;E888&amp;"|"&amp;F888&amp;"|"&amp;G888&amp;"|"&amp;H888&amp;"|"&amp;I888&amp;"|"&amp;J888&amp;"|"&amp;K888&amp;"|"&amp;L888&amp;"|"&amp;M888&amp;"|"&amp;N888</f>
        <v>ORD10750|2025-04-05|21:15|C0039|Wok &amp; Roll|Bengaluru|Chinese|2|215|0|UPI|Delivered|51|1</v>
      </c>
      <c r="P888" s="7" t="str">
        <f aca="false">IF(COUNTIF($O$2:O888,O888)&gt;1,"DUP","OK")</f>
        <v>OK</v>
      </c>
      <c r="Q888" s="7" t="n">
        <f aca="false">COUNTBLANK(A888:N888)</f>
        <v>0</v>
      </c>
      <c r="R888" s="7" t="n">
        <f aca="false">IF(A888="",0,COUNTIFS($A$2:$A$3058,A888,$P$2:$P$3058,"OK"))</f>
        <v>1</v>
      </c>
      <c r="S888" s="7" t="str">
        <f aca="false">IF(OR(A888="",P888="DUP",R888&lt;2),"",IF(Q888=_xlfn.MINIFS($Q$2:$Q$3058,$A$2:$A$3058,A888,$P$2:$P$3058,"OK"),"KEEP","DROP"))</f>
        <v/>
      </c>
      <c r="T888" s="9" t="n">
        <f aca="false">IF(A888="",1,0)</f>
        <v>0</v>
      </c>
      <c r="U888" s="9" t="n">
        <f aca="false">IF(D888="",1,0)</f>
        <v>0</v>
      </c>
      <c r="V888" s="9" t="n">
        <f aca="false">IF(E888="",1,0)</f>
        <v>0</v>
      </c>
      <c r="W888" s="9" t="n">
        <f aca="false">IF(OR(H888&lt;1,H888&gt;10),1,0)</f>
        <v>0</v>
      </c>
      <c r="X888" s="9" t="n">
        <f aca="false">IF(OR(I888&lt;=0,I888&gt;1500),1,0)</f>
        <v>0</v>
      </c>
      <c r="Y888" s="9" t="n">
        <f aca="false">IF(J888&gt;H888*I888,1,0)</f>
        <v>0</v>
      </c>
      <c r="Z888" s="9" t="n">
        <f aca="false">IF(AND(N888&lt;&gt;"",OR(N888&lt;1,N888&gt;5)),1,0)</f>
        <v>0</v>
      </c>
      <c r="AA888" s="9" t="n">
        <f aca="false">IF(AND(M888&lt;&gt;"",OR(M888&lt;5,M888&gt;180)),1,0)</f>
        <v>0</v>
      </c>
      <c r="AB888" s="7" t="str">
        <f aca="false">IF(P888="DUP","Exact duplicate row",IF(T888=1,"Missing Order ID",IF(S888="DROP","Duplicate Order ID (less complete row)",IF(U888=1,"Missing Customer ID",IF(V888=1,"Missing Restaurant name",IF(W888=1,"Invalid/outlier quantity",IF(X888=1,"Invalid/outlier unit price",IF(Y888=1,"Discount greater than order value",""))))))))</f>
        <v/>
      </c>
      <c r="AC888" s="7" t="str">
        <f aca="false">IF(AB888="","KEEP","DROP")</f>
        <v>KEEP</v>
      </c>
      <c r="AD888" s="7" t="str">
        <f aca="false">IF(TRIM(F888)="",IFERROR(INDEX(Map_Tables!$I$4:$I$37,MATCH(TRIM(E888),Map_Tables!$G$4:$G$37,0)),""),IFERROR(INDEX(Map_Tables!$B$4:$B$18,MATCH(TRIM(F888),Map_Tables!$A$4:$A$18,0)),"CHECK"))</f>
        <v>Bengaluru</v>
      </c>
      <c r="AE888" s="7" t="str">
        <f aca="false">IF(TRIM(E888)="","",IFERROR(INDEX(Map_Tables!$H$4:$H$37,MATCH(TRIM(E888),Map_Tables!$G$4:$G$37,0)),"CHECK"))</f>
        <v>Wok &amp; Roll</v>
      </c>
      <c r="AF888" s="7" t="str">
        <f aca="false">IF(TRIM(K888)="","Unknown",IFERROR(INDEX(Map_Tables!$E$4:$E$15,MATCH(TRIM(K888),Map_Tables!$D$4:$D$15,0)),"CHECK"))</f>
        <v>UPI</v>
      </c>
      <c r="AG888" s="7" t="str">
        <f aca="false">IF(LEFT(LOWER(TRIM(L888)),6)="cancel","Cancelled","Delivered")</f>
        <v>Delivered</v>
      </c>
      <c r="AH888" s="10" t="n">
        <f aca="false">IF(ISNUMBER(SEARCH("/",B888)),DATE(VALUE(RIGHT(B888,4)),VALUE(MID(B888,4,2)),VALUE(LEFT(B888,2))),IF(MID(B888,5,1)="-",DATE(VALUE(LEFT(B888,4)),VALUE(MID(B888,6,2)),VALUE(RIGHT(B888,2))),DATE(VALUE(RIGHT(B888,4)),MATCH(MID(B888,4,3),{"Jan","Feb","Mar","Apr","May","Jun","Jul","Aug","Sep","Oct","Nov","Dec"},0),VALUE(LEFT(B888,2)))))</f>
        <v>45752</v>
      </c>
    </row>
    <row r="889" customFormat="false" ht="15" hidden="false" customHeight="false" outlineLevel="0" collapsed="false">
      <c r="A889" s="7" t="s">
        <v>2783</v>
      </c>
      <c r="B889" s="7" t="s">
        <v>1663</v>
      </c>
      <c r="C889" s="7" t="s">
        <v>191</v>
      </c>
      <c r="D889" s="7" t="s">
        <v>1777</v>
      </c>
      <c r="E889" s="7" t="s">
        <v>167</v>
      </c>
      <c r="F889" s="7" t="s">
        <v>901</v>
      </c>
      <c r="G889" s="7" t="s">
        <v>156</v>
      </c>
      <c r="H889" s="7" t="n">
        <v>2</v>
      </c>
      <c r="I889" s="7" t="n">
        <v>300</v>
      </c>
      <c r="J889" s="7" t="n">
        <v>100</v>
      </c>
      <c r="K889" s="7" t="s">
        <v>112</v>
      </c>
      <c r="L889" s="7" t="s">
        <v>194</v>
      </c>
      <c r="M889" s="7" t="n">
        <v>28</v>
      </c>
      <c r="N889" s="7"/>
      <c r="O889" s="7" t="str">
        <f aca="false">A889&amp;"|"&amp;B889&amp;"|"&amp;C889&amp;"|"&amp;D889&amp;"|"&amp;E889&amp;"|"&amp;F889&amp;"|"&amp;G889&amp;"|"&amp;H889&amp;"|"&amp;I889&amp;"|"&amp;J889&amp;"|"&amp;K889&amp;"|"&amp;L889&amp;"|"&amp;M889&amp;"|"&amp;N889</f>
        <v>ORD11078|2025-05-17|12:57|C0883|Fit Fuel Kitchen|AHMEDABAD|Healthy Food|2|300|100|Cash on Delivery|Delivered|28|</v>
      </c>
      <c r="P889" s="7" t="str">
        <f aca="false">IF(COUNTIF($O$2:O889,O889)&gt;1,"DUP","OK")</f>
        <v>OK</v>
      </c>
      <c r="Q889" s="7" t="n">
        <f aca="false">COUNTBLANK(A889:N889)</f>
        <v>1</v>
      </c>
      <c r="R889" s="7" t="n">
        <f aca="false">IF(A889="",0,COUNTIFS($A$2:$A$3058,A889,$P$2:$P$3058,"OK"))</f>
        <v>1</v>
      </c>
      <c r="S889" s="7" t="str">
        <f aca="false">IF(OR(A889="",P889="DUP",R889&lt;2),"",IF(Q889=_xlfn.MINIFS($Q$2:$Q$3058,$A$2:$A$3058,A889,$P$2:$P$3058,"OK"),"KEEP","DROP"))</f>
        <v/>
      </c>
      <c r="T889" s="9" t="n">
        <f aca="false">IF(A889="",1,0)</f>
        <v>0</v>
      </c>
      <c r="U889" s="9" t="n">
        <f aca="false">IF(D889="",1,0)</f>
        <v>0</v>
      </c>
      <c r="V889" s="9" t="n">
        <f aca="false">IF(E889="",1,0)</f>
        <v>0</v>
      </c>
      <c r="W889" s="9" t="n">
        <f aca="false">IF(OR(H889&lt;1,H889&gt;10),1,0)</f>
        <v>0</v>
      </c>
      <c r="X889" s="9" t="n">
        <f aca="false">IF(OR(I889&lt;=0,I889&gt;1500),1,0)</f>
        <v>0</v>
      </c>
      <c r="Y889" s="9" t="n">
        <f aca="false">IF(J889&gt;H889*I889,1,0)</f>
        <v>0</v>
      </c>
      <c r="Z889" s="9" t="n">
        <f aca="false">IF(AND(N889&lt;&gt;"",OR(N889&lt;1,N889&gt;5)),1,0)</f>
        <v>0</v>
      </c>
      <c r="AA889" s="9" t="n">
        <f aca="false">IF(AND(M889&lt;&gt;"",OR(M889&lt;5,M889&gt;180)),1,0)</f>
        <v>0</v>
      </c>
      <c r="AB889" s="7" t="str">
        <f aca="false">IF(P889="DUP","Exact duplicate row",IF(T889=1,"Missing Order ID",IF(S889="DROP","Duplicate Order ID (less complete row)",IF(U889=1,"Missing Customer ID",IF(V889=1,"Missing Restaurant name",IF(W889=1,"Invalid/outlier quantity",IF(X889=1,"Invalid/outlier unit price",IF(Y889=1,"Discount greater than order value",""))))))))</f>
        <v/>
      </c>
      <c r="AC889" s="7" t="str">
        <f aca="false">IF(AB889="","KEEP","DROP")</f>
        <v>KEEP</v>
      </c>
      <c r="AD889" s="7" t="str">
        <f aca="false">IF(TRIM(F889)="",IFERROR(INDEX(Map_Tables!$I$4:$I$37,MATCH(TRIM(E889),Map_Tables!$G$4:$G$37,0)),""),IFERROR(INDEX(Map_Tables!$B$4:$B$18,MATCH(TRIM(F889),Map_Tables!$A$4:$A$18,0)),"CHECK"))</f>
        <v>Ahmedabad</v>
      </c>
      <c r="AE889" s="7" t="str">
        <f aca="false">IF(TRIM(E889)="","",IFERROR(INDEX(Map_Tables!$H$4:$H$37,MATCH(TRIM(E889),Map_Tables!$G$4:$G$37,0)),"CHECK"))</f>
        <v>Fit Fuel Kitchen</v>
      </c>
      <c r="AF889" s="7" t="str">
        <f aca="false">IF(TRIM(K889)="","Unknown",IFERROR(INDEX(Map_Tables!$E$4:$E$15,MATCH(TRIM(K889),Map_Tables!$D$4:$D$15,0)),"CHECK"))</f>
        <v>Cash on Delivery</v>
      </c>
      <c r="AG889" s="7" t="str">
        <f aca="false">IF(LEFT(LOWER(TRIM(L889)),6)="cancel","Cancelled","Delivered")</f>
        <v>Delivered</v>
      </c>
      <c r="AH889" s="10" t="n">
        <f aca="false">IF(ISNUMBER(SEARCH("/",B889)),DATE(VALUE(RIGHT(B889,4)),VALUE(MID(B889,4,2)),VALUE(LEFT(B889,2))),IF(MID(B889,5,1)="-",DATE(VALUE(LEFT(B889,4)),VALUE(MID(B889,6,2)),VALUE(RIGHT(B889,2))),DATE(VALUE(RIGHT(B889,4)),MATCH(MID(B889,4,3),{"Jan","Feb","Mar","Apr","May","Jun","Jul","Aug","Sep","Oct","Nov","Dec"},0),VALUE(LEFT(B889,2)))))</f>
        <v>45794</v>
      </c>
    </row>
    <row r="890" customFormat="false" ht="15" hidden="false" customHeight="false" outlineLevel="0" collapsed="false">
      <c r="A890" s="7" t="s">
        <v>2784</v>
      </c>
      <c r="B890" s="7" t="s">
        <v>2348</v>
      </c>
      <c r="C890" s="7" t="s">
        <v>2785</v>
      </c>
      <c r="D890" s="7" t="s">
        <v>2786</v>
      </c>
      <c r="E890" s="7" t="s">
        <v>142</v>
      </c>
      <c r="F890" s="7" t="s">
        <v>110</v>
      </c>
      <c r="G890" s="7" t="s">
        <v>105</v>
      </c>
      <c r="H890" s="7" t="n">
        <v>2</v>
      </c>
      <c r="I890" s="7" t="n">
        <v>160</v>
      </c>
      <c r="J890" s="7" t="n">
        <v>30</v>
      </c>
      <c r="K890" s="7" t="s">
        <v>87</v>
      </c>
      <c r="L890" s="7" t="s">
        <v>194</v>
      </c>
      <c r="M890" s="7" t="n">
        <v>51</v>
      </c>
      <c r="N890" s="7" t="n">
        <v>2</v>
      </c>
      <c r="O890" s="7" t="str">
        <f aca="false">A890&amp;"|"&amp;B890&amp;"|"&amp;C890&amp;"|"&amp;D890&amp;"|"&amp;E890&amp;"|"&amp;F890&amp;"|"&amp;G890&amp;"|"&amp;H890&amp;"|"&amp;I890&amp;"|"&amp;J890&amp;"|"&amp;K890&amp;"|"&amp;L890&amp;"|"&amp;M890&amp;"|"&amp;N890</f>
        <v>ORD10118|2025-01-15|21:44|C0023|Momo Magic|Delhi|Chinese|2|160|30|upi|Delivered|51|2</v>
      </c>
      <c r="P890" s="7" t="str">
        <f aca="false">IF(COUNTIF($O$2:O890,O890)&gt;1,"DUP","OK")</f>
        <v>OK</v>
      </c>
      <c r="Q890" s="7" t="n">
        <f aca="false">COUNTBLANK(A890:N890)</f>
        <v>0</v>
      </c>
      <c r="R890" s="7" t="n">
        <f aca="false">IF(A890="",0,COUNTIFS($A$2:$A$3058,A890,$P$2:$P$3058,"OK"))</f>
        <v>1</v>
      </c>
      <c r="S890" s="7" t="str">
        <f aca="false">IF(OR(A890="",P890="DUP",R890&lt;2),"",IF(Q890=_xlfn.MINIFS($Q$2:$Q$3058,$A$2:$A$3058,A890,$P$2:$P$3058,"OK"),"KEEP","DROP"))</f>
        <v/>
      </c>
      <c r="T890" s="9" t="n">
        <f aca="false">IF(A890="",1,0)</f>
        <v>0</v>
      </c>
      <c r="U890" s="9" t="n">
        <f aca="false">IF(D890="",1,0)</f>
        <v>0</v>
      </c>
      <c r="V890" s="9" t="n">
        <f aca="false">IF(E890="",1,0)</f>
        <v>0</v>
      </c>
      <c r="W890" s="9" t="n">
        <f aca="false">IF(OR(H890&lt;1,H890&gt;10),1,0)</f>
        <v>0</v>
      </c>
      <c r="X890" s="9" t="n">
        <f aca="false">IF(OR(I890&lt;=0,I890&gt;1500),1,0)</f>
        <v>0</v>
      </c>
      <c r="Y890" s="9" t="n">
        <f aca="false">IF(J890&gt;H890*I890,1,0)</f>
        <v>0</v>
      </c>
      <c r="Z890" s="9" t="n">
        <f aca="false">IF(AND(N890&lt;&gt;"",OR(N890&lt;1,N890&gt;5)),1,0)</f>
        <v>0</v>
      </c>
      <c r="AA890" s="9" t="n">
        <f aca="false">IF(AND(M890&lt;&gt;"",OR(M890&lt;5,M890&gt;180)),1,0)</f>
        <v>0</v>
      </c>
      <c r="AB890" s="7" t="str">
        <f aca="false">IF(P890="DUP","Exact duplicate row",IF(T890=1,"Missing Order ID",IF(S890="DROP","Duplicate Order ID (less complete row)",IF(U890=1,"Missing Customer ID",IF(V890=1,"Missing Restaurant name",IF(W890=1,"Invalid/outlier quantity",IF(X890=1,"Invalid/outlier unit price",IF(Y890=1,"Discount greater than order value",""))))))))</f>
        <v/>
      </c>
      <c r="AC890" s="7" t="str">
        <f aca="false">IF(AB890="","KEEP","DROP")</f>
        <v>KEEP</v>
      </c>
      <c r="AD890" s="7" t="str">
        <f aca="false">IF(TRIM(F890)="",IFERROR(INDEX(Map_Tables!$I$4:$I$37,MATCH(TRIM(E890),Map_Tables!$G$4:$G$37,0)),""),IFERROR(INDEX(Map_Tables!$B$4:$B$18,MATCH(TRIM(F890),Map_Tables!$A$4:$A$18,0)),"CHECK"))</f>
        <v>Delhi</v>
      </c>
      <c r="AE890" s="7" t="str">
        <f aca="false">IF(TRIM(E890)="","",IFERROR(INDEX(Map_Tables!$H$4:$H$37,MATCH(TRIM(E890),Map_Tables!$G$4:$G$37,0)),"CHECK"))</f>
        <v>Momo Magic</v>
      </c>
      <c r="AF890" s="7" t="str">
        <f aca="false">IF(TRIM(K890)="","Unknown",IFERROR(INDEX(Map_Tables!$E$4:$E$15,MATCH(TRIM(K890),Map_Tables!$D$4:$D$15,0)),"CHECK"))</f>
        <v>UPI</v>
      </c>
      <c r="AG890" s="7" t="str">
        <f aca="false">IF(LEFT(LOWER(TRIM(L890)),6)="cancel","Cancelled","Delivered")</f>
        <v>Delivered</v>
      </c>
      <c r="AH890" s="10" t="n">
        <f aca="false">IF(ISNUMBER(SEARCH("/",B890)),DATE(VALUE(RIGHT(B890,4)),VALUE(MID(B890,4,2)),VALUE(LEFT(B890,2))),IF(MID(B890,5,1)="-",DATE(VALUE(LEFT(B890,4)),VALUE(MID(B890,6,2)),VALUE(RIGHT(B890,2))),DATE(VALUE(RIGHT(B890,4)),MATCH(MID(B890,4,3),{"Jan","Feb","Mar","Apr","May","Jun","Jul","Aug","Sep","Oct","Nov","Dec"},0),VALUE(LEFT(B890,2)))))</f>
        <v>45672</v>
      </c>
    </row>
    <row r="891" customFormat="false" ht="15" hidden="false" customHeight="false" outlineLevel="0" collapsed="false">
      <c r="A891" s="7" t="s">
        <v>2787</v>
      </c>
      <c r="B891" s="7" t="s">
        <v>1287</v>
      </c>
      <c r="C891" s="7" t="s">
        <v>2743</v>
      </c>
      <c r="D891" s="7" t="s">
        <v>2788</v>
      </c>
      <c r="E891" s="7" t="s">
        <v>144</v>
      </c>
      <c r="F891" s="7" t="s">
        <v>119</v>
      </c>
      <c r="G891" s="7" t="s">
        <v>99</v>
      </c>
      <c r="H891" s="7" t="n">
        <v>3</v>
      </c>
      <c r="I891" s="7" t="n">
        <v>300</v>
      </c>
      <c r="J891" s="7" t="n">
        <v>125</v>
      </c>
      <c r="K891" s="7" t="s">
        <v>112</v>
      </c>
      <c r="L891" s="7" t="s">
        <v>194</v>
      </c>
      <c r="M891" s="7" t="n">
        <v>31</v>
      </c>
      <c r="N891" s="7" t="n">
        <v>4</v>
      </c>
      <c r="O891" s="7" t="str">
        <f aca="false">A891&amp;"|"&amp;B891&amp;"|"&amp;C891&amp;"|"&amp;D891&amp;"|"&amp;E891&amp;"|"&amp;F891&amp;"|"&amp;G891&amp;"|"&amp;H891&amp;"|"&amp;I891&amp;"|"&amp;J891&amp;"|"&amp;K891&amp;"|"&amp;L891&amp;"|"&amp;M891&amp;"|"&amp;N891</f>
        <v>ORD12949|2025-12-26|12:51|C0335|Hyderabad Dum Biryani|Hyderabad|Biryani|3|300|125|Cash on Delivery|Delivered|31|4</v>
      </c>
      <c r="P891" s="7" t="str">
        <f aca="false">IF(COUNTIF($O$2:O891,O891)&gt;1,"DUP","OK")</f>
        <v>OK</v>
      </c>
      <c r="Q891" s="7" t="n">
        <f aca="false">COUNTBLANK(A891:N891)</f>
        <v>0</v>
      </c>
      <c r="R891" s="7" t="n">
        <f aca="false">IF(A891="",0,COUNTIFS($A$2:$A$3058,A891,$P$2:$P$3058,"OK"))</f>
        <v>1</v>
      </c>
      <c r="S891" s="7" t="str">
        <f aca="false">IF(OR(A891="",P891="DUP",R891&lt;2),"",IF(Q891=_xlfn.MINIFS($Q$2:$Q$3058,$A$2:$A$3058,A891,$P$2:$P$3058,"OK"),"KEEP","DROP"))</f>
        <v/>
      </c>
      <c r="T891" s="9" t="n">
        <f aca="false">IF(A891="",1,0)</f>
        <v>0</v>
      </c>
      <c r="U891" s="9" t="n">
        <f aca="false">IF(D891="",1,0)</f>
        <v>0</v>
      </c>
      <c r="V891" s="9" t="n">
        <f aca="false">IF(E891="",1,0)</f>
        <v>0</v>
      </c>
      <c r="W891" s="9" t="n">
        <f aca="false">IF(OR(H891&lt;1,H891&gt;10),1,0)</f>
        <v>0</v>
      </c>
      <c r="X891" s="9" t="n">
        <f aca="false">IF(OR(I891&lt;=0,I891&gt;1500),1,0)</f>
        <v>0</v>
      </c>
      <c r="Y891" s="9" t="n">
        <f aca="false">IF(J891&gt;H891*I891,1,0)</f>
        <v>0</v>
      </c>
      <c r="Z891" s="9" t="n">
        <f aca="false">IF(AND(N891&lt;&gt;"",OR(N891&lt;1,N891&gt;5)),1,0)</f>
        <v>0</v>
      </c>
      <c r="AA891" s="9" t="n">
        <f aca="false">IF(AND(M891&lt;&gt;"",OR(M891&lt;5,M891&gt;180)),1,0)</f>
        <v>0</v>
      </c>
      <c r="AB891" s="7" t="str">
        <f aca="false">IF(P891="DUP","Exact duplicate row",IF(T891=1,"Missing Order ID",IF(S891="DROP","Duplicate Order ID (less complete row)",IF(U891=1,"Missing Customer ID",IF(V891=1,"Missing Restaurant name",IF(W891=1,"Invalid/outlier quantity",IF(X891=1,"Invalid/outlier unit price",IF(Y891=1,"Discount greater than order value",""))))))))</f>
        <v/>
      </c>
      <c r="AC891" s="7" t="str">
        <f aca="false">IF(AB891="","KEEP","DROP")</f>
        <v>KEEP</v>
      </c>
      <c r="AD891" s="7" t="str">
        <f aca="false">IF(TRIM(F891)="",IFERROR(INDEX(Map_Tables!$I$4:$I$37,MATCH(TRIM(E891),Map_Tables!$G$4:$G$37,0)),""),IFERROR(INDEX(Map_Tables!$B$4:$B$18,MATCH(TRIM(F891),Map_Tables!$A$4:$A$18,0)),"CHECK"))</f>
        <v>Hyderabad</v>
      </c>
      <c r="AE891" s="7" t="str">
        <f aca="false">IF(TRIM(E891)="","",IFERROR(INDEX(Map_Tables!$H$4:$H$37,MATCH(TRIM(E891),Map_Tables!$G$4:$G$37,0)),"CHECK"))</f>
        <v>Hyderabad Dum Biryani</v>
      </c>
      <c r="AF891" s="7" t="str">
        <f aca="false">IF(TRIM(K891)="","Unknown",IFERROR(INDEX(Map_Tables!$E$4:$E$15,MATCH(TRIM(K891),Map_Tables!$D$4:$D$15,0)),"CHECK"))</f>
        <v>Cash on Delivery</v>
      </c>
      <c r="AG891" s="7" t="str">
        <f aca="false">IF(LEFT(LOWER(TRIM(L891)),6)="cancel","Cancelled","Delivered")</f>
        <v>Delivered</v>
      </c>
      <c r="AH891" s="10" t="n">
        <f aca="false">IF(ISNUMBER(SEARCH("/",B891)),DATE(VALUE(RIGHT(B891,4)),VALUE(MID(B891,4,2)),VALUE(LEFT(B891,2))),IF(MID(B891,5,1)="-",DATE(VALUE(LEFT(B891,4)),VALUE(MID(B891,6,2)),VALUE(RIGHT(B891,2))),DATE(VALUE(RIGHT(B891,4)),MATCH(MID(B891,4,3),{"Jan","Feb","Mar","Apr","May","Jun","Jul","Aug","Sep","Oct","Nov","Dec"},0),VALUE(LEFT(B891,2)))))</f>
        <v>46017</v>
      </c>
    </row>
    <row r="892" customFormat="false" ht="15" hidden="false" customHeight="false" outlineLevel="0" collapsed="false">
      <c r="A892" s="7" t="s">
        <v>2789</v>
      </c>
      <c r="B892" s="7" t="s">
        <v>1223</v>
      </c>
      <c r="C892" s="7" t="s">
        <v>559</v>
      </c>
      <c r="D892" s="7" t="s">
        <v>1088</v>
      </c>
      <c r="E892" s="7" t="s">
        <v>161</v>
      </c>
      <c r="F892" s="7" t="s">
        <v>141</v>
      </c>
      <c r="G892" s="7" t="s">
        <v>117</v>
      </c>
      <c r="H892" s="7" t="n">
        <v>1</v>
      </c>
      <c r="I892" s="7" t="n">
        <v>135</v>
      </c>
      <c r="J892" s="7" t="n">
        <v>0</v>
      </c>
      <c r="K892" s="7" t="s">
        <v>121</v>
      </c>
      <c r="L892" s="7" t="s">
        <v>194</v>
      </c>
      <c r="M892" s="7" t="n">
        <v>50</v>
      </c>
      <c r="N892" s="7" t="n">
        <v>3</v>
      </c>
      <c r="O892" s="7" t="str">
        <f aca="false">A892&amp;"|"&amp;B892&amp;"|"&amp;C892&amp;"|"&amp;D892&amp;"|"&amp;E892&amp;"|"&amp;F892&amp;"|"&amp;G892&amp;"|"&amp;H892&amp;"|"&amp;I892&amp;"|"&amp;J892&amp;"|"&amp;K892&amp;"|"&amp;L892&amp;"|"&amp;M892&amp;"|"&amp;N892</f>
        <v>ORD11165|2025-05-28|20:25|C1191|Bengal Bites|Kolkata|Street Food|1|135|0|Wallet|Delivered|50|3</v>
      </c>
      <c r="P892" s="7" t="str">
        <f aca="false">IF(COUNTIF($O$2:O892,O892)&gt;1,"DUP","OK")</f>
        <v>OK</v>
      </c>
      <c r="Q892" s="7" t="n">
        <f aca="false">COUNTBLANK(A892:N892)</f>
        <v>0</v>
      </c>
      <c r="R892" s="7" t="n">
        <f aca="false">IF(A892="",0,COUNTIFS($A$2:$A$3058,A892,$P$2:$P$3058,"OK"))</f>
        <v>1</v>
      </c>
      <c r="S892" s="7" t="str">
        <f aca="false">IF(OR(A892="",P892="DUP",R892&lt;2),"",IF(Q892=_xlfn.MINIFS($Q$2:$Q$3058,$A$2:$A$3058,A892,$P$2:$P$3058,"OK"),"KEEP","DROP"))</f>
        <v/>
      </c>
      <c r="T892" s="9" t="n">
        <f aca="false">IF(A892="",1,0)</f>
        <v>0</v>
      </c>
      <c r="U892" s="9" t="n">
        <f aca="false">IF(D892="",1,0)</f>
        <v>0</v>
      </c>
      <c r="V892" s="9" t="n">
        <f aca="false">IF(E892="",1,0)</f>
        <v>0</v>
      </c>
      <c r="W892" s="9" t="n">
        <f aca="false">IF(OR(H892&lt;1,H892&gt;10),1,0)</f>
        <v>0</v>
      </c>
      <c r="X892" s="9" t="n">
        <f aca="false">IF(OR(I892&lt;=0,I892&gt;1500),1,0)</f>
        <v>0</v>
      </c>
      <c r="Y892" s="9" t="n">
        <f aca="false">IF(J892&gt;H892*I892,1,0)</f>
        <v>0</v>
      </c>
      <c r="Z892" s="9" t="n">
        <f aca="false">IF(AND(N892&lt;&gt;"",OR(N892&lt;1,N892&gt;5)),1,0)</f>
        <v>0</v>
      </c>
      <c r="AA892" s="9" t="n">
        <f aca="false">IF(AND(M892&lt;&gt;"",OR(M892&lt;5,M892&gt;180)),1,0)</f>
        <v>0</v>
      </c>
      <c r="AB892" s="7" t="str">
        <f aca="false">IF(P892="DUP","Exact duplicate row",IF(T892=1,"Missing Order ID",IF(S892="DROP","Duplicate Order ID (less complete row)",IF(U892=1,"Missing Customer ID",IF(V892=1,"Missing Restaurant name",IF(W892=1,"Invalid/outlier quantity",IF(X892=1,"Invalid/outlier unit price",IF(Y892=1,"Discount greater than order value",""))))))))</f>
        <v/>
      </c>
      <c r="AC892" s="7" t="str">
        <f aca="false">IF(AB892="","KEEP","DROP")</f>
        <v>KEEP</v>
      </c>
      <c r="AD892" s="7" t="str">
        <f aca="false">IF(TRIM(F892)="",IFERROR(INDEX(Map_Tables!$I$4:$I$37,MATCH(TRIM(E892),Map_Tables!$G$4:$G$37,0)),""),IFERROR(INDEX(Map_Tables!$B$4:$B$18,MATCH(TRIM(F892),Map_Tables!$A$4:$A$18,0)),"CHECK"))</f>
        <v>Kolkata</v>
      </c>
      <c r="AE892" s="7" t="str">
        <f aca="false">IF(TRIM(E892)="","",IFERROR(INDEX(Map_Tables!$H$4:$H$37,MATCH(TRIM(E892),Map_Tables!$G$4:$G$37,0)),"CHECK"))</f>
        <v>Bengal Bites</v>
      </c>
      <c r="AF892" s="7" t="str">
        <f aca="false">IF(TRIM(K892)="","Unknown",IFERROR(INDEX(Map_Tables!$E$4:$E$15,MATCH(TRIM(K892),Map_Tables!$D$4:$D$15,0)),"CHECK"))</f>
        <v>Wallet</v>
      </c>
      <c r="AG892" s="7" t="str">
        <f aca="false">IF(LEFT(LOWER(TRIM(L892)),6)="cancel","Cancelled","Delivered")</f>
        <v>Delivered</v>
      </c>
      <c r="AH892" s="10" t="n">
        <f aca="false">IF(ISNUMBER(SEARCH("/",B892)),DATE(VALUE(RIGHT(B892,4)),VALUE(MID(B892,4,2)),VALUE(LEFT(B892,2))),IF(MID(B892,5,1)="-",DATE(VALUE(LEFT(B892,4)),VALUE(MID(B892,6,2)),VALUE(RIGHT(B892,2))),DATE(VALUE(RIGHT(B892,4)),MATCH(MID(B892,4,3),{"Jan","Feb","Mar","Apr","May","Jun","Jul","Aug","Sep","Oct","Nov","Dec"},0),VALUE(LEFT(B892,2)))))</f>
        <v>45805</v>
      </c>
    </row>
    <row r="893" customFormat="false" ht="15" hidden="false" customHeight="false" outlineLevel="0" collapsed="false">
      <c r="A893" s="7" t="s">
        <v>2790</v>
      </c>
      <c r="B893" s="7" t="s">
        <v>364</v>
      </c>
      <c r="C893" s="7" t="s">
        <v>2791</v>
      </c>
      <c r="D893" s="7" t="s">
        <v>2792</v>
      </c>
      <c r="E893" s="7" t="s">
        <v>168</v>
      </c>
      <c r="F893" s="7" t="s">
        <v>901</v>
      </c>
      <c r="G893" s="7" t="s">
        <v>123</v>
      </c>
      <c r="H893" s="7" t="n">
        <v>1</v>
      </c>
      <c r="I893" s="7" t="n">
        <v>350</v>
      </c>
      <c r="J893" s="7" t="n">
        <v>30</v>
      </c>
      <c r="K893" s="7" t="s">
        <v>88</v>
      </c>
      <c r="L893" s="7" t="s">
        <v>194</v>
      </c>
      <c r="M893" s="7" t="n">
        <v>22</v>
      </c>
      <c r="N893" s="7" t="n">
        <v>4</v>
      </c>
      <c r="O893" s="7" t="str">
        <f aca="false">A893&amp;"|"&amp;B893&amp;"|"&amp;C893&amp;"|"&amp;D893&amp;"|"&amp;E893&amp;"|"&amp;F893&amp;"|"&amp;G893&amp;"|"&amp;H893&amp;"|"&amp;I893&amp;"|"&amp;J893&amp;"|"&amp;K893&amp;"|"&amp;L893&amp;"|"&amp;M893&amp;"|"&amp;N893</f>
        <v>ORD11410|2025-07-03|09:09|C0833|Cheesy Slice|AHMEDABAD|Pizza|1|350|30|UPI|Delivered|22|4</v>
      </c>
      <c r="P893" s="7" t="str">
        <f aca="false">IF(COUNTIF($O$2:O893,O893)&gt;1,"DUP","OK")</f>
        <v>OK</v>
      </c>
      <c r="Q893" s="7" t="n">
        <f aca="false">COUNTBLANK(A893:N893)</f>
        <v>0</v>
      </c>
      <c r="R893" s="7" t="n">
        <f aca="false">IF(A893="",0,COUNTIFS($A$2:$A$3058,A893,$P$2:$P$3058,"OK"))</f>
        <v>1</v>
      </c>
      <c r="S893" s="7" t="str">
        <f aca="false">IF(OR(A893="",P893="DUP",R893&lt;2),"",IF(Q893=_xlfn.MINIFS($Q$2:$Q$3058,$A$2:$A$3058,A893,$P$2:$P$3058,"OK"),"KEEP","DROP"))</f>
        <v/>
      </c>
      <c r="T893" s="9" t="n">
        <f aca="false">IF(A893="",1,0)</f>
        <v>0</v>
      </c>
      <c r="U893" s="9" t="n">
        <f aca="false">IF(D893="",1,0)</f>
        <v>0</v>
      </c>
      <c r="V893" s="9" t="n">
        <f aca="false">IF(E893="",1,0)</f>
        <v>0</v>
      </c>
      <c r="W893" s="9" t="n">
        <f aca="false">IF(OR(H893&lt;1,H893&gt;10),1,0)</f>
        <v>0</v>
      </c>
      <c r="X893" s="9" t="n">
        <f aca="false">IF(OR(I893&lt;=0,I893&gt;1500),1,0)</f>
        <v>0</v>
      </c>
      <c r="Y893" s="9" t="n">
        <f aca="false">IF(J893&gt;H893*I893,1,0)</f>
        <v>0</v>
      </c>
      <c r="Z893" s="9" t="n">
        <f aca="false">IF(AND(N893&lt;&gt;"",OR(N893&lt;1,N893&gt;5)),1,0)</f>
        <v>0</v>
      </c>
      <c r="AA893" s="9" t="n">
        <f aca="false">IF(AND(M893&lt;&gt;"",OR(M893&lt;5,M893&gt;180)),1,0)</f>
        <v>0</v>
      </c>
      <c r="AB893" s="7" t="str">
        <f aca="false">IF(P893="DUP","Exact duplicate row",IF(T893=1,"Missing Order ID",IF(S893="DROP","Duplicate Order ID (less complete row)",IF(U893=1,"Missing Customer ID",IF(V893=1,"Missing Restaurant name",IF(W893=1,"Invalid/outlier quantity",IF(X893=1,"Invalid/outlier unit price",IF(Y893=1,"Discount greater than order value",""))))))))</f>
        <v/>
      </c>
      <c r="AC893" s="7" t="str">
        <f aca="false">IF(AB893="","KEEP","DROP")</f>
        <v>KEEP</v>
      </c>
      <c r="AD893" s="7" t="str">
        <f aca="false">IF(TRIM(F893)="",IFERROR(INDEX(Map_Tables!$I$4:$I$37,MATCH(TRIM(E893),Map_Tables!$G$4:$G$37,0)),""),IFERROR(INDEX(Map_Tables!$B$4:$B$18,MATCH(TRIM(F893),Map_Tables!$A$4:$A$18,0)),"CHECK"))</f>
        <v>Ahmedabad</v>
      </c>
      <c r="AE893" s="7" t="str">
        <f aca="false">IF(TRIM(E893)="","",IFERROR(INDEX(Map_Tables!$H$4:$H$37,MATCH(TRIM(E893),Map_Tables!$G$4:$G$37,0)),"CHECK"))</f>
        <v>Cheesy Slice</v>
      </c>
      <c r="AF893" s="7" t="str">
        <f aca="false">IF(TRIM(K893)="","Unknown",IFERROR(INDEX(Map_Tables!$E$4:$E$15,MATCH(TRIM(K893),Map_Tables!$D$4:$D$15,0)),"CHECK"))</f>
        <v>UPI</v>
      </c>
      <c r="AG893" s="7" t="str">
        <f aca="false">IF(LEFT(LOWER(TRIM(L893)),6)="cancel","Cancelled","Delivered")</f>
        <v>Delivered</v>
      </c>
      <c r="AH893" s="10" t="n">
        <f aca="false">IF(ISNUMBER(SEARCH("/",B893)),DATE(VALUE(RIGHT(B893,4)),VALUE(MID(B893,4,2)),VALUE(LEFT(B893,2))),IF(MID(B893,5,1)="-",DATE(VALUE(LEFT(B893,4)),VALUE(MID(B893,6,2)),VALUE(RIGHT(B893,2))),DATE(VALUE(RIGHT(B893,4)),MATCH(MID(B893,4,3),{"Jan","Feb","Mar","Apr","May","Jun","Jul","Aug","Sep","Oct","Nov","Dec"},0),VALUE(LEFT(B893,2)))))</f>
        <v>45841</v>
      </c>
    </row>
    <row r="894" customFormat="false" ht="15" hidden="false" customHeight="false" outlineLevel="0" collapsed="false">
      <c r="A894" s="7" t="s">
        <v>2793</v>
      </c>
      <c r="B894" s="7" t="s">
        <v>1446</v>
      </c>
      <c r="C894" s="7" t="s">
        <v>661</v>
      </c>
      <c r="D894" s="7" t="s">
        <v>2215</v>
      </c>
      <c r="E894" s="7" t="s">
        <v>147</v>
      </c>
      <c r="F894" s="7" t="s">
        <v>119</v>
      </c>
      <c r="G894" s="7" t="s">
        <v>95</v>
      </c>
      <c r="H894" s="7" t="n">
        <v>1</v>
      </c>
      <c r="I894" s="7" t="n">
        <v>155</v>
      </c>
      <c r="J894" s="7" t="n">
        <v>0</v>
      </c>
      <c r="K894" s="7" t="s">
        <v>88</v>
      </c>
      <c r="L894" s="7" t="s">
        <v>194</v>
      </c>
      <c r="M894" s="7" t="n">
        <v>41</v>
      </c>
      <c r="N894" s="7" t="n">
        <v>3</v>
      </c>
      <c r="O894" s="7" t="str">
        <f aca="false">A894&amp;"|"&amp;B894&amp;"|"&amp;C894&amp;"|"&amp;D894&amp;"|"&amp;E894&amp;"|"&amp;F894&amp;"|"&amp;G894&amp;"|"&amp;H894&amp;"|"&amp;I894&amp;"|"&amp;J894&amp;"|"&amp;K894&amp;"|"&amp;L894&amp;"|"&amp;M894&amp;"|"&amp;N894</f>
        <v>ORD10564|2025-03-13|12:35|C0809|Andhra Meals Mess|Hyderabad|South Indian|1|155|0|UPI|Delivered|41|3</v>
      </c>
      <c r="P894" s="7" t="str">
        <f aca="false">IF(COUNTIF($O$2:O894,O894)&gt;1,"DUP","OK")</f>
        <v>OK</v>
      </c>
      <c r="Q894" s="7" t="n">
        <f aca="false">COUNTBLANK(A894:N894)</f>
        <v>0</v>
      </c>
      <c r="R894" s="7" t="n">
        <f aca="false">IF(A894="",0,COUNTIFS($A$2:$A$3058,A894,$P$2:$P$3058,"OK"))</f>
        <v>1</v>
      </c>
      <c r="S894" s="7" t="str">
        <f aca="false">IF(OR(A894="",P894="DUP",R894&lt;2),"",IF(Q894=_xlfn.MINIFS($Q$2:$Q$3058,$A$2:$A$3058,A894,$P$2:$P$3058,"OK"),"KEEP","DROP"))</f>
        <v/>
      </c>
      <c r="T894" s="9" t="n">
        <f aca="false">IF(A894="",1,0)</f>
        <v>0</v>
      </c>
      <c r="U894" s="9" t="n">
        <f aca="false">IF(D894="",1,0)</f>
        <v>0</v>
      </c>
      <c r="V894" s="9" t="n">
        <f aca="false">IF(E894="",1,0)</f>
        <v>0</v>
      </c>
      <c r="W894" s="9" t="n">
        <f aca="false">IF(OR(H894&lt;1,H894&gt;10),1,0)</f>
        <v>0</v>
      </c>
      <c r="X894" s="9" t="n">
        <f aca="false">IF(OR(I894&lt;=0,I894&gt;1500),1,0)</f>
        <v>0</v>
      </c>
      <c r="Y894" s="9" t="n">
        <f aca="false">IF(J894&gt;H894*I894,1,0)</f>
        <v>0</v>
      </c>
      <c r="Z894" s="9" t="n">
        <f aca="false">IF(AND(N894&lt;&gt;"",OR(N894&lt;1,N894&gt;5)),1,0)</f>
        <v>0</v>
      </c>
      <c r="AA894" s="9" t="n">
        <f aca="false">IF(AND(M894&lt;&gt;"",OR(M894&lt;5,M894&gt;180)),1,0)</f>
        <v>0</v>
      </c>
      <c r="AB894" s="7" t="str">
        <f aca="false">IF(P894="DUP","Exact duplicate row",IF(T894=1,"Missing Order ID",IF(S894="DROP","Duplicate Order ID (less complete row)",IF(U894=1,"Missing Customer ID",IF(V894=1,"Missing Restaurant name",IF(W894=1,"Invalid/outlier quantity",IF(X894=1,"Invalid/outlier unit price",IF(Y894=1,"Discount greater than order value",""))))))))</f>
        <v/>
      </c>
      <c r="AC894" s="7" t="str">
        <f aca="false">IF(AB894="","KEEP","DROP")</f>
        <v>KEEP</v>
      </c>
      <c r="AD894" s="7" t="str">
        <f aca="false">IF(TRIM(F894)="",IFERROR(INDEX(Map_Tables!$I$4:$I$37,MATCH(TRIM(E894),Map_Tables!$G$4:$G$37,0)),""),IFERROR(INDEX(Map_Tables!$B$4:$B$18,MATCH(TRIM(F894),Map_Tables!$A$4:$A$18,0)),"CHECK"))</f>
        <v>Hyderabad</v>
      </c>
      <c r="AE894" s="7" t="str">
        <f aca="false">IF(TRIM(E894)="","",IFERROR(INDEX(Map_Tables!$H$4:$H$37,MATCH(TRIM(E894),Map_Tables!$G$4:$G$37,0)),"CHECK"))</f>
        <v>Andhra Meals Mess</v>
      </c>
      <c r="AF894" s="7" t="str">
        <f aca="false">IF(TRIM(K894)="","Unknown",IFERROR(INDEX(Map_Tables!$E$4:$E$15,MATCH(TRIM(K894),Map_Tables!$D$4:$D$15,0)),"CHECK"))</f>
        <v>UPI</v>
      </c>
      <c r="AG894" s="7" t="str">
        <f aca="false">IF(LEFT(LOWER(TRIM(L894)),6)="cancel","Cancelled","Delivered")</f>
        <v>Delivered</v>
      </c>
      <c r="AH894" s="10" t="n">
        <f aca="false">IF(ISNUMBER(SEARCH("/",B894)),DATE(VALUE(RIGHT(B894,4)),VALUE(MID(B894,4,2)),VALUE(LEFT(B894,2))),IF(MID(B894,5,1)="-",DATE(VALUE(LEFT(B894,4)),VALUE(MID(B894,6,2)),VALUE(RIGHT(B894,2))),DATE(VALUE(RIGHT(B894,4)),MATCH(MID(B894,4,3),{"Jan","Feb","Mar","Apr","May","Jun","Jul","Aug","Sep","Oct","Nov","Dec"},0),VALUE(LEFT(B894,2)))))</f>
        <v>45729</v>
      </c>
    </row>
    <row r="895" customFormat="false" ht="15" hidden="false" customHeight="false" outlineLevel="0" collapsed="false">
      <c r="A895" s="7" t="s">
        <v>2794</v>
      </c>
      <c r="B895" s="7" t="s">
        <v>2795</v>
      </c>
      <c r="C895" s="7" t="s">
        <v>1520</v>
      </c>
      <c r="D895" s="7" t="s">
        <v>2796</v>
      </c>
      <c r="E895" s="7" t="s">
        <v>126</v>
      </c>
      <c r="F895" s="7" t="s">
        <v>101</v>
      </c>
      <c r="G895" s="7" t="s">
        <v>105</v>
      </c>
      <c r="H895" s="7" t="n">
        <v>3</v>
      </c>
      <c r="I895" s="7" t="n">
        <v>215</v>
      </c>
      <c r="J895" s="7" t="n">
        <v>100</v>
      </c>
      <c r="K895" s="7" t="s">
        <v>115</v>
      </c>
      <c r="L895" s="7" t="s">
        <v>194</v>
      </c>
      <c r="M895" s="7" t="n">
        <v>48</v>
      </c>
      <c r="N895" s="7" t="n">
        <v>3</v>
      </c>
      <c r="O895" s="7" t="str">
        <f aca="false">A895&amp;"|"&amp;B895&amp;"|"&amp;C895&amp;"|"&amp;D895&amp;"|"&amp;E895&amp;"|"&amp;F895&amp;"|"&amp;G895&amp;"|"&amp;H895&amp;"|"&amp;I895&amp;"|"&amp;J895&amp;"|"&amp;K895&amp;"|"&amp;L895&amp;"|"&amp;M895&amp;"|"&amp;N895</f>
        <v>ORD12048|2025-09-22|12:11|C0321|Dragon Express|Mumbai|Chinese|3|215|100|cash on delivery|Delivered|48|3</v>
      </c>
      <c r="P895" s="7" t="str">
        <f aca="false">IF(COUNTIF($O$2:O895,O895)&gt;1,"DUP","OK")</f>
        <v>OK</v>
      </c>
      <c r="Q895" s="7" t="n">
        <f aca="false">COUNTBLANK(A895:N895)</f>
        <v>0</v>
      </c>
      <c r="R895" s="7" t="n">
        <f aca="false">IF(A895="",0,COUNTIFS($A$2:$A$3058,A895,$P$2:$P$3058,"OK"))</f>
        <v>1</v>
      </c>
      <c r="S895" s="7" t="str">
        <f aca="false">IF(OR(A895="",P895="DUP",R895&lt;2),"",IF(Q895=_xlfn.MINIFS($Q$2:$Q$3058,$A$2:$A$3058,A895,$P$2:$P$3058,"OK"),"KEEP","DROP"))</f>
        <v/>
      </c>
      <c r="T895" s="9" t="n">
        <f aca="false">IF(A895="",1,0)</f>
        <v>0</v>
      </c>
      <c r="U895" s="9" t="n">
        <f aca="false">IF(D895="",1,0)</f>
        <v>0</v>
      </c>
      <c r="V895" s="9" t="n">
        <f aca="false">IF(E895="",1,0)</f>
        <v>0</v>
      </c>
      <c r="W895" s="9" t="n">
        <f aca="false">IF(OR(H895&lt;1,H895&gt;10),1,0)</f>
        <v>0</v>
      </c>
      <c r="X895" s="9" t="n">
        <f aca="false">IF(OR(I895&lt;=0,I895&gt;1500),1,0)</f>
        <v>0</v>
      </c>
      <c r="Y895" s="9" t="n">
        <f aca="false">IF(J895&gt;H895*I895,1,0)</f>
        <v>0</v>
      </c>
      <c r="Z895" s="9" t="n">
        <f aca="false">IF(AND(N895&lt;&gt;"",OR(N895&lt;1,N895&gt;5)),1,0)</f>
        <v>0</v>
      </c>
      <c r="AA895" s="9" t="n">
        <f aca="false">IF(AND(M895&lt;&gt;"",OR(M895&lt;5,M895&gt;180)),1,0)</f>
        <v>0</v>
      </c>
      <c r="AB895" s="7" t="str">
        <f aca="false">IF(P895="DUP","Exact duplicate row",IF(T895=1,"Missing Order ID",IF(S895="DROP","Duplicate Order ID (less complete row)",IF(U895=1,"Missing Customer ID",IF(V895=1,"Missing Restaurant name",IF(W895=1,"Invalid/outlier quantity",IF(X895=1,"Invalid/outlier unit price",IF(Y895=1,"Discount greater than order value",""))))))))</f>
        <v/>
      </c>
      <c r="AC895" s="7" t="str">
        <f aca="false">IF(AB895="","KEEP","DROP")</f>
        <v>KEEP</v>
      </c>
      <c r="AD895" s="7" t="str">
        <f aca="false">IF(TRIM(F895)="",IFERROR(INDEX(Map_Tables!$I$4:$I$37,MATCH(TRIM(E895),Map_Tables!$G$4:$G$37,0)),""),IFERROR(INDEX(Map_Tables!$B$4:$B$18,MATCH(TRIM(F895),Map_Tables!$A$4:$A$18,0)),"CHECK"))</f>
        <v>Mumbai</v>
      </c>
      <c r="AE895" s="7" t="str">
        <f aca="false">IF(TRIM(E895)="","",IFERROR(INDEX(Map_Tables!$H$4:$H$37,MATCH(TRIM(E895),Map_Tables!$G$4:$G$37,0)),"CHECK"))</f>
        <v>Dragon Express</v>
      </c>
      <c r="AF895" s="7" t="str">
        <f aca="false">IF(TRIM(K895)="","Unknown",IFERROR(INDEX(Map_Tables!$E$4:$E$15,MATCH(TRIM(K895),Map_Tables!$D$4:$D$15,0)),"CHECK"))</f>
        <v>Cash on Delivery</v>
      </c>
      <c r="AG895" s="7" t="str">
        <f aca="false">IF(LEFT(LOWER(TRIM(L895)),6)="cancel","Cancelled","Delivered")</f>
        <v>Delivered</v>
      </c>
      <c r="AH895" s="10" t="n">
        <f aca="false">IF(ISNUMBER(SEARCH("/",B895)),DATE(VALUE(RIGHT(B895,4)),VALUE(MID(B895,4,2)),VALUE(LEFT(B895,2))),IF(MID(B895,5,1)="-",DATE(VALUE(LEFT(B895,4)),VALUE(MID(B895,6,2)),VALUE(RIGHT(B895,2))),DATE(VALUE(RIGHT(B895,4)),MATCH(MID(B895,4,3),{"Jan","Feb","Mar","Apr","May","Jun","Jul","Aug","Sep","Oct","Nov","Dec"},0),VALUE(LEFT(B895,2)))))</f>
        <v>45922</v>
      </c>
    </row>
    <row r="896" customFormat="false" ht="15" hidden="false" customHeight="false" outlineLevel="0" collapsed="false">
      <c r="A896" s="7" t="s">
        <v>2797</v>
      </c>
      <c r="B896" s="7" t="s">
        <v>2798</v>
      </c>
      <c r="C896" s="7" t="s">
        <v>2329</v>
      </c>
      <c r="D896" s="7" t="s">
        <v>1322</v>
      </c>
      <c r="E896" s="7" t="s">
        <v>160</v>
      </c>
      <c r="F896" s="7" t="s">
        <v>136</v>
      </c>
      <c r="G896" s="7" t="s">
        <v>150</v>
      </c>
      <c r="H896" s="7" t="n">
        <v>2</v>
      </c>
      <c r="I896" s="7" t="n">
        <v>165</v>
      </c>
      <c r="J896" s="7" t="n">
        <v>0</v>
      </c>
      <c r="K896" s="7" t="s">
        <v>88</v>
      </c>
      <c r="L896" s="7" t="s">
        <v>194</v>
      </c>
      <c r="M896" s="7" t="n">
        <v>24</v>
      </c>
      <c r="N896" s="7"/>
      <c r="O896" s="7" t="str">
        <f aca="false">A896&amp;"|"&amp;B896&amp;"|"&amp;C896&amp;"|"&amp;D896&amp;"|"&amp;E896&amp;"|"&amp;F896&amp;"|"&amp;G896&amp;"|"&amp;H896&amp;"|"&amp;I896&amp;"|"&amp;J896&amp;"|"&amp;K896&amp;"|"&amp;L896&amp;"|"&amp;M896&amp;"|"&amp;N896</f>
        <v>ORD12709|2025-11-29|20:12|C1310|Cake Walk|Pune|Desserts|2|165|0|UPI|Delivered|24|</v>
      </c>
      <c r="P896" s="7" t="str">
        <f aca="false">IF(COUNTIF($O$2:O896,O896)&gt;1,"DUP","OK")</f>
        <v>OK</v>
      </c>
      <c r="Q896" s="7" t="n">
        <f aca="false">COUNTBLANK(A896:N896)</f>
        <v>1</v>
      </c>
      <c r="R896" s="7" t="n">
        <f aca="false">IF(A896="",0,COUNTIFS($A$2:$A$3058,A896,$P$2:$P$3058,"OK"))</f>
        <v>1</v>
      </c>
      <c r="S896" s="7" t="str">
        <f aca="false">IF(OR(A896="",P896="DUP",R896&lt;2),"",IF(Q896=_xlfn.MINIFS($Q$2:$Q$3058,$A$2:$A$3058,A896,$P$2:$P$3058,"OK"),"KEEP","DROP"))</f>
        <v/>
      </c>
      <c r="T896" s="9" t="n">
        <f aca="false">IF(A896="",1,0)</f>
        <v>0</v>
      </c>
      <c r="U896" s="9" t="n">
        <f aca="false">IF(D896="",1,0)</f>
        <v>0</v>
      </c>
      <c r="V896" s="9" t="n">
        <f aca="false">IF(E896="",1,0)</f>
        <v>0</v>
      </c>
      <c r="W896" s="9" t="n">
        <f aca="false">IF(OR(H896&lt;1,H896&gt;10),1,0)</f>
        <v>0</v>
      </c>
      <c r="X896" s="9" t="n">
        <f aca="false">IF(OR(I896&lt;=0,I896&gt;1500),1,0)</f>
        <v>0</v>
      </c>
      <c r="Y896" s="9" t="n">
        <f aca="false">IF(J896&gt;H896*I896,1,0)</f>
        <v>0</v>
      </c>
      <c r="Z896" s="9" t="n">
        <f aca="false">IF(AND(N896&lt;&gt;"",OR(N896&lt;1,N896&gt;5)),1,0)</f>
        <v>0</v>
      </c>
      <c r="AA896" s="9" t="n">
        <f aca="false">IF(AND(M896&lt;&gt;"",OR(M896&lt;5,M896&gt;180)),1,0)</f>
        <v>0</v>
      </c>
      <c r="AB896" s="7" t="str">
        <f aca="false">IF(P896="DUP","Exact duplicate row",IF(T896=1,"Missing Order ID",IF(S896="DROP","Duplicate Order ID (less complete row)",IF(U896=1,"Missing Customer ID",IF(V896=1,"Missing Restaurant name",IF(W896=1,"Invalid/outlier quantity",IF(X896=1,"Invalid/outlier unit price",IF(Y896=1,"Discount greater than order value",""))))))))</f>
        <v/>
      </c>
      <c r="AC896" s="7" t="str">
        <f aca="false">IF(AB896="","KEEP","DROP")</f>
        <v>KEEP</v>
      </c>
      <c r="AD896" s="7" t="str">
        <f aca="false">IF(TRIM(F896)="",IFERROR(INDEX(Map_Tables!$I$4:$I$37,MATCH(TRIM(E896),Map_Tables!$G$4:$G$37,0)),""),IFERROR(INDEX(Map_Tables!$B$4:$B$18,MATCH(TRIM(F896),Map_Tables!$A$4:$A$18,0)),"CHECK"))</f>
        <v>Pune</v>
      </c>
      <c r="AE896" s="7" t="str">
        <f aca="false">IF(TRIM(E896)="","",IFERROR(INDEX(Map_Tables!$H$4:$H$37,MATCH(TRIM(E896),Map_Tables!$G$4:$G$37,0)),"CHECK"))</f>
        <v>Cake Walk</v>
      </c>
      <c r="AF896" s="7" t="str">
        <f aca="false">IF(TRIM(K896)="","Unknown",IFERROR(INDEX(Map_Tables!$E$4:$E$15,MATCH(TRIM(K896),Map_Tables!$D$4:$D$15,0)),"CHECK"))</f>
        <v>UPI</v>
      </c>
      <c r="AG896" s="7" t="str">
        <f aca="false">IF(LEFT(LOWER(TRIM(L896)),6)="cancel","Cancelled","Delivered")</f>
        <v>Delivered</v>
      </c>
      <c r="AH896" s="10" t="n">
        <f aca="false">IF(ISNUMBER(SEARCH("/",B896)),DATE(VALUE(RIGHT(B896,4)),VALUE(MID(B896,4,2)),VALUE(LEFT(B896,2))),IF(MID(B896,5,1)="-",DATE(VALUE(LEFT(B896,4)),VALUE(MID(B896,6,2)),VALUE(RIGHT(B896,2))),DATE(VALUE(RIGHT(B896,4)),MATCH(MID(B896,4,3),{"Jan","Feb","Mar","Apr","May","Jun","Jul","Aug","Sep","Oct","Nov","Dec"},0),VALUE(LEFT(B896,2)))))</f>
        <v>45990</v>
      </c>
    </row>
    <row r="897" customFormat="false" ht="15" hidden="false" customHeight="false" outlineLevel="0" collapsed="false">
      <c r="A897" s="7" t="s">
        <v>2799</v>
      </c>
      <c r="B897" s="7" t="s">
        <v>2010</v>
      </c>
      <c r="C897" s="7" t="s">
        <v>2800</v>
      </c>
      <c r="D897" s="7" t="s">
        <v>2801</v>
      </c>
      <c r="E897" s="7" t="s">
        <v>122</v>
      </c>
      <c r="F897" s="7" t="s">
        <v>101</v>
      </c>
      <c r="G897" s="7" t="s">
        <v>123</v>
      </c>
      <c r="H897" s="7" t="n">
        <v>1</v>
      </c>
      <c r="I897" s="7" t="n">
        <v>275</v>
      </c>
      <c r="J897" s="7" t="n">
        <v>0</v>
      </c>
      <c r="K897" s="7" t="s">
        <v>88</v>
      </c>
      <c r="L897" s="7" t="s">
        <v>457</v>
      </c>
      <c r="M897" s="7" t="n">
        <v>45</v>
      </c>
      <c r="N897" s="7" t="n">
        <v>4</v>
      </c>
      <c r="O897" s="7" t="str">
        <f aca="false">A897&amp;"|"&amp;B897&amp;"|"&amp;C897&amp;"|"&amp;D897&amp;"|"&amp;E897&amp;"|"&amp;F897&amp;"|"&amp;G897&amp;"|"&amp;H897&amp;"|"&amp;I897&amp;"|"&amp;J897&amp;"|"&amp;K897&amp;"|"&amp;L897&amp;"|"&amp;M897&amp;"|"&amp;N897</f>
        <v>ORD10491|2025-03-06|10:46|C0100|Mumbai Pizza Co|Mumbai|Pizza|1|275|0|UPI|Delivered |45|4</v>
      </c>
      <c r="P897" s="7" t="str">
        <f aca="false">IF(COUNTIF($O$2:O897,O897)&gt;1,"DUP","OK")</f>
        <v>OK</v>
      </c>
      <c r="Q897" s="7" t="n">
        <f aca="false">COUNTBLANK(A897:N897)</f>
        <v>0</v>
      </c>
      <c r="R897" s="7" t="n">
        <f aca="false">IF(A897="",0,COUNTIFS($A$2:$A$3058,A897,$P$2:$P$3058,"OK"))</f>
        <v>1</v>
      </c>
      <c r="S897" s="7" t="str">
        <f aca="false">IF(OR(A897="",P897="DUP",R897&lt;2),"",IF(Q897=_xlfn.MINIFS($Q$2:$Q$3058,$A$2:$A$3058,A897,$P$2:$P$3058,"OK"),"KEEP","DROP"))</f>
        <v/>
      </c>
      <c r="T897" s="9" t="n">
        <f aca="false">IF(A897="",1,0)</f>
        <v>0</v>
      </c>
      <c r="U897" s="9" t="n">
        <f aca="false">IF(D897="",1,0)</f>
        <v>0</v>
      </c>
      <c r="V897" s="9" t="n">
        <f aca="false">IF(E897="",1,0)</f>
        <v>0</v>
      </c>
      <c r="W897" s="9" t="n">
        <f aca="false">IF(OR(H897&lt;1,H897&gt;10),1,0)</f>
        <v>0</v>
      </c>
      <c r="X897" s="9" t="n">
        <f aca="false">IF(OR(I897&lt;=0,I897&gt;1500),1,0)</f>
        <v>0</v>
      </c>
      <c r="Y897" s="9" t="n">
        <f aca="false">IF(J897&gt;H897*I897,1,0)</f>
        <v>0</v>
      </c>
      <c r="Z897" s="9" t="n">
        <f aca="false">IF(AND(N897&lt;&gt;"",OR(N897&lt;1,N897&gt;5)),1,0)</f>
        <v>0</v>
      </c>
      <c r="AA897" s="9" t="n">
        <f aca="false">IF(AND(M897&lt;&gt;"",OR(M897&lt;5,M897&gt;180)),1,0)</f>
        <v>0</v>
      </c>
      <c r="AB897" s="7" t="str">
        <f aca="false">IF(P897="DUP","Exact duplicate row",IF(T897=1,"Missing Order ID",IF(S897="DROP","Duplicate Order ID (less complete row)",IF(U897=1,"Missing Customer ID",IF(V897=1,"Missing Restaurant name",IF(W897=1,"Invalid/outlier quantity",IF(X897=1,"Invalid/outlier unit price",IF(Y897=1,"Discount greater than order value",""))))))))</f>
        <v/>
      </c>
      <c r="AC897" s="7" t="str">
        <f aca="false">IF(AB897="","KEEP","DROP")</f>
        <v>KEEP</v>
      </c>
      <c r="AD897" s="7" t="str">
        <f aca="false">IF(TRIM(F897)="",IFERROR(INDEX(Map_Tables!$I$4:$I$37,MATCH(TRIM(E897),Map_Tables!$G$4:$G$37,0)),""),IFERROR(INDEX(Map_Tables!$B$4:$B$18,MATCH(TRIM(F897),Map_Tables!$A$4:$A$18,0)),"CHECK"))</f>
        <v>Mumbai</v>
      </c>
      <c r="AE897" s="7" t="str">
        <f aca="false">IF(TRIM(E897)="","",IFERROR(INDEX(Map_Tables!$H$4:$H$37,MATCH(TRIM(E897),Map_Tables!$G$4:$G$37,0)),"CHECK"))</f>
        <v>Mumbai Pizza Co</v>
      </c>
      <c r="AF897" s="7" t="str">
        <f aca="false">IF(TRIM(K897)="","Unknown",IFERROR(INDEX(Map_Tables!$E$4:$E$15,MATCH(TRIM(K897),Map_Tables!$D$4:$D$15,0)),"CHECK"))</f>
        <v>UPI</v>
      </c>
      <c r="AG897" s="7" t="str">
        <f aca="false">IF(LEFT(LOWER(TRIM(L897)),6)="cancel","Cancelled","Delivered")</f>
        <v>Delivered</v>
      </c>
      <c r="AH897" s="10" t="n">
        <f aca="false">IF(ISNUMBER(SEARCH("/",B897)),DATE(VALUE(RIGHT(B897,4)),VALUE(MID(B897,4,2)),VALUE(LEFT(B897,2))),IF(MID(B897,5,1)="-",DATE(VALUE(LEFT(B897,4)),VALUE(MID(B897,6,2)),VALUE(RIGHT(B897,2))),DATE(VALUE(RIGHT(B897,4)),MATCH(MID(B897,4,3),{"Jan","Feb","Mar","Apr","May","Jun","Jul","Aug","Sep","Oct","Nov","Dec"},0),VALUE(LEFT(B897,2)))))</f>
        <v>45722</v>
      </c>
    </row>
    <row r="898" customFormat="false" ht="15" hidden="false" customHeight="false" outlineLevel="0" collapsed="false">
      <c r="A898" s="7" t="s">
        <v>2802</v>
      </c>
      <c r="B898" s="7" t="s">
        <v>782</v>
      </c>
      <c r="C898" s="7" t="s">
        <v>1869</v>
      </c>
      <c r="D898" s="7" t="s">
        <v>1072</v>
      </c>
      <c r="E898" s="7" t="s">
        <v>94</v>
      </c>
      <c r="F898" s="7" t="s">
        <v>86</v>
      </c>
      <c r="G898" s="7" t="s">
        <v>95</v>
      </c>
      <c r="H898" s="7" t="n">
        <v>1</v>
      </c>
      <c r="I898" s="7" t="n">
        <v>140</v>
      </c>
      <c r="J898" s="7" t="n">
        <v>0</v>
      </c>
      <c r="K898" s="7" t="s">
        <v>133</v>
      </c>
      <c r="L898" s="7" t="s">
        <v>194</v>
      </c>
      <c r="M898" s="7" t="n">
        <v>30</v>
      </c>
      <c r="N898" s="7" t="n">
        <v>4</v>
      </c>
      <c r="O898" s="7" t="str">
        <f aca="false">A898&amp;"|"&amp;B898&amp;"|"&amp;C898&amp;"|"&amp;D898&amp;"|"&amp;E898&amp;"|"&amp;F898&amp;"|"&amp;G898&amp;"|"&amp;H898&amp;"|"&amp;I898&amp;"|"&amp;J898&amp;"|"&amp;K898&amp;"|"&amp;L898&amp;"|"&amp;M898&amp;"|"&amp;N898</f>
        <v>ORD10047|2025-01-07|16:59|C0699|Dosa Darbar|Bengaluru|South Indian|1|140|0|Net Banking|Delivered|30|4</v>
      </c>
      <c r="P898" s="7" t="str">
        <f aca="false">IF(COUNTIF($O$2:O898,O898)&gt;1,"DUP","OK")</f>
        <v>OK</v>
      </c>
      <c r="Q898" s="7" t="n">
        <f aca="false">COUNTBLANK(A898:N898)</f>
        <v>0</v>
      </c>
      <c r="R898" s="7" t="n">
        <f aca="false">IF(A898="",0,COUNTIFS($A$2:$A$3058,A898,$P$2:$P$3058,"OK"))</f>
        <v>1</v>
      </c>
      <c r="S898" s="7" t="str">
        <f aca="false">IF(OR(A898="",P898="DUP",R898&lt;2),"",IF(Q898=_xlfn.MINIFS($Q$2:$Q$3058,$A$2:$A$3058,A898,$P$2:$P$3058,"OK"),"KEEP","DROP"))</f>
        <v/>
      </c>
      <c r="T898" s="9" t="n">
        <f aca="false">IF(A898="",1,0)</f>
        <v>0</v>
      </c>
      <c r="U898" s="9" t="n">
        <f aca="false">IF(D898="",1,0)</f>
        <v>0</v>
      </c>
      <c r="V898" s="9" t="n">
        <f aca="false">IF(E898="",1,0)</f>
        <v>0</v>
      </c>
      <c r="W898" s="9" t="n">
        <f aca="false">IF(OR(H898&lt;1,H898&gt;10),1,0)</f>
        <v>0</v>
      </c>
      <c r="X898" s="9" t="n">
        <f aca="false">IF(OR(I898&lt;=0,I898&gt;1500),1,0)</f>
        <v>0</v>
      </c>
      <c r="Y898" s="9" t="n">
        <f aca="false">IF(J898&gt;H898*I898,1,0)</f>
        <v>0</v>
      </c>
      <c r="Z898" s="9" t="n">
        <f aca="false">IF(AND(N898&lt;&gt;"",OR(N898&lt;1,N898&gt;5)),1,0)</f>
        <v>0</v>
      </c>
      <c r="AA898" s="9" t="n">
        <f aca="false">IF(AND(M898&lt;&gt;"",OR(M898&lt;5,M898&gt;180)),1,0)</f>
        <v>0</v>
      </c>
      <c r="AB898" s="7" t="str">
        <f aca="false">IF(P898="DUP","Exact duplicate row",IF(T898=1,"Missing Order ID",IF(S898="DROP","Duplicate Order ID (less complete row)",IF(U898=1,"Missing Customer ID",IF(V898=1,"Missing Restaurant name",IF(W898=1,"Invalid/outlier quantity",IF(X898=1,"Invalid/outlier unit price",IF(Y898=1,"Discount greater than order value",""))))))))</f>
        <v/>
      </c>
      <c r="AC898" s="7" t="str">
        <f aca="false">IF(AB898="","KEEP","DROP")</f>
        <v>KEEP</v>
      </c>
      <c r="AD898" s="7" t="str">
        <f aca="false">IF(TRIM(F898)="",IFERROR(INDEX(Map_Tables!$I$4:$I$37,MATCH(TRIM(E898),Map_Tables!$G$4:$G$37,0)),""),IFERROR(INDEX(Map_Tables!$B$4:$B$18,MATCH(TRIM(F898),Map_Tables!$A$4:$A$18,0)),"CHECK"))</f>
        <v>Bengaluru</v>
      </c>
      <c r="AE898" s="7" t="str">
        <f aca="false">IF(TRIM(E898)="","",IFERROR(INDEX(Map_Tables!$H$4:$H$37,MATCH(TRIM(E898),Map_Tables!$G$4:$G$37,0)),"CHECK"))</f>
        <v>Dosa Darbar</v>
      </c>
      <c r="AF898" s="7" t="str">
        <f aca="false">IF(TRIM(K898)="","Unknown",IFERROR(INDEX(Map_Tables!$E$4:$E$15,MATCH(TRIM(K898),Map_Tables!$D$4:$D$15,0)),"CHECK"))</f>
        <v>Net Banking</v>
      </c>
      <c r="AG898" s="7" t="str">
        <f aca="false">IF(LEFT(LOWER(TRIM(L898)),6)="cancel","Cancelled","Delivered")</f>
        <v>Delivered</v>
      </c>
      <c r="AH898" s="10" t="n">
        <f aca="false">IF(ISNUMBER(SEARCH("/",B898)),DATE(VALUE(RIGHT(B898,4)),VALUE(MID(B898,4,2)),VALUE(LEFT(B898,2))),IF(MID(B898,5,1)="-",DATE(VALUE(LEFT(B898,4)),VALUE(MID(B898,6,2)),VALUE(RIGHT(B898,2))),DATE(VALUE(RIGHT(B898,4)),MATCH(MID(B898,4,3),{"Jan","Feb","Mar","Apr","May","Jun","Jul","Aug","Sep","Oct","Nov","Dec"},0),VALUE(LEFT(B898,2)))))</f>
        <v>45664</v>
      </c>
    </row>
    <row r="899" customFormat="false" ht="15" hidden="false" customHeight="false" outlineLevel="0" collapsed="false">
      <c r="A899" s="7" t="s">
        <v>2803</v>
      </c>
      <c r="B899" s="7" t="s">
        <v>2010</v>
      </c>
      <c r="C899" s="7" t="s">
        <v>361</v>
      </c>
      <c r="D899" s="7" t="s">
        <v>2359</v>
      </c>
      <c r="E899" s="7" t="s">
        <v>164</v>
      </c>
      <c r="F899" s="7" t="s">
        <v>1793</v>
      </c>
      <c r="G899" s="7" t="s">
        <v>150</v>
      </c>
      <c r="H899" s="7" t="n">
        <v>2</v>
      </c>
      <c r="I899" s="7" t="n">
        <v>135</v>
      </c>
      <c r="J899" s="7" t="n">
        <v>75</v>
      </c>
      <c r="K899" s="7" t="s">
        <v>103</v>
      </c>
      <c r="L899" s="7" t="s">
        <v>194</v>
      </c>
      <c r="M899" s="7" t="n">
        <v>35</v>
      </c>
      <c r="N899" s="7" t="n">
        <v>5</v>
      </c>
      <c r="O899" s="7" t="str">
        <f aca="false">A899&amp;"|"&amp;B899&amp;"|"&amp;C899&amp;"|"&amp;D899&amp;"|"&amp;E899&amp;"|"&amp;F899&amp;"|"&amp;G899&amp;"|"&amp;H899&amp;"|"&amp;I899&amp;"|"&amp;J899&amp;"|"&amp;K899&amp;"|"&amp;L899&amp;"|"&amp;M899&amp;"|"&amp;N899</f>
        <v>ORD10493|2025-03-06|11:08|C0116|Mishti Mandir|Calcutta|Desserts|2|135|75|Debit Card|Delivered|35|5</v>
      </c>
      <c r="P899" s="7" t="str">
        <f aca="false">IF(COUNTIF($O$2:O899,O899)&gt;1,"DUP","OK")</f>
        <v>OK</v>
      </c>
      <c r="Q899" s="7" t="n">
        <f aca="false">COUNTBLANK(A899:N899)</f>
        <v>0</v>
      </c>
      <c r="R899" s="7" t="n">
        <f aca="false">IF(A899="",0,COUNTIFS($A$2:$A$3058,A899,$P$2:$P$3058,"OK"))</f>
        <v>1</v>
      </c>
      <c r="S899" s="7" t="str">
        <f aca="false">IF(OR(A899="",P899="DUP",R899&lt;2),"",IF(Q899=_xlfn.MINIFS($Q$2:$Q$3058,$A$2:$A$3058,A899,$P$2:$P$3058,"OK"),"KEEP","DROP"))</f>
        <v/>
      </c>
      <c r="T899" s="9" t="n">
        <f aca="false">IF(A899="",1,0)</f>
        <v>0</v>
      </c>
      <c r="U899" s="9" t="n">
        <f aca="false">IF(D899="",1,0)</f>
        <v>0</v>
      </c>
      <c r="V899" s="9" t="n">
        <f aca="false">IF(E899="",1,0)</f>
        <v>0</v>
      </c>
      <c r="W899" s="9" t="n">
        <f aca="false">IF(OR(H899&lt;1,H899&gt;10),1,0)</f>
        <v>0</v>
      </c>
      <c r="X899" s="9" t="n">
        <f aca="false">IF(OR(I899&lt;=0,I899&gt;1500),1,0)</f>
        <v>0</v>
      </c>
      <c r="Y899" s="9" t="n">
        <f aca="false">IF(J899&gt;H899*I899,1,0)</f>
        <v>0</v>
      </c>
      <c r="Z899" s="9" t="n">
        <f aca="false">IF(AND(N899&lt;&gt;"",OR(N899&lt;1,N899&gt;5)),1,0)</f>
        <v>0</v>
      </c>
      <c r="AA899" s="9" t="n">
        <f aca="false">IF(AND(M899&lt;&gt;"",OR(M899&lt;5,M899&gt;180)),1,0)</f>
        <v>0</v>
      </c>
      <c r="AB899" s="7" t="str">
        <f aca="false">IF(P899="DUP","Exact duplicate row",IF(T899=1,"Missing Order ID",IF(S899="DROP","Duplicate Order ID (less complete row)",IF(U899=1,"Missing Customer ID",IF(V899=1,"Missing Restaurant name",IF(W899=1,"Invalid/outlier quantity",IF(X899=1,"Invalid/outlier unit price",IF(Y899=1,"Discount greater than order value",""))))))))</f>
        <v/>
      </c>
      <c r="AC899" s="7" t="str">
        <f aca="false">IF(AB899="","KEEP","DROP")</f>
        <v>KEEP</v>
      </c>
      <c r="AD899" s="7" t="str">
        <f aca="false">IF(TRIM(F899)="",IFERROR(INDEX(Map_Tables!$I$4:$I$37,MATCH(TRIM(E899),Map_Tables!$G$4:$G$37,0)),""),IFERROR(INDEX(Map_Tables!$B$4:$B$18,MATCH(TRIM(F899),Map_Tables!$A$4:$A$18,0)),"CHECK"))</f>
        <v>Kolkata</v>
      </c>
      <c r="AE899" s="7" t="str">
        <f aca="false">IF(TRIM(E899)="","",IFERROR(INDEX(Map_Tables!$H$4:$H$37,MATCH(TRIM(E899),Map_Tables!$G$4:$G$37,0)),"CHECK"))</f>
        <v>Mishti Mandir</v>
      </c>
      <c r="AF899" s="7" t="str">
        <f aca="false">IF(TRIM(K899)="","Unknown",IFERROR(INDEX(Map_Tables!$E$4:$E$15,MATCH(TRIM(K899),Map_Tables!$D$4:$D$15,0)),"CHECK"))</f>
        <v>Debit Card</v>
      </c>
      <c r="AG899" s="7" t="str">
        <f aca="false">IF(LEFT(LOWER(TRIM(L899)),6)="cancel","Cancelled","Delivered")</f>
        <v>Delivered</v>
      </c>
      <c r="AH899" s="10" t="n">
        <f aca="false">IF(ISNUMBER(SEARCH("/",B899)),DATE(VALUE(RIGHT(B899,4)),VALUE(MID(B899,4,2)),VALUE(LEFT(B899,2))),IF(MID(B899,5,1)="-",DATE(VALUE(LEFT(B899,4)),VALUE(MID(B899,6,2)),VALUE(RIGHT(B899,2))),DATE(VALUE(RIGHT(B899,4)),MATCH(MID(B899,4,3),{"Jan","Feb","Mar","Apr","May","Jun","Jul","Aug","Sep","Oct","Nov","Dec"},0),VALUE(LEFT(B899,2)))))</f>
        <v>45722</v>
      </c>
    </row>
    <row r="900" customFormat="false" ht="15" hidden="false" customHeight="false" outlineLevel="0" collapsed="false">
      <c r="A900" s="7" t="s">
        <v>2804</v>
      </c>
      <c r="B900" s="7" t="s">
        <v>2097</v>
      </c>
      <c r="C900" s="7" t="s">
        <v>1624</v>
      </c>
      <c r="D900" s="7" t="s">
        <v>2805</v>
      </c>
      <c r="E900" s="7" t="s">
        <v>152</v>
      </c>
      <c r="F900" s="7" t="s">
        <v>128</v>
      </c>
      <c r="G900" s="7" t="s">
        <v>95</v>
      </c>
      <c r="H900" s="7" t="n">
        <v>3</v>
      </c>
      <c r="I900" s="7" t="n">
        <v>85</v>
      </c>
      <c r="J900" s="7" t="n">
        <v>100</v>
      </c>
      <c r="K900" s="7" t="s">
        <v>88</v>
      </c>
      <c r="L900" s="7" t="s">
        <v>194</v>
      </c>
      <c r="M900" s="7" t="n">
        <v>28</v>
      </c>
      <c r="N900" s="7" t="n">
        <v>4</v>
      </c>
      <c r="O900" s="7" t="str">
        <f aca="false">A900&amp;"|"&amp;B900&amp;"|"&amp;C900&amp;"|"&amp;D900&amp;"|"&amp;E900&amp;"|"&amp;F900&amp;"|"&amp;G900&amp;"|"&amp;H900&amp;"|"&amp;I900&amp;"|"&amp;J900&amp;"|"&amp;K900&amp;"|"&amp;L900&amp;"|"&amp;M900&amp;"|"&amp;N900</f>
        <v>ORD12908|2025-12-21|20:31|C0138|Filter Coffee &amp; Tiffin|Chennai|South Indian|3|85|100|UPI|Delivered|28|4</v>
      </c>
      <c r="P900" s="7" t="str">
        <f aca="false">IF(COUNTIF($O$2:O900,O900)&gt;1,"DUP","OK")</f>
        <v>OK</v>
      </c>
      <c r="Q900" s="7" t="n">
        <f aca="false">COUNTBLANK(A900:N900)</f>
        <v>0</v>
      </c>
      <c r="R900" s="7" t="n">
        <f aca="false">IF(A900="",0,COUNTIFS($A$2:$A$3058,A900,$P$2:$P$3058,"OK"))</f>
        <v>1</v>
      </c>
      <c r="S900" s="7" t="str">
        <f aca="false">IF(OR(A900="",P900="DUP",R900&lt;2),"",IF(Q900=_xlfn.MINIFS($Q$2:$Q$3058,$A$2:$A$3058,A900,$P$2:$P$3058,"OK"),"KEEP","DROP"))</f>
        <v/>
      </c>
      <c r="T900" s="9" t="n">
        <f aca="false">IF(A900="",1,0)</f>
        <v>0</v>
      </c>
      <c r="U900" s="9" t="n">
        <f aca="false">IF(D900="",1,0)</f>
        <v>0</v>
      </c>
      <c r="V900" s="9" t="n">
        <f aca="false">IF(E900="",1,0)</f>
        <v>0</v>
      </c>
      <c r="W900" s="9" t="n">
        <f aca="false">IF(OR(H900&lt;1,H900&gt;10),1,0)</f>
        <v>0</v>
      </c>
      <c r="X900" s="9" t="n">
        <f aca="false">IF(OR(I900&lt;=0,I900&gt;1500),1,0)</f>
        <v>0</v>
      </c>
      <c r="Y900" s="9" t="n">
        <f aca="false">IF(J900&gt;H900*I900,1,0)</f>
        <v>0</v>
      </c>
      <c r="Z900" s="9" t="n">
        <f aca="false">IF(AND(N900&lt;&gt;"",OR(N900&lt;1,N900&gt;5)),1,0)</f>
        <v>0</v>
      </c>
      <c r="AA900" s="9" t="n">
        <f aca="false">IF(AND(M900&lt;&gt;"",OR(M900&lt;5,M900&gt;180)),1,0)</f>
        <v>0</v>
      </c>
      <c r="AB900" s="7" t="str">
        <f aca="false">IF(P900="DUP","Exact duplicate row",IF(T900=1,"Missing Order ID",IF(S900="DROP","Duplicate Order ID (less complete row)",IF(U900=1,"Missing Customer ID",IF(V900=1,"Missing Restaurant name",IF(W900=1,"Invalid/outlier quantity",IF(X900=1,"Invalid/outlier unit price",IF(Y900=1,"Discount greater than order value",""))))))))</f>
        <v/>
      </c>
      <c r="AC900" s="7" t="str">
        <f aca="false">IF(AB900="","KEEP","DROP")</f>
        <v>KEEP</v>
      </c>
      <c r="AD900" s="7" t="str">
        <f aca="false">IF(TRIM(F900)="",IFERROR(INDEX(Map_Tables!$I$4:$I$37,MATCH(TRIM(E900),Map_Tables!$G$4:$G$37,0)),""),IFERROR(INDEX(Map_Tables!$B$4:$B$18,MATCH(TRIM(F900),Map_Tables!$A$4:$A$18,0)),"CHECK"))</f>
        <v>Chennai</v>
      </c>
      <c r="AE900" s="7" t="str">
        <f aca="false">IF(TRIM(E900)="","",IFERROR(INDEX(Map_Tables!$H$4:$H$37,MATCH(TRIM(E900),Map_Tables!$G$4:$G$37,0)),"CHECK"))</f>
        <v>Filter Coffee &amp; Tiffin</v>
      </c>
      <c r="AF900" s="7" t="str">
        <f aca="false">IF(TRIM(K900)="","Unknown",IFERROR(INDEX(Map_Tables!$E$4:$E$15,MATCH(TRIM(K900),Map_Tables!$D$4:$D$15,0)),"CHECK"))</f>
        <v>UPI</v>
      </c>
      <c r="AG900" s="7" t="str">
        <f aca="false">IF(LEFT(LOWER(TRIM(L900)),6)="cancel","Cancelled","Delivered")</f>
        <v>Delivered</v>
      </c>
      <c r="AH900" s="10" t="n">
        <f aca="false">IF(ISNUMBER(SEARCH("/",B900)),DATE(VALUE(RIGHT(B900,4)),VALUE(MID(B900,4,2)),VALUE(LEFT(B900,2))),IF(MID(B900,5,1)="-",DATE(VALUE(LEFT(B900,4)),VALUE(MID(B900,6,2)),VALUE(RIGHT(B900,2))),DATE(VALUE(RIGHT(B900,4)),MATCH(MID(B900,4,3),{"Jan","Feb","Mar","Apr","May","Jun","Jul","Aug","Sep","Oct","Nov","Dec"},0),VALUE(LEFT(B900,2)))))</f>
        <v>46012</v>
      </c>
    </row>
    <row r="901" customFormat="false" ht="15" hidden="false" customHeight="false" outlineLevel="0" collapsed="false">
      <c r="A901" s="7" t="s">
        <v>2806</v>
      </c>
      <c r="B901" s="7" t="s">
        <v>231</v>
      </c>
      <c r="C901" s="7" t="s">
        <v>883</v>
      </c>
      <c r="D901" s="7" t="s">
        <v>2807</v>
      </c>
      <c r="E901" s="7" t="s">
        <v>134</v>
      </c>
      <c r="F901" s="7" t="s">
        <v>110</v>
      </c>
      <c r="G901" s="7" t="s">
        <v>117</v>
      </c>
      <c r="H901" s="7" t="n">
        <v>3</v>
      </c>
      <c r="I901" s="7" t="n">
        <v>115</v>
      </c>
      <c r="J901" s="7" t="n">
        <v>100</v>
      </c>
      <c r="K901" s="7" t="s">
        <v>93</v>
      </c>
      <c r="L901" s="7" t="s">
        <v>194</v>
      </c>
      <c r="M901" s="7" t="n">
        <v>39</v>
      </c>
      <c r="N901" s="7" t="n">
        <v>5</v>
      </c>
      <c r="O901" s="7" t="str">
        <f aca="false">A901&amp;"|"&amp;B901&amp;"|"&amp;C901&amp;"|"&amp;D901&amp;"|"&amp;E901&amp;"|"&amp;F901&amp;"|"&amp;G901&amp;"|"&amp;H901&amp;"|"&amp;I901&amp;"|"&amp;J901&amp;"|"&amp;K901&amp;"|"&amp;L901&amp;"|"&amp;M901&amp;"|"&amp;N901</f>
        <v>ORD12714|2025-11-30|13:42|C1387|Chaat Corner|Delhi|Street Food|3|115|100|Credit Card|Delivered|39|5</v>
      </c>
      <c r="P901" s="7" t="str">
        <f aca="false">IF(COUNTIF($O$2:O901,O901)&gt;1,"DUP","OK")</f>
        <v>OK</v>
      </c>
      <c r="Q901" s="7" t="n">
        <f aca="false">COUNTBLANK(A901:N901)</f>
        <v>0</v>
      </c>
      <c r="R901" s="7" t="n">
        <f aca="false">IF(A901="",0,COUNTIFS($A$2:$A$3058,A901,$P$2:$P$3058,"OK"))</f>
        <v>1</v>
      </c>
      <c r="S901" s="7" t="str">
        <f aca="false">IF(OR(A901="",P901="DUP",R901&lt;2),"",IF(Q901=_xlfn.MINIFS($Q$2:$Q$3058,$A$2:$A$3058,A901,$P$2:$P$3058,"OK"),"KEEP","DROP"))</f>
        <v/>
      </c>
      <c r="T901" s="9" t="n">
        <f aca="false">IF(A901="",1,0)</f>
        <v>0</v>
      </c>
      <c r="U901" s="9" t="n">
        <f aca="false">IF(D901="",1,0)</f>
        <v>0</v>
      </c>
      <c r="V901" s="9" t="n">
        <f aca="false">IF(E901="",1,0)</f>
        <v>0</v>
      </c>
      <c r="W901" s="9" t="n">
        <f aca="false">IF(OR(H901&lt;1,H901&gt;10),1,0)</f>
        <v>0</v>
      </c>
      <c r="X901" s="9" t="n">
        <f aca="false">IF(OR(I901&lt;=0,I901&gt;1500),1,0)</f>
        <v>0</v>
      </c>
      <c r="Y901" s="9" t="n">
        <f aca="false">IF(J901&gt;H901*I901,1,0)</f>
        <v>0</v>
      </c>
      <c r="Z901" s="9" t="n">
        <f aca="false">IF(AND(N901&lt;&gt;"",OR(N901&lt;1,N901&gt;5)),1,0)</f>
        <v>0</v>
      </c>
      <c r="AA901" s="9" t="n">
        <f aca="false">IF(AND(M901&lt;&gt;"",OR(M901&lt;5,M901&gt;180)),1,0)</f>
        <v>0</v>
      </c>
      <c r="AB901" s="7" t="str">
        <f aca="false">IF(P901="DUP","Exact duplicate row",IF(T901=1,"Missing Order ID",IF(S901="DROP","Duplicate Order ID (less complete row)",IF(U901=1,"Missing Customer ID",IF(V901=1,"Missing Restaurant name",IF(W901=1,"Invalid/outlier quantity",IF(X901=1,"Invalid/outlier unit price",IF(Y901=1,"Discount greater than order value",""))))))))</f>
        <v/>
      </c>
      <c r="AC901" s="7" t="str">
        <f aca="false">IF(AB901="","KEEP","DROP")</f>
        <v>KEEP</v>
      </c>
      <c r="AD901" s="7" t="str">
        <f aca="false">IF(TRIM(F901)="",IFERROR(INDEX(Map_Tables!$I$4:$I$37,MATCH(TRIM(E901),Map_Tables!$G$4:$G$37,0)),""),IFERROR(INDEX(Map_Tables!$B$4:$B$18,MATCH(TRIM(F901),Map_Tables!$A$4:$A$18,0)),"CHECK"))</f>
        <v>Delhi</v>
      </c>
      <c r="AE901" s="7" t="str">
        <f aca="false">IF(TRIM(E901)="","",IFERROR(INDEX(Map_Tables!$H$4:$H$37,MATCH(TRIM(E901),Map_Tables!$G$4:$G$37,0)),"CHECK"))</f>
        <v>Chaat Corner</v>
      </c>
      <c r="AF901" s="7" t="str">
        <f aca="false">IF(TRIM(K901)="","Unknown",IFERROR(INDEX(Map_Tables!$E$4:$E$15,MATCH(TRIM(K901),Map_Tables!$D$4:$D$15,0)),"CHECK"))</f>
        <v>Credit Card</v>
      </c>
      <c r="AG901" s="7" t="str">
        <f aca="false">IF(LEFT(LOWER(TRIM(L901)),6)="cancel","Cancelled","Delivered")</f>
        <v>Delivered</v>
      </c>
      <c r="AH901" s="10" t="n">
        <f aca="false">IF(ISNUMBER(SEARCH("/",B901)),DATE(VALUE(RIGHT(B901,4)),VALUE(MID(B901,4,2)),VALUE(LEFT(B901,2))),IF(MID(B901,5,1)="-",DATE(VALUE(LEFT(B901,4)),VALUE(MID(B901,6,2)),VALUE(RIGHT(B901,2))),DATE(VALUE(RIGHT(B901,4)),MATCH(MID(B901,4,3),{"Jan","Feb","Mar","Apr","May","Jun","Jul","Aug","Sep","Oct","Nov","Dec"},0),VALUE(LEFT(B901,2)))))</f>
        <v>45991</v>
      </c>
    </row>
    <row r="902" customFormat="false" ht="15" hidden="false" customHeight="false" outlineLevel="0" collapsed="false">
      <c r="A902" s="7" t="s">
        <v>2808</v>
      </c>
      <c r="B902" s="7" t="s">
        <v>2097</v>
      </c>
      <c r="C902" s="7" t="s">
        <v>1140</v>
      </c>
      <c r="D902" s="7" t="s">
        <v>2452</v>
      </c>
      <c r="E902" s="7" t="s">
        <v>149</v>
      </c>
      <c r="F902" s="7" t="s">
        <v>119</v>
      </c>
      <c r="G902" s="7" t="s">
        <v>150</v>
      </c>
      <c r="H902" s="7" t="n">
        <v>1</v>
      </c>
      <c r="I902" s="7" t="n">
        <v>140</v>
      </c>
      <c r="J902" s="7" t="n">
        <v>0</v>
      </c>
      <c r="K902" s="7" t="s">
        <v>88</v>
      </c>
      <c r="L902" s="7" t="s">
        <v>194</v>
      </c>
      <c r="M902" s="7" t="n">
        <v>32</v>
      </c>
      <c r="N902" s="7" t="n">
        <v>4</v>
      </c>
      <c r="O902" s="7" t="str">
        <f aca="false">A902&amp;"|"&amp;B902&amp;"|"&amp;C902&amp;"|"&amp;D902&amp;"|"&amp;E902&amp;"|"&amp;F902&amp;"|"&amp;G902&amp;"|"&amp;H902&amp;"|"&amp;I902&amp;"|"&amp;J902&amp;"|"&amp;K902&amp;"|"&amp;L902&amp;"|"&amp;M902&amp;"|"&amp;N902</f>
        <v>ORD12901|2025-12-21|11:04|C0455|Sweet Tooth Studio|Hyderabad|Desserts|1|140|0|UPI|Delivered|32|4</v>
      </c>
      <c r="P902" s="7" t="str">
        <f aca="false">IF(COUNTIF($O$2:O902,O902)&gt;1,"DUP","OK")</f>
        <v>OK</v>
      </c>
      <c r="Q902" s="7" t="n">
        <f aca="false">COUNTBLANK(A902:N902)</f>
        <v>0</v>
      </c>
      <c r="R902" s="7" t="n">
        <f aca="false">IF(A902="",0,COUNTIFS($A$2:$A$3058,A902,$P$2:$P$3058,"OK"))</f>
        <v>1</v>
      </c>
      <c r="S902" s="7" t="str">
        <f aca="false">IF(OR(A902="",P902="DUP",R902&lt;2),"",IF(Q902=_xlfn.MINIFS($Q$2:$Q$3058,$A$2:$A$3058,A902,$P$2:$P$3058,"OK"),"KEEP","DROP"))</f>
        <v/>
      </c>
      <c r="T902" s="9" t="n">
        <f aca="false">IF(A902="",1,0)</f>
        <v>0</v>
      </c>
      <c r="U902" s="9" t="n">
        <f aca="false">IF(D902="",1,0)</f>
        <v>0</v>
      </c>
      <c r="V902" s="9" t="n">
        <f aca="false">IF(E902="",1,0)</f>
        <v>0</v>
      </c>
      <c r="W902" s="9" t="n">
        <f aca="false">IF(OR(H902&lt;1,H902&gt;10),1,0)</f>
        <v>0</v>
      </c>
      <c r="X902" s="9" t="n">
        <f aca="false">IF(OR(I902&lt;=0,I902&gt;1500),1,0)</f>
        <v>0</v>
      </c>
      <c r="Y902" s="9" t="n">
        <f aca="false">IF(J902&gt;H902*I902,1,0)</f>
        <v>0</v>
      </c>
      <c r="Z902" s="9" t="n">
        <f aca="false">IF(AND(N902&lt;&gt;"",OR(N902&lt;1,N902&gt;5)),1,0)</f>
        <v>0</v>
      </c>
      <c r="AA902" s="9" t="n">
        <f aca="false">IF(AND(M902&lt;&gt;"",OR(M902&lt;5,M902&gt;180)),1,0)</f>
        <v>0</v>
      </c>
      <c r="AB902" s="7" t="str">
        <f aca="false">IF(P902="DUP","Exact duplicate row",IF(T902=1,"Missing Order ID",IF(S902="DROP","Duplicate Order ID (less complete row)",IF(U902=1,"Missing Customer ID",IF(V902=1,"Missing Restaurant name",IF(W902=1,"Invalid/outlier quantity",IF(X902=1,"Invalid/outlier unit price",IF(Y902=1,"Discount greater than order value",""))))))))</f>
        <v/>
      </c>
      <c r="AC902" s="7" t="str">
        <f aca="false">IF(AB902="","KEEP","DROP")</f>
        <v>KEEP</v>
      </c>
      <c r="AD902" s="7" t="str">
        <f aca="false">IF(TRIM(F902)="",IFERROR(INDEX(Map_Tables!$I$4:$I$37,MATCH(TRIM(E902),Map_Tables!$G$4:$G$37,0)),""),IFERROR(INDEX(Map_Tables!$B$4:$B$18,MATCH(TRIM(F902),Map_Tables!$A$4:$A$18,0)),"CHECK"))</f>
        <v>Hyderabad</v>
      </c>
      <c r="AE902" s="7" t="str">
        <f aca="false">IF(TRIM(E902)="","",IFERROR(INDEX(Map_Tables!$H$4:$H$37,MATCH(TRIM(E902),Map_Tables!$G$4:$G$37,0)),"CHECK"))</f>
        <v>Sweet Tooth Studio</v>
      </c>
      <c r="AF902" s="7" t="str">
        <f aca="false">IF(TRIM(K902)="","Unknown",IFERROR(INDEX(Map_Tables!$E$4:$E$15,MATCH(TRIM(K902),Map_Tables!$D$4:$D$15,0)),"CHECK"))</f>
        <v>UPI</v>
      </c>
      <c r="AG902" s="7" t="str">
        <f aca="false">IF(LEFT(LOWER(TRIM(L902)),6)="cancel","Cancelled","Delivered")</f>
        <v>Delivered</v>
      </c>
      <c r="AH902" s="10" t="n">
        <f aca="false">IF(ISNUMBER(SEARCH("/",B902)),DATE(VALUE(RIGHT(B902,4)),VALUE(MID(B902,4,2)),VALUE(LEFT(B902,2))),IF(MID(B902,5,1)="-",DATE(VALUE(LEFT(B902,4)),VALUE(MID(B902,6,2)),VALUE(RIGHT(B902,2))),DATE(VALUE(RIGHT(B902,4)),MATCH(MID(B902,4,3),{"Jan","Feb","Mar","Apr","May","Jun","Jul","Aug","Sep","Oct","Nov","Dec"},0),VALUE(LEFT(B902,2)))))</f>
        <v>46012</v>
      </c>
    </row>
    <row r="903" customFormat="false" ht="15" hidden="false" customHeight="false" outlineLevel="0" collapsed="false">
      <c r="A903" s="7" t="s">
        <v>2809</v>
      </c>
      <c r="B903" s="7" t="s">
        <v>1368</v>
      </c>
      <c r="C903" s="7" t="s">
        <v>2810</v>
      </c>
      <c r="D903" s="7" t="s">
        <v>2811</v>
      </c>
      <c r="E903" s="7" t="s">
        <v>154</v>
      </c>
      <c r="F903" s="7" t="s">
        <v>127</v>
      </c>
      <c r="G903" s="7" t="s">
        <v>99</v>
      </c>
      <c r="H903" s="7" t="n">
        <v>4</v>
      </c>
      <c r="I903" s="7" t="n">
        <v>280</v>
      </c>
      <c r="J903" s="7" t="n">
        <v>50</v>
      </c>
      <c r="K903" s="7" t="s">
        <v>133</v>
      </c>
      <c r="L903" s="7" t="s">
        <v>194</v>
      </c>
      <c r="M903" s="7" t="n">
        <v>26</v>
      </c>
      <c r="N903" s="7" t="n">
        <v>4</v>
      </c>
      <c r="O903" s="7" t="str">
        <f aca="false">A903&amp;"|"&amp;B903&amp;"|"&amp;C903&amp;"|"&amp;D903&amp;"|"&amp;E903&amp;"|"&amp;F903&amp;"|"&amp;G903&amp;"|"&amp;H903&amp;"|"&amp;I903&amp;"|"&amp;J903&amp;"|"&amp;K903&amp;"|"&amp;L903&amp;"|"&amp;M903&amp;"|"&amp;N903</f>
        <v>ORD11699|2025-08-11|13:46|C1185|Madras Biryani Co|chennai|Biryani|4|280|50|Net Banking|Delivered|26|4</v>
      </c>
      <c r="P903" s="7" t="str">
        <f aca="false">IF(COUNTIF($O$2:O903,O903)&gt;1,"DUP","OK")</f>
        <v>OK</v>
      </c>
      <c r="Q903" s="7" t="n">
        <f aca="false">COUNTBLANK(A903:N903)</f>
        <v>0</v>
      </c>
      <c r="R903" s="7" t="n">
        <f aca="false">IF(A903="",0,COUNTIFS($A$2:$A$3058,A903,$P$2:$P$3058,"OK"))</f>
        <v>1</v>
      </c>
      <c r="S903" s="7" t="str">
        <f aca="false">IF(OR(A903="",P903="DUP",R903&lt;2),"",IF(Q903=_xlfn.MINIFS($Q$2:$Q$3058,$A$2:$A$3058,A903,$P$2:$P$3058,"OK"),"KEEP","DROP"))</f>
        <v/>
      </c>
      <c r="T903" s="9" t="n">
        <f aca="false">IF(A903="",1,0)</f>
        <v>0</v>
      </c>
      <c r="U903" s="9" t="n">
        <f aca="false">IF(D903="",1,0)</f>
        <v>0</v>
      </c>
      <c r="V903" s="9" t="n">
        <f aca="false">IF(E903="",1,0)</f>
        <v>0</v>
      </c>
      <c r="W903" s="9" t="n">
        <f aca="false">IF(OR(H903&lt;1,H903&gt;10),1,0)</f>
        <v>0</v>
      </c>
      <c r="X903" s="9" t="n">
        <f aca="false">IF(OR(I903&lt;=0,I903&gt;1500),1,0)</f>
        <v>0</v>
      </c>
      <c r="Y903" s="9" t="n">
        <f aca="false">IF(J903&gt;H903*I903,1,0)</f>
        <v>0</v>
      </c>
      <c r="Z903" s="9" t="n">
        <f aca="false">IF(AND(N903&lt;&gt;"",OR(N903&lt;1,N903&gt;5)),1,0)</f>
        <v>0</v>
      </c>
      <c r="AA903" s="9" t="n">
        <f aca="false">IF(AND(M903&lt;&gt;"",OR(M903&lt;5,M903&gt;180)),1,0)</f>
        <v>0</v>
      </c>
      <c r="AB903" s="7" t="str">
        <f aca="false">IF(P903="DUP","Exact duplicate row",IF(T903=1,"Missing Order ID",IF(S903="DROP","Duplicate Order ID (less complete row)",IF(U903=1,"Missing Customer ID",IF(V903=1,"Missing Restaurant name",IF(W903=1,"Invalid/outlier quantity",IF(X903=1,"Invalid/outlier unit price",IF(Y903=1,"Discount greater than order value",""))))))))</f>
        <v/>
      </c>
      <c r="AC903" s="7" t="str">
        <f aca="false">IF(AB903="","KEEP","DROP")</f>
        <v>KEEP</v>
      </c>
      <c r="AD903" s="7" t="str">
        <f aca="false">IF(TRIM(F903)="",IFERROR(INDEX(Map_Tables!$I$4:$I$37,MATCH(TRIM(E903),Map_Tables!$G$4:$G$37,0)),""),IFERROR(INDEX(Map_Tables!$B$4:$B$18,MATCH(TRIM(F903),Map_Tables!$A$4:$A$18,0)),"CHECK"))</f>
        <v>Chennai</v>
      </c>
      <c r="AE903" s="7" t="str">
        <f aca="false">IF(TRIM(E903)="","",IFERROR(INDEX(Map_Tables!$H$4:$H$37,MATCH(TRIM(E903),Map_Tables!$G$4:$G$37,0)),"CHECK"))</f>
        <v>Madras Biryani Co</v>
      </c>
      <c r="AF903" s="7" t="str">
        <f aca="false">IF(TRIM(K903)="","Unknown",IFERROR(INDEX(Map_Tables!$E$4:$E$15,MATCH(TRIM(K903),Map_Tables!$D$4:$D$15,0)),"CHECK"))</f>
        <v>Net Banking</v>
      </c>
      <c r="AG903" s="7" t="str">
        <f aca="false">IF(LEFT(LOWER(TRIM(L903)),6)="cancel","Cancelled","Delivered")</f>
        <v>Delivered</v>
      </c>
      <c r="AH903" s="10" t="n">
        <f aca="false">IF(ISNUMBER(SEARCH("/",B903)),DATE(VALUE(RIGHT(B903,4)),VALUE(MID(B903,4,2)),VALUE(LEFT(B903,2))),IF(MID(B903,5,1)="-",DATE(VALUE(LEFT(B903,4)),VALUE(MID(B903,6,2)),VALUE(RIGHT(B903,2))),DATE(VALUE(RIGHT(B903,4)),MATCH(MID(B903,4,3),{"Jan","Feb","Mar","Apr","May","Jun","Jul","Aug","Sep","Oct","Nov","Dec"},0),VALUE(LEFT(B903,2)))))</f>
        <v>45880</v>
      </c>
    </row>
    <row r="904" customFormat="false" ht="15" hidden="false" customHeight="false" outlineLevel="0" collapsed="false">
      <c r="A904" s="7" t="s">
        <v>2812</v>
      </c>
      <c r="B904" s="7" t="s">
        <v>2795</v>
      </c>
      <c r="C904" s="7" t="s">
        <v>1880</v>
      </c>
      <c r="D904" s="7" t="s">
        <v>214</v>
      </c>
      <c r="E904" s="7" t="s">
        <v>130</v>
      </c>
      <c r="F904" s="7" t="s">
        <v>110</v>
      </c>
      <c r="G904" s="7" t="s">
        <v>90</v>
      </c>
      <c r="H904" s="7" t="n">
        <v>3</v>
      </c>
      <c r="I904" s="7" t="n">
        <v>250</v>
      </c>
      <c r="J904" s="7" t="n">
        <v>150</v>
      </c>
      <c r="K904" s="7" t="s">
        <v>88</v>
      </c>
      <c r="L904" s="7" t="s">
        <v>194</v>
      </c>
      <c r="M904" s="7" t="n">
        <v>42</v>
      </c>
      <c r="N904" s="7" t="n">
        <v>5</v>
      </c>
      <c r="O904" s="7" t="str">
        <f aca="false">A904&amp;"|"&amp;B904&amp;"|"&amp;C904&amp;"|"&amp;D904&amp;"|"&amp;E904&amp;"|"&amp;F904&amp;"|"&amp;G904&amp;"|"&amp;H904&amp;"|"&amp;I904&amp;"|"&amp;J904&amp;"|"&amp;K904&amp;"|"&amp;L904&amp;"|"&amp;M904&amp;"|"&amp;N904</f>
        <v>ORD12056|2025-09-22|22:15|C0481|Tandoor Tales|Delhi|North Indian|3|250|150|UPI|Delivered|42|5</v>
      </c>
      <c r="P904" s="7" t="str">
        <f aca="false">IF(COUNTIF($O$2:O904,O904)&gt;1,"DUP","OK")</f>
        <v>OK</v>
      </c>
      <c r="Q904" s="7" t="n">
        <f aca="false">COUNTBLANK(A904:N904)</f>
        <v>0</v>
      </c>
      <c r="R904" s="7" t="n">
        <f aca="false">IF(A904="",0,COUNTIFS($A$2:$A$3058,A904,$P$2:$P$3058,"OK"))</f>
        <v>1</v>
      </c>
      <c r="S904" s="7" t="str">
        <f aca="false">IF(OR(A904="",P904="DUP",R904&lt;2),"",IF(Q904=_xlfn.MINIFS($Q$2:$Q$3058,$A$2:$A$3058,A904,$P$2:$P$3058,"OK"),"KEEP","DROP"))</f>
        <v/>
      </c>
      <c r="T904" s="9" t="n">
        <f aca="false">IF(A904="",1,0)</f>
        <v>0</v>
      </c>
      <c r="U904" s="9" t="n">
        <f aca="false">IF(D904="",1,0)</f>
        <v>0</v>
      </c>
      <c r="V904" s="9" t="n">
        <f aca="false">IF(E904="",1,0)</f>
        <v>0</v>
      </c>
      <c r="W904" s="9" t="n">
        <f aca="false">IF(OR(H904&lt;1,H904&gt;10),1,0)</f>
        <v>0</v>
      </c>
      <c r="X904" s="9" t="n">
        <f aca="false">IF(OR(I904&lt;=0,I904&gt;1500),1,0)</f>
        <v>0</v>
      </c>
      <c r="Y904" s="9" t="n">
        <f aca="false">IF(J904&gt;H904*I904,1,0)</f>
        <v>0</v>
      </c>
      <c r="Z904" s="9" t="n">
        <f aca="false">IF(AND(N904&lt;&gt;"",OR(N904&lt;1,N904&gt;5)),1,0)</f>
        <v>0</v>
      </c>
      <c r="AA904" s="9" t="n">
        <f aca="false">IF(AND(M904&lt;&gt;"",OR(M904&lt;5,M904&gt;180)),1,0)</f>
        <v>0</v>
      </c>
      <c r="AB904" s="7" t="str">
        <f aca="false">IF(P904="DUP","Exact duplicate row",IF(T904=1,"Missing Order ID",IF(S904="DROP","Duplicate Order ID (less complete row)",IF(U904=1,"Missing Customer ID",IF(V904=1,"Missing Restaurant name",IF(W904=1,"Invalid/outlier quantity",IF(X904=1,"Invalid/outlier unit price",IF(Y904=1,"Discount greater than order value",""))))))))</f>
        <v/>
      </c>
      <c r="AC904" s="7" t="str">
        <f aca="false">IF(AB904="","KEEP","DROP")</f>
        <v>KEEP</v>
      </c>
      <c r="AD904" s="7" t="str">
        <f aca="false">IF(TRIM(F904)="",IFERROR(INDEX(Map_Tables!$I$4:$I$37,MATCH(TRIM(E904),Map_Tables!$G$4:$G$37,0)),""),IFERROR(INDEX(Map_Tables!$B$4:$B$18,MATCH(TRIM(F904),Map_Tables!$A$4:$A$18,0)),"CHECK"))</f>
        <v>Delhi</v>
      </c>
      <c r="AE904" s="7" t="str">
        <f aca="false">IF(TRIM(E904)="","",IFERROR(INDEX(Map_Tables!$H$4:$H$37,MATCH(TRIM(E904),Map_Tables!$G$4:$G$37,0)),"CHECK"))</f>
        <v>Tandoor Tales</v>
      </c>
      <c r="AF904" s="7" t="str">
        <f aca="false">IF(TRIM(K904)="","Unknown",IFERROR(INDEX(Map_Tables!$E$4:$E$15,MATCH(TRIM(K904),Map_Tables!$D$4:$D$15,0)),"CHECK"))</f>
        <v>UPI</v>
      </c>
      <c r="AG904" s="7" t="str">
        <f aca="false">IF(LEFT(LOWER(TRIM(L904)),6)="cancel","Cancelled","Delivered")</f>
        <v>Delivered</v>
      </c>
      <c r="AH904" s="10" t="n">
        <f aca="false">IF(ISNUMBER(SEARCH("/",B904)),DATE(VALUE(RIGHT(B904,4)),VALUE(MID(B904,4,2)),VALUE(LEFT(B904,2))),IF(MID(B904,5,1)="-",DATE(VALUE(LEFT(B904,4)),VALUE(MID(B904,6,2)),VALUE(RIGHT(B904,2))),DATE(VALUE(RIGHT(B904,4)),MATCH(MID(B904,4,3),{"Jan","Feb","Mar","Apr","May","Jun","Jul","Aug","Sep","Oct","Nov","Dec"},0),VALUE(LEFT(B904,2)))))</f>
        <v>45922</v>
      </c>
    </row>
    <row r="905" customFormat="false" ht="15" hidden="false" customHeight="false" outlineLevel="0" collapsed="false">
      <c r="A905" s="7" t="s">
        <v>2813</v>
      </c>
      <c r="B905" s="7" t="s">
        <v>700</v>
      </c>
      <c r="C905" s="7" t="s">
        <v>1180</v>
      </c>
      <c r="D905" s="7" t="s">
        <v>2814</v>
      </c>
      <c r="E905" s="7" t="s">
        <v>2815</v>
      </c>
      <c r="F905" s="7" t="s">
        <v>141</v>
      </c>
      <c r="G905" s="7" t="s">
        <v>117</v>
      </c>
      <c r="H905" s="7" t="n">
        <v>5</v>
      </c>
      <c r="I905" s="7" t="n">
        <v>115</v>
      </c>
      <c r="J905" s="7" t="n">
        <v>0</v>
      </c>
      <c r="K905" s="7" t="s">
        <v>88</v>
      </c>
      <c r="L905" s="7" t="s">
        <v>194</v>
      </c>
      <c r="M905" s="7" t="n">
        <v>31</v>
      </c>
      <c r="N905" s="7" t="n">
        <v>4</v>
      </c>
      <c r="O905" s="7" t="str">
        <f aca="false">A905&amp;"|"&amp;B905&amp;"|"&amp;C905&amp;"|"&amp;D905&amp;"|"&amp;E905&amp;"|"&amp;F905&amp;"|"&amp;G905&amp;"|"&amp;H905&amp;"|"&amp;I905&amp;"|"&amp;J905&amp;"|"&amp;K905&amp;"|"&amp;L905&amp;"|"&amp;M905&amp;"|"&amp;N905</f>
        <v>ORD10769|2025-04-07|21:07|C0001| Bengal Bites|Kolkata|Street Food|5|115|0|UPI|Delivered|31|4</v>
      </c>
      <c r="P905" s="7" t="str">
        <f aca="false">IF(COUNTIF($O$2:O905,O905)&gt;1,"DUP","OK")</f>
        <v>OK</v>
      </c>
      <c r="Q905" s="7" t="n">
        <f aca="false">COUNTBLANK(A905:N905)</f>
        <v>0</v>
      </c>
      <c r="R905" s="7" t="n">
        <f aca="false">IF(A905="",0,COUNTIFS($A$2:$A$3058,A905,$P$2:$P$3058,"OK"))</f>
        <v>1</v>
      </c>
      <c r="S905" s="7" t="str">
        <f aca="false">IF(OR(A905="",P905="DUP",R905&lt;2),"",IF(Q905=_xlfn.MINIFS($Q$2:$Q$3058,$A$2:$A$3058,A905,$P$2:$P$3058,"OK"),"KEEP","DROP"))</f>
        <v/>
      </c>
      <c r="T905" s="9" t="n">
        <f aca="false">IF(A905="",1,0)</f>
        <v>0</v>
      </c>
      <c r="U905" s="9" t="n">
        <f aca="false">IF(D905="",1,0)</f>
        <v>0</v>
      </c>
      <c r="V905" s="9" t="n">
        <f aca="false">IF(E905="",1,0)</f>
        <v>0</v>
      </c>
      <c r="W905" s="9" t="n">
        <f aca="false">IF(OR(H905&lt;1,H905&gt;10),1,0)</f>
        <v>0</v>
      </c>
      <c r="X905" s="9" t="n">
        <f aca="false">IF(OR(I905&lt;=0,I905&gt;1500),1,0)</f>
        <v>0</v>
      </c>
      <c r="Y905" s="9" t="n">
        <f aca="false">IF(J905&gt;H905*I905,1,0)</f>
        <v>0</v>
      </c>
      <c r="Z905" s="9" t="n">
        <f aca="false">IF(AND(N905&lt;&gt;"",OR(N905&lt;1,N905&gt;5)),1,0)</f>
        <v>0</v>
      </c>
      <c r="AA905" s="9" t="n">
        <f aca="false">IF(AND(M905&lt;&gt;"",OR(M905&lt;5,M905&gt;180)),1,0)</f>
        <v>0</v>
      </c>
      <c r="AB905" s="7" t="str">
        <f aca="false">IF(P905="DUP","Exact duplicate row",IF(T905=1,"Missing Order ID",IF(S905="DROP","Duplicate Order ID (less complete row)",IF(U905=1,"Missing Customer ID",IF(V905=1,"Missing Restaurant name",IF(W905=1,"Invalid/outlier quantity",IF(X905=1,"Invalid/outlier unit price",IF(Y905=1,"Discount greater than order value",""))))))))</f>
        <v/>
      </c>
      <c r="AC905" s="7" t="str">
        <f aca="false">IF(AB905="","KEEP","DROP")</f>
        <v>KEEP</v>
      </c>
      <c r="AD905" s="7" t="str">
        <f aca="false">IF(TRIM(F905)="",IFERROR(INDEX(Map_Tables!$I$4:$I$37,MATCH(TRIM(E905),Map_Tables!$G$4:$G$37,0)),""),IFERROR(INDEX(Map_Tables!$B$4:$B$18,MATCH(TRIM(F905),Map_Tables!$A$4:$A$18,0)),"CHECK"))</f>
        <v>Kolkata</v>
      </c>
      <c r="AE905" s="7" t="str">
        <f aca="false">IF(TRIM(E905)="","",IFERROR(INDEX(Map_Tables!$H$4:$H$37,MATCH(TRIM(E905),Map_Tables!$G$4:$G$37,0)),"CHECK"))</f>
        <v>Bengal Bites</v>
      </c>
      <c r="AF905" s="7" t="str">
        <f aca="false">IF(TRIM(K905)="","Unknown",IFERROR(INDEX(Map_Tables!$E$4:$E$15,MATCH(TRIM(K905),Map_Tables!$D$4:$D$15,0)),"CHECK"))</f>
        <v>UPI</v>
      </c>
      <c r="AG905" s="7" t="str">
        <f aca="false">IF(LEFT(LOWER(TRIM(L905)),6)="cancel","Cancelled","Delivered")</f>
        <v>Delivered</v>
      </c>
      <c r="AH905" s="10" t="n">
        <f aca="false">IF(ISNUMBER(SEARCH("/",B905)),DATE(VALUE(RIGHT(B905,4)),VALUE(MID(B905,4,2)),VALUE(LEFT(B905,2))),IF(MID(B905,5,1)="-",DATE(VALUE(LEFT(B905,4)),VALUE(MID(B905,6,2)),VALUE(RIGHT(B905,2))),DATE(VALUE(RIGHT(B905,4)),MATCH(MID(B905,4,3),{"Jan","Feb","Mar","Apr","May","Jun","Jul","Aug","Sep","Oct","Nov","Dec"},0),VALUE(LEFT(B905,2)))))</f>
        <v>45754</v>
      </c>
    </row>
    <row r="906" customFormat="false" ht="15" hidden="false" customHeight="false" outlineLevel="0" collapsed="false">
      <c r="A906" s="7" t="s">
        <v>2816</v>
      </c>
      <c r="B906" s="7" t="s">
        <v>1989</v>
      </c>
      <c r="C906" s="7" t="s">
        <v>2817</v>
      </c>
      <c r="D906" s="7" t="s">
        <v>2818</v>
      </c>
      <c r="E906" s="7" t="s">
        <v>168</v>
      </c>
      <c r="F906" s="7" t="s">
        <v>146</v>
      </c>
      <c r="G906" s="7" t="s">
        <v>123</v>
      </c>
      <c r="H906" s="7" t="n">
        <v>3</v>
      </c>
      <c r="I906" s="7" t="n">
        <v>290</v>
      </c>
      <c r="J906" s="7" t="n">
        <v>125</v>
      </c>
      <c r="K906" s="7" t="s">
        <v>93</v>
      </c>
      <c r="L906" s="7" t="s">
        <v>194</v>
      </c>
      <c r="M906" s="7" t="n">
        <v>44</v>
      </c>
      <c r="N906" s="7" t="n">
        <v>5</v>
      </c>
      <c r="O906" s="7" t="str">
        <f aca="false">A906&amp;"|"&amp;B906&amp;"|"&amp;C906&amp;"|"&amp;D906&amp;"|"&amp;E906&amp;"|"&amp;F906&amp;"|"&amp;G906&amp;"|"&amp;H906&amp;"|"&amp;I906&amp;"|"&amp;J906&amp;"|"&amp;K906&amp;"|"&amp;L906&amp;"|"&amp;M906&amp;"|"&amp;N906</f>
        <v>ORD11399|2025-06-30|13:37|C0620|Cheesy Slice|Ahmedabad|Pizza|3|290|125|Credit Card|Delivered|44|5</v>
      </c>
      <c r="P906" s="7" t="str">
        <f aca="false">IF(COUNTIF($O$2:O906,O906)&gt;1,"DUP","OK")</f>
        <v>OK</v>
      </c>
      <c r="Q906" s="7" t="n">
        <f aca="false">COUNTBLANK(A906:N906)</f>
        <v>0</v>
      </c>
      <c r="R906" s="7" t="n">
        <f aca="false">IF(A906="",0,COUNTIFS($A$2:$A$3058,A906,$P$2:$P$3058,"OK"))</f>
        <v>1</v>
      </c>
      <c r="S906" s="7" t="str">
        <f aca="false">IF(OR(A906="",P906="DUP",R906&lt;2),"",IF(Q906=_xlfn.MINIFS($Q$2:$Q$3058,$A$2:$A$3058,A906,$P$2:$P$3058,"OK"),"KEEP","DROP"))</f>
        <v/>
      </c>
      <c r="T906" s="9" t="n">
        <f aca="false">IF(A906="",1,0)</f>
        <v>0</v>
      </c>
      <c r="U906" s="9" t="n">
        <f aca="false">IF(D906="",1,0)</f>
        <v>0</v>
      </c>
      <c r="V906" s="9" t="n">
        <f aca="false">IF(E906="",1,0)</f>
        <v>0</v>
      </c>
      <c r="W906" s="9" t="n">
        <f aca="false">IF(OR(H906&lt;1,H906&gt;10),1,0)</f>
        <v>0</v>
      </c>
      <c r="X906" s="9" t="n">
        <f aca="false">IF(OR(I906&lt;=0,I906&gt;1500),1,0)</f>
        <v>0</v>
      </c>
      <c r="Y906" s="9" t="n">
        <f aca="false">IF(J906&gt;H906*I906,1,0)</f>
        <v>0</v>
      </c>
      <c r="Z906" s="9" t="n">
        <f aca="false">IF(AND(N906&lt;&gt;"",OR(N906&lt;1,N906&gt;5)),1,0)</f>
        <v>0</v>
      </c>
      <c r="AA906" s="9" t="n">
        <f aca="false">IF(AND(M906&lt;&gt;"",OR(M906&lt;5,M906&gt;180)),1,0)</f>
        <v>0</v>
      </c>
      <c r="AB906" s="7" t="str">
        <f aca="false">IF(P906="DUP","Exact duplicate row",IF(T906=1,"Missing Order ID",IF(S906="DROP","Duplicate Order ID (less complete row)",IF(U906=1,"Missing Customer ID",IF(V906=1,"Missing Restaurant name",IF(W906=1,"Invalid/outlier quantity",IF(X906=1,"Invalid/outlier unit price",IF(Y906=1,"Discount greater than order value",""))))))))</f>
        <v/>
      </c>
      <c r="AC906" s="7" t="str">
        <f aca="false">IF(AB906="","KEEP","DROP")</f>
        <v>KEEP</v>
      </c>
      <c r="AD906" s="7" t="str">
        <f aca="false">IF(TRIM(F906)="",IFERROR(INDEX(Map_Tables!$I$4:$I$37,MATCH(TRIM(E906),Map_Tables!$G$4:$G$37,0)),""),IFERROR(INDEX(Map_Tables!$B$4:$B$18,MATCH(TRIM(F906),Map_Tables!$A$4:$A$18,0)),"CHECK"))</f>
        <v>Ahmedabad</v>
      </c>
      <c r="AE906" s="7" t="str">
        <f aca="false">IF(TRIM(E906)="","",IFERROR(INDEX(Map_Tables!$H$4:$H$37,MATCH(TRIM(E906),Map_Tables!$G$4:$G$37,0)),"CHECK"))</f>
        <v>Cheesy Slice</v>
      </c>
      <c r="AF906" s="7" t="str">
        <f aca="false">IF(TRIM(K906)="","Unknown",IFERROR(INDEX(Map_Tables!$E$4:$E$15,MATCH(TRIM(K906),Map_Tables!$D$4:$D$15,0)),"CHECK"))</f>
        <v>Credit Card</v>
      </c>
      <c r="AG906" s="7" t="str">
        <f aca="false">IF(LEFT(LOWER(TRIM(L906)),6)="cancel","Cancelled","Delivered")</f>
        <v>Delivered</v>
      </c>
      <c r="AH906" s="10" t="n">
        <f aca="false">IF(ISNUMBER(SEARCH("/",B906)),DATE(VALUE(RIGHT(B906,4)),VALUE(MID(B906,4,2)),VALUE(LEFT(B906,2))),IF(MID(B906,5,1)="-",DATE(VALUE(LEFT(B906,4)),VALUE(MID(B906,6,2)),VALUE(RIGHT(B906,2))),DATE(VALUE(RIGHT(B906,4)),MATCH(MID(B906,4,3),{"Jan","Feb","Mar","Apr","May","Jun","Jul","Aug","Sep","Oct","Nov","Dec"},0),VALUE(LEFT(B906,2)))))</f>
        <v>45838</v>
      </c>
    </row>
    <row r="907" customFormat="false" ht="15" hidden="false" customHeight="false" outlineLevel="0" collapsed="false">
      <c r="A907" s="7" t="s">
        <v>2819</v>
      </c>
      <c r="B907" s="7" t="s">
        <v>196</v>
      </c>
      <c r="C907" s="7" t="s">
        <v>1643</v>
      </c>
      <c r="D907" s="7" t="s">
        <v>1310</v>
      </c>
      <c r="E907" s="7" t="s">
        <v>148</v>
      </c>
      <c r="F907" s="7" t="s">
        <v>118</v>
      </c>
      <c r="G907" s="7" t="s">
        <v>123</v>
      </c>
      <c r="H907" s="7" t="n">
        <v>1</v>
      </c>
      <c r="I907" s="7" t="n">
        <v>315</v>
      </c>
      <c r="J907" s="7" t="n">
        <v>125</v>
      </c>
      <c r="K907" s="7" t="s">
        <v>88</v>
      </c>
      <c r="L907" s="7" t="s">
        <v>194</v>
      </c>
      <c r="M907" s="7" t="n">
        <v>26</v>
      </c>
      <c r="N907" s="7" t="n">
        <v>5</v>
      </c>
      <c r="O907" s="7" t="str">
        <f aca="false">A907&amp;"|"&amp;B907&amp;"|"&amp;C907&amp;"|"&amp;D907&amp;"|"&amp;E907&amp;"|"&amp;F907&amp;"|"&amp;G907&amp;"|"&amp;H907&amp;"|"&amp;I907&amp;"|"&amp;J907&amp;"|"&amp;K907&amp;"|"&amp;L907&amp;"|"&amp;M907&amp;"|"&amp;N907</f>
        <v>ORD12665|2025-11-24|18:31|C0474|Pizza Palace|hyderabad|Pizza|1|315|125|UPI|Delivered|26|5</v>
      </c>
      <c r="P907" s="7" t="str">
        <f aca="false">IF(COUNTIF($O$2:O907,O907)&gt;1,"DUP","OK")</f>
        <v>OK</v>
      </c>
      <c r="Q907" s="7" t="n">
        <f aca="false">COUNTBLANK(A907:N907)</f>
        <v>0</v>
      </c>
      <c r="R907" s="7" t="n">
        <f aca="false">IF(A907="",0,COUNTIFS($A$2:$A$3058,A907,$P$2:$P$3058,"OK"))</f>
        <v>1</v>
      </c>
      <c r="S907" s="7" t="str">
        <f aca="false">IF(OR(A907="",P907="DUP",R907&lt;2),"",IF(Q907=_xlfn.MINIFS($Q$2:$Q$3058,$A$2:$A$3058,A907,$P$2:$P$3058,"OK"),"KEEP","DROP"))</f>
        <v/>
      </c>
      <c r="T907" s="9" t="n">
        <f aca="false">IF(A907="",1,0)</f>
        <v>0</v>
      </c>
      <c r="U907" s="9" t="n">
        <f aca="false">IF(D907="",1,0)</f>
        <v>0</v>
      </c>
      <c r="V907" s="9" t="n">
        <f aca="false">IF(E907="",1,0)</f>
        <v>0</v>
      </c>
      <c r="W907" s="9" t="n">
        <f aca="false">IF(OR(H907&lt;1,H907&gt;10),1,0)</f>
        <v>0</v>
      </c>
      <c r="X907" s="9" t="n">
        <f aca="false">IF(OR(I907&lt;=0,I907&gt;1500),1,0)</f>
        <v>0</v>
      </c>
      <c r="Y907" s="9" t="n">
        <f aca="false">IF(J907&gt;H907*I907,1,0)</f>
        <v>0</v>
      </c>
      <c r="Z907" s="9" t="n">
        <f aca="false">IF(AND(N907&lt;&gt;"",OR(N907&lt;1,N907&gt;5)),1,0)</f>
        <v>0</v>
      </c>
      <c r="AA907" s="9" t="n">
        <f aca="false">IF(AND(M907&lt;&gt;"",OR(M907&lt;5,M907&gt;180)),1,0)</f>
        <v>0</v>
      </c>
      <c r="AB907" s="7" t="str">
        <f aca="false">IF(P907="DUP","Exact duplicate row",IF(T907=1,"Missing Order ID",IF(S907="DROP","Duplicate Order ID (less complete row)",IF(U907=1,"Missing Customer ID",IF(V907=1,"Missing Restaurant name",IF(W907=1,"Invalid/outlier quantity",IF(X907=1,"Invalid/outlier unit price",IF(Y907=1,"Discount greater than order value",""))))))))</f>
        <v/>
      </c>
      <c r="AC907" s="7" t="str">
        <f aca="false">IF(AB907="","KEEP","DROP")</f>
        <v>KEEP</v>
      </c>
      <c r="AD907" s="7" t="str">
        <f aca="false">IF(TRIM(F907)="",IFERROR(INDEX(Map_Tables!$I$4:$I$37,MATCH(TRIM(E907),Map_Tables!$G$4:$G$37,0)),""),IFERROR(INDEX(Map_Tables!$B$4:$B$18,MATCH(TRIM(F907),Map_Tables!$A$4:$A$18,0)),"CHECK"))</f>
        <v>Hyderabad</v>
      </c>
      <c r="AE907" s="7" t="str">
        <f aca="false">IF(TRIM(E907)="","",IFERROR(INDEX(Map_Tables!$H$4:$H$37,MATCH(TRIM(E907),Map_Tables!$G$4:$G$37,0)),"CHECK"))</f>
        <v>Pizza Palace</v>
      </c>
      <c r="AF907" s="7" t="str">
        <f aca="false">IF(TRIM(K907)="","Unknown",IFERROR(INDEX(Map_Tables!$E$4:$E$15,MATCH(TRIM(K907),Map_Tables!$D$4:$D$15,0)),"CHECK"))</f>
        <v>UPI</v>
      </c>
      <c r="AG907" s="7" t="str">
        <f aca="false">IF(LEFT(LOWER(TRIM(L907)),6)="cancel","Cancelled","Delivered")</f>
        <v>Delivered</v>
      </c>
      <c r="AH907" s="10" t="n">
        <f aca="false">IF(ISNUMBER(SEARCH("/",B907)),DATE(VALUE(RIGHT(B907,4)),VALUE(MID(B907,4,2)),VALUE(LEFT(B907,2))),IF(MID(B907,5,1)="-",DATE(VALUE(LEFT(B907,4)),VALUE(MID(B907,6,2)),VALUE(RIGHT(B907,2))),DATE(VALUE(RIGHT(B907,4)),MATCH(MID(B907,4,3),{"Jan","Feb","Mar","Apr","May","Jun","Jul","Aug","Sep","Oct","Nov","Dec"},0),VALUE(LEFT(B907,2)))))</f>
        <v>45985</v>
      </c>
    </row>
    <row r="908" customFormat="false" ht="15" hidden="false" customHeight="false" outlineLevel="0" collapsed="false">
      <c r="A908" s="7" t="s">
        <v>2820</v>
      </c>
      <c r="B908" s="7" t="s">
        <v>1127</v>
      </c>
      <c r="C908" s="7" t="s">
        <v>2088</v>
      </c>
      <c r="D908" s="7" t="s">
        <v>2446</v>
      </c>
      <c r="E908" s="7" t="s">
        <v>167</v>
      </c>
      <c r="F908" s="7" t="s">
        <v>146</v>
      </c>
      <c r="G908" s="7" t="s">
        <v>2821</v>
      </c>
      <c r="H908" s="7" t="n">
        <v>2</v>
      </c>
      <c r="I908" s="7" t="n">
        <v>220</v>
      </c>
      <c r="J908" s="7" t="n">
        <v>0</v>
      </c>
      <c r="K908" s="7" t="s">
        <v>112</v>
      </c>
      <c r="L908" s="7" t="s">
        <v>194</v>
      </c>
      <c r="M908" s="7" t="n">
        <v>27</v>
      </c>
      <c r="N908" s="7" t="n">
        <v>2</v>
      </c>
      <c r="O908" s="7" t="str">
        <f aca="false">A908&amp;"|"&amp;B908&amp;"|"&amp;C908&amp;"|"&amp;D908&amp;"|"&amp;E908&amp;"|"&amp;F908&amp;"|"&amp;G908&amp;"|"&amp;H908&amp;"|"&amp;I908&amp;"|"&amp;J908&amp;"|"&amp;K908&amp;"|"&amp;L908&amp;"|"&amp;M908&amp;"|"&amp;N908</f>
        <v>ORD12764|2025-12-03|19:56|C0430|Fit Fuel Kitchen|Ahmedabad|HEALTHY FOOD|2|220|0|Cash on Delivery|Delivered|27|2</v>
      </c>
      <c r="P908" s="7" t="str">
        <f aca="false">IF(COUNTIF($O$2:O908,O908)&gt;1,"DUP","OK")</f>
        <v>OK</v>
      </c>
      <c r="Q908" s="7" t="n">
        <f aca="false">COUNTBLANK(A908:N908)</f>
        <v>0</v>
      </c>
      <c r="R908" s="7" t="n">
        <f aca="false">IF(A908="",0,COUNTIFS($A$2:$A$3058,A908,$P$2:$P$3058,"OK"))</f>
        <v>1</v>
      </c>
      <c r="S908" s="7" t="str">
        <f aca="false">IF(OR(A908="",P908="DUP",R908&lt;2),"",IF(Q908=_xlfn.MINIFS($Q$2:$Q$3058,$A$2:$A$3058,A908,$P$2:$P$3058,"OK"),"KEEP","DROP"))</f>
        <v/>
      </c>
      <c r="T908" s="9" t="n">
        <f aca="false">IF(A908="",1,0)</f>
        <v>0</v>
      </c>
      <c r="U908" s="9" t="n">
        <f aca="false">IF(D908="",1,0)</f>
        <v>0</v>
      </c>
      <c r="V908" s="9" t="n">
        <f aca="false">IF(E908="",1,0)</f>
        <v>0</v>
      </c>
      <c r="W908" s="9" t="n">
        <f aca="false">IF(OR(H908&lt;1,H908&gt;10),1,0)</f>
        <v>0</v>
      </c>
      <c r="X908" s="9" t="n">
        <f aca="false">IF(OR(I908&lt;=0,I908&gt;1500),1,0)</f>
        <v>0</v>
      </c>
      <c r="Y908" s="9" t="n">
        <f aca="false">IF(J908&gt;H908*I908,1,0)</f>
        <v>0</v>
      </c>
      <c r="Z908" s="9" t="n">
        <f aca="false">IF(AND(N908&lt;&gt;"",OR(N908&lt;1,N908&gt;5)),1,0)</f>
        <v>0</v>
      </c>
      <c r="AA908" s="9" t="n">
        <f aca="false">IF(AND(M908&lt;&gt;"",OR(M908&lt;5,M908&gt;180)),1,0)</f>
        <v>0</v>
      </c>
      <c r="AB908" s="7" t="str">
        <f aca="false">IF(P908="DUP","Exact duplicate row",IF(T908=1,"Missing Order ID",IF(S908="DROP","Duplicate Order ID (less complete row)",IF(U908=1,"Missing Customer ID",IF(V908=1,"Missing Restaurant name",IF(W908=1,"Invalid/outlier quantity",IF(X908=1,"Invalid/outlier unit price",IF(Y908=1,"Discount greater than order value",""))))))))</f>
        <v/>
      </c>
      <c r="AC908" s="7" t="str">
        <f aca="false">IF(AB908="","KEEP","DROP")</f>
        <v>KEEP</v>
      </c>
      <c r="AD908" s="7" t="str">
        <f aca="false">IF(TRIM(F908)="",IFERROR(INDEX(Map_Tables!$I$4:$I$37,MATCH(TRIM(E908),Map_Tables!$G$4:$G$37,0)),""),IFERROR(INDEX(Map_Tables!$B$4:$B$18,MATCH(TRIM(F908),Map_Tables!$A$4:$A$18,0)),"CHECK"))</f>
        <v>Ahmedabad</v>
      </c>
      <c r="AE908" s="7" t="str">
        <f aca="false">IF(TRIM(E908)="","",IFERROR(INDEX(Map_Tables!$H$4:$H$37,MATCH(TRIM(E908),Map_Tables!$G$4:$G$37,0)),"CHECK"))</f>
        <v>Fit Fuel Kitchen</v>
      </c>
      <c r="AF908" s="7" t="str">
        <f aca="false">IF(TRIM(K908)="","Unknown",IFERROR(INDEX(Map_Tables!$E$4:$E$15,MATCH(TRIM(K908),Map_Tables!$D$4:$D$15,0)),"CHECK"))</f>
        <v>Cash on Delivery</v>
      </c>
      <c r="AG908" s="7" t="str">
        <f aca="false">IF(LEFT(LOWER(TRIM(L908)),6)="cancel","Cancelled","Delivered")</f>
        <v>Delivered</v>
      </c>
      <c r="AH908" s="10" t="n">
        <f aca="false">IF(ISNUMBER(SEARCH("/",B908)),DATE(VALUE(RIGHT(B908,4)),VALUE(MID(B908,4,2)),VALUE(LEFT(B908,2))),IF(MID(B908,5,1)="-",DATE(VALUE(LEFT(B908,4)),VALUE(MID(B908,6,2)),VALUE(RIGHT(B908,2))),DATE(VALUE(RIGHT(B908,4)),MATCH(MID(B908,4,3),{"Jan","Feb","Mar","Apr","May","Jun","Jul","Aug","Sep","Oct","Nov","Dec"},0),VALUE(LEFT(B908,2)))))</f>
        <v>45994</v>
      </c>
    </row>
    <row r="909" customFormat="false" ht="15" hidden="false" customHeight="false" outlineLevel="0" collapsed="false">
      <c r="A909" s="7" t="s">
        <v>2822</v>
      </c>
      <c r="B909" s="7" t="s">
        <v>1163</v>
      </c>
      <c r="C909" s="7" t="s">
        <v>1235</v>
      </c>
      <c r="D909" s="7" t="s">
        <v>2823</v>
      </c>
      <c r="E909" s="7" t="s">
        <v>158</v>
      </c>
      <c r="F909" s="7" t="s">
        <v>136</v>
      </c>
      <c r="G909" s="7" t="s">
        <v>139</v>
      </c>
      <c r="H909" s="7" t="n">
        <v>1</v>
      </c>
      <c r="I909" s="7" t="n">
        <v>200</v>
      </c>
      <c r="J909" s="7" t="n">
        <v>80</v>
      </c>
      <c r="K909" s="7" t="s">
        <v>88</v>
      </c>
      <c r="L909" s="7" t="s">
        <v>194</v>
      </c>
      <c r="M909" s="7" t="n">
        <v>27</v>
      </c>
      <c r="N909" s="7" t="n">
        <v>4</v>
      </c>
      <c r="O909" s="7" t="str">
        <f aca="false">A909&amp;"|"&amp;B909&amp;"|"&amp;C909&amp;"|"&amp;D909&amp;"|"&amp;E909&amp;"|"&amp;F909&amp;"|"&amp;G909&amp;"|"&amp;H909&amp;"|"&amp;I909&amp;"|"&amp;J909&amp;"|"&amp;K909&amp;"|"&amp;L909&amp;"|"&amp;M909&amp;"|"&amp;N909</f>
        <v>ORD12203|2025-10-07|17:36|C0780|Pune Burger Hub|Pune|Burgers|1|200|80|UPI|Delivered|27|4</v>
      </c>
      <c r="P909" s="7" t="str">
        <f aca="false">IF(COUNTIF($O$2:O909,O909)&gt;1,"DUP","OK")</f>
        <v>OK</v>
      </c>
      <c r="Q909" s="7" t="n">
        <f aca="false">COUNTBLANK(A909:N909)</f>
        <v>0</v>
      </c>
      <c r="R909" s="7" t="n">
        <f aca="false">IF(A909="",0,COUNTIFS($A$2:$A$3058,A909,$P$2:$P$3058,"OK"))</f>
        <v>1</v>
      </c>
      <c r="S909" s="7" t="str">
        <f aca="false">IF(OR(A909="",P909="DUP",R909&lt;2),"",IF(Q909=_xlfn.MINIFS($Q$2:$Q$3058,$A$2:$A$3058,A909,$P$2:$P$3058,"OK"),"KEEP","DROP"))</f>
        <v/>
      </c>
      <c r="T909" s="9" t="n">
        <f aca="false">IF(A909="",1,0)</f>
        <v>0</v>
      </c>
      <c r="U909" s="9" t="n">
        <f aca="false">IF(D909="",1,0)</f>
        <v>0</v>
      </c>
      <c r="V909" s="9" t="n">
        <f aca="false">IF(E909="",1,0)</f>
        <v>0</v>
      </c>
      <c r="W909" s="9" t="n">
        <f aca="false">IF(OR(H909&lt;1,H909&gt;10),1,0)</f>
        <v>0</v>
      </c>
      <c r="X909" s="9" t="n">
        <f aca="false">IF(OR(I909&lt;=0,I909&gt;1500),1,0)</f>
        <v>0</v>
      </c>
      <c r="Y909" s="9" t="n">
        <f aca="false">IF(J909&gt;H909*I909,1,0)</f>
        <v>0</v>
      </c>
      <c r="Z909" s="9" t="n">
        <f aca="false">IF(AND(N909&lt;&gt;"",OR(N909&lt;1,N909&gt;5)),1,0)</f>
        <v>0</v>
      </c>
      <c r="AA909" s="9" t="n">
        <f aca="false">IF(AND(M909&lt;&gt;"",OR(M909&lt;5,M909&gt;180)),1,0)</f>
        <v>0</v>
      </c>
      <c r="AB909" s="7" t="str">
        <f aca="false">IF(P909="DUP","Exact duplicate row",IF(T909=1,"Missing Order ID",IF(S909="DROP","Duplicate Order ID (less complete row)",IF(U909=1,"Missing Customer ID",IF(V909=1,"Missing Restaurant name",IF(W909=1,"Invalid/outlier quantity",IF(X909=1,"Invalid/outlier unit price",IF(Y909=1,"Discount greater than order value",""))))))))</f>
        <v/>
      </c>
      <c r="AC909" s="7" t="str">
        <f aca="false">IF(AB909="","KEEP","DROP")</f>
        <v>KEEP</v>
      </c>
      <c r="AD909" s="7" t="str">
        <f aca="false">IF(TRIM(F909)="",IFERROR(INDEX(Map_Tables!$I$4:$I$37,MATCH(TRIM(E909),Map_Tables!$G$4:$G$37,0)),""),IFERROR(INDEX(Map_Tables!$B$4:$B$18,MATCH(TRIM(F909),Map_Tables!$A$4:$A$18,0)),"CHECK"))</f>
        <v>Pune</v>
      </c>
      <c r="AE909" s="7" t="str">
        <f aca="false">IF(TRIM(E909)="","",IFERROR(INDEX(Map_Tables!$H$4:$H$37,MATCH(TRIM(E909),Map_Tables!$G$4:$G$37,0)),"CHECK"))</f>
        <v>Pune Burger Hub</v>
      </c>
      <c r="AF909" s="7" t="str">
        <f aca="false">IF(TRIM(K909)="","Unknown",IFERROR(INDEX(Map_Tables!$E$4:$E$15,MATCH(TRIM(K909),Map_Tables!$D$4:$D$15,0)),"CHECK"))</f>
        <v>UPI</v>
      </c>
      <c r="AG909" s="7" t="str">
        <f aca="false">IF(LEFT(LOWER(TRIM(L909)),6)="cancel","Cancelled","Delivered")</f>
        <v>Delivered</v>
      </c>
      <c r="AH909" s="10" t="n">
        <f aca="false">IF(ISNUMBER(SEARCH("/",B909)),DATE(VALUE(RIGHT(B909,4)),VALUE(MID(B909,4,2)),VALUE(LEFT(B909,2))),IF(MID(B909,5,1)="-",DATE(VALUE(LEFT(B909,4)),VALUE(MID(B909,6,2)),VALUE(RIGHT(B909,2))),DATE(VALUE(RIGHT(B909,4)),MATCH(MID(B909,4,3),{"Jan","Feb","Mar","Apr","May","Jun","Jul","Aug","Sep","Oct","Nov","Dec"},0),VALUE(LEFT(B909,2)))))</f>
        <v>45937</v>
      </c>
    </row>
    <row r="910" customFormat="false" ht="15" hidden="false" customHeight="false" outlineLevel="0" collapsed="false">
      <c r="A910" s="7" t="s">
        <v>2824</v>
      </c>
      <c r="B910" s="7" t="s">
        <v>637</v>
      </c>
      <c r="C910" s="7" t="s">
        <v>2454</v>
      </c>
      <c r="D910" s="7" t="s">
        <v>2200</v>
      </c>
      <c r="E910" s="7" t="s">
        <v>126</v>
      </c>
      <c r="F910" s="7" t="s">
        <v>101</v>
      </c>
      <c r="G910" s="7" t="s">
        <v>105</v>
      </c>
      <c r="H910" s="7" t="n">
        <v>2</v>
      </c>
      <c r="I910" s="7" t="n">
        <v>205</v>
      </c>
      <c r="J910" s="7" t="n">
        <v>30</v>
      </c>
      <c r="K910" s="7" t="s">
        <v>93</v>
      </c>
      <c r="L910" s="7" t="s">
        <v>194</v>
      </c>
      <c r="M910" s="7" t="n">
        <v>33</v>
      </c>
      <c r="N910" s="7" t="n">
        <v>3</v>
      </c>
      <c r="O910" s="7" t="str">
        <f aca="false">A910&amp;"|"&amp;B910&amp;"|"&amp;C910&amp;"|"&amp;D910&amp;"|"&amp;E910&amp;"|"&amp;F910&amp;"|"&amp;G910&amp;"|"&amp;H910&amp;"|"&amp;I910&amp;"|"&amp;J910&amp;"|"&amp;K910&amp;"|"&amp;L910&amp;"|"&amp;M910&amp;"|"&amp;N910</f>
        <v>ORD12743|2025-12-02|10:54|C0303|Dragon Express|Mumbai|Chinese|2|205|30|Credit Card|Delivered|33|3</v>
      </c>
      <c r="P910" s="7" t="str">
        <f aca="false">IF(COUNTIF($O$2:O910,O910)&gt;1,"DUP","OK")</f>
        <v>OK</v>
      </c>
      <c r="Q910" s="7" t="n">
        <f aca="false">COUNTBLANK(A910:N910)</f>
        <v>0</v>
      </c>
      <c r="R910" s="7" t="n">
        <f aca="false">IF(A910="",0,COUNTIFS($A$2:$A$3058,A910,$P$2:$P$3058,"OK"))</f>
        <v>1</v>
      </c>
      <c r="S910" s="7" t="str">
        <f aca="false">IF(OR(A910="",P910="DUP",R910&lt;2),"",IF(Q910=_xlfn.MINIFS($Q$2:$Q$3058,$A$2:$A$3058,A910,$P$2:$P$3058,"OK"),"KEEP","DROP"))</f>
        <v/>
      </c>
      <c r="T910" s="9" t="n">
        <f aca="false">IF(A910="",1,0)</f>
        <v>0</v>
      </c>
      <c r="U910" s="9" t="n">
        <f aca="false">IF(D910="",1,0)</f>
        <v>0</v>
      </c>
      <c r="V910" s="9" t="n">
        <f aca="false">IF(E910="",1,0)</f>
        <v>0</v>
      </c>
      <c r="W910" s="9" t="n">
        <f aca="false">IF(OR(H910&lt;1,H910&gt;10),1,0)</f>
        <v>0</v>
      </c>
      <c r="X910" s="9" t="n">
        <f aca="false">IF(OR(I910&lt;=0,I910&gt;1500),1,0)</f>
        <v>0</v>
      </c>
      <c r="Y910" s="9" t="n">
        <f aca="false">IF(J910&gt;H910*I910,1,0)</f>
        <v>0</v>
      </c>
      <c r="Z910" s="9" t="n">
        <f aca="false">IF(AND(N910&lt;&gt;"",OR(N910&lt;1,N910&gt;5)),1,0)</f>
        <v>0</v>
      </c>
      <c r="AA910" s="9" t="n">
        <f aca="false">IF(AND(M910&lt;&gt;"",OR(M910&lt;5,M910&gt;180)),1,0)</f>
        <v>0</v>
      </c>
      <c r="AB910" s="7" t="str">
        <f aca="false">IF(P910="DUP","Exact duplicate row",IF(T910=1,"Missing Order ID",IF(S910="DROP","Duplicate Order ID (less complete row)",IF(U910=1,"Missing Customer ID",IF(V910=1,"Missing Restaurant name",IF(W910=1,"Invalid/outlier quantity",IF(X910=1,"Invalid/outlier unit price",IF(Y910=1,"Discount greater than order value",""))))))))</f>
        <v/>
      </c>
      <c r="AC910" s="7" t="str">
        <f aca="false">IF(AB910="","KEEP","DROP")</f>
        <v>KEEP</v>
      </c>
      <c r="AD910" s="7" t="str">
        <f aca="false">IF(TRIM(F910)="",IFERROR(INDEX(Map_Tables!$I$4:$I$37,MATCH(TRIM(E910),Map_Tables!$G$4:$G$37,0)),""),IFERROR(INDEX(Map_Tables!$B$4:$B$18,MATCH(TRIM(F910),Map_Tables!$A$4:$A$18,0)),"CHECK"))</f>
        <v>Mumbai</v>
      </c>
      <c r="AE910" s="7" t="str">
        <f aca="false">IF(TRIM(E910)="","",IFERROR(INDEX(Map_Tables!$H$4:$H$37,MATCH(TRIM(E910),Map_Tables!$G$4:$G$37,0)),"CHECK"))</f>
        <v>Dragon Express</v>
      </c>
      <c r="AF910" s="7" t="str">
        <f aca="false">IF(TRIM(K910)="","Unknown",IFERROR(INDEX(Map_Tables!$E$4:$E$15,MATCH(TRIM(K910),Map_Tables!$D$4:$D$15,0)),"CHECK"))</f>
        <v>Credit Card</v>
      </c>
      <c r="AG910" s="7" t="str">
        <f aca="false">IF(LEFT(LOWER(TRIM(L910)),6)="cancel","Cancelled","Delivered")</f>
        <v>Delivered</v>
      </c>
      <c r="AH910" s="10" t="n">
        <f aca="false">IF(ISNUMBER(SEARCH("/",B910)),DATE(VALUE(RIGHT(B910,4)),VALUE(MID(B910,4,2)),VALUE(LEFT(B910,2))),IF(MID(B910,5,1)="-",DATE(VALUE(LEFT(B910,4)),VALUE(MID(B910,6,2)),VALUE(RIGHT(B910,2))),DATE(VALUE(RIGHT(B910,4)),MATCH(MID(B910,4,3),{"Jan","Feb","Mar","Apr","May","Jun","Jul","Aug","Sep","Oct","Nov","Dec"},0),VALUE(LEFT(B910,2)))))</f>
        <v>45993</v>
      </c>
    </row>
    <row r="911" customFormat="false" ht="15" hidden="false" customHeight="false" outlineLevel="0" collapsed="false">
      <c r="A911" s="7" t="s">
        <v>2825</v>
      </c>
      <c r="B911" s="7" t="s">
        <v>2548</v>
      </c>
      <c r="C911" s="7" t="s">
        <v>474</v>
      </c>
      <c r="D911" s="7" t="s">
        <v>2826</v>
      </c>
      <c r="E911" s="7" t="s">
        <v>260</v>
      </c>
      <c r="F911" s="7" t="s">
        <v>110</v>
      </c>
      <c r="G911" s="7" t="s">
        <v>139</v>
      </c>
      <c r="H911" s="7" t="n">
        <v>1</v>
      </c>
      <c r="I911" s="7" t="n">
        <v>200</v>
      </c>
      <c r="J911" s="7" t="n">
        <v>0</v>
      </c>
      <c r="K911" s="7" t="s">
        <v>88</v>
      </c>
      <c r="L911" s="7" t="s">
        <v>238</v>
      </c>
      <c r="M911" s="7"/>
      <c r="N911" s="7"/>
      <c r="O911" s="7" t="str">
        <f aca="false">A911&amp;"|"&amp;B911&amp;"|"&amp;C911&amp;"|"&amp;D911&amp;"|"&amp;E911&amp;"|"&amp;F911&amp;"|"&amp;G911&amp;"|"&amp;H911&amp;"|"&amp;I911&amp;"|"&amp;J911&amp;"|"&amp;K911&amp;"|"&amp;L911&amp;"|"&amp;M911&amp;"|"&amp;N911</f>
        <v>ORD11039|2025-05-11|16:40|C0032| Burger Barn|Delhi|Burgers|1|200|0|UPI|Cancelled||</v>
      </c>
      <c r="P911" s="7" t="str">
        <f aca="false">IF(COUNTIF($O$2:O911,O911)&gt;1,"DUP","OK")</f>
        <v>OK</v>
      </c>
      <c r="Q911" s="7" t="n">
        <f aca="false">COUNTBLANK(A911:N911)</f>
        <v>2</v>
      </c>
      <c r="R911" s="7" t="n">
        <f aca="false">IF(A911="",0,COUNTIFS($A$2:$A$3058,A911,$P$2:$P$3058,"OK"))</f>
        <v>1</v>
      </c>
      <c r="S911" s="7" t="str">
        <f aca="false">IF(OR(A911="",P911="DUP",R911&lt;2),"",IF(Q911=_xlfn.MINIFS($Q$2:$Q$3058,$A$2:$A$3058,A911,$P$2:$P$3058,"OK"),"KEEP","DROP"))</f>
        <v/>
      </c>
      <c r="T911" s="9" t="n">
        <f aca="false">IF(A911="",1,0)</f>
        <v>0</v>
      </c>
      <c r="U911" s="9" t="n">
        <f aca="false">IF(D911="",1,0)</f>
        <v>0</v>
      </c>
      <c r="V911" s="9" t="n">
        <f aca="false">IF(E911="",1,0)</f>
        <v>0</v>
      </c>
      <c r="W911" s="9" t="n">
        <f aca="false">IF(OR(H911&lt;1,H911&gt;10),1,0)</f>
        <v>0</v>
      </c>
      <c r="X911" s="9" t="n">
        <f aca="false">IF(OR(I911&lt;=0,I911&gt;1500),1,0)</f>
        <v>0</v>
      </c>
      <c r="Y911" s="9" t="n">
        <f aca="false">IF(J911&gt;H911*I911,1,0)</f>
        <v>0</v>
      </c>
      <c r="Z911" s="9" t="n">
        <f aca="false">IF(AND(N911&lt;&gt;"",OR(N911&lt;1,N911&gt;5)),1,0)</f>
        <v>0</v>
      </c>
      <c r="AA911" s="9" t="n">
        <f aca="false">IF(AND(M911&lt;&gt;"",OR(M911&lt;5,M911&gt;180)),1,0)</f>
        <v>0</v>
      </c>
      <c r="AB911" s="7" t="str">
        <f aca="false">IF(P911="DUP","Exact duplicate row",IF(T911=1,"Missing Order ID",IF(S911="DROP","Duplicate Order ID (less complete row)",IF(U911=1,"Missing Customer ID",IF(V911=1,"Missing Restaurant name",IF(W911=1,"Invalid/outlier quantity",IF(X911=1,"Invalid/outlier unit price",IF(Y911=1,"Discount greater than order value",""))))))))</f>
        <v/>
      </c>
      <c r="AC911" s="7" t="str">
        <f aca="false">IF(AB911="","KEEP","DROP")</f>
        <v>KEEP</v>
      </c>
      <c r="AD911" s="7" t="str">
        <f aca="false">IF(TRIM(F911)="",IFERROR(INDEX(Map_Tables!$I$4:$I$37,MATCH(TRIM(E911),Map_Tables!$G$4:$G$37,0)),""),IFERROR(INDEX(Map_Tables!$B$4:$B$18,MATCH(TRIM(F911),Map_Tables!$A$4:$A$18,0)),"CHECK"))</f>
        <v>Delhi</v>
      </c>
      <c r="AE911" s="7" t="str">
        <f aca="false">IF(TRIM(E911)="","",IFERROR(INDEX(Map_Tables!$H$4:$H$37,MATCH(TRIM(E911),Map_Tables!$G$4:$G$37,0)),"CHECK"))</f>
        <v>Burger Barn</v>
      </c>
      <c r="AF911" s="7" t="str">
        <f aca="false">IF(TRIM(K911)="","Unknown",IFERROR(INDEX(Map_Tables!$E$4:$E$15,MATCH(TRIM(K911),Map_Tables!$D$4:$D$15,0)),"CHECK"))</f>
        <v>UPI</v>
      </c>
      <c r="AG911" s="7" t="str">
        <f aca="false">IF(LEFT(LOWER(TRIM(L911)),6)="cancel","Cancelled","Delivered")</f>
        <v>Cancelled</v>
      </c>
      <c r="AH911" s="10" t="n">
        <f aca="false">IF(ISNUMBER(SEARCH("/",B911)),DATE(VALUE(RIGHT(B911,4)),VALUE(MID(B911,4,2)),VALUE(LEFT(B911,2))),IF(MID(B911,5,1)="-",DATE(VALUE(LEFT(B911,4)),VALUE(MID(B911,6,2)),VALUE(RIGHT(B911,2))),DATE(VALUE(RIGHT(B911,4)),MATCH(MID(B911,4,3),{"Jan","Feb","Mar","Apr","May","Jun","Jul","Aug","Sep","Oct","Nov","Dec"},0),VALUE(LEFT(B911,2)))))</f>
        <v>45788</v>
      </c>
    </row>
    <row r="912" customFormat="false" ht="15" hidden="false" customHeight="false" outlineLevel="0" collapsed="false">
      <c r="A912" s="7" t="s">
        <v>2827</v>
      </c>
      <c r="B912" s="7" t="s">
        <v>882</v>
      </c>
      <c r="C912" s="7" t="s">
        <v>1434</v>
      </c>
      <c r="D912" s="7" t="s">
        <v>461</v>
      </c>
      <c r="E912" s="7" t="s">
        <v>144</v>
      </c>
      <c r="F912" s="7" t="s">
        <v>119</v>
      </c>
      <c r="G912" s="7" t="s">
        <v>99</v>
      </c>
      <c r="H912" s="7" t="n">
        <v>2</v>
      </c>
      <c r="I912" s="7" t="n">
        <v>345</v>
      </c>
      <c r="J912" s="7" t="n">
        <v>0</v>
      </c>
      <c r="K912" s="7" t="s">
        <v>112</v>
      </c>
      <c r="L912" s="7" t="s">
        <v>194</v>
      </c>
      <c r="M912" s="7" t="n">
        <v>37</v>
      </c>
      <c r="N912" s="7"/>
      <c r="O912" s="7" t="str">
        <f aca="false">A912&amp;"|"&amp;B912&amp;"|"&amp;C912&amp;"|"&amp;D912&amp;"|"&amp;E912&amp;"|"&amp;F912&amp;"|"&amp;G912&amp;"|"&amp;H912&amp;"|"&amp;I912&amp;"|"&amp;J912&amp;"|"&amp;K912&amp;"|"&amp;L912&amp;"|"&amp;M912&amp;"|"&amp;N912</f>
        <v>ORD12740|01/12/2025|21:05|C0542|Hyderabad Dum Biryani|Hyderabad|Biryani|2|345|0|Cash on Delivery|Delivered|37|</v>
      </c>
      <c r="P912" s="7" t="str">
        <f aca="false">IF(COUNTIF($O$2:O912,O912)&gt;1,"DUP","OK")</f>
        <v>OK</v>
      </c>
      <c r="Q912" s="7" t="n">
        <f aca="false">COUNTBLANK(A912:N912)</f>
        <v>1</v>
      </c>
      <c r="R912" s="7" t="n">
        <f aca="false">IF(A912="",0,COUNTIFS($A$2:$A$3058,A912,$P$2:$P$3058,"OK"))</f>
        <v>1</v>
      </c>
      <c r="S912" s="7" t="str">
        <f aca="false">IF(OR(A912="",P912="DUP",R912&lt;2),"",IF(Q912=_xlfn.MINIFS($Q$2:$Q$3058,$A$2:$A$3058,A912,$P$2:$P$3058,"OK"),"KEEP","DROP"))</f>
        <v/>
      </c>
      <c r="T912" s="9" t="n">
        <f aca="false">IF(A912="",1,0)</f>
        <v>0</v>
      </c>
      <c r="U912" s="9" t="n">
        <f aca="false">IF(D912="",1,0)</f>
        <v>0</v>
      </c>
      <c r="V912" s="9" t="n">
        <f aca="false">IF(E912="",1,0)</f>
        <v>0</v>
      </c>
      <c r="W912" s="9" t="n">
        <f aca="false">IF(OR(H912&lt;1,H912&gt;10),1,0)</f>
        <v>0</v>
      </c>
      <c r="X912" s="9" t="n">
        <f aca="false">IF(OR(I912&lt;=0,I912&gt;1500),1,0)</f>
        <v>0</v>
      </c>
      <c r="Y912" s="9" t="n">
        <f aca="false">IF(J912&gt;H912*I912,1,0)</f>
        <v>0</v>
      </c>
      <c r="Z912" s="9" t="n">
        <f aca="false">IF(AND(N912&lt;&gt;"",OR(N912&lt;1,N912&gt;5)),1,0)</f>
        <v>0</v>
      </c>
      <c r="AA912" s="9" t="n">
        <f aca="false">IF(AND(M912&lt;&gt;"",OR(M912&lt;5,M912&gt;180)),1,0)</f>
        <v>0</v>
      </c>
      <c r="AB912" s="7" t="str">
        <f aca="false">IF(P912="DUP","Exact duplicate row",IF(T912=1,"Missing Order ID",IF(S912="DROP","Duplicate Order ID (less complete row)",IF(U912=1,"Missing Customer ID",IF(V912=1,"Missing Restaurant name",IF(W912=1,"Invalid/outlier quantity",IF(X912=1,"Invalid/outlier unit price",IF(Y912=1,"Discount greater than order value",""))))))))</f>
        <v/>
      </c>
      <c r="AC912" s="7" t="str">
        <f aca="false">IF(AB912="","KEEP","DROP")</f>
        <v>KEEP</v>
      </c>
      <c r="AD912" s="7" t="str">
        <f aca="false">IF(TRIM(F912)="",IFERROR(INDEX(Map_Tables!$I$4:$I$37,MATCH(TRIM(E912),Map_Tables!$G$4:$G$37,0)),""),IFERROR(INDEX(Map_Tables!$B$4:$B$18,MATCH(TRIM(F912),Map_Tables!$A$4:$A$18,0)),"CHECK"))</f>
        <v>Hyderabad</v>
      </c>
      <c r="AE912" s="7" t="str">
        <f aca="false">IF(TRIM(E912)="","",IFERROR(INDEX(Map_Tables!$H$4:$H$37,MATCH(TRIM(E912),Map_Tables!$G$4:$G$37,0)),"CHECK"))</f>
        <v>Hyderabad Dum Biryani</v>
      </c>
      <c r="AF912" s="7" t="str">
        <f aca="false">IF(TRIM(K912)="","Unknown",IFERROR(INDEX(Map_Tables!$E$4:$E$15,MATCH(TRIM(K912),Map_Tables!$D$4:$D$15,0)),"CHECK"))</f>
        <v>Cash on Delivery</v>
      </c>
      <c r="AG912" s="7" t="str">
        <f aca="false">IF(LEFT(LOWER(TRIM(L912)),6)="cancel","Cancelled","Delivered")</f>
        <v>Delivered</v>
      </c>
      <c r="AH912" s="10" t="n">
        <f aca="false">IF(ISNUMBER(SEARCH("/",B912)),DATE(VALUE(RIGHT(B912,4)),VALUE(MID(B912,4,2)),VALUE(LEFT(B912,2))),IF(MID(B912,5,1)="-",DATE(VALUE(LEFT(B912,4)),VALUE(MID(B912,6,2)),VALUE(RIGHT(B912,2))),DATE(VALUE(RIGHT(B912,4)),MATCH(MID(B912,4,3),{"Jan","Feb","Mar","Apr","May","Jun","Jul","Aug","Sep","Oct","Nov","Dec"},0),VALUE(LEFT(B912,2)))))</f>
        <v>45992</v>
      </c>
    </row>
    <row r="913" customFormat="false" ht="15" hidden="false" customHeight="false" outlineLevel="0" collapsed="false">
      <c r="A913" s="7" t="s">
        <v>2828</v>
      </c>
      <c r="B913" s="7" t="s">
        <v>427</v>
      </c>
      <c r="C913" s="7" t="s">
        <v>1578</v>
      </c>
      <c r="D913" s="7" t="s">
        <v>2724</v>
      </c>
      <c r="E913" s="7" t="s">
        <v>134</v>
      </c>
      <c r="F913" s="7" t="s">
        <v>110</v>
      </c>
      <c r="G913" s="7" t="s">
        <v>117</v>
      </c>
      <c r="H913" s="7" t="n">
        <v>1</v>
      </c>
      <c r="I913" s="7" t="n">
        <v>120</v>
      </c>
      <c r="J913" s="7" t="n">
        <v>0</v>
      </c>
      <c r="K913" s="7" t="s">
        <v>103</v>
      </c>
      <c r="L913" s="7" t="s">
        <v>457</v>
      </c>
      <c r="M913" s="7" t="n">
        <v>37</v>
      </c>
      <c r="N913" s="7" t="n">
        <v>4</v>
      </c>
      <c r="O913" s="7" t="str">
        <f aca="false">A913&amp;"|"&amp;B913&amp;"|"&amp;C913&amp;"|"&amp;D913&amp;"|"&amp;E913&amp;"|"&amp;F913&amp;"|"&amp;G913&amp;"|"&amp;H913&amp;"|"&amp;I913&amp;"|"&amp;J913&amp;"|"&amp;K913&amp;"|"&amp;L913&amp;"|"&amp;M913&amp;"|"&amp;N913</f>
        <v>ORD11819|2025-08-25|21:28|C1496|Chaat Corner|Delhi|Street Food|1|120|0|Debit Card|Delivered |37|4</v>
      </c>
      <c r="P913" s="7" t="str">
        <f aca="false">IF(COUNTIF($O$2:O913,O913)&gt;1,"DUP","OK")</f>
        <v>OK</v>
      </c>
      <c r="Q913" s="7" t="n">
        <f aca="false">COUNTBLANK(A913:N913)</f>
        <v>0</v>
      </c>
      <c r="R913" s="7" t="n">
        <f aca="false">IF(A913="",0,COUNTIFS($A$2:$A$3058,A913,$P$2:$P$3058,"OK"))</f>
        <v>1</v>
      </c>
      <c r="S913" s="7" t="str">
        <f aca="false">IF(OR(A913="",P913="DUP",R913&lt;2),"",IF(Q913=_xlfn.MINIFS($Q$2:$Q$3058,$A$2:$A$3058,A913,$P$2:$P$3058,"OK"),"KEEP","DROP"))</f>
        <v/>
      </c>
      <c r="T913" s="9" t="n">
        <f aca="false">IF(A913="",1,0)</f>
        <v>0</v>
      </c>
      <c r="U913" s="9" t="n">
        <f aca="false">IF(D913="",1,0)</f>
        <v>0</v>
      </c>
      <c r="V913" s="9" t="n">
        <f aca="false">IF(E913="",1,0)</f>
        <v>0</v>
      </c>
      <c r="W913" s="9" t="n">
        <f aca="false">IF(OR(H913&lt;1,H913&gt;10),1,0)</f>
        <v>0</v>
      </c>
      <c r="X913" s="9" t="n">
        <f aca="false">IF(OR(I913&lt;=0,I913&gt;1500),1,0)</f>
        <v>0</v>
      </c>
      <c r="Y913" s="9" t="n">
        <f aca="false">IF(J913&gt;H913*I913,1,0)</f>
        <v>0</v>
      </c>
      <c r="Z913" s="9" t="n">
        <f aca="false">IF(AND(N913&lt;&gt;"",OR(N913&lt;1,N913&gt;5)),1,0)</f>
        <v>0</v>
      </c>
      <c r="AA913" s="9" t="n">
        <f aca="false">IF(AND(M913&lt;&gt;"",OR(M913&lt;5,M913&gt;180)),1,0)</f>
        <v>0</v>
      </c>
      <c r="AB913" s="7" t="str">
        <f aca="false">IF(P913="DUP","Exact duplicate row",IF(T913=1,"Missing Order ID",IF(S913="DROP","Duplicate Order ID (less complete row)",IF(U913=1,"Missing Customer ID",IF(V913=1,"Missing Restaurant name",IF(W913=1,"Invalid/outlier quantity",IF(X913=1,"Invalid/outlier unit price",IF(Y913=1,"Discount greater than order value",""))))))))</f>
        <v/>
      </c>
      <c r="AC913" s="7" t="str">
        <f aca="false">IF(AB913="","KEEP","DROP")</f>
        <v>KEEP</v>
      </c>
      <c r="AD913" s="7" t="str">
        <f aca="false">IF(TRIM(F913)="",IFERROR(INDEX(Map_Tables!$I$4:$I$37,MATCH(TRIM(E913),Map_Tables!$G$4:$G$37,0)),""),IFERROR(INDEX(Map_Tables!$B$4:$B$18,MATCH(TRIM(F913),Map_Tables!$A$4:$A$18,0)),"CHECK"))</f>
        <v>Delhi</v>
      </c>
      <c r="AE913" s="7" t="str">
        <f aca="false">IF(TRIM(E913)="","",IFERROR(INDEX(Map_Tables!$H$4:$H$37,MATCH(TRIM(E913),Map_Tables!$G$4:$G$37,0)),"CHECK"))</f>
        <v>Chaat Corner</v>
      </c>
      <c r="AF913" s="7" t="str">
        <f aca="false">IF(TRIM(K913)="","Unknown",IFERROR(INDEX(Map_Tables!$E$4:$E$15,MATCH(TRIM(K913),Map_Tables!$D$4:$D$15,0)),"CHECK"))</f>
        <v>Debit Card</v>
      </c>
      <c r="AG913" s="7" t="str">
        <f aca="false">IF(LEFT(LOWER(TRIM(L913)),6)="cancel","Cancelled","Delivered")</f>
        <v>Delivered</v>
      </c>
      <c r="AH913" s="10" t="n">
        <f aca="false">IF(ISNUMBER(SEARCH("/",B913)),DATE(VALUE(RIGHT(B913,4)),VALUE(MID(B913,4,2)),VALUE(LEFT(B913,2))),IF(MID(B913,5,1)="-",DATE(VALUE(LEFT(B913,4)),VALUE(MID(B913,6,2)),VALUE(RIGHT(B913,2))),DATE(VALUE(RIGHT(B913,4)),MATCH(MID(B913,4,3),{"Jan","Feb","Mar","Apr","May","Jun","Jul","Aug","Sep","Oct","Nov","Dec"},0),VALUE(LEFT(B913,2)))))</f>
        <v>45894</v>
      </c>
    </row>
    <row r="914" customFormat="false" ht="15" hidden="false" customHeight="false" outlineLevel="0" collapsed="false">
      <c r="A914" s="7" t="s">
        <v>2829</v>
      </c>
      <c r="B914" s="7" t="s">
        <v>1446</v>
      </c>
      <c r="C914" s="7" t="s">
        <v>2830</v>
      </c>
      <c r="D914" s="7" t="s">
        <v>2192</v>
      </c>
      <c r="E914" s="7" t="s">
        <v>165</v>
      </c>
      <c r="F914" s="7" t="s">
        <v>146</v>
      </c>
      <c r="G914" s="7" t="s">
        <v>90</v>
      </c>
      <c r="H914" s="7" t="n">
        <v>2</v>
      </c>
      <c r="I914" s="7" t="n">
        <v>245</v>
      </c>
      <c r="J914" s="7" t="n">
        <v>0</v>
      </c>
      <c r="K914" s="7" t="s">
        <v>87</v>
      </c>
      <c r="L914" s="7" t="s">
        <v>194</v>
      </c>
      <c r="M914" s="7" t="n">
        <v>31</v>
      </c>
      <c r="N914" s="7" t="n">
        <v>5</v>
      </c>
      <c r="O914" s="7" t="str">
        <f aca="false">A914&amp;"|"&amp;B914&amp;"|"&amp;C914&amp;"|"&amp;D914&amp;"|"&amp;E914&amp;"|"&amp;F914&amp;"|"&amp;G914&amp;"|"&amp;H914&amp;"|"&amp;I914&amp;"|"&amp;J914&amp;"|"&amp;K914&amp;"|"&amp;L914&amp;"|"&amp;M914&amp;"|"&amp;N914</f>
        <v>ORD10565|2025-03-13|15:16|C0580|Gujarati Thali Ghar|Ahmedabad|North Indian|2|245|0|upi|Delivered|31|5</v>
      </c>
      <c r="P914" s="7" t="str">
        <f aca="false">IF(COUNTIF($O$2:O914,O914)&gt;1,"DUP","OK")</f>
        <v>OK</v>
      </c>
      <c r="Q914" s="7" t="n">
        <f aca="false">COUNTBLANK(A914:N914)</f>
        <v>0</v>
      </c>
      <c r="R914" s="7" t="n">
        <f aca="false">IF(A914="",0,COUNTIFS($A$2:$A$3058,A914,$P$2:$P$3058,"OK"))</f>
        <v>1</v>
      </c>
      <c r="S914" s="7" t="str">
        <f aca="false">IF(OR(A914="",P914="DUP",R914&lt;2),"",IF(Q914=_xlfn.MINIFS($Q$2:$Q$3058,$A$2:$A$3058,A914,$P$2:$P$3058,"OK"),"KEEP","DROP"))</f>
        <v/>
      </c>
      <c r="T914" s="9" t="n">
        <f aca="false">IF(A914="",1,0)</f>
        <v>0</v>
      </c>
      <c r="U914" s="9" t="n">
        <f aca="false">IF(D914="",1,0)</f>
        <v>0</v>
      </c>
      <c r="V914" s="9" t="n">
        <f aca="false">IF(E914="",1,0)</f>
        <v>0</v>
      </c>
      <c r="W914" s="9" t="n">
        <f aca="false">IF(OR(H914&lt;1,H914&gt;10),1,0)</f>
        <v>0</v>
      </c>
      <c r="X914" s="9" t="n">
        <f aca="false">IF(OR(I914&lt;=0,I914&gt;1500),1,0)</f>
        <v>0</v>
      </c>
      <c r="Y914" s="9" t="n">
        <f aca="false">IF(J914&gt;H914*I914,1,0)</f>
        <v>0</v>
      </c>
      <c r="Z914" s="9" t="n">
        <f aca="false">IF(AND(N914&lt;&gt;"",OR(N914&lt;1,N914&gt;5)),1,0)</f>
        <v>0</v>
      </c>
      <c r="AA914" s="9" t="n">
        <f aca="false">IF(AND(M914&lt;&gt;"",OR(M914&lt;5,M914&gt;180)),1,0)</f>
        <v>0</v>
      </c>
      <c r="AB914" s="7" t="str">
        <f aca="false">IF(P914="DUP","Exact duplicate row",IF(T914=1,"Missing Order ID",IF(S914="DROP","Duplicate Order ID (less complete row)",IF(U914=1,"Missing Customer ID",IF(V914=1,"Missing Restaurant name",IF(W914=1,"Invalid/outlier quantity",IF(X914=1,"Invalid/outlier unit price",IF(Y914=1,"Discount greater than order value",""))))))))</f>
        <v/>
      </c>
      <c r="AC914" s="7" t="str">
        <f aca="false">IF(AB914="","KEEP","DROP")</f>
        <v>KEEP</v>
      </c>
      <c r="AD914" s="7" t="str">
        <f aca="false">IF(TRIM(F914)="",IFERROR(INDEX(Map_Tables!$I$4:$I$37,MATCH(TRIM(E914),Map_Tables!$G$4:$G$37,0)),""),IFERROR(INDEX(Map_Tables!$B$4:$B$18,MATCH(TRIM(F914),Map_Tables!$A$4:$A$18,0)),"CHECK"))</f>
        <v>Ahmedabad</v>
      </c>
      <c r="AE914" s="7" t="str">
        <f aca="false">IF(TRIM(E914)="","",IFERROR(INDEX(Map_Tables!$H$4:$H$37,MATCH(TRIM(E914),Map_Tables!$G$4:$G$37,0)),"CHECK"))</f>
        <v>Gujarati Thali Ghar</v>
      </c>
      <c r="AF914" s="7" t="str">
        <f aca="false">IF(TRIM(K914)="","Unknown",IFERROR(INDEX(Map_Tables!$E$4:$E$15,MATCH(TRIM(K914),Map_Tables!$D$4:$D$15,0)),"CHECK"))</f>
        <v>UPI</v>
      </c>
      <c r="AG914" s="7" t="str">
        <f aca="false">IF(LEFT(LOWER(TRIM(L914)),6)="cancel","Cancelled","Delivered")</f>
        <v>Delivered</v>
      </c>
      <c r="AH914" s="10" t="n">
        <f aca="false">IF(ISNUMBER(SEARCH("/",B914)),DATE(VALUE(RIGHT(B914,4)),VALUE(MID(B914,4,2)),VALUE(LEFT(B914,2))),IF(MID(B914,5,1)="-",DATE(VALUE(LEFT(B914,4)),VALUE(MID(B914,6,2)),VALUE(RIGHT(B914,2))),DATE(VALUE(RIGHT(B914,4)),MATCH(MID(B914,4,3),{"Jan","Feb","Mar","Apr","May","Jun","Jul","Aug","Sep","Oct","Nov","Dec"},0),VALUE(LEFT(B914,2)))))</f>
        <v>45729</v>
      </c>
    </row>
    <row r="915" customFormat="false" ht="15" hidden="false" customHeight="false" outlineLevel="0" collapsed="false">
      <c r="A915" s="7" t="s">
        <v>2831</v>
      </c>
      <c r="B915" s="7" t="s">
        <v>723</v>
      </c>
      <c r="C915" s="7" t="s">
        <v>2832</v>
      </c>
      <c r="D915" s="7" t="s">
        <v>2833</v>
      </c>
      <c r="E915" s="7" t="s">
        <v>164</v>
      </c>
      <c r="F915" s="7" t="s">
        <v>141</v>
      </c>
      <c r="G915" s="7" t="s">
        <v>150</v>
      </c>
      <c r="H915" s="7" t="n">
        <v>2</v>
      </c>
      <c r="I915" s="7" t="n">
        <v>125</v>
      </c>
      <c r="J915" s="7" t="n">
        <v>0</v>
      </c>
      <c r="K915" s="7" t="s">
        <v>88</v>
      </c>
      <c r="L915" s="7" t="s">
        <v>194</v>
      </c>
      <c r="M915" s="7" t="n">
        <v>37</v>
      </c>
      <c r="N915" s="7" t="n">
        <v>4</v>
      </c>
      <c r="O915" s="7" t="str">
        <f aca="false">A915&amp;"|"&amp;B915&amp;"|"&amp;C915&amp;"|"&amp;D915&amp;"|"&amp;E915&amp;"|"&amp;F915&amp;"|"&amp;G915&amp;"|"&amp;H915&amp;"|"&amp;I915&amp;"|"&amp;J915&amp;"|"&amp;K915&amp;"|"&amp;L915&amp;"|"&amp;M915&amp;"|"&amp;N915</f>
        <v>ORD10610|2025-03-18|14:51|C1143|Mishti Mandir|Kolkata|Desserts|2|125|0|UPI|Delivered|37|4</v>
      </c>
      <c r="P915" s="7" t="str">
        <f aca="false">IF(COUNTIF($O$2:O915,O915)&gt;1,"DUP","OK")</f>
        <v>OK</v>
      </c>
      <c r="Q915" s="7" t="n">
        <f aca="false">COUNTBLANK(A915:N915)</f>
        <v>0</v>
      </c>
      <c r="R915" s="7" t="n">
        <f aca="false">IF(A915="",0,COUNTIFS($A$2:$A$3058,A915,$P$2:$P$3058,"OK"))</f>
        <v>1</v>
      </c>
      <c r="S915" s="7" t="str">
        <f aca="false">IF(OR(A915="",P915="DUP",R915&lt;2),"",IF(Q915=_xlfn.MINIFS($Q$2:$Q$3058,$A$2:$A$3058,A915,$P$2:$P$3058,"OK"),"KEEP","DROP"))</f>
        <v/>
      </c>
      <c r="T915" s="9" t="n">
        <f aca="false">IF(A915="",1,0)</f>
        <v>0</v>
      </c>
      <c r="U915" s="9" t="n">
        <f aca="false">IF(D915="",1,0)</f>
        <v>0</v>
      </c>
      <c r="V915" s="9" t="n">
        <f aca="false">IF(E915="",1,0)</f>
        <v>0</v>
      </c>
      <c r="W915" s="9" t="n">
        <f aca="false">IF(OR(H915&lt;1,H915&gt;10),1,0)</f>
        <v>0</v>
      </c>
      <c r="X915" s="9" t="n">
        <f aca="false">IF(OR(I915&lt;=0,I915&gt;1500),1,0)</f>
        <v>0</v>
      </c>
      <c r="Y915" s="9" t="n">
        <f aca="false">IF(J915&gt;H915*I915,1,0)</f>
        <v>0</v>
      </c>
      <c r="Z915" s="9" t="n">
        <f aca="false">IF(AND(N915&lt;&gt;"",OR(N915&lt;1,N915&gt;5)),1,0)</f>
        <v>0</v>
      </c>
      <c r="AA915" s="9" t="n">
        <f aca="false">IF(AND(M915&lt;&gt;"",OR(M915&lt;5,M915&gt;180)),1,0)</f>
        <v>0</v>
      </c>
      <c r="AB915" s="7" t="str">
        <f aca="false">IF(P915="DUP","Exact duplicate row",IF(T915=1,"Missing Order ID",IF(S915="DROP","Duplicate Order ID (less complete row)",IF(U915=1,"Missing Customer ID",IF(V915=1,"Missing Restaurant name",IF(W915=1,"Invalid/outlier quantity",IF(X915=1,"Invalid/outlier unit price",IF(Y915=1,"Discount greater than order value",""))))))))</f>
        <v/>
      </c>
      <c r="AC915" s="7" t="str">
        <f aca="false">IF(AB915="","KEEP","DROP")</f>
        <v>KEEP</v>
      </c>
      <c r="AD915" s="7" t="str">
        <f aca="false">IF(TRIM(F915)="",IFERROR(INDEX(Map_Tables!$I$4:$I$37,MATCH(TRIM(E915),Map_Tables!$G$4:$G$37,0)),""),IFERROR(INDEX(Map_Tables!$B$4:$B$18,MATCH(TRIM(F915),Map_Tables!$A$4:$A$18,0)),"CHECK"))</f>
        <v>Kolkata</v>
      </c>
      <c r="AE915" s="7" t="str">
        <f aca="false">IF(TRIM(E915)="","",IFERROR(INDEX(Map_Tables!$H$4:$H$37,MATCH(TRIM(E915),Map_Tables!$G$4:$G$37,0)),"CHECK"))</f>
        <v>Mishti Mandir</v>
      </c>
      <c r="AF915" s="7" t="str">
        <f aca="false">IF(TRIM(K915)="","Unknown",IFERROR(INDEX(Map_Tables!$E$4:$E$15,MATCH(TRIM(K915),Map_Tables!$D$4:$D$15,0)),"CHECK"))</f>
        <v>UPI</v>
      </c>
      <c r="AG915" s="7" t="str">
        <f aca="false">IF(LEFT(LOWER(TRIM(L915)),6)="cancel","Cancelled","Delivered")</f>
        <v>Delivered</v>
      </c>
      <c r="AH915" s="10" t="n">
        <f aca="false">IF(ISNUMBER(SEARCH("/",B915)),DATE(VALUE(RIGHT(B915,4)),VALUE(MID(B915,4,2)),VALUE(LEFT(B915,2))),IF(MID(B915,5,1)="-",DATE(VALUE(LEFT(B915,4)),VALUE(MID(B915,6,2)),VALUE(RIGHT(B915,2))),DATE(VALUE(RIGHT(B915,4)),MATCH(MID(B915,4,3),{"Jan","Feb","Mar","Apr","May","Jun","Jul","Aug","Sep","Oct","Nov","Dec"},0),VALUE(LEFT(B915,2)))))</f>
        <v>45734</v>
      </c>
    </row>
    <row r="916" customFormat="false" ht="15" hidden="false" customHeight="false" outlineLevel="0" collapsed="false">
      <c r="A916" s="7" t="s">
        <v>2834</v>
      </c>
      <c r="B916" s="7" t="s">
        <v>2194</v>
      </c>
      <c r="C916" s="7" t="s">
        <v>577</v>
      </c>
      <c r="D916" s="7" t="s">
        <v>1009</v>
      </c>
      <c r="E916" s="7" t="s">
        <v>130</v>
      </c>
      <c r="F916" s="7" t="s">
        <v>110</v>
      </c>
      <c r="G916" s="7" t="s">
        <v>90</v>
      </c>
      <c r="H916" s="7" t="n">
        <v>2</v>
      </c>
      <c r="I916" s="7" t="n">
        <v>265</v>
      </c>
      <c r="J916" s="7" t="n">
        <v>125</v>
      </c>
      <c r="K916" s="7"/>
      <c r="L916" s="7" t="s">
        <v>194</v>
      </c>
      <c r="M916" s="7" t="n">
        <v>38</v>
      </c>
      <c r="N916" s="7" t="n">
        <v>3</v>
      </c>
      <c r="O916" s="7" t="str">
        <f aca="false">A916&amp;"|"&amp;B916&amp;"|"&amp;C916&amp;"|"&amp;D916&amp;"|"&amp;E916&amp;"|"&amp;F916&amp;"|"&amp;G916&amp;"|"&amp;H916&amp;"|"&amp;I916&amp;"|"&amp;J916&amp;"|"&amp;K916&amp;"|"&amp;L916&amp;"|"&amp;M916&amp;"|"&amp;N916</f>
        <v>ORD12781|2025-12-06|12:20|C1007|Tandoor Tales|Delhi|North Indian|2|265|125||Delivered|38|3</v>
      </c>
      <c r="P916" s="7" t="str">
        <f aca="false">IF(COUNTIF($O$2:O916,O916)&gt;1,"DUP","OK")</f>
        <v>OK</v>
      </c>
      <c r="Q916" s="7" t="n">
        <f aca="false">COUNTBLANK(A916:N916)</f>
        <v>1</v>
      </c>
      <c r="R916" s="7" t="n">
        <f aca="false">IF(A916="",0,COUNTIFS($A$2:$A$3058,A916,$P$2:$P$3058,"OK"))</f>
        <v>1</v>
      </c>
      <c r="S916" s="7" t="str">
        <f aca="false">IF(OR(A916="",P916="DUP",R916&lt;2),"",IF(Q916=_xlfn.MINIFS($Q$2:$Q$3058,$A$2:$A$3058,A916,$P$2:$P$3058,"OK"),"KEEP","DROP"))</f>
        <v/>
      </c>
      <c r="T916" s="9" t="n">
        <f aca="false">IF(A916="",1,0)</f>
        <v>0</v>
      </c>
      <c r="U916" s="9" t="n">
        <f aca="false">IF(D916="",1,0)</f>
        <v>0</v>
      </c>
      <c r="V916" s="9" t="n">
        <f aca="false">IF(E916="",1,0)</f>
        <v>0</v>
      </c>
      <c r="W916" s="9" t="n">
        <f aca="false">IF(OR(H916&lt;1,H916&gt;10),1,0)</f>
        <v>0</v>
      </c>
      <c r="X916" s="9" t="n">
        <f aca="false">IF(OR(I916&lt;=0,I916&gt;1500),1,0)</f>
        <v>0</v>
      </c>
      <c r="Y916" s="9" t="n">
        <f aca="false">IF(J916&gt;H916*I916,1,0)</f>
        <v>0</v>
      </c>
      <c r="Z916" s="9" t="n">
        <f aca="false">IF(AND(N916&lt;&gt;"",OR(N916&lt;1,N916&gt;5)),1,0)</f>
        <v>0</v>
      </c>
      <c r="AA916" s="9" t="n">
        <f aca="false">IF(AND(M916&lt;&gt;"",OR(M916&lt;5,M916&gt;180)),1,0)</f>
        <v>0</v>
      </c>
      <c r="AB916" s="7" t="str">
        <f aca="false">IF(P916="DUP","Exact duplicate row",IF(T916=1,"Missing Order ID",IF(S916="DROP","Duplicate Order ID (less complete row)",IF(U916=1,"Missing Customer ID",IF(V916=1,"Missing Restaurant name",IF(W916=1,"Invalid/outlier quantity",IF(X916=1,"Invalid/outlier unit price",IF(Y916=1,"Discount greater than order value",""))))))))</f>
        <v/>
      </c>
      <c r="AC916" s="7" t="str">
        <f aca="false">IF(AB916="","KEEP","DROP")</f>
        <v>KEEP</v>
      </c>
      <c r="AD916" s="7" t="str">
        <f aca="false">IF(TRIM(F916)="",IFERROR(INDEX(Map_Tables!$I$4:$I$37,MATCH(TRIM(E916),Map_Tables!$G$4:$G$37,0)),""),IFERROR(INDEX(Map_Tables!$B$4:$B$18,MATCH(TRIM(F916),Map_Tables!$A$4:$A$18,0)),"CHECK"))</f>
        <v>Delhi</v>
      </c>
      <c r="AE916" s="7" t="str">
        <f aca="false">IF(TRIM(E916)="","",IFERROR(INDEX(Map_Tables!$H$4:$H$37,MATCH(TRIM(E916),Map_Tables!$G$4:$G$37,0)),"CHECK"))</f>
        <v>Tandoor Tales</v>
      </c>
      <c r="AF916" s="7" t="str">
        <f aca="false">IF(TRIM(K916)="","Unknown",IFERROR(INDEX(Map_Tables!$E$4:$E$15,MATCH(TRIM(K916),Map_Tables!$D$4:$D$15,0)),"CHECK"))</f>
        <v>Unknown</v>
      </c>
      <c r="AG916" s="7" t="str">
        <f aca="false">IF(LEFT(LOWER(TRIM(L916)),6)="cancel","Cancelled","Delivered")</f>
        <v>Delivered</v>
      </c>
      <c r="AH916" s="10" t="n">
        <f aca="false">IF(ISNUMBER(SEARCH("/",B916)),DATE(VALUE(RIGHT(B916,4)),VALUE(MID(B916,4,2)),VALUE(LEFT(B916,2))),IF(MID(B916,5,1)="-",DATE(VALUE(LEFT(B916,4)),VALUE(MID(B916,6,2)),VALUE(RIGHT(B916,2))),DATE(VALUE(RIGHT(B916,4)),MATCH(MID(B916,4,3),{"Jan","Feb","Mar","Apr","May","Jun","Jul","Aug","Sep","Oct","Nov","Dec"},0),VALUE(LEFT(B916,2)))))</f>
        <v>45997</v>
      </c>
    </row>
    <row r="917" customFormat="false" ht="15" hidden="false" customHeight="false" outlineLevel="0" collapsed="false">
      <c r="A917" s="7" t="s">
        <v>2835</v>
      </c>
      <c r="B917" s="7" t="s">
        <v>1127</v>
      </c>
      <c r="C917" s="7" t="s">
        <v>443</v>
      </c>
      <c r="D917" s="7" t="s">
        <v>2836</v>
      </c>
      <c r="E917" s="7" t="s">
        <v>149</v>
      </c>
      <c r="F917" s="7" t="s">
        <v>119</v>
      </c>
      <c r="G917" s="7" t="s">
        <v>150</v>
      </c>
      <c r="H917" s="7" t="n">
        <v>4</v>
      </c>
      <c r="I917" s="7" t="n">
        <v>185</v>
      </c>
      <c r="J917" s="7" t="n">
        <v>40</v>
      </c>
      <c r="K917" s="7" t="s">
        <v>121</v>
      </c>
      <c r="L917" s="7" t="s">
        <v>194</v>
      </c>
      <c r="M917" s="7" t="n">
        <v>24</v>
      </c>
      <c r="N917" s="7" t="n">
        <v>4</v>
      </c>
      <c r="O917" s="7" t="str">
        <f aca="false">A917&amp;"|"&amp;B917&amp;"|"&amp;C917&amp;"|"&amp;D917&amp;"|"&amp;E917&amp;"|"&amp;F917&amp;"|"&amp;G917&amp;"|"&amp;H917&amp;"|"&amp;I917&amp;"|"&amp;J917&amp;"|"&amp;K917&amp;"|"&amp;L917&amp;"|"&amp;M917&amp;"|"&amp;N917</f>
        <v>ORD12766|2025-12-03|22:51|C0454|Sweet Tooth Studio|Hyderabad|Desserts|4|185|40|Wallet|Delivered|24|4</v>
      </c>
      <c r="P917" s="7" t="str">
        <f aca="false">IF(COUNTIF($O$2:O917,O917)&gt;1,"DUP","OK")</f>
        <v>OK</v>
      </c>
      <c r="Q917" s="7" t="n">
        <f aca="false">COUNTBLANK(A917:N917)</f>
        <v>0</v>
      </c>
      <c r="R917" s="7" t="n">
        <f aca="false">IF(A917="",0,COUNTIFS($A$2:$A$3058,A917,$P$2:$P$3058,"OK"))</f>
        <v>1</v>
      </c>
      <c r="S917" s="7" t="str">
        <f aca="false">IF(OR(A917="",P917="DUP",R917&lt;2),"",IF(Q917=_xlfn.MINIFS($Q$2:$Q$3058,$A$2:$A$3058,A917,$P$2:$P$3058,"OK"),"KEEP","DROP"))</f>
        <v/>
      </c>
      <c r="T917" s="9" t="n">
        <f aca="false">IF(A917="",1,0)</f>
        <v>0</v>
      </c>
      <c r="U917" s="9" t="n">
        <f aca="false">IF(D917="",1,0)</f>
        <v>0</v>
      </c>
      <c r="V917" s="9" t="n">
        <f aca="false">IF(E917="",1,0)</f>
        <v>0</v>
      </c>
      <c r="W917" s="9" t="n">
        <f aca="false">IF(OR(H917&lt;1,H917&gt;10),1,0)</f>
        <v>0</v>
      </c>
      <c r="X917" s="9" t="n">
        <f aca="false">IF(OR(I917&lt;=0,I917&gt;1500),1,0)</f>
        <v>0</v>
      </c>
      <c r="Y917" s="9" t="n">
        <f aca="false">IF(J917&gt;H917*I917,1,0)</f>
        <v>0</v>
      </c>
      <c r="Z917" s="9" t="n">
        <f aca="false">IF(AND(N917&lt;&gt;"",OR(N917&lt;1,N917&gt;5)),1,0)</f>
        <v>0</v>
      </c>
      <c r="AA917" s="9" t="n">
        <f aca="false">IF(AND(M917&lt;&gt;"",OR(M917&lt;5,M917&gt;180)),1,0)</f>
        <v>0</v>
      </c>
      <c r="AB917" s="7" t="str">
        <f aca="false">IF(P917="DUP","Exact duplicate row",IF(T917=1,"Missing Order ID",IF(S917="DROP","Duplicate Order ID (less complete row)",IF(U917=1,"Missing Customer ID",IF(V917=1,"Missing Restaurant name",IF(W917=1,"Invalid/outlier quantity",IF(X917=1,"Invalid/outlier unit price",IF(Y917=1,"Discount greater than order value",""))))))))</f>
        <v/>
      </c>
      <c r="AC917" s="7" t="str">
        <f aca="false">IF(AB917="","KEEP","DROP")</f>
        <v>KEEP</v>
      </c>
      <c r="AD917" s="7" t="str">
        <f aca="false">IF(TRIM(F917)="",IFERROR(INDEX(Map_Tables!$I$4:$I$37,MATCH(TRIM(E917),Map_Tables!$G$4:$G$37,0)),""),IFERROR(INDEX(Map_Tables!$B$4:$B$18,MATCH(TRIM(F917),Map_Tables!$A$4:$A$18,0)),"CHECK"))</f>
        <v>Hyderabad</v>
      </c>
      <c r="AE917" s="7" t="str">
        <f aca="false">IF(TRIM(E917)="","",IFERROR(INDEX(Map_Tables!$H$4:$H$37,MATCH(TRIM(E917),Map_Tables!$G$4:$G$37,0)),"CHECK"))</f>
        <v>Sweet Tooth Studio</v>
      </c>
      <c r="AF917" s="7" t="str">
        <f aca="false">IF(TRIM(K917)="","Unknown",IFERROR(INDEX(Map_Tables!$E$4:$E$15,MATCH(TRIM(K917),Map_Tables!$D$4:$D$15,0)),"CHECK"))</f>
        <v>Wallet</v>
      </c>
      <c r="AG917" s="7" t="str">
        <f aca="false">IF(LEFT(LOWER(TRIM(L917)),6)="cancel","Cancelled","Delivered")</f>
        <v>Delivered</v>
      </c>
      <c r="AH917" s="10" t="n">
        <f aca="false">IF(ISNUMBER(SEARCH("/",B917)),DATE(VALUE(RIGHT(B917,4)),VALUE(MID(B917,4,2)),VALUE(LEFT(B917,2))),IF(MID(B917,5,1)="-",DATE(VALUE(LEFT(B917,4)),VALUE(MID(B917,6,2)),VALUE(RIGHT(B917,2))),DATE(VALUE(RIGHT(B917,4)),MATCH(MID(B917,4,3),{"Jan","Feb","Mar","Apr","May","Jun","Jul","Aug","Sep","Oct","Nov","Dec"},0),VALUE(LEFT(B917,2)))))</f>
        <v>45994</v>
      </c>
    </row>
    <row r="918" customFormat="false" ht="15" hidden="false" customHeight="false" outlineLevel="0" collapsed="false">
      <c r="A918" s="7" t="s">
        <v>2837</v>
      </c>
      <c r="B918" s="7" t="s">
        <v>309</v>
      </c>
      <c r="C918" s="7" t="s">
        <v>976</v>
      </c>
      <c r="D918" s="7" t="s">
        <v>192</v>
      </c>
      <c r="E918" s="7" t="s">
        <v>113</v>
      </c>
      <c r="F918" s="7" t="s">
        <v>101</v>
      </c>
      <c r="G918" s="7" t="s">
        <v>90</v>
      </c>
      <c r="H918" s="7" t="n">
        <v>4</v>
      </c>
      <c r="I918" s="7" t="n">
        <v>300</v>
      </c>
      <c r="J918" s="7" t="n">
        <v>150</v>
      </c>
      <c r="K918" s="7" t="s">
        <v>88</v>
      </c>
      <c r="L918" s="7" t="s">
        <v>194</v>
      </c>
      <c r="M918" s="7" t="n">
        <v>59</v>
      </c>
      <c r="N918" s="7" t="n">
        <v>4</v>
      </c>
      <c r="O918" s="7" t="str">
        <f aca="false">A918&amp;"|"&amp;B918&amp;"|"&amp;C918&amp;"|"&amp;D918&amp;"|"&amp;E918&amp;"|"&amp;F918&amp;"|"&amp;G918&amp;"|"&amp;H918&amp;"|"&amp;I918&amp;"|"&amp;J918&amp;"|"&amp;K918&amp;"|"&amp;L918&amp;"|"&amp;M918&amp;"|"&amp;N918</f>
        <v>ORD12822|2025-12-11|20:20|C0623|Curry Leaf Kitchen|Mumbai|North Indian|4|300|150|UPI|Delivered|59|4</v>
      </c>
      <c r="P918" s="7" t="str">
        <f aca="false">IF(COUNTIF($O$2:O918,O918)&gt;1,"DUP","OK")</f>
        <v>OK</v>
      </c>
      <c r="Q918" s="7" t="n">
        <f aca="false">COUNTBLANK(A918:N918)</f>
        <v>0</v>
      </c>
      <c r="R918" s="7" t="n">
        <f aca="false">IF(A918="",0,COUNTIFS($A$2:$A$3058,A918,$P$2:$P$3058,"OK"))</f>
        <v>1</v>
      </c>
      <c r="S918" s="7" t="str">
        <f aca="false">IF(OR(A918="",P918="DUP",R918&lt;2),"",IF(Q918=_xlfn.MINIFS($Q$2:$Q$3058,$A$2:$A$3058,A918,$P$2:$P$3058,"OK"),"KEEP","DROP"))</f>
        <v/>
      </c>
      <c r="T918" s="9" t="n">
        <f aca="false">IF(A918="",1,0)</f>
        <v>0</v>
      </c>
      <c r="U918" s="9" t="n">
        <f aca="false">IF(D918="",1,0)</f>
        <v>0</v>
      </c>
      <c r="V918" s="9" t="n">
        <f aca="false">IF(E918="",1,0)</f>
        <v>0</v>
      </c>
      <c r="W918" s="9" t="n">
        <f aca="false">IF(OR(H918&lt;1,H918&gt;10),1,0)</f>
        <v>0</v>
      </c>
      <c r="X918" s="9" t="n">
        <f aca="false">IF(OR(I918&lt;=0,I918&gt;1500),1,0)</f>
        <v>0</v>
      </c>
      <c r="Y918" s="9" t="n">
        <f aca="false">IF(J918&gt;H918*I918,1,0)</f>
        <v>0</v>
      </c>
      <c r="Z918" s="9" t="n">
        <f aca="false">IF(AND(N918&lt;&gt;"",OR(N918&lt;1,N918&gt;5)),1,0)</f>
        <v>0</v>
      </c>
      <c r="AA918" s="9" t="n">
        <f aca="false">IF(AND(M918&lt;&gt;"",OR(M918&lt;5,M918&gt;180)),1,0)</f>
        <v>0</v>
      </c>
      <c r="AB918" s="7" t="str">
        <f aca="false">IF(P918="DUP","Exact duplicate row",IF(T918=1,"Missing Order ID",IF(S918="DROP","Duplicate Order ID (less complete row)",IF(U918=1,"Missing Customer ID",IF(V918=1,"Missing Restaurant name",IF(W918=1,"Invalid/outlier quantity",IF(X918=1,"Invalid/outlier unit price",IF(Y918=1,"Discount greater than order value",""))))))))</f>
        <v/>
      </c>
      <c r="AC918" s="7" t="str">
        <f aca="false">IF(AB918="","KEEP","DROP")</f>
        <v>KEEP</v>
      </c>
      <c r="AD918" s="7" t="str">
        <f aca="false">IF(TRIM(F918)="",IFERROR(INDEX(Map_Tables!$I$4:$I$37,MATCH(TRIM(E918),Map_Tables!$G$4:$G$37,0)),""),IFERROR(INDEX(Map_Tables!$B$4:$B$18,MATCH(TRIM(F918),Map_Tables!$A$4:$A$18,0)),"CHECK"))</f>
        <v>Mumbai</v>
      </c>
      <c r="AE918" s="7" t="str">
        <f aca="false">IF(TRIM(E918)="","",IFERROR(INDEX(Map_Tables!$H$4:$H$37,MATCH(TRIM(E918),Map_Tables!$G$4:$G$37,0)),"CHECK"))</f>
        <v>Curry Leaf Kitchen</v>
      </c>
      <c r="AF918" s="7" t="str">
        <f aca="false">IF(TRIM(K918)="","Unknown",IFERROR(INDEX(Map_Tables!$E$4:$E$15,MATCH(TRIM(K918),Map_Tables!$D$4:$D$15,0)),"CHECK"))</f>
        <v>UPI</v>
      </c>
      <c r="AG918" s="7" t="str">
        <f aca="false">IF(LEFT(LOWER(TRIM(L918)),6)="cancel","Cancelled","Delivered")</f>
        <v>Delivered</v>
      </c>
      <c r="AH918" s="10" t="n">
        <f aca="false">IF(ISNUMBER(SEARCH("/",B918)),DATE(VALUE(RIGHT(B918,4)),VALUE(MID(B918,4,2)),VALUE(LEFT(B918,2))),IF(MID(B918,5,1)="-",DATE(VALUE(LEFT(B918,4)),VALUE(MID(B918,6,2)),VALUE(RIGHT(B918,2))),DATE(VALUE(RIGHT(B918,4)),MATCH(MID(B918,4,3),{"Jan","Feb","Mar","Apr","May","Jun","Jul","Aug","Sep","Oct","Nov","Dec"},0),VALUE(LEFT(B918,2)))))</f>
        <v>46002</v>
      </c>
    </row>
    <row r="919" customFormat="false" ht="15" hidden="false" customHeight="false" outlineLevel="0" collapsed="false">
      <c r="A919" s="7" t="s">
        <v>2838</v>
      </c>
      <c r="B919" s="7" t="s">
        <v>402</v>
      </c>
      <c r="C919" s="7" t="s">
        <v>1901</v>
      </c>
      <c r="D919" s="7" t="s">
        <v>2748</v>
      </c>
      <c r="E919" s="7" t="s">
        <v>116</v>
      </c>
      <c r="F919" s="7" t="s">
        <v>101</v>
      </c>
      <c r="G919" s="7" t="s">
        <v>117</v>
      </c>
      <c r="H919" s="7" t="n">
        <v>3</v>
      </c>
      <c r="I919" s="7" t="n">
        <v>125</v>
      </c>
      <c r="J919" s="7" t="n">
        <v>0</v>
      </c>
      <c r="K919" s="7" t="s">
        <v>88</v>
      </c>
      <c r="L919" s="7" t="s">
        <v>194</v>
      </c>
      <c r="M919" s="7" t="n">
        <v>45</v>
      </c>
      <c r="N919" s="7"/>
      <c r="O919" s="7" t="str">
        <f aca="false">A919&amp;"|"&amp;B919&amp;"|"&amp;C919&amp;"|"&amp;D919&amp;"|"&amp;E919&amp;"|"&amp;F919&amp;"|"&amp;G919&amp;"|"&amp;H919&amp;"|"&amp;I919&amp;"|"&amp;J919&amp;"|"&amp;K919&amp;"|"&amp;L919&amp;"|"&amp;M919&amp;"|"&amp;N919</f>
        <v>ORD12107|2025-09-28|18:33|C0206|Pav Bhaji Point|Mumbai|Street Food|3|125|0|UPI|Delivered|45|</v>
      </c>
      <c r="P919" s="7" t="str">
        <f aca="false">IF(COUNTIF($O$2:O919,O919)&gt;1,"DUP","OK")</f>
        <v>OK</v>
      </c>
      <c r="Q919" s="7" t="n">
        <f aca="false">COUNTBLANK(A919:N919)</f>
        <v>1</v>
      </c>
      <c r="R919" s="7" t="n">
        <f aca="false">IF(A919="",0,COUNTIFS($A$2:$A$3058,A919,$P$2:$P$3058,"OK"))</f>
        <v>1</v>
      </c>
      <c r="S919" s="7" t="str">
        <f aca="false">IF(OR(A919="",P919="DUP",R919&lt;2),"",IF(Q919=_xlfn.MINIFS($Q$2:$Q$3058,$A$2:$A$3058,A919,$P$2:$P$3058,"OK"),"KEEP","DROP"))</f>
        <v/>
      </c>
      <c r="T919" s="9" t="n">
        <f aca="false">IF(A919="",1,0)</f>
        <v>0</v>
      </c>
      <c r="U919" s="9" t="n">
        <f aca="false">IF(D919="",1,0)</f>
        <v>0</v>
      </c>
      <c r="V919" s="9" t="n">
        <f aca="false">IF(E919="",1,0)</f>
        <v>0</v>
      </c>
      <c r="W919" s="9" t="n">
        <f aca="false">IF(OR(H919&lt;1,H919&gt;10),1,0)</f>
        <v>0</v>
      </c>
      <c r="X919" s="9" t="n">
        <f aca="false">IF(OR(I919&lt;=0,I919&gt;1500),1,0)</f>
        <v>0</v>
      </c>
      <c r="Y919" s="9" t="n">
        <f aca="false">IF(J919&gt;H919*I919,1,0)</f>
        <v>0</v>
      </c>
      <c r="Z919" s="9" t="n">
        <f aca="false">IF(AND(N919&lt;&gt;"",OR(N919&lt;1,N919&gt;5)),1,0)</f>
        <v>0</v>
      </c>
      <c r="AA919" s="9" t="n">
        <f aca="false">IF(AND(M919&lt;&gt;"",OR(M919&lt;5,M919&gt;180)),1,0)</f>
        <v>0</v>
      </c>
      <c r="AB919" s="7" t="str">
        <f aca="false">IF(P919="DUP","Exact duplicate row",IF(T919=1,"Missing Order ID",IF(S919="DROP","Duplicate Order ID (less complete row)",IF(U919=1,"Missing Customer ID",IF(V919=1,"Missing Restaurant name",IF(W919=1,"Invalid/outlier quantity",IF(X919=1,"Invalid/outlier unit price",IF(Y919=1,"Discount greater than order value",""))))))))</f>
        <v/>
      </c>
      <c r="AC919" s="7" t="str">
        <f aca="false">IF(AB919="","KEEP","DROP")</f>
        <v>KEEP</v>
      </c>
      <c r="AD919" s="7" t="str">
        <f aca="false">IF(TRIM(F919)="",IFERROR(INDEX(Map_Tables!$I$4:$I$37,MATCH(TRIM(E919),Map_Tables!$G$4:$G$37,0)),""),IFERROR(INDEX(Map_Tables!$B$4:$B$18,MATCH(TRIM(F919),Map_Tables!$A$4:$A$18,0)),"CHECK"))</f>
        <v>Mumbai</v>
      </c>
      <c r="AE919" s="7" t="str">
        <f aca="false">IF(TRIM(E919)="","",IFERROR(INDEX(Map_Tables!$H$4:$H$37,MATCH(TRIM(E919),Map_Tables!$G$4:$G$37,0)),"CHECK"))</f>
        <v>Pav Bhaji Point</v>
      </c>
      <c r="AF919" s="7" t="str">
        <f aca="false">IF(TRIM(K919)="","Unknown",IFERROR(INDEX(Map_Tables!$E$4:$E$15,MATCH(TRIM(K919),Map_Tables!$D$4:$D$15,0)),"CHECK"))</f>
        <v>UPI</v>
      </c>
      <c r="AG919" s="7" t="str">
        <f aca="false">IF(LEFT(LOWER(TRIM(L919)),6)="cancel","Cancelled","Delivered")</f>
        <v>Delivered</v>
      </c>
      <c r="AH919" s="10" t="n">
        <f aca="false">IF(ISNUMBER(SEARCH("/",B919)),DATE(VALUE(RIGHT(B919,4)),VALUE(MID(B919,4,2)),VALUE(LEFT(B919,2))),IF(MID(B919,5,1)="-",DATE(VALUE(LEFT(B919,4)),VALUE(MID(B919,6,2)),VALUE(RIGHT(B919,2))),DATE(VALUE(RIGHT(B919,4)),MATCH(MID(B919,4,3),{"Jan","Feb","Mar","Apr","May","Jun","Jul","Aug","Sep","Oct","Nov","Dec"},0),VALUE(LEFT(B919,2)))))</f>
        <v>45928</v>
      </c>
    </row>
    <row r="920" customFormat="false" ht="15" hidden="false" customHeight="false" outlineLevel="0" collapsed="false">
      <c r="A920" s="7" t="s">
        <v>2839</v>
      </c>
      <c r="B920" s="7" t="s">
        <v>2840</v>
      </c>
      <c r="C920" s="7" t="s">
        <v>543</v>
      </c>
      <c r="D920" s="7" t="s">
        <v>1573</v>
      </c>
      <c r="E920" s="7" t="s">
        <v>104</v>
      </c>
      <c r="F920" s="7" t="s">
        <v>86</v>
      </c>
      <c r="G920" s="7" t="s">
        <v>105</v>
      </c>
      <c r="H920" s="7" t="n">
        <v>1</v>
      </c>
      <c r="I920" s="7" t="n">
        <v>210</v>
      </c>
      <c r="J920" s="7" t="n">
        <v>0</v>
      </c>
      <c r="K920" s="7" t="s">
        <v>88</v>
      </c>
      <c r="L920" s="7" t="s">
        <v>194</v>
      </c>
      <c r="M920" s="7" t="n">
        <v>27</v>
      </c>
      <c r="N920" s="7" t="n">
        <v>5</v>
      </c>
      <c r="O920" s="7" t="str">
        <f aca="false">A920&amp;"|"&amp;B920&amp;"|"&amp;C920&amp;"|"&amp;D920&amp;"|"&amp;E920&amp;"|"&amp;F920&amp;"|"&amp;G920&amp;"|"&amp;H920&amp;"|"&amp;I920&amp;"|"&amp;J920&amp;"|"&amp;K920&amp;"|"&amp;L920&amp;"|"&amp;M920&amp;"|"&amp;N920</f>
        <v>ORD11257|2025-06-09|19:40|C0084|Wok &amp; Roll|Bengaluru|Chinese|1|210|0|UPI|Delivered|27|5</v>
      </c>
      <c r="P920" s="7" t="str">
        <f aca="false">IF(COUNTIF($O$2:O920,O920)&gt;1,"DUP","OK")</f>
        <v>OK</v>
      </c>
      <c r="Q920" s="7" t="n">
        <f aca="false">COUNTBLANK(A920:N920)</f>
        <v>0</v>
      </c>
      <c r="R920" s="7" t="n">
        <f aca="false">IF(A920="",0,COUNTIFS($A$2:$A$3058,A920,$P$2:$P$3058,"OK"))</f>
        <v>1</v>
      </c>
      <c r="S920" s="7" t="str">
        <f aca="false">IF(OR(A920="",P920="DUP",R920&lt;2),"",IF(Q920=_xlfn.MINIFS($Q$2:$Q$3058,$A$2:$A$3058,A920,$P$2:$P$3058,"OK"),"KEEP","DROP"))</f>
        <v/>
      </c>
      <c r="T920" s="9" t="n">
        <f aca="false">IF(A920="",1,0)</f>
        <v>0</v>
      </c>
      <c r="U920" s="9" t="n">
        <f aca="false">IF(D920="",1,0)</f>
        <v>0</v>
      </c>
      <c r="V920" s="9" t="n">
        <f aca="false">IF(E920="",1,0)</f>
        <v>0</v>
      </c>
      <c r="W920" s="9" t="n">
        <f aca="false">IF(OR(H920&lt;1,H920&gt;10),1,0)</f>
        <v>0</v>
      </c>
      <c r="X920" s="9" t="n">
        <f aca="false">IF(OR(I920&lt;=0,I920&gt;1500),1,0)</f>
        <v>0</v>
      </c>
      <c r="Y920" s="9" t="n">
        <f aca="false">IF(J920&gt;H920*I920,1,0)</f>
        <v>0</v>
      </c>
      <c r="Z920" s="9" t="n">
        <f aca="false">IF(AND(N920&lt;&gt;"",OR(N920&lt;1,N920&gt;5)),1,0)</f>
        <v>0</v>
      </c>
      <c r="AA920" s="9" t="n">
        <f aca="false">IF(AND(M920&lt;&gt;"",OR(M920&lt;5,M920&gt;180)),1,0)</f>
        <v>0</v>
      </c>
      <c r="AB920" s="7" t="str">
        <f aca="false">IF(P920="DUP","Exact duplicate row",IF(T920=1,"Missing Order ID",IF(S920="DROP","Duplicate Order ID (less complete row)",IF(U920=1,"Missing Customer ID",IF(V920=1,"Missing Restaurant name",IF(W920=1,"Invalid/outlier quantity",IF(X920=1,"Invalid/outlier unit price",IF(Y920=1,"Discount greater than order value",""))))))))</f>
        <v/>
      </c>
      <c r="AC920" s="7" t="str">
        <f aca="false">IF(AB920="","KEEP","DROP")</f>
        <v>KEEP</v>
      </c>
      <c r="AD920" s="7" t="str">
        <f aca="false">IF(TRIM(F920)="",IFERROR(INDEX(Map_Tables!$I$4:$I$37,MATCH(TRIM(E920),Map_Tables!$G$4:$G$37,0)),""),IFERROR(INDEX(Map_Tables!$B$4:$B$18,MATCH(TRIM(F920),Map_Tables!$A$4:$A$18,0)),"CHECK"))</f>
        <v>Bengaluru</v>
      </c>
      <c r="AE920" s="7" t="str">
        <f aca="false">IF(TRIM(E920)="","",IFERROR(INDEX(Map_Tables!$H$4:$H$37,MATCH(TRIM(E920),Map_Tables!$G$4:$G$37,0)),"CHECK"))</f>
        <v>Wok &amp; Roll</v>
      </c>
      <c r="AF920" s="7" t="str">
        <f aca="false">IF(TRIM(K920)="","Unknown",IFERROR(INDEX(Map_Tables!$E$4:$E$15,MATCH(TRIM(K920),Map_Tables!$D$4:$D$15,0)),"CHECK"))</f>
        <v>UPI</v>
      </c>
      <c r="AG920" s="7" t="str">
        <f aca="false">IF(LEFT(LOWER(TRIM(L920)),6)="cancel","Cancelled","Delivered")</f>
        <v>Delivered</v>
      </c>
      <c r="AH920" s="10" t="n">
        <f aca="false">IF(ISNUMBER(SEARCH("/",B920)),DATE(VALUE(RIGHT(B920,4)),VALUE(MID(B920,4,2)),VALUE(LEFT(B920,2))),IF(MID(B920,5,1)="-",DATE(VALUE(LEFT(B920,4)),VALUE(MID(B920,6,2)),VALUE(RIGHT(B920,2))),DATE(VALUE(RIGHT(B920,4)),MATCH(MID(B920,4,3),{"Jan","Feb","Mar","Apr","May","Jun","Jul","Aug","Sep","Oct","Nov","Dec"},0),VALUE(LEFT(B920,2)))))</f>
        <v>45817</v>
      </c>
    </row>
    <row r="921" customFormat="false" ht="15" hidden="false" customHeight="false" outlineLevel="0" collapsed="false">
      <c r="A921" s="7" t="s">
        <v>2841</v>
      </c>
      <c r="B921" s="7" t="s">
        <v>271</v>
      </c>
      <c r="C921" s="7" t="s">
        <v>1118</v>
      </c>
      <c r="D921" s="7" t="s">
        <v>2842</v>
      </c>
      <c r="E921" s="7" t="s">
        <v>152</v>
      </c>
      <c r="F921" s="7" t="s">
        <v>128</v>
      </c>
      <c r="G921" s="7" t="s">
        <v>95</v>
      </c>
      <c r="H921" s="7" t="n">
        <v>-1</v>
      </c>
      <c r="I921" s="7" t="n">
        <v>90</v>
      </c>
      <c r="J921" s="7" t="n">
        <v>50</v>
      </c>
      <c r="K921" s="7" t="s">
        <v>103</v>
      </c>
      <c r="L921" s="7" t="s">
        <v>194</v>
      </c>
      <c r="M921" s="7" t="n">
        <v>44</v>
      </c>
      <c r="N921" s="7" t="n">
        <v>4</v>
      </c>
      <c r="O921" s="7" t="str">
        <f aca="false">A921&amp;"|"&amp;B921&amp;"|"&amp;C921&amp;"|"&amp;D921&amp;"|"&amp;E921&amp;"|"&amp;F921&amp;"|"&amp;G921&amp;"|"&amp;H921&amp;"|"&amp;I921&amp;"|"&amp;J921&amp;"|"&amp;K921&amp;"|"&amp;L921&amp;"|"&amp;M921&amp;"|"&amp;N921</f>
        <v>ORD10577|2025-03-15|12:13|C0182|Filter Coffee &amp; Tiffin|Chennai|South Indian|-1|90|50|Debit Card|Delivered|44|4</v>
      </c>
      <c r="P921" s="7" t="str">
        <f aca="false">IF(COUNTIF($O$2:O921,O921)&gt;1,"DUP","OK")</f>
        <v>OK</v>
      </c>
      <c r="Q921" s="7" t="n">
        <f aca="false">COUNTBLANK(A921:N921)</f>
        <v>0</v>
      </c>
      <c r="R921" s="7" t="n">
        <f aca="false">IF(A921="",0,COUNTIFS($A$2:$A$3058,A921,$P$2:$P$3058,"OK"))</f>
        <v>1</v>
      </c>
      <c r="S921" s="7" t="str">
        <f aca="false">IF(OR(A921="",P921="DUP",R921&lt;2),"",IF(Q921=_xlfn.MINIFS($Q$2:$Q$3058,$A$2:$A$3058,A921,$P$2:$P$3058,"OK"),"KEEP","DROP"))</f>
        <v/>
      </c>
      <c r="T921" s="9" t="n">
        <f aca="false">IF(A921="",1,0)</f>
        <v>0</v>
      </c>
      <c r="U921" s="9" t="n">
        <f aca="false">IF(D921="",1,0)</f>
        <v>0</v>
      </c>
      <c r="V921" s="9" t="n">
        <f aca="false">IF(E921="",1,0)</f>
        <v>0</v>
      </c>
      <c r="W921" s="9" t="n">
        <f aca="false">IF(OR(H921&lt;1,H921&gt;10),1,0)</f>
        <v>1</v>
      </c>
      <c r="X921" s="9" t="n">
        <f aca="false">IF(OR(I921&lt;=0,I921&gt;1500),1,0)</f>
        <v>0</v>
      </c>
      <c r="Y921" s="9" t="n">
        <f aca="false">IF(J921&gt;H921*I921,1,0)</f>
        <v>1</v>
      </c>
      <c r="Z921" s="9" t="n">
        <f aca="false">IF(AND(N921&lt;&gt;"",OR(N921&lt;1,N921&gt;5)),1,0)</f>
        <v>0</v>
      </c>
      <c r="AA921" s="9" t="n">
        <f aca="false">IF(AND(M921&lt;&gt;"",OR(M921&lt;5,M921&gt;180)),1,0)</f>
        <v>0</v>
      </c>
      <c r="AB921" s="7" t="str">
        <f aca="false">IF(P921="DUP","Exact duplicate row",IF(T921=1,"Missing Order ID",IF(S921="DROP","Duplicate Order ID (less complete row)",IF(U921=1,"Missing Customer ID",IF(V921=1,"Missing Restaurant name",IF(W921=1,"Invalid/outlier quantity",IF(X921=1,"Invalid/outlier unit price",IF(Y921=1,"Discount greater than order value",""))))))))</f>
        <v>Invalid/outlier quantity</v>
      </c>
      <c r="AC921" s="7" t="str">
        <f aca="false">IF(AB921="","KEEP","DROP")</f>
        <v>DROP</v>
      </c>
      <c r="AD921" s="7" t="str">
        <f aca="false">IF(TRIM(F921)="",IFERROR(INDEX(Map_Tables!$I$4:$I$37,MATCH(TRIM(E921),Map_Tables!$G$4:$G$37,0)),""),IFERROR(INDEX(Map_Tables!$B$4:$B$18,MATCH(TRIM(F921),Map_Tables!$A$4:$A$18,0)),"CHECK"))</f>
        <v>Chennai</v>
      </c>
      <c r="AE921" s="7" t="str">
        <f aca="false">IF(TRIM(E921)="","",IFERROR(INDEX(Map_Tables!$H$4:$H$37,MATCH(TRIM(E921),Map_Tables!$G$4:$G$37,0)),"CHECK"))</f>
        <v>Filter Coffee &amp; Tiffin</v>
      </c>
      <c r="AF921" s="7" t="str">
        <f aca="false">IF(TRIM(K921)="","Unknown",IFERROR(INDEX(Map_Tables!$E$4:$E$15,MATCH(TRIM(K921),Map_Tables!$D$4:$D$15,0)),"CHECK"))</f>
        <v>Debit Card</v>
      </c>
      <c r="AG921" s="7" t="str">
        <f aca="false">IF(LEFT(LOWER(TRIM(L921)),6)="cancel","Cancelled","Delivered")</f>
        <v>Delivered</v>
      </c>
      <c r="AH921" s="10" t="n">
        <f aca="false">IF(ISNUMBER(SEARCH("/",B921)),DATE(VALUE(RIGHT(B921,4)),VALUE(MID(B921,4,2)),VALUE(LEFT(B921,2))),IF(MID(B921,5,1)="-",DATE(VALUE(LEFT(B921,4)),VALUE(MID(B921,6,2)),VALUE(RIGHT(B921,2))),DATE(VALUE(RIGHT(B921,4)),MATCH(MID(B921,4,3),{"Jan","Feb","Mar","Apr","May","Jun","Jul","Aug","Sep","Oct","Nov","Dec"},0),VALUE(LEFT(B921,2)))))</f>
        <v>45731</v>
      </c>
    </row>
    <row r="922" customFormat="false" ht="15" hidden="false" customHeight="false" outlineLevel="0" collapsed="false">
      <c r="A922" s="7" t="s">
        <v>2843</v>
      </c>
      <c r="B922" s="7" t="s">
        <v>727</v>
      </c>
      <c r="C922" s="7" t="s">
        <v>2844</v>
      </c>
      <c r="D922" s="7" t="s">
        <v>2226</v>
      </c>
      <c r="E922" s="7" t="s">
        <v>94</v>
      </c>
      <c r="F922" s="7" t="s">
        <v>86</v>
      </c>
      <c r="G922" s="7" t="s">
        <v>95</v>
      </c>
      <c r="H922" s="7" t="n">
        <v>4</v>
      </c>
      <c r="I922" s="7" t="n">
        <v>115</v>
      </c>
      <c r="J922" s="7" t="n">
        <v>0</v>
      </c>
      <c r="K922" s="7" t="s">
        <v>103</v>
      </c>
      <c r="L922" s="7" t="s">
        <v>194</v>
      </c>
      <c r="M922" s="7" t="n">
        <v>41</v>
      </c>
      <c r="N922" s="7"/>
      <c r="O922" s="7" t="str">
        <f aca="false">A922&amp;"|"&amp;B922&amp;"|"&amp;C922&amp;"|"&amp;D922&amp;"|"&amp;E922&amp;"|"&amp;F922&amp;"|"&amp;G922&amp;"|"&amp;H922&amp;"|"&amp;I922&amp;"|"&amp;J922&amp;"|"&amp;K922&amp;"|"&amp;L922&amp;"|"&amp;M922&amp;"|"&amp;N922</f>
        <v>ORD10627|2025-03-21|08:55|C0629|Dosa Darbar|Bengaluru|South Indian|4|115|0|Debit Card|Delivered|41|</v>
      </c>
      <c r="P922" s="7" t="str">
        <f aca="false">IF(COUNTIF($O$2:O922,O922)&gt;1,"DUP","OK")</f>
        <v>OK</v>
      </c>
      <c r="Q922" s="7" t="n">
        <f aca="false">COUNTBLANK(A922:N922)</f>
        <v>1</v>
      </c>
      <c r="R922" s="7" t="n">
        <f aca="false">IF(A922="",0,COUNTIFS($A$2:$A$3058,A922,$P$2:$P$3058,"OK"))</f>
        <v>1</v>
      </c>
      <c r="S922" s="7" t="str">
        <f aca="false">IF(OR(A922="",P922="DUP",R922&lt;2),"",IF(Q922=_xlfn.MINIFS($Q$2:$Q$3058,$A$2:$A$3058,A922,$P$2:$P$3058,"OK"),"KEEP","DROP"))</f>
        <v/>
      </c>
      <c r="T922" s="9" t="n">
        <f aca="false">IF(A922="",1,0)</f>
        <v>0</v>
      </c>
      <c r="U922" s="9" t="n">
        <f aca="false">IF(D922="",1,0)</f>
        <v>0</v>
      </c>
      <c r="V922" s="9" t="n">
        <f aca="false">IF(E922="",1,0)</f>
        <v>0</v>
      </c>
      <c r="W922" s="9" t="n">
        <f aca="false">IF(OR(H922&lt;1,H922&gt;10),1,0)</f>
        <v>0</v>
      </c>
      <c r="X922" s="9" t="n">
        <f aca="false">IF(OR(I922&lt;=0,I922&gt;1500),1,0)</f>
        <v>0</v>
      </c>
      <c r="Y922" s="9" t="n">
        <f aca="false">IF(J922&gt;H922*I922,1,0)</f>
        <v>0</v>
      </c>
      <c r="Z922" s="9" t="n">
        <f aca="false">IF(AND(N922&lt;&gt;"",OR(N922&lt;1,N922&gt;5)),1,0)</f>
        <v>0</v>
      </c>
      <c r="AA922" s="9" t="n">
        <f aca="false">IF(AND(M922&lt;&gt;"",OR(M922&lt;5,M922&gt;180)),1,0)</f>
        <v>0</v>
      </c>
      <c r="AB922" s="7" t="str">
        <f aca="false">IF(P922="DUP","Exact duplicate row",IF(T922=1,"Missing Order ID",IF(S922="DROP","Duplicate Order ID (less complete row)",IF(U922=1,"Missing Customer ID",IF(V922=1,"Missing Restaurant name",IF(W922=1,"Invalid/outlier quantity",IF(X922=1,"Invalid/outlier unit price",IF(Y922=1,"Discount greater than order value",""))))))))</f>
        <v/>
      </c>
      <c r="AC922" s="7" t="str">
        <f aca="false">IF(AB922="","KEEP","DROP")</f>
        <v>KEEP</v>
      </c>
      <c r="AD922" s="7" t="str">
        <f aca="false">IF(TRIM(F922)="",IFERROR(INDEX(Map_Tables!$I$4:$I$37,MATCH(TRIM(E922),Map_Tables!$G$4:$G$37,0)),""),IFERROR(INDEX(Map_Tables!$B$4:$B$18,MATCH(TRIM(F922),Map_Tables!$A$4:$A$18,0)),"CHECK"))</f>
        <v>Bengaluru</v>
      </c>
      <c r="AE922" s="7" t="str">
        <f aca="false">IF(TRIM(E922)="","",IFERROR(INDEX(Map_Tables!$H$4:$H$37,MATCH(TRIM(E922),Map_Tables!$G$4:$G$37,0)),"CHECK"))</f>
        <v>Dosa Darbar</v>
      </c>
      <c r="AF922" s="7" t="str">
        <f aca="false">IF(TRIM(K922)="","Unknown",IFERROR(INDEX(Map_Tables!$E$4:$E$15,MATCH(TRIM(K922),Map_Tables!$D$4:$D$15,0)),"CHECK"))</f>
        <v>Debit Card</v>
      </c>
      <c r="AG922" s="7" t="str">
        <f aca="false">IF(LEFT(LOWER(TRIM(L922)),6)="cancel","Cancelled","Delivered")</f>
        <v>Delivered</v>
      </c>
      <c r="AH922" s="10" t="n">
        <f aca="false">IF(ISNUMBER(SEARCH("/",B922)),DATE(VALUE(RIGHT(B922,4)),VALUE(MID(B922,4,2)),VALUE(LEFT(B922,2))),IF(MID(B922,5,1)="-",DATE(VALUE(LEFT(B922,4)),VALUE(MID(B922,6,2)),VALUE(RIGHT(B922,2))),DATE(VALUE(RIGHT(B922,4)),MATCH(MID(B922,4,3),{"Jan","Feb","Mar","Apr","May","Jun","Jul","Aug","Sep","Oct","Nov","Dec"},0),VALUE(LEFT(B922,2)))))</f>
        <v>45737</v>
      </c>
    </row>
    <row r="923" customFormat="false" ht="15" hidden="false" customHeight="false" outlineLevel="0" collapsed="false">
      <c r="A923" s="7" t="s">
        <v>2845</v>
      </c>
      <c r="B923" s="7" t="s">
        <v>2846</v>
      </c>
      <c r="C923" s="7" t="s">
        <v>2271</v>
      </c>
      <c r="D923" s="7" t="s">
        <v>408</v>
      </c>
      <c r="E923" s="7" t="s">
        <v>160</v>
      </c>
      <c r="F923" s="7" t="s">
        <v>136</v>
      </c>
      <c r="G923" s="7" t="s">
        <v>150</v>
      </c>
      <c r="H923" s="7" t="n">
        <v>2</v>
      </c>
      <c r="I923" s="7" t="n">
        <v>175</v>
      </c>
      <c r="J923" s="7" t="n">
        <v>20</v>
      </c>
      <c r="K923" s="7" t="s">
        <v>133</v>
      </c>
      <c r="L923" s="7" t="s">
        <v>194</v>
      </c>
      <c r="M923" s="7" t="n">
        <v>42</v>
      </c>
      <c r="N923" s="7" t="n">
        <v>3</v>
      </c>
      <c r="O923" s="7" t="str">
        <f aca="false">A923&amp;"|"&amp;B923&amp;"|"&amp;C923&amp;"|"&amp;D923&amp;"|"&amp;E923&amp;"|"&amp;F923&amp;"|"&amp;G923&amp;"|"&amp;H923&amp;"|"&amp;I923&amp;"|"&amp;J923&amp;"|"&amp;K923&amp;"|"&amp;L923&amp;"|"&amp;M923&amp;"|"&amp;N923</f>
        <v>ORD12235|2025-10-11|12:38|C0166|Cake Walk|Pune|Desserts|2|175|20|Net Banking|Delivered|42|3</v>
      </c>
      <c r="P923" s="7" t="str">
        <f aca="false">IF(COUNTIF($O$2:O923,O923)&gt;1,"DUP","OK")</f>
        <v>OK</v>
      </c>
      <c r="Q923" s="7" t="n">
        <f aca="false">COUNTBLANK(A923:N923)</f>
        <v>0</v>
      </c>
      <c r="R923" s="7" t="n">
        <f aca="false">IF(A923="",0,COUNTIFS($A$2:$A$3058,A923,$P$2:$P$3058,"OK"))</f>
        <v>1</v>
      </c>
      <c r="S923" s="7" t="str">
        <f aca="false">IF(OR(A923="",P923="DUP",R923&lt;2),"",IF(Q923=_xlfn.MINIFS($Q$2:$Q$3058,$A$2:$A$3058,A923,$P$2:$P$3058,"OK"),"KEEP","DROP"))</f>
        <v/>
      </c>
      <c r="T923" s="9" t="n">
        <f aca="false">IF(A923="",1,0)</f>
        <v>0</v>
      </c>
      <c r="U923" s="9" t="n">
        <f aca="false">IF(D923="",1,0)</f>
        <v>0</v>
      </c>
      <c r="V923" s="9" t="n">
        <f aca="false">IF(E923="",1,0)</f>
        <v>0</v>
      </c>
      <c r="W923" s="9" t="n">
        <f aca="false">IF(OR(H923&lt;1,H923&gt;10),1,0)</f>
        <v>0</v>
      </c>
      <c r="X923" s="9" t="n">
        <f aca="false">IF(OR(I923&lt;=0,I923&gt;1500),1,0)</f>
        <v>0</v>
      </c>
      <c r="Y923" s="9" t="n">
        <f aca="false">IF(J923&gt;H923*I923,1,0)</f>
        <v>0</v>
      </c>
      <c r="Z923" s="9" t="n">
        <f aca="false">IF(AND(N923&lt;&gt;"",OR(N923&lt;1,N923&gt;5)),1,0)</f>
        <v>0</v>
      </c>
      <c r="AA923" s="9" t="n">
        <f aca="false">IF(AND(M923&lt;&gt;"",OR(M923&lt;5,M923&gt;180)),1,0)</f>
        <v>0</v>
      </c>
      <c r="AB923" s="7" t="str">
        <f aca="false">IF(P923="DUP","Exact duplicate row",IF(T923=1,"Missing Order ID",IF(S923="DROP","Duplicate Order ID (less complete row)",IF(U923=1,"Missing Customer ID",IF(V923=1,"Missing Restaurant name",IF(W923=1,"Invalid/outlier quantity",IF(X923=1,"Invalid/outlier unit price",IF(Y923=1,"Discount greater than order value",""))))))))</f>
        <v/>
      </c>
      <c r="AC923" s="7" t="str">
        <f aca="false">IF(AB923="","KEEP","DROP")</f>
        <v>KEEP</v>
      </c>
      <c r="AD923" s="7" t="str">
        <f aca="false">IF(TRIM(F923)="",IFERROR(INDEX(Map_Tables!$I$4:$I$37,MATCH(TRIM(E923),Map_Tables!$G$4:$G$37,0)),""),IFERROR(INDEX(Map_Tables!$B$4:$B$18,MATCH(TRIM(F923),Map_Tables!$A$4:$A$18,0)),"CHECK"))</f>
        <v>Pune</v>
      </c>
      <c r="AE923" s="7" t="str">
        <f aca="false">IF(TRIM(E923)="","",IFERROR(INDEX(Map_Tables!$H$4:$H$37,MATCH(TRIM(E923),Map_Tables!$G$4:$G$37,0)),"CHECK"))</f>
        <v>Cake Walk</v>
      </c>
      <c r="AF923" s="7" t="str">
        <f aca="false">IF(TRIM(K923)="","Unknown",IFERROR(INDEX(Map_Tables!$E$4:$E$15,MATCH(TRIM(K923),Map_Tables!$D$4:$D$15,0)),"CHECK"))</f>
        <v>Net Banking</v>
      </c>
      <c r="AG923" s="7" t="str">
        <f aca="false">IF(LEFT(LOWER(TRIM(L923)),6)="cancel","Cancelled","Delivered")</f>
        <v>Delivered</v>
      </c>
      <c r="AH923" s="10" t="n">
        <f aca="false">IF(ISNUMBER(SEARCH("/",B923)),DATE(VALUE(RIGHT(B923,4)),VALUE(MID(B923,4,2)),VALUE(LEFT(B923,2))),IF(MID(B923,5,1)="-",DATE(VALUE(LEFT(B923,4)),VALUE(MID(B923,6,2)),VALUE(RIGHT(B923,2))),DATE(VALUE(RIGHT(B923,4)),MATCH(MID(B923,4,3),{"Jan","Feb","Mar","Apr","May","Jun","Jul","Aug","Sep","Oct","Nov","Dec"},0),VALUE(LEFT(B923,2)))))</f>
        <v>45941</v>
      </c>
    </row>
    <row r="924" customFormat="false" ht="15" hidden="false" customHeight="false" outlineLevel="0" collapsed="false">
      <c r="A924" s="7" t="s">
        <v>2847</v>
      </c>
      <c r="B924" s="7" t="s">
        <v>1144</v>
      </c>
      <c r="C924" s="7" t="s">
        <v>2848</v>
      </c>
      <c r="D924" s="7" t="s">
        <v>2849</v>
      </c>
      <c r="E924" s="7" t="s">
        <v>94</v>
      </c>
      <c r="F924" s="7" t="s">
        <v>86</v>
      </c>
      <c r="G924" s="7" t="s">
        <v>95</v>
      </c>
      <c r="H924" s="7" t="n">
        <v>2</v>
      </c>
      <c r="I924" s="7" t="n">
        <v>115</v>
      </c>
      <c r="J924" s="7" t="n">
        <v>0</v>
      </c>
      <c r="K924" s="7" t="s">
        <v>93</v>
      </c>
      <c r="L924" s="7" t="s">
        <v>194</v>
      </c>
      <c r="M924" s="7" t="n">
        <v>41</v>
      </c>
      <c r="N924" s="7" t="n">
        <v>5</v>
      </c>
      <c r="O924" s="7" t="str">
        <f aca="false">A924&amp;"|"&amp;B924&amp;"|"&amp;C924&amp;"|"&amp;D924&amp;"|"&amp;E924&amp;"|"&amp;F924&amp;"|"&amp;G924&amp;"|"&amp;H924&amp;"|"&amp;I924&amp;"|"&amp;J924&amp;"|"&amp;K924&amp;"|"&amp;L924&amp;"|"&amp;M924&amp;"|"&amp;N924</f>
        <v>ORD11435|2025-07-05|15:10|C1198|Dosa Darbar|Bengaluru|South Indian|2|115|0|Credit Card|Delivered|41|5</v>
      </c>
      <c r="P924" s="7" t="str">
        <f aca="false">IF(COUNTIF($O$2:O924,O924)&gt;1,"DUP","OK")</f>
        <v>OK</v>
      </c>
      <c r="Q924" s="7" t="n">
        <f aca="false">COUNTBLANK(A924:N924)</f>
        <v>0</v>
      </c>
      <c r="R924" s="7" t="n">
        <f aca="false">IF(A924="",0,COUNTIFS($A$2:$A$3058,A924,$P$2:$P$3058,"OK"))</f>
        <v>1</v>
      </c>
      <c r="S924" s="7" t="str">
        <f aca="false">IF(OR(A924="",P924="DUP",R924&lt;2),"",IF(Q924=_xlfn.MINIFS($Q$2:$Q$3058,$A$2:$A$3058,A924,$P$2:$P$3058,"OK"),"KEEP","DROP"))</f>
        <v/>
      </c>
      <c r="T924" s="9" t="n">
        <f aca="false">IF(A924="",1,0)</f>
        <v>0</v>
      </c>
      <c r="U924" s="9" t="n">
        <f aca="false">IF(D924="",1,0)</f>
        <v>0</v>
      </c>
      <c r="V924" s="9" t="n">
        <f aca="false">IF(E924="",1,0)</f>
        <v>0</v>
      </c>
      <c r="W924" s="9" t="n">
        <f aca="false">IF(OR(H924&lt;1,H924&gt;10),1,0)</f>
        <v>0</v>
      </c>
      <c r="X924" s="9" t="n">
        <f aca="false">IF(OR(I924&lt;=0,I924&gt;1500),1,0)</f>
        <v>0</v>
      </c>
      <c r="Y924" s="9" t="n">
        <f aca="false">IF(J924&gt;H924*I924,1,0)</f>
        <v>0</v>
      </c>
      <c r="Z924" s="9" t="n">
        <f aca="false">IF(AND(N924&lt;&gt;"",OR(N924&lt;1,N924&gt;5)),1,0)</f>
        <v>0</v>
      </c>
      <c r="AA924" s="9" t="n">
        <f aca="false">IF(AND(M924&lt;&gt;"",OR(M924&lt;5,M924&gt;180)),1,0)</f>
        <v>0</v>
      </c>
      <c r="AB924" s="7" t="str">
        <f aca="false">IF(P924="DUP","Exact duplicate row",IF(T924=1,"Missing Order ID",IF(S924="DROP","Duplicate Order ID (less complete row)",IF(U924=1,"Missing Customer ID",IF(V924=1,"Missing Restaurant name",IF(W924=1,"Invalid/outlier quantity",IF(X924=1,"Invalid/outlier unit price",IF(Y924=1,"Discount greater than order value",""))))))))</f>
        <v/>
      </c>
      <c r="AC924" s="7" t="str">
        <f aca="false">IF(AB924="","KEEP","DROP")</f>
        <v>KEEP</v>
      </c>
      <c r="AD924" s="7" t="str">
        <f aca="false">IF(TRIM(F924)="",IFERROR(INDEX(Map_Tables!$I$4:$I$37,MATCH(TRIM(E924),Map_Tables!$G$4:$G$37,0)),""),IFERROR(INDEX(Map_Tables!$B$4:$B$18,MATCH(TRIM(F924),Map_Tables!$A$4:$A$18,0)),"CHECK"))</f>
        <v>Bengaluru</v>
      </c>
      <c r="AE924" s="7" t="str">
        <f aca="false">IF(TRIM(E924)="","",IFERROR(INDEX(Map_Tables!$H$4:$H$37,MATCH(TRIM(E924),Map_Tables!$G$4:$G$37,0)),"CHECK"))</f>
        <v>Dosa Darbar</v>
      </c>
      <c r="AF924" s="7" t="str">
        <f aca="false">IF(TRIM(K924)="","Unknown",IFERROR(INDEX(Map_Tables!$E$4:$E$15,MATCH(TRIM(K924),Map_Tables!$D$4:$D$15,0)),"CHECK"))</f>
        <v>Credit Card</v>
      </c>
      <c r="AG924" s="7" t="str">
        <f aca="false">IF(LEFT(LOWER(TRIM(L924)),6)="cancel","Cancelled","Delivered")</f>
        <v>Delivered</v>
      </c>
      <c r="AH924" s="10" t="n">
        <f aca="false">IF(ISNUMBER(SEARCH("/",B924)),DATE(VALUE(RIGHT(B924,4)),VALUE(MID(B924,4,2)),VALUE(LEFT(B924,2))),IF(MID(B924,5,1)="-",DATE(VALUE(LEFT(B924,4)),VALUE(MID(B924,6,2)),VALUE(RIGHT(B924,2))),DATE(VALUE(RIGHT(B924,4)),MATCH(MID(B924,4,3),{"Jan","Feb","Mar","Apr","May","Jun","Jul","Aug","Sep","Oct","Nov","Dec"},0),VALUE(LEFT(B924,2)))))</f>
        <v>45843</v>
      </c>
    </row>
    <row r="925" customFormat="false" ht="15" hidden="false" customHeight="false" outlineLevel="0" collapsed="false">
      <c r="A925" s="7" t="s">
        <v>2850</v>
      </c>
      <c r="B925" s="7" t="s">
        <v>921</v>
      </c>
      <c r="C925" s="7" t="s">
        <v>2588</v>
      </c>
      <c r="D925" s="7" t="s">
        <v>2851</v>
      </c>
      <c r="E925" s="7" t="s">
        <v>130</v>
      </c>
      <c r="F925" s="7" t="s">
        <v>110</v>
      </c>
      <c r="G925" s="7" t="s">
        <v>90</v>
      </c>
      <c r="H925" s="7" t="n">
        <v>3</v>
      </c>
      <c r="I925" s="7" t="n">
        <v>310</v>
      </c>
      <c r="J925" s="7" t="n">
        <v>30</v>
      </c>
      <c r="K925" s="7" t="s">
        <v>112</v>
      </c>
      <c r="L925" s="7" t="s">
        <v>194</v>
      </c>
      <c r="M925" s="7" t="n">
        <v>44</v>
      </c>
      <c r="N925" s="7" t="n">
        <v>4</v>
      </c>
      <c r="O925" s="7" t="str">
        <f aca="false">A925&amp;"|"&amp;B925&amp;"|"&amp;C925&amp;"|"&amp;D925&amp;"|"&amp;E925&amp;"|"&amp;F925&amp;"|"&amp;G925&amp;"|"&amp;H925&amp;"|"&amp;I925&amp;"|"&amp;J925&amp;"|"&amp;K925&amp;"|"&amp;L925&amp;"|"&amp;M925&amp;"|"&amp;N925</f>
        <v>ORD12157|2025-10-03|11:01|C0464|Tandoor Tales|Delhi|North Indian|3|310|30|Cash on Delivery|Delivered|44|4</v>
      </c>
      <c r="P925" s="7" t="str">
        <f aca="false">IF(COUNTIF($O$2:O925,O925)&gt;1,"DUP","OK")</f>
        <v>OK</v>
      </c>
      <c r="Q925" s="7" t="n">
        <f aca="false">COUNTBLANK(A925:N925)</f>
        <v>0</v>
      </c>
      <c r="R925" s="7" t="n">
        <f aca="false">IF(A925="",0,COUNTIFS($A$2:$A$3058,A925,$P$2:$P$3058,"OK"))</f>
        <v>1</v>
      </c>
      <c r="S925" s="7" t="str">
        <f aca="false">IF(OR(A925="",P925="DUP",R925&lt;2),"",IF(Q925=_xlfn.MINIFS($Q$2:$Q$3058,$A$2:$A$3058,A925,$P$2:$P$3058,"OK"),"KEEP","DROP"))</f>
        <v/>
      </c>
      <c r="T925" s="9" t="n">
        <f aca="false">IF(A925="",1,0)</f>
        <v>0</v>
      </c>
      <c r="U925" s="9" t="n">
        <f aca="false">IF(D925="",1,0)</f>
        <v>0</v>
      </c>
      <c r="V925" s="9" t="n">
        <f aca="false">IF(E925="",1,0)</f>
        <v>0</v>
      </c>
      <c r="W925" s="9" t="n">
        <f aca="false">IF(OR(H925&lt;1,H925&gt;10),1,0)</f>
        <v>0</v>
      </c>
      <c r="X925" s="9" t="n">
        <f aca="false">IF(OR(I925&lt;=0,I925&gt;1500),1,0)</f>
        <v>0</v>
      </c>
      <c r="Y925" s="9" t="n">
        <f aca="false">IF(J925&gt;H925*I925,1,0)</f>
        <v>0</v>
      </c>
      <c r="Z925" s="9" t="n">
        <f aca="false">IF(AND(N925&lt;&gt;"",OR(N925&lt;1,N925&gt;5)),1,0)</f>
        <v>0</v>
      </c>
      <c r="AA925" s="9" t="n">
        <f aca="false">IF(AND(M925&lt;&gt;"",OR(M925&lt;5,M925&gt;180)),1,0)</f>
        <v>0</v>
      </c>
      <c r="AB925" s="7" t="str">
        <f aca="false">IF(P925="DUP","Exact duplicate row",IF(T925=1,"Missing Order ID",IF(S925="DROP","Duplicate Order ID (less complete row)",IF(U925=1,"Missing Customer ID",IF(V925=1,"Missing Restaurant name",IF(W925=1,"Invalid/outlier quantity",IF(X925=1,"Invalid/outlier unit price",IF(Y925=1,"Discount greater than order value",""))))))))</f>
        <v/>
      </c>
      <c r="AC925" s="7" t="str">
        <f aca="false">IF(AB925="","KEEP","DROP")</f>
        <v>KEEP</v>
      </c>
      <c r="AD925" s="7" t="str">
        <f aca="false">IF(TRIM(F925)="",IFERROR(INDEX(Map_Tables!$I$4:$I$37,MATCH(TRIM(E925),Map_Tables!$G$4:$G$37,0)),""),IFERROR(INDEX(Map_Tables!$B$4:$B$18,MATCH(TRIM(F925),Map_Tables!$A$4:$A$18,0)),"CHECK"))</f>
        <v>Delhi</v>
      </c>
      <c r="AE925" s="7" t="str">
        <f aca="false">IF(TRIM(E925)="","",IFERROR(INDEX(Map_Tables!$H$4:$H$37,MATCH(TRIM(E925),Map_Tables!$G$4:$G$37,0)),"CHECK"))</f>
        <v>Tandoor Tales</v>
      </c>
      <c r="AF925" s="7" t="str">
        <f aca="false">IF(TRIM(K925)="","Unknown",IFERROR(INDEX(Map_Tables!$E$4:$E$15,MATCH(TRIM(K925),Map_Tables!$D$4:$D$15,0)),"CHECK"))</f>
        <v>Cash on Delivery</v>
      </c>
      <c r="AG925" s="7" t="str">
        <f aca="false">IF(LEFT(LOWER(TRIM(L925)),6)="cancel","Cancelled","Delivered")</f>
        <v>Delivered</v>
      </c>
      <c r="AH925" s="10" t="n">
        <f aca="false">IF(ISNUMBER(SEARCH("/",B925)),DATE(VALUE(RIGHT(B925,4)),VALUE(MID(B925,4,2)),VALUE(LEFT(B925,2))),IF(MID(B925,5,1)="-",DATE(VALUE(LEFT(B925,4)),VALUE(MID(B925,6,2)),VALUE(RIGHT(B925,2))),DATE(VALUE(RIGHT(B925,4)),MATCH(MID(B925,4,3),{"Jan","Feb","Mar","Apr","May","Jun","Jul","Aug","Sep","Oct","Nov","Dec"},0),VALUE(LEFT(B925,2)))))</f>
        <v>45933</v>
      </c>
    </row>
    <row r="926" customFormat="false" ht="15" hidden="false" customHeight="false" outlineLevel="0" collapsed="false">
      <c r="A926" s="7" t="s">
        <v>2852</v>
      </c>
      <c r="B926" s="7" t="s">
        <v>1260</v>
      </c>
      <c r="C926" s="7" t="s">
        <v>2853</v>
      </c>
      <c r="D926" s="7" t="s">
        <v>2854</v>
      </c>
      <c r="E926" s="7" t="s">
        <v>142</v>
      </c>
      <c r="F926" s="7" t="s">
        <v>110</v>
      </c>
      <c r="G926" s="7" t="s">
        <v>105</v>
      </c>
      <c r="H926" s="7" t="n">
        <v>2</v>
      </c>
      <c r="I926" s="7" t="n">
        <v>140</v>
      </c>
      <c r="J926" s="7" t="n">
        <v>40</v>
      </c>
      <c r="K926" s="7" t="s">
        <v>133</v>
      </c>
      <c r="L926" s="7" t="s">
        <v>194</v>
      </c>
      <c r="M926" s="7" t="n">
        <v>43</v>
      </c>
      <c r="N926" s="7" t="n">
        <v>5</v>
      </c>
      <c r="O926" s="7" t="str">
        <f aca="false">A926&amp;"|"&amp;B926&amp;"|"&amp;C926&amp;"|"&amp;D926&amp;"|"&amp;E926&amp;"|"&amp;F926&amp;"|"&amp;G926&amp;"|"&amp;H926&amp;"|"&amp;I926&amp;"|"&amp;J926&amp;"|"&amp;K926&amp;"|"&amp;L926&amp;"|"&amp;M926&amp;"|"&amp;N926</f>
        <v>ORD12366|2025-10-25|20:14|C0978|Momo Magic|Delhi|Chinese|2|140|40|Net Banking|Delivered|43|5</v>
      </c>
      <c r="P926" s="7" t="str">
        <f aca="false">IF(COUNTIF($O$2:O926,O926)&gt;1,"DUP","OK")</f>
        <v>OK</v>
      </c>
      <c r="Q926" s="7" t="n">
        <f aca="false">COUNTBLANK(A926:N926)</f>
        <v>0</v>
      </c>
      <c r="R926" s="7" t="n">
        <f aca="false">IF(A926="",0,COUNTIFS($A$2:$A$3058,A926,$P$2:$P$3058,"OK"))</f>
        <v>1</v>
      </c>
      <c r="S926" s="7" t="str">
        <f aca="false">IF(OR(A926="",P926="DUP",R926&lt;2),"",IF(Q926=_xlfn.MINIFS($Q$2:$Q$3058,$A$2:$A$3058,A926,$P$2:$P$3058,"OK"),"KEEP","DROP"))</f>
        <v/>
      </c>
      <c r="T926" s="9" t="n">
        <f aca="false">IF(A926="",1,0)</f>
        <v>0</v>
      </c>
      <c r="U926" s="9" t="n">
        <f aca="false">IF(D926="",1,0)</f>
        <v>0</v>
      </c>
      <c r="V926" s="9" t="n">
        <f aca="false">IF(E926="",1,0)</f>
        <v>0</v>
      </c>
      <c r="W926" s="9" t="n">
        <f aca="false">IF(OR(H926&lt;1,H926&gt;10),1,0)</f>
        <v>0</v>
      </c>
      <c r="X926" s="9" t="n">
        <f aca="false">IF(OR(I926&lt;=0,I926&gt;1500),1,0)</f>
        <v>0</v>
      </c>
      <c r="Y926" s="9" t="n">
        <f aca="false">IF(J926&gt;H926*I926,1,0)</f>
        <v>0</v>
      </c>
      <c r="Z926" s="9" t="n">
        <f aca="false">IF(AND(N926&lt;&gt;"",OR(N926&lt;1,N926&gt;5)),1,0)</f>
        <v>0</v>
      </c>
      <c r="AA926" s="9" t="n">
        <f aca="false">IF(AND(M926&lt;&gt;"",OR(M926&lt;5,M926&gt;180)),1,0)</f>
        <v>0</v>
      </c>
      <c r="AB926" s="7" t="str">
        <f aca="false">IF(P926="DUP","Exact duplicate row",IF(T926=1,"Missing Order ID",IF(S926="DROP","Duplicate Order ID (less complete row)",IF(U926=1,"Missing Customer ID",IF(V926=1,"Missing Restaurant name",IF(W926=1,"Invalid/outlier quantity",IF(X926=1,"Invalid/outlier unit price",IF(Y926=1,"Discount greater than order value",""))))))))</f>
        <v/>
      </c>
      <c r="AC926" s="7" t="str">
        <f aca="false">IF(AB926="","KEEP","DROP")</f>
        <v>KEEP</v>
      </c>
      <c r="AD926" s="7" t="str">
        <f aca="false">IF(TRIM(F926)="",IFERROR(INDEX(Map_Tables!$I$4:$I$37,MATCH(TRIM(E926),Map_Tables!$G$4:$G$37,0)),""),IFERROR(INDEX(Map_Tables!$B$4:$B$18,MATCH(TRIM(F926),Map_Tables!$A$4:$A$18,0)),"CHECK"))</f>
        <v>Delhi</v>
      </c>
      <c r="AE926" s="7" t="str">
        <f aca="false">IF(TRIM(E926)="","",IFERROR(INDEX(Map_Tables!$H$4:$H$37,MATCH(TRIM(E926),Map_Tables!$G$4:$G$37,0)),"CHECK"))</f>
        <v>Momo Magic</v>
      </c>
      <c r="AF926" s="7" t="str">
        <f aca="false">IF(TRIM(K926)="","Unknown",IFERROR(INDEX(Map_Tables!$E$4:$E$15,MATCH(TRIM(K926),Map_Tables!$D$4:$D$15,0)),"CHECK"))</f>
        <v>Net Banking</v>
      </c>
      <c r="AG926" s="7" t="str">
        <f aca="false">IF(LEFT(LOWER(TRIM(L926)),6)="cancel","Cancelled","Delivered")</f>
        <v>Delivered</v>
      </c>
      <c r="AH926" s="10" t="n">
        <f aca="false">IF(ISNUMBER(SEARCH("/",B926)),DATE(VALUE(RIGHT(B926,4)),VALUE(MID(B926,4,2)),VALUE(LEFT(B926,2))),IF(MID(B926,5,1)="-",DATE(VALUE(LEFT(B926,4)),VALUE(MID(B926,6,2)),VALUE(RIGHT(B926,2))),DATE(VALUE(RIGHT(B926,4)),MATCH(MID(B926,4,3),{"Jan","Feb","Mar","Apr","May","Jun","Jul","Aug","Sep","Oct","Nov","Dec"},0),VALUE(LEFT(B926,2)))))</f>
        <v>45955</v>
      </c>
    </row>
    <row r="927" customFormat="false" ht="15" hidden="false" customHeight="false" outlineLevel="0" collapsed="false">
      <c r="A927" s="7" t="s">
        <v>2855</v>
      </c>
      <c r="B927" s="7" t="s">
        <v>1645</v>
      </c>
      <c r="C927" s="7" t="s">
        <v>2856</v>
      </c>
      <c r="D927" s="7" t="s">
        <v>1931</v>
      </c>
      <c r="E927" s="7" t="s">
        <v>94</v>
      </c>
      <c r="F927" s="7" t="s">
        <v>86</v>
      </c>
      <c r="G927" s="7" t="s">
        <v>95</v>
      </c>
      <c r="H927" s="7" t="n">
        <v>4</v>
      </c>
      <c r="I927" s="7" t="n">
        <v>130</v>
      </c>
      <c r="J927" s="7" t="n">
        <v>100</v>
      </c>
      <c r="K927" s="7" t="s">
        <v>103</v>
      </c>
      <c r="L927" s="7" t="s">
        <v>194</v>
      </c>
      <c r="M927" s="7" t="n">
        <v>46</v>
      </c>
      <c r="N927" s="7" t="n">
        <v>5</v>
      </c>
      <c r="O927" s="7" t="str">
        <f aca="false">A927&amp;"|"&amp;B927&amp;"|"&amp;C927&amp;"|"&amp;D927&amp;"|"&amp;E927&amp;"|"&amp;F927&amp;"|"&amp;G927&amp;"|"&amp;H927&amp;"|"&amp;I927&amp;"|"&amp;J927&amp;"|"&amp;K927&amp;"|"&amp;L927&amp;"|"&amp;M927&amp;"|"&amp;N927</f>
        <v>ORD11599|2025-07-27|21:48|C0318|Dosa Darbar|Bengaluru|South Indian|4|130|100|Debit Card|Delivered|46|5</v>
      </c>
      <c r="P927" s="7" t="str">
        <f aca="false">IF(COUNTIF($O$2:O927,O927)&gt;1,"DUP","OK")</f>
        <v>OK</v>
      </c>
      <c r="Q927" s="7" t="n">
        <f aca="false">COUNTBLANK(A927:N927)</f>
        <v>0</v>
      </c>
      <c r="R927" s="7" t="n">
        <f aca="false">IF(A927="",0,COUNTIFS($A$2:$A$3058,A927,$P$2:$P$3058,"OK"))</f>
        <v>1</v>
      </c>
      <c r="S927" s="7" t="str">
        <f aca="false">IF(OR(A927="",P927="DUP",R927&lt;2),"",IF(Q927=_xlfn.MINIFS($Q$2:$Q$3058,$A$2:$A$3058,A927,$P$2:$P$3058,"OK"),"KEEP","DROP"))</f>
        <v/>
      </c>
      <c r="T927" s="9" t="n">
        <f aca="false">IF(A927="",1,0)</f>
        <v>0</v>
      </c>
      <c r="U927" s="9" t="n">
        <f aca="false">IF(D927="",1,0)</f>
        <v>0</v>
      </c>
      <c r="V927" s="9" t="n">
        <f aca="false">IF(E927="",1,0)</f>
        <v>0</v>
      </c>
      <c r="W927" s="9" t="n">
        <f aca="false">IF(OR(H927&lt;1,H927&gt;10),1,0)</f>
        <v>0</v>
      </c>
      <c r="X927" s="9" t="n">
        <f aca="false">IF(OR(I927&lt;=0,I927&gt;1500),1,0)</f>
        <v>0</v>
      </c>
      <c r="Y927" s="9" t="n">
        <f aca="false">IF(J927&gt;H927*I927,1,0)</f>
        <v>0</v>
      </c>
      <c r="Z927" s="9" t="n">
        <f aca="false">IF(AND(N927&lt;&gt;"",OR(N927&lt;1,N927&gt;5)),1,0)</f>
        <v>0</v>
      </c>
      <c r="AA927" s="9" t="n">
        <f aca="false">IF(AND(M927&lt;&gt;"",OR(M927&lt;5,M927&gt;180)),1,0)</f>
        <v>0</v>
      </c>
      <c r="AB927" s="7" t="str">
        <f aca="false">IF(P927="DUP","Exact duplicate row",IF(T927=1,"Missing Order ID",IF(S927="DROP","Duplicate Order ID (less complete row)",IF(U927=1,"Missing Customer ID",IF(V927=1,"Missing Restaurant name",IF(W927=1,"Invalid/outlier quantity",IF(X927=1,"Invalid/outlier unit price",IF(Y927=1,"Discount greater than order value",""))))))))</f>
        <v/>
      </c>
      <c r="AC927" s="7" t="str">
        <f aca="false">IF(AB927="","KEEP","DROP")</f>
        <v>KEEP</v>
      </c>
      <c r="AD927" s="7" t="str">
        <f aca="false">IF(TRIM(F927)="",IFERROR(INDEX(Map_Tables!$I$4:$I$37,MATCH(TRIM(E927),Map_Tables!$G$4:$G$37,0)),""),IFERROR(INDEX(Map_Tables!$B$4:$B$18,MATCH(TRIM(F927),Map_Tables!$A$4:$A$18,0)),"CHECK"))</f>
        <v>Bengaluru</v>
      </c>
      <c r="AE927" s="7" t="str">
        <f aca="false">IF(TRIM(E927)="","",IFERROR(INDEX(Map_Tables!$H$4:$H$37,MATCH(TRIM(E927),Map_Tables!$G$4:$G$37,0)),"CHECK"))</f>
        <v>Dosa Darbar</v>
      </c>
      <c r="AF927" s="7" t="str">
        <f aca="false">IF(TRIM(K927)="","Unknown",IFERROR(INDEX(Map_Tables!$E$4:$E$15,MATCH(TRIM(K927),Map_Tables!$D$4:$D$15,0)),"CHECK"))</f>
        <v>Debit Card</v>
      </c>
      <c r="AG927" s="7" t="str">
        <f aca="false">IF(LEFT(LOWER(TRIM(L927)),6)="cancel","Cancelled","Delivered")</f>
        <v>Delivered</v>
      </c>
      <c r="AH927" s="10" t="n">
        <f aca="false">IF(ISNUMBER(SEARCH("/",B927)),DATE(VALUE(RIGHT(B927,4)),VALUE(MID(B927,4,2)),VALUE(LEFT(B927,2))),IF(MID(B927,5,1)="-",DATE(VALUE(LEFT(B927,4)),VALUE(MID(B927,6,2)),VALUE(RIGHT(B927,2))),DATE(VALUE(RIGHT(B927,4)),MATCH(MID(B927,4,3),{"Jan","Feb","Mar","Apr","May","Jun","Jul","Aug","Sep","Oct","Nov","Dec"},0),VALUE(LEFT(B927,2)))))</f>
        <v>45865</v>
      </c>
    </row>
    <row r="928" customFormat="false" ht="15" hidden="false" customHeight="false" outlineLevel="0" collapsed="false">
      <c r="A928" s="7" t="s">
        <v>2084</v>
      </c>
      <c r="B928" s="7" t="s">
        <v>1187</v>
      </c>
      <c r="C928" s="7" t="s">
        <v>1161</v>
      </c>
      <c r="D928" s="7" t="s">
        <v>919</v>
      </c>
      <c r="E928" s="7" t="s">
        <v>160</v>
      </c>
      <c r="F928" s="7" t="s">
        <v>136</v>
      </c>
      <c r="G928" s="7" t="s">
        <v>150</v>
      </c>
      <c r="H928" s="7" t="n">
        <v>1</v>
      </c>
      <c r="I928" s="7" t="n">
        <v>210</v>
      </c>
      <c r="J928" s="7" t="n">
        <v>0</v>
      </c>
      <c r="K928" s="7" t="s">
        <v>93</v>
      </c>
      <c r="L928" s="7" t="s">
        <v>194</v>
      </c>
      <c r="M928" s="7" t="n">
        <v>36</v>
      </c>
      <c r="N928" s="7" t="n">
        <v>3</v>
      </c>
      <c r="O928" s="7" t="str">
        <f aca="false">A928&amp;"|"&amp;B928&amp;"|"&amp;C928&amp;"|"&amp;D928&amp;"|"&amp;E928&amp;"|"&amp;F928&amp;"|"&amp;G928&amp;"|"&amp;H928&amp;"|"&amp;I928&amp;"|"&amp;J928&amp;"|"&amp;K928&amp;"|"&amp;L928&amp;"|"&amp;M928&amp;"|"&amp;N928</f>
        <v>ORD11958|2025-09-11|13:17|C1462|Cake Walk|Pune|Desserts|1|210|0|Credit Card|Delivered|36|3</v>
      </c>
      <c r="P928" s="7" t="str">
        <f aca="false">IF(COUNTIF($O$2:O928,O928)&gt;1,"DUP","OK")</f>
        <v>DUP</v>
      </c>
      <c r="Q928" s="7" t="n">
        <f aca="false">COUNTBLANK(A928:N928)</f>
        <v>0</v>
      </c>
      <c r="R928" s="7" t="n">
        <f aca="false">IF(A928="",0,COUNTIFS($A$2:$A$3058,A928,$P$2:$P$3058,"OK"))</f>
        <v>1</v>
      </c>
      <c r="S928" s="7" t="str">
        <f aca="false">IF(OR(A928="",P928="DUP",R928&lt;2),"",IF(Q928=_xlfn.MINIFS($Q$2:$Q$3058,$A$2:$A$3058,A928,$P$2:$P$3058,"OK"),"KEEP","DROP"))</f>
        <v/>
      </c>
      <c r="T928" s="9" t="n">
        <f aca="false">IF(A928="",1,0)</f>
        <v>0</v>
      </c>
      <c r="U928" s="9" t="n">
        <f aca="false">IF(D928="",1,0)</f>
        <v>0</v>
      </c>
      <c r="V928" s="9" t="n">
        <f aca="false">IF(E928="",1,0)</f>
        <v>0</v>
      </c>
      <c r="W928" s="9" t="n">
        <f aca="false">IF(OR(H928&lt;1,H928&gt;10),1,0)</f>
        <v>0</v>
      </c>
      <c r="X928" s="9" t="n">
        <f aca="false">IF(OR(I928&lt;=0,I928&gt;1500),1,0)</f>
        <v>0</v>
      </c>
      <c r="Y928" s="9" t="n">
        <f aca="false">IF(J928&gt;H928*I928,1,0)</f>
        <v>0</v>
      </c>
      <c r="Z928" s="9" t="n">
        <f aca="false">IF(AND(N928&lt;&gt;"",OR(N928&lt;1,N928&gt;5)),1,0)</f>
        <v>0</v>
      </c>
      <c r="AA928" s="9" t="n">
        <f aca="false">IF(AND(M928&lt;&gt;"",OR(M928&lt;5,M928&gt;180)),1,0)</f>
        <v>0</v>
      </c>
      <c r="AB928" s="7" t="str">
        <f aca="false">IF(P928="DUP","Exact duplicate row",IF(T928=1,"Missing Order ID",IF(S928="DROP","Duplicate Order ID (less complete row)",IF(U928=1,"Missing Customer ID",IF(V928=1,"Missing Restaurant name",IF(W928=1,"Invalid/outlier quantity",IF(X928=1,"Invalid/outlier unit price",IF(Y928=1,"Discount greater than order value",""))))))))</f>
        <v>Exact duplicate row</v>
      </c>
      <c r="AC928" s="7" t="str">
        <f aca="false">IF(AB928="","KEEP","DROP")</f>
        <v>DROP</v>
      </c>
      <c r="AD928" s="7" t="str">
        <f aca="false">IF(TRIM(F928)="",IFERROR(INDEX(Map_Tables!$I$4:$I$37,MATCH(TRIM(E928),Map_Tables!$G$4:$G$37,0)),""),IFERROR(INDEX(Map_Tables!$B$4:$B$18,MATCH(TRIM(F928),Map_Tables!$A$4:$A$18,0)),"CHECK"))</f>
        <v>Pune</v>
      </c>
      <c r="AE928" s="7" t="str">
        <f aca="false">IF(TRIM(E928)="","",IFERROR(INDEX(Map_Tables!$H$4:$H$37,MATCH(TRIM(E928),Map_Tables!$G$4:$G$37,0)),"CHECK"))</f>
        <v>Cake Walk</v>
      </c>
      <c r="AF928" s="7" t="str">
        <f aca="false">IF(TRIM(K928)="","Unknown",IFERROR(INDEX(Map_Tables!$E$4:$E$15,MATCH(TRIM(K928),Map_Tables!$D$4:$D$15,0)),"CHECK"))</f>
        <v>Credit Card</v>
      </c>
      <c r="AG928" s="7" t="str">
        <f aca="false">IF(LEFT(LOWER(TRIM(L928)),6)="cancel","Cancelled","Delivered")</f>
        <v>Delivered</v>
      </c>
      <c r="AH928" s="10" t="n">
        <f aca="false">IF(ISNUMBER(SEARCH("/",B928)),DATE(VALUE(RIGHT(B928,4)),VALUE(MID(B928,4,2)),VALUE(LEFT(B928,2))),IF(MID(B928,5,1)="-",DATE(VALUE(LEFT(B928,4)),VALUE(MID(B928,6,2)),VALUE(RIGHT(B928,2))),DATE(VALUE(RIGHT(B928,4)),MATCH(MID(B928,4,3),{"Jan","Feb","Mar","Apr","May","Jun","Jul","Aug","Sep","Oct","Nov","Dec"},0),VALUE(LEFT(B928,2)))))</f>
        <v>45911</v>
      </c>
    </row>
    <row r="929" customFormat="false" ht="15" hidden="false" customHeight="false" outlineLevel="0" collapsed="false">
      <c r="A929" s="7" t="s">
        <v>2857</v>
      </c>
      <c r="B929" s="7" t="s">
        <v>291</v>
      </c>
      <c r="C929" s="7" t="s">
        <v>2048</v>
      </c>
      <c r="D929" s="7" t="s">
        <v>2858</v>
      </c>
      <c r="E929" s="7" t="s">
        <v>168</v>
      </c>
      <c r="F929" s="7" t="s">
        <v>146</v>
      </c>
      <c r="G929" s="7" t="s">
        <v>123</v>
      </c>
      <c r="H929" s="7" t="n">
        <v>0</v>
      </c>
      <c r="I929" s="7" t="n">
        <v>355</v>
      </c>
      <c r="J929" s="7" t="n">
        <v>0</v>
      </c>
      <c r="K929" s="7" t="s">
        <v>88</v>
      </c>
      <c r="L929" s="7" t="s">
        <v>194</v>
      </c>
      <c r="M929" s="7" t="n">
        <v>30</v>
      </c>
      <c r="N929" s="7" t="n">
        <v>4</v>
      </c>
      <c r="O929" s="7" t="str">
        <f aca="false">A929&amp;"|"&amp;B929&amp;"|"&amp;C929&amp;"|"&amp;D929&amp;"|"&amp;E929&amp;"|"&amp;F929&amp;"|"&amp;G929&amp;"|"&amp;H929&amp;"|"&amp;I929&amp;"|"&amp;J929&amp;"|"&amp;K929&amp;"|"&amp;L929&amp;"|"&amp;M929&amp;"|"&amp;N929</f>
        <v>ORD11225|2025-06-05|12:58|C0391|Cheesy Slice|Ahmedabad|Pizza|0|355|0|UPI|Delivered|30|4</v>
      </c>
      <c r="P929" s="7" t="str">
        <f aca="false">IF(COUNTIF($O$2:O929,O929)&gt;1,"DUP","OK")</f>
        <v>OK</v>
      </c>
      <c r="Q929" s="7" t="n">
        <f aca="false">COUNTBLANK(A929:N929)</f>
        <v>0</v>
      </c>
      <c r="R929" s="7" t="n">
        <f aca="false">IF(A929="",0,COUNTIFS($A$2:$A$3058,A929,$P$2:$P$3058,"OK"))</f>
        <v>1</v>
      </c>
      <c r="S929" s="7" t="str">
        <f aca="false">IF(OR(A929="",P929="DUP",R929&lt;2),"",IF(Q929=_xlfn.MINIFS($Q$2:$Q$3058,$A$2:$A$3058,A929,$P$2:$P$3058,"OK"),"KEEP","DROP"))</f>
        <v/>
      </c>
      <c r="T929" s="9" t="n">
        <f aca="false">IF(A929="",1,0)</f>
        <v>0</v>
      </c>
      <c r="U929" s="9" t="n">
        <f aca="false">IF(D929="",1,0)</f>
        <v>0</v>
      </c>
      <c r="V929" s="9" t="n">
        <f aca="false">IF(E929="",1,0)</f>
        <v>0</v>
      </c>
      <c r="W929" s="9" t="n">
        <f aca="false">IF(OR(H929&lt;1,H929&gt;10),1,0)</f>
        <v>1</v>
      </c>
      <c r="X929" s="9" t="n">
        <f aca="false">IF(OR(I929&lt;=0,I929&gt;1500),1,0)</f>
        <v>0</v>
      </c>
      <c r="Y929" s="9" t="n">
        <f aca="false">IF(J929&gt;H929*I929,1,0)</f>
        <v>0</v>
      </c>
      <c r="Z929" s="9" t="n">
        <f aca="false">IF(AND(N929&lt;&gt;"",OR(N929&lt;1,N929&gt;5)),1,0)</f>
        <v>0</v>
      </c>
      <c r="AA929" s="9" t="n">
        <f aca="false">IF(AND(M929&lt;&gt;"",OR(M929&lt;5,M929&gt;180)),1,0)</f>
        <v>0</v>
      </c>
      <c r="AB929" s="7" t="str">
        <f aca="false">IF(P929="DUP","Exact duplicate row",IF(T929=1,"Missing Order ID",IF(S929="DROP","Duplicate Order ID (less complete row)",IF(U929=1,"Missing Customer ID",IF(V929=1,"Missing Restaurant name",IF(W929=1,"Invalid/outlier quantity",IF(X929=1,"Invalid/outlier unit price",IF(Y929=1,"Discount greater than order value",""))))))))</f>
        <v>Invalid/outlier quantity</v>
      </c>
      <c r="AC929" s="7" t="str">
        <f aca="false">IF(AB929="","KEEP","DROP")</f>
        <v>DROP</v>
      </c>
      <c r="AD929" s="7" t="str">
        <f aca="false">IF(TRIM(F929)="",IFERROR(INDEX(Map_Tables!$I$4:$I$37,MATCH(TRIM(E929),Map_Tables!$G$4:$G$37,0)),""),IFERROR(INDEX(Map_Tables!$B$4:$B$18,MATCH(TRIM(F929),Map_Tables!$A$4:$A$18,0)),"CHECK"))</f>
        <v>Ahmedabad</v>
      </c>
      <c r="AE929" s="7" t="str">
        <f aca="false">IF(TRIM(E929)="","",IFERROR(INDEX(Map_Tables!$H$4:$H$37,MATCH(TRIM(E929),Map_Tables!$G$4:$G$37,0)),"CHECK"))</f>
        <v>Cheesy Slice</v>
      </c>
      <c r="AF929" s="7" t="str">
        <f aca="false">IF(TRIM(K929)="","Unknown",IFERROR(INDEX(Map_Tables!$E$4:$E$15,MATCH(TRIM(K929),Map_Tables!$D$4:$D$15,0)),"CHECK"))</f>
        <v>UPI</v>
      </c>
      <c r="AG929" s="7" t="str">
        <f aca="false">IF(LEFT(LOWER(TRIM(L929)),6)="cancel","Cancelled","Delivered")</f>
        <v>Delivered</v>
      </c>
      <c r="AH929" s="10" t="n">
        <f aca="false">IF(ISNUMBER(SEARCH("/",B929)),DATE(VALUE(RIGHT(B929,4)),VALUE(MID(B929,4,2)),VALUE(LEFT(B929,2))),IF(MID(B929,5,1)="-",DATE(VALUE(LEFT(B929,4)),VALUE(MID(B929,6,2)),VALUE(RIGHT(B929,2))),DATE(VALUE(RIGHT(B929,4)),MATCH(MID(B929,4,3),{"Jan","Feb","Mar","Apr","May","Jun","Jul","Aug","Sep","Oct","Nov","Dec"},0),VALUE(LEFT(B929,2)))))</f>
        <v>45813</v>
      </c>
    </row>
    <row r="930" customFormat="false" ht="15" hidden="false" customHeight="false" outlineLevel="0" collapsed="false">
      <c r="A930" s="7" t="s">
        <v>2859</v>
      </c>
      <c r="B930" s="7" t="s">
        <v>1086</v>
      </c>
      <c r="C930" s="7" t="s">
        <v>2860</v>
      </c>
      <c r="D930" s="7" t="s">
        <v>2861</v>
      </c>
      <c r="E930" s="7" t="s">
        <v>348</v>
      </c>
      <c r="F930" s="7" t="s">
        <v>136</v>
      </c>
      <c r="G930" s="7" t="s">
        <v>150</v>
      </c>
      <c r="H930" s="7" t="n">
        <v>3</v>
      </c>
      <c r="I930" s="7" t="n">
        <v>170</v>
      </c>
      <c r="J930" s="7" t="n">
        <v>0</v>
      </c>
      <c r="K930" s="7" t="s">
        <v>88</v>
      </c>
      <c r="L930" s="7" t="s">
        <v>194</v>
      </c>
      <c r="M930" s="7" t="n">
        <v>28</v>
      </c>
      <c r="N930" s="7" t="n">
        <v>4</v>
      </c>
      <c r="O930" s="7" t="str">
        <f aca="false">A930&amp;"|"&amp;B930&amp;"|"&amp;C930&amp;"|"&amp;D930&amp;"|"&amp;E930&amp;"|"&amp;F930&amp;"|"&amp;G930&amp;"|"&amp;H930&amp;"|"&amp;I930&amp;"|"&amp;J930&amp;"|"&amp;K930&amp;"|"&amp;L930&amp;"|"&amp;M930&amp;"|"&amp;N930</f>
        <v>ORD10756|2025-04-06|17:39|C1230|CAKE WALK|Pune|Desserts|3|170|0|UPI|Delivered|28|4</v>
      </c>
      <c r="P930" s="7" t="str">
        <f aca="false">IF(COUNTIF($O$2:O930,O930)&gt;1,"DUP","OK")</f>
        <v>OK</v>
      </c>
      <c r="Q930" s="7" t="n">
        <f aca="false">COUNTBLANK(A930:N930)</f>
        <v>0</v>
      </c>
      <c r="R930" s="7" t="n">
        <f aca="false">IF(A930="",0,COUNTIFS($A$2:$A$3058,A930,$P$2:$P$3058,"OK"))</f>
        <v>1</v>
      </c>
      <c r="S930" s="7" t="str">
        <f aca="false">IF(OR(A930="",P930="DUP",R930&lt;2),"",IF(Q930=_xlfn.MINIFS($Q$2:$Q$3058,$A$2:$A$3058,A930,$P$2:$P$3058,"OK"),"KEEP","DROP"))</f>
        <v/>
      </c>
      <c r="T930" s="9" t="n">
        <f aca="false">IF(A930="",1,0)</f>
        <v>0</v>
      </c>
      <c r="U930" s="9" t="n">
        <f aca="false">IF(D930="",1,0)</f>
        <v>0</v>
      </c>
      <c r="V930" s="9" t="n">
        <f aca="false">IF(E930="",1,0)</f>
        <v>0</v>
      </c>
      <c r="W930" s="9" t="n">
        <f aca="false">IF(OR(H930&lt;1,H930&gt;10),1,0)</f>
        <v>0</v>
      </c>
      <c r="X930" s="9" t="n">
        <f aca="false">IF(OR(I930&lt;=0,I930&gt;1500),1,0)</f>
        <v>0</v>
      </c>
      <c r="Y930" s="9" t="n">
        <f aca="false">IF(J930&gt;H930*I930,1,0)</f>
        <v>0</v>
      </c>
      <c r="Z930" s="9" t="n">
        <f aca="false">IF(AND(N930&lt;&gt;"",OR(N930&lt;1,N930&gt;5)),1,0)</f>
        <v>0</v>
      </c>
      <c r="AA930" s="9" t="n">
        <f aca="false">IF(AND(M930&lt;&gt;"",OR(M930&lt;5,M930&gt;180)),1,0)</f>
        <v>0</v>
      </c>
      <c r="AB930" s="7" t="str">
        <f aca="false">IF(P930="DUP","Exact duplicate row",IF(T930=1,"Missing Order ID",IF(S930="DROP","Duplicate Order ID (less complete row)",IF(U930=1,"Missing Customer ID",IF(V930=1,"Missing Restaurant name",IF(W930=1,"Invalid/outlier quantity",IF(X930=1,"Invalid/outlier unit price",IF(Y930=1,"Discount greater than order value",""))))))))</f>
        <v/>
      </c>
      <c r="AC930" s="7" t="str">
        <f aca="false">IF(AB930="","KEEP","DROP")</f>
        <v>KEEP</v>
      </c>
      <c r="AD930" s="7" t="str">
        <f aca="false">IF(TRIM(F930)="",IFERROR(INDEX(Map_Tables!$I$4:$I$37,MATCH(TRIM(E930),Map_Tables!$G$4:$G$37,0)),""),IFERROR(INDEX(Map_Tables!$B$4:$B$18,MATCH(TRIM(F930),Map_Tables!$A$4:$A$18,0)),"CHECK"))</f>
        <v>Pune</v>
      </c>
      <c r="AE930" s="7" t="str">
        <f aca="false">IF(TRIM(E930)="","",IFERROR(INDEX(Map_Tables!$H$4:$H$37,MATCH(TRIM(E930),Map_Tables!$G$4:$G$37,0)),"CHECK"))</f>
        <v>Cake Walk</v>
      </c>
      <c r="AF930" s="7" t="str">
        <f aca="false">IF(TRIM(K930)="","Unknown",IFERROR(INDEX(Map_Tables!$E$4:$E$15,MATCH(TRIM(K930),Map_Tables!$D$4:$D$15,0)),"CHECK"))</f>
        <v>UPI</v>
      </c>
      <c r="AG930" s="7" t="str">
        <f aca="false">IF(LEFT(LOWER(TRIM(L930)),6)="cancel","Cancelled","Delivered")</f>
        <v>Delivered</v>
      </c>
      <c r="AH930" s="10" t="n">
        <f aca="false">IF(ISNUMBER(SEARCH("/",B930)),DATE(VALUE(RIGHT(B930,4)),VALUE(MID(B930,4,2)),VALUE(LEFT(B930,2))),IF(MID(B930,5,1)="-",DATE(VALUE(LEFT(B930,4)),VALUE(MID(B930,6,2)),VALUE(RIGHT(B930,2))),DATE(VALUE(RIGHT(B930,4)),MATCH(MID(B930,4,3),{"Jan","Feb","Mar","Apr","May","Jun","Jul","Aug","Sep","Oct","Nov","Dec"},0),VALUE(LEFT(B930,2)))))</f>
        <v>45753</v>
      </c>
    </row>
    <row r="931" customFormat="false" ht="15" hidden="false" customHeight="false" outlineLevel="0" collapsed="false">
      <c r="A931" s="7" t="s">
        <v>2862</v>
      </c>
      <c r="B931" s="7" t="s">
        <v>2182</v>
      </c>
      <c r="C931" s="7" t="s">
        <v>1578</v>
      </c>
      <c r="D931" s="7" t="s">
        <v>2863</v>
      </c>
      <c r="E931" s="7" t="s">
        <v>2864</v>
      </c>
      <c r="F931" s="7" t="s">
        <v>141</v>
      </c>
      <c r="G931" s="7" t="s">
        <v>117</v>
      </c>
      <c r="H931" s="7" t="n">
        <v>2</v>
      </c>
      <c r="I931" s="7" t="n">
        <v>125</v>
      </c>
      <c r="J931" s="7" t="n">
        <v>0</v>
      </c>
      <c r="K931" s="7" t="s">
        <v>112</v>
      </c>
      <c r="L931" s="7" t="s">
        <v>194</v>
      </c>
      <c r="M931" s="7" t="n">
        <v>36</v>
      </c>
      <c r="N931" s="7" t="n">
        <v>4</v>
      </c>
      <c r="O931" s="7" t="str">
        <f aca="false">A931&amp;"|"&amp;B931&amp;"|"&amp;C931&amp;"|"&amp;D931&amp;"|"&amp;E931&amp;"|"&amp;F931&amp;"|"&amp;G931&amp;"|"&amp;H931&amp;"|"&amp;I931&amp;"|"&amp;J931&amp;"|"&amp;K931&amp;"|"&amp;L931&amp;"|"&amp;M931&amp;"|"&amp;N931</f>
        <v>ORD11754|2025-08-17|21:28|C0296|Bengal Bites |Kolkata|Street Food|2|125|0|Cash on Delivery|Delivered|36|4</v>
      </c>
      <c r="P931" s="7" t="str">
        <f aca="false">IF(COUNTIF($O$2:O931,O931)&gt;1,"DUP","OK")</f>
        <v>OK</v>
      </c>
      <c r="Q931" s="7" t="n">
        <f aca="false">COUNTBLANK(A931:N931)</f>
        <v>0</v>
      </c>
      <c r="R931" s="7" t="n">
        <f aca="false">IF(A931="",0,COUNTIFS($A$2:$A$3058,A931,$P$2:$P$3058,"OK"))</f>
        <v>1</v>
      </c>
      <c r="S931" s="7" t="str">
        <f aca="false">IF(OR(A931="",P931="DUP",R931&lt;2),"",IF(Q931=_xlfn.MINIFS($Q$2:$Q$3058,$A$2:$A$3058,A931,$P$2:$P$3058,"OK"),"KEEP","DROP"))</f>
        <v/>
      </c>
      <c r="T931" s="9" t="n">
        <f aca="false">IF(A931="",1,0)</f>
        <v>0</v>
      </c>
      <c r="U931" s="9" t="n">
        <f aca="false">IF(D931="",1,0)</f>
        <v>0</v>
      </c>
      <c r="V931" s="9" t="n">
        <f aca="false">IF(E931="",1,0)</f>
        <v>0</v>
      </c>
      <c r="W931" s="9" t="n">
        <f aca="false">IF(OR(H931&lt;1,H931&gt;10),1,0)</f>
        <v>0</v>
      </c>
      <c r="X931" s="9" t="n">
        <f aca="false">IF(OR(I931&lt;=0,I931&gt;1500),1,0)</f>
        <v>0</v>
      </c>
      <c r="Y931" s="9" t="n">
        <f aca="false">IF(J931&gt;H931*I931,1,0)</f>
        <v>0</v>
      </c>
      <c r="Z931" s="9" t="n">
        <f aca="false">IF(AND(N931&lt;&gt;"",OR(N931&lt;1,N931&gt;5)),1,0)</f>
        <v>0</v>
      </c>
      <c r="AA931" s="9" t="n">
        <f aca="false">IF(AND(M931&lt;&gt;"",OR(M931&lt;5,M931&gt;180)),1,0)</f>
        <v>0</v>
      </c>
      <c r="AB931" s="7" t="str">
        <f aca="false">IF(P931="DUP","Exact duplicate row",IF(T931=1,"Missing Order ID",IF(S931="DROP","Duplicate Order ID (less complete row)",IF(U931=1,"Missing Customer ID",IF(V931=1,"Missing Restaurant name",IF(W931=1,"Invalid/outlier quantity",IF(X931=1,"Invalid/outlier unit price",IF(Y931=1,"Discount greater than order value",""))))))))</f>
        <v/>
      </c>
      <c r="AC931" s="7" t="str">
        <f aca="false">IF(AB931="","KEEP","DROP")</f>
        <v>KEEP</v>
      </c>
      <c r="AD931" s="7" t="str">
        <f aca="false">IF(TRIM(F931)="",IFERROR(INDEX(Map_Tables!$I$4:$I$37,MATCH(TRIM(E931),Map_Tables!$G$4:$G$37,0)),""),IFERROR(INDEX(Map_Tables!$B$4:$B$18,MATCH(TRIM(F931),Map_Tables!$A$4:$A$18,0)),"CHECK"))</f>
        <v>Kolkata</v>
      </c>
      <c r="AE931" s="7" t="str">
        <f aca="false">IF(TRIM(E931)="","",IFERROR(INDEX(Map_Tables!$H$4:$H$37,MATCH(TRIM(E931),Map_Tables!$G$4:$G$37,0)),"CHECK"))</f>
        <v>Bengal Bites</v>
      </c>
      <c r="AF931" s="7" t="str">
        <f aca="false">IF(TRIM(K931)="","Unknown",IFERROR(INDEX(Map_Tables!$E$4:$E$15,MATCH(TRIM(K931),Map_Tables!$D$4:$D$15,0)),"CHECK"))</f>
        <v>Cash on Delivery</v>
      </c>
      <c r="AG931" s="7" t="str">
        <f aca="false">IF(LEFT(LOWER(TRIM(L931)),6)="cancel","Cancelled","Delivered")</f>
        <v>Delivered</v>
      </c>
      <c r="AH931" s="10" t="n">
        <f aca="false">IF(ISNUMBER(SEARCH("/",B931)),DATE(VALUE(RIGHT(B931,4)),VALUE(MID(B931,4,2)),VALUE(LEFT(B931,2))),IF(MID(B931,5,1)="-",DATE(VALUE(LEFT(B931,4)),VALUE(MID(B931,6,2)),VALUE(RIGHT(B931,2))),DATE(VALUE(RIGHT(B931,4)),MATCH(MID(B931,4,3),{"Jan","Feb","Mar","Apr","May","Jun","Jul","Aug","Sep","Oct","Nov","Dec"},0),VALUE(LEFT(B931,2)))))</f>
        <v>45886</v>
      </c>
    </row>
    <row r="932" customFormat="false" ht="15" hidden="false" customHeight="false" outlineLevel="0" collapsed="false">
      <c r="A932" s="7" t="s">
        <v>2865</v>
      </c>
      <c r="B932" s="7" t="s">
        <v>1645</v>
      </c>
      <c r="C932" s="7" t="s">
        <v>2088</v>
      </c>
      <c r="D932" s="7" t="s">
        <v>2866</v>
      </c>
      <c r="E932" s="7" t="s">
        <v>113</v>
      </c>
      <c r="F932" s="7" t="s">
        <v>101</v>
      </c>
      <c r="G932" s="7" t="s">
        <v>90</v>
      </c>
      <c r="H932" s="7" t="n">
        <v>3</v>
      </c>
      <c r="I932" s="7" t="n">
        <v>215</v>
      </c>
      <c r="J932" s="7" t="n">
        <v>0</v>
      </c>
      <c r="K932" s="7" t="s">
        <v>88</v>
      </c>
      <c r="L932" s="7" t="s">
        <v>194</v>
      </c>
      <c r="M932" s="7" t="n">
        <v>49</v>
      </c>
      <c r="N932" s="7" t="n">
        <v>3</v>
      </c>
      <c r="O932" s="7" t="str">
        <f aca="false">A932&amp;"|"&amp;B932&amp;"|"&amp;C932&amp;"|"&amp;D932&amp;"|"&amp;E932&amp;"|"&amp;F932&amp;"|"&amp;G932&amp;"|"&amp;H932&amp;"|"&amp;I932&amp;"|"&amp;J932&amp;"|"&amp;K932&amp;"|"&amp;L932&amp;"|"&amp;M932&amp;"|"&amp;N932</f>
        <v>ORD11597|2025-07-27|19:56|C1162|Curry Leaf Kitchen|Mumbai|North Indian|3|215|0|UPI|Delivered|49|3</v>
      </c>
      <c r="P932" s="7" t="str">
        <f aca="false">IF(COUNTIF($O$2:O932,O932)&gt;1,"DUP","OK")</f>
        <v>OK</v>
      </c>
      <c r="Q932" s="7" t="n">
        <f aca="false">COUNTBLANK(A932:N932)</f>
        <v>0</v>
      </c>
      <c r="R932" s="7" t="n">
        <f aca="false">IF(A932="",0,COUNTIFS($A$2:$A$3058,A932,$P$2:$P$3058,"OK"))</f>
        <v>1</v>
      </c>
      <c r="S932" s="7" t="str">
        <f aca="false">IF(OR(A932="",P932="DUP",R932&lt;2),"",IF(Q932=_xlfn.MINIFS($Q$2:$Q$3058,$A$2:$A$3058,A932,$P$2:$P$3058,"OK"),"KEEP","DROP"))</f>
        <v/>
      </c>
      <c r="T932" s="9" t="n">
        <f aca="false">IF(A932="",1,0)</f>
        <v>0</v>
      </c>
      <c r="U932" s="9" t="n">
        <f aca="false">IF(D932="",1,0)</f>
        <v>0</v>
      </c>
      <c r="V932" s="9" t="n">
        <f aca="false">IF(E932="",1,0)</f>
        <v>0</v>
      </c>
      <c r="W932" s="9" t="n">
        <f aca="false">IF(OR(H932&lt;1,H932&gt;10),1,0)</f>
        <v>0</v>
      </c>
      <c r="X932" s="9" t="n">
        <f aca="false">IF(OR(I932&lt;=0,I932&gt;1500),1,0)</f>
        <v>0</v>
      </c>
      <c r="Y932" s="9" t="n">
        <f aca="false">IF(J932&gt;H932*I932,1,0)</f>
        <v>0</v>
      </c>
      <c r="Z932" s="9" t="n">
        <f aca="false">IF(AND(N932&lt;&gt;"",OR(N932&lt;1,N932&gt;5)),1,0)</f>
        <v>0</v>
      </c>
      <c r="AA932" s="9" t="n">
        <f aca="false">IF(AND(M932&lt;&gt;"",OR(M932&lt;5,M932&gt;180)),1,0)</f>
        <v>0</v>
      </c>
      <c r="AB932" s="7" t="str">
        <f aca="false">IF(P932="DUP","Exact duplicate row",IF(T932=1,"Missing Order ID",IF(S932="DROP","Duplicate Order ID (less complete row)",IF(U932=1,"Missing Customer ID",IF(V932=1,"Missing Restaurant name",IF(W932=1,"Invalid/outlier quantity",IF(X932=1,"Invalid/outlier unit price",IF(Y932=1,"Discount greater than order value",""))))))))</f>
        <v/>
      </c>
      <c r="AC932" s="7" t="str">
        <f aca="false">IF(AB932="","KEEP","DROP")</f>
        <v>KEEP</v>
      </c>
      <c r="AD932" s="7" t="str">
        <f aca="false">IF(TRIM(F932)="",IFERROR(INDEX(Map_Tables!$I$4:$I$37,MATCH(TRIM(E932),Map_Tables!$G$4:$G$37,0)),""),IFERROR(INDEX(Map_Tables!$B$4:$B$18,MATCH(TRIM(F932),Map_Tables!$A$4:$A$18,0)),"CHECK"))</f>
        <v>Mumbai</v>
      </c>
      <c r="AE932" s="7" t="str">
        <f aca="false">IF(TRIM(E932)="","",IFERROR(INDEX(Map_Tables!$H$4:$H$37,MATCH(TRIM(E932),Map_Tables!$G$4:$G$37,0)),"CHECK"))</f>
        <v>Curry Leaf Kitchen</v>
      </c>
      <c r="AF932" s="7" t="str">
        <f aca="false">IF(TRIM(K932)="","Unknown",IFERROR(INDEX(Map_Tables!$E$4:$E$15,MATCH(TRIM(K932),Map_Tables!$D$4:$D$15,0)),"CHECK"))</f>
        <v>UPI</v>
      </c>
      <c r="AG932" s="7" t="str">
        <f aca="false">IF(LEFT(LOWER(TRIM(L932)),6)="cancel","Cancelled","Delivered")</f>
        <v>Delivered</v>
      </c>
      <c r="AH932" s="10" t="n">
        <f aca="false">IF(ISNUMBER(SEARCH("/",B932)),DATE(VALUE(RIGHT(B932,4)),VALUE(MID(B932,4,2)),VALUE(LEFT(B932,2))),IF(MID(B932,5,1)="-",DATE(VALUE(LEFT(B932,4)),VALUE(MID(B932,6,2)),VALUE(RIGHT(B932,2))),DATE(VALUE(RIGHT(B932,4)),MATCH(MID(B932,4,3),{"Jan","Feb","Mar","Apr","May","Jun","Jul","Aug","Sep","Oct","Nov","Dec"},0),VALUE(LEFT(B932,2)))))</f>
        <v>45865</v>
      </c>
    </row>
    <row r="933" customFormat="false" ht="15" hidden="false" customHeight="false" outlineLevel="0" collapsed="false">
      <c r="A933" s="7" t="s">
        <v>2867</v>
      </c>
      <c r="B933" s="7" t="s">
        <v>1049</v>
      </c>
      <c r="C933" s="7" t="s">
        <v>1091</v>
      </c>
      <c r="D933" s="7" t="s">
        <v>1952</v>
      </c>
      <c r="E933" s="7" t="s">
        <v>98</v>
      </c>
      <c r="F933" s="7" t="s">
        <v>86</v>
      </c>
      <c r="G933" s="7" t="s">
        <v>99</v>
      </c>
      <c r="H933" s="7" t="n">
        <v>2</v>
      </c>
      <c r="I933" s="7" t="n">
        <v>240</v>
      </c>
      <c r="J933" s="7" t="n">
        <v>100</v>
      </c>
      <c r="K933" s="7" t="s">
        <v>88</v>
      </c>
      <c r="L933" s="7" t="s">
        <v>194</v>
      </c>
      <c r="M933" s="7" t="n">
        <v>42</v>
      </c>
      <c r="N933" s="7" t="n">
        <v>5</v>
      </c>
      <c r="O933" s="7" t="str">
        <f aca="false">A933&amp;"|"&amp;B933&amp;"|"&amp;C933&amp;"|"&amp;D933&amp;"|"&amp;E933&amp;"|"&amp;F933&amp;"|"&amp;G933&amp;"|"&amp;H933&amp;"|"&amp;I933&amp;"|"&amp;J933&amp;"|"&amp;K933&amp;"|"&amp;L933&amp;"|"&amp;M933&amp;"|"&amp;N933</f>
        <v>ORD11660|2025-08-05|10:37|C0489|Nawabi Biryani House|Bengaluru|Biryani|2|240|100|UPI|Delivered|42|5</v>
      </c>
      <c r="P933" s="7" t="str">
        <f aca="false">IF(COUNTIF($O$2:O933,O933)&gt;1,"DUP","OK")</f>
        <v>OK</v>
      </c>
      <c r="Q933" s="7" t="n">
        <f aca="false">COUNTBLANK(A933:N933)</f>
        <v>0</v>
      </c>
      <c r="R933" s="7" t="n">
        <f aca="false">IF(A933="",0,COUNTIFS($A$2:$A$3058,A933,$P$2:$P$3058,"OK"))</f>
        <v>1</v>
      </c>
      <c r="S933" s="7" t="str">
        <f aca="false">IF(OR(A933="",P933="DUP",R933&lt;2),"",IF(Q933=_xlfn.MINIFS($Q$2:$Q$3058,$A$2:$A$3058,A933,$P$2:$P$3058,"OK"),"KEEP","DROP"))</f>
        <v/>
      </c>
      <c r="T933" s="9" t="n">
        <f aca="false">IF(A933="",1,0)</f>
        <v>0</v>
      </c>
      <c r="U933" s="9" t="n">
        <f aca="false">IF(D933="",1,0)</f>
        <v>0</v>
      </c>
      <c r="V933" s="9" t="n">
        <f aca="false">IF(E933="",1,0)</f>
        <v>0</v>
      </c>
      <c r="W933" s="9" t="n">
        <f aca="false">IF(OR(H933&lt;1,H933&gt;10),1,0)</f>
        <v>0</v>
      </c>
      <c r="X933" s="9" t="n">
        <f aca="false">IF(OR(I933&lt;=0,I933&gt;1500),1,0)</f>
        <v>0</v>
      </c>
      <c r="Y933" s="9" t="n">
        <f aca="false">IF(J933&gt;H933*I933,1,0)</f>
        <v>0</v>
      </c>
      <c r="Z933" s="9" t="n">
        <f aca="false">IF(AND(N933&lt;&gt;"",OR(N933&lt;1,N933&gt;5)),1,0)</f>
        <v>0</v>
      </c>
      <c r="AA933" s="9" t="n">
        <f aca="false">IF(AND(M933&lt;&gt;"",OR(M933&lt;5,M933&gt;180)),1,0)</f>
        <v>0</v>
      </c>
      <c r="AB933" s="7" t="str">
        <f aca="false">IF(P933="DUP","Exact duplicate row",IF(T933=1,"Missing Order ID",IF(S933="DROP","Duplicate Order ID (less complete row)",IF(U933=1,"Missing Customer ID",IF(V933=1,"Missing Restaurant name",IF(W933=1,"Invalid/outlier quantity",IF(X933=1,"Invalid/outlier unit price",IF(Y933=1,"Discount greater than order value",""))))))))</f>
        <v/>
      </c>
      <c r="AC933" s="7" t="str">
        <f aca="false">IF(AB933="","KEEP","DROP")</f>
        <v>KEEP</v>
      </c>
      <c r="AD933" s="7" t="str">
        <f aca="false">IF(TRIM(F933)="",IFERROR(INDEX(Map_Tables!$I$4:$I$37,MATCH(TRIM(E933),Map_Tables!$G$4:$G$37,0)),""),IFERROR(INDEX(Map_Tables!$B$4:$B$18,MATCH(TRIM(F933),Map_Tables!$A$4:$A$18,0)),"CHECK"))</f>
        <v>Bengaluru</v>
      </c>
      <c r="AE933" s="7" t="str">
        <f aca="false">IF(TRIM(E933)="","",IFERROR(INDEX(Map_Tables!$H$4:$H$37,MATCH(TRIM(E933),Map_Tables!$G$4:$G$37,0)),"CHECK"))</f>
        <v>Nawabi Biryani House</v>
      </c>
      <c r="AF933" s="7" t="str">
        <f aca="false">IF(TRIM(K933)="","Unknown",IFERROR(INDEX(Map_Tables!$E$4:$E$15,MATCH(TRIM(K933),Map_Tables!$D$4:$D$15,0)),"CHECK"))</f>
        <v>UPI</v>
      </c>
      <c r="AG933" s="7" t="str">
        <f aca="false">IF(LEFT(LOWER(TRIM(L933)),6)="cancel","Cancelled","Delivered")</f>
        <v>Delivered</v>
      </c>
      <c r="AH933" s="10" t="n">
        <f aca="false">IF(ISNUMBER(SEARCH("/",B933)),DATE(VALUE(RIGHT(B933,4)),VALUE(MID(B933,4,2)),VALUE(LEFT(B933,2))),IF(MID(B933,5,1)="-",DATE(VALUE(LEFT(B933,4)),VALUE(MID(B933,6,2)),VALUE(RIGHT(B933,2))),DATE(VALUE(RIGHT(B933,4)),MATCH(MID(B933,4,3),{"Jan","Feb","Mar","Apr","May","Jun","Jul","Aug","Sep","Oct","Nov","Dec"},0),VALUE(LEFT(B933,2)))))</f>
        <v>45874</v>
      </c>
    </row>
    <row r="934" customFormat="false" ht="15" hidden="false" customHeight="false" outlineLevel="0" collapsed="false">
      <c r="A934" s="7" t="s">
        <v>2868</v>
      </c>
      <c r="B934" s="7" t="s">
        <v>813</v>
      </c>
      <c r="C934" s="7" t="s">
        <v>2869</v>
      </c>
      <c r="D934" s="7" t="s">
        <v>2870</v>
      </c>
      <c r="E934" s="7" t="s">
        <v>138</v>
      </c>
      <c r="F934" s="7" t="s">
        <v>110</v>
      </c>
      <c r="G934" s="7" t="s">
        <v>139</v>
      </c>
      <c r="H934" s="7" t="n">
        <v>1</v>
      </c>
      <c r="I934" s="7" t="n">
        <v>160</v>
      </c>
      <c r="J934" s="7" t="n">
        <v>64</v>
      </c>
      <c r="K934" s="7" t="s">
        <v>526</v>
      </c>
      <c r="L934" s="7" t="s">
        <v>194</v>
      </c>
      <c r="M934" s="7" t="n">
        <v>41</v>
      </c>
      <c r="N934" s="7" t="n">
        <v>4</v>
      </c>
      <c r="O934" s="7" t="str">
        <f aca="false">A934&amp;"|"&amp;B934&amp;"|"&amp;C934&amp;"|"&amp;D934&amp;"|"&amp;E934&amp;"|"&amp;F934&amp;"|"&amp;G934&amp;"|"&amp;H934&amp;"|"&amp;I934&amp;"|"&amp;J934&amp;"|"&amp;K934&amp;"|"&amp;L934&amp;"|"&amp;M934&amp;"|"&amp;N934</f>
        <v>ORD10640|2025-03-23|09:35|C0049|Burger Barn|Delhi|Burgers|1|160|64|DC|Delivered|41|4</v>
      </c>
      <c r="P934" s="7" t="str">
        <f aca="false">IF(COUNTIF($O$2:O934,O934)&gt;1,"DUP","OK")</f>
        <v>OK</v>
      </c>
      <c r="Q934" s="7" t="n">
        <f aca="false">COUNTBLANK(A934:N934)</f>
        <v>0</v>
      </c>
      <c r="R934" s="7" t="n">
        <f aca="false">IF(A934="",0,COUNTIFS($A$2:$A$3058,A934,$P$2:$P$3058,"OK"))</f>
        <v>1</v>
      </c>
      <c r="S934" s="7" t="str">
        <f aca="false">IF(OR(A934="",P934="DUP",R934&lt;2),"",IF(Q934=_xlfn.MINIFS($Q$2:$Q$3058,$A$2:$A$3058,A934,$P$2:$P$3058,"OK"),"KEEP","DROP"))</f>
        <v/>
      </c>
      <c r="T934" s="9" t="n">
        <f aca="false">IF(A934="",1,0)</f>
        <v>0</v>
      </c>
      <c r="U934" s="9" t="n">
        <f aca="false">IF(D934="",1,0)</f>
        <v>0</v>
      </c>
      <c r="V934" s="9" t="n">
        <f aca="false">IF(E934="",1,0)</f>
        <v>0</v>
      </c>
      <c r="W934" s="9" t="n">
        <f aca="false">IF(OR(H934&lt;1,H934&gt;10),1,0)</f>
        <v>0</v>
      </c>
      <c r="X934" s="9" t="n">
        <f aca="false">IF(OR(I934&lt;=0,I934&gt;1500),1,0)</f>
        <v>0</v>
      </c>
      <c r="Y934" s="9" t="n">
        <f aca="false">IF(J934&gt;H934*I934,1,0)</f>
        <v>0</v>
      </c>
      <c r="Z934" s="9" t="n">
        <f aca="false">IF(AND(N934&lt;&gt;"",OR(N934&lt;1,N934&gt;5)),1,0)</f>
        <v>0</v>
      </c>
      <c r="AA934" s="9" t="n">
        <f aca="false">IF(AND(M934&lt;&gt;"",OR(M934&lt;5,M934&gt;180)),1,0)</f>
        <v>0</v>
      </c>
      <c r="AB934" s="7" t="str">
        <f aca="false">IF(P934="DUP","Exact duplicate row",IF(T934=1,"Missing Order ID",IF(S934="DROP","Duplicate Order ID (less complete row)",IF(U934=1,"Missing Customer ID",IF(V934=1,"Missing Restaurant name",IF(W934=1,"Invalid/outlier quantity",IF(X934=1,"Invalid/outlier unit price",IF(Y934=1,"Discount greater than order value",""))))))))</f>
        <v/>
      </c>
      <c r="AC934" s="7" t="str">
        <f aca="false">IF(AB934="","KEEP","DROP")</f>
        <v>KEEP</v>
      </c>
      <c r="AD934" s="7" t="str">
        <f aca="false">IF(TRIM(F934)="",IFERROR(INDEX(Map_Tables!$I$4:$I$37,MATCH(TRIM(E934),Map_Tables!$G$4:$G$37,0)),""),IFERROR(INDEX(Map_Tables!$B$4:$B$18,MATCH(TRIM(F934),Map_Tables!$A$4:$A$18,0)),"CHECK"))</f>
        <v>Delhi</v>
      </c>
      <c r="AE934" s="7" t="str">
        <f aca="false">IF(TRIM(E934)="","",IFERROR(INDEX(Map_Tables!$H$4:$H$37,MATCH(TRIM(E934),Map_Tables!$G$4:$G$37,0)),"CHECK"))</f>
        <v>Burger Barn</v>
      </c>
      <c r="AF934" s="7" t="str">
        <f aca="false">IF(TRIM(K934)="","Unknown",IFERROR(INDEX(Map_Tables!$E$4:$E$15,MATCH(TRIM(K934),Map_Tables!$D$4:$D$15,0)),"CHECK"))</f>
        <v>Debit Card</v>
      </c>
      <c r="AG934" s="7" t="str">
        <f aca="false">IF(LEFT(LOWER(TRIM(L934)),6)="cancel","Cancelled","Delivered")</f>
        <v>Delivered</v>
      </c>
      <c r="AH934" s="10" t="n">
        <f aca="false">IF(ISNUMBER(SEARCH("/",B934)),DATE(VALUE(RIGHT(B934,4)),VALUE(MID(B934,4,2)),VALUE(LEFT(B934,2))),IF(MID(B934,5,1)="-",DATE(VALUE(LEFT(B934,4)),VALUE(MID(B934,6,2)),VALUE(RIGHT(B934,2))),DATE(VALUE(RIGHT(B934,4)),MATCH(MID(B934,4,3),{"Jan","Feb","Mar","Apr","May","Jun","Jul","Aug","Sep","Oct","Nov","Dec"},0),VALUE(LEFT(B934,2)))))</f>
        <v>45739</v>
      </c>
    </row>
    <row r="935" customFormat="false" ht="15" hidden="false" customHeight="false" outlineLevel="0" collapsed="false">
      <c r="A935" s="7" t="s">
        <v>2871</v>
      </c>
      <c r="B935" s="7" t="s">
        <v>1458</v>
      </c>
      <c r="C935" s="7" t="s">
        <v>1501</v>
      </c>
      <c r="D935" s="7" t="s">
        <v>673</v>
      </c>
      <c r="E935" s="7" t="s">
        <v>98</v>
      </c>
      <c r="F935" s="7" t="s">
        <v>86</v>
      </c>
      <c r="G935" s="7" t="s">
        <v>99</v>
      </c>
      <c r="H935" s="7" t="n">
        <v>4</v>
      </c>
      <c r="I935" s="7" t="n">
        <v>235</v>
      </c>
      <c r="J935" s="7" t="n">
        <v>0</v>
      </c>
      <c r="K935" s="7" t="s">
        <v>87</v>
      </c>
      <c r="L935" s="7" t="s">
        <v>194</v>
      </c>
      <c r="M935" s="7" t="n">
        <v>40</v>
      </c>
      <c r="N935" s="7"/>
      <c r="O935" s="7" t="str">
        <f aca="false">A935&amp;"|"&amp;B935&amp;"|"&amp;C935&amp;"|"&amp;D935&amp;"|"&amp;E935&amp;"|"&amp;F935&amp;"|"&amp;G935&amp;"|"&amp;H935&amp;"|"&amp;I935&amp;"|"&amp;J935&amp;"|"&amp;K935&amp;"|"&amp;L935&amp;"|"&amp;M935&amp;"|"&amp;N935</f>
        <v>ORD11033|2025-05-10|20:40|C1316|Nawabi Biryani House|Bengaluru|Biryani|4|235|0|upi|Delivered|40|</v>
      </c>
      <c r="P935" s="7" t="str">
        <f aca="false">IF(COUNTIF($O$2:O935,O935)&gt;1,"DUP","OK")</f>
        <v>OK</v>
      </c>
      <c r="Q935" s="7" t="n">
        <f aca="false">COUNTBLANK(A935:N935)</f>
        <v>1</v>
      </c>
      <c r="R935" s="7" t="n">
        <f aca="false">IF(A935="",0,COUNTIFS($A$2:$A$3058,A935,$P$2:$P$3058,"OK"))</f>
        <v>1</v>
      </c>
      <c r="S935" s="7" t="str">
        <f aca="false">IF(OR(A935="",P935="DUP",R935&lt;2),"",IF(Q935=_xlfn.MINIFS($Q$2:$Q$3058,$A$2:$A$3058,A935,$P$2:$P$3058,"OK"),"KEEP","DROP"))</f>
        <v/>
      </c>
      <c r="T935" s="9" t="n">
        <f aca="false">IF(A935="",1,0)</f>
        <v>0</v>
      </c>
      <c r="U935" s="9" t="n">
        <f aca="false">IF(D935="",1,0)</f>
        <v>0</v>
      </c>
      <c r="V935" s="9" t="n">
        <f aca="false">IF(E935="",1,0)</f>
        <v>0</v>
      </c>
      <c r="W935" s="9" t="n">
        <f aca="false">IF(OR(H935&lt;1,H935&gt;10),1,0)</f>
        <v>0</v>
      </c>
      <c r="X935" s="9" t="n">
        <f aca="false">IF(OR(I935&lt;=0,I935&gt;1500),1,0)</f>
        <v>0</v>
      </c>
      <c r="Y935" s="9" t="n">
        <f aca="false">IF(J935&gt;H935*I935,1,0)</f>
        <v>0</v>
      </c>
      <c r="Z935" s="9" t="n">
        <f aca="false">IF(AND(N935&lt;&gt;"",OR(N935&lt;1,N935&gt;5)),1,0)</f>
        <v>0</v>
      </c>
      <c r="AA935" s="9" t="n">
        <f aca="false">IF(AND(M935&lt;&gt;"",OR(M935&lt;5,M935&gt;180)),1,0)</f>
        <v>0</v>
      </c>
      <c r="AB935" s="7" t="str">
        <f aca="false">IF(P935="DUP","Exact duplicate row",IF(T935=1,"Missing Order ID",IF(S935="DROP","Duplicate Order ID (less complete row)",IF(U935=1,"Missing Customer ID",IF(V935=1,"Missing Restaurant name",IF(W935=1,"Invalid/outlier quantity",IF(X935=1,"Invalid/outlier unit price",IF(Y935=1,"Discount greater than order value",""))))))))</f>
        <v/>
      </c>
      <c r="AC935" s="7" t="str">
        <f aca="false">IF(AB935="","KEEP","DROP")</f>
        <v>KEEP</v>
      </c>
      <c r="AD935" s="7" t="str">
        <f aca="false">IF(TRIM(F935)="",IFERROR(INDEX(Map_Tables!$I$4:$I$37,MATCH(TRIM(E935),Map_Tables!$G$4:$G$37,0)),""),IFERROR(INDEX(Map_Tables!$B$4:$B$18,MATCH(TRIM(F935),Map_Tables!$A$4:$A$18,0)),"CHECK"))</f>
        <v>Bengaluru</v>
      </c>
      <c r="AE935" s="7" t="str">
        <f aca="false">IF(TRIM(E935)="","",IFERROR(INDEX(Map_Tables!$H$4:$H$37,MATCH(TRIM(E935),Map_Tables!$G$4:$G$37,0)),"CHECK"))</f>
        <v>Nawabi Biryani House</v>
      </c>
      <c r="AF935" s="7" t="str">
        <f aca="false">IF(TRIM(K935)="","Unknown",IFERROR(INDEX(Map_Tables!$E$4:$E$15,MATCH(TRIM(K935),Map_Tables!$D$4:$D$15,0)),"CHECK"))</f>
        <v>UPI</v>
      </c>
      <c r="AG935" s="7" t="str">
        <f aca="false">IF(LEFT(LOWER(TRIM(L935)),6)="cancel","Cancelled","Delivered")</f>
        <v>Delivered</v>
      </c>
      <c r="AH935" s="10" t="n">
        <f aca="false">IF(ISNUMBER(SEARCH("/",B935)),DATE(VALUE(RIGHT(B935,4)),VALUE(MID(B935,4,2)),VALUE(LEFT(B935,2))),IF(MID(B935,5,1)="-",DATE(VALUE(LEFT(B935,4)),VALUE(MID(B935,6,2)),VALUE(RIGHT(B935,2))),DATE(VALUE(RIGHT(B935,4)),MATCH(MID(B935,4,3),{"Jan","Feb","Mar","Apr","May","Jun","Jul","Aug","Sep","Oct","Nov","Dec"},0),VALUE(LEFT(B935,2)))))</f>
        <v>45787</v>
      </c>
    </row>
    <row r="936" customFormat="false" ht="15" hidden="false" customHeight="false" outlineLevel="0" collapsed="false">
      <c r="A936" s="7" t="s">
        <v>2872</v>
      </c>
      <c r="B936" s="7" t="s">
        <v>2873</v>
      </c>
      <c r="C936" s="7" t="s">
        <v>2874</v>
      </c>
      <c r="D936" s="7" t="s">
        <v>2875</v>
      </c>
      <c r="E936" s="7" t="s">
        <v>138</v>
      </c>
      <c r="F936" s="7" t="s">
        <v>110</v>
      </c>
      <c r="G936" s="7" t="s">
        <v>139</v>
      </c>
      <c r="H936" s="7" t="n">
        <v>1</v>
      </c>
      <c r="I936" s="7" t="n">
        <v>180</v>
      </c>
      <c r="J936" s="7" t="n">
        <v>72</v>
      </c>
      <c r="K936" s="7" t="s">
        <v>93</v>
      </c>
      <c r="L936" s="7" t="s">
        <v>194</v>
      </c>
      <c r="M936" s="7" t="n">
        <v>33</v>
      </c>
      <c r="N936" s="7" t="n">
        <v>4</v>
      </c>
      <c r="O936" s="7" t="str">
        <f aca="false">A936&amp;"|"&amp;B936&amp;"|"&amp;C936&amp;"|"&amp;D936&amp;"|"&amp;E936&amp;"|"&amp;F936&amp;"|"&amp;G936&amp;"|"&amp;H936&amp;"|"&amp;I936&amp;"|"&amp;J936&amp;"|"&amp;K936&amp;"|"&amp;L936&amp;"|"&amp;M936&amp;"|"&amp;N936</f>
        <v>ORD10044|07/01/2025|11:34|C0973|Burger Barn|Delhi|Burgers|1|180|72|Credit Card|Delivered|33|4</v>
      </c>
      <c r="P936" s="7" t="str">
        <f aca="false">IF(COUNTIF($O$2:O936,O936)&gt;1,"DUP","OK")</f>
        <v>OK</v>
      </c>
      <c r="Q936" s="7" t="n">
        <f aca="false">COUNTBLANK(A936:N936)</f>
        <v>0</v>
      </c>
      <c r="R936" s="7" t="n">
        <f aca="false">IF(A936="",0,COUNTIFS($A$2:$A$3058,A936,$P$2:$P$3058,"OK"))</f>
        <v>1</v>
      </c>
      <c r="S936" s="7" t="str">
        <f aca="false">IF(OR(A936="",P936="DUP",R936&lt;2),"",IF(Q936=_xlfn.MINIFS($Q$2:$Q$3058,$A$2:$A$3058,A936,$P$2:$P$3058,"OK"),"KEEP","DROP"))</f>
        <v/>
      </c>
      <c r="T936" s="9" t="n">
        <f aca="false">IF(A936="",1,0)</f>
        <v>0</v>
      </c>
      <c r="U936" s="9" t="n">
        <f aca="false">IF(D936="",1,0)</f>
        <v>0</v>
      </c>
      <c r="V936" s="9" t="n">
        <f aca="false">IF(E936="",1,0)</f>
        <v>0</v>
      </c>
      <c r="W936" s="9" t="n">
        <f aca="false">IF(OR(H936&lt;1,H936&gt;10),1,0)</f>
        <v>0</v>
      </c>
      <c r="X936" s="9" t="n">
        <f aca="false">IF(OR(I936&lt;=0,I936&gt;1500),1,0)</f>
        <v>0</v>
      </c>
      <c r="Y936" s="9" t="n">
        <f aca="false">IF(J936&gt;H936*I936,1,0)</f>
        <v>0</v>
      </c>
      <c r="Z936" s="9" t="n">
        <f aca="false">IF(AND(N936&lt;&gt;"",OR(N936&lt;1,N936&gt;5)),1,0)</f>
        <v>0</v>
      </c>
      <c r="AA936" s="9" t="n">
        <f aca="false">IF(AND(M936&lt;&gt;"",OR(M936&lt;5,M936&gt;180)),1,0)</f>
        <v>0</v>
      </c>
      <c r="AB936" s="7" t="str">
        <f aca="false">IF(P936="DUP","Exact duplicate row",IF(T936=1,"Missing Order ID",IF(S936="DROP","Duplicate Order ID (less complete row)",IF(U936=1,"Missing Customer ID",IF(V936=1,"Missing Restaurant name",IF(W936=1,"Invalid/outlier quantity",IF(X936=1,"Invalid/outlier unit price",IF(Y936=1,"Discount greater than order value",""))))))))</f>
        <v/>
      </c>
      <c r="AC936" s="7" t="str">
        <f aca="false">IF(AB936="","KEEP","DROP")</f>
        <v>KEEP</v>
      </c>
      <c r="AD936" s="7" t="str">
        <f aca="false">IF(TRIM(F936)="",IFERROR(INDEX(Map_Tables!$I$4:$I$37,MATCH(TRIM(E936),Map_Tables!$G$4:$G$37,0)),""),IFERROR(INDEX(Map_Tables!$B$4:$B$18,MATCH(TRIM(F936),Map_Tables!$A$4:$A$18,0)),"CHECK"))</f>
        <v>Delhi</v>
      </c>
      <c r="AE936" s="7" t="str">
        <f aca="false">IF(TRIM(E936)="","",IFERROR(INDEX(Map_Tables!$H$4:$H$37,MATCH(TRIM(E936),Map_Tables!$G$4:$G$37,0)),"CHECK"))</f>
        <v>Burger Barn</v>
      </c>
      <c r="AF936" s="7" t="str">
        <f aca="false">IF(TRIM(K936)="","Unknown",IFERROR(INDEX(Map_Tables!$E$4:$E$15,MATCH(TRIM(K936),Map_Tables!$D$4:$D$15,0)),"CHECK"))</f>
        <v>Credit Card</v>
      </c>
      <c r="AG936" s="7" t="str">
        <f aca="false">IF(LEFT(LOWER(TRIM(L936)),6)="cancel","Cancelled","Delivered")</f>
        <v>Delivered</v>
      </c>
      <c r="AH936" s="10" t="n">
        <f aca="false">IF(ISNUMBER(SEARCH("/",B936)),DATE(VALUE(RIGHT(B936,4)),VALUE(MID(B936,4,2)),VALUE(LEFT(B936,2))),IF(MID(B936,5,1)="-",DATE(VALUE(LEFT(B936,4)),VALUE(MID(B936,6,2)),VALUE(RIGHT(B936,2))),DATE(VALUE(RIGHT(B936,4)),MATCH(MID(B936,4,3),{"Jan","Feb","Mar","Apr","May","Jun","Jul","Aug","Sep","Oct","Nov","Dec"},0),VALUE(LEFT(B936,2)))))</f>
        <v>45664</v>
      </c>
    </row>
    <row r="937" customFormat="false" ht="15" hidden="false" customHeight="false" outlineLevel="0" collapsed="false">
      <c r="A937" s="7" t="s">
        <v>2876</v>
      </c>
      <c r="B937" s="7" t="s">
        <v>1218</v>
      </c>
      <c r="C937" s="7" t="s">
        <v>893</v>
      </c>
      <c r="D937" s="7" t="s">
        <v>2117</v>
      </c>
      <c r="E937" s="7" t="s">
        <v>2877</v>
      </c>
      <c r="F937" s="7" t="s">
        <v>119</v>
      </c>
      <c r="G937" s="7" t="s">
        <v>150</v>
      </c>
      <c r="H937" s="7" t="n">
        <v>1</v>
      </c>
      <c r="I937" s="7" t="n">
        <v>170</v>
      </c>
      <c r="J937" s="7" t="n">
        <v>0</v>
      </c>
      <c r="K937" s="7" t="s">
        <v>88</v>
      </c>
      <c r="L937" s="7" t="s">
        <v>194</v>
      </c>
      <c r="M937" s="7" t="n">
        <v>39</v>
      </c>
      <c r="N937" s="7" t="n">
        <v>4</v>
      </c>
      <c r="O937" s="7" t="str">
        <f aca="false">A937&amp;"|"&amp;B937&amp;"|"&amp;C937&amp;"|"&amp;D937&amp;"|"&amp;E937&amp;"|"&amp;F937&amp;"|"&amp;G937&amp;"|"&amp;H937&amp;"|"&amp;I937&amp;"|"&amp;J937&amp;"|"&amp;K937&amp;"|"&amp;L937&amp;"|"&amp;M937&amp;"|"&amp;N937</f>
        <v>ORD10008|2025-01-01|21:15|C1391|SWEET TOOTH STUDIO|Hyderabad|Desserts|1|170|0|UPI|Delivered|39|4</v>
      </c>
      <c r="P937" s="7" t="str">
        <f aca="false">IF(COUNTIF($O$2:O937,O937)&gt;1,"DUP","OK")</f>
        <v>OK</v>
      </c>
      <c r="Q937" s="7" t="n">
        <f aca="false">COUNTBLANK(A937:N937)</f>
        <v>0</v>
      </c>
      <c r="R937" s="7" t="n">
        <f aca="false">IF(A937="",0,COUNTIFS($A$2:$A$3058,A937,$P$2:$P$3058,"OK"))</f>
        <v>1</v>
      </c>
      <c r="S937" s="7" t="str">
        <f aca="false">IF(OR(A937="",P937="DUP",R937&lt;2),"",IF(Q937=_xlfn.MINIFS($Q$2:$Q$3058,$A$2:$A$3058,A937,$P$2:$P$3058,"OK"),"KEEP","DROP"))</f>
        <v/>
      </c>
      <c r="T937" s="9" t="n">
        <f aca="false">IF(A937="",1,0)</f>
        <v>0</v>
      </c>
      <c r="U937" s="9" t="n">
        <f aca="false">IF(D937="",1,0)</f>
        <v>0</v>
      </c>
      <c r="V937" s="9" t="n">
        <f aca="false">IF(E937="",1,0)</f>
        <v>0</v>
      </c>
      <c r="W937" s="9" t="n">
        <f aca="false">IF(OR(H937&lt;1,H937&gt;10),1,0)</f>
        <v>0</v>
      </c>
      <c r="X937" s="9" t="n">
        <f aca="false">IF(OR(I937&lt;=0,I937&gt;1500),1,0)</f>
        <v>0</v>
      </c>
      <c r="Y937" s="9" t="n">
        <f aca="false">IF(J937&gt;H937*I937,1,0)</f>
        <v>0</v>
      </c>
      <c r="Z937" s="9" t="n">
        <f aca="false">IF(AND(N937&lt;&gt;"",OR(N937&lt;1,N937&gt;5)),1,0)</f>
        <v>0</v>
      </c>
      <c r="AA937" s="9" t="n">
        <f aca="false">IF(AND(M937&lt;&gt;"",OR(M937&lt;5,M937&gt;180)),1,0)</f>
        <v>0</v>
      </c>
      <c r="AB937" s="7" t="str">
        <f aca="false">IF(P937="DUP","Exact duplicate row",IF(T937=1,"Missing Order ID",IF(S937="DROP","Duplicate Order ID (less complete row)",IF(U937=1,"Missing Customer ID",IF(V937=1,"Missing Restaurant name",IF(W937=1,"Invalid/outlier quantity",IF(X937=1,"Invalid/outlier unit price",IF(Y937=1,"Discount greater than order value",""))))))))</f>
        <v/>
      </c>
      <c r="AC937" s="7" t="str">
        <f aca="false">IF(AB937="","KEEP","DROP")</f>
        <v>KEEP</v>
      </c>
      <c r="AD937" s="7" t="str">
        <f aca="false">IF(TRIM(F937)="",IFERROR(INDEX(Map_Tables!$I$4:$I$37,MATCH(TRIM(E937),Map_Tables!$G$4:$G$37,0)),""),IFERROR(INDEX(Map_Tables!$B$4:$B$18,MATCH(TRIM(F937),Map_Tables!$A$4:$A$18,0)),"CHECK"))</f>
        <v>Hyderabad</v>
      </c>
      <c r="AE937" s="7" t="str">
        <f aca="false">IF(TRIM(E937)="","",IFERROR(INDEX(Map_Tables!$H$4:$H$37,MATCH(TRIM(E937),Map_Tables!$G$4:$G$37,0)),"CHECK"))</f>
        <v>Sweet Tooth Studio</v>
      </c>
      <c r="AF937" s="7" t="str">
        <f aca="false">IF(TRIM(K937)="","Unknown",IFERROR(INDEX(Map_Tables!$E$4:$E$15,MATCH(TRIM(K937),Map_Tables!$D$4:$D$15,0)),"CHECK"))</f>
        <v>UPI</v>
      </c>
      <c r="AG937" s="7" t="str">
        <f aca="false">IF(LEFT(LOWER(TRIM(L937)),6)="cancel","Cancelled","Delivered")</f>
        <v>Delivered</v>
      </c>
      <c r="AH937" s="10" t="n">
        <f aca="false">IF(ISNUMBER(SEARCH("/",B937)),DATE(VALUE(RIGHT(B937,4)),VALUE(MID(B937,4,2)),VALUE(LEFT(B937,2))),IF(MID(B937,5,1)="-",DATE(VALUE(LEFT(B937,4)),VALUE(MID(B937,6,2)),VALUE(RIGHT(B937,2))),DATE(VALUE(RIGHT(B937,4)),MATCH(MID(B937,4,3),{"Jan","Feb","Mar","Apr","May","Jun","Jul","Aug","Sep","Oct","Nov","Dec"},0),VALUE(LEFT(B937,2)))))</f>
        <v>45658</v>
      </c>
    </row>
    <row r="938" customFormat="false" ht="15" hidden="false" customHeight="false" outlineLevel="0" collapsed="false">
      <c r="A938" s="7" t="s">
        <v>2878</v>
      </c>
      <c r="B938" s="7" t="s">
        <v>1623</v>
      </c>
      <c r="C938" s="7" t="s">
        <v>1624</v>
      </c>
      <c r="D938" s="7" t="s">
        <v>2879</v>
      </c>
      <c r="E938" s="7" t="s">
        <v>104</v>
      </c>
      <c r="F938" s="7" t="s">
        <v>928</v>
      </c>
      <c r="G938" s="7" t="s">
        <v>105</v>
      </c>
      <c r="H938" s="7" t="n">
        <v>2</v>
      </c>
      <c r="I938" s="7" t="n">
        <v>230</v>
      </c>
      <c r="J938" s="7" t="n">
        <v>0</v>
      </c>
      <c r="K938" s="7" t="s">
        <v>88</v>
      </c>
      <c r="L938" s="7" t="s">
        <v>194</v>
      </c>
      <c r="M938" s="7" t="n">
        <v>48</v>
      </c>
      <c r="N938" s="7" t="n">
        <v>5</v>
      </c>
      <c r="O938" s="7" t="str">
        <f aca="false">A938&amp;"|"&amp;B938&amp;"|"&amp;C938&amp;"|"&amp;D938&amp;"|"&amp;E938&amp;"|"&amp;F938&amp;"|"&amp;G938&amp;"|"&amp;H938&amp;"|"&amp;I938&amp;"|"&amp;J938&amp;"|"&amp;K938&amp;"|"&amp;L938&amp;"|"&amp;M938&amp;"|"&amp;N938</f>
        <v>ORD12389|2025-10-28|20:31|C1173|Wok &amp; Roll|Bangalore|Chinese|2|230|0|UPI|Delivered|48|5</v>
      </c>
      <c r="P938" s="7" t="str">
        <f aca="false">IF(COUNTIF($O$2:O938,O938)&gt;1,"DUP","OK")</f>
        <v>OK</v>
      </c>
      <c r="Q938" s="7" t="n">
        <f aca="false">COUNTBLANK(A938:N938)</f>
        <v>0</v>
      </c>
      <c r="R938" s="7" t="n">
        <f aca="false">IF(A938="",0,COUNTIFS($A$2:$A$3058,A938,$P$2:$P$3058,"OK"))</f>
        <v>1</v>
      </c>
      <c r="S938" s="7" t="str">
        <f aca="false">IF(OR(A938="",P938="DUP",R938&lt;2),"",IF(Q938=_xlfn.MINIFS($Q$2:$Q$3058,$A$2:$A$3058,A938,$P$2:$P$3058,"OK"),"KEEP","DROP"))</f>
        <v/>
      </c>
      <c r="T938" s="9" t="n">
        <f aca="false">IF(A938="",1,0)</f>
        <v>0</v>
      </c>
      <c r="U938" s="9" t="n">
        <f aca="false">IF(D938="",1,0)</f>
        <v>0</v>
      </c>
      <c r="V938" s="9" t="n">
        <f aca="false">IF(E938="",1,0)</f>
        <v>0</v>
      </c>
      <c r="W938" s="9" t="n">
        <f aca="false">IF(OR(H938&lt;1,H938&gt;10),1,0)</f>
        <v>0</v>
      </c>
      <c r="X938" s="9" t="n">
        <f aca="false">IF(OR(I938&lt;=0,I938&gt;1500),1,0)</f>
        <v>0</v>
      </c>
      <c r="Y938" s="9" t="n">
        <f aca="false">IF(J938&gt;H938*I938,1,0)</f>
        <v>0</v>
      </c>
      <c r="Z938" s="9" t="n">
        <f aca="false">IF(AND(N938&lt;&gt;"",OR(N938&lt;1,N938&gt;5)),1,0)</f>
        <v>0</v>
      </c>
      <c r="AA938" s="9" t="n">
        <f aca="false">IF(AND(M938&lt;&gt;"",OR(M938&lt;5,M938&gt;180)),1,0)</f>
        <v>0</v>
      </c>
      <c r="AB938" s="7" t="str">
        <f aca="false">IF(P938="DUP","Exact duplicate row",IF(T938=1,"Missing Order ID",IF(S938="DROP","Duplicate Order ID (less complete row)",IF(U938=1,"Missing Customer ID",IF(V938=1,"Missing Restaurant name",IF(W938=1,"Invalid/outlier quantity",IF(X938=1,"Invalid/outlier unit price",IF(Y938=1,"Discount greater than order value",""))))))))</f>
        <v/>
      </c>
      <c r="AC938" s="7" t="str">
        <f aca="false">IF(AB938="","KEEP","DROP")</f>
        <v>KEEP</v>
      </c>
      <c r="AD938" s="7" t="str">
        <f aca="false">IF(TRIM(F938)="",IFERROR(INDEX(Map_Tables!$I$4:$I$37,MATCH(TRIM(E938),Map_Tables!$G$4:$G$37,0)),""),IFERROR(INDEX(Map_Tables!$B$4:$B$18,MATCH(TRIM(F938),Map_Tables!$A$4:$A$18,0)),"CHECK"))</f>
        <v>Bengaluru</v>
      </c>
      <c r="AE938" s="7" t="str">
        <f aca="false">IF(TRIM(E938)="","",IFERROR(INDEX(Map_Tables!$H$4:$H$37,MATCH(TRIM(E938),Map_Tables!$G$4:$G$37,0)),"CHECK"))</f>
        <v>Wok &amp; Roll</v>
      </c>
      <c r="AF938" s="7" t="str">
        <f aca="false">IF(TRIM(K938)="","Unknown",IFERROR(INDEX(Map_Tables!$E$4:$E$15,MATCH(TRIM(K938),Map_Tables!$D$4:$D$15,0)),"CHECK"))</f>
        <v>UPI</v>
      </c>
      <c r="AG938" s="7" t="str">
        <f aca="false">IF(LEFT(LOWER(TRIM(L938)),6)="cancel","Cancelled","Delivered")</f>
        <v>Delivered</v>
      </c>
      <c r="AH938" s="10" t="n">
        <f aca="false">IF(ISNUMBER(SEARCH("/",B938)),DATE(VALUE(RIGHT(B938,4)),VALUE(MID(B938,4,2)),VALUE(LEFT(B938,2))),IF(MID(B938,5,1)="-",DATE(VALUE(LEFT(B938,4)),VALUE(MID(B938,6,2)),VALUE(RIGHT(B938,2))),DATE(VALUE(RIGHT(B938,4)),MATCH(MID(B938,4,3),{"Jan","Feb","Mar","Apr","May","Jun","Jul","Aug","Sep","Oct","Nov","Dec"},0),VALUE(LEFT(B938,2)))))</f>
        <v>45958</v>
      </c>
    </row>
    <row r="939" customFormat="false" ht="15" hidden="false" customHeight="false" outlineLevel="0" collapsed="false">
      <c r="A939" s="7" t="s">
        <v>2880</v>
      </c>
      <c r="B939" s="7" t="s">
        <v>253</v>
      </c>
      <c r="C939" s="7" t="s">
        <v>369</v>
      </c>
      <c r="D939" s="7" t="s">
        <v>328</v>
      </c>
      <c r="E939" s="7" t="s">
        <v>94</v>
      </c>
      <c r="F939" s="7" t="s">
        <v>86</v>
      </c>
      <c r="G939" s="7" t="s">
        <v>95</v>
      </c>
      <c r="H939" s="7" t="n">
        <v>1</v>
      </c>
      <c r="I939" s="7" t="n">
        <v>115</v>
      </c>
      <c r="J939" s="7" t="n">
        <v>46</v>
      </c>
      <c r="K939" s="7" t="s">
        <v>93</v>
      </c>
      <c r="L939" s="7" t="s">
        <v>194</v>
      </c>
      <c r="M939" s="7" t="n">
        <v>36</v>
      </c>
      <c r="N939" s="7" t="n">
        <v>3</v>
      </c>
      <c r="O939" s="7" t="str">
        <f aca="false">A939&amp;"|"&amp;B939&amp;"|"&amp;C939&amp;"|"&amp;D939&amp;"|"&amp;E939&amp;"|"&amp;F939&amp;"|"&amp;G939&amp;"|"&amp;H939&amp;"|"&amp;I939&amp;"|"&amp;J939&amp;"|"&amp;K939&amp;"|"&amp;L939&amp;"|"&amp;M939&amp;"|"&amp;N939</f>
        <v>ORD10739|2025-04-04|19:29|C0516|Dosa Darbar|Bengaluru|South Indian|1|115|46|Credit Card|Delivered|36|3</v>
      </c>
      <c r="P939" s="7" t="str">
        <f aca="false">IF(COUNTIF($O$2:O939,O939)&gt;1,"DUP","OK")</f>
        <v>OK</v>
      </c>
      <c r="Q939" s="7" t="n">
        <f aca="false">COUNTBLANK(A939:N939)</f>
        <v>0</v>
      </c>
      <c r="R939" s="7" t="n">
        <f aca="false">IF(A939="",0,COUNTIFS($A$2:$A$3058,A939,$P$2:$P$3058,"OK"))</f>
        <v>1</v>
      </c>
      <c r="S939" s="7" t="str">
        <f aca="false">IF(OR(A939="",P939="DUP",R939&lt;2),"",IF(Q939=_xlfn.MINIFS($Q$2:$Q$3058,$A$2:$A$3058,A939,$P$2:$P$3058,"OK"),"KEEP","DROP"))</f>
        <v/>
      </c>
      <c r="T939" s="9" t="n">
        <f aca="false">IF(A939="",1,0)</f>
        <v>0</v>
      </c>
      <c r="U939" s="9" t="n">
        <f aca="false">IF(D939="",1,0)</f>
        <v>0</v>
      </c>
      <c r="V939" s="9" t="n">
        <f aca="false">IF(E939="",1,0)</f>
        <v>0</v>
      </c>
      <c r="W939" s="9" t="n">
        <f aca="false">IF(OR(H939&lt;1,H939&gt;10),1,0)</f>
        <v>0</v>
      </c>
      <c r="X939" s="9" t="n">
        <f aca="false">IF(OR(I939&lt;=0,I939&gt;1500),1,0)</f>
        <v>0</v>
      </c>
      <c r="Y939" s="9" t="n">
        <f aca="false">IF(J939&gt;H939*I939,1,0)</f>
        <v>0</v>
      </c>
      <c r="Z939" s="9" t="n">
        <f aca="false">IF(AND(N939&lt;&gt;"",OR(N939&lt;1,N939&gt;5)),1,0)</f>
        <v>0</v>
      </c>
      <c r="AA939" s="9" t="n">
        <f aca="false">IF(AND(M939&lt;&gt;"",OR(M939&lt;5,M939&gt;180)),1,0)</f>
        <v>0</v>
      </c>
      <c r="AB939" s="7" t="str">
        <f aca="false">IF(P939="DUP","Exact duplicate row",IF(T939=1,"Missing Order ID",IF(S939="DROP","Duplicate Order ID (less complete row)",IF(U939=1,"Missing Customer ID",IF(V939=1,"Missing Restaurant name",IF(W939=1,"Invalid/outlier quantity",IF(X939=1,"Invalid/outlier unit price",IF(Y939=1,"Discount greater than order value",""))))))))</f>
        <v/>
      </c>
      <c r="AC939" s="7" t="str">
        <f aca="false">IF(AB939="","KEEP","DROP")</f>
        <v>KEEP</v>
      </c>
      <c r="AD939" s="7" t="str">
        <f aca="false">IF(TRIM(F939)="",IFERROR(INDEX(Map_Tables!$I$4:$I$37,MATCH(TRIM(E939),Map_Tables!$G$4:$G$37,0)),""),IFERROR(INDEX(Map_Tables!$B$4:$B$18,MATCH(TRIM(F939),Map_Tables!$A$4:$A$18,0)),"CHECK"))</f>
        <v>Bengaluru</v>
      </c>
      <c r="AE939" s="7" t="str">
        <f aca="false">IF(TRIM(E939)="","",IFERROR(INDEX(Map_Tables!$H$4:$H$37,MATCH(TRIM(E939),Map_Tables!$G$4:$G$37,0)),"CHECK"))</f>
        <v>Dosa Darbar</v>
      </c>
      <c r="AF939" s="7" t="str">
        <f aca="false">IF(TRIM(K939)="","Unknown",IFERROR(INDEX(Map_Tables!$E$4:$E$15,MATCH(TRIM(K939),Map_Tables!$D$4:$D$15,0)),"CHECK"))</f>
        <v>Credit Card</v>
      </c>
      <c r="AG939" s="7" t="str">
        <f aca="false">IF(LEFT(LOWER(TRIM(L939)),6)="cancel","Cancelled","Delivered")</f>
        <v>Delivered</v>
      </c>
      <c r="AH939" s="10" t="n">
        <f aca="false">IF(ISNUMBER(SEARCH("/",B939)),DATE(VALUE(RIGHT(B939,4)),VALUE(MID(B939,4,2)),VALUE(LEFT(B939,2))),IF(MID(B939,5,1)="-",DATE(VALUE(LEFT(B939,4)),VALUE(MID(B939,6,2)),VALUE(RIGHT(B939,2))),DATE(VALUE(RIGHT(B939,4)),MATCH(MID(B939,4,3),{"Jan","Feb","Mar","Apr","May","Jun","Jul","Aug","Sep","Oct","Nov","Dec"},0),VALUE(LEFT(B939,2)))))</f>
        <v>45751</v>
      </c>
    </row>
    <row r="940" customFormat="false" ht="15" hidden="false" customHeight="false" outlineLevel="0" collapsed="false">
      <c r="A940" s="7" t="s">
        <v>2881</v>
      </c>
      <c r="B940" s="7" t="s">
        <v>958</v>
      </c>
      <c r="C940" s="7" t="s">
        <v>2882</v>
      </c>
      <c r="D940" s="7" t="s">
        <v>2883</v>
      </c>
      <c r="E940" s="7" t="s">
        <v>126</v>
      </c>
      <c r="F940" s="7" t="s">
        <v>101</v>
      </c>
      <c r="G940" s="7" t="s">
        <v>105</v>
      </c>
      <c r="H940" s="7" t="n">
        <v>1</v>
      </c>
      <c r="I940" s="7" t="n">
        <v>245</v>
      </c>
      <c r="J940" s="7" t="n">
        <v>0</v>
      </c>
      <c r="K940" s="7" t="s">
        <v>88</v>
      </c>
      <c r="L940" s="7" t="s">
        <v>194</v>
      </c>
      <c r="M940" s="7" t="n">
        <v>55</v>
      </c>
      <c r="N940" s="7" t="n">
        <v>4</v>
      </c>
      <c r="O940" s="7" t="str">
        <f aca="false">A940&amp;"|"&amp;B940&amp;"|"&amp;C940&amp;"|"&amp;D940&amp;"|"&amp;E940&amp;"|"&amp;F940&amp;"|"&amp;G940&amp;"|"&amp;H940&amp;"|"&amp;I940&amp;"|"&amp;J940&amp;"|"&amp;K940&amp;"|"&amp;L940&amp;"|"&amp;M940&amp;"|"&amp;N940</f>
        <v>ORD10033|2025-01-05|14:45|C1272|Dragon Express|Mumbai|Chinese|1|245|0|UPI|Delivered|55|4</v>
      </c>
      <c r="P940" s="7" t="str">
        <f aca="false">IF(COUNTIF($O$2:O940,O940)&gt;1,"DUP","OK")</f>
        <v>OK</v>
      </c>
      <c r="Q940" s="7" t="n">
        <f aca="false">COUNTBLANK(A940:N940)</f>
        <v>0</v>
      </c>
      <c r="R940" s="7" t="n">
        <f aca="false">IF(A940="",0,COUNTIFS($A$2:$A$3058,A940,$P$2:$P$3058,"OK"))</f>
        <v>1</v>
      </c>
      <c r="S940" s="7" t="str">
        <f aca="false">IF(OR(A940="",P940="DUP",R940&lt;2),"",IF(Q940=_xlfn.MINIFS($Q$2:$Q$3058,$A$2:$A$3058,A940,$P$2:$P$3058,"OK"),"KEEP","DROP"))</f>
        <v/>
      </c>
      <c r="T940" s="9" t="n">
        <f aca="false">IF(A940="",1,0)</f>
        <v>0</v>
      </c>
      <c r="U940" s="9" t="n">
        <f aca="false">IF(D940="",1,0)</f>
        <v>0</v>
      </c>
      <c r="V940" s="9" t="n">
        <f aca="false">IF(E940="",1,0)</f>
        <v>0</v>
      </c>
      <c r="W940" s="9" t="n">
        <f aca="false">IF(OR(H940&lt;1,H940&gt;10),1,0)</f>
        <v>0</v>
      </c>
      <c r="X940" s="9" t="n">
        <f aca="false">IF(OR(I940&lt;=0,I940&gt;1500),1,0)</f>
        <v>0</v>
      </c>
      <c r="Y940" s="9" t="n">
        <f aca="false">IF(J940&gt;H940*I940,1,0)</f>
        <v>0</v>
      </c>
      <c r="Z940" s="9" t="n">
        <f aca="false">IF(AND(N940&lt;&gt;"",OR(N940&lt;1,N940&gt;5)),1,0)</f>
        <v>0</v>
      </c>
      <c r="AA940" s="9" t="n">
        <f aca="false">IF(AND(M940&lt;&gt;"",OR(M940&lt;5,M940&gt;180)),1,0)</f>
        <v>0</v>
      </c>
      <c r="AB940" s="7" t="str">
        <f aca="false">IF(P940="DUP","Exact duplicate row",IF(T940=1,"Missing Order ID",IF(S940="DROP","Duplicate Order ID (less complete row)",IF(U940=1,"Missing Customer ID",IF(V940=1,"Missing Restaurant name",IF(W940=1,"Invalid/outlier quantity",IF(X940=1,"Invalid/outlier unit price",IF(Y940=1,"Discount greater than order value",""))))))))</f>
        <v/>
      </c>
      <c r="AC940" s="7" t="str">
        <f aca="false">IF(AB940="","KEEP","DROP")</f>
        <v>KEEP</v>
      </c>
      <c r="AD940" s="7" t="str">
        <f aca="false">IF(TRIM(F940)="",IFERROR(INDEX(Map_Tables!$I$4:$I$37,MATCH(TRIM(E940),Map_Tables!$G$4:$G$37,0)),""),IFERROR(INDEX(Map_Tables!$B$4:$B$18,MATCH(TRIM(F940),Map_Tables!$A$4:$A$18,0)),"CHECK"))</f>
        <v>Mumbai</v>
      </c>
      <c r="AE940" s="7" t="str">
        <f aca="false">IF(TRIM(E940)="","",IFERROR(INDEX(Map_Tables!$H$4:$H$37,MATCH(TRIM(E940),Map_Tables!$G$4:$G$37,0)),"CHECK"))</f>
        <v>Dragon Express</v>
      </c>
      <c r="AF940" s="7" t="str">
        <f aca="false">IF(TRIM(K940)="","Unknown",IFERROR(INDEX(Map_Tables!$E$4:$E$15,MATCH(TRIM(K940),Map_Tables!$D$4:$D$15,0)),"CHECK"))</f>
        <v>UPI</v>
      </c>
      <c r="AG940" s="7" t="str">
        <f aca="false">IF(LEFT(LOWER(TRIM(L940)),6)="cancel","Cancelled","Delivered")</f>
        <v>Delivered</v>
      </c>
      <c r="AH940" s="10" t="n">
        <f aca="false">IF(ISNUMBER(SEARCH("/",B940)),DATE(VALUE(RIGHT(B940,4)),VALUE(MID(B940,4,2)),VALUE(LEFT(B940,2))),IF(MID(B940,5,1)="-",DATE(VALUE(LEFT(B940,4)),VALUE(MID(B940,6,2)),VALUE(RIGHT(B940,2))),DATE(VALUE(RIGHT(B940,4)),MATCH(MID(B940,4,3),{"Jan","Feb","Mar","Apr","May","Jun","Jul","Aug","Sep","Oct","Nov","Dec"},0),VALUE(LEFT(B940,2)))))</f>
        <v>45662</v>
      </c>
    </row>
    <row r="941" customFormat="false" ht="15" hidden="false" customHeight="false" outlineLevel="0" collapsed="false">
      <c r="A941" s="7" t="s">
        <v>2884</v>
      </c>
      <c r="B941" s="7" t="s">
        <v>1104</v>
      </c>
      <c r="C941" s="7" t="s">
        <v>2245</v>
      </c>
      <c r="D941" s="7" t="s">
        <v>2885</v>
      </c>
      <c r="E941" s="7" t="s">
        <v>130</v>
      </c>
      <c r="F941" s="7" t="s">
        <v>110</v>
      </c>
      <c r="G941" s="7" t="s">
        <v>90</v>
      </c>
      <c r="H941" s="7" t="n">
        <v>1</v>
      </c>
      <c r="I941" s="7" t="n">
        <v>300</v>
      </c>
      <c r="J941" s="7" t="n">
        <v>0</v>
      </c>
      <c r="K941" s="7" t="s">
        <v>121</v>
      </c>
      <c r="L941" s="7" t="s">
        <v>194</v>
      </c>
      <c r="M941" s="7"/>
      <c r="N941" s="7" t="n">
        <v>4</v>
      </c>
      <c r="O941" s="7" t="str">
        <f aca="false">A941&amp;"|"&amp;B941&amp;"|"&amp;C941&amp;"|"&amp;D941&amp;"|"&amp;E941&amp;"|"&amp;F941&amp;"|"&amp;G941&amp;"|"&amp;H941&amp;"|"&amp;I941&amp;"|"&amp;J941&amp;"|"&amp;K941&amp;"|"&amp;L941&amp;"|"&amp;M941&amp;"|"&amp;N941</f>
        <v>ORD10471|2025-03-04|11:41|C0367|Tandoor Tales|Delhi|North Indian|1|300|0|Wallet|Delivered||4</v>
      </c>
      <c r="P941" s="7" t="str">
        <f aca="false">IF(COUNTIF($O$2:O941,O941)&gt;1,"DUP","OK")</f>
        <v>OK</v>
      </c>
      <c r="Q941" s="7" t="n">
        <f aca="false">COUNTBLANK(A941:N941)</f>
        <v>1</v>
      </c>
      <c r="R941" s="7" t="n">
        <f aca="false">IF(A941="",0,COUNTIFS($A$2:$A$3058,A941,$P$2:$P$3058,"OK"))</f>
        <v>1</v>
      </c>
      <c r="S941" s="7" t="str">
        <f aca="false">IF(OR(A941="",P941="DUP",R941&lt;2),"",IF(Q941=_xlfn.MINIFS($Q$2:$Q$3058,$A$2:$A$3058,A941,$P$2:$P$3058,"OK"),"KEEP","DROP"))</f>
        <v/>
      </c>
      <c r="T941" s="9" t="n">
        <f aca="false">IF(A941="",1,0)</f>
        <v>0</v>
      </c>
      <c r="U941" s="9" t="n">
        <f aca="false">IF(D941="",1,0)</f>
        <v>0</v>
      </c>
      <c r="V941" s="9" t="n">
        <f aca="false">IF(E941="",1,0)</f>
        <v>0</v>
      </c>
      <c r="W941" s="9" t="n">
        <f aca="false">IF(OR(H941&lt;1,H941&gt;10),1,0)</f>
        <v>0</v>
      </c>
      <c r="X941" s="9" t="n">
        <f aca="false">IF(OR(I941&lt;=0,I941&gt;1500),1,0)</f>
        <v>0</v>
      </c>
      <c r="Y941" s="9" t="n">
        <f aca="false">IF(J941&gt;H941*I941,1,0)</f>
        <v>0</v>
      </c>
      <c r="Z941" s="9" t="n">
        <f aca="false">IF(AND(N941&lt;&gt;"",OR(N941&lt;1,N941&gt;5)),1,0)</f>
        <v>0</v>
      </c>
      <c r="AA941" s="9" t="n">
        <f aca="false">IF(AND(M941&lt;&gt;"",OR(M941&lt;5,M941&gt;180)),1,0)</f>
        <v>0</v>
      </c>
      <c r="AB941" s="7" t="str">
        <f aca="false">IF(P941="DUP","Exact duplicate row",IF(T941=1,"Missing Order ID",IF(S941="DROP","Duplicate Order ID (less complete row)",IF(U941=1,"Missing Customer ID",IF(V941=1,"Missing Restaurant name",IF(W941=1,"Invalid/outlier quantity",IF(X941=1,"Invalid/outlier unit price",IF(Y941=1,"Discount greater than order value",""))))))))</f>
        <v/>
      </c>
      <c r="AC941" s="7" t="str">
        <f aca="false">IF(AB941="","KEEP","DROP")</f>
        <v>KEEP</v>
      </c>
      <c r="AD941" s="7" t="str">
        <f aca="false">IF(TRIM(F941)="",IFERROR(INDEX(Map_Tables!$I$4:$I$37,MATCH(TRIM(E941),Map_Tables!$G$4:$G$37,0)),""),IFERROR(INDEX(Map_Tables!$B$4:$B$18,MATCH(TRIM(F941),Map_Tables!$A$4:$A$18,0)),"CHECK"))</f>
        <v>Delhi</v>
      </c>
      <c r="AE941" s="7" t="str">
        <f aca="false">IF(TRIM(E941)="","",IFERROR(INDEX(Map_Tables!$H$4:$H$37,MATCH(TRIM(E941),Map_Tables!$G$4:$G$37,0)),"CHECK"))</f>
        <v>Tandoor Tales</v>
      </c>
      <c r="AF941" s="7" t="str">
        <f aca="false">IF(TRIM(K941)="","Unknown",IFERROR(INDEX(Map_Tables!$E$4:$E$15,MATCH(TRIM(K941),Map_Tables!$D$4:$D$15,0)),"CHECK"))</f>
        <v>Wallet</v>
      </c>
      <c r="AG941" s="7" t="str">
        <f aca="false">IF(LEFT(LOWER(TRIM(L941)),6)="cancel","Cancelled","Delivered")</f>
        <v>Delivered</v>
      </c>
      <c r="AH941" s="10" t="n">
        <f aca="false">IF(ISNUMBER(SEARCH("/",B941)),DATE(VALUE(RIGHT(B941,4)),VALUE(MID(B941,4,2)),VALUE(LEFT(B941,2))),IF(MID(B941,5,1)="-",DATE(VALUE(LEFT(B941,4)),VALUE(MID(B941,6,2)),VALUE(RIGHT(B941,2))),DATE(VALUE(RIGHT(B941,4)),MATCH(MID(B941,4,3),{"Jan","Feb","Mar","Apr","May","Jun","Jul","Aug","Sep","Oct","Nov","Dec"},0),VALUE(LEFT(B941,2)))))</f>
        <v>45720</v>
      </c>
    </row>
    <row r="942" customFormat="false" ht="15" hidden="false" customHeight="false" outlineLevel="0" collapsed="false">
      <c r="A942" s="7" t="s">
        <v>2886</v>
      </c>
      <c r="B942" s="7" t="s">
        <v>1104</v>
      </c>
      <c r="C942" s="7" t="s">
        <v>896</v>
      </c>
      <c r="D942" s="7" t="s">
        <v>2887</v>
      </c>
      <c r="E942" s="7" t="s">
        <v>113</v>
      </c>
      <c r="F942" s="7" t="s">
        <v>101</v>
      </c>
      <c r="G942" s="7" t="s">
        <v>90</v>
      </c>
      <c r="H942" s="7" t="n">
        <v>2</v>
      </c>
      <c r="I942" s="7" t="n">
        <v>265</v>
      </c>
      <c r="J942" s="7" t="n">
        <v>0</v>
      </c>
      <c r="K942" s="7" t="s">
        <v>1173</v>
      </c>
      <c r="L942" s="7" t="s">
        <v>194</v>
      </c>
      <c r="M942" s="7" t="n">
        <v>43</v>
      </c>
      <c r="N942" s="7" t="n">
        <v>4</v>
      </c>
      <c r="O942" s="7" t="str">
        <f aca="false">A942&amp;"|"&amp;B942&amp;"|"&amp;C942&amp;"|"&amp;D942&amp;"|"&amp;E942&amp;"|"&amp;F942&amp;"|"&amp;G942&amp;"|"&amp;H942&amp;"|"&amp;I942&amp;"|"&amp;J942&amp;"|"&amp;K942&amp;"|"&amp;L942&amp;"|"&amp;M942&amp;"|"&amp;N942</f>
        <v>ORD10472|2025-03-04|12:15|C1210|Curry Leaf Kitchen|Mumbai|North Indian|2|265|0|E-Wallet|Delivered|43|4</v>
      </c>
      <c r="P942" s="7" t="str">
        <f aca="false">IF(COUNTIF($O$2:O942,O942)&gt;1,"DUP","OK")</f>
        <v>OK</v>
      </c>
      <c r="Q942" s="7" t="n">
        <f aca="false">COUNTBLANK(A942:N942)</f>
        <v>0</v>
      </c>
      <c r="R942" s="7" t="n">
        <f aca="false">IF(A942="",0,COUNTIFS($A$2:$A$3058,A942,$P$2:$P$3058,"OK"))</f>
        <v>1</v>
      </c>
      <c r="S942" s="7" t="str">
        <f aca="false">IF(OR(A942="",P942="DUP",R942&lt;2),"",IF(Q942=_xlfn.MINIFS($Q$2:$Q$3058,$A$2:$A$3058,A942,$P$2:$P$3058,"OK"),"KEEP","DROP"))</f>
        <v/>
      </c>
      <c r="T942" s="9" t="n">
        <f aca="false">IF(A942="",1,0)</f>
        <v>0</v>
      </c>
      <c r="U942" s="9" t="n">
        <f aca="false">IF(D942="",1,0)</f>
        <v>0</v>
      </c>
      <c r="V942" s="9" t="n">
        <f aca="false">IF(E942="",1,0)</f>
        <v>0</v>
      </c>
      <c r="W942" s="9" t="n">
        <f aca="false">IF(OR(H942&lt;1,H942&gt;10),1,0)</f>
        <v>0</v>
      </c>
      <c r="X942" s="9" t="n">
        <f aca="false">IF(OR(I942&lt;=0,I942&gt;1500),1,0)</f>
        <v>0</v>
      </c>
      <c r="Y942" s="9" t="n">
        <f aca="false">IF(J942&gt;H942*I942,1,0)</f>
        <v>0</v>
      </c>
      <c r="Z942" s="9" t="n">
        <f aca="false">IF(AND(N942&lt;&gt;"",OR(N942&lt;1,N942&gt;5)),1,0)</f>
        <v>0</v>
      </c>
      <c r="AA942" s="9" t="n">
        <f aca="false">IF(AND(M942&lt;&gt;"",OR(M942&lt;5,M942&gt;180)),1,0)</f>
        <v>0</v>
      </c>
      <c r="AB942" s="7" t="str">
        <f aca="false">IF(P942="DUP","Exact duplicate row",IF(T942=1,"Missing Order ID",IF(S942="DROP","Duplicate Order ID (less complete row)",IF(U942=1,"Missing Customer ID",IF(V942=1,"Missing Restaurant name",IF(W942=1,"Invalid/outlier quantity",IF(X942=1,"Invalid/outlier unit price",IF(Y942=1,"Discount greater than order value",""))))))))</f>
        <v/>
      </c>
      <c r="AC942" s="7" t="str">
        <f aca="false">IF(AB942="","KEEP","DROP")</f>
        <v>KEEP</v>
      </c>
      <c r="AD942" s="7" t="str">
        <f aca="false">IF(TRIM(F942)="",IFERROR(INDEX(Map_Tables!$I$4:$I$37,MATCH(TRIM(E942),Map_Tables!$G$4:$G$37,0)),""),IFERROR(INDEX(Map_Tables!$B$4:$B$18,MATCH(TRIM(F942),Map_Tables!$A$4:$A$18,0)),"CHECK"))</f>
        <v>Mumbai</v>
      </c>
      <c r="AE942" s="7" t="str">
        <f aca="false">IF(TRIM(E942)="","",IFERROR(INDEX(Map_Tables!$H$4:$H$37,MATCH(TRIM(E942),Map_Tables!$G$4:$G$37,0)),"CHECK"))</f>
        <v>Curry Leaf Kitchen</v>
      </c>
      <c r="AF942" s="7" t="str">
        <f aca="false">IF(TRIM(K942)="","Unknown",IFERROR(INDEX(Map_Tables!$E$4:$E$15,MATCH(TRIM(K942),Map_Tables!$D$4:$D$15,0)),"CHECK"))</f>
        <v>Wallet</v>
      </c>
      <c r="AG942" s="7" t="str">
        <f aca="false">IF(LEFT(LOWER(TRIM(L942)),6)="cancel","Cancelled","Delivered")</f>
        <v>Delivered</v>
      </c>
      <c r="AH942" s="10" t="n">
        <f aca="false">IF(ISNUMBER(SEARCH("/",B942)),DATE(VALUE(RIGHT(B942,4)),VALUE(MID(B942,4,2)),VALUE(LEFT(B942,2))),IF(MID(B942,5,1)="-",DATE(VALUE(LEFT(B942,4)),VALUE(MID(B942,6,2)),VALUE(RIGHT(B942,2))),DATE(VALUE(RIGHT(B942,4)),MATCH(MID(B942,4,3),{"Jan","Feb","Mar","Apr","May","Jun","Jul","Aug","Sep","Oct","Nov","Dec"},0),VALUE(LEFT(B942,2)))))</f>
        <v>45720</v>
      </c>
    </row>
    <row r="943" customFormat="false" ht="15" hidden="false" customHeight="false" outlineLevel="0" collapsed="false">
      <c r="A943" s="7" t="s">
        <v>2888</v>
      </c>
      <c r="B943" s="7" t="s">
        <v>667</v>
      </c>
      <c r="C943" s="7" t="s">
        <v>2889</v>
      </c>
      <c r="D943" s="7" t="s">
        <v>2890</v>
      </c>
      <c r="E943" s="7" t="s">
        <v>130</v>
      </c>
      <c r="F943" s="7" t="s">
        <v>110</v>
      </c>
      <c r="G943" s="7" t="s">
        <v>1928</v>
      </c>
      <c r="H943" s="7" t="n">
        <v>2</v>
      </c>
      <c r="I943" s="7" t="n">
        <v>280</v>
      </c>
      <c r="J943" s="7" t="n">
        <v>75</v>
      </c>
      <c r="K943" s="7" t="s">
        <v>103</v>
      </c>
      <c r="L943" s="7" t="s">
        <v>194</v>
      </c>
      <c r="M943" s="7" t="n">
        <v>39</v>
      </c>
      <c r="N943" s="7" t="n">
        <v>5</v>
      </c>
      <c r="O943" s="7" t="str">
        <f aca="false">A943&amp;"|"&amp;B943&amp;"|"&amp;C943&amp;"|"&amp;D943&amp;"|"&amp;E943&amp;"|"&amp;F943&amp;"|"&amp;G943&amp;"|"&amp;H943&amp;"|"&amp;I943&amp;"|"&amp;J943&amp;"|"&amp;K943&amp;"|"&amp;L943&amp;"|"&amp;M943&amp;"|"&amp;N943</f>
        <v>ORD10422|2025-02-26|17:50|C0277|Tandoor Tales|Delhi|north indian|2|280|75|Debit Card|Delivered|39|5</v>
      </c>
      <c r="P943" s="7" t="str">
        <f aca="false">IF(COUNTIF($O$2:O943,O943)&gt;1,"DUP","OK")</f>
        <v>OK</v>
      </c>
      <c r="Q943" s="7" t="n">
        <f aca="false">COUNTBLANK(A943:N943)</f>
        <v>0</v>
      </c>
      <c r="R943" s="7" t="n">
        <f aca="false">IF(A943="",0,COUNTIFS($A$2:$A$3058,A943,$P$2:$P$3058,"OK"))</f>
        <v>1</v>
      </c>
      <c r="S943" s="7" t="str">
        <f aca="false">IF(OR(A943="",P943="DUP",R943&lt;2),"",IF(Q943=_xlfn.MINIFS($Q$2:$Q$3058,$A$2:$A$3058,A943,$P$2:$P$3058,"OK"),"KEEP","DROP"))</f>
        <v/>
      </c>
      <c r="T943" s="9" t="n">
        <f aca="false">IF(A943="",1,0)</f>
        <v>0</v>
      </c>
      <c r="U943" s="9" t="n">
        <f aca="false">IF(D943="",1,0)</f>
        <v>0</v>
      </c>
      <c r="V943" s="9" t="n">
        <f aca="false">IF(E943="",1,0)</f>
        <v>0</v>
      </c>
      <c r="W943" s="9" t="n">
        <f aca="false">IF(OR(H943&lt;1,H943&gt;10),1,0)</f>
        <v>0</v>
      </c>
      <c r="X943" s="9" t="n">
        <f aca="false">IF(OR(I943&lt;=0,I943&gt;1500),1,0)</f>
        <v>0</v>
      </c>
      <c r="Y943" s="9" t="n">
        <f aca="false">IF(J943&gt;H943*I943,1,0)</f>
        <v>0</v>
      </c>
      <c r="Z943" s="9" t="n">
        <f aca="false">IF(AND(N943&lt;&gt;"",OR(N943&lt;1,N943&gt;5)),1,0)</f>
        <v>0</v>
      </c>
      <c r="AA943" s="9" t="n">
        <f aca="false">IF(AND(M943&lt;&gt;"",OR(M943&lt;5,M943&gt;180)),1,0)</f>
        <v>0</v>
      </c>
      <c r="AB943" s="7" t="str">
        <f aca="false">IF(P943="DUP","Exact duplicate row",IF(T943=1,"Missing Order ID",IF(S943="DROP","Duplicate Order ID (less complete row)",IF(U943=1,"Missing Customer ID",IF(V943=1,"Missing Restaurant name",IF(W943=1,"Invalid/outlier quantity",IF(X943=1,"Invalid/outlier unit price",IF(Y943=1,"Discount greater than order value",""))))))))</f>
        <v/>
      </c>
      <c r="AC943" s="7" t="str">
        <f aca="false">IF(AB943="","KEEP","DROP")</f>
        <v>KEEP</v>
      </c>
      <c r="AD943" s="7" t="str">
        <f aca="false">IF(TRIM(F943)="",IFERROR(INDEX(Map_Tables!$I$4:$I$37,MATCH(TRIM(E943),Map_Tables!$G$4:$G$37,0)),""),IFERROR(INDEX(Map_Tables!$B$4:$B$18,MATCH(TRIM(F943),Map_Tables!$A$4:$A$18,0)),"CHECK"))</f>
        <v>Delhi</v>
      </c>
      <c r="AE943" s="7" t="str">
        <f aca="false">IF(TRIM(E943)="","",IFERROR(INDEX(Map_Tables!$H$4:$H$37,MATCH(TRIM(E943),Map_Tables!$G$4:$G$37,0)),"CHECK"))</f>
        <v>Tandoor Tales</v>
      </c>
      <c r="AF943" s="7" t="str">
        <f aca="false">IF(TRIM(K943)="","Unknown",IFERROR(INDEX(Map_Tables!$E$4:$E$15,MATCH(TRIM(K943),Map_Tables!$D$4:$D$15,0)),"CHECK"))</f>
        <v>Debit Card</v>
      </c>
      <c r="AG943" s="7" t="str">
        <f aca="false">IF(LEFT(LOWER(TRIM(L943)),6)="cancel","Cancelled","Delivered")</f>
        <v>Delivered</v>
      </c>
      <c r="AH943" s="10" t="n">
        <f aca="false">IF(ISNUMBER(SEARCH("/",B943)),DATE(VALUE(RIGHT(B943,4)),VALUE(MID(B943,4,2)),VALUE(LEFT(B943,2))),IF(MID(B943,5,1)="-",DATE(VALUE(LEFT(B943,4)),VALUE(MID(B943,6,2)),VALUE(RIGHT(B943,2))),DATE(VALUE(RIGHT(B943,4)),MATCH(MID(B943,4,3),{"Jan","Feb","Mar","Apr","May","Jun","Jul","Aug","Sep","Oct","Nov","Dec"},0),VALUE(LEFT(B943,2)))))</f>
        <v>45714</v>
      </c>
    </row>
    <row r="944" customFormat="false" ht="15" hidden="false" customHeight="false" outlineLevel="0" collapsed="false">
      <c r="A944" s="7" t="s">
        <v>2891</v>
      </c>
      <c r="B944" s="7" t="s">
        <v>2041</v>
      </c>
      <c r="C944" s="7" t="s">
        <v>573</v>
      </c>
      <c r="D944" s="7" t="s">
        <v>2892</v>
      </c>
      <c r="E944" s="7" t="s">
        <v>168</v>
      </c>
      <c r="F944" s="7" t="s">
        <v>1327</v>
      </c>
      <c r="G944" s="7" t="s">
        <v>123</v>
      </c>
      <c r="H944" s="7" t="n">
        <v>4</v>
      </c>
      <c r="I944" s="7" t="n">
        <v>305</v>
      </c>
      <c r="J944" s="7" t="n">
        <v>100</v>
      </c>
      <c r="K944" s="7" t="s">
        <v>112</v>
      </c>
      <c r="L944" s="7" t="s">
        <v>194</v>
      </c>
      <c r="M944" s="7" t="n">
        <v>22</v>
      </c>
      <c r="N944" s="7" t="n">
        <v>3</v>
      </c>
      <c r="O944" s="7" t="str">
        <f aca="false">A944&amp;"|"&amp;B944&amp;"|"&amp;C944&amp;"|"&amp;D944&amp;"|"&amp;E944&amp;"|"&amp;F944&amp;"|"&amp;G944&amp;"|"&amp;H944&amp;"|"&amp;I944&amp;"|"&amp;J944&amp;"|"&amp;K944&amp;"|"&amp;L944&amp;"|"&amp;M944&amp;"|"&amp;N944</f>
        <v>ORD11759|2025-08-18|21:43|C0806|Cheesy Slice|Ahmedabad |Pizza|4|305|100|Cash on Delivery|Delivered|22|3</v>
      </c>
      <c r="P944" s="7" t="str">
        <f aca="false">IF(COUNTIF($O$2:O944,O944)&gt;1,"DUP","OK")</f>
        <v>OK</v>
      </c>
      <c r="Q944" s="7" t="n">
        <f aca="false">COUNTBLANK(A944:N944)</f>
        <v>0</v>
      </c>
      <c r="R944" s="7" t="n">
        <f aca="false">IF(A944="",0,COUNTIFS($A$2:$A$3058,A944,$P$2:$P$3058,"OK"))</f>
        <v>1</v>
      </c>
      <c r="S944" s="7" t="str">
        <f aca="false">IF(OR(A944="",P944="DUP",R944&lt;2),"",IF(Q944=_xlfn.MINIFS($Q$2:$Q$3058,$A$2:$A$3058,A944,$P$2:$P$3058,"OK"),"KEEP","DROP"))</f>
        <v/>
      </c>
      <c r="T944" s="9" t="n">
        <f aca="false">IF(A944="",1,0)</f>
        <v>0</v>
      </c>
      <c r="U944" s="9" t="n">
        <f aca="false">IF(D944="",1,0)</f>
        <v>0</v>
      </c>
      <c r="V944" s="9" t="n">
        <f aca="false">IF(E944="",1,0)</f>
        <v>0</v>
      </c>
      <c r="W944" s="9" t="n">
        <f aca="false">IF(OR(H944&lt;1,H944&gt;10),1,0)</f>
        <v>0</v>
      </c>
      <c r="X944" s="9" t="n">
        <f aca="false">IF(OR(I944&lt;=0,I944&gt;1500),1,0)</f>
        <v>0</v>
      </c>
      <c r="Y944" s="9" t="n">
        <f aca="false">IF(J944&gt;H944*I944,1,0)</f>
        <v>0</v>
      </c>
      <c r="Z944" s="9" t="n">
        <f aca="false">IF(AND(N944&lt;&gt;"",OR(N944&lt;1,N944&gt;5)),1,0)</f>
        <v>0</v>
      </c>
      <c r="AA944" s="9" t="n">
        <f aca="false">IF(AND(M944&lt;&gt;"",OR(M944&lt;5,M944&gt;180)),1,0)</f>
        <v>0</v>
      </c>
      <c r="AB944" s="7" t="str">
        <f aca="false">IF(P944="DUP","Exact duplicate row",IF(T944=1,"Missing Order ID",IF(S944="DROP","Duplicate Order ID (less complete row)",IF(U944=1,"Missing Customer ID",IF(V944=1,"Missing Restaurant name",IF(W944=1,"Invalid/outlier quantity",IF(X944=1,"Invalid/outlier unit price",IF(Y944=1,"Discount greater than order value",""))))))))</f>
        <v/>
      </c>
      <c r="AC944" s="7" t="str">
        <f aca="false">IF(AB944="","KEEP","DROP")</f>
        <v>KEEP</v>
      </c>
      <c r="AD944" s="7" t="str">
        <f aca="false">IF(TRIM(F944)="",IFERROR(INDEX(Map_Tables!$I$4:$I$37,MATCH(TRIM(E944),Map_Tables!$G$4:$G$37,0)),""),IFERROR(INDEX(Map_Tables!$B$4:$B$18,MATCH(TRIM(F944),Map_Tables!$A$4:$A$18,0)),"CHECK"))</f>
        <v>Ahmedabad</v>
      </c>
      <c r="AE944" s="7" t="str">
        <f aca="false">IF(TRIM(E944)="","",IFERROR(INDEX(Map_Tables!$H$4:$H$37,MATCH(TRIM(E944),Map_Tables!$G$4:$G$37,0)),"CHECK"))</f>
        <v>Cheesy Slice</v>
      </c>
      <c r="AF944" s="7" t="str">
        <f aca="false">IF(TRIM(K944)="","Unknown",IFERROR(INDEX(Map_Tables!$E$4:$E$15,MATCH(TRIM(K944),Map_Tables!$D$4:$D$15,0)),"CHECK"))</f>
        <v>Cash on Delivery</v>
      </c>
      <c r="AG944" s="7" t="str">
        <f aca="false">IF(LEFT(LOWER(TRIM(L944)),6)="cancel","Cancelled","Delivered")</f>
        <v>Delivered</v>
      </c>
      <c r="AH944" s="10" t="n">
        <f aca="false">IF(ISNUMBER(SEARCH("/",B944)),DATE(VALUE(RIGHT(B944,4)),VALUE(MID(B944,4,2)),VALUE(LEFT(B944,2))),IF(MID(B944,5,1)="-",DATE(VALUE(LEFT(B944,4)),VALUE(MID(B944,6,2)),VALUE(RIGHT(B944,2))),DATE(VALUE(RIGHT(B944,4)),MATCH(MID(B944,4,3),{"Jan","Feb","Mar","Apr","May","Jun","Jul","Aug","Sep","Oct","Nov","Dec"},0),VALUE(LEFT(B944,2)))))</f>
        <v>45887</v>
      </c>
    </row>
    <row r="945" customFormat="false" ht="15" hidden="false" customHeight="false" outlineLevel="0" collapsed="false">
      <c r="A945" s="7" t="s">
        <v>2893</v>
      </c>
      <c r="B945" s="7" t="s">
        <v>1835</v>
      </c>
      <c r="C945" s="7" t="s">
        <v>679</v>
      </c>
      <c r="D945" s="7" t="s">
        <v>2894</v>
      </c>
      <c r="E945" s="7" t="s">
        <v>138</v>
      </c>
      <c r="F945" s="7" t="s">
        <v>110</v>
      </c>
      <c r="G945" s="7" t="s">
        <v>139</v>
      </c>
      <c r="H945" s="7" t="n">
        <v>2</v>
      </c>
      <c r="I945" s="7" t="n">
        <v>220</v>
      </c>
      <c r="J945" s="7" t="n">
        <v>50</v>
      </c>
      <c r="K945" s="7" t="s">
        <v>229</v>
      </c>
      <c r="L945" s="7" t="s">
        <v>194</v>
      </c>
      <c r="M945" s="7" t="n">
        <v>37</v>
      </c>
      <c r="N945" s="7" t="n">
        <v>5</v>
      </c>
      <c r="O945" s="7" t="str">
        <f aca="false">A945&amp;"|"&amp;B945&amp;"|"&amp;C945&amp;"|"&amp;D945&amp;"|"&amp;E945&amp;"|"&amp;F945&amp;"|"&amp;G945&amp;"|"&amp;H945&amp;"|"&amp;I945&amp;"|"&amp;J945&amp;"|"&amp;K945&amp;"|"&amp;L945&amp;"|"&amp;M945&amp;"|"&amp;N945</f>
        <v>ORD12280|2025-10-16|11:00|C1466|Burger Barn|Delhi|Burgers|2|220|50|Upi|Delivered|37|5</v>
      </c>
      <c r="P945" s="7" t="str">
        <f aca="false">IF(COUNTIF($O$2:O945,O945)&gt;1,"DUP","OK")</f>
        <v>OK</v>
      </c>
      <c r="Q945" s="7" t="n">
        <f aca="false">COUNTBLANK(A945:N945)</f>
        <v>0</v>
      </c>
      <c r="R945" s="7" t="n">
        <f aca="false">IF(A945="",0,COUNTIFS($A$2:$A$3058,A945,$P$2:$P$3058,"OK"))</f>
        <v>1</v>
      </c>
      <c r="S945" s="7" t="str">
        <f aca="false">IF(OR(A945="",P945="DUP",R945&lt;2),"",IF(Q945=_xlfn.MINIFS($Q$2:$Q$3058,$A$2:$A$3058,A945,$P$2:$P$3058,"OK"),"KEEP","DROP"))</f>
        <v/>
      </c>
      <c r="T945" s="9" t="n">
        <f aca="false">IF(A945="",1,0)</f>
        <v>0</v>
      </c>
      <c r="U945" s="9" t="n">
        <f aca="false">IF(D945="",1,0)</f>
        <v>0</v>
      </c>
      <c r="V945" s="9" t="n">
        <f aca="false">IF(E945="",1,0)</f>
        <v>0</v>
      </c>
      <c r="W945" s="9" t="n">
        <f aca="false">IF(OR(H945&lt;1,H945&gt;10),1,0)</f>
        <v>0</v>
      </c>
      <c r="X945" s="9" t="n">
        <f aca="false">IF(OR(I945&lt;=0,I945&gt;1500),1,0)</f>
        <v>0</v>
      </c>
      <c r="Y945" s="9" t="n">
        <f aca="false">IF(J945&gt;H945*I945,1,0)</f>
        <v>0</v>
      </c>
      <c r="Z945" s="9" t="n">
        <f aca="false">IF(AND(N945&lt;&gt;"",OR(N945&lt;1,N945&gt;5)),1,0)</f>
        <v>0</v>
      </c>
      <c r="AA945" s="9" t="n">
        <f aca="false">IF(AND(M945&lt;&gt;"",OR(M945&lt;5,M945&gt;180)),1,0)</f>
        <v>0</v>
      </c>
      <c r="AB945" s="7" t="str">
        <f aca="false">IF(P945="DUP","Exact duplicate row",IF(T945=1,"Missing Order ID",IF(S945="DROP","Duplicate Order ID (less complete row)",IF(U945=1,"Missing Customer ID",IF(V945=1,"Missing Restaurant name",IF(W945=1,"Invalid/outlier quantity",IF(X945=1,"Invalid/outlier unit price",IF(Y945=1,"Discount greater than order value",""))))))))</f>
        <v/>
      </c>
      <c r="AC945" s="7" t="str">
        <f aca="false">IF(AB945="","KEEP","DROP")</f>
        <v>KEEP</v>
      </c>
      <c r="AD945" s="7" t="str">
        <f aca="false">IF(TRIM(F945)="",IFERROR(INDEX(Map_Tables!$I$4:$I$37,MATCH(TRIM(E945),Map_Tables!$G$4:$G$37,0)),""),IFERROR(INDEX(Map_Tables!$B$4:$B$18,MATCH(TRIM(F945),Map_Tables!$A$4:$A$18,0)),"CHECK"))</f>
        <v>Delhi</v>
      </c>
      <c r="AE945" s="7" t="str">
        <f aca="false">IF(TRIM(E945)="","",IFERROR(INDEX(Map_Tables!$H$4:$H$37,MATCH(TRIM(E945),Map_Tables!$G$4:$G$37,0)),"CHECK"))</f>
        <v>Burger Barn</v>
      </c>
      <c r="AF945" s="7" t="str">
        <f aca="false">IF(TRIM(K945)="","Unknown",IFERROR(INDEX(Map_Tables!$E$4:$E$15,MATCH(TRIM(K945),Map_Tables!$D$4:$D$15,0)),"CHECK"))</f>
        <v>UPI</v>
      </c>
      <c r="AG945" s="7" t="str">
        <f aca="false">IF(LEFT(LOWER(TRIM(L945)),6)="cancel","Cancelled","Delivered")</f>
        <v>Delivered</v>
      </c>
      <c r="AH945" s="10" t="n">
        <f aca="false">IF(ISNUMBER(SEARCH("/",B945)),DATE(VALUE(RIGHT(B945,4)),VALUE(MID(B945,4,2)),VALUE(LEFT(B945,2))),IF(MID(B945,5,1)="-",DATE(VALUE(LEFT(B945,4)),VALUE(MID(B945,6,2)),VALUE(RIGHT(B945,2))),DATE(VALUE(RIGHT(B945,4)),MATCH(MID(B945,4,3),{"Jan","Feb","Mar","Apr","May","Jun","Jul","Aug","Sep","Oct","Nov","Dec"},0),VALUE(LEFT(B945,2)))))</f>
        <v>45946</v>
      </c>
    </row>
    <row r="946" customFormat="false" ht="15" hidden="false" customHeight="false" outlineLevel="0" collapsed="false">
      <c r="A946" s="7" t="s">
        <v>2895</v>
      </c>
      <c r="B946" s="7" t="s">
        <v>1437</v>
      </c>
      <c r="C946" s="7" t="s">
        <v>2337</v>
      </c>
      <c r="D946" s="7" t="s">
        <v>2896</v>
      </c>
      <c r="E946" s="7" t="s">
        <v>160</v>
      </c>
      <c r="F946" s="7" t="s">
        <v>1226</v>
      </c>
      <c r="G946" s="7" t="s">
        <v>150</v>
      </c>
      <c r="H946" s="7" t="n">
        <v>3</v>
      </c>
      <c r="I946" s="7" t="n">
        <v>185</v>
      </c>
      <c r="J946" s="7" t="n">
        <v>0</v>
      </c>
      <c r="K946" s="7" t="s">
        <v>103</v>
      </c>
      <c r="L946" s="7" t="s">
        <v>194</v>
      </c>
      <c r="M946" s="7" t="n">
        <v>30</v>
      </c>
      <c r="N946" s="7" t="n">
        <v>4</v>
      </c>
      <c r="O946" s="7" t="str">
        <f aca="false">A946&amp;"|"&amp;B946&amp;"|"&amp;C946&amp;"|"&amp;D946&amp;"|"&amp;E946&amp;"|"&amp;F946&amp;"|"&amp;G946&amp;"|"&amp;H946&amp;"|"&amp;I946&amp;"|"&amp;J946&amp;"|"&amp;K946&amp;"|"&amp;L946&amp;"|"&amp;M946&amp;"|"&amp;N946</f>
        <v>ORD11643|2025-08-02|18:29|C0225|Cake Walk|Pune |Desserts|3|185|0|Debit Card|Delivered|30|4</v>
      </c>
      <c r="P946" s="7" t="str">
        <f aca="false">IF(COUNTIF($O$2:O946,O946)&gt;1,"DUP","OK")</f>
        <v>OK</v>
      </c>
      <c r="Q946" s="7" t="n">
        <f aca="false">COUNTBLANK(A946:N946)</f>
        <v>0</v>
      </c>
      <c r="R946" s="7" t="n">
        <f aca="false">IF(A946="",0,COUNTIFS($A$2:$A$3058,A946,$P$2:$P$3058,"OK"))</f>
        <v>1</v>
      </c>
      <c r="S946" s="7" t="str">
        <f aca="false">IF(OR(A946="",P946="DUP",R946&lt;2),"",IF(Q946=_xlfn.MINIFS($Q$2:$Q$3058,$A$2:$A$3058,A946,$P$2:$P$3058,"OK"),"KEEP","DROP"))</f>
        <v/>
      </c>
      <c r="T946" s="9" t="n">
        <f aca="false">IF(A946="",1,0)</f>
        <v>0</v>
      </c>
      <c r="U946" s="9" t="n">
        <f aca="false">IF(D946="",1,0)</f>
        <v>0</v>
      </c>
      <c r="V946" s="9" t="n">
        <f aca="false">IF(E946="",1,0)</f>
        <v>0</v>
      </c>
      <c r="W946" s="9" t="n">
        <f aca="false">IF(OR(H946&lt;1,H946&gt;10),1,0)</f>
        <v>0</v>
      </c>
      <c r="X946" s="9" t="n">
        <f aca="false">IF(OR(I946&lt;=0,I946&gt;1500),1,0)</f>
        <v>0</v>
      </c>
      <c r="Y946" s="9" t="n">
        <f aca="false">IF(J946&gt;H946*I946,1,0)</f>
        <v>0</v>
      </c>
      <c r="Z946" s="9" t="n">
        <f aca="false">IF(AND(N946&lt;&gt;"",OR(N946&lt;1,N946&gt;5)),1,0)</f>
        <v>0</v>
      </c>
      <c r="AA946" s="9" t="n">
        <f aca="false">IF(AND(M946&lt;&gt;"",OR(M946&lt;5,M946&gt;180)),1,0)</f>
        <v>0</v>
      </c>
      <c r="AB946" s="7" t="str">
        <f aca="false">IF(P946="DUP","Exact duplicate row",IF(T946=1,"Missing Order ID",IF(S946="DROP","Duplicate Order ID (less complete row)",IF(U946=1,"Missing Customer ID",IF(V946=1,"Missing Restaurant name",IF(W946=1,"Invalid/outlier quantity",IF(X946=1,"Invalid/outlier unit price",IF(Y946=1,"Discount greater than order value",""))))))))</f>
        <v/>
      </c>
      <c r="AC946" s="7" t="str">
        <f aca="false">IF(AB946="","KEEP","DROP")</f>
        <v>KEEP</v>
      </c>
      <c r="AD946" s="7" t="str">
        <f aca="false">IF(TRIM(F946)="",IFERROR(INDEX(Map_Tables!$I$4:$I$37,MATCH(TRIM(E946),Map_Tables!$G$4:$G$37,0)),""),IFERROR(INDEX(Map_Tables!$B$4:$B$18,MATCH(TRIM(F946),Map_Tables!$A$4:$A$18,0)),"CHECK"))</f>
        <v>Pune</v>
      </c>
      <c r="AE946" s="7" t="str">
        <f aca="false">IF(TRIM(E946)="","",IFERROR(INDEX(Map_Tables!$H$4:$H$37,MATCH(TRIM(E946),Map_Tables!$G$4:$G$37,0)),"CHECK"))</f>
        <v>Cake Walk</v>
      </c>
      <c r="AF946" s="7" t="str">
        <f aca="false">IF(TRIM(K946)="","Unknown",IFERROR(INDEX(Map_Tables!$E$4:$E$15,MATCH(TRIM(K946),Map_Tables!$D$4:$D$15,0)),"CHECK"))</f>
        <v>Debit Card</v>
      </c>
      <c r="AG946" s="7" t="str">
        <f aca="false">IF(LEFT(LOWER(TRIM(L946)),6)="cancel","Cancelled","Delivered")</f>
        <v>Delivered</v>
      </c>
      <c r="AH946" s="10" t="n">
        <f aca="false">IF(ISNUMBER(SEARCH("/",B946)),DATE(VALUE(RIGHT(B946,4)),VALUE(MID(B946,4,2)),VALUE(LEFT(B946,2))),IF(MID(B946,5,1)="-",DATE(VALUE(LEFT(B946,4)),VALUE(MID(B946,6,2)),VALUE(RIGHT(B946,2))),DATE(VALUE(RIGHT(B946,4)),MATCH(MID(B946,4,3),{"Jan","Feb","Mar","Apr","May","Jun","Jul","Aug","Sep","Oct","Nov","Dec"},0),VALUE(LEFT(B946,2)))))</f>
        <v>45871</v>
      </c>
    </row>
    <row r="947" customFormat="false" ht="15" hidden="false" customHeight="false" outlineLevel="0" collapsed="false">
      <c r="A947" s="7" t="s">
        <v>2897</v>
      </c>
      <c r="B947" s="7" t="s">
        <v>633</v>
      </c>
      <c r="C947" s="7" t="s">
        <v>2898</v>
      </c>
      <c r="D947" s="7" t="s">
        <v>206</v>
      </c>
      <c r="E947" s="7" t="s">
        <v>130</v>
      </c>
      <c r="F947" s="7" t="s">
        <v>110</v>
      </c>
      <c r="G947" s="7" t="s">
        <v>90</v>
      </c>
      <c r="H947" s="7" t="n">
        <v>2</v>
      </c>
      <c r="I947" s="7" t="n">
        <v>305</v>
      </c>
      <c r="J947" s="7" t="n">
        <v>30</v>
      </c>
      <c r="K947" s="7" t="s">
        <v>2596</v>
      </c>
      <c r="L947" s="7" t="s">
        <v>194</v>
      </c>
      <c r="M947" s="7" t="n">
        <v>47</v>
      </c>
      <c r="N947" s="7" t="n">
        <v>4</v>
      </c>
      <c r="O947" s="7" t="str">
        <f aca="false">A947&amp;"|"&amp;B947&amp;"|"&amp;C947&amp;"|"&amp;D947&amp;"|"&amp;E947&amp;"|"&amp;F947&amp;"|"&amp;G947&amp;"|"&amp;H947&amp;"|"&amp;I947&amp;"|"&amp;J947&amp;"|"&amp;K947&amp;"|"&amp;L947&amp;"|"&amp;M947&amp;"|"&amp;N947</f>
        <v>ORD11539|2025-07-19|13:54|C0164|Tandoor Tales|Delhi|North Indian|2|305|30|COD|Delivered|47|4</v>
      </c>
      <c r="P947" s="7" t="str">
        <f aca="false">IF(COUNTIF($O$2:O947,O947)&gt;1,"DUP","OK")</f>
        <v>OK</v>
      </c>
      <c r="Q947" s="7" t="n">
        <f aca="false">COUNTBLANK(A947:N947)</f>
        <v>0</v>
      </c>
      <c r="R947" s="7" t="n">
        <f aca="false">IF(A947="",0,COUNTIFS($A$2:$A$3058,A947,$P$2:$P$3058,"OK"))</f>
        <v>1</v>
      </c>
      <c r="S947" s="7" t="str">
        <f aca="false">IF(OR(A947="",P947="DUP",R947&lt;2),"",IF(Q947=_xlfn.MINIFS($Q$2:$Q$3058,$A$2:$A$3058,A947,$P$2:$P$3058,"OK"),"KEEP","DROP"))</f>
        <v/>
      </c>
      <c r="T947" s="9" t="n">
        <f aca="false">IF(A947="",1,0)</f>
        <v>0</v>
      </c>
      <c r="U947" s="9" t="n">
        <f aca="false">IF(D947="",1,0)</f>
        <v>0</v>
      </c>
      <c r="V947" s="9" t="n">
        <f aca="false">IF(E947="",1,0)</f>
        <v>0</v>
      </c>
      <c r="W947" s="9" t="n">
        <f aca="false">IF(OR(H947&lt;1,H947&gt;10),1,0)</f>
        <v>0</v>
      </c>
      <c r="X947" s="9" t="n">
        <f aca="false">IF(OR(I947&lt;=0,I947&gt;1500),1,0)</f>
        <v>0</v>
      </c>
      <c r="Y947" s="9" t="n">
        <f aca="false">IF(J947&gt;H947*I947,1,0)</f>
        <v>0</v>
      </c>
      <c r="Z947" s="9" t="n">
        <f aca="false">IF(AND(N947&lt;&gt;"",OR(N947&lt;1,N947&gt;5)),1,0)</f>
        <v>0</v>
      </c>
      <c r="AA947" s="9" t="n">
        <f aca="false">IF(AND(M947&lt;&gt;"",OR(M947&lt;5,M947&gt;180)),1,0)</f>
        <v>0</v>
      </c>
      <c r="AB947" s="7" t="str">
        <f aca="false">IF(P947="DUP","Exact duplicate row",IF(T947=1,"Missing Order ID",IF(S947="DROP","Duplicate Order ID (less complete row)",IF(U947=1,"Missing Customer ID",IF(V947=1,"Missing Restaurant name",IF(W947=1,"Invalid/outlier quantity",IF(X947=1,"Invalid/outlier unit price",IF(Y947=1,"Discount greater than order value",""))))))))</f>
        <v/>
      </c>
      <c r="AC947" s="7" t="str">
        <f aca="false">IF(AB947="","KEEP","DROP")</f>
        <v>KEEP</v>
      </c>
      <c r="AD947" s="7" t="str">
        <f aca="false">IF(TRIM(F947)="",IFERROR(INDEX(Map_Tables!$I$4:$I$37,MATCH(TRIM(E947),Map_Tables!$G$4:$G$37,0)),""),IFERROR(INDEX(Map_Tables!$B$4:$B$18,MATCH(TRIM(F947),Map_Tables!$A$4:$A$18,0)),"CHECK"))</f>
        <v>Delhi</v>
      </c>
      <c r="AE947" s="7" t="str">
        <f aca="false">IF(TRIM(E947)="","",IFERROR(INDEX(Map_Tables!$H$4:$H$37,MATCH(TRIM(E947),Map_Tables!$G$4:$G$37,0)),"CHECK"))</f>
        <v>Tandoor Tales</v>
      </c>
      <c r="AF947" s="7" t="str">
        <f aca="false">IF(TRIM(K947)="","Unknown",IFERROR(INDEX(Map_Tables!$E$4:$E$15,MATCH(TRIM(K947),Map_Tables!$D$4:$D$15,0)),"CHECK"))</f>
        <v>Cash on Delivery</v>
      </c>
      <c r="AG947" s="7" t="str">
        <f aca="false">IF(LEFT(LOWER(TRIM(L947)),6)="cancel","Cancelled","Delivered")</f>
        <v>Delivered</v>
      </c>
      <c r="AH947" s="10" t="n">
        <f aca="false">IF(ISNUMBER(SEARCH("/",B947)),DATE(VALUE(RIGHT(B947,4)),VALUE(MID(B947,4,2)),VALUE(LEFT(B947,2))),IF(MID(B947,5,1)="-",DATE(VALUE(LEFT(B947,4)),VALUE(MID(B947,6,2)),VALUE(RIGHT(B947,2))),DATE(VALUE(RIGHT(B947,4)),MATCH(MID(B947,4,3),{"Jan","Feb","Mar","Apr","May","Jun","Jul","Aug","Sep","Oct","Nov","Dec"},0),VALUE(LEFT(B947,2)))))</f>
        <v>45857</v>
      </c>
    </row>
    <row r="948" customFormat="false" ht="15" hidden="false" customHeight="false" outlineLevel="0" collapsed="false">
      <c r="A948" s="7" t="s">
        <v>2899</v>
      </c>
      <c r="B948" s="7" t="s">
        <v>2900</v>
      </c>
      <c r="C948" s="7" t="s">
        <v>2901</v>
      </c>
      <c r="D948" s="7" t="s">
        <v>2902</v>
      </c>
      <c r="E948" s="7" t="s">
        <v>89</v>
      </c>
      <c r="F948" s="7" t="s">
        <v>86</v>
      </c>
      <c r="G948" s="7" t="s">
        <v>90</v>
      </c>
      <c r="H948" s="7" t="n">
        <v>1</v>
      </c>
      <c r="I948" s="7" t="n">
        <v>225</v>
      </c>
      <c r="J948" s="7" t="n">
        <v>0</v>
      </c>
      <c r="K948" s="7" t="s">
        <v>88</v>
      </c>
      <c r="L948" s="7" t="s">
        <v>194</v>
      </c>
      <c r="M948" s="7" t="n">
        <v>42</v>
      </c>
      <c r="N948" s="7" t="n">
        <v>4</v>
      </c>
      <c r="O948" s="7" t="str">
        <f aca="false">A948&amp;"|"&amp;B948&amp;"|"&amp;C948&amp;"|"&amp;D948&amp;"|"&amp;E948&amp;"|"&amp;F948&amp;"|"&amp;G948&amp;"|"&amp;H948&amp;"|"&amp;I948&amp;"|"&amp;J948&amp;"|"&amp;K948&amp;"|"&amp;L948&amp;"|"&amp;M948&amp;"|"&amp;N948</f>
        <v>ORD12321|20-Oct-2025|09:49|C0839|Spice Junction|Bengaluru|North Indian|1|225|0|UPI|Delivered|42|4</v>
      </c>
      <c r="P948" s="7" t="str">
        <f aca="false">IF(COUNTIF($O$2:O948,O948)&gt;1,"DUP","OK")</f>
        <v>OK</v>
      </c>
      <c r="Q948" s="7" t="n">
        <f aca="false">COUNTBLANK(A948:N948)</f>
        <v>0</v>
      </c>
      <c r="R948" s="7" t="n">
        <f aca="false">IF(A948="",0,COUNTIFS($A$2:$A$3058,A948,$P$2:$P$3058,"OK"))</f>
        <v>1</v>
      </c>
      <c r="S948" s="7" t="str">
        <f aca="false">IF(OR(A948="",P948="DUP",R948&lt;2),"",IF(Q948=_xlfn.MINIFS($Q$2:$Q$3058,$A$2:$A$3058,A948,$P$2:$P$3058,"OK"),"KEEP","DROP"))</f>
        <v/>
      </c>
      <c r="T948" s="9" t="n">
        <f aca="false">IF(A948="",1,0)</f>
        <v>0</v>
      </c>
      <c r="U948" s="9" t="n">
        <f aca="false">IF(D948="",1,0)</f>
        <v>0</v>
      </c>
      <c r="V948" s="9" t="n">
        <f aca="false">IF(E948="",1,0)</f>
        <v>0</v>
      </c>
      <c r="W948" s="9" t="n">
        <f aca="false">IF(OR(H948&lt;1,H948&gt;10),1,0)</f>
        <v>0</v>
      </c>
      <c r="X948" s="9" t="n">
        <f aca="false">IF(OR(I948&lt;=0,I948&gt;1500),1,0)</f>
        <v>0</v>
      </c>
      <c r="Y948" s="9" t="n">
        <f aca="false">IF(J948&gt;H948*I948,1,0)</f>
        <v>0</v>
      </c>
      <c r="Z948" s="9" t="n">
        <f aca="false">IF(AND(N948&lt;&gt;"",OR(N948&lt;1,N948&gt;5)),1,0)</f>
        <v>0</v>
      </c>
      <c r="AA948" s="9" t="n">
        <f aca="false">IF(AND(M948&lt;&gt;"",OR(M948&lt;5,M948&gt;180)),1,0)</f>
        <v>0</v>
      </c>
      <c r="AB948" s="7" t="str">
        <f aca="false">IF(P948="DUP","Exact duplicate row",IF(T948=1,"Missing Order ID",IF(S948="DROP","Duplicate Order ID (less complete row)",IF(U948=1,"Missing Customer ID",IF(V948=1,"Missing Restaurant name",IF(W948=1,"Invalid/outlier quantity",IF(X948=1,"Invalid/outlier unit price",IF(Y948=1,"Discount greater than order value",""))))))))</f>
        <v/>
      </c>
      <c r="AC948" s="7" t="str">
        <f aca="false">IF(AB948="","KEEP","DROP")</f>
        <v>KEEP</v>
      </c>
      <c r="AD948" s="7" t="str">
        <f aca="false">IF(TRIM(F948)="",IFERROR(INDEX(Map_Tables!$I$4:$I$37,MATCH(TRIM(E948),Map_Tables!$G$4:$G$37,0)),""),IFERROR(INDEX(Map_Tables!$B$4:$B$18,MATCH(TRIM(F948),Map_Tables!$A$4:$A$18,0)),"CHECK"))</f>
        <v>Bengaluru</v>
      </c>
      <c r="AE948" s="7" t="str">
        <f aca="false">IF(TRIM(E948)="","",IFERROR(INDEX(Map_Tables!$H$4:$H$37,MATCH(TRIM(E948),Map_Tables!$G$4:$G$37,0)),"CHECK"))</f>
        <v>Spice Junction</v>
      </c>
      <c r="AF948" s="7" t="str">
        <f aca="false">IF(TRIM(K948)="","Unknown",IFERROR(INDEX(Map_Tables!$E$4:$E$15,MATCH(TRIM(K948),Map_Tables!$D$4:$D$15,0)),"CHECK"))</f>
        <v>UPI</v>
      </c>
      <c r="AG948" s="7" t="str">
        <f aca="false">IF(LEFT(LOWER(TRIM(L948)),6)="cancel","Cancelled","Delivered")</f>
        <v>Delivered</v>
      </c>
      <c r="AH948" s="10" t="n">
        <f aca="false">IF(ISNUMBER(SEARCH("/",B948)),DATE(VALUE(RIGHT(B948,4)),VALUE(MID(B948,4,2)),VALUE(LEFT(B948,2))),IF(MID(B948,5,1)="-",DATE(VALUE(LEFT(B948,4)),VALUE(MID(B948,6,2)),VALUE(RIGHT(B948,2))),DATE(VALUE(RIGHT(B948,4)),MATCH(MID(B948,4,3),{"Jan","Feb","Mar","Apr","May","Jun","Jul","Aug","Sep","Oct","Nov","Dec"},0),VALUE(LEFT(B948,2)))))</f>
        <v>45950</v>
      </c>
    </row>
    <row r="949" customFormat="false" ht="15" hidden="false" customHeight="false" outlineLevel="0" collapsed="false">
      <c r="A949" s="7" t="s">
        <v>2903</v>
      </c>
      <c r="B949" s="7" t="s">
        <v>2846</v>
      </c>
      <c r="C949" s="7" t="s">
        <v>2904</v>
      </c>
      <c r="D949" s="7" t="s">
        <v>2718</v>
      </c>
      <c r="E949" s="7" t="s">
        <v>142</v>
      </c>
      <c r="F949" s="7" t="s">
        <v>521</v>
      </c>
      <c r="G949" s="7" t="s">
        <v>105</v>
      </c>
      <c r="H949" s="7" t="n">
        <v>1</v>
      </c>
      <c r="I949" s="7" t="n">
        <v>140</v>
      </c>
      <c r="J949" s="7" t="n">
        <v>0</v>
      </c>
      <c r="K949" s="7" t="s">
        <v>88</v>
      </c>
      <c r="L949" s="7" t="s">
        <v>238</v>
      </c>
      <c r="M949" s="7"/>
      <c r="N949" s="7"/>
      <c r="O949" s="7" t="str">
        <f aca="false">A949&amp;"|"&amp;B949&amp;"|"&amp;C949&amp;"|"&amp;D949&amp;"|"&amp;E949&amp;"|"&amp;F949&amp;"|"&amp;G949&amp;"|"&amp;H949&amp;"|"&amp;I949&amp;"|"&amp;J949&amp;"|"&amp;K949&amp;"|"&amp;L949&amp;"|"&amp;M949&amp;"|"&amp;N949</f>
        <v>ORD12242|2025-10-11|22:17|C0155|Momo Magic|DELHI|Chinese|1|140|0|UPI|Cancelled||</v>
      </c>
      <c r="P949" s="7" t="str">
        <f aca="false">IF(COUNTIF($O$2:O949,O949)&gt;1,"DUP","OK")</f>
        <v>OK</v>
      </c>
      <c r="Q949" s="7" t="n">
        <f aca="false">COUNTBLANK(A949:N949)</f>
        <v>2</v>
      </c>
      <c r="R949" s="7" t="n">
        <f aca="false">IF(A949="",0,COUNTIFS($A$2:$A$3058,A949,$P$2:$P$3058,"OK"))</f>
        <v>1</v>
      </c>
      <c r="S949" s="7" t="str">
        <f aca="false">IF(OR(A949="",P949="DUP",R949&lt;2),"",IF(Q949=_xlfn.MINIFS($Q$2:$Q$3058,$A$2:$A$3058,A949,$P$2:$P$3058,"OK"),"KEEP","DROP"))</f>
        <v/>
      </c>
      <c r="T949" s="9" t="n">
        <f aca="false">IF(A949="",1,0)</f>
        <v>0</v>
      </c>
      <c r="U949" s="9" t="n">
        <f aca="false">IF(D949="",1,0)</f>
        <v>0</v>
      </c>
      <c r="V949" s="9" t="n">
        <f aca="false">IF(E949="",1,0)</f>
        <v>0</v>
      </c>
      <c r="W949" s="9" t="n">
        <f aca="false">IF(OR(H949&lt;1,H949&gt;10),1,0)</f>
        <v>0</v>
      </c>
      <c r="X949" s="9" t="n">
        <f aca="false">IF(OR(I949&lt;=0,I949&gt;1500),1,0)</f>
        <v>0</v>
      </c>
      <c r="Y949" s="9" t="n">
        <f aca="false">IF(J949&gt;H949*I949,1,0)</f>
        <v>0</v>
      </c>
      <c r="Z949" s="9" t="n">
        <f aca="false">IF(AND(N949&lt;&gt;"",OR(N949&lt;1,N949&gt;5)),1,0)</f>
        <v>0</v>
      </c>
      <c r="AA949" s="9" t="n">
        <f aca="false">IF(AND(M949&lt;&gt;"",OR(M949&lt;5,M949&gt;180)),1,0)</f>
        <v>0</v>
      </c>
      <c r="AB949" s="7" t="str">
        <f aca="false">IF(P949="DUP","Exact duplicate row",IF(T949=1,"Missing Order ID",IF(S949="DROP","Duplicate Order ID (less complete row)",IF(U949=1,"Missing Customer ID",IF(V949=1,"Missing Restaurant name",IF(W949=1,"Invalid/outlier quantity",IF(X949=1,"Invalid/outlier unit price",IF(Y949=1,"Discount greater than order value",""))))))))</f>
        <v/>
      </c>
      <c r="AC949" s="7" t="str">
        <f aca="false">IF(AB949="","KEEP","DROP")</f>
        <v>KEEP</v>
      </c>
      <c r="AD949" s="7" t="str">
        <f aca="false">IF(TRIM(F949)="",IFERROR(INDEX(Map_Tables!$I$4:$I$37,MATCH(TRIM(E949),Map_Tables!$G$4:$G$37,0)),""),IFERROR(INDEX(Map_Tables!$B$4:$B$18,MATCH(TRIM(F949),Map_Tables!$A$4:$A$18,0)),"CHECK"))</f>
        <v>Delhi</v>
      </c>
      <c r="AE949" s="7" t="str">
        <f aca="false">IF(TRIM(E949)="","",IFERROR(INDEX(Map_Tables!$H$4:$H$37,MATCH(TRIM(E949),Map_Tables!$G$4:$G$37,0)),"CHECK"))</f>
        <v>Momo Magic</v>
      </c>
      <c r="AF949" s="7" t="str">
        <f aca="false">IF(TRIM(K949)="","Unknown",IFERROR(INDEX(Map_Tables!$E$4:$E$15,MATCH(TRIM(K949),Map_Tables!$D$4:$D$15,0)),"CHECK"))</f>
        <v>UPI</v>
      </c>
      <c r="AG949" s="7" t="str">
        <f aca="false">IF(LEFT(LOWER(TRIM(L949)),6)="cancel","Cancelled","Delivered")</f>
        <v>Cancelled</v>
      </c>
      <c r="AH949" s="10" t="n">
        <f aca="false">IF(ISNUMBER(SEARCH("/",B949)),DATE(VALUE(RIGHT(B949,4)),VALUE(MID(B949,4,2)),VALUE(LEFT(B949,2))),IF(MID(B949,5,1)="-",DATE(VALUE(LEFT(B949,4)),VALUE(MID(B949,6,2)),VALUE(RIGHT(B949,2))),DATE(VALUE(RIGHT(B949,4)),MATCH(MID(B949,4,3),{"Jan","Feb","Mar","Apr","May","Jun","Jul","Aug","Sep","Oct","Nov","Dec"},0),VALUE(LEFT(B949,2)))))</f>
        <v>45941</v>
      </c>
    </row>
    <row r="950" customFormat="false" ht="15" hidden="false" customHeight="false" outlineLevel="0" collapsed="false">
      <c r="A950" s="7" t="s">
        <v>2905</v>
      </c>
      <c r="B950" s="7" t="s">
        <v>637</v>
      </c>
      <c r="C950" s="7" t="s">
        <v>2906</v>
      </c>
      <c r="D950" s="7" t="s">
        <v>2907</v>
      </c>
      <c r="E950" s="7" t="s">
        <v>966</v>
      </c>
      <c r="F950" s="7" t="s">
        <v>136</v>
      </c>
      <c r="G950" s="7" t="s">
        <v>139</v>
      </c>
      <c r="H950" s="7" t="n">
        <v>1</v>
      </c>
      <c r="I950" s="7" t="n">
        <v>195</v>
      </c>
      <c r="J950" s="7" t="n">
        <v>0</v>
      </c>
      <c r="K950" s="7" t="s">
        <v>88</v>
      </c>
      <c r="L950" s="7" t="s">
        <v>194</v>
      </c>
      <c r="M950" s="7" t="n">
        <v>35</v>
      </c>
      <c r="N950" s="7" t="n">
        <v>5</v>
      </c>
      <c r="O950" s="7" t="str">
        <f aca="false">A950&amp;"|"&amp;B950&amp;"|"&amp;C950&amp;"|"&amp;D950&amp;"|"&amp;E950&amp;"|"&amp;F950&amp;"|"&amp;G950&amp;"|"&amp;H950&amp;"|"&amp;I950&amp;"|"&amp;J950&amp;"|"&amp;K950&amp;"|"&amp;L950&amp;"|"&amp;M950&amp;"|"&amp;N950</f>
        <v>ORD12748|2025-12-02|14:59|C0292|Pune Burger Hub |Pune|Burgers|1|195|0|UPI|Delivered|35|5</v>
      </c>
      <c r="P950" s="7" t="str">
        <f aca="false">IF(COUNTIF($O$2:O950,O950)&gt;1,"DUP","OK")</f>
        <v>OK</v>
      </c>
      <c r="Q950" s="7" t="n">
        <f aca="false">COUNTBLANK(A950:N950)</f>
        <v>0</v>
      </c>
      <c r="R950" s="7" t="n">
        <f aca="false">IF(A950="",0,COUNTIFS($A$2:$A$3058,A950,$P$2:$P$3058,"OK"))</f>
        <v>1</v>
      </c>
      <c r="S950" s="7" t="str">
        <f aca="false">IF(OR(A950="",P950="DUP",R950&lt;2),"",IF(Q950=_xlfn.MINIFS($Q$2:$Q$3058,$A$2:$A$3058,A950,$P$2:$P$3058,"OK"),"KEEP","DROP"))</f>
        <v/>
      </c>
      <c r="T950" s="9" t="n">
        <f aca="false">IF(A950="",1,0)</f>
        <v>0</v>
      </c>
      <c r="U950" s="9" t="n">
        <f aca="false">IF(D950="",1,0)</f>
        <v>0</v>
      </c>
      <c r="V950" s="9" t="n">
        <f aca="false">IF(E950="",1,0)</f>
        <v>0</v>
      </c>
      <c r="W950" s="9" t="n">
        <f aca="false">IF(OR(H950&lt;1,H950&gt;10),1,0)</f>
        <v>0</v>
      </c>
      <c r="X950" s="9" t="n">
        <f aca="false">IF(OR(I950&lt;=0,I950&gt;1500),1,0)</f>
        <v>0</v>
      </c>
      <c r="Y950" s="9" t="n">
        <f aca="false">IF(J950&gt;H950*I950,1,0)</f>
        <v>0</v>
      </c>
      <c r="Z950" s="9" t="n">
        <f aca="false">IF(AND(N950&lt;&gt;"",OR(N950&lt;1,N950&gt;5)),1,0)</f>
        <v>0</v>
      </c>
      <c r="AA950" s="9" t="n">
        <f aca="false">IF(AND(M950&lt;&gt;"",OR(M950&lt;5,M950&gt;180)),1,0)</f>
        <v>0</v>
      </c>
      <c r="AB950" s="7" t="str">
        <f aca="false">IF(P950="DUP","Exact duplicate row",IF(T950=1,"Missing Order ID",IF(S950="DROP","Duplicate Order ID (less complete row)",IF(U950=1,"Missing Customer ID",IF(V950=1,"Missing Restaurant name",IF(W950=1,"Invalid/outlier quantity",IF(X950=1,"Invalid/outlier unit price",IF(Y950=1,"Discount greater than order value",""))))))))</f>
        <v/>
      </c>
      <c r="AC950" s="7" t="str">
        <f aca="false">IF(AB950="","KEEP","DROP")</f>
        <v>KEEP</v>
      </c>
      <c r="AD950" s="7" t="str">
        <f aca="false">IF(TRIM(F950)="",IFERROR(INDEX(Map_Tables!$I$4:$I$37,MATCH(TRIM(E950),Map_Tables!$G$4:$G$37,0)),""),IFERROR(INDEX(Map_Tables!$B$4:$B$18,MATCH(TRIM(F950),Map_Tables!$A$4:$A$18,0)),"CHECK"))</f>
        <v>Pune</v>
      </c>
      <c r="AE950" s="7" t="str">
        <f aca="false">IF(TRIM(E950)="","",IFERROR(INDEX(Map_Tables!$H$4:$H$37,MATCH(TRIM(E950),Map_Tables!$G$4:$G$37,0)),"CHECK"))</f>
        <v>Pune Burger Hub</v>
      </c>
      <c r="AF950" s="7" t="str">
        <f aca="false">IF(TRIM(K950)="","Unknown",IFERROR(INDEX(Map_Tables!$E$4:$E$15,MATCH(TRIM(K950),Map_Tables!$D$4:$D$15,0)),"CHECK"))</f>
        <v>UPI</v>
      </c>
      <c r="AG950" s="7" t="str">
        <f aca="false">IF(LEFT(LOWER(TRIM(L950)),6)="cancel","Cancelled","Delivered")</f>
        <v>Delivered</v>
      </c>
      <c r="AH950" s="10" t="n">
        <f aca="false">IF(ISNUMBER(SEARCH("/",B950)),DATE(VALUE(RIGHT(B950,4)),VALUE(MID(B950,4,2)),VALUE(LEFT(B950,2))),IF(MID(B950,5,1)="-",DATE(VALUE(LEFT(B950,4)),VALUE(MID(B950,6,2)),VALUE(RIGHT(B950,2))),DATE(VALUE(RIGHT(B950,4)),MATCH(MID(B950,4,3),{"Jan","Feb","Mar","Apr","May","Jun","Jul","Aug","Sep","Oct","Nov","Dec"},0),VALUE(LEFT(B950,2)))))</f>
        <v>45993</v>
      </c>
    </row>
    <row r="951" customFormat="false" ht="15" hidden="false" customHeight="false" outlineLevel="0" collapsed="false">
      <c r="A951" s="7" t="s">
        <v>2908</v>
      </c>
      <c r="B951" s="7" t="s">
        <v>2909</v>
      </c>
      <c r="C951" s="7" t="s">
        <v>2468</v>
      </c>
      <c r="D951" s="7" t="s">
        <v>2910</v>
      </c>
      <c r="E951" s="7" t="s">
        <v>155</v>
      </c>
      <c r="F951" s="7" t="s">
        <v>128</v>
      </c>
      <c r="G951" s="7" t="s">
        <v>156</v>
      </c>
      <c r="H951" s="7" t="n">
        <v>2</v>
      </c>
      <c r="I951" s="7" t="n">
        <v>290</v>
      </c>
      <c r="J951" s="7" t="n">
        <v>150</v>
      </c>
      <c r="K951" s="7" t="s">
        <v>121</v>
      </c>
      <c r="L951" s="7" t="s">
        <v>194</v>
      </c>
      <c r="M951" s="7" t="n">
        <v>26</v>
      </c>
      <c r="N951" s="7" t="n">
        <v>5</v>
      </c>
      <c r="O951" s="7" t="str">
        <f aca="false">A951&amp;"|"&amp;B951&amp;"|"&amp;C951&amp;"|"&amp;D951&amp;"|"&amp;E951&amp;"|"&amp;F951&amp;"|"&amp;G951&amp;"|"&amp;H951&amp;"|"&amp;I951&amp;"|"&amp;J951&amp;"|"&amp;K951&amp;"|"&amp;L951&amp;"|"&amp;M951&amp;"|"&amp;N951</f>
        <v>ORD11706|12/08/2025|16:05|C1250|Green Bowl Kitchen|Chennai|Healthy Food|2|290|150|Wallet|Delivered|26|5</v>
      </c>
      <c r="P951" s="7" t="str">
        <f aca="false">IF(COUNTIF($O$2:O951,O951)&gt;1,"DUP","OK")</f>
        <v>OK</v>
      </c>
      <c r="Q951" s="7" t="n">
        <f aca="false">COUNTBLANK(A951:N951)</f>
        <v>0</v>
      </c>
      <c r="R951" s="7" t="n">
        <f aca="false">IF(A951="",0,COUNTIFS($A$2:$A$3058,A951,$P$2:$P$3058,"OK"))</f>
        <v>1</v>
      </c>
      <c r="S951" s="7" t="str">
        <f aca="false">IF(OR(A951="",P951="DUP",R951&lt;2),"",IF(Q951=_xlfn.MINIFS($Q$2:$Q$3058,$A$2:$A$3058,A951,$P$2:$P$3058,"OK"),"KEEP","DROP"))</f>
        <v/>
      </c>
      <c r="T951" s="9" t="n">
        <f aca="false">IF(A951="",1,0)</f>
        <v>0</v>
      </c>
      <c r="U951" s="9" t="n">
        <f aca="false">IF(D951="",1,0)</f>
        <v>0</v>
      </c>
      <c r="V951" s="9" t="n">
        <f aca="false">IF(E951="",1,0)</f>
        <v>0</v>
      </c>
      <c r="W951" s="9" t="n">
        <f aca="false">IF(OR(H951&lt;1,H951&gt;10),1,0)</f>
        <v>0</v>
      </c>
      <c r="X951" s="9" t="n">
        <f aca="false">IF(OR(I951&lt;=0,I951&gt;1500),1,0)</f>
        <v>0</v>
      </c>
      <c r="Y951" s="9" t="n">
        <f aca="false">IF(J951&gt;H951*I951,1,0)</f>
        <v>0</v>
      </c>
      <c r="Z951" s="9" t="n">
        <f aca="false">IF(AND(N951&lt;&gt;"",OR(N951&lt;1,N951&gt;5)),1,0)</f>
        <v>0</v>
      </c>
      <c r="AA951" s="9" t="n">
        <f aca="false">IF(AND(M951&lt;&gt;"",OR(M951&lt;5,M951&gt;180)),1,0)</f>
        <v>0</v>
      </c>
      <c r="AB951" s="7" t="str">
        <f aca="false">IF(P951="DUP","Exact duplicate row",IF(T951=1,"Missing Order ID",IF(S951="DROP","Duplicate Order ID (less complete row)",IF(U951=1,"Missing Customer ID",IF(V951=1,"Missing Restaurant name",IF(W951=1,"Invalid/outlier quantity",IF(X951=1,"Invalid/outlier unit price",IF(Y951=1,"Discount greater than order value",""))))))))</f>
        <v/>
      </c>
      <c r="AC951" s="7" t="str">
        <f aca="false">IF(AB951="","KEEP","DROP")</f>
        <v>KEEP</v>
      </c>
      <c r="AD951" s="7" t="str">
        <f aca="false">IF(TRIM(F951)="",IFERROR(INDEX(Map_Tables!$I$4:$I$37,MATCH(TRIM(E951),Map_Tables!$G$4:$G$37,0)),""),IFERROR(INDEX(Map_Tables!$B$4:$B$18,MATCH(TRIM(F951),Map_Tables!$A$4:$A$18,0)),"CHECK"))</f>
        <v>Chennai</v>
      </c>
      <c r="AE951" s="7" t="str">
        <f aca="false">IF(TRIM(E951)="","",IFERROR(INDEX(Map_Tables!$H$4:$H$37,MATCH(TRIM(E951),Map_Tables!$G$4:$G$37,0)),"CHECK"))</f>
        <v>Green Bowl Kitchen</v>
      </c>
      <c r="AF951" s="7" t="str">
        <f aca="false">IF(TRIM(K951)="","Unknown",IFERROR(INDEX(Map_Tables!$E$4:$E$15,MATCH(TRIM(K951),Map_Tables!$D$4:$D$15,0)),"CHECK"))</f>
        <v>Wallet</v>
      </c>
      <c r="AG951" s="7" t="str">
        <f aca="false">IF(LEFT(LOWER(TRIM(L951)),6)="cancel","Cancelled","Delivered")</f>
        <v>Delivered</v>
      </c>
      <c r="AH951" s="10" t="n">
        <f aca="false">IF(ISNUMBER(SEARCH("/",B951)),DATE(VALUE(RIGHT(B951,4)),VALUE(MID(B951,4,2)),VALUE(LEFT(B951,2))),IF(MID(B951,5,1)="-",DATE(VALUE(LEFT(B951,4)),VALUE(MID(B951,6,2)),VALUE(RIGHT(B951,2))),DATE(VALUE(RIGHT(B951,4)),MATCH(MID(B951,4,3),{"Jan","Feb","Mar","Apr","May","Jun","Jul","Aug","Sep","Oct","Nov","Dec"},0),VALUE(LEFT(B951,2)))))</f>
        <v>45881</v>
      </c>
    </row>
    <row r="952" customFormat="false" ht="15" hidden="false" customHeight="false" outlineLevel="0" collapsed="false">
      <c r="A952" s="7" t="s">
        <v>2911</v>
      </c>
      <c r="B952" s="7" t="s">
        <v>2912</v>
      </c>
      <c r="C952" s="7" t="s">
        <v>2913</v>
      </c>
      <c r="D952" s="7" t="s">
        <v>2914</v>
      </c>
      <c r="E952" s="7" t="s">
        <v>1843</v>
      </c>
      <c r="F952" s="7" t="s">
        <v>110</v>
      </c>
      <c r="G952" s="7" t="s">
        <v>90</v>
      </c>
      <c r="H952" s="7" t="n">
        <v>1</v>
      </c>
      <c r="I952" s="7" t="n">
        <v>310</v>
      </c>
      <c r="J952" s="7" t="n">
        <v>0</v>
      </c>
      <c r="K952" s="7" t="s">
        <v>103</v>
      </c>
      <c r="L952" s="7" t="s">
        <v>194</v>
      </c>
      <c r="M952" s="7" t="n">
        <v>33</v>
      </c>
      <c r="N952" s="7" t="n">
        <v>4</v>
      </c>
      <c r="O952" s="7" t="str">
        <f aca="false">A952&amp;"|"&amp;B952&amp;"|"&amp;C952&amp;"|"&amp;D952&amp;"|"&amp;E952&amp;"|"&amp;F952&amp;"|"&amp;G952&amp;"|"&amp;H952&amp;"|"&amp;I952&amp;"|"&amp;J952&amp;"|"&amp;K952&amp;"|"&amp;L952&amp;"|"&amp;M952&amp;"|"&amp;N952</f>
        <v>ORD10906|2025-04-24|10:03|C0515| Tandoor Tales|Delhi|North Indian|1|310|0|Debit Card|Delivered|33|4</v>
      </c>
      <c r="P952" s="7" t="str">
        <f aca="false">IF(COUNTIF($O$2:O952,O952)&gt;1,"DUP","OK")</f>
        <v>OK</v>
      </c>
      <c r="Q952" s="7" t="n">
        <f aca="false">COUNTBLANK(A952:N952)</f>
        <v>0</v>
      </c>
      <c r="R952" s="7" t="n">
        <f aca="false">IF(A952="",0,COUNTIFS($A$2:$A$3058,A952,$P$2:$P$3058,"OK"))</f>
        <v>1</v>
      </c>
      <c r="S952" s="7" t="str">
        <f aca="false">IF(OR(A952="",P952="DUP",R952&lt;2),"",IF(Q952=_xlfn.MINIFS($Q$2:$Q$3058,$A$2:$A$3058,A952,$P$2:$P$3058,"OK"),"KEEP","DROP"))</f>
        <v/>
      </c>
      <c r="T952" s="9" t="n">
        <f aca="false">IF(A952="",1,0)</f>
        <v>0</v>
      </c>
      <c r="U952" s="9" t="n">
        <f aca="false">IF(D952="",1,0)</f>
        <v>0</v>
      </c>
      <c r="V952" s="9" t="n">
        <f aca="false">IF(E952="",1,0)</f>
        <v>0</v>
      </c>
      <c r="W952" s="9" t="n">
        <f aca="false">IF(OR(H952&lt;1,H952&gt;10),1,0)</f>
        <v>0</v>
      </c>
      <c r="X952" s="9" t="n">
        <f aca="false">IF(OR(I952&lt;=0,I952&gt;1500),1,0)</f>
        <v>0</v>
      </c>
      <c r="Y952" s="9" t="n">
        <f aca="false">IF(J952&gt;H952*I952,1,0)</f>
        <v>0</v>
      </c>
      <c r="Z952" s="9" t="n">
        <f aca="false">IF(AND(N952&lt;&gt;"",OR(N952&lt;1,N952&gt;5)),1,0)</f>
        <v>0</v>
      </c>
      <c r="AA952" s="9" t="n">
        <f aca="false">IF(AND(M952&lt;&gt;"",OR(M952&lt;5,M952&gt;180)),1,0)</f>
        <v>0</v>
      </c>
      <c r="AB952" s="7" t="str">
        <f aca="false">IF(P952="DUP","Exact duplicate row",IF(T952=1,"Missing Order ID",IF(S952="DROP","Duplicate Order ID (less complete row)",IF(U952=1,"Missing Customer ID",IF(V952=1,"Missing Restaurant name",IF(W952=1,"Invalid/outlier quantity",IF(X952=1,"Invalid/outlier unit price",IF(Y952=1,"Discount greater than order value",""))))))))</f>
        <v/>
      </c>
      <c r="AC952" s="7" t="str">
        <f aca="false">IF(AB952="","KEEP","DROP")</f>
        <v>KEEP</v>
      </c>
      <c r="AD952" s="7" t="str">
        <f aca="false">IF(TRIM(F952)="",IFERROR(INDEX(Map_Tables!$I$4:$I$37,MATCH(TRIM(E952),Map_Tables!$G$4:$G$37,0)),""),IFERROR(INDEX(Map_Tables!$B$4:$B$18,MATCH(TRIM(F952),Map_Tables!$A$4:$A$18,0)),"CHECK"))</f>
        <v>Delhi</v>
      </c>
      <c r="AE952" s="7" t="str">
        <f aca="false">IF(TRIM(E952)="","",IFERROR(INDEX(Map_Tables!$H$4:$H$37,MATCH(TRIM(E952),Map_Tables!$G$4:$G$37,0)),"CHECK"))</f>
        <v>Tandoor Tales</v>
      </c>
      <c r="AF952" s="7" t="str">
        <f aca="false">IF(TRIM(K952)="","Unknown",IFERROR(INDEX(Map_Tables!$E$4:$E$15,MATCH(TRIM(K952),Map_Tables!$D$4:$D$15,0)),"CHECK"))</f>
        <v>Debit Card</v>
      </c>
      <c r="AG952" s="7" t="str">
        <f aca="false">IF(LEFT(LOWER(TRIM(L952)),6)="cancel","Cancelled","Delivered")</f>
        <v>Delivered</v>
      </c>
      <c r="AH952" s="10" t="n">
        <f aca="false">IF(ISNUMBER(SEARCH("/",B952)),DATE(VALUE(RIGHT(B952,4)),VALUE(MID(B952,4,2)),VALUE(LEFT(B952,2))),IF(MID(B952,5,1)="-",DATE(VALUE(LEFT(B952,4)),VALUE(MID(B952,6,2)),VALUE(RIGHT(B952,2))),DATE(VALUE(RIGHT(B952,4)),MATCH(MID(B952,4,3),{"Jan","Feb","Mar","Apr","May","Jun","Jul","Aug","Sep","Oct","Nov","Dec"},0),VALUE(LEFT(B952,2)))))</f>
        <v>45771</v>
      </c>
    </row>
    <row r="953" customFormat="false" ht="15" hidden="false" customHeight="false" outlineLevel="0" collapsed="false">
      <c r="A953" s="7" t="s">
        <v>2915</v>
      </c>
      <c r="B953" s="7" t="s">
        <v>2916</v>
      </c>
      <c r="C953" s="7" t="s">
        <v>2917</v>
      </c>
      <c r="D953" s="7" t="s">
        <v>2918</v>
      </c>
      <c r="E953" s="7" t="s">
        <v>163</v>
      </c>
      <c r="F953" s="7" t="s">
        <v>141</v>
      </c>
      <c r="G953" s="7" t="s">
        <v>99</v>
      </c>
      <c r="H953" s="7" t="n">
        <v>3</v>
      </c>
      <c r="I953" s="7" t="n">
        <v>300</v>
      </c>
      <c r="J953" s="7" t="n">
        <v>75</v>
      </c>
      <c r="K953" s="7" t="s">
        <v>93</v>
      </c>
      <c r="L953" s="7" t="s">
        <v>238</v>
      </c>
      <c r="M953" s="7"/>
      <c r="N953" s="7"/>
      <c r="O953" s="7" t="str">
        <f aca="false">A953&amp;"|"&amp;B953&amp;"|"&amp;C953&amp;"|"&amp;D953&amp;"|"&amp;E953&amp;"|"&amp;F953&amp;"|"&amp;G953&amp;"|"&amp;H953&amp;"|"&amp;I953&amp;"|"&amp;J953&amp;"|"&amp;K953&amp;"|"&amp;L953&amp;"|"&amp;M953&amp;"|"&amp;N953</f>
        <v>ORD11110|2025-05-20|21:45|C0914|Biryani Baadshah|Kolkata|Biryani|3|300|75|Credit Card|Cancelled||</v>
      </c>
      <c r="P953" s="7" t="str">
        <f aca="false">IF(COUNTIF($O$2:O953,O953)&gt;1,"DUP","OK")</f>
        <v>OK</v>
      </c>
      <c r="Q953" s="7" t="n">
        <f aca="false">COUNTBLANK(A953:N953)</f>
        <v>2</v>
      </c>
      <c r="R953" s="7" t="n">
        <f aca="false">IF(A953="",0,COUNTIFS($A$2:$A$3058,A953,$P$2:$P$3058,"OK"))</f>
        <v>1</v>
      </c>
      <c r="S953" s="7" t="str">
        <f aca="false">IF(OR(A953="",P953="DUP",R953&lt;2),"",IF(Q953=_xlfn.MINIFS($Q$2:$Q$3058,$A$2:$A$3058,A953,$P$2:$P$3058,"OK"),"KEEP","DROP"))</f>
        <v/>
      </c>
      <c r="T953" s="9" t="n">
        <f aca="false">IF(A953="",1,0)</f>
        <v>0</v>
      </c>
      <c r="U953" s="9" t="n">
        <f aca="false">IF(D953="",1,0)</f>
        <v>0</v>
      </c>
      <c r="V953" s="9" t="n">
        <f aca="false">IF(E953="",1,0)</f>
        <v>0</v>
      </c>
      <c r="W953" s="9" t="n">
        <f aca="false">IF(OR(H953&lt;1,H953&gt;10),1,0)</f>
        <v>0</v>
      </c>
      <c r="X953" s="9" t="n">
        <f aca="false">IF(OR(I953&lt;=0,I953&gt;1500),1,0)</f>
        <v>0</v>
      </c>
      <c r="Y953" s="9" t="n">
        <f aca="false">IF(J953&gt;H953*I953,1,0)</f>
        <v>0</v>
      </c>
      <c r="Z953" s="9" t="n">
        <f aca="false">IF(AND(N953&lt;&gt;"",OR(N953&lt;1,N953&gt;5)),1,0)</f>
        <v>0</v>
      </c>
      <c r="AA953" s="9" t="n">
        <f aca="false">IF(AND(M953&lt;&gt;"",OR(M953&lt;5,M953&gt;180)),1,0)</f>
        <v>0</v>
      </c>
      <c r="AB953" s="7" t="str">
        <f aca="false">IF(P953="DUP","Exact duplicate row",IF(T953=1,"Missing Order ID",IF(S953="DROP","Duplicate Order ID (less complete row)",IF(U953=1,"Missing Customer ID",IF(V953=1,"Missing Restaurant name",IF(W953=1,"Invalid/outlier quantity",IF(X953=1,"Invalid/outlier unit price",IF(Y953=1,"Discount greater than order value",""))))))))</f>
        <v/>
      </c>
      <c r="AC953" s="7" t="str">
        <f aca="false">IF(AB953="","KEEP","DROP")</f>
        <v>KEEP</v>
      </c>
      <c r="AD953" s="7" t="str">
        <f aca="false">IF(TRIM(F953)="",IFERROR(INDEX(Map_Tables!$I$4:$I$37,MATCH(TRIM(E953),Map_Tables!$G$4:$G$37,0)),""),IFERROR(INDEX(Map_Tables!$B$4:$B$18,MATCH(TRIM(F953),Map_Tables!$A$4:$A$18,0)),"CHECK"))</f>
        <v>Kolkata</v>
      </c>
      <c r="AE953" s="7" t="str">
        <f aca="false">IF(TRIM(E953)="","",IFERROR(INDEX(Map_Tables!$H$4:$H$37,MATCH(TRIM(E953),Map_Tables!$G$4:$G$37,0)),"CHECK"))</f>
        <v>Biryani Baadshah</v>
      </c>
      <c r="AF953" s="7" t="str">
        <f aca="false">IF(TRIM(K953)="","Unknown",IFERROR(INDEX(Map_Tables!$E$4:$E$15,MATCH(TRIM(K953),Map_Tables!$D$4:$D$15,0)),"CHECK"))</f>
        <v>Credit Card</v>
      </c>
      <c r="AG953" s="7" t="str">
        <f aca="false">IF(LEFT(LOWER(TRIM(L953)),6)="cancel","Cancelled","Delivered")</f>
        <v>Cancelled</v>
      </c>
      <c r="AH953" s="10" t="n">
        <f aca="false">IF(ISNUMBER(SEARCH("/",B953)),DATE(VALUE(RIGHT(B953,4)),VALUE(MID(B953,4,2)),VALUE(LEFT(B953,2))),IF(MID(B953,5,1)="-",DATE(VALUE(LEFT(B953,4)),VALUE(MID(B953,6,2)),VALUE(RIGHT(B953,2))),DATE(VALUE(RIGHT(B953,4)),MATCH(MID(B953,4,3),{"Jan","Feb","Mar","Apr","May","Jun","Jul","Aug","Sep","Oct","Nov","Dec"},0),VALUE(LEFT(B953,2)))))</f>
        <v>45797</v>
      </c>
    </row>
    <row r="954" customFormat="false" ht="15" hidden="false" customHeight="false" outlineLevel="0" collapsed="false">
      <c r="A954" s="7" t="s">
        <v>2919</v>
      </c>
      <c r="B954" s="7" t="s">
        <v>2920</v>
      </c>
      <c r="C954" s="7" t="s">
        <v>2921</v>
      </c>
      <c r="D954" s="7" t="s">
        <v>2459</v>
      </c>
      <c r="E954" s="7" t="s">
        <v>130</v>
      </c>
      <c r="F954" s="7" t="s">
        <v>109</v>
      </c>
      <c r="G954" s="7" t="s">
        <v>90</v>
      </c>
      <c r="H954" s="7" t="n">
        <v>2</v>
      </c>
      <c r="I954" s="7" t="n">
        <v>265</v>
      </c>
      <c r="J954" s="7" t="n">
        <v>40</v>
      </c>
      <c r="K954" s="7" t="s">
        <v>103</v>
      </c>
      <c r="L954" s="7" t="s">
        <v>194</v>
      </c>
      <c r="M954" s="7" t="n">
        <v>41</v>
      </c>
      <c r="N954" s="7" t="n">
        <v>5</v>
      </c>
      <c r="O954" s="7" t="str">
        <f aca="false">A954&amp;"|"&amp;B954&amp;"|"&amp;C954&amp;"|"&amp;D954&amp;"|"&amp;E954&amp;"|"&amp;F954&amp;"|"&amp;G954&amp;"|"&amp;H954&amp;"|"&amp;I954&amp;"|"&amp;J954&amp;"|"&amp;K954&amp;"|"&amp;L954&amp;"|"&amp;M954&amp;"|"&amp;N954</f>
        <v>ORD12858|2025-12-16|12:44|C0846|Tandoor Tales|delhi|North Indian|2|265|40|Debit Card|Delivered|41|5</v>
      </c>
      <c r="P954" s="7" t="str">
        <f aca="false">IF(COUNTIF($O$2:O954,O954)&gt;1,"DUP","OK")</f>
        <v>OK</v>
      </c>
      <c r="Q954" s="7" t="n">
        <f aca="false">COUNTBLANK(A954:N954)</f>
        <v>0</v>
      </c>
      <c r="R954" s="7" t="n">
        <f aca="false">IF(A954="",0,COUNTIFS($A$2:$A$3058,A954,$P$2:$P$3058,"OK"))</f>
        <v>1</v>
      </c>
      <c r="S954" s="7" t="str">
        <f aca="false">IF(OR(A954="",P954="DUP",R954&lt;2),"",IF(Q954=_xlfn.MINIFS($Q$2:$Q$3058,$A$2:$A$3058,A954,$P$2:$P$3058,"OK"),"KEEP","DROP"))</f>
        <v/>
      </c>
      <c r="T954" s="9" t="n">
        <f aca="false">IF(A954="",1,0)</f>
        <v>0</v>
      </c>
      <c r="U954" s="9" t="n">
        <f aca="false">IF(D954="",1,0)</f>
        <v>0</v>
      </c>
      <c r="V954" s="9" t="n">
        <f aca="false">IF(E954="",1,0)</f>
        <v>0</v>
      </c>
      <c r="W954" s="9" t="n">
        <f aca="false">IF(OR(H954&lt;1,H954&gt;10),1,0)</f>
        <v>0</v>
      </c>
      <c r="X954" s="9" t="n">
        <f aca="false">IF(OR(I954&lt;=0,I954&gt;1500),1,0)</f>
        <v>0</v>
      </c>
      <c r="Y954" s="9" t="n">
        <f aca="false">IF(J954&gt;H954*I954,1,0)</f>
        <v>0</v>
      </c>
      <c r="Z954" s="9" t="n">
        <f aca="false">IF(AND(N954&lt;&gt;"",OR(N954&lt;1,N954&gt;5)),1,0)</f>
        <v>0</v>
      </c>
      <c r="AA954" s="9" t="n">
        <f aca="false">IF(AND(M954&lt;&gt;"",OR(M954&lt;5,M954&gt;180)),1,0)</f>
        <v>0</v>
      </c>
      <c r="AB954" s="7" t="str">
        <f aca="false">IF(P954="DUP","Exact duplicate row",IF(T954=1,"Missing Order ID",IF(S954="DROP","Duplicate Order ID (less complete row)",IF(U954=1,"Missing Customer ID",IF(V954=1,"Missing Restaurant name",IF(W954=1,"Invalid/outlier quantity",IF(X954=1,"Invalid/outlier unit price",IF(Y954=1,"Discount greater than order value",""))))))))</f>
        <v/>
      </c>
      <c r="AC954" s="7" t="str">
        <f aca="false">IF(AB954="","KEEP","DROP")</f>
        <v>KEEP</v>
      </c>
      <c r="AD954" s="7" t="str">
        <f aca="false">IF(TRIM(F954)="",IFERROR(INDEX(Map_Tables!$I$4:$I$37,MATCH(TRIM(E954),Map_Tables!$G$4:$G$37,0)),""),IFERROR(INDEX(Map_Tables!$B$4:$B$18,MATCH(TRIM(F954),Map_Tables!$A$4:$A$18,0)),"CHECK"))</f>
        <v>Delhi</v>
      </c>
      <c r="AE954" s="7" t="str">
        <f aca="false">IF(TRIM(E954)="","",IFERROR(INDEX(Map_Tables!$H$4:$H$37,MATCH(TRIM(E954),Map_Tables!$G$4:$G$37,0)),"CHECK"))</f>
        <v>Tandoor Tales</v>
      </c>
      <c r="AF954" s="7" t="str">
        <f aca="false">IF(TRIM(K954)="","Unknown",IFERROR(INDEX(Map_Tables!$E$4:$E$15,MATCH(TRIM(K954),Map_Tables!$D$4:$D$15,0)),"CHECK"))</f>
        <v>Debit Card</v>
      </c>
      <c r="AG954" s="7" t="str">
        <f aca="false">IF(LEFT(LOWER(TRIM(L954)),6)="cancel","Cancelled","Delivered")</f>
        <v>Delivered</v>
      </c>
      <c r="AH954" s="10" t="n">
        <f aca="false">IF(ISNUMBER(SEARCH("/",B954)),DATE(VALUE(RIGHT(B954,4)),VALUE(MID(B954,4,2)),VALUE(LEFT(B954,2))),IF(MID(B954,5,1)="-",DATE(VALUE(LEFT(B954,4)),VALUE(MID(B954,6,2)),VALUE(RIGHT(B954,2))),DATE(VALUE(RIGHT(B954,4)),MATCH(MID(B954,4,3),{"Jan","Feb","Mar","Apr","May","Jun","Jul","Aug","Sep","Oct","Nov","Dec"},0),VALUE(LEFT(B954,2)))))</f>
        <v>46007</v>
      </c>
    </row>
    <row r="955" customFormat="false" ht="15" hidden="false" customHeight="false" outlineLevel="0" collapsed="false">
      <c r="A955" s="7" t="s">
        <v>2922</v>
      </c>
      <c r="B955" s="7" t="s">
        <v>1061</v>
      </c>
      <c r="C955" s="7" t="s">
        <v>2923</v>
      </c>
      <c r="D955" s="7" t="s">
        <v>1447</v>
      </c>
      <c r="E955" s="7" t="s">
        <v>138</v>
      </c>
      <c r="F955" s="7" t="s">
        <v>110</v>
      </c>
      <c r="G955" s="7" t="s">
        <v>139</v>
      </c>
      <c r="H955" s="7" t="n">
        <v>1</v>
      </c>
      <c r="I955" s="7" t="n">
        <v>195</v>
      </c>
      <c r="J955" s="7" t="n">
        <v>0</v>
      </c>
      <c r="K955" s="7" t="s">
        <v>133</v>
      </c>
      <c r="L955" s="7" t="s">
        <v>238</v>
      </c>
      <c r="M955" s="7"/>
      <c r="N955" s="7"/>
      <c r="O955" s="7" t="str">
        <f aca="false">A955&amp;"|"&amp;B955&amp;"|"&amp;C955&amp;"|"&amp;D955&amp;"|"&amp;E955&amp;"|"&amp;F955&amp;"|"&amp;G955&amp;"|"&amp;H955&amp;"|"&amp;I955&amp;"|"&amp;J955&amp;"|"&amp;K955&amp;"|"&amp;L955&amp;"|"&amp;M955&amp;"|"&amp;N955</f>
        <v>ORD12515|2025-11-11|13:11|C0050|Burger Barn|Delhi|Burgers|1|195|0|Net Banking|Cancelled||</v>
      </c>
      <c r="P955" s="7" t="str">
        <f aca="false">IF(COUNTIF($O$2:O955,O955)&gt;1,"DUP","OK")</f>
        <v>OK</v>
      </c>
      <c r="Q955" s="7" t="n">
        <f aca="false">COUNTBLANK(A955:N955)</f>
        <v>2</v>
      </c>
      <c r="R955" s="7" t="n">
        <f aca="false">IF(A955="",0,COUNTIFS($A$2:$A$3058,A955,$P$2:$P$3058,"OK"))</f>
        <v>1</v>
      </c>
      <c r="S955" s="7" t="str">
        <f aca="false">IF(OR(A955="",P955="DUP",R955&lt;2),"",IF(Q955=_xlfn.MINIFS($Q$2:$Q$3058,$A$2:$A$3058,A955,$P$2:$P$3058,"OK"),"KEEP","DROP"))</f>
        <v/>
      </c>
      <c r="T955" s="9" t="n">
        <f aca="false">IF(A955="",1,0)</f>
        <v>0</v>
      </c>
      <c r="U955" s="9" t="n">
        <f aca="false">IF(D955="",1,0)</f>
        <v>0</v>
      </c>
      <c r="V955" s="9" t="n">
        <f aca="false">IF(E955="",1,0)</f>
        <v>0</v>
      </c>
      <c r="W955" s="9" t="n">
        <f aca="false">IF(OR(H955&lt;1,H955&gt;10),1,0)</f>
        <v>0</v>
      </c>
      <c r="X955" s="9" t="n">
        <f aca="false">IF(OR(I955&lt;=0,I955&gt;1500),1,0)</f>
        <v>0</v>
      </c>
      <c r="Y955" s="9" t="n">
        <f aca="false">IF(J955&gt;H955*I955,1,0)</f>
        <v>0</v>
      </c>
      <c r="Z955" s="9" t="n">
        <f aca="false">IF(AND(N955&lt;&gt;"",OR(N955&lt;1,N955&gt;5)),1,0)</f>
        <v>0</v>
      </c>
      <c r="AA955" s="9" t="n">
        <f aca="false">IF(AND(M955&lt;&gt;"",OR(M955&lt;5,M955&gt;180)),1,0)</f>
        <v>0</v>
      </c>
      <c r="AB955" s="7" t="str">
        <f aca="false">IF(P955="DUP","Exact duplicate row",IF(T955=1,"Missing Order ID",IF(S955="DROP","Duplicate Order ID (less complete row)",IF(U955=1,"Missing Customer ID",IF(V955=1,"Missing Restaurant name",IF(W955=1,"Invalid/outlier quantity",IF(X955=1,"Invalid/outlier unit price",IF(Y955=1,"Discount greater than order value",""))))))))</f>
        <v/>
      </c>
      <c r="AC955" s="7" t="str">
        <f aca="false">IF(AB955="","KEEP","DROP")</f>
        <v>KEEP</v>
      </c>
      <c r="AD955" s="7" t="str">
        <f aca="false">IF(TRIM(F955)="",IFERROR(INDEX(Map_Tables!$I$4:$I$37,MATCH(TRIM(E955),Map_Tables!$G$4:$G$37,0)),""),IFERROR(INDEX(Map_Tables!$B$4:$B$18,MATCH(TRIM(F955),Map_Tables!$A$4:$A$18,0)),"CHECK"))</f>
        <v>Delhi</v>
      </c>
      <c r="AE955" s="7" t="str">
        <f aca="false">IF(TRIM(E955)="","",IFERROR(INDEX(Map_Tables!$H$4:$H$37,MATCH(TRIM(E955),Map_Tables!$G$4:$G$37,0)),"CHECK"))</f>
        <v>Burger Barn</v>
      </c>
      <c r="AF955" s="7" t="str">
        <f aca="false">IF(TRIM(K955)="","Unknown",IFERROR(INDEX(Map_Tables!$E$4:$E$15,MATCH(TRIM(K955),Map_Tables!$D$4:$D$15,0)),"CHECK"))</f>
        <v>Net Banking</v>
      </c>
      <c r="AG955" s="7" t="str">
        <f aca="false">IF(LEFT(LOWER(TRIM(L955)),6)="cancel","Cancelled","Delivered")</f>
        <v>Cancelled</v>
      </c>
      <c r="AH955" s="10" t="n">
        <f aca="false">IF(ISNUMBER(SEARCH("/",B955)),DATE(VALUE(RIGHT(B955,4)),VALUE(MID(B955,4,2)),VALUE(LEFT(B955,2))),IF(MID(B955,5,1)="-",DATE(VALUE(LEFT(B955,4)),VALUE(MID(B955,6,2)),VALUE(RIGHT(B955,2))),DATE(VALUE(RIGHT(B955,4)),MATCH(MID(B955,4,3),{"Jan","Feb","Mar","Apr","May","Jun","Jul","Aug","Sep","Oct","Nov","Dec"},0),VALUE(LEFT(B955,2)))))</f>
        <v>45972</v>
      </c>
    </row>
    <row r="956" customFormat="false" ht="15" hidden="false" customHeight="false" outlineLevel="0" collapsed="false">
      <c r="A956" s="7" t="s">
        <v>2924</v>
      </c>
      <c r="B956" s="7" t="s">
        <v>2925</v>
      </c>
      <c r="C956" s="7" t="s">
        <v>573</v>
      </c>
      <c r="D956" s="7" t="s">
        <v>822</v>
      </c>
      <c r="E956" s="7" t="s">
        <v>162</v>
      </c>
      <c r="F956" s="7" t="s">
        <v>141</v>
      </c>
      <c r="G956" s="7" t="s">
        <v>117</v>
      </c>
      <c r="H956" s="7" t="n">
        <v>4</v>
      </c>
      <c r="I956" s="7" t="n">
        <v>105</v>
      </c>
      <c r="J956" s="7" t="n">
        <v>40</v>
      </c>
      <c r="K956" s="7" t="s">
        <v>121</v>
      </c>
      <c r="L956" s="7" t="s">
        <v>238</v>
      </c>
      <c r="M956" s="7"/>
      <c r="N956" s="7"/>
      <c r="O956" s="7" t="str">
        <f aca="false">A956&amp;"|"&amp;B956&amp;"|"&amp;C956&amp;"|"&amp;D956&amp;"|"&amp;E956&amp;"|"&amp;F956&amp;"|"&amp;G956&amp;"|"&amp;H956&amp;"|"&amp;I956&amp;"|"&amp;J956&amp;"|"&amp;K956&amp;"|"&amp;L956&amp;"|"&amp;M956&amp;"|"&amp;N956</f>
        <v>ORD11128|23-May-2025|21:43|C0602|Kolkata Roll Centre|Kolkata|Street Food|4|105|40|Wallet|Cancelled||</v>
      </c>
      <c r="P956" s="7" t="str">
        <f aca="false">IF(COUNTIF($O$2:O956,O956)&gt;1,"DUP","OK")</f>
        <v>OK</v>
      </c>
      <c r="Q956" s="7" t="n">
        <f aca="false">COUNTBLANK(A956:N956)</f>
        <v>2</v>
      </c>
      <c r="R956" s="7" t="n">
        <f aca="false">IF(A956="",0,COUNTIFS($A$2:$A$3058,A956,$P$2:$P$3058,"OK"))</f>
        <v>1</v>
      </c>
      <c r="S956" s="7" t="str">
        <f aca="false">IF(OR(A956="",P956="DUP",R956&lt;2),"",IF(Q956=_xlfn.MINIFS($Q$2:$Q$3058,$A$2:$A$3058,A956,$P$2:$P$3058,"OK"),"KEEP","DROP"))</f>
        <v/>
      </c>
      <c r="T956" s="9" t="n">
        <f aca="false">IF(A956="",1,0)</f>
        <v>0</v>
      </c>
      <c r="U956" s="9" t="n">
        <f aca="false">IF(D956="",1,0)</f>
        <v>0</v>
      </c>
      <c r="V956" s="9" t="n">
        <f aca="false">IF(E956="",1,0)</f>
        <v>0</v>
      </c>
      <c r="W956" s="9" t="n">
        <f aca="false">IF(OR(H956&lt;1,H956&gt;10),1,0)</f>
        <v>0</v>
      </c>
      <c r="X956" s="9" t="n">
        <f aca="false">IF(OR(I956&lt;=0,I956&gt;1500),1,0)</f>
        <v>0</v>
      </c>
      <c r="Y956" s="9" t="n">
        <f aca="false">IF(J956&gt;H956*I956,1,0)</f>
        <v>0</v>
      </c>
      <c r="Z956" s="9" t="n">
        <f aca="false">IF(AND(N956&lt;&gt;"",OR(N956&lt;1,N956&gt;5)),1,0)</f>
        <v>0</v>
      </c>
      <c r="AA956" s="9" t="n">
        <f aca="false">IF(AND(M956&lt;&gt;"",OR(M956&lt;5,M956&gt;180)),1,0)</f>
        <v>0</v>
      </c>
      <c r="AB956" s="7" t="str">
        <f aca="false">IF(P956="DUP","Exact duplicate row",IF(T956=1,"Missing Order ID",IF(S956="DROP","Duplicate Order ID (less complete row)",IF(U956=1,"Missing Customer ID",IF(V956=1,"Missing Restaurant name",IF(W956=1,"Invalid/outlier quantity",IF(X956=1,"Invalid/outlier unit price",IF(Y956=1,"Discount greater than order value",""))))))))</f>
        <v/>
      </c>
      <c r="AC956" s="7" t="str">
        <f aca="false">IF(AB956="","KEEP","DROP")</f>
        <v>KEEP</v>
      </c>
      <c r="AD956" s="7" t="str">
        <f aca="false">IF(TRIM(F956)="",IFERROR(INDEX(Map_Tables!$I$4:$I$37,MATCH(TRIM(E956),Map_Tables!$G$4:$G$37,0)),""),IFERROR(INDEX(Map_Tables!$B$4:$B$18,MATCH(TRIM(F956),Map_Tables!$A$4:$A$18,0)),"CHECK"))</f>
        <v>Kolkata</v>
      </c>
      <c r="AE956" s="7" t="str">
        <f aca="false">IF(TRIM(E956)="","",IFERROR(INDEX(Map_Tables!$H$4:$H$37,MATCH(TRIM(E956),Map_Tables!$G$4:$G$37,0)),"CHECK"))</f>
        <v>Kolkata Roll Centre</v>
      </c>
      <c r="AF956" s="7" t="str">
        <f aca="false">IF(TRIM(K956)="","Unknown",IFERROR(INDEX(Map_Tables!$E$4:$E$15,MATCH(TRIM(K956),Map_Tables!$D$4:$D$15,0)),"CHECK"))</f>
        <v>Wallet</v>
      </c>
      <c r="AG956" s="7" t="str">
        <f aca="false">IF(LEFT(LOWER(TRIM(L956)),6)="cancel","Cancelled","Delivered")</f>
        <v>Cancelled</v>
      </c>
      <c r="AH956" s="10" t="n">
        <f aca="false">IF(ISNUMBER(SEARCH("/",B956)),DATE(VALUE(RIGHT(B956,4)),VALUE(MID(B956,4,2)),VALUE(LEFT(B956,2))),IF(MID(B956,5,1)="-",DATE(VALUE(LEFT(B956,4)),VALUE(MID(B956,6,2)),VALUE(RIGHT(B956,2))),DATE(VALUE(RIGHT(B956,4)),MATCH(MID(B956,4,3),{"Jan","Feb","Mar","Apr","May","Jun","Jul","Aug","Sep","Oct","Nov","Dec"},0),VALUE(LEFT(B956,2)))))</f>
        <v>45800</v>
      </c>
    </row>
    <row r="957" customFormat="false" ht="15" hidden="false" customHeight="false" outlineLevel="0" collapsed="false">
      <c r="A957" s="7" t="s">
        <v>2926</v>
      </c>
      <c r="B957" s="7" t="s">
        <v>1057</v>
      </c>
      <c r="C957" s="7" t="s">
        <v>1791</v>
      </c>
      <c r="D957" s="7" t="s">
        <v>2927</v>
      </c>
      <c r="E957" s="7" t="s">
        <v>113</v>
      </c>
      <c r="F957" s="7"/>
      <c r="G957" s="7" t="s">
        <v>90</v>
      </c>
      <c r="H957" s="7" t="n">
        <v>1</v>
      </c>
      <c r="I957" s="7" t="n">
        <v>235</v>
      </c>
      <c r="J957" s="7" t="n">
        <v>40</v>
      </c>
      <c r="K957" s="7" t="s">
        <v>103</v>
      </c>
      <c r="L957" s="7" t="s">
        <v>194</v>
      </c>
      <c r="M957" s="7" t="n">
        <v>45</v>
      </c>
      <c r="N957" s="7" t="n">
        <v>3</v>
      </c>
      <c r="O957" s="7" t="str">
        <f aca="false">A957&amp;"|"&amp;B957&amp;"|"&amp;C957&amp;"|"&amp;D957&amp;"|"&amp;E957&amp;"|"&amp;F957&amp;"|"&amp;G957&amp;"|"&amp;H957&amp;"|"&amp;I957&amp;"|"&amp;J957&amp;"|"&amp;K957&amp;"|"&amp;L957&amp;"|"&amp;M957&amp;"|"&amp;N957</f>
        <v>ORD10465|2025-03-03|19:21|C1280|Curry Leaf Kitchen||North Indian|1|235|40|Debit Card|Delivered|45|3</v>
      </c>
      <c r="P957" s="7" t="str">
        <f aca="false">IF(COUNTIF($O$2:O957,O957)&gt;1,"DUP","OK")</f>
        <v>OK</v>
      </c>
      <c r="Q957" s="7" t="n">
        <f aca="false">COUNTBLANK(A957:N957)</f>
        <v>1</v>
      </c>
      <c r="R957" s="7" t="n">
        <f aca="false">IF(A957="",0,COUNTIFS($A$2:$A$3058,A957,$P$2:$P$3058,"OK"))</f>
        <v>1</v>
      </c>
      <c r="S957" s="7" t="str">
        <f aca="false">IF(OR(A957="",P957="DUP",R957&lt;2),"",IF(Q957=_xlfn.MINIFS($Q$2:$Q$3058,$A$2:$A$3058,A957,$P$2:$P$3058,"OK"),"KEEP","DROP"))</f>
        <v/>
      </c>
      <c r="T957" s="9" t="n">
        <f aca="false">IF(A957="",1,0)</f>
        <v>0</v>
      </c>
      <c r="U957" s="9" t="n">
        <f aca="false">IF(D957="",1,0)</f>
        <v>0</v>
      </c>
      <c r="V957" s="9" t="n">
        <f aca="false">IF(E957="",1,0)</f>
        <v>0</v>
      </c>
      <c r="W957" s="9" t="n">
        <f aca="false">IF(OR(H957&lt;1,H957&gt;10),1,0)</f>
        <v>0</v>
      </c>
      <c r="X957" s="9" t="n">
        <f aca="false">IF(OR(I957&lt;=0,I957&gt;1500),1,0)</f>
        <v>0</v>
      </c>
      <c r="Y957" s="9" t="n">
        <f aca="false">IF(J957&gt;H957*I957,1,0)</f>
        <v>0</v>
      </c>
      <c r="Z957" s="9" t="n">
        <f aca="false">IF(AND(N957&lt;&gt;"",OR(N957&lt;1,N957&gt;5)),1,0)</f>
        <v>0</v>
      </c>
      <c r="AA957" s="9" t="n">
        <f aca="false">IF(AND(M957&lt;&gt;"",OR(M957&lt;5,M957&gt;180)),1,0)</f>
        <v>0</v>
      </c>
      <c r="AB957" s="7" t="str">
        <f aca="false">IF(P957="DUP","Exact duplicate row",IF(T957=1,"Missing Order ID",IF(S957="DROP","Duplicate Order ID (less complete row)",IF(U957=1,"Missing Customer ID",IF(V957=1,"Missing Restaurant name",IF(W957=1,"Invalid/outlier quantity",IF(X957=1,"Invalid/outlier unit price",IF(Y957=1,"Discount greater than order value",""))))))))</f>
        <v/>
      </c>
      <c r="AC957" s="7" t="str">
        <f aca="false">IF(AB957="","KEEP","DROP")</f>
        <v>KEEP</v>
      </c>
      <c r="AD957" s="7" t="str">
        <f aca="false">IF(TRIM(F957)="",IFERROR(INDEX(Map_Tables!$I$4:$I$37,MATCH(TRIM(E957),Map_Tables!$G$4:$G$37,0)),""),IFERROR(INDEX(Map_Tables!$B$4:$B$18,MATCH(TRIM(F957),Map_Tables!$A$4:$A$18,0)),"CHECK"))</f>
        <v>Mumbai</v>
      </c>
      <c r="AE957" s="7" t="str">
        <f aca="false">IF(TRIM(E957)="","",IFERROR(INDEX(Map_Tables!$H$4:$H$37,MATCH(TRIM(E957),Map_Tables!$G$4:$G$37,0)),"CHECK"))</f>
        <v>Curry Leaf Kitchen</v>
      </c>
      <c r="AF957" s="7" t="str">
        <f aca="false">IF(TRIM(K957)="","Unknown",IFERROR(INDEX(Map_Tables!$E$4:$E$15,MATCH(TRIM(K957),Map_Tables!$D$4:$D$15,0)),"CHECK"))</f>
        <v>Debit Card</v>
      </c>
      <c r="AG957" s="7" t="str">
        <f aca="false">IF(LEFT(LOWER(TRIM(L957)),6)="cancel","Cancelled","Delivered")</f>
        <v>Delivered</v>
      </c>
      <c r="AH957" s="10" t="n">
        <f aca="false">IF(ISNUMBER(SEARCH("/",B957)),DATE(VALUE(RIGHT(B957,4)),VALUE(MID(B957,4,2)),VALUE(LEFT(B957,2))),IF(MID(B957,5,1)="-",DATE(VALUE(LEFT(B957,4)),VALUE(MID(B957,6,2)),VALUE(RIGHT(B957,2))),DATE(VALUE(RIGHT(B957,4)),MATCH(MID(B957,4,3),{"Jan","Feb","Mar","Apr","May","Jun","Jul","Aug","Sep","Oct","Nov","Dec"},0),VALUE(LEFT(B957,2)))))</f>
        <v>45719</v>
      </c>
    </row>
    <row r="958" customFormat="false" ht="15" hidden="false" customHeight="false" outlineLevel="0" collapsed="false">
      <c r="A958" s="7" t="s">
        <v>2928</v>
      </c>
      <c r="B958" s="7" t="s">
        <v>1930</v>
      </c>
      <c r="C958" s="7" t="s">
        <v>2402</v>
      </c>
      <c r="D958" s="7" t="s">
        <v>2929</v>
      </c>
      <c r="E958" s="7" t="s">
        <v>126</v>
      </c>
      <c r="F958" s="7" t="s">
        <v>101</v>
      </c>
      <c r="G958" s="7" t="s">
        <v>105</v>
      </c>
      <c r="H958" s="7" t="n">
        <v>2</v>
      </c>
      <c r="I958" s="7" t="n">
        <v>250</v>
      </c>
      <c r="J958" s="7" t="n">
        <v>75</v>
      </c>
      <c r="K958" s="7" t="s">
        <v>2596</v>
      </c>
      <c r="L958" s="7" t="s">
        <v>194</v>
      </c>
      <c r="M958" s="7" t="n">
        <v>47</v>
      </c>
      <c r="N958" s="7" t="n">
        <v>4</v>
      </c>
      <c r="O958" s="7" t="str">
        <f aca="false">A958&amp;"|"&amp;B958&amp;"|"&amp;C958&amp;"|"&amp;D958&amp;"|"&amp;E958&amp;"|"&amp;F958&amp;"|"&amp;G958&amp;"|"&amp;H958&amp;"|"&amp;I958&amp;"|"&amp;J958&amp;"|"&amp;K958&amp;"|"&amp;L958&amp;"|"&amp;M958&amp;"|"&amp;N958</f>
        <v>ORD11390|2025-06-29|19:55|C1432|Dragon Express|Mumbai|Chinese|2|250|75|COD|Delivered|47|4</v>
      </c>
      <c r="P958" s="7" t="str">
        <f aca="false">IF(COUNTIF($O$2:O958,O958)&gt;1,"DUP","OK")</f>
        <v>OK</v>
      </c>
      <c r="Q958" s="7" t="n">
        <f aca="false">COUNTBLANK(A958:N958)</f>
        <v>0</v>
      </c>
      <c r="R958" s="7" t="n">
        <f aca="false">IF(A958="",0,COUNTIFS($A$2:$A$3058,A958,$P$2:$P$3058,"OK"))</f>
        <v>1</v>
      </c>
      <c r="S958" s="7" t="str">
        <f aca="false">IF(OR(A958="",P958="DUP",R958&lt;2),"",IF(Q958=_xlfn.MINIFS($Q$2:$Q$3058,$A$2:$A$3058,A958,$P$2:$P$3058,"OK"),"KEEP","DROP"))</f>
        <v/>
      </c>
      <c r="T958" s="9" t="n">
        <f aca="false">IF(A958="",1,0)</f>
        <v>0</v>
      </c>
      <c r="U958" s="9" t="n">
        <f aca="false">IF(D958="",1,0)</f>
        <v>0</v>
      </c>
      <c r="V958" s="9" t="n">
        <f aca="false">IF(E958="",1,0)</f>
        <v>0</v>
      </c>
      <c r="W958" s="9" t="n">
        <f aca="false">IF(OR(H958&lt;1,H958&gt;10),1,0)</f>
        <v>0</v>
      </c>
      <c r="X958" s="9" t="n">
        <f aca="false">IF(OR(I958&lt;=0,I958&gt;1500),1,0)</f>
        <v>0</v>
      </c>
      <c r="Y958" s="9" t="n">
        <f aca="false">IF(J958&gt;H958*I958,1,0)</f>
        <v>0</v>
      </c>
      <c r="Z958" s="9" t="n">
        <f aca="false">IF(AND(N958&lt;&gt;"",OR(N958&lt;1,N958&gt;5)),1,0)</f>
        <v>0</v>
      </c>
      <c r="AA958" s="9" t="n">
        <f aca="false">IF(AND(M958&lt;&gt;"",OR(M958&lt;5,M958&gt;180)),1,0)</f>
        <v>0</v>
      </c>
      <c r="AB958" s="7" t="str">
        <f aca="false">IF(P958="DUP","Exact duplicate row",IF(T958=1,"Missing Order ID",IF(S958="DROP","Duplicate Order ID (less complete row)",IF(U958=1,"Missing Customer ID",IF(V958=1,"Missing Restaurant name",IF(W958=1,"Invalid/outlier quantity",IF(X958=1,"Invalid/outlier unit price",IF(Y958=1,"Discount greater than order value",""))))))))</f>
        <v/>
      </c>
      <c r="AC958" s="7" t="str">
        <f aca="false">IF(AB958="","KEEP","DROP")</f>
        <v>KEEP</v>
      </c>
      <c r="AD958" s="7" t="str">
        <f aca="false">IF(TRIM(F958)="",IFERROR(INDEX(Map_Tables!$I$4:$I$37,MATCH(TRIM(E958),Map_Tables!$G$4:$G$37,0)),""),IFERROR(INDEX(Map_Tables!$B$4:$B$18,MATCH(TRIM(F958),Map_Tables!$A$4:$A$18,0)),"CHECK"))</f>
        <v>Mumbai</v>
      </c>
      <c r="AE958" s="7" t="str">
        <f aca="false">IF(TRIM(E958)="","",IFERROR(INDEX(Map_Tables!$H$4:$H$37,MATCH(TRIM(E958),Map_Tables!$G$4:$G$37,0)),"CHECK"))</f>
        <v>Dragon Express</v>
      </c>
      <c r="AF958" s="7" t="str">
        <f aca="false">IF(TRIM(K958)="","Unknown",IFERROR(INDEX(Map_Tables!$E$4:$E$15,MATCH(TRIM(K958),Map_Tables!$D$4:$D$15,0)),"CHECK"))</f>
        <v>Cash on Delivery</v>
      </c>
      <c r="AG958" s="7" t="str">
        <f aca="false">IF(LEFT(LOWER(TRIM(L958)),6)="cancel","Cancelled","Delivered")</f>
        <v>Delivered</v>
      </c>
      <c r="AH958" s="10" t="n">
        <f aca="false">IF(ISNUMBER(SEARCH("/",B958)),DATE(VALUE(RIGHT(B958,4)),VALUE(MID(B958,4,2)),VALUE(LEFT(B958,2))),IF(MID(B958,5,1)="-",DATE(VALUE(LEFT(B958,4)),VALUE(MID(B958,6,2)),VALUE(RIGHT(B958,2))),DATE(VALUE(RIGHT(B958,4)),MATCH(MID(B958,4,3),{"Jan","Feb","Mar","Apr","May","Jun","Jul","Aug","Sep","Oct","Nov","Dec"},0),VALUE(LEFT(B958,2)))))</f>
        <v>45837</v>
      </c>
    </row>
    <row r="959" customFormat="false" ht="15" hidden="false" customHeight="false" outlineLevel="0" collapsed="false">
      <c r="A959" s="7" t="s">
        <v>2930</v>
      </c>
      <c r="B959" s="7" t="s">
        <v>2931</v>
      </c>
      <c r="C959" s="7" t="s">
        <v>2932</v>
      </c>
      <c r="D959" s="7" t="s">
        <v>1055</v>
      </c>
      <c r="E959" s="7" t="s">
        <v>89</v>
      </c>
      <c r="F959" s="7" t="s">
        <v>86</v>
      </c>
      <c r="G959" s="7" t="s">
        <v>90</v>
      </c>
      <c r="H959" s="7" t="n">
        <v>1</v>
      </c>
      <c r="I959" s="7" t="n">
        <v>265</v>
      </c>
      <c r="J959" s="7" t="n">
        <v>0</v>
      </c>
      <c r="K959" s="7" t="s">
        <v>88</v>
      </c>
      <c r="L959" s="7" t="s">
        <v>194</v>
      </c>
      <c r="M959" s="7" t="n">
        <v>28</v>
      </c>
      <c r="N959" s="7" t="n">
        <v>5</v>
      </c>
      <c r="O959" s="7" t="str">
        <f aca="false">A959&amp;"|"&amp;B959&amp;"|"&amp;C959&amp;"|"&amp;D959&amp;"|"&amp;E959&amp;"|"&amp;F959&amp;"|"&amp;G959&amp;"|"&amp;H959&amp;"|"&amp;I959&amp;"|"&amp;J959&amp;"|"&amp;K959&amp;"|"&amp;L959&amp;"|"&amp;M959&amp;"|"&amp;N959</f>
        <v>ORD11306|17-Jun-2025|17:56|C1458|Spice Junction|Bengaluru|North Indian|1|265|0|UPI|Delivered|28|5</v>
      </c>
      <c r="P959" s="7" t="str">
        <f aca="false">IF(COUNTIF($O$2:O959,O959)&gt;1,"DUP","OK")</f>
        <v>OK</v>
      </c>
      <c r="Q959" s="7" t="n">
        <f aca="false">COUNTBLANK(A959:N959)</f>
        <v>0</v>
      </c>
      <c r="R959" s="7" t="n">
        <f aca="false">IF(A959="",0,COUNTIFS($A$2:$A$3058,A959,$P$2:$P$3058,"OK"))</f>
        <v>1</v>
      </c>
      <c r="S959" s="7" t="str">
        <f aca="false">IF(OR(A959="",P959="DUP",R959&lt;2),"",IF(Q959=_xlfn.MINIFS($Q$2:$Q$3058,$A$2:$A$3058,A959,$P$2:$P$3058,"OK"),"KEEP","DROP"))</f>
        <v/>
      </c>
      <c r="T959" s="9" t="n">
        <f aca="false">IF(A959="",1,0)</f>
        <v>0</v>
      </c>
      <c r="U959" s="9" t="n">
        <f aca="false">IF(D959="",1,0)</f>
        <v>0</v>
      </c>
      <c r="V959" s="9" t="n">
        <f aca="false">IF(E959="",1,0)</f>
        <v>0</v>
      </c>
      <c r="W959" s="9" t="n">
        <f aca="false">IF(OR(H959&lt;1,H959&gt;10),1,0)</f>
        <v>0</v>
      </c>
      <c r="X959" s="9" t="n">
        <f aca="false">IF(OR(I959&lt;=0,I959&gt;1500),1,0)</f>
        <v>0</v>
      </c>
      <c r="Y959" s="9" t="n">
        <f aca="false">IF(J959&gt;H959*I959,1,0)</f>
        <v>0</v>
      </c>
      <c r="Z959" s="9" t="n">
        <f aca="false">IF(AND(N959&lt;&gt;"",OR(N959&lt;1,N959&gt;5)),1,0)</f>
        <v>0</v>
      </c>
      <c r="AA959" s="9" t="n">
        <f aca="false">IF(AND(M959&lt;&gt;"",OR(M959&lt;5,M959&gt;180)),1,0)</f>
        <v>0</v>
      </c>
      <c r="AB959" s="7" t="str">
        <f aca="false">IF(P959="DUP","Exact duplicate row",IF(T959=1,"Missing Order ID",IF(S959="DROP","Duplicate Order ID (less complete row)",IF(U959=1,"Missing Customer ID",IF(V959=1,"Missing Restaurant name",IF(W959=1,"Invalid/outlier quantity",IF(X959=1,"Invalid/outlier unit price",IF(Y959=1,"Discount greater than order value",""))))))))</f>
        <v/>
      </c>
      <c r="AC959" s="7" t="str">
        <f aca="false">IF(AB959="","KEEP","DROP")</f>
        <v>KEEP</v>
      </c>
      <c r="AD959" s="7" t="str">
        <f aca="false">IF(TRIM(F959)="",IFERROR(INDEX(Map_Tables!$I$4:$I$37,MATCH(TRIM(E959),Map_Tables!$G$4:$G$37,0)),""),IFERROR(INDEX(Map_Tables!$B$4:$B$18,MATCH(TRIM(F959),Map_Tables!$A$4:$A$18,0)),"CHECK"))</f>
        <v>Bengaluru</v>
      </c>
      <c r="AE959" s="7" t="str">
        <f aca="false">IF(TRIM(E959)="","",IFERROR(INDEX(Map_Tables!$H$4:$H$37,MATCH(TRIM(E959),Map_Tables!$G$4:$G$37,0)),"CHECK"))</f>
        <v>Spice Junction</v>
      </c>
      <c r="AF959" s="7" t="str">
        <f aca="false">IF(TRIM(K959)="","Unknown",IFERROR(INDEX(Map_Tables!$E$4:$E$15,MATCH(TRIM(K959),Map_Tables!$D$4:$D$15,0)),"CHECK"))</f>
        <v>UPI</v>
      </c>
      <c r="AG959" s="7" t="str">
        <f aca="false">IF(LEFT(LOWER(TRIM(L959)),6)="cancel","Cancelled","Delivered")</f>
        <v>Delivered</v>
      </c>
      <c r="AH959" s="10" t="n">
        <f aca="false">IF(ISNUMBER(SEARCH("/",B959)),DATE(VALUE(RIGHT(B959,4)),VALUE(MID(B959,4,2)),VALUE(LEFT(B959,2))),IF(MID(B959,5,1)="-",DATE(VALUE(LEFT(B959,4)),VALUE(MID(B959,6,2)),VALUE(RIGHT(B959,2))),DATE(VALUE(RIGHT(B959,4)),MATCH(MID(B959,4,3),{"Jan","Feb","Mar","Apr","May","Jun","Jul","Aug","Sep","Oct","Nov","Dec"},0),VALUE(LEFT(B959,2)))))</f>
        <v>45825</v>
      </c>
    </row>
    <row r="960" customFormat="false" ht="15" hidden="false" customHeight="false" outlineLevel="0" collapsed="false">
      <c r="A960" s="7" t="s">
        <v>2933</v>
      </c>
      <c r="B960" s="7" t="s">
        <v>1312</v>
      </c>
      <c r="C960" s="7" t="s">
        <v>2644</v>
      </c>
      <c r="D960" s="7" t="s">
        <v>2934</v>
      </c>
      <c r="E960" s="7" t="s">
        <v>159</v>
      </c>
      <c r="F960" s="7" t="s">
        <v>136</v>
      </c>
      <c r="G960" s="7" t="s">
        <v>1391</v>
      </c>
      <c r="H960" s="7" t="n">
        <v>1</v>
      </c>
      <c r="I960" s="7" t="n">
        <v>260</v>
      </c>
      <c r="J960" s="7" t="n">
        <v>104</v>
      </c>
      <c r="K960" s="7" t="s">
        <v>93</v>
      </c>
      <c r="L960" s="7" t="s">
        <v>194</v>
      </c>
      <c r="M960" s="7" t="n">
        <v>42</v>
      </c>
      <c r="N960" s="7"/>
      <c r="O960" s="7" t="str">
        <f aca="false">A960&amp;"|"&amp;B960&amp;"|"&amp;C960&amp;"|"&amp;D960&amp;"|"&amp;E960&amp;"|"&amp;F960&amp;"|"&amp;G960&amp;"|"&amp;H960&amp;"|"&amp;I960&amp;"|"&amp;J960&amp;"|"&amp;K960&amp;"|"&amp;L960&amp;"|"&amp;M960&amp;"|"&amp;N960</f>
        <v>ORD11101|2025-05-19|19:41|C0098|Maratha Thali House|Pune|NORTH INDIAN|1|260|104|Credit Card|Delivered|42|</v>
      </c>
      <c r="P960" s="7" t="str">
        <f aca="false">IF(COUNTIF($O$2:O960,O960)&gt;1,"DUP","OK")</f>
        <v>OK</v>
      </c>
      <c r="Q960" s="7" t="n">
        <f aca="false">COUNTBLANK(A960:N960)</f>
        <v>1</v>
      </c>
      <c r="R960" s="7" t="n">
        <f aca="false">IF(A960="",0,COUNTIFS($A$2:$A$3058,A960,$P$2:$P$3058,"OK"))</f>
        <v>1</v>
      </c>
      <c r="S960" s="7" t="str">
        <f aca="false">IF(OR(A960="",P960="DUP",R960&lt;2),"",IF(Q960=_xlfn.MINIFS($Q$2:$Q$3058,$A$2:$A$3058,A960,$P$2:$P$3058,"OK"),"KEEP","DROP"))</f>
        <v/>
      </c>
      <c r="T960" s="9" t="n">
        <f aca="false">IF(A960="",1,0)</f>
        <v>0</v>
      </c>
      <c r="U960" s="9" t="n">
        <f aca="false">IF(D960="",1,0)</f>
        <v>0</v>
      </c>
      <c r="V960" s="9" t="n">
        <f aca="false">IF(E960="",1,0)</f>
        <v>0</v>
      </c>
      <c r="W960" s="9" t="n">
        <f aca="false">IF(OR(H960&lt;1,H960&gt;10),1,0)</f>
        <v>0</v>
      </c>
      <c r="X960" s="9" t="n">
        <f aca="false">IF(OR(I960&lt;=0,I960&gt;1500),1,0)</f>
        <v>0</v>
      </c>
      <c r="Y960" s="9" t="n">
        <f aca="false">IF(J960&gt;H960*I960,1,0)</f>
        <v>0</v>
      </c>
      <c r="Z960" s="9" t="n">
        <f aca="false">IF(AND(N960&lt;&gt;"",OR(N960&lt;1,N960&gt;5)),1,0)</f>
        <v>0</v>
      </c>
      <c r="AA960" s="9" t="n">
        <f aca="false">IF(AND(M960&lt;&gt;"",OR(M960&lt;5,M960&gt;180)),1,0)</f>
        <v>0</v>
      </c>
      <c r="AB960" s="7" t="str">
        <f aca="false">IF(P960="DUP","Exact duplicate row",IF(T960=1,"Missing Order ID",IF(S960="DROP","Duplicate Order ID (less complete row)",IF(U960=1,"Missing Customer ID",IF(V960=1,"Missing Restaurant name",IF(W960=1,"Invalid/outlier quantity",IF(X960=1,"Invalid/outlier unit price",IF(Y960=1,"Discount greater than order value",""))))))))</f>
        <v/>
      </c>
      <c r="AC960" s="7" t="str">
        <f aca="false">IF(AB960="","KEEP","DROP")</f>
        <v>KEEP</v>
      </c>
      <c r="AD960" s="7" t="str">
        <f aca="false">IF(TRIM(F960)="",IFERROR(INDEX(Map_Tables!$I$4:$I$37,MATCH(TRIM(E960),Map_Tables!$G$4:$G$37,0)),""),IFERROR(INDEX(Map_Tables!$B$4:$B$18,MATCH(TRIM(F960),Map_Tables!$A$4:$A$18,0)),"CHECK"))</f>
        <v>Pune</v>
      </c>
      <c r="AE960" s="7" t="str">
        <f aca="false">IF(TRIM(E960)="","",IFERROR(INDEX(Map_Tables!$H$4:$H$37,MATCH(TRIM(E960),Map_Tables!$G$4:$G$37,0)),"CHECK"))</f>
        <v>Maratha Thali House</v>
      </c>
      <c r="AF960" s="7" t="str">
        <f aca="false">IF(TRIM(K960)="","Unknown",IFERROR(INDEX(Map_Tables!$E$4:$E$15,MATCH(TRIM(K960),Map_Tables!$D$4:$D$15,0)),"CHECK"))</f>
        <v>Credit Card</v>
      </c>
      <c r="AG960" s="7" t="str">
        <f aca="false">IF(LEFT(LOWER(TRIM(L960)),6)="cancel","Cancelled","Delivered")</f>
        <v>Delivered</v>
      </c>
      <c r="AH960" s="10" t="n">
        <f aca="false">IF(ISNUMBER(SEARCH("/",B960)),DATE(VALUE(RIGHT(B960,4)),VALUE(MID(B960,4,2)),VALUE(LEFT(B960,2))),IF(MID(B960,5,1)="-",DATE(VALUE(LEFT(B960,4)),VALUE(MID(B960,6,2)),VALUE(RIGHT(B960,2))),DATE(VALUE(RIGHT(B960,4)),MATCH(MID(B960,4,3),{"Jan","Feb","Mar","Apr","May","Jun","Jul","Aug","Sep","Oct","Nov","Dec"},0),VALUE(LEFT(B960,2)))))</f>
        <v>45796</v>
      </c>
    </row>
    <row r="961" customFormat="false" ht="15" hidden="false" customHeight="false" outlineLevel="0" collapsed="false">
      <c r="A961" s="7" t="s">
        <v>2935</v>
      </c>
      <c r="B961" s="7" t="s">
        <v>2548</v>
      </c>
      <c r="C961" s="7" t="s">
        <v>821</v>
      </c>
      <c r="D961" s="7" t="s">
        <v>953</v>
      </c>
      <c r="E961" s="7" t="s">
        <v>138</v>
      </c>
      <c r="F961" s="7" t="s">
        <v>110</v>
      </c>
      <c r="G961" s="7" t="s">
        <v>139</v>
      </c>
      <c r="H961" s="7" t="n">
        <v>3</v>
      </c>
      <c r="I961" s="7" t="n">
        <v>215</v>
      </c>
      <c r="J961" s="7" t="n">
        <v>0</v>
      </c>
      <c r="K961" s="7" t="s">
        <v>103</v>
      </c>
      <c r="L961" s="7" t="s">
        <v>194</v>
      </c>
      <c r="M961" s="7" t="n">
        <v>33</v>
      </c>
      <c r="N961" s="7" t="n">
        <v>5</v>
      </c>
      <c r="O961" s="7" t="str">
        <f aca="false">A961&amp;"|"&amp;B961&amp;"|"&amp;C961&amp;"|"&amp;D961&amp;"|"&amp;E961&amp;"|"&amp;F961&amp;"|"&amp;G961&amp;"|"&amp;H961&amp;"|"&amp;I961&amp;"|"&amp;J961&amp;"|"&amp;K961&amp;"|"&amp;L961&amp;"|"&amp;M961&amp;"|"&amp;N961</f>
        <v>ORD11040|2025-05-11|17:15|C0572|Burger Barn|Delhi|Burgers|3|215|0|Debit Card|Delivered|33|5</v>
      </c>
      <c r="P961" s="7" t="str">
        <f aca="false">IF(COUNTIF($O$2:O961,O961)&gt;1,"DUP","OK")</f>
        <v>OK</v>
      </c>
      <c r="Q961" s="7" t="n">
        <f aca="false">COUNTBLANK(A961:N961)</f>
        <v>0</v>
      </c>
      <c r="R961" s="7" t="n">
        <f aca="false">IF(A961="",0,COUNTIFS($A$2:$A$3058,A961,$P$2:$P$3058,"OK"))</f>
        <v>1</v>
      </c>
      <c r="S961" s="7" t="str">
        <f aca="false">IF(OR(A961="",P961="DUP",R961&lt;2),"",IF(Q961=_xlfn.MINIFS($Q$2:$Q$3058,$A$2:$A$3058,A961,$P$2:$P$3058,"OK"),"KEEP","DROP"))</f>
        <v/>
      </c>
      <c r="T961" s="9" t="n">
        <f aca="false">IF(A961="",1,0)</f>
        <v>0</v>
      </c>
      <c r="U961" s="9" t="n">
        <f aca="false">IF(D961="",1,0)</f>
        <v>0</v>
      </c>
      <c r="V961" s="9" t="n">
        <f aca="false">IF(E961="",1,0)</f>
        <v>0</v>
      </c>
      <c r="W961" s="9" t="n">
        <f aca="false">IF(OR(H961&lt;1,H961&gt;10),1,0)</f>
        <v>0</v>
      </c>
      <c r="X961" s="9" t="n">
        <f aca="false">IF(OR(I961&lt;=0,I961&gt;1500),1,0)</f>
        <v>0</v>
      </c>
      <c r="Y961" s="9" t="n">
        <f aca="false">IF(J961&gt;H961*I961,1,0)</f>
        <v>0</v>
      </c>
      <c r="Z961" s="9" t="n">
        <f aca="false">IF(AND(N961&lt;&gt;"",OR(N961&lt;1,N961&gt;5)),1,0)</f>
        <v>0</v>
      </c>
      <c r="AA961" s="9" t="n">
        <f aca="false">IF(AND(M961&lt;&gt;"",OR(M961&lt;5,M961&gt;180)),1,0)</f>
        <v>0</v>
      </c>
      <c r="AB961" s="7" t="str">
        <f aca="false">IF(P961="DUP","Exact duplicate row",IF(T961=1,"Missing Order ID",IF(S961="DROP","Duplicate Order ID (less complete row)",IF(U961=1,"Missing Customer ID",IF(V961=1,"Missing Restaurant name",IF(W961=1,"Invalid/outlier quantity",IF(X961=1,"Invalid/outlier unit price",IF(Y961=1,"Discount greater than order value",""))))))))</f>
        <v/>
      </c>
      <c r="AC961" s="7" t="str">
        <f aca="false">IF(AB961="","KEEP","DROP")</f>
        <v>KEEP</v>
      </c>
      <c r="AD961" s="7" t="str">
        <f aca="false">IF(TRIM(F961)="",IFERROR(INDEX(Map_Tables!$I$4:$I$37,MATCH(TRIM(E961),Map_Tables!$G$4:$G$37,0)),""),IFERROR(INDEX(Map_Tables!$B$4:$B$18,MATCH(TRIM(F961),Map_Tables!$A$4:$A$18,0)),"CHECK"))</f>
        <v>Delhi</v>
      </c>
      <c r="AE961" s="7" t="str">
        <f aca="false">IF(TRIM(E961)="","",IFERROR(INDEX(Map_Tables!$H$4:$H$37,MATCH(TRIM(E961),Map_Tables!$G$4:$G$37,0)),"CHECK"))</f>
        <v>Burger Barn</v>
      </c>
      <c r="AF961" s="7" t="str">
        <f aca="false">IF(TRIM(K961)="","Unknown",IFERROR(INDEX(Map_Tables!$E$4:$E$15,MATCH(TRIM(K961),Map_Tables!$D$4:$D$15,0)),"CHECK"))</f>
        <v>Debit Card</v>
      </c>
      <c r="AG961" s="7" t="str">
        <f aca="false">IF(LEFT(LOWER(TRIM(L961)),6)="cancel","Cancelled","Delivered")</f>
        <v>Delivered</v>
      </c>
      <c r="AH961" s="10" t="n">
        <f aca="false">IF(ISNUMBER(SEARCH("/",B961)),DATE(VALUE(RIGHT(B961,4)),VALUE(MID(B961,4,2)),VALUE(LEFT(B961,2))),IF(MID(B961,5,1)="-",DATE(VALUE(LEFT(B961,4)),VALUE(MID(B961,6,2)),VALUE(RIGHT(B961,2))),DATE(VALUE(RIGHT(B961,4)),MATCH(MID(B961,4,3),{"Jan","Feb","Mar","Apr","May","Jun","Jul","Aug","Sep","Oct","Nov","Dec"},0),VALUE(LEFT(B961,2)))))</f>
        <v>45788</v>
      </c>
    </row>
    <row r="962" customFormat="false" ht="15" hidden="false" customHeight="false" outlineLevel="0" collapsed="false">
      <c r="A962" s="7" t="s">
        <v>2936</v>
      </c>
      <c r="B962" s="7" t="s">
        <v>678</v>
      </c>
      <c r="C962" s="7" t="s">
        <v>268</v>
      </c>
      <c r="D962" s="7" t="s">
        <v>948</v>
      </c>
      <c r="E962" s="7" t="s">
        <v>98</v>
      </c>
      <c r="F962" s="7" t="s">
        <v>86</v>
      </c>
      <c r="G962" s="7" t="s">
        <v>99</v>
      </c>
      <c r="H962" s="7" t="n">
        <v>1</v>
      </c>
      <c r="I962" s="7" t="n">
        <v>280</v>
      </c>
      <c r="J962" s="7" t="n">
        <v>75</v>
      </c>
      <c r="K962" s="7" t="s">
        <v>88</v>
      </c>
      <c r="L962" s="7" t="s">
        <v>194</v>
      </c>
      <c r="M962" s="7" t="n">
        <v>45</v>
      </c>
      <c r="N962" s="7" t="n">
        <v>4</v>
      </c>
      <c r="O962" s="7" t="str">
        <f aca="false">A962&amp;"|"&amp;B962&amp;"|"&amp;C962&amp;"|"&amp;D962&amp;"|"&amp;E962&amp;"|"&amp;F962&amp;"|"&amp;G962&amp;"|"&amp;H962&amp;"|"&amp;I962&amp;"|"&amp;J962&amp;"|"&amp;K962&amp;"|"&amp;L962&amp;"|"&amp;M962&amp;"|"&amp;N962</f>
        <v>ORD10668|2025-03-26|19:16|C0622|Nawabi Biryani House|Bengaluru|Biryani|1|280|75|UPI|Delivered|45|4</v>
      </c>
      <c r="P962" s="7" t="str">
        <f aca="false">IF(COUNTIF($O$2:O962,O962)&gt;1,"DUP","OK")</f>
        <v>OK</v>
      </c>
      <c r="Q962" s="7" t="n">
        <f aca="false">COUNTBLANK(A962:N962)</f>
        <v>0</v>
      </c>
      <c r="R962" s="7" t="n">
        <f aca="false">IF(A962="",0,COUNTIFS($A$2:$A$3058,A962,$P$2:$P$3058,"OK"))</f>
        <v>1</v>
      </c>
      <c r="S962" s="7" t="str">
        <f aca="false">IF(OR(A962="",P962="DUP",R962&lt;2),"",IF(Q962=_xlfn.MINIFS($Q$2:$Q$3058,$A$2:$A$3058,A962,$P$2:$P$3058,"OK"),"KEEP","DROP"))</f>
        <v/>
      </c>
      <c r="T962" s="9" t="n">
        <f aca="false">IF(A962="",1,0)</f>
        <v>0</v>
      </c>
      <c r="U962" s="9" t="n">
        <f aca="false">IF(D962="",1,0)</f>
        <v>0</v>
      </c>
      <c r="V962" s="9" t="n">
        <f aca="false">IF(E962="",1,0)</f>
        <v>0</v>
      </c>
      <c r="W962" s="9" t="n">
        <f aca="false">IF(OR(H962&lt;1,H962&gt;10),1,0)</f>
        <v>0</v>
      </c>
      <c r="X962" s="9" t="n">
        <f aca="false">IF(OR(I962&lt;=0,I962&gt;1500),1,0)</f>
        <v>0</v>
      </c>
      <c r="Y962" s="9" t="n">
        <f aca="false">IF(J962&gt;H962*I962,1,0)</f>
        <v>0</v>
      </c>
      <c r="Z962" s="9" t="n">
        <f aca="false">IF(AND(N962&lt;&gt;"",OR(N962&lt;1,N962&gt;5)),1,0)</f>
        <v>0</v>
      </c>
      <c r="AA962" s="9" t="n">
        <f aca="false">IF(AND(M962&lt;&gt;"",OR(M962&lt;5,M962&gt;180)),1,0)</f>
        <v>0</v>
      </c>
      <c r="AB962" s="7" t="str">
        <f aca="false">IF(P962="DUP","Exact duplicate row",IF(T962=1,"Missing Order ID",IF(S962="DROP","Duplicate Order ID (less complete row)",IF(U962=1,"Missing Customer ID",IF(V962=1,"Missing Restaurant name",IF(W962=1,"Invalid/outlier quantity",IF(X962=1,"Invalid/outlier unit price",IF(Y962=1,"Discount greater than order value",""))))))))</f>
        <v/>
      </c>
      <c r="AC962" s="7" t="str">
        <f aca="false">IF(AB962="","KEEP","DROP")</f>
        <v>KEEP</v>
      </c>
      <c r="AD962" s="7" t="str">
        <f aca="false">IF(TRIM(F962)="",IFERROR(INDEX(Map_Tables!$I$4:$I$37,MATCH(TRIM(E962),Map_Tables!$G$4:$G$37,0)),""),IFERROR(INDEX(Map_Tables!$B$4:$B$18,MATCH(TRIM(F962),Map_Tables!$A$4:$A$18,0)),"CHECK"))</f>
        <v>Bengaluru</v>
      </c>
      <c r="AE962" s="7" t="str">
        <f aca="false">IF(TRIM(E962)="","",IFERROR(INDEX(Map_Tables!$H$4:$H$37,MATCH(TRIM(E962),Map_Tables!$G$4:$G$37,0)),"CHECK"))</f>
        <v>Nawabi Biryani House</v>
      </c>
      <c r="AF962" s="7" t="str">
        <f aca="false">IF(TRIM(K962)="","Unknown",IFERROR(INDEX(Map_Tables!$E$4:$E$15,MATCH(TRIM(K962),Map_Tables!$D$4:$D$15,0)),"CHECK"))</f>
        <v>UPI</v>
      </c>
      <c r="AG962" s="7" t="str">
        <f aca="false">IF(LEFT(LOWER(TRIM(L962)),6)="cancel","Cancelled","Delivered")</f>
        <v>Delivered</v>
      </c>
      <c r="AH962" s="10" t="n">
        <f aca="false">IF(ISNUMBER(SEARCH("/",B962)),DATE(VALUE(RIGHT(B962,4)),VALUE(MID(B962,4,2)),VALUE(LEFT(B962,2))),IF(MID(B962,5,1)="-",DATE(VALUE(LEFT(B962,4)),VALUE(MID(B962,6,2)),VALUE(RIGHT(B962,2))),DATE(VALUE(RIGHT(B962,4)),MATCH(MID(B962,4,3),{"Jan","Feb","Mar","Apr","May","Jun","Jul","Aug","Sep","Oct","Nov","Dec"},0),VALUE(LEFT(B962,2)))))</f>
        <v>45742</v>
      </c>
    </row>
    <row r="963" customFormat="false" ht="15" hidden="false" customHeight="false" outlineLevel="0" collapsed="false">
      <c r="A963" s="7" t="s">
        <v>2937</v>
      </c>
      <c r="B963" s="7" t="s">
        <v>2938</v>
      </c>
      <c r="C963" s="7" t="s">
        <v>2939</v>
      </c>
      <c r="D963" s="7" t="s">
        <v>378</v>
      </c>
      <c r="E963" s="7" t="s">
        <v>152</v>
      </c>
      <c r="F963" s="7" t="s">
        <v>128</v>
      </c>
      <c r="G963" s="7" t="s">
        <v>95</v>
      </c>
      <c r="H963" s="7" t="n">
        <v>1</v>
      </c>
      <c r="I963" s="7" t="n">
        <v>115</v>
      </c>
      <c r="J963" s="7" t="n">
        <v>40</v>
      </c>
      <c r="K963" s="7" t="s">
        <v>121</v>
      </c>
      <c r="L963" s="7" t="s">
        <v>194</v>
      </c>
      <c r="M963" s="7" t="n">
        <v>24</v>
      </c>
      <c r="N963" s="7" t="n">
        <v>3</v>
      </c>
      <c r="O963" s="7" t="str">
        <f aca="false">A963&amp;"|"&amp;B963&amp;"|"&amp;C963&amp;"|"&amp;D963&amp;"|"&amp;E963&amp;"|"&amp;F963&amp;"|"&amp;G963&amp;"|"&amp;H963&amp;"|"&amp;I963&amp;"|"&amp;J963&amp;"|"&amp;K963&amp;"|"&amp;L963&amp;"|"&amp;M963&amp;"|"&amp;N963</f>
        <v>ORD10010|02/01/2025|17:33|C0854|Filter Coffee &amp; Tiffin|Chennai|South Indian|1|115|40|Wallet|Delivered|24|3</v>
      </c>
      <c r="P963" s="7" t="str">
        <f aca="false">IF(COUNTIF($O$2:O963,O963)&gt;1,"DUP","OK")</f>
        <v>OK</v>
      </c>
      <c r="Q963" s="7" t="n">
        <f aca="false">COUNTBLANK(A963:N963)</f>
        <v>0</v>
      </c>
      <c r="R963" s="7" t="n">
        <f aca="false">IF(A963="",0,COUNTIFS($A$2:$A$3058,A963,$P$2:$P$3058,"OK"))</f>
        <v>1</v>
      </c>
      <c r="S963" s="7" t="str">
        <f aca="false">IF(OR(A963="",P963="DUP",R963&lt;2),"",IF(Q963=_xlfn.MINIFS($Q$2:$Q$3058,$A$2:$A$3058,A963,$P$2:$P$3058,"OK"),"KEEP","DROP"))</f>
        <v/>
      </c>
      <c r="T963" s="9" t="n">
        <f aca="false">IF(A963="",1,0)</f>
        <v>0</v>
      </c>
      <c r="U963" s="9" t="n">
        <f aca="false">IF(D963="",1,0)</f>
        <v>0</v>
      </c>
      <c r="V963" s="9" t="n">
        <f aca="false">IF(E963="",1,0)</f>
        <v>0</v>
      </c>
      <c r="W963" s="9" t="n">
        <f aca="false">IF(OR(H963&lt;1,H963&gt;10),1,0)</f>
        <v>0</v>
      </c>
      <c r="X963" s="9" t="n">
        <f aca="false">IF(OR(I963&lt;=0,I963&gt;1500),1,0)</f>
        <v>0</v>
      </c>
      <c r="Y963" s="9" t="n">
        <f aca="false">IF(J963&gt;H963*I963,1,0)</f>
        <v>0</v>
      </c>
      <c r="Z963" s="9" t="n">
        <f aca="false">IF(AND(N963&lt;&gt;"",OR(N963&lt;1,N963&gt;5)),1,0)</f>
        <v>0</v>
      </c>
      <c r="AA963" s="9" t="n">
        <f aca="false">IF(AND(M963&lt;&gt;"",OR(M963&lt;5,M963&gt;180)),1,0)</f>
        <v>0</v>
      </c>
      <c r="AB963" s="7" t="str">
        <f aca="false">IF(P963="DUP","Exact duplicate row",IF(T963=1,"Missing Order ID",IF(S963="DROP","Duplicate Order ID (less complete row)",IF(U963=1,"Missing Customer ID",IF(V963=1,"Missing Restaurant name",IF(W963=1,"Invalid/outlier quantity",IF(X963=1,"Invalid/outlier unit price",IF(Y963=1,"Discount greater than order value",""))))))))</f>
        <v/>
      </c>
      <c r="AC963" s="7" t="str">
        <f aca="false">IF(AB963="","KEEP","DROP")</f>
        <v>KEEP</v>
      </c>
      <c r="AD963" s="7" t="str">
        <f aca="false">IF(TRIM(F963)="",IFERROR(INDEX(Map_Tables!$I$4:$I$37,MATCH(TRIM(E963),Map_Tables!$G$4:$G$37,0)),""),IFERROR(INDEX(Map_Tables!$B$4:$B$18,MATCH(TRIM(F963),Map_Tables!$A$4:$A$18,0)),"CHECK"))</f>
        <v>Chennai</v>
      </c>
      <c r="AE963" s="7" t="str">
        <f aca="false">IF(TRIM(E963)="","",IFERROR(INDEX(Map_Tables!$H$4:$H$37,MATCH(TRIM(E963),Map_Tables!$G$4:$G$37,0)),"CHECK"))</f>
        <v>Filter Coffee &amp; Tiffin</v>
      </c>
      <c r="AF963" s="7" t="str">
        <f aca="false">IF(TRIM(K963)="","Unknown",IFERROR(INDEX(Map_Tables!$E$4:$E$15,MATCH(TRIM(K963),Map_Tables!$D$4:$D$15,0)),"CHECK"))</f>
        <v>Wallet</v>
      </c>
      <c r="AG963" s="7" t="str">
        <f aca="false">IF(LEFT(LOWER(TRIM(L963)),6)="cancel","Cancelled","Delivered")</f>
        <v>Delivered</v>
      </c>
      <c r="AH963" s="10" t="n">
        <f aca="false">IF(ISNUMBER(SEARCH("/",B963)),DATE(VALUE(RIGHT(B963,4)),VALUE(MID(B963,4,2)),VALUE(LEFT(B963,2))),IF(MID(B963,5,1)="-",DATE(VALUE(LEFT(B963,4)),VALUE(MID(B963,6,2)),VALUE(RIGHT(B963,2))),DATE(VALUE(RIGHT(B963,4)),MATCH(MID(B963,4,3),{"Jan","Feb","Mar","Apr","May","Jun","Jul","Aug","Sep","Oct","Nov","Dec"},0),VALUE(LEFT(B963,2)))))</f>
        <v>45659</v>
      </c>
    </row>
    <row r="964" customFormat="false" ht="15" hidden="false" customHeight="false" outlineLevel="0" collapsed="false">
      <c r="A964" s="7" t="s">
        <v>2940</v>
      </c>
      <c r="B964" s="7" t="s">
        <v>1835</v>
      </c>
      <c r="C964" s="7" t="s">
        <v>1280</v>
      </c>
      <c r="D964" s="7" t="s">
        <v>2359</v>
      </c>
      <c r="E964" s="7" t="s">
        <v>142</v>
      </c>
      <c r="F964" s="7" t="s">
        <v>110</v>
      </c>
      <c r="G964" s="7" t="s">
        <v>105</v>
      </c>
      <c r="H964" s="7" t="n">
        <v>1</v>
      </c>
      <c r="I964" s="7" t="n">
        <v>165</v>
      </c>
      <c r="J964" s="7" t="n">
        <v>0</v>
      </c>
      <c r="K964" s="7" t="s">
        <v>103</v>
      </c>
      <c r="L964" s="7" t="s">
        <v>194</v>
      </c>
      <c r="M964" s="7" t="n">
        <v>51</v>
      </c>
      <c r="N964" s="7" t="n">
        <v>5</v>
      </c>
      <c r="O964" s="7" t="str">
        <f aca="false">A964&amp;"|"&amp;B964&amp;"|"&amp;C964&amp;"|"&amp;D964&amp;"|"&amp;E964&amp;"|"&amp;F964&amp;"|"&amp;G964&amp;"|"&amp;H964&amp;"|"&amp;I964&amp;"|"&amp;J964&amp;"|"&amp;K964&amp;"|"&amp;L964&amp;"|"&amp;M964&amp;"|"&amp;N964</f>
        <v>ORD12283|2025-10-16|12:21|C0116|Momo Magic|Delhi|Chinese|1|165|0|Debit Card|Delivered|51|5</v>
      </c>
      <c r="P964" s="7" t="str">
        <f aca="false">IF(COUNTIF($O$2:O964,O964)&gt;1,"DUP","OK")</f>
        <v>OK</v>
      </c>
      <c r="Q964" s="7" t="n">
        <f aca="false">COUNTBLANK(A964:N964)</f>
        <v>0</v>
      </c>
      <c r="R964" s="7" t="n">
        <f aca="false">IF(A964="",0,COUNTIFS($A$2:$A$3058,A964,$P$2:$P$3058,"OK"))</f>
        <v>1</v>
      </c>
      <c r="S964" s="7" t="str">
        <f aca="false">IF(OR(A964="",P964="DUP",R964&lt;2),"",IF(Q964=_xlfn.MINIFS($Q$2:$Q$3058,$A$2:$A$3058,A964,$P$2:$P$3058,"OK"),"KEEP","DROP"))</f>
        <v/>
      </c>
      <c r="T964" s="9" t="n">
        <f aca="false">IF(A964="",1,0)</f>
        <v>0</v>
      </c>
      <c r="U964" s="9" t="n">
        <f aca="false">IF(D964="",1,0)</f>
        <v>0</v>
      </c>
      <c r="V964" s="9" t="n">
        <f aca="false">IF(E964="",1,0)</f>
        <v>0</v>
      </c>
      <c r="W964" s="9" t="n">
        <f aca="false">IF(OR(H964&lt;1,H964&gt;10),1,0)</f>
        <v>0</v>
      </c>
      <c r="X964" s="9" t="n">
        <f aca="false">IF(OR(I964&lt;=0,I964&gt;1500),1,0)</f>
        <v>0</v>
      </c>
      <c r="Y964" s="9" t="n">
        <f aca="false">IF(J964&gt;H964*I964,1,0)</f>
        <v>0</v>
      </c>
      <c r="Z964" s="9" t="n">
        <f aca="false">IF(AND(N964&lt;&gt;"",OR(N964&lt;1,N964&gt;5)),1,0)</f>
        <v>0</v>
      </c>
      <c r="AA964" s="9" t="n">
        <f aca="false">IF(AND(M964&lt;&gt;"",OR(M964&lt;5,M964&gt;180)),1,0)</f>
        <v>0</v>
      </c>
      <c r="AB964" s="7" t="str">
        <f aca="false">IF(P964="DUP","Exact duplicate row",IF(T964=1,"Missing Order ID",IF(S964="DROP","Duplicate Order ID (less complete row)",IF(U964=1,"Missing Customer ID",IF(V964=1,"Missing Restaurant name",IF(W964=1,"Invalid/outlier quantity",IF(X964=1,"Invalid/outlier unit price",IF(Y964=1,"Discount greater than order value",""))))))))</f>
        <v/>
      </c>
      <c r="AC964" s="7" t="str">
        <f aca="false">IF(AB964="","KEEP","DROP")</f>
        <v>KEEP</v>
      </c>
      <c r="AD964" s="7" t="str">
        <f aca="false">IF(TRIM(F964)="",IFERROR(INDEX(Map_Tables!$I$4:$I$37,MATCH(TRIM(E964),Map_Tables!$G$4:$G$37,0)),""),IFERROR(INDEX(Map_Tables!$B$4:$B$18,MATCH(TRIM(F964),Map_Tables!$A$4:$A$18,0)),"CHECK"))</f>
        <v>Delhi</v>
      </c>
      <c r="AE964" s="7" t="str">
        <f aca="false">IF(TRIM(E964)="","",IFERROR(INDEX(Map_Tables!$H$4:$H$37,MATCH(TRIM(E964),Map_Tables!$G$4:$G$37,0)),"CHECK"))</f>
        <v>Momo Magic</v>
      </c>
      <c r="AF964" s="7" t="str">
        <f aca="false">IF(TRIM(K964)="","Unknown",IFERROR(INDEX(Map_Tables!$E$4:$E$15,MATCH(TRIM(K964),Map_Tables!$D$4:$D$15,0)),"CHECK"))</f>
        <v>Debit Card</v>
      </c>
      <c r="AG964" s="7" t="str">
        <f aca="false">IF(LEFT(LOWER(TRIM(L964)),6)="cancel","Cancelled","Delivered")</f>
        <v>Delivered</v>
      </c>
      <c r="AH964" s="10" t="n">
        <f aca="false">IF(ISNUMBER(SEARCH("/",B964)),DATE(VALUE(RIGHT(B964,4)),VALUE(MID(B964,4,2)),VALUE(LEFT(B964,2))),IF(MID(B964,5,1)="-",DATE(VALUE(LEFT(B964,4)),VALUE(MID(B964,6,2)),VALUE(RIGHT(B964,2))),DATE(VALUE(RIGHT(B964,4)),MATCH(MID(B964,4,3),{"Jan","Feb","Mar","Apr","May","Jun","Jul","Aug","Sep","Oct","Nov","Dec"},0),VALUE(LEFT(B964,2)))))</f>
        <v>45946</v>
      </c>
    </row>
    <row r="965" customFormat="false" ht="15" hidden="false" customHeight="false" outlineLevel="0" collapsed="false">
      <c r="A965" s="7" t="s">
        <v>2941</v>
      </c>
      <c r="B965" s="7" t="s">
        <v>418</v>
      </c>
      <c r="C965" s="7" t="s">
        <v>1817</v>
      </c>
      <c r="D965" s="7" t="s">
        <v>1424</v>
      </c>
      <c r="E965" s="7" t="s">
        <v>160</v>
      </c>
      <c r="F965" s="7" t="s">
        <v>303</v>
      </c>
      <c r="G965" s="7" t="s">
        <v>150</v>
      </c>
      <c r="H965" s="7" t="n">
        <v>1</v>
      </c>
      <c r="I965" s="7" t="n">
        <v>185</v>
      </c>
      <c r="J965" s="7" t="n">
        <v>0</v>
      </c>
      <c r="K965" s="7" t="s">
        <v>88</v>
      </c>
      <c r="L965" s="7" t="s">
        <v>194</v>
      </c>
      <c r="M965" s="7" t="n">
        <v>34</v>
      </c>
      <c r="N965" s="7" t="n">
        <v>4</v>
      </c>
      <c r="O965" s="7" t="str">
        <f aca="false">A965&amp;"|"&amp;B965&amp;"|"&amp;C965&amp;"|"&amp;D965&amp;"|"&amp;E965&amp;"|"&amp;F965&amp;"|"&amp;G965&amp;"|"&amp;H965&amp;"|"&amp;I965&amp;"|"&amp;J965&amp;"|"&amp;K965&amp;"|"&amp;L965&amp;"|"&amp;M965&amp;"|"&amp;N965</f>
        <v>ORD12265|2025-10-14|20:47|C1256|Cake Walk|PUNE|Desserts|1|185|0|UPI|Delivered|34|4</v>
      </c>
      <c r="P965" s="7" t="str">
        <f aca="false">IF(COUNTIF($O$2:O965,O965)&gt;1,"DUP","OK")</f>
        <v>OK</v>
      </c>
      <c r="Q965" s="7" t="n">
        <f aca="false">COUNTBLANK(A965:N965)</f>
        <v>0</v>
      </c>
      <c r="R965" s="7" t="n">
        <f aca="false">IF(A965="",0,COUNTIFS($A$2:$A$3058,A965,$P$2:$P$3058,"OK"))</f>
        <v>1</v>
      </c>
      <c r="S965" s="7" t="str">
        <f aca="false">IF(OR(A965="",P965="DUP",R965&lt;2),"",IF(Q965=_xlfn.MINIFS($Q$2:$Q$3058,$A$2:$A$3058,A965,$P$2:$P$3058,"OK"),"KEEP","DROP"))</f>
        <v/>
      </c>
      <c r="T965" s="9" t="n">
        <f aca="false">IF(A965="",1,0)</f>
        <v>0</v>
      </c>
      <c r="U965" s="9" t="n">
        <f aca="false">IF(D965="",1,0)</f>
        <v>0</v>
      </c>
      <c r="V965" s="9" t="n">
        <f aca="false">IF(E965="",1,0)</f>
        <v>0</v>
      </c>
      <c r="W965" s="9" t="n">
        <f aca="false">IF(OR(H965&lt;1,H965&gt;10),1,0)</f>
        <v>0</v>
      </c>
      <c r="X965" s="9" t="n">
        <f aca="false">IF(OR(I965&lt;=0,I965&gt;1500),1,0)</f>
        <v>0</v>
      </c>
      <c r="Y965" s="9" t="n">
        <f aca="false">IF(J965&gt;H965*I965,1,0)</f>
        <v>0</v>
      </c>
      <c r="Z965" s="9" t="n">
        <f aca="false">IF(AND(N965&lt;&gt;"",OR(N965&lt;1,N965&gt;5)),1,0)</f>
        <v>0</v>
      </c>
      <c r="AA965" s="9" t="n">
        <f aca="false">IF(AND(M965&lt;&gt;"",OR(M965&lt;5,M965&gt;180)),1,0)</f>
        <v>0</v>
      </c>
      <c r="AB965" s="7" t="str">
        <f aca="false">IF(P965="DUP","Exact duplicate row",IF(T965=1,"Missing Order ID",IF(S965="DROP","Duplicate Order ID (less complete row)",IF(U965=1,"Missing Customer ID",IF(V965=1,"Missing Restaurant name",IF(W965=1,"Invalid/outlier quantity",IF(X965=1,"Invalid/outlier unit price",IF(Y965=1,"Discount greater than order value",""))))))))</f>
        <v/>
      </c>
      <c r="AC965" s="7" t="str">
        <f aca="false">IF(AB965="","KEEP","DROP")</f>
        <v>KEEP</v>
      </c>
      <c r="AD965" s="7" t="str">
        <f aca="false">IF(TRIM(F965)="",IFERROR(INDEX(Map_Tables!$I$4:$I$37,MATCH(TRIM(E965),Map_Tables!$G$4:$G$37,0)),""),IFERROR(INDEX(Map_Tables!$B$4:$B$18,MATCH(TRIM(F965),Map_Tables!$A$4:$A$18,0)),"CHECK"))</f>
        <v>Pune</v>
      </c>
      <c r="AE965" s="7" t="str">
        <f aca="false">IF(TRIM(E965)="","",IFERROR(INDEX(Map_Tables!$H$4:$H$37,MATCH(TRIM(E965),Map_Tables!$G$4:$G$37,0)),"CHECK"))</f>
        <v>Cake Walk</v>
      </c>
      <c r="AF965" s="7" t="str">
        <f aca="false">IF(TRIM(K965)="","Unknown",IFERROR(INDEX(Map_Tables!$E$4:$E$15,MATCH(TRIM(K965),Map_Tables!$D$4:$D$15,0)),"CHECK"))</f>
        <v>UPI</v>
      </c>
      <c r="AG965" s="7" t="str">
        <f aca="false">IF(LEFT(LOWER(TRIM(L965)),6)="cancel","Cancelled","Delivered")</f>
        <v>Delivered</v>
      </c>
      <c r="AH965" s="10" t="n">
        <f aca="false">IF(ISNUMBER(SEARCH("/",B965)),DATE(VALUE(RIGHT(B965,4)),VALUE(MID(B965,4,2)),VALUE(LEFT(B965,2))),IF(MID(B965,5,1)="-",DATE(VALUE(LEFT(B965,4)),VALUE(MID(B965,6,2)),VALUE(RIGHT(B965,2))),DATE(VALUE(RIGHT(B965,4)),MATCH(MID(B965,4,3),{"Jan","Feb","Mar","Apr","May","Jun","Jul","Aug","Sep","Oct","Nov","Dec"},0),VALUE(LEFT(B965,2)))))</f>
        <v>45944</v>
      </c>
    </row>
    <row r="966" customFormat="false" ht="15" hidden="false" customHeight="false" outlineLevel="0" collapsed="false">
      <c r="A966" s="7" t="s">
        <v>2942</v>
      </c>
      <c r="B966" s="7" t="s">
        <v>2943</v>
      </c>
      <c r="C966" s="7" t="s">
        <v>209</v>
      </c>
      <c r="D966" s="7" t="s">
        <v>2944</v>
      </c>
      <c r="E966" s="7" t="s">
        <v>98</v>
      </c>
      <c r="F966" s="7" t="s">
        <v>86</v>
      </c>
      <c r="G966" s="7" t="s">
        <v>99</v>
      </c>
      <c r="H966" s="7" t="n">
        <v>1</v>
      </c>
      <c r="I966" s="7" t="n">
        <v>310</v>
      </c>
      <c r="J966" s="7" t="n">
        <v>100</v>
      </c>
      <c r="K966" s="7" t="s">
        <v>88</v>
      </c>
      <c r="L966" s="7" t="s">
        <v>194</v>
      </c>
      <c r="M966" s="7" t="n">
        <v>38</v>
      </c>
      <c r="N966" s="7" t="n">
        <v>5</v>
      </c>
      <c r="O966" s="7" t="str">
        <f aca="false">A966&amp;"|"&amp;B966&amp;"|"&amp;C966&amp;"|"&amp;D966&amp;"|"&amp;E966&amp;"|"&amp;F966&amp;"|"&amp;G966&amp;"|"&amp;H966&amp;"|"&amp;I966&amp;"|"&amp;J966&amp;"|"&amp;K966&amp;"|"&amp;L966&amp;"|"&amp;M966&amp;"|"&amp;N966</f>
        <v>ORD11147|26/05/2025|21:40|C0510|Nawabi Biryani House|Bengaluru|Biryani|1|310|100|UPI|Delivered|38|5</v>
      </c>
      <c r="P966" s="7" t="str">
        <f aca="false">IF(COUNTIF($O$2:O966,O966)&gt;1,"DUP","OK")</f>
        <v>OK</v>
      </c>
      <c r="Q966" s="7" t="n">
        <f aca="false">COUNTBLANK(A966:N966)</f>
        <v>0</v>
      </c>
      <c r="R966" s="7" t="n">
        <f aca="false">IF(A966="",0,COUNTIFS($A$2:$A$3058,A966,$P$2:$P$3058,"OK"))</f>
        <v>1</v>
      </c>
      <c r="S966" s="7" t="str">
        <f aca="false">IF(OR(A966="",P966="DUP",R966&lt;2),"",IF(Q966=_xlfn.MINIFS($Q$2:$Q$3058,$A$2:$A$3058,A966,$P$2:$P$3058,"OK"),"KEEP","DROP"))</f>
        <v/>
      </c>
      <c r="T966" s="9" t="n">
        <f aca="false">IF(A966="",1,0)</f>
        <v>0</v>
      </c>
      <c r="U966" s="9" t="n">
        <f aca="false">IF(D966="",1,0)</f>
        <v>0</v>
      </c>
      <c r="V966" s="9" t="n">
        <f aca="false">IF(E966="",1,0)</f>
        <v>0</v>
      </c>
      <c r="W966" s="9" t="n">
        <f aca="false">IF(OR(H966&lt;1,H966&gt;10),1,0)</f>
        <v>0</v>
      </c>
      <c r="X966" s="9" t="n">
        <f aca="false">IF(OR(I966&lt;=0,I966&gt;1500),1,0)</f>
        <v>0</v>
      </c>
      <c r="Y966" s="9" t="n">
        <f aca="false">IF(J966&gt;H966*I966,1,0)</f>
        <v>0</v>
      </c>
      <c r="Z966" s="9" t="n">
        <f aca="false">IF(AND(N966&lt;&gt;"",OR(N966&lt;1,N966&gt;5)),1,0)</f>
        <v>0</v>
      </c>
      <c r="AA966" s="9" t="n">
        <f aca="false">IF(AND(M966&lt;&gt;"",OR(M966&lt;5,M966&gt;180)),1,0)</f>
        <v>0</v>
      </c>
      <c r="AB966" s="7" t="str">
        <f aca="false">IF(P966="DUP","Exact duplicate row",IF(T966=1,"Missing Order ID",IF(S966="DROP","Duplicate Order ID (less complete row)",IF(U966=1,"Missing Customer ID",IF(V966=1,"Missing Restaurant name",IF(W966=1,"Invalid/outlier quantity",IF(X966=1,"Invalid/outlier unit price",IF(Y966=1,"Discount greater than order value",""))))))))</f>
        <v/>
      </c>
      <c r="AC966" s="7" t="str">
        <f aca="false">IF(AB966="","KEEP","DROP")</f>
        <v>KEEP</v>
      </c>
      <c r="AD966" s="7" t="str">
        <f aca="false">IF(TRIM(F966)="",IFERROR(INDEX(Map_Tables!$I$4:$I$37,MATCH(TRIM(E966),Map_Tables!$G$4:$G$37,0)),""),IFERROR(INDEX(Map_Tables!$B$4:$B$18,MATCH(TRIM(F966),Map_Tables!$A$4:$A$18,0)),"CHECK"))</f>
        <v>Bengaluru</v>
      </c>
      <c r="AE966" s="7" t="str">
        <f aca="false">IF(TRIM(E966)="","",IFERROR(INDEX(Map_Tables!$H$4:$H$37,MATCH(TRIM(E966),Map_Tables!$G$4:$G$37,0)),"CHECK"))</f>
        <v>Nawabi Biryani House</v>
      </c>
      <c r="AF966" s="7" t="str">
        <f aca="false">IF(TRIM(K966)="","Unknown",IFERROR(INDEX(Map_Tables!$E$4:$E$15,MATCH(TRIM(K966),Map_Tables!$D$4:$D$15,0)),"CHECK"))</f>
        <v>UPI</v>
      </c>
      <c r="AG966" s="7" t="str">
        <f aca="false">IF(LEFT(LOWER(TRIM(L966)),6)="cancel","Cancelled","Delivered")</f>
        <v>Delivered</v>
      </c>
      <c r="AH966" s="10" t="n">
        <f aca="false">IF(ISNUMBER(SEARCH("/",B966)),DATE(VALUE(RIGHT(B966,4)),VALUE(MID(B966,4,2)),VALUE(LEFT(B966,2))),IF(MID(B966,5,1)="-",DATE(VALUE(LEFT(B966,4)),VALUE(MID(B966,6,2)),VALUE(RIGHT(B966,2))),DATE(VALUE(RIGHT(B966,4)),MATCH(MID(B966,4,3),{"Jan","Feb","Mar","Apr","May","Jun","Jul","Aug","Sep","Oct","Nov","Dec"},0),VALUE(LEFT(B966,2)))))</f>
        <v>45803</v>
      </c>
    </row>
    <row r="967" customFormat="false" ht="15" hidden="false" customHeight="false" outlineLevel="0" collapsed="false">
      <c r="A967" s="7" t="s">
        <v>2945</v>
      </c>
      <c r="B967" s="7" t="s">
        <v>1376</v>
      </c>
      <c r="C967" s="7" t="s">
        <v>2946</v>
      </c>
      <c r="D967" s="7" t="s">
        <v>2947</v>
      </c>
      <c r="E967" s="7" t="s">
        <v>98</v>
      </c>
      <c r="F967" s="7" t="s">
        <v>86</v>
      </c>
      <c r="G967" s="7" t="s">
        <v>99</v>
      </c>
      <c r="H967" s="7" t="n">
        <v>1</v>
      </c>
      <c r="I967" s="7" t="n">
        <v>255</v>
      </c>
      <c r="J967" s="7" t="n">
        <v>100</v>
      </c>
      <c r="K967" s="7" t="s">
        <v>88</v>
      </c>
      <c r="L967" s="7" t="s">
        <v>194</v>
      </c>
      <c r="M967" s="7" t="n">
        <v>31</v>
      </c>
      <c r="N967" s="7" t="n">
        <v>4</v>
      </c>
      <c r="O967" s="7" t="str">
        <f aca="false">A967&amp;"|"&amp;B967&amp;"|"&amp;C967&amp;"|"&amp;D967&amp;"|"&amp;E967&amp;"|"&amp;F967&amp;"|"&amp;G967&amp;"|"&amp;H967&amp;"|"&amp;I967&amp;"|"&amp;J967&amp;"|"&amp;K967&amp;"|"&amp;L967&amp;"|"&amp;M967&amp;"|"&amp;N967</f>
        <v>ORD10998|2025-05-07|10:41|C1465|Nawabi Biryani House|Bengaluru|Biryani|1|255|100|UPI|Delivered|31|4</v>
      </c>
      <c r="P967" s="7" t="str">
        <f aca="false">IF(COUNTIF($O$2:O967,O967)&gt;1,"DUP","OK")</f>
        <v>OK</v>
      </c>
      <c r="Q967" s="7" t="n">
        <f aca="false">COUNTBLANK(A967:N967)</f>
        <v>0</v>
      </c>
      <c r="R967" s="7" t="n">
        <f aca="false">IF(A967="",0,COUNTIFS($A$2:$A$3058,A967,$P$2:$P$3058,"OK"))</f>
        <v>1</v>
      </c>
      <c r="S967" s="7" t="str">
        <f aca="false">IF(OR(A967="",P967="DUP",R967&lt;2),"",IF(Q967=_xlfn.MINIFS($Q$2:$Q$3058,$A$2:$A$3058,A967,$P$2:$P$3058,"OK"),"KEEP","DROP"))</f>
        <v/>
      </c>
      <c r="T967" s="9" t="n">
        <f aca="false">IF(A967="",1,0)</f>
        <v>0</v>
      </c>
      <c r="U967" s="9" t="n">
        <f aca="false">IF(D967="",1,0)</f>
        <v>0</v>
      </c>
      <c r="V967" s="9" t="n">
        <f aca="false">IF(E967="",1,0)</f>
        <v>0</v>
      </c>
      <c r="W967" s="9" t="n">
        <f aca="false">IF(OR(H967&lt;1,H967&gt;10),1,0)</f>
        <v>0</v>
      </c>
      <c r="X967" s="9" t="n">
        <f aca="false">IF(OR(I967&lt;=0,I967&gt;1500),1,0)</f>
        <v>0</v>
      </c>
      <c r="Y967" s="9" t="n">
        <f aca="false">IF(J967&gt;H967*I967,1,0)</f>
        <v>0</v>
      </c>
      <c r="Z967" s="9" t="n">
        <f aca="false">IF(AND(N967&lt;&gt;"",OR(N967&lt;1,N967&gt;5)),1,0)</f>
        <v>0</v>
      </c>
      <c r="AA967" s="9" t="n">
        <f aca="false">IF(AND(M967&lt;&gt;"",OR(M967&lt;5,M967&gt;180)),1,0)</f>
        <v>0</v>
      </c>
      <c r="AB967" s="7" t="str">
        <f aca="false">IF(P967="DUP","Exact duplicate row",IF(T967=1,"Missing Order ID",IF(S967="DROP","Duplicate Order ID (less complete row)",IF(U967=1,"Missing Customer ID",IF(V967=1,"Missing Restaurant name",IF(W967=1,"Invalid/outlier quantity",IF(X967=1,"Invalid/outlier unit price",IF(Y967=1,"Discount greater than order value",""))))))))</f>
        <v/>
      </c>
      <c r="AC967" s="7" t="str">
        <f aca="false">IF(AB967="","KEEP","DROP")</f>
        <v>KEEP</v>
      </c>
      <c r="AD967" s="7" t="str">
        <f aca="false">IF(TRIM(F967)="",IFERROR(INDEX(Map_Tables!$I$4:$I$37,MATCH(TRIM(E967),Map_Tables!$G$4:$G$37,0)),""),IFERROR(INDEX(Map_Tables!$B$4:$B$18,MATCH(TRIM(F967),Map_Tables!$A$4:$A$18,0)),"CHECK"))</f>
        <v>Bengaluru</v>
      </c>
      <c r="AE967" s="7" t="str">
        <f aca="false">IF(TRIM(E967)="","",IFERROR(INDEX(Map_Tables!$H$4:$H$37,MATCH(TRIM(E967),Map_Tables!$G$4:$G$37,0)),"CHECK"))</f>
        <v>Nawabi Biryani House</v>
      </c>
      <c r="AF967" s="7" t="str">
        <f aca="false">IF(TRIM(K967)="","Unknown",IFERROR(INDEX(Map_Tables!$E$4:$E$15,MATCH(TRIM(K967),Map_Tables!$D$4:$D$15,0)),"CHECK"))</f>
        <v>UPI</v>
      </c>
      <c r="AG967" s="7" t="str">
        <f aca="false">IF(LEFT(LOWER(TRIM(L967)),6)="cancel","Cancelled","Delivered")</f>
        <v>Delivered</v>
      </c>
      <c r="AH967" s="10" t="n">
        <f aca="false">IF(ISNUMBER(SEARCH("/",B967)),DATE(VALUE(RIGHT(B967,4)),VALUE(MID(B967,4,2)),VALUE(LEFT(B967,2))),IF(MID(B967,5,1)="-",DATE(VALUE(LEFT(B967,4)),VALUE(MID(B967,6,2)),VALUE(RIGHT(B967,2))),DATE(VALUE(RIGHT(B967,4)),MATCH(MID(B967,4,3),{"Jan","Feb","Mar","Apr","May","Jun","Jul","Aug","Sep","Oct","Nov","Dec"},0),VALUE(LEFT(B967,2)))))</f>
        <v>45784</v>
      </c>
    </row>
    <row r="968" customFormat="false" ht="15" hidden="false" customHeight="false" outlineLevel="0" collapsed="false">
      <c r="A968" s="7" t="s">
        <v>2948</v>
      </c>
      <c r="B968" s="7" t="s">
        <v>262</v>
      </c>
      <c r="C968" s="7" t="s">
        <v>2187</v>
      </c>
      <c r="D968" s="7" t="s">
        <v>1627</v>
      </c>
      <c r="E968" s="7" t="s">
        <v>167</v>
      </c>
      <c r="F968" s="7" t="s">
        <v>146</v>
      </c>
      <c r="G968" s="7" t="s">
        <v>156</v>
      </c>
      <c r="H968" s="7" t="n">
        <v>1</v>
      </c>
      <c r="I968" s="7" t="n">
        <v>250</v>
      </c>
      <c r="J968" s="7" t="n">
        <v>0</v>
      </c>
      <c r="K968" s="7" t="s">
        <v>112</v>
      </c>
      <c r="L968" s="7" t="s">
        <v>194</v>
      </c>
      <c r="M968" s="7" t="n">
        <v>20</v>
      </c>
      <c r="N968" s="7" t="n">
        <v>3</v>
      </c>
      <c r="O968" s="7" t="str">
        <f aca="false">A968&amp;"|"&amp;B968&amp;"|"&amp;C968&amp;"|"&amp;D968&amp;"|"&amp;E968&amp;"|"&amp;F968&amp;"|"&amp;G968&amp;"|"&amp;H968&amp;"|"&amp;I968&amp;"|"&amp;J968&amp;"|"&amp;K968&amp;"|"&amp;L968&amp;"|"&amp;M968&amp;"|"&amp;N968</f>
        <v>ORD11337|2025-06-22|09:20|C1420|Fit Fuel Kitchen|Ahmedabad|Healthy Food|1|250|0|Cash on Delivery|Delivered|20|3</v>
      </c>
      <c r="P968" s="7" t="str">
        <f aca="false">IF(COUNTIF($O$2:O968,O968)&gt;1,"DUP","OK")</f>
        <v>OK</v>
      </c>
      <c r="Q968" s="7" t="n">
        <f aca="false">COUNTBLANK(A968:N968)</f>
        <v>0</v>
      </c>
      <c r="R968" s="7" t="n">
        <f aca="false">IF(A968="",0,COUNTIFS($A$2:$A$3058,A968,$P$2:$P$3058,"OK"))</f>
        <v>1</v>
      </c>
      <c r="S968" s="7" t="str">
        <f aca="false">IF(OR(A968="",P968="DUP",R968&lt;2),"",IF(Q968=_xlfn.MINIFS($Q$2:$Q$3058,$A$2:$A$3058,A968,$P$2:$P$3058,"OK"),"KEEP","DROP"))</f>
        <v/>
      </c>
      <c r="T968" s="9" t="n">
        <f aca="false">IF(A968="",1,0)</f>
        <v>0</v>
      </c>
      <c r="U968" s="9" t="n">
        <f aca="false">IF(D968="",1,0)</f>
        <v>0</v>
      </c>
      <c r="V968" s="9" t="n">
        <f aca="false">IF(E968="",1,0)</f>
        <v>0</v>
      </c>
      <c r="W968" s="9" t="n">
        <f aca="false">IF(OR(H968&lt;1,H968&gt;10),1,0)</f>
        <v>0</v>
      </c>
      <c r="X968" s="9" t="n">
        <f aca="false">IF(OR(I968&lt;=0,I968&gt;1500),1,0)</f>
        <v>0</v>
      </c>
      <c r="Y968" s="9" t="n">
        <f aca="false">IF(J968&gt;H968*I968,1,0)</f>
        <v>0</v>
      </c>
      <c r="Z968" s="9" t="n">
        <f aca="false">IF(AND(N968&lt;&gt;"",OR(N968&lt;1,N968&gt;5)),1,0)</f>
        <v>0</v>
      </c>
      <c r="AA968" s="9" t="n">
        <f aca="false">IF(AND(M968&lt;&gt;"",OR(M968&lt;5,M968&gt;180)),1,0)</f>
        <v>0</v>
      </c>
      <c r="AB968" s="7" t="str">
        <f aca="false">IF(P968="DUP","Exact duplicate row",IF(T968=1,"Missing Order ID",IF(S968="DROP","Duplicate Order ID (less complete row)",IF(U968=1,"Missing Customer ID",IF(V968=1,"Missing Restaurant name",IF(W968=1,"Invalid/outlier quantity",IF(X968=1,"Invalid/outlier unit price",IF(Y968=1,"Discount greater than order value",""))))))))</f>
        <v/>
      </c>
      <c r="AC968" s="7" t="str">
        <f aca="false">IF(AB968="","KEEP","DROP")</f>
        <v>KEEP</v>
      </c>
      <c r="AD968" s="7" t="str">
        <f aca="false">IF(TRIM(F968)="",IFERROR(INDEX(Map_Tables!$I$4:$I$37,MATCH(TRIM(E968),Map_Tables!$G$4:$G$37,0)),""),IFERROR(INDEX(Map_Tables!$B$4:$B$18,MATCH(TRIM(F968),Map_Tables!$A$4:$A$18,0)),"CHECK"))</f>
        <v>Ahmedabad</v>
      </c>
      <c r="AE968" s="7" t="str">
        <f aca="false">IF(TRIM(E968)="","",IFERROR(INDEX(Map_Tables!$H$4:$H$37,MATCH(TRIM(E968),Map_Tables!$G$4:$G$37,0)),"CHECK"))</f>
        <v>Fit Fuel Kitchen</v>
      </c>
      <c r="AF968" s="7" t="str">
        <f aca="false">IF(TRIM(K968)="","Unknown",IFERROR(INDEX(Map_Tables!$E$4:$E$15,MATCH(TRIM(K968),Map_Tables!$D$4:$D$15,0)),"CHECK"))</f>
        <v>Cash on Delivery</v>
      </c>
      <c r="AG968" s="7" t="str">
        <f aca="false">IF(LEFT(LOWER(TRIM(L968)),6)="cancel","Cancelled","Delivered")</f>
        <v>Delivered</v>
      </c>
      <c r="AH968" s="10" t="n">
        <f aca="false">IF(ISNUMBER(SEARCH("/",B968)),DATE(VALUE(RIGHT(B968,4)),VALUE(MID(B968,4,2)),VALUE(LEFT(B968,2))),IF(MID(B968,5,1)="-",DATE(VALUE(LEFT(B968,4)),VALUE(MID(B968,6,2)),VALUE(RIGHT(B968,2))),DATE(VALUE(RIGHT(B968,4)),MATCH(MID(B968,4,3),{"Jan","Feb","Mar","Apr","May","Jun","Jul","Aug","Sep","Oct","Nov","Dec"},0),VALUE(LEFT(B968,2)))))</f>
        <v>45830</v>
      </c>
    </row>
    <row r="969" customFormat="false" ht="15" hidden="false" customHeight="false" outlineLevel="0" collapsed="false">
      <c r="A969" s="7" t="s">
        <v>2949</v>
      </c>
      <c r="B969" s="7" t="s">
        <v>2950</v>
      </c>
      <c r="C969" s="7" t="s">
        <v>2105</v>
      </c>
      <c r="D969" s="7" t="s">
        <v>2951</v>
      </c>
      <c r="E969" s="7" t="s">
        <v>147</v>
      </c>
      <c r="F969" s="7" t="s">
        <v>119</v>
      </c>
      <c r="G969" s="7" t="s">
        <v>95</v>
      </c>
      <c r="H969" s="7" t="n">
        <v>5</v>
      </c>
      <c r="I969" s="7" t="n">
        <v>150</v>
      </c>
      <c r="J969" s="7" t="n">
        <v>0</v>
      </c>
      <c r="K969" s="7" t="s">
        <v>121</v>
      </c>
      <c r="L969" s="7" t="s">
        <v>194</v>
      </c>
      <c r="M969" s="7" t="n">
        <v>24</v>
      </c>
      <c r="N969" s="7"/>
      <c r="O969" s="7" t="str">
        <f aca="false">A969&amp;"|"&amp;B969&amp;"|"&amp;C969&amp;"|"&amp;D969&amp;"|"&amp;E969&amp;"|"&amp;F969&amp;"|"&amp;G969&amp;"|"&amp;H969&amp;"|"&amp;I969&amp;"|"&amp;J969&amp;"|"&amp;K969&amp;"|"&amp;L969&amp;"|"&amp;M969&amp;"|"&amp;N969</f>
        <v>ORD10984|05/05/2025|12:12|C0596|Andhra Meals Mess|Hyderabad|South Indian|5|150|0|Wallet|Delivered|24|</v>
      </c>
      <c r="P969" s="7" t="str">
        <f aca="false">IF(COUNTIF($O$2:O969,O969)&gt;1,"DUP","OK")</f>
        <v>OK</v>
      </c>
      <c r="Q969" s="7" t="n">
        <f aca="false">COUNTBLANK(A969:N969)</f>
        <v>1</v>
      </c>
      <c r="R969" s="7" t="n">
        <f aca="false">IF(A969="",0,COUNTIFS($A$2:$A$3058,A969,$P$2:$P$3058,"OK"))</f>
        <v>1</v>
      </c>
      <c r="S969" s="7" t="str">
        <f aca="false">IF(OR(A969="",P969="DUP",R969&lt;2),"",IF(Q969=_xlfn.MINIFS($Q$2:$Q$3058,$A$2:$A$3058,A969,$P$2:$P$3058,"OK"),"KEEP","DROP"))</f>
        <v/>
      </c>
      <c r="T969" s="9" t="n">
        <f aca="false">IF(A969="",1,0)</f>
        <v>0</v>
      </c>
      <c r="U969" s="9" t="n">
        <f aca="false">IF(D969="",1,0)</f>
        <v>0</v>
      </c>
      <c r="V969" s="9" t="n">
        <f aca="false">IF(E969="",1,0)</f>
        <v>0</v>
      </c>
      <c r="W969" s="9" t="n">
        <f aca="false">IF(OR(H969&lt;1,H969&gt;10),1,0)</f>
        <v>0</v>
      </c>
      <c r="X969" s="9" t="n">
        <f aca="false">IF(OR(I969&lt;=0,I969&gt;1500),1,0)</f>
        <v>0</v>
      </c>
      <c r="Y969" s="9" t="n">
        <f aca="false">IF(J969&gt;H969*I969,1,0)</f>
        <v>0</v>
      </c>
      <c r="Z969" s="9" t="n">
        <f aca="false">IF(AND(N969&lt;&gt;"",OR(N969&lt;1,N969&gt;5)),1,0)</f>
        <v>0</v>
      </c>
      <c r="AA969" s="9" t="n">
        <f aca="false">IF(AND(M969&lt;&gt;"",OR(M969&lt;5,M969&gt;180)),1,0)</f>
        <v>0</v>
      </c>
      <c r="AB969" s="7" t="str">
        <f aca="false">IF(P969="DUP","Exact duplicate row",IF(T969=1,"Missing Order ID",IF(S969="DROP","Duplicate Order ID (less complete row)",IF(U969=1,"Missing Customer ID",IF(V969=1,"Missing Restaurant name",IF(W969=1,"Invalid/outlier quantity",IF(X969=1,"Invalid/outlier unit price",IF(Y969=1,"Discount greater than order value",""))))))))</f>
        <v/>
      </c>
      <c r="AC969" s="7" t="str">
        <f aca="false">IF(AB969="","KEEP","DROP")</f>
        <v>KEEP</v>
      </c>
      <c r="AD969" s="7" t="str">
        <f aca="false">IF(TRIM(F969)="",IFERROR(INDEX(Map_Tables!$I$4:$I$37,MATCH(TRIM(E969),Map_Tables!$G$4:$G$37,0)),""),IFERROR(INDEX(Map_Tables!$B$4:$B$18,MATCH(TRIM(F969),Map_Tables!$A$4:$A$18,0)),"CHECK"))</f>
        <v>Hyderabad</v>
      </c>
      <c r="AE969" s="7" t="str">
        <f aca="false">IF(TRIM(E969)="","",IFERROR(INDEX(Map_Tables!$H$4:$H$37,MATCH(TRIM(E969),Map_Tables!$G$4:$G$37,0)),"CHECK"))</f>
        <v>Andhra Meals Mess</v>
      </c>
      <c r="AF969" s="7" t="str">
        <f aca="false">IF(TRIM(K969)="","Unknown",IFERROR(INDEX(Map_Tables!$E$4:$E$15,MATCH(TRIM(K969),Map_Tables!$D$4:$D$15,0)),"CHECK"))</f>
        <v>Wallet</v>
      </c>
      <c r="AG969" s="7" t="str">
        <f aca="false">IF(LEFT(LOWER(TRIM(L969)),6)="cancel","Cancelled","Delivered")</f>
        <v>Delivered</v>
      </c>
      <c r="AH969" s="10" t="n">
        <f aca="false">IF(ISNUMBER(SEARCH("/",B969)),DATE(VALUE(RIGHT(B969,4)),VALUE(MID(B969,4,2)),VALUE(LEFT(B969,2))),IF(MID(B969,5,1)="-",DATE(VALUE(LEFT(B969,4)),VALUE(MID(B969,6,2)),VALUE(RIGHT(B969,2))),DATE(VALUE(RIGHT(B969,4)),MATCH(MID(B969,4,3),{"Jan","Feb","Mar","Apr","May","Jun","Jul","Aug","Sep","Oct","Nov","Dec"},0),VALUE(LEFT(B969,2)))))</f>
        <v>45782</v>
      </c>
    </row>
    <row r="970" customFormat="false" ht="15" hidden="false" customHeight="false" outlineLevel="0" collapsed="false">
      <c r="A970" s="7" t="s">
        <v>2952</v>
      </c>
      <c r="B970" s="7" t="s">
        <v>1316</v>
      </c>
      <c r="C970" s="7" t="s">
        <v>1501</v>
      </c>
      <c r="D970" s="7" t="s">
        <v>2953</v>
      </c>
      <c r="E970" s="7" t="s">
        <v>94</v>
      </c>
      <c r="F970" s="7" t="s">
        <v>86</v>
      </c>
      <c r="G970" s="7" t="s">
        <v>95</v>
      </c>
      <c r="H970" s="7" t="n">
        <v>2</v>
      </c>
      <c r="I970" s="7" t="n">
        <v>145</v>
      </c>
      <c r="J970" s="7" t="n">
        <v>40</v>
      </c>
      <c r="K970" s="7" t="s">
        <v>112</v>
      </c>
      <c r="L970" s="7" t="s">
        <v>194</v>
      </c>
      <c r="M970" s="7" t="n">
        <v>49</v>
      </c>
      <c r="N970" s="7" t="n">
        <v>5</v>
      </c>
      <c r="O970" s="7" t="str">
        <f aca="false">A970&amp;"|"&amp;B970&amp;"|"&amp;C970&amp;"|"&amp;D970&amp;"|"&amp;E970&amp;"|"&amp;F970&amp;"|"&amp;G970&amp;"|"&amp;H970&amp;"|"&amp;I970&amp;"|"&amp;J970&amp;"|"&amp;K970&amp;"|"&amp;L970&amp;"|"&amp;M970&amp;"|"&amp;N970</f>
        <v>ORD11515|2025-07-15|20:40|C0038|Dosa Darbar|Bengaluru|South Indian|2|145|40|Cash on Delivery|Delivered|49|5</v>
      </c>
      <c r="P970" s="7" t="str">
        <f aca="false">IF(COUNTIF($O$2:O970,O970)&gt;1,"DUP","OK")</f>
        <v>OK</v>
      </c>
      <c r="Q970" s="7" t="n">
        <f aca="false">COUNTBLANK(A970:N970)</f>
        <v>0</v>
      </c>
      <c r="R970" s="7" t="n">
        <f aca="false">IF(A970="",0,COUNTIFS($A$2:$A$3058,A970,$P$2:$P$3058,"OK"))</f>
        <v>1</v>
      </c>
      <c r="S970" s="7" t="str">
        <f aca="false">IF(OR(A970="",P970="DUP",R970&lt;2),"",IF(Q970=_xlfn.MINIFS($Q$2:$Q$3058,$A$2:$A$3058,A970,$P$2:$P$3058,"OK"),"KEEP","DROP"))</f>
        <v/>
      </c>
      <c r="T970" s="9" t="n">
        <f aca="false">IF(A970="",1,0)</f>
        <v>0</v>
      </c>
      <c r="U970" s="9" t="n">
        <f aca="false">IF(D970="",1,0)</f>
        <v>0</v>
      </c>
      <c r="V970" s="9" t="n">
        <f aca="false">IF(E970="",1,0)</f>
        <v>0</v>
      </c>
      <c r="W970" s="9" t="n">
        <f aca="false">IF(OR(H970&lt;1,H970&gt;10),1,0)</f>
        <v>0</v>
      </c>
      <c r="X970" s="9" t="n">
        <f aca="false">IF(OR(I970&lt;=0,I970&gt;1500),1,0)</f>
        <v>0</v>
      </c>
      <c r="Y970" s="9" t="n">
        <f aca="false">IF(J970&gt;H970*I970,1,0)</f>
        <v>0</v>
      </c>
      <c r="Z970" s="9" t="n">
        <f aca="false">IF(AND(N970&lt;&gt;"",OR(N970&lt;1,N970&gt;5)),1,0)</f>
        <v>0</v>
      </c>
      <c r="AA970" s="9" t="n">
        <f aca="false">IF(AND(M970&lt;&gt;"",OR(M970&lt;5,M970&gt;180)),1,0)</f>
        <v>0</v>
      </c>
      <c r="AB970" s="7" t="str">
        <f aca="false">IF(P970="DUP","Exact duplicate row",IF(T970=1,"Missing Order ID",IF(S970="DROP","Duplicate Order ID (less complete row)",IF(U970=1,"Missing Customer ID",IF(V970=1,"Missing Restaurant name",IF(W970=1,"Invalid/outlier quantity",IF(X970=1,"Invalid/outlier unit price",IF(Y970=1,"Discount greater than order value",""))))))))</f>
        <v/>
      </c>
      <c r="AC970" s="7" t="str">
        <f aca="false">IF(AB970="","KEEP","DROP")</f>
        <v>KEEP</v>
      </c>
      <c r="AD970" s="7" t="str">
        <f aca="false">IF(TRIM(F970)="",IFERROR(INDEX(Map_Tables!$I$4:$I$37,MATCH(TRIM(E970),Map_Tables!$G$4:$G$37,0)),""),IFERROR(INDEX(Map_Tables!$B$4:$B$18,MATCH(TRIM(F970),Map_Tables!$A$4:$A$18,0)),"CHECK"))</f>
        <v>Bengaluru</v>
      </c>
      <c r="AE970" s="7" t="str">
        <f aca="false">IF(TRIM(E970)="","",IFERROR(INDEX(Map_Tables!$H$4:$H$37,MATCH(TRIM(E970),Map_Tables!$G$4:$G$37,0)),"CHECK"))</f>
        <v>Dosa Darbar</v>
      </c>
      <c r="AF970" s="7" t="str">
        <f aca="false">IF(TRIM(K970)="","Unknown",IFERROR(INDEX(Map_Tables!$E$4:$E$15,MATCH(TRIM(K970),Map_Tables!$D$4:$D$15,0)),"CHECK"))</f>
        <v>Cash on Delivery</v>
      </c>
      <c r="AG970" s="7" t="str">
        <f aca="false">IF(LEFT(LOWER(TRIM(L970)),6)="cancel","Cancelled","Delivered")</f>
        <v>Delivered</v>
      </c>
      <c r="AH970" s="10" t="n">
        <f aca="false">IF(ISNUMBER(SEARCH("/",B970)),DATE(VALUE(RIGHT(B970,4)),VALUE(MID(B970,4,2)),VALUE(LEFT(B970,2))),IF(MID(B970,5,1)="-",DATE(VALUE(LEFT(B970,4)),VALUE(MID(B970,6,2)),VALUE(RIGHT(B970,2))),DATE(VALUE(RIGHT(B970,4)),MATCH(MID(B970,4,3),{"Jan","Feb","Mar","Apr","May","Jun","Jul","Aug","Sep","Oct","Nov","Dec"},0),VALUE(LEFT(B970,2)))))</f>
        <v>45853</v>
      </c>
    </row>
    <row r="971" customFormat="false" ht="15" hidden="false" customHeight="false" outlineLevel="0" collapsed="false">
      <c r="A971" s="7" t="s">
        <v>2954</v>
      </c>
      <c r="B971" s="7" t="s">
        <v>469</v>
      </c>
      <c r="C971" s="7" t="s">
        <v>258</v>
      </c>
      <c r="D971" s="7" t="s">
        <v>2955</v>
      </c>
      <c r="E971" s="7" t="s">
        <v>98</v>
      </c>
      <c r="F971" s="7" t="s">
        <v>449</v>
      </c>
      <c r="G971" s="7" t="s">
        <v>99</v>
      </c>
      <c r="H971" s="7" t="n">
        <v>1</v>
      </c>
      <c r="I971" s="7" t="n">
        <v>290</v>
      </c>
      <c r="J971" s="7" t="n">
        <v>20</v>
      </c>
      <c r="K971" s="7" t="s">
        <v>88</v>
      </c>
      <c r="L971" s="7" t="s">
        <v>194</v>
      </c>
      <c r="M971" s="7" t="n">
        <v>49</v>
      </c>
      <c r="N971" s="7" t="n">
        <v>4</v>
      </c>
      <c r="O971" s="7" t="str">
        <f aca="false">A971&amp;"|"&amp;B971&amp;"|"&amp;C971&amp;"|"&amp;D971&amp;"|"&amp;E971&amp;"|"&amp;F971&amp;"|"&amp;G971&amp;"|"&amp;H971&amp;"|"&amp;I971&amp;"|"&amp;J971&amp;"|"&amp;K971&amp;"|"&amp;L971&amp;"|"&amp;M971&amp;"|"&amp;N971</f>
        <v>ORD11685|2025-08-08|20:24|C1400|Nawabi Biryani House|BLR|Biryani|1|290|20|UPI|Delivered|49|4</v>
      </c>
      <c r="P971" s="7" t="str">
        <f aca="false">IF(COUNTIF($O$2:O971,O971)&gt;1,"DUP","OK")</f>
        <v>OK</v>
      </c>
      <c r="Q971" s="7" t="n">
        <f aca="false">COUNTBLANK(A971:N971)</f>
        <v>0</v>
      </c>
      <c r="R971" s="7" t="n">
        <f aca="false">IF(A971="",0,COUNTIFS($A$2:$A$3058,A971,$P$2:$P$3058,"OK"))</f>
        <v>1</v>
      </c>
      <c r="S971" s="7" t="str">
        <f aca="false">IF(OR(A971="",P971="DUP",R971&lt;2),"",IF(Q971=_xlfn.MINIFS($Q$2:$Q$3058,$A$2:$A$3058,A971,$P$2:$P$3058,"OK"),"KEEP","DROP"))</f>
        <v/>
      </c>
      <c r="T971" s="9" t="n">
        <f aca="false">IF(A971="",1,0)</f>
        <v>0</v>
      </c>
      <c r="U971" s="9" t="n">
        <f aca="false">IF(D971="",1,0)</f>
        <v>0</v>
      </c>
      <c r="V971" s="9" t="n">
        <f aca="false">IF(E971="",1,0)</f>
        <v>0</v>
      </c>
      <c r="W971" s="9" t="n">
        <f aca="false">IF(OR(H971&lt;1,H971&gt;10),1,0)</f>
        <v>0</v>
      </c>
      <c r="X971" s="9" t="n">
        <f aca="false">IF(OR(I971&lt;=0,I971&gt;1500),1,0)</f>
        <v>0</v>
      </c>
      <c r="Y971" s="9" t="n">
        <f aca="false">IF(J971&gt;H971*I971,1,0)</f>
        <v>0</v>
      </c>
      <c r="Z971" s="9" t="n">
        <f aca="false">IF(AND(N971&lt;&gt;"",OR(N971&lt;1,N971&gt;5)),1,0)</f>
        <v>0</v>
      </c>
      <c r="AA971" s="9" t="n">
        <f aca="false">IF(AND(M971&lt;&gt;"",OR(M971&lt;5,M971&gt;180)),1,0)</f>
        <v>0</v>
      </c>
      <c r="AB971" s="7" t="str">
        <f aca="false">IF(P971="DUP","Exact duplicate row",IF(T971=1,"Missing Order ID",IF(S971="DROP","Duplicate Order ID (less complete row)",IF(U971=1,"Missing Customer ID",IF(V971=1,"Missing Restaurant name",IF(W971=1,"Invalid/outlier quantity",IF(X971=1,"Invalid/outlier unit price",IF(Y971=1,"Discount greater than order value",""))))))))</f>
        <v/>
      </c>
      <c r="AC971" s="7" t="str">
        <f aca="false">IF(AB971="","KEEP","DROP")</f>
        <v>KEEP</v>
      </c>
      <c r="AD971" s="7" t="str">
        <f aca="false">IF(TRIM(F971)="",IFERROR(INDEX(Map_Tables!$I$4:$I$37,MATCH(TRIM(E971),Map_Tables!$G$4:$G$37,0)),""),IFERROR(INDEX(Map_Tables!$B$4:$B$18,MATCH(TRIM(F971),Map_Tables!$A$4:$A$18,0)),"CHECK"))</f>
        <v>Bengaluru</v>
      </c>
      <c r="AE971" s="7" t="str">
        <f aca="false">IF(TRIM(E971)="","",IFERROR(INDEX(Map_Tables!$H$4:$H$37,MATCH(TRIM(E971),Map_Tables!$G$4:$G$37,0)),"CHECK"))</f>
        <v>Nawabi Biryani House</v>
      </c>
      <c r="AF971" s="7" t="str">
        <f aca="false">IF(TRIM(K971)="","Unknown",IFERROR(INDEX(Map_Tables!$E$4:$E$15,MATCH(TRIM(K971),Map_Tables!$D$4:$D$15,0)),"CHECK"))</f>
        <v>UPI</v>
      </c>
      <c r="AG971" s="7" t="str">
        <f aca="false">IF(LEFT(LOWER(TRIM(L971)),6)="cancel","Cancelled","Delivered")</f>
        <v>Delivered</v>
      </c>
      <c r="AH971" s="10" t="n">
        <f aca="false">IF(ISNUMBER(SEARCH("/",B971)),DATE(VALUE(RIGHT(B971,4)),VALUE(MID(B971,4,2)),VALUE(LEFT(B971,2))),IF(MID(B971,5,1)="-",DATE(VALUE(LEFT(B971,4)),VALUE(MID(B971,6,2)),VALUE(RIGHT(B971,2))),DATE(VALUE(RIGHT(B971,4)),MATCH(MID(B971,4,3),{"Jan","Feb","Mar","Apr","May","Jun","Jul","Aug","Sep","Oct","Nov","Dec"},0),VALUE(LEFT(B971,2)))))</f>
        <v>45877</v>
      </c>
    </row>
    <row r="972" customFormat="false" ht="15" hidden="false" customHeight="false" outlineLevel="0" collapsed="false">
      <c r="A972" s="7" t="s">
        <v>2956</v>
      </c>
      <c r="B972" s="7" t="s">
        <v>2713</v>
      </c>
      <c r="C972" s="7" t="s">
        <v>2957</v>
      </c>
      <c r="D972" s="7" t="s">
        <v>2958</v>
      </c>
      <c r="E972" s="7" t="s">
        <v>94</v>
      </c>
      <c r="F972" s="7" t="s">
        <v>86</v>
      </c>
      <c r="G972" s="7" t="s">
        <v>95</v>
      </c>
      <c r="H972" s="7" t="n">
        <v>1</v>
      </c>
      <c r="I972" s="7" t="n">
        <v>120</v>
      </c>
      <c r="J972" s="7" t="n">
        <v>0</v>
      </c>
      <c r="K972" s="7" t="s">
        <v>133</v>
      </c>
      <c r="L972" s="7" t="s">
        <v>194</v>
      </c>
      <c r="M972" s="7" t="n">
        <v>52</v>
      </c>
      <c r="N972" s="7" t="n">
        <v>3</v>
      </c>
      <c r="O972" s="7" t="str">
        <f aca="false">A972&amp;"|"&amp;B972&amp;"|"&amp;C972&amp;"|"&amp;D972&amp;"|"&amp;E972&amp;"|"&amp;F972&amp;"|"&amp;G972&amp;"|"&amp;H972&amp;"|"&amp;I972&amp;"|"&amp;J972&amp;"|"&amp;K972&amp;"|"&amp;L972&amp;"|"&amp;M972&amp;"|"&amp;N972</f>
        <v>ORD10980|2025-05-04|19:42|C0758|Dosa Darbar|Bengaluru|South Indian|1|120|0|Net Banking|Delivered|52|3</v>
      </c>
      <c r="P972" s="7" t="str">
        <f aca="false">IF(COUNTIF($O$2:O972,O972)&gt;1,"DUP","OK")</f>
        <v>OK</v>
      </c>
      <c r="Q972" s="7" t="n">
        <f aca="false">COUNTBLANK(A972:N972)</f>
        <v>0</v>
      </c>
      <c r="R972" s="7" t="n">
        <f aca="false">IF(A972="",0,COUNTIFS($A$2:$A$3058,A972,$P$2:$P$3058,"OK"))</f>
        <v>1</v>
      </c>
      <c r="S972" s="7" t="str">
        <f aca="false">IF(OR(A972="",P972="DUP",R972&lt;2),"",IF(Q972=_xlfn.MINIFS($Q$2:$Q$3058,$A$2:$A$3058,A972,$P$2:$P$3058,"OK"),"KEEP","DROP"))</f>
        <v/>
      </c>
      <c r="T972" s="9" t="n">
        <f aca="false">IF(A972="",1,0)</f>
        <v>0</v>
      </c>
      <c r="U972" s="9" t="n">
        <f aca="false">IF(D972="",1,0)</f>
        <v>0</v>
      </c>
      <c r="V972" s="9" t="n">
        <f aca="false">IF(E972="",1,0)</f>
        <v>0</v>
      </c>
      <c r="W972" s="9" t="n">
        <f aca="false">IF(OR(H972&lt;1,H972&gt;10),1,0)</f>
        <v>0</v>
      </c>
      <c r="X972" s="9" t="n">
        <f aca="false">IF(OR(I972&lt;=0,I972&gt;1500),1,0)</f>
        <v>0</v>
      </c>
      <c r="Y972" s="9" t="n">
        <f aca="false">IF(J972&gt;H972*I972,1,0)</f>
        <v>0</v>
      </c>
      <c r="Z972" s="9" t="n">
        <f aca="false">IF(AND(N972&lt;&gt;"",OR(N972&lt;1,N972&gt;5)),1,0)</f>
        <v>0</v>
      </c>
      <c r="AA972" s="9" t="n">
        <f aca="false">IF(AND(M972&lt;&gt;"",OR(M972&lt;5,M972&gt;180)),1,0)</f>
        <v>0</v>
      </c>
      <c r="AB972" s="7" t="str">
        <f aca="false">IF(P972="DUP","Exact duplicate row",IF(T972=1,"Missing Order ID",IF(S972="DROP","Duplicate Order ID (less complete row)",IF(U972=1,"Missing Customer ID",IF(V972=1,"Missing Restaurant name",IF(W972=1,"Invalid/outlier quantity",IF(X972=1,"Invalid/outlier unit price",IF(Y972=1,"Discount greater than order value",""))))))))</f>
        <v/>
      </c>
      <c r="AC972" s="7" t="str">
        <f aca="false">IF(AB972="","KEEP","DROP")</f>
        <v>KEEP</v>
      </c>
      <c r="AD972" s="7" t="str">
        <f aca="false">IF(TRIM(F972)="",IFERROR(INDEX(Map_Tables!$I$4:$I$37,MATCH(TRIM(E972),Map_Tables!$G$4:$G$37,0)),""),IFERROR(INDEX(Map_Tables!$B$4:$B$18,MATCH(TRIM(F972),Map_Tables!$A$4:$A$18,0)),"CHECK"))</f>
        <v>Bengaluru</v>
      </c>
      <c r="AE972" s="7" t="str">
        <f aca="false">IF(TRIM(E972)="","",IFERROR(INDEX(Map_Tables!$H$4:$H$37,MATCH(TRIM(E972),Map_Tables!$G$4:$G$37,0)),"CHECK"))</f>
        <v>Dosa Darbar</v>
      </c>
      <c r="AF972" s="7" t="str">
        <f aca="false">IF(TRIM(K972)="","Unknown",IFERROR(INDEX(Map_Tables!$E$4:$E$15,MATCH(TRIM(K972),Map_Tables!$D$4:$D$15,0)),"CHECK"))</f>
        <v>Net Banking</v>
      </c>
      <c r="AG972" s="7" t="str">
        <f aca="false">IF(LEFT(LOWER(TRIM(L972)),6)="cancel","Cancelled","Delivered")</f>
        <v>Delivered</v>
      </c>
      <c r="AH972" s="10" t="n">
        <f aca="false">IF(ISNUMBER(SEARCH("/",B972)),DATE(VALUE(RIGHT(B972,4)),VALUE(MID(B972,4,2)),VALUE(LEFT(B972,2))),IF(MID(B972,5,1)="-",DATE(VALUE(LEFT(B972,4)),VALUE(MID(B972,6,2)),VALUE(RIGHT(B972,2))),DATE(VALUE(RIGHT(B972,4)),MATCH(MID(B972,4,3),{"Jan","Feb","Mar","Apr","May","Jun","Jul","Aug","Sep","Oct","Nov","Dec"},0),VALUE(LEFT(B972,2)))))</f>
        <v>45781</v>
      </c>
    </row>
    <row r="973" customFormat="false" ht="15" hidden="false" customHeight="false" outlineLevel="0" collapsed="false">
      <c r="A973" s="7" t="s">
        <v>2959</v>
      </c>
      <c r="B973" s="7" t="s">
        <v>2069</v>
      </c>
      <c r="C973" s="7" t="s">
        <v>2219</v>
      </c>
      <c r="D973" s="7" t="s">
        <v>2960</v>
      </c>
      <c r="E973" s="7" t="s">
        <v>94</v>
      </c>
      <c r="F973" s="7" t="s">
        <v>86</v>
      </c>
      <c r="G973" s="7" t="s">
        <v>95</v>
      </c>
      <c r="H973" s="7" t="n">
        <v>4</v>
      </c>
      <c r="I973" s="7" t="n">
        <v>95</v>
      </c>
      <c r="J973" s="7" t="n">
        <v>75</v>
      </c>
      <c r="K973" s="7" t="s">
        <v>88</v>
      </c>
      <c r="L973" s="7" t="s">
        <v>457</v>
      </c>
      <c r="M973" s="7" t="n">
        <v>39</v>
      </c>
      <c r="N973" s="7" t="n">
        <v>3</v>
      </c>
      <c r="O973" s="7" t="str">
        <f aca="false">A973&amp;"|"&amp;B973&amp;"|"&amp;C973&amp;"|"&amp;D973&amp;"|"&amp;E973&amp;"|"&amp;F973&amp;"|"&amp;G973&amp;"|"&amp;H973&amp;"|"&amp;I973&amp;"|"&amp;J973&amp;"|"&amp;K973&amp;"|"&amp;L973&amp;"|"&amp;M973&amp;"|"&amp;N973</f>
        <v>ORD11348|2025-06-23|10:26|C1408|Dosa Darbar|Bengaluru|South Indian|4|95|75|UPI|Delivered |39|3</v>
      </c>
      <c r="P973" s="7" t="str">
        <f aca="false">IF(COUNTIF($O$2:O973,O973)&gt;1,"DUP","OK")</f>
        <v>OK</v>
      </c>
      <c r="Q973" s="7" t="n">
        <f aca="false">COUNTBLANK(A973:N973)</f>
        <v>0</v>
      </c>
      <c r="R973" s="7" t="n">
        <f aca="false">IF(A973="",0,COUNTIFS($A$2:$A$3058,A973,$P$2:$P$3058,"OK"))</f>
        <v>1</v>
      </c>
      <c r="S973" s="7" t="str">
        <f aca="false">IF(OR(A973="",P973="DUP",R973&lt;2),"",IF(Q973=_xlfn.MINIFS($Q$2:$Q$3058,$A$2:$A$3058,A973,$P$2:$P$3058,"OK"),"KEEP","DROP"))</f>
        <v/>
      </c>
      <c r="T973" s="9" t="n">
        <f aca="false">IF(A973="",1,0)</f>
        <v>0</v>
      </c>
      <c r="U973" s="9" t="n">
        <f aca="false">IF(D973="",1,0)</f>
        <v>0</v>
      </c>
      <c r="V973" s="9" t="n">
        <f aca="false">IF(E973="",1,0)</f>
        <v>0</v>
      </c>
      <c r="W973" s="9" t="n">
        <f aca="false">IF(OR(H973&lt;1,H973&gt;10),1,0)</f>
        <v>0</v>
      </c>
      <c r="X973" s="9" t="n">
        <f aca="false">IF(OR(I973&lt;=0,I973&gt;1500),1,0)</f>
        <v>0</v>
      </c>
      <c r="Y973" s="9" t="n">
        <f aca="false">IF(J973&gt;H973*I973,1,0)</f>
        <v>0</v>
      </c>
      <c r="Z973" s="9" t="n">
        <f aca="false">IF(AND(N973&lt;&gt;"",OR(N973&lt;1,N973&gt;5)),1,0)</f>
        <v>0</v>
      </c>
      <c r="AA973" s="9" t="n">
        <f aca="false">IF(AND(M973&lt;&gt;"",OR(M973&lt;5,M973&gt;180)),1,0)</f>
        <v>0</v>
      </c>
      <c r="AB973" s="7" t="str">
        <f aca="false">IF(P973="DUP","Exact duplicate row",IF(T973=1,"Missing Order ID",IF(S973="DROP","Duplicate Order ID (less complete row)",IF(U973=1,"Missing Customer ID",IF(V973=1,"Missing Restaurant name",IF(W973=1,"Invalid/outlier quantity",IF(X973=1,"Invalid/outlier unit price",IF(Y973=1,"Discount greater than order value",""))))))))</f>
        <v/>
      </c>
      <c r="AC973" s="7" t="str">
        <f aca="false">IF(AB973="","KEEP","DROP")</f>
        <v>KEEP</v>
      </c>
      <c r="AD973" s="7" t="str">
        <f aca="false">IF(TRIM(F973)="",IFERROR(INDEX(Map_Tables!$I$4:$I$37,MATCH(TRIM(E973),Map_Tables!$G$4:$G$37,0)),""),IFERROR(INDEX(Map_Tables!$B$4:$B$18,MATCH(TRIM(F973),Map_Tables!$A$4:$A$18,0)),"CHECK"))</f>
        <v>Bengaluru</v>
      </c>
      <c r="AE973" s="7" t="str">
        <f aca="false">IF(TRIM(E973)="","",IFERROR(INDEX(Map_Tables!$H$4:$H$37,MATCH(TRIM(E973),Map_Tables!$G$4:$G$37,0)),"CHECK"))</f>
        <v>Dosa Darbar</v>
      </c>
      <c r="AF973" s="7" t="str">
        <f aca="false">IF(TRIM(K973)="","Unknown",IFERROR(INDEX(Map_Tables!$E$4:$E$15,MATCH(TRIM(K973),Map_Tables!$D$4:$D$15,0)),"CHECK"))</f>
        <v>UPI</v>
      </c>
      <c r="AG973" s="7" t="str">
        <f aca="false">IF(LEFT(LOWER(TRIM(L973)),6)="cancel","Cancelled","Delivered")</f>
        <v>Delivered</v>
      </c>
      <c r="AH973" s="10" t="n">
        <f aca="false">IF(ISNUMBER(SEARCH("/",B973)),DATE(VALUE(RIGHT(B973,4)),VALUE(MID(B973,4,2)),VALUE(LEFT(B973,2))),IF(MID(B973,5,1)="-",DATE(VALUE(LEFT(B973,4)),VALUE(MID(B973,6,2)),VALUE(RIGHT(B973,2))),DATE(VALUE(RIGHT(B973,4)),MATCH(MID(B973,4,3),{"Jan","Feb","Mar","Apr","May","Jun","Jul","Aug","Sep","Oct","Nov","Dec"},0),VALUE(LEFT(B973,2)))))</f>
        <v>45831</v>
      </c>
    </row>
    <row r="974" customFormat="false" ht="15" hidden="false" customHeight="false" outlineLevel="0" collapsed="false">
      <c r="A974" s="7" t="s">
        <v>2961</v>
      </c>
      <c r="B974" s="7" t="s">
        <v>1535</v>
      </c>
      <c r="C974" s="7" t="s">
        <v>249</v>
      </c>
      <c r="D974" s="7" t="s">
        <v>2077</v>
      </c>
      <c r="E974" s="7" t="s">
        <v>138</v>
      </c>
      <c r="F974" s="7" t="s">
        <v>110</v>
      </c>
      <c r="G974" s="7" t="s">
        <v>139</v>
      </c>
      <c r="H974" s="7" t="n">
        <v>3</v>
      </c>
      <c r="I974" s="7" t="n">
        <v>220</v>
      </c>
      <c r="J974" s="7" t="n">
        <v>125</v>
      </c>
      <c r="K974" s="7" t="s">
        <v>229</v>
      </c>
      <c r="L974" s="7" t="s">
        <v>194</v>
      </c>
      <c r="M974" s="7" t="n">
        <v>47</v>
      </c>
      <c r="N974" s="7" t="n">
        <v>4</v>
      </c>
      <c r="O974" s="7" t="str">
        <f aca="false">A974&amp;"|"&amp;B974&amp;"|"&amp;C974&amp;"|"&amp;D974&amp;"|"&amp;E974&amp;"|"&amp;F974&amp;"|"&amp;G974&amp;"|"&amp;H974&amp;"|"&amp;I974&amp;"|"&amp;J974&amp;"|"&amp;K974&amp;"|"&amp;L974&amp;"|"&amp;M974&amp;"|"&amp;N974</f>
        <v>ORD12015|2025-09-18|14:00|C0006|Burger Barn|Delhi|Burgers|3|220|125|Upi|Delivered|47|4</v>
      </c>
      <c r="P974" s="7" t="str">
        <f aca="false">IF(COUNTIF($O$2:O974,O974)&gt;1,"DUP","OK")</f>
        <v>OK</v>
      </c>
      <c r="Q974" s="7" t="n">
        <f aca="false">COUNTBLANK(A974:N974)</f>
        <v>0</v>
      </c>
      <c r="R974" s="7" t="n">
        <f aca="false">IF(A974="",0,COUNTIFS($A$2:$A$3058,A974,$P$2:$P$3058,"OK"))</f>
        <v>1</v>
      </c>
      <c r="S974" s="7" t="str">
        <f aca="false">IF(OR(A974="",P974="DUP",R974&lt;2),"",IF(Q974=_xlfn.MINIFS($Q$2:$Q$3058,$A$2:$A$3058,A974,$P$2:$P$3058,"OK"),"KEEP","DROP"))</f>
        <v/>
      </c>
      <c r="T974" s="9" t="n">
        <f aca="false">IF(A974="",1,0)</f>
        <v>0</v>
      </c>
      <c r="U974" s="9" t="n">
        <f aca="false">IF(D974="",1,0)</f>
        <v>0</v>
      </c>
      <c r="V974" s="9" t="n">
        <f aca="false">IF(E974="",1,0)</f>
        <v>0</v>
      </c>
      <c r="W974" s="9" t="n">
        <f aca="false">IF(OR(H974&lt;1,H974&gt;10),1,0)</f>
        <v>0</v>
      </c>
      <c r="X974" s="9" t="n">
        <f aca="false">IF(OR(I974&lt;=0,I974&gt;1500),1,0)</f>
        <v>0</v>
      </c>
      <c r="Y974" s="9" t="n">
        <f aca="false">IF(J974&gt;H974*I974,1,0)</f>
        <v>0</v>
      </c>
      <c r="Z974" s="9" t="n">
        <f aca="false">IF(AND(N974&lt;&gt;"",OR(N974&lt;1,N974&gt;5)),1,0)</f>
        <v>0</v>
      </c>
      <c r="AA974" s="9" t="n">
        <f aca="false">IF(AND(M974&lt;&gt;"",OR(M974&lt;5,M974&gt;180)),1,0)</f>
        <v>0</v>
      </c>
      <c r="AB974" s="7" t="str">
        <f aca="false">IF(P974="DUP","Exact duplicate row",IF(T974=1,"Missing Order ID",IF(S974="DROP","Duplicate Order ID (less complete row)",IF(U974=1,"Missing Customer ID",IF(V974=1,"Missing Restaurant name",IF(W974=1,"Invalid/outlier quantity",IF(X974=1,"Invalid/outlier unit price",IF(Y974=1,"Discount greater than order value",""))))))))</f>
        <v/>
      </c>
      <c r="AC974" s="7" t="str">
        <f aca="false">IF(AB974="","KEEP","DROP")</f>
        <v>KEEP</v>
      </c>
      <c r="AD974" s="7" t="str">
        <f aca="false">IF(TRIM(F974)="",IFERROR(INDEX(Map_Tables!$I$4:$I$37,MATCH(TRIM(E974),Map_Tables!$G$4:$G$37,0)),""),IFERROR(INDEX(Map_Tables!$B$4:$B$18,MATCH(TRIM(F974),Map_Tables!$A$4:$A$18,0)),"CHECK"))</f>
        <v>Delhi</v>
      </c>
      <c r="AE974" s="7" t="str">
        <f aca="false">IF(TRIM(E974)="","",IFERROR(INDEX(Map_Tables!$H$4:$H$37,MATCH(TRIM(E974),Map_Tables!$G$4:$G$37,0)),"CHECK"))</f>
        <v>Burger Barn</v>
      </c>
      <c r="AF974" s="7" t="str">
        <f aca="false">IF(TRIM(K974)="","Unknown",IFERROR(INDEX(Map_Tables!$E$4:$E$15,MATCH(TRIM(K974),Map_Tables!$D$4:$D$15,0)),"CHECK"))</f>
        <v>UPI</v>
      </c>
      <c r="AG974" s="7" t="str">
        <f aca="false">IF(LEFT(LOWER(TRIM(L974)),6)="cancel","Cancelled","Delivered")</f>
        <v>Delivered</v>
      </c>
      <c r="AH974" s="10" t="n">
        <f aca="false">IF(ISNUMBER(SEARCH("/",B974)),DATE(VALUE(RIGHT(B974,4)),VALUE(MID(B974,4,2)),VALUE(LEFT(B974,2))),IF(MID(B974,5,1)="-",DATE(VALUE(LEFT(B974,4)),VALUE(MID(B974,6,2)),VALUE(RIGHT(B974,2))),DATE(VALUE(RIGHT(B974,4)),MATCH(MID(B974,4,3),{"Jan","Feb","Mar","Apr","May","Jun","Jul","Aug","Sep","Oct","Nov","Dec"},0),VALUE(LEFT(B974,2)))))</f>
        <v>45918</v>
      </c>
    </row>
    <row r="975" customFormat="false" ht="15" hidden="false" customHeight="false" outlineLevel="0" collapsed="false">
      <c r="A975" s="7" t="s">
        <v>2962</v>
      </c>
      <c r="B975" s="7" t="s">
        <v>376</v>
      </c>
      <c r="C975" s="7" t="s">
        <v>2963</v>
      </c>
      <c r="D975" s="7" t="s">
        <v>2964</v>
      </c>
      <c r="E975" s="7" t="s">
        <v>167</v>
      </c>
      <c r="F975" s="7" t="s">
        <v>146</v>
      </c>
      <c r="G975" s="7" t="s">
        <v>156</v>
      </c>
      <c r="H975" s="7" t="n">
        <v>1</v>
      </c>
      <c r="I975" s="7" t="n">
        <v>280</v>
      </c>
      <c r="J975" s="7" t="n">
        <v>50</v>
      </c>
      <c r="K975" s="7" t="s">
        <v>133</v>
      </c>
      <c r="L975" s="7" t="s">
        <v>194</v>
      </c>
      <c r="M975" s="7" t="n">
        <v>23</v>
      </c>
      <c r="N975" s="7" t="n">
        <v>3</v>
      </c>
      <c r="O975" s="7" t="str">
        <f aca="false">A975&amp;"|"&amp;B975&amp;"|"&amp;C975&amp;"|"&amp;D975&amp;"|"&amp;E975&amp;"|"&amp;F975&amp;"|"&amp;G975&amp;"|"&amp;H975&amp;"|"&amp;I975&amp;"|"&amp;J975&amp;"|"&amp;K975&amp;"|"&amp;L975&amp;"|"&amp;M975&amp;"|"&amp;N975</f>
        <v>ORD11503|2025-07-14|18:05|C1382|Fit Fuel Kitchen|Ahmedabad|Healthy Food|1|280|50|Net Banking|Delivered|23|3</v>
      </c>
      <c r="P975" s="7" t="str">
        <f aca="false">IF(COUNTIF($O$2:O975,O975)&gt;1,"DUP","OK")</f>
        <v>OK</v>
      </c>
      <c r="Q975" s="7" t="n">
        <f aca="false">COUNTBLANK(A975:N975)</f>
        <v>0</v>
      </c>
      <c r="R975" s="7" t="n">
        <f aca="false">IF(A975="",0,COUNTIFS($A$2:$A$3058,A975,$P$2:$P$3058,"OK"))</f>
        <v>1</v>
      </c>
      <c r="S975" s="7" t="str">
        <f aca="false">IF(OR(A975="",P975="DUP",R975&lt;2),"",IF(Q975=_xlfn.MINIFS($Q$2:$Q$3058,$A$2:$A$3058,A975,$P$2:$P$3058,"OK"),"KEEP","DROP"))</f>
        <v/>
      </c>
      <c r="T975" s="9" t="n">
        <f aca="false">IF(A975="",1,0)</f>
        <v>0</v>
      </c>
      <c r="U975" s="9" t="n">
        <f aca="false">IF(D975="",1,0)</f>
        <v>0</v>
      </c>
      <c r="V975" s="9" t="n">
        <f aca="false">IF(E975="",1,0)</f>
        <v>0</v>
      </c>
      <c r="W975" s="9" t="n">
        <f aca="false">IF(OR(H975&lt;1,H975&gt;10),1,0)</f>
        <v>0</v>
      </c>
      <c r="X975" s="9" t="n">
        <f aca="false">IF(OR(I975&lt;=0,I975&gt;1500),1,0)</f>
        <v>0</v>
      </c>
      <c r="Y975" s="9" t="n">
        <f aca="false">IF(J975&gt;H975*I975,1,0)</f>
        <v>0</v>
      </c>
      <c r="Z975" s="9" t="n">
        <f aca="false">IF(AND(N975&lt;&gt;"",OR(N975&lt;1,N975&gt;5)),1,0)</f>
        <v>0</v>
      </c>
      <c r="AA975" s="9" t="n">
        <f aca="false">IF(AND(M975&lt;&gt;"",OR(M975&lt;5,M975&gt;180)),1,0)</f>
        <v>0</v>
      </c>
      <c r="AB975" s="7" t="str">
        <f aca="false">IF(P975="DUP","Exact duplicate row",IF(T975=1,"Missing Order ID",IF(S975="DROP","Duplicate Order ID (less complete row)",IF(U975=1,"Missing Customer ID",IF(V975=1,"Missing Restaurant name",IF(W975=1,"Invalid/outlier quantity",IF(X975=1,"Invalid/outlier unit price",IF(Y975=1,"Discount greater than order value",""))))))))</f>
        <v/>
      </c>
      <c r="AC975" s="7" t="str">
        <f aca="false">IF(AB975="","KEEP","DROP")</f>
        <v>KEEP</v>
      </c>
      <c r="AD975" s="7" t="str">
        <f aca="false">IF(TRIM(F975)="",IFERROR(INDEX(Map_Tables!$I$4:$I$37,MATCH(TRIM(E975),Map_Tables!$G$4:$G$37,0)),""),IFERROR(INDEX(Map_Tables!$B$4:$B$18,MATCH(TRIM(F975),Map_Tables!$A$4:$A$18,0)),"CHECK"))</f>
        <v>Ahmedabad</v>
      </c>
      <c r="AE975" s="7" t="str">
        <f aca="false">IF(TRIM(E975)="","",IFERROR(INDEX(Map_Tables!$H$4:$H$37,MATCH(TRIM(E975),Map_Tables!$G$4:$G$37,0)),"CHECK"))</f>
        <v>Fit Fuel Kitchen</v>
      </c>
      <c r="AF975" s="7" t="str">
        <f aca="false">IF(TRIM(K975)="","Unknown",IFERROR(INDEX(Map_Tables!$E$4:$E$15,MATCH(TRIM(K975),Map_Tables!$D$4:$D$15,0)),"CHECK"))</f>
        <v>Net Banking</v>
      </c>
      <c r="AG975" s="7" t="str">
        <f aca="false">IF(LEFT(LOWER(TRIM(L975)),6)="cancel","Cancelled","Delivered")</f>
        <v>Delivered</v>
      </c>
      <c r="AH975" s="10" t="n">
        <f aca="false">IF(ISNUMBER(SEARCH("/",B975)),DATE(VALUE(RIGHT(B975,4)),VALUE(MID(B975,4,2)),VALUE(LEFT(B975,2))),IF(MID(B975,5,1)="-",DATE(VALUE(LEFT(B975,4)),VALUE(MID(B975,6,2)),VALUE(RIGHT(B975,2))),DATE(VALUE(RIGHT(B975,4)),MATCH(MID(B975,4,3),{"Jan","Feb","Mar","Apr","May","Jun","Jul","Aug","Sep","Oct","Nov","Dec"},0),VALUE(LEFT(B975,2)))))</f>
        <v>45852</v>
      </c>
    </row>
    <row r="976" customFormat="false" ht="15" hidden="false" customHeight="false" outlineLevel="0" collapsed="false">
      <c r="A976" s="7" t="s">
        <v>2965</v>
      </c>
      <c r="B976" s="7" t="s">
        <v>1907</v>
      </c>
      <c r="C976" s="7" t="s">
        <v>2966</v>
      </c>
      <c r="D976" s="7" t="s">
        <v>2967</v>
      </c>
      <c r="E976" s="7" t="s">
        <v>147</v>
      </c>
      <c r="F976" s="7" t="s">
        <v>119</v>
      </c>
      <c r="G976" s="7" t="s">
        <v>95</v>
      </c>
      <c r="H976" s="7" t="n">
        <v>2</v>
      </c>
      <c r="I976" s="7" t="n">
        <v>165</v>
      </c>
      <c r="J976" s="7" t="n">
        <v>0</v>
      </c>
      <c r="K976" s="7" t="s">
        <v>421</v>
      </c>
      <c r="L976" s="7" t="s">
        <v>194</v>
      </c>
      <c r="M976" s="7" t="n">
        <v>34</v>
      </c>
      <c r="N976" s="7" t="n">
        <v>2</v>
      </c>
      <c r="O976" s="7" t="str">
        <f aca="false">A976&amp;"|"&amp;B976&amp;"|"&amp;C976&amp;"|"&amp;D976&amp;"|"&amp;E976&amp;"|"&amp;F976&amp;"|"&amp;G976&amp;"|"&amp;H976&amp;"|"&amp;I976&amp;"|"&amp;J976&amp;"|"&amp;K976&amp;"|"&amp;L976&amp;"|"&amp;M976&amp;"|"&amp;N976</f>
        <v>ORD10049|2025-01-08|09:31|C0574|Andhra Meals Mess|Hyderabad|South Indian|2|165|0|UPI |Delivered|34|2</v>
      </c>
      <c r="P976" s="7" t="str">
        <f aca="false">IF(COUNTIF($O$2:O976,O976)&gt;1,"DUP","OK")</f>
        <v>OK</v>
      </c>
      <c r="Q976" s="7" t="n">
        <f aca="false">COUNTBLANK(A976:N976)</f>
        <v>0</v>
      </c>
      <c r="R976" s="7" t="n">
        <f aca="false">IF(A976="",0,COUNTIFS($A$2:$A$3058,A976,$P$2:$P$3058,"OK"))</f>
        <v>1</v>
      </c>
      <c r="S976" s="7" t="str">
        <f aca="false">IF(OR(A976="",P976="DUP",R976&lt;2),"",IF(Q976=_xlfn.MINIFS($Q$2:$Q$3058,$A$2:$A$3058,A976,$P$2:$P$3058,"OK"),"KEEP","DROP"))</f>
        <v/>
      </c>
      <c r="T976" s="9" t="n">
        <f aca="false">IF(A976="",1,0)</f>
        <v>0</v>
      </c>
      <c r="U976" s="9" t="n">
        <f aca="false">IF(D976="",1,0)</f>
        <v>0</v>
      </c>
      <c r="V976" s="9" t="n">
        <f aca="false">IF(E976="",1,0)</f>
        <v>0</v>
      </c>
      <c r="W976" s="9" t="n">
        <f aca="false">IF(OR(H976&lt;1,H976&gt;10),1,0)</f>
        <v>0</v>
      </c>
      <c r="X976" s="9" t="n">
        <f aca="false">IF(OR(I976&lt;=0,I976&gt;1500),1,0)</f>
        <v>0</v>
      </c>
      <c r="Y976" s="9" t="n">
        <f aca="false">IF(J976&gt;H976*I976,1,0)</f>
        <v>0</v>
      </c>
      <c r="Z976" s="9" t="n">
        <f aca="false">IF(AND(N976&lt;&gt;"",OR(N976&lt;1,N976&gt;5)),1,0)</f>
        <v>0</v>
      </c>
      <c r="AA976" s="9" t="n">
        <f aca="false">IF(AND(M976&lt;&gt;"",OR(M976&lt;5,M976&gt;180)),1,0)</f>
        <v>0</v>
      </c>
      <c r="AB976" s="7" t="str">
        <f aca="false">IF(P976="DUP","Exact duplicate row",IF(T976=1,"Missing Order ID",IF(S976="DROP","Duplicate Order ID (less complete row)",IF(U976=1,"Missing Customer ID",IF(V976=1,"Missing Restaurant name",IF(W976=1,"Invalid/outlier quantity",IF(X976=1,"Invalid/outlier unit price",IF(Y976=1,"Discount greater than order value",""))))))))</f>
        <v/>
      </c>
      <c r="AC976" s="7" t="str">
        <f aca="false">IF(AB976="","KEEP","DROP")</f>
        <v>KEEP</v>
      </c>
      <c r="AD976" s="7" t="str">
        <f aca="false">IF(TRIM(F976)="",IFERROR(INDEX(Map_Tables!$I$4:$I$37,MATCH(TRIM(E976),Map_Tables!$G$4:$G$37,0)),""),IFERROR(INDEX(Map_Tables!$B$4:$B$18,MATCH(TRIM(F976),Map_Tables!$A$4:$A$18,0)),"CHECK"))</f>
        <v>Hyderabad</v>
      </c>
      <c r="AE976" s="7" t="str">
        <f aca="false">IF(TRIM(E976)="","",IFERROR(INDEX(Map_Tables!$H$4:$H$37,MATCH(TRIM(E976),Map_Tables!$G$4:$G$37,0)),"CHECK"))</f>
        <v>Andhra Meals Mess</v>
      </c>
      <c r="AF976" s="7" t="str">
        <f aca="false">IF(TRIM(K976)="","Unknown",IFERROR(INDEX(Map_Tables!$E$4:$E$15,MATCH(TRIM(K976),Map_Tables!$D$4:$D$15,0)),"CHECK"))</f>
        <v>UPI</v>
      </c>
      <c r="AG976" s="7" t="str">
        <f aca="false">IF(LEFT(LOWER(TRIM(L976)),6)="cancel","Cancelled","Delivered")</f>
        <v>Delivered</v>
      </c>
      <c r="AH976" s="10" t="n">
        <f aca="false">IF(ISNUMBER(SEARCH("/",B976)),DATE(VALUE(RIGHT(B976,4)),VALUE(MID(B976,4,2)),VALUE(LEFT(B976,2))),IF(MID(B976,5,1)="-",DATE(VALUE(LEFT(B976,4)),VALUE(MID(B976,6,2)),VALUE(RIGHT(B976,2))),DATE(VALUE(RIGHT(B976,4)),MATCH(MID(B976,4,3),{"Jan","Feb","Mar","Apr","May","Jun","Jul","Aug","Sep","Oct","Nov","Dec"},0),VALUE(LEFT(B976,2)))))</f>
        <v>45665</v>
      </c>
    </row>
    <row r="977" customFormat="false" ht="15" hidden="false" customHeight="false" outlineLevel="0" collapsed="false">
      <c r="A977" s="7" t="s">
        <v>2968</v>
      </c>
      <c r="B977" s="7" t="s">
        <v>1061</v>
      </c>
      <c r="C977" s="7" t="s">
        <v>2969</v>
      </c>
      <c r="D977" s="7" t="s">
        <v>2970</v>
      </c>
      <c r="E977" s="7" t="s">
        <v>147</v>
      </c>
      <c r="F977" s="7" t="s">
        <v>119</v>
      </c>
      <c r="G977" s="7" t="s">
        <v>95</v>
      </c>
      <c r="H977" s="7" t="n">
        <v>1</v>
      </c>
      <c r="I977" s="7" t="n">
        <v>125</v>
      </c>
      <c r="J977" s="7" t="n">
        <v>0</v>
      </c>
      <c r="K977" s="7" t="s">
        <v>93</v>
      </c>
      <c r="L977" s="7" t="s">
        <v>194</v>
      </c>
      <c r="M977" s="7" t="n">
        <v>32</v>
      </c>
      <c r="N977" s="7" t="n">
        <v>4</v>
      </c>
      <c r="O977" s="7" t="str">
        <f aca="false">A977&amp;"|"&amp;B977&amp;"|"&amp;C977&amp;"|"&amp;D977&amp;"|"&amp;E977&amp;"|"&amp;F977&amp;"|"&amp;G977&amp;"|"&amp;H977&amp;"|"&amp;I977&amp;"|"&amp;J977&amp;"|"&amp;K977&amp;"|"&amp;L977&amp;"|"&amp;M977&amp;"|"&amp;N977</f>
        <v>ORD12516|2025-11-11|18:03|C0122|Andhra Meals Mess|Hyderabad|South Indian|1|125|0|Credit Card|Delivered|32|4</v>
      </c>
      <c r="P977" s="7" t="str">
        <f aca="false">IF(COUNTIF($O$2:O977,O977)&gt;1,"DUP","OK")</f>
        <v>OK</v>
      </c>
      <c r="Q977" s="7" t="n">
        <f aca="false">COUNTBLANK(A977:N977)</f>
        <v>0</v>
      </c>
      <c r="R977" s="7" t="n">
        <f aca="false">IF(A977="",0,COUNTIFS($A$2:$A$3058,A977,$P$2:$P$3058,"OK"))</f>
        <v>1</v>
      </c>
      <c r="S977" s="7" t="str">
        <f aca="false">IF(OR(A977="",P977="DUP",R977&lt;2),"",IF(Q977=_xlfn.MINIFS($Q$2:$Q$3058,$A$2:$A$3058,A977,$P$2:$P$3058,"OK"),"KEEP","DROP"))</f>
        <v/>
      </c>
      <c r="T977" s="9" t="n">
        <f aca="false">IF(A977="",1,0)</f>
        <v>0</v>
      </c>
      <c r="U977" s="9" t="n">
        <f aca="false">IF(D977="",1,0)</f>
        <v>0</v>
      </c>
      <c r="V977" s="9" t="n">
        <f aca="false">IF(E977="",1,0)</f>
        <v>0</v>
      </c>
      <c r="W977" s="9" t="n">
        <f aca="false">IF(OR(H977&lt;1,H977&gt;10),1,0)</f>
        <v>0</v>
      </c>
      <c r="X977" s="9" t="n">
        <f aca="false">IF(OR(I977&lt;=0,I977&gt;1500),1,0)</f>
        <v>0</v>
      </c>
      <c r="Y977" s="9" t="n">
        <f aca="false">IF(J977&gt;H977*I977,1,0)</f>
        <v>0</v>
      </c>
      <c r="Z977" s="9" t="n">
        <f aca="false">IF(AND(N977&lt;&gt;"",OR(N977&lt;1,N977&gt;5)),1,0)</f>
        <v>0</v>
      </c>
      <c r="AA977" s="9" t="n">
        <f aca="false">IF(AND(M977&lt;&gt;"",OR(M977&lt;5,M977&gt;180)),1,0)</f>
        <v>0</v>
      </c>
      <c r="AB977" s="7" t="str">
        <f aca="false">IF(P977="DUP","Exact duplicate row",IF(T977=1,"Missing Order ID",IF(S977="DROP","Duplicate Order ID (less complete row)",IF(U977=1,"Missing Customer ID",IF(V977=1,"Missing Restaurant name",IF(W977=1,"Invalid/outlier quantity",IF(X977=1,"Invalid/outlier unit price",IF(Y977=1,"Discount greater than order value",""))))))))</f>
        <v/>
      </c>
      <c r="AC977" s="7" t="str">
        <f aca="false">IF(AB977="","KEEP","DROP")</f>
        <v>KEEP</v>
      </c>
      <c r="AD977" s="7" t="str">
        <f aca="false">IF(TRIM(F977)="",IFERROR(INDEX(Map_Tables!$I$4:$I$37,MATCH(TRIM(E977),Map_Tables!$G$4:$G$37,0)),""),IFERROR(INDEX(Map_Tables!$B$4:$B$18,MATCH(TRIM(F977),Map_Tables!$A$4:$A$18,0)),"CHECK"))</f>
        <v>Hyderabad</v>
      </c>
      <c r="AE977" s="7" t="str">
        <f aca="false">IF(TRIM(E977)="","",IFERROR(INDEX(Map_Tables!$H$4:$H$37,MATCH(TRIM(E977),Map_Tables!$G$4:$G$37,0)),"CHECK"))</f>
        <v>Andhra Meals Mess</v>
      </c>
      <c r="AF977" s="7" t="str">
        <f aca="false">IF(TRIM(K977)="","Unknown",IFERROR(INDEX(Map_Tables!$E$4:$E$15,MATCH(TRIM(K977),Map_Tables!$D$4:$D$15,0)),"CHECK"))</f>
        <v>Credit Card</v>
      </c>
      <c r="AG977" s="7" t="str">
        <f aca="false">IF(LEFT(LOWER(TRIM(L977)),6)="cancel","Cancelled","Delivered")</f>
        <v>Delivered</v>
      </c>
      <c r="AH977" s="10" t="n">
        <f aca="false">IF(ISNUMBER(SEARCH("/",B977)),DATE(VALUE(RIGHT(B977,4)),VALUE(MID(B977,4,2)),VALUE(LEFT(B977,2))),IF(MID(B977,5,1)="-",DATE(VALUE(LEFT(B977,4)),VALUE(MID(B977,6,2)),VALUE(RIGHT(B977,2))),DATE(VALUE(RIGHT(B977,4)),MATCH(MID(B977,4,3),{"Jan","Feb","Mar","Apr","May","Jun","Jul","Aug","Sep","Oct","Nov","Dec"},0),VALUE(LEFT(B977,2)))))</f>
        <v>45972</v>
      </c>
    </row>
    <row r="978" customFormat="false" ht="15" hidden="false" customHeight="false" outlineLevel="0" collapsed="false">
      <c r="A978" s="7" t="s">
        <v>2971</v>
      </c>
      <c r="B978" s="7" t="s">
        <v>2333</v>
      </c>
      <c r="C978" s="7" t="s">
        <v>2138</v>
      </c>
      <c r="D978" s="7" t="s">
        <v>2394</v>
      </c>
      <c r="E978" s="7" t="s">
        <v>166</v>
      </c>
      <c r="F978" s="7" t="s">
        <v>146</v>
      </c>
      <c r="G978" s="7" t="s">
        <v>117</v>
      </c>
      <c r="H978" s="7" t="n">
        <v>3</v>
      </c>
      <c r="I978" s="7" t="n">
        <v>90</v>
      </c>
      <c r="J978" s="7" t="n">
        <v>108</v>
      </c>
      <c r="K978" s="7" t="s">
        <v>103</v>
      </c>
      <c r="L978" s="7" t="s">
        <v>194</v>
      </c>
      <c r="M978" s="7" t="n">
        <v>32</v>
      </c>
      <c r="N978" s="7" t="n">
        <v>2</v>
      </c>
      <c r="O978" s="7" t="str">
        <f aca="false">A978&amp;"|"&amp;B978&amp;"|"&amp;C978&amp;"|"&amp;D978&amp;"|"&amp;E978&amp;"|"&amp;F978&amp;"|"&amp;G978&amp;"|"&amp;H978&amp;"|"&amp;I978&amp;"|"&amp;J978&amp;"|"&amp;K978&amp;"|"&amp;L978&amp;"|"&amp;M978&amp;"|"&amp;N978</f>
        <v>ORD11172|2025-05-29|12:55|C0451|Dhokla Delight|Ahmedabad|Street Food|3|90|108|Debit Card|Delivered|32|2</v>
      </c>
      <c r="P978" s="7" t="str">
        <f aca="false">IF(COUNTIF($O$2:O978,O978)&gt;1,"DUP","OK")</f>
        <v>OK</v>
      </c>
      <c r="Q978" s="7" t="n">
        <f aca="false">COUNTBLANK(A978:N978)</f>
        <v>0</v>
      </c>
      <c r="R978" s="7" t="n">
        <f aca="false">IF(A978="",0,COUNTIFS($A$2:$A$3058,A978,$P$2:$P$3058,"OK"))</f>
        <v>1</v>
      </c>
      <c r="S978" s="7" t="str">
        <f aca="false">IF(OR(A978="",P978="DUP",R978&lt;2),"",IF(Q978=_xlfn.MINIFS($Q$2:$Q$3058,$A$2:$A$3058,A978,$P$2:$P$3058,"OK"),"KEEP","DROP"))</f>
        <v/>
      </c>
      <c r="T978" s="9" t="n">
        <f aca="false">IF(A978="",1,0)</f>
        <v>0</v>
      </c>
      <c r="U978" s="9" t="n">
        <f aca="false">IF(D978="",1,0)</f>
        <v>0</v>
      </c>
      <c r="V978" s="9" t="n">
        <f aca="false">IF(E978="",1,0)</f>
        <v>0</v>
      </c>
      <c r="W978" s="9" t="n">
        <f aca="false">IF(OR(H978&lt;1,H978&gt;10),1,0)</f>
        <v>0</v>
      </c>
      <c r="X978" s="9" t="n">
        <f aca="false">IF(OR(I978&lt;=0,I978&gt;1500),1,0)</f>
        <v>0</v>
      </c>
      <c r="Y978" s="9" t="n">
        <f aca="false">IF(J978&gt;H978*I978,1,0)</f>
        <v>0</v>
      </c>
      <c r="Z978" s="9" t="n">
        <f aca="false">IF(AND(N978&lt;&gt;"",OR(N978&lt;1,N978&gt;5)),1,0)</f>
        <v>0</v>
      </c>
      <c r="AA978" s="9" t="n">
        <f aca="false">IF(AND(M978&lt;&gt;"",OR(M978&lt;5,M978&gt;180)),1,0)</f>
        <v>0</v>
      </c>
      <c r="AB978" s="7" t="str">
        <f aca="false">IF(P978="DUP","Exact duplicate row",IF(T978=1,"Missing Order ID",IF(S978="DROP","Duplicate Order ID (less complete row)",IF(U978=1,"Missing Customer ID",IF(V978=1,"Missing Restaurant name",IF(W978=1,"Invalid/outlier quantity",IF(X978=1,"Invalid/outlier unit price",IF(Y978=1,"Discount greater than order value",""))))))))</f>
        <v/>
      </c>
      <c r="AC978" s="7" t="str">
        <f aca="false">IF(AB978="","KEEP","DROP")</f>
        <v>KEEP</v>
      </c>
      <c r="AD978" s="7" t="str">
        <f aca="false">IF(TRIM(F978)="",IFERROR(INDEX(Map_Tables!$I$4:$I$37,MATCH(TRIM(E978),Map_Tables!$G$4:$G$37,0)),""),IFERROR(INDEX(Map_Tables!$B$4:$B$18,MATCH(TRIM(F978),Map_Tables!$A$4:$A$18,0)),"CHECK"))</f>
        <v>Ahmedabad</v>
      </c>
      <c r="AE978" s="7" t="str">
        <f aca="false">IF(TRIM(E978)="","",IFERROR(INDEX(Map_Tables!$H$4:$H$37,MATCH(TRIM(E978),Map_Tables!$G$4:$G$37,0)),"CHECK"))</f>
        <v>Dhokla Delight</v>
      </c>
      <c r="AF978" s="7" t="str">
        <f aca="false">IF(TRIM(K978)="","Unknown",IFERROR(INDEX(Map_Tables!$E$4:$E$15,MATCH(TRIM(K978),Map_Tables!$D$4:$D$15,0)),"CHECK"))</f>
        <v>Debit Card</v>
      </c>
      <c r="AG978" s="7" t="str">
        <f aca="false">IF(LEFT(LOWER(TRIM(L978)),6)="cancel","Cancelled","Delivered")</f>
        <v>Delivered</v>
      </c>
      <c r="AH978" s="10" t="n">
        <f aca="false">IF(ISNUMBER(SEARCH("/",B978)),DATE(VALUE(RIGHT(B978,4)),VALUE(MID(B978,4,2)),VALUE(LEFT(B978,2))),IF(MID(B978,5,1)="-",DATE(VALUE(LEFT(B978,4)),VALUE(MID(B978,6,2)),VALUE(RIGHT(B978,2))),DATE(VALUE(RIGHT(B978,4)),MATCH(MID(B978,4,3),{"Jan","Feb","Mar","Apr","May","Jun","Jul","Aug","Sep","Oct","Nov","Dec"},0),VALUE(LEFT(B978,2)))))</f>
        <v>45806</v>
      </c>
    </row>
    <row r="979" customFormat="false" ht="15" hidden="false" customHeight="false" outlineLevel="0" collapsed="false">
      <c r="A979" s="7" t="s">
        <v>2972</v>
      </c>
      <c r="B979" s="7" t="s">
        <v>1144</v>
      </c>
      <c r="C979" s="7" t="s">
        <v>1809</v>
      </c>
      <c r="D979" s="7" t="s">
        <v>2973</v>
      </c>
      <c r="E979" s="7" t="s">
        <v>113</v>
      </c>
      <c r="F979" s="7" t="s">
        <v>101</v>
      </c>
      <c r="G979" s="7" t="s">
        <v>1928</v>
      </c>
      <c r="H979" s="7" t="n">
        <v>1</v>
      </c>
      <c r="I979" s="7" t="n">
        <v>215</v>
      </c>
      <c r="J979" s="7" t="n">
        <v>0</v>
      </c>
      <c r="K979" s="7" t="s">
        <v>103</v>
      </c>
      <c r="L979" s="7" t="s">
        <v>194</v>
      </c>
      <c r="M979" s="7" t="n">
        <v>38</v>
      </c>
      <c r="N979" s="7" t="n">
        <v>3</v>
      </c>
      <c r="O979" s="7" t="str">
        <f aca="false">A979&amp;"|"&amp;B979&amp;"|"&amp;C979&amp;"|"&amp;D979&amp;"|"&amp;E979&amp;"|"&amp;F979&amp;"|"&amp;G979&amp;"|"&amp;H979&amp;"|"&amp;I979&amp;"|"&amp;J979&amp;"|"&amp;K979&amp;"|"&amp;L979&amp;"|"&amp;M979&amp;"|"&amp;N979</f>
        <v>ORD11430|2025-07-05|12:07|C1289|Curry Leaf Kitchen|Mumbai|north indian|1|215|0|Debit Card|Delivered|38|3</v>
      </c>
      <c r="P979" s="7" t="str">
        <f aca="false">IF(COUNTIF($O$2:O979,O979)&gt;1,"DUP","OK")</f>
        <v>OK</v>
      </c>
      <c r="Q979" s="7" t="n">
        <f aca="false">COUNTBLANK(A979:N979)</f>
        <v>0</v>
      </c>
      <c r="R979" s="7" t="n">
        <f aca="false">IF(A979="",0,COUNTIFS($A$2:$A$3058,A979,$P$2:$P$3058,"OK"))</f>
        <v>1</v>
      </c>
      <c r="S979" s="7" t="str">
        <f aca="false">IF(OR(A979="",P979="DUP",R979&lt;2),"",IF(Q979=_xlfn.MINIFS($Q$2:$Q$3058,$A$2:$A$3058,A979,$P$2:$P$3058,"OK"),"KEEP","DROP"))</f>
        <v/>
      </c>
      <c r="T979" s="9" t="n">
        <f aca="false">IF(A979="",1,0)</f>
        <v>0</v>
      </c>
      <c r="U979" s="9" t="n">
        <f aca="false">IF(D979="",1,0)</f>
        <v>0</v>
      </c>
      <c r="V979" s="9" t="n">
        <f aca="false">IF(E979="",1,0)</f>
        <v>0</v>
      </c>
      <c r="W979" s="9" t="n">
        <f aca="false">IF(OR(H979&lt;1,H979&gt;10),1,0)</f>
        <v>0</v>
      </c>
      <c r="X979" s="9" t="n">
        <f aca="false">IF(OR(I979&lt;=0,I979&gt;1500),1,0)</f>
        <v>0</v>
      </c>
      <c r="Y979" s="9" t="n">
        <f aca="false">IF(J979&gt;H979*I979,1,0)</f>
        <v>0</v>
      </c>
      <c r="Z979" s="9" t="n">
        <f aca="false">IF(AND(N979&lt;&gt;"",OR(N979&lt;1,N979&gt;5)),1,0)</f>
        <v>0</v>
      </c>
      <c r="AA979" s="9" t="n">
        <f aca="false">IF(AND(M979&lt;&gt;"",OR(M979&lt;5,M979&gt;180)),1,0)</f>
        <v>0</v>
      </c>
      <c r="AB979" s="7" t="str">
        <f aca="false">IF(P979="DUP","Exact duplicate row",IF(T979=1,"Missing Order ID",IF(S979="DROP","Duplicate Order ID (less complete row)",IF(U979=1,"Missing Customer ID",IF(V979=1,"Missing Restaurant name",IF(W979=1,"Invalid/outlier quantity",IF(X979=1,"Invalid/outlier unit price",IF(Y979=1,"Discount greater than order value",""))))))))</f>
        <v/>
      </c>
      <c r="AC979" s="7" t="str">
        <f aca="false">IF(AB979="","KEEP","DROP")</f>
        <v>KEEP</v>
      </c>
      <c r="AD979" s="7" t="str">
        <f aca="false">IF(TRIM(F979)="",IFERROR(INDEX(Map_Tables!$I$4:$I$37,MATCH(TRIM(E979),Map_Tables!$G$4:$G$37,0)),""),IFERROR(INDEX(Map_Tables!$B$4:$B$18,MATCH(TRIM(F979),Map_Tables!$A$4:$A$18,0)),"CHECK"))</f>
        <v>Mumbai</v>
      </c>
      <c r="AE979" s="7" t="str">
        <f aca="false">IF(TRIM(E979)="","",IFERROR(INDEX(Map_Tables!$H$4:$H$37,MATCH(TRIM(E979),Map_Tables!$G$4:$G$37,0)),"CHECK"))</f>
        <v>Curry Leaf Kitchen</v>
      </c>
      <c r="AF979" s="7" t="str">
        <f aca="false">IF(TRIM(K979)="","Unknown",IFERROR(INDEX(Map_Tables!$E$4:$E$15,MATCH(TRIM(K979),Map_Tables!$D$4:$D$15,0)),"CHECK"))</f>
        <v>Debit Card</v>
      </c>
      <c r="AG979" s="7" t="str">
        <f aca="false">IF(LEFT(LOWER(TRIM(L979)),6)="cancel","Cancelled","Delivered")</f>
        <v>Delivered</v>
      </c>
      <c r="AH979" s="10" t="n">
        <f aca="false">IF(ISNUMBER(SEARCH("/",B979)),DATE(VALUE(RIGHT(B979,4)),VALUE(MID(B979,4,2)),VALUE(LEFT(B979,2))),IF(MID(B979,5,1)="-",DATE(VALUE(LEFT(B979,4)),VALUE(MID(B979,6,2)),VALUE(RIGHT(B979,2))),DATE(VALUE(RIGHT(B979,4)),MATCH(MID(B979,4,3),{"Jan","Feb","Mar","Apr","May","Jun","Jul","Aug","Sep","Oct","Nov","Dec"},0),VALUE(LEFT(B979,2)))))</f>
        <v>45843</v>
      </c>
    </row>
    <row r="980" customFormat="false" ht="15" hidden="false" customHeight="false" outlineLevel="0" collapsed="false">
      <c r="A980" s="7" t="s">
        <v>2974</v>
      </c>
      <c r="B980" s="7" t="s">
        <v>2275</v>
      </c>
      <c r="C980" s="7" t="s">
        <v>1313</v>
      </c>
      <c r="D980" s="7" t="s">
        <v>2139</v>
      </c>
      <c r="E980" s="7" t="s">
        <v>116</v>
      </c>
      <c r="F980" s="7" t="s">
        <v>101</v>
      </c>
      <c r="G980" s="7" t="s">
        <v>117</v>
      </c>
      <c r="H980" s="7" t="n">
        <v>1</v>
      </c>
      <c r="I980" s="7" t="n">
        <v>120</v>
      </c>
      <c r="J980" s="7" t="n">
        <v>0</v>
      </c>
      <c r="K980" s="7" t="s">
        <v>93</v>
      </c>
      <c r="L980" s="7" t="s">
        <v>194</v>
      </c>
      <c r="M980" s="7" t="n">
        <v>49</v>
      </c>
      <c r="N980" s="7" t="n">
        <v>2</v>
      </c>
      <c r="O980" s="7" t="str">
        <f aca="false">A980&amp;"|"&amp;B980&amp;"|"&amp;C980&amp;"|"&amp;D980&amp;"|"&amp;E980&amp;"|"&amp;F980&amp;"|"&amp;G980&amp;"|"&amp;H980&amp;"|"&amp;I980&amp;"|"&amp;J980&amp;"|"&amp;K980&amp;"|"&amp;L980&amp;"|"&amp;M980&amp;"|"&amp;N980</f>
        <v>ORD12396|2025-10-29|20:52|C0675|Pav Bhaji Point|Mumbai|Street Food|1|120|0|Credit Card|Delivered|49|2</v>
      </c>
      <c r="P980" s="7" t="str">
        <f aca="false">IF(COUNTIF($O$2:O980,O980)&gt;1,"DUP","OK")</f>
        <v>OK</v>
      </c>
      <c r="Q980" s="7" t="n">
        <f aca="false">COUNTBLANK(A980:N980)</f>
        <v>0</v>
      </c>
      <c r="R980" s="7" t="n">
        <f aca="false">IF(A980="",0,COUNTIFS($A$2:$A$3058,A980,$P$2:$P$3058,"OK"))</f>
        <v>1</v>
      </c>
      <c r="S980" s="7" t="str">
        <f aca="false">IF(OR(A980="",P980="DUP",R980&lt;2),"",IF(Q980=_xlfn.MINIFS($Q$2:$Q$3058,$A$2:$A$3058,A980,$P$2:$P$3058,"OK"),"KEEP","DROP"))</f>
        <v/>
      </c>
      <c r="T980" s="9" t="n">
        <f aca="false">IF(A980="",1,0)</f>
        <v>0</v>
      </c>
      <c r="U980" s="9" t="n">
        <f aca="false">IF(D980="",1,0)</f>
        <v>0</v>
      </c>
      <c r="V980" s="9" t="n">
        <f aca="false">IF(E980="",1,0)</f>
        <v>0</v>
      </c>
      <c r="W980" s="9" t="n">
        <f aca="false">IF(OR(H980&lt;1,H980&gt;10),1,0)</f>
        <v>0</v>
      </c>
      <c r="X980" s="9" t="n">
        <f aca="false">IF(OR(I980&lt;=0,I980&gt;1500),1,0)</f>
        <v>0</v>
      </c>
      <c r="Y980" s="9" t="n">
        <f aca="false">IF(J980&gt;H980*I980,1,0)</f>
        <v>0</v>
      </c>
      <c r="Z980" s="9" t="n">
        <f aca="false">IF(AND(N980&lt;&gt;"",OR(N980&lt;1,N980&gt;5)),1,0)</f>
        <v>0</v>
      </c>
      <c r="AA980" s="9" t="n">
        <f aca="false">IF(AND(M980&lt;&gt;"",OR(M980&lt;5,M980&gt;180)),1,0)</f>
        <v>0</v>
      </c>
      <c r="AB980" s="7" t="str">
        <f aca="false">IF(P980="DUP","Exact duplicate row",IF(T980=1,"Missing Order ID",IF(S980="DROP","Duplicate Order ID (less complete row)",IF(U980=1,"Missing Customer ID",IF(V980=1,"Missing Restaurant name",IF(W980=1,"Invalid/outlier quantity",IF(X980=1,"Invalid/outlier unit price",IF(Y980=1,"Discount greater than order value",""))))))))</f>
        <v/>
      </c>
      <c r="AC980" s="7" t="str">
        <f aca="false">IF(AB980="","KEEP","DROP")</f>
        <v>KEEP</v>
      </c>
      <c r="AD980" s="7" t="str">
        <f aca="false">IF(TRIM(F980)="",IFERROR(INDEX(Map_Tables!$I$4:$I$37,MATCH(TRIM(E980),Map_Tables!$G$4:$G$37,0)),""),IFERROR(INDEX(Map_Tables!$B$4:$B$18,MATCH(TRIM(F980),Map_Tables!$A$4:$A$18,0)),"CHECK"))</f>
        <v>Mumbai</v>
      </c>
      <c r="AE980" s="7" t="str">
        <f aca="false">IF(TRIM(E980)="","",IFERROR(INDEX(Map_Tables!$H$4:$H$37,MATCH(TRIM(E980),Map_Tables!$G$4:$G$37,0)),"CHECK"))</f>
        <v>Pav Bhaji Point</v>
      </c>
      <c r="AF980" s="7" t="str">
        <f aca="false">IF(TRIM(K980)="","Unknown",IFERROR(INDEX(Map_Tables!$E$4:$E$15,MATCH(TRIM(K980),Map_Tables!$D$4:$D$15,0)),"CHECK"))</f>
        <v>Credit Card</v>
      </c>
      <c r="AG980" s="7" t="str">
        <f aca="false">IF(LEFT(LOWER(TRIM(L980)),6)="cancel","Cancelled","Delivered")</f>
        <v>Delivered</v>
      </c>
      <c r="AH980" s="10" t="n">
        <f aca="false">IF(ISNUMBER(SEARCH("/",B980)),DATE(VALUE(RIGHT(B980,4)),VALUE(MID(B980,4,2)),VALUE(LEFT(B980,2))),IF(MID(B980,5,1)="-",DATE(VALUE(LEFT(B980,4)),VALUE(MID(B980,6,2)),VALUE(RIGHT(B980,2))),DATE(VALUE(RIGHT(B980,4)),MATCH(MID(B980,4,3),{"Jan","Feb","Mar","Apr","May","Jun","Jul","Aug","Sep","Oct","Nov","Dec"},0),VALUE(LEFT(B980,2)))))</f>
        <v>45959</v>
      </c>
    </row>
    <row r="981" customFormat="false" ht="15" hidden="false" customHeight="false" outlineLevel="0" collapsed="false">
      <c r="A981" s="7" t="s">
        <v>2975</v>
      </c>
      <c r="B981" s="7" t="s">
        <v>838</v>
      </c>
      <c r="C981" s="7" t="s">
        <v>241</v>
      </c>
      <c r="D981" s="7" t="s">
        <v>2682</v>
      </c>
      <c r="E981" s="7" t="s">
        <v>94</v>
      </c>
      <c r="F981" s="7" t="s">
        <v>86</v>
      </c>
      <c r="G981" s="7" t="s">
        <v>95</v>
      </c>
      <c r="H981" s="7" t="n">
        <v>1</v>
      </c>
      <c r="I981" s="7" t="n">
        <v>125</v>
      </c>
      <c r="J981" s="7" t="n">
        <v>50</v>
      </c>
      <c r="K981" s="7" t="s">
        <v>112</v>
      </c>
      <c r="L981" s="7" t="s">
        <v>194</v>
      </c>
      <c r="M981" s="7" t="n">
        <v>47</v>
      </c>
      <c r="N981" s="7" t="n">
        <v>5</v>
      </c>
      <c r="O981" s="7" t="str">
        <f aca="false">A981&amp;"|"&amp;B981&amp;"|"&amp;C981&amp;"|"&amp;D981&amp;"|"&amp;E981&amp;"|"&amp;F981&amp;"|"&amp;G981&amp;"|"&amp;H981&amp;"|"&amp;I981&amp;"|"&amp;J981&amp;"|"&amp;K981&amp;"|"&amp;L981&amp;"|"&amp;M981&amp;"|"&amp;N981</f>
        <v>ORD10433|2025-02-28|11:59|C0492|Dosa Darbar|Bengaluru|South Indian|1|125|50|Cash on Delivery|Delivered|47|5</v>
      </c>
      <c r="P981" s="7" t="str">
        <f aca="false">IF(COUNTIF($O$2:O981,O981)&gt;1,"DUP","OK")</f>
        <v>OK</v>
      </c>
      <c r="Q981" s="7" t="n">
        <f aca="false">COUNTBLANK(A981:N981)</f>
        <v>0</v>
      </c>
      <c r="R981" s="7" t="n">
        <f aca="false">IF(A981="",0,COUNTIFS($A$2:$A$3058,A981,$P$2:$P$3058,"OK"))</f>
        <v>1</v>
      </c>
      <c r="S981" s="7" t="str">
        <f aca="false">IF(OR(A981="",P981="DUP",R981&lt;2),"",IF(Q981=_xlfn.MINIFS($Q$2:$Q$3058,$A$2:$A$3058,A981,$P$2:$P$3058,"OK"),"KEEP","DROP"))</f>
        <v/>
      </c>
      <c r="T981" s="9" t="n">
        <f aca="false">IF(A981="",1,0)</f>
        <v>0</v>
      </c>
      <c r="U981" s="9" t="n">
        <f aca="false">IF(D981="",1,0)</f>
        <v>0</v>
      </c>
      <c r="V981" s="9" t="n">
        <f aca="false">IF(E981="",1,0)</f>
        <v>0</v>
      </c>
      <c r="W981" s="9" t="n">
        <f aca="false">IF(OR(H981&lt;1,H981&gt;10),1,0)</f>
        <v>0</v>
      </c>
      <c r="X981" s="9" t="n">
        <f aca="false">IF(OR(I981&lt;=0,I981&gt;1500),1,0)</f>
        <v>0</v>
      </c>
      <c r="Y981" s="9" t="n">
        <f aca="false">IF(J981&gt;H981*I981,1,0)</f>
        <v>0</v>
      </c>
      <c r="Z981" s="9" t="n">
        <f aca="false">IF(AND(N981&lt;&gt;"",OR(N981&lt;1,N981&gt;5)),1,0)</f>
        <v>0</v>
      </c>
      <c r="AA981" s="9" t="n">
        <f aca="false">IF(AND(M981&lt;&gt;"",OR(M981&lt;5,M981&gt;180)),1,0)</f>
        <v>0</v>
      </c>
      <c r="AB981" s="7" t="str">
        <f aca="false">IF(P981="DUP","Exact duplicate row",IF(T981=1,"Missing Order ID",IF(S981="DROP","Duplicate Order ID (less complete row)",IF(U981=1,"Missing Customer ID",IF(V981=1,"Missing Restaurant name",IF(W981=1,"Invalid/outlier quantity",IF(X981=1,"Invalid/outlier unit price",IF(Y981=1,"Discount greater than order value",""))))))))</f>
        <v/>
      </c>
      <c r="AC981" s="7" t="str">
        <f aca="false">IF(AB981="","KEEP","DROP")</f>
        <v>KEEP</v>
      </c>
      <c r="AD981" s="7" t="str">
        <f aca="false">IF(TRIM(F981)="",IFERROR(INDEX(Map_Tables!$I$4:$I$37,MATCH(TRIM(E981),Map_Tables!$G$4:$G$37,0)),""),IFERROR(INDEX(Map_Tables!$B$4:$B$18,MATCH(TRIM(F981),Map_Tables!$A$4:$A$18,0)),"CHECK"))</f>
        <v>Bengaluru</v>
      </c>
      <c r="AE981" s="7" t="str">
        <f aca="false">IF(TRIM(E981)="","",IFERROR(INDEX(Map_Tables!$H$4:$H$37,MATCH(TRIM(E981),Map_Tables!$G$4:$G$37,0)),"CHECK"))</f>
        <v>Dosa Darbar</v>
      </c>
      <c r="AF981" s="7" t="str">
        <f aca="false">IF(TRIM(K981)="","Unknown",IFERROR(INDEX(Map_Tables!$E$4:$E$15,MATCH(TRIM(K981),Map_Tables!$D$4:$D$15,0)),"CHECK"))</f>
        <v>Cash on Delivery</v>
      </c>
      <c r="AG981" s="7" t="str">
        <f aca="false">IF(LEFT(LOWER(TRIM(L981)),6)="cancel","Cancelled","Delivered")</f>
        <v>Delivered</v>
      </c>
      <c r="AH981" s="10" t="n">
        <f aca="false">IF(ISNUMBER(SEARCH("/",B981)),DATE(VALUE(RIGHT(B981,4)),VALUE(MID(B981,4,2)),VALUE(LEFT(B981,2))),IF(MID(B981,5,1)="-",DATE(VALUE(LEFT(B981,4)),VALUE(MID(B981,6,2)),VALUE(RIGHT(B981,2))),DATE(VALUE(RIGHT(B981,4)),MATCH(MID(B981,4,3),{"Jan","Feb","Mar","Apr","May","Jun","Jul","Aug","Sep","Oct","Nov","Dec"},0),VALUE(LEFT(B981,2)))))</f>
        <v>45716</v>
      </c>
    </row>
    <row r="982" customFormat="false" ht="15" hidden="false" customHeight="false" outlineLevel="0" collapsed="false">
      <c r="A982" s="7" t="s">
        <v>2976</v>
      </c>
      <c r="B982" s="7" t="s">
        <v>2727</v>
      </c>
      <c r="C982" s="7" t="s">
        <v>1542</v>
      </c>
      <c r="D982" s="7" t="s">
        <v>1229</v>
      </c>
      <c r="E982" s="7" t="s">
        <v>941</v>
      </c>
      <c r="F982" s="7" t="s">
        <v>86</v>
      </c>
      <c r="G982" s="7" t="s">
        <v>99</v>
      </c>
      <c r="H982" s="7" t="n">
        <v>5</v>
      </c>
      <c r="I982" s="7" t="n">
        <v>305</v>
      </c>
      <c r="J982" s="7" t="n">
        <v>0</v>
      </c>
      <c r="K982" s="7" t="s">
        <v>103</v>
      </c>
      <c r="L982" s="7" t="s">
        <v>194</v>
      </c>
      <c r="M982" s="7" t="n">
        <v>39</v>
      </c>
      <c r="N982" s="7" t="n">
        <v>5</v>
      </c>
      <c r="O982" s="7" t="str">
        <f aca="false">A982&amp;"|"&amp;B982&amp;"|"&amp;C982&amp;"|"&amp;D982&amp;"|"&amp;E982&amp;"|"&amp;F982&amp;"|"&amp;G982&amp;"|"&amp;H982&amp;"|"&amp;I982&amp;"|"&amp;J982&amp;"|"&amp;K982&amp;"|"&amp;L982&amp;"|"&amp;M982&amp;"|"&amp;N982</f>
        <v>ORD10787|2025-04-10|09:53|C1324|Nawabi Biryani House |Bengaluru|Biryani|5|305|0|Debit Card|Delivered|39|5</v>
      </c>
      <c r="P982" s="7" t="str">
        <f aca="false">IF(COUNTIF($O$2:O982,O982)&gt;1,"DUP","OK")</f>
        <v>OK</v>
      </c>
      <c r="Q982" s="7" t="n">
        <f aca="false">COUNTBLANK(A982:N982)</f>
        <v>0</v>
      </c>
      <c r="R982" s="7" t="n">
        <f aca="false">IF(A982="",0,COUNTIFS($A$2:$A$3058,A982,$P$2:$P$3058,"OK"))</f>
        <v>1</v>
      </c>
      <c r="S982" s="7" t="str">
        <f aca="false">IF(OR(A982="",P982="DUP",R982&lt;2),"",IF(Q982=_xlfn.MINIFS($Q$2:$Q$3058,$A$2:$A$3058,A982,$P$2:$P$3058,"OK"),"KEEP","DROP"))</f>
        <v/>
      </c>
      <c r="T982" s="9" t="n">
        <f aca="false">IF(A982="",1,0)</f>
        <v>0</v>
      </c>
      <c r="U982" s="9" t="n">
        <f aca="false">IF(D982="",1,0)</f>
        <v>0</v>
      </c>
      <c r="V982" s="9" t="n">
        <f aca="false">IF(E982="",1,0)</f>
        <v>0</v>
      </c>
      <c r="W982" s="9" t="n">
        <f aca="false">IF(OR(H982&lt;1,H982&gt;10),1,0)</f>
        <v>0</v>
      </c>
      <c r="X982" s="9" t="n">
        <f aca="false">IF(OR(I982&lt;=0,I982&gt;1500),1,0)</f>
        <v>0</v>
      </c>
      <c r="Y982" s="9" t="n">
        <f aca="false">IF(J982&gt;H982*I982,1,0)</f>
        <v>0</v>
      </c>
      <c r="Z982" s="9" t="n">
        <f aca="false">IF(AND(N982&lt;&gt;"",OR(N982&lt;1,N982&gt;5)),1,0)</f>
        <v>0</v>
      </c>
      <c r="AA982" s="9" t="n">
        <f aca="false">IF(AND(M982&lt;&gt;"",OR(M982&lt;5,M982&gt;180)),1,0)</f>
        <v>0</v>
      </c>
      <c r="AB982" s="7" t="str">
        <f aca="false">IF(P982="DUP","Exact duplicate row",IF(T982=1,"Missing Order ID",IF(S982="DROP","Duplicate Order ID (less complete row)",IF(U982=1,"Missing Customer ID",IF(V982=1,"Missing Restaurant name",IF(W982=1,"Invalid/outlier quantity",IF(X982=1,"Invalid/outlier unit price",IF(Y982=1,"Discount greater than order value",""))))))))</f>
        <v/>
      </c>
      <c r="AC982" s="7" t="str">
        <f aca="false">IF(AB982="","KEEP","DROP")</f>
        <v>KEEP</v>
      </c>
      <c r="AD982" s="7" t="str">
        <f aca="false">IF(TRIM(F982)="",IFERROR(INDEX(Map_Tables!$I$4:$I$37,MATCH(TRIM(E982),Map_Tables!$G$4:$G$37,0)),""),IFERROR(INDEX(Map_Tables!$B$4:$B$18,MATCH(TRIM(F982),Map_Tables!$A$4:$A$18,0)),"CHECK"))</f>
        <v>Bengaluru</v>
      </c>
      <c r="AE982" s="7" t="str">
        <f aca="false">IF(TRIM(E982)="","",IFERROR(INDEX(Map_Tables!$H$4:$H$37,MATCH(TRIM(E982),Map_Tables!$G$4:$G$37,0)),"CHECK"))</f>
        <v>Nawabi Biryani House</v>
      </c>
      <c r="AF982" s="7" t="str">
        <f aca="false">IF(TRIM(K982)="","Unknown",IFERROR(INDEX(Map_Tables!$E$4:$E$15,MATCH(TRIM(K982),Map_Tables!$D$4:$D$15,0)),"CHECK"))</f>
        <v>Debit Card</v>
      </c>
      <c r="AG982" s="7" t="str">
        <f aca="false">IF(LEFT(LOWER(TRIM(L982)),6)="cancel","Cancelled","Delivered")</f>
        <v>Delivered</v>
      </c>
      <c r="AH982" s="10" t="n">
        <f aca="false">IF(ISNUMBER(SEARCH("/",B982)),DATE(VALUE(RIGHT(B982,4)),VALUE(MID(B982,4,2)),VALUE(LEFT(B982,2))),IF(MID(B982,5,1)="-",DATE(VALUE(LEFT(B982,4)),VALUE(MID(B982,6,2)),VALUE(RIGHT(B982,2))),DATE(VALUE(RIGHT(B982,4)),MATCH(MID(B982,4,3),{"Jan","Feb","Mar","Apr","May","Jun","Jul","Aug","Sep","Oct","Nov","Dec"},0),VALUE(LEFT(B982,2)))))</f>
        <v>45757</v>
      </c>
    </row>
    <row r="983" customFormat="false" ht="15" hidden="false" customHeight="false" outlineLevel="0" collapsed="false">
      <c r="A983" s="7" t="s">
        <v>2977</v>
      </c>
      <c r="B983" s="7" t="s">
        <v>1548</v>
      </c>
      <c r="C983" s="7" t="s">
        <v>2978</v>
      </c>
      <c r="D983" s="7" t="s">
        <v>2979</v>
      </c>
      <c r="E983" s="7" t="s">
        <v>89</v>
      </c>
      <c r="F983" s="7" t="s">
        <v>86</v>
      </c>
      <c r="G983" s="7" t="s">
        <v>90</v>
      </c>
      <c r="H983" s="7" t="n">
        <v>3</v>
      </c>
      <c r="I983" s="7" t="n">
        <v>230</v>
      </c>
      <c r="J983" s="7" t="n">
        <v>100</v>
      </c>
      <c r="K983" s="7" t="s">
        <v>112</v>
      </c>
      <c r="L983" s="7" t="s">
        <v>194</v>
      </c>
      <c r="M983" s="7" t="n">
        <v>31</v>
      </c>
      <c r="N983" s="7" t="n">
        <v>5</v>
      </c>
      <c r="O983" s="7" t="str">
        <f aca="false">A983&amp;"|"&amp;B983&amp;"|"&amp;C983&amp;"|"&amp;D983&amp;"|"&amp;E983&amp;"|"&amp;F983&amp;"|"&amp;G983&amp;"|"&amp;H983&amp;"|"&amp;I983&amp;"|"&amp;J983&amp;"|"&amp;K983&amp;"|"&amp;L983&amp;"|"&amp;M983&amp;"|"&amp;N983</f>
        <v>ORD12260|2025-10-13|17:45|C0677|Spice Junction|Bengaluru|North Indian|3|230|100|Cash on Delivery|Delivered|31|5</v>
      </c>
      <c r="P983" s="7" t="str">
        <f aca="false">IF(COUNTIF($O$2:O983,O983)&gt;1,"DUP","OK")</f>
        <v>OK</v>
      </c>
      <c r="Q983" s="7" t="n">
        <f aca="false">COUNTBLANK(A983:N983)</f>
        <v>0</v>
      </c>
      <c r="R983" s="7" t="n">
        <f aca="false">IF(A983="",0,COUNTIFS($A$2:$A$3058,A983,$P$2:$P$3058,"OK"))</f>
        <v>1</v>
      </c>
      <c r="S983" s="7" t="str">
        <f aca="false">IF(OR(A983="",P983="DUP",R983&lt;2),"",IF(Q983=_xlfn.MINIFS($Q$2:$Q$3058,$A$2:$A$3058,A983,$P$2:$P$3058,"OK"),"KEEP","DROP"))</f>
        <v/>
      </c>
      <c r="T983" s="9" t="n">
        <f aca="false">IF(A983="",1,0)</f>
        <v>0</v>
      </c>
      <c r="U983" s="9" t="n">
        <f aca="false">IF(D983="",1,0)</f>
        <v>0</v>
      </c>
      <c r="V983" s="9" t="n">
        <f aca="false">IF(E983="",1,0)</f>
        <v>0</v>
      </c>
      <c r="W983" s="9" t="n">
        <f aca="false">IF(OR(H983&lt;1,H983&gt;10),1,0)</f>
        <v>0</v>
      </c>
      <c r="X983" s="9" t="n">
        <f aca="false">IF(OR(I983&lt;=0,I983&gt;1500),1,0)</f>
        <v>0</v>
      </c>
      <c r="Y983" s="9" t="n">
        <f aca="false">IF(J983&gt;H983*I983,1,0)</f>
        <v>0</v>
      </c>
      <c r="Z983" s="9" t="n">
        <f aca="false">IF(AND(N983&lt;&gt;"",OR(N983&lt;1,N983&gt;5)),1,0)</f>
        <v>0</v>
      </c>
      <c r="AA983" s="9" t="n">
        <f aca="false">IF(AND(M983&lt;&gt;"",OR(M983&lt;5,M983&gt;180)),1,0)</f>
        <v>0</v>
      </c>
      <c r="AB983" s="7" t="str">
        <f aca="false">IF(P983="DUP","Exact duplicate row",IF(T983=1,"Missing Order ID",IF(S983="DROP","Duplicate Order ID (less complete row)",IF(U983=1,"Missing Customer ID",IF(V983=1,"Missing Restaurant name",IF(W983=1,"Invalid/outlier quantity",IF(X983=1,"Invalid/outlier unit price",IF(Y983=1,"Discount greater than order value",""))))))))</f>
        <v/>
      </c>
      <c r="AC983" s="7" t="str">
        <f aca="false">IF(AB983="","KEEP","DROP")</f>
        <v>KEEP</v>
      </c>
      <c r="AD983" s="7" t="str">
        <f aca="false">IF(TRIM(F983)="",IFERROR(INDEX(Map_Tables!$I$4:$I$37,MATCH(TRIM(E983),Map_Tables!$G$4:$G$37,0)),""),IFERROR(INDEX(Map_Tables!$B$4:$B$18,MATCH(TRIM(F983),Map_Tables!$A$4:$A$18,0)),"CHECK"))</f>
        <v>Bengaluru</v>
      </c>
      <c r="AE983" s="7" t="str">
        <f aca="false">IF(TRIM(E983)="","",IFERROR(INDEX(Map_Tables!$H$4:$H$37,MATCH(TRIM(E983),Map_Tables!$G$4:$G$37,0)),"CHECK"))</f>
        <v>Spice Junction</v>
      </c>
      <c r="AF983" s="7" t="str">
        <f aca="false">IF(TRIM(K983)="","Unknown",IFERROR(INDEX(Map_Tables!$E$4:$E$15,MATCH(TRIM(K983),Map_Tables!$D$4:$D$15,0)),"CHECK"))</f>
        <v>Cash on Delivery</v>
      </c>
      <c r="AG983" s="7" t="str">
        <f aca="false">IF(LEFT(LOWER(TRIM(L983)),6)="cancel","Cancelled","Delivered")</f>
        <v>Delivered</v>
      </c>
      <c r="AH983" s="10" t="n">
        <f aca="false">IF(ISNUMBER(SEARCH("/",B983)),DATE(VALUE(RIGHT(B983,4)),VALUE(MID(B983,4,2)),VALUE(LEFT(B983,2))),IF(MID(B983,5,1)="-",DATE(VALUE(LEFT(B983,4)),VALUE(MID(B983,6,2)),VALUE(RIGHT(B983,2))),DATE(VALUE(RIGHT(B983,4)),MATCH(MID(B983,4,3),{"Jan","Feb","Mar","Apr","May","Jun","Jul","Aug","Sep","Oct","Nov","Dec"},0),VALUE(LEFT(B983,2)))))</f>
        <v>45943</v>
      </c>
    </row>
    <row r="984" customFormat="false" ht="15" hidden="false" customHeight="false" outlineLevel="0" collapsed="false">
      <c r="A984" s="7" t="s">
        <v>2980</v>
      </c>
      <c r="B984" s="7" t="s">
        <v>275</v>
      </c>
      <c r="C984" s="7" t="s">
        <v>2088</v>
      </c>
      <c r="D984" s="7" t="s">
        <v>2981</v>
      </c>
      <c r="E984" s="7" t="s">
        <v>144</v>
      </c>
      <c r="F984" s="7" t="s">
        <v>119</v>
      </c>
      <c r="G984" s="7" t="s">
        <v>99</v>
      </c>
      <c r="H984" s="7" t="n">
        <v>5</v>
      </c>
      <c r="I984" s="7" t="n">
        <v>280</v>
      </c>
      <c r="J984" s="7" t="n">
        <v>50</v>
      </c>
      <c r="K984" s="7" t="s">
        <v>121</v>
      </c>
      <c r="L984" s="7" t="s">
        <v>194</v>
      </c>
      <c r="M984" s="7" t="n">
        <v>26</v>
      </c>
      <c r="N984" s="7" t="n">
        <v>4</v>
      </c>
      <c r="O984" s="7" t="str">
        <f aca="false">A984&amp;"|"&amp;B984&amp;"|"&amp;C984&amp;"|"&amp;D984&amp;"|"&amp;E984&amp;"|"&amp;F984&amp;"|"&amp;G984&amp;"|"&amp;H984&amp;"|"&amp;I984&amp;"|"&amp;J984&amp;"|"&amp;K984&amp;"|"&amp;L984&amp;"|"&amp;M984&amp;"|"&amp;N984</f>
        <v>ORD10125|2025-01-16|19:56|C0642|Hyderabad Dum Biryani|Hyderabad|Biryani|5|280|50|Wallet|Delivered|26|4</v>
      </c>
      <c r="P984" s="7" t="str">
        <f aca="false">IF(COUNTIF($O$2:O984,O984)&gt;1,"DUP","OK")</f>
        <v>OK</v>
      </c>
      <c r="Q984" s="7" t="n">
        <f aca="false">COUNTBLANK(A984:N984)</f>
        <v>0</v>
      </c>
      <c r="R984" s="7" t="n">
        <f aca="false">IF(A984="",0,COUNTIFS($A$2:$A$3058,A984,$P$2:$P$3058,"OK"))</f>
        <v>1</v>
      </c>
      <c r="S984" s="7" t="str">
        <f aca="false">IF(OR(A984="",P984="DUP",R984&lt;2),"",IF(Q984=_xlfn.MINIFS($Q$2:$Q$3058,$A$2:$A$3058,A984,$P$2:$P$3058,"OK"),"KEEP","DROP"))</f>
        <v/>
      </c>
      <c r="T984" s="9" t="n">
        <f aca="false">IF(A984="",1,0)</f>
        <v>0</v>
      </c>
      <c r="U984" s="9" t="n">
        <f aca="false">IF(D984="",1,0)</f>
        <v>0</v>
      </c>
      <c r="V984" s="9" t="n">
        <f aca="false">IF(E984="",1,0)</f>
        <v>0</v>
      </c>
      <c r="W984" s="9" t="n">
        <f aca="false">IF(OR(H984&lt;1,H984&gt;10),1,0)</f>
        <v>0</v>
      </c>
      <c r="X984" s="9" t="n">
        <f aca="false">IF(OR(I984&lt;=0,I984&gt;1500),1,0)</f>
        <v>0</v>
      </c>
      <c r="Y984" s="9" t="n">
        <f aca="false">IF(J984&gt;H984*I984,1,0)</f>
        <v>0</v>
      </c>
      <c r="Z984" s="9" t="n">
        <f aca="false">IF(AND(N984&lt;&gt;"",OR(N984&lt;1,N984&gt;5)),1,0)</f>
        <v>0</v>
      </c>
      <c r="AA984" s="9" t="n">
        <f aca="false">IF(AND(M984&lt;&gt;"",OR(M984&lt;5,M984&gt;180)),1,0)</f>
        <v>0</v>
      </c>
      <c r="AB984" s="7" t="str">
        <f aca="false">IF(P984="DUP","Exact duplicate row",IF(T984=1,"Missing Order ID",IF(S984="DROP","Duplicate Order ID (less complete row)",IF(U984=1,"Missing Customer ID",IF(V984=1,"Missing Restaurant name",IF(W984=1,"Invalid/outlier quantity",IF(X984=1,"Invalid/outlier unit price",IF(Y984=1,"Discount greater than order value",""))))))))</f>
        <v/>
      </c>
      <c r="AC984" s="7" t="str">
        <f aca="false">IF(AB984="","KEEP","DROP")</f>
        <v>KEEP</v>
      </c>
      <c r="AD984" s="7" t="str">
        <f aca="false">IF(TRIM(F984)="",IFERROR(INDEX(Map_Tables!$I$4:$I$37,MATCH(TRIM(E984),Map_Tables!$G$4:$G$37,0)),""),IFERROR(INDEX(Map_Tables!$B$4:$B$18,MATCH(TRIM(F984),Map_Tables!$A$4:$A$18,0)),"CHECK"))</f>
        <v>Hyderabad</v>
      </c>
      <c r="AE984" s="7" t="str">
        <f aca="false">IF(TRIM(E984)="","",IFERROR(INDEX(Map_Tables!$H$4:$H$37,MATCH(TRIM(E984),Map_Tables!$G$4:$G$37,0)),"CHECK"))</f>
        <v>Hyderabad Dum Biryani</v>
      </c>
      <c r="AF984" s="7" t="str">
        <f aca="false">IF(TRIM(K984)="","Unknown",IFERROR(INDEX(Map_Tables!$E$4:$E$15,MATCH(TRIM(K984),Map_Tables!$D$4:$D$15,0)),"CHECK"))</f>
        <v>Wallet</v>
      </c>
      <c r="AG984" s="7" t="str">
        <f aca="false">IF(LEFT(LOWER(TRIM(L984)),6)="cancel","Cancelled","Delivered")</f>
        <v>Delivered</v>
      </c>
      <c r="AH984" s="10" t="n">
        <f aca="false">IF(ISNUMBER(SEARCH("/",B984)),DATE(VALUE(RIGHT(B984,4)),VALUE(MID(B984,4,2)),VALUE(LEFT(B984,2))),IF(MID(B984,5,1)="-",DATE(VALUE(LEFT(B984,4)),VALUE(MID(B984,6,2)),VALUE(RIGHT(B984,2))),DATE(VALUE(RIGHT(B984,4)),MATCH(MID(B984,4,3),{"Jan","Feb","Mar","Apr","May","Jun","Jul","Aug","Sep","Oct","Nov","Dec"},0),VALUE(LEFT(B984,2)))))</f>
        <v>45673</v>
      </c>
    </row>
    <row r="985" customFormat="false" ht="15" hidden="false" customHeight="false" outlineLevel="0" collapsed="false">
      <c r="A985" s="7" t="s">
        <v>2982</v>
      </c>
      <c r="B985" s="7" t="s">
        <v>1714</v>
      </c>
      <c r="C985" s="7" t="s">
        <v>213</v>
      </c>
      <c r="D985" s="7" t="s">
        <v>2983</v>
      </c>
      <c r="E985" s="7" t="s">
        <v>147</v>
      </c>
      <c r="F985" s="7" t="s">
        <v>119</v>
      </c>
      <c r="G985" s="7" t="s">
        <v>95</v>
      </c>
      <c r="H985" s="7" t="n">
        <v>3</v>
      </c>
      <c r="I985" s="7" t="n">
        <v>130</v>
      </c>
      <c r="J985" s="7" t="n">
        <v>0</v>
      </c>
      <c r="K985" s="7" t="s">
        <v>121</v>
      </c>
      <c r="L985" s="7" t="s">
        <v>194</v>
      </c>
      <c r="M985" s="7" t="n">
        <v>44</v>
      </c>
      <c r="N985" s="7" t="n">
        <v>5</v>
      </c>
      <c r="O985" s="7" t="str">
        <f aca="false">A985&amp;"|"&amp;B985&amp;"|"&amp;C985&amp;"|"&amp;D985&amp;"|"&amp;E985&amp;"|"&amp;F985&amp;"|"&amp;G985&amp;"|"&amp;H985&amp;"|"&amp;I985&amp;"|"&amp;J985&amp;"|"&amp;K985&amp;"|"&amp;L985&amp;"|"&amp;M985&amp;"|"&amp;N985</f>
        <v>ORD10066|2025-01-09|20:37|C1064|Andhra Meals Mess|Hyderabad|South Indian|3|130|0|Wallet|Delivered|44|5</v>
      </c>
      <c r="P985" s="7" t="str">
        <f aca="false">IF(COUNTIF($O$2:O985,O985)&gt;1,"DUP","OK")</f>
        <v>OK</v>
      </c>
      <c r="Q985" s="7" t="n">
        <f aca="false">COUNTBLANK(A985:N985)</f>
        <v>0</v>
      </c>
      <c r="R985" s="7" t="n">
        <f aca="false">IF(A985="",0,COUNTIFS($A$2:$A$3058,A985,$P$2:$P$3058,"OK"))</f>
        <v>1</v>
      </c>
      <c r="S985" s="7" t="str">
        <f aca="false">IF(OR(A985="",P985="DUP",R985&lt;2),"",IF(Q985=_xlfn.MINIFS($Q$2:$Q$3058,$A$2:$A$3058,A985,$P$2:$P$3058,"OK"),"KEEP","DROP"))</f>
        <v/>
      </c>
      <c r="T985" s="9" t="n">
        <f aca="false">IF(A985="",1,0)</f>
        <v>0</v>
      </c>
      <c r="U985" s="9" t="n">
        <f aca="false">IF(D985="",1,0)</f>
        <v>0</v>
      </c>
      <c r="V985" s="9" t="n">
        <f aca="false">IF(E985="",1,0)</f>
        <v>0</v>
      </c>
      <c r="W985" s="9" t="n">
        <f aca="false">IF(OR(H985&lt;1,H985&gt;10),1,0)</f>
        <v>0</v>
      </c>
      <c r="X985" s="9" t="n">
        <f aca="false">IF(OR(I985&lt;=0,I985&gt;1500),1,0)</f>
        <v>0</v>
      </c>
      <c r="Y985" s="9" t="n">
        <f aca="false">IF(J985&gt;H985*I985,1,0)</f>
        <v>0</v>
      </c>
      <c r="Z985" s="9" t="n">
        <f aca="false">IF(AND(N985&lt;&gt;"",OR(N985&lt;1,N985&gt;5)),1,0)</f>
        <v>0</v>
      </c>
      <c r="AA985" s="9" t="n">
        <f aca="false">IF(AND(M985&lt;&gt;"",OR(M985&lt;5,M985&gt;180)),1,0)</f>
        <v>0</v>
      </c>
      <c r="AB985" s="7" t="str">
        <f aca="false">IF(P985="DUP","Exact duplicate row",IF(T985=1,"Missing Order ID",IF(S985="DROP","Duplicate Order ID (less complete row)",IF(U985=1,"Missing Customer ID",IF(V985=1,"Missing Restaurant name",IF(W985=1,"Invalid/outlier quantity",IF(X985=1,"Invalid/outlier unit price",IF(Y985=1,"Discount greater than order value",""))))))))</f>
        <v/>
      </c>
      <c r="AC985" s="7" t="str">
        <f aca="false">IF(AB985="","KEEP","DROP")</f>
        <v>KEEP</v>
      </c>
      <c r="AD985" s="7" t="str">
        <f aca="false">IF(TRIM(F985)="",IFERROR(INDEX(Map_Tables!$I$4:$I$37,MATCH(TRIM(E985),Map_Tables!$G$4:$G$37,0)),""),IFERROR(INDEX(Map_Tables!$B$4:$B$18,MATCH(TRIM(F985),Map_Tables!$A$4:$A$18,0)),"CHECK"))</f>
        <v>Hyderabad</v>
      </c>
      <c r="AE985" s="7" t="str">
        <f aca="false">IF(TRIM(E985)="","",IFERROR(INDEX(Map_Tables!$H$4:$H$37,MATCH(TRIM(E985),Map_Tables!$G$4:$G$37,0)),"CHECK"))</f>
        <v>Andhra Meals Mess</v>
      </c>
      <c r="AF985" s="7" t="str">
        <f aca="false">IF(TRIM(K985)="","Unknown",IFERROR(INDEX(Map_Tables!$E$4:$E$15,MATCH(TRIM(K985),Map_Tables!$D$4:$D$15,0)),"CHECK"))</f>
        <v>Wallet</v>
      </c>
      <c r="AG985" s="7" t="str">
        <f aca="false">IF(LEFT(LOWER(TRIM(L985)),6)="cancel","Cancelled","Delivered")</f>
        <v>Delivered</v>
      </c>
      <c r="AH985" s="10" t="n">
        <f aca="false">IF(ISNUMBER(SEARCH("/",B985)),DATE(VALUE(RIGHT(B985,4)),VALUE(MID(B985,4,2)),VALUE(LEFT(B985,2))),IF(MID(B985,5,1)="-",DATE(VALUE(LEFT(B985,4)),VALUE(MID(B985,6,2)),VALUE(RIGHT(B985,2))),DATE(VALUE(RIGHT(B985,4)),MATCH(MID(B985,4,3),{"Jan","Feb","Mar","Apr","May","Jun","Jul","Aug","Sep","Oct","Nov","Dec"},0),VALUE(LEFT(B985,2)))))</f>
        <v>45666</v>
      </c>
    </row>
    <row r="986" customFormat="false" ht="15" hidden="false" customHeight="false" outlineLevel="0" collapsed="false">
      <c r="A986" s="7" t="s">
        <v>2984</v>
      </c>
      <c r="B986" s="7" t="s">
        <v>1885</v>
      </c>
      <c r="C986" s="7" t="s">
        <v>1635</v>
      </c>
      <c r="D986" s="7" t="s">
        <v>2985</v>
      </c>
      <c r="E986" s="7" t="s">
        <v>94</v>
      </c>
      <c r="F986" s="7" t="s">
        <v>86</v>
      </c>
      <c r="G986" s="7" t="s">
        <v>95</v>
      </c>
      <c r="H986" s="7" t="n">
        <v>5</v>
      </c>
      <c r="I986" s="7" t="n">
        <v>125</v>
      </c>
      <c r="J986" s="7" t="n">
        <v>125</v>
      </c>
      <c r="K986" s="7" t="s">
        <v>421</v>
      </c>
      <c r="L986" s="7" t="s">
        <v>194</v>
      </c>
      <c r="M986" s="7" t="n">
        <v>41</v>
      </c>
      <c r="N986" s="7" t="n">
        <v>5</v>
      </c>
      <c r="O986" s="7" t="str">
        <f aca="false">A986&amp;"|"&amp;B986&amp;"|"&amp;C986&amp;"|"&amp;D986&amp;"|"&amp;E986&amp;"|"&amp;F986&amp;"|"&amp;G986&amp;"|"&amp;H986&amp;"|"&amp;I986&amp;"|"&amp;J986&amp;"|"&amp;K986&amp;"|"&amp;L986&amp;"|"&amp;M986&amp;"|"&amp;N986</f>
        <v>ORD12853|2025-12-15|21:31|C0212|Dosa Darbar|Bengaluru|South Indian|5|125|125|UPI |Delivered|41|5</v>
      </c>
      <c r="P986" s="7" t="str">
        <f aca="false">IF(COUNTIF($O$2:O986,O986)&gt;1,"DUP","OK")</f>
        <v>OK</v>
      </c>
      <c r="Q986" s="7" t="n">
        <f aca="false">COUNTBLANK(A986:N986)</f>
        <v>0</v>
      </c>
      <c r="R986" s="7" t="n">
        <f aca="false">IF(A986="",0,COUNTIFS($A$2:$A$3058,A986,$P$2:$P$3058,"OK"))</f>
        <v>1</v>
      </c>
      <c r="S986" s="7" t="str">
        <f aca="false">IF(OR(A986="",P986="DUP",R986&lt;2),"",IF(Q986=_xlfn.MINIFS($Q$2:$Q$3058,$A$2:$A$3058,A986,$P$2:$P$3058,"OK"),"KEEP","DROP"))</f>
        <v/>
      </c>
      <c r="T986" s="9" t="n">
        <f aca="false">IF(A986="",1,0)</f>
        <v>0</v>
      </c>
      <c r="U986" s="9" t="n">
        <f aca="false">IF(D986="",1,0)</f>
        <v>0</v>
      </c>
      <c r="V986" s="9" t="n">
        <f aca="false">IF(E986="",1,0)</f>
        <v>0</v>
      </c>
      <c r="W986" s="9" t="n">
        <f aca="false">IF(OR(H986&lt;1,H986&gt;10),1,0)</f>
        <v>0</v>
      </c>
      <c r="X986" s="9" t="n">
        <f aca="false">IF(OR(I986&lt;=0,I986&gt;1500),1,0)</f>
        <v>0</v>
      </c>
      <c r="Y986" s="9" t="n">
        <f aca="false">IF(J986&gt;H986*I986,1,0)</f>
        <v>0</v>
      </c>
      <c r="Z986" s="9" t="n">
        <f aca="false">IF(AND(N986&lt;&gt;"",OR(N986&lt;1,N986&gt;5)),1,0)</f>
        <v>0</v>
      </c>
      <c r="AA986" s="9" t="n">
        <f aca="false">IF(AND(M986&lt;&gt;"",OR(M986&lt;5,M986&gt;180)),1,0)</f>
        <v>0</v>
      </c>
      <c r="AB986" s="7" t="str">
        <f aca="false">IF(P986="DUP","Exact duplicate row",IF(T986=1,"Missing Order ID",IF(S986="DROP","Duplicate Order ID (less complete row)",IF(U986=1,"Missing Customer ID",IF(V986=1,"Missing Restaurant name",IF(W986=1,"Invalid/outlier quantity",IF(X986=1,"Invalid/outlier unit price",IF(Y986=1,"Discount greater than order value",""))))))))</f>
        <v/>
      </c>
      <c r="AC986" s="7" t="str">
        <f aca="false">IF(AB986="","KEEP","DROP")</f>
        <v>KEEP</v>
      </c>
      <c r="AD986" s="7" t="str">
        <f aca="false">IF(TRIM(F986)="",IFERROR(INDEX(Map_Tables!$I$4:$I$37,MATCH(TRIM(E986),Map_Tables!$G$4:$G$37,0)),""),IFERROR(INDEX(Map_Tables!$B$4:$B$18,MATCH(TRIM(F986),Map_Tables!$A$4:$A$18,0)),"CHECK"))</f>
        <v>Bengaluru</v>
      </c>
      <c r="AE986" s="7" t="str">
        <f aca="false">IF(TRIM(E986)="","",IFERROR(INDEX(Map_Tables!$H$4:$H$37,MATCH(TRIM(E986),Map_Tables!$G$4:$G$37,0)),"CHECK"))</f>
        <v>Dosa Darbar</v>
      </c>
      <c r="AF986" s="7" t="str">
        <f aca="false">IF(TRIM(K986)="","Unknown",IFERROR(INDEX(Map_Tables!$E$4:$E$15,MATCH(TRIM(K986),Map_Tables!$D$4:$D$15,0)),"CHECK"))</f>
        <v>UPI</v>
      </c>
      <c r="AG986" s="7" t="str">
        <f aca="false">IF(LEFT(LOWER(TRIM(L986)),6)="cancel","Cancelled","Delivered")</f>
        <v>Delivered</v>
      </c>
      <c r="AH986" s="10" t="n">
        <f aca="false">IF(ISNUMBER(SEARCH("/",B986)),DATE(VALUE(RIGHT(B986,4)),VALUE(MID(B986,4,2)),VALUE(LEFT(B986,2))),IF(MID(B986,5,1)="-",DATE(VALUE(LEFT(B986,4)),VALUE(MID(B986,6,2)),VALUE(RIGHT(B986,2))),DATE(VALUE(RIGHT(B986,4)),MATCH(MID(B986,4,3),{"Jan","Feb","Mar","Apr","May","Jun","Jul","Aug","Sep","Oct","Nov","Dec"},0),VALUE(LEFT(B986,2)))))</f>
        <v>46006</v>
      </c>
    </row>
    <row r="987" customFormat="false" ht="15" hidden="false" customHeight="false" outlineLevel="0" collapsed="false">
      <c r="A987" s="7" t="s">
        <v>2986</v>
      </c>
      <c r="B987" s="7" t="s">
        <v>2492</v>
      </c>
      <c r="C987" s="7" t="s">
        <v>2384</v>
      </c>
      <c r="D987" s="7" t="s">
        <v>1504</v>
      </c>
      <c r="E987" s="7" t="s">
        <v>160</v>
      </c>
      <c r="F987" s="7" t="s">
        <v>135</v>
      </c>
      <c r="G987" s="7" t="s">
        <v>150</v>
      </c>
      <c r="H987" s="7" t="n">
        <v>3</v>
      </c>
      <c r="I987" s="7" t="n">
        <v>195</v>
      </c>
      <c r="J987" s="7" t="n">
        <v>0</v>
      </c>
      <c r="K987" s="7" t="s">
        <v>88</v>
      </c>
      <c r="L987" s="7" t="s">
        <v>194</v>
      </c>
      <c r="M987" s="7" t="n">
        <v>26</v>
      </c>
      <c r="N987" s="7" t="n">
        <v>5</v>
      </c>
      <c r="O987" s="7" t="str">
        <f aca="false">A987&amp;"|"&amp;B987&amp;"|"&amp;C987&amp;"|"&amp;D987&amp;"|"&amp;E987&amp;"|"&amp;F987&amp;"|"&amp;G987&amp;"|"&amp;H987&amp;"|"&amp;I987&amp;"|"&amp;J987&amp;"|"&amp;K987&amp;"|"&amp;L987&amp;"|"&amp;M987&amp;"|"&amp;N987</f>
        <v>ORD11243|2025-06-08|11:07|C0190|Cake Walk|pune|Desserts|3|195|0|UPI|Delivered|26|5</v>
      </c>
      <c r="P987" s="7" t="str">
        <f aca="false">IF(COUNTIF($O$2:O987,O987)&gt;1,"DUP","OK")</f>
        <v>OK</v>
      </c>
      <c r="Q987" s="7" t="n">
        <f aca="false">COUNTBLANK(A987:N987)</f>
        <v>0</v>
      </c>
      <c r="R987" s="7" t="n">
        <f aca="false">IF(A987="",0,COUNTIFS($A$2:$A$3058,A987,$P$2:$P$3058,"OK"))</f>
        <v>1</v>
      </c>
      <c r="S987" s="7" t="str">
        <f aca="false">IF(OR(A987="",P987="DUP",R987&lt;2),"",IF(Q987=_xlfn.MINIFS($Q$2:$Q$3058,$A$2:$A$3058,A987,$P$2:$P$3058,"OK"),"KEEP","DROP"))</f>
        <v/>
      </c>
      <c r="T987" s="9" t="n">
        <f aca="false">IF(A987="",1,0)</f>
        <v>0</v>
      </c>
      <c r="U987" s="9" t="n">
        <f aca="false">IF(D987="",1,0)</f>
        <v>0</v>
      </c>
      <c r="V987" s="9" t="n">
        <f aca="false">IF(E987="",1,0)</f>
        <v>0</v>
      </c>
      <c r="W987" s="9" t="n">
        <f aca="false">IF(OR(H987&lt;1,H987&gt;10),1,0)</f>
        <v>0</v>
      </c>
      <c r="X987" s="9" t="n">
        <f aca="false">IF(OR(I987&lt;=0,I987&gt;1500),1,0)</f>
        <v>0</v>
      </c>
      <c r="Y987" s="9" t="n">
        <f aca="false">IF(J987&gt;H987*I987,1,0)</f>
        <v>0</v>
      </c>
      <c r="Z987" s="9" t="n">
        <f aca="false">IF(AND(N987&lt;&gt;"",OR(N987&lt;1,N987&gt;5)),1,0)</f>
        <v>0</v>
      </c>
      <c r="AA987" s="9" t="n">
        <f aca="false">IF(AND(M987&lt;&gt;"",OR(M987&lt;5,M987&gt;180)),1,0)</f>
        <v>0</v>
      </c>
      <c r="AB987" s="7" t="str">
        <f aca="false">IF(P987="DUP","Exact duplicate row",IF(T987=1,"Missing Order ID",IF(S987="DROP","Duplicate Order ID (less complete row)",IF(U987=1,"Missing Customer ID",IF(V987=1,"Missing Restaurant name",IF(W987=1,"Invalid/outlier quantity",IF(X987=1,"Invalid/outlier unit price",IF(Y987=1,"Discount greater than order value",""))))))))</f>
        <v/>
      </c>
      <c r="AC987" s="7" t="str">
        <f aca="false">IF(AB987="","KEEP","DROP")</f>
        <v>KEEP</v>
      </c>
      <c r="AD987" s="7" t="str">
        <f aca="false">IF(TRIM(F987)="",IFERROR(INDEX(Map_Tables!$I$4:$I$37,MATCH(TRIM(E987),Map_Tables!$G$4:$G$37,0)),""),IFERROR(INDEX(Map_Tables!$B$4:$B$18,MATCH(TRIM(F987),Map_Tables!$A$4:$A$18,0)),"CHECK"))</f>
        <v>Pune</v>
      </c>
      <c r="AE987" s="7" t="str">
        <f aca="false">IF(TRIM(E987)="","",IFERROR(INDEX(Map_Tables!$H$4:$H$37,MATCH(TRIM(E987),Map_Tables!$G$4:$G$37,0)),"CHECK"))</f>
        <v>Cake Walk</v>
      </c>
      <c r="AF987" s="7" t="str">
        <f aca="false">IF(TRIM(K987)="","Unknown",IFERROR(INDEX(Map_Tables!$E$4:$E$15,MATCH(TRIM(K987),Map_Tables!$D$4:$D$15,0)),"CHECK"))</f>
        <v>UPI</v>
      </c>
      <c r="AG987" s="7" t="str">
        <f aca="false">IF(LEFT(LOWER(TRIM(L987)),6)="cancel","Cancelled","Delivered")</f>
        <v>Delivered</v>
      </c>
      <c r="AH987" s="10" t="n">
        <f aca="false">IF(ISNUMBER(SEARCH("/",B987)),DATE(VALUE(RIGHT(B987,4)),VALUE(MID(B987,4,2)),VALUE(LEFT(B987,2))),IF(MID(B987,5,1)="-",DATE(VALUE(LEFT(B987,4)),VALUE(MID(B987,6,2)),VALUE(RIGHT(B987,2))),DATE(VALUE(RIGHT(B987,4)),MATCH(MID(B987,4,3),{"Jan","Feb","Mar","Apr","May","Jun","Jul","Aug","Sep","Oct","Nov","Dec"},0),VALUE(LEFT(B987,2)))))</f>
        <v>45816</v>
      </c>
    </row>
    <row r="988" customFormat="false" ht="15" hidden="false" customHeight="false" outlineLevel="0" collapsed="false">
      <c r="A988" s="7" t="s">
        <v>2987</v>
      </c>
      <c r="B988" s="7" t="s">
        <v>2275</v>
      </c>
      <c r="C988" s="7" t="s">
        <v>2289</v>
      </c>
      <c r="D988" s="7" t="s">
        <v>2988</v>
      </c>
      <c r="E988" s="7" t="s">
        <v>147</v>
      </c>
      <c r="F988" s="7" t="s">
        <v>119</v>
      </c>
      <c r="G988" s="7" t="s">
        <v>95</v>
      </c>
      <c r="H988" s="7" t="n">
        <v>2</v>
      </c>
      <c r="I988" s="7" t="n">
        <v>135</v>
      </c>
      <c r="J988" s="7" t="n">
        <v>0</v>
      </c>
      <c r="K988" s="7" t="s">
        <v>421</v>
      </c>
      <c r="L988" s="7" t="s">
        <v>194</v>
      </c>
      <c r="M988" s="7" t="n">
        <v>26</v>
      </c>
      <c r="N988" s="7" t="n">
        <v>4</v>
      </c>
      <c r="O988" s="7" t="str">
        <f aca="false">A988&amp;"|"&amp;B988&amp;"|"&amp;C988&amp;"|"&amp;D988&amp;"|"&amp;E988&amp;"|"&amp;F988&amp;"|"&amp;G988&amp;"|"&amp;H988&amp;"|"&amp;I988&amp;"|"&amp;J988&amp;"|"&amp;K988&amp;"|"&amp;L988&amp;"|"&amp;M988&amp;"|"&amp;N988</f>
        <v>ORD12393|2025-10-29|17:38|C1332|Andhra Meals Mess|Hyderabad|South Indian|2|135|0|UPI |Delivered|26|4</v>
      </c>
      <c r="P988" s="7" t="str">
        <f aca="false">IF(COUNTIF($O$2:O988,O988)&gt;1,"DUP","OK")</f>
        <v>OK</v>
      </c>
      <c r="Q988" s="7" t="n">
        <f aca="false">COUNTBLANK(A988:N988)</f>
        <v>0</v>
      </c>
      <c r="R988" s="7" t="n">
        <f aca="false">IF(A988="",0,COUNTIFS($A$2:$A$3058,A988,$P$2:$P$3058,"OK"))</f>
        <v>1</v>
      </c>
      <c r="S988" s="7" t="str">
        <f aca="false">IF(OR(A988="",P988="DUP",R988&lt;2),"",IF(Q988=_xlfn.MINIFS($Q$2:$Q$3058,$A$2:$A$3058,A988,$P$2:$P$3058,"OK"),"KEEP","DROP"))</f>
        <v/>
      </c>
      <c r="T988" s="9" t="n">
        <f aca="false">IF(A988="",1,0)</f>
        <v>0</v>
      </c>
      <c r="U988" s="9" t="n">
        <f aca="false">IF(D988="",1,0)</f>
        <v>0</v>
      </c>
      <c r="V988" s="9" t="n">
        <f aca="false">IF(E988="",1,0)</f>
        <v>0</v>
      </c>
      <c r="W988" s="9" t="n">
        <f aca="false">IF(OR(H988&lt;1,H988&gt;10),1,0)</f>
        <v>0</v>
      </c>
      <c r="X988" s="9" t="n">
        <f aca="false">IF(OR(I988&lt;=0,I988&gt;1500),1,0)</f>
        <v>0</v>
      </c>
      <c r="Y988" s="9" t="n">
        <f aca="false">IF(J988&gt;H988*I988,1,0)</f>
        <v>0</v>
      </c>
      <c r="Z988" s="9" t="n">
        <f aca="false">IF(AND(N988&lt;&gt;"",OR(N988&lt;1,N988&gt;5)),1,0)</f>
        <v>0</v>
      </c>
      <c r="AA988" s="9" t="n">
        <f aca="false">IF(AND(M988&lt;&gt;"",OR(M988&lt;5,M988&gt;180)),1,0)</f>
        <v>0</v>
      </c>
      <c r="AB988" s="7" t="str">
        <f aca="false">IF(P988="DUP","Exact duplicate row",IF(T988=1,"Missing Order ID",IF(S988="DROP","Duplicate Order ID (less complete row)",IF(U988=1,"Missing Customer ID",IF(V988=1,"Missing Restaurant name",IF(W988=1,"Invalid/outlier quantity",IF(X988=1,"Invalid/outlier unit price",IF(Y988=1,"Discount greater than order value",""))))))))</f>
        <v/>
      </c>
      <c r="AC988" s="7" t="str">
        <f aca="false">IF(AB988="","KEEP","DROP")</f>
        <v>KEEP</v>
      </c>
      <c r="AD988" s="7" t="str">
        <f aca="false">IF(TRIM(F988)="",IFERROR(INDEX(Map_Tables!$I$4:$I$37,MATCH(TRIM(E988),Map_Tables!$G$4:$G$37,0)),""),IFERROR(INDEX(Map_Tables!$B$4:$B$18,MATCH(TRIM(F988),Map_Tables!$A$4:$A$18,0)),"CHECK"))</f>
        <v>Hyderabad</v>
      </c>
      <c r="AE988" s="7" t="str">
        <f aca="false">IF(TRIM(E988)="","",IFERROR(INDEX(Map_Tables!$H$4:$H$37,MATCH(TRIM(E988),Map_Tables!$G$4:$G$37,0)),"CHECK"))</f>
        <v>Andhra Meals Mess</v>
      </c>
      <c r="AF988" s="7" t="str">
        <f aca="false">IF(TRIM(K988)="","Unknown",IFERROR(INDEX(Map_Tables!$E$4:$E$15,MATCH(TRIM(K988),Map_Tables!$D$4:$D$15,0)),"CHECK"))</f>
        <v>UPI</v>
      </c>
      <c r="AG988" s="7" t="str">
        <f aca="false">IF(LEFT(LOWER(TRIM(L988)),6)="cancel","Cancelled","Delivered")</f>
        <v>Delivered</v>
      </c>
      <c r="AH988" s="10" t="n">
        <f aca="false">IF(ISNUMBER(SEARCH("/",B988)),DATE(VALUE(RIGHT(B988,4)),VALUE(MID(B988,4,2)),VALUE(LEFT(B988,2))),IF(MID(B988,5,1)="-",DATE(VALUE(LEFT(B988,4)),VALUE(MID(B988,6,2)),VALUE(RIGHT(B988,2))),DATE(VALUE(RIGHT(B988,4)),MATCH(MID(B988,4,3),{"Jan","Feb","Mar","Apr","May","Jun","Jul","Aug","Sep","Oct","Nov","Dec"},0),VALUE(LEFT(B988,2)))))</f>
        <v>45959</v>
      </c>
    </row>
    <row r="989" customFormat="false" ht="15" hidden="false" customHeight="false" outlineLevel="0" collapsed="false">
      <c r="A989" s="7" t="s">
        <v>2989</v>
      </c>
      <c r="B989" s="7" t="s">
        <v>523</v>
      </c>
      <c r="C989" s="7" t="s">
        <v>1899</v>
      </c>
      <c r="D989" s="7" t="s">
        <v>2990</v>
      </c>
      <c r="E989" s="7" t="s">
        <v>130</v>
      </c>
      <c r="F989" s="7" t="s">
        <v>110</v>
      </c>
      <c r="G989" s="7" t="s">
        <v>90</v>
      </c>
      <c r="H989" s="7" t="n">
        <v>4</v>
      </c>
      <c r="I989" s="7" t="n">
        <v>250</v>
      </c>
      <c r="J989" s="7" t="n">
        <v>0</v>
      </c>
      <c r="K989" s="7" t="s">
        <v>112</v>
      </c>
      <c r="L989" s="7" t="s">
        <v>194</v>
      </c>
      <c r="M989" s="7" t="n">
        <v>45</v>
      </c>
      <c r="N989" s="7" t="n">
        <v>4</v>
      </c>
      <c r="O989" s="7" t="str">
        <f aca="false">A989&amp;"|"&amp;B989&amp;"|"&amp;C989&amp;"|"&amp;D989&amp;"|"&amp;E989&amp;"|"&amp;F989&amp;"|"&amp;G989&amp;"|"&amp;H989&amp;"|"&amp;I989&amp;"|"&amp;J989&amp;"|"&amp;K989&amp;"|"&amp;L989&amp;"|"&amp;M989&amp;"|"&amp;N989</f>
        <v>ORD11828|2025-08-27|11:19|C0189|Tandoor Tales|Delhi|North Indian|4|250|0|Cash on Delivery|Delivered|45|4</v>
      </c>
      <c r="P989" s="7" t="str">
        <f aca="false">IF(COUNTIF($O$2:O989,O989)&gt;1,"DUP","OK")</f>
        <v>OK</v>
      </c>
      <c r="Q989" s="7" t="n">
        <f aca="false">COUNTBLANK(A989:N989)</f>
        <v>0</v>
      </c>
      <c r="R989" s="7" t="n">
        <f aca="false">IF(A989="",0,COUNTIFS($A$2:$A$3058,A989,$P$2:$P$3058,"OK"))</f>
        <v>1</v>
      </c>
      <c r="S989" s="7" t="str">
        <f aca="false">IF(OR(A989="",P989="DUP",R989&lt;2),"",IF(Q989=_xlfn.MINIFS($Q$2:$Q$3058,$A$2:$A$3058,A989,$P$2:$P$3058,"OK"),"KEEP","DROP"))</f>
        <v/>
      </c>
      <c r="T989" s="9" t="n">
        <f aca="false">IF(A989="",1,0)</f>
        <v>0</v>
      </c>
      <c r="U989" s="9" t="n">
        <f aca="false">IF(D989="",1,0)</f>
        <v>0</v>
      </c>
      <c r="V989" s="9" t="n">
        <f aca="false">IF(E989="",1,0)</f>
        <v>0</v>
      </c>
      <c r="W989" s="9" t="n">
        <f aca="false">IF(OR(H989&lt;1,H989&gt;10),1,0)</f>
        <v>0</v>
      </c>
      <c r="X989" s="9" t="n">
        <f aca="false">IF(OR(I989&lt;=0,I989&gt;1500),1,0)</f>
        <v>0</v>
      </c>
      <c r="Y989" s="9" t="n">
        <f aca="false">IF(J989&gt;H989*I989,1,0)</f>
        <v>0</v>
      </c>
      <c r="Z989" s="9" t="n">
        <f aca="false">IF(AND(N989&lt;&gt;"",OR(N989&lt;1,N989&gt;5)),1,0)</f>
        <v>0</v>
      </c>
      <c r="AA989" s="9" t="n">
        <f aca="false">IF(AND(M989&lt;&gt;"",OR(M989&lt;5,M989&gt;180)),1,0)</f>
        <v>0</v>
      </c>
      <c r="AB989" s="7" t="str">
        <f aca="false">IF(P989="DUP","Exact duplicate row",IF(T989=1,"Missing Order ID",IF(S989="DROP","Duplicate Order ID (less complete row)",IF(U989=1,"Missing Customer ID",IF(V989=1,"Missing Restaurant name",IF(W989=1,"Invalid/outlier quantity",IF(X989=1,"Invalid/outlier unit price",IF(Y989=1,"Discount greater than order value",""))))))))</f>
        <v/>
      </c>
      <c r="AC989" s="7" t="str">
        <f aca="false">IF(AB989="","KEEP","DROP")</f>
        <v>KEEP</v>
      </c>
      <c r="AD989" s="7" t="str">
        <f aca="false">IF(TRIM(F989)="",IFERROR(INDEX(Map_Tables!$I$4:$I$37,MATCH(TRIM(E989),Map_Tables!$G$4:$G$37,0)),""),IFERROR(INDEX(Map_Tables!$B$4:$B$18,MATCH(TRIM(F989),Map_Tables!$A$4:$A$18,0)),"CHECK"))</f>
        <v>Delhi</v>
      </c>
      <c r="AE989" s="7" t="str">
        <f aca="false">IF(TRIM(E989)="","",IFERROR(INDEX(Map_Tables!$H$4:$H$37,MATCH(TRIM(E989),Map_Tables!$G$4:$G$37,0)),"CHECK"))</f>
        <v>Tandoor Tales</v>
      </c>
      <c r="AF989" s="7" t="str">
        <f aca="false">IF(TRIM(K989)="","Unknown",IFERROR(INDEX(Map_Tables!$E$4:$E$15,MATCH(TRIM(K989),Map_Tables!$D$4:$D$15,0)),"CHECK"))</f>
        <v>Cash on Delivery</v>
      </c>
      <c r="AG989" s="7" t="str">
        <f aca="false">IF(LEFT(LOWER(TRIM(L989)),6)="cancel","Cancelled","Delivered")</f>
        <v>Delivered</v>
      </c>
      <c r="AH989" s="10" t="n">
        <f aca="false">IF(ISNUMBER(SEARCH("/",B989)),DATE(VALUE(RIGHT(B989,4)),VALUE(MID(B989,4,2)),VALUE(LEFT(B989,2))),IF(MID(B989,5,1)="-",DATE(VALUE(LEFT(B989,4)),VALUE(MID(B989,6,2)),VALUE(RIGHT(B989,2))),DATE(VALUE(RIGHT(B989,4)),MATCH(MID(B989,4,3),{"Jan","Feb","Mar","Apr","May","Jun","Jul","Aug","Sep","Oct","Nov","Dec"},0),VALUE(LEFT(B989,2)))))</f>
        <v>45896</v>
      </c>
    </row>
    <row r="990" customFormat="false" ht="15" hidden="false" customHeight="false" outlineLevel="0" collapsed="false">
      <c r="A990" s="7" t="s">
        <v>2991</v>
      </c>
      <c r="B990" s="7" t="s">
        <v>2026</v>
      </c>
      <c r="C990" s="7" t="s">
        <v>2992</v>
      </c>
      <c r="D990" s="7" t="s">
        <v>1172</v>
      </c>
      <c r="E990" s="7" t="s">
        <v>148</v>
      </c>
      <c r="F990" s="7" t="s">
        <v>119</v>
      </c>
      <c r="G990" s="7" t="s">
        <v>123</v>
      </c>
      <c r="H990" s="7" t="n">
        <v>2</v>
      </c>
      <c r="I990" s="7" t="n">
        <v>395</v>
      </c>
      <c r="J990" s="7" t="n">
        <v>125</v>
      </c>
      <c r="K990" s="7" t="s">
        <v>93</v>
      </c>
      <c r="L990" s="7" t="s">
        <v>194</v>
      </c>
      <c r="M990" s="7"/>
      <c r="N990" s="7" t="n">
        <v>4</v>
      </c>
      <c r="O990" s="7" t="str">
        <f aca="false">A990&amp;"|"&amp;B990&amp;"|"&amp;C990&amp;"|"&amp;D990&amp;"|"&amp;E990&amp;"|"&amp;F990&amp;"|"&amp;G990&amp;"|"&amp;H990&amp;"|"&amp;I990&amp;"|"&amp;J990&amp;"|"&amp;K990&amp;"|"&amp;L990&amp;"|"&amp;M990&amp;"|"&amp;N990</f>
        <v>ORD12693|2025-11-28|09:30|C0443|Pizza Palace|Hyderabad|Pizza|2|395|125|Credit Card|Delivered||4</v>
      </c>
      <c r="P990" s="7" t="str">
        <f aca="false">IF(COUNTIF($O$2:O990,O990)&gt;1,"DUP","OK")</f>
        <v>OK</v>
      </c>
      <c r="Q990" s="7" t="n">
        <f aca="false">COUNTBLANK(A990:N990)</f>
        <v>1</v>
      </c>
      <c r="R990" s="7" t="n">
        <f aca="false">IF(A990="",0,COUNTIFS($A$2:$A$3058,A990,$P$2:$P$3058,"OK"))</f>
        <v>1</v>
      </c>
      <c r="S990" s="7" t="str">
        <f aca="false">IF(OR(A990="",P990="DUP",R990&lt;2),"",IF(Q990=_xlfn.MINIFS($Q$2:$Q$3058,$A$2:$A$3058,A990,$P$2:$P$3058,"OK"),"KEEP","DROP"))</f>
        <v/>
      </c>
      <c r="T990" s="9" t="n">
        <f aca="false">IF(A990="",1,0)</f>
        <v>0</v>
      </c>
      <c r="U990" s="9" t="n">
        <f aca="false">IF(D990="",1,0)</f>
        <v>0</v>
      </c>
      <c r="V990" s="9" t="n">
        <f aca="false">IF(E990="",1,0)</f>
        <v>0</v>
      </c>
      <c r="W990" s="9" t="n">
        <f aca="false">IF(OR(H990&lt;1,H990&gt;10),1,0)</f>
        <v>0</v>
      </c>
      <c r="X990" s="9" t="n">
        <f aca="false">IF(OR(I990&lt;=0,I990&gt;1500),1,0)</f>
        <v>0</v>
      </c>
      <c r="Y990" s="9" t="n">
        <f aca="false">IF(J990&gt;H990*I990,1,0)</f>
        <v>0</v>
      </c>
      <c r="Z990" s="9" t="n">
        <f aca="false">IF(AND(N990&lt;&gt;"",OR(N990&lt;1,N990&gt;5)),1,0)</f>
        <v>0</v>
      </c>
      <c r="AA990" s="9" t="n">
        <f aca="false">IF(AND(M990&lt;&gt;"",OR(M990&lt;5,M990&gt;180)),1,0)</f>
        <v>0</v>
      </c>
      <c r="AB990" s="7" t="str">
        <f aca="false">IF(P990="DUP","Exact duplicate row",IF(T990=1,"Missing Order ID",IF(S990="DROP","Duplicate Order ID (less complete row)",IF(U990=1,"Missing Customer ID",IF(V990=1,"Missing Restaurant name",IF(W990=1,"Invalid/outlier quantity",IF(X990=1,"Invalid/outlier unit price",IF(Y990=1,"Discount greater than order value",""))))))))</f>
        <v/>
      </c>
      <c r="AC990" s="7" t="str">
        <f aca="false">IF(AB990="","KEEP","DROP")</f>
        <v>KEEP</v>
      </c>
      <c r="AD990" s="7" t="str">
        <f aca="false">IF(TRIM(F990)="",IFERROR(INDEX(Map_Tables!$I$4:$I$37,MATCH(TRIM(E990),Map_Tables!$G$4:$G$37,0)),""),IFERROR(INDEX(Map_Tables!$B$4:$B$18,MATCH(TRIM(F990),Map_Tables!$A$4:$A$18,0)),"CHECK"))</f>
        <v>Hyderabad</v>
      </c>
      <c r="AE990" s="7" t="str">
        <f aca="false">IF(TRIM(E990)="","",IFERROR(INDEX(Map_Tables!$H$4:$H$37,MATCH(TRIM(E990),Map_Tables!$G$4:$G$37,0)),"CHECK"))</f>
        <v>Pizza Palace</v>
      </c>
      <c r="AF990" s="7" t="str">
        <f aca="false">IF(TRIM(K990)="","Unknown",IFERROR(INDEX(Map_Tables!$E$4:$E$15,MATCH(TRIM(K990),Map_Tables!$D$4:$D$15,0)),"CHECK"))</f>
        <v>Credit Card</v>
      </c>
      <c r="AG990" s="7" t="str">
        <f aca="false">IF(LEFT(LOWER(TRIM(L990)),6)="cancel","Cancelled","Delivered")</f>
        <v>Delivered</v>
      </c>
      <c r="AH990" s="10" t="n">
        <f aca="false">IF(ISNUMBER(SEARCH("/",B990)),DATE(VALUE(RIGHT(B990,4)),VALUE(MID(B990,4,2)),VALUE(LEFT(B990,2))),IF(MID(B990,5,1)="-",DATE(VALUE(LEFT(B990,4)),VALUE(MID(B990,6,2)),VALUE(RIGHT(B990,2))),DATE(VALUE(RIGHT(B990,4)),MATCH(MID(B990,4,3),{"Jan","Feb","Mar","Apr","May","Jun","Jul","Aug","Sep","Oct","Nov","Dec"},0),VALUE(LEFT(B990,2)))))</f>
        <v>45989</v>
      </c>
    </row>
    <row r="991" customFormat="false" ht="15" hidden="false" customHeight="false" outlineLevel="0" collapsed="false">
      <c r="A991" s="7" t="s">
        <v>2993</v>
      </c>
      <c r="B991" s="7" t="s">
        <v>1989</v>
      </c>
      <c r="C991" s="7" t="s">
        <v>2390</v>
      </c>
      <c r="D991" s="7" t="s">
        <v>2994</v>
      </c>
      <c r="E991" s="7" t="s">
        <v>2815</v>
      </c>
      <c r="F991" s="7" t="s">
        <v>141</v>
      </c>
      <c r="G991" s="7" t="s">
        <v>117</v>
      </c>
      <c r="H991" s="7" t="n">
        <v>1</v>
      </c>
      <c r="I991" s="7" t="n">
        <v>125</v>
      </c>
      <c r="J991" s="7" t="n">
        <v>0</v>
      </c>
      <c r="K991" s="7" t="s">
        <v>88</v>
      </c>
      <c r="L991" s="7" t="s">
        <v>194</v>
      </c>
      <c r="M991" s="7" t="n">
        <v>50</v>
      </c>
      <c r="N991" s="7" t="n">
        <v>5</v>
      </c>
      <c r="O991" s="7" t="str">
        <f aca="false">A991&amp;"|"&amp;B991&amp;"|"&amp;C991&amp;"|"&amp;D991&amp;"|"&amp;E991&amp;"|"&amp;F991&amp;"|"&amp;G991&amp;"|"&amp;H991&amp;"|"&amp;I991&amp;"|"&amp;J991&amp;"|"&amp;K991&amp;"|"&amp;L991&amp;"|"&amp;M991&amp;"|"&amp;N991</f>
        <v>ORD11397|2025-06-30|12:42|C0967| Bengal Bites|Kolkata|Street Food|1|125|0|UPI|Delivered|50|5</v>
      </c>
      <c r="P991" s="7" t="str">
        <f aca="false">IF(COUNTIF($O$2:O991,O991)&gt;1,"DUP","OK")</f>
        <v>OK</v>
      </c>
      <c r="Q991" s="7" t="n">
        <f aca="false">COUNTBLANK(A991:N991)</f>
        <v>0</v>
      </c>
      <c r="R991" s="7" t="n">
        <f aca="false">IF(A991="",0,COUNTIFS($A$2:$A$3058,A991,$P$2:$P$3058,"OK"))</f>
        <v>1</v>
      </c>
      <c r="S991" s="7" t="str">
        <f aca="false">IF(OR(A991="",P991="DUP",R991&lt;2),"",IF(Q991=_xlfn.MINIFS($Q$2:$Q$3058,$A$2:$A$3058,A991,$P$2:$P$3058,"OK"),"KEEP","DROP"))</f>
        <v/>
      </c>
      <c r="T991" s="9" t="n">
        <f aca="false">IF(A991="",1,0)</f>
        <v>0</v>
      </c>
      <c r="U991" s="9" t="n">
        <f aca="false">IF(D991="",1,0)</f>
        <v>0</v>
      </c>
      <c r="V991" s="9" t="n">
        <f aca="false">IF(E991="",1,0)</f>
        <v>0</v>
      </c>
      <c r="W991" s="9" t="n">
        <f aca="false">IF(OR(H991&lt;1,H991&gt;10),1,0)</f>
        <v>0</v>
      </c>
      <c r="X991" s="9" t="n">
        <f aca="false">IF(OR(I991&lt;=0,I991&gt;1500),1,0)</f>
        <v>0</v>
      </c>
      <c r="Y991" s="9" t="n">
        <f aca="false">IF(J991&gt;H991*I991,1,0)</f>
        <v>0</v>
      </c>
      <c r="Z991" s="9" t="n">
        <f aca="false">IF(AND(N991&lt;&gt;"",OR(N991&lt;1,N991&gt;5)),1,0)</f>
        <v>0</v>
      </c>
      <c r="AA991" s="9" t="n">
        <f aca="false">IF(AND(M991&lt;&gt;"",OR(M991&lt;5,M991&gt;180)),1,0)</f>
        <v>0</v>
      </c>
      <c r="AB991" s="7" t="str">
        <f aca="false">IF(P991="DUP","Exact duplicate row",IF(T991=1,"Missing Order ID",IF(S991="DROP","Duplicate Order ID (less complete row)",IF(U991=1,"Missing Customer ID",IF(V991=1,"Missing Restaurant name",IF(W991=1,"Invalid/outlier quantity",IF(X991=1,"Invalid/outlier unit price",IF(Y991=1,"Discount greater than order value",""))))))))</f>
        <v/>
      </c>
      <c r="AC991" s="7" t="str">
        <f aca="false">IF(AB991="","KEEP","DROP")</f>
        <v>KEEP</v>
      </c>
      <c r="AD991" s="7" t="str">
        <f aca="false">IF(TRIM(F991)="",IFERROR(INDEX(Map_Tables!$I$4:$I$37,MATCH(TRIM(E991),Map_Tables!$G$4:$G$37,0)),""),IFERROR(INDEX(Map_Tables!$B$4:$B$18,MATCH(TRIM(F991),Map_Tables!$A$4:$A$18,0)),"CHECK"))</f>
        <v>Kolkata</v>
      </c>
      <c r="AE991" s="7" t="str">
        <f aca="false">IF(TRIM(E991)="","",IFERROR(INDEX(Map_Tables!$H$4:$H$37,MATCH(TRIM(E991),Map_Tables!$G$4:$G$37,0)),"CHECK"))</f>
        <v>Bengal Bites</v>
      </c>
      <c r="AF991" s="7" t="str">
        <f aca="false">IF(TRIM(K991)="","Unknown",IFERROR(INDEX(Map_Tables!$E$4:$E$15,MATCH(TRIM(K991),Map_Tables!$D$4:$D$15,0)),"CHECK"))</f>
        <v>UPI</v>
      </c>
      <c r="AG991" s="7" t="str">
        <f aca="false">IF(LEFT(LOWER(TRIM(L991)),6)="cancel","Cancelled","Delivered")</f>
        <v>Delivered</v>
      </c>
      <c r="AH991" s="10" t="n">
        <f aca="false">IF(ISNUMBER(SEARCH("/",B991)),DATE(VALUE(RIGHT(B991,4)),VALUE(MID(B991,4,2)),VALUE(LEFT(B991,2))),IF(MID(B991,5,1)="-",DATE(VALUE(LEFT(B991,4)),VALUE(MID(B991,6,2)),VALUE(RIGHT(B991,2))),DATE(VALUE(RIGHT(B991,4)),MATCH(MID(B991,4,3),{"Jan","Feb","Mar","Apr","May","Jun","Jul","Aug","Sep","Oct","Nov","Dec"},0),VALUE(LEFT(B991,2)))))</f>
        <v>45838</v>
      </c>
    </row>
    <row r="992" customFormat="false" ht="15" hidden="false" customHeight="false" outlineLevel="0" collapsed="false">
      <c r="A992" s="7" t="s">
        <v>2995</v>
      </c>
      <c r="B992" s="7" t="s">
        <v>2685</v>
      </c>
      <c r="C992" s="7" t="s">
        <v>2996</v>
      </c>
      <c r="D992" s="7" t="s">
        <v>1573</v>
      </c>
      <c r="E992" s="7" t="s">
        <v>130</v>
      </c>
      <c r="F992" s="7" t="s">
        <v>110</v>
      </c>
      <c r="G992" s="7" t="s">
        <v>90</v>
      </c>
      <c r="H992" s="7" t="n">
        <v>2</v>
      </c>
      <c r="I992" s="7" t="n">
        <v>265</v>
      </c>
      <c r="J992" s="7" t="n">
        <v>150</v>
      </c>
      <c r="K992" s="7" t="s">
        <v>88</v>
      </c>
      <c r="L992" s="7" t="s">
        <v>194</v>
      </c>
      <c r="M992" s="7" t="n">
        <v>29</v>
      </c>
      <c r="N992" s="7" t="n">
        <v>3</v>
      </c>
      <c r="O992" s="7" t="str">
        <f aca="false">A992&amp;"|"&amp;B992&amp;"|"&amp;C992&amp;"|"&amp;D992&amp;"|"&amp;E992&amp;"|"&amp;F992&amp;"|"&amp;G992&amp;"|"&amp;H992&amp;"|"&amp;I992&amp;"|"&amp;J992&amp;"|"&amp;K992&amp;"|"&amp;L992&amp;"|"&amp;M992&amp;"|"&amp;N992</f>
        <v>ORD10781|2025-04-09|15:15|C0084|Tandoor Tales|Delhi|North Indian|2|265|150|UPI|Delivered|29|3</v>
      </c>
      <c r="P992" s="7" t="str">
        <f aca="false">IF(COUNTIF($O$2:O992,O992)&gt;1,"DUP","OK")</f>
        <v>OK</v>
      </c>
      <c r="Q992" s="7" t="n">
        <f aca="false">COUNTBLANK(A992:N992)</f>
        <v>0</v>
      </c>
      <c r="R992" s="7" t="n">
        <f aca="false">IF(A992="",0,COUNTIFS($A$2:$A$3058,A992,$P$2:$P$3058,"OK"))</f>
        <v>1</v>
      </c>
      <c r="S992" s="7" t="str">
        <f aca="false">IF(OR(A992="",P992="DUP",R992&lt;2),"",IF(Q992=_xlfn.MINIFS($Q$2:$Q$3058,$A$2:$A$3058,A992,$P$2:$P$3058,"OK"),"KEEP","DROP"))</f>
        <v/>
      </c>
      <c r="T992" s="9" t="n">
        <f aca="false">IF(A992="",1,0)</f>
        <v>0</v>
      </c>
      <c r="U992" s="9" t="n">
        <f aca="false">IF(D992="",1,0)</f>
        <v>0</v>
      </c>
      <c r="V992" s="9" t="n">
        <f aca="false">IF(E992="",1,0)</f>
        <v>0</v>
      </c>
      <c r="W992" s="9" t="n">
        <f aca="false">IF(OR(H992&lt;1,H992&gt;10),1,0)</f>
        <v>0</v>
      </c>
      <c r="X992" s="9" t="n">
        <f aca="false">IF(OR(I992&lt;=0,I992&gt;1500),1,0)</f>
        <v>0</v>
      </c>
      <c r="Y992" s="9" t="n">
        <f aca="false">IF(J992&gt;H992*I992,1,0)</f>
        <v>0</v>
      </c>
      <c r="Z992" s="9" t="n">
        <f aca="false">IF(AND(N992&lt;&gt;"",OR(N992&lt;1,N992&gt;5)),1,0)</f>
        <v>0</v>
      </c>
      <c r="AA992" s="9" t="n">
        <f aca="false">IF(AND(M992&lt;&gt;"",OR(M992&lt;5,M992&gt;180)),1,0)</f>
        <v>0</v>
      </c>
      <c r="AB992" s="7" t="str">
        <f aca="false">IF(P992="DUP","Exact duplicate row",IF(T992=1,"Missing Order ID",IF(S992="DROP","Duplicate Order ID (less complete row)",IF(U992=1,"Missing Customer ID",IF(V992=1,"Missing Restaurant name",IF(W992=1,"Invalid/outlier quantity",IF(X992=1,"Invalid/outlier unit price",IF(Y992=1,"Discount greater than order value",""))))))))</f>
        <v/>
      </c>
      <c r="AC992" s="7" t="str">
        <f aca="false">IF(AB992="","KEEP","DROP")</f>
        <v>KEEP</v>
      </c>
      <c r="AD992" s="7" t="str">
        <f aca="false">IF(TRIM(F992)="",IFERROR(INDEX(Map_Tables!$I$4:$I$37,MATCH(TRIM(E992),Map_Tables!$G$4:$G$37,0)),""),IFERROR(INDEX(Map_Tables!$B$4:$B$18,MATCH(TRIM(F992),Map_Tables!$A$4:$A$18,0)),"CHECK"))</f>
        <v>Delhi</v>
      </c>
      <c r="AE992" s="7" t="str">
        <f aca="false">IF(TRIM(E992)="","",IFERROR(INDEX(Map_Tables!$H$4:$H$37,MATCH(TRIM(E992),Map_Tables!$G$4:$G$37,0)),"CHECK"))</f>
        <v>Tandoor Tales</v>
      </c>
      <c r="AF992" s="7" t="str">
        <f aca="false">IF(TRIM(K992)="","Unknown",IFERROR(INDEX(Map_Tables!$E$4:$E$15,MATCH(TRIM(K992),Map_Tables!$D$4:$D$15,0)),"CHECK"))</f>
        <v>UPI</v>
      </c>
      <c r="AG992" s="7" t="str">
        <f aca="false">IF(LEFT(LOWER(TRIM(L992)),6)="cancel","Cancelled","Delivered")</f>
        <v>Delivered</v>
      </c>
      <c r="AH992" s="10" t="n">
        <f aca="false">IF(ISNUMBER(SEARCH("/",B992)),DATE(VALUE(RIGHT(B992,4)),VALUE(MID(B992,4,2)),VALUE(LEFT(B992,2))),IF(MID(B992,5,1)="-",DATE(VALUE(LEFT(B992,4)),VALUE(MID(B992,6,2)),VALUE(RIGHT(B992,2))),DATE(VALUE(RIGHT(B992,4)),MATCH(MID(B992,4,3),{"Jan","Feb","Mar","Apr","May","Jun","Jul","Aug","Sep","Oct","Nov","Dec"},0),VALUE(LEFT(B992,2)))))</f>
        <v>45756</v>
      </c>
    </row>
    <row r="993" customFormat="false" ht="15" hidden="false" customHeight="false" outlineLevel="0" collapsed="false">
      <c r="A993" s="7" t="s">
        <v>2997</v>
      </c>
      <c r="B993" s="7" t="s">
        <v>2998</v>
      </c>
      <c r="C993" s="7" t="s">
        <v>1520</v>
      </c>
      <c r="D993" s="7" t="s">
        <v>2066</v>
      </c>
      <c r="E993" s="7" t="s">
        <v>168</v>
      </c>
      <c r="F993" s="7" t="s">
        <v>146</v>
      </c>
      <c r="G993" s="7" t="s">
        <v>123</v>
      </c>
      <c r="H993" s="7" t="n">
        <v>4</v>
      </c>
      <c r="I993" s="7" t="n">
        <v>330</v>
      </c>
      <c r="J993" s="7" t="n">
        <v>0</v>
      </c>
      <c r="K993" s="7" t="s">
        <v>88</v>
      </c>
      <c r="L993" s="7" t="s">
        <v>194</v>
      </c>
      <c r="M993" s="7" t="n">
        <v>27</v>
      </c>
      <c r="N993" s="7" t="n">
        <v>3</v>
      </c>
      <c r="O993" s="7" t="str">
        <f aca="false">A993&amp;"|"&amp;B993&amp;"|"&amp;C993&amp;"|"&amp;D993&amp;"|"&amp;E993&amp;"|"&amp;F993&amp;"|"&amp;G993&amp;"|"&amp;H993&amp;"|"&amp;I993&amp;"|"&amp;J993&amp;"|"&amp;K993&amp;"|"&amp;L993&amp;"|"&amp;M993&amp;"|"&amp;N993</f>
        <v>ORD11372|26-Jun-2025|12:11|C0012|Cheesy Slice|Ahmedabad|Pizza|4|330|0|UPI|Delivered|27|3</v>
      </c>
      <c r="P993" s="7" t="str">
        <f aca="false">IF(COUNTIF($O$2:O993,O993)&gt;1,"DUP","OK")</f>
        <v>OK</v>
      </c>
      <c r="Q993" s="7" t="n">
        <f aca="false">COUNTBLANK(A993:N993)</f>
        <v>0</v>
      </c>
      <c r="R993" s="7" t="n">
        <f aca="false">IF(A993="",0,COUNTIFS($A$2:$A$3058,A993,$P$2:$P$3058,"OK"))</f>
        <v>1</v>
      </c>
      <c r="S993" s="7" t="str">
        <f aca="false">IF(OR(A993="",P993="DUP",R993&lt;2),"",IF(Q993=_xlfn.MINIFS($Q$2:$Q$3058,$A$2:$A$3058,A993,$P$2:$P$3058,"OK"),"KEEP","DROP"))</f>
        <v/>
      </c>
      <c r="T993" s="9" t="n">
        <f aca="false">IF(A993="",1,0)</f>
        <v>0</v>
      </c>
      <c r="U993" s="9" t="n">
        <f aca="false">IF(D993="",1,0)</f>
        <v>0</v>
      </c>
      <c r="V993" s="9" t="n">
        <f aca="false">IF(E993="",1,0)</f>
        <v>0</v>
      </c>
      <c r="W993" s="9" t="n">
        <f aca="false">IF(OR(H993&lt;1,H993&gt;10),1,0)</f>
        <v>0</v>
      </c>
      <c r="X993" s="9" t="n">
        <f aca="false">IF(OR(I993&lt;=0,I993&gt;1500),1,0)</f>
        <v>0</v>
      </c>
      <c r="Y993" s="9" t="n">
        <f aca="false">IF(J993&gt;H993*I993,1,0)</f>
        <v>0</v>
      </c>
      <c r="Z993" s="9" t="n">
        <f aca="false">IF(AND(N993&lt;&gt;"",OR(N993&lt;1,N993&gt;5)),1,0)</f>
        <v>0</v>
      </c>
      <c r="AA993" s="9" t="n">
        <f aca="false">IF(AND(M993&lt;&gt;"",OR(M993&lt;5,M993&gt;180)),1,0)</f>
        <v>0</v>
      </c>
      <c r="AB993" s="7" t="str">
        <f aca="false">IF(P993="DUP","Exact duplicate row",IF(T993=1,"Missing Order ID",IF(S993="DROP","Duplicate Order ID (less complete row)",IF(U993=1,"Missing Customer ID",IF(V993=1,"Missing Restaurant name",IF(W993=1,"Invalid/outlier quantity",IF(X993=1,"Invalid/outlier unit price",IF(Y993=1,"Discount greater than order value",""))))))))</f>
        <v/>
      </c>
      <c r="AC993" s="7" t="str">
        <f aca="false">IF(AB993="","KEEP","DROP")</f>
        <v>KEEP</v>
      </c>
      <c r="AD993" s="7" t="str">
        <f aca="false">IF(TRIM(F993)="",IFERROR(INDEX(Map_Tables!$I$4:$I$37,MATCH(TRIM(E993),Map_Tables!$G$4:$G$37,0)),""),IFERROR(INDEX(Map_Tables!$B$4:$B$18,MATCH(TRIM(F993),Map_Tables!$A$4:$A$18,0)),"CHECK"))</f>
        <v>Ahmedabad</v>
      </c>
      <c r="AE993" s="7" t="str">
        <f aca="false">IF(TRIM(E993)="","",IFERROR(INDEX(Map_Tables!$H$4:$H$37,MATCH(TRIM(E993),Map_Tables!$G$4:$G$37,0)),"CHECK"))</f>
        <v>Cheesy Slice</v>
      </c>
      <c r="AF993" s="7" t="str">
        <f aca="false">IF(TRIM(K993)="","Unknown",IFERROR(INDEX(Map_Tables!$E$4:$E$15,MATCH(TRIM(K993),Map_Tables!$D$4:$D$15,0)),"CHECK"))</f>
        <v>UPI</v>
      </c>
      <c r="AG993" s="7" t="str">
        <f aca="false">IF(LEFT(LOWER(TRIM(L993)),6)="cancel","Cancelled","Delivered")</f>
        <v>Delivered</v>
      </c>
      <c r="AH993" s="10" t="n">
        <f aca="false">IF(ISNUMBER(SEARCH("/",B993)),DATE(VALUE(RIGHT(B993,4)),VALUE(MID(B993,4,2)),VALUE(LEFT(B993,2))),IF(MID(B993,5,1)="-",DATE(VALUE(LEFT(B993,4)),VALUE(MID(B993,6,2)),VALUE(RIGHT(B993,2))),DATE(VALUE(RIGHT(B993,4)),MATCH(MID(B993,4,3),{"Jan","Feb","Mar","Apr","May","Jun","Jul","Aug","Sep","Oct","Nov","Dec"},0),VALUE(LEFT(B993,2)))))</f>
        <v>45834</v>
      </c>
    </row>
    <row r="994" customFormat="false" ht="15" hidden="false" customHeight="false" outlineLevel="0" collapsed="false">
      <c r="A994" s="7" t="s">
        <v>2999</v>
      </c>
      <c r="B994" s="7" t="s">
        <v>1773</v>
      </c>
      <c r="C994" s="7" t="s">
        <v>3000</v>
      </c>
      <c r="D994" s="7" t="s">
        <v>3001</v>
      </c>
      <c r="E994" s="7" t="s">
        <v>126</v>
      </c>
      <c r="F994" s="7" t="s">
        <v>101</v>
      </c>
      <c r="G994" s="7" t="s">
        <v>105</v>
      </c>
      <c r="H994" s="7" t="n">
        <v>1</v>
      </c>
      <c r="I994" s="7" t="n">
        <v>265</v>
      </c>
      <c r="J994" s="7" t="n">
        <v>30</v>
      </c>
      <c r="K994" s="7" t="s">
        <v>88</v>
      </c>
      <c r="L994" s="7" t="s">
        <v>194</v>
      </c>
      <c r="M994" s="7" t="n">
        <v>38</v>
      </c>
      <c r="N994" s="7"/>
      <c r="O994" s="7" t="str">
        <f aca="false">A994&amp;"|"&amp;B994&amp;"|"&amp;C994&amp;"|"&amp;D994&amp;"|"&amp;E994&amp;"|"&amp;F994&amp;"|"&amp;G994&amp;"|"&amp;H994&amp;"|"&amp;I994&amp;"|"&amp;J994&amp;"|"&amp;K994&amp;"|"&amp;L994&amp;"|"&amp;M994&amp;"|"&amp;N994</f>
        <v>ORD10130|2025-01-17|15:00|C0497|Dragon Express|Mumbai|Chinese|1|265|30|UPI|Delivered|38|</v>
      </c>
      <c r="P994" s="7" t="str">
        <f aca="false">IF(COUNTIF($O$2:O994,O994)&gt;1,"DUP","OK")</f>
        <v>OK</v>
      </c>
      <c r="Q994" s="7" t="n">
        <f aca="false">COUNTBLANK(A994:N994)</f>
        <v>1</v>
      </c>
      <c r="R994" s="7" t="n">
        <f aca="false">IF(A994="",0,COUNTIFS($A$2:$A$3058,A994,$P$2:$P$3058,"OK"))</f>
        <v>2</v>
      </c>
      <c r="S994" s="7" t="str">
        <f aca="false">IF(OR(A994="",P994="DUP",R994&lt;2),"",IF(Q994=_xlfn.MINIFS($Q$2:$Q$3058,$A$2:$A$3058,A994,$P$2:$P$3058,"OK"),"KEEP","DROP"))</f>
        <v>DROP</v>
      </c>
      <c r="T994" s="9" t="n">
        <f aca="false">IF(A994="",1,0)</f>
        <v>0</v>
      </c>
      <c r="U994" s="9" t="n">
        <f aca="false">IF(D994="",1,0)</f>
        <v>0</v>
      </c>
      <c r="V994" s="9" t="n">
        <f aca="false">IF(E994="",1,0)</f>
        <v>0</v>
      </c>
      <c r="W994" s="9" t="n">
        <f aca="false">IF(OR(H994&lt;1,H994&gt;10),1,0)</f>
        <v>0</v>
      </c>
      <c r="X994" s="9" t="n">
        <f aca="false">IF(OR(I994&lt;=0,I994&gt;1500),1,0)</f>
        <v>0</v>
      </c>
      <c r="Y994" s="9" t="n">
        <f aca="false">IF(J994&gt;H994*I994,1,0)</f>
        <v>0</v>
      </c>
      <c r="Z994" s="9" t="n">
        <f aca="false">IF(AND(N994&lt;&gt;"",OR(N994&lt;1,N994&gt;5)),1,0)</f>
        <v>0</v>
      </c>
      <c r="AA994" s="9" t="n">
        <f aca="false">IF(AND(M994&lt;&gt;"",OR(M994&lt;5,M994&gt;180)),1,0)</f>
        <v>0</v>
      </c>
      <c r="AB994" s="7" t="str">
        <f aca="false">IF(P994="DUP","Exact duplicate row",IF(T994=1,"Missing Order ID",IF(S994="DROP","Duplicate Order ID (less complete row)",IF(U994=1,"Missing Customer ID",IF(V994=1,"Missing Restaurant name",IF(W994=1,"Invalid/outlier quantity",IF(X994=1,"Invalid/outlier unit price",IF(Y994=1,"Discount greater than order value",""))))))))</f>
        <v>Duplicate Order ID (less complete row)</v>
      </c>
      <c r="AC994" s="7" t="str">
        <f aca="false">IF(AB994="","KEEP","DROP")</f>
        <v>DROP</v>
      </c>
      <c r="AD994" s="7" t="str">
        <f aca="false">IF(TRIM(F994)="",IFERROR(INDEX(Map_Tables!$I$4:$I$37,MATCH(TRIM(E994),Map_Tables!$G$4:$G$37,0)),""),IFERROR(INDEX(Map_Tables!$B$4:$B$18,MATCH(TRIM(F994),Map_Tables!$A$4:$A$18,0)),"CHECK"))</f>
        <v>Mumbai</v>
      </c>
      <c r="AE994" s="7" t="str">
        <f aca="false">IF(TRIM(E994)="","",IFERROR(INDEX(Map_Tables!$H$4:$H$37,MATCH(TRIM(E994),Map_Tables!$G$4:$G$37,0)),"CHECK"))</f>
        <v>Dragon Express</v>
      </c>
      <c r="AF994" s="7" t="str">
        <f aca="false">IF(TRIM(K994)="","Unknown",IFERROR(INDEX(Map_Tables!$E$4:$E$15,MATCH(TRIM(K994),Map_Tables!$D$4:$D$15,0)),"CHECK"))</f>
        <v>UPI</v>
      </c>
      <c r="AG994" s="7" t="str">
        <f aca="false">IF(LEFT(LOWER(TRIM(L994)),6)="cancel","Cancelled","Delivered")</f>
        <v>Delivered</v>
      </c>
      <c r="AH994" s="10" t="n">
        <f aca="false">IF(ISNUMBER(SEARCH("/",B994)),DATE(VALUE(RIGHT(B994,4)),VALUE(MID(B994,4,2)),VALUE(LEFT(B994,2))),IF(MID(B994,5,1)="-",DATE(VALUE(LEFT(B994,4)),VALUE(MID(B994,6,2)),VALUE(RIGHT(B994,2))),DATE(VALUE(RIGHT(B994,4)),MATCH(MID(B994,4,3),{"Jan","Feb","Mar","Apr","May","Jun","Jul","Aug","Sep","Oct","Nov","Dec"},0),VALUE(LEFT(B994,2)))))</f>
        <v>45674</v>
      </c>
    </row>
    <row r="995" customFormat="false" ht="15" hidden="false" customHeight="false" outlineLevel="0" collapsed="false">
      <c r="A995" s="7" t="s">
        <v>3002</v>
      </c>
      <c r="B995" s="7" t="s">
        <v>291</v>
      </c>
      <c r="C995" s="7" t="s">
        <v>3003</v>
      </c>
      <c r="D995" s="7" t="s">
        <v>1570</v>
      </c>
      <c r="E995" s="7" t="s">
        <v>142</v>
      </c>
      <c r="F995" s="7" t="s">
        <v>110</v>
      </c>
      <c r="G995" s="7" t="s">
        <v>105</v>
      </c>
      <c r="H995" s="7" t="n">
        <v>2</v>
      </c>
      <c r="I995" s="7" t="n">
        <v>170</v>
      </c>
      <c r="J995" s="7" t="n">
        <v>0</v>
      </c>
      <c r="K995" s="7" t="s">
        <v>112</v>
      </c>
      <c r="L995" s="7" t="s">
        <v>194</v>
      </c>
      <c r="M995" s="7" t="n">
        <v>31</v>
      </c>
      <c r="N995" s="7" t="n">
        <v>4</v>
      </c>
      <c r="O995" s="7" t="str">
        <f aca="false">A995&amp;"|"&amp;B995&amp;"|"&amp;C995&amp;"|"&amp;D995&amp;"|"&amp;E995&amp;"|"&amp;F995&amp;"|"&amp;G995&amp;"|"&amp;H995&amp;"|"&amp;I995&amp;"|"&amp;J995&amp;"|"&amp;K995&amp;"|"&amp;L995&amp;"|"&amp;M995&amp;"|"&amp;N995</f>
        <v>ORD11229|2025-06-05|18:34|C0163|Momo Magic|Delhi|Chinese|2|170|0|Cash on Delivery|Delivered|31|4</v>
      </c>
      <c r="P995" s="7" t="str">
        <f aca="false">IF(COUNTIF($O$2:O995,O995)&gt;1,"DUP","OK")</f>
        <v>OK</v>
      </c>
      <c r="Q995" s="7" t="n">
        <f aca="false">COUNTBLANK(A995:N995)</f>
        <v>0</v>
      </c>
      <c r="R995" s="7" t="n">
        <f aca="false">IF(A995="",0,COUNTIFS($A$2:$A$3058,A995,$P$2:$P$3058,"OK"))</f>
        <v>1</v>
      </c>
      <c r="S995" s="7" t="str">
        <f aca="false">IF(OR(A995="",P995="DUP",R995&lt;2),"",IF(Q995=_xlfn.MINIFS($Q$2:$Q$3058,$A$2:$A$3058,A995,$P$2:$P$3058,"OK"),"KEEP","DROP"))</f>
        <v/>
      </c>
      <c r="T995" s="9" t="n">
        <f aca="false">IF(A995="",1,0)</f>
        <v>0</v>
      </c>
      <c r="U995" s="9" t="n">
        <f aca="false">IF(D995="",1,0)</f>
        <v>0</v>
      </c>
      <c r="V995" s="9" t="n">
        <f aca="false">IF(E995="",1,0)</f>
        <v>0</v>
      </c>
      <c r="W995" s="9" t="n">
        <f aca="false">IF(OR(H995&lt;1,H995&gt;10),1,0)</f>
        <v>0</v>
      </c>
      <c r="X995" s="9" t="n">
        <f aca="false">IF(OR(I995&lt;=0,I995&gt;1500),1,0)</f>
        <v>0</v>
      </c>
      <c r="Y995" s="9" t="n">
        <f aca="false">IF(J995&gt;H995*I995,1,0)</f>
        <v>0</v>
      </c>
      <c r="Z995" s="9" t="n">
        <f aca="false">IF(AND(N995&lt;&gt;"",OR(N995&lt;1,N995&gt;5)),1,0)</f>
        <v>0</v>
      </c>
      <c r="AA995" s="9" t="n">
        <f aca="false">IF(AND(M995&lt;&gt;"",OR(M995&lt;5,M995&gt;180)),1,0)</f>
        <v>0</v>
      </c>
      <c r="AB995" s="7" t="str">
        <f aca="false">IF(P995="DUP","Exact duplicate row",IF(T995=1,"Missing Order ID",IF(S995="DROP","Duplicate Order ID (less complete row)",IF(U995=1,"Missing Customer ID",IF(V995=1,"Missing Restaurant name",IF(W995=1,"Invalid/outlier quantity",IF(X995=1,"Invalid/outlier unit price",IF(Y995=1,"Discount greater than order value",""))))))))</f>
        <v/>
      </c>
      <c r="AC995" s="7" t="str">
        <f aca="false">IF(AB995="","KEEP","DROP")</f>
        <v>KEEP</v>
      </c>
      <c r="AD995" s="7" t="str">
        <f aca="false">IF(TRIM(F995)="",IFERROR(INDEX(Map_Tables!$I$4:$I$37,MATCH(TRIM(E995),Map_Tables!$G$4:$G$37,0)),""),IFERROR(INDEX(Map_Tables!$B$4:$B$18,MATCH(TRIM(F995),Map_Tables!$A$4:$A$18,0)),"CHECK"))</f>
        <v>Delhi</v>
      </c>
      <c r="AE995" s="7" t="str">
        <f aca="false">IF(TRIM(E995)="","",IFERROR(INDEX(Map_Tables!$H$4:$H$37,MATCH(TRIM(E995),Map_Tables!$G$4:$G$37,0)),"CHECK"))</f>
        <v>Momo Magic</v>
      </c>
      <c r="AF995" s="7" t="str">
        <f aca="false">IF(TRIM(K995)="","Unknown",IFERROR(INDEX(Map_Tables!$E$4:$E$15,MATCH(TRIM(K995),Map_Tables!$D$4:$D$15,0)),"CHECK"))</f>
        <v>Cash on Delivery</v>
      </c>
      <c r="AG995" s="7" t="str">
        <f aca="false">IF(LEFT(LOWER(TRIM(L995)),6)="cancel","Cancelled","Delivered")</f>
        <v>Delivered</v>
      </c>
      <c r="AH995" s="10" t="n">
        <f aca="false">IF(ISNUMBER(SEARCH("/",B995)),DATE(VALUE(RIGHT(B995,4)),VALUE(MID(B995,4,2)),VALUE(LEFT(B995,2))),IF(MID(B995,5,1)="-",DATE(VALUE(LEFT(B995,4)),VALUE(MID(B995,6,2)),VALUE(RIGHT(B995,2))),DATE(VALUE(RIGHT(B995,4)),MATCH(MID(B995,4,3),{"Jan","Feb","Mar","Apr","May","Jun","Jul","Aug","Sep","Oct","Nov","Dec"},0),VALUE(LEFT(B995,2)))))</f>
        <v>45813</v>
      </c>
    </row>
    <row r="996" customFormat="false" ht="15" hidden="false" customHeight="false" outlineLevel="0" collapsed="false">
      <c r="A996" s="7" t="s">
        <v>3004</v>
      </c>
      <c r="B996" s="7" t="s">
        <v>1144</v>
      </c>
      <c r="C996" s="7" t="s">
        <v>3005</v>
      </c>
      <c r="D996" s="7" t="s">
        <v>1729</v>
      </c>
      <c r="E996" s="7" t="s">
        <v>113</v>
      </c>
      <c r="F996" s="7" t="s">
        <v>101</v>
      </c>
      <c r="G996" s="7" t="s">
        <v>90</v>
      </c>
      <c r="H996" s="7" t="n">
        <v>1</v>
      </c>
      <c r="I996" s="7" t="n">
        <v>7500</v>
      </c>
      <c r="J996" s="7" t="n">
        <v>75</v>
      </c>
      <c r="K996" s="7" t="s">
        <v>88</v>
      </c>
      <c r="L996" s="7" t="s">
        <v>194</v>
      </c>
      <c r="M996" s="7" t="n">
        <v>41</v>
      </c>
      <c r="N996" s="7" t="n">
        <v>4</v>
      </c>
      <c r="O996" s="7" t="str">
        <f aca="false">A996&amp;"|"&amp;B996&amp;"|"&amp;C996&amp;"|"&amp;D996&amp;"|"&amp;E996&amp;"|"&amp;F996&amp;"|"&amp;G996&amp;"|"&amp;H996&amp;"|"&amp;I996&amp;"|"&amp;J996&amp;"|"&amp;K996&amp;"|"&amp;L996&amp;"|"&amp;M996&amp;"|"&amp;N996</f>
        <v>ORD11436|2025-07-05|18:19|C0435|Curry Leaf Kitchen|Mumbai|North Indian|1|7500|75|UPI|Delivered|41|4</v>
      </c>
      <c r="P996" s="7" t="str">
        <f aca="false">IF(COUNTIF($O$2:O996,O996)&gt;1,"DUP","OK")</f>
        <v>OK</v>
      </c>
      <c r="Q996" s="7" t="n">
        <f aca="false">COUNTBLANK(A996:N996)</f>
        <v>0</v>
      </c>
      <c r="R996" s="7" t="n">
        <f aca="false">IF(A996="",0,COUNTIFS($A$2:$A$3058,A996,$P$2:$P$3058,"OK"))</f>
        <v>1</v>
      </c>
      <c r="S996" s="7" t="str">
        <f aca="false">IF(OR(A996="",P996="DUP",R996&lt;2),"",IF(Q996=_xlfn.MINIFS($Q$2:$Q$3058,$A$2:$A$3058,A996,$P$2:$P$3058,"OK"),"KEEP","DROP"))</f>
        <v/>
      </c>
      <c r="T996" s="9" t="n">
        <f aca="false">IF(A996="",1,0)</f>
        <v>0</v>
      </c>
      <c r="U996" s="9" t="n">
        <f aca="false">IF(D996="",1,0)</f>
        <v>0</v>
      </c>
      <c r="V996" s="9" t="n">
        <f aca="false">IF(E996="",1,0)</f>
        <v>0</v>
      </c>
      <c r="W996" s="9" t="n">
        <f aca="false">IF(OR(H996&lt;1,H996&gt;10),1,0)</f>
        <v>0</v>
      </c>
      <c r="X996" s="9" t="n">
        <f aca="false">IF(OR(I996&lt;=0,I996&gt;1500),1,0)</f>
        <v>1</v>
      </c>
      <c r="Y996" s="9" t="n">
        <f aca="false">IF(J996&gt;H996*I996,1,0)</f>
        <v>0</v>
      </c>
      <c r="Z996" s="9" t="n">
        <f aca="false">IF(AND(N996&lt;&gt;"",OR(N996&lt;1,N996&gt;5)),1,0)</f>
        <v>0</v>
      </c>
      <c r="AA996" s="9" t="n">
        <f aca="false">IF(AND(M996&lt;&gt;"",OR(M996&lt;5,M996&gt;180)),1,0)</f>
        <v>0</v>
      </c>
      <c r="AB996" s="7" t="str">
        <f aca="false">IF(P996="DUP","Exact duplicate row",IF(T996=1,"Missing Order ID",IF(S996="DROP","Duplicate Order ID (less complete row)",IF(U996=1,"Missing Customer ID",IF(V996=1,"Missing Restaurant name",IF(W996=1,"Invalid/outlier quantity",IF(X996=1,"Invalid/outlier unit price",IF(Y996=1,"Discount greater than order value",""))))))))</f>
        <v>Invalid/outlier unit price</v>
      </c>
      <c r="AC996" s="7" t="str">
        <f aca="false">IF(AB996="","KEEP","DROP")</f>
        <v>DROP</v>
      </c>
      <c r="AD996" s="7" t="str">
        <f aca="false">IF(TRIM(F996)="",IFERROR(INDEX(Map_Tables!$I$4:$I$37,MATCH(TRIM(E996),Map_Tables!$G$4:$G$37,0)),""),IFERROR(INDEX(Map_Tables!$B$4:$B$18,MATCH(TRIM(F996),Map_Tables!$A$4:$A$18,0)),"CHECK"))</f>
        <v>Mumbai</v>
      </c>
      <c r="AE996" s="7" t="str">
        <f aca="false">IF(TRIM(E996)="","",IFERROR(INDEX(Map_Tables!$H$4:$H$37,MATCH(TRIM(E996),Map_Tables!$G$4:$G$37,0)),"CHECK"))</f>
        <v>Curry Leaf Kitchen</v>
      </c>
      <c r="AF996" s="7" t="str">
        <f aca="false">IF(TRIM(K996)="","Unknown",IFERROR(INDEX(Map_Tables!$E$4:$E$15,MATCH(TRIM(K996),Map_Tables!$D$4:$D$15,0)),"CHECK"))</f>
        <v>UPI</v>
      </c>
      <c r="AG996" s="7" t="str">
        <f aca="false">IF(LEFT(LOWER(TRIM(L996)),6)="cancel","Cancelled","Delivered")</f>
        <v>Delivered</v>
      </c>
      <c r="AH996" s="10" t="n">
        <f aca="false">IF(ISNUMBER(SEARCH("/",B996)),DATE(VALUE(RIGHT(B996,4)),VALUE(MID(B996,4,2)),VALUE(LEFT(B996,2))),IF(MID(B996,5,1)="-",DATE(VALUE(LEFT(B996,4)),VALUE(MID(B996,6,2)),VALUE(RIGHT(B996,2))),DATE(VALUE(RIGHT(B996,4)),MATCH(MID(B996,4,3),{"Jan","Feb","Mar","Apr","May","Jun","Jul","Aug","Sep","Oct","Nov","Dec"},0),VALUE(LEFT(B996,2)))))</f>
        <v>45843</v>
      </c>
    </row>
    <row r="997" customFormat="false" ht="15" hidden="false" customHeight="false" outlineLevel="0" collapsed="false">
      <c r="A997" s="7" t="s">
        <v>3006</v>
      </c>
      <c r="B997" s="7" t="s">
        <v>1351</v>
      </c>
      <c r="C997" s="7" t="s">
        <v>534</v>
      </c>
      <c r="D997" s="7" t="s">
        <v>2424</v>
      </c>
      <c r="E997" s="7" t="s">
        <v>168</v>
      </c>
      <c r="F997" s="7" t="s">
        <v>146</v>
      </c>
      <c r="G997" s="7" t="s">
        <v>123</v>
      </c>
      <c r="H997" s="7" t="n">
        <v>2</v>
      </c>
      <c r="I997" s="7" t="n">
        <v>315</v>
      </c>
      <c r="J997" s="7" t="n">
        <v>40</v>
      </c>
      <c r="K997" s="7" t="s">
        <v>88</v>
      </c>
      <c r="L997" s="7" t="s">
        <v>194</v>
      </c>
      <c r="M997" s="7" t="n">
        <v>27</v>
      </c>
      <c r="N997" s="7" t="n">
        <v>5</v>
      </c>
      <c r="O997" s="7" t="str">
        <f aca="false">A997&amp;"|"&amp;B997&amp;"|"&amp;C997&amp;"|"&amp;D997&amp;"|"&amp;E997&amp;"|"&amp;F997&amp;"|"&amp;G997&amp;"|"&amp;H997&amp;"|"&amp;I997&amp;"|"&amp;J997&amp;"|"&amp;K997&amp;"|"&amp;L997&amp;"|"&amp;M997&amp;"|"&amp;N997</f>
        <v>ORD11419|2025-07-04|11:02|C0267|Cheesy Slice|Ahmedabad|Pizza|2|315|40|UPI|Delivered|27|5</v>
      </c>
      <c r="P997" s="7" t="str">
        <f aca="false">IF(COUNTIF($O$2:O997,O997)&gt;1,"DUP","OK")</f>
        <v>OK</v>
      </c>
      <c r="Q997" s="7" t="n">
        <f aca="false">COUNTBLANK(A997:N997)</f>
        <v>0</v>
      </c>
      <c r="R997" s="7" t="n">
        <f aca="false">IF(A997="",0,COUNTIFS($A$2:$A$3058,A997,$P$2:$P$3058,"OK"))</f>
        <v>1</v>
      </c>
      <c r="S997" s="7" t="str">
        <f aca="false">IF(OR(A997="",P997="DUP",R997&lt;2),"",IF(Q997=_xlfn.MINIFS($Q$2:$Q$3058,$A$2:$A$3058,A997,$P$2:$P$3058,"OK"),"KEEP","DROP"))</f>
        <v/>
      </c>
      <c r="T997" s="9" t="n">
        <f aca="false">IF(A997="",1,0)</f>
        <v>0</v>
      </c>
      <c r="U997" s="9" t="n">
        <f aca="false">IF(D997="",1,0)</f>
        <v>0</v>
      </c>
      <c r="V997" s="9" t="n">
        <f aca="false">IF(E997="",1,0)</f>
        <v>0</v>
      </c>
      <c r="W997" s="9" t="n">
        <f aca="false">IF(OR(H997&lt;1,H997&gt;10),1,0)</f>
        <v>0</v>
      </c>
      <c r="X997" s="9" t="n">
        <f aca="false">IF(OR(I997&lt;=0,I997&gt;1500),1,0)</f>
        <v>0</v>
      </c>
      <c r="Y997" s="9" t="n">
        <f aca="false">IF(J997&gt;H997*I997,1,0)</f>
        <v>0</v>
      </c>
      <c r="Z997" s="9" t="n">
        <f aca="false">IF(AND(N997&lt;&gt;"",OR(N997&lt;1,N997&gt;5)),1,0)</f>
        <v>0</v>
      </c>
      <c r="AA997" s="9" t="n">
        <f aca="false">IF(AND(M997&lt;&gt;"",OR(M997&lt;5,M997&gt;180)),1,0)</f>
        <v>0</v>
      </c>
      <c r="AB997" s="7" t="str">
        <f aca="false">IF(P997="DUP","Exact duplicate row",IF(T997=1,"Missing Order ID",IF(S997="DROP","Duplicate Order ID (less complete row)",IF(U997=1,"Missing Customer ID",IF(V997=1,"Missing Restaurant name",IF(W997=1,"Invalid/outlier quantity",IF(X997=1,"Invalid/outlier unit price",IF(Y997=1,"Discount greater than order value",""))))))))</f>
        <v/>
      </c>
      <c r="AC997" s="7" t="str">
        <f aca="false">IF(AB997="","KEEP","DROP")</f>
        <v>KEEP</v>
      </c>
      <c r="AD997" s="7" t="str">
        <f aca="false">IF(TRIM(F997)="",IFERROR(INDEX(Map_Tables!$I$4:$I$37,MATCH(TRIM(E997),Map_Tables!$G$4:$G$37,0)),""),IFERROR(INDEX(Map_Tables!$B$4:$B$18,MATCH(TRIM(F997),Map_Tables!$A$4:$A$18,0)),"CHECK"))</f>
        <v>Ahmedabad</v>
      </c>
      <c r="AE997" s="7" t="str">
        <f aca="false">IF(TRIM(E997)="","",IFERROR(INDEX(Map_Tables!$H$4:$H$37,MATCH(TRIM(E997),Map_Tables!$G$4:$G$37,0)),"CHECK"))</f>
        <v>Cheesy Slice</v>
      </c>
      <c r="AF997" s="7" t="str">
        <f aca="false">IF(TRIM(K997)="","Unknown",IFERROR(INDEX(Map_Tables!$E$4:$E$15,MATCH(TRIM(K997),Map_Tables!$D$4:$D$15,0)),"CHECK"))</f>
        <v>UPI</v>
      </c>
      <c r="AG997" s="7" t="str">
        <f aca="false">IF(LEFT(LOWER(TRIM(L997)),6)="cancel","Cancelled","Delivered")</f>
        <v>Delivered</v>
      </c>
      <c r="AH997" s="10" t="n">
        <f aca="false">IF(ISNUMBER(SEARCH("/",B997)),DATE(VALUE(RIGHT(B997,4)),VALUE(MID(B997,4,2)),VALUE(LEFT(B997,2))),IF(MID(B997,5,1)="-",DATE(VALUE(LEFT(B997,4)),VALUE(MID(B997,6,2)),VALUE(RIGHT(B997,2))),DATE(VALUE(RIGHT(B997,4)),MATCH(MID(B997,4,3),{"Jan","Feb","Mar","Apr","May","Jun","Jul","Aug","Sep","Oct","Nov","Dec"},0),VALUE(LEFT(B997,2)))))</f>
        <v>45842</v>
      </c>
    </row>
    <row r="998" customFormat="false" ht="15" hidden="false" customHeight="false" outlineLevel="0" collapsed="false">
      <c r="A998" s="7" t="s">
        <v>3007</v>
      </c>
      <c r="B998" s="7" t="s">
        <v>2190</v>
      </c>
      <c r="C998" s="7" t="s">
        <v>3008</v>
      </c>
      <c r="D998" s="7" t="s">
        <v>1251</v>
      </c>
      <c r="E998" s="7" t="s">
        <v>126</v>
      </c>
      <c r="F998" s="7" t="s">
        <v>101</v>
      </c>
      <c r="G998" s="7" t="s">
        <v>105</v>
      </c>
      <c r="H998" s="7" t="n">
        <v>2</v>
      </c>
      <c r="I998" s="7" t="n">
        <v>7500</v>
      </c>
      <c r="J998" s="7" t="n">
        <v>0</v>
      </c>
      <c r="K998" s="7" t="s">
        <v>93</v>
      </c>
      <c r="L998" s="7" t="s">
        <v>238</v>
      </c>
      <c r="M998" s="7"/>
      <c r="N998" s="7"/>
      <c r="O998" s="7" t="str">
        <f aca="false">A998&amp;"|"&amp;B998&amp;"|"&amp;C998&amp;"|"&amp;D998&amp;"|"&amp;E998&amp;"|"&amp;F998&amp;"|"&amp;G998&amp;"|"&amp;H998&amp;"|"&amp;I998&amp;"|"&amp;J998&amp;"|"&amp;K998&amp;"|"&amp;L998&amp;"|"&amp;M998&amp;"|"&amp;N998</f>
        <v>ORD11675|2025-08-07|09:46|C0595|Dragon Express|Mumbai|Chinese|2|7500|0|Credit Card|Cancelled||</v>
      </c>
      <c r="P998" s="7" t="str">
        <f aca="false">IF(COUNTIF($O$2:O998,O998)&gt;1,"DUP","OK")</f>
        <v>OK</v>
      </c>
      <c r="Q998" s="7" t="n">
        <f aca="false">COUNTBLANK(A998:N998)</f>
        <v>2</v>
      </c>
      <c r="R998" s="7" t="n">
        <f aca="false">IF(A998="",0,COUNTIFS($A$2:$A$3058,A998,$P$2:$P$3058,"OK"))</f>
        <v>1</v>
      </c>
      <c r="S998" s="7" t="str">
        <f aca="false">IF(OR(A998="",P998="DUP",R998&lt;2),"",IF(Q998=_xlfn.MINIFS($Q$2:$Q$3058,$A$2:$A$3058,A998,$P$2:$P$3058,"OK"),"KEEP","DROP"))</f>
        <v/>
      </c>
      <c r="T998" s="9" t="n">
        <f aca="false">IF(A998="",1,0)</f>
        <v>0</v>
      </c>
      <c r="U998" s="9" t="n">
        <f aca="false">IF(D998="",1,0)</f>
        <v>0</v>
      </c>
      <c r="V998" s="9" t="n">
        <f aca="false">IF(E998="",1,0)</f>
        <v>0</v>
      </c>
      <c r="W998" s="9" t="n">
        <f aca="false">IF(OR(H998&lt;1,H998&gt;10),1,0)</f>
        <v>0</v>
      </c>
      <c r="X998" s="9" t="n">
        <f aca="false">IF(OR(I998&lt;=0,I998&gt;1500),1,0)</f>
        <v>1</v>
      </c>
      <c r="Y998" s="9" t="n">
        <f aca="false">IF(J998&gt;H998*I998,1,0)</f>
        <v>0</v>
      </c>
      <c r="Z998" s="9" t="n">
        <f aca="false">IF(AND(N998&lt;&gt;"",OR(N998&lt;1,N998&gt;5)),1,0)</f>
        <v>0</v>
      </c>
      <c r="AA998" s="9" t="n">
        <f aca="false">IF(AND(M998&lt;&gt;"",OR(M998&lt;5,M998&gt;180)),1,0)</f>
        <v>0</v>
      </c>
      <c r="AB998" s="7" t="str">
        <f aca="false">IF(P998="DUP","Exact duplicate row",IF(T998=1,"Missing Order ID",IF(S998="DROP","Duplicate Order ID (less complete row)",IF(U998=1,"Missing Customer ID",IF(V998=1,"Missing Restaurant name",IF(W998=1,"Invalid/outlier quantity",IF(X998=1,"Invalid/outlier unit price",IF(Y998=1,"Discount greater than order value",""))))))))</f>
        <v>Invalid/outlier unit price</v>
      </c>
      <c r="AC998" s="7" t="str">
        <f aca="false">IF(AB998="","KEEP","DROP")</f>
        <v>DROP</v>
      </c>
      <c r="AD998" s="7" t="str">
        <f aca="false">IF(TRIM(F998)="",IFERROR(INDEX(Map_Tables!$I$4:$I$37,MATCH(TRIM(E998),Map_Tables!$G$4:$G$37,0)),""),IFERROR(INDEX(Map_Tables!$B$4:$B$18,MATCH(TRIM(F998),Map_Tables!$A$4:$A$18,0)),"CHECK"))</f>
        <v>Mumbai</v>
      </c>
      <c r="AE998" s="7" t="str">
        <f aca="false">IF(TRIM(E998)="","",IFERROR(INDEX(Map_Tables!$H$4:$H$37,MATCH(TRIM(E998),Map_Tables!$G$4:$G$37,0)),"CHECK"))</f>
        <v>Dragon Express</v>
      </c>
      <c r="AF998" s="7" t="str">
        <f aca="false">IF(TRIM(K998)="","Unknown",IFERROR(INDEX(Map_Tables!$E$4:$E$15,MATCH(TRIM(K998),Map_Tables!$D$4:$D$15,0)),"CHECK"))</f>
        <v>Credit Card</v>
      </c>
      <c r="AG998" s="7" t="str">
        <f aca="false">IF(LEFT(LOWER(TRIM(L998)),6)="cancel","Cancelled","Delivered")</f>
        <v>Cancelled</v>
      </c>
      <c r="AH998" s="10" t="n">
        <f aca="false">IF(ISNUMBER(SEARCH("/",B998)),DATE(VALUE(RIGHT(B998,4)),VALUE(MID(B998,4,2)),VALUE(LEFT(B998,2))),IF(MID(B998,5,1)="-",DATE(VALUE(LEFT(B998,4)),VALUE(MID(B998,6,2)),VALUE(RIGHT(B998,2))),DATE(VALUE(RIGHT(B998,4)),MATCH(MID(B998,4,3),{"Jan","Feb","Mar","Apr","May","Jun","Jul","Aug","Sep","Oct","Nov","Dec"},0),VALUE(LEFT(B998,2)))))</f>
        <v>45876</v>
      </c>
    </row>
    <row r="999" customFormat="false" ht="15" hidden="false" customHeight="false" outlineLevel="0" collapsed="false">
      <c r="A999" s="7" t="s">
        <v>3009</v>
      </c>
      <c r="B999" s="7" t="s">
        <v>1603</v>
      </c>
      <c r="C999" s="7" t="s">
        <v>1873</v>
      </c>
      <c r="D999" s="7" t="s">
        <v>311</v>
      </c>
      <c r="E999" s="7" t="s">
        <v>130</v>
      </c>
      <c r="F999" s="7" t="s">
        <v>110</v>
      </c>
      <c r="G999" s="7" t="s">
        <v>90</v>
      </c>
      <c r="H999" s="7" t="n">
        <v>1</v>
      </c>
      <c r="I999" s="7" t="n">
        <v>250</v>
      </c>
      <c r="J999" s="7" t="n">
        <v>40</v>
      </c>
      <c r="K999" s="7" t="s">
        <v>88</v>
      </c>
      <c r="L999" s="7" t="s">
        <v>194</v>
      </c>
      <c r="M999" s="7" t="n">
        <v>48</v>
      </c>
      <c r="N999" s="7" t="n">
        <v>5</v>
      </c>
      <c r="O999" s="7" t="str">
        <f aca="false">A999&amp;"|"&amp;B999&amp;"|"&amp;C999&amp;"|"&amp;D999&amp;"|"&amp;E999&amp;"|"&amp;F999&amp;"|"&amp;G999&amp;"|"&amp;H999&amp;"|"&amp;I999&amp;"|"&amp;J999&amp;"|"&amp;K999&amp;"|"&amp;L999&amp;"|"&amp;M999&amp;"|"&amp;N999</f>
        <v>ORD12990|2025-12-30|20:29|C1118|Tandoor Tales|Delhi|North Indian|1|250|40|UPI|Delivered|48|5</v>
      </c>
      <c r="P999" s="7" t="str">
        <f aca="false">IF(COUNTIF($O$2:O999,O999)&gt;1,"DUP","OK")</f>
        <v>OK</v>
      </c>
      <c r="Q999" s="7" t="n">
        <f aca="false">COUNTBLANK(A999:N999)</f>
        <v>0</v>
      </c>
      <c r="R999" s="7" t="n">
        <f aca="false">IF(A999="",0,COUNTIFS($A$2:$A$3058,A999,$P$2:$P$3058,"OK"))</f>
        <v>1</v>
      </c>
      <c r="S999" s="7" t="str">
        <f aca="false">IF(OR(A999="",P999="DUP",R999&lt;2),"",IF(Q999=_xlfn.MINIFS($Q$2:$Q$3058,$A$2:$A$3058,A999,$P$2:$P$3058,"OK"),"KEEP","DROP"))</f>
        <v/>
      </c>
      <c r="T999" s="9" t="n">
        <f aca="false">IF(A999="",1,0)</f>
        <v>0</v>
      </c>
      <c r="U999" s="9" t="n">
        <f aca="false">IF(D999="",1,0)</f>
        <v>0</v>
      </c>
      <c r="V999" s="9" t="n">
        <f aca="false">IF(E999="",1,0)</f>
        <v>0</v>
      </c>
      <c r="W999" s="9" t="n">
        <f aca="false">IF(OR(H999&lt;1,H999&gt;10),1,0)</f>
        <v>0</v>
      </c>
      <c r="X999" s="9" t="n">
        <f aca="false">IF(OR(I999&lt;=0,I999&gt;1500),1,0)</f>
        <v>0</v>
      </c>
      <c r="Y999" s="9" t="n">
        <f aca="false">IF(J999&gt;H999*I999,1,0)</f>
        <v>0</v>
      </c>
      <c r="Z999" s="9" t="n">
        <f aca="false">IF(AND(N999&lt;&gt;"",OR(N999&lt;1,N999&gt;5)),1,0)</f>
        <v>0</v>
      </c>
      <c r="AA999" s="9" t="n">
        <f aca="false">IF(AND(M999&lt;&gt;"",OR(M999&lt;5,M999&gt;180)),1,0)</f>
        <v>0</v>
      </c>
      <c r="AB999" s="7" t="str">
        <f aca="false">IF(P999="DUP","Exact duplicate row",IF(T999=1,"Missing Order ID",IF(S999="DROP","Duplicate Order ID (less complete row)",IF(U999=1,"Missing Customer ID",IF(V999=1,"Missing Restaurant name",IF(W999=1,"Invalid/outlier quantity",IF(X999=1,"Invalid/outlier unit price",IF(Y999=1,"Discount greater than order value",""))))))))</f>
        <v/>
      </c>
      <c r="AC999" s="7" t="str">
        <f aca="false">IF(AB999="","KEEP","DROP")</f>
        <v>KEEP</v>
      </c>
      <c r="AD999" s="7" t="str">
        <f aca="false">IF(TRIM(F999)="",IFERROR(INDEX(Map_Tables!$I$4:$I$37,MATCH(TRIM(E999),Map_Tables!$G$4:$G$37,0)),""),IFERROR(INDEX(Map_Tables!$B$4:$B$18,MATCH(TRIM(F999),Map_Tables!$A$4:$A$18,0)),"CHECK"))</f>
        <v>Delhi</v>
      </c>
      <c r="AE999" s="7" t="str">
        <f aca="false">IF(TRIM(E999)="","",IFERROR(INDEX(Map_Tables!$H$4:$H$37,MATCH(TRIM(E999),Map_Tables!$G$4:$G$37,0)),"CHECK"))</f>
        <v>Tandoor Tales</v>
      </c>
      <c r="AF999" s="7" t="str">
        <f aca="false">IF(TRIM(K999)="","Unknown",IFERROR(INDEX(Map_Tables!$E$4:$E$15,MATCH(TRIM(K999),Map_Tables!$D$4:$D$15,0)),"CHECK"))</f>
        <v>UPI</v>
      </c>
      <c r="AG999" s="7" t="str">
        <f aca="false">IF(LEFT(LOWER(TRIM(L999)),6)="cancel","Cancelled","Delivered")</f>
        <v>Delivered</v>
      </c>
      <c r="AH999" s="10" t="n">
        <f aca="false">IF(ISNUMBER(SEARCH("/",B999)),DATE(VALUE(RIGHT(B999,4)),VALUE(MID(B999,4,2)),VALUE(LEFT(B999,2))),IF(MID(B999,5,1)="-",DATE(VALUE(LEFT(B999,4)),VALUE(MID(B999,6,2)),VALUE(RIGHT(B999,2))),DATE(VALUE(RIGHT(B999,4)),MATCH(MID(B999,4,3),{"Jan","Feb","Mar","Apr","May","Jun","Jul","Aug","Sep","Oct","Nov","Dec"},0),VALUE(LEFT(B999,2)))))</f>
        <v>46021</v>
      </c>
    </row>
    <row r="1000" customFormat="false" ht="15" hidden="false" customHeight="false" outlineLevel="0" collapsed="false">
      <c r="A1000" s="7" t="s">
        <v>3010</v>
      </c>
      <c r="B1000" s="7" t="s">
        <v>637</v>
      </c>
      <c r="C1000" s="7" t="s">
        <v>3011</v>
      </c>
      <c r="D1000" s="7" t="s">
        <v>285</v>
      </c>
      <c r="E1000" s="7" t="s">
        <v>144</v>
      </c>
      <c r="F1000" s="7" t="s">
        <v>119</v>
      </c>
      <c r="G1000" s="7" t="s">
        <v>99</v>
      </c>
      <c r="H1000" s="7" t="n">
        <v>1</v>
      </c>
      <c r="I1000" s="7" t="n">
        <v>315</v>
      </c>
      <c r="J1000" s="7" t="n">
        <v>0</v>
      </c>
      <c r="K1000" s="7" t="s">
        <v>103</v>
      </c>
      <c r="L1000" s="7" t="s">
        <v>194</v>
      </c>
      <c r="M1000" s="7" t="n">
        <v>26</v>
      </c>
      <c r="N1000" s="7" t="n">
        <v>5</v>
      </c>
      <c r="O1000" s="7" t="str">
        <f aca="false">A1000&amp;"|"&amp;B1000&amp;"|"&amp;C1000&amp;"|"&amp;D1000&amp;"|"&amp;E1000&amp;"|"&amp;F1000&amp;"|"&amp;G1000&amp;"|"&amp;H1000&amp;"|"&amp;I1000&amp;"|"&amp;J1000&amp;"|"&amp;K1000&amp;"|"&amp;L1000&amp;"|"&amp;M1000&amp;"|"&amp;N1000</f>
        <v>ORD12749|2025-12-02|17:04|C1140|Hyderabad Dum Biryani|Hyderabad|Biryani|1|315|0|Debit Card|Delivered|26|5</v>
      </c>
      <c r="P1000" s="7" t="str">
        <f aca="false">IF(COUNTIF($O$2:O1000,O1000)&gt;1,"DUP","OK")</f>
        <v>OK</v>
      </c>
      <c r="Q1000" s="7" t="n">
        <f aca="false">COUNTBLANK(A1000:N1000)</f>
        <v>0</v>
      </c>
      <c r="R1000" s="7" t="n">
        <f aca="false">IF(A1000="",0,COUNTIFS($A$2:$A$3058,A1000,$P$2:$P$3058,"OK"))</f>
        <v>1</v>
      </c>
      <c r="S1000" s="7" t="str">
        <f aca="false">IF(OR(A1000="",P1000="DUP",R1000&lt;2),"",IF(Q1000=_xlfn.MINIFS($Q$2:$Q$3058,$A$2:$A$3058,A1000,$P$2:$P$3058,"OK"),"KEEP","DROP"))</f>
        <v/>
      </c>
      <c r="T1000" s="9" t="n">
        <f aca="false">IF(A1000="",1,0)</f>
        <v>0</v>
      </c>
      <c r="U1000" s="9" t="n">
        <f aca="false">IF(D1000="",1,0)</f>
        <v>0</v>
      </c>
      <c r="V1000" s="9" t="n">
        <f aca="false">IF(E1000="",1,0)</f>
        <v>0</v>
      </c>
      <c r="W1000" s="9" t="n">
        <f aca="false">IF(OR(H1000&lt;1,H1000&gt;10),1,0)</f>
        <v>0</v>
      </c>
      <c r="X1000" s="9" t="n">
        <f aca="false">IF(OR(I1000&lt;=0,I1000&gt;1500),1,0)</f>
        <v>0</v>
      </c>
      <c r="Y1000" s="9" t="n">
        <f aca="false">IF(J1000&gt;H1000*I1000,1,0)</f>
        <v>0</v>
      </c>
      <c r="Z1000" s="9" t="n">
        <f aca="false">IF(AND(N1000&lt;&gt;"",OR(N1000&lt;1,N1000&gt;5)),1,0)</f>
        <v>0</v>
      </c>
      <c r="AA1000" s="9" t="n">
        <f aca="false">IF(AND(M1000&lt;&gt;"",OR(M1000&lt;5,M1000&gt;180)),1,0)</f>
        <v>0</v>
      </c>
      <c r="AB1000" s="7" t="str">
        <f aca="false">IF(P1000="DUP","Exact duplicate row",IF(T1000=1,"Missing Order ID",IF(S1000="DROP","Duplicate Order ID (less complete row)",IF(U1000=1,"Missing Customer ID",IF(V1000=1,"Missing Restaurant name",IF(W1000=1,"Invalid/outlier quantity",IF(X1000=1,"Invalid/outlier unit price",IF(Y1000=1,"Discount greater than order value",""))))))))</f>
        <v/>
      </c>
      <c r="AC1000" s="7" t="str">
        <f aca="false">IF(AB1000="","KEEP","DROP")</f>
        <v>KEEP</v>
      </c>
      <c r="AD1000" s="7" t="str">
        <f aca="false">IF(TRIM(F1000)="",IFERROR(INDEX(Map_Tables!$I$4:$I$37,MATCH(TRIM(E1000),Map_Tables!$G$4:$G$37,0)),""),IFERROR(INDEX(Map_Tables!$B$4:$B$18,MATCH(TRIM(F1000),Map_Tables!$A$4:$A$18,0)),"CHECK"))</f>
        <v>Hyderabad</v>
      </c>
      <c r="AE1000" s="7" t="str">
        <f aca="false">IF(TRIM(E1000)="","",IFERROR(INDEX(Map_Tables!$H$4:$H$37,MATCH(TRIM(E1000),Map_Tables!$G$4:$G$37,0)),"CHECK"))</f>
        <v>Hyderabad Dum Biryani</v>
      </c>
      <c r="AF1000" s="7" t="str">
        <f aca="false">IF(TRIM(K1000)="","Unknown",IFERROR(INDEX(Map_Tables!$E$4:$E$15,MATCH(TRIM(K1000),Map_Tables!$D$4:$D$15,0)),"CHECK"))</f>
        <v>Debit Card</v>
      </c>
      <c r="AG1000" s="7" t="str">
        <f aca="false">IF(LEFT(LOWER(TRIM(L1000)),6)="cancel","Cancelled","Delivered")</f>
        <v>Delivered</v>
      </c>
      <c r="AH1000" s="10" t="n">
        <f aca="false">IF(ISNUMBER(SEARCH("/",B1000)),DATE(VALUE(RIGHT(B1000,4)),VALUE(MID(B1000,4,2)),VALUE(LEFT(B1000,2))),IF(MID(B1000,5,1)="-",DATE(VALUE(LEFT(B1000,4)),VALUE(MID(B1000,6,2)),VALUE(RIGHT(B1000,2))),DATE(VALUE(RIGHT(B1000,4)),MATCH(MID(B1000,4,3),{"Jan","Feb","Mar","Apr","May","Jun","Jul","Aug","Sep","Oct","Nov","Dec"},0),VALUE(LEFT(B1000,2)))))</f>
        <v>45993</v>
      </c>
    </row>
    <row r="1001" customFormat="false" ht="15" hidden="false" customHeight="false" outlineLevel="0" collapsed="false">
      <c r="A1001" s="7" t="s">
        <v>3012</v>
      </c>
      <c r="B1001" s="7" t="s">
        <v>754</v>
      </c>
      <c r="C1001" s="7" t="s">
        <v>3013</v>
      </c>
      <c r="D1001" s="7" t="s">
        <v>3014</v>
      </c>
      <c r="E1001" s="7" t="s">
        <v>138</v>
      </c>
      <c r="F1001" s="7" t="s">
        <v>294</v>
      </c>
      <c r="G1001" s="7" t="s">
        <v>139</v>
      </c>
      <c r="H1001" s="7" t="n">
        <v>2</v>
      </c>
      <c r="I1001" s="7" t="n">
        <v>185</v>
      </c>
      <c r="J1001" s="7" t="n">
        <v>0</v>
      </c>
      <c r="K1001" s="7" t="s">
        <v>103</v>
      </c>
      <c r="L1001" s="7" t="s">
        <v>194</v>
      </c>
      <c r="M1001" s="7" t="n">
        <v>47</v>
      </c>
      <c r="N1001" s="7" t="n">
        <v>3</v>
      </c>
      <c r="O1001" s="7" t="str">
        <f aca="false">A1001&amp;"|"&amp;B1001&amp;"|"&amp;C1001&amp;"|"&amp;D1001&amp;"|"&amp;E1001&amp;"|"&amp;F1001&amp;"|"&amp;G1001&amp;"|"&amp;H1001&amp;"|"&amp;I1001&amp;"|"&amp;J1001&amp;"|"&amp;K1001&amp;"|"&amp;L1001&amp;"|"&amp;M1001&amp;"|"&amp;N1001</f>
        <v>ORD12077|2025-09-25|11:18|C1340|Burger Barn|New Delhi|Burgers|2|185|0|Debit Card|Delivered|47|3</v>
      </c>
      <c r="P1001" s="7" t="str">
        <f aca="false">IF(COUNTIF($O$2:O1001,O1001)&gt;1,"DUP","OK")</f>
        <v>OK</v>
      </c>
      <c r="Q1001" s="7" t="n">
        <f aca="false">COUNTBLANK(A1001:N1001)</f>
        <v>0</v>
      </c>
      <c r="R1001" s="7" t="n">
        <f aca="false">IF(A1001="",0,COUNTIFS($A$2:$A$3058,A1001,$P$2:$P$3058,"OK"))</f>
        <v>1</v>
      </c>
      <c r="S1001" s="7" t="str">
        <f aca="false">IF(OR(A1001="",P1001="DUP",R1001&lt;2),"",IF(Q1001=_xlfn.MINIFS($Q$2:$Q$3058,$A$2:$A$3058,A1001,$P$2:$P$3058,"OK"),"KEEP","DROP"))</f>
        <v/>
      </c>
      <c r="T1001" s="9" t="n">
        <f aca="false">IF(A1001="",1,0)</f>
        <v>0</v>
      </c>
      <c r="U1001" s="9" t="n">
        <f aca="false">IF(D1001="",1,0)</f>
        <v>0</v>
      </c>
      <c r="V1001" s="9" t="n">
        <f aca="false">IF(E1001="",1,0)</f>
        <v>0</v>
      </c>
      <c r="W1001" s="9" t="n">
        <f aca="false">IF(OR(H1001&lt;1,H1001&gt;10),1,0)</f>
        <v>0</v>
      </c>
      <c r="X1001" s="9" t="n">
        <f aca="false">IF(OR(I1001&lt;=0,I1001&gt;1500),1,0)</f>
        <v>0</v>
      </c>
      <c r="Y1001" s="9" t="n">
        <f aca="false">IF(J1001&gt;H1001*I1001,1,0)</f>
        <v>0</v>
      </c>
      <c r="Z1001" s="9" t="n">
        <f aca="false">IF(AND(N1001&lt;&gt;"",OR(N1001&lt;1,N1001&gt;5)),1,0)</f>
        <v>0</v>
      </c>
      <c r="AA1001" s="9" t="n">
        <f aca="false">IF(AND(M1001&lt;&gt;"",OR(M1001&lt;5,M1001&gt;180)),1,0)</f>
        <v>0</v>
      </c>
      <c r="AB1001" s="7" t="str">
        <f aca="false">IF(P1001="DUP","Exact duplicate row",IF(T1001=1,"Missing Order ID",IF(S1001="DROP","Duplicate Order ID (less complete row)",IF(U1001=1,"Missing Customer ID",IF(V1001=1,"Missing Restaurant name",IF(W1001=1,"Invalid/outlier quantity",IF(X1001=1,"Invalid/outlier unit price",IF(Y1001=1,"Discount greater than order value",""))))))))</f>
        <v/>
      </c>
      <c r="AC1001" s="7" t="str">
        <f aca="false">IF(AB1001="","KEEP","DROP")</f>
        <v>KEEP</v>
      </c>
      <c r="AD1001" s="7" t="str">
        <f aca="false">IF(TRIM(F1001)="",IFERROR(INDEX(Map_Tables!$I$4:$I$37,MATCH(TRIM(E1001),Map_Tables!$G$4:$G$37,0)),""),IFERROR(INDEX(Map_Tables!$B$4:$B$18,MATCH(TRIM(F1001),Map_Tables!$A$4:$A$18,0)),"CHECK"))</f>
        <v>Delhi</v>
      </c>
      <c r="AE1001" s="7" t="str">
        <f aca="false">IF(TRIM(E1001)="","",IFERROR(INDEX(Map_Tables!$H$4:$H$37,MATCH(TRIM(E1001),Map_Tables!$G$4:$G$37,0)),"CHECK"))</f>
        <v>Burger Barn</v>
      </c>
      <c r="AF1001" s="7" t="str">
        <f aca="false">IF(TRIM(K1001)="","Unknown",IFERROR(INDEX(Map_Tables!$E$4:$E$15,MATCH(TRIM(K1001),Map_Tables!$D$4:$D$15,0)),"CHECK"))</f>
        <v>Debit Card</v>
      </c>
      <c r="AG1001" s="7" t="str">
        <f aca="false">IF(LEFT(LOWER(TRIM(L1001)),6)="cancel","Cancelled","Delivered")</f>
        <v>Delivered</v>
      </c>
      <c r="AH1001" s="10" t="n">
        <f aca="false">IF(ISNUMBER(SEARCH("/",B1001)),DATE(VALUE(RIGHT(B1001,4)),VALUE(MID(B1001,4,2)),VALUE(LEFT(B1001,2))),IF(MID(B1001,5,1)="-",DATE(VALUE(LEFT(B1001,4)),VALUE(MID(B1001,6,2)),VALUE(RIGHT(B1001,2))),DATE(VALUE(RIGHT(B1001,4)),MATCH(MID(B1001,4,3),{"Jan","Feb","Mar","Apr","May","Jun","Jul","Aug","Sep","Oct","Nov","Dec"},0),VALUE(LEFT(B1001,2)))))</f>
        <v>45925</v>
      </c>
    </row>
    <row r="1002" customFormat="false" ht="15" hidden="false" customHeight="false" outlineLevel="0" collapsed="false">
      <c r="A1002" s="7" t="s">
        <v>3015</v>
      </c>
      <c r="B1002" s="7" t="s">
        <v>1650</v>
      </c>
      <c r="C1002" s="7" t="s">
        <v>213</v>
      </c>
      <c r="D1002" s="7" t="s">
        <v>2994</v>
      </c>
      <c r="E1002" s="7" t="s">
        <v>89</v>
      </c>
      <c r="F1002" s="7" t="s">
        <v>86</v>
      </c>
      <c r="G1002" s="7" t="s">
        <v>90</v>
      </c>
      <c r="H1002" s="7" t="n">
        <v>2</v>
      </c>
      <c r="I1002" s="7" t="n">
        <v>200</v>
      </c>
      <c r="J1002" s="7" t="n">
        <v>30</v>
      </c>
      <c r="K1002" s="7" t="s">
        <v>93</v>
      </c>
      <c r="L1002" s="7" t="s">
        <v>194</v>
      </c>
      <c r="M1002" s="7" t="n">
        <v>32</v>
      </c>
      <c r="N1002" s="7" t="n">
        <v>4</v>
      </c>
      <c r="O1002" s="7" t="str">
        <f aca="false">A1002&amp;"|"&amp;B1002&amp;"|"&amp;C1002&amp;"|"&amp;D1002&amp;"|"&amp;E1002&amp;"|"&amp;F1002&amp;"|"&amp;G1002&amp;"|"&amp;H1002&amp;"|"&amp;I1002&amp;"|"&amp;J1002&amp;"|"&amp;K1002&amp;"|"&amp;L1002&amp;"|"&amp;M1002&amp;"|"&amp;N1002</f>
        <v>ORD12959|2025-12-27|20:37|C0967|Spice Junction|Bengaluru|North Indian|2|200|30|Credit Card|Delivered|32|4</v>
      </c>
      <c r="P1002" s="7" t="str">
        <f aca="false">IF(COUNTIF($O$2:O1002,O1002)&gt;1,"DUP","OK")</f>
        <v>OK</v>
      </c>
      <c r="Q1002" s="7" t="n">
        <f aca="false">COUNTBLANK(A1002:N1002)</f>
        <v>0</v>
      </c>
      <c r="R1002" s="7" t="n">
        <f aca="false">IF(A1002="",0,COUNTIFS($A$2:$A$3058,A1002,$P$2:$P$3058,"OK"))</f>
        <v>1</v>
      </c>
      <c r="S1002" s="7" t="str">
        <f aca="false">IF(OR(A1002="",P1002="DUP",R1002&lt;2),"",IF(Q1002=_xlfn.MINIFS($Q$2:$Q$3058,$A$2:$A$3058,A1002,$P$2:$P$3058,"OK"),"KEEP","DROP"))</f>
        <v/>
      </c>
      <c r="T1002" s="9" t="n">
        <f aca="false">IF(A1002="",1,0)</f>
        <v>0</v>
      </c>
      <c r="U1002" s="9" t="n">
        <f aca="false">IF(D1002="",1,0)</f>
        <v>0</v>
      </c>
      <c r="V1002" s="9" t="n">
        <f aca="false">IF(E1002="",1,0)</f>
        <v>0</v>
      </c>
      <c r="W1002" s="9" t="n">
        <f aca="false">IF(OR(H1002&lt;1,H1002&gt;10),1,0)</f>
        <v>0</v>
      </c>
      <c r="X1002" s="9" t="n">
        <f aca="false">IF(OR(I1002&lt;=0,I1002&gt;1500),1,0)</f>
        <v>0</v>
      </c>
      <c r="Y1002" s="9" t="n">
        <f aca="false">IF(J1002&gt;H1002*I1002,1,0)</f>
        <v>0</v>
      </c>
      <c r="Z1002" s="9" t="n">
        <f aca="false">IF(AND(N1002&lt;&gt;"",OR(N1002&lt;1,N1002&gt;5)),1,0)</f>
        <v>0</v>
      </c>
      <c r="AA1002" s="9" t="n">
        <f aca="false">IF(AND(M1002&lt;&gt;"",OR(M1002&lt;5,M1002&gt;180)),1,0)</f>
        <v>0</v>
      </c>
      <c r="AB1002" s="7" t="str">
        <f aca="false">IF(P1002="DUP","Exact duplicate row",IF(T1002=1,"Missing Order ID",IF(S1002="DROP","Duplicate Order ID (less complete row)",IF(U1002=1,"Missing Customer ID",IF(V1002=1,"Missing Restaurant name",IF(W1002=1,"Invalid/outlier quantity",IF(X1002=1,"Invalid/outlier unit price",IF(Y1002=1,"Discount greater than order value",""))))))))</f>
        <v/>
      </c>
      <c r="AC1002" s="7" t="str">
        <f aca="false">IF(AB1002="","KEEP","DROP")</f>
        <v>KEEP</v>
      </c>
      <c r="AD1002" s="7" t="str">
        <f aca="false">IF(TRIM(F1002)="",IFERROR(INDEX(Map_Tables!$I$4:$I$37,MATCH(TRIM(E1002),Map_Tables!$G$4:$G$37,0)),""),IFERROR(INDEX(Map_Tables!$B$4:$B$18,MATCH(TRIM(F1002),Map_Tables!$A$4:$A$18,0)),"CHECK"))</f>
        <v>Bengaluru</v>
      </c>
      <c r="AE1002" s="7" t="str">
        <f aca="false">IF(TRIM(E1002)="","",IFERROR(INDEX(Map_Tables!$H$4:$H$37,MATCH(TRIM(E1002),Map_Tables!$G$4:$G$37,0)),"CHECK"))</f>
        <v>Spice Junction</v>
      </c>
      <c r="AF1002" s="7" t="str">
        <f aca="false">IF(TRIM(K1002)="","Unknown",IFERROR(INDEX(Map_Tables!$E$4:$E$15,MATCH(TRIM(K1002),Map_Tables!$D$4:$D$15,0)),"CHECK"))</f>
        <v>Credit Card</v>
      </c>
      <c r="AG1002" s="7" t="str">
        <f aca="false">IF(LEFT(LOWER(TRIM(L1002)),6)="cancel","Cancelled","Delivered")</f>
        <v>Delivered</v>
      </c>
      <c r="AH1002" s="10" t="n">
        <f aca="false">IF(ISNUMBER(SEARCH("/",B1002)),DATE(VALUE(RIGHT(B1002,4)),VALUE(MID(B1002,4,2)),VALUE(LEFT(B1002,2))),IF(MID(B1002,5,1)="-",DATE(VALUE(LEFT(B1002,4)),VALUE(MID(B1002,6,2)),VALUE(RIGHT(B1002,2))),DATE(VALUE(RIGHT(B1002,4)),MATCH(MID(B1002,4,3),{"Jan","Feb","Mar","Apr","May","Jun","Jul","Aug","Sep","Oct","Nov","Dec"},0),VALUE(LEFT(B1002,2)))))</f>
        <v>46018</v>
      </c>
    </row>
    <row r="1003" customFormat="false" ht="15" hidden="false" customHeight="false" outlineLevel="0" collapsed="false">
      <c r="A1003" s="7" t="s">
        <v>3016</v>
      </c>
      <c r="B1003" s="7" t="s">
        <v>1489</v>
      </c>
      <c r="C1003" s="7" t="s">
        <v>1194</v>
      </c>
      <c r="D1003" s="7" t="s">
        <v>3017</v>
      </c>
      <c r="E1003" s="7" t="s">
        <v>94</v>
      </c>
      <c r="F1003" s="7" t="s">
        <v>86</v>
      </c>
      <c r="G1003" s="7" t="s">
        <v>95</v>
      </c>
      <c r="H1003" s="7" t="n">
        <v>3</v>
      </c>
      <c r="I1003" s="7" t="n">
        <v>150</v>
      </c>
      <c r="J1003" s="7" t="n">
        <v>0</v>
      </c>
      <c r="K1003" s="7" t="s">
        <v>112</v>
      </c>
      <c r="L1003" s="7" t="s">
        <v>194</v>
      </c>
      <c r="M1003" s="7" t="n">
        <v>34</v>
      </c>
      <c r="N1003" s="7" t="n">
        <v>4</v>
      </c>
      <c r="O1003" s="7" t="str">
        <f aca="false">A1003&amp;"|"&amp;B1003&amp;"|"&amp;C1003&amp;"|"&amp;D1003&amp;"|"&amp;E1003&amp;"|"&amp;F1003&amp;"|"&amp;G1003&amp;"|"&amp;H1003&amp;"|"&amp;I1003&amp;"|"&amp;J1003&amp;"|"&amp;K1003&amp;"|"&amp;L1003&amp;"|"&amp;M1003&amp;"|"&amp;N1003</f>
        <v>ORD12005|2025-09-17|18:44|C1211|Dosa Darbar|Bengaluru|South Indian|3|150|0|Cash on Delivery|Delivered|34|4</v>
      </c>
      <c r="P1003" s="7" t="str">
        <f aca="false">IF(COUNTIF($O$2:O1003,O1003)&gt;1,"DUP","OK")</f>
        <v>OK</v>
      </c>
      <c r="Q1003" s="7" t="n">
        <f aca="false">COUNTBLANK(A1003:N1003)</f>
        <v>0</v>
      </c>
      <c r="R1003" s="7" t="n">
        <f aca="false">IF(A1003="",0,COUNTIFS($A$2:$A$3058,A1003,$P$2:$P$3058,"OK"))</f>
        <v>1</v>
      </c>
      <c r="S1003" s="7" t="str">
        <f aca="false">IF(OR(A1003="",P1003="DUP",R1003&lt;2),"",IF(Q1003=_xlfn.MINIFS($Q$2:$Q$3058,$A$2:$A$3058,A1003,$P$2:$P$3058,"OK"),"KEEP","DROP"))</f>
        <v/>
      </c>
      <c r="T1003" s="9" t="n">
        <f aca="false">IF(A1003="",1,0)</f>
        <v>0</v>
      </c>
      <c r="U1003" s="9" t="n">
        <f aca="false">IF(D1003="",1,0)</f>
        <v>0</v>
      </c>
      <c r="V1003" s="9" t="n">
        <f aca="false">IF(E1003="",1,0)</f>
        <v>0</v>
      </c>
      <c r="W1003" s="9" t="n">
        <f aca="false">IF(OR(H1003&lt;1,H1003&gt;10),1,0)</f>
        <v>0</v>
      </c>
      <c r="X1003" s="9" t="n">
        <f aca="false">IF(OR(I1003&lt;=0,I1003&gt;1500),1,0)</f>
        <v>0</v>
      </c>
      <c r="Y1003" s="9" t="n">
        <f aca="false">IF(J1003&gt;H1003*I1003,1,0)</f>
        <v>0</v>
      </c>
      <c r="Z1003" s="9" t="n">
        <f aca="false">IF(AND(N1003&lt;&gt;"",OR(N1003&lt;1,N1003&gt;5)),1,0)</f>
        <v>0</v>
      </c>
      <c r="AA1003" s="9" t="n">
        <f aca="false">IF(AND(M1003&lt;&gt;"",OR(M1003&lt;5,M1003&gt;180)),1,0)</f>
        <v>0</v>
      </c>
      <c r="AB1003" s="7" t="str">
        <f aca="false">IF(P1003="DUP","Exact duplicate row",IF(T1003=1,"Missing Order ID",IF(S1003="DROP","Duplicate Order ID (less complete row)",IF(U1003=1,"Missing Customer ID",IF(V1003=1,"Missing Restaurant name",IF(W1003=1,"Invalid/outlier quantity",IF(X1003=1,"Invalid/outlier unit price",IF(Y1003=1,"Discount greater than order value",""))))))))</f>
        <v/>
      </c>
      <c r="AC1003" s="7" t="str">
        <f aca="false">IF(AB1003="","KEEP","DROP")</f>
        <v>KEEP</v>
      </c>
      <c r="AD1003" s="7" t="str">
        <f aca="false">IF(TRIM(F1003)="",IFERROR(INDEX(Map_Tables!$I$4:$I$37,MATCH(TRIM(E1003),Map_Tables!$G$4:$G$37,0)),""),IFERROR(INDEX(Map_Tables!$B$4:$B$18,MATCH(TRIM(F1003),Map_Tables!$A$4:$A$18,0)),"CHECK"))</f>
        <v>Bengaluru</v>
      </c>
      <c r="AE1003" s="7" t="str">
        <f aca="false">IF(TRIM(E1003)="","",IFERROR(INDEX(Map_Tables!$H$4:$H$37,MATCH(TRIM(E1003),Map_Tables!$G$4:$G$37,0)),"CHECK"))</f>
        <v>Dosa Darbar</v>
      </c>
      <c r="AF1003" s="7" t="str">
        <f aca="false">IF(TRIM(K1003)="","Unknown",IFERROR(INDEX(Map_Tables!$E$4:$E$15,MATCH(TRIM(K1003),Map_Tables!$D$4:$D$15,0)),"CHECK"))</f>
        <v>Cash on Delivery</v>
      </c>
      <c r="AG1003" s="7" t="str">
        <f aca="false">IF(LEFT(LOWER(TRIM(L1003)),6)="cancel","Cancelled","Delivered")</f>
        <v>Delivered</v>
      </c>
      <c r="AH1003" s="10" t="n">
        <f aca="false">IF(ISNUMBER(SEARCH("/",B1003)),DATE(VALUE(RIGHT(B1003,4)),VALUE(MID(B1003,4,2)),VALUE(LEFT(B1003,2))),IF(MID(B1003,5,1)="-",DATE(VALUE(LEFT(B1003,4)),VALUE(MID(B1003,6,2)),VALUE(RIGHT(B1003,2))),DATE(VALUE(RIGHT(B1003,4)),MATCH(MID(B1003,4,3),{"Jan","Feb","Mar","Apr","May","Jun","Jul","Aug","Sep","Oct","Nov","Dec"},0),VALUE(LEFT(B1003,2)))))</f>
        <v>45917</v>
      </c>
    </row>
    <row r="1004" customFormat="false" ht="15" hidden="false" customHeight="false" outlineLevel="0" collapsed="false">
      <c r="A1004" s="7" t="s">
        <v>3018</v>
      </c>
      <c r="B1004" s="7" t="s">
        <v>2441</v>
      </c>
      <c r="C1004" s="7" t="s">
        <v>626</v>
      </c>
      <c r="D1004" s="7" t="s">
        <v>1722</v>
      </c>
      <c r="E1004" s="7" t="s">
        <v>94</v>
      </c>
      <c r="F1004" s="7" t="s">
        <v>729</v>
      </c>
      <c r="G1004" s="7" t="s">
        <v>95</v>
      </c>
      <c r="H1004" s="7" t="n">
        <v>5</v>
      </c>
      <c r="I1004" s="7" t="n">
        <v>120</v>
      </c>
      <c r="J1004" s="7" t="n">
        <v>75</v>
      </c>
      <c r="K1004" s="7" t="s">
        <v>88</v>
      </c>
      <c r="L1004" s="7" t="s">
        <v>194</v>
      </c>
      <c r="M1004" s="7" t="n">
        <v>35</v>
      </c>
      <c r="N1004" s="7" t="n">
        <v>2</v>
      </c>
      <c r="O1004" s="7" t="str">
        <f aca="false">A1004&amp;"|"&amp;B1004&amp;"|"&amp;C1004&amp;"|"&amp;D1004&amp;"|"&amp;E1004&amp;"|"&amp;F1004&amp;"|"&amp;G1004&amp;"|"&amp;H1004&amp;"|"&amp;I1004&amp;"|"&amp;J1004&amp;"|"&amp;K1004&amp;"|"&amp;L1004&amp;"|"&amp;M1004&amp;"|"&amp;N1004</f>
        <v>ORD12682|2025-11-26|23:03|C0256|Dosa Darbar|BENGALURU|South Indian|5|120|75|UPI|Delivered|35|2</v>
      </c>
      <c r="P1004" s="7" t="str">
        <f aca="false">IF(COUNTIF($O$2:O1004,O1004)&gt;1,"DUP","OK")</f>
        <v>OK</v>
      </c>
      <c r="Q1004" s="7" t="n">
        <f aca="false">COUNTBLANK(A1004:N1004)</f>
        <v>0</v>
      </c>
      <c r="R1004" s="7" t="n">
        <f aca="false">IF(A1004="",0,COUNTIFS($A$2:$A$3058,A1004,$P$2:$P$3058,"OK"))</f>
        <v>1</v>
      </c>
      <c r="S1004" s="7" t="str">
        <f aca="false">IF(OR(A1004="",P1004="DUP",R1004&lt;2),"",IF(Q1004=_xlfn.MINIFS($Q$2:$Q$3058,$A$2:$A$3058,A1004,$P$2:$P$3058,"OK"),"KEEP","DROP"))</f>
        <v/>
      </c>
      <c r="T1004" s="9" t="n">
        <f aca="false">IF(A1004="",1,0)</f>
        <v>0</v>
      </c>
      <c r="U1004" s="9" t="n">
        <f aca="false">IF(D1004="",1,0)</f>
        <v>0</v>
      </c>
      <c r="V1004" s="9" t="n">
        <f aca="false">IF(E1004="",1,0)</f>
        <v>0</v>
      </c>
      <c r="W1004" s="9" t="n">
        <f aca="false">IF(OR(H1004&lt;1,H1004&gt;10),1,0)</f>
        <v>0</v>
      </c>
      <c r="X1004" s="9" t="n">
        <f aca="false">IF(OR(I1004&lt;=0,I1004&gt;1500),1,0)</f>
        <v>0</v>
      </c>
      <c r="Y1004" s="9" t="n">
        <f aca="false">IF(J1004&gt;H1004*I1004,1,0)</f>
        <v>0</v>
      </c>
      <c r="Z1004" s="9" t="n">
        <f aca="false">IF(AND(N1004&lt;&gt;"",OR(N1004&lt;1,N1004&gt;5)),1,0)</f>
        <v>0</v>
      </c>
      <c r="AA1004" s="9" t="n">
        <f aca="false">IF(AND(M1004&lt;&gt;"",OR(M1004&lt;5,M1004&gt;180)),1,0)</f>
        <v>0</v>
      </c>
      <c r="AB1004" s="7" t="str">
        <f aca="false">IF(P1004="DUP","Exact duplicate row",IF(T1004=1,"Missing Order ID",IF(S1004="DROP","Duplicate Order ID (less complete row)",IF(U1004=1,"Missing Customer ID",IF(V1004=1,"Missing Restaurant name",IF(W1004=1,"Invalid/outlier quantity",IF(X1004=1,"Invalid/outlier unit price",IF(Y1004=1,"Discount greater than order value",""))))))))</f>
        <v/>
      </c>
      <c r="AC1004" s="7" t="str">
        <f aca="false">IF(AB1004="","KEEP","DROP")</f>
        <v>KEEP</v>
      </c>
      <c r="AD1004" s="7" t="str">
        <f aca="false">IF(TRIM(F1004)="",IFERROR(INDEX(Map_Tables!$I$4:$I$37,MATCH(TRIM(E1004),Map_Tables!$G$4:$G$37,0)),""),IFERROR(INDEX(Map_Tables!$B$4:$B$18,MATCH(TRIM(F1004),Map_Tables!$A$4:$A$18,0)),"CHECK"))</f>
        <v>Bengaluru</v>
      </c>
      <c r="AE1004" s="7" t="str">
        <f aca="false">IF(TRIM(E1004)="","",IFERROR(INDEX(Map_Tables!$H$4:$H$37,MATCH(TRIM(E1004),Map_Tables!$G$4:$G$37,0)),"CHECK"))</f>
        <v>Dosa Darbar</v>
      </c>
      <c r="AF1004" s="7" t="str">
        <f aca="false">IF(TRIM(K1004)="","Unknown",IFERROR(INDEX(Map_Tables!$E$4:$E$15,MATCH(TRIM(K1004),Map_Tables!$D$4:$D$15,0)),"CHECK"))</f>
        <v>UPI</v>
      </c>
      <c r="AG1004" s="7" t="str">
        <f aca="false">IF(LEFT(LOWER(TRIM(L1004)),6)="cancel","Cancelled","Delivered")</f>
        <v>Delivered</v>
      </c>
      <c r="AH1004" s="10" t="n">
        <f aca="false">IF(ISNUMBER(SEARCH("/",B1004)),DATE(VALUE(RIGHT(B1004,4)),VALUE(MID(B1004,4,2)),VALUE(LEFT(B1004,2))),IF(MID(B1004,5,1)="-",DATE(VALUE(LEFT(B1004,4)),VALUE(MID(B1004,6,2)),VALUE(RIGHT(B1004,2))),DATE(VALUE(RIGHT(B1004,4)),MATCH(MID(B1004,4,3),{"Jan","Feb","Mar","Apr","May","Jun","Jul","Aug","Sep","Oct","Nov","Dec"},0),VALUE(LEFT(B1004,2)))))</f>
        <v>45987</v>
      </c>
    </row>
    <row r="1005" customFormat="false" ht="15" hidden="false" customHeight="false" outlineLevel="0" collapsed="false">
      <c r="A1005" s="7" t="s">
        <v>3019</v>
      </c>
      <c r="B1005" s="7" t="s">
        <v>3020</v>
      </c>
      <c r="C1005" s="7" t="s">
        <v>743</v>
      </c>
      <c r="D1005" s="7" t="s">
        <v>880</v>
      </c>
      <c r="E1005" s="7" t="s">
        <v>126</v>
      </c>
      <c r="F1005" s="7" t="s">
        <v>101</v>
      </c>
      <c r="G1005" s="7" t="s">
        <v>105</v>
      </c>
      <c r="H1005" s="7" t="n">
        <v>2</v>
      </c>
      <c r="I1005" s="7" t="n">
        <v>220</v>
      </c>
      <c r="J1005" s="7" t="n">
        <v>75</v>
      </c>
      <c r="K1005" s="7" t="s">
        <v>88</v>
      </c>
      <c r="L1005" s="7" t="s">
        <v>194</v>
      </c>
      <c r="M1005" s="7" t="n">
        <v>46</v>
      </c>
      <c r="N1005" s="7" t="n">
        <v>2</v>
      </c>
      <c r="O1005" s="7" t="str">
        <f aca="false">A1005&amp;"|"&amp;B1005&amp;"|"&amp;C1005&amp;"|"&amp;D1005&amp;"|"&amp;E1005&amp;"|"&amp;F1005&amp;"|"&amp;G1005&amp;"|"&amp;H1005&amp;"|"&amp;I1005&amp;"|"&amp;J1005&amp;"|"&amp;K1005&amp;"|"&amp;L1005&amp;"|"&amp;M1005&amp;"|"&amp;N1005</f>
        <v>ORD11123|23/05/2025|11:09|C0701|Dragon Express|Mumbai|Chinese|2|220|75|UPI|Delivered|46|2</v>
      </c>
      <c r="P1005" s="7" t="str">
        <f aca="false">IF(COUNTIF($O$2:O1005,O1005)&gt;1,"DUP","OK")</f>
        <v>OK</v>
      </c>
      <c r="Q1005" s="7" t="n">
        <f aca="false">COUNTBLANK(A1005:N1005)</f>
        <v>0</v>
      </c>
      <c r="R1005" s="7" t="n">
        <f aca="false">IF(A1005="",0,COUNTIFS($A$2:$A$3058,A1005,$P$2:$P$3058,"OK"))</f>
        <v>1</v>
      </c>
      <c r="S1005" s="7" t="str">
        <f aca="false">IF(OR(A1005="",P1005="DUP",R1005&lt;2),"",IF(Q1005=_xlfn.MINIFS($Q$2:$Q$3058,$A$2:$A$3058,A1005,$P$2:$P$3058,"OK"),"KEEP","DROP"))</f>
        <v/>
      </c>
      <c r="T1005" s="9" t="n">
        <f aca="false">IF(A1005="",1,0)</f>
        <v>0</v>
      </c>
      <c r="U1005" s="9" t="n">
        <f aca="false">IF(D1005="",1,0)</f>
        <v>0</v>
      </c>
      <c r="V1005" s="9" t="n">
        <f aca="false">IF(E1005="",1,0)</f>
        <v>0</v>
      </c>
      <c r="W1005" s="9" t="n">
        <f aca="false">IF(OR(H1005&lt;1,H1005&gt;10),1,0)</f>
        <v>0</v>
      </c>
      <c r="X1005" s="9" t="n">
        <f aca="false">IF(OR(I1005&lt;=0,I1005&gt;1500),1,0)</f>
        <v>0</v>
      </c>
      <c r="Y1005" s="9" t="n">
        <f aca="false">IF(J1005&gt;H1005*I1005,1,0)</f>
        <v>0</v>
      </c>
      <c r="Z1005" s="9" t="n">
        <f aca="false">IF(AND(N1005&lt;&gt;"",OR(N1005&lt;1,N1005&gt;5)),1,0)</f>
        <v>0</v>
      </c>
      <c r="AA1005" s="9" t="n">
        <f aca="false">IF(AND(M1005&lt;&gt;"",OR(M1005&lt;5,M1005&gt;180)),1,0)</f>
        <v>0</v>
      </c>
      <c r="AB1005" s="7" t="str">
        <f aca="false">IF(P1005="DUP","Exact duplicate row",IF(T1005=1,"Missing Order ID",IF(S1005="DROP","Duplicate Order ID (less complete row)",IF(U1005=1,"Missing Customer ID",IF(V1005=1,"Missing Restaurant name",IF(W1005=1,"Invalid/outlier quantity",IF(X1005=1,"Invalid/outlier unit price",IF(Y1005=1,"Discount greater than order value",""))))))))</f>
        <v/>
      </c>
      <c r="AC1005" s="7" t="str">
        <f aca="false">IF(AB1005="","KEEP","DROP")</f>
        <v>KEEP</v>
      </c>
      <c r="AD1005" s="7" t="str">
        <f aca="false">IF(TRIM(F1005)="",IFERROR(INDEX(Map_Tables!$I$4:$I$37,MATCH(TRIM(E1005),Map_Tables!$G$4:$G$37,0)),""),IFERROR(INDEX(Map_Tables!$B$4:$B$18,MATCH(TRIM(F1005),Map_Tables!$A$4:$A$18,0)),"CHECK"))</f>
        <v>Mumbai</v>
      </c>
      <c r="AE1005" s="7" t="str">
        <f aca="false">IF(TRIM(E1005)="","",IFERROR(INDEX(Map_Tables!$H$4:$H$37,MATCH(TRIM(E1005),Map_Tables!$G$4:$G$37,0)),"CHECK"))</f>
        <v>Dragon Express</v>
      </c>
      <c r="AF1005" s="7" t="str">
        <f aca="false">IF(TRIM(K1005)="","Unknown",IFERROR(INDEX(Map_Tables!$E$4:$E$15,MATCH(TRIM(K1005),Map_Tables!$D$4:$D$15,0)),"CHECK"))</f>
        <v>UPI</v>
      </c>
      <c r="AG1005" s="7" t="str">
        <f aca="false">IF(LEFT(LOWER(TRIM(L1005)),6)="cancel","Cancelled","Delivered")</f>
        <v>Delivered</v>
      </c>
      <c r="AH1005" s="10" t="n">
        <f aca="false">IF(ISNUMBER(SEARCH("/",B1005)),DATE(VALUE(RIGHT(B1005,4)),VALUE(MID(B1005,4,2)),VALUE(LEFT(B1005,2))),IF(MID(B1005,5,1)="-",DATE(VALUE(LEFT(B1005,4)),VALUE(MID(B1005,6,2)),VALUE(RIGHT(B1005,2))),DATE(VALUE(RIGHT(B1005,4)),MATCH(MID(B1005,4,3),{"Jan","Feb","Mar","Apr","May","Jun","Jul","Aug","Sep","Oct","Nov","Dec"},0),VALUE(LEFT(B1005,2)))))</f>
        <v>45800</v>
      </c>
    </row>
    <row r="1006" customFormat="false" ht="15" hidden="false" customHeight="false" outlineLevel="0" collapsed="false">
      <c r="A1006" s="7" t="s">
        <v>3021</v>
      </c>
      <c r="B1006" s="7" t="s">
        <v>3022</v>
      </c>
      <c r="C1006" s="7" t="s">
        <v>3023</v>
      </c>
      <c r="D1006" s="7" t="s">
        <v>2522</v>
      </c>
      <c r="E1006" s="7" t="s">
        <v>138</v>
      </c>
      <c r="F1006" s="7" t="s">
        <v>110</v>
      </c>
      <c r="G1006" s="7" t="s">
        <v>139</v>
      </c>
      <c r="H1006" s="7" t="n">
        <v>2</v>
      </c>
      <c r="I1006" s="7" t="n">
        <v>150</v>
      </c>
      <c r="J1006" s="7" t="n">
        <v>0</v>
      </c>
      <c r="K1006" s="7" t="s">
        <v>88</v>
      </c>
      <c r="L1006" s="7" t="s">
        <v>194</v>
      </c>
      <c r="M1006" s="7" t="n">
        <v>40</v>
      </c>
      <c r="N1006" s="7"/>
      <c r="O1006" s="7" t="str">
        <f aca="false">A1006&amp;"|"&amp;B1006&amp;"|"&amp;C1006&amp;"|"&amp;D1006&amp;"|"&amp;E1006&amp;"|"&amp;F1006&amp;"|"&amp;G1006&amp;"|"&amp;H1006&amp;"|"&amp;I1006&amp;"|"&amp;J1006&amp;"|"&amp;K1006&amp;"|"&amp;L1006&amp;"|"&amp;M1006&amp;"|"&amp;N1006</f>
        <v>ORD12777|05/12/2025|21:54|C0881|Burger Barn|Delhi|Burgers|2|150|0|UPI|Delivered|40|</v>
      </c>
      <c r="P1006" s="7" t="str">
        <f aca="false">IF(COUNTIF($O$2:O1006,O1006)&gt;1,"DUP","OK")</f>
        <v>OK</v>
      </c>
      <c r="Q1006" s="7" t="n">
        <f aca="false">COUNTBLANK(A1006:N1006)</f>
        <v>1</v>
      </c>
      <c r="R1006" s="7" t="n">
        <f aca="false">IF(A1006="",0,COUNTIFS($A$2:$A$3058,A1006,$P$2:$P$3058,"OK"))</f>
        <v>1</v>
      </c>
      <c r="S1006" s="7" t="str">
        <f aca="false">IF(OR(A1006="",P1006="DUP",R1006&lt;2),"",IF(Q1006=_xlfn.MINIFS($Q$2:$Q$3058,$A$2:$A$3058,A1006,$P$2:$P$3058,"OK"),"KEEP","DROP"))</f>
        <v/>
      </c>
      <c r="T1006" s="9" t="n">
        <f aca="false">IF(A1006="",1,0)</f>
        <v>0</v>
      </c>
      <c r="U1006" s="9" t="n">
        <f aca="false">IF(D1006="",1,0)</f>
        <v>0</v>
      </c>
      <c r="V1006" s="9" t="n">
        <f aca="false">IF(E1006="",1,0)</f>
        <v>0</v>
      </c>
      <c r="W1006" s="9" t="n">
        <f aca="false">IF(OR(H1006&lt;1,H1006&gt;10),1,0)</f>
        <v>0</v>
      </c>
      <c r="X1006" s="9" t="n">
        <f aca="false">IF(OR(I1006&lt;=0,I1006&gt;1500),1,0)</f>
        <v>0</v>
      </c>
      <c r="Y1006" s="9" t="n">
        <f aca="false">IF(J1006&gt;H1006*I1006,1,0)</f>
        <v>0</v>
      </c>
      <c r="Z1006" s="9" t="n">
        <f aca="false">IF(AND(N1006&lt;&gt;"",OR(N1006&lt;1,N1006&gt;5)),1,0)</f>
        <v>0</v>
      </c>
      <c r="AA1006" s="9" t="n">
        <f aca="false">IF(AND(M1006&lt;&gt;"",OR(M1006&lt;5,M1006&gt;180)),1,0)</f>
        <v>0</v>
      </c>
      <c r="AB1006" s="7" t="str">
        <f aca="false">IF(P1006="DUP","Exact duplicate row",IF(T1006=1,"Missing Order ID",IF(S1006="DROP","Duplicate Order ID (less complete row)",IF(U1006=1,"Missing Customer ID",IF(V1006=1,"Missing Restaurant name",IF(W1006=1,"Invalid/outlier quantity",IF(X1006=1,"Invalid/outlier unit price",IF(Y1006=1,"Discount greater than order value",""))))))))</f>
        <v/>
      </c>
      <c r="AC1006" s="7" t="str">
        <f aca="false">IF(AB1006="","KEEP","DROP")</f>
        <v>KEEP</v>
      </c>
      <c r="AD1006" s="7" t="str">
        <f aca="false">IF(TRIM(F1006)="",IFERROR(INDEX(Map_Tables!$I$4:$I$37,MATCH(TRIM(E1006),Map_Tables!$G$4:$G$37,0)),""),IFERROR(INDEX(Map_Tables!$B$4:$B$18,MATCH(TRIM(F1006),Map_Tables!$A$4:$A$18,0)),"CHECK"))</f>
        <v>Delhi</v>
      </c>
      <c r="AE1006" s="7" t="str">
        <f aca="false">IF(TRIM(E1006)="","",IFERROR(INDEX(Map_Tables!$H$4:$H$37,MATCH(TRIM(E1006),Map_Tables!$G$4:$G$37,0)),"CHECK"))</f>
        <v>Burger Barn</v>
      </c>
      <c r="AF1006" s="7" t="str">
        <f aca="false">IF(TRIM(K1006)="","Unknown",IFERROR(INDEX(Map_Tables!$E$4:$E$15,MATCH(TRIM(K1006),Map_Tables!$D$4:$D$15,0)),"CHECK"))</f>
        <v>UPI</v>
      </c>
      <c r="AG1006" s="7" t="str">
        <f aca="false">IF(LEFT(LOWER(TRIM(L1006)),6)="cancel","Cancelled","Delivered")</f>
        <v>Delivered</v>
      </c>
      <c r="AH1006" s="10" t="n">
        <f aca="false">IF(ISNUMBER(SEARCH("/",B1006)),DATE(VALUE(RIGHT(B1006,4)),VALUE(MID(B1006,4,2)),VALUE(LEFT(B1006,2))),IF(MID(B1006,5,1)="-",DATE(VALUE(LEFT(B1006,4)),VALUE(MID(B1006,6,2)),VALUE(RIGHT(B1006,2))),DATE(VALUE(RIGHT(B1006,4)),MATCH(MID(B1006,4,3),{"Jan","Feb","Mar","Apr","May","Jun","Jul","Aug","Sep","Oct","Nov","Dec"},0),VALUE(LEFT(B1006,2)))))</f>
        <v>45996</v>
      </c>
    </row>
    <row r="1007" customFormat="false" ht="15" hidden="false" customHeight="false" outlineLevel="0" collapsed="false">
      <c r="A1007" s="7" t="s">
        <v>3024</v>
      </c>
      <c r="B1007" s="7" t="s">
        <v>1760</v>
      </c>
      <c r="C1007" s="7" t="s">
        <v>3025</v>
      </c>
      <c r="D1007" s="7" t="s">
        <v>793</v>
      </c>
      <c r="E1007" s="7" t="s">
        <v>144</v>
      </c>
      <c r="F1007" s="7" t="s">
        <v>119</v>
      </c>
      <c r="G1007" s="7" t="s">
        <v>99</v>
      </c>
      <c r="H1007" s="7" t="n">
        <v>2</v>
      </c>
      <c r="I1007" s="7" t="n">
        <v>340</v>
      </c>
      <c r="J1007" s="7" t="n">
        <v>125</v>
      </c>
      <c r="K1007" s="7" t="s">
        <v>120</v>
      </c>
      <c r="L1007" s="7" t="s">
        <v>194</v>
      </c>
      <c r="M1007" s="7" t="n">
        <v>31</v>
      </c>
      <c r="N1007" s="7" t="n">
        <v>5</v>
      </c>
      <c r="O1007" s="7" t="str">
        <f aca="false">A1007&amp;"|"&amp;B1007&amp;"|"&amp;C1007&amp;"|"&amp;D1007&amp;"|"&amp;E1007&amp;"|"&amp;F1007&amp;"|"&amp;G1007&amp;"|"&amp;H1007&amp;"|"&amp;I1007&amp;"|"&amp;J1007&amp;"|"&amp;K1007&amp;"|"&amp;L1007&amp;"|"&amp;M1007&amp;"|"&amp;N1007</f>
        <v>ORD10238|2025-02-01|14:08|C1040|Hyderabad Dum Biryani|Hyderabad|Biryani|2|340|125|wallet|Delivered|31|5</v>
      </c>
      <c r="P1007" s="7" t="str">
        <f aca="false">IF(COUNTIF($O$2:O1007,O1007)&gt;1,"DUP","OK")</f>
        <v>OK</v>
      </c>
      <c r="Q1007" s="7" t="n">
        <f aca="false">COUNTBLANK(A1007:N1007)</f>
        <v>0</v>
      </c>
      <c r="R1007" s="7" t="n">
        <f aca="false">IF(A1007="",0,COUNTIFS($A$2:$A$3058,A1007,$P$2:$P$3058,"OK"))</f>
        <v>1</v>
      </c>
      <c r="S1007" s="7" t="str">
        <f aca="false">IF(OR(A1007="",P1007="DUP",R1007&lt;2),"",IF(Q1007=_xlfn.MINIFS($Q$2:$Q$3058,$A$2:$A$3058,A1007,$P$2:$P$3058,"OK"),"KEEP","DROP"))</f>
        <v/>
      </c>
      <c r="T1007" s="9" t="n">
        <f aca="false">IF(A1007="",1,0)</f>
        <v>0</v>
      </c>
      <c r="U1007" s="9" t="n">
        <f aca="false">IF(D1007="",1,0)</f>
        <v>0</v>
      </c>
      <c r="V1007" s="9" t="n">
        <f aca="false">IF(E1007="",1,0)</f>
        <v>0</v>
      </c>
      <c r="W1007" s="9" t="n">
        <f aca="false">IF(OR(H1007&lt;1,H1007&gt;10),1,0)</f>
        <v>0</v>
      </c>
      <c r="X1007" s="9" t="n">
        <f aca="false">IF(OR(I1007&lt;=0,I1007&gt;1500),1,0)</f>
        <v>0</v>
      </c>
      <c r="Y1007" s="9" t="n">
        <f aca="false">IF(J1007&gt;H1007*I1007,1,0)</f>
        <v>0</v>
      </c>
      <c r="Z1007" s="9" t="n">
        <f aca="false">IF(AND(N1007&lt;&gt;"",OR(N1007&lt;1,N1007&gt;5)),1,0)</f>
        <v>0</v>
      </c>
      <c r="AA1007" s="9" t="n">
        <f aca="false">IF(AND(M1007&lt;&gt;"",OR(M1007&lt;5,M1007&gt;180)),1,0)</f>
        <v>0</v>
      </c>
      <c r="AB1007" s="7" t="str">
        <f aca="false">IF(P1007="DUP","Exact duplicate row",IF(T1007=1,"Missing Order ID",IF(S1007="DROP","Duplicate Order ID (less complete row)",IF(U1007=1,"Missing Customer ID",IF(V1007=1,"Missing Restaurant name",IF(W1007=1,"Invalid/outlier quantity",IF(X1007=1,"Invalid/outlier unit price",IF(Y1007=1,"Discount greater than order value",""))))))))</f>
        <v/>
      </c>
      <c r="AC1007" s="7" t="str">
        <f aca="false">IF(AB1007="","KEEP","DROP")</f>
        <v>KEEP</v>
      </c>
      <c r="AD1007" s="7" t="str">
        <f aca="false">IF(TRIM(F1007)="",IFERROR(INDEX(Map_Tables!$I$4:$I$37,MATCH(TRIM(E1007),Map_Tables!$G$4:$G$37,0)),""),IFERROR(INDEX(Map_Tables!$B$4:$B$18,MATCH(TRIM(F1007),Map_Tables!$A$4:$A$18,0)),"CHECK"))</f>
        <v>Hyderabad</v>
      </c>
      <c r="AE1007" s="7" t="str">
        <f aca="false">IF(TRIM(E1007)="","",IFERROR(INDEX(Map_Tables!$H$4:$H$37,MATCH(TRIM(E1007),Map_Tables!$G$4:$G$37,0)),"CHECK"))</f>
        <v>Hyderabad Dum Biryani</v>
      </c>
      <c r="AF1007" s="7" t="str">
        <f aca="false">IF(TRIM(K1007)="","Unknown",IFERROR(INDEX(Map_Tables!$E$4:$E$15,MATCH(TRIM(K1007),Map_Tables!$D$4:$D$15,0)),"CHECK"))</f>
        <v>Wallet</v>
      </c>
      <c r="AG1007" s="7" t="str">
        <f aca="false">IF(LEFT(LOWER(TRIM(L1007)),6)="cancel","Cancelled","Delivered")</f>
        <v>Delivered</v>
      </c>
      <c r="AH1007" s="10" t="n">
        <f aca="false">IF(ISNUMBER(SEARCH("/",B1007)),DATE(VALUE(RIGHT(B1007,4)),VALUE(MID(B1007,4,2)),VALUE(LEFT(B1007,2))),IF(MID(B1007,5,1)="-",DATE(VALUE(LEFT(B1007,4)),VALUE(MID(B1007,6,2)),VALUE(RIGHT(B1007,2))),DATE(VALUE(RIGHT(B1007,4)),MATCH(MID(B1007,4,3),{"Jan","Feb","Mar","Apr","May","Jun","Jul","Aug","Sep","Oct","Nov","Dec"},0),VALUE(LEFT(B1007,2)))))</f>
        <v>45689</v>
      </c>
    </row>
    <row r="1008" customFormat="false" ht="15" hidden="false" customHeight="false" outlineLevel="0" collapsed="false">
      <c r="A1008" s="7" t="s">
        <v>3026</v>
      </c>
      <c r="B1008" s="7" t="s">
        <v>1304</v>
      </c>
      <c r="C1008" s="7" t="s">
        <v>1486</v>
      </c>
      <c r="D1008" s="7" t="s">
        <v>3027</v>
      </c>
      <c r="E1008" s="7" t="s">
        <v>138</v>
      </c>
      <c r="F1008" s="7" t="s">
        <v>110</v>
      </c>
      <c r="G1008" s="7" t="s">
        <v>251</v>
      </c>
      <c r="H1008" s="7" t="n">
        <v>2</v>
      </c>
      <c r="I1008" s="7" t="n">
        <v>175</v>
      </c>
      <c r="J1008" s="7" t="n">
        <v>20</v>
      </c>
      <c r="K1008" s="7" t="s">
        <v>88</v>
      </c>
      <c r="L1008" s="7" t="s">
        <v>194</v>
      </c>
      <c r="M1008" s="7" t="n">
        <v>38</v>
      </c>
      <c r="N1008" s="7" t="n">
        <v>5</v>
      </c>
      <c r="O1008" s="7" t="str">
        <f aca="false">A1008&amp;"|"&amp;B1008&amp;"|"&amp;C1008&amp;"|"&amp;D1008&amp;"|"&amp;E1008&amp;"|"&amp;F1008&amp;"|"&amp;G1008&amp;"|"&amp;H1008&amp;"|"&amp;I1008&amp;"|"&amp;J1008&amp;"|"&amp;K1008&amp;"|"&amp;L1008&amp;"|"&amp;M1008&amp;"|"&amp;N1008</f>
        <v>ORD11793|2025-08-22|11:43|C0676|Burger Barn|Delhi|burgers|2|175|20|UPI|Delivered|38|5</v>
      </c>
      <c r="P1008" s="7" t="str">
        <f aca="false">IF(COUNTIF($O$2:O1008,O1008)&gt;1,"DUP","OK")</f>
        <v>OK</v>
      </c>
      <c r="Q1008" s="7" t="n">
        <f aca="false">COUNTBLANK(A1008:N1008)</f>
        <v>0</v>
      </c>
      <c r="R1008" s="7" t="n">
        <f aca="false">IF(A1008="",0,COUNTIFS($A$2:$A$3058,A1008,$P$2:$P$3058,"OK"))</f>
        <v>1</v>
      </c>
      <c r="S1008" s="7" t="str">
        <f aca="false">IF(OR(A1008="",P1008="DUP",R1008&lt;2),"",IF(Q1008=_xlfn.MINIFS($Q$2:$Q$3058,$A$2:$A$3058,A1008,$P$2:$P$3058,"OK"),"KEEP","DROP"))</f>
        <v/>
      </c>
      <c r="T1008" s="9" t="n">
        <f aca="false">IF(A1008="",1,0)</f>
        <v>0</v>
      </c>
      <c r="U1008" s="9" t="n">
        <f aca="false">IF(D1008="",1,0)</f>
        <v>0</v>
      </c>
      <c r="V1008" s="9" t="n">
        <f aca="false">IF(E1008="",1,0)</f>
        <v>0</v>
      </c>
      <c r="W1008" s="9" t="n">
        <f aca="false">IF(OR(H1008&lt;1,H1008&gt;10),1,0)</f>
        <v>0</v>
      </c>
      <c r="X1008" s="9" t="n">
        <f aca="false">IF(OR(I1008&lt;=0,I1008&gt;1500),1,0)</f>
        <v>0</v>
      </c>
      <c r="Y1008" s="9" t="n">
        <f aca="false">IF(J1008&gt;H1008*I1008,1,0)</f>
        <v>0</v>
      </c>
      <c r="Z1008" s="9" t="n">
        <f aca="false">IF(AND(N1008&lt;&gt;"",OR(N1008&lt;1,N1008&gt;5)),1,0)</f>
        <v>0</v>
      </c>
      <c r="AA1008" s="9" t="n">
        <f aca="false">IF(AND(M1008&lt;&gt;"",OR(M1008&lt;5,M1008&gt;180)),1,0)</f>
        <v>0</v>
      </c>
      <c r="AB1008" s="7" t="str">
        <f aca="false">IF(P1008="DUP","Exact duplicate row",IF(T1008=1,"Missing Order ID",IF(S1008="DROP","Duplicate Order ID (less complete row)",IF(U1008=1,"Missing Customer ID",IF(V1008=1,"Missing Restaurant name",IF(W1008=1,"Invalid/outlier quantity",IF(X1008=1,"Invalid/outlier unit price",IF(Y1008=1,"Discount greater than order value",""))))))))</f>
        <v/>
      </c>
      <c r="AC1008" s="7" t="str">
        <f aca="false">IF(AB1008="","KEEP","DROP")</f>
        <v>KEEP</v>
      </c>
      <c r="AD1008" s="7" t="str">
        <f aca="false">IF(TRIM(F1008)="",IFERROR(INDEX(Map_Tables!$I$4:$I$37,MATCH(TRIM(E1008),Map_Tables!$G$4:$G$37,0)),""),IFERROR(INDEX(Map_Tables!$B$4:$B$18,MATCH(TRIM(F1008),Map_Tables!$A$4:$A$18,0)),"CHECK"))</f>
        <v>Delhi</v>
      </c>
      <c r="AE1008" s="7" t="str">
        <f aca="false">IF(TRIM(E1008)="","",IFERROR(INDEX(Map_Tables!$H$4:$H$37,MATCH(TRIM(E1008),Map_Tables!$G$4:$G$37,0)),"CHECK"))</f>
        <v>Burger Barn</v>
      </c>
      <c r="AF1008" s="7" t="str">
        <f aca="false">IF(TRIM(K1008)="","Unknown",IFERROR(INDEX(Map_Tables!$E$4:$E$15,MATCH(TRIM(K1008),Map_Tables!$D$4:$D$15,0)),"CHECK"))</f>
        <v>UPI</v>
      </c>
      <c r="AG1008" s="7" t="str">
        <f aca="false">IF(LEFT(LOWER(TRIM(L1008)),6)="cancel","Cancelled","Delivered")</f>
        <v>Delivered</v>
      </c>
      <c r="AH1008" s="10" t="n">
        <f aca="false">IF(ISNUMBER(SEARCH("/",B1008)),DATE(VALUE(RIGHT(B1008,4)),VALUE(MID(B1008,4,2)),VALUE(LEFT(B1008,2))),IF(MID(B1008,5,1)="-",DATE(VALUE(LEFT(B1008,4)),VALUE(MID(B1008,6,2)),VALUE(RIGHT(B1008,2))),DATE(VALUE(RIGHT(B1008,4)),MATCH(MID(B1008,4,3),{"Jan","Feb","Mar","Apr","May","Jun","Jul","Aug","Sep","Oct","Nov","Dec"},0),VALUE(LEFT(B1008,2)))))</f>
        <v>45891</v>
      </c>
    </row>
    <row r="1009" customFormat="false" ht="15" hidden="false" customHeight="false" outlineLevel="0" collapsed="false">
      <c r="A1009" s="7" t="s">
        <v>3028</v>
      </c>
      <c r="B1009" s="7" t="s">
        <v>542</v>
      </c>
      <c r="C1009" s="7" t="s">
        <v>3029</v>
      </c>
      <c r="D1009" s="7" t="s">
        <v>3030</v>
      </c>
      <c r="E1009" s="7" t="s">
        <v>126</v>
      </c>
      <c r="F1009" s="7" t="s">
        <v>100</v>
      </c>
      <c r="G1009" s="7" t="s">
        <v>105</v>
      </c>
      <c r="H1009" s="7" t="n">
        <v>3</v>
      </c>
      <c r="I1009" s="7" t="n">
        <v>265</v>
      </c>
      <c r="J1009" s="7" t="n">
        <v>0</v>
      </c>
      <c r="K1009" s="7" t="s">
        <v>93</v>
      </c>
      <c r="L1009" s="7" t="s">
        <v>194</v>
      </c>
      <c r="M1009" s="7" t="n">
        <v>30</v>
      </c>
      <c r="N1009" s="7" t="n">
        <v>4</v>
      </c>
      <c r="O1009" s="7" t="str">
        <f aca="false">A1009&amp;"|"&amp;B1009&amp;"|"&amp;C1009&amp;"|"&amp;D1009&amp;"|"&amp;E1009&amp;"|"&amp;F1009&amp;"|"&amp;G1009&amp;"|"&amp;H1009&amp;"|"&amp;I1009&amp;"|"&amp;J1009&amp;"|"&amp;K1009&amp;"|"&amp;L1009&amp;"|"&amp;M1009&amp;"|"&amp;N1009</f>
        <v>ORD12332|2025-10-21|18:07|C1287|Dragon Express|mumbai|Chinese|3|265|0|Credit Card|Delivered|30|4</v>
      </c>
      <c r="P1009" s="7" t="str">
        <f aca="false">IF(COUNTIF($O$2:O1009,O1009)&gt;1,"DUP","OK")</f>
        <v>OK</v>
      </c>
      <c r="Q1009" s="7" t="n">
        <f aca="false">COUNTBLANK(A1009:N1009)</f>
        <v>0</v>
      </c>
      <c r="R1009" s="7" t="n">
        <f aca="false">IF(A1009="",0,COUNTIFS($A$2:$A$3058,A1009,$P$2:$P$3058,"OK"))</f>
        <v>1</v>
      </c>
      <c r="S1009" s="7" t="str">
        <f aca="false">IF(OR(A1009="",P1009="DUP",R1009&lt;2),"",IF(Q1009=_xlfn.MINIFS($Q$2:$Q$3058,$A$2:$A$3058,A1009,$P$2:$P$3058,"OK"),"KEEP","DROP"))</f>
        <v/>
      </c>
      <c r="T1009" s="9" t="n">
        <f aca="false">IF(A1009="",1,0)</f>
        <v>0</v>
      </c>
      <c r="U1009" s="9" t="n">
        <f aca="false">IF(D1009="",1,0)</f>
        <v>0</v>
      </c>
      <c r="V1009" s="9" t="n">
        <f aca="false">IF(E1009="",1,0)</f>
        <v>0</v>
      </c>
      <c r="W1009" s="9" t="n">
        <f aca="false">IF(OR(H1009&lt;1,H1009&gt;10),1,0)</f>
        <v>0</v>
      </c>
      <c r="X1009" s="9" t="n">
        <f aca="false">IF(OR(I1009&lt;=0,I1009&gt;1500),1,0)</f>
        <v>0</v>
      </c>
      <c r="Y1009" s="9" t="n">
        <f aca="false">IF(J1009&gt;H1009*I1009,1,0)</f>
        <v>0</v>
      </c>
      <c r="Z1009" s="9" t="n">
        <f aca="false">IF(AND(N1009&lt;&gt;"",OR(N1009&lt;1,N1009&gt;5)),1,0)</f>
        <v>0</v>
      </c>
      <c r="AA1009" s="9" t="n">
        <f aca="false">IF(AND(M1009&lt;&gt;"",OR(M1009&lt;5,M1009&gt;180)),1,0)</f>
        <v>0</v>
      </c>
      <c r="AB1009" s="7" t="str">
        <f aca="false">IF(P1009="DUP","Exact duplicate row",IF(T1009=1,"Missing Order ID",IF(S1009="DROP","Duplicate Order ID (less complete row)",IF(U1009=1,"Missing Customer ID",IF(V1009=1,"Missing Restaurant name",IF(W1009=1,"Invalid/outlier quantity",IF(X1009=1,"Invalid/outlier unit price",IF(Y1009=1,"Discount greater than order value",""))))))))</f>
        <v/>
      </c>
      <c r="AC1009" s="7" t="str">
        <f aca="false">IF(AB1009="","KEEP","DROP")</f>
        <v>KEEP</v>
      </c>
      <c r="AD1009" s="7" t="str">
        <f aca="false">IF(TRIM(F1009)="",IFERROR(INDEX(Map_Tables!$I$4:$I$37,MATCH(TRIM(E1009),Map_Tables!$G$4:$G$37,0)),""),IFERROR(INDEX(Map_Tables!$B$4:$B$18,MATCH(TRIM(F1009),Map_Tables!$A$4:$A$18,0)),"CHECK"))</f>
        <v>Mumbai</v>
      </c>
      <c r="AE1009" s="7" t="str">
        <f aca="false">IF(TRIM(E1009)="","",IFERROR(INDEX(Map_Tables!$H$4:$H$37,MATCH(TRIM(E1009),Map_Tables!$G$4:$G$37,0)),"CHECK"))</f>
        <v>Dragon Express</v>
      </c>
      <c r="AF1009" s="7" t="str">
        <f aca="false">IF(TRIM(K1009)="","Unknown",IFERROR(INDEX(Map_Tables!$E$4:$E$15,MATCH(TRIM(K1009),Map_Tables!$D$4:$D$15,0)),"CHECK"))</f>
        <v>Credit Card</v>
      </c>
      <c r="AG1009" s="7" t="str">
        <f aca="false">IF(LEFT(LOWER(TRIM(L1009)),6)="cancel","Cancelled","Delivered")</f>
        <v>Delivered</v>
      </c>
      <c r="AH1009" s="10" t="n">
        <f aca="false">IF(ISNUMBER(SEARCH("/",B1009)),DATE(VALUE(RIGHT(B1009,4)),VALUE(MID(B1009,4,2)),VALUE(LEFT(B1009,2))),IF(MID(B1009,5,1)="-",DATE(VALUE(LEFT(B1009,4)),VALUE(MID(B1009,6,2)),VALUE(RIGHT(B1009,2))),DATE(VALUE(RIGHT(B1009,4)),MATCH(MID(B1009,4,3),{"Jan","Feb","Mar","Apr","May","Jun","Jul","Aug","Sep","Oct","Nov","Dec"},0),VALUE(LEFT(B1009,2)))))</f>
        <v>45951</v>
      </c>
    </row>
    <row r="1010" customFormat="false" ht="15" hidden="false" customHeight="false" outlineLevel="0" collapsed="false">
      <c r="A1010" s="7" t="s">
        <v>3031</v>
      </c>
      <c r="B1010" s="7" t="s">
        <v>715</v>
      </c>
      <c r="C1010" s="7" t="s">
        <v>2329</v>
      </c>
      <c r="D1010" s="7" t="s">
        <v>396</v>
      </c>
      <c r="E1010" s="7" t="s">
        <v>152</v>
      </c>
      <c r="F1010" s="7" t="s">
        <v>128</v>
      </c>
      <c r="G1010" s="7" t="s">
        <v>95</v>
      </c>
      <c r="H1010" s="7" t="n">
        <v>3</v>
      </c>
      <c r="I1010" s="7" t="n">
        <v>110</v>
      </c>
      <c r="J1010" s="7" t="n">
        <v>30</v>
      </c>
      <c r="K1010" s="7" t="s">
        <v>88</v>
      </c>
      <c r="L1010" s="7" t="s">
        <v>194</v>
      </c>
      <c r="M1010" s="7" t="n">
        <v>56</v>
      </c>
      <c r="N1010" s="7" t="n">
        <v>2</v>
      </c>
      <c r="O1010" s="7" t="str">
        <f aca="false">A1010&amp;"|"&amp;B1010&amp;"|"&amp;C1010&amp;"|"&amp;D1010&amp;"|"&amp;E1010&amp;"|"&amp;F1010&amp;"|"&amp;G1010&amp;"|"&amp;H1010&amp;"|"&amp;I1010&amp;"|"&amp;J1010&amp;"|"&amp;K1010&amp;"|"&amp;L1010&amp;"|"&amp;M1010&amp;"|"&amp;N1010</f>
        <v>ORD11272|2025-06-11|20:12|C0312|Filter Coffee &amp; Tiffin|Chennai|South Indian|3|110|30|UPI|Delivered|56|2</v>
      </c>
      <c r="P1010" s="7" t="str">
        <f aca="false">IF(COUNTIF($O$2:O1010,O1010)&gt;1,"DUP","OK")</f>
        <v>OK</v>
      </c>
      <c r="Q1010" s="7" t="n">
        <f aca="false">COUNTBLANK(A1010:N1010)</f>
        <v>0</v>
      </c>
      <c r="R1010" s="7" t="n">
        <f aca="false">IF(A1010="",0,COUNTIFS($A$2:$A$3058,A1010,$P$2:$P$3058,"OK"))</f>
        <v>1</v>
      </c>
      <c r="S1010" s="7" t="str">
        <f aca="false">IF(OR(A1010="",P1010="DUP",R1010&lt;2),"",IF(Q1010=_xlfn.MINIFS($Q$2:$Q$3058,$A$2:$A$3058,A1010,$P$2:$P$3058,"OK"),"KEEP","DROP"))</f>
        <v/>
      </c>
      <c r="T1010" s="9" t="n">
        <f aca="false">IF(A1010="",1,0)</f>
        <v>0</v>
      </c>
      <c r="U1010" s="9" t="n">
        <f aca="false">IF(D1010="",1,0)</f>
        <v>0</v>
      </c>
      <c r="V1010" s="9" t="n">
        <f aca="false">IF(E1010="",1,0)</f>
        <v>0</v>
      </c>
      <c r="W1010" s="9" t="n">
        <f aca="false">IF(OR(H1010&lt;1,H1010&gt;10),1,0)</f>
        <v>0</v>
      </c>
      <c r="X1010" s="9" t="n">
        <f aca="false">IF(OR(I1010&lt;=0,I1010&gt;1500),1,0)</f>
        <v>0</v>
      </c>
      <c r="Y1010" s="9" t="n">
        <f aca="false">IF(J1010&gt;H1010*I1010,1,0)</f>
        <v>0</v>
      </c>
      <c r="Z1010" s="9" t="n">
        <f aca="false">IF(AND(N1010&lt;&gt;"",OR(N1010&lt;1,N1010&gt;5)),1,0)</f>
        <v>0</v>
      </c>
      <c r="AA1010" s="9" t="n">
        <f aca="false">IF(AND(M1010&lt;&gt;"",OR(M1010&lt;5,M1010&gt;180)),1,0)</f>
        <v>0</v>
      </c>
      <c r="AB1010" s="7" t="str">
        <f aca="false">IF(P1010="DUP","Exact duplicate row",IF(T1010=1,"Missing Order ID",IF(S1010="DROP","Duplicate Order ID (less complete row)",IF(U1010=1,"Missing Customer ID",IF(V1010=1,"Missing Restaurant name",IF(W1010=1,"Invalid/outlier quantity",IF(X1010=1,"Invalid/outlier unit price",IF(Y1010=1,"Discount greater than order value",""))))))))</f>
        <v/>
      </c>
      <c r="AC1010" s="7" t="str">
        <f aca="false">IF(AB1010="","KEEP","DROP")</f>
        <v>KEEP</v>
      </c>
      <c r="AD1010" s="7" t="str">
        <f aca="false">IF(TRIM(F1010)="",IFERROR(INDEX(Map_Tables!$I$4:$I$37,MATCH(TRIM(E1010),Map_Tables!$G$4:$G$37,0)),""),IFERROR(INDEX(Map_Tables!$B$4:$B$18,MATCH(TRIM(F1010),Map_Tables!$A$4:$A$18,0)),"CHECK"))</f>
        <v>Chennai</v>
      </c>
      <c r="AE1010" s="7" t="str">
        <f aca="false">IF(TRIM(E1010)="","",IFERROR(INDEX(Map_Tables!$H$4:$H$37,MATCH(TRIM(E1010),Map_Tables!$G$4:$G$37,0)),"CHECK"))</f>
        <v>Filter Coffee &amp; Tiffin</v>
      </c>
      <c r="AF1010" s="7" t="str">
        <f aca="false">IF(TRIM(K1010)="","Unknown",IFERROR(INDEX(Map_Tables!$E$4:$E$15,MATCH(TRIM(K1010),Map_Tables!$D$4:$D$15,0)),"CHECK"))</f>
        <v>UPI</v>
      </c>
      <c r="AG1010" s="7" t="str">
        <f aca="false">IF(LEFT(LOWER(TRIM(L1010)),6)="cancel","Cancelled","Delivered")</f>
        <v>Delivered</v>
      </c>
      <c r="AH1010" s="10" t="n">
        <f aca="false">IF(ISNUMBER(SEARCH("/",B1010)),DATE(VALUE(RIGHT(B1010,4)),VALUE(MID(B1010,4,2)),VALUE(LEFT(B1010,2))),IF(MID(B1010,5,1)="-",DATE(VALUE(LEFT(B1010,4)),VALUE(MID(B1010,6,2)),VALUE(RIGHT(B1010,2))),DATE(VALUE(RIGHT(B1010,4)),MATCH(MID(B1010,4,3),{"Jan","Feb","Mar","Apr","May","Jun","Jul","Aug","Sep","Oct","Nov","Dec"},0),VALUE(LEFT(B1010,2)))))</f>
        <v>45819</v>
      </c>
    </row>
    <row r="1011" customFormat="false" ht="15" hidden="false" customHeight="false" outlineLevel="0" collapsed="false">
      <c r="A1011" s="7" t="s">
        <v>3032</v>
      </c>
      <c r="B1011" s="7" t="s">
        <v>1187</v>
      </c>
      <c r="C1011" s="7" t="s">
        <v>3033</v>
      </c>
      <c r="D1011" s="7" t="s">
        <v>3034</v>
      </c>
      <c r="E1011" s="7" t="s">
        <v>113</v>
      </c>
      <c r="F1011" s="7" t="s">
        <v>101</v>
      </c>
      <c r="G1011" s="7" t="s">
        <v>90</v>
      </c>
      <c r="H1011" s="7" t="n">
        <v>1</v>
      </c>
      <c r="I1011" s="7" t="n">
        <v>255</v>
      </c>
      <c r="J1011" s="7" t="n">
        <v>0</v>
      </c>
      <c r="K1011" s="7" t="s">
        <v>88</v>
      </c>
      <c r="L1011" s="7" t="s">
        <v>194</v>
      </c>
      <c r="M1011" s="7" t="n">
        <v>53</v>
      </c>
      <c r="N1011" s="7"/>
      <c r="O1011" s="7" t="str">
        <f aca="false">A1011&amp;"|"&amp;B1011&amp;"|"&amp;C1011&amp;"|"&amp;D1011&amp;"|"&amp;E1011&amp;"|"&amp;F1011&amp;"|"&amp;G1011&amp;"|"&amp;H1011&amp;"|"&amp;I1011&amp;"|"&amp;J1011&amp;"|"&amp;K1011&amp;"|"&amp;L1011&amp;"|"&amp;M1011&amp;"|"&amp;N1011</f>
        <v>ORD11960|2025-09-11|14:17|C0257|Curry Leaf Kitchen|Mumbai|North Indian|1|255|0|UPI|Delivered|53|</v>
      </c>
      <c r="P1011" s="7" t="str">
        <f aca="false">IF(COUNTIF($O$2:O1011,O1011)&gt;1,"DUP","OK")</f>
        <v>OK</v>
      </c>
      <c r="Q1011" s="7" t="n">
        <f aca="false">COUNTBLANK(A1011:N1011)</f>
        <v>1</v>
      </c>
      <c r="R1011" s="7" t="n">
        <f aca="false">IF(A1011="",0,COUNTIFS($A$2:$A$3058,A1011,$P$2:$P$3058,"OK"))</f>
        <v>1</v>
      </c>
      <c r="S1011" s="7" t="str">
        <f aca="false">IF(OR(A1011="",P1011="DUP",R1011&lt;2),"",IF(Q1011=_xlfn.MINIFS($Q$2:$Q$3058,$A$2:$A$3058,A1011,$P$2:$P$3058,"OK"),"KEEP","DROP"))</f>
        <v/>
      </c>
      <c r="T1011" s="9" t="n">
        <f aca="false">IF(A1011="",1,0)</f>
        <v>0</v>
      </c>
      <c r="U1011" s="9" t="n">
        <f aca="false">IF(D1011="",1,0)</f>
        <v>0</v>
      </c>
      <c r="V1011" s="9" t="n">
        <f aca="false">IF(E1011="",1,0)</f>
        <v>0</v>
      </c>
      <c r="W1011" s="9" t="n">
        <f aca="false">IF(OR(H1011&lt;1,H1011&gt;10),1,0)</f>
        <v>0</v>
      </c>
      <c r="X1011" s="9" t="n">
        <f aca="false">IF(OR(I1011&lt;=0,I1011&gt;1500),1,0)</f>
        <v>0</v>
      </c>
      <c r="Y1011" s="9" t="n">
        <f aca="false">IF(J1011&gt;H1011*I1011,1,0)</f>
        <v>0</v>
      </c>
      <c r="Z1011" s="9" t="n">
        <f aca="false">IF(AND(N1011&lt;&gt;"",OR(N1011&lt;1,N1011&gt;5)),1,0)</f>
        <v>0</v>
      </c>
      <c r="AA1011" s="9" t="n">
        <f aca="false">IF(AND(M1011&lt;&gt;"",OR(M1011&lt;5,M1011&gt;180)),1,0)</f>
        <v>0</v>
      </c>
      <c r="AB1011" s="7" t="str">
        <f aca="false">IF(P1011="DUP","Exact duplicate row",IF(T1011=1,"Missing Order ID",IF(S1011="DROP","Duplicate Order ID (less complete row)",IF(U1011=1,"Missing Customer ID",IF(V1011=1,"Missing Restaurant name",IF(W1011=1,"Invalid/outlier quantity",IF(X1011=1,"Invalid/outlier unit price",IF(Y1011=1,"Discount greater than order value",""))))))))</f>
        <v/>
      </c>
      <c r="AC1011" s="7" t="str">
        <f aca="false">IF(AB1011="","KEEP","DROP")</f>
        <v>KEEP</v>
      </c>
      <c r="AD1011" s="7" t="str">
        <f aca="false">IF(TRIM(F1011)="",IFERROR(INDEX(Map_Tables!$I$4:$I$37,MATCH(TRIM(E1011),Map_Tables!$G$4:$G$37,0)),""),IFERROR(INDEX(Map_Tables!$B$4:$B$18,MATCH(TRIM(F1011),Map_Tables!$A$4:$A$18,0)),"CHECK"))</f>
        <v>Mumbai</v>
      </c>
      <c r="AE1011" s="7" t="str">
        <f aca="false">IF(TRIM(E1011)="","",IFERROR(INDEX(Map_Tables!$H$4:$H$37,MATCH(TRIM(E1011),Map_Tables!$G$4:$G$37,0)),"CHECK"))</f>
        <v>Curry Leaf Kitchen</v>
      </c>
      <c r="AF1011" s="7" t="str">
        <f aca="false">IF(TRIM(K1011)="","Unknown",IFERROR(INDEX(Map_Tables!$E$4:$E$15,MATCH(TRIM(K1011),Map_Tables!$D$4:$D$15,0)),"CHECK"))</f>
        <v>UPI</v>
      </c>
      <c r="AG1011" s="7" t="str">
        <f aca="false">IF(LEFT(LOWER(TRIM(L1011)),6)="cancel","Cancelled","Delivered")</f>
        <v>Delivered</v>
      </c>
      <c r="AH1011" s="10" t="n">
        <f aca="false">IF(ISNUMBER(SEARCH("/",B1011)),DATE(VALUE(RIGHT(B1011,4)),VALUE(MID(B1011,4,2)),VALUE(LEFT(B1011,2))),IF(MID(B1011,5,1)="-",DATE(VALUE(LEFT(B1011,4)),VALUE(MID(B1011,6,2)),VALUE(RIGHT(B1011,2))),DATE(VALUE(RIGHT(B1011,4)),MATCH(MID(B1011,4,3),{"Jan","Feb","Mar","Apr","May","Jun","Jul","Aug","Sep","Oct","Nov","Dec"},0),VALUE(LEFT(B1011,2)))))</f>
        <v>45911</v>
      </c>
    </row>
    <row r="1012" customFormat="false" ht="15" hidden="false" customHeight="false" outlineLevel="0" collapsed="false">
      <c r="A1012" s="7" t="s">
        <v>3035</v>
      </c>
      <c r="B1012" s="7" t="s">
        <v>1645</v>
      </c>
      <c r="C1012" s="7" t="s">
        <v>3036</v>
      </c>
      <c r="D1012" s="7" t="s">
        <v>915</v>
      </c>
      <c r="E1012" s="7" t="s">
        <v>104</v>
      </c>
      <c r="F1012" s="7" t="s">
        <v>86</v>
      </c>
      <c r="G1012" s="7" t="s">
        <v>105</v>
      </c>
      <c r="H1012" s="7" t="n">
        <v>1</v>
      </c>
      <c r="I1012" s="7" t="n">
        <v>205</v>
      </c>
      <c r="J1012" s="7" t="n">
        <v>0</v>
      </c>
      <c r="K1012" s="7" t="s">
        <v>112</v>
      </c>
      <c r="L1012" s="7" t="s">
        <v>194</v>
      </c>
      <c r="M1012" s="7" t="n">
        <v>43</v>
      </c>
      <c r="N1012" s="7" t="n">
        <v>9</v>
      </c>
      <c r="O1012" s="7" t="str">
        <f aca="false">A1012&amp;"|"&amp;B1012&amp;"|"&amp;C1012&amp;"|"&amp;D1012&amp;"|"&amp;E1012&amp;"|"&amp;F1012&amp;"|"&amp;G1012&amp;"|"&amp;H1012&amp;"|"&amp;I1012&amp;"|"&amp;J1012&amp;"|"&amp;K1012&amp;"|"&amp;L1012&amp;"|"&amp;M1012&amp;"|"&amp;N1012</f>
        <v>ORD11592|2025-07-27|11:33|C0141|Wok &amp; Roll|Bengaluru|Chinese|1|205|0|Cash on Delivery|Delivered|43|9</v>
      </c>
      <c r="P1012" s="7" t="str">
        <f aca="false">IF(COUNTIF($O$2:O1012,O1012)&gt;1,"DUP","OK")</f>
        <v>OK</v>
      </c>
      <c r="Q1012" s="7" t="n">
        <f aca="false">COUNTBLANK(A1012:N1012)</f>
        <v>0</v>
      </c>
      <c r="R1012" s="7" t="n">
        <f aca="false">IF(A1012="",0,COUNTIFS($A$2:$A$3058,A1012,$P$2:$P$3058,"OK"))</f>
        <v>1</v>
      </c>
      <c r="S1012" s="7" t="str">
        <f aca="false">IF(OR(A1012="",P1012="DUP",R1012&lt;2),"",IF(Q1012=_xlfn.MINIFS($Q$2:$Q$3058,$A$2:$A$3058,A1012,$P$2:$P$3058,"OK"),"KEEP","DROP"))</f>
        <v/>
      </c>
      <c r="T1012" s="9" t="n">
        <f aca="false">IF(A1012="",1,0)</f>
        <v>0</v>
      </c>
      <c r="U1012" s="9" t="n">
        <f aca="false">IF(D1012="",1,0)</f>
        <v>0</v>
      </c>
      <c r="V1012" s="9" t="n">
        <f aca="false">IF(E1012="",1,0)</f>
        <v>0</v>
      </c>
      <c r="W1012" s="9" t="n">
        <f aca="false">IF(OR(H1012&lt;1,H1012&gt;10),1,0)</f>
        <v>0</v>
      </c>
      <c r="X1012" s="9" t="n">
        <f aca="false">IF(OR(I1012&lt;=0,I1012&gt;1500),1,0)</f>
        <v>0</v>
      </c>
      <c r="Y1012" s="9" t="n">
        <f aca="false">IF(J1012&gt;H1012*I1012,1,0)</f>
        <v>0</v>
      </c>
      <c r="Z1012" s="9" t="n">
        <f aca="false">IF(AND(N1012&lt;&gt;"",OR(N1012&lt;1,N1012&gt;5)),1,0)</f>
        <v>1</v>
      </c>
      <c r="AA1012" s="9" t="n">
        <f aca="false">IF(AND(M1012&lt;&gt;"",OR(M1012&lt;5,M1012&gt;180)),1,0)</f>
        <v>0</v>
      </c>
      <c r="AB1012" s="7" t="str">
        <f aca="false">IF(P1012="DUP","Exact duplicate row",IF(T1012=1,"Missing Order ID",IF(S1012="DROP","Duplicate Order ID (less complete row)",IF(U1012=1,"Missing Customer ID",IF(V1012=1,"Missing Restaurant name",IF(W1012=1,"Invalid/outlier quantity",IF(X1012=1,"Invalid/outlier unit price",IF(Y1012=1,"Discount greater than order value",""))))))))</f>
        <v/>
      </c>
      <c r="AC1012" s="7" t="str">
        <f aca="false">IF(AB1012="","KEEP","DROP")</f>
        <v>KEEP</v>
      </c>
      <c r="AD1012" s="7" t="str">
        <f aca="false">IF(TRIM(F1012)="",IFERROR(INDEX(Map_Tables!$I$4:$I$37,MATCH(TRIM(E1012),Map_Tables!$G$4:$G$37,0)),""),IFERROR(INDEX(Map_Tables!$B$4:$B$18,MATCH(TRIM(F1012),Map_Tables!$A$4:$A$18,0)),"CHECK"))</f>
        <v>Bengaluru</v>
      </c>
      <c r="AE1012" s="7" t="str">
        <f aca="false">IF(TRIM(E1012)="","",IFERROR(INDEX(Map_Tables!$H$4:$H$37,MATCH(TRIM(E1012),Map_Tables!$G$4:$G$37,0)),"CHECK"))</f>
        <v>Wok &amp; Roll</v>
      </c>
      <c r="AF1012" s="7" t="str">
        <f aca="false">IF(TRIM(K1012)="","Unknown",IFERROR(INDEX(Map_Tables!$E$4:$E$15,MATCH(TRIM(K1012),Map_Tables!$D$4:$D$15,0)),"CHECK"))</f>
        <v>Cash on Delivery</v>
      </c>
      <c r="AG1012" s="7" t="str">
        <f aca="false">IF(LEFT(LOWER(TRIM(L1012)),6)="cancel","Cancelled","Delivered")</f>
        <v>Delivered</v>
      </c>
      <c r="AH1012" s="10" t="n">
        <f aca="false">IF(ISNUMBER(SEARCH("/",B1012)),DATE(VALUE(RIGHT(B1012,4)),VALUE(MID(B1012,4,2)),VALUE(LEFT(B1012,2))),IF(MID(B1012,5,1)="-",DATE(VALUE(LEFT(B1012,4)),VALUE(MID(B1012,6,2)),VALUE(RIGHT(B1012,2))),DATE(VALUE(RIGHT(B1012,4)),MATCH(MID(B1012,4,3),{"Jan","Feb","Mar","Apr","May","Jun","Jul","Aug","Sep","Oct","Nov","Dec"},0),VALUE(LEFT(B1012,2)))))</f>
        <v>45865</v>
      </c>
    </row>
    <row r="1013" customFormat="false" ht="15" hidden="false" customHeight="false" outlineLevel="0" collapsed="false">
      <c r="A1013" s="7" t="s">
        <v>3037</v>
      </c>
      <c r="B1013" s="7" t="s">
        <v>2308</v>
      </c>
      <c r="C1013" s="7" t="s">
        <v>3038</v>
      </c>
      <c r="D1013" s="7" t="s">
        <v>3039</v>
      </c>
      <c r="E1013" s="7" t="s">
        <v>168</v>
      </c>
      <c r="F1013" s="7" t="s">
        <v>146</v>
      </c>
      <c r="G1013" s="7" t="s">
        <v>123</v>
      </c>
      <c r="H1013" s="7" t="n">
        <v>1</v>
      </c>
      <c r="I1013" s="7" t="n">
        <v>280</v>
      </c>
      <c r="J1013" s="7" t="n">
        <v>112</v>
      </c>
      <c r="K1013" s="7" t="s">
        <v>1739</v>
      </c>
      <c r="L1013" s="7" t="s">
        <v>194</v>
      </c>
      <c r="M1013" s="7" t="n">
        <v>32</v>
      </c>
      <c r="N1013" s="7" t="n">
        <v>5</v>
      </c>
      <c r="O1013" s="7" t="str">
        <f aca="false">A1013&amp;"|"&amp;B1013&amp;"|"&amp;C1013&amp;"|"&amp;D1013&amp;"|"&amp;E1013&amp;"|"&amp;F1013&amp;"|"&amp;G1013&amp;"|"&amp;H1013&amp;"|"&amp;I1013&amp;"|"&amp;J1013&amp;"|"&amp;K1013&amp;"|"&amp;L1013&amp;"|"&amp;M1013&amp;"|"&amp;N1013</f>
        <v>ORD10899|2025-04-23|19:15|C0426|Cheesy Slice|Ahmedabad|Pizza|1|280|112|CC|Delivered|32|5</v>
      </c>
      <c r="P1013" s="7" t="str">
        <f aca="false">IF(COUNTIF($O$2:O1013,O1013)&gt;1,"DUP","OK")</f>
        <v>OK</v>
      </c>
      <c r="Q1013" s="7" t="n">
        <f aca="false">COUNTBLANK(A1013:N1013)</f>
        <v>0</v>
      </c>
      <c r="R1013" s="7" t="n">
        <f aca="false">IF(A1013="",0,COUNTIFS($A$2:$A$3058,A1013,$P$2:$P$3058,"OK"))</f>
        <v>1</v>
      </c>
      <c r="S1013" s="7" t="str">
        <f aca="false">IF(OR(A1013="",P1013="DUP",R1013&lt;2),"",IF(Q1013=_xlfn.MINIFS($Q$2:$Q$3058,$A$2:$A$3058,A1013,$P$2:$P$3058,"OK"),"KEEP","DROP"))</f>
        <v/>
      </c>
      <c r="T1013" s="9" t="n">
        <f aca="false">IF(A1013="",1,0)</f>
        <v>0</v>
      </c>
      <c r="U1013" s="9" t="n">
        <f aca="false">IF(D1013="",1,0)</f>
        <v>0</v>
      </c>
      <c r="V1013" s="9" t="n">
        <f aca="false">IF(E1013="",1,0)</f>
        <v>0</v>
      </c>
      <c r="W1013" s="9" t="n">
        <f aca="false">IF(OR(H1013&lt;1,H1013&gt;10),1,0)</f>
        <v>0</v>
      </c>
      <c r="X1013" s="9" t="n">
        <f aca="false">IF(OR(I1013&lt;=0,I1013&gt;1500),1,0)</f>
        <v>0</v>
      </c>
      <c r="Y1013" s="9" t="n">
        <f aca="false">IF(J1013&gt;H1013*I1013,1,0)</f>
        <v>0</v>
      </c>
      <c r="Z1013" s="9" t="n">
        <f aca="false">IF(AND(N1013&lt;&gt;"",OR(N1013&lt;1,N1013&gt;5)),1,0)</f>
        <v>0</v>
      </c>
      <c r="AA1013" s="9" t="n">
        <f aca="false">IF(AND(M1013&lt;&gt;"",OR(M1013&lt;5,M1013&gt;180)),1,0)</f>
        <v>0</v>
      </c>
      <c r="AB1013" s="7" t="str">
        <f aca="false">IF(P1013="DUP","Exact duplicate row",IF(T1013=1,"Missing Order ID",IF(S1013="DROP","Duplicate Order ID (less complete row)",IF(U1013=1,"Missing Customer ID",IF(V1013=1,"Missing Restaurant name",IF(W1013=1,"Invalid/outlier quantity",IF(X1013=1,"Invalid/outlier unit price",IF(Y1013=1,"Discount greater than order value",""))))))))</f>
        <v/>
      </c>
      <c r="AC1013" s="7" t="str">
        <f aca="false">IF(AB1013="","KEEP","DROP")</f>
        <v>KEEP</v>
      </c>
      <c r="AD1013" s="7" t="str">
        <f aca="false">IF(TRIM(F1013)="",IFERROR(INDEX(Map_Tables!$I$4:$I$37,MATCH(TRIM(E1013),Map_Tables!$G$4:$G$37,0)),""),IFERROR(INDEX(Map_Tables!$B$4:$B$18,MATCH(TRIM(F1013),Map_Tables!$A$4:$A$18,0)),"CHECK"))</f>
        <v>Ahmedabad</v>
      </c>
      <c r="AE1013" s="7" t="str">
        <f aca="false">IF(TRIM(E1013)="","",IFERROR(INDEX(Map_Tables!$H$4:$H$37,MATCH(TRIM(E1013),Map_Tables!$G$4:$G$37,0)),"CHECK"))</f>
        <v>Cheesy Slice</v>
      </c>
      <c r="AF1013" s="7" t="str">
        <f aca="false">IF(TRIM(K1013)="","Unknown",IFERROR(INDEX(Map_Tables!$E$4:$E$15,MATCH(TRIM(K1013),Map_Tables!$D$4:$D$15,0)),"CHECK"))</f>
        <v>Credit Card</v>
      </c>
      <c r="AG1013" s="7" t="str">
        <f aca="false">IF(LEFT(LOWER(TRIM(L1013)),6)="cancel","Cancelled","Delivered")</f>
        <v>Delivered</v>
      </c>
      <c r="AH1013" s="10" t="n">
        <f aca="false">IF(ISNUMBER(SEARCH("/",B1013)),DATE(VALUE(RIGHT(B1013,4)),VALUE(MID(B1013,4,2)),VALUE(LEFT(B1013,2))),IF(MID(B1013,5,1)="-",DATE(VALUE(LEFT(B1013,4)),VALUE(MID(B1013,6,2)),VALUE(RIGHT(B1013,2))),DATE(VALUE(RIGHT(B1013,4)),MATCH(MID(B1013,4,3),{"Jan","Feb","Mar","Apr","May","Jun","Jul","Aug","Sep","Oct","Nov","Dec"},0),VALUE(LEFT(B1013,2)))))</f>
        <v>45770</v>
      </c>
    </row>
    <row r="1014" customFormat="false" ht="15" hidden="false" customHeight="false" outlineLevel="0" collapsed="false">
      <c r="A1014" s="7" t="s">
        <v>3040</v>
      </c>
      <c r="B1014" s="7" t="s">
        <v>563</v>
      </c>
      <c r="C1014" s="7" t="s">
        <v>3041</v>
      </c>
      <c r="D1014" s="7" t="s">
        <v>3042</v>
      </c>
      <c r="E1014" s="7" t="s">
        <v>193</v>
      </c>
      <c r="F1014" s="7" t="s">
        <v>119</v>
      </c>
      <c r="G1014" s="7" t="s">
        <v>150</v>
      </c>
      <c r="H1014" s="7" t="n">
        <v>2</v>
      </c>
      <c r="I1014" s="7" t="n">
        <v>170</v>
      </c>
      <c r="J1014" s="7" t="n">
        <v>50</v>
      </c>
      <c r="K1014" s="7" t="s">
        <v>88</v>
      </c>
      <c r="L1014" s="7" t="s">
        <v>194</v>
      </c>
      <c r="M1014" s="7" t="n">
        <v>42</v>
      </c>
      <c r="N1014" s="7"/>
      <c r="O1014" s="7" t="str">
        <f aca="false">A1014&amp;"|"&amp;B1014&amp;"|"&amp;C1014&amp;"|"&amp;D1014&amp;"|"&amp;E1014&amp;"|"&amp;F1014&amp;"|"&amp;G1014&amp;"|"&amp;H1014&amp;"|"&amp;I1014&amp;"|"&amp;J1014&amp;"|"&amp;K1014&amp;"|"&amp;L1014&amp;"|"&amp;M1014&amp;"|"&amp;N1014</f>
        <v>ORD11771|2025-08-20|08:48|C0262|Sweet Tooth Studio |Hyderabad|Desserts|2|170|50|UPI|Delivered|42|</v>
      </c>
      <c r="P1014" s="7" t="str">
        <f aca="false">IF(COUNTIF($O$2:O1014,O1014)&gt;1,"DUP","OK")</f>
        <v>OK</v>
      </c>
      <c r="Q1014" s="7" t="n">
        <f aca="false">COUNTBLANK(A1014:N1014)</f>
        <v>1</v>
      </c>
      <c r="R1014" s="7" t="n">
        <f aca="false">IF(A1014="",0,COUNTIFS($A$2:$A$3058,A1014,$P$2:$P$3058,"OK"))</f>
        <v>1</v>
      </c>
      <c r="S1014" s="7" t="str">
        <f aca="false">IF(OR(A1014="",P1014="DUP",R1014&lt;2),"",IF(Q1014=_xlfn.MINIFS($Q$2:$Q$3058,$A$2:$A$3058,A1014,$P$2:$P$3058,"OK"),"KEEP","DROP"))</f>
        <v/>
      </c>
      <c r="T1014" s="9" t="n">
        <f aca="false">IF(A1014="",1,0)</f>
        <v>0</v>
      </c>
      <c r="U1014" s="9" t="n">
        <f aca="false">IF(D1014="",1,0)</f>
        <v>0</v>
      </c>
      <c r="V1014" s="9" t="n">
        <f aca="false">IF(E1014="",1,0)</f>
        <v>0</v>
      </c>
      <c r="W1014" s="9" t="n">
        <f aca="false">IF(OR(H1014&lt;1,H1014&gt;10),1,0)</f>
        <v>0</v>
      </c>
      <c r="X1014" s="9" t="n">
        <f aca="false">IF(OR(I1014&lt;=0,I1014&gt;1500),1,0)</f>
        <v>0</v>
      </c>
      <c r="Y1014" s="9" t="n">
        <f aca="false">IF(J1014&gt;H1014*I1014,1,0)</f>
        <v>0</v>
      </c>
      <c r="Z1014" s="9" t="n">
        <f aca="false">IF(AND(N1014&lt;&gt;"",OR(N1014&lt;1,N1014&gt;5)),1,0)</f>
        <v>0</v>
      </c>
      <c r="AA1014" s="9" t="n">
        <f aca="false">IF(AND(M1014&lt;&gt;"",OR(M1014&lt;5,M1014&gt;180)),1,0)</f>
        <v>0</v>
      </c>
      <c r="AB1014" s="7" t="str">
        <f aca="false">IF(P1014="DUP","Exact duplicate row",IF(T1014=1,"Missing Order ID",IF(S1014="DROP","Duplicate Order ID (less complete row)",IF(U1014=1,"Missing Customer ID",IF(V1014=1,"Missing Restaurant name",IF(W1014=1,"Invalid/outlier quantity",IF(X1014=1,"Invalid/outlier unit price",IF(Y1014=1,"Discount greater than order value",""))))))))</f>
        <v/>
      </c>
      <c r="AC1014" s="7" t="str">
        <f aca="false">IF(AB1014="","KEEP","DROP")</f>
        <v>KEEP</v>
      </c>
      <c r="AD1014" s="7" t="str">
        <f aca="false">IF(TRIM(F1014)="",IFERROR(INDEX(Map_Tables!$I$4:$I$37,MATCH(TRIM(E1014),Map_Tables!$G$4:$G$37,0)),""),IFERROR(INDEX(Map_Tables!$B$4:$B$18,MATCH(TRIM(F1014),Map_Tables!$A$4:$A$18,0)),"CHECK"))</f>
        <v>Hyderabad</v>
      </c>
      <c r="AE1014" s="7" t="str">
        <f aca="false">IF(TRIM(E1014)="","",IFERROR(INDEX(Map_Tables!$H$4:$H$37,MATCH(TRIM(E1014),Map_Tables!$G$4:$G$37,0)),"CHECK"))</f>
        <v>Sweet Tooth Studio</v>
      </c>
      <c r="AF1014" s="7" t="str">
        <f aca="false">IF(TRIM(K1014)="","Unknown",IFERROR(INDEX(Map_Tables!$E$4:$E$15,MATCH(TRIM(K1014),Map_Tables!$D$4:$D$15,0)),"CHECK"))</f>
        <v>UPI</v>
      </c>
      <c r="AG1014" s="7" t="str">
        <f aca="false">IF(LEFT(LOWER(TRIM(L1014)),6)="cancel","Cancelled","Delivered")</f>
        <v>Delivered</v>
      </c>
      <c r="AH1014" s="10" t="n">
        <f aca="false">IF(ISNUMBER(SEARCH("/",B1014)),DATE(VALUE(RIGHT(B1014,4)),VALUE(MID(B1014,4,2)),VALUE(LEFT(B1014,2))),IF(MID(B1014,5,1)="-",DATE(VALUE(LEFT(B1014,4)),VALUE(MID(B1014,6,2)),VALUE(RIGHT(B1014,2))),DATE(VALUE(RIGHT(B1014,4)),MATCH(MID(B1014,4,3),{"Jan","Feb","Mar","Apr","May","Jun","Jul","Aug","Sep","Oct","Nov","Dec"},0),VALUE(LEFT(B1014,2)))))</f>
        <v>45889</v>
      </c>
    </row>
    <row r="1015" customFormat="false" ht="15" hidden="false" customHeight="false" outlineLevel="0" collapsed="false">
      <c r="A1015" s="7" t="s">
        <v>3043</v>
      </c>
      <c r="B1015" s="7" t="s">
        <v>700</v>
      </c>
      <c r="C1015" s="7" t="s">
        <v>399</v>
      </c>
      <c r="D1015" s="7" t="s">
        <v>2198</v>
      </c>
      <c r="E1015" s="7" t="s">
        <v>147</v>
      </c>
      <c r="F1015" s="7" t="s">
        <v>119</v>
      </c>
      <c r="G1015" s="7" t="s">
        <v>95</v>
      </c>
      <c r="H1015" s="7" t="n">
        <v>1</v>
      </c>
      <c r="I1015" s="7" t="n">
        <v>155</v>
      </c>
      <c r="J1015" s="7" t="n">
        <v>62</v>
      </c>
      <c r="K1015" s="7" t="s">
        <v>88</v>
      </c>
      <c r="L1015" s="7" t="s">
        <v>194</v>
      </c>
      <c r="M1015" s="7" t="n">
        <v>39</v>
      </c>
      <c r="N1015" s="7" t="n">
        <v>4</v>
      </c>
      <c r="O1015" s="7" t="str">
        <f aca="false">A1015&amp;"|"&amp;B1015&amp;"|"&amp;C1015&amp;"|"&amp;D1015&amp;"|"&amp;E1015&amp;"|"&amp;F1015&amp;"|"&amp;G1015&amp;"|"&amp;H1015&amp;"|"&amp;I1015&amp;"|"&amp;J1015&amp;"|"&amp;K1015&amp;"|"&amp;L1015&amp;"|"&amp;M1015&amp;"|"&amp;N1015</f>
        <v>ORD10763|2025-04-07|12:43|C0555|Andhra Meals Mess|Hyderabad|South Indian|1|155|62|UPI|Delivered|39|4</v>
      </c>
      <c r="P1015" s="7" t="str">
        <f aca="false">IF(COUNTIF($O$2:O1015,O1015)&gt;1,"DUP","OK")</f>
        <v>OK</v>
      </c>
      <c r="Q1015" s="7" t="n">
        <f aca="false">COUNTBLANK(A1015:N1015)</f>
        <v>0</v>
      </c>
      <c r="R1015" s="7" t="n">
        <f aca="false">IF(A1015="",0,COUNTIFS($A$2:$A$3058,A1015,$P$2:$P$3058,"OK"))</f>
        <v>1</v>
      </c>
      <c r="S1015" s="7" t="str">
        <f aca="false">IF(OR(A1015="",P1015="DUP",R1015&lt;2),"",IF(Q1015=_xlfn.MINIFS($Q$2:$Q$3058,$A$2:$A$3058,A1015,$P$2:$P$3058,"OK"),"KEEP","DROP"))</f>
        <v/>
      </c>
      <c r="T1015" s="9" t="n">
        <f aca="false">IF(A1015="",1,0)</f>
        <v>0</v>
      </c>
      <c r="U1015" s="9" t="n">
        <f aca="false">IF(D1015="",1,0)</f>
        <v>0</v>
      </c>
      <c r="V1015" s="9" t="n">
        <f aca="false">IF(E1015="",1,0)</f>
        <v>0</v>
      </c>
      <c r="W1015" s="9" t="n">
        <f aca="false">IF(OR(H1015&lt;1,H1015&gt;10),1,0)</f>
        <v>0</v>
      </c>
      <c r="X1015" s="9" t="n">
        <f aca="false">IF(OR(I1015&lt;=0,I1015&gt;1500),1,0)</f>
        <v>0</v>
      </c>
      <c r="Y1015" s="9" t="n">
        <f aca="false">IF(J1015&gt;H1015*I1015,1,0)</f>
        <v>0</v>
      </c>
      <c r="Z1015" s="9" t="n">
        <f aca="false">IF(AND(N1015&lt;&gt;"",OR(N1015&lt;1,N1015&gt;5)),1,0)</f>
        <v>0</v>
      </c>
      <c r="AA1015" s="9" t="n">
        <f aca="false">IF(AND(M1015&lt;&gt;"",OR(M1015&lt;5,M1015&gt;180)),1,0)</f>
        <v>0</v>
      </c>
      <c r="AB1015" s="7" t="str">
        <f aca="false">IF(P1015="DUP","Exact duplicate row",IF(T1015=1,"Missing Order ID",IF(S1015="DROP","Duplicate Order ID (less complete row)",IF(U1015=1,"Missing Customer ID",IF(V1015=1,"Missing Restaurant name",IF(W1015=1,"Invalid/outlier quantity",IF(X1015=1,"Invalid/outlier unit price",IF(Y1015=1,"Discount greater than order value",""))))))))</f>
        <v/>
      </c>
      <c r="AC1015" s="7" t="str">
        <f aca="false">IF(AB1015="","KEEP","DROP")</f>
        <v>KEEP</v>
      </c>
      <c r="AD1015" s="7" t="str">
        <f aca="false">IF(TRIM(F1015)="",IFERROR(INDEX(Map_Tables!$I$4:$I$37,MATCH(TRIM(E1015),Map_Tables!$G$4:$G$37,0)),""),IFERROR(INDEX(Map_Tables!$B$4:$B$18,MATCH(TRIM(F1015),Map_Tables!$A$4:$A$18,0)),"CHECK"))</f>
        <v>Hyderabad</v>
      </c>
      <c r="AE1015" s="7" t="str">
        <f aca="false">IF(TRIM(E1015)="","",IFERROR(INDEX(Map_Tables!$H$4:$H$37,MATCH(TRIM(E1015),Map_Tables!$G$4:$G$37,0)),"CHECK"))</f>
        <v>Andhra Meals Mess</v>
      </c>
      <c r="AF1015" s="7" t="str">
        <f aca="false">IF(TRIM(K1015)="","Unknown",IFERROR(INDEX(Map_Tables!$E$4:$E$15,MATCH(TRIM(K1015),Map_Tables!$D$4:$D$15,0)),"CHECK"))</f>
        <v>UPI</v>
      </c>
      <c r="AG1015" s="7" t="str">
        <f aca="false">IF(LEFT(LOWER(TRIM(L1015)),6)="cancel","Cancelled","Delivered")</f>
        <v>Delivered</v>
      </c>
      <c r="AH1015" s="10" t="n">
        <f aca="false">IF(ISNUMBER(SEARCH("/",B1015)),DATE(VALUE(RIGHT(B1015,4)),VALUE(MID(B1015,4,2)),VALUE(LEFT(B1015,2))),IF(MID(B1015,5,1)="-",DATE(VALUE(LEFT(B1015,4)),VALUE(MID(B1015,6,2)),VALUE(RIGHT(B1015,2))),DATE(VALUE(RIGHT(B1015,4)),MATCH(MID(B1015,4,3),{"Jan","Feb","Mar","Apr","May","Jun","Jul","Aug","Sep","Oct","Nov","Dec"},0),VALUE(LEFT(B1015,2)))))</f>
        <v>45754</v>
      </c>
    </row>
    <row r="1016" customFormat="false" ht="15" hidden="false" customHeight="false" outlineLevel="0" collapsed="false">
      <c r="A1016" s="7" t="s">
        <v>3044</v>
      </c>
      <c r="B1016" s="7" t="s">
        <v>3045</v>
      </c>
      <c r="C1016" s="7" t="s">
        <v>3046</v>
      </c>
      <c r="D1016" s="7" t="s">
        <v>1944</v>
      </c>
      <c r="E1016" s="7" t="s">
        <v>113</v>
      </c>
      <c r="F1016" s="7" t="s">
        <v>101</v>
      </c>
      <c r="G1016" s="7" t="s">
        <v>90</v>
      </c>
      <c r="H1016" s="7" t="n">
        <v>3</v>
      </c>
      <c r="I1016" s="7" t="n">
        <v>275</v>
      </c>
      <c r="J1016" s="7" t="n">
        <v>0</v>
      </c>
      <c r="K1016" s="7" t="s">
        <v>103</v>
      </c>
      <c r="L1016" s="7" t="s">
        <v>194</v>
      </c>
      <c r="M1016" s="7" t="n">
        <v>47</v>
      </c>
      <c r="N1016" s="7" t="n">
        <v>4</v>
      </c>
      <c r="O1016" s="7" t="str">
        <f aca="false">A1016&amp;"|"&amp;B1016&amp;"|"&amp;C1016&amp;"|"&amp;D1016&amp;"|"&amp;E1016&amp;"|"&amp;F1016&amp;"|"&amp;G1016&amp;"|"&amp;H1016&amp;"|"&amp;I1016&amp;"|"&amp;J1016&amp;"|"&amp;K1016&amp;"|"&amp;L1016&amp;"|"&amp;M1016&amp;"|"&amp;N1016</f>
        <v>ORD10370|18-Feb-2025|18:17|C0949|Curry Leaf Kitchen|Mumbai|North Indian|3|275|0|Debit Card|Delivered|47|4</v>
      </c>
      <c r="P1016" s="7" t="str">
        <f aca="false">IF(COUNTIF($O$2:O1016,O1016)&gt;1,"DUP","OK")</f>
        <v>OK</v>
      </c>
      <c r="Q1016" s="7" t="n">
        <f aca="false">COUNTBLANK(A1016:N1016)</f>
        <v>0</v>
      </c>
      <c r="R1016" s="7" t="n">
        <f aca="false">IF(A1016="",0,COUNTIFS($A$2:$A$3058,A1016,$P$2:$P$3058,"OK"))</f>
        <v>1</v>
      </c>
      <c r="S1016" s="7" t="str">
        <f aca="false">IF(OR(A1016="",P1016="DUP",R1016&lt;2),"",IF(Q1016=_xlfn.MINIFS($Q$2:$Q$3058,$A$2:$A$3058,A1016,$P$2:$P$3058,"OK"),"KEEP","DROP"))</f>
        <v/>
      </c>
      <c r="T1016" s="9" t="n">
        <f aca="false">IF(A1016="",1,0)</f>
        <v>0</v>
      </c>
      <c r="U1016" s="9" t="n">
        <f aca="false">IF(D1016="",1,0)</f>
        <v>0</v>
      </c>
      <c r="V1016" s="9" t="n">
        <f aca="false">IF(E1016="",1,0)</f>
        <v>0</v>
      </c>
      <c r="W1016" s="9" t="n">
        <f aca="false">IF(OR(H1016&lt;1,H1016&gt;10),1,0)</f>
        <v>0</v>
      </c>
      <c r="X1016" s="9" t="n">
        <f aca="false">IF(OR(I1016&lt;=0,I1016&gt;1500),1,0)</f>
        <v>0</v>
      </c>
      <c r="Y1016" s="9" t="n">
        <f aca="false">IF(J1016&gt;H1016*I1016,1,0)</f>
        <v>0</v>
      </c>
      <c r="Z1016" s="9" t="n">
        <f aca="false">IF(AND(N1016&lt;&gt;"",OR(N1016&lt;1,N1016&gt;5)),1,0)</f>
        <v>0</v>
      </c>
      <c r="AA1016" s="9" t="n">
        <f aca="false">IF(AND(M1016&lt;&gt;"",OR(M1016&lt;5,M1016&gt;180)),1,0)</f>
        <v>0</v>
      </c>
      <c r="AB1016" s="7" t="str">
        <f aca="false">IF(P1016="DUP","Exact duplicate row",IF(T1016=1,"Missing Order ID",IF(S1016="DROP","Duplicate Order ID (less complete row)",IF(U1016=1,"Missing Customer ID",IF(V1016=1,"Missing Restaurant name",IF(W1016=1,"Invalid/outlier quantity",IF(X1016=1,"Invalid/outlier unit price",IF(Y1016=1,"Discount greater than order value",""))))))))</f>
        <v/>
      </c>
      <c r="AC1016" s="7" t="str">
        <f aca="false">IF(AB1016="","KEEP","DROP")</f>
        <v>KEEP</v>
      </c>
      <c r="AD1016" s="7" t="str">
        <f aca="false">IF(TRIM(F1016)="",IFERROR(INDEX(Map_Tables!$I$4:$I$37,MATCH(TRIM(E1016),Map_Tables!$G$4:$G$37,0)),""),IFERROR(INDEX(Map_Tables!$B$4:$B$18,MATCH(TRIM(F1016),Map_Tables!$A$4:$A$18,0)),"CHECK"))</f>
        <v>Mumbai</v>
      </c>
      <c r="AE1016" s="7" t="str">
        <f aca="false">IF(TRIM(E1016)="","",IFERROR(INDEX(Map_Tables!$H$4:$H$37,MATCH(TRIM(E1016),Map_Tables!$G$4:$G$37,0)),"CHECK"))</f>
        <v>Curry Leaf Kitchen</v>
      </c>
      <c r="AF1016" s="7" t="str">
        <f aca="false">IF(TRIM(K1016)="","Unknown",IFERROR(INDEX(Map_Tables!$E$4:$E$15,MATCH(TRIM(K1016),Map_Tables!$D$4:$D$15,0)),"CHECK"))</f>
        <v>Debit Card</v>
      </c>
      <c r="AG1016" s="7" t="str">
        <f aca="false">IF(LEFT(LOWER(TRIM(L1016)),6)="cancel","Cancelled","Delivered")</f>
        <v>Delivered</v>
      </c>
      <c r="AH1016" s="10" t="n">
        <f aca="false">IF(ISNUMBER(SEARCH("/",B1016)),DATE(VALUE(RIGHT(B1016,4)),VALUE(MID(B1016,4,2)),VALUE(LEFT(B1016,2))),IF(MID(B1016,5,1)="-",DATE(VALUE(LEFT(B1016,4)),VALUE(MID(B1016,6,2)),VALUE(RIGHT(B1016,2))),DATE(VALUE(RIGHT(B1016,4)),MATCH(MID(B1016,4,3),{"Jan","Feb","Mar","Apr","May","Jun","Jul","Aug","Sep","Oct","Nov","Dec"},0),VALUE(LEFT(B1016,2)))))</f>
        <v>45706</v>
      </c>
    </row>
    <row r="1017" customFormat="false" ht="15" hidden="false" customHeight="false" outlineLevel="0" collapsed="false">
      <c r="A1017" s="7" t="s">
        <v>3047</v>
      </c>
      <c r="B1017" s="7" t="s">
        <v>446</v>
      </c>
      <c r="C1017" s="7" t="s">
        <v>3048</v>
      </c>
      <c r="D1017" s="7" t="s">
        <v>3049</v>
      </c>
      <c r="E1017" s="7" t="s">
        <v>3050</v>
      </c>
      <c r="F1017" s="7" t="s">
        <v>86</v>
      </c>
      <c r="G1017" s="7" t="s">
        <v>90</v>
      </c>
      <c r="H1017" s="7" t="n">
        <v>1</v>
      </c>
      <c r="I1017" s="7" t="n">
        <v>235</v>
      </c>
      <c r="J1017" s="7" t="n">
        <v>30</v>
      </c>
      <c r="K1017" s="7" t="s">
        <v>88</v>
      </c>
      <c r="L1017" s="7" t="s">
        <v>194</v>
      </c>
      <c r="M1017" s="7" t="n">
        <v>30</v>
      </c>
      <c r="N1017" s="7"/>
      <c r="O1017" s="7" t="str">
        <f aca="false">A1017&amp;"|"&amp;B1017&amp;"|"&amp;C1017&amp;"|"&amp;D1017&amp;"|"&amp;E1017&amp;"|"&amp;F1017&amp;"|"&amp;G1017&amp;"|"&amp;H1017&amp;"|"&amp;I1017&amp;"|"&amp;J1017&amp;"|"&amp;K1017&amp;"|"&amp;L1017&amp;"|"&amp;M1017&amp;"|"&amp;N1017</f>
        <v>ORD10523|2025-03-09|14:42|C0918|Spice  Junction|Bengaluru|North Indian|1|235|30|UPI|Delivered|30|</v>
      </c>
      <c r="P1017" s="7" t="str">
        <f aca="false">IF(COUNTIF($O$2:O1017,O1017)&gt;1,"DUP","OK")</f>
        <v>OK</v>
      </c>
      <c r="Q1017" s="7" t="n">
        <f aca="false">COUNTBLANK(A1017:N1017)</f>
        <v>1</v>
      </c>
      <c r="R1017" s="7" t="n">
        <f aca="false">IF(A1017="",0,COUNTIFS($A$2:$A$3058,A1017,$P$2:$P$3058,"OK"))</f>
        <v>1</v>
      </c>
      <c r="S1017" s="7" t="str">
        <f aca="false">IF(OR(A1017="",P1017="DUP",R1017&lt;2),"",IF(Q1017=_xlfn.MINIFS($Q$2:$Q$3058,$A$2:$A$3058,A1017,$P$2:$P$3058,"OK"),"KEEP","DROP"))</f>
        <v/>
      </c>
      <c r="T1017" s="9" t="n">
        <f aca="false">IF(A1017="",1,0)</f>
        <v>0</v>
      </c>
      <c r="U1017" s="9" t="n">
        <f aca="false">IF(D1017="",1,0)</f>
        <v>0</v>
      </c>
      <c r="V1017" s="9" t="n">
        <f aca="false">IF(E1017="",1,0)</f>
        <v>0</v>
      </c>
      <c r="W1017" s="9" t="n">
        <f aca="false">IF(OR(H1017&lt;1,H1017&gt;10),1,0)</f>
        <v>0</v>
      </c>
      <c r="X1017" s="9" t="n">
        <f aca="false">IF(OR(I1017&lt;=0,I1017&gt;1500),1,0)</f>
        <v>0</v>
      </c>
      <c r="Y1017" s="9" t="n">
        <f aca="false">IF(J1017&gt;H1017*I1017,1,0)</f>
        <v>0</v>
      </c>
      <c r="Z1017" s="9" t="n">
        <f aca="false">IF(AND(N1017&lt;&gt;"",OR(N1017&lt;1,N1017&gt;5)),1,0)</f>
        <v>0</v>
      </c>
      <c r="AA1017" s="9" t="n">
        <f aca="false">IF(AND(M1017&lt;&gt;"",OR(M1017&lt;5,M1017&gt;180)),1,0)</f>
        <v>0</v>
      </c>
      <c r="AB1017" s="7" t="str">
        <f aca="false">IF(P1017="DUP","Exact duplicate row",IF(T1017=1,"Missing Order ID",IF(S1017="DROP","Duplicate Order ID (less complete row)",IF(U1017=1,"Missing Customer ID",IF(V1017=1,"Missing Restaurant name",IF(W1017=1,"Invalid/outlier quantity",IF(X1017=1,"Invalid/outlier unit price",IF(Y1017=1,"Discount greater than order value",""))))))))</f>
        <v/>
      </c>
      <c r="AC1017" s="7" t="str">
        <f aca="false">IF(AB1017="","KEEP","DROP")</f>
        <v>KEEP</v>
      </c>
      <c r="AD1017" s="7" t="str">
        <f aca="false">IF(TRIM(F1017)="",IFERROR(INDEX(Map_Tables!$I$4:$I$37,MATCH(TRIM(E1017),Map_Tables!$G$4:$G$37,0)),""),IFERROR(INDEX(Map_Tables!$B$4:$B$18,MATCH(TRIM(F1017),Map_Tables!$A$4:$A$18,0)),"CHECK"))</f>
        <v>Bengaluru</v>
      </c>
      <c r="AE1017" s="7" t="str">
        <f aca="false">IF(TRIM(E1017)="","",IFERROR(INDEX(Map_Tables!$H$4:$H$37,MATCH(TRIM(E1017),Map_Tables!$G$4:$G$37,0)),"CHECK"))</f>
        <v>Spice Junction</v>
      </c>
      <c r="AF1017" s="7" t="str">
        <f aca="false">IF(TRIM(K1017)="","Unknown",IFERROR(INDEX(Map_Tables!$E$4:$E$15,MATCH(TRIM(K1017),Map_Tables!$D$4:$D$15,0)),"CHECK"))</f>
        <v>UPI</v>
      </c>
      <c r="AG1017" s="7" t="str">
        <f aca="false">IF(LEFT(LOWER(TRIM(L1017)),6)="cancel","Cancelled","Delivered")</f>
        <v>Delivered</v>
      </c>
      <c r="AH1017" s="10" t="n">
        <f aca="false">IF(ISNUMBER(SEARCH("/",B1017)),DATE(VALUE(RIGHT(B1017,4)),VALUE(MID(B1017,4,2)),VALUE(LEFT(B1017,2))),IF(MID(B1017,5,1)="-",DATE(VALUE(LEFT(B1017,4)),VALUE(MID(B1017,6,2)),VALUE(RIGHT(B1017,2))),DATE(VALUE(RIGHT(B1017,4)),MATCH(MID(B1017,4,3),{"Jan","Feb","Mar","Apr","May","Jun","Jul","Aug","Sep","Oct","Nov","Dec"},0),VALUE(LEFT(B1017,2)))))</f>
        <v>45725</v>
      </c>
    </row>
    <row r="1018" customFormat="false" ht="15" hidden="false" customHeight="false" outlineLevel="0" collapsed="false">
      <c r="A1018" s="7" t="s">
        <v>3051</v>
      </c>
      <c r="B1018" s="7" t="s">
        <v>390</v>
      </c>
      <c r="C1018" s="7" t="s">
        <v>3052</v>
      </c>
      <c r="D1018" s="7" t="s">
        <v>586</v>
      </c>
      <c r="E1018" s="7" t="s">
        <v>134</v>
      </c>
      <c r="F1018" s="7" t="s">
        <v>110</v>
      </c>
      <c r="G1018" s="7" t="s">
        <v>117</v>
      </c>
      <c r="H1018" s="7" t="n">
        <v>4</v>
      </c>
      <c r="I1018" s="7" t="n">
        <v>105</v>
      </c>
      <c r="J1018" s="7" t="n">
        <v>0</v>
      </c>
      <c r="K1018" s="7" t="s">
        <v>88</v>
      </c>
      <c r="L1018" s="7" t="s">
        <v>194</v>
      </c>
      <c r="M1018" s="7" t="n">
        <v>45</v>
      </c>
      <c r="N1018" s="7" t="n">
        <v>3</v>
      </c>
      <c r="O1018" s="7" t="str">
        <f aca="false">A1018&amp;"|"&amp;B1018&amp;"|"&amp;C1018&amp;"|"&amp;D1018&amp;"|"&amp;E1018&amp;"|"&amp;F1018&amp;"|"&amp;G1018&amp;"|"&amp;H1018&amp;"|"&amp;I1018&amp;"|"&amp;J1018&amp;"|"&amp;K1018&amp;"|"&amp;L1018&amp;"|"&amp;M1018&amp;"|"&amp;N1018</f>
        <v>ORD11236|2025-06-06|18:01|C0236|Chaat Corner|Delhi|Street Food|4|105|0|UPI|Delivered|45|3</v>
      </c>
      <c r="P1018" s="7" t="str">
        <f aca="false">IF(COUNTIF($O$2:O1018,O1018)&gt;1,"DUP","OK")</f>
        <v>OK</v>
      </c>
      <c r="Q1018" s="7" t="n">
        <f aca="false">COUNTBLANK(A1018:N1018)</f>
        <v>0</v>
      </c>
      <c r="R1018" s="7" t="n">
        <f aca="false">IF(A1018="",0,COUNTIFS($A$2:$A$3058,A1018,$P$2:$P$3058,"OK"))</f>
        <v>1</v>
      </c>
      <c r="S1018" s="7" t="str">
        <f aca="false">IF(OR(A1018="",P1018="DUP",R1018&lt;2),"",IF(Q1018=_xlfn.MINIFS($Q$2:$Q$3058,$A$2:$A$3058,A1018,$P$2:$P$3058,"OK"),"KEEP","DROP"))</f>
        <v/>
      </c>
      <c r="T1018" s="9" t="n">
        <f aca="false">IF(A1018="",1,0)</f>
        <v>0</v>
      </c>
      <c r="U1018" s="9" t="n">
        <f aca="false">IF(D1018="",1,0)</f>
        <v>0</v>
      </c>
      <c r="V1018" s="9" t="n">
        <f aca="false">IF(E1018="",1,0)</f>
        <v>0</v>
      </c>
      <c r="W1018" s="9" t="n">
        <f aca="false">IF(OR(H1018&lt;1,H1018&gt;10),1,0)</f>
        <v>0</v>
      </c>
      <c r="X1018" s="9" t="n">
        <f aca="false">IF(OR(I1018&lt;=0,I1018&gt;1500),1,0)</f>
        <v>0</v>
      </c>
      <c r="Y1018" s="9" t="n">
        <f aca="false">IF(J1018&gt;H1018*I1018,1,0)</f>
        <v>0</v>
      </c>
      <c r="Z1018" s="9" t="n">
        <f aca="false">IF(AND(N1018&lt;&gt;"",OR(N1018&lt;1,N1018&gt;5)),1,0)</f>
        <v>0</v>
      </c>
      <c r="AA1018" s="9" t="n">
        <f aca="false">IF(AND(M1018&lt;&gt;"",OR(M1018&lt;5,M1018&gt;180)),1,0)</f>
        <v>0</v>
      </c>
      <c r="AB1018" s="7" t="str">
        <f aca="false">IF(P1018="DUP","Exact duplicate row",IF(T1018=1,"Missing Order ID",IF(S1018="DROP","Duplicate Order ID (less complete row)",IF(U1018=1,"Missing Customer ID",IF(V1018=1,"Missing Restaurant name",IF(W1018=1,"Invalid/outlier quantity",IF(X1018=1,"Invalid/outlier unit price",IF(Y1018=1,"Discount greater than order value",""))))))))</f>
        <v/>
      </c>
      <c r="AC1018" s="7" t="str">
        <f aca="false">IF(AB1018="","KEEP","DROP")</f>
        <v>KEEP</v>
      </c>
      <c r="AD1018" s="7" t="str">
        <f aca="false">IF(TRIM(F1018)="",IFERROR(INDEX(Map_Tables!$I$4:$I$37,MATCH(TRIM(E1018),Map_Tables!$G$4:$G$37,0)),""),IFERROR(INDEX(Map_Tables!$B$4:$B$18,MATCH(TRIM(F1018),Map_Tables!$A$4:$A$18,0)),"CHECK"))</f>
        <v>Delhi</v>
      </c>
      <c r="AE1018" s="7" t="str">
        <f aca="false">IF(TRIM(E1018)="","",IFERROR(INDEX(Map_Tables!$H$4:$H$37,MATCH(TRIM(E1018),Map_Tables!$G$4:$G$37,0)),"CHECK"))</f>
        <v>Chaat Corner</v>
      </c>
      <c r="AF1018" s="7" t="str">
        <f aca="false">IF(TRIM(K1018)="","Unknown",IFERROR(INDEX(Map_Tables!$E$4:$E$15,MATCH(TRIM(K1018),Map_Tables!$D$4:$D$15,0)),"CHECK"))</f>
        <v>UPI</v>
      </c>
      <c r="AG1018" s="7" t="str">
        <f aca="false">IF(LEFT(LOWER(TRIM(L1018)),6)="cancel","Cancelled","Delivered")</f>
        <v>Delivered</v>
      </c>
      <c r="AH1018" s="10" t="n">
        <f aca="false">IF(ISNUMBER(SEARCH("/",B1018)),DATE(VALUE(RIGHT(B1018,4)),VALUE(MID(B1018,4,2)),VALUE(LEFT(B1018,2))),IF(MID(B1018,5,1)="-",DATE(VALUE(LEFT(B1018,4)),VALUE(MID(B1018,6,2)),VALUE(RIGHT(B1018,2))),DATE(VALUE(RIGHT(B1018,4)),MATCH(MID(B1018,4,3),{"Jan","Feb","Mar","Apr","May","Jun","Jul","Aug","Sep","Oct","Nov","Dec"},0),VALUE(LEFT(B1018,2)))))</f>
        <v>45814</v>
      </c>
    </row>
    <row r="1019" customFormat="false" ht="15" hidden="false" customHeight="false" outlineLevel="0" collapsed="false">
      <c r="A1019" s="7" t="s">
        <v>3053</v>
      </c>
      <c r="B1019" s="7" t="s">
        <v>1065</v>
      </c>
      <c r="C1019" s="7" t="s">
        <v>3054</v>
      </c>
      <c r="D1019" s="7" t="s">
        <v>3055</v>
      </c>
      <c r="E1019" s="7" t="s">
        <v>154</v>
      </c>
      <c r="F1019" s="7" t="s">
        <v>128</v>
      </c>
      <c r="G1019" s="7" t="s">
        <v>99</v>
      </c>
      <c r="H1019" s="7" t="n">
        <v>1</v>
      </c>
      <c r="I1019" s="7" t="n">
        <v>255</v>
      </c>
      <c r="J1019" s="7" t="n">
        <v>0</v>
      </c>
      <c r="K1019" s="7" t="s">
        <v>133</v>
      </c>
      <c r="L1019" s="7" t="s">
        <v>194</v>
      </c>
      <c r="M1019" s="7" t="n">
        <v>36</v>
      </c>
      <c r="N1019" s="7" t="n">
        <v>4</v>
      </c>
      <c r="O1019" s="7" t="str">
        <f aca="false">A1019&amp;"|"&amp;B1019&amp;"|"&amp;C1019&amp;"|"&amp;D1019&amp;"|"&amp;E1019&amp;"|"&amp;F1019&amp;"|"&amp;G1019&amp;"|"&amp;H1019&amp;"|"&amp;I1019&amp;"|"&amp;J1019&amp;"|"&amp;K1019&amp;"|"&amp;L1019&amp;"|"&amp;M1019&amp;"|"&amp;N1019</f>
        <v>ORD10076|2025-01-11|09:23|C0953|Madras Biryani Co|Chennai|Biryani|1|255|0|Net Banking|Delivered|36|4</v>
      </c>
      <c r="P1019" s="7" t="str">
        <f aca="false">IF(COUNTIF($O$2:O1019,O1019)&gt;1,"DUP","OK")</f>
        <v>OK</v>
      </c>
      <c r="Q1019" s="7" t="n">
        <f aca="false">COUNTBLANK(A1019:N1019)</f>
        <v>0</v>
      </c>
      <c r="R1019" s="7" t="n">
        <f aca="false">IF(A1019="",0,COUNTIFS($A$2:$A$3058,A1019,$P$2:$P$3058,"OK"))</f>
        <v>1</v>
      </c>
      <c r="S1019" s="7" t="str">
        <f aca="false">IF(OR(A1019="",P1019="DUP",R1019&lt;2),"",IF(Q1019=_xlfn.MINIFS($Q$2:$Q$3058,$A$2:$A$3058,A1019,$P$2:$P$3058,"OK"),"KEEP","DROP"))</f>
        <v/>
      </c>
      <c r="T1019" s="9" t="n">
        <f aca="false">IF(A1019="",1,0)</f>
        <v>0</v>
      </c>
      <c r="U1019" s="9" t="n">
        <f aca="false">IF(D1019="",1,0)</f>
        <v>0</v>
      </c>
      <c r="V1019" s="9" t="n">
        <f aca="false">IF(E1019="",1,0)</f>
        <v>0</v>
      </c>
      <c r="W1019" s="9" t="n">
        <f aca="false">IF(OR(H1019&lt;1,H1019&gt;10),1,0)</f>
        <v>0</v>
      </c>
      <c r="X1019" s="9" t="n">
        <f aca="false">IF(OR(I1019&lt;=0,I1019&gt;1500),1,0)</f>
        <v>0</v>
      </c>
      <c r="Y1019" s="9" t="n">
        <f aca="false">IF(J1019&gt;H1019*I1019,1,0)</f>
        <v>0</v>
      </c>
      <c r="Z1019" s="9" t="n">
        <f aca="false">IF(AND(N1019&lt;&gt;"",OR(N1019&lt;1,N1019&gt;5)),1,0)</f>
        <v>0</v>
      </c>
      <c r="AA1019" s="9" t="n">
        <f aca="false">IF(AND(M1019&lt;&gt;"",OR(M1019&lt;5,M1019&gt;180)),1,0)</f>
        <v>0</v>
      </c>
      <c r="AB1019" s="7" t="str">
        <f aca="false">IF(P1019="DUP","Exact duplicate row",IF(T1019=1,"Missing Order ID",IF(S1019="DROP","Duplicate Order ID (less complete row)",IF(U1019=1,"Missing Customer ID",IF(V1019=1,"Missing Restaurant name",IF(W1019=1,"Invalid/outlier quantity",IF(X1019=1,"Invalid/outlier unit price",IF(Y1019=1,"Discount greater than order value",""))))))))</f>
        <v/>
      </c>
      <c r="AC1019" s="7" t="str">
        <f aca="false">IF(AB1019="","KEEP","DROP")</f>
        <v>KEEP</v>
      </c>
      <c r="AD1019" s="7" t="str">
        <f aca="false">IF(TRIM(F1019)="",IFERROR(INDEX(Map_Tables!$I$4:$I$37,MATCH(TRIM(E1019),Map_Tables!$G$4:$G$37,0)),""),IFERROR(INDEX(Map_Tables!$B$4:$B$18,MATCH(TRIM(F1019),Map_Tables!$A$4:$A$18,0)),"CHECK"))</f>
        <v>Chennai</v>
      </c>
      <c r="AE1019" s="7" t="str">
        <f aca="false">IF(TRIM(E1019)="","",IFERROR(INDEX(Map_Tables!$H$4:$H$37,MATCH(TRIM(E1019),Map_Tables!$G$4:$G$37,0)),"CHECK"))</f>
        <v>Madras Biryani Co</v>
      </c>
      <c r="AF1019" s="7" t="str">
        <f aca="false">IF(TRIM(K1019)="","Unknown",IFERROR(INDEX(Map_Tables!$E$4:$E$15,MATCH(TRIM(K1019),Map_Tables!$D$4:$D$15,0)),"CHECK"))</f>
        <v>Net Banking</v>
      </c>
      <c r="AG1019" s="7" t="str">
        <f aca="false">IF(LEFT(LOWER(TRIM(L1019)),6)="cancel","Cancelled","Delivered")</f>
        <v>Delivered</v>
      </c>
      <c r="AH1019" s="10" t="n">
        <f aca="false">IF(ISNUMBER(SEARCH("/",B1019)),DATE(VALUE(RIGHT(B1019,4)),VALUE(MID(B1019,4,2)),VALUE(LEFT(B1019,2))),IF(MID(B1019,5,1)="-",DATE(VALUE(LEFT(B1019,4)),VALUE(MID(B1019,6,2)),VALUE(RIGHT(B1019,2))),DATE(VALUE(RIGHT(B1019,4)),MATCH(MID(B1019,4,3),{"Jan","Feb","Mar","Apr","May","Jun","Jul","Aug","Sep","Oct","Nov","Dec"},0),VALUE(LEFT(B1019,2)))))</f>
        <v>45668</v>
      </c>
    </row>
    <row r="1020" customFormat="false" ht="15" hidden="false" customHeight="false" outlineLevel="0" collapsed="false">
      <c r="A1020" s="7" t="s">
        <v>3056</v>
      </c>
      <c r="B1020" s="7" t="s">
        <v>1069</v>
      </c>
      <c r="C1020" s="7" t="s">
        <v>2016</v>
      </c>
      <c r="D1020" s="7" t="s">
        <v>2111</v>
      </c>
      <c r="E1020" s="7" t="s">
        <v>155</v>
      </c>
      <c r="F1020" s="7" t="s">
        <v>128</v>
      </c>
      <c r="G1020" s="7" t="s">
        <v>156</v>
      </c>
      <c r="H1020" s="7" t="n">
        <v>5</v>
      </c>
      <c r="I1020" s="7" t="n">
        <v>315</v>
      </c>
      <c r="J1020" s="7" t="n">
        <v>0</v>
      </c>
      <c r="K1020" s="7" t="s">
        <v>112</v>
      </c>
      <c r="L1020" s="7" t="s">
        <v>194</v>
      </c>
      <c r="M1020" s="7" t="n">
        <v>30</v>
      </c>
      <c r="N1020" s="7" t="n">
        <v>3</v>
      </c>
      <c r="O1020" s="7" t="str">
        <f aca="false">A1020&amp;"|"&amp;B1020&amp;"|"&amp;C1020&amp;"|"&amp;D1020&amp;"|"&amp;E1020&amp;"|"&amp;F1020&amp;"|"&amp;G1020&amp;"|"&amp;H1020&amp;"|"&amp;I1020&amp;"|"&amp;J1020&amp;"|"&amp;K1020&amp;"|"&amp;L1020&amp;"|"&amp;M1020&amp;"|"&amp;N1020</f>
        <v>ORD12937|2025-12-25|11:54|C0080|Green Bowl Kitchen|Chennai|Healthy Food|5|315|0|Cash on Delivery|Delivered|30|3</v>
      </c>
      <c r="P1020" s="7" t="str">
        <f aca="false">IF(COUNTIF($O$2:O1020,O1020)&gt;1,"DUP","OK")</f>
        <v>OK</v>
      </c>
      <c r="Q1020" s="7" t="n">
        <f aca="false">COUNTBLANK(A1020:N1020)</f>
        <v>0</v>
      </c>
      <c r="R1020" s="7" t="n">
        <f aca="false">IF(A1020="",0,COUNTIFS($A$2:$A$3058,A1020,$P$2:$P$3058,"OK"))</f>
        <v>1</v>
      </c>
      <c r="S1020" s="7" t="str">
        <f aca="false">IF(OR(A1020="",P1020="DUP",R1020&lt;2),"",IF(Q1020=_xlfn.MINIFS($Q$2:$Q$3058,$A$2:$A$3058,A1020,$P$2:$P$3058,"OK"),"KEEP","DROP"))</f>
        <v/>
      </c>
      <c r="T1020" s="9" t="n">
        <f aca="false">IF(A1020="",1,0)</f>
        <v>0</v>
      </c>
      <c r="U1020" s="9" t="n">
        <f aca="false">IF(D1020="",1,0)</f>
        <v>0</v>
      </c>
      <c r="V1020" s="9" t="n">
        <f aca="false">IF(E1020="",1,0)</f>
        <v>0</v>
      </c>
      <c r="W1020" s="9" t="n">
        <f aca="false">IF(OR(H1020&lt;1,H1020&gt;10),1,0)</f>
        <v>0</v>
      </c>
      <c r="X1020" s="9" t="n">
        <f aca="false">IF(OR(I1020&lt;=0,I1020&gt;1500),1,0)</f>
        <v>0</v>
      </c>
      <c r="Y1020" s="9" t="n">
        <f aca="false">IF(J1020&gt;H1020*I1020,1,0)</f>
        <v>0</v>
      </c>
      <c r="Z1020" s="9" t="n">
        <f aca="false">IF(AND(N1020&lt;&gt;"",OR(N1020&lt;1,N1020&gt;5)),1,0)</f>
        <v>0</v>
      </c>
      <c r="AA1020" s="9" t="n">
        <f aca="false">IF(AND(M1020&lt;&gt;"",OR(M1020&lt;5,M1020&gt;180)),1,0)</f>
        <v>0</v>
      </c>
      <c r="AB1020" s="7" t="str">
        <f aca="false">IF(P1020="DUP","Exact duplicate row",IF(T1020=1,"Missing Order ID",IF(S1020="DROP","Duplicate Order ID (less complete row)",IF(U1020=1,"Missing Customer ID",IF(V1020=1,"Missing Restaurant name",IF(W1020=1,"Invalid/outlier quantity",IF(X1020=1,"Invalid/outlier unit price",IF(Y1020=1,"Discount greater than order value",""))))))))</f>
        <v/>
      </c>
      <c r="AC1020" s="7" t="str">
        <f aca="false">IF(AB1020="","KEEP","DROP")</f>
        <v>KEEP</v>
      </c>
      <c r="AD1020" s="7" t="str">
        <f aca="false">IF(TRIM(F1020)="",IFERROR(INDEX(Map_Tables!$I$4:$I$37,MATCH(TRIM(E1020),Map_Tables!$G$4:$G$37,0)),""),IFERROR(INDEX(Map_Tables!$B$4:$B$18,MATCH(TRIM(F1020),Map_Tables!$A$4:$A$18,0)),"CHECK"))</f>
        <v>Chennai</v>
      </c>
      <c r="AE1020" s="7" t="str">
        <f aca="false">IF(TRIM(E1020)="","",IFERROR(INDEX(Map_Tables!$H$4:$H$37,MATCH(TRIM(E1020),Map_Tables!$G$4:$G$37,0)),"CHECK"))</f>
        <v>Green Bowl Kitchen</v>
      </c>
      <c r="AF1020" s="7" t="str">
        <f aca="false">IF(TRIM(K1020)="","Unknown",IFERROR(INDEX(Map_Tables!$E$4:$E$15,MATCH(TRIM(K1020),Map_Tables!$D$4:$D$15,0)),"CHECK"))</f>
        <v>Cash on Delivery</v>
      </c>
      <c r="AG1020" s="7" t="str">
        <f aca="false">IF(LEFT(LOWER(TRIM(L1020)),6)="cancel","Cancelled","Delivered")</f>
        <v>Delivered</v>
      </c>
      <c r="AH1020" s="10" t="n">
        <f aca="false">IF(ISNUMBER(SEARCH("/",B1020)),DATE(VALUE(RIGHT(B1020,4)),VALUE(MID(B1020,4,2)),VALUE(LEFT(B1020,2))),IF(MID(B1020,5,1)="-",DATE(VALUE(LEFT(B1020,4)),VALUE(MID(B1020,6,2)),VALUE(RIGHT(B1020,2))),DATE(VALUE(RIGHT(B1020,4)),MATCH(MID(B1020,4,3),{"Jan","Feb","Mar","Apr","May","Jun","Jul","Aug","Sep","Oct","Nov","Dec"},0),VALUE(LEFT(B1020,2)))))</f>
        <v>46016</v>
      </c>
    </row>
    <row r="1021" customFormat="false" ht="15" hidden="false" customHeight="false" outlineLevel="0" collapsed="false">
      <c r="A1021" s="7" t="s">
        <v>3057</v>
      </c>
      <c r="B1021" s="7" t="s">
        <v>1907</v>
      </c>
      <c r="C1021" s="7" t="s">
        <v>870</v>
      </c>
      <c r="D1021" s="7" t="s">
        <v>3058</v>
      </c>
      <c r="E1021" s="7" t="s">
        <v>3059</v>
      </c>
      <c r="F1021" s="7" t="s">
        <v>110</v>
      </c>
      <c r="G1021" s="7" t="s">
        <v>117</v>
      </c>
      <c r="H1021" s="7" t="n">
        <v>1</v>
      </c>
      <c r="I1021" s="7" t="n">
        <v>120</v>
      </c>
      <c r="J1021" s="7" t="n">
        <v>48</v>
      </c>
      <c r="K1021" s="7" t="s">
        <v>93</v>
      </c>
      <c r="L1021" s="7" t="s">
        <v>194</v>
      </c>
      <c r="M1021" s="7" t="n">
        <v>35</v>
      </c>
      <c r="N1021" s="7" t="n">
        <v>5</v>
      </c>
      <c r="O1021" s="7" t="str">
        <f aca="false">A1021&amp;"|"&amp;B1021&amp;"|"&amp;C1021&amp;"|"&amp;D1021&amp;"|"&amp;E1021&amp;"|"&amp;F1021&amp;"|"&amp;G1021&amp;"|"&amp;H1021&amp;"|"&amp;I1021&amp;"|"&amp;J1021&amp;"|"&amp;K1021&amp;"|"&amp;L1021&amp;"|"&amp;M1021&amp;"|"&amp;N1021</f>
        <v>ORD10055|2025-01-08|22:14|C0265|CHAAT CORNER|Delhi|Street Food|1|120|48|Credit Card|Delivered|35|5</v>
      </c>
      <c r="P1021" s="7" t="str">
        <f aca="false">IF(COUNTIF($O$2:O1021,O1021)&gt;1,"DUP","OK")</f>
        <v>OK</v>
      </c>
      <c r="Q1021" s="7" t="n">
        <f aca="false">COUNTBLANK(A1021:N1021)</f>
        <v>0</v>
      </c>
      <c r="R1021" s="7" t="n">
        <f aca="false">IF(A1021="",0,COUNTIFS($A$2:$A$3058,A1021,$P$2:$P$3058,"OK"))</f>
        <v>1</v>
      </c>
      <c r="S1021" s="7" t="str">
        <f aca="false">IF(OR(A1021="",P1021="DUP",R1021&lt;2),"",IF(Q1021=_xlfn.MINIFS($Q$2:$Q$3058,$A$2:$A$3058,A1021,$P$2:$P$3058,"OK"),"KEEP","DROP"))</f>
        <v/>
      </c>
      <c r="T1021" s="9" t="n">
        <f aca="false">IF(A1021="",1,0)</f>
        <v>0</v>
      </c>
      <c r="U1021" s="9" t="n">
        <f aca="false">IF(D1021="",1,0)</f>
        <v>0</v>
      </c>
      <c r="V1021" s="9" t="n">
        <f aca="false">IF(E1021="",1,0)</f>
        <v>0</v>
      </c>
      <c r="W1021" s="9" t="n">
        <f aca="false">IF(OR(H1021&lt;1,H1021&gt;10),1,0)</f>
        <v>0</v>
      </c>
      <c r="X1021" s="9" t="n">
        <f aca="false">IF(OR(I1021&lt;=0,I1021&gt;1500),1,0)</f>
        <v>0</v>
      </c>
      <c r="Y1021" s="9" t="n">
        <f aca="false">IF(J1021&gt;H1021*I1021,1,0)</f>
        <v>0</v>
      </c>
      <c r="Z1021" s="9" t="n">
        <f aca="false">IF(AND(N1021&lt;&gt;"",OR(N1021&lt;1,N1021&gt;5)),1,0)</f>
        <v>0</v>
      </c>
      <c r="AA1021" s="9" t="n">
        <f aca="false">IF(AND(M1021&lt;&gt;"",OR(M1021&lt;5,M1021&gt;180)),1,0)</f>
        <v>0</v>
      </c>
      <c r="AB1021" s="7" t="str">
        <f aca="false">IF(P1021="DUP","Exact duplicate row",IF(T1021=1,"Missing Order ID",IF(S1021="DROP","Duplicate Order ID (less complete row)",IF(U1021=1,"Missing Customer ID",IF(V1021=1,"Missing Restaurant name",IF(W1021=1,"Invalid/outlier quantity",IF(X1021=1,"Invalid/outlier unit price",IF(Y1021=1,"Discount greater than order value",""))))))))</f>
        <v/>
      </c>
      <c r="AC1021" s="7" t="str">
        <f aca="false">IF(AB1021="","KEEP","DROP")</f>
        <v>KEEP</v>
      </c>
      <c r="AD1021" s="7" t="str">
        <f aca="false">IF(TRIM(F1021)="",IFERROR(INDEX(Map_Tables!$I$4:$I$37,MATCH(TRIM(E1021),Map_Tables!$G$4:$G$37,0)),""),IFERROR(INDEX(Map_Tables!$B$4:$B$18,MATCH(TRIM(F1021),Map_Tables!$A$4:$A$18,0)),"CHECK"))</f>
        <v>Delhi</v>
      </c>
      <c r="AE1021" s="7" t="str">
        <f aca="false">IF(TRIM(E1021)="","",IFERROR(INDEX(Map_Tables!$H$4:$H$37,MATCH(TRIM(E1021),Map_Tables!$G$4:$G$37,0)),"CHECK"))</f>
        <v>Chaat Corner</v>
      </c>
      <c r="AF1021" s="7" t="str">
        <f aca="false">IF(TRIM(K1021)="","Unknown",IFERROR(INDEX(Map_Tables!$E$4:$E$15,MATCH(TRIM(K1021),Map_Tables!$D$4:$D$15,0)),"CHECK"))</f>
        <v>Credit Card</v>
      </c>
      <c r="AG1021" s="7" t="str">
        <f aca="false">IF(LEFT(LOWER(TRIM(L1021)),6)="cancel","Cancelled","Delivered")</f>
        <v>Delivered</v>
      </c>
      <c r="AH1021" s="10" t="n">
        <f aca="false">IF(ISNUMBER(SEARCH("/",B1021)),DATE(VALUE(RIGHT(B1021,4)),VALUE(MID(B1021,4,2)),VALUE(LEFT(B1021,2))),IF(MID(B1021,5,1)="-",DATE(VALUE(LEFT(B1021,4)),VALUE(MID(B1021,6,2)),VALUE(RIGHT(B1021,2))),DATE(VALUE(RIGHT(B1021,4)),MATCH(MID(B1021,4,3),{"Jan","Feb","Mar","Apr","May","Jun","Jul","Aug","Sep","Oct","Nov","Dec"},0),VALUE(LEFT(B1021,2)))))</f>
        <v>45665</v>
      </c>
    </row>
    <row r="1022" customFormat="false" ht="15" hidden="false" customHeight="false" outlineLevel="0" collapsed="false">
      <c r="A1022" s="7" t="s">
        <v>3060</v>
      </c>
      <c r="B1022" s="7" t="s">
        <v>1919</v>
      </c>
      <c r="C1022" s="7" t="s">
        <v>529</v>
      </c>
      <c r="D1022" s="7" t="s">
        <v>277</v>
      </c>
      <c r="E1022" s="7" t="s">
        <v>163</v>
      </c>
      <c r="F1022" s="7" t="s">
        <v>141</v>
      </c>
      <c r="G1022" s="7" t="s">
        <v>99</v>
      </c>
      <c r="H1022" s="7" t="n">
        <v>1</v>
      </c>
      <c r="I1022" s="7" t="n">
        <v>255</v>
      </c>
      <c r="J1022" s="7" t="n">
        <v>100</v>
      </c>
      <c r="K1022" s="7" t="s">
        <v>112</v>
      </c>
      <c r="L1022" s="7" t="s">
        <v>194</v>
      </c>
      <c r="M1022" s="7" t="n">
        <v>27</v>
      </c>
      <c r="N1022" s="7" t="n">
        <v>4</v>
      </c>
      <c r="O1022" s="7" t="str">
        <f aca="false">A1022&amp;"|"&amp;B1022&amp;"|"&amp;C1022&amp;"|"&amp;D1022&amp;"|"&amp;E1022&amp;"|"&amp;F1022&amp;"|"&amp;G1022&amp;"|"&amp;H1022&amp;"|"&amp;I1022&amp;"|"&amp;J1022&amp;"|"&amp;K1022&amp;"|"&amp;L1022&amp;"|"&amp;M1022&amp;"|"&amp;N1022</f>
        <v>ORD10267|2025-02-05|18:36|C0365|Biryani Baadshah|Kolkata|Biryani|1|255|100|Cash on Delivery|Delivered|27|4</v>
      </c>
      <c r="P1022" s="7" t="str">
        <f aca="false">IF(COUNTIF($O$2:O1022,O1022)&gt;1,"DUP","OK")</f>
        <v>OK</v>
      </c>
      <c r="Q1022" s="7" t="n">
        <f aca="false">COUNTBLANK(A1022:N1022)</f>
        <v>0</v>
      </c>
      <c r="R1022" s="7" t="n">
        <f aca="false">IF(A1022="",0,COUNTIFS($A$2:$A$3058,A1022,$P$2:$P$3058,"OK"))</f>
        <v>1</v>
      </c>
      <c r="S1022" s="7" t="str">
        <f aca="false">IF(OR(A1022="",P1022="DUP",R1022&lt;2),"",IF(Q1022=_xlfn.MINIFS($Q$2:$Q$3058,$A$2:$A$3058,A1022,$P$2:$P$3058,"OK"),"KEEP","DROP"))</f>
        <v/>
      </c>
      <c r="T1022" s="9" t="n">
        <f aca="false">IF(A1022="",1,0)</f>
        <v>0</v>
      </c>
      <c r="U1022" s="9" t="n">
        <f aca="false">IF(D1022="",1,0)</f>
        <v>0</v>
      </c>
      <c r="V1022" s="9" t="n">
        <f aca="false">IF(E1022="",1,0)</f>
        <v>0</v>
      </c>
      <c r="W1022" s="9" t="n">
        <f aca="false">IF(OR(H1022&lt;1,H1022&gt;10),1,0)</f>
        <v>0</v>
      </c>
      <c r="X1022" s="9" t="n">
        <f aca="false">IF(OR(I1022&lt;=0,I1022&gt;1500),1,0)</f>
        <v>0</v>
      </c>
      <c r="Y1022" s="9" t="n">
        <f aca="false">IF(J1022&gt;H1022*I1022,1,0)</f>
        <v>0</v>
      </c>
      <c r="Z1022" s="9" t="n">
        <f aca="false">IF(AND(N1022&lt;&gt;"",OR(N1022&lt;1,N1022&gt;5)),1,0)</f>
        <v>0</v>
      </c>
      <c r="AA1022" s="9" t="n">
        <f aca="false">IF(AND(M1022&lt;&gt;"",OR(M1022&lt;5,M1022&gt;180)),1,0)</f>
        <v>0</v>
      </c>
      <c r="AB1022" s="7" t="str">
        <f aca="false">IF(P1022="DUP","Exact duplicate row",IF(T1022=1,"Missing Order ID",IF(S1022="DROP","Duplicate Order ID (less complete row)",IF(U1022=1,"Missing Customer ID",IF(V1022=1,"Missing Restaurant name",IF(W1022=1,"Invalid/outlier quantity",IF(X1022=1,"Invalid/outlier unit price",IF(Y1022=1,"Discount greater than order value",""))))))))</f>
        <v/>
      </c>
      <c r="AC1022" s="7" t="str">
        <f aca="false">IF(AB1022="","KEEP","DROP")</f>
        <v>KEEP</v>
      </c>
      <c r="AD1022" s="7" t="str">
        <f aca="false">IF(TRIM(F1022)="",IFERROR(INDEX(Map_Tables!$I$4:$I$37,MATCH(TRIM(E1022),Map_Tables!$G$4:$G$37,0)),""),IFERROR(INDEX(Map_Tables!$B$4:$B$18,MATCH(TRIM(F1022),Map_Tables!$A$4:$A$18,0)),"CHECK"))</f>
        <v>Kolkata</v>
      </c>
      <c r="AE1022" s="7" t="str">
        <f aca="false">IF(TRIM(E1022)="","",IFERROR(INDEX(Map_Tables!$H$4:$H$37,MATCH(TRIM(E1022),Map_Tables!$G$4:$G$37,0)),"CHECK"))</f>
        <v>Biryani Baadshah</v>
      </c>
      <c r="AF1022" s="7" t="str">
        <f aca="false">IF(TRIM(K1022)="","Unknown",IFERROR(INDEX(Map_Tables!$E$4:$E$15,MATCH(TRIM(K1022),Map_Tables!$D$4:$D$15,0)),"CHECK"))</f>
        <v>Cash on Delivery</v>
      </c>
      <c r="AG1022" s="7" t="str">
        <f aca="false">IF(LEFT(LOWER(TRIM(L1022)),6)="cancel","Cancelled","Delivered")</f>
        <v>Delivered</v>
      </c>
      <c r="AH1022" s="10" t="n">
        <f aca="false">IF(ISNUMBER(SEARCH("/",B1022)),DATE(VALUE(RIGHT(B1022,4)),VALUE(MID(B1022,4,2)),VALUE(LEFT(B1022,2))),IF(MID(B1022,5,1)="-",DATE(VALUE(LEFT(B1022,4)),VALUE(MID(B1022,6,2)),VALUE(RIGHT(B1022,2))),DATE(VALUE(RIGHT(B1022,4)),MATCH(MID(B1022,4,3),{"Jan","Feb","Mar","Apr","May","Jun","Jul","Aug","Sep","Oct","Nov","Dec"},0),VALUE(LEFT(B1022,2)))))</f>
        <v>45693</v>
      </c>
    </row>
    <row r="1023" customFormat="false" ht="15" hidden="false" customHeight="false" outlineLevel="0" collapsed="false">
      <c r="A1023" s="7" t="s">
        <v>3061</v>
      </c>
      <c r="B1023" s="7" t="s">
        <v>3062</v>
      </c>
      <c r="C1023" s="7" t="s">
        <v>3063</v>
      </c>
      <c r="D1023" s="7" t="s">
        <v>1302</v>
      </c>
      <c r="E1023" s="7" t="s">
        <v>98</v>
      </c>
      <c r="F1023" s="7" t="s">
        <v>86</v>
      </c>
      <c r="G1023" s="7" t="s">
        <v>99</v>
      </c>
      <c r="H1023" s="7" t="n">
        <v>5</v>
      </c>
      <c r="I1023" s="7" t="n">
        <v>230</v>
      </c>
      <c r="J1023" s="7" t="n">
        <v>0</v>
      </c>
      <c r="K1023" s="7" t="s">
        <v>93</v>
      </c>
      <c r="L1023" s="7" t="s">
        <v>194</v>
      </c>
      <c r="M1023" s="7" t="n">
        <v>33</v>
      </c>
      <c r="N1023" s="7" t="n">
        <v>4</v>
      </c>
      <c r="O1023" s="7" t="str">
        <f aca="false">A1023&amp;"|"&amp;B1023&amp;"|"&amp;C1023&amp;"|"&amp;D1023&amp;"|"&amp;E1023&amp;"|"&amp;F1023&amp;"|"&amp;G1023&amp;"|"&amp;H1023&amp;"|"&amp;I1023&amp;"|"&amp;J1023&amp;"|"&amp;K1023&amp;"|"&amp;L1023&amp;"|"&amp;M1023&amp;"|"&amp;N1023</f>
        <v>ORD12626|20-Nov-2025|16:42|C1347|Nawabi Biryani House|Bengaluru|Biryani|5|230|0|Credit Card|Delivered|33|4</v>
      </c>
      <c r="P1023" s="7" t="str">
        <f aca="false">IF(COUNTIF($O$2:O1023,O1023)&gt;1,"DUP","OK")</f>
        <v>OK</v>
      </c>
      <c r="Q1023" s="7" t="n">
        <f aca="false">COUNTBLANK(A1023:N1023)</f>
        <v>0</v>
      </c>
      <c r="R1023" s="7" t="n">
        <f aca="false">IF(A1023="",0,COUNTIFS($A$2:$A$3058,A1023,$P$2:$P$3058,"OK"))</f>
        <v>1</v>
      </c>
      <c r="S1023" s="7" t="str">
        <f aca="false">IF(OR(A1023="",P1023="DUP",R1023&lt;2),"",IF(Q1023=_xlfn.MINIFS($Q$2:$Q$3058,$A$2:$A$3058,A1023,$P$2:$P$3058,"OK"),"KEEP","DROP"))</f>
        <v/>
      </c>
      <c r="T1023" s="9" t="n">
        <f aca="false">IF(A1023="",1,0)</f>
        <v>0</v>
      </c>
      <c r="U1023" s="9" t="n">
        <f aca="false">IF(D1023="",1,0)</f>
        <v>0</v>
      </c>
      <c r="V1023" s="9" t="n">
        <f aca="false">IF(E1023="",1,0)</f>
        <v>0</v>
      </c>
      <c r="W1023" s="9" t="n">
        <f aca="false">IF(OR(H1023&lt;1,H1023&gt;10),1,0)</f>
        <v>0</v>
      </c>
      <c r="X1023" s="9" t="n">
        <f aca="false">IF(OR(I1023&lt;=0,I1023&gt;1500),1,0)</f>
        <v>0</v>
      </c>
      <c r="Y1023" s="9" t="n">
        <f aca="false">IF(J1023&gt;H1023*I1023,1,0)</f>
        <v>0</v>
      </c>
      <c r="Z1023" s="9" t="n">
        <f aca="false">IF(AND(N1023&lt;&gt;"",OR(N1023&lt;1,N1023&gt;5)),1,0)</f>
        <v>0</v>
      </c>
      <c r="AA1023" s="9" t="n">
        <f aca="false">IF(AND(M1023&lt;&gt;"",OR(M1023&lt;5,M1023&gt;180)),1,0)</f>
        <v>0</v>
      </c>
      <c r="AB1023" s="7" t="str">
        <f aca="false">IF(P1023="DUP","Exact duplicate row",IF(T1023=1,"Missing Order ID",IF(S1023="DROP","Duplicate Order ID (less complete row)",IF(U1023=1,"Missing Customer ID",IF(V1023=1,"Missing Restaurant name",IF(W1023=1,"Invalid/outlier quantity",IF(X1023=1,"Invalid/outlier unit price",IF(Y1023=1,"Discount greater than order value",""))))))))</f>
        <v/>
      </c>
      <c r="AC1023" s="7" t="str">
        <f aca="false">IF(AB1023="","KEEP","DROP")</f>
        <v>KEEP</v>
      </c>
      <c r="AD1023" s="7" t="str">
        <f aca="false">IF(TRIM(F1023)="",IFERROR(INDEX(Map_Tables!$I$4:$I$37,MATCH(TRIM(E1023),Map_Tables!$G$4:$G$37,0)),""),IFERROR(INDEX(Map_Tables!$B$4:$B$18,MATCH(TRIM(F1023),Map_Tables!$A$4:$A$18,0)),"CHECK"))</f>
        <v>Bengaluru</v>
      </c>
      <c r="AE1023" s="7" t="str">
        <f aca="false">IF(TRIM(E1023)="","",IFERROR(INDEX(Map_Tables!$H$4:$H$37,MATCH(TRIM(E1023),Map_Tables!$G$4:$G$37,0)),"CHECK"))</f>
        <v>Nawabi Biryani House</v>
      </c>
      <c r="AF1023" s="7" t="str">
        <f aca="false">IF(TRIM(K1023)="","Unknown",IFERROR(INDEX(Map_Tables!$E$4:$E$15,MATCH(TRIM(K1023),Map_Tables!$D$4:$D$15,0)),"CHECK"))</f>
        <v>Credit Card</v>
      </c>
      <c r="AG1023" s="7" t="str">
        <f aca="false">IF(LEFT(LOWER(TRIM(L1023)),6)="cancel","Cancelled","Delivered")</f>
        <v>Delivered</v>
      </c>
      <c r="AH1023" s="10" t="n">
        <f aca="false">IF(ISNUMBER(SEARCH("/",B1023)),DATE(VALUE(RIGHT(B1023,4)),VALUE(MID(B1023,4,2)),VALUE(LEFT(B1023,2))),IF(MID(B1023,5,1)="-",DATE(VALUE(LEFT(B1023,4)),VALUE(MID(B1023,6,2)),VALUE(RIGHT(B1023,2))),DATE(VALUE(RIGHT(B1023,4)),MATCH(MID(B1023,4,3),{"Jan","Feb","Mar","Apr","May","Jun","Jul","Aug","Sep","Oct","Nov","Dec"},0),VALUE(LEFT(B1023,2)))))</f>
        <v>45981</v>
      </c>
    </row>
    <row r="1024" customFormat="false" ht="15" hidden="false" customHeight="false" outlineLevel="0" collapsed="false">
      <c r="A1024" s="7" t="s">
        <v>3064</v>
      </c>
      <c r="B1024" s="7" t="s">
        <v>1276</v>
      </c>
      <c r="C1024" s="7" t="s">
        <v>2978</v>
      </c>
      <c r="D1024" s="7" t="s">
        <v>3065</v>
      </c>
      <c r="E1024" s="7" t="s">
        <v>162</v>
      </c>
      <c r="F1024" s="7" t="s">
        <v>141</v>
      </c>
      <c r="G1024" s="7" t="s">
        <v>117</v>
      </c>
      <c r="H1024" s="7" t="n">
        <v>4</v>
      </c>
      <c r="I1024" s="7" t="n">
        <v>110</v>
      </c>
      <c r="J1024" s="7" t="n">
        <v>50</v>
      </c>
      <c r="K1024" s="7" t="s">
        <v>421</v>
      </c>
      <c r="L1024" s="7" t="s">
        <v>194</v>
      </c>
      <c r="M1024" s="7" t="n">
        <v>38</v>
      </c>
      <c r="N1024" s="7" t="n">
        <v>4</v>
      </c>
      <c r="O1024" s="7" t="str">
        <f aca="false">A1024&amp;"|"&amp;B1024&amp;"|"&amp;C1024&amp;"|"&amp;D1024&amp;"|"&amp;E1024&amp;"|"&amp;F1024&amp;"|"&amp;G1024&amp;"|"&amp;H1024&amp;"|"&amp;I1024&amp;"|"&amp;J1024&amp;"|"&amp;K1024&amp;"|"&amp;L1024&amp;"|"&amp;M1024&amp;"|"&amp;N1024</f>
        <v>ORD11691|2025-08-09|17:45|C1283|Kolkata Roll Centre|Kolkata|Street Food|4|110|50|UPI |Delivered|38|4</v>
      </c>
      <c r="P1024" s="7" t="str">
        <f aca="false">IF(COUNTIF($O$2:O1024,O1024)&gt;1,"DUP","OK")</f>
        <v>OK</v>
      </c>
      <c r="Q1024" s="7" t="n">
        <f aca="false">COUNTBLANK(A1024:N1024)</f>
        <v>0</v>
      </c>
      <c r="R1024" s="7" t="n">
        <f aca="false">IF(A1024="",0,COUNTIFS($A$2:$A$3058,A1024,$P$2:$P$3058,"OK"))</f>
        <v>1</v>
      </c>
      <c r="S1024" s="7" t="str">
        <f aca="false">IF(OR(A1024="",P1024="DUP",R1024&lt;2),"",IF(Q1024=_xlfn.MINIFS($Q$2:$Q$3058,$A$2:$A$3058,A1024,$P$2:$P$3058,"OK"),"KEEP","DROP"))</f>
        <v/>
      </c>
      <c r="T1024" s="9" t="n">
        <f aca="false">IF(A1024="",1,0)</f>
        <v>0</v>
      </c>
      <c r="U1024" s="9" t="n">
        <f aca="false">IF(D1024="",1,0)</f>
        <v>0</v>
      </c>
      <c r="V1024" s="9" t="n">
        <f aca="false">IF(E1024="",1,0)</f>
        <v>0</v>
      </c>
      <c r="W1024" s="9" t="n">
        <f aca="false">IF(OR(H1024&lt;1,H1024&gt;10),1,0)</f>
        <v>0</v>
      </c>
      <c r="X1024" s="9" t="n">
        <f aca="false">IF(OR(I1024&lt;=0,I1024&gt;1500),1,0)</f>
        <v>0</v>
      </c>
      <c r="Y1024" s="9" t="n">
        <f aca="false">IF(J1024&gt;H1024*I1024,1,0)</f>
        <v>0</v>
      </c>
      <c r="Z1024" s="9" t="n">
        <f aca="false">IF(AND(N1024&lt;&gt;"",OR(N1024&lt;1,N1024&gt;5)),1,0)</f>
        <v>0</v>
      </c>
      <c r="AA1024" s="9" t="n">
        <f aca="false">IF(AND(M1024&lt;&gt;"",OR(M1024&lt;5,M1024&gt;180)),1,0)</f>
        <v>0</v>
      </c>
      <c r="AB1024" s="7" t="str">
        <f aca="false">IF(P1024="DUP","Exact duplicate row",IF(T1024=1,"Missing Order ID",IF(S1024="DROP","Duplicate Order ID (less complete row)",IF(U1024=1,"Missing Customer ID",IF(V1024=1,"Missing Restaurant name",IF(W1024=1,"Invalid/outlier quantity",IF(X1024=1,"Invalid/outlier unit price",IF(Y1024=1,"Discount greater than order value",""))))))))</f>
        <v/>
      </c>
      <c r="AC1024" s="7" t="str">
        <f aca="false">IF(AB1024="","KEEP","DROP")</f>
        <v>KEEP</v>
      </c>
      <c r="AD1024" s="7" t="str">
        <f aca="false">IF(TRIM(F1024)="",IFERROR(INDEX(Map_Tables!$I$4:$I$37,MATCH(TRIM(E1024),Map_Tables!$G$4:$G$37,0)),""),IFERROR(INDEX(Map_Tables!$B$4:$B$18,MATCH(TRIM(F1024),Map_Tables!$A$4:$A$18,0)),"CHECK"))</f>
        <v>Kolkata</v>
      </c>
      <c r="AE1024" s="7" t="str">
        <f aca="false">IF(TRIM(E1024)="","",IFERROR(INDEX(Map_Tables!$H$4:$H$37,MATCH(TRIM(E1024),Map_Tables!$G$4:$G$37,0)),"CHECK"))</f>
        <v>Kolkata Roll Centre</v>
      </c>
      <c r="AF1024" s="7" t="str">
        <f aca="false">IF(TRIM(K1024)="","Unknown",IFERROR(INDEX(Map_Tables!$E$4:$E$15,MATCH(TRIM(K1024),Map_Tables!$D$4:$D$15,0)),"CHECK"))</f>
        <v>UPI</v>
      </c>
      <c r="AG1024" s="7" t="str">
        <f aca="false">IF(LEFT(LOWER(TRIM(L1024)),6)="cancel","Cancelled","Delivered")</f>
        <v>Delivered</v>
      </c>
      <c r="AH1024" s="10" t="n">
        <f aca="false">IF(ISNUMBER(SEARCH("/",B1024)),DATE(VALUE(RIGHT(B1024,4)),VALUE(MID(B1024,4,2)),VALUE(LEFT(B1024,2))),IF(MID(B1024,5,1)="-",DATE(VALUE(LEFT(B1024,4)),VALUE(MID(B1024,6,2)),VALUE(RIGHT(B1024,2))),DATE(VALUE(RIGHT(B1024,4)),MATCH(MID(B1024,4,3),{"Jan","Feb","Mar","Apr","May","Jun","Jul","Aug","Sep","Oct","Nov","Dec"},0),VALUE(LEFT(B1024,2)))))</f>
        <v>45878</v>
      </c>
    </row>
    <row r="1025" customFormat="false" ht="15" hidden="false" customHeight="false" outlineLevel="0" collapsed="false">
      <c r="A1025" s="7" t="s">
        <v>3066</v>
      </c>
      <c r="B1025" s="7" t="s">
        <v>3067</v>
      </c>
      <c r="C1025" s="7" t="s">
        <v>999</v>
      </c>
      <c r="D1025" s="7" t="s">
        <v>2464</v>
      </c>
      <c r="E1025" s="7" t="s">
        <v>113</v>
      </c>
      <c r="F1025" s="7" t="s">
        <v>101</v>
      </c>
      <c r="G1025" s="7" t="s">
        <v>90</v>
      </c>
      <c r="H1025" s="7" t="n">
        <v>2</v>
      </c>
      <c r="I1025" s="7" t="n">
        <v>235</v>
      </c>
      <c r="J1025" s="7" t="n">
        <v>0</v>
      </c>
      <c r="K1025" s="7" t="s">
        <v>88</v>
      </c>
      <c r="L1025" s="7" t="s">
        <v>194</v>
      </c>
      <c r="M1025" s="7" t="n">
        <v>39</v>
      </c>
      <c r="N1025" s="7" t="n">
        <v>3</v>
      </c>
      <c r="O1025" s="7" t="str">
        <f aca="false">A1025&amp;"|"&amp;B1025&amp;"|"&amp;C1025&amp;"|"&amp;D1025&amp;"|"&amp;E1025&amp;"|"&amp;F1025&amp;"|"&amp;G1025&amp;"|"&amp;H1025&amp;"|"&amp;I1025&amp;"|"&amp;J1025&amp;"|"&amp;K1025&amp;"|"&amp;L1025&amp;"|"&amp;M1025&amp;"|"&amp;N1025</f>
        <v>ORD11852|2025-08-29|22:53|C0301|Curry Leaf Kitchen|Mumbai|North Indian|2|235|0|UPI|Delivered|39|3</v>
      </c>
      <c r="P1025" s="7" t="str">
        <f aca="false">IF(COUNTIF($O$2:O1025,O1025)&gt;1,"DUP","OK")</f>
        <v>OK</v>
      </c>
      <c r="Q1025" s="7" t="n">
        <f aca="false">COUNTBLANK(A1025:N1025)</f>
        <v>0</v>
      </c>
      <c r="R1025" s="7" t="n">
        <f aca="false">IF(A1025="",0,COUNTIFS($A$2:$A$3058,A1025,$P$2:$P$3058,"OK"))</f>
        <v>1</v>
      </c>
      <c r="S1025" s="7" t="str">
        <f aca="false">IF(OR(A1025="",P1025="DUP",R1025&lt;2),"",IF(Q1025=_xlfn.MINIFS($Q$2:$Q$3058,$A$2:$A$3058,A1025,$P$2:$P$3058,"OK"),"KEEP","DROP"))</f>
        <v/>
      </c>
      <c r="T1025" s="9" t="n">
        <f aca="false">IF(A1025="",1,0)</f>
        <v>0</v>
      </c>
      <c r="U1025" s="9" t="n">
        <f aca="false">IF(D1025="",1,0)</f>
        <v>0</v>
      </c>
      <c r="V1025" s="9" t="n">
        <f aca="false">IF(E1025="",1,0)</f>
        <v>0</v>
      </c>
      <c r="W1025" s="9" t="n">
        <f aca="false">IF(OR(H1025&lt;1,H1025&gt;10),1,0)</f>
        <v>0</v>
      </c>
      <c r="X1025" s="9" t="n">
        <f aca="false">IF(OR(I1025&lt;=0,I1025&gt;1500),1,0)</f>
        <v>0</v>
      </c>
      <c r="Y1025" s="9" t="n">
        <f aca="false">IF(J1025&gt;H1025*I1025,1,0)</f>
        <v>0</v>
      </c>
      <c r="Z1025" s="9" t="n">
        <f aca="false">IF(AND(N1025&lt;&gt;"",OR(N1025&lt;1,N1025&gt;5)),1,0)</f>
        <v>0</v>
      </c>
      <c r="AA1025" s="9" t="n">
        <f aca="false">IF(AND(M1025&lt;&gt;"",OR(M1025&lt;5,M1025&gt;180)),1,0)</f>
        <v>0</v>
      </c>
      <c r="AB1025" s="7" t="str">
        <f aca="false">IF(P1025="DUP","Exact duplicate row",IF(T1025=1,"Missing Order ID",IF(S1025="DROP","Duplicate Order ID (less complete row)",IF(U1025=1,"Missing Customer ID",IF(V1025=1,"Missing Restaurant name",IF(W1025=1,"Invalid/outlier quantity",IF(X1025=1,"Invalid/outlier unit price",IF(Y1025=1,"Discount greater than order value",""))))))))</f>
        <v/>
      </c>
      <c r="AC1025" s="7" t="str">
        <f aca="false">IF(AB1025="","KEEP","DROP")</f>
        <v>KEEP</v>
      </c>
      <c r="AD1025" s="7" t="str">
        <f aca="false">IF(TRIM(F1025)="",IFERROR(INDEX(Map_Tables!$I$4:$I$37,MATCH(TRIM(E1025),Map_Tables!$G$4:$G$37,0)),""),IFERROR(INDEX(Map_Tables!$B$4:$B$18,MATCH(TRIM(F1025),Map_Tables!$A$4:$A$18,0)),"CHECK"))</f>
        <v>Mumbai</v>
      </c>
      <c r="AE1025" s="7" t="str">
        <f aca="false">IF(TRIM(E1025)="","",IFERROR(INDEX(Map_Tables!$H$4:$H$37,MATCH(TRIM(E1025),Map_Tables!$G$4:$G$37,0)),"CHECK"))</f>
        <v>Curry Leaf Kitchen</v>
      </c>
      <c r="AF1025" s="7" t="str">
        <f aca="false">IF(TRIM(K1025)="","Unknown",IFERROR(INDEX(Map_Tables!$E$4:$E$15,MATCH(TRIM(K1025),Map_Tables!$D$4:$D$15,0)),"CHECK"))</f>
        <v>UPI</v>
      </c>
      <c r="AG1025" s="7" t="str">
        <f aca="false">IF(LEFT(LOWER(TRIM(L1025)),6)="cancel","Cancelled","Delivered")</f>
        <v>Delivered</v>
      </c>
      <c r="AH1025" s="10" t="n">
        <f aca="false">IF(ISNUMBER(SEARCH("/",B1025)),DATE(VALUE(RIGHT(B1025,4)),VALUE(MID(B1025,4,2)),VALUE(LEFT(B1025,2))),IF(MID(B1025,5,1)="-",DATE(VALUE(LEFT(B1025,4)),VALUE(MID(B1025,6,2)),VALUE(RIGHT(B1025,2))),DATE(VALUE(RIGHT(B1025,4)),MATCH(MID(B1025,4,3),{"Jan","Feb","Mar","Apr","May","Jun","Jul","Aug","Sep","Oct","Nov","Dec"},0),VALUE(LEFT(B1025,2)))))</f>
        <v>45898</v>
      </c>
    </row>
    <row r="1026" customFormat="false" ht="15" hidden="false" customHeight="false" outlineLevel="0" collapsed="false">
      <c r="A1026" s="7" t="s">
        <v>3068</v>
      </c>
      <c r="B1026" s="7" t="s">
        <v>222</v>
      </c>
      <c r="C1026" s="7" t="s">
        <v>1419</v>
      </c>
      <c r="D1026" s="7" t="s">
        <v>1598</v>
      </c>
      <c r="E1026" s="7" t="s">
        <v>160</v>
      </c>
      <c r="F1026" s="7" t="s">
        <v>135</v>
      </c>
      <c r="G1026" s="7" t="s">
        <v>150</v>
      </c>
      <c r="H1026" s="7" t="n">
        <v>3</v>
      </c>
      <c r="I1026" s="7" t="n">
        <v>230</v>
      </c>
      <c r="J1026" s="7" t="n">
        <v>150</v>
      </c>
      <c r="K1026" s="7" t="s">
        <v>112</v>
      </c>
      <c r="L1026" s="7" t="s">
        <v>194</v>
      </c>
      <c r="M1026" s="7" t="n">
        <v>26</v>
      </c>
      <c r="N1026" s="7"/>
      <c r="O1026" s="7" t="str">
        <f aca="false">A1026&amp;"|"&amp;B1026&amp;"|"&amp;C1026&amp;"|"&amp;D1026&amp;"|"&amp;E1026&amp;"|"&amp;F1026&amp;"|"&amp;G1026&amp;"|"&amp;H1026&amp;"|"&amp;I1026&amp;"|"&amp;J1026&amp;"|"&amp;K1026&amp;"|"&amp;L1026&amp;"|"&amp;M1026&amp;"|"&amp;N1026</f>
        <v>ORD12787|2025-12-07|11:21|C1178|Cake Walk|pune|Desserts|3|230|150|Cash on Delivery|Delivered|26|</v>
      </c>
      <c r="P1026" s="7" t="str">
        <f aca="false">IF(COUNTIF($O$2:O1026,O1026)&gt;1,"DUP","OK")</f>
        <v>OK</v>
      </c>
      <c r="Q1026" s="7" t="n">
        <f aca="false">COUNTBLANK(A1026:N1026)</f>
        <v>1</v>
      </c>
      <c r="R1026" s="7" t="n">
        <f aca="false">IF(A1026="",0,COUNTIFS($A$2:$A$3058,A1026,$P$2:$P$3058,"OK"))</f>
        <v>1</v>
      </c>
      <c r="S1026" s="7" t="str">
        <f aca="false">IF(OR(A1026="",P1026="DUP",R1026&lt;2),"",IF(Q1026=_xlfn.MINIFS($Q$2:$Q$3058,$A$2:$A$3058,A1026,$P$2:$P$3058,"OK"),"KEEP","DROP"))</f>
        <v/>
      </c>
      <c r="T1026" s="9" t="n">
        <f aca="false">IF(A1026="",1,0)</f>
        <v>0</v>
      </c>
      <c r="U1026" s="9" t="n">
        <f aca="false">IF(D1026="",1,0)</f>
        <v>0</v>
      </c>
      <c r="V1026" s="9" t="n">
        <f aca="false">IF(E1026="",1,0)</f>
        <v>0</v>
      </c>
      <c r="W1026" s="9" t="n">
        <f aca="false">IF(OR(H1026&lt;1,H1026&gt;10),1,0)</f>
        <v>0</v>
      </c>
      <c r="X1026" s="9" t="n">
        <f aca="false">IF(OR(I1026&lt;=0,I1026&gt;1500),1,0)</f>
        <v>0</v>
      </c>
      <c r="Y1026" s="9" t="n">
        <f aca="false">IF(J1026&gt;H1026*I1026,1,0)</f>
        <v>0</v>
      </c>
      <c r="Z1026" s="9" t="n">
        <f aca="false">IF(AND(N1026&lt;&gt;"",OR(N1026&lt;1,N1026&gt;5)),1,0)</f>
        <v>0</v>
      </c>
      <c r="AA1026" s="9" t="n">
        <f aca="false">IF(AND(M1026&lt;&gt;"",OR(M1026&lt;5,M1026&gt;180)),1,0)</f>
        <v>0</v>
      </c>
      <c r="AB1026" s="7" t="str">
        <f aca="false">IF(P1026="DUP","Exact duplicate row",IF(T1026=1,"Missing Order ID",IF(S1026="DROP","Duplicate Order ID (less complete row)",IF(U1026=1,"Missing Customer ID",IF(V1026=1,"Missing Restaurant name",IF(W1026=1,"Invalid/outlier quantity",IF(X1026=1,"Invalid/outlier unit price",IF(Y1026=1,"Discount greater than order value",""))))))))</f>
        <v/>
      </c>
      <c r="AC1026" s="7" t="str">
        <f aca="false">IF(AB1026="","KEEP","DROP")</f>
        <v>KEEP</v>
      </c>
      <c r="AD1026" s="7" t="str">
        <f aca="false">IF(TRIM(F1026)="",IFERROR(INDEX(Map_Tables!$I$4:$I$37,MATCH(TRIM(E1026),Map_Tables!$G$4:$G$37,0)),""),IFERROR(INDEX(Map_Tables!$B$4:$B$18,MATCH(TRIM(F1026),Map_Tables!$A$4:$A$18,0)),"CHECK"))</f>
        <v>Pune</v>
      </c>
      <c r="AE1026" s="7" t="str">
        <f aca="false">IF(TRIM(E1026)="","",IFERROR(INDEX(Map_Tables!$H$4:$H$37,MATCH(TRIM(E1026),Map_Tables!$G$4:$G$37,0)),"CHECK"))</f>
        <v>Cake Walk</v>
      </c>
      <c r="AF1026" s="7" t="str">
        <f aca="false">IF(TRIM(K1026)="","Unknown",IFERROR(INDEX(Map_Tables!$E$4:$E$15,MATCH(TRIM(K1026),Map_Tables!$D$4:$D$15,0)),"CHECK"))</f>
        <v>Cash on Delivery</v>
      </c>
      <c r="AG1026" s="7" t="str">
        <f aca="false">IF(LEFT(LOWER(TRIM(L1026)),6)="cancel","Cancelled","Delivered")</f>
        <v>Delivered</v>
      </c>
      <c r="AH1026" s="10" t="n">
        <f aca="false">IF(ISNUMBER(SEARCH("/",B1026)),DATE(VALUE(RIGHT(B1026,4)),VALUE(MID(B1026,4,2)),VALUE(LEFT(B1026,2))),IF(MID(B1026,5,1)="-",DATE(VALUE(LEFT(B1026,4)),VALUE(MID(B1026,6,2)),VALUE(RIGHT(B1026,2))),DATE(VALUE(RIGHT(B1026,4)),MATCH(MID(B1026,4,3),{"Jan","Feb","Mar","Apr","May","Jun","Jul","Aug","Sep","Oct","Nov","Dec"},0),VALUE(LEFT(B1026,2)))))</f>
        <v>45998</v>
      </c>
    </row>
    <row r="1027" customFormat="false" ht="15" hidden="false" customHeight="false" outlineLevel="0" collapsed="false">
      <c r="A1027" s="7" t="s">
        <v>3069</v>
      </c>
      <c r="B1027" s="7" t="s">
        <v>3070</v>
      </c>
      <c r="C1027" s="7" t="s">
        <v>1054</v>
      </c>
      <c r="D1027" s="7"/>
      <c r="E1027" s="7" t="s">
        <v>149</v>
      </c>
      <c r="F1027" s="7" t="s">
        <v>119</v>
      </c>
      <c r="G1027" s="7" t="s">
        <v>150</v>
      </c>
      <c r="H1027" s="7" t="n">
        <v>3</v>
      </c>
      <c r="I1027" s="7" t="n">
        <v>155</v>
      </c>
      <c r="J1027" s="7" t="n">
        <v>0</v>
      </c>
      <c r="K1027" s="7" t="s">
        <v>88</v>
      </c>
      <c r="L1027" s="7" t="s">
        <v>194</v>
      </c>
      <c r="M1027" s="7" t="n">
        <v>32</v>
      </c>
      <c r="N1027" s="7" t="n">
        <v>4</v>
      </c>
      <c r="O1027" s="7" t="str">
        <f aca="false">A1027&amp;"|"&amp;B1027&amp;"|"&amp;C1027&amp;"|"&amp;D1027&amp;"|"&amp;E1027&amp;"|"&amp;F1027&amp;"|"&amp;G1027&amp;"|"&amp;H1027&amp;"|"&amp;I1027&amp;"|"&amp;J1027&amp;"|"&amp;K1027&amp;"|"&amp;L1027&amp;"|"&amp;M1027&amp;"|"&amp;N1027</f>
        <v>ORD10383|2025-02-20|13:36||Sweet Tooth Studio|Hyderabad|Desserts|3|155|0|UPI|Delivered|32|4</v>
      </c>
      <c r="P1027" s="7" t="str">
        <f aca="false">IF(COUNTIF($O$2:O1027,O1027)&gt;1,"DUP","OK")</f>
        <v>OK</v>
      </c>
      <c r="Q1027" s="7" t="n">
        <f aca="false">COUNTBLANK(A1027:N1027)</f>
        <v>1</v>
      </c>
      <c r="R1027" s="7" t="n">
        <f aca="false">IF(A1027="",0,COUNTIFS($A$2:$A$3058,A1027,$P$2:$P$3058,"OK"))</f>
        <v>1</v>
      </c>
      <c r="S1027" s="7" t="str">
        <f aca="false">IF(OR(A1027="",P1027="DUP",R1027&lt;2),"",IF(Q1027=_xlfn.MINIFS($Q$2:$Q$3058,$A$2:$A$3058,A1027,$P$2:$P$3058,"OK"),"KEEP","DROP"))</f>
        <v/>
      </c>
      <c r="T1027" s="9" t="n">
        <f aca="false">IF(A1027="",1,0)</f>
        <v>0</v>
      </c>
      <c r="U1027" s="9" t="n">
        <f aca="false">IF(D1027="",1,0)</f>
        <v>1</v>
      </c>
      <c r="V1027" s="9" t="n">
        <f aca="false">IF(E1027="",1,0)</f>
        <v>0</v>
      </c>
      <c r="W1027" s="9" t="n">
        <f aca="false">IF(OR(H1027&lt;1,H1027&gt;10),1,0)</f>
        <v>0</v>
      </c>
      <c r="X1027" s="9" t="n">
        <f aca="false">IF(OR(I1027&lt;=0,I1027&gt;1500),1,0)</f>
        <v>0</v>
      </c>
      <c r="Y1027" s="9" t="n">
        <f aca="false">IF(J1027&gt;H1027*I1027,1,0)</f>
        <v>0</v>
      </c>
      <c r="Z1027" s="9" t="n">
        <f aca="false">IF(AND(N1027&lt;&gt;"",OR(N1027&lt;1,N1027&gt;5)),1,0)</f>
        <v>0</v>
      </c>
      <c r="AA1027" s="9" t="n">
        <f aca="false">IF(AND(M1027&lt;&gt;"",OR(M1027&lt;5,M1027&gt;180)),1,0)</f>
        <v>0</v>
      </c>
      <c r="AB1027" s="7" t="str">
        <f aca="false">IF(P1027="DUP","Exact duplicate row",IF(T1027=1,"Missing Order ID",IF(S1027="DROP","Duplicate Order ID (less complete row)",IF(U1027=1,"Missing Customer ID",IF(V1027=1,"Missing Restaurant name",IF(W1027=1,"Invalid/outlier quantity",IF(X1027=1,"Invalid/outlier unit price",IF(Y1027=1,"Discount greater than order value",""))))))))</f>
        <v>Missing Customer ID</v>
      </c>
      <c r="AC1027" s="7" t="str">
        <f aca="false">IF(AB1027="","KEEP","DROP")</f>
        <v>DROP</v>
      </c>
      <c r="AD1027" s="7" t="str">
        <f aca="false">IF(TRIM(F1027)="",IFERROR(INDEX(Map_Tables!$I$4:$I$37,MATCH(TRIM(E1027),Map_Tables!$G$4:$G$37,0)),""),IFERROR(INDEX(Map_Tables!$B$4:$B$18,MATCH(TRIM(F1027),Map_Tables!$A$4:$A$18,0)),"CHECK"))</f>
        <v>Hyderabad</v>
      </c>
      <c r="AE1027" s="7" t="str">
        <f aca="false">IF(TRIM(E1027)="","",IFERROR(INDEX(Map_Tables!$H$4:$H$37,MATCH(TRIM(E1027),Map_Tables!$G$4:$G$37,0)),"CHECK"))</f>
        <v>Sweet Tooth Studio</v>
      </c>
      <c r="AF1027" s="7" t="str">
        <f aca="false">IF(TRIM(K1027)="","Unknown",IFERROR(INDEX(Map_Tables!$E$4:$E$15,MATCH(TRIM(K1027),Map_Tables!$D$4:$D$15,0)),"CHECK"))</f>
        <v>UPI</v>
      </c>
      <c r="AG1027" s="7" t="str">
        <f aca="false">IF(LEFT(LOWER(TRIM(L1027)),6)="cancel","Cancelled","Delivered")</f>
        <v>Delivered</v>
      </c>
      <c r="AH1027" s="10" t="n">
        <f aca="false">IF(ISNUMBER(SEARCH("/",B1027)),DATE(VALUE(RIGHT(B1027,4)),VALUE(MID(B1027,4,2)),VALUE(LEFT(B1027,2))),IF(MID(B1027,5,1)="-",DATE(VALUE(LEFT(B1027,4)),VALUE(MID(B1027,6,2)),VALUE(RIGHT(B1027,2))),DATE(VALUE(RIGHT(B1027,4)),MATCH(MID(B1027,4,3),{"Jan","Feb","Mar","Apr","May","Jun","Jul","Aug","Sep","Oct","Nov","Dec"},0),VALUE(LEFT(B1027,2)))))</f>
        <v>45708</v>
      </c>
    </row>
    <row r="1028" customFormat="false" ht="15" hidden="false" customHeight="false" outlineLevel="0" collapsed="false">
      <c r="A1028" s="7" t="s">
        <v>3071</v>
      </c>
      <c r="B1028" s="7" t="s">
        <v>2617</v>
      </c>
      <c r="C1028" s="7" t="s">
        <v>1559</v>
      </c>
      <c r="D1028" s="7" t="s">
        <v>3072</v>
      </c>
      <c r="E1028" s="7" t="s">
        <v>144</v>
      </c>
      <c r="F1028" s="7" t="s">
        <v>119</v>
      </c>
      <c r="G1028" s="7" t="s">
        <v>99</v>
      </c>
      <c r="H1028" s="7" t="n">
        <v>0</v>
      </c>
      <c r="I1028" s="7" t="n">
        <v>250</v>
      </c>
      <c r="J1028" s="7" t="n">
        <v>125</v>
      </c>
      <c r="K1028" s="7" t="s">
        <v>121</v>
      </c>
      <c r="L1028" s="7" t="s">
        <v>238</v>
      </c>
      <c r="M1028" s="7"/>
      <c r="N1028" s="7"/>
      <c r="O1028" s="7" t="str">
        <f aca="false">A1028&amp;"|"&amp;B1028&amp;"|"&amp;C1028&amp;"|"&amp;D1028&amp;"|"&amp;E1028&amp;"|"&amp;F1028&amp;"|"&amp;G1028&amp;"|"&amp;H1028&amp;"|"&amp;I1028&amp;"|"&amp;J1028&amp;"|"&amp;K1028&amp;"|"&amp;L1028&amp;"|"&amp;M1028&amp;"|"&amp;N1028</f>
        <v>ORD12683|2025-11-27|09:02|C1085|Hyderabad Dum Biryani|Hyderabad|Biryani|0|250|125|Wallet|Cancelled||</v>
      </c>
      <c r="P1028" s="7" t="str">
        <f aca="false">IF(COUNTIF($O$2:O1028,O1028)&gt;1,"DUP","OK")</f>
        <v>OK</v>
      </c>
      <c r="Q1028" s="7" t="n">
        <f aca="false">COUNTBLANK(A1028:N1028)</f>
        <v>2</v>
      </c>
      <c r="R1028" s="7" t="n">
        <f aca="false">IF(A1028="",0,COUNTIFS($A$2:$A$3058,A1028,$P$2:$P$3058,"OK"))</f>
        <v>1</v>
      </c>
      <c r="S1028" s="7" t="str">
        <f aca="false">IF(OR(A1028="",P1028="DUP",R1028&lt;2),"",IF(Q1028=_xlfn.MINIFS($Q$2:$Q$3058,$A$2:$A$3058,A1028,$P$2:$P$3058,"OK"),"KEEP","DROP"))</f>
        <v/>
      </c>
      <c r="T1028" s="9" t="n">
        <f aca="false">IF(A1028="",1,0)</f>
        <v>0</v>
      </c>
      <c r="U1028" s="9" t="n">
        <f aca="false">IF(D1028="",1,0)</f>
        <v>0</v>
      </c>
      <c r="V1028" s="9" t="n">
        <f aca="false">IF(E1028="",1,0)</f>
        <v>0</v>
      </c>
      <c r="W1028" s="9" t="n">
        <f aca="false">IF(OR(H1028&lt;1,H1028&gt;10),1,0)</f>
        <v>1</v>
      </c>
      <c r="X1028" s="9" t="n">
        <f aca="false">IF(OR(I1028&lt;=0,I1028&gt;1500),1,0)</f>
        <v>0</v>
      </c>
      <c r="Y1028" s="9" t="n">
        <f aca="false">IF(J1028&gt;H1028*I1028,1,0)</f>
        <v>1</v>
      </c>
      <c r="Z1028" s="9" t="n">
        <f aca="false">IF(AND(N1028&lt;&gt;"",OR(N1028&lt;1,N1028&gt;5)),1,0)</f>
        <v>0</v>
      </c>
      <c r="AA1028" s="9" t="n">
        <f aca="false">IF(AND(M1028&lt;&gt;"",OR(M1028&lt;5,M1028&gt;180)),1,0)</f>
        <v>0</v>
      </c>
      <c r="AB1028" s="7" t="str">
        <f aca="false">IF(P1028="DUP","Exact duplicate row",IF(T1028=1,"Missing Order ID",IF(S1028="DROP","Duplicate Order ID (less complete row)",IF(U1028=1,"Missing Customer ID",IF(V1028=1,"Missing Restaurant name",IF(W1028=1,"Invalid/outlier quantity",IF(X1028=1,"Invalid/outlier unit price",IF(Y1028=1,"Discount greater than order value",""))))))))</f>
        <v>Invalid/outlier quantity</v>
      </c>
      <c r="AC1028" s="7" t="str">
        <f aca="false">IF(AB1028="","KEEP","DROP")</f>
        <v>DROP</v>
      </c>
      <c r="AD1028" s="7" t="str">
        <f aca="false">IF(TRIM(F1028)="",IFERROR(INDEX(Map_Tables!$I$4:$I$37,MATCH(TRIM(E1028),Map_Tables!$G$4:$G$37,0)),""),IFERROR(INDEX(Map_Tables!$B$4:$B$18,MATCH(TRIM(F1028),Map_Tables!$A$4:$A$18,0)),"CHECK"))</f>
        <v>Hyderabad</v>
      </c>
      <c r="AE1028" s="7" t="str">
        <f aca="false">IF(TRIM(E1028)="","",IFERROR(INDEX(Map_Tables!$H$4:$H$37,MATCH(TRIM(E1028),Map_Tables!$G$4:$G$37,0)),"CHECK"))</f>
        <v>Hyderabad Dum Biryani</v>
      </c>
      <c r="AF1028" s="7" t="str">
        <f aca="false">IF(TRIM(K1028)="","Unknown",IFERROR(INDEX(Map_Tables!$E$4:$E$15,MATCH(TRIM(K1028),Map_Tables!$D$4:$D$15,0)),"CHECK"))</f>
        <v>Wallet</v>
      </c>
      <c r="AG1028" s="7" t="str">
        <f aca="false">IF(LEFT(LOWER(TRIM(L1028)),6)="cancel","Cancelled","Delivered")</f>
        <v>Cancelled</v>
      </c>
      <c r="AH1028" s="10" t="n">
        <f aca="false">IF(ISNUMBER(SEARCH("/",B1028)),DATE(VALUE(RIGHT(B1028,4)),VALUE(MID(B1028,4,2)),VALUE(LEFT(B1028,2))),IF(MID(B1028,5,1)="-",DATE(VALUE(LEFT(B1028,4)),VALUE(MID(B1028,6,2)),VALUE(RIGHT(B1028,2))),DATE(VALUE(RIGHT(B1028,4)),MATCH(MID(B1028,4,3),{"Jan","Feb","Mar","Apr","May","Jun","Jul","Aug","Sep","Oct","Nov","Dec"},0),VALUE(LEFT(B1028,2)))))</f>
        <v>45988</v>
      </c>
    </row>
    <row r="1029" customFormat="false" ht="15" hidden="false" customHeight="false" outlineLevel="0" collapsed="false">
      <c r="A1029" s="7" t="s">
        <v>3073</v>
      </c>
      <c r="B1029" s="7" t="s">
        <v>1136</v>
      </c>
      <c r="C1029" s="7" t="s">
        <v>1852</v>
      </c>
      <c r="D1029" s="7" t="s">
        <v>3074</v>
      </c>
      <c r="E1029" s="7" t="s">
        <v>138</v>
      </c>
      <c r="F1029" s="7" t="s">
        <v>110</v>
      </c>
      <c r="G1029" s="7" t="s">
        <v>139</v>
      </c>
      <c r="H1029" s="7" t="n">
        <v>1</v>
      </c>
      <c r="I1029" s="7" t="n">
        <v>170</v>
      </c>
      <c r="J1029" s="7" t="n">
        <v>0</v>
      </c>
      <c r="K1029" s="7" t="s">
        <v>93</v>
      </c>
      <c r="L1029" s="7" t="s">
        <v>194</v>
      </c>
      <c r="M1029" s="7" t="n">
        <v>41</v>
      </c>
      <c r="N1029" s="7" t="n">
        <v>4</v>
      </c>
      <c r="O1029" s="7" t="str">
        <f aca="false">A1029&amp;"|"&amp;B1029&amp;"|"&amp;C1029&amp;"|"&amp;D1029&amp;"|"&amp;E1029&amp;"|"&amp;F1029&amp;"|"&amp;G1029&amp;"|"&amp;H1029&amp;"|"&amp;I1029&amp;"|"&amp;J1029&amp;"|"&amp;K1029&amp;"|"&amp;L1029&amp;"|"&amp;M1029&amp;"|"&amp;N1029</f>
        <v>ORD11980|2025-09-13|19:54|C0941|Burger Barn|Delhi|Burgers|1|170|0|Credit Card|Delivered|41|4</v>
      </c>
      <c r="P1029" s="7" t="str">
        <f aca="false">IF(COUNTIF($O$2:O1029,O1029)&gt;1,"DUP","OK")</f>
        <v>OK</v>
      </c>
      <c r="Q1029" s="7" t="n">
        <f aca="false">COUNTBLANK(A1029:N1029)</f>
        <v>0</v>
      </c>
      <c r="R1029" s="7" t="n">
        <f aca="false">IF(A1029="",0,COUNTIFS($A$2:$A$3058,A1029,$P$2:$P$3058,"OK"))</f>
        <v>1</v>
      </c>
      <c r="S1029" s="7" t="str">
        <f aca="false">IF(OR(A1029="",P1029="DUP",R1029&lt;2),"",IF(Q1029=_xlfn.MINIFS($Q$2:$Q$3058,$A$2:$A$3058,A1029,$P$2:$P$3058,"OK"),"KEEP","DROP"))</f>
        <v/>
      </c>
      <c r="T1029" s="9" t="n">
        <f aca="false">IF(A1029="",1,0)</f>
        <v>0</v>
      </c>
      <c r="U1029" s="9" t="n">
        <f aca="false">IF(D1029="",1,0)</f>
        <v>0</v>
      </c>
      <c r="V1029" s="9" t="n">
        <f aca="false">IF(E1029="",1,0)</f>
        <v>0</v>
      </c>
      <c r="W1029" s="9" t="n">
        <f aca="false">IF(OR(H1029&lt;1,H1029&gt;10),1,0)</f>
        <v>0</v>
      </c>
      <c r="X1029" s="9" t="n">
        <f aca="false">IF(OR(I1029&lt;=0,I1029&gt;1500),1,0)</f>
        <v>0</v>
      </c>
      <c r="Y1029" s="9" t="n">
        <f aca="false">IF(J1029&gt;H1029*I1029,1,0)</f>
        <v>0</v>
      </c>
      <c r="Z1029" s="9" t="n">
        <f aca="false">IF(AND(N1029&lt;&gt;"",OR(N1029&lt;1,N1029&gt;5)),1,0)</f>
        <v>0</v>
      </c>
      <c r="AA1029" s="9" t="n">
        <f aca="false">IF(AND(M1029&lt;&gt;"",OR(M1029&lt;5,M1029&gt;180)),1,0)</f>
        <v>0</v>
      </c>
      <c r="AB1029" s="7" t="str">
        <f aca="false">IF(P1029="DUP","Exact duplicate row",IF(T1029=1,"Missing Order ID",IF(S1029="DROP","Duplicate Order ID (less complete row)",IF(U1029=1,"Missing Customer ID",IF(V1029=1,"Missing Restaurant name",IF(W1029=1,"Invalid/outlier quantity",IF(X1029=1,"Invalid/outlier unit price",IF(Y1029=1,"Discount greater than order value",""))))))))</f>
        <v/>
      </c>
      <c r="AC1029" s="7" t="str">
        <f aca="false">IF(AB1029="","KEEP","DROP")</f>
        <v>KEEP</v>
      </c>
      <c r="AD1029" s="7" t="str">
        <f aca="false">IF(TRIM(F1029)="",IFERROR(INDEX(Map_Tables!$I$4:$I$37,MATCH(TRIM(E1029),Map_Tables!$G$4:$G$37,0)),""),IFERROR(INDEX(Map_Tables!$B$4:$B$18,MATCH(TRIM(F1029),Map_Tables!$A$4:$A$18,0)),"CHECK"))</f>
        <v>Delhi</v>
      </c>
      <c r="AE1029" s="7" t="str">
        <f aca="false">IF(TRIM(E1029)="","",IFERROR(INDEX(Map_Tables!$H$4:$H$37,MATCH(TRIM(E1029),Map_Tables!$G$4:$G$37,0)),"CHECK"))</f>
        <v>Burger Barn</v>
      </c>
      <c r="AF1029" s="7" t="str">
        <f aca="false">IF(TRIM(K1029)="","Unknown",IFERROR(INDEX(Map_Tables!$E$4:$E$15,MATCH(TRIM(K1029),Map_Tables!$D$4:$D$15,0)),"CHECK"))</f>
        <v>Credit Card</v>
      </c>
      <c r="AG1029" s="7" t="str">
        <f aca="false">IF(LEFT(LOWER(TRIM(L1029)),6)="cancel","Cancelled","Delivered")</f>
        <v>Delivered</v>
      </c>
      <c r="AH1029" s="10" t="n">
        <f aca="false">IF(ISNUMBER(SEARCH("/",B1029)),DATE(VALUE(RIGHT(B1029,4)),VALUE(MID(B1029,4,2)),VALUE(LEFT(B1029,2))),IF(MID(B1029,5,1)="-",DATE(VALUE(LEFT(B1029,4)),VALUE(MID(B1029,6,2)),VALUE(RIGHT(B1029,2))),DATE(VALUE(RIGHT(B1029,4)),MATCH(MID(B1029,4,3),{"Jan","Feb","Mar","Apr","May","Jun","Jul","Aug","Sep","Oct","Nov","Dec"},0),VALUE(LEFT(B1029,2)))))</f>
        <v>45913</v>
      </c>
    </row>
    <row r="1030" customFormat="false" ht="15" hidden="false" customHeight="false" outlineLevel="0" collapsed="false">
      <c r="A1030" s="7" t="s">
        <v>3075</v>
      </c>
      <c r="B1030" s="7" t="s">
        <v>2234</v>
      </c>
      <c r="C1030" s="7" t="s">
        <v>1087</v>
      </c>
      <c r="D1030" s="7" t="s">
        <v>3076</v>
      </c>
      <c r="E1030" s="7" t="s">
        <v>130</v>
      </c>
      <c r="F1030" s="7" t="s">
        <v>110</v>
      </c>
      <c r="G1030" s="7" t="s">
        <v>90</v>
      </c>
      <c r="H1030" s="7" t="n">
        <v>3</v>
      </c>
      <c r="I1030" s="7" t="n">
        <v>250</v>
      </c>
      <c r="J1030" s="7" t="n">
        <v>0</v>
      </c>
      <c r="K1030" s="7" t="s">
        <v>566</v>
      </c>
      <c r="L1030" s="7" t="s">
        <v>194</v>
      </c>
      <c r="M1030" s="7" t="n">
        <v>33</v>
      </c>
      <c r="N1030" s="7" t="n">
        <v>4</v>
      </c>
      <c r="O1030" s="7" t="str">
        <f aca="false">A1030&amp;"|"&amp;B1030&amp;"|"&amp;C1030&amp;"|"&amp;D1030&amp;"|"&amp;E1030&amp;"|"&amp;F1030&amp;"|"&amp;G1030&amp;"|"&amp;H1030&amp;"|"&amp;I1030&amp;"|"&amp;J1030&amp;"|"&amp;K1030&amp;"|"&amp;L1030&amp;"|"&amp;M1030&amp;"|"&amp;N1030</f>
        <v>ORD12832|2025-12-12|19:47|C0760|Tandoor Tales|Delhi|North Indian|3|250|0|NetBanking|Delivered|33|4</v>
      </c>
      <c r="P1030" s="7" t="str">
        <f aca="false">IF(COUNTIF($O$2:O1030,O1030)&gt;1,"DUP","OK")</f>
        <v>OK</v>
      </c>
      <c r="Q1030" s="7" t="n">
        <f aca="false">COUNTBLANK(A1030:N1030)</f>
        <v>0</v>
      </c>
      <c r="R1030" s="7" t="n">
        <f aca="false">IF(A1030="",0,COUNTIFS($A$2:$A$3058,A1030,$P$2:$P$3058,"OK"))</f>
        <v>1</v>
      </c>
      <c r="S1030" s="7" t="str">
        <f aca="false">IF(OR(A1030="",P1030="DUP",R1030&lt;2),"",IF(Q1030=_xlfn.MINIFS($Q$2:$Q$3058,$A$2:$A$3058,A1030,$P$2:$P$3058,"OK"),"KEEP","DROP"))</f>
        <v/>
      </c>
      <c r="T1030" s="9" t="n">
        <f aca="false">IF(A1030="",1,0)</f>
        <v>0</v>
      </c>
      <c r="U1030" s="9" t="n">
        <f aca="false">IF(D1030="",1,0)</f>
        <v>0</v>
      </c>
      <c r="V1030" s="9" t="n">
        <f aca="false">IF(E1030="",1,0)</f>
        <v>0</v>
      </c>
      <c r="W1030" s="9" t="n">
        <f aca="false">IF(OR(H1030&lt;1,H1030&gt;10),1,0)</f>
        <v>0</v>
      </c>
      <c r="X1030" s="9" t="n">
        <f aca="false">IF(OR(I1030&lt;=0,I1030&gt;1500),1,0)</f>
        <v>0</v>
      </c>
      <c r="Y1030" s="9" t="n">
        <f aca="false">IF(J1030&gt;H1030*I1030,1,0)</f>
        <v>0</v>
      </c>
      <c r="Z1030" s="9" t="n">
        <f aca="false">IF(AND(N1030&lt;&gt;"",OR(N1030&lt;1,N1030&gt;5)),1,0)</f>
        <v>0</v>
      </c>
      <c r="AA1030" s="9" t="n">
        <f aca="false">IF(AND(M1030&lt;&gt;"",OR(M1030&lt;5,M1030&gt;180)),1,0)</f>
        <v>0</v>
      </c>
      <c r="AB1030" s="7" t="str">
        <f aca="false">IF(P1030="DUP","Exact duplicate row",IF(T1030=1,"Missing Order ID",IF(S1030="DROP","Duplicate Order ID (less complete row)",IF(U1030=1,"Missing Customer ID",IF(V1030=1,"Missing Restaurant name",IF(W1030=1,"Invalid/outlier quantity",IF(X1030=1,"Invalid/outlier unit price",IF(Y1030=1,"Discount greater than order value",""))))))))</f>
        <v/>
      </c>
      <c r="AC1030" s="7" t="str">
        <f aca="false">IF(AB1030="","KEEP","DROP")</f>
        <v>KEEP</v>
      </c>
      <c r="AD1030" s="7" t="str">
        <f aca="false">IF(TRIM(F1030)="",IFERROR(INDEX(Map_Tables!$I$4:$I$37,MATCH(TRIM(E1030),Map_Tables!$G$4:$G$37,0)),""),IFERROR(INDEX(Map_Tables!$B$4:$B$18,MATCH(TRIM(F1030),Map_Tables!$A$4:$A$18,0)),"CHECK"))</f>
        <v>Delhi</v>
      </c>
      <c r="AE1030" s="7" t="str">
        <f aca="false">IF(TRIM(E1030)="","",IFERROR(INDEX(Map_Tables!$H$4:$H$37,MATCH(TRIM(E1030),Map_Tables!$G$4:$G$37,0)),"CHECK"))</f>
        <v>Tandoor Tales</v>
      </c>
      <c r="AF1030" s="7" t="str">
        <f aca="false">IF(TRIM(K1030)="","Unknown",IFERROR(INDEX(Map_Tables!$E$4:$E$15,MATCH(TRIM(K1030),Map_Tables!$D$4:$D$15,0)),"CHECK"))</f>
        <v>Net Banking</v>
      </c>
      <c r="AG1030" s="7" t="str">
        <f aca="false">IF(LEFT(LOWER(TRIM(L1030)),6)="cancel","Cancelled","Delivered")</f>
        <v>Delivered</v>
      </c>
      <c r="AH1030" s="10" t="n">
        <f aca="false">IF(ISNUMBER(SEARCH("/",B1030)),DATE(VALUE(RIGHT(B1030,4)),VALUE(MID(B1030,4,2)),VALUE(LEFT(B1030,2))),IF(MID(B1030,5,1)="-",DATE(VALUE(LEFT(B1030,4)),VALUE(MID(B1030,6,2)),VALUE(RIGHT(B1030,2))),DATE(VALUE(RIGHT(B1030,4)),MATCH(MID(B1030,4,3),{"Jan","Feb","Mar","Apr","May","Jun","Jul","Aug","Sep","Oct","Nov","Dec"},0),VALUE(LEFT(B1030,2)))))</f>
        <v>46003</v>
      </c>
    </row>
    <row r="1031" customFormat="false" ht="15" hidden="false" customHeight="false" outlineLevel="0" collapsed="false">
      <c r="A1031" s="7" t="s">
        <v>3077</v>
      </c>
      <c r="B1031" s="7" t="s">
        <v>3078</v>
      </c>
      <c r="C1031" s="7" t="s">
        <v>577</v>
      </c>
      <c r="D1031" s="7" t="s">
        <v>1012</v>
      </c>
      <c r="E1031" s="7" t="s">
        <v>134</v>
      </c>
      <c r="F1031" s="7" t="s">
        <v>110</v>
      </c>
      <c r="G1031" s="7" t="s">
        <v>117</v>
      </c>
      <c r="H1031" s="7" t="n">
        <v>1</v>
      </c>
      <c r="I1031" s="7" t="n">
        <v>105</v>
      </c>
      <c r="J1031" s="7" t="n">
        <v>42</v>
      </c>
      <c r="K1031" s="7" t="s">
        <v>112</v>
      </c>
      <c r="L1031" s="7" t="s">
        <v>194</v>
      </c>
      <c r="M1031" s="7" t="n">
        <v>33</v>
      </c>
      <c r="N1031" s="7" t="n">
        <v>3</v>
      </c>
      <c r="O1031" s="7" t="str">
        <f aca="false">A1031&amp;"|"&amp;B1031&amp;"|"&amp;C1031&amp;"|"&amp;D1031&amp;"|"&amp;E1031&amp;"|"&amp;F1031&amp;"|"&amp;G1031&amp;"|"&amp;H1031&amp;"|"&amp;I1031&amp;"|"&amp;J1031&amp;"|"&amp;K1031&amp;"|"&amp;L1031&amp;"|"&amp;M1031&amp;"|"&amp;N1031</f>
        <v>ORD10352|16-Feb-2025|12:20|C0920|Chaat Corner|Delhi|Street Food|1|105|42|Cash on Delivery|Delivered|33|3</v>
      </c>
      <c r="P1031" s="7" t="str">
        <f aca="false">IF(COUNTIF($O$2:O1031,O1031)&gt;1,"DUP","OK")</f>
        <v>OK</v>
      </c>
      <c r="Q1031" s="7" t="n">
        <f aca="false">COUNTBLANK(A1031:N1031)</f>
        <v>0</v>
      </c>
      <c r="R1031" s="7" t="n">
        <f aca="false">IF(A1031="",0,COUNTIFS($A$2:$A$3058,A1031,$P$2:$P$3058,"OK"))</f>
        <v>1</v>
      </c>
      <c r="S1031" s="7" t="str">
        <f aca="false">IF(OR(A1031="",P1031="DUP",R1031&lt;2),"",IF(Q1031=_xlfn.MINIFS($Q$2:$Q$3058,$A$2:$A$3058,A1031,$P$2:$P$3058,"OK"),"KEEP","DROP"))</f>
        <v/>
      </c>
      <c r="T1031" s="9" t="n">
        <f aca="false">IF(A1031="",1,0)</f>
        <v>0</v>
      </c>
      <c r="U1031" s="9" t="n">
        <f aca="false">IF(D1031="",1,0)</f>
        <v>0</v>
      </c>
      <c r="V1031" s="9" t="n">
        <f aca="false">IF(E1031="",1,0)</f>
        <v>0</v>
      </c>
      <c r="W1031" s="9" t="n">
        <f aca="false">IF(OR(H1031&lt;1,H1031&gt;10),1,0)</f>
        <v>0</v>
      </c>
      <c r="X1031" s="9" t="n">
        <f aca="false">IF(OR(I1031&lt;=0,I1031&gt;1500),1,0)</f>
        <v>0</v>
      </c>
      <c r="Y1031" s="9" t="n">
        <f aca="false">IF(J1031&gt;H1031*I1031,1,0)</f>
        <v>0</v>
      </c>
      <c r="Z1031" s="9" t="n">
        <f aca="false">IF(AND(N1031&lt;&gt;"",OR(N1031&lt;1,N1031&gt;5)),1,0)</f>
        <v>0</v>
      </c>
      <c r="AA1031" s="9" t="n">
        <f aca="false">IF(AND(M1031&lt;&gt;"",OR(M1031&lt;5,M1031&gt;180)),1,0)</f>
        <v>0</v>
      </c>
      <c r="AB1031" s="7" t="str">
        <f aca="false">IF(P1031="DUP","Exact duplicate row",IF(T1031=1,"Missing Order ID",IF(S1031="DROP","Duplicate Order ID (less complete row)",IF(U1031=1,"Missing Customer ID",IF(V1031=1,"Missing Restaurant name",IF(W1031=1,"Invalid/outlier quantity",IF(X1031=1,"Invalid/outlier unit price",IF(Y1031=1,"Discount greater than order value",""))))))))</f>
        <v/>
      </c>
      <c r="AC1031" s="7" t="str">
        <f aca="false">IF(AB1031="","KEEP","DROP")</f>
        <v>KEEP</v>
      </c>
      <c r="AD1031" s="7" t="str">
        <f aca="false">IF(TRIM(F1031)="",IFERROR(INDEX(Map_Tables!$I$4:$I$37,MATCH(TRIM(E1031),Map_Tables!$G$4:$G$37,0)),""),IFERROR(INDEX(Map_Tables!$B$4:$B$18,MATCH(TRIM(F1031),Map_Tables!$A$4:$A$18,0)),"CHECK"))</f>
        <v>Delhi</v>
      </c>
      <c r="AE1031" s="7" t="str">
        <f aca="false">IF(TRIM(E1031)="","",IFERROR(INDEX(Map_Tables!$H$4:$H$37,MATCH(TRIM(E1031),Map_Tables!$G$4:$G$37,0)),"CHECK"))</f>
        <v>Chaat Corner</v>
      </c>
      <c r="AF1031" s="7" t="str">
        <f aca="false">IF(TRIM(K1031)="","Unknown",IFERROR(INDEX(Map_Tables!$E$4:$E$15,MATCH(TRIM(K1031),Map_Tables!$D$4:$D$15,0)),"CHECK"))</f>
        <v>Cash on Delivery</v>
      </c>
      <c r="AG1031" s="7" t="str">
        <f aca="false">IF(LEFT(LOWER(TRIM(L1031)),6)="cancel","Cancelled","Delivered")</f>
        <v>Delivered</v>
      </c>
      <c r="AH1031" s="10" t="n">
        <f aca="false">IF(ISNUMBER(SEARCH("/",B1031)),DATE(VALUE(RIGHT(B1031,4)),VALUE(MID(B1031,4,2)),VALUE(LEFT(B1031,2))),IF(MID(B1031,5,1)="-",DATE(VALUE(LEFT(B1031,4)),VALUE(MID(B1031,6,2)),VALUE(RIGHT(B1031,2))),DATE(VALUE(RIGHT(B1031,4)),MATCH(MID(B1031,4,3),{"Jan","Feb","Mar","Apr","May","Jun","Jul","Aug","Sep","Oct","Nov","Dec"},0),VALUE(LEFT(B1031,2)))))</f>
        <v>45704</v>
      </c>
    </row>
    <row r="1032" customFormat="false" ht="15" hidden="false" customHeight="false" outlineLevel="0" collapsed="false">
      <c r="A1032" s="7" t="s">
        <v>3079</v>
      </c>
      <c r="B1032" s="7" t="s">
        <v>418</v>
      </c>
      <c r="C1032" s="7" t="s">
        <v>3080</v>
      </c>
      <c r="D1032" s="7" t="s">
        <v>1051</v>
      </c>
      <c r="E1032" s="7" t="s">
        <v>98</v>
      </c>
      <c r="F1032" s="7" t="s">
        <v>86</v>
      </c>
      <c r="G1032" s="7" t="s">
        <v>99</v>
      </c>
      <c r="H1032" s="7" t="n">
        <v>4</v>
      </c>
      <c r="I1032" s="7" t="n">
        <v>285</v>
      </c>
      <c r="J1032" s="7" t="n">
        <v>0</v>
      </c>
      <c r="K1032" s="7" t="s">
        <v>103</v>
      </c>
      <c r="L1032" s="7" t="s">
        <v>194</v>
      </c>
      <c r="M1032" s="7" t="n">
        <v>42</v>
      </c>
      <c r="N1032" s="7" t="n">
        <v>5</v>
      </c>
      <c r="O1032" s="7" t="str">
        <f aca="false">A1032&amp;"|"&amp;B1032&amp;"|"&amp;C1032&amp;"|"&amp;D1032&amp;"|"&amp;E1032&amp;"|"&amp;F1032&amp;"|"&amp;G1032&amp;"|"&amp;H1032&amp;"|"&amp;I1032&amp;"|"&amp;J1032&amp;"|"&amp;K1032&amp;"|"&amp;L1032&amp;"|"&amp;M1032&amp;"|"&amp;N1032</f>
        <v>ORD12270|2025-10-14|23:51|C1499|Nawabi Biryani House|Bengaluru|Biryani|4|285|0|Debit Card|Delivered|42|5</v>
      </c>
      <c r="P1032" s="7" t="str">
        <f aca="false">IF(COUNTIF($O$2:O1032,O1032)&gt;1,"DUP","OK")</f>
        <v>OK</v>
      </c>
      <c r="Q1032" s="7" t="n">
        <f aca="false">COUNTBLANK(A1032:N1032)</f>
        <v>0</v>
      </c>
      <c r="R1032" s="7" t="n">
        <f aca="false">IF(A1032="",0,COUNTIFS($A$2:$A$3058,A1032,$P$2:$P$3058,"OK"))</f>
        <v>1</v>
      </c>
      <c r="S1032" s="7" t="str">
        <f aca="false">IF(OR(A1032="",P1032="DUP",R1032&lt;2),"",IF(Q1032=_xlfn.MINIFS($Q$2:$Q$3058,$A$2:$A$3058,A1032,$P$2:$P$3058,"OK"),"KEEP","DROP"))</f>
        <v/>
      </c>
      <c r="T1032" s="9" t="n">
        <f aca="false">IF(A1032="",1,0)</f>
        <v>0</v>
      </c>
      <c r="U1032" s="9" t="n">
        <f aca="false">IF(D1032="",1,0)</f>
        <v>0</v>
      </c>
      <c r="V1032" s="9" t="n">
        <f aca="false">IF(E1032="",1,0)</f>
        <v>0</v>
      </c>
      <c r="W1032" s="9" t="n">
        <f aca="false">IF(OR(H1032&lt;1,H1032&gt;10),1,0)</f>
        <v>0</v>
      </c>
      <c r="X1032" s="9" t="n">
        <f aca="false">IF(OR(I1032&lt;=0,I1032&gt;1500),1,0)</f>
        <v>0</v>
      </c>
      <c r="Y1032" s="9" t="n">
        <f aca="false">IF(J1032&gt;H1032*I1032,1,0)</f>
        <v>0</v>
      </c>
      <c r="Z1032" s="9" t="n">
        <f aca="false">IF(AND(N1032&lt;&gt;"",OR(N1032&lt;1,N1032&gt;5)),1,0)</f>
        <v>0</v>
      </c>
      <c r="AA1032" s="9" t="n">
        <f aca="false">IF(AND(M1032&lt;&gt;"",OR(M1032&lt;5,M1032&gt;180)),1,0)</f>
        <v>0</v>
      </c>
      <c r="AB1032" s="7" t="str">
        <f aca="false">IF(P1032="DUP","Exact duplicate row",IF(T1032=1,"Missing Order ID",IF(S1032="DROP","Duplicate Order ID (less complete row)",IF(U1032=1,"Missing Customer ID",IF(V1032=1,"Missing Restaurant name",IF(W1032=1,"Invalid/outlier quantity",IF(X1032=1,"Invalid/outlier unit price",IF(Y1032=1,"Discount greater than order value",""))))))))</f>
        <v/>
      </c>
      <c r="AC1032" s="7" t="str">
        <f aca="false">IF(AB1032="","KEEP","DROP")</f>
        <v>KEEP</v>
      </c>
      <c r="AD1032" s="7" t="str">
        <f aca="false">IF(TRIM(F1032)="",IFERROR(INDEX(Map_Tables!$I$4:$I$37,MATCH(TRIM(E1032),Map_Tables!$G$4:$G$37,0)),""),IFERROR(INDEX(Map_Tables!$B$4:$B$18,MATCH(TRIM(F1032),Map_Tables!$A$4:$A$18,0)),"CHECK"))</f>
        <v>Bengaluru</v>
      </c>
      <c r="AE1032" s="7" t="str">
        <f aca="false">IF(TRIM(E1032)="","",IFERROR(INDEX(Map_Tables!$H$4:$H$37,MATCH(TRIM(E1032),Map_Tables!$G$4:$G$37,0)),"CHECK"))</f>
        <v>Nawabi Biryani House</v>
      </c>
      <c r="AF1032" s="7" t="str">
        <f aca="false">IF(TRIM(K1032)="","Unknown",IFERROR(INDEX(Map_Tables!$E$4:$E$15,MATCH(TRIM(K1032),Map_Tables!$D$4:$D$15,0)),"CHECK"))</f>
        <v>Debit Card</v>
      </c>
      <c r="AG1032" s="7" t="str">
        <f aca="false">IF(LEFT(LOWER(TRIM(L1032)),6)="cancel","Cancelled","Delivered")</f>
        <v>Delivered</v>
      </c>
      <c r="AH1032" s="10" t="n">
        <f aca="false">IF(ISNUMBER(SEARCH("/",B1032)),DATE(VALUE(RIGHT(B1032,4)),VALUE(MID(B1032,4,2)),VALUE(LEFT(B1032,2))),IF(MID(B1032,5,1)="-",DATE(VALUE(LEFT(B1032,4)),VALUE(MID(B1032,6,2)),VALUE(RIGHT(B1032,2))),DATE(VALUE(RIGHT(B1032,4)),MATCH(MID(B1032,4,3),{"Jan","Feb","Mar","Apr","May","Jun","Jul","Aug","Sep","Oct","Nov","Dec"},0),VALUE(LEFT(B1032,2)))))</f>
        <v>45944</v>
      </c>
    </row>
    <row r="1033" customFormat="false" ht="15" hidden="false" customHeight="false" outlineLevel="0" collapsed="false">
      <c r="A1033" s="7" t="s">
        <v>3081</v>
      </c>
      <c r="B1033" s="7" t="s">
        <v>3082</v>
      </c>
      <c r="C1033" s="7" t="s">
        <v>3083</v>
      </c>
      <c r="D1033" s="7" t="s">
        <v>2442</v>
      </c>
      <c r="E1033" s="7" t="s">
        <v>161</v>
      </c>
      <c r="F1033" s="7" t="s">
        <v>141</v>
      </c>
      <c r="G1033" s="7" t="s">
        <v>117</v>
      </c>
      <c r="H1033" s="7" t="n">
        <v>2</v>
      </c>
      <c r="I1033" s="7" t="n">
        <v>165</v>
      </c>
      <c r="J1033" s="7" t="n">
        <v>0</v>
      </c>
      <c r="K1033" s="7" t="s">
        <v>88</v>
      </c>
      <c r="L1033" s="7" t="s">
        <v>194</v>
      </c>
      <c r="M1033" s="7" t="n">
        <v>40</v>
      </c>
      <c r="N1033" s="7"/>
      <c r="O1033" s="7" t="str">
        <f aca="false">A1033&amp;"|"&amp;B1033&amp;"|"&amp;C1033&amp;"|"&amp;D1033&amp;"|"&amp;E1033&amp;"|"&amp;F1033&amp;"|"&amp;G1033&amp;"|"&amp;H1033&amp;"|"&amp;I1033&amp;"|"&amp;J1033&amp;"|"&amp;K1033&amp;"|"&amp;L1033&amp;"|"&amp;M1033&amp;"|"&amp;N1033</f>
        <v>ORD10836|16/04/2025|18:15|C0452|Bengal Bites|Kolkata|Street Food|2|165|0|UPI|Delivered|40|</v>
      </c>
      <c r="P1033" s="7" t="str">
        <f aca="false">IF(COUNTIF($O$2:O1033,O1033)&gt;1,"DUP","OK")</f>
        <v>OK</v>
      </c>
      <c r="Q1033" s="7" t="n">
        <f aca="false">COUNTBLANK(A1033:N1033)</f>
        <v>1</v>
      </c>
      <c r="R1033" s="7" t="n">
        <f aca="false">IF(A1033="",0,COUNTIFS($A$2:$A$3058,A1033,$P$2:$P$3058,"OK"))</f>
        <v>1</v>
      </c>
      <c r="S1033" s="7" t="str">
        <f aca="false">IF(OR(A1033="",P1033="DUP",R1033&lt;2),"",IF(Q1033=_xlfn.MINIFS($Q$2:$Q$3058,$A$2:$A$3058,A1033,$P$2:$P$3058,"OK"),"KEEP","DROP"))</f>
        <v/>
      </c>
      <c r="T1033" s="9" t="n">
        <f aca="false">IF(A1033="",1,0)</f>
        <v>0</v>
      </c>
      <c r="U1033" s="9" t="n">
        <f aca="false">IF(D1033="",1,0)</f>
        <v>0</v>
      </c>
      <c r="V1033" s="9" t="n">
        <f aca="false">IF(E1033="",1,0)</f>
        <v>0</v>
      </c>
      <c r="W1033" s="9" t="n">
        <f aca="false">IF(OR(H1033&lt;1,H1033&gt;10),1,0)</f>
        <v>0</v>
      </c>
      <c r="X1033" s="9" t="n">
        <f aca="false">IF(OR(I1033&lt;=0,I1033&gt;1500),1,0)</f>
        <v>0</v>
      </c>
      <c r="Y1033" s="9" t="n">
        <f aca="false">IF(J1033&gt;H1033*I1033,1,0)</f>
        <v>0</v>
      </c>
      <c r="Z1033" s="9" t="n">
        <f aca="false">IF(AND(N1033&lt;&gt;"",OR(N1033&lt;1,N1033&gt;5)),1,0)</f>
        <v>0</v>
      </c>
      <c r="AA1033" s="9" t="n">
        <f aca="false">IF(AND(M1033&lt;&gt;"",OR(M1033&lt;5,M1033&gt;180)),1,0)</f>
        <v>0</v>
      </c>
      <c r="AB1033" s="7" t="str">
        <f aca="false">IF(P1033="DUP","Exact duplicate row",IF(T1033=1,"Missing Order ID",IF(S1033="DROP","Duplicate Order ID (less complete row)",IF(U1033=1,"Missing Customer ID",IF(V1033=1,"Missing Restaurant name",IF(W1033=1,"Invalid/outlier quantity",IF(X1033=1,"Invalid/outlier unit price",IF(Y1033=1,"Discount greater than order value",""))))))))</f>
        <v/>
      </c>
      <c r="AC1033" s="7" t="str">
        <f aca="false">IF(AB1033="","KEEP","DROP")</f>
        <v>KEEP</v>
      </c>
      <c r="AD1033" s="7" t="str">
        <f aca="false">IF(TRIM(F1033)="",IFERROR(INDEX(Map_Tables!$I$4:$I$37,MATCH(TRIM(E1033),Map_Tables!$G$4:$G$37,0)),""),IFERROR(INDEX(Map_Tables!$B$4:$B$18,MATCH(TRIM(F1033),Map_Tables!$A$4:$A$18,0)),"CHECK"))</f>
        <v>Kolkata</v>
      </c>
      <c r="AE1033" s="7" t="str">
        <f aca="false">IF(TRIM(E1033)="","",IFERROR(INDEX(Map_Tables!$H$4:$H$37,MATCH(TRIM(E1033),Map_Tables!$G$4:$G$37,0)),"CHECK"))</f>
        <v>Bengal Bites</v>
      </c>
      <c r="AF1033" s="7" t="str">
        <f aca="false">IF(TRIM(K1033)="","Unknown",IFERROR(INDEX(Map_Tables!$E$4:$E$15,MATCH(TRIM(K1033),Map_Tables!$D$4:$D$15,0)),"CHECK"))</f>
        <v>UPI</v>
      </c>
      <c r="AG1033" s="7" t="str">
        <f aca="false">IF(LEFT(LOWER(TRIM(L1033)),6)="cancel","Cancelled","Delivered")</f>
        <v>Delivered</v>
      </c>
      <c r="AH1033" s="10" t="n">
        <f aca="false">IF(ISNUMBER(SEARCH("/",B1033)),DATE(VALUE(RIGHT(B1033,4)),VALUE(MID(B1033,4,2)),VALUE(LEFT(B1033,2))),IF(MID(B1033,5,1)="-",DATE(VALUE(LEFT(B1033,4)),VALUE(MID(B1033,6,2)),VALUE(RIGHT(B1033,2))),DATE(VALUE(RIGHT(B1033,4)),MATCH(MID(B1033,4,3),{"Jan","Feb","Mar","Apr","May","Jun","Jul","Aug","Sep","Oct","Nov","Dec"},0),VALUE(LEFT(B1033,2)))))</f>
        <v>45763</v>
      </c>
    </row>
    <row r="1034" customFormat="false" ht="15" hidden="false" customHeight="false" outlineLevel="0" collapsed="false">
      <c r="A1034" s="7" t="s">
        <v>3084</v>
      </c>
      <c r="B1034" s="7" t="s">
        <v>2270</v>
      </c>
      <c r="C1034" s="7" t="s">
        <v>508</v>
      </c>
      <c r="D1034" s="7" t="s">
        <v>565</v>
      </c>
      <c r="E1034" s="7" t="s">
        <v>160</v>
      </c>
      <c r="F1034" s="7" t="s">
        <v>1226</v>
      </c>
      <c r="G1034" s="7" t="s">
        <v>150</v>
      </c>
      <c r="H1034" s="7" t="n">
        <v>2</v>
      </c>
      <c r="I1034" s="7" t="n">
        <v>195</v>
      </c>
      <c r="J1034" s="7" t="n">
        <v>50</v>
      </c>
      <c r="K1034" s="7" t="s">
        <v>112</v>
      </c>
      <c r="L1034" s="7" t="s">
        <v>194</v>
      </c>
      <c r="M1034" s="7" t="n">
        <v>37</v>
      </c>
      <c r="N1034" s="7" t="n">
        <v>5</v>
      </c>
      <c r="O1034" s="7" t="str">
        <f aca="false">A1034&amp;"|"&amp;B1034&amp;"|"&amp;C1034&amp;"|"&amp;D1034&amp;"|"&amp;E1034&amp;"|"&amp;F1034&amp;"|"&amp;G1034&amp;"|"&amp;H1034&amp;"|"&amp;I1034&amp;"|"&amp;J1034&amp;"|"&amp;K1034&amp;"|"&amp;L1034&amp;"|"&amp;M1034&amp;"|"&amp;N1034</f>
        <v>ORD12932|2025-12-24|11:56|C1051|Cake Walk|Pune |Desserts|2|195|50|Cash on Delivery|Delivered|37|5</v>
      </c>
      <c r="P1034" s="7" t="str">
        <f aca="false">IF(COUNTIF($O$2:O1034,O1034)&gt;1,"DUP","OK")</f>
        <v>OK</v>
      </c>
      <c r="Q1034" s="7" t="n">
        <f aca="false">COUNTBLANK(A1034:N1034)</f>
        <v>0</v>
      </c>
      <c r="R1034" s="7" t="n">
        <f aca="false">IF(A1034="",0,COUNTIFS($A$2:$A$3058,A1034,$P$2:$P$3058,"OK"))</f>
        <v>1</v>
      </c>
      <c r="S1034" s="7" t="str">
        <f aca="false">IF(OR(A1034="",P1034="DUP",R1034&lt;2),"",IF(Q1034=_xlfn.MINIFS($Q$2:$Q$3058,$A$2:$A$3058,A1034,$P$2:$P$3058,"OK"),"KEEP","DROP"))</f>
        <v/>
      </c>
      <c r="T1034" s="9" t="n">
        <f aca="false">IF(A1034="",1,0)</f>
        <v>0</v>
      </c>
      <c r="U1034" s="9" t="n">
        <f aca="false">IF(D1034="",1,0)</f>
        <v>0</v>
      </c>
      <c r="V1034" s="9" t="n">
        <f aca="false">IF(E1034="",1,0)</f>
        <v>0</v>
      </c>
      <c r="W1034" s="9" t="n">
        <f aca="false">IF(OR(H1034&lt;1,H1034&gt;10),1,0)</f>
        <v>0</v>
      </c>
      <c r="X1034" s="9" t="n">
        <f aca="false">IF(OR(I1034&lt;=0,I1034&gt;1500),1,0)</f>
        <v>0</v>
      </c>
      <c r="Y1034" s="9" t="n">
        <f aca="false">IF(J1034&gt;H1034*I1034,1,0)</f>
        <v>0</v>
      </c>
      <c r="Z1034" s="9" t="n">
        <f aca="false">IF(AND(N1034&lt;&gt;"",OR(N1034&lt;1,N1034&gt;5)),1,0)</f>
        <v>0</v>
      </c>
      <c r="AA1034" s="9" t="n">
        <f aca="false">IF(AND(M1034&lt;&gt;"",OR(M1034&lt;5,M1034&gt;180)),1,0)</f>
        <v>0</v>
      </c>
      <c r="AB1034" s="7" t="str">
        <f aca="false">IF(P1034="DUP","Exact duplicate row",IF(T1034=1,"Missing Order ID",IF(S1034="DROP","Duplicate Order ID (less complete row)",IF(U1034=1,"Missing Customer ID",IF(V1034=1,"Missing Restaurant name",IF(W1034=1,"Invalid/outlier quantity",IF(X1034=1,"Invalid/outlier unit price",IF(Y1034=1,"Discount greater than order value",""))))))))</f>
        <v/>
      </c>
      <c r="AC1034" s="7" t="str">
        <f aca="false">IF(AB1034="","KEEP","DROP")</f>
        <v>KEEP</v>
      </c>
      <c r="AD1034" s="7" t="str">
        <f aca="false">IF(TRIM(F1034)="",IFERROR(INDEX(Map_Tables!$I$4:$I$37,MATCH(TRIM(E1034),Map_Tables!$G$4:$G$37,0)),""),IFERROR(INDEX(Map_Tables!$B$4:$B$18,MATCH(TRIM(F1034),Map_Tables!$A$4:$A$18,0)),"CHECK"))</f>
        <v>Pune</v>
      </c>
      <c r="AE1034" s="7" t="str">
        <f aca="false">IF(TRIM(E1034)="","",IFERROR(INDEX(Map_Tables!$H$4:$H$37,MATCH(TRIM(E1034),Map_Tables!$G$4:$G$37,0)),"CHECK"))</f>
        <v>Cake Walk</v>
      </c>
      <c r="AF1034" s="7" t="str">
        <f aca="false">IF(TRIM(K1034)="","Unknown",IFERROR(INDEX(Map_Tables!$E$4:$E$15,MATCH(TRIM(K1034),Map_Tables!$D$4:$D$15,0)),"CHECK"))</f>
        <v>Cash on Delivery</v>
      </c>
      <c r="AG1034" s="7" t="str">
        <f aca="false">IF(LEFT(LOWER(TRIM(L1034)),6)="cancel","Cancelled","Delivered")</f>
        <v>Delivered</v>
      </c>
      <c r="AH1034" s="10" t="n">
        <f aca="false">IF(ISNUMBER(SEARCH("/",B1034)),DATE(VALUE(RIGHT(B1034,4)),VALUE(MID(B1034,4,2)),VALUE(LEFT(B1034,2))),IF(MID(B1034,5,1)="-",DATE(VALUE(LEFT(B1034,4)),VALUE(MID(B1034,6,2)),VALUE(RIGHT(B1034,2))),DATE(VALUE(RIGHT(B1034,4)),MATCH(MID(B1034,4,3),{"Jan","Feb","Mar","Apr","May","Jun","Jul","Aug","Sep","Oct","Nov","Dec"},0),VALUE(LEFT(B1034,2)))))</f>
        <v>46015</v>
      </c>
    </row>
    <row r="1035" customFormat="false" ht="15" hidden="false" customHeight="false" outlineLevel="0" collapsed="false">
      <c r="A1035" s="7" t="s">
        <v>3085</v>
      </c>
      <c r="B1035" s="7" t="s">
        <v>3086</v>
      </c>
      <c r="C1035" s="7" t="s">
        <v>1256</v>
      </c>
      <c r="D1035" s="7" t="s">
        <v>3087</v>
      </c>
      <c r="E1035" s="7" t="s">
        <v>104</v>
      </c>
      <c r="F1035" s="7" t="s">
        <v>86</v>
      </c>
      <c r="G1035" s="7" t="s">
        <v>105</v>
      </c>
      <c r="H1035" s="7" t="n">
        <v>2</v>
      </c>
      <c r="I1035" s="7" t="n">
        <v>225</v>
      </c>
      <c r="J1035" s="7" t="n">
        <v>0</v>
      </c>
      <c r="K1035" s="7" t="s">
        <v>88</v>
      </c>
      <c r="L1035" s="7" t="s">
        <v>194</v>
      </c>
      <c r="M1035" s="7" t="n">
        <v>39</v>
      </c>
      <c r="N1035" s="7" t="n">
        <v>5</v>
      </c>
      <c r="O1035" s="7" t="str">
        <f aca="false">A1035&amp;"|"&amp;B1035&amp;"|"&amp;C1035&amp;"|"&amp;D1035&amp;"|"&amp;E1035&amp;"|"&amp;F1035&amp;"|"&amp;G1035&amp;"|"&amp;H1035&amp;"|"&amp;I1035&amp;"|"&amp;J1035&amp;"|"&amp;K1035&amp;"|"&amp;L1035&amp;"|"&amp;M1035&amp;"|"&amp;N1035</f>
        <v>ORD10464|03/03/2025|18:59|C1307|Wok &amp; Roll|Bengaluru|Chinese|2|225|0|UPI|Delivered|39|5</v>
      </c>
      <c r="P1035" s="7" t="str">
        <f aca="false">IF(COUNTIF($O$2:O1035,O1035)&gt;1,"DUP","OK")</f>
        <v>OK</v>
      </c>
      <c r="Q1035" s="7" t="n">
        <f aca="false">COUNTBLANK(A1035:N1035)</f>
        <v>0</v>
      </c>
      <c r="R1035" s="7" t="n">
        <f aca="false">IF(A1035="",0,COUNTIFS($A$2:$A$3058,A1035,$P$2:$P$3058,"OK"))</f>
        <v>1</v>
      </c>
      <c r="S1035" s="7" t="str">
        <f aca="false">IF(OR(A1035="",P1035="DUP",R1035&lt;2),"",IF(Q1035=_xlfn.MINIFS($Q$2:$Q$3058,$A$2:$A$3058,A1035,$P$2:$P$3058,"OK"),"KEEP","DROP"))</f>
        <v/>
      </c>
      <c r="T1035" s="9" t="n">
        <f aca="false">IF(A1035="",1,0)</f>
        <v>0</v>
      </c>
      <c r="U1035" s="9" t="n">
        <f aca="false">IF(D1035="",1,0)</f>
        <v>0</v>
      </c>
      <c r="V1035" s="9" t="n">
        <f aca="false">IF(E1035="",1,0)</f>
        <v>0</v>
      </c>
      <c r="W1035" s="9" t="n">
        <f aca="false">IF(OR(H1035&lt;1,H1035&gt;10),1,0)</f>
        <v>0</v>
      </c>
      <c r="X1035" s="9" t="n">
        <f aca="false">IF(OR(I1035&lt;=0,I1035&gt;1500),1,0)</f>
        <v>0</v>
      </c>
      <c r="Y1035" s="9" t="n">
        <f aca="false">IF(J1035&gt;H1035*I1035,1,0)</f>
        <v>0</v>
      </c>
      <c r="Z1035" s="9" t="n">
        <f aca="false">IF(AND(N1035&lt;&gt;"",OR(N1035&lt;1,N1035&gt;5)),1,0)</f>
        <v>0</v>
      </c>
      <c r="AA1035" s="9" t="n">
        <f aca="false">IF(AND(M1035&lt;&gt;"",OR(M1035&lt;5,M1035&gt;180)),1,0)</f>
        <v>0</v>
      </c>
      <c r="AB1035" s="7" t="str">
        <f aca="false">IF(P1035="DUP","Exact duplicate row",IF(T1035=1,"Missing Order ID",IF(S1035="DROP","Duplicate Order ID (less complete row)",IF(U1035=1,"Missing Customer ID",IF(V1035=1,"Missing Restaurant name",IF(W1035=1,"Invalid/outlier quantity",IF(X1035=1,"Invalid/outlier unit price",IF(Y1035=1,"Discount greater than order value",""))))))))</f>
        <v/>
      </c>
      <c r="AC1035" s="7" t="str">
        <f aca="false">IF(AB1035="","KEEP","DROP")</f>
        <v>KEEP</v>
      </c>
      <c r="AD1035" s="7" t="str">
        <f aca="false">IF(TRIM(F1035)="",IFERROR(INDEX(Map_Tables!$I$4:$I$37,MATCH(TRIM(E1035),Map_Tables!$G$4:$G$37,0)),""),IFERROR(INDEX(Map_Tables!$B$4:$B$18,MATCH(TRIM(F1035),Map_Tables!$A$4:$A$18,0)),"CHECK"))</f>
        <v>Bengaluru</v>
      </c>
      <c r="AE1035" s="7" t="str">
        <f aca="false">IF(TRIM(E1035)="","",IFERROR(INDEX(Map_Tables!$H$4:$H$37,MATCH(TRIM(E1035),Map_Tables!$G$4:$G$37,0)),"CHECK"))</f>
        <v>Wok &amp; Roll</v>
      </c>
      <c r="AF1035" s="7" t="str">
        <f aca="false">IF(TRIM(K1035)="","Unknown",IFERROR(INDEX(Map_Tables!$E$4:$E$15,MATCH(TRIM(K1035),Map_Tables!$D$4:$D$15,0)),"CHECK"))</f>
        <v>UPI</v>
      </c>
      <c r="AG1035" s="7" t="str">
        <f aca="false">IF(LEFT(LOWER(TRIM(L1035)),6)="cancel","Cancelled","Delivered")</f>
        <v>Delivered</v>
      </c>
      <c r="AH1035" s="10" t="n">
        <f aca="false">IF(ISNUMBER(SEARCH("/",B1035)),DATE(VALUE(RIGHT(B1035,4)),VALUE(MID(B1035,4,2)),VALUE(LEFT(B1035,2))),IF(MID(B1035,5,1)="-",DATE(VALUE(LEFT(B1035,4)),VALUE(MID(B1035,6,2)),VALUE(RIGHT(B1035,2))),DATE(VALUE(RIGHT(B1035,4)),MATCH(MID(B1035,4,3),{"Jan","Feb","Mar","Apr","May","Jun","Jul","Aug","Sep","Oct","Nov","Dec"},0),VALUE(LEFT(B1035,2)))))</f>
        <v>45719</v>
      </c>
    </row>
    <row r="1036" customFormat="false" ht="15" hidden="false" customHeight="false" outlineLevel="0" collapsed="false">
      <c r="A1036" s="7" t="s">
        <v>3088</v>
      </c>
      <c r="B1036" s="7" t="s">
        <v>212</v>
      </c>
      <c r="C1036" s="7" t="s">
        <v>693</v>
      </c>
      <c r="D1036" s="7" t="s">
        <v>3089</v>
      </c>
      <c r="E1036" s="7" t="s">
        <v>147</v>
      </c>
      <c r="F1036" s="7" t="s">
        <v>119</v>
      </c>
      <c r="G1036" s="7" t="s">
        <v>95</v>
      </c>
      <c r="H1036" s="7" t="n">
        <v>1</v>
      </c>
      <c r="I1036" s="7" t="n">
        <v>145</v>
      </c>
      <c r="J1036" s="7" t="n">
        <v>0</v>
      </c>
      <c r="K1036" s="7" t="s">
        <v>88</v>
      </c>
      <c r="L1036" s="7" t="s">
        <v>194</v>
      </c>
      <c r="M1036" s="7" t="n">
        <v>43</v>
      </c>
      <c r="N1036" s="7" t="n">
        <v>4</v>
      </c>
      <c r="O1036" s="7" t="str">
        <f aca="false">A1036&amp;"|"&amp;B1036&amp;"|"&amp;C1036&amp;"|"&amp;D1036&amp;"|"&amp;E1036&amp;"|"&amp;F1036&amp;"|"&amp;G1036&amp;"|"&amp;H1036&amp;"|"&amp;I1036&amp;"|"&amp;J1036&amp;"|"&amp;K1036&amp;"|"&amp;L1036&amp;"|"&amp;M1036&amp;"|"&amp;N1036</f>
        <v>ORD12729|2025-12-01|11:10|C0011|Andhra Meals Mess|Hyderabad|South Indian|1|145|0|UPI|Delivered|43|4</v>
      </c>
      <c r="P1036" s="7" t="str">
        <f aca="false">IF(COUNTIF($O$2:O1036,O1036)&gt;1,"DUP","OK")</f>
        <v>OK</v>
      </c>
      <c r="Q1036" s="7" t="n">
        <f aca="false">COUNTBLANK(A1036:N1036)</f>
        <v>0</v>
      </c>
      <c r="R1036" s="7" t="n">
        <f aca="false">IF(A1036="",0,COUNTIFS($A$2:$A$3058,A1036,$P$2:$P$3058,"OK"))</f>
        <v>1</v>
      </c>
      <c r="S1036" s="7" t="str">
        <f aca="false">IF(OR(A1036="",P1036="DUP",R1036&lt;2),"",IF(Q1036=_xlfn.MINIFS($Q$2:$Q$3058,$A$2:$A$3058,A1036,$P$2:$P$3058,"OK"),"KEEP","DROP"))</f>
        <v/>
      </c>
      <c r="T1036" s="9" t="n">
        <f aca="false">IF(A1036="",1,0)</f>
        <v>0</v>
      </c>
      <c r="U1036" s="9" t="n">
        <f aca="false">IF(D1036="",1,0)</f>
        <v>0</v>
      </c>
      <c r="V1036" s="9" t="n">
        <f aca="false">IF(E1036="",1,0)</f>
        <v>0</v>
      </c>
      <c r="W1036" s="9" t="n">
        <f aca="false">IF(OR(H1036&lt;1,H1036&gt;10),1,0)</f>
        <v>0</v>
      </c>
      <c r="X1036" s="9" t="n">
        <f aca="false">IF(OR(I1036&lt;=0,I1036&gt;1500),1,0)</f>
        <v>0</v>
      </c>
      <c r="Y1036" s="9" t="n">
        <f aca="false">IF(J1036&gt;H1036*I1036,1,0)</f>
        <v>0</v>
      </c>
      <c r="Z1036" s="9" t="n">
        <f aca="false">IF(AND(N1036&lt;&gt;"",OR(N1036&lt;1,N1036&gt;5)),1,0)</f>
        <v>0</v>
      </c>
      <c r="AA1036" s="9" t="n">
        <f aca="false">IF(AND(M1036&lt;&gt;"",OR(M1036&lt;5,M1036&gt;180)),1,0)</f>
        <v>0</v>
      </c>
      <c r="AB1036" s="7" t="str">
        <f aca="false">IF(P1036="DUP","Exact duplicate row",IF(T1036=1,"Missing Order ID",IF(S1036="DROP","Duplicate Order ID (less complete row)",IF(U1036=1,"Missing Customer ID",IF(V1036=1,"Missing Restaurant name",IF(W1036=1,"Invalid/outlier quantity",IF(X1036=1,"Invalid/outlier unit price",IF(Y1036=1,"Discount greater than order value",""))))))))</f>
        <v/>
      </c>
      <c r="AC1036" s="7" t="str">
        <f aca="false">IF(AB1036="","KEEP","DROP")</f>
        <v>KEEP</v>
      </c>
      <c r="AD1036" s="7" t="str">
        <f aca="false">IF(TRIM(F1036)="",IFERROR(INDEX(Map_Tables!$I$4:$I$37,MATCH(TRIM(E1036),Map_Tables!$G$4:$G$37,0)),""),IFERROR(INDEX(Map_Tables!$B$4:$B$18,MATCH(TRIM(F1036),Map_Tables!$A$4:$A$18,0)),"CHECK"))</f>
        <v>Hyderabad</v>
      </c>
      <c r="AE1036" s="7" t="str">
        <f aca="false">IF(TRIM(E1036)="","",IFERROR(INDEX(Map_Tables!$H$4:$H$37,MATCH(TRIM(E1036),Map_Tables!$G$4:$G$37,0)),"CHECK"))</f>
        <v>Andhra Meals Mess</v>
      </c>
      <c r="AF1036" s="7" t="str">
        <f aca="false">IF(TRIM(K1036)="","Unknown",IFERROR(INDEX(Map_Tables!$E$4:$E$15,MATCH(TRIM(K1036),Map_Tables!$D$4:$D$15,0)),"CHECK"))</f>
        <v>UPI</v>
      </c>
      <c r="AG1036" s="7" t="str">
        <f aca="false">IF(LEFT(LOWER(TRIM(L1036)),6)="cancel","Cancelled","Delivered")</f>
        <v>Delivered</v>
      </c>
      <c r="AH1036" s="10" t="n">
        <f aca="false">IF(ISNUMBER(SEARCH("/",B1036)),DATE(VALUE(RIGHT(B1036,4)),VALUE(MID(B1036,4,2)),VALUE(LEFT(B1036,2))),IF(MID(B1036,5,1)="-",DATE(VALUE(LEFT(B1036,4)),VALUE(MID(B1036,6,2)),VALUE(RIGHT(B1036,2))),DATE(VALUE(RIGHT(B1036,4)),MATCH(MID(B1036,4,3),{"Jan","Feb","Mar","Apr","May","Jun","Jul","Aug","Sep","Oct","Nov","Dec"},0),VALUE(LEFT(B1036,2)))))</f>
        <v>45992</v>
      </c>
    </row>
    <row r="1037" customFormat="false" ht="15" hidden="false" customHeight="false" outlineLevel="0" collapsed="false">
      <c r="A1037" s="7" t="s">
        <v>3090</v>
      </c>
      <c r="B1037" s="7" t="s">
        <v>882</v>
      </c>
      <c r="C1037" s="7" t="s">
        <v>2033</v>
      </c>
      <c r="D1037" s="7" t="s">
        <v>3091</v>
      </c>
      <c r="E1037" s="7" t="s">
        <v>104</v>
      </c>
      <c r="F1037" s="7" t="s">
        <v>86</v>
      </c>
      <c r="G1037" s="7" t="s">
        <v>105</v>
      </c>
      <c r="H1037" s="7" t="n">
        <v>3</v>
      </c>
      <c r="I1037" s="7" t="n">
        <v>175</v>
      </c>
      <c r="J1037" s="7" t="n">
        <v>30</v>
      </c>
      <c r="K1037" s="7" t="s">
        <v>88</v>
      </c>
      <c r="L1037" s="7" t="s">
        <v>194</v>
      </c>
      <c r="M1037" s="7" t="n">
        <v>44</v>
      </c>
      <c r="N1037" s="7" t="n">
        <v>3</v>
      </c>
      <c r="O1037" s="7" t="str">
        <f aca="false">A1037&amp;"|"&amp;B1037&amp;"|"&amp;C1037&amp;"|"&amp;D1037&amp;"|"&amp;E1037&amp;"|"&amp;F1037&amp;"|"&amp;G1037&amp;"|"&amp;H1037&amp;"|"&amp;I1037&amp;"|"&amp;J1037&amp;"|"&amp;K1037&amp;"|"&amp;L1037&amp;"|"&amp;M1037&amp;"|"&amp;N1037</f>
        <v>ORD12736|01/12/2025|19:02|C1069|Wok &amp; Roll|Bengaluru|Chinese|3|175|30|UPI|Delivered|44|3</v>
      </c>
      <c r="P1037" s="7" t="str">
        <f aca="false">IF(COUNTIF($O$2:O1037,O1037)&gt;1,"DUP","OK")</f>
        <v>OK</v>
      </c>
      <c r="Q1037" s="7" t="n">
        <f aca="false">COUNTBLANK(A1037:N1037)</f>
        <v>0</v>
      </c>
      <c r="R1037" s="7" t="n">
        <f aca="false">IF(A1037="",0,COUNTIFS($A$2:$A$3058,A1037,$P$2:$P$3058,"OK"))</f>
        <v>1</v>
      </c>
      <c r="S1037" s="7" t="str">
        <f aca="false">IF(OR(A1037="",P1037="DUP",R1037&lt;2),"",IF(Q1037=_xlfn.MINIFS($Q$2:$Q$3058,$A$2:$A$3058,A1037,$P$2:$P$3058,"OK"),"KEEP","DROP"))</f>
        <v/>
      </c>
      <c r="T1037" s="9" t="n">
        <f aca="false">IF(A1037="",1,0)</f>
        <v>0</v>
      </c>
      <c r="U1037" s="9" t="n">
        <f aca="false">IF(D1037="",1,0)</f>
        <v>0</v>
      </c>
      <c r="V1037" s="9" t="n">
        <f aca="false">IF(E1037="",1,0)</f>
        <v>0</v>
      </c>
      <c r="W1037" s="9" t="n">
        <f aca="false">IF(OR(H1037&lt;1,H1037&gt;10),1,0)</f>
        <v>0</v>
      </c>
      <c r="X1037" s="9" t="n">
        <f aca="false">IF(OR(I1037&lt;=0,I1037&gt;1500),1,0)</f>
        <v>0</v>
      </c>
      <c r="Y1037" s="9" t="n">
        <f aca="false">IF(J1037&gt;H1037*I1037,1,0)</f>
        <v>0</v>
      </c>
      <c r="Z1037" s="9" t="n">
        <f aca="false">IF(AND(N1037&lt;&gt;"",OR(N1037&lt;1,N1037&gt;5)),1,0)</f>
        <v>0</v>
      </c>
      <c r="AA1037" s="9" t="n">
        <f aca="false">IF(AND(M1037&lt;&gt;"",OR(M1037&lt;5,M1037&gt;180)),1,0)</f>
        <v>0</v>
      </c>
      <c r="AB1037" s="7" t="str">
        <f aca="false">IF(P1037="DUP","Exact duplicate row",IF(T1037=1,"Missing Order ID",IF(S1037="DROP","Duplicate Order ID (less complete row)",IF(U1037=1,"Missing Customer ID",IF(V1037=1,"Missing Restaurant name",IF(W1037=1,"Invalid/outlier quantity",IF(X1037=1,"Invalid/outlier unit price",IF(Y1037=1,"Discount greater than order value",""))))))))</f>
        <v/>
      </c>
      <c r="AC1037" s="7" t="str">
        <f aca="false">IF(AB1037="","KEEP","DROP")</f>
        <v>KEEP</v>
      </c>
      <c r="AD1037" s="7" t="str">
        <f aca="false">IF(TRIM(F1037)="",IFERROR(INDEX(Map_Tables!$I$4:$I$37,MATCH(TRIM(E1037),Map_Tables!$G$4:$G$37,0)),""),IFERROR(INDEX(Map_Tables!$B$4:$B$18,MATCH(TRIM(F1037),Map_Tables!$A$4:$A$18,0)),"CHECK"))</f>
        <v>Bengaluru</v>
      </c>
      <c r="AE1037" s="7" t="str">
        <f aca="false">IF(TRIM(E1037)="","",IFERROR(INDEX(Map_Tables!$H$4:$H$37,MATCH(TRIM(E1037),Map_Tables!$G$4:$G$37,0)),"CHECK"))</f>
        <v>Wok &amp; Roll</v>
      </c>
      <c r="AF1037" s="7" t="str">
        <f aca="false">IF(TRIM(K1037)="","Unknown",IFERROR(INDEX(Map_Tables!$E$4:$E$15,MATCH(TRIM(K1037),Map_Tables!$D$4:$D$15,0)),"CHECK"))</f>
        <v>UPI</v>
      </c>
      <c r="AG1037" s="7" t="str">
        <f aca="false">IF(LEFT(LOWER(TRIM(L1037)),6)="cancel","Cancelled","Delivered")</f>
        <v>Delivered</v>
      </c>
      <c r="AH1037" s="10" t="n">
        <f aca="false">IF(ISNUMBER(SEARCH("/",B1037)),DATE(VALUE(RIGHT(B1037,4)),VALUE(MID(B1037,4,2)),VALUE(LEFT(B1037,2))),IF(MID(B1037,5,1)="-",DATE(VALUE(LEFT(B1037,4)),VALUE(MID(B1037,6,2)),VALUE(RIGHT(B1037,2))),DATE(VALUE(RIGHT(B1037,4)),MATCH(MID(B1037,4,3),{"Jan","Feb","Mar","Apr","May","Jun","Jul","Aug","Sep","Oct","Nov","Dec"},0),VALUE(LEFT(B1037,2)))))</f>
        <v>45992</v>
      </c>
    </row>
    <row r="1038" customFormat="false" ht="15" hidden="false" customHeight="false" outlineLevel="0" collapsed="false">
      <c r="A1038" s="7" t="s">
        <v>3092</v>
      </c>
      <c r="B1038" s="7" t="s">
        <v>2069</v>
      </c>
      <c r="C1038" s="7" t="s">
        <v>2064</v>
      </c>
      <c r="D1038" s="7" t="s">
        <v>953</v>
      </c>
      <c r="E1038" s="7" t="s">
        <v>130</v>
      </c>
      <c r="F1038" s="7" t="s">
        <v>109</v>
      </c>
      <c r="G1038" s="7" t="s">
        <v>90</v>
      </c>
      <c r="H1038" s="7" t="n">
        <v>3</v>
      </c>
      <c r="I1038" s="7" t="n">
        <v>240</v>
      </c>
      <c r="J1038" s="7" t="n">
        <v>40</v>
      </c>
      <c r="K1038" s="7" t="s">
        <v>103</v>
      </c>
      <c r="L1038" s="7" t="s">
        <v>194</v>
      </c>
      <c r="M1038" s="7" t="n">
        <v>45</v>
      </c>
      <c r="N1038" s="7" t="n">
        <v>3</v>
      </c>
      <c r="O1038" s="7" t="str">
        <f aca="false">A1038&amp;"|"&amp;B1038&amp;"|"&amp;C1038&amp;"|"&amp;D1038&amp;"|"&amp;E1038&amp;"|"&amp;F1038&amp;"|"&amp;G1038&amp;"|"&amp;H1038&amp;"|"&amp;I1038&amp;"|"&amp;J1038&amp;"|"&amp;K1038&amp;"|"&amp;L1038&amp;"|"&amp;M1038&amp;"|"&amp;N1038</f>
        <v>ORD11353|2025-06-23|18:53|C0572|Tandoor Tales|delhi|North Indian|3|240|40|Debit Card|Delivered|45|3</v>
      </c>
      <c r="P1038" s="7" t="str">
        <f aca="false">IF(COUNTIF($O$2:O1038,O1038)&gt;1,"DUP","OK")</f>
        <v>OK</v>
      </c>
      <c r="Q1038" s="7" t="n">
        <f aca="false">COUNTBLANK(A1038:N1038)</f>
        <v>0</v>
      </c>
      <c r="R1038" s="7" t="n">
        <f aca="false">IF(A1038="",0,COUNTIFS($A$2:$A$3058,A1038,$P$2:$P$3058,"OK"))</f>
        <v>1</v>
      </c>
      <c r="S1038" s="7" t="str">
        <f aca="false">IF(OR(A1038="",P1038="DUP",R1038&lt;2),"",IF(Q1038=_xlfn.MINIFS($Q$2:$Q$3058,$A$2:$A$3058,A1038,$P$2:$P$3058,"OK"),"KEEP","DROP"))</f>
        <v/>
      </c>
      <c r="T1038" s="9" t="n">
        <f aca="false">IF(A1038="",1,0)</f>
        <v>0</v>
      </c>
      <c r="U1038" s="9" t="n">
        <f aca="false">IF(D1038="",1,0)</f>
        <v>0</v>
      </c>
      <c r="V1038" s="9" t="n">
        <f aca="false">IF(E1038="",1,0)</f>
        <v>0</v>
      </c>
      <c r="W1038" s="9" t="n">
        <f aca="false">IF(OR(H1038&lt;1,H1038&gt;10),1,0)</f>
        <v>0</v>
      </c>
      <c r="X1038" s="9" t="n">
        <f aca="false">IF(OR(I1038&lt;=0,I1038&gt;1500),1,0)</f>
        <v>0</v>
      </c>
      <c r="Y1038" s="9" t="n">
        <f aca="false">IF(J1038&gt;H1038*I1038,1,0)</f>
        <v>0</v>
      </c>
      <c r="Z1038" s="9" t="n">
        <f aca="false">IF(AND(N1038&lt;&gt;"",OR(N1038&lt;1,N1038&gt;5)),1,0)</f>
        <v>0</v>
      </c>
      <c r="AA1038" s="9" t="n">
        <f aca="false">IF(AND(M1038&lt;&gt;"",OR(M1038&lt;5,M1038&gt;180)),1,0)</f>
        <v>0</v>
      </c>
      <c r="AB1038" s="7" t="str">
        <f aca="false">IF(P1038="DUP","Exact duplicate row",IF(T1038=1,"Missing Order ID",IF(S1038="DROP","Duplicate Order ID (less complete row)",IF(U1038=1,"Missing Customer ID",IF(V1038=1,"Missing Restaurant name",IF(W1038=1,"Invalid/outlier quantity",IF(X1038=1,"Invalid/outlier unit price",IF(Y1038=1,"Discount greater than order value",""))))))))</f>
        <v/>
      </c>
      <c r="AC1038" s="7" t="str">
        <f aca="false">IF(AB1038="","KEEP","DROP")</f>
        <v>KEEP</v>
      </c>
      <c r="AD1038" s="7" t="str">
        <f aca="false">IF(TRIM(F1038)="",IFERROR(INDEX(Map_Tables!$I$4:$I$37,MATCH(TRIM(E1038),Map_Tables!$G$4:$G$37,0)),""),IFERROR(INDEX(Map_Tables!$B$4:$B$18,MATCH(TRIM(F1038),Map_Tables!$A$4:$A$18,0)),"CHECK"))</f>
        <v>Delhi</v>
      </c>
      <c r="AE1038" s="7" t="str">
        <f aca="false">IF(TRIM(E1038)="","",IFERROR(INDEX(Map_Tables!$H$4:$H$37,MATCH(TRIM(E1038),Map_Tables!$G$4:$G$37,0)),"CHECK"))</f>
        <v>Tandoor Tales</v>
      </c>
      <c r="AF1038" s="7" t="str">
        <f aca="false">IF(TRIM(K1038)="","Unknown",IFERROR(INDEX(Map_Tables!$E$4:$E$15,MATCH(TRIM(K1038),Map_Tables!$D$4:$D$15,0)),"CHECK"))</f>
        <v>Debit Card</v>
      </c>
      <c r="AG1038" s="7" t="str">
        <f aca="false">IF(LEFT(LOWER(TRIM(L1038)),6)="cancel","Cancelled","Delivered")</f>
        <v>Delivered</v>
      </c>
      <c r="AH1038" s="10" t="n">
        <f aca="false">IF(ISNUMBER(SEARCH("/",B1038)),DATE(VALUE(RIGHT(B1038,4)),VALUE(MID(B1038,4,2)),VALUE(LEFT(B1038,2))),IF(MID(B1038,5,1)="-",DATE(VALUE(LEFT(B1038,4)),VALUE(MID(B1038,6,2)),VALUE(RIGHT(B1038,2))),DATE(VALUE(RIGHT(B1038,4)),MATCH(MID(B1038,4,3),{"Jan","Feb","Mar","Apr","May","Jun","Jul","Aug","Sep","Oct","Nov","Dec"},0),VALUE(LEFT(B1038,2)))))</f>
        <v>45831</v>
      </c>
    </row>
    <row r="1039" customFormat="false" ht="15" hidden="false" customHeight="false" outlineLevel="0" collapsed="false">
      <c r="A1039" s="7" t="s">
        <v>3093</v>
      </c>
      <c r="B1039" s="7" t="s">
        <v>2357</v>
      </c>
      <c r="C1039" s="7" t="s">
        <v>1635</v>
      </c>
      <c r="D1039" s="7" t="s">
        <v>3094</v>
      </c>
      <c r="E1039" s="7" t="s">
        <v>3095</v>
      </c>
      <c r="F1039" s="7" t="s">
        <v>128</v>
      </c>
      <c r="G1039" s="7" t="s">
        <v>99</v>
      </c>
      <c r="H1039" s="7" t="n">
        <v>1</v>
      </c>
      <c r="I1039" s="7" t="n">
        <v>280</v>
      </c>
      <c r="J1039" s="7" t="n">
        <v>0</v>
      </c>
      <c r="K1039" s="7" t="s">
        <v>112</v>
      </c>
      <c r="L1039" s="7" t="s">
        <v>194</v>
      </c>
      <c r="M1039" s="7" t="n">
        <v>39</v>
      </c>
      <c r="N1039" s="7"/>
      <c r="O1039" s="7" t="str">
        <f aca="false">A1039&amp;"|"&amp;B1039&amp;"|"&amp;C1039&amp;"|"&amp;D1039&amp;"|"&amp;E1039&amp;"|"&amp;F1039&amp;"|"&amp;G1039&amp;"|"&amp;H1039&amp;"|"&amp;I1039&amp;"|"&amp;J1039&amp;"|"&amp;K1039&amp;"|"&amp;L1039&amp;"|"&amp;M1039&amp;"|"&amp;N1039</f>
        <v>ORD11906|2025-09-04|21:31|C1145|Madras  Biryani Co|Chennai|Biryani|1|280|0|Cash on Delivery|Delivered|39|</v>
      </c>
      <c r="P1039" s="7" t="str">
        <f aca="false">IF(COUNTIF($O$2:O1039,O1039)&gt;1,"DUP","OK")</f>
        <v>OK</v>
      </c>
      <c r="Q1039" s="7" t="n">
        <f aca="false">COUNTBLANK(A1039:N1039)</f>
        <v>1</v>
      </c>
      <c r="R1039" s="7" t="n">
        <f aca="false">IF(A1039="",0,COUNTIFS($A$2:$A$3058,A1039,$P$2:$P$3058,"OK"))</f>
        <v>1</v>
      </c>
      <c r="S1039" s="7" t="str">
        <f aca="false">IF(OR(A1039="",P1039="DUP",R1039&lt;2),"",IF(Q1039=_xlfn.MINIFS($Q$2:$Q$3058,$A$2:$A$3058,A1039,$P$2:$P$3058,"OK"),"KEEP","DROP"))</f>
        <v/>
      </c>
      <c r="T1039" s="9" t="n">
        <f aca="false">IF(A1039="",1,0)</f>
        <v>0</v>
      </c>
      <c r="U1039" s="9" t="n">
        <f aca="false">IF(D1039="",1,0)</f>
        <v>0</v>
      </c>
      <c r="V1039" s="9" t="n">
        <f aca="false">IF(E1039="",1,0)</f>
        <v>0</v>
      </c>
      <c r="W1039" s="9" t="n">
        <f aca="false">IF(OR(H1039&lt;1,H1039&gt;10),1,0)</f>
        <v>0</v>
      </c>
      <c r="X1039" s="9" t="n">
        <f aca="false">IF(OR(I1039&lt;=0,I1039&gt;1500),1,0)</f>
        <v>0</v>
      </c>
      <c r="Y1039" s="9" t="n">
        <f aca="false">IF(J1039&gt;H1039*I1039,1,0)</f>
        <v>0</v>
      </c>
      <c r="Z1039" s="9" t="n">
        <f aca="false">IF(AND(N1039&lt;&gt;"",OR(N1039&lt;1,N1039&gt;5)),1,0)</f>
        <v>0</v>
      </c>
      <c r="AA1039" s="9" t="n">
        <f aca="false">IF(AND(M1039&lt;&gt;"",OR(M1039&lt;5,M1039&gt;180)),1,0)</f>
        <v>0</v>
      </c>
      <c r="AB1039" s="7" t="str">
        <f aca="false">IF(P1039="DUP","Exact duplicate row",IF(T1039=1,"Missing Order ID",IF(S1039="DROP","Duplicate Order ID (less complete row)",IF(U1039=1,"Missing Customer ID",IF(V1039=1,"Missing Restaurant name",IF(W1039=1,"Invalid/outlier quantity",IF(X1039=1,"Invalid/outlier unit price",IF(Y1039=1,"Discount greater than order value",""))))))))</f>
        <v/>
      </c>
      <c r="AC1039" s="7" t="str">
        <f aca="false">IF(AB1039="","KEEP","DROP")</f>
        <v>KEEP</v>
      </c>
      <c r="AD1039" s="7" t="str">
        <f aca="false">IF(TRIM(F1039)="",IFERROR(INDEX(Map_Tables!$I$4:$I$37,MATCH(TRIM(E1039),Map_Tables!$G$4:$G$37,0)),""),IFERROR(INDEX(Map_Tables!$B$4:$B$18,MATCH(TRIM(F1039),Map_Tables!$A$4:$A$18,0)),"CHECK"))</f>
        <v>Chennai</v>
      </c>
      <c r="AE1039" s="7" t="str">
        <f aca="false">IF(TRIM(E1039)="","",IFERROR(INDEX(Map_Tables!$H$4:$H$37,MATCH(TRIM(E1039),Map_Tables!$G$4:$G$37,0)),"CHECK"))</f>
        <v>Madras Biryani Co</v>
      </c>
      <c r="AF1039" s="7" t="str">
        <f aca="false">IF(TRIM(K1039)="","Unknown",IFERROR(INDEX(Map_Tables!$E$4:$E$15,MATCH(TRIM(K1039),Map_Tables!$D$4:$D$15,0)),"CHECK"))</f>
        <v>Cash on Delivery</v>
      </c>
      <c r="AG1039" s="7" t="str">
        <f aca="false">IF(LEFT(LOWER(TRIM(L1039)),6)="cancel","Cancelled","Delivered")</f>
        <v>Delivered</v>
      </c>
      <c r="AH1039" s="10" t="n">
        <f aca="false">IF(ISNUMBER(SEARCH("/",B1039)),DATE(VALUE(RIGHT(B1039,4)),VALUE(MID(B1039,4,2)),VALUE(LEFT(B1039,2))),IF(MID(B1039,5,1)="-",DATE(VALUE(LEFT(B1039,4)),VALUE(MID(B1039,6,2)),VALUE(RIGHT(B1039,2))),DATE(VALUE(RIGHT(B1039,4)),MATCH(MID(B1039,4,3),{"Jan","Feb","Mar","Apr","May","Jun","Jul","Aug","Sep","Oct","Nov","Dec"},0),VALUE(LEFT(B1039,2)))))</f>
        <v>45904</v>
      </c>
    </row>
    <row r="1040" customFormat="false" ht="15" hidden="false" customHeight="false" outlineLevel="0" collapsed="false">
      <c r="A1040" s="7" t="s">
        <v>3096</v>
      </c>
      <c r="B1040" s="7" t="s">
        <v>1930</v>
      </c>
      <c r="C1040" s="7" t="s">
        <v>3097</v>
      </c>
      <c r="D1040" s="7" t="s">
        <v>1979</v>
      </c>
      <c r="E1040" s="7" t="s">
        <v>116</v>
      </c>
      <c r="F1040" s="7" t="s">
        <v>101</v>
      </c>
      <c r="G1040" s="7" t="s">
        <v>117</v>
      </c>
      <c r="H1040" s="7" t="n">
        <v>1</v>
      </c>
      <c r="I1040" s="7" t="n">
        <v>150</v>
      </c>
      <c r="J1040" s="7" t="n">
        <v>60</v>
      </c>
      <c r="K1040" s="7" t="s">
        <v>87</v>
      </c>
      <c r="L1040" s="7" t="s">
        <v>194</v>
      </c>
      <c r="M1040" s="7" t="n">
        <v>42</v>
      </c>
      <c r="N1040" s="7" t="n">
        <v>3</v>
      </c>
      <c r="O1040" s="7" t="str">
        <f aca="false">A1040&amp;"|"&amp;B1040&amp;"|"&amp;C1040&amp;"|"&amp;D1040&amp;"|"&amp;E1040&amp;"|"&amp;F1040&amp;"|"&amp;G1040&amp;"|"&amp;H1040&amp;"|"&amp;I1040&amp;"|"&amp;J1040&amp;"|"&amp;K1040&amp;"|"&amp;L1040&amp;"|"&amp;M1040&amp;"|"&amp;N1040</f>
        <v>ORD11386|2025-06-29|10:30|C1335|Pav Bhaji Point|Mumbai|Street Food|1|150|60|upi|Delivered|42|3</v>
      </c>
      <c r="P1040" s="7" t="str">
        <f aca="false">IF(COUNTIF($O$2:O1040,O1040)&gt;1,"DUP","OK")</f>
        <v>OK</v>
      </c>
      <c r="Q1040" s="7" t="n">
        <f aca="false">COUNTBLANK(A1040:N1040)</f>
        <v>0</v>
      </c>
      <c r="R1040" s="7" t="n">
        <f aca="false">IF(A1040="",0,COUNTIFS($A$2:$A$3058,A1040,$P$2:$P$3058,"OK"))</f>
        <v>1</v>
      </c>
      <c r="S1040" s="7" t="str">
        <f aca="false">IF(OR(A1040="",P1040="DUP",R1040&lt;2),"",IF(Q1040=_xlfn.MINIFS($Q$2:$Q$3058,$A$2:$A$3058,A1040,$P$2:$P$3058,"OK"),"KEEP","DROP"))</f>
        <v/>
      </c>
      <c r="T1040" s="9" t="n">
        <f aca="false">IF(A1040="",1,0)</f>
        <v>0</v>
      </c>
      <c r="U1040" s="9" t="n">
        <f aca="false">IF(D1040="",1,0)</f>
        <v>0</v>
      </c>
      <c r="V1040" s="9" t="n">
        <f aca="false">IF(E1040="",1,0)</f>
        <v>0</v>
      </c>
      <c r="W1040" s="9" t="n">
        <f aca="false">IF(OR(H1040&lt;1,H1040&gt;10),1,0)</f>
        <v>0</v>
      </c>
      <c r="X1040" s="9" t="n">
        <f aca="false">IF(OR(I1040&lt;=0,I1040&gt;1500),1,0)</f>
        <v>0</v>
      </c>
      <c r="Y1040" s="9" t="n">
        <f aca="false">IF(J1040&gt;H1040*I1040,1,0)</f>
        <v>0</v>
      </c>
      <c r="Z1040" s="9" t="n">
        <f aca="false">IF(AND(N1040&lt;&gt;"",OR(N1040&lt;1,N1040&gt;5)),1,0)</f>
        <v>0</v>
      </c>
      <c r="AA1040" s="9" t="n">
        <f aca="false">IF(AND(M1040&lt;&gt;"",OR(M1040&lt;5,M1040&gt;180)),1,0)</f>
        <v>0</v>
      </c>
      <c r="AB1040" s="7" t="str">
        <f aca="false">IF(P1040="DUP","Exact duplicate row",IF(T1040=1,"Missing Order ID",IF(S1040="DROP","Duplicate Order ID (less complete row)",IF(U1040=1,"Missing Customer ID",IF(V1040=1,"Missing Restaurant name",IF(W1040=1,"Invalid/outlier quantity",IF(X1040=1,"Invalid/outlier unit price",IF(Y1040=1,"Discount greater than order value",""))))))))</f>
        <v/>
      </c>
      <c r="AC1040" s="7" t="str">
        <f aca="false">IF(AB1040="","KEEP","DROP")</f>
        <v>KEEP</v>
      </c>
      <c r="AD1040" s="7" t="str">
        <f aca="false">IF(TRIM(F1040)="",IFERROR(INDEX(Map_Tables!$I$4:$I$37,MATCH(TRIM(E1040),Map_Tables!$G$4:$G$37,0)),""),IFERROR(INDEX(Map_Tables!$B$4:$B$18,MATCH(TRIM(F1040),Map_Tables!$A$4:$A$18,0)),"CHECK"))</f>
        <v>Mumbai</v>
      </c>
      <c r="AE1040" s="7" t="str">
        <f aca="false">IF(TRIM(E1040)="","",IFERROR(INDEX(Map_Tables!$H$4:$H$37,MATCH(TRIM(E1040),Map_Tables!$G$4:$G$37,0)),"CHECK"))</f>
        <v>Pav Bhaji Point</v>
      </c>
      <c r="AF1040" s="7" t="str">
        <f aca="false">IF(TRIM(K1040)="","Unknown",IFERROR(INDEX(Map_Tables!$E$4:$E$15,MATCH(TRIM(K1040),Map_Tables!$D$4:$D$15,0)),"CHECK"))</f>
        <v>UPI</v>
      </c>
      <c r="AG1040" s="7" t="str">
        <f aca="false">IF(LEFT(LOWER(TRIM(L1040)),6)="cancel","Cancelled","Delivered")</f>
        <v>Delivered</v>
      </c>
      <c r="AH1040" s="10" t="n">
        <f aca="false">IF(ISNUMBER(SEARCH("/",B1040)),DATE(VALUE(RIGHT(B1040,4)),VALUE(MID(B1040,4,2)),VALUE(LEFT(B1040,2))),IF(MID(B1040,5,1)="-",DATE(VALUE(LEFT(B1040,4)),VALUE(MID(B1040,6,2)),VALUE(RIGHT(B1040,2))),DATE(VALUE(RIGHT(B1040,4)),MATCH(MID(B1040,4,3),{"Jan","Feb","Mar","Apr","May","Jun","Jul","Aug","Sep","Oct","Nov","Dec"},0),VALUE(LEFT(B1040,2)))))</f>
        <v>45837</v>
      </c>
    </row>
    <row r="1041" customFormat="false" ht="15" hidden="false" customHeight="false" outlineLevel="0" collapsed="false">
      <c r="A1041" s="7" t="s">
        <v>567</v>
      </c>
      <c r="B1041" s="7" t="s">
        <v>563</v>
      </c>
      <c r="C1041" s="7" t="s">
        <v>568</v>
      </c>
      <c r="D1041" s="7" t="s">
        <v>569</v>
      </c>
      <c r="E1041" s="7" t="s">
        <v>570</v>
      </c>
      <c r="F1041" s="7" t="s">
        <v>101</v>
      </c>
      <c r="G1041" s="7" t="s">
        <v>123</v>
      </c>
      <c r="H1041" s="7" t="n">
        <v>3</v>
      </c>
      <c r="I1041" s="7" t="n">
        <v>300</v>
      </c>
      <c r="J1041" s="7" t="n">
        <v>0</v>
      </c>
      <c r="K1041" s="7" t="s">
        <v>88</v>
      </c>
      <c r="L1041" s="7" t="s">
        <v>194</v>
      </c>
      <c r="M1041" s="7" t="n">
        <v>47</v>
      </c>
      <c r="N1041" s="7"/>
      <c r="O1041" s="7" t="str">
        <f aca="false">A1041&amp;"|"&amp;B1041&amp;"|"&amp;C1041&amp;"|"&amp;D1041&amp;"|"&amp;E1041&amp;"|"&amp;F1041&amp;"|"&amp;G1041&amp;"|"&amp;H1041&amp;"|"&amp;I1041&amp;"|"&amp;J1041&amp;"|"&amp;K1041&amp;"|"&amp;L1041&amp;"|"&amp;M1041&amp;"|"&amp;N1041</f>
        <v>ORD11784|2025-08-20|20:19|C0668|MUMBAI PIZZA CO|Mumbai|Pizza|3|300|0|UPI|Delivered|47|</v>
      </c>
      <c r="P1041" s="7" t="str">
        <f aca="false">IF(COUNTIF($O$2:O1041,O1041)&gt;1,"DUP","OK")</f>
        <v>OK</v>
      </c>
      <c r="Q1041" s="7" t="n">
        <f aca="false">COUNTBLANK(A1041:N1041)</f>
        <v>1</v>
      </c>
      <c r="R1041" s="7" t="n">
        <f aca="false">IF(A1041="",0,COUNTIFS($A$2:$A$3058,A1041,$P$2:$P$3058,"OK"))</f>
        <v>2</v>
      </c>
      <c r="S1041" s="7" t="str">
        <f aca="false">IF(OR(A1041="",P1041="DUP",R1041&lt;2),"",IF(Q1041=_xlfn.MINIFS($Q$2:$Q$3058,$A$2:$A$3058,A1041,$P$2:$P$3058,"OK"),"KEEP","DROP"))</f>
        <v>DROP</v>
      </c>
      <c r="T1041" s="9" t="n">
        <f aca="false">IF(A1041="",1,0)</f>
        <v>0</v>
      </c>
      <c r="U1041" s="9" t="n">
        <f aca="false">IF(D1041="",1,0)</f>
        <v>0</v>
      </c>
      <c r="V1041" s="9" t="n">
        <f aca="false">IF(E1041="",1,0)</f>
        <v>0</v>
      </c>
      <c r="W1041" s="9" t="n">
        <f aca="false">IF(OR(H1041&lt;1,H1041&gt;10),1,0)</f>
        <v>0</v>
      </c>
      <c r="X1041" s="9" t="n">
        <f aca="false">IF(OR(I1041&lt;=0,I1041&gt;1500),1,0)</f>
        <v>0</v>
      </c>
      <c r="Y1041" s="9" t="n">
        <f aca="false">IF(J1041&gt;H1041*I1041,1,0)</f>
        <v>0</v>
      </c>
      <c r="Z1041" s="9" t="n">
        <f aca="false">IF(AND(N1041&lt;&gt;"",OR(N1041&lt;1,N1041&gt;5)),1,0)</f>
        <v>0</v>
      </c>
      <c r="AA1041" s="9" t="n">
        <f aca="false">IF(AND(M1041&lt;&gt;"",OR(M1041&lt;5,M1041&gt;180)),1,0)</f>
        <v>0</v>
      </c>
      <c r="AB1041" s="7" t="str">
        <f aca="false">IF(P1041="DUP","Exact duplicate row",IF(T1041=1,"Missing Order ID",IF(S1041="DROP","Duplicate Order ID (less complete row)",IF(U1041=1,"Missing Customer ID",IF(V1041=1,"Missing Restaurant name",IF(W1041=1,"Invalid/outlier quantity",IF(X1041=1,"Invalid/outlier unit price",IF(Y1041=1,"Discount greater than order value",""))))))))</f>
        <v>Duplicate Order ID (less complete row)</v>
      </c>
      <c r="AC1041" s="7" t="str">
        <f aca="false">IF(AB1041="","KEEP","DROP")</f>
        <v>DROP</v>
      </c>
      <c r="AD1041" s="7" t="str">
        <f aca="false">IF(TRIM(F1041)="",IFERROR(INDEX(Map_Tables!$I$4:$I$37,MATCH(TRIM(E1041),Map_Tables!$G$4:$G$37,0)),""),IFERROR(INDEX(Map_Tables!$B$4:$B$18,MATCH(TRIM(F1041),Map_Tables!$A$4:$A$18,0)),"CHECK"))</f>
        <v>Mumbai</v>
      </c>
      <c r="AE1041" s="7" t="str">
        <f aca="false">IF(TRIM(E1041)="","",IFERROR(INDEX(Map_Tables!$H$4:$H$37,MATCH(TRIM(E1041),Map_Tables!$G$4:$G$37,0)),"CHECK"))</f>
        <v>Mumbai Pizza Co</v>
      </c>
      <c r="AF1041" s="7" t="str">
        <f aca="false">IF(TRIM(K1041)="","Unknown",IFERROR(INDEX(Map_Tables!$E$4:$E$15,MATCH(TRIM(K1041),Map_Tables!$D$4:$D$15,0)),"CHECK"))</f>
        <v>UPI</v>
      </c>
      <c r="AG1041" s="7" t="str">
        <f aca="false">IF(LEFT(LOWER(TRIM(L1041)),6)="cancel","Cancelled","Delivered")</f>
        <v>Delivered</v>
      </c>
      <c r="AH1041" s="10" t="n">
        <f aca="false">IF(ISNUMBER(SEARCH("/",B1041)),DATE(VALUE(RIGHT(B1041,4)),VALUE(MID(B1041,4,2)),VALUE(LEFT(B1041,2))),IF(MID(B1041,5,1)="-",DATE(VALUE(LEFT(B1041,4)),VALUE(MID(B1041,6,2)),VALUE(RIGHT(B1041,2))),DATE(VALUE(RIGHT(B1041,4)),MATCH(MID(B1041,4,3),{"Jan","Feb","Mar","Apr","May","Jun","Jul","Aug","Sep","Oct","Nov","Dec"},0),VALUE(LEFT(B1041,2)))))</f>
        <v>45889</v>
      </c>
    </row>
    <row r="1042" customFormat="false" ht="15" hidden="false" customHeight="false" outlineLevel="0" collapsed="false">
      <c r="A1042" s="7" t="s">
        <v>3098</v>
      </c>
      <c r="B1042" s="7" t="s">
        <v>2840</v>
      </c>
      <c r="C1042" s="7" t="s">
        <v>619</v>
      </c>
      <c r="D1042" s="7" t="s">
        <v>857</v>
      </c>
      <c r="E1042" s="7" t="s">
        <v>126</v>
      </c>
      <c r="F1042" s="7" t="s">
        <v>101</v>
      </c>
      <c r="G1042" s="7" t="s">
        <v>105</v>
      </c>
      <c r="H1042" s="7" t="n">
        <v>2</v>
      </c>
      <c r="I1042" s="7" t="n">
        <v>255</v>
      </c>
      <c r="J1042" s="7" t="n">
        <v>150</v>
      </c>
      <c r="K1042" s="7" t="s">
        <v>121</v>
      </c>
      <c r="L1042" s="7" t="s">
        <v>194</v>
      </c>
      <c r="M1042" s="7" t="n">
        <v>36</v>
      </c>
      <c r="N1042" s="7" t="n">
        <v>4</v>
      </c>
      <c r="O1042" s="7" t="str">
        <f aca="false">A1042&amp;"|"&amp;B1042&amp;"|"&amp;C1042&amp;"|"&amp;D1042&amp;"|"&amp;E1042&amp;"|"&amp;F1042&amp;"|"&amp;G1042&amp;"|"&amp;H1042&amp;"|"&amp;I1042&amp;"|"&amp;J1042&amp;"|"&amp;K1042&amp;"|"&amp;L1042&amp;"|"&amp;M1042&amp;"|"&amp;N1042</f>
        <v>ORD11258|2025-06-09|21:59|C0802|Dragon Express|Mumbai|Chinese|2|255|150|Wallet|Delivered|36|4</v>
      </c>
      <c r="P1042" s="7" t="str">
        <f aca="false">IF(COUNTIF($O$2:O1042,O1042)&gt;1,"DUP","OK")</f>
        <v>OK</v>
      </c>
      <c r="Q1042" s="7" t="n">
        <f aca="false">COUNTBLANK(A1042:N1042)</f>
        <v>0</v>
      </c>
      <c r="R1042" s="7" t="n">
        <f aca="false">IF(A1042="",0,COUNTIFS($A$2:$A$3058,A1042,$P$2:$P$3058,"OK"))</f>
        <v>1</v>
      </c>
      <c r="S1042" s="7" t="str">
        <f aca="false">IF(OR(A1042="",P1042="DUP",R1042&lt;2),"",IF(Q1042=_xlfn.MINIFS($Q$2:$Q$3058,$A$2:$A$3058,A1042,$P$2:$P$3058,"OK"),"KEEP","DROP"))</f>
        <v/>
      </c>
      <c r="T1042" s="9" t="n">
        <f aca="false">IF(A1042="",1,0)</f>
        <v>0</v>
      </c>
      <c r="U1042" s="9" t="n">
        <f aca="false">IF(D1042="",1,0)</f>
        <v>0</v>
      </c>
      <c r="V1042" s="9" t="n">
        <f aca="false">IF(E1042="",1,0)</f>
        <v>0</v>
      </c>
      <c r="W1042" s="9" t="n">
        <f aca="false">IF(OR(H1042&lt;1,H1042&gt;10),1,0)</f>
        <v>0</v>
      </c>
      <c r="X1042" s="9" t="n">
        <f aca="false">IF(OR(I1042&lt;=0,I1042&gt;1500),1,0)</f>
        <v>0</v>
      </c>
      <c r="Y1042" s="9" t="n">
        <f aca="false">IF(J1042&gt;H1042*I1042,1,0)</f>
        <v>0</v>
      </c>
      <c r="Z1042" s="9" t="n">
        <f aca="false">IF(AND(N1042&lt;&gt;"",OR(N1042&lt;1,N1042&gt;5)),1,0)</f>
        <v>0</v>
      </c>
      <c r="AA1042" s="9" t="n">
        <f aca="false">IF(AND(M1042&lt;&gt;"",OR(M1042&lt;5,M1042&gt;180)),1,0)</f>
        <v>0</v>
      </c>
      <c r="AB1042" s="7" t="str">
        <f aca="false">IF(P1042="DUP","Exact duplicate row",IF(T1042=1,"Missing Order ID",IF(S1042="DROP","Duplicate Order ID (less complete row)",IF(U1042=1,"Missing Customer ID",IF(V1042=1,"Missing Restaurant name",IF(W1042=1,"Invalid/outlier quantity",IF(X1042=1,"Invalid/outlier unit price",IF(Y1042=1,"Discount greater than order value",""))))))))</f>
        <v/>
      </c>
      <c r="AC1042" s="7" t="str">
        <f aca="false">IF(AB1042="","KEEP","DROP")</f>
        <v>KEEP</v>
      </c>
      <c r="AD1042" s="7" t="str">
        <f aca="false">IF(TRIM(F1042)="",IFERROR(INDEX(Map_Tables!$I$4:$I$37,MATCH(TRIM(E1042),Map_Tables!$G$4:$G$37,0)),""),IFERROR(INDEX(Map_Tables!$B$4:$B$18,MATCH(TRIM(F1042),Map_Tables!$A$4:$A$18,0)),"CHECK"))</f>
        <v>Mumbai</v>
      </c>
      <c r="AE1042" s="7" t="str">
        <f aca="false">IF(TRIM(E1042)="","",IFERROR(INDEX(Map_Tables!$H$4:$H$37,MATCH(TRIM(E1042),Map_Tables!$G$4:$G$37,0)),"CHECK"))</f>
        <v>Dragon Express</v>
      </c>
      <c r="AF1042" s="7" t="str">
        <f aca="false">IF(TRIM(K1042)="","Unknown",IFERROR(INDEX(Map_Tables!$E$4:$E$15,MATCH(TRIM(K1042),Map_Tables!$D$4:$D$15,0)),"CHECK"))</f>
        <v>Wallet</v>
      </c>
      <c r="AG1042" s="7" t="str">
        <f aca="false">IF(LEFT(LOWER(TRIM(L1042)),6)="cancel","Cancelled","Delivered")</f>
        <v>Delivered</v>
      </c>
      <c r="AH1042" s="10" t="n">
        <f aca="false">IF(ISNUMBER(SEARCH("/",B1042)),DATE(VALUE(RIGHT(B1042,4)),VALUE(MID(B1042,4,2)),VALUE(LEFT(B1042,2))),IF(MID(B1042,5,1)="-",DATE(VALUE(LEFT(B1042,4)),VALUE(MID(B1042,6,2)),VALUE(RIGHT(B1042,2))),DATE(VALUE(RIGHT(B1042,4)),MATCH(MID(B1042,4,3),{"Jan","Feb","Mar","Apr","May","Jun","Jul","Aug","Sep","Oct","Nov","Dec"},0),VALUE(LEFT(B1042,2)))))</f>
        <v>45817</v>
      </c>
    </row>
    <row r="1043" customFormat="false" ht="15" hidden="false" customHeight="false" outlineLevel="0" collapsed="false">
      <c r="A1043" s="7" t="s">
        <v>3099</v>
      </c>
      <c r="B1043" s="7" t="s">
        <v>1389</v>
      </c>
      <c r="C1043" s="7" t="s">
        <v>437</v>
      </c>
      <c r="D1043" s="7" t="s">
        <v>1792</v>
      </c>
      <c r="E1043" s="7" t="s">
        <v>144</v>
      </c>
      <c r="F1043" s="7" t="s">
        <v>2488</v>
      </c>
      <c r="G1043" s="7" t="s">
        <v>99</v>
      </c>
      <c r="H1043" s="7" t="n">
        <v>1</v>
      </c>
      <c r="I1043" s="7" t="n">
        <v>280</v>
      </c>
      <c r="J1043" s="7" t="n">
        <v>0</v>
      </c>
      <c r="K1043" s="7" t="s">
        <v>112</v>
      </c>
      <c r="L1043" s="7" t="s">
        <v>194</v>
      </c>
      <c r="M1043" s="7" t="n">
        <v>36</v>
      </c>
      <c r="N1043" s="7" t="n">
        <v>4</v>
      </c>
      <c r="O1043" s="7" t="str">
        <f aca="false">A1043&amp;"|"&amp;B1043&amp;"|"&amp;C1043&amp;"|"&amp;D1043&amp;"|"&amp;E1043&amp;"|"&amp;F1043&amp;"|"&amp;G1043&amp;"|"&amp;H1043&amp;"|"&amp;I1043&amp;"|"&amp;J1043&amp;"|"&amp;K1043&amp;"|"&amp;L1043&amp;"|"&amp;M1043&amp;"|"&amp;N1043</f>
        <v>ORD11203|2025-06-01|22:59|C0018|Hyderabad Dum Biryani|HYDERABAD|Biryani|1|280|0|Cash on Delivery|Delivered|36|4</v>
      </c>
      <c r="P1043" s="7" t="str">
        <f aca="false">IF(COUNTIF($O$2:O1043,O1043)&gt;1,"DUP","OK")</f>
        <v>OK</v>
      </c>
      <c r="Q1043" s="7" t="n">
        <f aca="false">COUNTBLANK(A1043:N1043)</f>
        <v>0</v>
      </c>
      <c r="R1043" s="7" t="n">
        <f aca="false">IF(A1043="",0,COUNTIFS($A$2:$A$3058,A1043,$P$2:$P$3058,"OK"))</f>
        <v>1</v>
      </c>
      <c r="S1043" s="7" t="str">
        <f aca="false">IF(OR(A1043="",P1043="DUP",R1043&lt;2),"",IF(Q1043=_xlfn.MINIFS($Q$2:$Q$3058,$A$2:$A$3058,A1043,$P$2:$P$3058,"OK"),"KEEP","DROP"))</f>
        <v/>
      </c>
      <c r="T1043" s="9" t="n">
        <f aca="false">IF(A1043="",1,0)</f>
        <v>0</v>
      </c>
      <c r="U1043" s="9" t="n">
        <f aca="false">IF(D1043="",1,0)</f>
        <v>0</v>
      </c>
      <c r="V1043" s="9" t="n">
        <f aca="false">IF(E1043="",1,0)</f>
        <v>0</v>
      </c>
      <c r="W1043" s="9" t="n">
        <f aca="false">IF(OR(H1043&lt;1,H1043&gt;10),1,0)</f>
        <v>0</v>
      </c>
      <c r="X1043" s="9" t="n">
        <f aca="false">IF(OR(I1043&lt;=0,I1043&gt;1500),1,0)</f>
        <v>0</v>
      </c>
      <c r="Y1043" s="9" t="n">
        <f aca="false">IF(J1043&gt;H1043*I1043,1,0)</f>
        <v>0</v>
      </c>
      <c r="Z1043" s="9" t="n">
        <f aca="false">IF(AND(N1043&lt;&gt;"",OR(N1043&lt;1,N1043&gt;5)),1,0)</f>
        <v>0</v>
      </c>
      <c r="AA1043" s="9" t="n">
        <f aca="false">IF(AND(M1043&lt;&gt;"",OR(M1043&lt;5,M1043&gt;180)),1,0)</f>
        <v>0</v>
      </c>
      <c r="AB1043" s="7" t="str">
        <f aca="false">IF(P1043="DUP","Exact duplicate row",IF(T1043=1,"Missing Order ID",IF(S1043="DROP","Duplicate Order ID (less complete row)",IF(U1043=1,"Missing Customer ID",IF(V1043=1,"Missing Restaurant name",IF(W1043=1,"Invalid/outlier quantity",IF(X1043=1,"Invalid/outlier unit price",IF(Y1043=1,"Discount greater than order value",""))))))))</f>
        <v/>
      </c>
      <c r="AC1043" s="7" t="str">
        <f aca="false">IF(AB1043="","KEEP","DROP")</f>
        <v>KEEP</v>
      </c>
      <c r="AD1043" s="7" t="str">
        <f aca="false">IF(TRIM(F1043)="",IFERROR(INDEX(Map_Tables!$I$4:$I$37,MATCH(TRIM(E1043),Map_Tables!$G$4:$G$37,0)),""),IFERROR(INDEX(Map_Tables!$B$4:$B$18,MATCH(TRIM(F1043),Map_Tables!$A$4:$A$18,0)),"CHECK"))</f>
        <v>Hyderabad</v>
      </c>
      <c r="AE1043" s="7" t="str">
        <f aca="false">IF(TRIM(E1043)="","",IFERROR(INDEX(Map_Tables!$H$4:$H$37,MATCH(TRIM(E1043),Map_Tables!$G$4:$G$37,0)),"CHECK"))</f>
        <v>Hyderabad Dum Biryani</v>
      </c>
      <c r="AF1043" s="7" t="str">
        <f aca="false">IF(TRIM(K1043)="","Unknown",IFERROR(INDEX(Map_Tables!$E$4:$E$15,MATCH(TRIM(K1043),Map_Tables!$D$4:$D$15,0)),"CHECK"))</f>
        <v>Cash on Delivery</v>
      </c>
      <c r="AG1043" s="7" t="str">
        <f aca="false">IF(LEFT(LOWER(TRIM(L1043)),6)="cancel","Cancelled","Delivered")</f>
        <v>Delivered</v>
      </c>
      <c r="AH1043" s="10" t="n">
        <f aca="false">IF(ISNUMBER(SEARCH("/",B1043)),DATE(VALUE(RIGHT(B1043,4)),VALUE(MID(B1043,4,2)),VALUE(LEFT(B1043,2))),IF(MID(B1043,5,1)="-",DATE(VALUE(LEFT(B1043,4)),VALUE(MID(B1043,6,2)),VALUE(RIGHT(B1043,2))),DATE(VALUE(RIGHT(B1043,4)),MATCH(MID(B1043,4,3),{"Jan","Feb","Mar","Apr","May","Jun","Jul","Aug","Sep","Oct","Nov","Dec"},0),VALUE(LEFT(B1043,2)))))</f>
        <v>45809</v>
      </c>
    </row>
    <row r="1044" customFormat="false" ht="15" hidden="false" customHeight="false" outlineLevel="0" collapsed="false">
      <c r="A1044" s="7" t="s">
        <v>3100</v>
      </c>
      <c r="B1044" s="7" t="s">
        <v>1872</v>
      </c>
      <c r="C1044" s="7" t="s">
        <v>1298</v>
      </c>
      <c r="D1044" s="7" t="s">
        <v>3101</v>
      </c>
      <c r="E1044" s="7" t="s">
        <v>89</v>
      </c>
      <c r="F1044" s="7" t="s">
        <v>86</v>
      </c>
      <c r="G1044" s="7" t="s">
        <v>90</v>
      </c>
      <c r="H1044" s="7" t="n">
        <v>2</v>
      </c>
      <c r="I1044" s="7" t="n">
        <v>255</v>
      </c>
      <c r="J1044" s="7" t="n">
        <v>30</v>
      </c>
      <c r="K1044" s="7" t="s">
        <v>112</v>
      </c>
      <c r="L1044" s="7" t="s">
        <v>194</v>
      </c>
      <c r="M1044" s="7" t="n">
        <v>42</v>
      </c>
      <c r="N1044" s="7" t="n">
        <v>4</v>
      </c>
      <c r="O1044" s="7" t="str">
        <f aca="false">A1044&amp;"|"&amp;B1044&amp;"|"&amp;C1044&amp;"|"&amp;D1044&amp;"|"&amp;E1044&amp;"|"&amp;F1044&amp;"|"&amp;G1044&amp;"|"&amp;H1044&amp;"|"&amp;I1044&amp;"|"&amp;J1044&amp;"|"&amp;K1044&amp;"|"&amp;L1044&amp;"|"&amp;M1044&amp;"|"&amp;N1044</f>
        <v>ORD10596|2025-03-16|23:55|C0458|Spice Junction|Bengaluru|North Indian|2|255|30|Cash on Delivery|Delivered|42|4</v>
      </c>
      <c r="P1044" s="7" t="str">
        <f aca="false">IF(COUNTIF($O$2:O1044,O1044)&gt;1,"DUP","OK")</f>
        <v>OK</v>
      </c>
      <c r="Q1044" s="7" t="n">
        <f aca="false">COUNTBLANK(A1044:N1044)</f>
        <v>0</v>
      </c>
      <c r="R1044" s="7" t="n">
        <f aca="false">IF(A1044="",0,COUNTIFS($A$2:$A$3058,A1044,$P$2:$P$3058,"OK"))</f>
        <v>1</v>
      </c>
      <c r="S1044" s="7" t="str">
        <f aca="false">IF(OR(A1044="",P1044="DUP",R1044&lt;2),"",IF(Q1044=_xlfn.MINIFS($Q$2:$Q$3058,$A$2:$A$3058,A1044,$P$2:$P$3058,"OK"),"KEEP","DROP"))</f>
        <v/>
      </c>
      <c r="T1044" s="9" t="n">
        <f aca="false">IF(A1044="",1,0)</f>
        <v>0</v>
      </c>
      <c r="U1044" s="9" t="n">
        <f aca="false">IF(D1044="",1,0)</f>
        <v>0</v>
      </c>
      <c r="V1044" s="9" t="n">
        <f aca="false">IF(E1044="",1,0)</f>
        <v>0</v>
      </c>
      <c r="W1044" s="9" t="n">
        <f aca="false">IF(OR(H1044&lt;1,H1044&gt;10),1,0)</f>
        <v>0</v>
      </c>
      <c r="X1044" s="9" t="n">
        <f aca="false">IF(OR(I1044&lt;=0,I1044&gt;1500),1,0)</f>
        <v>0</v>
      </c>
      <c r="Y1044" s="9" t="n">
        <f aca="false">IF(J1044&gt;H1044*I1044,1,0)</f>
        <v>0</v>
      </c>
      <c r="Z1044" s="9" t="n">
        <f aca="false">IF(AND(N1044&lt;&gt;"",OR(N1044&lt;1,N1044&gt;5)),1,0)</f>
        <v>0</v>
      </c>
      <c r="AA1044" s="9" t="n">
        <f aca="false">IF(AND(M1044&lt;&gt;"",OR(M1044&lt;5,M1044&gt;180)),1,0)</f>
        <v>0</v>
      </c>
      <c r="AB1044" s="7" t="str">
        <f aca="false">IF(P1044="DUP","Exact duplicate row",IF(T1044=1,"Missing Order ID",IF(S1044="DROP","Duplicate Order ID (less complete row)",IF(U1044=1,"Missing Customer ID",IF(V1044=1,"Missing Restaurant name",IF(W1044=1,"Invalid/outlier quantity",IF(X1044=1,"Invalid/outlier unit price",IF(Y1044=1,"Discount greater than order value",""))))))))</f>
        <v/>
      </c>
      <c r="AC1044" s="7" t="str">
        <f aca="false">IF(AB1044="","KEEP","DROP")</f>
        <v>KEEP</v>
      </c>
      <c r="AD1044" s="7" t="str">
        <f aca="false">IF(TRIM(F1044)="",IFERROR(INDEX(Map_Tables!$I$4:$I$37,MATCH(TRIM(E1044),Map_Tables!$G$4:$G$37,0)),""),IFERROR(INDEX(Map_Tables!$B$4:$B$18,MATCH(TRIM(F1044),Map_Tables!$A$4:$A$18,0)),"CHECK"))</f>
        <v>Bengaluru</v>
      </c>
      <c r="AE1044" s="7" t="str">
        <f aca="false">IF(TRIM(E1044)="","",IFERROR(INDEX(Map_Tables!$H$4:$H$37,MATCH(TRIM(E1044),Map_Tables!$G$4:$G$37,0)),"CHECK"))</f>
        <v>Spice Junction</v>
      </c>
      <c r="AF1044" s="7" t="str">
        <f aca="false">IF(TRIM(K1044)="","Unknown",IFERROR(INDEX(Map_Tables!$E$4:$E$15,MATCH(TRIM(K1044),Map_Tables!$D$4:$D$15,0)),"CHECK"))</f>
        <v>Cash on Delivery</v>
      </c>
      <c r="AG1044" s="7" t="str">
        <f aca="false">IF(LEFT(LOWER(TRIM(L1044)),6)="cancel","Cancelled","Delivered")</f>
        <v>Delivered</v>
      </c>
      <c r="AH1044" s="10" t="n">
        <f aca="false">IF(ISNUMBER(SEARCH("/",B1044)),DATE(VALUE(RIGHT(B1044,4)),VALUE(MID(B1044,4,2)),VALUE(LEFT(B1044,2))),IF(MID(B1044,5,1)="-",DATE(VALUE(LEFT(B1044,4)),VALUE(MID(B1044,6,2)),VALUE(RIGHT(B1044,2))),DATE(VALUE(RIGHT(B1044,4)),MATCH(MID(B1044,4,3),{"Jan","Feb","Mar","Apr","May","Jun","Jul","Aug","Sep","Oct","Nov","Dec"},0),VALUE(LEFT(B1044,2)))))</f>
        <v>45732</v>
      </c>
    </row>
    <row r="1045" customFormat="false" ht="15" hidden="false" customHeight="false" outlineLevel="0" collapsed="false">
      <c r="A1045" s="7" t="s">
        <v>3102</v>
      </c>
      <c r="B1045" s="7" t="s">
        <v>1249</v>
      </c>
      <c r="C1045" s="7" t="s">
        <v>1456</v>
      </c>
      <c r="D1045" s="7" t="s">
        <v>2994</v>
      </c>
      <c r="E1045" s="7" t="s">
        <v>1843</v>
      </c>
      <c r="F1045" s="7" t="s">
        <v>110</v>
      </c>
      <c r="G1045" s="7" t="s">
        <v>90</v>
      </c>
      <c r="H1045" s="7" t="n">
        <v>5</v>
      </c>
      <c r="I1045" s="7" t="n">
        <v>250</v>
      </c>
      <c r="J1045" s="7" t="n">
        <v>0</v>
      </c>
      <c r="K1045" s="7" t="s">
        <v>112</v>
      </c>
      <c r="L1045" s="7" t="s">
        <v>194</v>
      </c>
      <c r="M1045" s="7" t="n">
        <v>23</v>
      </c>
      <c r="N1045" s="7"/>
      <c r="O1045" s="7" t="str">
        <f aca="false">A1045&amp;"|"&amp;B1045&amp;"|"&amp;C1045&amp;"|"&amp;D1045&amp;"|"&amp;E1045&amp;"|"&amp;F1045&amp;"|"&amp;G1045&amp;"|"&amp;H1045&amp;"|"&amp;I1045&amp;"|"&amp;J1045&amp;"|"&amp;K1045&amp;"|"&amp;L1045&amp;"|"&amp;M1045&amp;"|"&amp;N1045</f>
        <v>ORD11616|2025-07-29|18:30|C0967| Tandoor Tales|Delhi|North Indian|5|250|0|Cash on Delivery|Delivered|23|</v>
      </c>
      <c r="P1045" s="7" t="str">
        <f aca="false">IF(COUNTIF($O$2:O1045,O1045)&gt;1,"DUP","OK")</f>
        <v>OK</v>
      </c>
      <c r="Q1045" s="7" t="n">
        <f aca="false">COUNTBLANK(A1045:N1045)</f>
        <v>1</v>
      </c>
      <c r="R1045" s="7" t="n">
        <f aca="false">IF(A1045="",0,COUNTIFS($A$2:$A$3058,A1045,$P$2:$P$3058,"OK"))</f>
        <v>1</v>
      </c>
      <c r="S1045" s="7" t="str">
        <f aca="false">IF(OR(A1045="",P1045="DUP",R1045&lt;2),"",IF(Q1045=_xlfn.MINIFS($Q$2:$Q$3058,$A$2:$A$3058,A1045,$P$2:$P$3058,"OK"),"KEEP","DROP"))</f>
        <v/>
      </c>
      <c r="T1045" s="9" t="n">
        <f aca="false">IF(A1045="",1,0)</f>
        <v>0</v>
      </c>
      <c r="U1045" s="9" t="n">
        <f aca="false">IF(D1045="",1,0)</f>
        <v>0</v>
      </c>
      <c r="V1045" s="9" t="n">
        <f aca="false">IF(E1045="",1,0)</f>
        <v>0</v>
      </c>
      <c r="W1045" s="9" t="n">
        <f aca="false">IF(OR(H1045&lt;1,H1045&gt;10),1,0)</f>
        <v>0</v>
      </c>
      <c r="X1045" s="9" t="n">
        <f aca="false">IF(OR(I1045&lt;=0,I1045&gt;1500),1,0)</f>
        <v>0</v>
      </c>
      <c r="Y1045" s="9" t="n">
        <f aca="false">IF(J1045&gt;H1045*I1045,1,0)</f>
        <v>0</v>
      </c>
      <c r="Z1045" s="9" t="n">
        <f aca="false">IF(AND(N1045&lt;&gt;"",OR(N1045&lt;1,N1045&gt;5)),1,0)</f>
        <v>0</v>
      </c>
      <c r="AA1045" s="9" t="n">
        <f aca="false">IF(AND(M1045&lt;&gt;"",OR(M1045&lt;5,M1045&gt;180)),1,0)</f>
        <v>0</v>
      </c>
      <c r="AB1045" s="7" t="str">
        <f aca="false">IF(P1045="DUP","Exact duplicate row",IF(T1045=1,"Missing Order ID",IF(S1045="DROP","Duplicate Order ID (less complete row)",IF(U1045=1,"Missing Customer ID",IF(V1045=1,"Missing Restaurant name",IF(W1045=1,"Invalid/outlier quantity",IF(X1045=1,"Invalid/outlier unit price",IF(Y1045=1,"Discount greater than order value",""))))))))</f>
        <v/>
      </c>
      <c r="AC1045" s="7" t="str">
        <f aca="false">IF(AB1045="","KEEP","DROP")</f>
        <v>KEEP</v>
      </c>
      <c r="AD1045" s="7" t="str">
        <f aca="false">IF(TRIM(F1045)="",IFERROR(INDEX(Map_Tables!$I$4:$I$37,MATCH(TRIM(E1045),Map_Tables!$G$4:$G$37,0)),""),IFERROR(INDEX(Map_Tables!$B$4:$B$18,MATCH(TRIM(F1045),Map_Tables!$A$4:$A$18,0)),"CHECK"))</f>
        <v>Delhi</v>
      </c>
      <c r="AE1045" s="7" t="str">
        <f aca="false">IF(TRIM(E1045)="","",IFERROR(INDEX(Map_Tables!$H$4:$H$37,MATCH(TRIM(E1045),Map_Tables!$G$4:$G$37,0)),"CHECK"))</f>
        <v>Tandoor Tales</v>
      </c>
      <c r="AF1045" s="7" t="str">
        <f aca="false">IF(TRIM(K1045)="","Unknown",IFERROR(INDEX(Map_Tables!$E$4:$E$15,MATCH(TRIM(K1045),Map_Tables!$D$4:$D$15,0)),"CHECK"))</f>
        <v>Cash on Delivery</v>
      </c>
      <c r="AG1045" s="7" t="str">
        <f aca="false">IF(LEFT(LOWER(TRIM(L1045)),6)="cancel","Cancelled","Delivered")</f>
        <v>Delivered</v>
      </c>
      <c r="AH1045" s="10" t="n">
        <f aca="false">IF(ISNUMBER(SEARCH("/",B1045)),DATE(VALUE(RIGHT(B1045,4)),VALUE(MID(B1045,4,2)),VALUE(LEFT(B1045,2))),IF(MID(B1045,5,1)="-",DATE(VALUE(LEFT(B1045,4)),VALUE(MID(B1045,6,2)),VALUE(RIGHT(B1045,2))),DATE(VALUE(RIGHT(B1045,4)),MATCH(MID(B1045,4,3),{"Jan","Feb","Mar","Apr","May","Jun","Jul","Aug","Sep","Oct","Nov","Dec"},0),VALUE(LEFT(B1045,2)))))</f>
        <v>45867</v>
      </c>
    </row>
    <row r="1046" customFormat="false" ht="15" hidden="false" customHeight="false" outlineLevel="0" collapsed="false">
      <c r="A1046" s="7" t="s">
        <v>3103</v>
      </c>
      <c r="B1046" s="7" t="s">
        <v>291</v>
      </c>
      <c r="C1046" s="7" t="s">
        <v>1336</v>
      </c>
      <c r="D1046" s="7" t="s">
        <v>3104</v>
      </c>
      <c r="E1046" s="7" t="s">
        <v>149</v>
      </c>
      <c r="F1046" s="7" t="s">
        <v>119</v>
      </c>
      <c r="G1046" s="7" t="s">
        <v>3105</v>
      </c>
      <c r="H1046" s="7" t="n">
        <v>4</v>
      </c>
      <c r="I1046" s="7" t="n">
        <v>155</v>
      </c>
      <c r="J1046" s="7" t="n">
        <v>0</v>
      </c>
      <c r="K1046" s="7" t="s">
        <v>93</v>
      </c>
      <c r="L1046" s="7" t="s">
        <v>194</v>
      </c>
      <c r="M1046" s="7" t="n">
        <v>33</v>
      </c>
      <c r="N1046" s="7" t="n">
        <v>4</v>
      </c>
      <c r="O1046" s="7" t="str">
        <f aca="false">A1046&amp;"|"&amp;B1046&amp;"|"&amp;C1046&amp;"|"&amp;D1046&amp;"|"&amp;E1046&amp;"|"&amp;F1046&amp;"|"&amp;G1046&amp;"|"&amp;H1046&amp;"|"&amp;I1046&amp;"|"&amp;J1046&amp;"|"&amp;K1046&amp;"|"&amp;L1046&amp;"|"&amp;M1046&amp;"|"&amp;N1046</f>
        <v>ORD11230|2025-06-05|19:17|C0075|Sweet Tooth Studio|Hyderabad|desserts|4|155|0|Credit Card|Delivered|33|4</v>
      </c>
      <c r="P1046" s="7" t="str">
        <f aca="false">IF(COUNTIF($O$2:O1046,O1046)&gt;1,"DUP","OK")</f>
        <v>OK</v>
      </c>
      <c r="Q1046" s="7" t="n">
        <f aca="false">COUNTBLANK(A1046:N1046)</f>
        <v>0</v>
      </c>
      <c r="R1046" s="7" t="n">
        <f aca="false">IF(A1046="",0,COUNTIFS($A$2:$A$3058,A1046,$P$2:$P$3058,"OK"))</f>
        <v>1</v>
      </c>
      <c r="S1046" s="7" t="str">
        <f aca="false">IF(OR(A1046="",P1046="DUP",R1046&lt;2),"",IF(Q1046=_xlfn.MINIFS($Q$2:$Q$3058,$A$2:$A$3058,A1046,$P$2:$P$3058,"OK"),"KEEP","DROP"))</f>
        <v/>
      </c>
      <c r="T1046" s="9" t="n">
        <f aca="false">IF(A1046="",1,0)</f>
        <v>0</v>
      </c>
      <c r="U1046" s="9" t="n">
        <f aca="false">IF(D1046="",1,0)</f>
        <v>0</v>
      </c>
      <c r="V1046" s="9" t="n">
        <f aca="false">IF(E1046="",1,0)</f>
        <v>0</v>
      </c>
      <c r="W1046" s="9" t="n">
        <f aca="false">IF(OR(H1046&lt;1,H1046&gt;10),1,0)</f>
        <v>0</v>
      </c>
      <c r="X1046" s="9" t="n">
        <f aca="false">IF(OR(I1046&lt;=0,I1046&gt;1500),1,0)</f>
        <v>0</v>
      </c>
      <c r="Y1046" s="9" t="n">
        <f aca="false">IF(J1046&gt;H1046*I1046,1,0)</f>
        <v>0</v>
      </c>
      <c r="Z1046" s="9" t="n">
        <f aca="false">IF(AND(N1046&lt;&gt;"",OR(N1046&lt;1,N1046&gt;5)),1,0)</f>
        <v>0</v>
      </c>
      <c r="AA1046" s="9" t="n">
        <f aca="false">IF(AND(M1046&lt;&gt;"",OR(M1046&lt;5,M1046&gt;180)),1,0)</f>
        <v>0</v>
      </c>
      <c r="AB1046" s="7" t="str">
        <f aca="false">IF(P1046="DUP","Exact duplicate row",IF(T1046=1,"Missing Order ID",IF(S1046="DROP","Duplicate Order ID (less complete row)",IF(U1046=1,"Missing Customer ID",IF(V1046=1,"Missing Restaurant name",IF(W1046=1,"Invalid/outlier quantity",IF(X1046=1,"Invalid/outlier unit price",IF(Y1046=1,"Discount greater than order value",""))))))))</f>
        <v/>
      </c>
      <c r="AC1046" s="7" t="str">
        <f aca="false">IF(AB1046="","KEEP","DROP")</f>
        <v>KEEP</v>
      </c>
      <c r="AD1046" s="7" t="str">
        <f aca="false">IF(TRIM(F1046)="",IFERROR(INDEX(Map_Tables!$I$4:$I$37,MATCH(TRIM(E1046),Map_Tables!$G$4:$G$37,0)),""),IFERROR(INDEX(Map_Tables!$B$4:$B$18,MATCH(TRIM(F1046),Map_Tables!$A$4:$A$18,0)),"CHECK"))</f>
        <v>Hyderabad</v>
      </c>
      <c r="AE1046" s="7" t="str">
        <f aca="false">IF(TRIM(E1046)="","",IFERROR(INDEX(Map_Tables!$H$4:$H$37,MATCH(TRIM(E1046),Map_Tables!$G$4:$G$37,0)),"CHECK"))</f>
        <v>Sweet Tooth Studio</v>
      </c>
      <c r="AF1046" s="7" t="str">
        <f aca="false">IF(TRIM(K1046)="","Unknown",IFERROR(INDEX(Map_Tables!$E$4:$E$15,MATCH(TRIM(K1046),Map_Tables!$D$4:$D$15,0)),"CHECK"))</f>
        <v>Credit Card</v>
      </c>
      <c r="AG1046" s="7" t="str">
        <f aca="false">IF(LEFT(LOWER(TRIM(L1046)),6)="cancel","Cancelled","Delivered")</f>
        <v>Delivered</v>
      </c>
      <c r="AH1046" s="10" t="n">
        <f aca="false">IF(ISNUMBER(SEARCH("/",B1046)),DATE(VALUE(RIGHT(B1046,4)),VALUE(MID(B1046,4,2)),VALUE(LEFT(B1046,2))),IF(MID(B1046,5,1)="-",DATE(VALUE(LEFT(B1046,4)),VALUE(MID(B1046,6,2)),VALUE(RIGHT(B1046,2))),DATE(VALUE(RIGHT(B1046,4)),MATCH(MID(B1046,4,3),{"Jan","Feb","Mar","Apr","May","Jun","Jul","Aug","Sep","Oct","Nov","Dec"},0),VALUE(LEFT(B1046,2)))))</f>
        <v>45813</v>
      </c>
    </row>
    <row r="1047" customFormat="false" ht="15" hidden="false" customHeight="false" outlineLevel="0" collapsed="false">
      <c r="A1047" s="7" t="s">
        <v>3106</v>
      </c>
      <c r="B1047" s="7" t="s">
        <v>2357</v>
      </c>
      <c r="C1047" s="7" t="s">
        <v>1957</v>
      </c>
      <c r="D1047" s="7" t="s">
        <v>3107</v>
      </c>
      <c r="E1047" s="7" t="s">
        <v>130</v>
      </c>
      <c r="F1047" s="7" t="s">
        <v>110</v>
      </c>
      <c r="G1047" s="7" t="s">
        <v>90</v>
      </c>
      <c r="H1047" s="7" t="n">
        <v>1</v>
      </c>
      <c r="I1047" s="7" t="n">
        <v>235</v>
      </c>
      <c r="J1047" s="7" t="n">
        <v>0</v>
      </c>
      <c r="K1047" s="7" t="s">
        <v>1739</v>
      </c>
      <c r="L1047" s="7" t="s">
        <v>194</v>
      </c>
      <c r="M1047" s="7" t="n">
        <v>40</v>
      </c>
      <c r="N1047" s="7"/>
      <c r="O1047" s="7" t="str">
        <f aca="false">A1047&amp;"|"&amp;B1047&amp;"|"&amp;C1047&amp;"|"&amp;D1047&amp;"|"&amp;E1047&amp;"|"&amp;F1047&amp;"|"&amp;G1047&amp;"|"&amp;H1047&amp;"|"&amp;I1047&amp;"|"&amp;J1047&amp;"|"&amp;K1047&amp;"|"&amp;L1047&amp;"|"&amp;M1047&amp;"|"&amp;N1047</f>
        <v>ORD11898|2025-09-04|13:29|C1043|Tandoor Tales|Delhi|North Indian|1|235|0|CC|Delivered|40|</v>
      </c>
      <c r="P1047" s="7" t="str">
        <f aca="false">IF(COUNTIF($O$2:O1047,O1047)&gt;1,"DUP","OK")</f>
        <v>OK</v>
      </c>
      <c r="Q1047" s="7" t="n">
        <f aca="false">COUNTBLANK(A1047:N1047)</f>
        <v>1</v>
      </c>
      <c r="R1047" s="7" t="n">
        <f aca="false">IF(A1047="",0,COUNTIFS($A$2:$A$3058,A1047,$P$2:$P$3058,"OK"))</f>
        <v>1</v>
      </c>
      <c r="S1047" s="7" t="str">
        <f aca="false">IF(OR(A1047="",P1047="DUP",R1047&lt;2),"",IF(Q1047=_xlfn.MINIFS($Q$2:$Q$3058,$A$2:$A$3058,A1047,$P$2:$P$3058,"OK"),"KEEP","DROP"))</f>
        <v/>
      </c>
      <c r="T1047" s="9" t="n">
        <f aca="false">IF(A1047="",1,0)</f>
        <v>0</v>
      </c>
      <c r="U1047" s="9" t="n">
        <f aca="false">IF(D1047="",1,0)</f>
        <v>0</v>
      </c>
      <c r="V1047" s="9" t="n">
        <f aca="false">IF(E1047="",1,0)</f>
        <v>0</v>
      </c>
      <c r="W1047" s="9" t="n">
        <f aca="false">IF(OR(H1047&lt;1,H1047&gt;10),1,0)</f>
        <v>0</v>
      </c>
      <c r="X1047" s="9" t="n">
        <f aca="false">IF(OR(I1047&lt;=0,I1047&gt;1500),1,0)</f>
        <v>0</v>
      </c>
      <c r="Y1047" s="9" t="n">
        <f aca="false">IF(J1047&gt;H1047*I1047,1,0)</f>
        <v>0</v>
      </c>
      <c r="Z1047" s="9" t="n">
        <f aca="false">IF(AND(N1047&lt;&gt;"",OR(N1047&lt;1,N1047&gt;5)),1,0)</f>
        <v>0</v>
      </c>
      <c r="AA1047" s="9" t="n">
        <f aca="false">IF(AND(M1047&lt;&gt;"",OR(M1047&lt;5,M1047&gt;180)),1,0)</f>
        <v>0</v>
      </c>
      <c r="AB1047" s="7" t="str">
        <f aca="false">IF(P1047="DUP","Exact duplicate row",IF(T1047=1,"Missing Order ID",IF(S1047="DROP","Duplicate Order ID (less complete row)",IF(U1047=1,"Missing Customer ID",IF(V1047=1,"Missing Restaurant name",IF(W1047=1,"Invalid/outlier quantity",IF(X1047=1,"Invalid/outlier unit price",IF(Y1047=1,"Discount greater than order value",""))))))))</f>
        <v/>
      </c>
      <c r="AC1047" s="7" t="str">
        <f aca="false">IF(AB1047="","KEEP","DROP")</f>
        <v>KEEP</v>
      </c>
      <c r="AD1047" s="7" t="str">
        <f aca="false">IF(TRIM(F1047)="",IFERROR(INDEX(Map_Tables!$I$4:$I$37,MATCH(TRIM(E1047),Map_Tables!$G$4:$G$37,0)),""),IFERROR(INDEX(Map_Tables!$B$4:$B$18,MATCH(TRIM(F1047),Map_Tables!$A$4:$A$18,0)),"CHECK"))</f>
        <v>Delhi</v>
      </c>
      <c r="AE1047" s="7" t="str">
        <f aca="false">IF(TRIM(E1047)="","",IFERROR(INDEX(Map_Tables!$H$4:$H$37,MATCH(TRIM(E1047),Map_Tables!$G$4:$G$37,0)),"CHECK"))</f>
        <v>Tandoor Tales</v>
      </c>
      <c r="AF1047" s="7" t="str">
        <f aca="false">IF(TRIM(K1047)="","Unknown",IFERROR(INDEX(Map_Tables!$E$4:$E$15,MATCH(TRIM(K1047),Map_Tables!$D$4:$D$15,0)),"CHECK"))</f>
        <v>Credit Card</v>
      </c>
      <c r="AG1047" s="7" t="str">
        <f aca="false">IF(LEFT(LOWER(TRIM(L1047)),6)="cancel","Cancelled","Delivered")</f>
        <v>Delivered</v>
      </c>
      <c r="AH1047" s="10" t="n">
        <f aca="false">IF(ISNUMBER(SEARCH("/",B1047)),DATE(VALUE(RIGHT(B1047,4)),VALUE(MID(B1047,4,2)),VALUE(LEFT(B1047,2))),IF(MID(B1047,5,1)="-",DATE(VALUE(LEFT(B1047,4)),VALUE(MID(B1047,6,2)),VALUE(RIGHT(B1047,2))),DATE(VALUE(RIGHT(B1047,4)),MATCH(MID(B1047,4,3),{"Jan","Feb","Mar","Apr","May","Jun","Jul","Aug","Sep","Oct","Nov","Dec"},0),VALUE(LEFT(B1047,2)))))</f>
        <v>45904</v>
      </c>
    </row>
    <row r="1048" customFormat="false" ht="15" hidden="false" customHeight="false" outlineLevel="0" collapsed="false">
      <c r="A1048" s="7" t="s">
        <v>3108</v>
      </c>
      <c r="B1048" s="7" t="s">
        <v>2182</v>
      </c>
      <c r="C1048" s="7" t="s">
        <v>883</v>
      </c>
      <c r="D1048" s="7" t="s">
        <v>3109</v>
      </c>
      <c r="E1048" s="7" t="s">
        <v>144</v>
      </c>
      <c r="F1048" s="7" t="s">
        <v>119</v>
      </c>
      <c r="G1048" s="7" t="s">
        <v>99</v>
      </c>
      <c r="H1048" s="7" t="n">
        <v>3</v>
      </c>
      <c r="I1048" s="7" t="n">
        <v>315</v>
      </c>
      <c r="J1048" s="7" t="n">
        <v>100</v>
      </c>
      <c r="K1048" s="7" t="s">
        <v>88</v>
      </c>
      <c r="L1048" s="7" t="s">
        <v>194</v>
      </c>
      <c r="M1048" s="7" t="n">
        <v>40</v>
      </c>
      <c r="N1048" s="7"/>
      <c r="O1048" s="7" t="str">
        <f aca="false">A1048&amp;"|"&amp;B1048&amp;"|"&amp;C1048&amp;"|"&amp;D1048&amp;"|"&amp;E1048&amp;"|"&amp;F1048&amp;"|"&amp;G1048&amp;"|"&amp;H1048&amp;"|"&amp;I1048&amp;"|"&amp;J1048&amp;"|"&amp;K1048&amp;"|"&amp;L1048&amp;"|"&amp;M1048&amp;"|"&amp;N1048</f>
        <v>ORD11749|2025-08-17|13:42|C1349|Hyderabad Dum Biryani|Hyderabad|Biryani|3|315|100|UPI|Delivered|40|</v>
      </c>
      <c r="P1048" s="7" t="str">
        <f aca="false">IF(COUNTIF($O$2:O1048,O1048)&gt;1,"DUP","OK")</f>
        <v>OK</v>
      </c>
      <c r="Q1048" s="7" t="n">
        <f aca="false">COUNTBLANK(A1048:N1048)</f>
        <v>1</v>
      </c>
      <c r="R1048" s="7" t="n">
        <f aca="false">IF(A1048="",0,COUNTIFS($A$2:$A$3058,A1048,$P$2:$P$3058,"OK"))</f>
        <v>1</v>
      </c>
      <c r="S1048" s="7" t="str">
        <f aca="false">IF(OR(A1048="",P1048="DUP",R1048&lt;2),"",IF(Q1048=_xlfn.MINIFS($Q$2:$Q$3058,$A$2:$A$3058,A1048,$P$2:$P$3058,"OK"),"KEEP","DROP"))</f>
        <v/>
      </c>
      <c r="T1048" s="9" t="n">
        <f aca="false">IF(A1048="",1,0)</f>
        <v>0</v>
      </c>
      <c r="U1048" s="9" t="n">
        <f aca="false">IF(D1048="",1,0)</f>
        <v>0</v>
      </c>
      <c r="V1048" s="9" t="n">
        <f aca="false">IF(E1048="",1,0)</f>
        <v>0</v>
      </c>
      <c r="W1048" s="9" t="n">
        <f aca="false">IF(OR(H1048&lt;1,H1048&gt;10),1,0)</f>
        <v>0</v>
      </c>
      <c r="X1048" s="9" t="n">
        <f aca="false">IF(OR(I1048&lt;=0,I1048&gt;1500),1,0)</f>
        <v>0</v>
      </c>
      <c r="Y1048" s="9" t="n">
        <f aca="false">IF(J1048&gt;H1048*I1048,1,0)</f>
        <v>0</v>
      </c>
      <c r="Z1048" s="9" t="n">
        <f aca="false">IF(AND(N1048&lt;&gt;"",OR(N1048&lt;1,N1048&gt;5)),1,0)</f>
        <v>0</v>
      </c>
      <c r="AA1048" s="9" t="n">
        <f aca="false">IF(AND(M1048&lt;&gt;"",OR(M1048&lt;5,M1048&gt;180)),1,0)</f>
        <v>0</v>
      </c>
      <c r="AB1048" s="7" t="str">
        <f aca="false">IF(P1048="DUP","Exact duplicate row",IF(T1048=1,"Missing Order ID",IF(S1048="DROP","Duplicate Order ID (less complete row)",IF(U1048=1,"Missing Customer ID",IF(V1048=1,"Missing Restaurant name",IF(W1048=1,"Invalid/outlier quantity",IF(X1048=1,"Invalid/outlier unit price",IF(Y1048=1,"Discount greater than order value",""))))))))</f>
        <v/>
      </c>
      <c r="AC1048" s="7" t="str">
        <f aca="false">IF(AB1048="","KEEP","DROP")</f>
        <v>KEEP</v>
      </c>
      <c r="AD1048" s="7" t="str">
        <f aca="false">IF(TRIM(F1048)="",IFERROR(INDEX(Map_Tables!$I$4:$I$37,MATCH(TRIM(E1048),Map_Tables!$G$4:$G$37,0)),""),IFERROR(INDEX(Map_Tables!$B$4:$B$18,MATCH(TRIM(F1048),Map_Tables!$A$4:$A$18,0)),"CHECK"))</f>
        <v>Hyderabad</v>
      </c>
      <c r="AE1048" s="7" t="str">
        <f aca="false">IF(TRIM(E1048)="","",IFERROR(INDEX(Map_Tables!$H$4:$H$37,MATCH(TRIM(E1048),Map_Tables!$G$4:$G$37,0)),"CHECK"))</f>
        <v>Hyderabad Dum Biryani</v>
      </c>
      <c r="AF1048" s="7" t="str">
        <f aca="false">IF(TRIM(K1048)="","Unknown",IFERROR(INDEX(Map_Tables!$E$4:$E$15,MATCH(TRIM(K1048),Map_Tables!$D$4:$D$15,0)),"CHECK"))</f>
        <v>UPI</v>
      </c>
      <c r="AG1048" s="7" t="str">
        <f aca="false">IF(LEFT(LOWER(TRIM(L1048)),6)="cancel","Cancelled","Delivered")</f>
        <v>Delivered</v>
      </c>
      <c r="AH1048" s="10" t="n">
        <f aca="false">IF(ISNUMBER(SEARCH("/",B1048)),DATE(VALUE(RIGHT(B1048,4)),VALUE(MID(B1048,4,2)),VALUE(LEFT(B1048,2))),IF(MID(B1048,5,1)="-",DATE(VALUE(LEFT(B1048,4)),VALUE(MID(B1048,6,2)),VALUE(RIGHT(B1048,2))),DATE(VALUE(RIGHT(B1048,4)),MATCH(MID(B1048,4,3),{"Jan","Feb","Mar","Apr","May","Jun","Jul","Aug","Sep","Oct","Nov","Dec"},0),VALUE(LEFT(B1048,2)))))</f>
        <v>45886</v>
      </c>
    </row>
    <row r="1049" customFormat="false" ht="15" hidden="false" customHeight="false" outlineLevel="0" collapsed="false">
      <c r="A1049" s="7" t="s">
        <v>3110</v>
      </c>
      <c r="B1049" s="7" t="s">
        <v>1108</v>
      </c>
      <c r="C1049" s="7" t="s">
        <v>2705</v>
      </c>
      <c r="D1049" s="7" t="s">
        <v>3111</v>
      </c>
      <c r="E1049" s="7" t="s">
        <v>157</v>
      </c>
      <c r="F1049" s="7" t="s">
        <v>136</v>
      </c>
      <c r="G1049" s="7" t="s">
        <v>117</v>
      </c>
      <c r="H1049" s="7" t="n">
        <v>2</v>
      </c>
      <c r="I1049" s="7" t="n">
        <v>125</v>
      </c>
      <c r="J1049" s="7" t="n">
        <v>20</v>
      </c>
      <c r="K1049" s="7" t="s">
        <v>112</v>
      </c>
      <c r="L1049" s="7" t="s">
        <v>194</v>
      </c>
      <c r="M1049" s="7" t="n">
        <v>40</v>
      </c>
      <c r="N1049" s="7" t="n">
        <v>5</v>
      </c>
      <c r="O1049" s="7" t="str">
        <f aca="false">A1049&amp;"|"&amp;B1049&amp;"|"&amp;C1049&amp;"|"&amp;D1049&amp;"|"&amp;E1049&amp;"|"&amp;F1049&amp;"|"&amp;G1049&amp;"|"&amp;H1049&amp;"|"&amp;I1049&amp;"|"&amp;J1049&amp;"|"&amp;K1049&amp;"|"&amp;L1049&amp;"|"&amp;M1049&amp;"|"&amp;N1049</f>
        <v>ORD12618|2025-11-19|21:53|C1225|Misal Mantra|Pune|Street Food|2|125|20|Cash on Delivery|Delivered|40|5</v>
      </c>
      <c r="P1049" s="7" t="str">
        <f aca="false">IF(COUNTIF($O$2:O1049,O1049)&gt;1,"DUP","OK")</f>
        <v>OK</v>
      </c>
      <c r="Q1049" s="7" t="n">
        <f aca="false">COUNTBLANK(A1049:N1049)</f>
        <v>0</v>
      </c>
      <c r="R1049" s="7" t="n">
        <f aca="false">IF(A1049="",0,COUNTIFS($A$2:$A$3058,A1049,$P$2:$P$3058,"OK"))</f>
        <v>1</v>
      </c>
      <c r="S1049" s="7" t="str">
        <f aca="false">IF(OR(A1049="",P1049="DUP",R1049&lt;2),"",IF(Q1049=_xlfn.MINIFS($Q$2:$Q$3058,$A$2:$A$3058,A1049,$P$2:$P$3058,"OK"),"KEEP","DROP"))</f>
        <v/>
      </c>
      <c r="T1049" s="9" t="n">
        <f aca="false">IF(A1049="",1,0)</f>
        <v>0</v>
      </c>
      <c r="U1049" s="9" t="n">
        <f aca="false">IF(D1049="",1,0)</f>
        <v>0</v>
      </c>
      <c r="V1049" s="9" t="n">
        <f aca="false">IF(E1049="",1,0)</f>
        <v>0</v>
      </c>
      <c r="W1049" s="9" t="n">
        <f aca="false">IF(OR(H1049&lt;1,H1049&gt;10),1,0)</f>
        <v>0</v>
      </c>
      <c r="X1049" s="9" t="n">
        <f aca="false">IF(OR(I1049&lt;=0,I1049&gt;1500),1,0)</f>
        <v>0</v>
      </c>
      <c r="Y1049" s="9" t="n">
        <f aca="false">IF(J1049&gt;H1049*I1049,1,0)</f>
        <v>0</v>
      </c>
      <c r="Z1049" s="9" t="n">
        <f aca="false">IF(AND(N1049&lt;&gt;"",OR(N1049&lt;1,N1049&gt;5)),1,0)</f>
        <v>0</v>
      </c>
      <c r="AA1049" s="9" t="n">
        <f aca="false">IF(AND(M1049&lt;&gt;"",OR(M1049&lt;5,M1049&gt;180)),1,0)</f>
        <v>0</v>
      </c>
      <c r="AB1049" s="7" t="str">
        <f aca="false">IF(P1049="DUP","Exact duplicate row",IF(T1049=1,"Missing Order ID",IF(S1049="DROP","Duplicate Order ID (less complete row)",IF(U1049=1,"Missing Customer ID",IF(V1049=1,"Missing Restaurant name",IF(W1049=1,"Invalid/outlier quantity",IF(X1049=1,"Invalid/outlier unit price",IF(Y1049=1,"Discount greater than order value",""))))))))</f>
        <v/>
      </c>
      <c r="AC1049" s="7" t="str">
        <f aca="false">IF(AB1049="","KEEP","DROP")</f>
        <v>KEEP</v>
      </c>
      <c r="AD1049" s="7" t="str">
        <f aca="false">IF(TRIM(F1049)="",IFERROR(INDEX(Map_Tables!$I$4:$I$37,MATCH(TRIM(E1049),Map_Tables!$G$4:$G$37,0)),""),IFERROR(INDEX(Map_Tables!$B$4:$B$18,MATCH(TRIM(F1049),Map_Tables!$A$4:$A$18,0)),"CHECK"))</f>
        <v>Pune</v>
      </c>
      <c r="AE1049" s="7" t="str">
        <f aca="false">IF(TRIM(E1049)="","",IFERROR(INDEX(Map_Tables!$H$4:$H$37,MATCH(TRIM(E1049),Map_Tables!$G$4:$G$37,0)),"CHECK"))</f>
        <v>Misal Mantra</v>
      </c>
      <c r="AF1049" s="7" t="str">
        <f aca="false">IF(TRIM(K1049)="","Unknown",IFERROR(INDEX(Map_Tables!$E$4:$E$15,MATCH(TRIM(K1049),Map_Tables!$D$4:$D$15,0)),"CHECK"))</f>
        <v>Cash on Delivery</v>
      </c>
      <c r="AG1049" s="7" t="str">
        <f aca="false">IF(LEFT(LOWER(TRIM(L1049)),6)="cancel","Cancelled","Delivered")</f>
        <v>Delivered</v>
      </c>
      <c r="AH1049" s="10" t="n">
        <f aca="false">IF(ISNUMBER(SEARCH("/",B1049)),DATE(VALUE(RIGHT(B1049,4)),VALUE(MID(B1049,4,2)),VALUE(LEFT(B1049,2))),IF(MID(B1049,5,1)="-",DATE(VALUE(LEFT(B1049,4)),VALUE(MID(B1049,6,2)),VALUE(RIGHT(B1049,2))),DATE(VALUE(RIGHT(B1049,4)),MATCH(MID(B1049,4,3),{"Jan","Feb","Mar","Apr","May","Jun","Jul","Aug","Sep","Oct","Nov","Dec"},0),VALUE(LEFT(B1049,2)))))</f>
        <v>45980</v>
      </c>
    </row>
    <row r="1050" customFormat="false" ht="15" hidden="false" customHeight="false" outlineLevel="0" collapsed="false">
      <c r="A1050" s="7" t="s">
        <v>3112</v>
      </c>
      <c r="B1050" s="7" t="s">
        <v>3113</v>
      </c>
      <c r="C1050" s="7" t="s">
        <v>284</v>
      </c>
      <c r="D1050" s="7" t="s">
        <v>3114</v>
      </c>
      <c r="E1050" s="7" t="s">
        <v>159</v>
      </c>
      <c r="F1050" s="7" t="s">
        <v>136</v>
      </c>
      <c r="G1050" s="7" t="s">
        <v>90</v>
      </c>
      <c r="H1050" s="7" t="n">
        <v>1</v>
      </c>
      <c r="I1050" s="7" t="n">
        <v>245</v>
      </c>
      <c r="J1050" s="7" t="n">
        <v>0</v>
      </c>
      <c r="K1050" s="7" t="s">
        <v>121</v>
      </c>
      <c r="L1050" s="7" t="s">
        <v>194</v>
      </c>
      <c r="M1050" s="7" t="n">
        <v>30</v>
      </c>
      <c r="N1050" s="7"/>
      <c r="O1050" s="7" t="str">
        <f aca="false">A1050&amp;"|"&amp;B1050&amp;"|"&amp;C1050&amp;"|"&amp;D1050&amp;"|"&amp;E1050&amp;"|"&amp;F1050&amp;"|"&amp;G1050&amp;"|"&amp;H1050&amp;"|"&amp;I1050&amp;"|"&amp;J1050&amp;"|"&amp;K1050&amp;"|"&amp;L1050&amp;"|"&amp;M1050&amp;"|"&amp;N1050</f>
        <v>ORD10368|2025-02-18|11:51|C0053|Maratha Thali House|Pune|North Indian|1|245|0|Wallet|Delivered|30|</v>
      </c>
      <c r="P1050" s="7" t="str">
        <f aca="false">IF(COUNTIF($O$2:O1050,O1050)&gt;1,"DUP","OK")</f>
        <v>OK</v>
      </c>
      <c r="Q1050" s="7" t="n">
        <f aca="false">COUNTBLANK(A1050:N1050)</f>
        <v>1</v>
      </c>
      <c r="R1050" s="7" t="n">
        <f aca="false">IF(A1050="",0,COUNTIFS($A$2:$A$3058,A1050,$P$2:$P$3058,"OK"))</f>
        <v>1</v>
      </c>
      <c r="S1050" s="7" t="str">
        <f aca="false">IF(OR(A1050="",P1050="DUP",R1050&lt;2),"",IF(Q1050=_xlfn.MINIFS($Q$2:$Q$3058,$A$2:$A$3058,A1050,$P$2:$P$3058,"OK"),"KEEP","DROP"))</f>
        <v/>
      </c>
      <c r="T1050" s="9" t="n">
        <f aca="false">IF(A1050="",1,0)</f>
        <v>0</v>
      </c>
      <c r="U1050" s="9" t="n">
        <f aca="false">IF(D1050="",1,0)</f>
        <v>0</v>
      </c>
      <c r="V1050" s="9" t="n">
        <f aca="false">IF(E1050="",1,0)</f>
        <v>0</v>
      </c>
      <c r="W1050" s="9" t="n">
        <f aca="false">IF(OR(H1050&lt;1,H1050&gt;10),1,0)</f>
        <v>0</v>
      </c>
      <c r="X1050" s="9" t="n">
        <f aca="false">IF(OR(I1050&lt;=0,I1050&gt;1500),1,0)</f>
        <v>0</v>
      </c>
      <c r="Y1050" s="9" t="n">
        <f aca="false">IF(J1050&gt;H1050*I1050,1,0)</f>
        <v>0</v>
      </c>
      <c r="Z1050" s="9" t="n">
        <f aca="false">IF(AND(N1050&lt;&gt;"",OR(N1050&lt;1,N1050&gt;5)),1,0)</f>
        <v>0</v>
      </c>
      <c r="AA1050" s="9" t="n">
        <f aca="false">IF(AND(M1050&lt;&gt;"",OR(M1050&lt;5,M1050&gt;180)),1,0)</f>
        <v>0</v>
      </c>
      <c r="AB1050" s="7" t="str">
        <f aca="false">IF(P1050="DUP","Exact duplicate row",IF(T1050=1,"Missing Order ID",IF(S1050="DROP","Duplicate Order ID (less complete row)",IF(U1050=1,"Missing Customer ID",IF(V1050=1,"Missing Restaurant name",IF(W1050=1,"Invalid/outlier quantity",IF(X1050=1,"Invalid/outlier unit price",IF(Y1050=1,"Discount greater than order value",""))))))))</f>
        <v/>
      </c>
      <c r="AC1050" s="7" t="str">
        <f aca="false">IF(AB1050="","KEEP","DROP")</f>
        <v>KEEP</v>
      </c>
      <c r="AD1050" s="7" t="str">
        <f aca="false">IF(TRIM(F1050)="",IFERROR(INDEX(Map_Tables!$I$4:$I$37,MATCH(TRIM(E1050),Map_Tables!$G$4:$G$37,0)),""),IFERROR(INDEX(Map_Tables!$B$4:$B$18,MATCH(TRIM(F1050),Map_Tables!$A$4:$A$18,0)),"CHECK"))</f>
        <v>Pune</v>
      </c>
      <c r="AE1050" s="7" t="str">
        <f aca="false">IF(TRIM(E1050)="","",IFERROR(INDEX(Map_Tables!$H$4:$H$37,MATCH(TRIM(E1050),Map_Tables!$G$4:$G$37,0)),"CHECK"))</f>
        <v>Maratha Thali House</v>
      </c>
      <c r="AF1050" s="7" t="str">
        <f aca="false">IF(TRIM(K1050)="","Unknown",IFERROR(INDEX(Map_Tables!$E$4:$E$15,MATCH(TRIM(K1050),Map_Tables!$D$4:$D$15,0)),"CHECK"))</f>
        <v>Wallet</v>
      </c>
      <c r="AG1050" s="7" t="str">
        <f aca="false">IF(LEFT(LOWER(TRIM(L1050)),6)="cancel","Cancelled","Delivered")</f>
        <v>Delivered</v>
      </c>
      <c r="AH1050" s="10" t="n">
        <f aca="false">IF(ISNUMBER(SEARCH("/",B1050)),DATE(VALUE(RIGHT(B1050,4)),VALUE(MID(B1050,4,2)),VALUE(LEFT(B1050,2))),IF(MID(B1050,5,1)="-",DATE(VALUE(LEFT(B1050,4)),VALUE(MID(B1050,6,2)),VALUE(RIGHT(B1050,2))),DATE(VALUE(RIGHT(B1050,4)),MATCH(MID(B1050,4,3),{"Jan","Feb","Mar","Apr","May","Jun","Jul","Aug","Sep","Oct","Nov","Dec"},0),VALUE(LEFT(B1050,2)))))</f>
        <v>45706</v>
      </c>
    </row>
    <row r="1051" customFormat="false" ht="15" hidden="false" customHeight="false" outlineLevel="0" collapsed="false">
      <c r="A1051" s="7" t="s">
        <v>3115</v>
      </c>
      <c r="B1051" s="7" t="s">
        <v>546</v>
      </c>
      <c r="C1051" s="7" t="s">
        <v>1784</v>
      </c>
      <c r="D1051" s="7" t="s">
        <v>2944</v>
      </c>
      <c r="E1051" s="7" t="s">
        <v>113</v>
      </c>
      <c r="F1051" s="7" t="s">
        <v>101</v>
      </c>
      <c r="G1051" s="7" t="s">
        <v>90</v>
      </c>
      <c r="H1051" s="7" t="n">
        <v>3</v>
      </c>
      <c r="I1051" s="7" t="n">
        <v>265</v>
      </c>
      <c r="J1051" s="7" t="n">
        <v>75</v>
      </c>
      <c r="K1051" s="7" t="s">
        <v>112</v>
      </c>
      <c r="L1051" s="7" t="s">
        <v>194</v>
      </c>
      <c r="M1051" s="7" t="n">
        <v>44</v>
      </c>
      <c r="N1051" s="7" t="n">
        <v>5</v>
      </c>
      <c r="O1051" s="7" t="str">
        <f aca="false">A1051&amp;"|"&amp;B1051&amp;"|"&amp;C1051&amp;"|"&amp;D1051&amp;"|"&amp;E1051&amp;"|"&amp;F1051&amp;"|"&amp;G1051&amp;"|"&amp;H1051&amp;"|"&amp;I1051&amp;"|"&amp;J1051&amp;"|"&amp;K1051&amp;"|"&amp;L1051&amp;"|"&amp;M1051&amp;"|"&amp;N1051</f>
        <v>ORD12605|2025-11-18|18:23|C0510|Curry Leaf Kitchen|Mumbai|North Indian|3|265|75|Cash on Delivery|Delivered|44|5</v>
      </c>
      <c r="P1051" s="7" t="str">
        <f aca="false">IF(COUNTIF($O$2:O1051,O1051)&gt;1,"DUP","OK")</f>
        <v>OK</v>
      </c>
      <c r="Q1051" s="7" t="n">
        <f aca="false">COUNTBLANK(A1051:N1051)</f>
        <v>0</v>
      </c>
      <c r="R1051" s="7" t="n">
        <f aca="false">IF(A1051="",0,COUNTIFS($A$2:$A$3058,A1051,$P$2:$P$3058,"OK"))</f>
        <v>1</v>
      </c>
      <c r="S1051" s="7" t="str">
        <f aca="false">IF(OR(A1051="",P1051="DUP",R1051&lt;2),"",IF(Q1051=_xlfn.MINIFS($Q$2:$Q$3058,$A$2:$A$3058,A1051,$P$2:$P$3058,"OK"),"KEEP","DROP"))</f>
        <v/>
      </c>
      <c r="T1051" s="9" t="n">
        <f aca="false">IF(A1051="",1,0)</f>
        <v>0</v>
      </c>
      <c r="U1051" s="9" t="n">
        <f aca="false">IF(D1051="",1,0)</f>
        <v>0</v>
      </c>
      <c r="V1051" s="9" t="n">
        <f aca="false">IF(E1051="",1,0)</f>
        <v>0</v>
      </c>
      <c r="W1051" s="9" t="n">
        <f aca="false">IF(OR(H1051&lt;1,H1051&gt;10),1,0)</f>
        <v>0</v>
      </c>
      <c r="X1051" s="9" t="n">
        <f aca="false">IF(OR(I1051&lt;=0,I1051&gt;1500),1,0)</f>
        <v>0</v>
      </c>
      <c r="Y1051" s="9" t="n">
        <f aca="false">IF(J1051&gt;H1051*I1051,1,0)</f>
        <v>0</v>
      </c>
      <c r="Z1051" s="9" t="n">
        <f aca="false">IF(AND(N1051&lt;&gt;"",OR(N1051&lt;1,N1051&gt;5)),1,0)</f>
        <v>0</v>
      </c>
      <c r="AA1051" s="9" t="n">
        <f aca="false">IF(AND(M1051&lt;&gt;"",OR(M1051&lt;5,M1051&gt;180)),1,0)</f>
        <v>0</v>
      </c>
      <c r="AB1051" s="7" t="str">
        <f aca="false">IF(P1051="DUP","Exact duplicate row",IF(T1051=1,"Missing Order ID",IF(S1051="DROP","Duplicate Order ID (less complete row)",IF(U1051=1,"Missing Customer ID",IF(V1051=1,"Missing Restaurant name",IF(W1051=1,"Invalid/outlier quantity",IF(X1051=1,"Invalid/outlier unit price",IF(Y1051=1,"Discount greater than order value",""))))))))</f>
        <v/>
      </c>
      <c r="AC1051" s="7" t="str">
        <f aca="false">IF(AB1051="","KEEP","DROP")</f>
        <v>KEEP</v>
      </c>
      <c r="AD1051" s="7" t="str">
        <f aca="false">IF(TRIM(F1051)="",IFERROR(INDEX(Map_Tables!$I$4:$I$37,MATCH(TRIM(E1051),Map_Tables!$G$4:$G$37,0)),""),IFERROR(INDEX(Map_Tables!$B$4:$B$18,MATCH(TRIM(F1051),Map_Tables!$A$4:$A$18,0)),"CHECK"))</f>
        <v>Mumbai</v>
      </c>
      <c r="AE1051" s="7" t="str">
        <f aca="false">IF(TRIM(E1051)="","",IFERROR(INDEX(Map_Tables!$H$4:$H$37,MATCH(TRIM(E1051),Map_Tables!$G$4:$G$37,0)),"CHECK"))</f>
        <v>Curry Leaf Kitchen</v>
      </c>
      <c r="AF1051" s="7" t="str">
        <f aca="false">IF(TRIM(K1051)="","Unknown",IFERROR(INDEX(Map_Tables!$E$4:$E$15,MATCH(TRIM(K1051),Map_Tables!$D$4:$D$15,0)),"CHECK"))</f>
        <v>Cash on Delivery</v>
      </c>
      <c r="AG1051" s="7" t="str">
        <f aca="false">IF(LEFT(LOWER(TRIM(L1051)),6)="cancel","Cancelled","Delivered")</f>
        <v>Delivered</v>
      </c>
      <c r="AH1051" s="10" t="n">
        <f aca="false">IF(ISNUMBER(SEARCH("/",B1051)),DATE(VALUE(RIGHT(B1051,4)),VALUE(MID(B1051,4,2)),VALUE(LEFT(B1051,2))),IF(MID(B1051,5,1)="-",DATE(VALUE(LEFT(B1051,4)),VALUE(MID(B1051,6,2)),VALUE(RIGHT(B1051,2))),DATE(VALUE(RIGHT(B1051,4)),MATCH(MID(B1051,4,3),{"Jan","Feb","Mar","Apr","May","Jun","Jul","Aug","Sep","Oct","Nov","Dec"},0),VALUE(LEFT(B1051,2)))))</f>
        <v>45979</v>
      </c>
    </row>
    <row r="1052" customFormat="false" ht="15" hidden="false" customHeight="false" outlineLevel="0" collapsed="false">
      <c r="A1052" s="7" t="s">
        <v>3116</v>
      </c>
      <c r="B1052" s="7" t="s">
        <v>3117</v>
      </c>
      <c r="C1052" s="7" t="s">
        <v>3118</v>
      </c>
      <c r="D1052" s="7" t="s">
        <v>2614</v>
      </c>
      <c r="E1052" s="7" t="s">
        <v>152</v>
      </c>
      <c r="F1052" s="7" t="s">
        <v>128</v>
      </c>
      <c r="G1052" s="7" t="s">
        <v>95</v>
      </c>
      <c r="H1052" s="7" t="n">
        <v>1</v>
      </c>
      <c r="I1052" s="7" t="n">
        <v>90</v>
      </c>
      <c r="J1052" s="7" t="n">
        <v>36</v>
      </c>
      <c r="K1052" s="7" t="s">
        <v>88</v>
      </c>
      <c r="L1052" s="7" t="s">
        <v>194</v>
      </c>
      <c r="M1052" s="7" t="n">
        <v>33</v>
      </c>
      <c r="N1052" s="7" t="n">
        <v>5</v>
      </c>
      <c r="O1052" s="7" t="str">
        <f aca="false">A1052&amp;"|"&amp;B1052&amp;"|"&amp;C1052&amp;"|"&amp;D1052&amp;"|"&amp;E1052&amp;"|"&amp;F1052&amp;"|"&amp;G1052&amp;"|"&amp;H1052&amp;"|"&amp;I1052&amp;"|"&amp;J1052&amp;"|"&amp;K1052&amp;"|"&amp;L1052&amp;"|"&amp;M1052&amp;"|"&amp;N1052</f>
        <v>ORD11091|2025-05-18|19:48|C1313|Filter Coffee &amp; Tiffin|Chennai|South Indian|1|90|36|UPI|Delivered|33|5</v>
      </c>
      <c r="P1052" s="7" t="str">
        <f aca="false">IF(COUNTIF($O$2:O1052,O1052)&gt;1,"DUP","OK")</f>
        <v>OK</v>
      </c>
      <c r="Q1052" s="7" t="n">
        <f aca="false">COUNTBLANK(A1052:N1052)</f>
        <v>0</v>
      </c>
      <c r="R1052" s="7" t="n">
        <f aca="false">IF(A1052="",0,COUNTIFS($A$2:$A$3058,A1052,$P$2:$P$3058,"OK"))</f>
        <v>1</v>
      </c>
      <c r="S1052" s="7" t="str">
        <f aca="false">IF(OR(A1052="",P1052="DUP",R1052&lt;2),"",IF(Q1052=_xlfn.MINIFS($Q$2:$Q$3058,$A$2:$A$3058,A1052,$P$2:$P$3058,"OK"),"KEEP","DROP"))</f>
        <v/>
      </c>
      <c r="T1052" s="9" t="n">
        <f aca="false">IF(A1052="",1,0)</f>
        <v>0</v>
      </c>
      <c r="U1052" s="9" t="n">
        <f aca="false">IF(D1052="",1,0)</f>
        <v>0</v>
      </c>
      <c r="V1052" s="9" t="n">
        <f aca="false">IF(E1052="",1,0)</f>
        <v>0</v>
      </c>
      <c r="W1052" s="9" t="n">
        <f aca="false">IF(OR(H1052&lt;1,H1052&gt;10),1,0)</f>
        <v>0</v>
      </c>
      <c r="X1052" s="9" t="n">
        <f aca="false">IF(OR(I1052&lt;=0,I1052&gt;1500),1,0)</f>
        <v>0</v>
      </c>
      <c r="Y1052" s="9" t="n">
        <f aca="false">IF(J1052&gt;H1052*I1052,1,0)</f>
        <v>0</v>
      </c>
      <c r="Z1052" s="9" t="n">
        <f aca="false">IF(AND(N1052&lt;&gt;"",OR(N1052&lt;1,N1052&gt;5)),1,0)</f>
        <v>0</v>
      </c>
      <c r="AA1052" s="9" t="n">
        <f aca="false">IF(AND(M1052&lt;&gt;"",OR(M1052&lt;5,M1052&gt;180)),1,0)</f>
        <v>0</v>
      </c>
      <c r="AB1052" s="7" t="str">
        <f aca="false">IF(P1052="DUP","Exact duplicate row",IF(T1052=1,"Missing Order ID",IF(S1052="DROP","Duplicate Order ID (less complete row)",IF(U1052=1,"Missing Customer ID",IF(V1052=1,"Missing Restaurant name",IF(W1052=1,"Invalid/outlier quantity",IF(X1052=1,"Invalid/outlier unit price",IF(Y1052=1,"Discount greater than order value",""))))))))</f>
        <v/>
      </c>
      <c r="AC1052" s="7" t="str">
        <f aca="false">IF(AB1052="","KEEP","DROP")</f>
        <v>KEEP</v>
      </c>
      <c r="AD1052" s="7" t="str">
        <f aca="false">IF(TRIM(F1052)="",IFERROR(INDEX(Map_Tables!$I$4:$I$37,MATCH(TRIM(E1052),Map_Tables!$G$4:$G$37,0)),""),IFERROR(INDEX(Map_Tables!$B$4:$B$18,MATCH(TRIM(F1052),Map_Tables!$A$4:$A$18,0)),"CHECK"))</f>
        <v>Chennai</v>
      </c>
      <c r="AE1052" s="7" t="str">
        <f aca="false">IF(TRIM(E1052)="","",IFERROR(INDEX(Map_Tables!$H$4:$H$37,MATCH(TRIM(E1052),Map_Tables!$G$4:$G$37,0)),"CHECK"))</f>
        <v>Filter Coffee &amp; Tiffin</v>
      </c>
      <c r="AF1052" s="7" t="str">
        <f aca="false">IF(TRIM(K1052)="","Unknown",IFERROR(INDEX(Map_Tables!$E$4:$E$15,MATCH(TRIM(K1052),Map_Tables!$D$4:$D$15,0)),"CHECK"))</f>
        <v>UPI</v>
      </c>
      <c r="AG1052" s="7" t="str">
        <f aca="false">IF(LEFT(LOWER(TRIM(L1052)),6)="cancel","Cancelled","Delivered")</f>
        <v>Delivered</v>
      </c>
      <c r="AH1052" s="10" t="n">
        <f aca="false">IF(ISNUMBER(SEARCH("/",B1052)),DATE(VALUE(RIGHT(B1052,4)),VALUE(MID(B1052,4,2)),VALUE(LEFT(B1052,2))),IF(MID(B1052,5,1)="-",DATE(VALUE(LEFT(B1052,4)),VALUE(MID(B1052,6,2)),VALUE(RIGHT(B1052,2))),DATE(VALUE(RIGHT(B1052,4)),MATCH(MID(B1052,4,3),{"Jan","Feb","Mar","Apr","May","Jun","Jul","Aug","Sep","Oct","Nov","Dec"},0),VALUE(LEFT(B1052,2)))))</f>
        <v>45795</v>
      </c>
    </row>
    <row r="1053" customFormat="false" ht="15" hidden="false" customHeight="false" outlineLevel="0" collapsed="false">
      <c r="A1053" s="7" t="s">
        <v>3119</v>
      </c>
      <c r="B1053" s="7" t="s">
        <v>1364</v>
      </c>
      <c r="C1053" s="7" t="s">
        <v>428</v>
      </c>
      <c r="D1053" s="7" t="s">
        <v>3120</v>
      </c>
      <c r="E1053" s="7" t="s">
        <v>160</v>
      </c>
      <c r="F1053" s="7" t="s">
        <v>136</v>
      </c>
      <c r="G1053" s="7" t="s">
        <v>150</v>
      </c>
      <c r="H1053" s="7" t="n">
        <v>1</v>
      </c>
      <c r="I1053" s="7" t="n">
        <v>175</v>
      </c>
      <c r="J1053" s="7" t="n">
        <v>0</v>
      </c>
      <c r="K1053" s="7" t="s">
        <v>121</v>
      </c>
      <c r="L1053" s="7" t="s">
        <v>194</v>
      </c>
      <c r="M1053" s="7" t="n">
        <v>29</v>
      </c>
      <c r="N1053" s="7" t="n">
        <v>4</v>
      </c>
      <c r="O1053" s="7" t="str">
        <f aca="false">A1053&amp;"|"&amp;B1053&amp;"|"&amp;C1053&amp;"|"&amp;D1053&amp;"|"&amp;E1053&amp;"|"&amp;F1053&amp;"|"&amp;G1053&amp;"|"&amp;H1053&amp;"|"&amp;I1053&amp;"|"&amp;J1053&amp;"|"&amp;K1053&amp;"|"&amp;L1053&amp;"|"&amp;M1053&amp;"|"&amp;N1053</f>
        <v>ORD10098|2025-01-13|10:24|C0197|Cake Walk|Pune|Desserts|1|175|0|Wallet|Delivered|29|4</v>
      </c>
      <c r="P1053" s="7" t="str">
        <f aca="false">IF(COUNTIF($O$2:O1053,O1053)&gt;1,"DUP","OK")</f>
        <v>OK</v>
      </c>
      <c r="Q1053" s="7" t="n">
        <f aca="false">COUNTBLANK(A1053:N1053)</f>
        <v>0</v>
      </c>
      <c r="R1053" s="7" t="n">
        <f aca="false">IF(A1053="",0,COUNTIFS($A$2:$A$3058,A1053,$P$2:$P$3058,"OK"))</f>
        <v>1</v>
      </c>
      <c r="S1053" s="7" t="str">
        <f aca="false">IF(OR(A1053="",P1053="DUP",R1053&lt;2),"",IF(Q1053=_xlfn.MINIFS($Q$2:$Q$3058,$A$2:$A$3058,A1053,$P$2:$P$3058,"OK"),"KEEP","DROP"))</f>
        <v/>
      </c>
      <c r="T1053" s="9" t="n">
        <f aca="false">IF(A1053="",1,0)</f>
        <v>0</v>
      </c>
      <c r="U1053" s="9" t="n">
        <f aca="false">IF(D1053="",1,0)</f>
        <v>0</v>
      </c>
      <c r="V1053" s="9" t="n">
        <f aca="false">IF(E1053="",1,0)</f>
        <v>0</v>
      </c>
      <c r="W1053" s="9" t="n">
        <f aca="false">IF(OR(H1053&lt;1,H1053&gt;10),1,0)</f>
        <v>0</v>
      </c>
      <c r="X1053" s="9" t="n">
        <f aca="false">IF(OR(I1053&lt;=0,I1053&gt;1500),1,0)</f>
        <v>0</v>
      </c>
      <c r="Y1053" s="9" t="n">
        <f aca="false">IF(J1053&gt;H1053*I1053,1,0)</f>
        <v>0</v>
      </c>
      <c r="Z1053" s="9" t="n">
        <f aca="false">IF(AND(N1053&lt;&gt;"",OR(N1053&lt;1,N1053&gt;5)),1,0)</f>
        <v>0</v>
      </c>
      <c r="AA1053" s="9" t="n">
        <f aca="false">IF(AND(M1053&lt;&gt;"",OR(M1053&lt;5,M1053&gt;180)),1,0)</f>
        <v>0</v>
      </c>
      <c r="AB1053" s="7" t="str">
        <f aca="false">IF(P1053="DUP","Exact duplicate row",IF(T1053=1,"Missing Order ID",IF(S1053="DROP","Duplicate Order ID (less complete row)",IF(U1053=1,"Missing Customer ID",IF(V1053=1,"Missing Restaurant name",IF(W1053=1,"Invalid/outlier quantity",IF(X1053=1,"Invalid/outlier unit price",IF(Y1053=1,"Discount greater than order value",""))))))))</f>
        <v/>
      </c>
      <c r="AC1053" s="7" t="str">
        <f aca="false">IF(AB1053="","KEEP","DROP")</f>
        <v>KEEP</v>
      </c>
      <c r="AD1053" s="7" t="str">
        <f aca="false">IF(TRIM(F1053)="",IFERROR(INDEX(Map_Tables!$I$4:$I$37,MATCH(TRIM(E1053),Map_Tables!$G$4:$G$37,0)),""),IFERROR(INDEX(Map_Tables!$B$4:$B$18,MATCH(TRIM(F1053),Map_Tables!$A$4:$A$18,0)),"CHECK"))</f>
        <v>Pune</v>
      </c>
      <c r="AE1053" s="7" t="str">
        <f aca="false">IF(TRIM(E1053)="","",IFERROR(INDEX(Map_Tables!$H$4:$H$37,MATCH(TRIM(E1053),Map_Tables!$G$4:$G$37,0)),"CHECK"))</f>
        <v>Cake Walk</v>
      </c>
      <c r="AF1053" s="7" t="str">
        <f aca="false">IF(TRIM(K1053)="","Unknown",IFERROR(INDEX(Map_Tables!$E$4:$E$15,MATCH(TRIM(K1053),Map_Tables!$D$4:$D$15,0)),"CHECK"))</f>
        <v>Wallet</v>
      </c>
      <c r="AG1053" s="7" t="str">
        <f aca="false">IF(LEFT(LOWER(TRIM(L1053)),6)="cancel","Cancelled","Delivered")</f>
        <v>Delivered</v>
      </c>
      <c r="AH1053" s="10" t="n">
        <f aca="false">IF(ISNUMBER(SEARCH("/",B1053)),DATE(VALUE(RIGHT(B1053,4)),VALUE(MID(B1053,4,2)),VALUE(LEFT(B1053,2))),IF(MID(B1053,5,1)="-",DATE(VALUE(LEFT(B1053,4)),VALUE(MID(B1053,6,2)),VALUE(RIGHT(B1053,2))),DATE(VALUE(RIGHT(B1053,4)),MATCH(MID(B1053,4,3),{"Jan","Feb","Mar","Apr","May","Jun","Jul","Aug","Sep","Oct","Nov","Dec"},0),VALUE(LEFT(B1053,2)))))</f>
        <v>45670</v>
      </c>
    </row>
    <row r="1054" customFormat="false" ht="15" hidden="false" customHeight="false" outlineLevel="0" collapsed="false">
      <c r="A1054" s="7" t="s">
        <v>3121</v>
      </c>
      <c r="B1054" s="7" t="s">
        <v>3122</v>
      </c>
      <c r="C1054" s="7" t="s">
        <v>2202</v>
      </c>
      <c r="D1054" s="7" t="s">
        <v>1232</v>
      </c>
      <c r="E1054" s="7" t="s">
        <v>157</v>
      </c>
      <c r="F1054" s="7" t="s">
        <v>1226</v>
      </c>
      <c r="G1054" s="7" t="s">
        <v>117</v>
      </c>
      <c r="H1054" s="7" t="n">
        <v>1</v>
      </c>
      <c r="I1054" s="7" t="n">
        <v>135</v>
      </c>
      <c r="J1054" s="7" t="n">
        <v>0</v>
      </c>
      <c r="K1054" s="7" t="s">
        <v>88</v>
      </c>
      <c r="L1054" s="7" t="s">
        <v>194</v>
      </c>
      <c r="M1054" s="7" t="n">
        <v>31</v>
      </c>
      <c r="N1054" s="7" t="n">
        <v>5</v>
      </c>
      <c r="O1054" s="7" t="str">
        <f aca="false">A1054&amp;"|"&amp;B1054&amp;"|"&amp;C1054&amp;"|"&amp;D1054&amp;"|"&amp;E1054&amp;"|"&amp;F1054&amp;"|"&amp;G1054&amp;"|"&amp;H1054&amp;"|"&amp;I1054&amp;"|"&amp;J1054&amp;"|"&amp;K1054&amp;"|"&amp;L1054&amp;"|"&amp;M1054&amp;"|"&amp;N1054</f>
        <v>ORD12494|2025-11-09|12:40|C0512|Misal Mantra|Pune |Street Food|1|135|0|UPI|Delivered|31|5</v>
      </c>
      <c r="P1054" s="7" t="str">
        <f aca="false">IF(COUNTIF($O$2:O1054,O1054)&gt;1,"DUP","OK")</f>
        <v>OK</v>
      </c>
      <c r="Q1054" s="7" t="n">
        <f aca="false">COUNTBLANK(A1054:N1054)</f>
        <v>0</v>
      </c>
      <c r="R1054" s="7" t="n">
        <f aca="false">IF(A1054="",0,COUNTIFS($A$2:$A$3058,A1054,$P$2:$P$3058,"OK"))</f>
        <v>1</v>
      </c>
      <c r="S1054" s="7" t="str">
        <f aca="false">IF(OR(A1054="",P1054="DUP",R1054&lt;2),"",IF(Q1054=_xlfn.MINIFS($Q$2:$Q$3058,$A$2:$A$3058,A1054,$P$2:$P$3058,"OK"),"KEEP","DROP"))</f>
        <v/>
      </c>
      <c r="T1054" s="9" t="n">
        <f aca="false">IF(A1054="",1,0)</f>
        <v>0</v>
      </c>
      <c r="U1054" s="9" t="n">
        <f aca="false">IF(D1054="",1,0)</f>
        <v>0</v>
      </c>
      <c r="V1054" s="9" t="n">
        <f aca="false">IF(E1054="",1,0)</f>
        <v>0</v>
      </c>
      <c r="W1054" s="9" t="n">
        <f aca="false">IF(OR(H1054&lt;1,H1054&gt;10),1,0)</f>
        <v>0</v>
      </c>
      <c r="X1054" s="9" t="n">
        <f aca="false">IF(OR(I1054&lt;=0,I1054&gt;1500),1,0)</f>
        <v>0</v>
      </c>
      <c r="Y1054" s="9" t="n">
        <f aca="false">IF(J1054&gt;H1054*I1054,1,0)</f>
        <v>0</v>
      </c>
      <c r="Z1054" s="9" t="n">
        <f aca="false">IF(AND(N1054&lt;&gt;"",OR(N1054&lt;1,N1054&gt;5)),1,0)</f>
        <v>0</v>
      </c>
      <c r="AA1054" s="9" t="n">
        <f aca="false">IF(AND(M1054&lt;&gt;"",OR(M1054&lt;5,M1054&gt;180)),1,0)</f>
        <v>0</v>
      </c>
      <c r="AB1054" s="7" t="str">
        <f aca="false">IF(P1054="DUP","Exact duplicate row",IF(T1054=1,"Missing Order ID",IF(S1054="DROP","Duplicate Order ID (less complete row)",IF(U1054=1,"Missing Customer ID",IF(V1054=1,"Missing Restaurant name",IF(W1054=1,"Invalid/outlier quantity",IF(X1054=1,"Invalid/outlier unit price",IF(Y1054=1,"Discount greater than order value",""))))))))</f>
        <v/>
      </c>
      <c r="AC1054" s="7" t="str">
        <f aca="false">IF(AB1054="","KEEP","DROP")</f>
        <v>KEEP</v>
      </c>
      <c r="AD1054" s="7" t="str">
        <f aca="false">IF(TRIM(F1054)="",IFERROR(INDEX(Map_Tables!$I$4:$I$37,MATCH(TRIM(E1054),Map_Tables!$G$4:$G$37,0)),""),IFERROR(INDEX(Map_Tables!$B$4:$B$18,MATCH(TRIM(F1054),Map_Tables!$A$4:$A$18,0)),"CHECK"))</f>
        <v>Pune</v>
      </c>
      <c r="AE1054" s="7" t="str">
        <f aca="false">IF(TRIM(E1054)="","",IFERROR(INDEX(Map_Tables!$H$4:$H$37,MATCH(TRIM(E1054),Map_Tables!$G$4:$G$37,0)),"CHECK"))</f>
        <v>Misal Mantra</v>
      </c>
      <c r="AF1054" s="7" t="str">
        <f aca="false">IF(TRIM(K1054)="","Unknown",IFERROR(INDEX(Map_Tables!$E$4:$E$15,MATCH(TRIM(K1054),Map_Tables!$D$4:$D$15,0)),"CHECK"))</f>
        <v>UPI</v>
      </c>
      <c r="AG1054" s="7" t="str">
        <f aca="false">IF(LEFT(LOWER(TRIM(L1054)),6)="cancel","Cancelled","Delivered")</f>
        <v>Delivered</v>
      </c>
      <c r="AH1054" s="10" t="n">
        <f aca="false">IF(ISNUMBER(SEARCH("/",B1054)),DATE(VALUE(RIGHT(B1054,4)),VALUE(MID(B1054,4,2)),VALUE(LEFT(B1054,2))),IF(MID(B1054,5,1)="-",DATE(VALUE(LEFT(B1054,4)),VALUE(MID(B1054,6,2)),VALUE(RIGHT(B1054,2))),DATE(VALUE(RIGHT(B1054,4)),MATCH(MID(B1054,4,3),{"Jan","Feb","Mar","Apr","May","Jun","Jul","Aug","Sep","Oct","Nov","Dec"},0),VALUE(LEFT(B1054,2)))))</f>
        <v>45970</v>
      </c>
    </row>
    <row r="1055" customFormat="false" ht="15" hidden="false" customHeight="false" outlineLevel="0" collapsed="false">
      <c r="A1055" s="7" t="s">
        <v>3123</v>
      </c>
      <c r="B1055" s="7" t="s">
        <v>2900</v>
      </c>
      <c r="C1055" s="7" t="s">
        <v>1741</v>
      </c>
      <c r="D1055" s="7" t="s">
        <v>400</v>
      </c>
      <c r="E1055" s="7" t="s">
        <v>155</v>
      </c>
      <c r="F1055" s="7" t="s">
        <v>128</v>
      </c>
      <c r="G1055" s="7" t="s">
        <v>156</v>
      </c>
      <c r="H1055" s="7" t="n">
        <v>3</v>
      </c>
      <c r="I1055" s="7" t="n">
        <v>325</v>
      </c>
      <c r="J1055" s="7" t="n">
        <v>75</v>
      </c>
      <c r="K1055" s="7" t="s">
        <v>133</v>
      </c>
      <c r="L1055" s="7" t="s">
        <v>194</v>
      </c>
      <c r="M1055" s="7" t="n">
        <v>33</v>
      </c>
      <c r="N1055" s="7" t="n">
        <v>3</v>
      </c>
      <c r="O1055" s="7" t="str">
        <f aca="false">A1055&amp;"|"&amp;B1055&amp;"|"&amp;C1055&amp;"|"&amp;D1055&amp;"|"&amp;E1055&amp;"|"&amp;F1055&amp;"|"&amp;G1055&amp;"|"&amp;H1055&amp;"|"&amp;I1055&amp;"|"&amp;J1055&amp;"|"&amp;K1055&amp;"|"&amp;L1055&amp;"|"&amp;M1055&amp;"|"&amp;N1055</f>
        <v>ORD12322|20-Oct-2025|12:08|C1305|Green Bowl Kitchen|Chennai|Healthy Food|3|325|75|Net Banking|Delivered|33|3</v>
      </c>
      <c r="P1055" s="7" t="str">
        <f aca="false">IF(COUNTIF($O$2:O1055,O1055)&gt;1,"DUP","OK")</f>
        <v>OK</v>
      </c>
      <c r="Q1055" s="7" t="n">
        <f aca="false">COUNTBLANK(A1055:N1055)</f>
        <v>0</v>
      </c>
      <c r="R1055" s="7" t="n">
        <f aca="false">IF(A1055="",0,COUNTIFS($A$2:$A$3058,A1055,$P$2:$P$3058,"OK"))</f>
        <v>1</v>
      </c>
      <c r="S1055" s="7" t="str">
        <f aca="false">IF(OR(A1055="",P1055="DUP",R1055&lt;2),"",IF(Q1055=_xlfn.MINIFS($Q$2:$Q$3058,$A$2:$A$3058,A1055,$P$2:$P$3058,"OK"),"KEEP","DROP"))</f>
        <v/>
      </c>
      <c r="T1055" s="9" t="n">
        <f aca="false">IF(A1055="",1,0)</f>
        <v>0</v>
      </c>
      <c r="U1055" s="9" t="n">
        <f aca="false">IF(D1055="",1,0)</f>
        <v>0</v>
      </c>
      <c r="V1055" s="9" t="n">
        <f aca="false">IF(E1055="",1,0)</f>
        <v>0</v>
      </c>
      <c r="W1055" s="9" t="n">
        <f aca="false">IF(OR(H1055&lt;1,H1055&gt;10),1,0)</f>
        <v>0</v>
      </c>
      <c r="X1055" s="9" t="n">
        <f aca="false">IF(OR(I1055&lt;=0,I1055&gt;1500),1,0)</f>
        <v>0</v>
      </c>
      <c r="Y1055" s="9" t="n">
        <f aca="false">IF(J1055&gt;H1055*I1055,1,0)</f>
        <v>0</v>
      </c>
      <c r="Z1055" s="9" t="n">
        <f aca="false">IF(AND(N1055&lt;&gt;"",OR(N1055&lt;1,N1055&gt;5)),1,0)</f>
        <v>0</v>
      </c>
      <c r="AA1055" s="9" t="n">
        <f aca="false">IF(AND(M1055&lt;&gt;"",OR(M1055&lt;5,M1055&gt;180)),1,0)</f>
        <v>0</v>
      </c>
      <c r="AB1055" s="7" t="str">
        <f aca="false">IF(P1055="DUP","Exact duplicate row",IF(T1055=1,"Missing Order ID",IF(S1055="DROP","Duplicate Order ID (less complete row)",IF(U1055=1,"Missing Customer ID",IF(V1055=1,"Missing Restaurant name",IF(W1055=1,"Invalid/outlier quantity",IF(X1055=1,"Invalid/outlier unit price",IF(Y1055=1,"Discount greater than order value",""))))))))</f>
        <v/>
      </c>
      <c r="AC1055" s="7" t="str">
        <f aca="false">IF(AB1055="","KEEP","DROP")</f>
        <v>KEEP</v>
      </c>
      <c r="AD1055" s="7" t="str">
        <f aca="false">IF(TRIM(F1055)="",IFERROR(INDEX(Map_Tables!$I$4:$I$37,MATCH(TRIM(E1055),Map_Tables!$G$4:$G$37,0)),""),IFERROR(INDEX(Map_Tables!$B$4:$B$18,MATCH(TRIM(F1055),Map_Tables!$A$4:$A$18,0)),"CHECK"))</f>
        <v>Chennai</v>
      </c>
      <c r="AE1055" s="7" t="str">
        <f aca="false">IF(TRIM(E1055)="","",IFERROR(INDEX(Map_Tables!$H$4:$H$37,MATCH(TRIM(E1055),Map_Tables!$G$4:$G$37,0)),"CHECK"))</f>
        <v>Green Bowl Kitchen</v>
      </c>
      <c r="AF1055" s="7" t="str">
        <f aca="false">IF(TRIM(K1055)="","Unknown",IFERROR(INDEX(Map_Tables!$E$4:$E$15,MATCH(TRIM(K1055),Map_Tables!$D$4:$D$15,0)),"CHECK"))</f>
        <v>Net Banking</v>
      </c>
      <c r="AG1055" s="7" t="str">
        <f aca="false">IF(LEFT(LOWER(TRIM(L1055)),6)="cancel","Cancelled","Delivered")</f>
        <v>Delivered</v>
      </c>
      <c r="AH1055" s="10" t="n">
        <f aca="false">IF(ISNUMBER(SEARCH("/",B1055)),DATE(VALUE(RIGHT(B1055,4)),VALUE(MID(B1055,4,2)),VALUE(LEFT(B1055,2))),IF(MID(B1055,5,1)="-",DATE(VALUE(LEFT(B1055,4)),VALUE(MID(B1055,6,2)),VALUE(RIGHT(B1055,2))),DATE(VALUE(RIGHT(B1055,4)),MATCH(MID(B1055,4,3),{"Jan","Feb","Mar","Apr","May","Jun","Jul","Aug","Sep","Oct","Nov","Dec"},0),VALUE(LEFT(B1055,2)))))</f>
        <v>45950</v>
      </c>
    </row>
    <row r="1056" customFormat="false" ht="15" hidden="false" customHeight="false" outlineLevel="0" collapsed="false">
      <c r="A1056" s="7" t="s">
        <v>3124</v>
      </c>
      <c r="B1056" s="7" t="s">
        <v>1316</v>
      </c>
      <c r="C1056" s="7" t="s">
        <v>1050</v>
      </c>
      <c r="D1056" s="7" t="s">
        <v>3125</v>
      </c>
      <c r="E1056" s="7" t="s">
        <v>122</v>
      </c>
      <c r="F1056" s="7" t="s">
        <v>101</v>
      </c>
      <c r="G1056" s="7" t="s">
        <v>123</v>
      </c>
      <c r="H1056" s="7" t="n">
        <v>2</v>
      </c>
      <c r="I1056" s="7" t="n">
        <v>305</v>
      </c>
      <c r="J1056" s="7" t="n">
        <v>20</v>
      </c>
      <c r="K1056" s="7" t="s">
        <v>112</v>
      </c>
      <c r="L1056" s="7" t="s">
        <v>194</v>
      </c>
      <c r="M1056" s="7" t="n">
        <v>40</v>
      </c>
      <c r="N1056" s="7" t="n">
        <v>4</v>
      </c>
      <c r="O1056" s="7" t="str">
        <f aca="false">A1056&amp;"|"&amp;B1056&amp;"|"&amp;C1056&amp;"|"&amp;D1056&amp;"|"&amp;E1056&amp;"|"&amp;F1056&amp;"|"&amp;G1056&amp;"|"&amp;H1056&amp;"|"&amp;I1056&amp;"|"&amp;J1056&amp;"|"&amp;K1056&amp;"|"&amp;L1056&amp;"|"&amp;M1056&amp;"|"&amp;N1056</f>
        <v>ORD11510|2025-07-15|12:29|C1196|Mumbai Pizza Co|Mumbai|Pizza|2|305|20|Cash on Delivery|Delivered|40|4</v>
      </c>
      <c r="P1056" s="7" t="str">
        <f aca="false">IF(COUNTIF($O$2:O1056,O1056)&gt;1,"DUP","OK")</f>
        <v>OK</v>
      </c>
      <c r="Q1056" s="7" t="n">
        <f aca="false">COUNTBLANK(A1056:N1056)</f>
        <v>0</v>
      </c>
      <c r="R1056" s="7" t="n">
        <f aca="false">IF(A1056="",0,COUNTIFS($A$2:$A$3058,A1056,$P$2:$P$3058,"OK"))</f>
        <v>1</v>
      </c>
      <c r="S1056" s="7" t="str">
        <f aca="false">IF(OR(A1056="",P1056="DUP",R1056&lt;2),"",IF(Q1056=_xlfn.MINIFS($Q$2:$Q$3058,$A$2:$A$3058,A1056,$P$2:$P$3058,"OK"),"KEEP","DROP"))</f>
        <v/>
      </c>
      <c r="T1056" s="9" t="n">
        <f aca="false">IF(A1056="",1,0)</f>
        <v>0</v>
      </c>
      <c r="U1056" s="9" t="n">
        <f aca="false">IF(D1056="",1,0)</f>
        <v>0</v>
      </c>
      <c r="V1056" s="9" t="n">
        <f aca="false">IF(E1056="",1,0)</f>
        <v>0</v>
      </c>
      <c r="W1056" s="9" t="n">
        <f aca="false">IF(OR(H1056&lt;1,H1056&gt;10),1,0)</f>
        <v>0</v>
      </c>
      <c r="X1056" s="9" t="n">
        <f aca="false">IF(OR(I1056&lt;=0,I1056&gt;1500),1,0)</f>
        <v>0</v>
      </c>
      <c r="Y1056" s="9" t="n">
        <f aca="false">IF(J1056&gt;H1056*I1056,1,0)</f>
        <v>0</v>
      </c>
      <c r="Z1056" s="9" t="n">
        <f aca="false">IF(AND(N1056&lt;&gt;"",OR(N1056&lt;1,N1056&gt;5)),1,0)</f>
        <v>0</v>
      </c>
      <c r="AA1056" s="9" t="n">
        <f aca="false">IF(AND(M1056&lt;&gt;"",OR(M1056&lt;5,M1056&gt;180)),1,0)</f>
        <v>0</v>
      </c>
      <c r="AB1056" s="7" t="str">
        <f aca="false">IF(P1056="DUP","Exact duplicate row",IF(T1056=1,"Missing Order ID",IF(S1056="DROP","Duplicate Order ID (less complete row)",IF(U1056=1,"Missing Customer ID",IF(V1056=1,"Missing Restaurant name",IF(W1056=1,"Invalid/outlier quantity",IF(X1056=1,"Invalid/outlier unit price",IF(Y1056=1,"Discount greater than order value",""))))))))</f>
        <v/>
      </c>
      <c r="AC1056" s="7" t="str">
        <f aca="false">IF(AB1056="","KEEP","DROP")</f>
        <v>KEEP</v>
      </c>
      <c r="AD1056" s="7" t="str">
        <f aca="false">IF(TRIM(F1056)="",IFERROR(INDEX(Map_Tables!$I$4:$I$37,MATCH(TRIM(E1056),Map_Tables!$G$4:$G$37,0)),""),IFERROR(INDEX(Map_Tables!$B$4:$B$18,MATCH(TRIM(F1056),Map_Tables!$A$4:$A$18,0)),"CHECK"))</f>
        <v>Mumbai</v>
      </c>
      <c r="AE1056" s="7" t="str">
        <f aca="false">IF(TRIM(E1056)="","",IFERROR(INDEX(Map_Tables!$H$4:$H$37,MATCH(TRIM(E1056),Map_Tables!$G$4:$G$37,0)),"CHECK"))</f>
        <v>Mumbai Pizza Co</v>
      </c>
      <c r="AF1056" s="7" t="str">
        <f aca="false">IF(TRIM(K1056)="","Unknown",IFERROR(INDEX(Map_Tables!$E$4:$E$15,MATCH(TRIM(K1056),Map_Tables!$D$4:$D$15,0)),"CHECK"))</f>
        <v>Cash on Delivery</v>
      </c>
      <c r="AG1056" s="7" t="str">
        <f aca="false">IF(LEFT(LOWER(TRIM(L1056)),6)="cancel","Cancelled","Delivered")</f>
        <v>Delivered</v>
      </c>
      <c r="AH1056" s="10" t="n">
        <f aca="false">IF(ISNUMBER(SEARCH("/",B1056)),DATE(VALUE(RIGHT(B1056,4)),VALUE(MID(B1056,4,2)),VALUE(LEFT(B1056,2))),IF(MID(B1056,5,1)="-",DATE(VALUE(LEFT(B1056,4)),VALUE(MID(B1056,6,2)),VALUE(RIGHT(B1056,2))),DATE(VALUE(RIGHT(B1056,4)),MATCH(MID(B1056,4,3),{"Jan","Feb","Mar","Apr","May","Jun","Jul","Aug","Sep","Oct","Nov","Dec"},0),VALUE(LEFT(B1056,2)))))</f>
        <v>45853</v>
      </c>
    </row>
    <row r="1057" customFormat="false" ht="15" hidden="false" customHeight="false" outlineLevel="0" collapsed="false">
      <c r="A1057" s="7" t="s">
        <v>3126</v>
      </c>
      <c r="B1057" s="7" t="s">
        <v>3070</v>
      </c>
      <c r="C1057" s="7" t="s">
        <v>1125</v>
      </c>
      <c r="D1057" s="7" t="s">
        <v>3127</v>
      </c>
      <c r="E1057" s="7" t="s">
        <v>147</v>
      </c>
      <c r="F1057" s="7" t="s">
        <v>118</v>
      </c>
      <c r="G1057" s="7" t="s">
        <v>95</v>
      </c>
      <c r="H1057" s="7" t="n">
        <v>2</v>
      </c>
      <c r="I1057" s="7" t="n">
        <v>160</v>
      </c>
      <c r="J1057" s="7" t="n">
        <v>0</v>
      </c>
      <c r="K1057" s="7" t="s">
        <v>88</v>
      </c>
      <c r="L1057" s="7" t="s">
        <v>194</v>
      </c>
      <c r="M1057" s="7" t="n">
        <v>24</v>
      </c>
      <c r="N1057" s="7" t="n">
        <v>5</v>
      </c>
      <c r="O1057" s="7" t="str">
        <f aca="false">A1057&amp;"|"&amp;B1057&amp;"|"&amp;C1057&amp;"|"&amp;D1057&amp;"|"&amp;E1057&amp;"|"&amp;F1057&amp;"|"&amp;G1057&amp;"|"&amp;H1057&amp;"|"&amp;I1057&amp;"|"&amp;J1057&amp;"|"&amp;K1057&amp;"|"&amp;L1057&amp;"|"&amp;M1057&amp;"|"&amp;N1057</f>
        <v>ORD10382|2025-02-20|11:49|C1459|Andhra Meals Mess|hyderabad|South Indian|2|160|0|UPI|Delivered|24|5</v>
      </c>
      <c r="P1057" s="7" t="str">
        <f aca="false">IF(COUNTIF($O$2:O1057,O1057)&gt;1,"DUP","OK")</f>
        <v>OK</v>
      </c>
      <c r="Q1057" s="7" t="n">
        <f aca="false">COUNTBLANK(A1057:N1057)</f>
        <v>0</v>
      </c>
      <c r="R1057" s="7" t="n">
        <f aca="false">IF(A1057="",0,COUNTIFS($A$2:$A$3058,A1057,$P$2:$P$3058,"OK"))</f>
        <v>1</v>
      </c>
      <c r="S1057" s="7" t="str">
        <f aca="false">IF(OR(A1057="",P1057="DUP",R1057&lt;2),"",IF(Q1057=_xlfn.MINIFS($Q$2:$Q$3058,$A$2:$A$3058,A1057,$P$2:$P$3058,"OK"),"KEEP","DROP"))</f>
        <v/>
      </c>
      <c r="T1057" s="9" t="n">
        <f aca="false">IF(A1057="",1,0)</f>
        <v>0</v>
      </c>
      <c r="U1057" s="9" t="n">
        <f aca="false">IF(D1057="",1,0)</f>
        <v>0</v>
      </c>
      <c r="V1057" s="9" t="n">
        <f aca="false">IF(E1057="",1,0)</f>
        <v>0</v>
      </c>
      <c r="W1057" s="9" t="n">
        <f aca="false">IF(OR(H1057&lt;1,H1057&gt;10),1,0)</f>
        <v>0</v>
      </c>
      <c r="X1057" s="9" t="n">
        <f aca="false">IF(OR(I1057&lt;=0,I1057&gt;1500),1,0)</f>
        <v>0</v>
      </c>
      <c r="Y1057" s="9" t="n">
        <f aca="false">IF(J1057&gt;H1057*I1057,1,0)</f>
        <v>0</v>
      </c>
      <c r="Z1057" s="9" t="n">
        <f aca="false">IF(AND(N1057&lt;&gt;"",OR(N1057&lt;1,N1057&gt;5)),1,0)</f>
        <v>0</v>
      </c>
      <c r="AA1057" s="9" t="n">
        <f aca="false">IF(AND(M1057&lt;&gt;"",OR(M1057&lt;5,M1057&gt;180)),1,0)</f>
        <v>0</v>
      </c>
      <c r="AB1057" s="7" t="str">
        <f aca="false">IF(P1057="DUP","Exact duplicate row",IF(T1057=1,"Missing Order ID",IF(S1057="DROP","Duplicate Order ID (less complete row)",IF(U1057=1,"Missing Customer ID",IF(V1057=1,"Missing Restaurant name",IF(W1057=1,"Invalid/outlier quantity",IF(X1057=1,"Invalid/outlier unit price",IF(Y1057=1,"Discount greater than order value",""))))))))</f>
        <v/>
      </c>
      <c r="AC1057" s="7" t="str">
        <f aca="false">IF(AB1057="","KEEP","DROP")</f>
        <v>KEEP</v>
      </c>
      <c r="AD1057" s="7" t="str">
        <f aca="false">IF(TRIM(F1057)="",IFERROR(INDEX(Map_Tables!$I$4:$I$37,MATCH(TRIM(E1057),Map_Tables!$G$4:$G$37,0)),""),IFERROR(INDEX(Map_Tables!$B$4:$B$18,MATCH(TRIM(F1057),Map_Tables!$A$4:$A$18,0)),"CHECK"))</f>
        <v>Hyderabad</v>
      </c>
      <c r="AE1057" s="7" t="str">
        <f aca="false">IF(TRIM(E1057)="","",IFERROR(INDEX(Map_Tables!$H$4:$H$37,MATCH(TRIM(E1057),Map_Tables!$G$4:$G$37,0)),"CHECK"))</f>
        <v>Andhra Meals Mess</v>
      </c>
      <c r="AF1057" s="7" t="str">
        <f aca="false">IF(TRIM(K1057)="","Unknown",IFERROR(INDEX(Map_Tables!$E$4:$E$15,MATCH(TRIM(K1057),Map_Tables!$D$4:$D$15,0)),"CHECK"))</f>
        <v>UPI</v>
      </c>
      <c r="AG1057" s="7" t="str">
        <f aca="false">IF(LEFT(LOWER(TRIM(L1057)),6)="cancel","Cancelled","Delivered")</f>
        <v>Delivered</v>
      </c>
      <c r="AH1057" s="10" t="n">
        <f aca="false">IF(ISNUMBER(SEARCH("/",B1057)),DATE(VALUE(RIGHT(B1057,4)),VALUE(MID(B1057,4,2)),VALUE(LEFT(B1057,2))),IF(MID(B1057,5,1)="-",DATE(VALUE(LEFT(B1057,4)),VALUE(MID(B1057,6,2)),VALUE(RIGHT(B1057,2))),DATE(VALUE(RIGHT(B1057,4)),MATCH(MID(B1057,4,3),{"Jan","Feb","Mar","Apr","May","Jun","Jul","Aug","Sep","Oct","Nov","Dec"},0),VALUE(LEFT(B1057,2)))))</f>
        <v>45708</v>
      </c>
    </row>
    <row r="1058" customFormat="false" ht="15" hidden="false" customHeight="false" outlineLevel="0" collapsed="false">
      <c r="A1058" s="7" t="s">
        <v>3128</v>
      </c>
      <c r="B1058" s="7" t="s">
        <v>1069</v>
      </c>
      <c r="C1058" s="7" t="s">
        <v>1899</v>
      </c>
      <c r="D1058" s="7" t="s">
        <v>3129</v>
      </c>
      <c r="E1058" s="7" t="s">
        <v>122</v>
      </c>
      <c r="F1058" s="7" t="s">
        <v>101</v>
      </c>
      <c r="G1058" s="7" t="s">
        <v>123</v>
      </c>
      <c r="H1058" s="7" t="n">
        <v>2</v>
      </c>
      <c r="I1058" s="7" t="n">
        <v>325</v>
      </c>
      <c r="J1058" s="7" t="n">
        <v>150</v>
      </c>
      <c r="K1058" s="7" t="s">
        <v>93</v>
      </c>
      <c r="L1058" s="7" t="s">
        <v>194</v>
      </c>
      <c r="M1058" s="7" t="n">
        <v>42</v>
      </c>
      <c r="N1058" s="7" t="n">
        <v>3</v>
      </c>
      <c r="O1058" s="7" t="str">
        <f aca="false">A1058&amp;"|"&amp;B1058&amp;"|"&amp;C1058&amp;"|"&amp;D1058&amp;"|"&amp;E1058&amp;"|"&amp;F1058&amp;"|"&amp;G1058&amp;"|"&amp;H1058&amp;"|"&amp;I1058&amp;"|"&amp;J1058&amp;"|"&amp;K1058&amp;"|"&amp;L1058&amp;"|"&amp;M1058&amp;"|"&amp;N1058</f>
        <v>ORD12936|2025-12-25|11:19|C0793|Mumbai Pizza Co|Mumbai|Pizza|2|325|150|Credit Card|Delivered|42|3</v>
      </c>
      <c r="P1058" s="7" t="str">
        <f aca="false">IF(COUNTIF($O$2:O1058,O1058)&gt;1,"DUP","OK")</f>
        <v>OK</v>
      </c>
      <c r="Q1058" s="7" t="n">
        <f aca="false">COUNTBLANK(A1058:N1058)</f>
        <v>0</v>
      </c>
      <c r="R1058" s="7" t="n">
        <f aca="false">IF(A1058="",0,COUNTIFS($A$2:$A$3058,A1058,$P$2:$P$3058,"OK"))</f>
        <v>1</v>
      </c>
      <c r="S1058" s="7" t="str">
        <f aca="false">IF(OR(A1058="",P1058="DUP",R1058&lt;2),"",IF(Q1058=_xlfn.MINIFS($Q$2:$Q$3058,$A$2:$A$3058,A1058,$P$2:$P$3058,"OK"),"KEEP","DROP"))</f>
        <v/>
      </c>
      <c r="T1058" s="9" t="n">
        <f aca="false">IF(A1058="",1,0)</f>
        <v>0</v>
      </c>
      <c r="U1058" s="9" t="n">
        <f aca="false">IF(D1058="",1,0)</f>
        <v>0</v>
      </c>
      <c r="V1058" s="9" t="n">
        <f aca="false">IF(E1058="",1,0)</f>
        <v>0</v>
      </c>
      <c r="W1058" s="9" t="n">
        <f aca="false">IF(OR(H1058&lt;1,H1058&gt;10),1,0)</f>
        <v>0</v>
      </c>
      <c r="X1058" s="9" t="n">
        <f aca="false">IF(OR(I1058&lt;=0,I1058&gt;1500),1,0)</f>
        <v>0</v>
      </c>
      <c r="Y1058" s="9" t="n">
        <f aca="false">IF(J1058&gt;H1058*I1058,1,0)</f>
        <v>0</v>
      </c>
      <c r="Z1058" s="9" t="n">
        <f aca="false">IF(AND(N1058&lt;&gt;"",OR(N1058&lt;1,N1058&gt;5)),1,0)</f>
        <v>0</v>
      </c>
      <c r="AA1058" s="9" t="n">
        <f aca="false">IF(AND(M1058&lt;&gt;"",OR(M1058&lt;5,M1058&gt;180)),1,0)</f>
        <v>0</v>
      </c>
      <c r="AB1058" s="7" t="str">
        <f aca="false">IF(P1058="DUP","Exact duplicate row",IF(T1058=1,"Missing Order ID",IF(S1058="DROP","Duplicate Order ID (less complete row)",IF(U1058=1,"Missing Customer ID",IF(V1058=1,"Missing Restaurant name",IF(W1058=1,"Invalid/outlier quantity",IF(X1058=1,"Invalid/outlier unit price",IF(Y1058=1,"Discount greater than order value",""))))))))</f>
        <v/>
      </c>
      <c r="AC1058" s="7" t="str">
        <f aca="false">IF(AB1058="","KEEP","DROP")</f>
        <v>KEEP</v>
      </c>
      <c r="AD1058" s="7" t="str">
        <f aca="false">IF(TRIM(F1058)="",IFERROR(INDEX(Map_Tables!$I$4:$I$37,MATCH(TRIM(E1058),Map_Tables!$G$4:$G$37,0)),""),IFERROR(INDEX(Map_Tables!$B$4:$B$18,MATCH(TRIM(F1058),Map_Tables!$A$4:$A$18,0)),"CHECK"))</f>
        <v>Mumbai</v>
      </c>
      <c r="AE1058" s="7" t="str">
        <f aca="false">IF(TRIM(E1058)="","",IFERROR(INDEX(Map_Tables!$H$4:$H$37,MATCH(TRIM(E1058),Map_Tables!$G$4:$G$37,0)),"CHECK"))</f>
        <v>Mumbai Pizza Co</v>
      </c>
      <c r="AF1058" s="7" t="str">
        <f aca="false">IF(TRIM(K1058)="","Unknown",IFERROR(INDEX(Map_Tables!$E$4:$E$15,MATCH(TRIM(K1058),Map_Tables!$D$4:$D$15,0)),"CHECK"))</f>
        <v>Credit Card</v>
      </c>
      <c r="AG1058" s="7" t="str">
        <f aca="false">IF(LEFT(LOWER(TRIM(L1058)),6)="cancel","Cancelled","Delivered")</f>
        <v>Delivered</v>
      </c>
      <c r="AH1058" s="10" t="n">
        <f aca="false">IF(ISNUMBER(SEARCH("/",B1058)),DATE(VALUE(RIGHT(B1058,4)),VALUE(MID(B1058,4,2)),VALUE(LEFT(B1058,2))),IF(MID(B1058,5,1)="-",DATE(VALUE(LEFT(B1058,4)),VALUE(MID(B1058,6,2)),VALUE(RIGHT(B1058,2))),DATE(VALUE(RIGHT(B1058,4)),MATCH(MID(B1058,4,3),{"Jan","Feb","Mar","Apr","May","Jun","Jul","Aug","Sep","Oct","Nov","Dec"},0),VALUE(LEFT(B1058,2)))))</f>
        <v>46016</v>
      </c>
    </row>
    <row r="1059" customFormat="false" ht="15" hidden="false" customHeight="false" outlineLevel="0" collapsed="false">
      <c r="A1059" s="7" t="s">
        <v>3130</v>
      </c>
      <c r="B1059" s="7" t="s">
        <v>1304</v>
      </c>
      <c r="C1059" s="7" t="s">
        <v>675</v>
      </c>
      <c r="D1059" s="7" t="s">
        <v>3131</v>
      </c>
      <c r="E1059" s="7" t="s">
        <v>138</v>
      </c>
      <c r="F1059" s="7" t="s">
        <v>110</v>
      </c>
      <c r="G1059" s="7" t="s">
        <v>139</v>
      </c>
      <c r="H1059" s="7" t="n">
        <v>3</v>
      </c>
      <c r="I1059" s="7" t="n">
        <v>190</v>
      </c>
      <c r="J1059" s="7" t="n">
        <v>125</v>
      </c>
      <c r="K1059" s="7" t="s">
        <v>88</v>
      </c>
      <c r="L1059" s="7" t="s">
        <v>194</v>
      </c>
      <c r="M1059" s="7"/>
      <c r="N1059" s="7"/>
      <c r="O1059" s="7" t="str">
        <f aca="false">A1059&amp;"|"&amp;B1059&amp;"|"&amp;C1059&amp;"|"&amp;D1059&amp;"|"&amp;E1059&amp;"|"&amp;F1059&amp;"|"&amp;G1059&amp;"|"&amp;H1059&amp;"|"&amp;I1059&amp;"|"&amp;J1059&amp;"|"&amp;K1059&amp;"|"&amp;L1059&amp;"|"&amp;M1059&amp;"|"&amp;N1059</f>
        <v>ORD11794|2025-08-22|12:32|C0118|Burger Barn|Delhi|Burgers|3|190|125|UPI|Delivered||</v>
      </c>
      <c r="P1059" s="7" t="str">
        <f aca="false">IF(COUNTIF($O$2:O1059,O1059)&gt;1,"DUP","OK")</f>
        <v>OK</v>
      </c>
      <c r="Q1059" s="7" t="n">
        <f aca="false">COUNTBLANK(A1059:N1059)</f>
        <v>2</v>
      </c>
      <c r="R1059" s="7" t="n">
        <f aca="false">IF(A1059="",0,COUNTIFS($A$2:$A$3058,A1059,$P$2:$P$3058,"OK"))</f>
        <v>1</v>
      </c>
      <c r="S1059" s="7" t="str">
        <f aca="false">IF(OR(A1059="",P1059="DUP",R1059&lt;2),"",IF(Q1059=_xlfn.MINIFS($Q$2:$Q$3058,$A$2:$A$3058,A1059,$P$2:$P$3058,"OK"),"KEEP","DROP"))</f>
        <v/>
      </c>
      <c r="T1059" s="9" t="n">
        <f aca="false">IF(A1059="",1,0)</f>
        <v>0</v>
      </c>
      <c r="U1059" s="9" t="n">
        <f aca="false">IF(D1059="",1,0)</f>
        <v>0</v>
      </c>
      <c r="V1059" s="9" t="n">
        <f aca="false">IF(E1059="",1,0)</f>
        <v>0</v>
      </c>
      <c r="W1059" s="9" t="n">
        <f aca="false">IF(OR(H1059&lt;1,H1059&gt;10),1,0)</f>
        <v>0</v>
      </c>
      <c r="X1059" s="9" t="n">
        <f aca="false">IF(OR(I1059&lt;=0,I1059&gt;1500),1,0)</f>
        <v>0</v>
      </c>
      <c r="Y1059" s="9" t="n">
        <f aca="false">IF(J1059&gt;H1059*I1059,1,0)</f>
        <v>0</v>
      </c>
      <c r="Z1059" s="9" t="n">
        <f aca="false">IF(AND(N1059&lt;&gt;"",OR(N1059&lt;1,N1059&gt;5)),1,0)</f>
        <v>0</v>
      </c>
      <c r="AA1059" s="9" t="n">
        <f aca="false">IF(AND(M1059&lt;&gt;"",OR(M1059&lt;5,M1059&gt;180)),1,0)</f>
        <v>0</v>
      </c>
      <c r="AB1059" s="7" t="str">
        <f aca="false">IF(P1059="DUP","Exact duplicate row",IF(T1059=1,"Missing Order ID",IF(S1059="DROP","Duplicate Order ID (less complete row)",IF(U1059=1,"Missing Customer ID",IF(V1059=1,"Missing Restaurant name",IF(W1059=1,"Invalid/outlier quantity",IF(X1059=1,"Invalid/outlier unit price",IF(Y1059=1,"Discount greater than order value",""))))))))</f>
        <v/>
      </c>
      <c r="AC1059" s="7" t="str">
        <f aca="false">IF(AB1059="","KEEP","DROP")</f>
        <v>KEEP</v>
      </c>
      <c r="AD1059" s="7" t="str">
        <f aca="false">IF(TRIM(F1059)="",IFERROR(INDEX(Map_Tables!$I$4:$I$37,MATCH(TRIM(E1059),Map_Tables!$G$4:$G$37,0)),""),IFERROR(INDEX(Map_Tables!$B$4:$B$18,MATCH(TRIM(F1059),Map_Tables!$A$4:$A$18,0)),"CHECK"))</f>
        <v>Delhi</v>
      </c>
      <c r="AE1059" s="7" t="str">
        <f aca="false">IF(TRIM(E1059)="","",IFERROR(INDEX(Map_Tables!$H$4:$H$37,MATCH(TRIM(E1059),Map_Tables!$G$4:$G$37,0)),"CHECK"))</f>
        <v>Burger Barn</v>
      </c>
      <c r="AF1059" s="7" t="str">
        <f aca="false">IF(TRIM(K1059)="","Unknown",IFERROR(INDEX(Map_Tables!$E$4:$E$15,MATCH(TRIM(K1059),Map_Tables!$D$4:$D$15,0)),"CHECK"))</f>
        <v>UPI</v>
      </c>
      <c r="AG1059" s="7" t="str">
        <f aca="false">IF(LEFT(LOWER(TRIM(L1059)),6)="cancel","Cancelled","Delivered")</f>
        <v>Delivered</v>
      </c>
      <c r="AH1059" s="10" t="n">
        <f aca="false">IF(ISNUMBER(SEARCH("/",B1059)),DATE(VALUE(RIGHT(B1059,4)),VALUE(MID(B1059,4,2)),VALUE(LEFT(B1059,2))),IF(MID(B1059,5,1)="-",DATE(VALUE(LEFT(B1059,4)),VALUE(MID(B1059,6,2)),VALUE(RIGHT(B1059,2))),DATE(VALUE(RIGHT(B1059,4)),MATCH(MID(B1059,4,3),{"Jan","Feb","Mar","Apr","May","Jun","Jul","Aug","Sep","Oct","Nov","Dec"},0),VALUE(LEFT(B1059,2)))))</f>
        <v>45891</v>
      </c>
    </row>
    <row r="1060" customFormat="false" ht="15" hidden="false" customHeight="false" outlineLevel="0" collapsed="false">
      <c r="A1060" s="7" t="s">
        <v>3132</v>
      </c>
      <c r="B1060" s="7" t="s">
        <v>1687</v>
      </c>
      <c r="C1060" s="7" t="s">
        <v>1062</v>
      </c>
      <c r="D1060" s="7" t="s">
        <v>1979</v>
      </c>
      <c r="E1060" s="7" t="s">
        <v>147</v>
      </c>
      <c r="F1060" s="7" t="s">
        <v>119</v>
      </c>
      <c r="G1060" s="7" t="s">
        <v>95</v>
      </c>
      <c r="H1060" s="7" t="n">
        <v>2</v>
      </c>
      <c r="I1060" s="7" t="n">
        <v>170</v>
      </c>
      <c r="J1060" s="7" t="n">
        <v>50</v>
      </c>
      <c r="K1060" s="7" t="s">
        <v>88</v>
      </c>
      <c r="L1060" s="7" t="s">
        <v>194</v>
      </c>
      <c r="M1060" s="7" t="n">
        <v>54</v>
      </c>
      <c r="N1060" s="7" t="n">
        <v>5</v>
      </c>
      <c r="O1060" s="7" t="str">
        <f aca="false">A1060&amp;"|"&amp;B1060&amp;"|"&amp;C1060&amp;"|"&amp;D1060&amp;"|"&amp;E1060&amp;"|"&amp;F1060&amp;"|"&amp;G1060&amp;"|"&amp;H1060&amp;"|"&amp;I1060&amp;"|"&amp;J1060&amp;"|"&amp;K1060&amp;"|"&amp;L1060&amp;"|"&amp;M1060&amp;"|"&amp;N1060</f>
        <v>ORD10029|2025-01-04|21:10|C1335|Andhra Meals Mess|Hyderabad|South Indian|2|170|50|UPI|Delivered|54|5</v>
      </c>
      <c r="P1060" s="7" t="str">
        <f aca="false">IF(COUNTIF($O$2:O1060,O1060)&gt;1,"DUP","OK")</f>
        <v>OK</v>
      </c>
      <c r="Q1060" s="7" t="n">
        <f aca="false">COUNTBLANK(A1060:N1060)</f>
        <v>0</v>
      </c>
      <c r="R1060" s="7" t="n">
        <f aca="false">IF(A1060="",0,COUNTIFS($A$2:$A$3058,A1060,$P$2:$P$3058,"OK"))</f>
        <v>1</v>
      </c>
      <c r="S1060" s="7" t="str">
        <f aca="false">IF(OR(A1060="",P1060="DUP",R1060&lt;2),"",IF(Q1060=_xlfn.MINIFS($Q$2:$Q$3058,$A$2:$A$3058,A1060,$P$2:$P$3058,"OK"),"KEEP","DROP"))</f>
        <v/>
      </c>
      <c r="T1060" s="9" t="n">
        <f aca="false">IF(A1060="",1,0)</f>
        <v>0</v>
      </c>
      <c r="U1060" s="9" t="n">
        <f aca="false">IF(D1060="",1,0)</f>
        <v>0</v>
      </c>
      <c r="V1060" s="9" t="n">
        <f aca="false">IF(E1060="",1,0)</f>
        <v>0</v>
      </c>
      <c r="W1060" s="9" t="n">
        <f aca="false">IF(OR(H1060&lt;1,H1060&gt;10),1,0)</f>
        <v>0</v>
      </c>
      <c r="X1060" s="9" t="n">
        <f aca="false">IF(OR(I1060&lt;=0,I1060&gt;1500),1,0)</f>
        <v>0</v>
      </c>
      <c r="Y1060" s="9" t="n">
        <f aca="false">IF(J1060&gt;H1060*I1060,1,0)</f>
        <v>0</v>
      </c>
      <c r="Z1060" s="9" t="n">
        <f aca="false">IF(AND(N1060&lt;&gt;"",OR(N1060&lt;1,N1060&gt;5)),1,0)</f>
        <v>0</v>
      </c>
      <c r="AA1060" s="9" t="n">
        <f aca="false">IF(AND(M1060&lt;&gt;"",OR(M1060&lt;5,M1060&gt;180)),1,0)</f>
        <v>0</v>
      </c>
      <c r="AB1060" s="7" t="str">
        <f aca="false">IF(P1060="DUP","Exact duplicate row",IF(T1060=1,"Missing Order ID",IF(S1060="DROP","Duplicate Order ID (less complete row)",IF(U1060=1,"Missing Customer ID",IF(V1060=1,"Missing Restaurant name",IF(W1060=1,"Invalid/outlier quantity",IF(X1060=1,"Invalid/outlier unit price",IF(Y1060=1,"Discount greater than order value",""))))))))</f>
        <v/>
      </c>
      <c r="AC1060" s="7" t="str">
        <f aca="false">IF(AB1060="","KEEP","DROP")</f>
        <v>KEEP</v>
      </c>
      <c r="AD1060" s="7" t="str">
        <f aca="false">IF(TRIM(F1060)="",IFERROR(INDEX(Map_Tables!$I$4:$I$37,MATCH(TRIM(E1060),Map_Tables!$G$4:$G$37,0)),""),IFERROR(INDEX(Map_Tables!$B$4:$B$18,MATCH(TRIM(F1060),Map_Tables!$A$4:$A$18,0)),"CHECK"))</f>
        <v>Hyderabad</v>
      </c>
      <c r="AE1060" s="7" t="str">
        <f aca="false">IF(TRIM(E1060)="","",IFERROR(INDEX(Map_Tables!$H$4:$H$37,MATCH(TRIM(E1060),Map_Tables!$G$4:$G$37,0)),"CHECK"))</f>
        <v>Andhra Meals Mess</v>
      </c>
      <c r="AF1060" s="7" t="str">
        <f aca="false">IF(TRIM(K1060)="","Unknown",IFERROR(INDEX(Map_Tables!$E$4:$E$15,MATCH(TRIM(K1060),Map_Tables!$D$4:$D$15,0)),"CHECK"))</f>
        <v>UPI</v>
      </c>
      <c r="AG1060" s="7" t="str">
        <f aca="false">IF(LEFT(LOWER(TRIM(L1060)),6)="cancel","Cancelled","Delivered")</f>
        <v>Delivered</v>
      </c>
      <c r="AH1060" s="10" t="n">
        <f aca="false">IF(ISNUMBER(SEARCH("/",B1060)),DATE(VALUE(RIGHT(B1060,4)),VALUE(MID(B1060,4,2)),VALUE(LEFT(B1060,2))),IF(MID(B1060,5,1)="-",DATE(VALUE(LEFT(B1060,4)),VALUE(MID(B1060,6,2)),VALUE(RIGHT(B1060,2))),DATE(VALUE(RIGHT(B1060,4)),MATCH(MID(B1060,4,3),{"Jan","Feb","Mar","Apr","May","Jun","Jul","Aug","Sep","Oct","Nov","Dec"},0),VALUE(LEFT(B1060,2)))))</f>
        <v>45661</v>
      </c>
    </row>
    <row r="1061" customFormat="false" ht="15" hidden="false" customHeight="false" outlineLevel="0" collapsed="false">
      <c r="A1061" s="7" t="s">
        <v>3133</v>
      </c>
      <c r="B1061" s="7" t="s">
        <v>1292</v>
      </c>
      <c r="C1061" s="7" t="s">
        <v>512</v>
      </c>
      <c r="D1061" s="7" t="s">
        <v>3134</v>
      </c>
      <c r="E1061" s="7" t="s">
        <v>122</v>
      </c>
      <c r="F1061" s="7" t="s">
        <v>101</v>
      </c>
      <c r="G1061" s="7" t="s">
        <v>123</v>
      </c>
      <c r="H1061" s="7" t="n">
        <v>4</v>
      </c>
      <c r="I1061" s="7" t="n">
        <v>365</v>
      </c>
      <c r="J1061" s="7" t="n">
        <v>0</v>
      </c>
      <c r="K1061" s="7" t="s">
        <v>103</v>
      </c>
      <c r="L1061" s="7" t="s">
        <v>194</v>
      </c>
      <c r="M1061" s="7" t="n">
        <v>52</v>
      </c>
      <c r="N1061" s="7" t="n">
        <v>3</v>
      </c>
      <c r="O1061" s="7" t="str">
        <f aca="false">A1061&amp;"|"&amp;B1061&amp;"|"&amp;C1061&amp;"|"&amp;D1061&amp;"|"&amp;E1061&amp;"|"&amp;F1061&amp;"|"&amp;G1061&amp;"|"&amp;H1061&amp;"|"&amp;I1061&amp;"|"&amp;J1061&amp;"|"&amp;K1061&amp;"|"&amp;L1061&amp;"|"&amp;M1061&amp;"|"&amp;N1061</f>
        <v>ORD10448|2025-03-01|13:20|C1222|Mumbai Pizza Co|Mumbai|Pizza|4|365|0|Debit Card|Delivered|52|3</v>
      </c>
      <c r="P1061" s="7" t="str">
        <f aca="false">IF(COUNTIF($O$2:O1061,O1061)&gt;1,"DUP","OK")</f>
        <v>OK</v>
      </c>
      <c r="Q1061" s="7" t="n">
        <f aca="false">COUNTBLANK(A1061:N1061)</f>
        <v>0</v>
      </c>
      <c r="R1061" s="7" t="n">
        <f aca="false">IF(A1061="",0,COUNTIFS($A$2:$A$3058,A1061,$P$2:$P$3058,"OK"))</f>
        <v>1</v>
      </c>
      <c r="S1061" s="7" t="str">
        <f aca="false">IF(OR(A1061="",P1061="DUP",R1061&lt;2),"",IF(Q1061=_xlfn.MINIFS($Q$2:$Q$3058,$A$2:$A$3058,A1061,$P$2:$P$3058,"OK"),"KEEP","DROP"))</f>
        <v/>
      </c>
      <c r="T1061" s="9" t="n">
        <f aca="false">IF(A1061="",1,0)</f>
        <v>0</v>
      </c>
      <c r="U1061" s="9" t="n">
        <f aca="false">IF(D1061="",1,0)</f>
        <v>0</v>
      </c>
      <c r="V1061" s="9" t="n">
        <f aca="false">IF(E1061="",1,0)</f>
        <v>0</v>
      </c>
      <c r="W1061" s="9" t="n">
        <f aca="false">IF(OR(H1061&lt;1,H1061&gt;10),1,0)</f>
        <v>0</v>
      </c>
      <c r="X1061" s="9" t="n">
        <f aca="false">IF(OR(I1061&lt;=0,I1061&gt;1500),1,0)</f>
        <v>0</v>
      </c>
      <c r="Y1061" s="9" t="n">
        <f aca="false">IF(J1061&gt;H1061*I1061,1,0)</f>
        <v>0</v>
      </c>
      <c r="Z1061" s="9" t="n">
        <f aca="false">IF(AND(N1061&lt;&gt;"",OR(N1061&lt;1,N1061&gt;5)),1,0)</f>
        <v>0</v>
      </c>
      <c r="AA1061" s="9" t="n">
        <f aca="false">IF(AND(M1061&lt;&gt;"",OR(M1061&lt;5,M1061&gt;180)),1,0)</f>
        <v>0</v>
      </c>
      <c r="AB1061" s="7" t="str">
        <f aca="false">IF(P1061="DUP","Exact duplicate row",IF(T1061=1,"Missing Order ID",IF(S1061="DROP","Duplicate Order ID (less complete row)",IF(U1061=1,"Missing Customer ID",IF(V1061=1,"Missing Restaurant name",IF(W1061=1,"Invalid/outlier quantity",IF(X1061=1,"Invalid/outlier unit price",IF(Y1061=1,"Discount greater than order value",""))))))))</f>
        <v/>
      </c>
      <c r="AC1061" s="7" t="str">
        <f aca="false">IF(AB1061="","KEEP","DROP")</f>
        <v>KEEP</v>
      </c>
      <c r="AD1061" s="7" t="str">
        <f aca="false">IF(TRIM(F1061)="",IFERROR(INDEX(Map_Tables!$I$4:$I$37,MATCH(TRIM(E1061),Map_Tables!$G$4:$G$37,0)),""),IFERROR(INDEX(Map_Tables!$B$4:$B$18,MATCH(TRIM(F1061),Map_Tables!$A$4:$A$18,0)),"CHECK"))</f>
        <v>Mumbai</v>
      </c>
      <c r="AE1061" s="7" t="str">
        <f aca="false">IF(TRIM(E1061)="","",IFERROR(INDEX(Map_Tables!$H$4:$H$37,MATCH(TRIM(E1061),Map_Tables!$G$4:$G$37,0)),"CHECK"))</f>
        <v>Mumbai Pizza Co</v>
      </c>
      <c r="AF1061" s="7" t="str">
        <f aca="false">IF(TRIM(K1061)="","Unknown",IFERROR(INDEX(Map_Tables!$E$4:$E$15,MATCH(TRIM(K1061),Map_Tables!$D$4:$D$15,0)),"CHECK"))</f>
        <v>Debit Card</v>
      </c>
      <c r="AG1061" s="7" t="str">
        <f aca="false">IF(LEFT(LOWER(TRIM(L1061)),6)="cancel","Cancelled","Delivered")</f>
        <v>Delivered</v>
      </c>
      <c r="AH1061" s="10" t="n">
        <f aca="false">IF(ISNUMBER(SEARCH("/",B1061)),DATE(VALUE(RIGHT(B1061,4)),VALUE(MID(B1061,4,2)),VALUE(LEFT(B1061,2))),IF(MID(B1061,5,1)="-",DATE(VALUE(LEFT(B1061,4)),VALUE(MID(B1061,6,2)),VALUE(RIGHT(B1061,2))),DATE(VALUE(RIGHT(B1061,4)),MATCH(MID(B1061,4,3),{"Jan","Feb","Mar","Apr","May","Jun","Jul","Aug","Sep","Oct","Nov","Dec"},0),VALUE(LEFT(B1061,2)))))</f>
        <v>45717</v>
      </c>
    </row>
    <row r="1062" customFormat="false" ht="15" hidden="false" customHeight="false" outlineLevel="0" collapsed="false">
      <c r="A1062" s="7" t="s">
        <v>3135</v>
      </c>
      <c r="B1062" s="7" t="s">
        <v>2303</v>
      </c>
      <c r="C1062" s="7" t="s">
        <v>2292</v>
      </c>
      <c r="D1062" s="7" t="s">
        <v>673</v>
      </c>
      <c r="E1062" s="7" t="s">
        <v>3136</v>
      </c>
      <c r="F1062" s="7" t="s">
        <v>141</v>
      </c>
      <c r="G1062" s="7" t="s">
        <v>99</v>
      </c>
      <c r="H1062" s="7" t="n">
        <v>2</v>
      </c>
      <c r="I1062" s="7" t="n">
        <v>240</v>
      </c>
      <c r="J1062" s="7" t="n">
        <v>50</v>
      </c>
      <c r="K1062" s="7" t="s">
        <v>88</v>
      </c>
      <c r="L1062" s="7" t="s">
        <v>194</v>
      </c>
      <c r="M1062" s="7" t="n">
        <v>36</v>
      </c>
      <c r="N1062" s="7" t="n">
        <v>2</v>
      </c>
      <c r="O1062" s="7" t="str">
        <f aca="false">A1062&amp;"|"&amp;B1062&amp;"|"&amp;C1062&amp;"|"&amp;D1062&amp;"|"&amp;E1062&amp;"|"&amp;F1062&amp;"|"&amp;G1062&amp;"|"&amp;H1062&amp;"|"&amp;I1062&amp;"|"&amp;J1062&amp;"|"&amp;K1062&amp;"|"&amp;L1062&amp;"|"&amp;M1062&amp;"|"&amp;N1062</f>
        <v>ORD12298|2025-10-17|20:11|C1316|Biryani Baadshah |Kolkata|Biryani|2|240|50|UPI|Delivered|36|2</v>
      </c>
      <c r="P1062" s="7" t="str">
        <f aca="false">IF(COUNTIF($O$2:O1062,O1062)&gt;1,"DUP","OK")</f>
        <v>OK</v>
      </c>
      <c r="Q1062" s="7" t="n">
        <f aca="false">COUNTBLANK(A1062:N1062)</f>
        <v>0</v>
      </c>
      <c r="R1062" s="7" t="n">
        <f aca="false">IF(A1062="",0,COUNTIFS($A$2:$A$3058,A1062,$P$2:$P$3058,"OK"))</f>
        <v>1</v>
      </c>
      <c r="S1062" s="7" t="str">
        <f aca="false">IF(OR(A1062="",P1062="DUP",R1062&lt;2),"",IF(Q1062=_xlfn.MINIFS($Q$2:$Q$3058,$A$2:$A$3058,A1062,$P$2:$P$3058,"OK"),"KEEP","DROP"))</f>
        <v/>
      </c>
      <c r="T1062" s="9" t="n">
        <f aca="false">IF(A1062="",1,0)</f>
        <v>0</v>
      </c>
      <c r="U1062" s="9" t="n">
        <f aca="false">IF(D1062="",1,0)</f>
        <v>0</v>
      </c>
      <c r="V1062" s="9" t="n">
        <f aca="false">IF(E1062="",1,0)</f>
        <v>0</v>
      </c>
      <c r="W1062" s="9" t="n">
        <f aca="false">IF(OR(H1062&lt;1,H1062&gt;10),1,0)</f>
        <v>0</v>
      </c>
      <c r="X1062" s="9" t="n">
        <f aca="false">IF(OR(I1062&lt;=0,I1062&gt;1500),1,0)</f>
        <v>0</v>
      </c>
      <c r="Y1062" s="9" t="n">
        <f aca="false">IF(J1062&gt;H1062*I1062,1,0)</f>
        <v>0</v>
      </c>
      <c r="Z1062" s="9" t="n">
        <f aca="false">IF(AND(N1062&lt;&gt;"",OR(N1062&lt;1,N1062&gt;5)),1,0)</f>
        <v>0</v>
      </c>
      <c r="AA1062" s="9" t="n">
        <f aca="false">IF(AND(M1062&lt;&gt;"",OR(M1062&lt;5,M1062&gt;180)),1,0)</f>
        <v>0</v>
      </c>
      <c r="AB1062" s="7" t="str">
        <f aca="false">IF(P1062="DUP","Exact duplicate row",IF(T1062=1,"Missing Order ID",IF(S1062="DROP","Duplicate Order ID (less complete row)",IF(U1062=1,"Missing Customer ID",IF(V1062=1,"Missing Restaurant name",IF(W1062=1,"Invalid/outlier quantity",IF(X1062=1,"Invalid/outlier unit price",IF(Y1062=1,"Discount greater than order value",""))))))))</f>
        <v/>
      </c>
      <c r="AC1062" s="7" t="str">
        <f aca="false">IF(AB1062="","KEEP","DROP")</f>
        <v>KEEP</v>
      </c>
      <c r="AD1062" s="7" t="str">
        <f aca="false">IF(TRIM(F1062)="",IFERROR(INDEX(Map_Tables!$I$4:$I$37,MATCH(TRIM(E1062),Map_Tables!$G$4:$G$37,0)),""),IFERROR(INDEX(Map_Tables!$B$4:$B$18,MATCH(TRIM(F1062),Map_Tables!$A$4:$A$18,0)),"CHECK"))</f>
        <v>Kolkata</v>
      </c>
      <c r="AE1062" s="7" t="str">
        <f aca="false">IF(TRIM(E1062)="","",IFERROR(INDEX(Map_Tables!$H$4:$H$37,MATCH(TRIM(E1062),Map_Tables!$G$4:$G$37,0)),"CHECK"))</f>
        <v>Biryani Baadshah</v>
      </c>
      <c r="AF1062" s="7" t="str">
        <f aca="false">IF(TRIM(K1062)="","Unknown",IFERROR(INDEX(Map_Tables!$E$4:$E$15,MATCH(TRIM(K1062),Map_Tables!$D$4:$D$15,0)),"CHECK"))</f>
        <v>UPI</v>
      </c>
      <c r="AG1062" s="7" t="str">
        <f aca="false">IF(LEFT(LOWER(TRIM(L1062)),6)="cancel","Cancelled","Delivered")</f>
        <v>Delivered</v>
      </c>
      <c r="AH1062" s="10" t="n">
        <f aca="false">IF(ISNUMBER(SEARCH("/",B1062)),DATE(VALUE(RIGHT(B1062,4)),VALUE(MID(B1062,4,2)),VALUE(LEFT(B1062,2))),IF(MID(B1062,5,1)="-",DATE(VALUE(LEFT(B1062,4)),VALUE(MID(B1062,6,2)),VALUE(RIGHT(B1062,2))),DATE(VALUE(RIGHT(B1062,4)),MATCH(MID(B1062,4,3),{"Jan","Feb","Mar","Apr","May","Jun","Jul","Aug","Sep","Oct","Nov","Dec"},0),VALUE(LEFT(B1062,2)))))</f>
        <v>45947</v>
      </c>
    </row>
    <row r="1063" customFormat="false" ht="15" hidden="false" customHeight="false" outlineLevel="0" collapsed="false">
      <c r="A1063" s="7" t="s">
        <v>3137</v>
      </c>
      <c r="B1063" s="7" t="s">
        <v>473</v>
      </c>
      <c r="C1063" s="7" t="s">
        <v>1472</v>
      </c>
      <c r="D1063" s="7" t="s">
        <v>1310</v>
      </c>
      <c r="E1063" s="7" t="s">
        <v>1637</v>
      </c>
      <c r="F1063" s="7" t="s">
        <v>86</v>
      </c>
      <c r="G1063" s="7" t="s">
        <v>99</v>
      </c>
      <c r="H1063" s="7" t="n">
        <v>1</v>
      </c>
      <c r="I1063" s="7" t="n">
        <v>260</v>
      </c>
      <c r="J1063" s="7" t="n">
        <v>104</v>
      </c>
      <c r="K1063" s="7" t="s">
        <v>103</v>
      </c>
      <c r="L1063" s="7" t="s">
        <v>194</v>
      </c>
      <c r="M1063" s="7" t="n">
        <v>32</v>
      </c>
      <c r="N1063" s="7" t="n">
        <v>5</v>
      </c>
      <c r="O1063" s="7" t="str">
        <f aca="false">A1063&amp;"|"&amp;B1063&amp;"|"&amp;C1063&amp;"|"&amp;D1063&amp;"|"&amp;E1063&amp;"|"&amp;F1063&amp;"|"&amp;G1063&amp;"|"&amp;H1063&amp;"|"&amp;I1063&amp;"|"&amp;J1063&amp;"|"&amp;K1063&amp;"|"&amp;L1063&amp;"|"&amp;M1063&amp;"|"&amp;N1063</f>
        <v>ORD10821|2025-04-14|18:18|C0474|Nawabi  Biryani House|Bengaluru|Biryani|1|260|104|Debit Card|Delivered|32|5</v>
      </c>
      <c r="P1063" s="7" t="str">
        <f aca="false">IF(COUNTIF($O$2:O1063,O1063)&gt;1,"DUP","OK")</f>
        <v>OK</v>
      </c>
      <c r="Q1063" s="7" t="n">
        <f aca="false">COUNTBLANK(A1063:N1063)</f>
        <v>0</v>
      </c>
      <c r="R1063" s="7" t="n">
        <f aca="false">IF(A1063="",0,COUNTIFS($A$2:$A$3058,A1063,$P$2:$P$3058,"OK"))</f>
        <v>1</v>
      </c>
      <c r="S1063" s="7" t="str">
        <f aca="false">IF(OR(A1063="",P1063="DUP",R1063&lt;2),"",IF(Q1063=_xlfn.MINIFS($Q$2:$Q$3058,$A$2:$A$3058,A1063,$P$2:$P$3058,"OK"),"KEEP","DROP"))</f>
        <v/>
      </c>
      <c r="T1063" s="9" t="n">
        <f aca="false">IF(A1063="",1,0)</f>
        <v>0</v>
      </c>
      <c r="U1063" s="9" t="n">
        <f aca="false">IF(D1063="",1,0)</f>
        <v>0</v>
      </c>
      <c r="V1063" s="9" t="n">
        <f aca="false">IF(E1063="",1,0)</f>
        <v>0</v>
      </c>
      <c r="W1063" s="9" t="n">
        <f aca="false">IF(OR(H1063&lt;1,H1063&gt;10),1,0)</f>
        <v>0</v>
      </c>
      <c r="X1063" s="9" t="n">
        <f aca="false">IF(OR(I1063&lt;=0,I1063&gt;1500),1,0)</f>
        <v>0</v>
      </c>
      <c r="Y1063" s="9" t="n">
        <f aca="false">IF(J1063&gt;H1063*I1063,1,0)</f>
        <v>0</v>
      </c>
      <c r="Z1063" s="9" t="n">
        <f aca="false">IF(AND(N1063&lt;&gt;"",OR(N1063&lt;1,N1063&gt;5)),1,0)</f>
        <v>0</v>
      </c>
      <c r="AA1063" s="9" t="n">
        <f aca="false">IF(AND(M1063&lt;&gt;"",OR(M1063&lt;5,M1063&gt;180)),1,0)</f>
        <v>0</v>
      </c>
      <c r="AB1063" s="7" t="str">
        <f aca="false">IF(P1063="DUP","Exact duplicate row",IF(T1063=1,"Missing Order ID",IF(S1063="DROP","Duplicate Order ID (less complete row)",IF(U1063=1,"Missing Customer ID",IF(V1063=1,"Missing Restaurant name",IF(W1063=1,"Invalid/outlier quantity",IF(X1063=1,"Invalid/outlier unit price",IF(Y1063=1,"Discount greater than order value",""))))))))</f>
        <v/>
      </c>
      <c r="AC1063" s="7" t="str">
        <f aca="false">IF(AB1063="","KEEP","DROP")</f>
        <v>KEEP</v>
      </c>
      <c r="AD1063" s="7" t="str">
        <f aca="false">IF(TRIM(F1063)="",IFERROR(INDEX(Map_Tables!$I$4:$I$37,MATCH(TRIM(E1063),Map_Tables!$G$4:$G$37,0)),""),IFERROR(INDEX(Map_Tables!$B$4:$B$18,MATCH(TRIM(F1063),Map_Tables!$A$4:$A$18,0)),"CHECK"))</f>
        <v>Bengaluru</v>
      </c>
      <c r="AE1063" s="7" t="str">
        <f aca="false">IF(TRIM(E1063)="","",IFERROR(INDEX(Map_Tables!$H$4:$H$37,MATCH(TRIM(E1063),Map_Tables!$G$4:$G$37,0)),"CHECK"))</f>
        <v>Nawabi Biryani House</v>
      </c>
      <c r="AF1063" s="7" t="str">
        <f aca="false">IF(TRIM(K1063)="","Unknown",IFERROR(INDEX(Map_Tables!$E$4:$E$15,MATCH(TRIM(K1063),Map_Tables!$D$4:$D$15,0)),"CHECK"))</f>
        <v>Debit Card</v>
      </c>
      <c r="AG1063" s="7" t="str">
        <f aca="false">IF(LEFT(LOWER(TRIM(L1063)),6)="cancel","Cancelled","Delivered")</f>
        <v>Delivered</v>
      </c>
      <c r="AH1063" s="10" t="n">
        <f aca="false">IF(ISNUMBER(SEARCH("/",B1063)),DATE(VALUE(RIGHT(B1063,4)),VALUE(MID(B1063,4,2)),VALUE(LEFT(B1063,2))),IF(MID(B1063,5,1)="-",DATE(VALUE(LEFT(B1063,4)),VALUE(MID(B1063,6,2)),VALUE(RIGHT(B1063,2))),DATE(VALUE(RIGHT(B1063,4)),MATCH(MID(B1063,4,3),{"Jan","Feb","Mar","Apr","May","Jun","Jul","Aug","Sep","Oct","Nov","Dec"},0),VALUE(LEFT(B1063,2)))))</f>
        <v>45761</v>
      </c>
    </row>
    <row r="1064" customFormat="false" ht="15" hidden="false" customHeight="false" outlineLevel="0" collapsed="false">
      <c r="A1064" s="7" t="s">
        <v>3138</v>
      </c>
      <c r="B1064" s="7" t="s">
        <v>768</v>
      </c>
      <c r="C1064" s="7" t="s">
        <v>2676</v>
      </c>
      <c r="D1064" s="7" t="s">
        <v>3139</v>
      </c>
      <c r="E1064" s="7" t="s">
        <v>151</v>
      </c>
      <c r="F1064" s="7" t="s">
        <v>128</v>
      </c>
      <c r="G1064" s="7" t="s">
        <v>95</v>
      </c>
      <c r="H1064" s="7" t="n">
        <v>2</v>
      </c>
      <c r="I1064" s="7" t="n">
        <v>165</v>
      </c>
      <c r="J1064" s="7" t="n">
        <v>0</v>
      </c>
      <c r="K1064" s="7" t="s">
        <v>88</v>
      </c>
      <c r="L1064" s="7" t="s">
        <v>194</v>
      </c>
      <c r="M1064" s="7" t="n">
        <v>22</v>
      </c>
      <c r="N1064" s="7" t="n">
        <v>3</v>
      </c>
      <c r="O1064" s="7" t="str">
        <f aca="false">A1064&amp;"|"&amp;B1064&amp;"|"&amp;C1064&amp;"|"&amp;D1064&amp;"|"&amp;E1064&amp;"|"&amp;F1064&amp;"|"&amp;G1064&amp;"|"&amp;H1064&amp;"|"&amp;I1064&amp;"|"&amp;J1064&amp;"|"&amp;K1064&amp;"|"&amp;L1064&amp;"|"&amp;M1064&amp;"|"&amp;N1064</f>
        <v>ORD12567|2025-11-15|12:36|C0993|Chettinad House|Chennai|South Indian|2|165|0|UPI|Delivered|22|3</v>
      </c>
      <c r="P1064" s="7" t="str">
        <f aca="false">IF(COUNTIF($O$2:O1064,O1064)&gt;1,"DUP","OK")</f>
        <v>OK</v>
      </c>
      <c r="Q1064" s="7" t="n">
        <f aca="false">COUNTBLANK(A1064:N1064)</f>
        <v>0</v>
      </c>
      <c r="R1064" s="7" t="n">
        <f aca="false">IF(A1064="",0,COUNTIFS($A$2:$A$3058,A1064,$P$2:$P$3058,"OK"))</f>
        <v>1</v>
      </c>
      <c r="S1064" s="7" t="str">
        <f aca="false">IF(OR(A1064="",P1064="DUP",R1064&lt;2),"",IF(Q1064=_xlfn.MINIFS($Q$2:$Q$3058,$A$2:$A$3058,A1064,$P$2:$P$3058,"OK"),"KEEP","DROP"))</f>
        <v/>
      </c>
      <c r="T1064" s="9" t="n">
        <f aca="false">IF(A1064="",1,0)</f>
        <v>0</v>
      </c>
      <c r="U1064" s="9" t="n">
        <f aca="false">IF(D1064="",1,0)</f>
        <v>0</v>
      </c>
      <c r="V1064" s="9" t="n">
        <f aca="false">IF(E1064="",1,0)</f>
        <v>0</v>
      </c>
      <c r="W1064" s="9" t="n">
        <f aca="false">IF(OR(H1064&lt;1,H1064&gt;10),1,0)</f>
        <v>0</v>
      </c>
      <c r="X1064" s="9" t="n">
        <f aca="false">IF(OR(I1064&lt;=0,I1064&gt;1500),1,0)</f>
        <v>0</v>
      </c>
      <c r="Y1064" s="9" t="n">
        <f aca="false">IF(J1064&gt;H1064*I1064,1,0)</f>
        <v>0</v>
      </c>
      <c r="Z1064" s="9" t="n">
        <f aca="false">IF(AND(N1064&lt;&gt;"",OR(N1064&lt;1,N1064&gt;5)),1,0)</f>
        <v>0</v>
      </c>
      <c r="AA1064" s="9" t="n">
        <f aca="false">IF(AND(M1064&lt;&gt;"",OR(M1064&lt;5,M1064&gt;180)),1,0)</f>
        <v>0</v>
      </c>
      <c r="AB1064" s="7" t="str">
        <f aca="false">IF(P1064="DUP","Exact duplicate row",IF(T1064=1,"Missing Order ID",IF(S1064="DROP","Duplicate Order ID (less complete row)",IF(U1064=1,"Missing Customer ID",IF(V1064=1,"Missing Restaurant name",IF(W1064=1,"Invalid/outlier quantity",IF(X1064=1,"Invalid/outlier unit price",IF(Y1064=1,"Discount greater than order value",""))))))))</f>
        <v/>
      </c>
      <c r="AC1064" s="7" t="str">
        <f aca="false">IF(AB1064="","KEEP","DROP")</f>
        <v>KEEP</v>
      </c>
      <c r="AD1064" s="7" t="str">
        <f aca="false">IF(TRIM(F1064)="",IFERROR(INDEX(Map_Tables!$I$4:$I$37,MATCH(TRIM(E1064),Map_Tables!$G$4:$G$37,0)),""),IFERROR(INDEX(Map_Tables!$B$4:$B$18,MATCH(TRIM(F1064),Map_Tables!$A$4:$A$18,0)),"CHECK"))</f>
        <v>Chennai</v>
      </c>
      <c r="AE1064" s="7" t="str">
        <f aca="false">IF(TRIM(E1064)="","",IFERROR(INDEX(Map_Tables!$H$4:$H$37,MATCH(TRIM(E1064),Map_Tables!$G$4:$G$37,0)),"CHECK"))</f>
        <v>Chettinad House</v>
      </c>
      <c r="AF1064" s="7" t="str">
        <f aca="false">IF(TRIM(K1064)="","Unknown",IFERROR(INDEX(Map_Tables!$E$4:$E$15,MATCH(TRIM(K1064),Map_Tables!$D$4:$D$15,0)),"CHECK"))</f>
        <v>UPI</v>
      </c>
      <c r="AG1064" s="7" t="str">
        <f aca="false">IF(LEFT(LOWER(TRIM(L1064)),6)="cancel","Cancelled","Delivered")</f>
        <v>Delivered</v>
      </c>
      <c r="AH1064" s="10" t="n">
        <f aca="false">IF(ISNUMBER(SEARCH("/",B1064)),DATE(VALUE(RIGHT(B1064,4)),VALUE(MID(B1064,4,2)),VALUE(LEFT(B1064,2))),IF(MID(B1064,5,1)="-",DATE(VALUE(LEFT(B1064,4)),VALUE(MID(B1064,6,2)),VALUE(RIGHT(B1064,2))),DATE(VALUE(RIGHT(B1064,4)),MATCH(MID(B1064,4,3),{"Jan","Feb","Mar","Apr","May","Jun","Jul","Aug","Sep","Oct","Nov","Dec"},0),VALUE(LEFT(B1064,2)))))</f>
        <v>45976</v>
      </c>
    </row>
    <row r="1065" customFormat="false" ht="15" hidden="false" customHeight="false" outlineLevel="0" collapsed="false">
      <c r="A1065" s="7" t="s">
        <v>3140</v>
      </c>
      <c r="B1065" s="7" t="s">
        <v>1108</v>
      </c>
      <c r="C1065" s="7" t="s">
        <v>3141</v>
      </c>
      <c r="D1065" s="7" t="s">
        <v>548</v>
      </c>
      <c r="E1065" s="7" t="s">
        <v>89</v>
      </c>
      <c r="F1065" s="7" t="s">
        <v>86</v>
      </c>
      <c r="G1065" s="7" t="s">
        <v>90</v>
      </c>
      <c r="H1065" s="7" t="n">
        <v>3</v>
      </c>
      <c r="I1065" s="7" t="n">
        <v>265</v>
      </c>
      <c r="J1065" s="7" t="n">
        <v>0</v>
      </c>
      <c r="K1065" s="7" t="s">
        <v>93</v>
      </c>
      <c r="L1065" s="7" t="s">
        <v>194</v>
      </c>
      <c r="M1065" s="7" t="n">
        <v>31</v>
      </c>
      <c r="N1065" s="7"/>
      <c r="O1065" s="7" t="str">
        <f aca="false">A1065&amp;"|"&amp;B1065&amp;"|"&amp;C1065&amp;"|"&amp;D1065&amp;"|"&amp;E1065&amp;"|"&amp;F1065&amp;"|"&amp;G1065&amp;"|"&amp;H1065&amp;"|"&amp;I1065&amp;"|"&amp;J1065&amp;"|"&amp;K1065&amp;"|"&amp;L1065&amp;"|"&amp;M1065&amp;"|"&amp;N1065</f>
        <v>ORD12619|2025-11-19|23:09|C0901|Spice Junction|Bengaluru|North Indian|3|265|0|Credit Card|Delivered|31|</v>
      </c>
      <c r="P1065" s="7" t="str">
        <f aca="false">IF(COUNTIF($O$2:O1065,O1065)&gt;1,"DUP","OK")</f>
        <v>OK</v>
      </c>
      <c r="Q1065" s="7" t="n">
        <f aca="false">COUNTBLANK(A1065:N1065)</f>
        <v>1</v>
      </c>
      <c r="R1065" s="7" t="n">
        <f aca="false">IF(A1065="",0,COUNTIFS($A$2:$A$3058,A1065,$P$2:$P$3058,"OK"))</f>
        <v>1</v>
      </c>
      <c r="S1065" s="7" t="str">
        <f aca="false">IF(OR(A1065="",P1065="DUP",R1065&lt;2),"",IF(Q1065=_xlfn.MINIFS($Q$2:$Q$3058,$A$2:$A$3058,A1065,$P$2:$P$3058,"OK"),"KEEP","DROP"))</f>
        <v/>
      </c>
      <c r="T1065" s="9" t="n">
        <f aca="false">IF(A1065="",1,0)</f>
        <v>0</v>
      </c>
      <c r="U1065" s="9" t="n">
        <f aca="false">IF(D1065="",1,0)</f>
        <v>0</v>
      </c>
      <c r="V1065" s="9" t="n">
        <f aca="false">IF(E1065="",1,0)</f>
        <v>0</v>
      </c>
      <c r="W1065" s="9" t="n">
        <f aca="false">IF(OR(H1065&lt;1,H1065&gt;10),1,0)</f>
        <v>0</v>
      </c>
      <c r="X1065" s="9" t="n">
        <f aca="false">IF(OR(I1065&lt;=0,I1065&gt;1500),1,0)</f>
        <v>0</v>
      </c>
      <c r="Y1065" s="9" t="n">
        <f aca="false">IF(J1065&gt;H1065*I1065,1,0)</f>
        <v>0</v>
      </c>
      <c r="Z1065" s="9" t="n">
        <f aca="false">IF(AND(N1065&lt;&gt;"",OR(N1065&lt;1,N1065&gt;5)),1,0)</f>
        <v>0</v>
      </c>
      <c r="AA1065" s="9" t="n">
        <f aca="false">IF(AND(M1065&lt;&gt;"",OR(M1065&lt;5,M1065&gt;180)),1,0)</f>
        <v>0</v>
      </c>
      <c r="AB1065" s="7" t="str">
        <f aca="false">IF(P1065="DUP","Exact duplicate row",IF(T1065=1,"Missing Order ID",IF(S1065="DROP","Duplicate Order ID (less complete row)",IF(U1065=1,"Missing Customer ID",IF(V1065=1,"Missing Restaurant name",IF(W1065=1,"Invalid/outlier quantity",IF(X1065=1,"Invalid/outlier unit price",IF(Y1065=1,"Discount greater than order value",""))))))))</f>
        <v/>
      </c>
      <c r="AC1065" s="7" t="str">
        <f aca="false">IF(AB1065="","KEEP","DROP")</f>
        <v>KEEP</v>
      </c>
      <c r="AD1065" s="7" t="str">
        <f aca="false">IF(TRIM(F1065)="",IFERROR(INDEX(Map_Tables!$I$4:$I$37,MATCH(TRIM(E1065),Map_Tables!$G$4:$G$37,0)),""),IFERROR(INDEX(Map_Tables!$B$4:$B$18,MATCH(TRIM(F1065),Map_Tables!$A$4:$A$18,0)),"CHECK"))</f>
        <v>Bengaluru</v>
      </c>
      <c r="AE1065" s="7" t="str">
        <f aca="false">IF(TRIM(E1065)="","",IFERROR(INDEX(Map_Tables!$H$4:$H$37,MATCH(TRIM(E1065),Map_Tables!$G$4:$G$37,0)),"CHECK"))</f>
        <v>Spice Junction</v>
      </c>
      <c r="AF1065" s="7" t="str">
        <f aca="false">IF(TRIM(K1065)="","Unknown",IFERROR(INDEX(Map_Tables!$E$4:$E$15,MATCH(TRIM(K1065),Map_Tables!$D$4:$D$15,0)),"CHECK"))</f>
        <v>Credit Card</v>
      </c>
      <c r="AG1065" s="7" t="str">
        <f aca="false">IF(LEFT(LOWER(TRIM(L1065)),6)="cancel","Cancelled","Delivered")</f>
        <v>Delivered</v>
      </c>
      <c r="AH1065" s="10" t="n">
        <f aca="false">IF(ISNUMBER(SEARCH("/",B1065)),DATE(VALUE(RIGHT(B1065,4)),VALUE(MID(B1065,4,2)),VALUE(LEFT(B1065,2))),IF(MID(B1065,5,1)="-",DATE(VALUE(LEFT(B1065,4)),VALUE(MID(B1065,6,2)),VALUE(RIGHT(B1065,2))),DATE(VALUE(RIGHT(B1065,4)),MATCH(MID(B1065,4,3),{"Jan","Feb","Mar","Apr","May","Jun","Jul","Aug","Sep","Oct","Nov","Dec"},0),VALUE(LEFT(B1065,2)))))</f>
        <v>45980</v>
      </c>
    </row>
    <row r="1066" customFormat="false" ht="15" hidden="false" customHeight="false" outlineLevel="0" collapsed="false">
      <c r="A1066" s="7" t="s">
        <v>3142</v>
      </c>
      <c r="B1066" s="7" t="s">
        <v>3143</v>
      </c>
      <c r="C1066" s="7" t="s">
        <v>686</v>
      </c>
      <c r="D1066" s="7" t="s">
        <v>3144</v>
      </c>
      <c r="E1066" s="7" t="s">
        <v>160</v>
      </c>
      <c r="F1066" s="7" t="s">
        <v>136</v>
      </c>
      <c r="G1066" s="7" t="s">
        <v>150</v>
      </c>
      <c r="H1066" s="7" t="n">
        <v>2</v>
      </c>
      <c r="I1066" s="7" t="n">
        <v>165</v>
      </c>
      <c r="J1066" s="7" t="n">
        <v>75</v>
      </c>
      <c r="K1066" s="7" t="s">
        <v>88</v>
      </c>
      <c r="L1066" s="7" t="s">
        <v>194</v>
      </c>
      <c r="M1066" s="7" t="n">
        <v>41</v>
      </c>
      <c r="N1066" s="7" t="n">
        <v>4</v>
      </c>
      <c r="O1066" s="7" t="str">
        <f aca="false">A1066&amp;"|"&amp;B1066&amp;"|"&amp;C1066&amp;"|"&amp;D1066&amp;"|"&amp;E1066&amp;"|"&amp;F1066&amp;"|"&amp;G1066&amp;"|"&amp;H1066&amp;"|"&amp;I1066&amp;"|"&amp;J1066&amp;"|"&amp;K1066&amp;"|"&amp;L1066&amp;"|"&amp;M1066&amp;"|"&amp;N1066</f>
        <v>ORD11262|10-Jun-2025|19:57|C0429|Cake Walk|Pune|Desserts|2|165|75|UPI|Delivered|41|4</v>
      </c>
      <c r="P1066" s="7" t="str">
        <f aca="false">IF(COUNTIF($O$2:O1066,O1066)&gt;1,"DUP","OK")</f>
        <v>OK</v>
      </c>
      <c r="Q1066" s="7" t="n">
        <f aca="false">COUNTBLANK(A1066:N1066)</f>
        <v>0</v>
      </c>
      <c r="R1066" s="7" t="n">
        <f aca="false">IF(A1066="",0,COUNTIFS($A$2:$A$3058,A1066,$P$2:$P$3058,"OK"))</f>
        <v>1</v>
      </c>
      <c r="S1066" s="7" t="str">
        <f aca="false">IF(OR(A1066="",P1066="DUP",R1066&lt;2),"",IF(Q1066=_xlfn.MINIFS($Q$2:$Q$3058,$A$2:$A$3058,A1066,$P$2:$P$3058,"OK"),"KEEP","DROP"))</f>
        <v/>
      </c>
      <c r="T1066" s="9" t="n">
        <f aca="false">IF(A1066="",1,0)</f>
        <v>0</v>
      </c>
      <c r="U1066" s="9" t="n">
        <f aca="false">IF(D1066="",1,0)</f>
        <v>0</v>
      </c>
      <c r="V1066" s="9" t="n">
        <f aca="false">IF(E1066="",1,0)</f>
        <v>0</v>
      </c>
      <c r="W1066" s="9" t="n">
        <f aca="false">IF(OR(H1066&lt;1,H1066&gt;10),1,0)</f>
        <v>0</v>
      </c>
      <c r="X1066" s="9" t="n">
        <f aca="false">IF(OR(I1066&lt;=0,I1066&gt;1500),1,0)</f>
        <v>0</v>
      </c>
      <c r="Y1066" s="9" t="n">
        <f aca="false">IF(J1066&gt;H1066*I1066,1,0)</f>
        <v>0</v>
      </c>
      <c r="Z1066" s="9" t="n">
        <f aca="false">IF(AND(N1066&lt;&gt;"",OR(N1066&lt;1,N1066&gt;5)),1,0)</f>
        <v>0</v>
      </c>
      <c r="AA1066" s="9" t="n">
        <f aca="false">IF(AND(M1066&lt;&gt;"",OR(M1066&lt;5,M1066&gt;180)),1,0)</f>
        <v>0</v>
      </c>
      <c r="AB1066" s="7" t="str">
        <f aca="false">IF(P1066="DUP","Exact duplicate row",IF(T1066=1,"Missing Order ID",IF(S1066="DROP","Duplicate Order ID (less complete row)",IF(U1066=1,"Missing Customer ID",IF(V1066=1,"Missing Restaurant name",IF(W1066=1,"Invalid/outlier quantity",IF(X1066=1,"Invalid/outlier unit price",IF(Y1066=1,"Discount greater than order value",""))))))))</f>
        <v/>
      </c>
      <c r="AC1066" s="7" t="str">
        <f aca="false">IF(AB1066="","KEEP","DROP")</f>
        <v>KEEP</v>
      </c>
      <c r="AD1066" s="7" t="str">
        <f aca="false">IF(TRIM(F1066)="",IFERROR(INDEX(Map_Tables!$I$4:$I$37,MATCH(TRIM(E1066),Map_Tables!$G$4:$G$37,0)),""),IFERROR(INDEX(Map_Tables!$B$4:$B$18,MATCH(TRIM(F1066),Map_Tables!$A$4:$A$18,0)),"CHECK"))</f>
        <v>Pune</v>
      </c>
      <c r="AE1066" s="7" t="str">
        <f aca="false">IF(TRIM(E1066)="","",IFERROR(INDEX(Map_Tables!$H$4:$H$37,MATCH(TRIM(E1066),Map_Tables!$G$4:$G$37,0)),"CHECK"))</f>
        <v>Cake Walk</v>
      </c>
      <c r="AF1066" s="7" t="str">
        <f aca="false">IF(TRIM(K1066)="","Unknown",IFERROR(INDEX(Map_Tables!$E$4:$E$15,MATCH(TRIM(K1066),Map_Tables!$D$4:$D$15,0)),"CHECK"))</f>
        <v>UPI</v>
      </c>
      <c r="AG1066" s="7" t="str">
        <f aca="false">IF(LEFT(LOWER(TRIM(L1066)),6)="cancel","Cancelled","Delivered")</f>
        <v>Delivered</v>
      </c>
      <c r="AH1066" s="10" t="n">
        <f aca="false">IF(ISNUMBER(SEARCH("/",B1066)),DATE(VALUE(RIGHT(B1066,4)),VALUE(MID(B1066,4,2)),VALUE(LEFT(B1066,2))),IF(MID(B1066,5,1)="-",DATE(VALUE(LEFT(B1066,4)),VALUE(MID(B1066,6,2)),VALUE(RIGHT(B1066,2))),DATE(VALUE(RIGHT(B1066,4)),MATCH(MID(B1066,4,3),{"Jan","Feb","Mar","Apr","May","Jun","Jul","Aug","Sep","Oct","Nov","Dec"},0),VALUE(LEFT(B1066,2)))))</f>
        <v>45818</v>
      </c>
    </row>
    <row r="1067" customFormat="false" ht="15" hidden="false" customHeight="false" outlineLevel="0" collapsed="false">
      <c r="A1067" s="7" t="s">
        <v>3145</v>
      </c>
      <c r="B1067" s="7" t="s">
        <v>2916</v>
      </c>
      <c r="C1067" s="7" t="s">
        <v>2932</v>
      </c>
      <c r="D1067" s="7" t="s">
        <v>3146</v>
      </c>
      <c r="E1067" s="7" t="s">
        <v>130</v>
      </c>
      <c r="F1067" s="7" t="s">
        <v>110</v>
      </c>
      <c r="G1067" s="7" t="s">
        <v>90</v>
      </c>
      <c r="H1067" s="7" t="n">
        <v>2</v>
      </c>
      <c r="I1067" s="7" t="n">
        <v>175</v>
      </c>
      <c r="J1067" s="7" t="n">
        <v>0</v>
      </c>
      <c r="K1067" s="7" t="s">
        <v>88</v>
      </c>
      <c r="L1067" s="7" t="s">
        <v>194</v>
      </c>
      <c r="M1067" s="7" t="n">
        <v>37</v>
      </c>
      <c r="N1067" s="7" t="n">
        <v>4</v>
      </c>
      <c r="O1067" s="7" t="str">
        <f aca="false">A1067&amp;"|"&amp;B1067&amp;"|"&amp;C1067&amp;"|"&amp;D1067&amp;"|"&amp;E1067&amp;"|"&amp;F1067&amp;"|"&amp;G1067&amp;"|"&amp;H1067&amp;"|"&amp;I1067&amp;"|"&amp;J1067&amp;"|"&amp;K1067&amp;"|"&amp;L1067&amp;"|"&amp;M1067&amp;"|"&amp;N1067</f>
        <v>ORD11105|2025-05-20|17:56|C0669|Tandoor Tales|Delhi|North Indian|2|175|0|UPI|Delivered|37|4</v>
      </c>
      <c r="P1067" s="7" t="str">
        <f aca="false">IF(COUNTIF($O$2:O1067,O1067)&gt;1,"DUP","OK")</f>
        <v>OK</v>
      </c>
      <c r="Q1067" s="7" t="n">
        <f aca="false">COUNTBLANK(A1067:N1067)</f>
        <v>0</v>
      </c>
      <c r="R1067" s="7" t="n">
        <f aca="false">IF(A1067="",0,COUNTIFS($A$2:$A$3058,A1067,$P$2:$P$3058,"OK"))</f>
        <v>1</v>
      </c>
      <c r="S1067" s="7" t="str">
        <f aca="false">IF(OR(A1067="",P1067="DUP",R1067&lt;2),"",IF(Q1067=_xlfn.MINIFS($Q$2:$Q$3058,$A$2:$A$3058,A1067,$P$2:$P$3058,"OK"),"KEEP","DROP"))</f>
        <v/>
      </c>
      <c r="T1067" s="9" t="n">
        <f aca="false">IF(A1067="",1,0)</f>
        <v>0</v>
      </c>
      <c r="U1067" s="9" t="n">
        <f aca="false">IF(D1067="",1,0)</f>
        <v>0</v>
      </c>
      <c r="V1067" s="9" t="n">
        <f aca="false">IF(E1067="",1,0)</f>
        <v>0</v>
      </c>
      <c r="W1067" s="9" t="n">
        <f aca="false">IF(OR(H1067&lt;1,H1067&gt;10),1,0)</f>
        <v>0</v>
      </c>
      <c r="X1067" s="9" t="n">
        <f aca="false">IF(OR(I1067&lt;=0,I1067&gt;1500),1,0)</f>
        <v>0</v>
      </c>
      <c r="Y1067" s="9" t="n">
        <f aca="false">IF(J1067&gt;H1067*I1067,1,0)</f>
        <v>0</v>
      </c>
      <c r="Z1067" s="9" t="n">
        <f aca="false">IF(AND(N1067&lt;&gt;"",OR(N1067&lt;1,N1067&gt;5)),1,0)</f>
        <v>0</v>
      </c>
      <c r="AA1067" s="9" t="n">
        <f aca="false">IF(AND(M1067&lt;&gt;"",OR(M1067&lt;5,M1067&gt;180)),1,0)</f>
        <v>0</v>
      </c>
      <c r="AB1067" s="7" t="str">
        <f aca="false">IF(P1067="DUP","Exact duplicate row",IF(T1067=1,"Missing Order ID",IF(S1067="DROP","Duplicate Order ID (less complete row)",IF(U1067=1,"Missing Customer ID",IF(V1067=1,"Missing Restaurant name",IF(W1067=1,"Invalid/outlier quantity",IF(X1067=1,"Invalid/outlier unit price",IF(Y1067=1,"Discount greater than order value",""))))))))</f>
        <v/>
      </c>
      <c r="AC1067" s="7" t="str">
        <f aca="false">IF(AB1067="","KEEP","DROP")</f>
        <v>KEEP</v>
      </c>
      <c r="AD1067" s="7" t="str">
        <f aca="false">IF(TRIM(F1067)="",IFERROR(INDEX(Map_Tables!$I$4:$I$37,MATCH(TRIM(E1067),Map_Tables!$G$4:$G$37,0)),""),IFERROR(INDEX(Map_Tables!$B$4:$B$18,MATCH(TRIM(F1067),Map_Tables!$A$4:$A$18,0)),"CHECK"))</f>
        <v>Delhi</v>
      </c>
      <c r="AE1067" s="7" t="str">
        <f aca="false">IF(TRIM(E1067)="","",IFERROR(INDEX(Map_Tables!$H$4:$H$37,MATCH(TRIM(E1067),Map_Tables!$G$4:$G$37,0)),"CHECK"))</f>
        <v>Tandoor Tales</v>
      </c>
      <c r="AF1067" s="7" t="str">
        <f aca="false">IF(TRIM(K1067)="","Unknown",IFERROR(INDEX(Map_Tables!$E$4:$E$15,MATCH(TRIM(K1067),Map_Tables!$D$4:$D$15,0)),"CHECK"))</f>
        <v>UPI</v>
      </c>
      <c r="AG1067" s="7" t="str">
        <f aca="false">IF(LEFT(LOWER(TRIM(L1067)),6)="cancel","Cancelled","Delivered")</f>
        <v>Delivered</v>
      </c>
      <c r="AH1067" s="10" t="n">
        <f aca="false">IF(ISNUMBER(SEARCH("/",B1067)),DATE(VALUE(RIGHT(B1067,4)),VALUE(MID(B1067,4,2)),VALUE(LEFT(B1067,2))),IF(MID(B1067,5,1)="-",DATE(VALUE(LEFT(B1067,4)),VALUE(MID(B1067,6,2)),VALUE(RIGHT(B1067,2))),DATE(VALUE(RIGHT(B1067,4)),MATCH(MID(B1067,4,3),{"Jan","Feb","Mar","Apr","May","Jun","Jul","Aug","Sep","Oct","Nov","Dec"},0),VALUE(LEFT(B1067,2)))))</f>
        <v>45797</v>
      </c>
    </row>
    <row r="1068" customFormat="false" ht="15" hidden="false" customHeight="false" outlineLevel="0" collapsed="false">
      <c r="A1068" s="7" t="s">
        <v>3147</v>
      </c>
      <c r="B1068" s="7" t="s">
        <v>1707</v>
      </c>
      <c r="C1068" s="7" t="s">
        <v>1572</v>
      </c>
      <c r="D1068" s="7" t="s">
        <v>3148</v>
      </c>
      <c r="E1068" s="7" t="s">
        <v>130</v>
      </c>
      <c r="F1068" s="7" t="s">
        <v>110</v>
      </c>
      <c r="G1068" s="7" t="s">
        <v>90</v>
      </c>
      <c r="H1068" s="7" t="n">
        <v>2</v>
      </c>
      <c r="I1068" s="7" t="n">
        <v>290</v>
      </c>
      <c r="J1068" s="7" t="n">
        <v>0</v>
      </c>
      <c r="K1068" s="7" t="s">
        <v>112</v>
      </c>
      <c r="L1068" s="7" t="s">
        <v>194</v>
      </c>
      <c r="M1068" s="7" t="n">
        <v>35</v>
      </c>
      <c r="N1068" s="7" t="n">
        <v>3</v>
      </c>
      <c r="O1068" s="7" t="str">
        <f aca="false">A1068&amp;"|"&amp;B1068&amp;"|"&amp;C1068&amp;"|"&amp;D1068&amp;"|"&amp;E1068&amp;"|"&amp;F1068&amp;"|"&amp;G1068&amp;"|"&amp;H1068&amp;"|"&amp;I1068&amp;"|"&amp;J1068&amp;"|"&amp;K1068&amp;"|"&amp;L1068&amp;"|"&amp;M1068&amp;"|"&amp;N1068</f>
        <v>ORD12835|12/12/2025|20:41|C0310|Tandoor Tales|Delhi|North Indian|2|290|0|Cash on Delivery|Delivered|35|3</v>
      </c>
      <c r="P1068" s="7" t="str">
        <f aca="false">IF(COUNTIF($O$2:O1068,O1068)&gt;1,"DUP","OK")</f>
        <v>OK</v>
      </c>
      <c r="Q1068" s="7" t="n">
        <f aca="false">COUNTBLANK(A1068:N1068)</f>
        <v>0</v>
      </c>
      <c r="R1068" s="7" t="n">
        <f aca="false">IF(A1068="",0,COUNTIFS($A$2:$A$3058,A1068,$P$2:$P$3058,"OK"))</f>
        <v>1</v>
      </c>
      <c r="S1068" s="7" t="str">
        <f aca="false">IF(OR(A1068="",P1068="DUP",R1068&lt;2),"",IF(Q1068=_xlfn.MINIFS($Q$2:$Q$3058,$A$2:$A$3058,A1068,$P$2:$P$3058,"OK"),"KEEP","DROP"))</f>
        <v/>
      </c>
      <c r="T1068" s="9" t="n">
        <f aca="false">IF(A1068="",1,0)</f>
        <v>0</v>
      </c>
      <c r="U1068" s="9" t="n">
        <f aca="false">IF(D1068="",1,0)</f>
        <v>0</v>
      </c>
      <c r="V1068" s="9" t="n">
        <f aca="false">IF(E1068="",1,0)</f>
        <v>0</v>
      </c>
      <c r="W1068" s="9" t="n">
        <f aca="false">IF(OR(H1068&lt;1,H1068&gt;10),1,0)</f>
        <v>0</v>
      </c>
      <c r="X1068" s="9" t="n">
        <f aca="false">IF(OR(I1068&lt;=0,I1068&gt;1500),1,0)</f>
        <v>0</v>
      </c>
      <c r="Y1068" s="9" t="n">
        <f aca="false">IF(J1068&gt;H1068*I1068,1,0)</f>
        <v>0</v>
      </c>
      <c r="Z1068" s="9" t="n">
        <f aca="false">IF(AND(N1068&lt;&gt;"",OR(N1068&lt;1,N1068&gt;5)),1,0)</f>
        <v>0</v>
      </c>
      <c r="AA1068" s="9" t="n">
        <f aca="false">IF(AND(M1068&lt;&gt;"",OR(M1068&lt;5,M1068&gt;180)),1,0)</f>
        <v>0</v>
      </c>
      <c r="AB1068" s="7" t="str">
        <f aca="false">IF(P1068="DUP","Exact duplicate row",IF(T1068=1,"Missing Order ID",IF(S1068="DROP","Duplicate Order ID (less complete row)",IF(U1068=1,"Missing Customer ID",IF(V1068=1,"Missing Restaurant name",IF(W1068=1,"Invalid/outlier quantity",IF(X1068=1,"Invalid/outlier unit price",IF(Y1068=1,"Discount greater than order value",""))))))))</f>
        <v/>
      </c>
      <c r="AC1068" s="7" t="str">
        <f aca="false">IF(AB1068="","KEEP","DROP")</f>
        <v>KEEP</v>
      </c>
      <c r="AD1068" s="7" t="str">
        <f aca="false">IF(TRIM(F1068)="",IFERROR(INDEX(Map_Tables!$I$4:$I$37,MATCH(TRIM(E1068),Map_Tables!$G$4:$G$37,0)),""),IFERROR(INDEX(Map_Tables!$B$4:$B$18,MATCH(TRIM(F1068),Map_Tables!$A$4:$A$18,0)),"CHECK"))</f>
        <v>Delhi</v>
      </c>
      <c r="AE1068" s="7" t="str">
        <f aca="false">IF(TRIM(E1068)="","",IFERROR(INDEX(Map_Tables!$H$4:$H$37,MATCH(TRIM(E1068),Map_Tables!$G$4:$G$37,0)),"CHECK"))</f>
        <v>Tandoor Tales</v>
      </c>
      <c r="AF1068" s="7" t="str">
        <f aca="false">IF(TRIM(K1068)="","Unknown",IFERROR(INDEX(Map_Tables!$E$4:$E$15,MATCH(TRIM(K1068),Map_Tables!$D$4:$D$15,0)),"CHECK"))</f>
        <v>Cash on Delivery</v>
      </c>
      <c r="AG1068" s="7" t="str">
        <f aca="false">IF(LEFT(LOWER(TRIM(L1068)),6)="cancel","Cancelled","Delivered")</f>
        <v>Delivered</v>
      </c>
      <c r="AH1068" s="10" t="n">
        <f aca="false">IF(ISNUMBER(SEARCH("/",B1068)),DATE(VALUE(RIGHT(B1068,4)),VALUE(MID(B1068,4,2)),VALUE(LEFT(B1068,2))),IF(MID(B1068,5,1)="-",DATE(VALUE(LEFT(B1068,4)),VALUE(MID(B1068,6,2)),VALUE(RIGHT(B1068,2))),DATE(VALUE(RIGHT(B1068,4)),MATCH(MID(B1068,4,3),{"Jan","Feb","Mar","Apr","May","Jun","Jul","Aug","Sep","Oct","Nov","Dec"},0),VALUE(LEFT(B1068,2)))))</f>
        <v>46003</v>
      </c>
    </row>
    <row r="1069" customFormat="false" ht="15" hidden="false" customHeight="false" outlineLevel="0" collapsed="false">
      <c r="A1069" s="7" t="s">
        <v>3149</v>
      </c>
      <c r="B1069" s="7" t="s">
        <v>360</v>
      </c>
      <c r="C1069" s="7" t="s">
        <v>2390</v>
      </c>
      <c r="D1069" s="7" t="s">
        <v>3150</v>
      </c>
      <c r="E1069" s="7" t="s">
        <v>160</v>
      </c>
      <c r="F1069" s="7" t="s">
        <v>136</v>
      </c>
      <c r="G1069" s="7" t="s">
        <v>150</v>
      </c>
      <c r="H1069" s="7" t="n">
        <v>1</v>
      </c>
      <c r="I1069" s="7" t="n">
        <v>175</v>
      </c>
      <c r="J1069" s="7" t="n">
        <v>70</v>
      </c>
      <c r="K1069" s="7" t="s">
        <v>88</v>
      </c>
      <c r="L1069" s="7" t="s">
        <v>194</v>
      </c>
      <c r="M1069" s="7" t="n">
        <v>35</v>
      </c>
      <c r="N1069" s="7" t="n">
        <v>5</v>
      </c>
      <c r="O1069" s="7" t="str">
        <f aca="false">A1069&amp;"|"&amp;B1069&amp;"|"&amp;C1069&amp;"|"&amp;D1069&amp;"|"&amp;E1069&amp;"|"&amp;F1069&amp;"|"&amp;G1069&amp;"|"&amp;H1069&amp;"|"&amp;I1069&amp;"|"&amp;J1069&amp;"|"&amp;K1069&amp;"|"&amp;L1069&amp;"|"&amp;M1069&amp;"|"&amp;N1069</f>
        <v>ORD10722|2025-04-02|12:42|C0911|Cake Walk|Pune|Desserts|1|175|70|UPI|Delivered|35|5</v>
      </c>
      <c r="P1069" s="7" t="str">
        <f aca="false">IF(COUNTIF($O$2:O1069,O1069)&gt;1,"DUP","OK")</f>
        <v>OK</v>
      </c>
      <c r="Q1069" s="7" t="n">
        <f aca="false">COUNTBLANK(A1069:N1069)</f>
        <v>0</v>
      </c>
      <c r="R1069" s="7" t="n">
        <f aca="false">IF(A1069="",0,COUNTIFS($A$2:$A$3058,A1069,$P$2:$P$3058,"OK"))</f>
        <v>1</v>
      </c>
      <c r="S1069" s="7" t="str">
        <f aca="false">IF(OR(A1069="",P1069="DUP",R1069&lt;2),"",IF(Q1069=_xlfn.MINIFS($Q$2:$Q$3058,$A$2:$A$3058,A1069,$P$2:$P$3058,"OK"),"KEEP","DROP"))</f>
        <v/>
      </c>
      <c r="T1069" s="9" t="n">
        <f aca="false">IF(A1069="",1,0)</f>
        <v>0</v>
      </c>
      <c r="U1069" s="9" t="n">
        <f aca="false">IF(D1069="",1,0)</f>
        <v>0</v>
      </c>
      <c r="V1069" s="9" t="n">
        <f aca="false">IF(E1069="",1,0)</f>
        <v>0</v>
      </c>
      <c r="W1069" s="9" t="n">
        <f aca="false">IF(OR(H1069&lt;1,H1069&gt;10),1,0)</f>
        <v>0</v>
      </c>
      <c r="X1069" s="9" t="n">
        <f aca="false">IF(OR(I1069&lt;=0,I1069&gt;1500),1,0)</f>
        <v>0</v>
      </c>
      <c r="Y1069" s="9" t="n">
        <f aca="false">IF(J1069&gt;H1069*I1069,1,0)</f>
        <v>0</v>
      </c>
      <c r="Z1069" s="9" t="n">
        <f aca="false">IF(AND(N1069&lt;&gt;"",OR(N1069&lt;1,N1069&gt;5)),1,0)</f>
        <v>0</v>
      </c>
      <c r="AA1069" s="9" t="n">
        <f aca="false">IF(AND(M1069&lt;&gt;"",OR(M1069&lt;5,M1069&gt;180)),1,0)</f>
        <v>0</v>
      </c>
      <c r="AB1069" s="7" t="str">
        <f aca="false">IF(P1069="DUP","Exact duplicate row",IF(T1069=1,"Missing Order ID",IF(S1069="DROP","Duplicate Order ID (less complete row)",IF(U1069=1,"Missing Customer ID",IF(V1069=1,"Missing Restaurant name",IF(W1069=1,"Invalid/outlier quantity",IF(X1069=1,"Invalid/outlier unit price",IF(Y1069=1,"Discount greater than order value",""))))))))</f>
        <v/>
      </c>
      <c r="AC1069" s="7" t="str">
        <f aca="false">IF(AB1069="","KEEP","DROP")</f>
        <v>KEEP</v>
      </c>
      <c r="AD1069" s="7" t="str">
        <f aca="false">IF(TRIM(F1069)="",IFERROR(INDEX(Map_Tables!$I$4:$I$37,MATCH(TRIM(E1069),Map_Tables!$G$4:$G$37,0)),""),IFERROR(INDEX(Map_Tables!$B$4:$B$18,MATCH(TRIM(F1069),Map_Tables!$A$4:$A$18,0)),"CHECK"))</f>
        <v>Pune</v>
      </c>
      <c r="AE1069" s="7" t="str">
        <f aca="false">IF(TRIM(E1069)="","",IFERROR(INDEX(Map_Tables!$H$4:$H$37,MATCH(TRIM(E1069),Map_Tables!$G$4:$G$37,0)),"CHECK"))</f>
        <v>Cake Walk</v>
      </c>
      <c r="AF1069" s="7" t="str">
        <f aca="false">IF(TRIM(K1069)="","Unknown",IFERROR(INDEX(Map_Tables!$E$4:$E$15,MATCH(TRIM(K1069),Map_Tables!$D$4:$D$15,0)),"CHECK"))</f>
        <v>UPI</v>
      </c>
      <c r="AG1069" s="7" t="str">
        <f aca="false">IF(LEFT(LOWER(TRIM(L1069)),6)="cancel","Cancelled","Delivered")</f>
        <v>Delivered</v>
      </c>
      <c r="AH1069" s="10" t="n">
        <f aca="false">IF(ISNUMBER(SEARCH("/",B1069)),DATE(VALUE(RIGHT(B1069,4)),VALUE(MID(B1069,4,2)),VALUE(LEFT(B1069,2))),IF(MID(B1069,5,1)="-",DATE(VALUE(LEFT(B1069,4)),VALUE(MID(B1069,6,2)),VALUE(RIGHT(B1069,2))),DATE(VALUE(RIGHT(B1069,4)),MATCH(MID(B1069,4,3),{"Jan","Feb","Mar","Apr","May","Jun","Jul","Aug","Sep","Oct","Nov","Dec"},0),VALUE(LEFT(B1069,2)))))</f>
        <v>45749</v>
      </c>
    </row>
    <row r="1070" customFormat="false" ht="15" hidden="false" customHeight="false" outlineLevel="0" collapsed="false">
      <c r="A1070" s="7" t="s">
        <v>3151</v>
      </c>
      <c r="B1070" s="7" t="s">
        <v>1121</v>
      </c>
      <c r="C1070" s="7" t="s">
        <v>3152</v>
      </c>
      <c r="D1070" s="7" t="s">
        <v>3153</v>
      </c>
      <c r="E1070" s="7" t="s">
        <v>3154</v>
      </c>
      <c r="F1070" s="7" t="s">
        <v>119</v>
      </c>
      <c r="G1070" s="7" t="s">
        <v>99</v>
      </c>
      <c r="H1070" s="7" t="n">
        <v>3</v>
      </c>
      <c r="I1070" s="7" t="n">
        <v>280</v>
      </c>
      <c r="J1070" s="7" t="n">
        <v>125</v>
      </c>
      <c r="K1070" s="7" t="s">
        <v>103</v>
      </c>
      <c r="L1070" s="7" t="s">
        <v>194</v>
      </c>
      <c r="M1070" s="7" t="n">
        <v>46</v>
      </c>
      <c r="N1070" s="7" t="n">
        <v>4</v>
      </c>
      <c r="O1070" s="7" t="str">
        <f aca="false">A1070&amp;"|"&amp;B1070&amp;"|"&amp;C1070&amp;"|"&amp;D1070&amp;"|"&amp;E1070&amp;"|"&amp;F1070&amp;"|"&amp;G1070&amp;"|"&amp;H1070&amp;"|"&amp;I1070&amp;"|"&amp;J1070&amp;"|"&amp;K1070&amp;"|"&amp;L1070&amp;"|"&amp;M1070&amp;"|"&amp;N1070</f>
        <v>ORD11189|2025-05-31|18:37|C0902|Hyderabad  Dum Biryani|Hyderabad|Biryani|3|280|125|Debit Card|Delivered|46|4</v>
      </c>
      <c r="P1070" s="7" t="str">
        <f aca="false">IF(COUNTIF($O$2:O1070,O1070)&gt;1,"DUP","OK")</f>
        <v>OK</v>
      </c>
      <c r="Q1070" s="7" t="n">
        <f aca="false">COUNTBLANK(A1070:N1070)</f>
        <v>0</v>
      </c>
      <c r="R1070" s="7" t="n">
        <f aca="false">IF(A1070="",0,COUNTIFS($A$2:$A$3058,A1070,$P$2:$P$3058,"OK"))</f>
        <v>1</v>
      </c>
      <c r="S1070" s="7" t="str">
        <f aca="false">IF(OR(A1070="",P1070="DUP",R1070&lt;2),"",IF(Q1070=_xlfn.MINIFS($Q$2:$Q$3058,$A$2:$A$3058,A1070,$P$2:$P$3058,"OK"),"KEEP","DROP"))</f>
        <v/>
      </c>
      <c r="T1070" s="9" t="n">
        <f aca="false">IF(A1070="",1,0)</f>
        <v>0</v>
      </c>
      <c r="U1070" s="9" t="n">
        <f aca="false">IF(D1070="",1,0)</f>
        <v>0</v>
      </c>
      <c r="V1070" s="9" t="n">
        <f aca="false">IF(E1070="",1,0)</f>
        <v>0</v>
      </c>
      <c r="W1070" s="9" t="n">
        <f aca="false">IF(OR(H1070&lt;1,H1070&gt;10),1,0)</f>
        <v>0</v>
      </c>
      <c r="X1070" s="9" t="n">
        <f aca="false">IF(OR(I1070&lt;=0,I1070&gt;1500),1,0)</f>
        <v>0</v>
      </c>
      <c r="Y1070" s="9" t="n">
        <f aca="false">IF(J1070&gt;H1070*I1070,1,0)</f>
        <v>0</v>
      </c>
      <c r="Z1070" s="9" t="n">
        <f aca="false">IF(AND(N1070&lt;&gt;"",OR(N1070&lt;1,N1070&gt;5)),1,0)</f>
        <v>0</v>
      </c>
      <c r="AA1070" s="9" t="n">
        <f aca="false">IF(AND(M1070&lt;&gt;"",OR(M1070&lt;5,M1070&gt;180)),1,0)</f>
        <v>0</v>
      </c>
      <c r="AB1070" s="7" t="str">
        <f aca="false">IF(P1070="DUP","Exact duplicate row",IF(T1070=1,"Missing Order ID",IF(S1070="DROP","Duplicate Order ID (less complete row)",IF(U1070=1,"Missing Customer ID",IF(V1070=1,"Missing Restaurant name",IF(W1070=1,"Invalid/outlier quantity",IF(X1070=1,"Invalid/outlier unit price",IF(Y1070=1,"Discount greater than order value",""))))))))</f>
        <v/>
      </c>
      <c r="AC1070" s="7" t="str">
        <f aca="false">IF(AB1070="","KEEP","DROP")</f>
        <v>KEEP</v>
      </c>
      <c r="AD1070" s="7" t="str">
        <f aca="false">IF(TRIM(F1070)="",IFERROR(INDEX(Map_Tables!$I$4:$I$37,MATCH(TRIM(E1070),Map_Tables!$G$4:$G$37,0)),""),IFERROR(INDEX(Map_Tables!$B$4:$B$18,MATCH(TRIM(F1070),Map_Tables!$A$4:$A$18,0)),"CHECK"))</f>
        <v>Hyderabad</v>
      </c>
      <c r="AE1070" s="7" t="str">
        <f aca="false">IF(TRIM(E1070)="","",IFERROR(INDEX(Map_Tables!$H$4:$H$37,MATCH(TRIM(E1070),Map_Tables!$G$4:$G$37,0)),"CHECK"))</f>
        <v>Hyderabad Dum Biryani</v>
      </c>
      <c r="AF1070" s="7" t="str">
        <f aca="false">IF(TRIM(K1070)="","Unknown",IFERROR(INDEX(Map_Tables!$E$4:$E$15,MATCH(TRIM(K1070),Map_Tables!$D$4:$D$15,0)),"CHECK"))</f>
        <v>Debit Card</v>
      </c>
      <c r="AG1070" s="7" t="str">
        <f aca="false">IF(LEFT(LOWER(TRIM(L1070)),6)="cancel","Cancelled","Delivered")</f>
        <v>Delivered</v>
      </c>
      <c r="AH1070" s="10" t="n">
        <f aca="false">IF(ISNUMBER(SEARCH("/",B1070)),DATE(VALUE(RIGHT(B1070,4)),VALUE(MID(B1070,4,2)),VALUE(LEFT(B1070,2))),IF(MID(B1070,5,1)="-",DATE(VALUE(LEFT(B1070,4)),VALUE(MID(B1070,6,2)),VALUE(RIGHT(B1070,2))),DATE(VALUE(RIGHT(B1070,4)),MATCH(MID(B1070,4,3),{"Jan","Feb","Mar","Apr","May","Jun","Jul","Aug","Sep","Oct","Nov","Dec"},0),VALUE(LEFT(B1070,2)))))</f>
        <v>45808</v>
      </c>
    </row>
    <row r="1071" customFormat="false" ht="15" hidden="false" customHeight="false" outlineLevel="0" collapsed="false">
      <c r="A1071" s="7" t="s">
        <v>3155</v>
      </c>
      <c r="B1071" s="7" t="s">
        <v>3156</v>
      </c>
      <c r="C1071" s="7" t="s">
        <v>3157</v>
      </c>
      <c r="D1071" s="7" t="s">
        <v>3158</v>
      </c>
      <c r="E1071" s="7" t="s">
        <v>113</v>
      </c>
      <c r="F1071" s="7" t="s">
        <v>101</v>
      </c>
      <c r="G1071" s="7" t="s">
        <v>90</v>
      </c>
      <c r="H1071" s="7" t="n">
        <v>3</v>
      </c>
      <c r="I1071" s="7" t="n">
        <v>240</v>
      </c>
      <c r="J1071" s="7" t="n">
        <v>0</v>
      </c>
      <c r="K1071" s="7" t="s">
        <v>103</v>
      </c>
      <c r="L1071" s="7" t="s">
        <v>194</v>
      </c>
      <c r="M1071" s="7" t="n">
        <v>-3</v>
      </c>
      <c r="N1071" s="7" t="n">
        <v>3</v>
      </c>
      <c r="O1071" s="7" t="str">
        <f aca="false">A1071&amp;"|"&amp;B1071&amp;"|"&amp;C1071&amp;"|"&amp;D1071&amp;"|"&amp;E1071&amp;"|"&amp;F1071&amp;"|"&amp;G1071&amp;"|"&amp;H1071&amp;"|"&amp;I1071&amp;"|"&amp;J1071&amp;"|"&amp;K1071&amp;"|"&amp;L1071&amp;"|"&amp;M1071&amp;"|"&amp;N1071</f>
        <v>ORD11476|2025-07-11|14:23|C0025|Curry Leaf Kitchen|Mumbai|North Indian|3|240|0|Debit Card|Delivered|-3|3</v>
      </c>
      <c r="P1071" s="7" t="str">
        <f aca="false">IF(COUNTIF($O$2:O1071,O1071)&gt;1,"DUP","OK")</f>
        <v>OK</v>
      </c>
      <c r="Q1071" s="7" t="n">
        <f aca="false">COUNTBLANK(A1071:N1071)</f>
        <v>0</v>
      </c>
      <c r="R1071" s="7" t="n">
        <f aca="false">IF(A1071="",0,COUNTIFS($A$2:$A$3058,A1071,$P$2:$P$3058,"OK"))</f>
        <v>1</v>
      </c>
      <c r="S1071" s="7" t="str">
        <f aca="false">IF(OR(A1071="",P1071="DUP",R1071&lt;2),"",IF(Q1071=_xlfn.MINIFS($Q$2:$Q$3058,$A$2:$A$3058,A1071,$P$2:$P$3058,"OK"),"KEEP","DROP"))</f>
        <v/>
      </c>
      <c r="T1071" s="9" t="n">
        <f aca="false">IF(A1071="",1,0)</f>
        <v>0</v>
      </c>
      <c r="U1071" s="9" t="n">
        <f aca="false">IF(D1071="",1,0)</f>
        <v>0</v>
      </c>
      <c r="V1071" s="9" t="n">
        <f aca="false">IF(E1071="",1,0)</f>
        <v>0</v>
      </c>
      <c r="W1071" s="9" t="n">
        <f aca="false">IF(OR(H1071&lt;1,H1071&gt;10),1,0)</f>
        <v>0</v>
      </c>
      <c r="X1071" s="9" t="n">
        <f aca="false">IF(OR(I1071&lt;=0,I1071&gt;1500),1,0)</f>
        <v>0</v>
      </c>
      <c r="Y1071" s="9" t="n">
        <f aca="false">IF(J1071&gt;H1071*I1071,1,0)</f>
        <v>0</v>
      </c>
      <c r="Z1071" s="9" t="n">
        <f aca="false">IF(AND(N1071&lt;&gt;"",OR(N1071&lt;1,N1071&gt;5)),1,0)</f>
        <v>0</v>
      </c>
      <c r="AA1071" s="9" t="n">
        <f aca="false">IF(AND(M1071&lt;&gt;"",OR(M1071&lt;5,M1071&gt;180)),1,0)</f>
        <v>1</v>
      </c>
      <c r="AB1071" s="7" t="str">
        <f aca="false">IF(P1071="DUP","Exact duplicate row",IF(T1071=1,"Missing Order ID",IF(S1071="DROP","Duplicate Order ID (less complete row)",IF(U1071=1,"Missing Customer ID",IF(V1071=1,"Missing Restaurant name",IF(W1071=1,"Invalid/outlier quantity",IF(X1071=1,"Invalid/outlier unit price",IF(Y1071=1,"Discount greater than order value",""))))))))</f>
        <v/>
      </c>
      <c r="AC1071" s="7" t="str">
        <f aca="false">IF(AB1071="","KEEP","DROP")</f>
        <v>KEEP</v>
      </c>
      <c r="AD1071" s="7" t="str">
        <f aca="false">IF(TRIM(F1071)="",IFERROR(INDEX(Map_Tables!$I$4:$I$37,MATCH(TRIM(E1071),Map_Tables!$G$4:$G$37,0)),""),IFERROR(INDEX(Map_Tables!$B$4:$B$18,MATCH(TRIM(F1071),Map_Tables!$A$4:$A$18,0)),"CHECK"))</f>
        <v>Mumbai</v>
      </c>
      <c r="AE1071" s="7" t="str">
        <f aca="false">IF(TRIM(E1071)="","",IFERROR(INDEX(Map_Tables!$H$4:$H$37,MATCH(TRIM(E1071),Map_Tables!$G$4:$G$37,0)),"CHECK"))</f>
        <v>Curry Leaf Kitchen</v>
      </c>
      <c r="AF1071" s="7" t="str">
        <f aca="false">IF(TRIM(K1071)="","Unknown",IFERROR(INDEX(Map_Tables!$E$4:$E$15,MATCH(TRIM(K1071),Map_Tables!$D$4:$D$15,0)),"CHECK"))</f>
        <v>Debit Card</v>
      </c>
      <c r="AG1071" s="7" t="str">
        <f aca="false">IF(LEFT(LOWER(TRIM(L1071)),6)="cancel","Cancelled","Delivered")</f>
        <v>Delivered</v>
      </c>
      <c r="AH1071" s="10" t="n">
        <f aca="false">IF(ISNUMBER(SEARCH("/",B1071)),DATE(VALUE(RIGHT(B1071,4)),VALUE(MID(B1071,4,2)),VALUE(LEFT(B1071,2))),IF(MID(B1071,5,1)="-",DATE(VALUE(LEFT(B1071,4)),VALUE(MID(B1071,6,2)),VALUE(RIGHT(B1071,2))),DATE(VALUE(RIGHT(B1071,4)),MATCH(MID(B1071,4,3),{"Jan","Feb","Mar","Apr","May","Jun","Jul","Aug","Sep","Oct","Nov","Dec"},0),VALUE(LEFT(B1071,2)))))</f>
        <v>45849</v>
      </c>
    </row>
    <row r="1072" customFormat="false" ht="15" hidden="false" customHeight="false" outlineLevel="0" collapsed="false">
      <c r="A1072" s="7" t="s">
        <v>3159</v>
      </c>
      <c r="B1072" s="7" t="s">
        <v>1548</v>
      </c>
      <c r="C1072" s="7" t="s">
        <v>3160</v>
      </c>
      <c r="D1072" s="7" t="s">
        <v>3161</v>
      </c>
      <c r="E1072" s="7" t="s">
        <v>134</v>
      </c>
      <c r="F1072" s="7" t="s">
        <v>110</v>
      </c>
      <c r="G1072" s="7" t="s">
        <v>117</v>
      </c>
      <c r="H1072" s="7" t="n">
        <v>1</v>
      </c>
      <c r="I1072" s="7" t="n">
        <v>125</v>
      </c>
      <c r="J1072" s="7" t="n">
        <v>20</v>
      </c>
      <c r="K1072" s="7" t="s">
        <v>88</v>
      </c>
      <c r="L1072" s="7" t="s">
        <v>194</v>
      </c>
      <c r="M1072" s="7" t="n">
        <v>32</v>
      </c>
      <c r="N1072" s="7" t="n">
        <v>3</v>
      </c>
      <c r="O1072" s="7" t="str">
        <f aca="false">A1072&amp;"|"&amp;B1072&amp;"|"&amp;C1072&amp;"|"&amp;D1072&amp;"|"&amp;E1072&amp;"|"&amp;F1072&amp;"|"&amp;G1072&amp;"|"&amp;H1072&amp;"|"&amp;I1072&amp;"|"&amp;J1072&amp;"|"&amp;K1072&amp;"|"&amp;L1072&amp;"|"&amp;M1072&amp;"|"&amp;N1072</f>
        <v>ORD12255|2025-10-13|11:15|C0501|Chaat Corner|Delhi|Street Food|1|125|20|UPI|Delivered|32|3</v>
      </c>
      <c r="P1072" s="7" t="str">
        <f aca="false">IF(COUNTIF($O$2:O1072,O1072)&gt;1,"DUP","OK")</f>
        <v>OK</v>
      </c>
      <c r="Q1072" s="7" t="n">
        <f aca="false">COUNTBLANK(A1072:N1072)</f>
        <v>0</v>
      </c>
      <c r="R1072" s="7" t="n">
        <f aca="false">IF(A1072="",0,COUNTIFS($A$2:$A$3058,A1072,$P$2:$P$3058,"OK"))</f>
        <v>1</v>
      </c>
      <c r="S1072" s="7" t="str">
        <f aca="false">IF(OR(A1072="",P1072="DUP",R1072&lt;2),"",IF(Q1072=_xlfn.MINIFS($Q$2:$Q$3058,$A$2:$A$3058,A1072,$P$2:$P$3058,"OK"),"KEEP","DROP"))</f>
        <v/>
      </c>
      <c r="T1072" s="9" t="n">
        <f aca="false">IF(A1072="",1,0)</f>
        <v>0</v>
      </c>
      <c r="U1072" s="9" t="n">
        <f aca="false">IF(D1072="",1,0)</f>
        <v>0</v>
      </c>
      <c r="V1072" s="9" t="n">
        <f aca="false">IF(E1072="",1,0)</f>
        <v>0</v>
      </c>
      <c r="W1072" s="9" t="n">
        <f aca="false">IF(OR(H1072&lt;1,H1072&gt;10),1,0)</f>
        <v>0</v>
      </c>
      <c r="X1072" s="9" t="n">
        <f aca="false">IF(OR(I1072&lt;=0,I1072&gt;1500),1,0)</f>
        <v>0</v>
      </c>
      <c r="Y1072" s="9" t="n">
        <f aca="false">IF(J1072&gt;H1072*I1072,1,0)</f>
        <v>0</v>
      </c>
      <c r="Z1072" s="9" t="n">
        <f aca="false">IF(AND(N1072&lt;&gt;"",OR(N1072&lt;1,N1072&gt;5)),1,0)</f>
        <v>0</v>
      </c>
      <c r="AA1072" s="9" t="n">
        <f aca="false">IF(AND(M1072&lt;&gt;"",OR(M1072&lt;5,M1072&gt;180)),1,0)</f>
        <v>0</v>
      </c>
      <c r="AB1072" s="7" t="str">
        <f aca="false">IF(P1072="DUP","Exact duplicate row",IF(T1072=1,"Missing Order ID",IF(S1072="DROP","Duplicate Order ID (less complete row)",IF(U1072=1,"Missing Customer ID",IF(V1072=1,"Missing Restaurant name",IF(W1072=1,"Invalid/outlier quantity",IF(X1072=1,"Invalid/outlier unit price",IF(Y1072=1,"Discount greater than order value",""))))))))</f>
        <v/>
      </c>
      <c r="AC1072" s="7" t="str">
        <f aca="false">IF(AB1072="","KEEP","DROP")</f>
        <v>KEEP</v>
      </c>
      <c r="AD1072" s="7" t="str">
        <f aca="false">IF(TRIM(F1072)="",IFERROR(INDEX(Map_Tables!$I$4:$I$37,MATCH(TRIM(E1072),Map_Tables!$G$4:$G$37,0)),""),IFERROR(INDEX(Map_Tables!$B$4:$B$18,MATCH(TRIM(F1072),Map_Tables!$A$4:$A$18,0)),"CHECK"))</f>
        <v>Delhi</v>
      </c>
      <c r="AE1072" s="7" t="str">
        <f aca="false">IF(TRIM(E1072)="","",IFERROR(INDEX(Map_Tables!$H$4:$H$37,MATCH(TRIM(E1072),Map_Tables!$G$4:$G$37,0)),"CHECK"))</f>
        <v>Chaat Corner</v>
      </c>
      <c r="AF1072" s="7" t="str">
        <f aca="false">IF(TRIM(K1072)="","Unknown",IFERROR(INDEX(Map_Tables!$E$4:$E$15,MATCH(TRIM(K1072),Map_Tables!$D$4:$D$15,0)),"CHECK"))</f>
        <v>UPI</v>
      </c>
      <c r="AG1072" s="7" t="str">
        <f aca="false">IF(LEFT(LOWER(TRIM(L1072)),6)="cancel","Cancelled","Delivered")</f>
        <v>Delivered</v>
      </c>
      <c r="AH1072" s="10" t="n">
        <f aca="false">IF(ISNUMBER(SEARCH("/",B1072)),DATE(VALUE(RIGHT(B1072,4)),VALUE(MID(B1072,4,2)),VALUE(LEFT(B1072,2))),IF(MID(B1072,5,1)="-",DATE(VALUE(LEFT(B1072,4)),VALUE(MID(B1072,6,2)),VALUE(RIGHT(B1072,2))),DATE(VALUE(RIGHT(B1072,4)),MATCH(MID(B1072,4,3),{"Jan","Feb","Mar","Apr","May","Jun","Jul","Aug","Sep","Oct","Nov","Dec"},0),VALUE(LEFT(B1072,2)))))</f>
        <v>45943</v>
      </c>
    </row>
    <row r="1073" customFormat="false" ht="15" hidden="false" customHeight="false" outlineLevel="0" collapsed="false">
      <c r="A1073" s="7" t="s">
        <v>3162</v>
      </c>
      <c r="B1073" s="7" t="s">
        <v>355</v>
      </c>
      <c r="C1073" s="7" t="s">
        <v>3163</v>
      </c>
      <c r="D1073" s="7" t="s">
        <v>3164</v>
      </c>
      <c r="E1073" s="7" t="s">
        <v>104</v>
      </c>
      <c r="F1073" s="7" t="s">
        <v>86</v>
      </c>
      <c r="G1073" s="7" t="s">
        <v>105</v>
      </c>
      <c r="H1073" s="7" t="n">
        <v>2</v>
      </c>
      <c r="I1073" s="7" t="n">
        <v>235</v>
      </c>
      <c r="J1073" s="7" t="n">
        <v>0</v>
      </c>
      <c r="K1073" s="7" t="s">
        <v>88</v>
      </c>
      <c r="L1073" s="7" t="s">
        <v>194</v>
      </c>
      <c r="M1073" s="7" t="n">
        <v>42</v>
      </c>
      <c r="N1073" s="7" t="n">
        <v>4</v>
      </c>
      <c r="O1073" s="7" t="str">
        <f aca="false">A1073&amp;"|"&amp;B1073&amp;"|"&amp;C1073&amp;"|"&amp;D1073&amp;"|"&amp;E1073&amp;"|"&amp;F1073&amp;"|"&amp;G1073&amp;"|"&amp;H1073&amp;"|"&amp;I1073&amp;"|"&amp;J1073&amp;"|"&amp;K1073&amp;"|"&amp;L1073&amp;"|"&amp;M1073&amp;"|"&amp;N1073</f>
        <v>ORD11154|2025-05-27|19:28|C1226|Wok &amp; Roll|Bengaluru|Chinese|2|235|0|UPI|Delivered|42|4</v>
      </c>
      <c r="P1073" s="7" t="str">
        <f aca="false">IF(COUNTIF($O$2:O1073,O1073)&gt;1,"DUP","OK")</f>
        <v>OK</v>
      </c>
      <c r="Q1073" s="7" t="n">
        <f aca="false">COUNTBLANK(A1073:N1073)</f>
        <v>0</v>
      </c>
      <c r="R1073" s="7" t="n">
        <f aca="false">IF(A1073="",0,COUNTIFS($A$2:$A$3058,A1073,$P$2:$P$3058,"OK"))</f>
        <v>1</v>
      </c>
      <c r="S1073" s="7" t="str">
        <f aca="false">IF(OR(A1073="",P1073="DUP",R1073&lt;2),"",IF(Q1073=_xlfn.MINIFS($Q$2:$Q$3058,$A$2:$A$3058,A1073,$P$2:$P$3058,"OK"),"KEEP","DROP"))</f>
        <v/>
      </c>
      <c r="T1073" s="9" t="n">
        <f aca="false">IF(A1073="",1,0)</f>
        <v>0</v>
      </c>
      <c r="U1073" s="9" t="n">
        <f aca="false">IF(D1073="",1,0)</f>
        <v>0</v>
      </c>
      <c r="V1073" s="9" t="n">
        <f aca="false">IF(E1073="",1,0)</f>
        <v>0</v>
      </c>
      <c r="W1073" s="9" t="n">
        <f aca="false">IF(OR(H1073&lt;1,H1073&gt;10),1,0)</f>
        <v>0</v>
      </c>
      <c r="X1073" s="9" t="n">
        <f aca="false">IF(OR(I1073&lt;=0,I1073&gt;1500),1,0)</f>
        <v>0</v>
      </c>
      <c r="Y1073" s="9" t="n">
        <f aca="false">IF(J1073&gt;H1073*I1073,1,0)</f>
        <v>0</v>
      </c>
      <c r="Z1073" s="9" t="n">
        <f aca="false">IF(AND(N1073&lt;&gt;"",OR(N1073&lt;1,N1073&gt;5)),1,0)</f>
        <v>0</v>
      </c>
      <c r="AA1073" s="9" t="n">
        <f aca="false">IF(AND(M1073&lt;&gt;"",OR(M1073&lt;5,M1073&gt;180)),1,0)</f>
        <v>0</v>
      </c>
      <c r="AB1073" s="7" t="str">
        <f aca="false">IF(P1073="DUP","Exact duplicate row",IF(T1073=1,"Missing Order ID",IF(S1073="DROP","Duplicate Order ID (less complete row)",IF(U1073=1,"Missing Customer ID",IF(V1073=1,"Missing Restaurant name",IF(W1073=1,"Invalid/outlier quantity",IF(X1073=1,"Invalid/outlier unit price",IF(Y1073=1,"Discount greater than order value",""))))))))</f>
        <v/>
      </c>
      <c r="AC1073" s="7" t="str">
        <f aca="false">IF(AB1073="","KEEP","DROP")</f>
        <v>KEEP</v>
      </c>
      <c r="AD1073" s="7" t="str">
        <f aca="false">IF(TRIM(F1073)="",IFERROR(INDEX(Map_Tables!$I$4:$I$37,MATCH(TRIM(E1073),Map_Tables!$G$4:$G$37,0)),""),IFERROR(INDEX(Map_Tables!$B$4:$B$18,MATCH(TRIM(F1073),Map_Tables!$A$4:$A$18,0)),"CHECK"))</f>
        <v>Bengaluru</v>
      </c>
      <c r="AE1073" s="7" t="str">
        <f aca="false">IF(TRIM(E1073)="","",IFERROR(INDEX(Map_Tables!$H$4:$H$37,MATCH(TRIM(E1073),Map_Tables!$G$4:$G$37,0)),"CHECK"))</f>
        <v>Wok &amp; Roll</v>
      </c>
      <c r="AF1073" s="7" t="str">
        <f aca="false">IF(TRIM(K1073)="","Unknown",IFERROR(INDEX(Map_Tables!$E$4:$E$15,MATCH(TRIM(K1073),Map_Tables!$D$4:$D$15,0)),"CHECK"))</f>
        <v>UPI</v>
      </c>
      <c r="AG1073" s="7" t="str">
        <f aca="false">IF(LEFT(LOWER(TRIM(L1073)),6)="cancel","Cancelled","Delivered")</f>
        <v>Delivered</v>
      </c>
      <c r="AH1073" s="10" t="n">
        <f aca="false">IF(ISNUMBER(SEARCH("/",B1073)),DATE(VALUE(RIGHT(B1073,4)),VALUE(MID(B1073,4,2)),VALUE(LEFT(B1073,2))),IF(MID(B1073,5,1)="-",DATE(VALUE(LEFT(B1073,4)),VALUE(MID(B1073,6,2)),VALUE(RIGHT(B1073,2))),DATE(VALUE(RIGHT(B1073,4)),MATCH(MID(B1073,4,3),{"Jan","Feb","Mar","Apr","May","Jun","Jul","Aug","Sep","Oct","Nov","Dec"},0),VALUE(LEFT(B1073,2)))))</f>
        <v>45804</v>
      </c>
    </row>
    <row r="1074" customFormat="false" ht="15" hidden="false" customHeight="false" outlineLevel="0" collapsed="false">
      <c r="A1074" s="7" t="s">
        <v>3165</v>
      </c>
      <c r="B1074" s="7" t="s">
        <v>892</v>
      </c>
      <c r="C1074" s="7" t="s">
        <v>759</v>
      </c>
      <c r="D1074" s="7" t="s">
        <v>289</v>
      </c>
      <c r="E1074" s="7" t="s">
        <v>158</v>
      </c>
      <c r="F1074" s="7" t="s">
        <v>136</v>
      </c>
      <c r="G1074" s="7" t="s">
        <v>139</v>
      </c>
      <c r="H1074" s="7" t="n">
        <v>2</v>
      </c>
      <c r="I1074" s="7" t="n">
        <v>195</v>
      </c>
      <c r="J1074" s="7" t="n">
        <v>100</v>
      </c>
      <c r="K1074" s="7" t="s">
        <v>421</v>
      </c>
      <c r="L1074" s="7" t="s">
        <v>194</v>
      </c>
      <c r="M1074" s="7" t="n">
        <v>31</v>
      </c>
      <c r="N1074" s="7" t="n">
        <v>4</v>
      </c>
      <c r="O1074" s="7" t="str">
        <f aca="false">A1074&amp;"|"&amp;B1074&amp;"|"&amp;C1074&amp;"|"&amp;D1074&amp;"|"&amp;E1074&amp;"|"&amp;F1074&amp;"|"&amp;G1074&amp;"|"&amp;H1074&amp;"|"&amp;I1074&amp;"|"&amp;J1074&amp;"|"&amp;K1074&amp;"|"&amp;L1074&amp;"|"&amp;M1074&amp;"|"&amp;N1074</f>
        <v>ORD12523|2025-11-12|11:50|C1262|Pune Burger Hub|Pune|Burgers|2|195|100|UPI |Delivered|31|4</v>
      </c>
      <c r="P1074" s="7" t="str">
        <f aca="false">IF(COUNTIF($O$2:O1074,O1074)&gt;1,"DUP","OK")</f>
        <v>OK</v>
      </c>
      <c r="Q1074" s="7" t="n">
        <f aca="false">COUNTBLANK(A1074:N1074)</f>
        <v>0</v>
      </c>
      <c r="R1074" s="7" t="n">
        <f aca="false">IF(A1074="",0,COUNTIFS($A$2:$A$3058,A1074,$P$2:$P$3058,"OK"))</f>
        <v>1</v>
      </c>
      <c r="S1074" s="7" t="str">
        <f aca="false">IF(OR(A1074="",P1074="DUP",R1074&lt;2),"",IF(Q1074=_xlfn.MINIFS($Q$2:$Q$3058,$A$2:$A$3058,A1074,$P$2:$P$3058,"OK"),"KEEP","DROP"))</f>
        <v/>
      </c>
      <c r="T1074" s="9" t="n">
        <f aca="false">IF(A1074="",1,0)</f>
        <v>0</v>
      </c>
      <c r="U1074" s="9" t="n">
        <f aca="false">IF(D1074="",1,0)</f>
        <v>0</v>
      </c>
      <c r="V1074" s="9" t="n">
        <f aca="false">IF(E1074="",1,0)</f>
        <v>0</v>
      </c>
      <c r="W1074" s="9" t="n">
        <f aca="false">IF(OR(H1074&lt;1,H1074&gt;10),1,0)</f>
        <v>0</v>
      </c>
      <c r="X1074" s="9" t="n">
        <f aca="false">IF(OR(I1074&lt;=0,I1074&gt;1500),1,0)</f>
        <v>0</v>
      </c>
      <c r="Y1074" s="9" t="n">
        <f aca="false">IF(J1074&gt;H1074*I1074,1,0)</f>
        <v>0</v>
      </c>
      <c r="Z1074" s="9" t="n">
        <f aca="false">IF(AND(N1074&lt;&gt;"",OR(N1074&lt;1,N1074&gt;5)),1,0)</f>
        <v>0</v>
      </c>
      <c r="AA1074" s="9" t="n">
        <f aca="false">IF(AND(M1074&lt;&gt;"",OR(M1074&lt;5,M1074&gt;180)),1,0)</f>
        <v>0</v>
      </c>
      <c r="AB1074" s="7" t="str">
        <f aca="false">IF(P1074="DUP","Exact duplicate row",IF(T1074=1,"Missing Order ID",IF(S1074="DROP","Duplicate Order ID (less complete row)",IF(U1074=1,"Missing Customer ID",IF(V1074=1,"Missing Restaurant name",IF(W1074=1,"Invalid/outlier quantity",IF(X1074=1,"Invalid/outlier unit price",IF(Y1074=1,"Discount greater than order value",""))))))))</f>
        <v/>
      </c>
      <c r="AC1074" s="7" t="str">
        <f aca="false">IF(AB1074="","KEEP","DROP")</f>
        <v>KEEP</v>
      </c>
      <c r="AD1074" s="7" t="str">
        <f aca="false">IF(TRIM(F1074)="",IFERROR(INDEX(Map_Tables!$I$4:$I$37,MATCH(TRIM(E1074),Map_Tables!$G$4:$G$37,0)),""),IFERROR(INDEX(Map_Tables!$B$4:$B$18,MATCH(TRIM(F1074),Map_Tables!$A$4:$A$18,0)),"CHECK"))</f>
        <v>Pune</v>
      </c>
      <c r="AE1074" s="7" t="str">
        <f aca="false">IF(TRIM(E1074)="","",IFERROR(INDEX(Map_Tables!$H$4:$H$37,MATCH(TRIM(E1074),Map_Tables!$G$4:$G$37,0)),"CHECK"))</f>
        <v>Pune Burger Hub</v>
      </c>
      <c r="AF1074" s="7" t="str">
        <f aca="false">IF(TRIM(K1074)="","Unknown",IFERROR(INDEX(Map_Tables!$E$4:$E$15,MATCH(TRIM(K1074),Map_Tables!$D$4:$D$15,0)),"CHECK"))</f>
        <v>UPI</v>
      </c>
      <c r="AG1074" s="7" t="str">
        <f aca="false">IF(LEFT(LOWER(TRIM(L1074)),6)="cancel","Cancelled","Delivered")</f>
        <v>Delivered</v>
      </c>
      <c r="AH1074" s="10" t="n">
        <f aca="false">IF(ISNUMBER(SEARCH("/",B1074)),DATE(VALUE(RIGHT(B1074,4)),VALUE(MID(B1074,4,2)),VALUE(LEFT(B1074,2))),IF(MID(B1074,5,1)="-",DATE(VALUE(LEFT(B1074,4)),VALUE(MID(B1074,6,2)),VALUE(RIGHT(B1074,2))),DATE(VALUE(RIGHT(B1074,4)),MATCH(MID(B1074,4,3),{"Jan","Feb","Mar","Apr","May","Jun","Jul","Aug","Sep","Oct","Nov","Dec"},0),VALUE(LEFT(B1074,2)))))</f>
        <v>45973</v>
      </c>
    </row>
    <row r="1075" customFormat="false" ht="15" hidden="false" customHeight="false" outlineLevel="0" collapsed="false">
      <c r="A1075" s="7" t="s">
        <v>3166</v>
      </c>
      <c r="B1075" s="7" t="s">
        <v>2685</v>
      </c>
      <c r="C1075" s="7" t="s">
        <v>3167</v>
      </c>
      <c r="D1075" s="7" t="s">
        <v>884</v>
      </c>
      <c r="E1075" s="7" t="s">
        <v>160</v>
      </c>
      <c r="F1075" s="7" t="s">
        <v>136</v>
      </c>
      <c r="G1075" s="7" t="s">
        <v>150</v>
      </c>
      <c r="H1075" s="7" t="n">
        <v>3</v>
      </c>
      <c r="I1075" s="7" t="n">
        <v>180</v>
      </c>
      <c r="J1075" s="7" t="n">
        <v>30</v>
      </c>
      <c r="K1075" s="7" t="s">
        <v>298</v>
      </c>
      <c r="L1075" s="7" t="s">
        <v>194</v>
      </c>
      <c r="M1075" s="7" t="n">
        <v>33</v>
      </c>
      <c r="N1075" s="7" t="n">
        <v>3</v>
      </c>
      <c r="O1075" s="7" t="str">
        <f aca="false">A1075&amp;"|"&amp;B1075&amp;"|"&amp;C1075&amp;"|"&amp;D1075&amp;"|"&amp;E1075&amp;"|"&amp;F1075&amp;"|"&amp;G1075&amp;"|"&amp;H1075&amp;"|"&amp;I1075&amp;"|"&amp;J1075&amp;"|"&amp;K1075&amp;"|"&amp;L1075&amp;"|"&amp;M1075&amp;"|"&amp;N1075</f>
        <v>ORD10780|2025-04-09|13:43|C0114|Cake Walk|Pune|Desserts|3|180|30|Cash On Delivery|Delivered|33|3</v>
      </c>
      <c r="P1075" s="7" t="str">
        <f aca="false">IF(COUNTIF($O$2:O1075,O1075)&gt;1,"DUP","OK")</f>
        <v>OK</v>
      </c>
      <c r="Q1075" s="7" t="n">
        <f aca="false">COUNTBLANK(A1075:N1075)</f>
        <v>0</v>
      </c>
      <c r="R1075" s="7" t="n">
        <f aca="false">IF(A1075="",0,COUNTIFS($A$2:$A$3058,A1075,$P$2:$P$3058,"OK"))</f>
        <v>1</v>
      </c>
      <c r="S1075" s="7" t="str">
        <f aca="false">IF(OR(A1075="",P1075="DUP",R1075&lt;2),"",IF(Q1075=_xlfn.MINIFS($Q$2:$Q$3058,$A$2:$A$3058,A1075,$P$2:$P$3058,"OK"),"KEEP","DROP"))</f>
        <v/>
      </c>
      <c r="T1075" s="9" t="n">
        <f aca="false">IF(A1075="",1,0)</f>
        <v>0</v>
      </c>
      <c r="U1075" s="9" t="n">
        <f aca="false">IF(D1075="",1,0)</f>
        <v>0</v>
      </c>
      <c r="V1075" s="9" t="n">
        <f aca="false">IF(E1075="",1,0)</f>
        <v>0</v>
      </c>
      <c r="W1075" s="9" t="n">
        <f aca="false">IF(OR(H1075&lt;1,H1075&gt;10),1,0)</f>
        <v>0</v>
      </c>
      <c r="X1075" s="9" t="n">
        <f aca="false">IF(OR(I1075&lt;=0,I1075&gt;1500),1,0)</f>
        <v>0</v>
      </c>
      <c r="Y1075" s="9" t="n">
        <f aca="false">IF(J1075&gt;H1075*I1075,1,0)</f>
        <v>0</v>
      </c>
      <c r="Z1075" s="9" t="n">
        <f aca="false">IF(AND(N1075&lt;&gt;"",OR(N1075&lt;1,N1075&gt;5)),1,0)</f>
        <v>0</v>
      </c>
      <c r="AA1075" s="9" t="n">
        <f aca="false">IF(AND(M1075&lt;&gt;"",OR(M1075&lt;5,M1075&gt;180)),1,0)</f>
        <v>0</v>
      </c>
      <c r="AB1075" s="7" t="str">
        <f aca="false">IF(P1075="DUP","Exact duplicate row",IF(T1075=1,"Missing Order ID",IF(S1075="DROP","Duplicate Order ID (less complete row)",IF(U1075=1,"Missing Customer ID",IF(V1075=1,"Missing Restaurant name",IF(W1075=1,"Invalid/outlier quantity",IF(X1075=1,"Invalid/outlier unit price",IF(Y1075=1,"Discount greater than order value",""))))))))</f>
        <v/>
      </c>
      <c r="AC1075" s="7" t="str">
        <f aca="false">IF(AB1075="","KEEP","DROP")</f>
        <v>KEEP</v>
      </c>
      <c r="AD1075" s="7" t="str">
        <f aca="false">IF(TRIM(F1075)="",IFERROR(INDEX(Map_Tables!$I$4:$I$37,MATCH(TRIM(E1075),Map_Tables!$G$4:$G$37,0)),""),IFERROR(INDEX(Map_Tables!$B$4:$B$18,MATCH(TRIM(F1075),Map_Tables!$A$4:$A$18,0)),"CHECK"))</f>
        <v>Pune</v>
      </c>
      <c r="AE1075" s="7" t="str">
        <f aca="false">IF(TRIM(E1075)="","",IFERROR(INDEX(Map_Tables!$H$4:$H$37,MATCH(TRIM(E1075),Map_Tables!$G$4:$G$37,0)),"CHECK"))</f>
        <v>Cake Walk</v>
      </c>
      <c r="AF1075" s="7" t="str">
        <f aca="false">IF(TRIM(K1075)="","Unknown",IFERROR(INDEX(Map_Tables!$E$4:$E$15,MATCH(TRIM(K1075),Map_Tables!$D$4:$D$15,0)),"CHECK"))</f>
        <v>Cash on Delivery</v>
      </c>
      <c r="AG1075" s="7" t="str">
        <f aca="false">IF(LEFT(LOWER(TRIM(L1075)),6)="cancel","Cancelled","Delivered")</f>
        <v>Delivered</v>
      </c>
      <c r="AH1075" s="10" t="n">
        <f aca="false">IF(ISNUMBER(SEARCH("/",B1075)),DATE(VALUE(RIGHT(B1075,4)),VALUE(MID(B1075,4,2)),VALUE(LEFT(B1075,2))),IF(MID(B1075,5,1)="-",DATE(VALUE(LEFT(B1075,4)),VALUE(MID(B1075,6,2)),VALUE(RIGHT(B1075,2))),DATE(VALUE(RIGHT(B1075,4)),MATCH(MID(B1075,4,3),{"Jan","Feb","Mar","Apr","May","Jun","Jul","Aug","Sep","Oct","Nov","Dec"},0),VALUE(LEFT(B1075,2)))))</f>
        <v>45756</v>
      </c>
    </row>
    <row r="1076" customFormat="false" ht="15" hidden="false" customHeight="false" outlineLevel="0" collapsed="false">
      <c r="A1076" s="7" t="s">
        <v>3168</v>
      </c>
      <c r="B1076" s="7" t="s">
        <v>3169</v>
      </c>
      <c r="C1076" s="7" t="s">
        <v>846</v>
      </c>
      <c r="D1076" s="7" t="s">
        <v>1366</v>
      </c>
      <c r="E1076" s="7" t="s">
        <v>113</v>
      </c>
      <c r="F1076" s="7" t="s">
        <v>101</v>
      </c>
      <c r="G1076" s="7" t="s">
        <v>90</v>
      </c>
      <c r="H1076" s="7" t="n">
        <v>1</v>
      </c>
      <c r="I1076" s="7" t="n">
        <v>260</v>
      </c>
      <c r="J1076" s="7" t="n">
        <v>0</v>
      </c>
      <c r="K1076" s="7" t="s">
        <v>121</v>
      </c>
      <c r="L1076" s="7" t="s">
        <v>194</v>
      </c>
      <c r="M1076" s="7" t="n">
        <v>42</v>
      </c>
      <c r="N1076" s="7" t="n">
        <v>4</v>
      </c>
      <c r="O1076" s="7" t="str">
        <f aca="false">A1076&amp;"|"&amp;B1076&amp;"|"&amp;C1076&amp;"|"&amp;D1076&amp;"|"&amp;E1076&amp;"|"&amp;F1076&amp;"|"&amp;G1076&amp;"|"&amp;H1076&amp;"|"&amp;I1076&amp;"|"&amp;J1076&amp;"|"&amp;K1076&amp;"|"&amp;L1076&amp;"|"&amp;M1076&amp;"|"&amp;N1076</f>
        <v>ORD11024|10/05/2025|11:27|C1112|Curry Leaf Kitchen|Mumbai|North Indian|1|260|0|Wallet|Delivered|42|4</v>
      </c>
      <c r="P1076" s="7" t="str">
        <f aca="false">IF(COUNTIF($O$2:O1076,O1076)&gt;1,"DUP","OK")</f>
        <v>OK</v>
      </c>
      <c r="Q1076" s="7" t="n">
        <f aca="false">COUNTBLANK(A1076:N1076)</f>
        <v>0</v>
      </c>
      <c r="R1076" s="7" t="n">
        <f aca="false">IF(A1076="",0,COUNTIFS($A$2:$A$3058,A1076,$P$2:$P$3058,"OK"))</f>
        <v>1</v>
      </c>
      <c r="S1076" s="7" t="str">
        <f aca="false">IF(OR(A1076="",P1076="DUP",R1076&lt;2),"",IF(Q1076=_xlfn.MINIFS($Q$2:$Q$3058,$A$2:$A$3058,A1076,$P$2:$P$3058,"OK"),"KEEP","DROP"))</f>
        <v/>
      </c>
      <c r="T1076" s="9" t="n">
        <f aca="false">IF(A1076="",1,0)</f>
        <v>0</v>
      </c>
      <c r="U1076" s="9" t="n">
        <f aca="false">IF(D1076="",1,0)</f>
        <v>0</v>
      </c>
      <c r="V1076" s="9" t="n">
        <f aca="false">IF(E1076="",1,0)</f>
        <v>0</v>
      </c>
      <c r="W1076" s="9" t="n">
        <f aca="false">IF(OR(H1076&lt;1,H1076&gt;10),1,0)</f>
        <v>0</v>
      </c>
      <c r="X1076" s="9" t="n">
        <f aca="false">IF(OR(I1076&lt;=0,I1076&gt;1500),1,0)</f>
        <v>0</v>
      </c>
      <c r="Y1076" s="9" t="n">
        <f aca="false">IF(J1076&gt;H1076*I1076,1,0)</f>
        <v>0</v>
      </c>
      <c r="Z1076" s="9" t="n">
        <f aca="false">IF(AND(N1076&lt;&gt;"",OR(N1076&lt;1,N1076&gt;5)),1,0)</f>
        <v>0</v>
      </c>
      <c r="AA1076" s="9" t="n">
        <f aca="false">IF(AND(M1076&lt;&gt;"",OR(M1076&lt;5,M1076&gt;180)),1,0)</f>
        <v>0</v>
      </c>
      <c r="AB1076" s="7" t="str">
        <f aca="false">IF(P1076="DUP","Exact duplicate row",IF(T1076=1,"Missing Order ID",IF(S1076="DROP","Duplicate Order ID (less complete row)",IF(U1076=1,"Missing Customer ID",IF(V1076=1,"Missing Restaurant name",IF(W1076=1,"Invalid/outlier quantity",IF(X1076=1,"Invalid/outlier unit price",IF(Y1076=1,"Discount greater than order value",""))))))))</f>
        <v/>
      </c>
      <c r="AC1076" s="7" t="str">
        <f aca="false">IF(AB1076="","KEEP","DROP")</f>
        <v>KEEP</v>
      </c>
      <c r="AD1076" s="7" t="str">
        <f aca="false">IF(TRIM(F1076)="",IFERROR(INDEX(Map_Tables!$I$4:$I$37,MATCH(TRIM(E1076),Map_Tables!$G$4:$G$37,0)),""),IFERROR(INDEX(Map_Tables!$B$4:$B$18,MATCH(TRIM(F1076),Map_Tables!$A$4:$A$18,0)),"CHECK"))</f>
        <v>Mumbai</v>
      </c>
      <c r="AE1076" s="7" t="str">
        <f aca="false">IF(TRIM(E1076)="","",IFERROR(INDEX(Map_Tables!$H$4:$H$37,MATCH(TRIM(E1076),Map_Tables!$G$4:$G$37,0)),"CHECK"))</f>
        <v>Curry Leaf Kitchen</v>
      </c>
      <c r="AF1076" s="7" t="str">
        <f aca="false">IF(TRIM(K1076)="","Unknown",IFERROR(INDEX(Map_Tables!$E$4:$E$15,MATCH(TRIM(K1076),Map_Tables!$D$4:$D$15,0)),"CHECK"))</f>
        <v>Wallet</v>
      </c>
      <c r="AG1076" s="7" t="str">
        <f aca="false">IF(LEFT(LOWER(TRIM(L1076)),6)="cancel","Cancelled","Delivered")</f>
        <v>Delivered</v>
      </c>
      <c r="AH1076" s="10" t="n">
        <f aca="false">IF(ISNUMBER(SEARCH("/",B1076)),DATE(VALUE(RIGHT(B1076,4)),VALUE(MID(B1076,4,2)),VALUE(LEFT(B1076,2))),IF(MID(B1076,5,1)="-",DATE(VALUE(LEFT(B1076,4)),VALUE(MID(B1076,6,2)),VALUE(RIGHT(B1076,2))),DATE(VALUE(RIGHT(B1076,4)),MATCH(MID(B1076,4,3),{"Jan","Feb","Mar","Apr","May","Jun","Jul","Aug","Sep","Oct","Nov","Dec"},0),VALUE(LEFT(B1076,2)))))</f>
        <v>45787</v>
      </c>
    </row>
    <row r="1077" customFormat="false" ht="15" hidden="false" customHeight="false" outlineLevel="0" collapsed="false">
      <c r="A1077" s="7" t="s">
        <v>3170</v>
      </c>
      <c r="B1077" s="7" t="s">
        <v>1218</v>
      </c>
      <c r="C1077" s="7" t="s">
        <v>2508</v>
      </c>
      <c r="D1077" s="7" t="s">
        <v>1172</v>
      </c>
      <c r="E1077" s="7" t="s">
        <v>126</v>
      </c>
      <c r="F1077" s="7" t="s">
        <v>101</v>
      </c>
      <c r="G1077" s="7" t="s">
        <v>105</v>
      </c>
      <c r="H1077" s="7" t="n">
        <v>3</v>
      </c>
      <c r="I1077" s="7" t="n">
        <v>220</v>
      </c>
      <c r="J1077" s="7" t="n">
        <v>150</v>
      </c>
      <c r="K1077" s="7" t="s">
        <v>93</v>
      </c>
      <c r="L1077" s="7" t="s">
        <v>194</v>
      </c>
      <c r="M1077" s="7" t="n">
        <v>57</v>
      </c>
      <c r="N1077" s="7" t="n">
        <v>4</v>
      </c>
      <c r="O1077" s="7" t="str">
        <f aca="false">A1077&amp;"|"&amp;B1077&amp;"|"&amp;C1077&amp;"|"&amp;D1077&amp;"|"&amp;E1077&amp;"|"&amp;F1077&amp;"|"&amp;G1077&amp;"|"&amp;H1077&amp;"|"&amp;I1077&amp;"|"&amp;J1077&amp;"|"&amp;K1077&amp;"|"&amp;L1077&amp;"|"&amp;M1077&amp;"|"&amp;N1077</f>
        <v>ORD10005|2025-01-01|20:22|C0443|Dragon Express|Mumbai|Chinese|3|220|150|Credit Card|Delivered|57|4</v>
      </c>
      <c r="P1077" s="7" t="str">
        <f aca="false">IF(COUNTIF($O$2:O1077,O1077)&gt;1,"DUP","OK")</f>
        <v>OK</v>
      </c>
      <c r="Q1077" s="7" t="n">
        <f aca="false">COUNTBLANK(A1077:N1077)</f>
        <v>0</v>
      </c>
      <c r="R1077" s="7" t="n">
        <f aca="false">IF(A1077="",0,COUNTIFS($A$2:$A$3058,A1077,$P$2:$P$3058,"OK"))</f>
        <v>1</v>
      </c>
      <c r="S1077" s="7" t="str">
        <f aca="false">IF(OR(A1077="",P1077="DUP",R1077&lt;2),"",IF(Q1077=_xlfn.MINIFS($Q$2:$Q$3058,$A$2:$A$3058,A1077,$P$2:$P$3058,"OK"),"KEEP","DROP"))</f>
        <v/>
      </c>
      <c r="T1077" s="9" t="n">
        <f aca="false">IF(A1077="",1,0)</f>
        <v>0</v>
      </c>
      <c r="U1077" s="9" t="n">
        <f aca="false">IF(D1077="",1,0)</f>
        <v>0</v>
      </c>
      <c r="V1077" s="9" t="n">
        <f aca="false">IF(E1077="",1,0)</f>
        <v>0</v>
      </c>
      <c r="W1077" s="9" t="n">
        <f aca="false">IF(OR(H1077&lt;1,H1077&gt;10),1,0)</f>
        <v>0</v>
      </c>
      <c r="X1077" s="9" t="n">
        <f aca="false">IF(OR(I1077&lt;=0,I1077&gt;1500),1,0)</f>
        <v>0</v>
      </c>
      <c r="Y1077" s="9" t="n">
        <f aca="false">IF(J1077&gt;H1077*I1077,1,0)</f>
        <v>0</v>
      </c>
      <c r="Z1077" s="9" t="n">
        <f aca="false">IF(AND(N1077&lt;&gt;"",OR(N1077&lt;1,N1077&gt;5)),1,0)</f>
        <v>0</v>
      </c>
      <c r="AA1077" s="9" t="n">
        <f aca="false">IF(AND(M1077&lt;&gt;"",OR(M1077&lt;5,M1077&gt;180)),1,0)</f>
        <v>0</v>
      </c>
      <c r="AB1077" s="7" t="str">
        <f aca="false">IF(P1077="DUP","Exact duplicate row",IF(T1077=1,"Missing Order ID",IF(S1077="DROP","Duplicate Order ID (less complete row)",IF(U1077=1,"Missing Customer ID",IF(V1077=1,"Missing Restaurant name",IF(W1077=1,"Invalid/outlier quantity",IF(X1077=1,"Invalid/outlier unit price",IF(Y1077=1,"Discount greater than order value",""))))))))</f>
        <v/>
      </c>
      <c r="AC1077" s="7" t="str">
        <f aca="false">IF(AB1077="","KEEP","DROP")</f>
        <v>KEEP</v>
      </c>
      <c r="AD1077" s="7" t="str">
        <f aca="false">IF(TRIM(F1077)="",IFERROR(INDEX(Map_Tables!$I$4:$I$37,MATCH(TRIM(E1077),Map_Tables!$G$4:$G$37,0)),""),IFERROR(INDEX(Map_Tables!$B$4:$B$18,MATCH(TRIM(F1077),Map_Tables!$A$4:$A$18,0)),"CHECK"))</f>
        <v>Mumbai</v>
      </c>
      <c r="AE1077" s="7" t="str">
        <f aca="false">IF(TRIM(E1077)="","",IFERROR(INDEX(Map_Tables!$H$4:$H$37,MATCH(TRIM(E1077),Map_Tables!$G$4:$G$37,0)),"CHECK"))</f>
        <v>Dragon Express</v>
      </c>
      <c r="AF1077" s="7" t="str">
        <f aca="false">IF(TRIM(K1077)="","Unknown",IFERROR(INDEX(Map_Tables!$E$4:$E$15,MATCH(TRIM(K1077),Map_Tables!$D$4:$D$15,0)),"CHECK"))</f>
        <v>Credit Card</v>
      </c>
      <c r="AG1077" s="7" t="str">
        <f aca="false">IF(LEFT(LOWER(TRIM(L1077)),6)="cancel","Cancelled","Delivered")</f>
        <v>Delivered</v>
      </c>
      <c r="AH1077" s="10" t="n">
        <f aca="false">IF(ISNUMBER(SEARCH("/",B1077)),DATE(VALUE(RIGHT(B1077,4)),VALUE(MID(B1077,4,2)),VALUE(LEFT(B1077,2))),IF(MID(B1077,5,1)="-",DATE(VALUE(LEFT(B1077,4)),VALUE(MID(B1077,6,2)),VALUE(RIGHT(B1077,2))),DATE(VALUE(RIGHT(B1077,4)),MATCH(MID(B1077,4,3),{"Jan","Feb","Mar","Apr","May","Jun","Jul","Aug","Sep","Oct","Nov","Dec"},0),VALUE(LEFT(B1077,2)))))</f>
        <v>45658</v>
      </c>
    </row>
    <row r="1078" customFormat="false" ht="15" hidden="false" customHeight="false" outlineLevel="0" collapsed="false">
      <c r="A1078" s="7" t="s">
        <v>3171</v>
      </c>
      <c r="B1078" s="7" t="s">
        <v>1535</v>
      </c>
      <c r="C1078" s="7" t="s">
        <v>709</v>
      </c>
      <c r="D1078" s="7" t="s">
        <v>357</v>
      </c>
      <c r="E1078" s="7" t="s">
        <v>116</v>
      </c>
      <c r="F1078" s="7" t="s">
        <v>101</v>
      </c>
      <c r="G1078" s="7" t="s">
        <v>117</v>
      </c>
      <c r="H1078" s="7" t="n">
        <v>1</v>
      </c>
      <c r="I1078" s="7" t="n">
        <v>140</v>
      </c>
      <c r="J1078" s="7" t="n">
        <v>56</v>
      </c>
      <c r="K1078" s="7" t="s">
        <v>88</v>
      </c>
      <c r="L1078" s="7" t="s">
        <v>194</v>
      </c>
      <c r="M1078" s="7" t="n">
        <v>35</v>
      </c>
      <c r="N1078" s="7" t="n">
        <v>3</v>
      </c>
      <c r="O1078" s="7" t="str">
        <f aca="false">A1078&amp;"|"&amp;B1078&amp;"|"&amp;C1078&amp;"|"&amp;D1078&amp;"|"&amp;E1078&amp;"|"&amp;F1078&amp;"|"&amp;G1078&amp;"|"&amp;H1078&amp;"|"&amp;I1078&amp;"|"&amp;J1078&amp;"|"&amp;K1078&amp;"|"&amp;L1078&amp;"|"&amp;M1078&amp;"|"&amp;N1078</f>
        <v>ORD12018|2025-09-18|18:48|C0088|Pav Bhaji Point|Mumbai|Street Food|1|140|56|UPI|Delivered|35|3</v>
      </c>
      <c r="P1078" s="7" t="str">
        <f aca="false">IF(COUNTIF($O$2:O1078,O1078)&gt;1,"DUP","OK")</f>
        <v>OK</v>
      </c>
      <c r="Q1078" s="7" t="n">
        <f aca="false">COUNTBLANK(A1078:N1078)</f>
        <v>0</v>
      </c>
      <c r="R1078" s="7" t="n">
        <f aca="false">IF(A1078="",0,COUNTIFS($A$2:$A$3058,A1078,$P$2:$P$3058,"OK"))</f>
        <v>1</v>
      </c>
      <c r="S1078" s="7" t="str">
        <f aca="false">IF(OR(A1078="",P1078="DUP",R1078&lt;2),"",IF(Q1078=_xlfn.MINIFS($Q$2:$Q$3058,$A$2:$A$3058,A1078,$P$2:$P$3058,"OK"),"KEEP","DROP"))</f>
        <v/>
      </c>
      <c r="T1078" s="9" t="n">
        <f aca="false">IF(A1078="",1,0)</f>
        <v>0</v>
      </c>
      <c r="U1078" s="9" t="n">
        <f aca="false">IF(D1078="",1,0)</f>
        <v>0</v>
      </c>
      <c r="V1078" s="9" t="n">
        <f aca="false">IF(E1078="",1,0)</f>
        <v>0</v>
      </c>
      <c r="W1078" s="9" t="n">
        <f aca="false">IF(OR(H1078&lt;1,H1078&gt;10),1,0)</f>
        <v>0</v>
      </c>
      <c r="X1078" s="9" t="n">
        <f aca="false">IF(OR(I1078&lt;=0,I1078&gt;1500),1,0)</f>
        <v>0</v>
      </c>
      <c r="Y1078" s="9" t="n">
        <f aca="false">IF(J1078&gt;H1078*I1078,1,0)</f>
        <v>0</v>
      </c>
      <c r="Z1078" s="9" t="n">
        <f aca="false">IF(AND(N1078&lt;&gt;"",OR(N1078&lt;1,N1078&gt;5)),1,0)</f>
        <v>0</v>
      </c>
      <c r="AA1078" s="9" t="n">
        <f aca="false">IF(AND(M1078&lt;&gt;"",OR(M1078&lt;5,M1078&gt;180)),1,0)</f>
        <v>0</v>
      </c>
      <c r="AB1078" s="7" t="str">
        <f aca="false">IF(P1078="DUP","Exact duplicate row",IF(T1078=1,"Missing Order ID",IF(S1078="DROP","Duplicate Order ID (less complete row)",IF(U1078=1,"Missing Customer ID",IF(V1078=1,"Missing Restaurant name",IF(W1078=1,"Invalid/outlier quantity",IF(X1078=1,"Invalid/outlier unit price",IF(Y1078=1,"Discount greater than order value",""))))))))</f>
        <v/>
      </c>
      <c r="AC1078" s="7" t="str">
        <f aca="false">IF(AB1078="","KEEP","DROP")</f>
        <v>KEEP</v>
      </c>
      <c r="AD1078" s="7" t="str">
        <f aca="false">IF(TRIM(F1078)="",IFERROR(INDEX(Map_Tables!$I$4:$I$37,MATCH(TRIM(E1078),Map_Tables!$G$4:$G$37,0)),""),IFERROR(INDEX(Map_Tables!$B$4:$B$18,MATCH(TRIM(F1078),Map_Tables!$A$4:$A$18,0)),"CHECK"))</f>
        <v>Mumbai</v>
      </c>
      <c r="AE1078" s="7" t="str">
        <f aca="false">IF(TRIM(E1078)="","",IFERROR(INDEX(Map_Tables!$H$4:$H$37,MATCH(TRIM(E1078),Map_Tables!$G$4:$G$37,0)),"CHECK"))</f>
        <v>Pav Bhaji Point</v>
      </c>
      <c r="AF1078" s="7" t="str">
        <f aca="false">IF(TRIM(K1078)="","Unknown",IFERROR(INDEX(Map_Tables!$E$4:$E$15,MATCH(TRIM(K1078),Map_Tables!$D$4:$D$15,0)),"CHECK"))</f>
        <v>UPI</v>
      </c>
      <c r="AG1078" s="7" t="str">
        <f aca="false">IF(LEFT(LOWER(TRIM(L1078)),6)="cancel","Cancelled","Delivered")</f>
        <v>Delivered</v>
      </c>
      <c r="AH1078" s="10" t="n">
        <f aca="false">IF(ISNUMBER(SEARCH("/",B1078)),DATE(VALUE(RIGHT(B1078,4)),VALUE(MID(B1078,4,2)),VALUE(LEFT(B1078,2))),IF(MID(B1078,5,1)="-",DATE(VALUE(LEFT(B1078,4)),VALUE(MID(B1078,6,2)),VALUE(RIGHT(B1078,2))),DATE(VALUE(RIGHT(B1078,4)),MATCH(MID(B1078,4,3),{"Jan","Feb","Mar","Apr","May","Jun","Jul","Aug","Sep","Oct","Nov","Dec"},0),VALUE(LEFT(B1078,2)))))</f>
        <v>45918</v>
      </c>
    </row>
    <row r="1079" customFormat="false" ht="15" hidden="false" customHeight="false" outlineLevel="0" collapsed="false">
      <c r="A1079" s="7" t="s">
        <v>3172</v>
      </c>
      <c r="B1079" s="7" t="s">
        <v>1022</v>
      </c>
      <c r="C1079" s="7" t="s">
        <v>2033</v>
      </c>
      <c r="D1079" s="7" t="s">
        <v>2624</v>
      </c>
      <c r="E1079" s="7" t="s">
        <v>89</v>
      </c>
      <c r="F1079" s="7" t="s">
        <v>86</v>
      </c>
      <c r="G1079" s="7" t="s">
        <v>90</v>
      </c>
      <c r="H1079" s="7" t="n">
        <v>2</v>
      </c>
      <c r="I1079" s="7" t="n">
        <v>220</v>
      </c>
      <c r="J1079" s="7" t="n">
        <v>0</v>
      </c>
      <c r="K1079" s="7" t="s">
        <v>88</v>
      </c>
      <c r="L1079" s="7" t="s">
        <v>194</v>
      </c>
      <c r="M1079" s="7" t="n">
        <v>34</v>
      </c>
      <c r="N1079" s="7"/>
      <c r="O1079" s="7" t="str">
        <f aca="false">A1079&amp;"|"&amp;B1079&amp;"|"&amp;C1079&amp;"|"&amp;D1079&amp;"|"&amp;E1079&amp;"|"&amp;F1079&amp;"|"&amp;G1079&amp;"|"&amp;H1079&amp;"|"&amp;I1079&amp;"|"&amp;J1079&amp;"|"&amp;K1079&amp;"|"&amp;L1079&amp;"|"&amp;M1079&amp;"|"&amp;N1079</f>
        <v>ORD12387|28-Oct-2025|19:02|C0496|Spice Junction|Bengaluru|North Indian|2|220|0|UPI|Delivered|34|</v>
      </c>
      <c r="P1079" s="7" t="str">
        <f aca="false">IF(COUNTIF($O$2:O1079,O1079)&gt;1,"DUP","OK")</f>
        <v>OK</v>
      </c>
      <c r="Q1079" s="7" t="n">
        <f aca="false">COUNTBLANK(A1079:N1079)</f>
        <v>1</v>
      </c>
      <c r="R1079" s="7" t="n">
        <f aca="false">IF(A1079="",0,COUNTIFS($A$2:$A$3058,A1079,$P$2:$P$3058,"OK"))</f>
        <v>1</v>
      </c>
      <c r="S1079" s="7" t="str">
        <f aca="false">IF(OR(A1079="",P1079="DUP",R1079&lt;2),"",IF(Q1079=_xlfn.MINIFS($Q$2:$Q$3058,$A$2:$A$3058,A1079,$P$2:$P$3058,"OK"),"KEEP","DROP"))</f>
        <v/>
      </c>
      <c r="T1079" s="9" t="n">
        <f aca="false">IF(A1079="",1,0)</f>
        <v>0</v>
      </c>
      <c r="U1079" s="9" t="n">
        <f aca="false">IF(D1079="",1,0)</f>
        <v>0</v>
      </c>
      <c r="V1079" s="9" t="n">
        <f aca="false">IF(E1079="",1,0)</f>
        <v>0</v>
      </c>
      <c r="W1079" s="9" t="n">
        <f aca="false">IF(OR(H1079&lt;1,H1079&gt;10),1,0)</f>
        <v>0</v>
      </c>
      <c r="X1079" s="9" t="n">
        <f aca="false">IF(OR(I1079&lt;=0,I1079&gt;1500),1,0)</f>
        <v>0</v>
      </c>
      <c r="Y1079" s="9" t="n">
        <f aca="false">IF(J1079&gt;H1079*I1079,1,0)</f>
        <v>0</v>
      </c>
      <c r="Z1079" s="9" t="n">
        <f aca="false">IF(AND(N1079&lt;&gt;"",OR(N1079&lt;1,N1079&gt;5)),1,0)</f>
        <v>0</v>
      </c>
      <c r="AA1079" s="9" t="n">
        <f aca="false">IF(AND(M1079&lt;&gt;"",OR(M1079&lt;5,M1079&gt;180)),1,0)</f>
        <v>0</v>
      </c>
      <c r="AB1079" s="7" t="str">
        <f aca="false">IF(P1079="DUP","Exact duplicate row",IF(T1079=1,"Missing Order ID",IF(S1079="DROP","Duplicate Order ID (less complete row)",IF(U1079=1,"Missing Customer ID",IF(V1079=1,"Missing Restaurant name",IF(W1079=1,"Invalid/outlier quantity",IF(X1079=1,"Invalid/outlier unit price",IF(Y1079=1,"Discount greater than order value",""))))))))</f>
        <v/>
      </c>
      <c r="AC1079" s="7" t="str">
        <f aca="false">IF(AB1079="","KEEP","DROP")</f>
        <v>KEEP</v>
      </c>
      <c r="AD1079" s="7" t="str">
        <f aca="false">IF(TRIM(F1079)="",IFERROR(INDEX(Map_Tables!$I$4:$I$37,MATCH(TRIM(E1079),Map_Tables!$G$4:$G$37,0)),""),IFERROR(INDEX(Map_Tables!$B$4:$B$18,MATCH(TRIM(F1079),Map_Tables!$A$4:$A$18,0)),"CHECK"))</f>
        <v>Bengaluru</v>
      </c>
      <c r="AE1079" s="7" t="str">
        <f aca="false">IF(TRIM(E1079)="","",IFERROR(INDEX(Map_Tables!$H$4:$H$37,MATCH(TRIM(E1079),Map_Tables!$G$4:$G$37,0)),"CHECK"))</f>
        <v>Spice Junction</v>
      </c>
      <c r="AF1079" s="7" t="str">
        <f aca="false">IF(TRIM(K1079)="","Unknown",IFERROR(INDEX(Map_Tables!$E$4:$E$15,MATCH(TRIM(K1079),Map_Tables!$D$4:$D$15,0)),"CHECK"))</f>
        <v>UPI</v>
      </c>
      <c r="AG1079" s="7" t="str">
        <f aca="false">IF(LEFT(LOWER(TRIM(L1079)),6)="cancel","Cancelled","Delivered")</f>
        <v>Delivered</v>
      </c>
      <c r="AH1079" s="10" t="n">
        <f aca="false">IF(ISNUMBER(SEARCH("/",B1079)),DATE(VALUE(RIGHT(B1079,4)),VALUE(MID(B1079,4,2)),VALUE(LEFT(B1079,2))),IF(MID(B1079,5,1)="-",DATE(VALUE(LEFT(B1079,4)),VALUE(MID(B1079,6,2)),VALUE(RIGHT(B1079,2))),DATE(VALUE(RIGHT(B1079,4)),MATCH(MID(B1079,4,3),{"Jan","Feb","Mar","Apr","May","Jun","Jul","Aug","Sep","Oct","Nov","Dec"},0),VALUE(LEFT(B1079,2)))))</f>
        <v>45958</v>
      </c>
    </row>
    <row r="1080" customFormat="false" ht="15" hidden="false" customHeight="false" outlineLevel="0" collapsed="false">
      <c r="A1080" s="7" t="s">
        <v>3173</v>
      </c>
      <c r="B1080" s="7" t="s">
        <v>835</v>
      </c>
      <c r="C1080" s="7" t="s">
        <v>3013</v>
      </c>
      <c r="D1080" s="7" t="s">
        <v>3174</v>
      </c>
      <c r="E1080" s="7" t="s">
        <v>167</v>
      </c>
      <c r="F1080" s="7" t="s">
        <v>146</v>
      </c>
      <c r="G1080" s="7" t="s">
        <v>156</v>
      </c>
      <c r="H1080" s="7" t="n">
        <v>2</v>
      </c>
      <c r="I1080" s="7" t="n">
        <v>230</v>
      </c>
      <c r="J1080" s="7" t="n">
        <v>125</v>
      </c>
      <c r="K1080" s="7" t="s">
        <v>88</v>
      </c>
      <c r="L1080" s="7" t="s">
        <v>194</v>
      </c>
      <c r="M1080" s="7" t="n">
        <v>25</v>
      </c>
      <c r="N1080" s="7" t="n">
        <v>3</v>
      </c>
      <c r="O1080" s="7" t="str">
        <f aca="false">A1080&amp;"|"&amp;B1080&amp;"|"&amp;C1080&amp;"|"&amp;D1080&amp;"|"&amp;E1080&amp;"|"&amp;F1080&amp;"|"&amp;G1080&amp;"|"&amp;H1080&amp;"|"&amp;I1080&amp;"|"&amp;J1080&amp;"|"&amp;K1080&amp;"|"&amp;L1080&amp;"|"&amp;M1080&amp;"|"&amp;N1080</f>
        <v>ORD12963|2025-12-28|11:18|C0016|Fit Fuel Kitchen|Ahmedabad|Healthy Food|2|230|125|UPI|Delivered|25|3</v>
      </c>
      <c r="P1080" s="7" t="str">
        <f aca="false">IF(COUNTIF($O$2:O1080,O1080)&gt;1,"DUP","OK")</f>
        <v>OK</v>
      </c>
      <c r="Q1080" s="7" t="n">
        <f aca="false">COUNTBLANK(A1080:N1080)</f>
        <v>0</v>
      </c>
      <c r="R1080" s="7" t="n">
        <f aca="false">IF(A1080="",0,COUNTIFS($A$2:$A$3058,A1080,$P$2:$P$3058,"OK"))</f>
        <v>1</v>
      </c>
      <c r="S1080" s="7" t="str">
        <f aca="false">IF(OR(A1080="",P1080="DUP",R1080&lt;2),"",IF(Q1080=_xlfn.MINIFS($Q$2:$Q$3058,$A$2:$A$3058,A1080,$P$2:$P$3058,"OK"),"KEEP","DROP"))</f>
        <v/>
      </c>
      <c r="T1080" s="9" t="n">
        <f aca="false">IF(A1080="",1,0)</f>
        <v>0</v>
      </c>
      <c r="U1080" s="9" t="n">
        <f aca="false">IF(D1080="",1,0)</f>
        <v>0</v>
      </c>
      <c r="V1080" s="9" t="n">
        <f aca="false">IF(E1080="",1,0)</f>
        <v>0</v>
      </c>
      <c r="W1080" s="9" t="n">
        <f aca="false">IF(OR(H1080&lt;1,H1080&gt;10),1,0)</f>
        <v>0</v>
      </c>
      <c r="X1080" s="9" t="n">
        <f aca="false">IF(OR(I1080&lt;=0,I1080&gt;1500),1,0)</f>
        <v>0</v>
      </c>
      <c r="Y1080" s="9" t="n">
        <f aca="false">IF(J1080&gt;H1080*I1080,1,0)</f>
        <v>0</v>
      </c>
      <c r="Z1080" s="9" t="n">
        <f aca="false">IF(AND(N1080&lt;&gt;"",OR(N1080&lt;1,N1080&gt;5)),1,0)</f>
        <v>0</v>
      </c>
      <c r="AA1080" s="9" t="n">
        <f aca="false">IF(AND(M1080&lt;&gt;"",OR(M1080&lt;5,M1080&gt;180)),1,0)</f>
        <v>0</v>
      </c>
      <c r="AB1080" s="7" t="str">
        <f aca="false">IF(P1080="DUP","Exact duplicate row",IF(T1080=1,"Missing Order ID",IF(S1080="DROP","Duplicate Order ID (less complete row)",IF(U1080=1,"Missing Customer ID",IF(V1080=1,"Missing Restaurant name",IF(W1080=1,"Invalid/outlier quantity",IF(X1080=1,"Invalid/outlier unit price",IF(Y1080=1,"Discount greater than order value",""))))))))</f>
        <v/>
      </c>
      <c r="AC1080" s="7" t="str">
        <f aca="false">IF(AB1080="","KEEP","DROP")</f>
        <v>KEEP</v>
      </c>
      <c r="AD1080" s="7" t="str">
        <f aca="false">IF(TRIM(F1080)="",IFERROR(INDEX(Map_Tables!$I$4:$I$37,MATCH(TRIM(E1080),Map_Tables!$G$4:$G$37,0)),""),IFERROR(INDEX(Map_Tables!$B$4:$B$18,MATCH(TRIM(F1080),Map_Tables!$A$4:$A$18,0)),"CHECK"))</f>
        <v>Ahmedabad</v>
      </c>
      <c r="AE1080" s="7" t="str">
        <f aca="false">IF(TRIM(E1080)="","",IFERROR(INDEX(Map_Tables!$H$4:$H$37,MATCH(TRIM(E1080),Map_Tables!$G$4:$G$37,0)),"CHECK"))</f>
        <v>Fit Fuel Kitchen</v>
      </c>
      <c r="AF1080" s="7" t="str">
        <f aca="false">IF(TRIM(K1080)="","Unknown",IFERROR(INDEX(Map_Tables!$E$4:$E$15,MATCH(TRIM(K1080),Map_Tables!$D$4:$D$15,0)),"CHECK"))</f>
        <v>UPI</v>
      </c>
      <c r="AG1080" s="7" t="str">
        <f aca="false">IF(LEFT(LOWER(TRIM(L1080)),6)="cancel","Cancelled","Delivered")</f>
        <v>Delivered</v>
      </c>
      <c r="AH1080" s="10" t="n">
        <f aca="false">IF(ISNUMBER(SEARCH("/",B1080)),DATE(VALUE(RIGHT(B1080,4)),VALUE(MID(B1080,4,2)),VALUE(LEFT(B1080,2))),IF(MID(B1080,5,1)="-",DATE(VALUE(LEFT(B1080,4)),VALUE(MID(B1080,6,2)),VALUE(RIGHT(B1080,2))),DATE(VALUE(RIGHT(B1080,4)),MATCH(MID(B1080,4,3),{"Jan","Feb","Mar","Apr","May","Jun","Jul","Aug","Sep","Oct","Nov","Dec"},0),VALUE(LEFT(B1080,2)))))</f>
        <v>46019</v>
      </c>
    </row>
    <row r="1081" customFormat="false" ht="15" hidden="false" customHeight="false" outlineLevel="0" collapsed="false">
      <c r="A1081" s="7" t="s">
        <v>3175</v>
      </c>
      <c r="B1081" s="7" t="s">
        <v>1393</v>
      </c>
      <c r="C1081" s="7" t="s">
        <v>3152</v>
      </c>
      <c r="D1081" s="7" t="s">
        <v>2807</v>
      </c>
      <c r="E1081" s="7" t="s">
        <v>89</v>
      </c>
      <c r="F1081" s="7" t="s">
        <v>86</v>
      </c>
      <c r="G1081" s="7" t="s">
        <v>90</v>
      </c>
      <c r="H1081" s="7" t="n">
        <v>2</v>
      </c>
      <c r="I1081" s="7" t="n">
        <v>235</v>
      </c>
      <c r="J1081" s="7" t="n">
        <v>50</v>
      </c>
      <c r="K1081" s="7" t="s">
        <v>93</v>
      </c>
      <c r="L1081" s="7" t="s">
        <v>1265</v>
      </c>
      <c r="M1081" s="7" t="n">
        <v>42</v>
      </c>
      <c r="N1081" s="7" t="n">
        <v>5</v>
      </c>
      <c r="O1081" s="7" t="str">
        <f aca="false">A1081&amp;"|"&amp;B1081&amp;"|"&amp;C1081&amp;"|"&amp;D1081&amp;"|"&amp;E1081&amp;"|"&amp;F1081&amp;"|"&amp;G1081&amp;"|"&amp;H1081&amp;"|"&amp;I1081&amp;"|"&amp;J1081&amp;"|"&amp;K1081&amp;"|"&amp;L1081&amp;"|"&amp;M1081&amp;"|"&amp;N1081</f>
        <v>ORD10517|2025-03-08|18:37|C1387|Spice Junction|Bengaluru|North Indian|2|235|50|Credit Card|delivered|42|5</v>
      </c>
      <c r="P1081" s="7" t="str">
        <f aca="false">IF(COUNTIF($O$2:O1081,O1081)&gt;1,"DUP","OK")</f>
        <v>OK</v>
      </c>
      <c r="Q1081" s="7" t="n">
        <f aca="false">COUNTBLANK(A1081:N1081)</f>
        <v>0</v>
      </c>
      <c r="R1081" s="7" t="n">
        <f aca="false">IF(A1081="",0,COUNTIFS($A$2:$A$3058,A1081,$P$2:$P$3058,"OK"))</f>
        <v>1</v>
      </c>
      <c r="S1081" s="7" t="str">
        <f aca="false">IF(OR(A1081="",P1081="DUP",R1081&lt;2),"",IF(Q1081=_xlfn.MINIFS($Q$2:$Q$3058,$A$2:$A$3058,A1081,$P$2:$P$3058,"OK"),"KEEP","DROP"))</f>
        <v/>
      </c>
      <c r="T1081" s="9" t="n">
        <f aca="false">IF(A1081="",1,0)</f>
        <v>0</v>
      </c>
      <c r="U1081" s="9" t="n">
        <f aca="false">IF(D1081="",1,0)</f>
        <v>0</v>
      </c>
      <c r="V1081" s="9" t="n">
        <f aca="false">IF(E1081="",1,0)</f>
        <v>0</v>
      </c>
      <c r="W1081" s="9" t="n">
        <f aca="false">IF(OR(H1081&lt;1,H1081&gt;10),1,0)</f>
        <v>0</v>
      </c>
      <c r="X1081" s="9" t="n">
        <f aca="false">IF(OR(I1081&lt;=0,I1081&gt;1500),1,0)</f>
        <v>0</v>
      </c>
      <c r="Y1081" s="9" t="n">
        <f aca="false">IF(J1081&gt;H1081*I1081,1,0)</f>
        <v>0</v>
      </c>
      <c r="Z1081" s="9" t="n">
        <f aca="false">IF(AND(N1081&lt;&gt;"",OR(N1081&lt;1,N1081&gt;5)),1,0)</f>
        <v>0</v>
      </c>
      <c r="AA1081" s="9" t="n">
        <f aca="false">IF(AND(M1081&lt;&gt;"",OR(M1081&lt;5,M1081&gt;180)),1,0)</f>
        <v>0</v>
      </c>
      <c r="AB1081" s="7" t="str">
        <f aca="false">IF(P1081="DUP","Exact duplicate row",IF(T1081=1,"Missing Order ID",IF(S1081="DROP","Duplicate Order ID (less complete row)",IF(U1081=1,"Missing Customer ID",IF(V1081=1,"Missing Restaurant name",IF(W1081=1,"Invalid/outlier quantity",IF(X1081=1,"Invalid/outlier unit price",IF(Y1081=1,"Discount greater than order value",""))))))))</f>
        <v/>
      </c>
      <c r="AC1081" s="7" t="str">
        <f aca="false">IF(AB1081="","KEEP","DROP")</f>
        <v>KEEP</v>
      </c>
      <c r="AD1081" s="7" t="str">
        <f aca="false">IF(TRIM(F1081)="",IFERROR(INDEX(Map_Tables!$I$4:$I$37,MATCH(TRIM(E1081),Map_Tables!$G$4:$G$37,0)),""),IFERROR(INDEX(Map_Tables!$B$4:$B$18,MATCH(TRIM(F1081),Map_Tables!$A$4:$A$18,0)),"CHECK"))</f>
        <v>Bengaluru</v>
      </c>
      <c r="AE1081" s="7" t="str">
        <f aca="false">IF(TRIM(E1081)="","",IFERROR(INDEX(Map_Tables!$H$4:$H$37,MATCH(TRIM(E1081),Map_Tables!$G$4:$G$37,0)),"CHECK"))</f>
        <v>Spice Junction</v>
      </c>
      <c r="AF1081" s="7" t="str">
        <f aca="false">IF(TRIM(K1081)="","Unknown",IFERROR(INDEX(Map_Tables!$E$4:$E$15,MATCH(TRIM(K1081),Map_Tables!$D$4:$D$15,0)),"CHECK"))</f>
        <v>Credit Card</v>
      </c>
      <c r="AG1081" s="7" t="str">
        <f aca="false">IF(LEFT(LOWER(TRIM(L1081)),6)="cancel","Cancelled","Delivered")</f>
        <v>Delivered</v>
      </c>
      <c r="AH1081" s="10" t="n">
        <f aca="false">IF(ISNUMBER(SEARCH("/",B1081)),DATE(VALUE(RIGHT(B1081,4)),VALUE(MID(B1081,4,2)),VALUE(LEFT(B1081,2))),IF(MID(B1081,5,1)="-",DATE(VALUE(LEFT(B1081,4)),VALUE(MID(B1081,6,2)),VALUE(RIGHT(B1081,2))),DATE(VALUE(RIGHT(B1081,4)),MATCH(MID(B1081,4,3),{"Jan","Feb","Mar","Apr","May","Jun","Jul","Aug","Sep","Oct","Nov","Dec"},0),VALUE(LEFT(B1081,2)))))</f>
        <v>45724</v>
      </c>
    </row>
    <row r="1082" customFormat="false" ht="15" hidden="false" customHeight="false" outlineLevel="0" collapsed="false">
      <c r="A1082" s="7" t="s">
        <v>3176</v>
      </c>
      <c r="B1082" s="7" t="s">
        <v>3177</v>
      </c>
      <c r="C1082" s="7" t="s">
        <v>3178</v>
      </c>
      <c r="D1082" s="7" t="s">
        <v>3094</v>
      </c>
      <c r="E1082" s="7" t="s">
        <v>113</v>
      </c>
      <c r="F1082" s="7" t="s">
        <v>101</v>
      </c>
      <c r="G1082" s="7" t="s">
        <v>90</v>
      </c>
      <c r="H1082" s="7" t="n">
        <v>2</v>
      </c>
      <c r="I1082" s="7" t="n">
        <v>270</v>
      </c>
      <c r="J1082" s="7" t="n">
        <v>0</v>
      </c>
      <c r="K1082" s="7" t="s">
        <v>133</v>
      </c>
      <c r="L1082" s="7" t="s">
        <v>194</v>
      </c>
      <c r="M1082" s="7" t="n">
        <v>43</v>
      </c>
      <c r="N1082" s="7" t="n">
        <v>2</v>
      </c>
      <c r="O1082" s="7" t="str">
        <f aca="false">A1082&amp;"|"&amp;B1082&amp;"|"&amp;C1082&amp;"|"&amp;D1082&amp;"|"&amp;E1082&amp;"|"&amp;F1082&amp;"|"&amp;G1082&amp;"|"&amp;H1082&amp;"|"&amp;I1082&amp;"|"&amp;J1082&amp;"|"&amp;K1082&amp;"|"&amp;L1082&amp;"|"&amp;M1082&amp;"|"&amp;N1082</f>
        <v>ORD11762|19/08/2025|08:54|C1145|Curry Leaf Kitchen|Mumbai|North Indian|2|270|0|Net Banking|Delivered|43|2</v>
      </c>
      <c r="P1082" s="7" t="str">
        <f aca="false">IF(COUNTIF($O$2:O1082,O1082)&gt;1,"DUP","OK")</f>
        <v>OK</v>
      </c>
      <c r="Q1082" s="7" t="n">
        <f aca="false">COUNTBLANK(A1082:N1082)</f>
        <v>0</v>
      </c>
      <c r="R1082" s="7" t="n">
        <f aca="false">IF(A1082="",0,COUNTIFS($A$2:$A$3058,A1082,$P$2:$P$3058,"OK"))</f>
        <v>1</v>
      </c>
      <c r="S1082" s="7" t="str">
        <f aca="false">IF(OR(A1082="",P1082="DUP",R1082&lt;2),"",IF(Q1082=_xlfn.MINIFS($Q$2:$Q$3058,$A$2:$A$3058,A1082,$P$2:$P$3058,"OK"),"KEEP","DROP"))</f>
        <v/>
      </c>
      <c r="T1082" s="9" t="n">
        <f aca="false">IF(A1082="",1,0)</f>
        <v>0</v>
      </c>
      <c r="U1082" s="9" t="n">
        <f aca="false">IF(D1082="",1,0)</f>
        <v>0</v>
      </c>
      <c r="V1082" s="9" t="n">
        <f aca="false">IF(E1082="",1,0)</f>
        <v>0</v>
      </c>
      <c r="W1082" s="9" t="n">
        <f aca="false">IF(OR(H1082&lt;1,H1082&gt;10),1,0)</f>
        <v>0</v>
      </c>
      <c r="X1082" s="9" t="n">
        <f aca="false">IF(OR(I1082&lt;=0,I1082&gt;1500),1,0)</f>
        <v>0</v>
      </c>
      <c r="Y1082" s="9" t="n">
        <f aca="false">IF(J1082&gt;H1082*I1082,1,0)</f>
        <v>0</v>
      </c>
      <c r="Z1082" s="9" t="n">
        <f aca="false">IF(AND(N1082&lt;&gt;"",OR(N1082&lt;1,N1082&gt;5)),1,0)</f>
        <v>0</v>
      </c>
      <c r="AA1082" s="9" t="n">
        <f aca="false">IF(AND(M1082&lt;&gt;"",OR(M1082&lt;5,M1082&gt;180)),1,0)</f>
        <v>0</v>
      </c>
      <c r="AB1082" s="7" t="str">
        <f aca="false">IF(P1082="DUP","Exact duplicate row",IF(T1082=1,"Missing Order ID",IF(S1082="DROP","Duplicate Order ID (less complete row)",IF(U1082=1,"Missing Customer ID",IF(V1082=1,"Missing Restaurant name",IF(W1082=1,"Invalid/outlier quantity",IF(X1082=1,"Invalid/outlier unit price",IF(Y1082=1,"Discount greater than order value",""))))))))</f>
        <v/>
      </c>
      <c r="AC1082" s="7" t="str">
        <f aca="false">IF(AB1082="","KEEP","DROP")</f>
        <v>KEEP</v>
      </c>
      <c r="AD1082" s="7" t="str">
        <f aca="false">IF(TRIM(F1082)="",IFERROR(INDEX(Map_Tables!$I$4:$I$37,MATCH(TRIM(E1082),Map_Tables!$G$4:$G$37,0)),""),IFERROR(INDEX(Map_Tables!$B$4:$B$18,MATCH(TRIM(F1082),Map_Tables!$A$4:$A$18,0)),"CHECK"))</f>
        <v>Mumbai</v>
      </c>
      <c r="AE1082" s="7" t="str">
        <f aca="false">IF(TRIM(E1082)="","",IFERROR(INDEX(Map_Tables!$H$4:$H$37,MATCH(TRIM(E1082),Map_Tables!$G$4:$G$37,0)),"CHECK"))</f>
        <v>Curry Leaf Kitchen</v>
      </c>
      <c r="AF1082" s="7" t="str">
        <f aca="false">IF(TRIM(K1082)="","Unknown",IFERROR(INDEX(Map_Tables!$E$4:$E$15,MATCH(TRIM(K1082),Map_Tables!$D$4:$D$15,0)),"CHECK"))</f>
        <v>Net Banking</v>
      </c>
      <c r="AG1082" s="7" t="str">
        <f aca="false">IF(LEFT(LOWER(TRIM(L1082)),6)="cancel","Cancelled","Delivered")</f>
        <v>Delivered</v>
      </c>
      <c r="AH1082" s="10" t="n">
        <f aca="false">IF(ISNUMBER(SEARCH("/",B1082)),DATE(VALUE(RIGHT(B1082,4)),VALUE(MID(B1082,4,2)),VALUE(LEFT(B1082,2))),IF(MID(B1082,5,1)="-",DATE(VALUE(LEFT(B1082,4)),VALUE(MID(B1082,6,2)),VALUE(RIGHT(B1082,2))),DATE(VALUE(RIGHT(B1082,4)),MATCH(MID(B1082,4,3),{"Jan","Feb","Mar","Apr","May","Jun","Jul","Aug","Sep","Oct","Nov","Dec"},0),VALUE(LEFT(B1082,2)))))</f>
        <v>45888</v>
      </c>
    </row>
    <row r="1083" customFormat="false" ht="15" hidden="false" customHeight="false" outlineLevel="0" collapsed="false">
      <c r="A1083" s="7" t="s">
        <v>3179</v>
      </c>
      <c r="B1083" s="7" t="s">
        <v>1287</v>
      </c>
      <c r="C1083" s="7" t="s">
        <v>1838</v>
      </c>
      <c r="D1083" s="7" t="s">
        <v>3180</v>
      </c>
      <c r="E1083" s="7" t="s">
        <v>113</v>
      </c>
      <c r="F1083" s="7" t="s">
        <v>101</v>
      </c>
      <c r="G1083" s="7" t="s">
        <v>90</v>
      </c>
      <c r="H1083" s="7" t="n">
        <v>2</v>
      </c>
      <c r="I1083" s="7" t="n">
        <v>245</v>
      </c>
      <c r="J1083" s="7" t="n">
        <v>100</v>
      </c>
      <c r="K1083" s="7" t="s">
        <v>88</v>
      </c>
      <c r="L1083" s="7" t="s">
        <v>220</v>
      </c>
      <c r="M1083" s="7" t="n">
        <v>47</v>
      </c>
      <c r="N1083" s="7" t="n">
        <v>3</v>
      </c>
      <c r="O1083" s="7" t="str">
        <f aca="false">A1083&amp;"|"&amp;B1083&amp;"|"&amp;C1083&amp;"|"&amp;D1083&amp;"|"&amp;E1083&amp;"|"&amp;F1083&amp;"|"&amp;G1083&amp;"|"&amp;H1083&amp;"|"&amp;I1083&amp;"|"&amp;J1083&amp;"|"&amp;K1083&amp;"|"&amp;L1083&amp;"|"&amp;M1083&amp;"|"&amp;N1083</f>
        <v>ORD12950|2025-12-26|17:27|C0470|Curry Leaf Kitchen|Mumbai|North Indian|2|245|100|UPI|DELIVERED|47|3</v>
      </c>
      <c r="P1083" s="7" t="str">
        <f aca="false">IF(COUNTIF($O$2:O1083,O1083)&gt;1,"DUP","OK")</f>
        <v>OK</v>
      </c>
      <c r="Q1083" s="7" t="n">
        <f aca="false">COUNTBLANK(A1083:N1083)</f>
        <v>0</v>
      </c>
      <c r="R1083" s="7" t="n">
        <f aca="false">IF(A1083="",0,COUNTIFS($A$2:$A$3058,A1083,$P$2:$P$3058,"OK"))</f>
        <v>1</v>
      </c>
      <c r="S1083" s="7" t="str">
        <f aca="false">IF(OR(A1083="",P1083="DUP",R1083&lt;2),"",IF(Q1083=_xlfn.MINIFS($Q$2:$Q$3058,$A$2:$A$3058,A1083,$P$2:$P$3058,"OK"),"KEEP","DROP"))</f>
        <v/>
      </c>
      <c r="T1083" s="9" t="n">
        <f aca="false">IF(A1083="",1,0)</f>
        <v>0</v>
      </c>
      <c r="U1083" s="9" t="n">
        <f aca="false">IF(D1083="",1,0)</f>
        <v>0</v>
      </c>
      <c r="V1083" s="9" t="n">
        <f aca="false">IF(E1083="",1,0)</f>
        <v>0</v>
      </c>
      <c r="W1083" s="9" t="n">
        <f aca="false">IF(OR(H1083&lt;1,H1083&gt;10),1,0)</f>
        <v>0</v>
      </c>
      <c r="X1083" s="9" t="n">
        <f aca="false">IF(OR(I1083&lt;=0,I1083&gt;1500),1,0)</f>
        <v>0</v>
      </c>
      <c r="Y1083" s="9" t="n">
        <f aca="false">IF(J1083&gt;H1083*I1083,1,0)</f>
        <v>0</v>
      </c>
      <c r="Z1083" s="9" t="n">
        <f aca="false">IF(AND(N1083&lt;&gt;"",OR(N1083&lt;1,N1083&gt;5)),1,0)</f>
        <v>0</v>
      </c>
      <c r="AA1083" s="9" t="n">
        <f aca="false">IF(AND(M1083&lt;&gt;"",OR(M1083&lt;5,M1083&gt;180)),1,0)</f>
        <v>0</v>
      </c>
      <c r="AB1083" s="7" t="str">
        <f aca="false">IF(P1083="DUP","Exact duplicate row",IF(T1083=1,"Missing Order ID",IF(S1083="DROP","Duplicate Order ID (less complete row)",IF(U1083=1,"Missing Customer ID",IF(V1083=1,"Missing Restaurant name",IF(W1083=1,"Invalid/outlier quantity",IF(X1083=1,"Invalid/outlier unit price",IF(Y1083=1,"Discount greater than order value",""))))))))</f>
        <v/>
      </c>
      <c r="AC1083" s="7" t="str">
        <f aca="false">IF(AB1083="","KEEP","DROP")</f>
        <v>KEEP</v>
      </c>
      <c r="AD1083" s="7" t="str">
        <f aca="false">IF(TRIM(F1083)="",IFERROR(INDEX(Map_Tables!$I$4:$I$37,MATCH(TRIM(E1083),Map_Tables!$G$4:$G$37,0)),""),IFERROR(INDEX(Map_Tables!$B$4:$B$18,MATCH(TRIM(F1083),Map_Tables!$A$4:$A$18,0)),"CHECK"))</f>
        <v>Mumbai</v>
      </c>
      <c r="AE1083" s="7" t="str">
        <f aca="false">IF(TRIM(E1083)="","",IFERROR(INDEX(Map_Tables!$H$4:$H$37,MATCH(TRIM(E1083),Map_Tables!$G$4:$G$37,0)),"CHECK"))</f>
        <v>Curry Leaf Kitchen</v>
      </c>
      <c r="AF1083" s="7" t="str">
        <f aca="false">IF(TRIM(K1083)="","Unknown",IFERROR(INDEX(Map_Tables!$E$4:$E$15,MATCH(TRIM(K1083),Map_Tables!$D$4:$D$15,0)),"CHECK"))</f>
        <v>UPI</v>
      </c>
      <c r="AG1083" s="7" t="str">
        <f aca="false">IF(LEFT(LOWER(TRIM(L1083)),6)="cancel","Cancelled","Delivered")</f>
        <v>Delivered</v>
      </c>
      <c r="AH1083" s="10" t="n">
        <f aca="false">IF(ISNUMBER(SEARCH("/",B1083)),DATE(VALUE(RIGHT(B1083,4)),VALUE(MID(B1083,4,2)),VALUE(LEFT(B1083,2))),IF(MID(B1083,5,1)="-",DATE(VALUE(LEFT(B1083,4)),VALUE(MID(B1083,6,2)),VALUE(RIGHT(B1083,2))),DATE(VALUE(RIGHT(B1083,4)),MATCH(MID(B1083,4,3),{"Jan","Feb","Mar","Apr","May","Jun","Jul","Aug","Sep","Oct","Nov","Dec"},0),VALUE(LEFT(B1083,2)))))</f>
        <v>46017</v>
      </c>
    </row>
    <row r="1084" customFormat="false" ht="15" hidden="false" customHeight="false" outlineLevel="0" collapsed="false">
      <c r="A1084" s="7" t="s">
        <v>3181</v>
      </c>
      <c r="B1084" s="7" t="s">
        <v>1069</v>
      </c>
      <c r="C1084" s="7" t="s">
        <v>1204</v>
      </c>
      <c r="D1084" s="7" t="s">
        <v>2577</v>
      </c>
      <c r="E1084" s="7" t="s">
        <v>113</v>
      </c>
      <c r="F1084" s="7" t="s">
        <v>101</v>
      </c>
      <c r="G1084" s="7" t="s">
        <v>90</v>
      </c>
      <c r="H1084" s="7" t="n">
        <v>4</v>
      </c>
      <c r="I1084" s="7" t="n">
        <v>205</v>
      </c>
      <c r="J1084" s="7" t="n">
        <v>150</v>
      </c>
      <c r="K1084" s="7" t="s">
        <v>102</v>
      </c>
      <c r="L1084" s="7" t="s">
        <v>194</v>
      </c>
      <c r="M1084" s="7" t="n">
        <v>37</v>
      </c>
      <c r="N1084" s="7" t="n">
        <v>4</v>
      </c>
      <c r="O1084" s="7" t="str">
        <f aca="false">A1084&amp;"|"&amp;B1084&amp;"|"&amp;C1084&amp;"|"&amp;D1084&amp;"|"&amp;E1084&amp;"|"&amp;F1084&amp;"|"&amp;G1084&amp;"|"&amp;H1084&amp;"|"&amp;I1084&amp;"|"&amp;J1084&amp;"|"&amp;K1084&amp;"|"&amp;L1084&amp;"|"&amp;M1084&amp;"|"&amp;N1084</f>
        <v>ORD12941|2025-12-25|17:31|C0705|Curry Leaf Kitchen|Mumbai|North Indian|4|205|150|debit card|Delivered|37|4</v>
      </c>
      <c r="P1084" s="7" t="str">
        <f aca="false">IF(COUNTIF($O$2:O1084,O1084)&gt;1,"DUP","OK")</f>
        <v>OK</v>
      </c>
      <c r="Q1084" s="7" t="n">
        <f aca="false">COUNTBLANK(A1084:N1084)</f>
        <v>0</v>
      </c>
      <c r="R1084" s="7" t="n">
        <f aca="false">IF(A1084="",0,COUNTIFS($A$2:$A$3058,A1084,$P$2:$P$3058,"OK"))</f>
        <v>1</v>
      </c>
      <c r="S1084" s="7" t="str">
        <f aca="false">IF(OR(A1084="",P1084="DUP",R1084&lt;2),"",IF(Q1084=_xlfn.MINIFS($Q$2:$Q$3058,$A$2:$A$3058,A1084,$P$2:$P$3058,"OK"),"KEEP","DROP"))</f>
        <v/>
      </c>
      <c r="T1084" s="9" t="n">
        <f aca="false">IF(A1084="",1,0)</f>
        <v>0</v>
      </c>
      <c r="U1084" s="9" t="n">
        <f aca="false">IF(D1084="",1,0)</f>
        <v>0</v>
      </c>
      <c r="V1084" s="9" t="n">
        <f aca="false">IF(E1084="",1,0)</f>
        <v>0</v>
      </c>
      <c r="W1084" s="9" t="n">
        <f aca="false">IF(OR(H1084&lt;1,H1084&gt;10),1,0)</f>
        <v>0</v>
      </c>
      <c r="X1084" s="9" t="n">
        <f aca="false">IF(OR(I1084&lt;=0,I1084&gt;1500),1,0)</f>
        <v>0</v>
      </c>
      <c r="Y1084" s="9" t="n">
        <f aca="false">IF(J1084&gt;H1084*I1084,1,0)</f>
        <v>0</v>
      </c>
      <c r="Z1084" s="9" t="n">
        <f aca="false">IF(AND(N1084&lt;&gt;"",OR(N1084&lt;1,N1084&gt;5)),1,0)</f>
        <v>0</v>
      </c>
      <c r="AA1084" s="9" t="n">
        <f aca="false">IF(AND(M1084&lt;&gt;"",OR(M1084&lt;5,M1084&gt;180)),1,0)</f>
        <v>0</v>
      </c>
      <c r="AB1084" s="7" t="str">
        <f aca="false">IF(P1084="DUP","Exact duplicate row",IF(T1084=1,"Missing Order ID",IF(S1084="DROP","Duplicate Order ID (less complete row)",IF(U1084=1,"Missing Customer ID",IF(V1084=1,"Missing Restaurant name",IF(W1084=1,"Invalid/outlier quantity",IF(X1084=1,"Invalid/outlier unit price",IF(Y1084=1,"Discount greater than order value",""))))))))</f>
        <v/>
      </c>
      <c r="AC1084" s="7" t="str">
        <f aca="false">IF(AB1084="","KEEP","DROP")</f>
        <v>KEEP</v>
      </c>
      <c r="AD1084" s="7" t="str">
        <f aca="false">IF(TRIM(F1084)="",IFERROR(INDEX(Map_Tables!$I$4:$I$37,MATCH(TRIM(E1084),Map_Tables!$G$4:$G$37,0)),""),IFERROR(INDEX(Map_Tables!$B$4:$B$18,MATCH(TRIM(F1084),Map_Tables!$A$4:$A$18,0)),"CHECK"))</f>
        <v>Mumbai</v>
      </c>
      <c r="AE1084" s="7" t="str">
        <f aca="false">IF(TRIM(E1084)="","",IFERROR(INDEX(Map_Tables!$H$4:$H$37,MATCH(TRIM(E1084),Map_Tables!$G$4:$G$37,0)),"CHECK"))</f>
        <v>Curry Leaf Kitchen</v>
      </c>
      <c r="AF1084" s="7" t="str">
        <f aca="false">IF(TRIM(K1084)="","Unknown",IFERROR(INDEX(Map_Tables!$E$4:$E$15,MATCH(TRIM(K1084),Map_Tables!$D$4:$D$15,0)),"CHECK"))</f>
        <v>Debit Card</v>
      </c>
      <c r="AG1084" s="7" t="str">
        <f aca="false">IF(LEFT(LOWER(TRIM(L1084)),6)="cancel","Cancelled","Delivered")</f>
        <v>Delivered</v>
      </c>
      <c r="AH1084" s="10" t="n">
        <f aca="false">IF(ISNUMBER(SEARCH("/",B1084)),DATE(VALUE(RIGHT(B1084,4)),VALUE(MID(B1084,4,2)),VALUE(LEFT(B1084,2))),IF(MID(B1084,5,1)="-",DATE(VALUE(LEFT(B1084,4)),VALUE(MID(B1084,6,2)),VALUE(RIGHT(B1084,2))),DATE(VALUE(RIGHT(B1084,4)),MATCH(MID(B1084,4,3),{"Jan","Feb","Mar","Apr","May","Jun","Jul","Aug","Sep","Oct","Nov","Dec"},0),VALUE(LEFT(B1084,2)))))</f>
        <v>46016</v>
      </c>
    </row>
    <row r="1085" customFormat="false" ht="15" hidden="false" customHeight="false" outlineLevel="0" collapsed="false">
      <c r="A1085" s="7" t="s">
        <v>3182</v>
      </c>
      <c r="B1085" s="7" t="s">
        <v>2116</v>
      </c>
      <c r="C1085" s="7" t="s">
        <v>3183</v>
      </c>
      <c r="D1085" s="7" t="s">
        <v>3184</v>
      </c>
      <c r="E1085" s="7" t="s">
        <v>3154</v>
      </c>
      <c r="F1085" s="7" t="s">
        <v>119</v>
      </c>
      <c r="G1085" s="7" t="s">
        <v>99</v>
      </c>
      <c r="H1085" s="7" t="n">
        <v>1</v>
      </c>
      <c r="I1085" s="7" t="n">
        <v>320</v>
      </c>
      <c r="J1085" s="7" t="n">
        <v>30</v>
      </c>
      <c r="K1085" s="7" t="s">
        <v>103</v>
      </c>
      <c r="L1085" s="7" t="s">
        <v>194</v>
      </c>
      <c r="M1085" s="7" t="n">
        <v>43</v>
      </c>
      <c r="N1085" s="7" t="n">
        <v>3</v>
      </c>
      <c r="O1085" s="7" t="str">
        <f aca="false">A1085&amp;"|"&amp;B1085&amp;"|"&amp;C1085&amp;"|"&amp;D1085&amp;"|"&amp;E1085&amp;"|"&amp;F1085&amp;"|"&amp;G1085&amp;"|"&amp;H1085&amp;"|"&amp;I1085&amp;"|"&amp;J1085&amp;"|"&amp;K1085&amp;"|"&amp;L1085&amp;"|"&amp;M1085&amp;"|"&amp;N1085</f>
        <v>ORD10351|2025-02-16|12:05|C1265|Hyderabad  Dum Biryani|Hyderabad|Biryani|1|320|30|Debit Card|Delivered|43|3</v>
      </c>
      <c r="P1085" s="7" t="str">
        <f aca="false">IF(COUNTIF($O$2:O1085,O1085)&gt;1,"DUP","OK")</f>
        <v>OK</v>
      </c>
      <c r="Q1085" s="7" t="n">
        <f aca="false">COUNTBLANK(A1085:N1085)</f>
        <v>0</v>
      </c>
      <c r="R1085" s="7" t="n">
        <f aca="false">IF(A1085="",0,COUNTIFS($A$2:$A$3058,A1085,$P$2:$P$3058,"OK"))</f>
        <v>1</v>
      </c>
      <c r="S1085" s="7" t="str">
        <f aca="false">IF(OR(A1085="",P1085="DUP",R1085&lt;2),"",IF(Q1085=_xlfn.MINIFS($Q$2:$Q$3058,$A$2:$A$3058,A1085,$P$2:$P$3058,"OK"),"KEEP","DROP"))</f>
        <v/>
      </c>
      <c r="T1085" s="9" t="n">
        <f aca="false">IF(A1085="",1,0)</f>
        <v>0</v>
      </c>
      <c r="U1085" s="9" t="n">
        <f aca="false">IF(D1085="",1,0)</f>
        <v>0</v>
      </c>
      <c r="V1085" s="9" t="n">
        <f aca="false">IF(E1085="",1,0)</f>
        <v>0</v>
      </c>
      <c r="W1085" s="9" t="n">
        <f aca="false">IF(OR(H1085&lt;1,H1085&gt;10),1,0)</f>
        <v>0</v>
      </c>
      <c r="X1085" s="9" t="n">
        <f aca="false">IF(OR(I1085&lt;=0,I1085&gt;1500),1,0)</f>
        <v>0</v>
      </c>
      <c r="Y1085" s="9" t="n">
        <f aca="false">IF(J1085&gt;H1085*I1085,1,0)</f>
        <v>0</v>
      </c>
      <c r="Z1085" s="9" t="n">
        <f aca="false">IF(AND(N1085&lt;&gt;"",OR(N1085&lt;1,N1085&gt;5)),1,0)</f>
        <v>0</v>
      </c>
      <c r="AA1085" s="9" t="n">
        <f aca="false">IF(AND(M1085&lt;&gt;"",OR(M1085&lt;5,M1085&gt;180)),1,0)</f>
        <v>0</v>
      </c>
      <c r="AB1085" s="7" t="str">
        <f aca="false">IF(P1085="DUP","Exact duplicate row",IF(T1085=1,"Missing Order ID",IF(S1085="DROP","Duplicate Order ID (less complete row)",IF(U1085=1,"Missing Customer ID",IF(V1085=1,"Missing Restaurant name",IF(W1085=1,"Invalid/outlier quantity",IF(X1085=1,"Invalid/outlier unit price",IF(Y1085=1,"Discount greater than order value",""))))))))</f>
        <v/>
      </c>
      <c r="AC1085" s="7" t="str">
        <f aca="false">IF(AB1085="","KEEP","DROP")</f>
        <v>KEEP</v>
      </c>
      <c r="AD1085" s="7" t="str">
        <f aca="false">IF(TRIM(F1085)="",IFERROR(INDEX(Map_Tables!$I$4:$I$37,MATCH(TRIM(E1085),Map_Tables!$G$4:$G$37,0)),""),IFERROR(INDEX(Map_Tables!$B$4:$B$18,MATCH(TRIM(F1085),Map_Tables!$A$4:$A$18,0)),"CHECK"))</f>
        <v>Hyderabad</v>
      </c>
      <c r="AE1085" s="7" t="str">
        <f aca="false">IF(TRIM(E1085)="","",IFERROR(INDEX(Map_Tables!$H$4:$H$37,MATCH(TRIM(E1085),Map_Tables!$G$4:$G$37,0)),"CHECK"))</f>
        <v>Hyderabad Dum Biryani</v>
      </c>
      <c r="AF1085" s="7" t="str">
        <f aca="false">IF(TRIM(K1085)="","Unknown",IFERROR(INDEX(Map_Tables!$E$4:$E$15,MATCH(TRIM(K1085),Map_Tables!$D$4:$D$15,0)),"CHECK"))</f>
        <v>Debit Card</v>
      </c>
      <c r="AG1085" s="7" t="str">
        <f aca="false">IF(LEFT(LOWER(TRIM(L1085)),6)="cancel","Cancelled","Delivered")</f>
        <v>Delivered</v>
      </c>
      <c r="AH1085" s="10" t="n">
        <f aca="false">IF(ISNUMBER(SEARCH("/",B1085)),DATE(VALUE(RIGHT(B1085,4)),VALUE(MID(B1085,4,2)),VALUE(LEFT(B1085,2))),IF(MID(B1085,5,1)="-",DATE(VALUE(LEFT(B1085,4)),VALUE(MID(B1085,6,2)),VALUE(RIGHT(B1085,2))),DATE(VALUE(RIGHT(B1085,4)),MATCH(MID(B1085,4,3),{"Jan","Feb","Mar","Apr","May","Jun","Jul","Aug","Sep","Oct","Nov","Dec"},0),VALUE(LEFT(B1085,2)))))</f>
        <v>45704</v>
      </c>
    </row>
    <row r="1086" customFormat="false" ht="15" hidden="false" customHeight="false" outlineLevel="0" collapsed="false">
      <c r="A1086" s="7" t="s">
        <v>3185</v>
      </c>
      <c r="B1086" s="7" t="s">
        <v>968</v>
      </c>
      <c r="C1086" s="7" t="s">
        <v>3186</v>
      </c>
      <c r="D1086" s="7" t="s">
        <v>2686</v>
      </c>
      <c r="E1086" s="7" t="s">
        <v>113</v>
      </c>
      <c r="F1086" s="7" t="s">
        <v>101</v>
      </c>
      <c r="G1086" s="7" t="s">
        <v>90</v>
      </c>
      <c r="H1086" s="7" t="n">
        <v>2</v>
      </c>
      <c r="I1086" s="7" t="n">
        <v>265</v>
      </c>
      <c r="J1086" s="7" t="n">
        <v>0</v>
      </c>
      <c r="K1086" s="7" t="s">
        <v>88</v>
      </c>
      <c r="L1086" s="7" t="s">
        <v>194</v>
      </c>
      <c r="M1086" s="7" t="n">
        <v>35</v>
      </c>
      <c r="N1086" s="7"/>
      <c r="O1086" s="7" t="str">
        <f aca="false">A1086&amp;"|"&amp;B1086&amp;"|"&amp;C1086&amp;"|"&amp;D1086&amp;"|"&amp;E1086&amp;"|"&amp;F1086&amp;"|"&amp;G1086&amp;"|"&amp;H1086&amp;"|"&amp;I1086&amp;"|"&amp;J1086&amp;"|"&amp;K1086&amp;"|"&amp;L1086&amp;"|"&amp;M1086&amp;"|"&amp;N1086</f>
        <v>ORD11223|2025-06-04|08:19|C0627|Curry Leaf Kitchen|Mumbai|North Indian|2|265|0|UPI|Delivered|35|</v>
      </c>
      <c r="P1086" s="7" t="str">
        <f aca="false">IF(COUNTIF($O$2:O1086,O1086)&gt;1,"DUP","OK")</f>
        <v>OK</v>
      </c>
      <c r="Q1086" s="7" t="n">
        <f aca="false">COUNTBLANK(A1086:N1086)</f>
        <v>1</v>
      </c>
      <c r="R1086" s="7" t="n">
        <f aca="false">IF(A1086="",0,COUNTIFS($A$2:$A$3058,A1086,$P$2:$P$3058,"OK"))</f>
        <v>1</v>
      </c>
      <c r="S1086" s="7" t="str">
        <f aca="false">IF(OR(A1086="",P1086="DUP",R1086&lt;2),"",IF(Q1086=_xlfn.MINIFS($Q$2:$Q$3058,$A$2:$A$3058,A1086,$P$2:$P$3058,"OK"),"KEEP","DROP"))</f>
        <v/>
      </c>
      <c r="T1086" s="9" t="n">
        <f aca="false">IF(A1086="",1,0)</f>
        <v>0</v>
      </c>
      <c r="U1086" s="9" t="n">
        <f aca="false">IF(D1086="",1,0)</f>
        <v>0</v>
      </c>
      <c r="V1086" s="9" t="n">
        <f aca="false">IF(E1086="",1,0)</f>
        <v>0</v>
      </c>
      <c r="W1086" s="9" t="n">
        <f aca="false">IF(OR(H1086&lt;1,H1086&gt;10),1,0)</f>
        <v>0</v>
      </c>
      <c r="X1086" s="9" t="n">
        <f aca="false">IF(OR(I1086&lt;=0,I1086&gt;1500),1,0)</f>
        <v>0</v>
      </c>
      <c r="Y1086" s="9" t="n">
        <f aca="false">IF(J1086&gt;H1086*I1086,1,0)</f>
        <v>0</v>
      </c>
      <c r="Z1086" s="9" t="n">
        <f aca="false">IF(AND(N1086&lt;&gt;"",OR(N1086&lt;1,N1086&gt;5)),1,0)</f>
        <v>0</v>
      </c>
      <c r="AA1086" s="9" t="n">
        <f aca="false">IF(AND(M1086&lt;&gt;"",OR(M1086&lt;5,M1086&gt;180)),1,0)</f>
        <v>0</v>
      </c>
      <c r="AB1086" s="7" t="str">
        <f aca="false">IF(P1086="DUP","Exact duplicate row",IF(T1086=1,"Missing Order ID",IF(S1086="DROP","Duplicate Order ID (less complete row)",IF(U1086=1,"Missing Customer ID",IF(V1086=1,"Missing Restaurant name",IF(W1086=1,"Invalid/outlier quantity",IF(X1086=1,"Invalid/outlier unit price",IF(Y1086=1,"Discount greater than order value",""))))))))</f>
        <v/>
      </c>
      <c r="AC1086" s="7" t="str">
        <f aca="false">IF(AB1086="","KEEP","DROP")</f>
        <v>KEEP</v>
      </c>
      <c r="AD1086" s="7" t="str">
        <f aca="false">IF(TRIM(F1086)="",IFERROR(INDEX(Map_Tables!$I$4:$I$37,MATCH(TRIM(E1086),Map_Tables!$G$4:$G$37,0)),""),IFERROR(INDEX(Map_Tables!$B$4:$B$18,MATCH(TRIM(F1086),Map_Tables!$A$4:$A$18,0)),"CHECK"))</f>
        <v>Mumbai</v>
      </c>
      <c r="AE1086" s="7" t="str">
        <f aca="false">IF(TRIM(E1086)="","",IFERROR(INDEX(Map_Tables!$H$4:$H$37,MATCH(TRIM(E1086),Map_Tables!$G$4:$G$37,0)),"CHECK"))</f>
        <v>Curry Leaf Kitchen</v>
      </c>
      <c r="AF1086" s="7" t="str">
        <f aca="false">IF(TRIM(K1086)="","Unknown",IFERROR(INDEX(Map_Tables!$E$4:$E$15,MATCH(TRIM(K1086),Map_Tables!$D$4:$D$15,0)),"CHECK"))</f>
        <v>UPI</v>
      </c>
      <c r="AG1086" s="7" t="str">
        <f aca="false">IF(LEFT(LOWER(TRIM(L1086)),6)="cancel","Cancelled","Delivered")</f>
        <v>Delivered</v>
      </c>
      <c r="AH1086" s="10" t="n">
        <f aca="false">IF(ISNUMBER(SEARCH("/",B1086)),DATE(VALUE(RIGHT(B1086,4)),VALUE(MID(B1086,4,2)),VALUE(LEFT(B1086,2))),IF(MID(B1086,5,1)="-",DATE(VALUE(LEFT(B1086,4)),VALUE(MID(B1086,6,2)),VALUE(RIGHT(B1086,2))),DATE(VALUE(RIGHT(B1086,4)),MATCH(MID(B1086,4,3),{"Jan","Feb","Mar","Apr","May","Jun","Jul","Aug","Sep","Oct","Nov","Dec"},0),VALUE(LEFT(B1086,2)))))</f>
        <v>45812</v>
      </c>
    </row>
    <row r="1087" customFormat="false" ht="15" hidden="false" customHeight="false" outlineLevel="0" collapsed="false">
      <c r="A1087" s="7" t="s">
        <v>3187</v>
      </c>
      <c r="B1087" s="7" t="s">
        <v>1376</v>
      </c>
      <c r="C1087" s="7" t="s">
        <v>1019</v>
      </c>
      <c r="D1087" s="7" t="s">
        <v>2639</v>
      </c>
      <c r="E1087" s="7" t="s">
        <v>144</v>
      </c>
      <c r="F1087" s="7" t="s">
        <v>118</v>
      </c>
      <c r="G1087" s="7" t="s">
        <v>99</v>
      </c>
      <c r="H1087" s="7" t="n">
        <v>4</v>
      </c>
      <c r="I1087" s="7" t="n">
        <v>345</v>
      </c>
      <c r="J1087" s="7" t="n">
        <v>100</v>
      </c>
      <c r="K1087" s="7" t="s">
        <v>88</v>
      </c>
      <c r="L1087" s="7" t="s">
        <v>194</v>
      </c>
      <c r="M1087" s="7" t="n">
        <v>43</v>
      </c>
      <c r="N1087" s="7" t="n">
        <v>3</v>
      </c>
      <c r="O1087" s="7" t="str">
        <f aca="false">A1087&amp;"|"&amp;B1087&amp;"|"&amp;C1087&amp;"|"&amp;D1087&amp;"|"&amp;E1087&amp;"|"&amp;F1087&amp;"|"&amp;G1087&amp;"|"&amp;H1087&amp;"|"&amp;I1087&amp;"|"&amp;J1087&amp;"|"&amp;K1087&amp;"|"&amp;L1087&amp;"|"&amp;M1087&amp;"|"&amp;N1087</f>
        <v>ORD11004|2025-05-07|19:25|C0408|Hyderabad Dum Biryani|hyderabad|Biryani|4|345|100|UPI|Delivered|43|3</v>
      </c>
      <c r="P1087" s="7" t="str">
        <f aca="false">IF(COUNTIF($O$2:O1087,O1087)&gt;1,"DUP","OK")</f>
        <v>OK</v>
      </c>
      <c r="Q1087" s="7" t="n">
        <f aca="false">COUNTBLANK(A1087:N1087)</f>
        <v>0</v>
      </c>
      <c r="R1087" s="7" t="n">
        <f aca="false">IF(A1087="",0,COUNTIFS($A$2:$A$3058,A1087,$P$2:$P$3058,"OK"))</f>
        <v>2</v>
      </c>
      <c r="S1087" s="7" t="str">
        <f aca="false">IF(OR(A1087="",P1087="DUP",R1087&lt;2),"",IF(Q1087=_xlfn.MINIFS($Q$2:$Q$3058,$A$2:$A$3058,A1087,$P$2:$P$3058,"OK"),"KEEP","DROP"))</f>
        <v>KEEP</v>
      </c>
      <c r="T1087" s="9" t="n">
        <f aca="false">IF(A1087="",1,0)</f>
        <v>0</v>
      </c>
      <c r="U1087" s="9" t="n">
        <f aca="false">IF(D1087="",1,0)</f>
        <v>0</v>
      </c>
      <c r="V1087" s="9" t="n">
        <f aca="false">IF(E1087="",1,0)</f>
        <v>0</v>
      </c>
      <c r="W1087" s="9" t="n">
        <f aca="false">IF(OR(H1087&lt;1,H1087&gt;10),1,0)</f>
        <v>0</v>
      </c>
      <c r="X1087" s="9" t="n">
        <f aca="false">IF(OR(I1087&lt;=0,I1087&gt;1500),1,0)</f>
        <v>0</v>
      </c>
      <c r="Y1087" s="9" t="n">
        <f aca="false">IF(J1087&gt;H1087*I1087,1,0)</f>
        <v>0</v>
      </c>
      <c r="Z1087" s="9" t="n">
        <f aca="false">IF(AND(N1087&lt;&gt;"",OR(N1087&lt;1,N1087&gt;5)),1,0)</f>
        <v>0</v>
      </c>
      <c r="AA1087" s="9" t="n">
        <f aca="false">IF(AND(M1087&lt;&gt;"",OR(M1087&lt;5,M1087&gt;180)),1,0)</f>
        <v>0</v>
      </c>
      <c r="AB1087" s="7" t="str">
        <f aca="false">IF(P1087="DUP","Exact duplicate row",IF(T1087=1,"Missing Order ID",IF(S1087="DROP","Duplicate Order ID (less complete row)",IF(U1087=1,"Missing Customer ID",IF(V1087=1,"Missing Restaurant name",IF(W1087=1,"Invalid/outlier quantity",IF(X1087=1,"Invalid/outlier unit price",IF(Y1087=1,"Discount greater than order value",""))))))))</f>
        <v/>
      </c>
      <c r="AC1087" s="7" t="str">
        <f aca="false">IF(AB1087="","KEEP","DROP")</f>
        <v>KEEP</v>
      </c>
      <c r="AD1087" s="7" t="str">
        <f aca="false">IF(TRIM(F1087)="",IFERROR(INDEX(Map_Tables!$I$4:$I$37,MATCH(TRIM(E1087),Map_Tables!$G$4:$G$37,0)),""),IFERROR(INDEX(Map_Tables!$B$4:$B$18,MATCH(TRIM(F1087),Map_Tables!$A$4:$A$18,0)),"CHECK"))</f>
        <v>Hyderabad</v>
      </c>
      <c r="AE1087" s="7" t="str">
        <f aca="false">IF(TRIM(E1087)="","",IFERROR(INDEX(Map_Tables!$H$4:$H$37,MATCH(TRIM(E1087),Map_Tables!$G$4:$G$37,0)),"CHECK"))</f>
        <v>Hyderabad Dum Biryani</v>
      </c>
      <c r="AF1087" s="7" t="str">
        <f aca="false">IF(TRIM(K1087)="","Unknown",IFERROR(INDEX(Map_Tables!$E$4:$E$15,MATCH(TRIM(K1087),Map_Tables!$D$4:$D$15,0)),"CHECK"))</f>
        <v>UPI</v>
      </c>
      <c r="AG1087" s="7" t="str">
        <f aca="false">IF(LEFT(LOWER(TRIM(L1087)),6)="cancel","Cancelled","Delivered")</f>
        <v>Delivered</v>
      </c>
      <c r="AH1087" s="10" t="n">
        <f aca="false">IF(ISNUMBER(SEARCH("/",B1087)),DATE(VALUE(RIGHT(B1087,4)),VALUE(MID(B1087,4,2)),VALUE(LEFT(B1087,2))),IF(MID(B1087,5,1)="-",DATE(VALUE(LEFT(B1087,4)),VALUE(MID(B1087,6,2)),VALUE(RIGHT(B1087,2))),DATE(VALUE(RIGHT(B1087,4)),MATCH(MID(B1087,4,3),{"Jan","Feb","Mar","Apr","May","Jun","Jul","Aug","Sep","Oct","Nov","Dec"},0),VALUE(LEFT(B1087,2)))))</f>
        <v>45784</v>
      </c>
    </row>
    <row r="1088" customFormat="false" ht="15" hidden="false" customHeight="false" outlineLevel="0" collapsed="false">
      <c r="A1088" s="7" t="s">
        <v>3188</v>
      </c>
      <c r="B1088" s="7" t="s">
        <v>754</v>
      </c>
      <c r="C1088" s="7" t="s">
        <v>3189</v>
      </c>
      <c r="D1088" s="7" t="s">
        <v>2944</v>
      </c>
      <c r="E1088" s="7" t="s">
        <v>94</v>
      </c>
      <c r="F1088" s="7" t="s">
        <v>86</v>
      </c>
      <c r="G1088" s="7" t="s">
        <v>95</v>
      </c>
      <c r="H1088" s="7" t="n">
        <v>1</v>
      </c>
      <c r="I1088" s="7" t="n">
        <v>125</v>
      </c>
      <c r="J1088" s="7" t="n">
        <v>0</v>
      </c>
      <c r="K1088" s="7"/>
      <c r="L1088" s="7" t="s">
        <v>194</v>
      </c>
      <c r="M1088" s="7" t="n">
        <v>23</v>
      </c>
      <c r="N1088" s="7" t="n">
        <v>3</v>
      </c>
      <c r="O1088" s="7" t="str">
        <f aca="false">A1088&amp;"|"&amp;B1088&amp;"|"&amp;C1088&amp;"|"&amp;D1088&amp;"|"&amp;E1088&amp;"|"&amp;F1088&amp;"|"&amp;G1088&amp;"|"&amp;H1088&amp;"|"&amp;I1088&amp;"|"&amp;J1088&amp;"|"&amp;K1088&amp;"|"&amp;L1088&amp;"|"&amp;M1088&amp;"|"&amp;N1088</f>
        <v>ORD12075|2025-09-25|10:12|C0510|Dosa Darbar|Bengaluru|South Indian|1|125|0||Delivered|23|3</v>
      </c>
      <c r="P1088" s="7" t="str">
        <f aca="false">IF(COUNTIF($O$2:O1088,O1088)&gt;1,"DUP","OK")</f>
        <v>OK</v>
      </c>
      <c r="Q1088" s="7" t="n">
        <f aca="false">COUNTBLANK(A1088:N1088)</f>
        <v>1</v>
      </c>
      <c r="R1088" s="7" t="n">
        <f aca="false">IF(A1088="",0,COUNTIFS($A$2:$A$3058,A1088,$P$2:$P$3058,"OK"))</f>
        <v>1</v>
      </c>
      <c r="S1088" s="7" t="str">
        <f aca="false">IF(OR(A1088="",P1088="DUP",R1088&lt;2),"",IF(Q1088=_xlfn.MINIFS($Q$2:$Q$3058,$A$2:$A$3058,A1088,$P$2:$P$3058,"OK"),"KEEP","DROP"))</f>
        <v/>
      </c>
      <c r="T1088" s="9" t="n">
        <f aca="false">IF(A1088="",1,0)</f>
        <v>0</v>
      </c>
      <c r="U1088" s="9" t="n">
        <f aca="false">IF(D1088="",1,0)</f>
        <v>0</v>
      </c>
      <c r="V1088" s="9" t="n">
        <f aca="false">IF(E1088="",1,0)</f>
        <v>0</v>
      </c>
      <c r="W1088" s="9" t="n">
        <f aca="false">IF(OR(H1088&lt;1,H1088&gt;10),1,0)</f>
        <v>0</v>
      </c>
      <c r="X1088" s="9" t="n">
        <f aca="false">IF(OR(I1088&lt;=0,I1088&gt;1500),1,0)</f>
        <v>0</v>
      </c>
      <c r="Y1088" s="9" t="n">
        <f aca="false">IF(J1088&gt;H1088*I1088,1,0)</f>
        <v>0</v>
      </c>
      <c r="Z1088" s="9" t="n">
        <f aca="false">IF(AND(N1088&lt;&gt;"",OR(N1088&lt;1,N1088&gt;5)),1,0)</f>
        <v>0</v>
      </c>
      <c r="AA1088" s="9" t="n">
        <f aca="false">IF(AND(M1088&lt;&gt;"",OR(M1088&lt;5,M1088&gt;180)),1,0)</f>
        <v>0</v>
      </c>
      <c r="AB1088" s="7" t="str">
        <f aca="false">IF(P1088="DUP","Exact duplicate row",IF(T1088=1,"Missing Order ID",IF(S1088="DROP","Duplicate Order ID (less complete row)",IF(U1088=1,"Missing Customer ID",IF(V1088=1,"Missing Restaurant name",IF(W1088=1,"Invalid/outlier quantity",IF(X1088=1,"Invalid/outlier unit price",IF(Y1088=1,"Discount greater than order value",""))))))))</f>
        <v/>
      </c>
      <c r="AC1088" s="7" t="str">
        <f aca="false">IF(AB1088="","KEEP","DROP")</f>
        <v>KEEP</v>
      </c>
      <c r="AD1088" s="7" t="str">
        <f aca="false">IF(TRIM(F1088)="",IFERROR(INDEX(Map_Tables!$I$4:$I$37,MATCH(TRIM(E1088),Map_Tables!$G$4:$G$37,0)),""),IFERROR(INDEX(Map_Tables!$B$4:$B$18,MATCH(TRIM(F1088),Map_Tables!$A$4:$A$18,0)),"CHECK"))</f>
        <v>Bengaluru</v>
      </c>
      <c r="AE1088" s="7" t="str">
        <f aca="false">IF(TRIM(E1088)="","",IFERROR(INDEX(Map_Tables!$H$4:$H$37,MATCH(TRIM(E1088),Map_Tables!$G$4:$G$37,0)),"CHECK"))</f>
        <v>Dosa Darbar</v>
      </c>
      <c r="AF1088" s="7" t="str">
        <f aca="false">IF(TRIM(K1088)="","Unknown",IFERROR(INDEX(Map_Tables!$E$4:$E$15,MATCH(TRIM(K1088),Map_Tables!$D$4:$D$15,0)),"CHECK"))</f>
        <v>Unknown</v>
      </c>
      <c r="AG1088" s="7" t="str">
        <f aca="false">IF(LEFT(LOWER(TRIM(L1088)),6)="cancel","Cancelled","Delivered")</f>
        <v>Delivered</v>
      </c>
      <c r="AH1088" s="10" t="n">
        <f aca="false">IF(ISNUMBER(SEARCH("/",B1088)),DATE(VALUE(RIGHT(B1088,4)),VALUE(MID(B1088,4,2)),VALUE(LEFT(B1088,2))),IF(MID(B1088,5,1)="-",DATE(VALUE(LEFT(B1088,4)),VALUE(MID(B1088,6,2)),VALUE(RIGHT(B1088,2))),DATE(VALUE(RIGHT(B1088,4)),MATCH(MID(B1088,4,3),{"Jan","Feb","Mar","Apr","May","Jun","Jul","Aug","Sep","Oct","Nov","Dec"},0),VALUE(LEFT(B1088,2)))))</f>
        <v>45925</v>
      </c>
    </row>
    <row r="1089" customFormat="false" ht="15" hidden="false" customHeight="false" outlineLevel="0" collapsed="false">
      <c r="A1089" s="7" t="s">
        <v>3190</v>
      </c>
      <c r="B1089" s="7" t="s">
        <v>605</v>
      </c>
      <c r="C1089" s="7" t="s">
        <v>1734</v>
      </c>
      <c r="D1089" s="7" t="s">
        <v>3191</v>
      </c>
      <c r="E1089" s="7" t="s">
        <v>130</v>
      </c>
      <c r="F1089" s="7" t="s">
        <v>110</v>
      </c>
      <c r="G1089" s="7" t="s">
        <v>90</v>
      </c>
      <c r="H1089" s="7" t="n">
        <v>1</v>
      </c>
      <c r="I1089" s="7" t="n">
        <v>275</v>
      </c>
      <c r="J1089" s="7" t="n">
        <v>0</v>
      </c>
      <c r="K1089" s="7" t="s">
        <v>88</v>
      </c>
      <c r="L1089" s="7" t="s">
        <v>194</v>
      </c>
      <c r="M1089" s="7" t="n">
        <v>28</v>
      </c>
      <c r="N1089" s="7" t="n">
        <v>3</v>
      </c>
      <c r="O1089" s="7" t="str">
        <f aca="false">A1089&amp;"|"&amp;B1089&amp;"|"&amp;C1089&amp;"|"&amp;D1089&amp;"|"&amp;E1089&amp;"|"&amp;F1089&amp;"|"&amp;G1089&amp;"|"&amp;H1089&amp;"|"&amp;I1089&amp;"|"&amp;J1089&amp;"|"&amp;K1089&amp;"|"&amp;L1089&amp;"|"&amp;M1089&amp;"|"&amp;N1089</f>
        <v>ORD10661|25/03/2025|17:16|C0649|Tandoor Tales|Delhi|North Indian|1|275|0|UPI|Delivered|28|3</v>
      </c>
      <c r="P1089" s="7" t="str">
        <f aca="false">IF(COUNTIF($O$2:O1089,O1089)&gt;1,"DUP","OK")</f>
        <v>OK</v>
      </c>
      <c r="Q1089" s="7" t="n">
        <f aca="false">COUNTBLANK(A1089:N1089)</f>
        <v>0</v>
      </c>
      <c r="R1089" s="7" t="n">
        <f aca="false">IF(A1089="",0,COUNTIFS($A$2:$A$3058,A1089,$P$2:$P$3058,"OK"))</f>
        <v>1</v>
      </c>
      <c r="S1089" s="7" t="str">
        <f aca="false">IF(OR(A1089="",P1089="DUP",R1089&lt;2),"",IF(Q1089=_xlfn.MINIFS($Q$2:$Q$3058,$A$2:$A$3058,A1089,$P$2:$P$3058,"OK"),"KEEP","DROP"))</f>
        <v/>
      </c>
      <c r="T1089" s="9" t="n">
        <f aca="false">IF(A1089="",1,0)</f>
        <v>0</v>
      </c>
      <c r="U1089" s="9" t="n">
        <f aca="false">IF(D1089="",1,0)</f>
        <v>0</v>
      </c>
      <c r="V1089" s="9" t="n">
        <f aca="false">IF(E1089="",1,0)</f>
        <v>0</v>
      </c>
      <c r="W1089" s="9" t="n">
        <f aca="false">IF(OR(H1089&lt;1,H1089&gt;10),1,0)</f>
        <v>0</v>
      </c>
      <c r="X1089" s="9" t="n">
        <f aca="false">IF(OR(I1089&lt;=0,I1089&gt;1500),1,0)</f>
        <v>0</v>
      </c>
      <c r="Y1089" s="9" t="n">
        <f aca="false">IF(J1089&gt;H1089*I1089,1,0)</f>
        <v>0</v>
      </c>
      <c r="Z1089" s="9" t="n">
        <f aca="false">IF(AND(N1089&lt;&gt;"",OR(N1089&lt;1,N1089&gt;5)),1,0)</f>
        <v>0</v>
      </c>
      <c r="AA1089" s="9" t="n">
        <f aca="false">IF(AND(M1089&lt;&gt;"",OR(M1089&lt;5,M1089&gt;180)),1,0)</f>
        <v>0</v>
      </c>
      <c r="AB1089" s="7" t="str">
        <f aca="false">IF(P1089="DUP","Exact duplicate row",IF(T1089=1,"Missing Order ID",IF(S1089="DROP","Duplicate Order ID (less complete row)",IF(U1089=1,"Missing Customer ID",IF(V1089=1,"Missing Restaurant name",IF(W1089=1,"Invalid/outlier quantity",IF(X1089=1,"Invalid/outlier unit price",IF(Y1089=1,"Discount greater than order value",""))))))))</f>
        <v/>
      </c>
      <c r="AC1089" s="7" t="str">
        <f aca="false">IF(AB1089="","KEEP","DROP")</f>
        <v>KEEP</v>
      </c>
      <c r="AD1089" s="7" t="str">
        <f aca="false">IF(TRIM(F1089)="",IFERROR(INDEX(Map_Tables!$I$4:$I$37,MATCH(TRIM(E1089),Map_Tables!$G$4:$G$37,0)),""),IFERROR(INDEX(Map_Tables!$B$4:$B$18,MATCH(TRIM(F1089),Map_Tables!$A$4:$A$18,0)),"CHECK"))</f>
        <v>Delhi</v>
      </c>
      <c r="AE1089" s="7" t="str">
        <f aca="false">IF(TRIM(E1089)="","",IFERROR(INDEX(Map_Tables!$H$4:$H$37,MATCH(TRIM(E1089),Map_Tables!$G$4:$G$37,0)),"CHECK"))</f>
        <v>Tandoor Tales</v>
      </c>
      <c r="AF1089" s="7" t="str">
        <f aca="false">IF(TRIM(K1089)="","Unknown",IFERROR(INDEX(Map_Tables!$E$4:$E$15,MATCH(TRIM(K1089),Map_Tables!$D$4:$D$15,0)),"CHECK"))</f>
        <v>UPI</v>
      </c>
      <c r="AG1089" s="7" t="str">
        <f aca="false">IF(LEFT(LOWER(TRIM(L1089)),6)="cancel","Cancelled","Delivered")</f>
        <v>Delivered</v>
      </c>
      <c r="AH1089" s="10" t="n">
        <f aca="false">IF(ISNUMBER(SEARCH("/",B1089)),DATE(VALUE(RIGHT(B1089,4)),VALUE(MID(B1089,4,2)),VALUE(LEFT(B1089,2))),IF(MID(B1089,5,1)="-",DATE(VALUE(LEFT(B1089,4)),VALUE(MID(B1089,6,2)),VALUE(RIGHT(B1089,2))),DATE(VALUE(RIGHT(B1089,4)),MATCH(MID(B1089,4,3),{"Jan","Feb","Mar","Apr","May","Jun","Jul","Aug","Sep","Oct","Nov","Dec"},0),VALUE(LEFT(B1089,2)))))</f>
        <v>45741</v>
      </c>
    </row>
    <row r="1090" customFormat="false" ht="15" hidden="false" customHeight="false" outlineLevel="0" collapsed="false">
      <c r="A1090" s="7" t="s">
        <v>3192</v>
      </c>
      <c r="B1090" s="7" t="s">
        <v>824</v>
      </c>
      <c r="C1090" s="7" t="s">
        <v>2844</v>
      </c>
      <c r="D1090" s="7" t="s">
        <v>3030</v>
      </c>
      <c r="E1090" s="7" t="s">
        <v>138</v>
      </c>
      <c r="F1090" s="7" t="s">
        <v>110</v>
      </c>
      <c r="G1090" s="7" t="s">
        <v>139</v>
      </c>
      <c r="H1090" s="7" t="n">
        <v>1</v>
      </c>
      <c r="I1090" s="7" t="n">
        <v>180</v>
      </c>
      <c r="J1090" s="7" t="n">
        <v>0</v>
      </c>
      <c r="K1090" s="7" t="s">
        <v>133</v>
      </c>
      <c r="L1090" s="7" t="s">
        <v>194</v>
      </c>
      <c r="M1090" s="7" t="n">
        <v>33</v>
      </c>
      <c r="N1090" s="7" t="n">
        <v>4</v>
      </c>
      <c r="O1090" s="7" t="str">
        <f aca="false">A1090&amp;"|"&amp;B1090&amp;"|"&amp;C1090&amp;"|"&amp;D1090&amp;"|"&amp;E1090&amp;"|"&amp;F1090&amp;"|"&amp;G1090&amp;"|"&amp;H1090&amp;"|"&amp;I1090&amp;"|"&amp;J1090&amp;"|"&amp;K1090&amp;"|"&amp;L1090&amp;"|"&amp;M1090&amp;"|"&amp;N1090</f>
        <v>ORD12771|2025-12-05|08:55|C1287|Burger Barn|Delhi|Burgers|1|180|0|Net Banking|Delivered|33|4</v>
      </c>
      <c r="P1090" s="7" t="str">
        <f aca="false">IF(COUNTIF($O$2:O1090,O1090)&gt;1,"DUP","OK")</f>
        <v>OK</v>
      </c>
      <c r="Q1090" s="7" t="n">
        <f aca="false">COUNTBLANK(A1090:N1090)</f>
        <v>0</v>
      </c>
      <c r="R1090" s="7" t="n">
        <f aca="false">IF(A1090="",0,COUNTIFS($A$2:$A$3058,A1090,$P$2:$P$3058,"OK"))</f>
        <v>1</v>
      </c>
      <c r="S1090" s="7" t="str">
        <f aca="false">IF(OR(A1090="",P1090="DUP",R1090&lt;2),"",IF(Q1090=_xlfn.MINIFS($Q$2:$Q$3058,$A$2:$A$3058,A1090,$P$2:$P$3058,"OK"),"KEEP","DROP"))</f>
        <v/>
      </c>
      <c r="T1090" s="9" t="n">
        <f aca="false">IF(A1090="",1,0)</f>
        <v>0</v>
      </c>
      <c r="U1090" s="9" t="n">
        <f aca="false">IF(D1090="",1,0)</f>
        <v>0</v>
      </c>
      <c r="V1090" s="9" t="n">
        <f aca="false">IF(E1090="",1,0)</f>
        <v>0</v>
      </c>
      <c r="W1090" s="9" t="n">
        <f aca="false">IF(OR(H1090&lt;1,H1090&gt;10),1,0)</f>
        <v>0</v>
      </c>
      <c r="X1090" s="9" t="n">
        <f aca="false">IF(OR(I1090&lt;=0,I1090&gt;1500),1,0)</f>
        <v>0</v>
      </c>
      <c r="Y1090" s="9" t="n">
        <f aca="false">IF(J1090&gt;H1090*I1090,1,0)</f>
        <v>0</v>
      </c>
      <c r="Z1090" s="9" t="n">
        <f aca="false">IF(AND(N1090&lt;&gt;"",OR(N1090&lt;1,N1090&gt;5)),1,0)</f>
        <v>0</v>
      </c>
      <c r="AA1090" s="9" t="n">
        <f aca="false">IF(AND(M1090&lt;&gt;"",OR(M1090&lt;5,M1090&gt;180)),1,0)</f>
        <v>0</v>
      </c>
      <c r="AB1090" s="7" t="str">
        <f aca="false">IF(P1090="DUP","Exact duplicate row",IF(T1090=1,"Missing Order ID",IF(S1090="DROP","Duplicate Order ID (less complete row)",IF(U1090=1,"Missing Customer ID",IF(V1090=1,"Missing Restaurant name",IF(W1090=1,"Invalid/outlier quantity",IF(X1090=1,"Invalid/outlier unit price",IF(Y1090=1,"Discount greater than order value",""))))))))</f>
        <v/>
      </c>
      <c r="AC1090" s="7" t="str">
        <f aca="false">IF(AB1090="","KEEP","DROP")</f>
        <v>KEEP</v>
      </c>
      <c r="AD1090" s="7" t="str">
        <f aca="false">IF(TRIM(F1090)="",IFERROR(INDEX(Map_Tables!$I$4:$I$37,MATCH(TRIM(E1090),Map_Tables!$G$4:$G$37,0)),""),IFERROR(INDEX(Map_Tables!$B$4:$B$18,MATCH(TRIM(F1090),Map_Tables!$A$4:$A$18,0)),"CHECK"))</f>
        <v>Delhi</v>
      </c>
      <c r="AE1090" s="7" t="str">
        <f aca="false">IF(TRIM(E1090)="","",IFERROR(INDEX(Map_Tables!$H$4:$H$37,MATCH(TRIM(E1090),Map_Tables!$G$4:$G$37,0)),"CHECK"))</f>
        <v>Burger Barn</v>
      </c>
      <c r="AF1090" s="7" t="str">
        <f aca="false">IF(TRIM(K1090)="","Unknown",IFERROR(INDEX(Map_Tables!$E$4:$E$15,MATCH(TRIM(K1090),Map_Tables!$D$4:$D$15,0)),"CHECK"))</f>
        <v>Net Banking</v>
      </c>
      <c r="AG1090" s="7" t="str">
        <f aca="false">IF(LEFT(LOWER(TRIM(L1090)),6)="cancel","Cancelled","Delivered")</f>
        <v>Delivered</v>
      </c>
      <c r="AH1090" s="10" t="n">
        <f aca="false">IF(ISNUMBER(SEARCH("/",B1090)),DATE(VALUE(RIGHT(B1090,4)),VALUE(MID(B1090,4,2)),VALUE(LEFT(B1090,2))),IF(MID(B1090,5,1)="-",DATE(VALUE(LEFT(B1090,4)),VALUE(MID(B1090,6,2)),VALUE(RIGHT(B1090,2))),DATE(VALUE(RIGHT(B1090,4)),MATCH(MID(B1090,4,3),{"Jan","Feb","Mar","Apr","May","Jun","Jul","Aug","Sep","Oct","Nov","Dec"},0),VALUE(LEFT(B1090,2)))))</f>
        <v>45996</v>
      </c>
    </row>
    <row r="1091" customFormat="false" ht="15" hidden="false" customHeight="false" outlineLevel="0" collapsed="false">
      <c r="A1091" s="7" t="s">
        <v>3193</v>
      </c>
      <c r="B1091" s="7" t="s">
        <v>1767</v>
      </c>
      <c r="C1091" s="7" t="s">
        <v>743</v>
      </c>
      <c r="D1091" s="7" t="s">
        <v>826</v>
      </c>
      <c r="E1091" s="7" t="s">
        <v>164</v>
      </c>
      <c r="F1091" s="7" t="s">
        <v>1915</v>
      </c>
      <c r="G1091" s="7" t="s">
        <v>150</v>
      </c>
      <c r="H1091" s="7" t="n">
        <v>4</v>
      </c>
      <c r="I1091" s="7" t="n">
        <v>140</v>
      </c>
      <c r="J1091" s="7" t="n">
        <v>100</v>
      </c>
      <c r="K1091" s="7" t="s">
        <v>103</v>
      </c>
      <c r="L1091" s="7" t="s">
        <v>194</v>
      </c>
      <c r="M1091" s="7" t="n">
        <v>44</v>
      </c>
      <c r="N1091" s="7" t="n">
        <v>5</v>
      </c>
      <c r="O1091" s="7" t="str">
        <f aca="false">A1091&amp;"|"&amp;B1091&amp;"|"&amp;C1091&amp;"|"&amp;D1091&amp;"|"&amp;E1091&amp;"|"&amp;F1091&amp;"|"&amp;G1091&amp;"|"&amp;H1091&amp;"|"&amp;I1091&amp;"|"&amp;J1091&amp;"|"&amp;K1091&amp;"|"&amp;L1091&amp;"|"&amp;M1091&amp;"|"&amp;N1091</f>
        <v>ORD12204|2025-10-08|11:09|C0650|Mishti Mandir|KOLKATA|Desserts|4|140|100|Debit Card|Delivered|44|5</v>
      </c>
      <c r="P1091" s="7" t="str">
        <f aca="false">IF(COUNTIF($O$2:O1091,O1091)&gt;1,"DUP","OK")</f>
        <v>OK</v>
      </c>
      <c r="Q1091" s="7" t="n">
        <f aca="false">COUNTBLANK(A1091:N1091)</f>
        <v>0</v>
      </c>
      <c r="R1091" s="7" t="n">
        <f aca="false">IF(A1091="",0,COUNTIFS($A$2:$A$3058,A1091,$P$2:$P$3058,"OK"))</f>
        <v>1</v>
      </c>
      <c r="S1091" s="7" t="str">
        <f aca="false">IF(OR(A1091="",P1091="DUP",R1091&lt;2),"",IF(Q1091=_xlfn.MINIFS($Q$2:$Q$3058,$A$2:$A$3058,A1091,$P$2:$P$3058,"OK"),"KEEP","DROP"))</f>
        <v/>
      </c>
      <c r="T1091" s="9" t="n">
        <f aca="false">IF(A1091="",1,0)</f>
        <v>0</v>
      </c>
      <c r="U1091" s="9" t="n">
        <f aca="false">IF(D1091="",1,0)</f>
        <v>0</v>
      </c>
      <c r="V1091" s="9" t="n">
        <f aca="false">IF(E1091="",1,0)</f>
        <v>0</v>
      </c>
      <c r="W1091" s="9" t="n">
        <f aca="false">IF(OR(H1091&lt;1,H1091&gt;10),1,0)</f>
        <v>0</v>
      </c>
      <c r="X1091" s="9" t="n">
        <f aca="false">IF(OR(I1091&lt;=0,I1091&gt;1500),1,0)</f>
        <v>0</v>
      </c>
      <c r="Y1091" s="9" t="n">
        <f aca="false">IF(J1091&gt;H1091*I1091,1,0)</f>
        <v>0</v>
      </c>
      <c r="Z1091" s="9" t="n">
        <f aca="false">IF(AND(N1091&lt;&gt;"",OR(N1091&lt;1,N1091&gt;5)),1,0)</f>
        <v>0</v>
      </c>
      <c r="AA1091" s="9" t="n">
        <f aca="false">IF(AND(M1091&lt;&gt;"",OR(M1091&lt;5,M1091&gt;180)),1,0)</f>
        <v>0</v>
      </c>
      <c r="AB1091" s="7" t="str">
        <f aca="false">IF(P1091="DUP","Exact duplicate row",IF(T1091=1,"Missing Order ID",IF(S1091="DROP","Duplicate Order ID (less complete row)",IF(U1091=1,"Missing Customer ID",IF(V1091=1,"Missing Restaurant name",IF(W1091=1,"Invalid/outlier quantity",IF(X1091=1,"Invalid/outlier unit price",IF(Y1091=1,"Discount greater than order value",""))))))))</f>
        <v/>
      </c>
      <c r="AC1091" s="7" t="str">
        <f aca="false">IF(AB1091="","KEEP","DROP")</f>
        <v>KEEP</v>
      </c>
      <c r="AD1091" s="7" t="str">
        <f aca="false">IF(TRIM(F1091)="",IFERROR(INDEX(Map_Tables!$I$4:$I$37,MATCH(TRIM(E1091),Map_Tables!$G$4:$G$37,0)),""),IFERROR(INDEX(Map_Tables!$B$4:$B$18,MATCH(TRIM(F1091),Map_Tables!$A$4:$A$18,0)),"CHECK"))</f>
        <v>Kolkata</v>
      </c>
      <c r="AE1091" s="7" t="str">
        <f aca="false">IF(TRIM(E1091)="","",IFERROR(INDEX(Map_Tables!$H$4:$H$37,MATCH(TRIM(E1091),Map_Tables!$G$4:$G$37,0)),"CHECK"))</f>
        <v>Mishti Mandir</v>
      </c>
      <c r="AF1091" s="7" t="str">
        <f aca="false">IF(TRIM(K1091)="","Unknown",IFERROR(INDEX(Map_Tables!$E$4:$E$15,MATCH(TRIM(K1091),Map_Tables!$D$4:$D$15,0)),"CHECK"))</f>
        <v>Debit Card</v>
      </c>
      <c r="AG1091" s="7" t="str">
        <f aca="false">IF(LEFT(LOWER(TRIM(L1091)),6)="cancel","Cancelled","Delivered")</f>
        <v>Delivered</v>
      </c>
      <c r="AH1091" s="10" t="n">
        <f aca="false">IF(ISNUMBER(SEARCH("/",B1091)),DATE(VALUE(RIGHT(B1091,4)),VALUE(MID(B1091,4,2)),VALUE(LEFT(B1091,2))),IF(MID(B1091,5,1)="-",DATE(VALUE(LEFT(B1091,4)),VALUE(MID(B1091,6,2)),VALUE(RIGHT(B1091,2))),DATE(VALUE(RIGHT(B1091,4)),MATCH(MID(B1091,4,3),{"Jan","Feb","Mar","Apr","May","Jun","Jul","Aug","Sep","Oct","Nov","Dec"},0),VALUE(LEFT(B1091,2)))))</f>
        <v>45938</v>
      </c>
    </row>
    <row r="1092" customFormat="false" ht="15" hidden="false" customHeight="false" outlineLevel="0" collapsed="false">
      <c r="A1092" s="7" t="s">
        <v>3194</v>
      </c>
      <c r="B1092" s="7" t="s">
        <v>2308</v>
      </c>
      <c r="C1092" s="7" t="s">
        <v>1313</v>
      </c>
      <c r="D1092" s="7" t="s">
        <v>3195</v>
      </c>
      <c r="E1092" s="7" t="s">
        <v>163</v>
      </c>
      <c r="F1092" s="7" t="s">
        <v>141</v>
      </c>
      <c r="G1092" s="7" t="s">
        <v>99</v>
      </c>
      <c r="H1092" s="7" t="n">
        <v>3</v>
      </c>
      <c r="I1092" s="7" t="n">
        <v>295</v>
      </c>
      <c r="J1092" s="7" t="n">
        <v>150</v>
      </c>
      <c r="K1092" s="7" t="s">
        <v>133</v>
      </c>
      <c r="L1092" s="7" t="s">
        <v>194</v>
      </c>
      <c r="M1092" s="7" t="n">
        <v>45</v>
      </c>
      <c r="N1092" s="7" t="n">
        <v>4</v>
      </c>
      <c r="O1092" s="7" t="str">
        <f aca="false">A1092&amp;"|"&amp;B1092&amp;"|"&amp;C1092&amp;"|"&amp;D1092&amp;"|"&amp;E1092&amp;"|"&amp;F1092&amp;"|"&amp;G1092&amp;"|"&amp;H1092&amp;"|"&amp;I1092&amp;"|"&amp;J1092&amp;"|"&amp;K1092&amp;"|"&amp;L1092&amp;"|"&amp;M1092&amp;"|"&amp;N1092</f>
        <v>ORD10900|2025-04-23|20:52|C0759|Biryani Baadshah|Kolkata|Biryani|3|295|150|Net Banking|Delivered|45|4</v>
      </c>
      <c r="P1092" s="7" t="str">
        <f aca="false">IF(COUNTIF($O$2:O1092,O1092)&gt;1,"DUP","OK")</f>
        <v>OK</v>
      </c>
      <c r="Q1092" s="7" t="n">
        <f aca="false">COUNTBLANK(A1092:N1092)</f>
        <v>0</v>
      </c>
      <c r="R1092" s="7" t="n">
        <f aca="false">IF(A1092="",0,COUNTIFS($A$2:$A$3058,A1092,$P$2:$P$3058,"OK"))</f>
        <v>1</v>
      </c>
      <c r="S1092" s="7" t="str">
        <f aca="false">IF(OR(A1092="",P1092="DUP",R1092&lt;2),"",IF(Q1092=_xlfn.MINIFS($Q$2:$Q$3058,$A$2:$A$3058,A1092,$P$2:$P$3058,"OK"),"KEEP","DROP"))</f>
        <v/>
      </c>
      <c r="T1092" s="9" t="n">
        <f aca="false">IF(A1092="",1,0)</f>
        <v>0</v>
      </c>
      <c r="U1092" s="9" t="n">
        <f aca="false">IF(D1092="",1,0)</f>
        <v>0</v>
      </c>
      <c r="V1092" s="9" t="n">
        <f aca="false">IF(E1092="",1,0)</f>
        <v>0</v>
      </c>
      <c r="W1092" s="9" t="n">
        <f aca="false">IF(OR(H1092&lt;1,H1092&gt;10),1,0)</f>
        <v>0</v>
      </c>
      <c r="X1092" s="9" t="n">
        <f aca="false">IF(OR(I1092&lt;=0,I1092&gt;1500),1,0)</f>
        <v>0</v>
      </c>
      <c r="Y1092" s="9" t="n">
        <f aca="false">IF(J1092&gt;H1092*I1092,1,0)</f>
        <v>0</v>
      </c>
      <c r="Z1092" s="9" t="n">
        <f aca="false">IF(AND(N1092&lt;&gt;"",OR(N1092&lt;1,N1092&gt;5)),1,0)</f>
        <v>0</v>
      </c>
      <c r="AA1092" s="9" t="n">
        <f aca="false">IF(AND(M1092&lt;&gt;"",OR(M1092&lt;5,M1092&gt;180)),1,0)</f>
        <v>0</v>
      </c>
      <c r="AB1092" s="7" t="str">
        <f aca="false">IF(P1092="DUP","Exact duplicate row",IF(T1092=1,"Missing Order ID",IF(S1092="DROP","Duplicate Order ID (less complete row)",IF(U1092=1,"Missing Customer ID",IF(V1092=1,"Missing Restaurant name",IF(W1092=1,"Invalid/outlier quantity",IF(X1092=1,"Invalid/outlier unit price",IF(Y1092=1,"Discount greater than order value",""))))))))</f>
        <v/>
      </c>
      <c r="AC1092" s="7" t="str">
        <f aca="false">IF(AB1092="","KEEP","DROP")</f>
        <v>KEEP</v>
      </c>
      <c r="AD1092" s="7" t="str">
        <f aca="false">IF(TRIM(F1092)="",IFERROR(INDEX(Map_Tables!$I$4:$I$37,MATCH(TRIM(E1092),Map_Tables!$G$4:$G$37,0)),""),IFERROR(INDEX(Map_Tables!$B$4:$B$18,MATCH(TRIM(F1092),Map_Tables!$A$4:$A$18,0)),"CHECK"))</f>
        <v>Kolkata</v>
      </c>
      <c r="AE1092" s="7" t="str">
        <f aca="false">IF(TRIM(E1092)="","",IFERROR(INDEX(Map_Tables!$H$4:$H$37,MATCH(TRIM(E1092),Map_Tables!$G$4:$G$37,0)),"CHECK"))</f>
        <v>Biryani Baadshah</v>
      </c>
      <c r="AF1092" s="7" t="str">
        <f aca="false">IF(TRIM(K1092)="","Unknown",IFERROR(INDEX(Map_Tables!$E$4:$E$15,MATCH(TRIM(K1092),Map_Tables!$D$4:$D$15,0)),"CHECK"))</f>
        <v>Net Banking</v>
      </c>
      <c r="AG1092" s="7" t="str">
        <f aca="false">IF(LEFT(LOWER(TRIM(L1092)),6)="cancel","Cancelled","Delivered")</f>
        <v>Delivered</v>
      </c>
      <c r="AH1092" s="10" t="n">
        <f aca="false">IF(ISNUMBER(SEARCH("/",B1092)),DATE(VALUE(RIGHT(B1092,4)),VALUE(MID(B1092,4,2)),VALUE(LEFT(B1092,2))),IF(MID(B1092,5,1)="-",DATE(VALUE(LEFT(B1092,4)),VALUE(MID(B1092,6,2)),VALUE(RIGHT(B1092,2))),DATE(VALUE(RIGHT(B1092,4)),MATCH(MID(B1092,4,3),{"Jan","Feb","Mar","Apr","May","Jun","Jul","Aug","Sep","Oct","Nov","Dec"},0),VALUE(LEFT(B1092,2)))))</f>
        <v>45770</v>
      </c>
    </row>
    <row r="1093" customFormat="false" ht="15" hidden="false" customHeight="false" outlineLevel="0" collapsed="false">
      <c r="A1093" s="7" t="s">
        <v>3196</v>
      </c>
      <c r="B1093" s="7" t="s">
        <v>1698</v>
      </c>
      <c r="C1093" s="7" t="s">
        <v>3197</v>
      </c>
      <c r="D1093" s="7" t="s">
        <v>3198</v>
      </c>
      <c r="E1093" s="7" t="s">
        <v>147</v>
      </c>
      <c r="F1093" s="7" t="s">
        <v>118</v>
      </c>
      <c r="G1093" s="7" t="s">
        <v>95</v>
      </c>
      <c r="H1093" s="7" t="n">
        <v>5</v>
      </c>
      <c r="I1093" s="7" t="n">
        <v>195</v>
      </c>
      <c r="J1093" s="7" t="n">
        <v>50</v>
      </c>
      <c r="K1093" s="7" t="s">
        <v>88</v>
      </c>
      <c r="L1093" s="7" t="s">
        <v>194</v>
      </c>
      <c r="M1093" s="7" t="n">
        <v>35</v>
      </c>
      <c r="N1093" s="7" t="n">
        <v>3</v>
      </c>
      <c r="O1093" s="7" t="str">
        <f aca="false">A1093&amp;"|"&amp;B1093&amp;"|"&amp;C1093&amp;"|"&amp;D1093&amp;"|"&amp;E1093&amp;"|"&amp;F1093&amp;"|"&amp;G1093&amp;"|"&amp;H1093&amp;"|"&amp;I1093&amp;"|"&amp;J1093&amp;"|"&amp;K1093&amp;"|"&amp;L1093&amp;"|"&amp;M1093&amp;"|"&amp;N1093</f>
        <v>ORD12181|2025-10-05|10:36|C0243|Andhra Meals Mess|hyderabad|South Indian|5|195|50|UPI|Delivered|35|3</v>
      </c>
      <c r="P1093" s="7" t="str">
        <f aca="false">IF(COUNTIF($O$2:O1093,O1093)&gt;1,"DUP","OK")</f>
        <v>OK</v>
      </c>
      <c r="Q1093" s="7" t="n">
        <f aca="false">COUNTBLANK(A1093:N1093)</f>
        <v>0</v>
      </c>
      <c r="R1093" s="7" t="n">
        <f aca="false">IF(A1093="",0,COUNTIFS($A$2:$A$3058,A1093,$P$2:$P$3058,"OK"))</f>
        <v>1</v>
      </c>
      <c r="S1093" s="7" t="str">
        <f aca="false">IF(OR(A1093="",P1093="DUP",R1093&lt;2),"",IF(Q1093=_xlfn.MINIFS($Q$2:$Q$3058,$A$2:$A$3058,A1093,$P$2:$P$3058,"OK"),"KEEP","DROP"))</f>
        <v/>
      </c>
      <c r="T1093" s="9" t="n">
        <f aca="false">IF(A1093="",1,0)</f>
        <v>0</v>
      </c>
      <c r="U1093" s="9" t="n">
        <f aca="false">IF(D1093="",1,0)</f>
        <v>0</v>
      </c>
      <c r="V1093" s="9" t="n">
        <f aca="false">IF(E1093="",1,0)</f>
        <v>0</v>
      </c>
      <c r="W1093" s="9" t="n">
        <f aca="false">IF(OR(H1093&lt;1,H1093&gt;10),1,0)</f>
        <v>0</v>
      </c>
      <c r="X1093" s="9" t="n">
        <f aca="false">IF(OR(I1093&lt;=0,I1093&gt;1500),1,0)</f>
        <v>0</v>
      </c>
      <c r="Y1093" s="9" t="n">
        <f aca="false">IF(J1093&gt;H1093*I1093,1,0)</f>
        <v>0</v>
      </c>
      <c r="Z1093" s="9" t="n">
        <f aca="false">IF(AND(N1093&lt;&gt;"",OR(N1093&lt;1,N1093&gt;5)),1,0)</f>
        <v>0</v>
      </c>
      <c r="AA1093" s="9" t="n">
        <f aca="false">IF(AND(M1093&lt;&gt;"",OR(M1093&lt;5,M1093&gt;180)),1,0)</f>
        <v>0</v>
      </c>
      <c r="AB1093" s="7" t="str">
        <f aca="false">IF(P1093="DUP","Exact duplicate row",IF(T1093=1,"Missing Order ID",IF(S1093="DROP","Duplicate Order ID (less complete row)",IF(U1093=1,"Missing Customer ID",IF(V1093=1,"Missing Restaurant name",IF(W1093=1,"Invalid/outlier quantity",IF(X1093=1,"Invalid/outlier unit price",IF(Y1093=1,"Discount greater than order value",""))))))))</f>
        <v/>
      </c>
      <c r="AC1093" s="7" t="str">
        <f aca="false">IF(AB1093="","KEEP","DROP")</f>
        <v>KEEP</v>
      </c>
      <c r="AD1093" s="7" t="str">
        <f aca="false">IF(TRIM(F1093)="",IFERROR(INDEX(Map_Tables!$I$4:$I$37,MATCH(TRIM(E1093),Map_Tables!$G$4:$G$37,0)),""),IFERROR(INDEX(Map_Tables!$B$4:$B$18,MATCH(TRIM(F1093),Map_Tables!$A$4:$A$18,0)),"CHECK"))</f>
        <v>Hyderabad</v>
      </c>
      <c r="AE1093" s="7" t="str">
        <f aca="false">IF(TRIM(E1093)="","",IFERROR(INDEX(Map_Tables!$H$4:$H$37,MATCH(TRIM(E1093),Map_Tables!$G$4:$G$37,0)),"CHECK"))</f>
        <v>Andhra Meals Mess</v>
      </c>
      <c r="AF1093" s="7" t="str">
        <f aca="false">IF(TRIM(K1093)="","Unknown",IFERROR(INDEX(Map_Tables!$E$4:$E$15,MATCH(TRIM(K1093),Map_Tables!$D$4:$D$15,0)),"CHECK"))</f>
        <v>UPI</v>
      </c>
      <c r="AG1093" s="7" t="str">
        <f aca="false">IF(LEFT(LOWER(TRIM(L1093)),6)="cancel","Cancelled","Delivered")</f>
        <v>Delivered</v>
      </c>
      <c r="AH1093" s="10" t="n">
        <f aca="false">IF(ISNUMBER(SEARCH("/",B1093)),DATE(VALUE(RIGHT(B1093,4)),VALUE(MID(B1093,4,2)),VALUE(LEFT(B1093,2))),IF(MID(B1093,5,1)="-",DATE(VALUE(LEFT(B1093,4)),VALUE(MID(B1093,6,2)),VALUE(RIGHT(B1093,2))),DATE(VALUE(RIGHT(B1093,4)),MATCH(MID(B1093,4,3),{"Jan","Feb","Mar","Apr","May","Jun","Jul","Aug","Sep","Oct","Nov","Dec"},0),VALUE(LEFT(B1093,2)))))</f>
        <v>45935</v>
      </c>
    </row>
    <row r="1094" customFormat="false" ht="15" hidden="false" customHeight="false" outlineLevel="0" collapsed="false">
      <c r="A1094" s="7" t="s">
        <v>3199</v>
      </c>
      <c r="B1094" s="7" t="s">
        <v>3200</v>
      </c>
      <c r="C1094" s="7" t="s">
        <v>996</v>
      </c>
      <c r="D1094" s="7" t="s">
        <v>2326</v>
      </c>
      <c r="E1094" s="7" t="s">
        <v>151</v>
      </c>
      <c r="F1094" s="7" t="s">
        <v>128</v>
      </c>
      <c r="G1094" s="7" t="s">
        <v>95</v>
      </c>
      <c r="H1094" s="7" t="n">
        <v>1</v>
      </c>
      <c r="I1094" s="7" t="n">
        <v>190</v>
      </c>
      <c r="J1094" s="7" t="n">
        <v>30</v>
      </c>
      <c r="K1094" s="7" t="s">
        <v>103</v>
      </c>
      <c r="L1094" s="7" t="s">
        <v>194</v>
      </c>
      <c r="M1094" s="7" t="n">
        <v>37</v>
      </c>
      <c r="N1094" s="7" t="n">
        <v>4</v>
      </c>
      <c r="O1094" s="7" t="str">
        <f aca="false">A1094&amp;"|"&amp;B1094&amp;"|"&amp;C1094&amp;"|"&amp;D1094&amp;"|"&amp;E1094&amp;"|"&amp;F1094&amp;"|"&amp;G1094&amp;"|"&amp;H1094&amp;"|"&amp;I1094&amp;"|"&amp;J1094&amp;"|"&amp;K1094&amp;"|"&amp;L1094&amp;"|"&amp;M1094&amp;"|"&amp;N1094</f>
        <v>ORD10159|2025-01-21|12:06|C0396|Chettinad House|Chennai|South Indian|1|190|30|Debit Card|Delivered|37|4</v>
      </c>
      <c r="P1094" s="7" t="str">
        <f aca="false">IF(COUNTIF($O$2:O1094,O1094)&gt;1,"DUP","OK")</f>
        <v>OK</v>
      </c>
      <c r="Q1094" s="7" t="n">
        <f aca="false">COUNTBLANK(A1094:N1094)</f>
        <v>0</v>
      </c>
      <c r="R1094" s="7" t="n">
        <f aca="false">IF(A1094="",0,COUNTIFS($A$2:$A$3058,A1094,$P$2:$P$3058,"OK"))</f>
        <v>1</v>
      </c>
      <c r="S1094" s="7" t="str">
        <f aca="false">IF(OR(A1094="",P1094="DUP",R1094&lt;2),"",IF(Q1094=_xlfn.MINIFS($Q$2:$Q$3058,$A$2:$A$3058,A1094,$P$2:$P$3058,"OK"),"KEEP","DROP"))</f>
        <v/>
      </c>
      <c r="T1094" s="9" t="n">
        <f aca="false">IF(A1094="",1,0)</f>
        <v>0</v>
      </c>
      <c r="U1094" s="9" t="n">
        <f aca="false">IF(D1094="",1,0)</f>
        <v>0</v>
      </c>
      <c r="V1094" s="9" t="n">
        <f aca="false">IF(E1094="",1,0)</f>
        <v>0</v>
      </c>
      <c r="W1094" s="9" t="n">
        <f aca="false">IF(OR(H1094&lt;1,H1094&gt;10),1,0)</f>
        <v>0</v>
      </c>
      <c r="X1094" s="9" t="n">
        <f aca="false">IF(OR(I1094&lt;=0,I1094&gt;1500),1,0)</f>
        <v>0</v>
      </c>
      <c r="Y1094" s="9" t="n">
        <f aca="false">IF(J1094&gt;H1094*I1094,1,0)</f>
        <v>0</v>
      </c>
      <c r="Z1094" s="9" t="n">
        <f aca="false">IF(AND(N1094&lt;&gt;"",OR(N1094&lt;1,N1094&gt;5)),1,0)</f>
        <v>0</v>
      </c>
      <c r="AA1094" s="9" t="n">
        <f aca="false">IF(AND(M1094&lt;&gt;"",OR(M1094&lt;5,M1094&gt;180)),1,0)</f>
        <v>0</v>
      </c>
      <c r="AB1094" s="7" t="str">
        <f aca="false">IF(P1094="DUP","Exact duplicate row",IF(T1094=1,"Missing Order ID",IF(S1094="DROP","Duplicate Order ID (less complete row)",IF(U1094=1,"Missing Customer ID",IF(V1094=1,"Missing Restaurant name",IF(W1094=1,"Invalid/outlier quantity",IF(X1094=1,"Invalid/outlier unit price",IF(Y1094=1,"Discount greater than order value",""))))))))</f>
        <v/>
      </c>
      <c r="AC1094" s="7" t="str">
        <f aca="false">IF(AB1094="","KEEP","DROP")</f>
        <v>KEEP</v>
      </c>
      <c r="AD1094" s="7" t="str">
        <f aca="false">IF(TRIM(F1094)="",IFERROR(INDEX(Map_Tables!$I$4:$I$37,MATCH(TRIM(E1094),Map_Tables!$G$4:$G$37,0)),""),IFERROR(INDEX(Map_Tables!$B$4:$B$18,MATCH(TRIM(F1094),Map_Tables!$A$4:$A$18,0)),"CHECK"))</f>
        <v>Chennai</v>
      </c>
      <c r="AE1094" s="7" t="str">
        <f aca="false">IF(TRIM(E1094)="","",IFERROR(INDEX(Map_Tables!$H$4:$H$37,MATCH(TRIM(E1094),Map_Tables!$G$4:$G$37,0)),"CHECK"))</f>
        <v>Chettinad House</v>
      </c>
      <c r="AF1094" s="7" t="str">
        <f aca="false">IF(TRIM(K1094)="","Unknown",IFERROR(INDEX(Map_Tables!$E$4:$E$15,MATCH(TRIM(K1094),Map_Tables!$D$4:$D$15,0)),"CHECK"))</f>
        <v>Debit Card</v>
      </c>
      <c r="AG1094" s="7" t="str">
        <f aca="false">IF(LEFT(LOWER(TRIM(L1094)),6)="cancel","Cancelled","Delivered")</f>
        <v>Delivered</v>
      </c>
      <c r="AH1094" s="10" t="n">
        <f aca="false">IF(ISNUMBER(SEARCH("/",B1094)),DATE(VALUE(RIGHT(B1094,4)),VALUE(MID(B1094,4,2)),VALUE(LEFT(B1094,2))),IF(MID(B1094,5,1)="-",DATE(VALUE(LEFT(B1094,4)),VALUE(MID(B1094,6,2)),VALUE(RIGHT(B1094,2))),DATE(VALUE(RIGHT(B1094,4)),MATCH(MID(B1094,4,3),{"Jan","Feb","Mar","Apr","May","Jun","Jul","Aug","Sep","Oct","Nov","Dec"},0),VALUE(LEFT(B1094,2)))))</f>
        <v>45678</v>
      </c>
    </row>
    <row r="1095" customFormat="false" ht="15" hidden="false" customHeight="false" outlineLevel="0" collapsed="false">
      <c r="A1095" s="7" t="s">
        <v>3201</v>
      </c>
      <c r="B1095" s="7" t="s">
        <v>3070</v>
      </c>
      <c r="C1095" s="7" t="s">
        <v>883</v>
      </c>
      <c r="D1095" s="7" t="s">
        <v>3202</v>
      </c>
      <c r="E1095" s="7" t="s">
        <v>98</v>
      </c>
      <c r="F1095" s="7" t="s">
        <v>86</v>
      </c>
      <c r="G1095" s="7" t="s">
        <v>99</v>
      </c>
      <c r="H1095" s="7" t="n">
        <v>3</v>
      </c>
      <c r="I1095" s="7" t="n">
        <v>305</v>
      </c>
      <c r="J1095" s="7" t="n">
        <v>0</v>
      </c>
      <c r="K1095" s="7" t="s">
        <v>93</v>
      </c>
      <c r="L1095" s="7" t="s">
        <v>194</v>
      </c>
      <c r="M1095" s="7" t="n">
        <v>46</v>
      </c>
      <c r="N1095" s="7" t="n">
        <v>4</v>
      </c>
      <c r="O1095" s="7" t="str">
        <f aca="false">A1095&amp;"|"&amp;B1095&amp;"|"&amp;C1095&amp;"|"&amp;D1095&amp;"|"&amp;E1095&amp;"|"&amp;F1095&amp;"|"&amp;G1095&amp;"|"&amp;H1095&amp;"|"&amp;I1095&amp;"|"&amp;J1095&amp;"|"&amp;K1095&amp;"|"&amp;L1095&amp;"|"&amp;M1095&amp;"|"&amp;N1095</f>
        <v>ORD10384|2025-02-20|13:42|C0813|Nawabi Biryani House|Bengaluru|Biryani|3|305|0|Credit Card|Delivered|46|4</v>
      </c>
      <c r="P1095" s="7" t="str">
        <f aca="false">IF(COUNTIF($O$2:O1095,O1095)&gt;1,"DUP","OK")</f>
        <v>OK</v>
      </c>
      <c r="Q1095" s="7" t="n">
        <f aca="false">COUNTBLANK(A1095:N1095)</f>
        <v>0</v>
      </c>
      <c r="R1095" s="7" t="n">
        <f aca="false">IF(A1095="",0,COUNTIFS($A$2:$A$3058,A1095,$P$2:$P$3058,"OK"))</f>
        <v>1</v>
      </c>
      <c r="S1095" s="7" t="str">
        <f aca="false">IF(OR(A1095="",P1095="DUP",R1095&lt;2),"",IF(Q1095=_xlfn.MINIFS($Q$2:$Q$3058,$A$2:$A$3058,A1095,$P$2:$P$3058,"OK"),"KEEP","DROP"))</f>
        <v/>
      </c>
      <c r="T1095" s="9" t="n">
        <f aca="false">IF(A1095="",1,0)</f>
        <v>0</v>
      </c>
      <c r="U1095" s="9" t="n">
        <f aca="false">IF(D1095="",1,0)</f>
        <v>0</v>
      </c>
      <c r="V1095" s="9" t="n">
        <f aca="false">IF(E1095="",1,0)</f>
        <v>0</v>
      </c>
      <c r="W1095" s="9" t="n">
        <f aca="false">IF(OR(H1095&lt;1,H1095&gt;10),1,0)</f>
        <v>0</v>
      </c>
      <c r="X1095" s="9" t="n">
        <f aca="false">IF(OR(I1095&lt;=0,I1095&gt;1500),1,0)</f>
        <v>0</v>
      </c>
      <c r="Y1095" s="9" t="n">
        <f aca="false">IF(J1095&gt;H1095*I1095,1,0)</f>
        <v>0</v>
      </c>
      <c r="Z1095" s="9" t="n">
        <f aca="false">IF(AND(N1095&lt;&gt;"",OR(N1095&lt;1,N1095&gt;5)),1,0)</f>
        <v>0</v>
      </c>
      <c r="AA1095" s="9" t="n">
        <f aca="false">IF(AND(M1095&lt;&gt;"",OR(M1095&lt;5,M1095&gt;180)),1,0)</f>
        <v>0</v>
      </c>
      <c r="AB1095" s="7" t="str">
        <f aca="false">IF(P1095="DUP","Exact duplicate row",IF(T1095=1,"Missing Order ID",IF(S1095="DROP","Duplicate Order ID (less complete row)",IF(U1095=1,"Missing Customer ID",IF(V1095=1,"Missing Restaurant name",IF(W1095=1,"Invalid/outlier quantity",IF(X1095=1,"Invalid/outlier unit price",IF(Y1095=1,"Discount greater than order value",""))))))))</f>
        <v/>
      </c>
      <c r="AC1095" s="7" t="str">
        <f aca="false">IF(AB1095="","KEEP","DROP")</f>
        <v>KEEP</v>
      </c>
      <c r="AD1095" s="7" t="str">
        <f aca="false">IF(TRIM(F1095)="",IFERROR(INDEX(Map_Tables!$I$4:$I$37,MATCH(TRIM(E1095),Map_Tables!$G$4:$G$37,0)),""),IFERROR(INDEX(Map_Tables!$B$4:$B$18,MATCH(TRIM(F1095),Map_Tables!$A$4:$A$18,0)),"CHECK"))</f>
        <v>Bengaluru</v>
      </c>
      <c r="AE1095" s="7" t="str">
        <f aca="false">IF(TRIM(E1095)="","",IFERROR(INDEX(Map_Tables!$H$4:$H$37,MATCH(TRIM(E1095),Map_Tables!$G$4:$G$37,0)),"CHECK"))</f>
        <v>Nawabi Biryani House</v>
      </c>
      <c r="AF1095" s="7" t="str">
        <f aca="false">IF(TRIM(K1095)="","Unknown",IFERROR(INDEX(Map_Tables!$E$4:$E$15,MATCH(TRIM(K1095),Map_Tables!$D$4:$D$15,0)),"CHECK"))</f>
        <v>Credit Card</v>
      </c>
      <c r="AG1095" s="7" t="str">
        <f aca="false">IF(LEFT(LOWER(TRIM(L1095)),6)="cancel","Cancelled","Delivered")</f>
        <v>Delivered</v>
      </c>
      <c r="AH1095" s="10" t="n">
        <f aca="false">IF(ISNUMBER(SEARCH("/",B1095)),DATE(VALUE(RIGHT(B1095,4)),VALUE(MID(B1095,4,2)),VALUE(LEFT(B1095,2))),IF(MID(B1095,5,1)="-",DATE(VALUE(LEFT(B1095,4)),VALUE(MID(B1095,6,2)),VALUE(RIGHT(B1095,2))),DATE(VALUE(RIGHT(B1095,4)),MATCH(MID(B1095,4,3),{"Jan","Feb","Mar","Apr","May","Jun","Jul","Aug","Sep","Oct","Nov","Dec"},0),VALUE(LEFT(B1095,2)))))</f>
        <v>45708</v>
      </c>
    </row>
    <row r="1096" customFormat="false" ht="15" hidden="false" customHeight="false" outlineLevel="0" collapsed="false">
      <c r="A1096" s="7" t="s">
        <v>3203</v>
      </c>
      <c r="B1096" s="7" t="s">
        <v>1970</v>
      </c>
      <c r="C1096" s="7" t="s">
        <v>3204</v>
      </c>
      <c r="D1096" s="7" t="s">
        <v>3205</v>
      </c>
      <c r="E1096" s="7" t="s">
        <v>126</v>
      </c>
      <c r="F1096" s="7" t="s">
        <v>101</v>
      </c>
      <c r="G1096" s="7" t="s">
        <v>105</v>
      </c>
      <c r="H1096" s="7" t="n">
        <v>3</v>
      </c>
      <c r="I1096" s="7" t="n">
        <v>240</v>
      </c>
      <c r="J1096" s="7" t="n">
        <v>75</v>
      </c>
      <c r="K1096" s="7" t="s">
        <v>88</v>
      </c>
      <c r="L1096" s="7" t="s">
        <v>194</v>
      </c>
      <c r="M1096" s="7" t="n">
        <v>53</v>
      </c>
      <c r="N1096" s="7" t="n">
        <v>4</v>
      </c>
      <c r="O1096" s="7" t="str">
        <f aca="false">A1096&amp;"|"&amp;B1096&amp;"|"&amp;C1096&amp;"|"&amp;D1096&amp;"|"&amp;E1096&amp;"|"&amp;F1096&amp;"|"&amp;G1096&amp;"|"&amp;H1096&amp;"|"&amp;I1096&amp;"|"&amp;J1096&amp;"|"&amp;K1096&amp;"|"&amp;L1096&amp;"|"&amp;M1096&amp;"|"&amp;N1096</f>
        <v>ORD12142|2025-10-01|21:26|C0416|Dragon Express|Mumbai|Chinese|3|240|75|UPI|Delivered|53|4</v>
      </c>
      <c r="P1096" s="7" t="str">
        <f aca="false">IF(COUNTIF($O$2:O1096,O1096)&gt;1,"DUP","OK")</f>
        <v>OK</v>
      </c>
      <c r="Q1096" s="7" t="n">
        <f aca="false">COUNTBLANK(A1096:N1096)</f>
        <v>0</v>
      </c>
      <c r="R1096" s="7" t="n">
        <f aca="false">IF(A1096="",0,COUNTIFS($A$2:$A$3058,A1096,$P$2:$P$3058,"OK"))</f>
        <v>1</v>
      </c>
      <c r="S1096" s="7" t="str">
        <f aca="false">IF(OR(A1096="",P1096="DUP",R1096&lt;2),"",IF(Q1096=_xlfn.MINIFS($Q$2:$Q$3058,$A$2:$A$3058,A1096,$P$2:$P$3058,"OK"),"KEEP","DROP"))</f>
        <v/>
      </c>
      <c r="T1096" s="9" t="n">
        <f aca="false">IF(A1096="",1,0)</f>
        <v>0</v>
      </c>
      <c r="U1096" s="9" t="n">
        <f aca="false">IF(D1096="",1,0)</f>
        <v>0</v>
      </c>
      <c r="V1096" s="9" t="n">
        <f aca="false">IF(E1096="",1,0)</f>
        <v>0</v>
      </c>
      <c r="W1096" s="9" t="n">
        <f aca="false">IF(OR(H1096&lt;1,H1096&gt;10),1,0)</f>
        <v>0</v>
      </c>
      <c r="X1096" s="9" t="n">
        <f aca="false">IF(OR(I1096&lt;=0,I1096&gt;1500),1,0)</f>
        <v>0</v>
      </c>
      <c r="Y1096" s="9" t="n">
        <f aca="false">IF(J1096&gt;H1096*I1096,1,0)</f>
        <v>0</v>
      </c>
      <c r="Z1096" s="9" t="n">
        <f aca="false">IF(AND(N1096&lt;&gt;"",OR(N1096&lt;1,N1096&gt;5)),1,0)</f>
        <v>0</v>
      </c>
      <c r="AA1096" s="9" t="n">
        <f aca="false">IF(AND(M1096&lt;&gt;"",OR(M1096&lt;5,M1096&gt;180)),1,0)</f>
        <v>0</v>
      </c>
      <c r="AB1096" s="7" t="str">
        <f aca="false">IF(P1096="DUP","Exact duplicate row",IF(T1096=1,"Missing Order ID",IF(S1096="DROP","Duplicate Order ID (less complete row)",IF(U1096=1,"Missing Customer ID",IF(V1096=1,"Missing Restaurant name",IF(W1096=1,"Invalid/outlier quantity",IF(X1096=1,"Invalid/outlier unit price",IF(Y1096=1,"Discount greater than order value",""))))))))</f>
        <v/>
      </c>
      <c r="AC1096" s="7" t="str">
        <f aca="false">IF(AB1096="","KEEP","DROP")</f>
        <v>KEEP</v>
      </c>
      <c r="AD1096" s="7" t="str">
        <f aca="false">IF(TRIM(F1096)="",IFERROR(INDEX(Map_Tables!$I$4:$I$37,MATCH(TRIM(E1096),Map_Tables!$G$4:$G$37,0)),""),IFERROR(INDEX(Map_Tables!$B$4:$B$18,MATCH(TRIM(F1096),Map_Tables!$A$4:$A$18,0)),"CHECK"))</f>
        <v>Mumbai</v>
      </c>
      <c r="AE1096" s="7" t="str">
        <f aca="false">IF(TRIM(E1096)="","",IFERROR(INDEX(Map_Tables!$H$4:$H$37,MATCH(TRIM(E1096),Map_Tables!$G$4:$G$37,0)),"CHECK"))</f>
        <v>Dragon Express</v>
      </c>
      <c r="AF1096" s="7" t="str">
        <f aca="false">IF(TRIM(K1096)="","Unknown",IFERROR(INDEX(Map_Tables!$E$4:$E$15,MATCH(TRIM(K1096),Map_Tables!$D$4:$D$15,0)),"CHECK"))</f>
        <v>UPI</v>
      </c>
      <c r="AG1096" s="7" t="str">
        <f aca="false">IF(LEFT(LOWER(TRIM(L1096)),6)="cancel","Cancelled","Delivered")</f>
        <v>Delivered</v>
      </c>
      <c r="AH1096" s="10" t="n">
        <f aca="false">IF(ISNUMBER(SEARCH("/",B1096)),DATE(VALUE(RIGHT(B1096,4)),VALUE(MID(B1096,4,2)),VALUE(LEFT(B1096,2))),IF(MID(B1096,5,1)="-",DATE(VALUE(LEFT(B1096,4)),VALUE(MID(B1096,6,2)),VALUE(RIGHT(B1096,2))),DATE(VALUE(RIGHT(B1096,4)),MATCH(MID(B1096,4,3),{"Jan","Feb","Mar","Apr","May","Jun","Jul","Aug","Sep","Oct","Nov","Dec"},0),VALUE(LEFT(B1096,2)))))</f>
        <v>45931</v>
      </c>
    </row>
    <row r="1097" customFormat="false" ht="15" hidden="false" customHeight="false" outlineLevel="0" collapsed="false">
      <c r="A1097" s="7" t="s">
        <v>3206</v>
      </c>
      <c r="B1097" s="7" t="s">
        <v>3207</v>
      </c>
      <c r="C1097" s="7" t="s">
        <v>1191</v>
      </c>
      <c r="D1097" s="7" t="s">
        <v>2086</v>
      </c>
      <c r="E1097" s="7" t="s">
        <v>134</v>
      </c>
      <c r="F1097" s="7" t="s">
        <v>110</v>
      </c>
      <c r="G1097" s="7" t="s">
        <v>117</v>
      </c>
      <c r="H1097" s="7" t="n">
        <v>2</v>
      </c>
      <c r="I1097" s="7" t="n">
        <v>90</v>
      </c>
      <c r="J1097" s="7" t="n">
        <v>40</v>
      </c>
      <c r="K1097" s="7" t="s">
        <v>88</v>
      </c>
      <c r="L1097" s="7" t="s">
        <v>194</v>
      </c>
      <c r="M1097" s="7" t="n">
        <v>39</v>
      </c>
      <c r="N1097" s="7" t="n">
        <v>5</v>
      </c>
      <c r="O1097" s="7" t="str">
        <f aca="false">A1097&amp;"|"&amp;B1097&amp;"|"&amp;C1097&amp;"|"&amp;D1097&amp;"|"&amp;E1097&amp;"|"&amp;F1097&amp;"|"&amp;G1097&amp;"|"&amp;H1097&amp;"|"&amp;I1097&amp;"|"&amp;J1097&amp;"|"&amp;K1097&amp;"|"&amp;L1097&amp;"|"&amp;M1097&amp;"|"&amp;N1097</f>
        <v>ORD10141|19/01/2025|10:59|C0165|Chaat Corner|Delhi|Street Food|2|90|40|UPI|Delivered|39|5</v>
      </c>
      <c r="P1097" s="7" t="str">
        <f aca="false">IF(COUNTIF($O$2:O1097,O1097)&gt;1,"DUP","OK")</f>
        <v>OK</v>
      </c>
      <c r="Q1097" s="7" t="n">
        <f aca="false">COUNTBLANK(A1097:N1097)</f>
        <v>0</v>
      </c>
      <c r="R1097" s="7" t="n">
        <f aca="false">IF(A1097="",0,COUNTIFS($A$2:$A$3058,A1097,$P$2:$P$3058,"OK"))</f>
        <v>1</v>
      </c>
      <c r="S1097" s="7" t="str">
        <f aca="false">IF(OR(A1097="",P1097="DUP",R1097&lt;2),"",IF(Q1097=_xlfn.MINIFS($Q$2:$Q$3058,$A$2:$A$3058,A1097,$P$2:$P$3058,"OK"),"KEEP","DROP"))</f>
        <v/>
      </c>
      <c r="T1097" s="9" t="n">
        <f aca="false">IF(A1097="",1,0)</f>
        <v>0</v>
      </c>
      <c r="U1097" s="9" t="n">
        <f aca="false">IF(D1097="",1,0)</f>
        <v>0</v>
      </c>
      <c r="V1097" s="9" t="n">
        <f aca="false">IF(E1097="",1,0)</f>
        <v>0</v>
      </c>
      <c r="W1097" s="9" t="n">
        <f aca="false">IF(OR(H1097&lt;1,H1097&gt;10),1,0)</f>
        <v>0</v>
      </c>
      <c r="X1097" s="9" t="n">
        <f aca="false">IF(OR(I1097&lt;=0,I1097&gt;1500),1,0)</f>
        <v>0</v>
      </c>
      <c r="Y1097" s="9" t="n">
        <f aca="false">IF(J1097&gt;H1097*I1097,1,0)</f>
        <v>0</v>
      </c>
      <c r="Z1097" s="9" t="n">
        <f aca="false">IF(AND(N1097&lt;&gt;"",OR(N1097&lt;1,N1097&gt;5)),1,0)</f>
        <v>0</v>
      </c>
      <c r="AA1097" s="9" t="n">
        <f aca="false">IF(AND(M1097&lt;&gt;"",OR(M1097&lt;5,M1097&gt;180)),1,0)</f>
        <v>0</v>
      </c>
      <c r="AB1097" s="7" t="str">
        <f aca="false">IF(P1097="DUP","Exact duplicate row",IF(T1097=1,"Missing Order ID",IF(S1097="DROP","Duplicate Order ID (less complete row)",IF(U1097=1,"Missing Customer ID",IF(V1097=1,"Missing Restaurant name",IF(W1097=1,"Invalid/outlier quantity",IF(X1097=1,"Invalid/outlier unit price",IF(Y1097=1,"Discount greater than order value",""))))))))</f>
        <v/>
      </c>
      <c r="AC1097" s="7" t="str">
        <f aca="false">IF(AB1097="","KEEP","DROP")</f>
        <v>KEEP</v>
      </c>
      <c r="AD1097" s="7" t="str">
        <f aca="false">IF(TRIM(F1097)="",IFERROR(INDEX(Map_Tables!$I$4:$I$37,MATCH(TRIM(E1097),Map_Tables!$G$4:$G$37,0)),""),IFERROR(INDEX(Map_Tables!$B$4:$B$18,MATCH(TRIM(F1097),Map_Tables!$A$4:$A$18,0)),"CHECK"))</f>
        <v>Delhi</v>
      </c>
      <c r="AE1097" s="7" t="str">
        <f aca="false">IF(TRIM(E1097)="","",IFERROR(INDEX(Map_Tables!$H$4:$H$37,MATCH(TRIM(E1097),Map_Tables!$G$4:$G$37,0)),"CHECK"))</f>
        <v>Chaat Corner</v>
      </c>
      <c r="AF1097" s="7" t="str">
        <f aca="false">IF(TRIM(K1097)="","Unknown",IFERROR(INDEX(Map_Tables!$E$4:$E$15,MATCH(TRIM(K1097),Map_Tables!$D$4:$D$15,0)),"CHECK"))</f>
        <v>UPI</v>
      </c>
      <c r="AG1097" s="7" t="str">
        <f aca="false">IF(LEFT(LOWER(TRIM(L1097)),6)="cancel","Cancelled","Delivered")</f>
        <v>Delivered</v>
      </c>
      <c r="AH1097" s="10" t="n">
        <f aca="false">IF(ISNUMBER(SEARCH("/",B1097)),DATE(VALUE(RIGHT(B1097,4)),VALUE(MID(B1097,4,2)),VALUE(LEFT(B1097,2))),IF(MID(B1097,5,1)="-",DATE(VALUE(LEFT(B1097,4)),VALUE(MID(B1097,6,2)),VALUE(RIGHT(B1097,2))),DATE(VALUE(RIGHT(B1097,4)),MATCH(MID(B1097,4,3),{"Jan","Feb","Mar","Apr","May","Jun","Jul","Aug","Sep","Oct","Nov","Dec"},0),VALUE(LEFT(B1097,2)))))</f>
        <v>45676</v>
      </c>
    </row>
    <row r="1098" customFormat="false" ht="15" hidden="false" customHeight="false" outlineLevel="0" collapsed="false">
      <c r="A1098" s="7" t="s">
        <v>3208</v>
      </c>
      <c r="B1098" s="7" t="s">
        <v>1057</v>
      </c>
      <c r="C1098" s="7" t="s">
        <v>3209</v>
      </c>
      <c r="D1098" s="7" t="s">
        <v>2017</v>
      </c>
      <c r="E1098" s="7" t="s">
        <v>89</v>
      </c>
      <c r="F1098" s="7" t="s">
        <v>86</v>
      </c>
      <c r="G1098" s="7" t="s">
        <v>90</v>
      </c>
      <c r="H1098" s="7" t="n">
        <v>2</v>
      </c>
      <c r="I1098" s="7" t="n">
        <v>240</v>
      </c>
      <c r="J1098" s="7" t="n">
        <v>50</v>
      </c>
      <c r="K1098" s="7" t="s">
        <v>88</v>
      </c>
      <c r="L1098" s="7" t="s">
        <v>194</v>
      </c>
      <c r="M1098" s="7" t="n">
        <v>47</v>
      </c>
      <c r="N1098" s="7" t="n">
        <v>4</v>
      </c>
      <c r="O1098" s="7" t="str">
        <f aca="false">A1098&amp;"|"&amp;B1098&amp;"|"&amp;C1098&amp;"|"&amp;D1098&amp;"|"&amp;E1098&amp;"|"&amp;F1098&amp;"|"&amp;G1098&amp;"|"&amp;H1098&amp;"|"&amp;I1098&amp;"|"&amp;J1098&amp;"|"&amp;K1098&amp;"|"&amp;L1098&amp;"|"&amp;M1098&amp;"|"&amp;N1098</f>
        <v>ORD10466|2025-03-03|20:08|C0334|Spice Junction|Bengaluru|North Indian|2|240|50|UPI|Delivered|47|4</v>
      </c>
      <c r="P1098" s="7" t="str">
        <f aca="false">IF(COUNTIF($O$2:O1098,O1098)&gt;1,"DUP","OK")</f>
        <v>OK</v>
      </c>
      <c r="Q1098" s="7" t="n">
        <f aca="false">COUNTBLANK(A1098:N1098)</f>
        <v>0</v>
      </c>
      <c r="R1098" s="7" t="n">
        <f aca="false">IF(A1098="",0,COUNTIFS($A$2:$A$3058,A1098,$P$2:$P$3058,"OK"))</f>
        <v>1</v>
      </c>
      <c r="S1098" s="7" t="str">
        <f aca="false">IF(OR(A1098="",P1098="DUP",R1098&lt;2),"",IF(Q1098=_xlfn.MINIFS($Q$2:$Q$3058,$A$2:$A$3058,A1098,$P$2:$P$3058,"OK"),"KEEP","DROP"))</f>
        <v/>
      </c>
      <c r="T1098" s="9" t="n">
        <f aca="false">IF(A1098="",1,0)</f>
        <v>0</v>
      </c>
      <c r="U1098" s="9" t="n">
        <f aca="false">IF(D1098="",1,0)</f>
        <v>0</v>
      </c>
      <c r="V1098" s="9" t="n">
        <f aca="false">IF(E1098="",1,0)</f>
        <v>0</v>
      </c>
      <c r="W1098" s="9" t="n">
        <f aca="false">IF(OR(H1098&lt;1,H1098&gt;10),1,0)</f>
        <v>0</v>
      </c>
      <c r="X1098" s="9" t="n">
        <f aca="false">IF(OR(I1098&lt;=0,I1098&gt;1500),1,0)</f>
        <v>0</v>
      </c>
      <c r="Y1098" s="9" t="n">
        <f aca="false">IF(J1098&gt;H1098*I1098,1,0)</f>
        <v>0</v>
      </c>
      <c r="Z1098" s="9" t="n">
        <f aca="false">IF(AND(N1098&lt;&gt;"",OR(N1098&lt;1,N1098&gt;5)),1,0)</f>
        <v>0</v>
      </c>
      <c r="AA1098" s="9" t="n">
        <f aca="false">IF(AND(M1098&lt;&gt;"",OR(M1098&lt;5,M1098&gt;180)),1,0)</f>
        <v>0</v>
      </c>
      <c r="AB1098" s="7" t="str">
        <f aca="false">IF(P1098="DUP","Exact duplicate row",IF(T1098=1,"Missing Order ID",IF(S1098="DROP","Duplicate Order ID (less complete row)",IF(U1098=1,"Missing Customer ID",IF(V1098=1,"Missing Restaurant name",IF(W1098=1,"Invalid/outlier quantity",IF(X1098=1,"Invalid/outlier unit price",IF(Y1098=1,"Discount greater than order value",""))))))))</f>
        <v/>
      </c>
      <c r="AC1098" s="7" t="str">
        <f aca="false">IF(AB1098="","KEEP","DROP")</f>
        <v>KEEP</v>
      </c>
      <c r="AD1098" s="7" t="str">
        <f aca="false">IF(TRIM(F1098)="",IFERROR(INDEX(Map_Tables!$I$4:$I$37,MATCH(TRIM(E1098),Map_Tables!$G$4:$G$37,0)),""),IFERROR(INDEX(Map_Tables!$B$4:$B$18,MATCH(TRIM(F1098),Map_Tables!$A$4:$A$18,0)),"CHECK"))</f>
        <v>Bengaluru</v>
      </c>
      <c r="AE1098" s="7" t="str">
        <f aca="false">IF(TRIM(E1098)="","",IFERROR(INDEX(Map_Tables!$H$4:$H$37,MATCH(TRIM(E1098),Map_Tables!$G$4:$G$37,0)),"CHECK"))</f>
        <v>Spice Junction</v>
      </c>
      <c r="AF1098" s="7" t="str">
        <f aca="false">IF(TRIM(K1098)="","Unknown",IFERROR(INDEX(Map_Tables!$E$4:$E$15,MATCH(TRIM(K1098),Map_Tables!$D$4:$D$15,0)),"CHECK"))</f>
        <v>UPI</v>
      </c>
      <c r="AG1098" s="7" t="str">
        <f aca="false">IF(LEFT(LOWER(TRIM(L1098)),6)="cancel","Cancelled","Delivered")</f>
        <v>Delivered</v>
      </c>
      <c r="AH1098" s="10" t="n">
        <f aca="false">IF(ISNUMBER(SEARCH("/",B1098)),DATE(VALUE(RIGHT(B1098,4)),VALUE(MID(B1098,4,2)),VALUE(LEFT(B1098,2))),IF(MID(B1098,5,1)="-",DATE(VALUE(LEFT(B1098,4)),VALUE(MID(B1098,6,2)),VALUE(RIGHT(B1098,2))),DATE(VALUE(RIGHT(B1098,4)),MATCH(MID(B1098,4,3),{"Jan","Feb","Mar","Apr","May","Jun","Jul","Aug","Sep","Oct","Nov","Dec"},0),VALUE(LEFT(B1098,2)))))</f>
        <v>45719</v>
      </c>
    </row>
    <row r="1099" customFormat="false" ht="15" hidden="false" customHeight="false" outlineLevel="0" collapsed="false">
      <c r="A1099" s="7" t="s">
        <v>3210</v>
      </c>
      <c r="B1099" s="7" t="s">
        <v>2568</v>
      </c>
      <c r="C1099" s="7" t="s">
        <v>3211</v>
      </c>
      <c r="D1099" s="7" t="s">
        <v>3212</v>
      </c>
      <c r="E1099" s="7" t="s">
        <v>113</v>
      </c>
      <c r="F1099" s="7" t="s">
        <v>101</v>
      </c>
      <c r="G1099" s="7" t="s">
        <v>90</v>
      </c>
      <c r="H1099" s="7" t="n">
        <v>3</v>
      </c>
      <c r="I1099" s="7" t="n">
        <v>225</v>
      </c>
      <c r="J1099" s="7" t="n">
        <v>0</v>
      </c>
      <c r="K1099" s="7" t="s">
        <v>103</v>
      </c>
      <c r="L1099" s="7" t="s">
        <v>194</v>
      </c>
      <c r="M1099" s="7" t="n">
        <v>41</v>
      </c>
      <c r="N1099" s="7" t="n">
        <v>4</v>
      </c>
      <c r="O1099" s="7" t="str">
        <f aca="false">A1099&amp;"|"&amp;B1099&amp;"|"&amp;C1099&amp;"|"&amp;D1099&amp;"|"&amp;E1099&amp;"|"&amp;F1099&amp;"|"&amp;G1099&amp;"|"&amp;H1099&amp;"|"&amp;I1099&amp;"|"&amp;J1099&amp;"|"&amp;K1099&amp;"|"&amp;L1099&amp;"|"&amp;M1099&amp;"|"&amp;N1099</f>
        <v>ORD11907|2025-09-05|08:43|C1322|Curry Leaf Kitchen|Mumbai|North Indian|3|225|0|Debit Card|Delivered|41|4</v>
      </c>
      <c r="P1099" s="7" t="str">
        <f aca="false">IF(COUNTIF($O$2:O1099,O1099)&gt;1,"DUP","OK")</f>
        <v>OK</v>
      </c>
      <c r="Q1099" s="7" t="n">
        <f aca="false">COUNTBLANK(A1099:N1099)</f>
        <v>0</v>
      </c>
      <c r="R1099" s="7" t="n">
        <f aca="false">IF(A1099="",0,COUNTIFS($A$2:$A$3058,A1099,$P$2:$P$3058,"OK"))</f>
        <v>1</v>
      </c>
      <c r="S1099" s="7" t="str">
        <f aca="false">IF(OR(A1099="",P1099="DUP",R1099&lt;2),"",IF(Q1099=_xlfn.MINIFS($Q$2:$Q$3058,$A$2:$A$3058,A1099,$P$2:$P$3058,"OK"),"KEEP","DROP"))</f>
        <v/>
      </c>
      <c r="T1099" s="9" t="n">
        <f aca="false">IF(A1099="",1,0)</f>
        <v>0</v>
      </c>
      <c r="U1099" s="9" t="n">
        <f aca="false">IF(D1099="",1,0)</f>
        <v>0</v>
      </c>
      <c r="V1099" s="9" t="n">
        <f aca="false">IF(E1099="",1,0)</f>
        <v>0</v>
      </c>
      <c r="W1099" s="9" t="n">
        <f aca="false">IF(OR(H1099&lt;1,H1099&gt;10),1,0)</f>
        <v>0</v>
      </c>
      <c r="X1099" s="9" t="n">
        <f aca="false">IF(OR(I1099&lt;=0,I1099&gt;1500),1,0)</f>
        <v>0</v>
      </c>
      <c r="Y1099" s="9" t="n">
        <f aca="false">IF(J1099&gt;H1099*I1099,1,0)</f>
        <v>0</v>
      </c>
      <c r="Z1099" s="9" t="n">
        <f aca="false">IF(AND(N1099&lt;&gt;"",OR(N1099&lt;1,N1099&gt;5)),1,0)</f>
        <v>0</v>
      </c>
      <c r="AA1099" s="9" t="n">
        <f aca="false">IF(AND(M1099&lt;&gt;"",OR(M1099&lt;5,M1099&gt;180)),1,0)</f>
        <v>0</v>
      </c>
      <c r="AB1099" s="7" t="str">
        <f aca="false">IF(P1099="DUP","Exact duplicate row",IF(T1099=1,"Missing Order ID",IF(S1099="DROP","Duplicate Order ID (less complete row)",IF(U1099=1,"Missing Customer ID",IF(V1099=1,"Missing Restaurant name",IF(W1099=1,"Invalid/outlier quantity",IF(X1099=1,"Invalid/outlier unit price",IF(Y1099=1,"Discount greater than order value",""))))))))</f>
        <v/>
      </c>
      <c r="AC1099" s="7" t="str">
        <f aca="false">IF(AB1099="","KEEP","DROP")</f>
        <v>KEEP</v>
      </c>
      <c r="AD1099" s="7" t="str">
        <f aca="false">IF(TRIM(F1099)="",IFERROR(INDEX(Map_Tables!$I$4:$I$37,MATCH(TRIM(E1099),Map_Tables!$G$4:$G$37,0)),""),IFERROR(INDEX(Map_Tables!$B$4:$B$18,MATCH(TRIM(F1099),Map_Tables!$A$4:$A$18,0)),"CHECK"))</f>
        <v>Mumbai</v>
      </c>
      <c r="AE1099" s="7" t="str">
        <f aca="false">IF(TRIM(E1099)="","",IFERROR(INDEX(Map_Tables!$H$4:$H$37,MATCH(TRIM(E1099),Map_Tables!$G$4:$G$37,0)),"CHECK"))</f>
        <v>Curry Leaf Kitchen</v>
      </c>
      <c r="AF1099" s="7" t="str">
        <f aca="false">IF(TRIM(K1099)="","Unknown",IFERROR(INDEX(Map_Tables!$E$4:$E$15,MATCH(TRIM(K1099),Map_Tables!$D$4:$D$15,0)),"CHECK"))</f>
        <v>Debit Card</v>
      </c>
      <c r="AG1099" s="7" t="str">
        <f aca="false">IF(LEFT(LOWER(TRIM(L1099)),6)="cancel","Cancelled","Delivered")</f>
        <v>Delivered</v>
      </c>
      <c r="AH1099" s="10" t="n">
        <f aca="false">IF(ISNUMBER(SEARCH("/",B1099)),DATE(VALUE(RIGHT(B1099,4)),VALUE(MID(B1099,4,2)),VALUE(LEFT(B1099,2))),IF(MID(B1099,5,1)="-",DATE(VALUE(LEFT(B1099,4)),VALUE(MID(B1099,6,2)),VALUE(RIGHT(B1099,2))),DATE(VALUE(RIGHT(B1099,4)),MATCH(MID(B1099,4,3),{"Jan","Feb","Mar","Apr","May","Jun","Jul","Aug","Sep","Oct","Nov","Dec"},0),VALUE(LEFT(B1099,2)))))</f>
        <v>45905</v>
      </c>
    </row>
    <row r="1100" customFormat="false" ht="15" hidden="false" customHeight="false" outlineLevel="0" collapsed="false">
      <c r="A1100" s="7" t="s">
        <v>3213</v>
      </c>
      <c r="B1100" s="7" t="s">
        <v>1923</v>
      </c>
      <c r="C1100" s="7" t="s">
        <v>2393</v>
      </c>
      <c r="D1100" s="7" t="s">
        <v>3214</v>
      </c>
      <c r="E1100" s="7" t="s">
        <v>138</v>
      </c>
      <c r="F1100" s="7" t="s">
        <v>110</v>
      </c>
      <c r="G1100" s="7" t="s">
        <v>139</v>
      </c>
      <c r="H1100" s="7" t="n">
        <v>3</v>
      </c>
      <c r="I1100" s="7" t="n">
        <v>200</v>
      </c>
      <c r="J1100" s="7" t="n">
        <v>20</v>
      </c>
      <c r="K1100" s="7" t="s">
        <v>121</v>
      </c>
      <c r="L1100" s="7" t="s">
        <v>194</v>
      </c>
      <c r="M1100" s="7" t="n">
        <v>35</v>
      </c>
      <c r="N1100" s="7" t="n">
        <v>3</v>
      </c>
      <c r="O1100" s="7" t="str">
        <f aca="false">A1100&amp;"|"&amp;B1100&amp;"|"&amp;C1100&amp;"|"&amp;D1100&amp;"|"&amp;E1100&amp;"|"&amp;F1100&amp;"|"&amp;G1100&amp;"|"&amp;H1100&amp;"|"&amp;I1100&amp;"|"&amp;J1100&amp;"|"&amp;K1100&amp;"|"&amp;L1100&amp;"|"&amp;M1100&amp;"|"&amp;N1100</f>
        <v>ORD10300|2025-02-10|13:21|C0585|Burger Barn|Delhi|Burgers|3|200|20|Wallet|Delivered|35|3</v>
      </c>
      <c r="P1100" s="7" t="str">
        <f aca="false">IF(COUNTIF($O$2:O1100,O1100)&gt;1,"DUP","OK")</f>
        <v>OK</v>
      </c>
      <c r="Q1100" s="7" t="n">
        <f aca="false">COUNTBLANK(A1100:N1100)</f>
        <v>0</v>
      </c>
      <c r="R1100" s="7" t="n">
        <f aca="false">IF(A1100="",0,COUNTIFS($A$2:$A$3058,A1100,$P$2:$P$3058,"OK"))</f>
        <v>1</v>
      </c>
      <c r="S1100" s="7" t="str">
        <f aca="false">IF(OR(A1100="",P1100="DUP",R1100&lt;2),"",IF(Q1100=_xlfn.MINIFS($Q$2:$Q$3058,$A$2:$A$3058,A1100,$P$2:$P$3058,"OK"),"KEEP","DROP"))</f>
        <v/>
      </c>
      <c r="T1100" s="9" t="n">
        <f aca="false">IF(A1100="",1,0)</f>
        <v>0</v>
      </c>
      <c r="U1100" s="9" t="n">
        <f aca="false">IF(D1100="",1,0)</f>
        <v>0</v>
      </c>
      <c r="V1100" s="9" t="n">
        <f aca="false">IF(E1100="",1,0)</f>
        <v>0</v>
      </c>
      <c r="W1100" s="9" t="n">
        <f aca="false">IF(OR(H1100&lt;1,H1100&gt;10),1,0)</f>
        <v>0</v>
      </c>
      <c r="X1100" s="9" t="n">
        <f aca="false">IF(OR(I1100&lt;=0,I1100&gt;1500),1,0)</f>
        <v>0</v>
      </c>
      <c r="Y1100" s="9" t="n">
        <f aca="false">IF(J1100&gt;H1100*I1100,1,0)</f>
        <v>0</v>
      </c>
      <c r="Z1100" s="9" t="n">
        <f aca="false">IF(AND(N1100&lt;&gt;"",OR(N1100&lt;1,N1100&gt;5)),1,0)</f>
        <v>0</v>
      </c>
      <c r="AA1100" s="9" t="n">
        <f aca="false">IF(AND(M1100&lt;&gt;"",OR(M1100&lt;5,M1100&gt;180)),1,0)</f>
        <v>0</v>
      </c>
      <c r="AB1100" s="7" t="str">
        <f aca="false">IF(P1100="DUP","Exact duplicate row",IF(T1100=1,"Missing Order ID",IF(S1100="DROP","Duplicate Order ID (less complete row)",IF(U1100=1,"Missing Customer ID",IF(V1100=1,"Missing Restaurant name",IF(W1100=1,"Invalid/outlier quantity",IF(X1100=1,"Invalid/outlier unit price",IF(Y1100=1,"Discount greater than order value",""))))))))</f>
        <v/>
      </c>
      <c r="AC1100" s="7" t="str">
        <f aca="false">IF(AB1100="","KEEP","DROP")</f>
        <v>KEEP</v>
      </c>
      <c r="AD1100" s="7" t="str">
        <f aca="false">IF(TRIM(F1100)="",IFERROR(INDEX(Map_Tables!$I$4:$I$37,MATCH(TRIM(E1100),Map_Tables!$G$4:$G$37,0)),""),IFERROR(INDEX(Map_Tables!$B$4:$B$18,MATCH(TRIM(F1100),Map_Tables!$A$4:$A$18,0)),"CHECK"))</f>
        <v>Delhi</v>
      </c>
      <c r="AE1100" s="7" t="str">
        <f aca="false">IF(TRIM(E1100)="","",IFERROR(INDEX(Map_Tables!$H$4:$H$37,MATCH(TRIM(E1100),Map_Tables!$G$4:$G$37,0)),"CHECK"))</f>
        <v>Burger Barn</v>
      </c>
      <c r="AF1100" s="7" t="str">
        <f aca="false">IF(TRIM(K1100)="","Unknown",IFERROR(INDEX(Map_Tables!$E$4:$E$15,MATCH(TRIM(K1100),Map_Tables!$D$4:$D$15,0)),"CHECK"))</f>
        <v>Wallet</v>
      </c>
      <c r="AG1100" s="7" t="str">
        <f aca="false">IF(LEFT(LOWER(TRIM(L1100)),6)="cancel","Cancelled","Delivered")</f>
        <v>Delivered</v>
      </c>
      <c r="AH1100" s="10" t="n">
        <f aca="false">IF(ISNUMBER(SEARCH("/",B1100)),DATE(VALUE(RIGHT(B1100,4)),VALUE(MID(B1100,4,2)),VALUE(LEFT(B1100,2))),IF(MID(B1100,5,1)="-",DATE(VALUE(LEFT(B1100,4)),VALUE(MID(B1100,6,2)),VALUE(RIGHT(B1100,2))),DATE(VALUE(RIGHT(B1100,4)),MATCH(MID(B1100,4,3),{"Jan","Feb","Mar","Apr","May","Jun","Jul","Aug","Sep","Oct","Nov","Dec"},0),VALUE(LEFT(B1100,2)))))</f>
        <v>45698</v>
      </c>
    </row>
    <row r="1101" customFormat="false" ht="15" hidden="false" customHeight="false" outlineLevel="0" collapsed="false">
      <c r="A1101" s="7" t="s">
        <v>3215</v>
      </c>
      <c r="B1101" s="7" t="s">
        <v>859</v>
      </c>
      <c r="C1101" s="7" t="s">
        <v>675</v>
      </c>
      <c r="D1101" s="7" t="s">
        <v>224</v>
      </c>
      <c r="E1101" s="7" t="s">
        <v>941</v>
      </c>
      <c r="F1101" s="7" t="s">
        <v>86</v>
      </c>
      <c r="G1101" s="7" t="s">
        <v>99</v>
      </c>
      <c r="H1101" s="7" t="n">
        <v>2</v>
      </c>
      <c r="I1101" s="7" t="n">
        <v>265</v>
      </c>
      <c r="J1101" s="7" t="n">
        <v>0</v>
      </c>
      <c r="K1101" s="7" t="s">
        <v>112</v>
      </c>
      <c r="L1101" s="7" t="s">
        <v>238</v>
      </c>
      <c r="M1101" s="7"/>
      <c r="N1101" s="7"/>
      <c r="O1101" s="7" t="str">
        <f aca="false">A1101&amp;"|"&amp;B1101&amp;"|"&amp;C1101&amp;"|"&amp;D1101&amp;"|"&amp;E1101&amp;"|"&amp;F1101&amp;"|"&amp;G1101&amp;"|"&amp;H1101&amp;"|"&amp;I1101&amp;"|"&amp;J1101&amp;"|"&amp;K1101&amp;"|"&amp;L1101&amp;"|"&amp;M1101&amp;"|"&amp;N1101</f>
        <v>ORD11871|2025-09-01|12:32|C1030|Nawabi Biryani House |Bengaluru|Biryani|2|265|0|Cash on Delivery|Cancelled||</v>
      </c>
      <c r="P1101" s="7" t="str">
        <f aca="false">IF(COUNTIF($O$2:O1101,O1101)&gt;1,"DUP","OK")</f>
        <v>OK</v>
      </c>
      <c r="Q1101" s="7" t="n">
        <f aca="false">COUNTBLANK(A1101:N1101)</f>
        <v>2</v>
      </c>
      <c r="R1101" s="7" t="n">
        <f aca="false">IF(A1101="",0,COUNTIFS($A$2:$A$3058,A1101,$P$2:$P$3058,"OK"))</f>
        <v>1</v>
      </c>
      <c r="S1101" s="7" t="str">
        <f aca="false">IF(OR(A1101="",P1101="DUP",R1101&lt;2),"",IF(Q1101=_xlfn.MINIFS($Q$2:$Q$3058,$A$2:$A$3058,A1101,$P$2:$P$3058,"OK"),"KEEP","DROP"))</f>
        <v/>
      </c>
      <c r="T1101" s="9" t="n">
        <f aca="false">IF(A1101="",1,0)</f>
        <v>0</v>
      </c>
      <c r="U1101" s="9" t="n">
        <f aca="false">IF(D1101="",1,0)</f>
        <v>0</v>
      </c>
      <c r="V1101" s="9" t="n">
        <f aca="false">IF(E1101="",1,0)</f>
        <v>0</v>
      </c>
      <c r="W1101" s="9" t="n">
        <f aca="false">IF(OR(H1101&lt;1,H1101&gt;10),1,0)</f>
        <v>0</v>
      </c>
      <c r="X1101" s="9" t="n">
        <f aca="false">IF(OR(I1101&lt;=0,I1101&gt;1500),1,0)</f>
        <v>0</v>
      </c>
      <c r="Y1101" s="9" t="n">
        <f aca="false">IF(J1101&gt;H1101*I1101,1,0)</f>
        <v>0</v>
      </c>
      <c r="Z1101" s="9" t="n">
        <f aca="false">IF(AND(N1101&lt;&gt;"",OR(N1101&lt;1,N1101&gt;5)),1,0)</f>
        <v>0</v>
      </c>
      <c r="AA1101" s="9" t="n">
        <f aca="false">IF(AND(M1101&lt;&gt;"",OR(M1101&lt;5,M1101&gt;180)),1,0)</f>
        <v>0</v>
      </c>
      <c r="AB1101" s="7" t="str">
        <f aca="false">IF(P1101="DUP","Exact duplicate row",IF(T1101=1,"Missing Order ID",IF(S1101="DROP","Duplicate Order ID (less complete row)",IF(U1101=1,"Missing Customer ID",IF(V1101=1,"Missing Restaurant name",IF(W1101=1,"Invalid/outlier quantity",IF(X1101=1,"Invalid/outlier unit price",IF(Y1101=1,"Discount greater than order value",""))))))))</f>
        <v/>
      </c>
      <c r="AC1101" s="7" t="str">
        <f aca="false">IF(AB1101="","KEEP","DROP")</f>
        <v>KEEP</v>
      </c>
      <c r="AD1101" s="7" t="str">
        <f aca="false">IF(TRIM(F1101)="",IFERROR(INDEX(Map_Tables!$I$4:$I$37,MATCH(TRIM(E1101),Map_Tables!$G$4:$G$37,0)),""),IFERROR(INDEX(Map_Tables!$B$4:$B$18,MATCH(TRIM(F1101),Map_Tables!$A$4:$A$18,0)),"CHECK"))</f>
        <v>Bengaluru</v>
      </c>
      <c r="AE1101" s="7" t="str">
        <f aca="false">IF(TRIM(E1101)="","",IFERROR(INDEX(Map_Tables!$H$4:$H$37,MATCH(TRIM(E1101),Map_Tables!$G$4:$G$37,0)),"CHECK"))</f>
        <v>Nawabi Biryani House</v>
      </c>
      <c r="AF1101" s="7" t="str">
        <f aca="false">IF(TRIM(K1101)="","Unknown",IFERROR(INDEX(Map_Tables!$E$4:$E$15,MATCH(TRIM(K1101),Map_Tables!$D$4:$D$15,0)),"CHECK"))</f>
        <v>Cash on Delivery</v>
      </c>
      <c r="AG1101" s="7" t="str">
        <f aca="false">IF(LEFT(LOWER(TRIM(L1101)),6)="cancel","Cancelled","Delivered")</f>
        <v>Cancelled</v>
      </c>
      <c r="AH1101" s="10" t="n">
        <f aca="false">IF(ISNUMBER(SEARCH("/",B1101)),DATE(VALUE(RIGHT(B1101,4)),VALUE(MID(B1101,4,2)),VALUE(LEFT(B1101,2))),IF(MID(B1101,5,1)="-",DATE(VALUE(LEFT(B1101,4)),VALUE(MID(B1101,6,2)),VALUE(RIGHT(B1101,2))),DATE(VALUE(RIGHT(B1101,4)),MATCH(MID(B1101,4,3),{"Jan","Feb","Mar","Apr","May","Jun","Jul","Aug","Sep","Oct","Nov","Dec"},0),VALUE(LEFT(B1101,2)))))</f>
        <v>45901</v>
      </c>
    </row>
    <row r="1102" customFormat="false" ht="15" hidden="false" customHeight="false" outlineLevel="0" collapsed="false">
      <c r="A1102" s="7" t="s">
        <v>3216</v>
      </c>
      <c r="B1102" s="7" t="s">
        <v>1639</v>
      </c>
      <c r="C1102" s="7" t="s">
        <v>3217</v>
      </c>
      <c r="D1102" s="7" t="s">
        <v>3218</v>
      </c>
      <c r="E1102" s="7" t="s">
        <v>116</v>
      </c>
      <c r="F1102" s="7" t="s">
        <v>101</v>
      </c>
      <c r="G1102" s="7" t="s">
        <v>117</v>
      </c>
      <c r="H1102" s="7" t="n">
        <v>4</v>
      </c>
      <c r="I1102" s="7" t="n">
        <v>135</v>
      </c>
      <c r="J1102" s="7" t="n">
        <v>40</v>
      </c>
      <c r="K1102" s="7" t="s">
        <v>121</v>
      </c>
      <c r="L1102" s="7" t="s">
        <v>194</v>
      </c>
      <c r="M1102" s="7" t="n">
        <v>35</v>
      </c>
      <c r="N1102" s="7" t="n">
        <v>5</v>
      </c>
      <c r="O1102" s="7" t="str">
        <f aca="false">A1102&amp;"|"&amp;B1102&amp;"|"&amp;C1102&amp;"|"&amp;D1102&amp;"|"&amp;E1102&amp;"|"&amp;F1102&amp;"|"&amp;G1102&amp;"|"&amp;H1102&amp;"|"&amp;I1102&amp;"|"&amp;J1102&amp;"|"&amp;K1102&amp;"|"&amp;L1102&amp;"|"&amp;M1102&amp;"|"&amp;N1102</f>
        <v>ORD10398|2025-02-22|12:17|C0033|Pav Bhaji Point|Mumbai|Street Food|4|135|40|Wallet|Delivered|35|5</v>
      </c>
      <c r="P1102" s="7" t="str">
        <f aca="false">IF(COUNTIF($O$2:O1102,O1102)&gt;1,"DUP","OK")</f>
        <v>OK</v>
      </c>
      <c r="Q1102" s="7" t="n">
        <f aca="false">COUNTBLANK(A1102:N1102)</f>
        <v>0</v>
      </c>
      <c r="R1102" s="7" t="n">
        <f aca="false">IF(A1102="",0,COUNTIFS($A$2:$A$3058,A1102,$P$2:$P$3058,"OK"))</f>
        <v>1</v>
      </c>
      <c r="S1102" s="7" t="str">
        <f aca="false">IF(OR(A1102="",P1102="DUP",R1102&lt;2),"",IF(Q1102=_xlfn.MINIFS($Q$2:$Q$3058,$A$2:$A$3058,A1102,$P$2:$P$3058,"OK"),"KEEP","DROP"))</f>
        <v/>
      </c>
      <c r="T1102" s="9" t="n">
        <f aca="false">IF(A1102="",1,0)</f>
        <v>0</v>
      </c>
      <c r="U1102" s="9" t="n">
        <f aca="false">IF(D1102="",1,0)</f>
        <v>0</v>
      </c>
      <c r="V1102" s="9" t="n">
        <f aca="false">IF(E1102="",1,0)</f>
        <v>0</v>
      </c>
      <c r="W1102" s="9" t="n">
        <f aca="false">IF(OR(H1102&lt;1,H1102&gt;10),1,0)</f>
        <v>0</v>
      </c>
      <c r="X1102" s="9" t="n">
        <f aca="false">IF(OR(I1102&lt;=0,I1102&gt;1500),1,0)</f>
        <v>0</v>
      </c>
      <c r="Y1102" s="9" t="n">
        <f aca="false">IF(J1102&gt;H1102*I1102,1,0)</f>
        <v>0</v>
      </c>
      <c r="Z1102" s="9" t="n">
        <f aca="false">IF(AND(N1102&lt;&gt;"",OR(N1102&lt;1,N1102&gt;5)),1,0)</f>
        <v>0</v>
      </c>
      <c r="AA1102" s="9" t="n">
        <f aca="false">IF(AND(M1102&lt;&gt;"",OR(M1102&lt;5,M1102&gt;180)),1,0)</f>
        <v>0</v>
      </c>
      <c r="AB1102" s="7" t="str">
        <f aca="false">IF(P1102="DUP","Exact duplicate row",IF(T1102=1,"Missing Order ID",IF(S1102="DROP","Duplicate Order ID (less complete row)",IF(U1102=1,"Missing Customer ID",IF(V1102=1,"Missing Restaurant name",IF(W1102=1,"Invalid/outlier quantity",IF(X1102=1,"Invalid/outlier unit price",IF(Y1102=1,"Discount greater than order value",""))))))))</f>
        <v/>
      </c>
      <c r="AC1102" s="7" t="str">
        <f aca="false">IF(AB1102="","KEEP","DROP")</f>
        <v>KEEP</v>
      </c>
      <c r="AD1102" s="7" t="str">
        <f aca="false">IF(TRIM(F1102)="",IFERROR(INDEX(Map_Tables!$I$4:$I$37,MATCH(TRIM(E1102),Map_Tables!$G$4:$G$37,0)),""),IFERROR(INDEX(Map_Tables!$B$4:$B$18,MATCH(TRIM(F1102),Map_Tables!$A$4:$A$18,0)),"CHECK"))</f>
        <v>Mumbai</v>
      </c>
      <c r="AE1102" s="7" t="str">
        <f aca="false">IF(TRIM(E1102)="","",IFERROR(INDEX(Map_Tables!$H$4:$H$37,MATCH(TRIM(E1102),Map_Tables!$G$4:$G$37,0)),"CHECK"))</f>
        <v>Pav Bhaji Point</v>
      </c>
      <c r="AF1102" s="7" t="str">
        <f aca="false">IF(TRIM(K1102)="","Unknown",IFERROR(INDEX(Map_Tables!$E$4:$E$15,MATCH(TRIM(K1102),Map_Tables!$D$4:$D$15,0)),"CHECK"))</f>
        <v>Wallet</v>
      </c>
      <c r="AG1102" s="7" t="str">
        <f aca="false">IF(LEFT(LOWER(TRIM(L1102)),6)="cancel","Cancelled","Delivered")</f>
        <v>Delivered</v>
      </c>
      <c r="AH1102" s="10" t="n">
        <f aca="false">IF(ISNUMBER(SEARCH("/",B1102)),DATE(VALUE(RIGHT(B1102,4)),VALUE(MID(B1102,4,2)),VALUE(LEFT(B1102,2))),IF(MID(B1102,5,1)="-",DATE(VALUE(LEFT(B1102,4)),VALUE(MID(B1102,6,2)),VALUE(RIGHT(B1102,2))),DATE(VALUE(RIGHT(B1102,4)),MATCH(MID(B1102,4,3),{"Jan","Feb","Mar","Apr","May","Jun","Jul","Aug","Sep","Oct","Nov","Dec"},0),VALUE(LEFT(B1102,2)))))</f>
        <v>45710</v>
      </c>
    </row>
    <row r="1103" customFormat="false" ht="15" hidden="false" customHeight="false" outlineLevel="0" collapsed="false">
      <c r="A1103" s="7" t="s">
        <v>3219</v>
      </c>
      <c r="B1103" s="7" t="s">
        <v>3220</v>
      </c>
      <c r="C1103" s="7" t="s">
        <v>1250</v>
      </c>
      <c r="D1103" s="7" t="s">
        <v>530</v>
      </c>
      <c r="E1103" s="7" t="s">
        <v>130</v>
      </c>
      <c r="F1103" s="7" t="s">
        <v>110</v>
      </c>
      <c r="G1103" s="7" t="s">
        <v>90</v>
      </c>
      <c r="H1103" s="7" t="n">
        <v>3</v>
      </c>
      <c r="I1103" s="7" t="n">
        <v>275</v>
      </c>
      <c r="J1103" s="7" t="n">
        <v>100</v>
      </c>
      <c r="K1103" s="7" t="s">
        <v>103</v>
      </c>
      <c r="L1103" s="7" t="s">
        <v>194</v>
      </c>
      <c r="M1103" s="7" t="n">
        <v>42</v>
      </c>
      <c r="N1103" s="7" t="n">
        <v>4</v>
      </c>
      <c r="O1103" s="7" t="str">
        <f aca="false">A1103&amp;"|"&amp;B1103&amp;"|"&amp;C1103&amp;"|"&amp;D1103&amp;"|"&amp;E1103&amp;"|"&amp;F1103&amp;"|"&amp;G1103&amp;"|"&amp;H1103&amp;"|"&amp;I1103&amp;"|"&amp;J1103&amp;"|"&amp;K1103&amp;"|"&amp;L1103&amp;"|"&amp;M1103&amp;"|"&amp;N1103</f>
        <v>ORD11937|09-Sep-2025|12:02|C0383|Tandoor Tales|Delhi|North Indian|3|275|100|Debit Card|Delivered|42|4</v>
      </c>
      <c r="P1103" s="7" t="str">
        <f aca="false">IF(COUNTIF($O$2:O1103,O1103)&gt;1,"DUP","OK")</f>
        <v>OK</v>
      </c>
      <c r="Q1103" s="7" t="n">
        <f aca="false">COUNTBLANK(A1103:N1103)</f>
        <v>0</v>
      </c>
      <c r="R1103" s="7" t="n">
        <f aca="false">IF(A1103="",0,COUNTIFS($A$2:$A$3058,A1103,$P$2:$P$3058,"OK"))</f>
        <v>1</v>
      </c>
      <c r="S1103" s="7" t="str">
        <f aca="false">IF(OR(A1103="",P1103="DUP",R1103&lt;2),"",IF(Q1103=_xlfn.MINIFS($Q$2:$Q$3058,$A$2:$A$3058,A1103,$P$2:$P$3058,"OK"),"KEEP","DROP"))</f>
        <v/>
      </c>
      <c r="T1103" s="9" t="n">
        <f aca="false">IF(A1103="",1,0)</f>
        <v>0</v>
      </c>
      <c r="U1103" s="9" t="n">
        <f aca="false">IF(D1103="",1,0)</f>
        <v>0</v>
      </c>
      <c r="V1103" s="9" t="n">
        <f aca="false">IF(E1103="",1,0)</f>
        <v>0</v>
      </c>
      <c r="W1103" s="9" t="n">
        <f aca="false">IF(OR(H1103&lt;1,H1103&gt;10),1,0)</f>
        <v>0</v>
      </c>
      <c r="X1103" s="9" t="n">
        <f aca="false">IF(OR(I1103&lt;=0,I1103&gt;1500),1,0)</f>
        <v>0</v>
      </c>
      <c r="Y1103" s="9" t="n">
        <f aca="false">IF(J1103&gt;H1103*I1103,1,0)</f>
        <v>0</v>
      </c>
      <c r="Z1103" s="9" t="n">
        <f aca="false">IF(AND(N1103&lt;&gt;"",OR(N1103&lt;1,N1103&gt;5)),1,0)</f>
        <v>0</v>
      </c>
      <c r="AA1103" s="9" t="n">
        <f aca="false">IF(AND(M1103&lt;&gt;"",OR(M1103&lt;5,M1103&gt;180)),1,0)</f>
        <v>0</v>
      </c>
      <c r="AB1103" s="7" t="str">
        <f aca="false">IF(P1103="DUP","Exact duplicate row",IF(T1103=1,"Missing Order ID",IF(S1103="DROP","Duplicate Order ID (less complete row)",IF(U1103=1,"Missing Customer ID",IF(V1103=1,"Missing Restaurant name",IF(W1103=1,"Invalid/outlier quantity",IF(X1103=1,"Invalid/outlier unit price",IF(Y1103=1,"Discount greater than order value",""))))))))</f>
        <v/>
      </c>
      <c r="AC1103" s="7" t="str">
        <f aca="false">IF(AB1103="","KEEP","DROP")</f>
        <v>KEEP</v>
      </c>
      <c r="AD1103" s="7" t="str">
        <f aca="false">IF(TRIM(F1103)="",IFERROR(INDEX(Map_Tables!$I$4:$I$37,MATCH(TRIM(E1103),Map_Tables!$G$4:$G$37,0)),""),IFERROR(INDEX(Map_Tables!$B$4:$B$18,MATCH(TRIM(F1103),Map_Tables!$A$4:$A$18,0)),"CHECK"))</f>
        <v>Delhi</v>
      </c>
      <c r="AE1103" s="7" t="str">
        <f aca="false">IF(TRIM(E1103)="","",IFERROR(INDEX(Map_Tables!$H$4:$H$37,MATCH(TRIM(E1103),Map_Tables!$G$4:$G$37,0)),"CHECK"))</f>
        <v>Tandoor Tales</v>
      </c>
      <c r="AF1103" s="7" t="str">
        <f aca="false">IF(TRIM(K1103)="","Unknown",IFERROR(INDEX(Map_Tables!$E$4:$E$15,MATCH(TRIM(K1103),Map_Tables!$D$4:$D$15,0)),"CHECK"))</f>
        <v>Debit Card</v>
      </c>
      <c r="AG1103" s="7" t="str">
        <f aca="false">IF(LEFT(LOWER(TRIM(L1103)),6)="cancel","Cancelled","Delivered")</f>
        <v>Delivered</v>
      </c>
      <c r="AH1103" s="10" t="n">
        <f aca="false">IF(ISNUMBER(SEARCH("/",B1103)),DATE(VALUE(RIGHT(B1103,4)),VALUE(MID(B1103,4,2)),VALUE(LEFT(B1103,2))),IF(MID(B1103,5,1)="-",DATE(VALUE(LEFT(B1103,4)),VALUE(MID(B1103,6,2)),VALUE(RIGHT(B1103,2))),DATE(VALUE(RIGHT(B1103,4)),MATCH(MID(B1103,4,3),{"Jan","Feb","Mar","Apr","May","Jun","Jul","Aug","Sep","Oct","Nov","Dec"},0),VALUE(LEFT(B1103,2)))))</f>
        <v>45909</v>
      </c>
    </row>
    <row r="1104" customFormat="false" ht="15" hidden="false" customHeight="false" outlineLevel="0" collapsed="false">
      <c r="A1104" s="7" t="s">
        <v>3221</v>
      </c>
      <c r="B1104" s="7" t="s">
        <v>3222</v>
      </c>
      <c r="C1104" s="7" t="s">
        <v>862</v>
      </c>
      <c r="D1104" s="7" t="s">
        <v>2318</v>
      </c>
      <c r="E1104" s="7" t="s">
        <v>134</v>
      </c>
      <c r="F1104" s="7" t="s">
        <v>110</v>
      </c>
      <c r="G1104" s="7" t="s">
        <v>117</v>
      </c>
      <c r="H1104" s="7" t="n">
        <v>2</v>
      </c>
      <c r="I1104" s="7" t="n">
        <v>100</v>
      </c>
      <c r="J1104" s="7" t="n">
        <v>0</v>
      </c>
      <c r="K1104" s="7" t="s">
        <v>133</v>
      </c>
      <c r="L1104" s="7" t="s">
        <v>194</v>
      </c>
      <c r="M1104" s="7" t="n">
        <v>49</v>
      </c>
      <c r="N1104" s="7" t="n">
        <v>3</v>
      </c>
      <c r="O1104" s="7" t="str">
        <f aca="false">A1104&amp;"|"&amp;B1104&amp;"|"&amp;C1104&amp;"|"&amp;D1104&amp;"|"&amp;E1104&amp;"|"&amp;F1104&amp;"|"&amp;G1104&amp;"|"&amp;H1104&amp;"|"&amp;I1104&amp;"|"&amp;J1104&amp;"|"&amp;K1104&amp;"|"&amp;L1104&amp;"|"&amp;M1104&amp;"|"&amp;N1104</f>
        <v>ORD11855|30-Aug-2025|19:00|C0718|Chaat Corner|Delhi|Street Food|2|100|0|Net Banking|Delivered|49|3</v>
      </c>
      <c r="P1104" s="7" t="str">
        <f aca="false">IF(COUNTIF($O$2:O1104,O1104)&gt;1,"DUP","OK")</f>
        <v>OK</v>
      </c>
      <c r="Q1104" s="7" t="n">
        <f aca="false">COUNTBLANK(A1104:N1104)</f>
        <v>0</v>
      </c>
      <c r="R1104" s="7" t="n">
        <f aca="false">IF(A1104="",0,COUNTIFS($A$2:$A$3058,A1104,$P$2:$P$3058,"OK"))</f>
        <v>1</v>
      </c>
      <c r="S1104" s="7" t="str">
        <f aca="false">IF(OR(A1104="",P1104="DUP",R1104&lt;2),"",IF(Q1104=_xlfn.MINIFS($Q$2:$Q$3058,$A$2:$A$3058,A1104,$P$2:$P$3058,"OK"),"KEEP","DROP"))</f>
        <v/>
      </c>
      <c r="T1104" s="9" t="n">
        <f aca="false">IF(A1104="",1,0)</f>
        <v>0</v>
      </c>
      <c r="U1104" s="9" t="n">
        <f aca="false">IF(D1104="",1,0)</f>
        <v>0</v>
      </c>
      <c r="V1104" s="9" t="n">
        <f aca="false">IF(E1104="",1,0)</f>
        <v>0</v>
      </c>
      <c r="W1104" s="9" t="n">
        <f aca="false">IF(OR(H1104&lt;1,H1104&gt;10),1,0)</f>
        <v>0</v>
      </c>
      <c r="X1104" s="9" t="n">
        <f aca="false">IF(OR(I1104&lt;=0,I1104&gt;1500),1,0)</f>
        <v>0</v>
      </c>
      <c r="Y1104" s="9" t="n">
        <f aca="false">IF(J1104&gt;H1104*I1104,1,0)</f>
        <v>0</v>
      </c>
      <c r="Z1104" s="9" t="n">
        <f aca="false">IF(AND(N1104&lt;&gt;"",OR(N1104&lt;1,N1104&gt;5)),1,0)</f>
        <v>0</v>
      </c>
      <c r="AA1104" s="9" t="n">
        <f aca="false">IF(AND(M1104&lt;&gt;"",OR(M1104&lt;5,M1104&gt;180)),1,0)</f>
        <v>0</v>
      </c>
      <c r="AB1104" s="7" t="str">
        <f aca="false">IF(P1104="DUP","Exact duplicate row",IF(T1104=1,"Missing Order ID",IF(S1104="DROP","Duplicate Order ID (less complete row)",IF(U1104=1,"Missing Customer ID",IF(V1104=1,"Missing Restaurant name",IF(W1104=1,"Invalid/outlier quantity",IF(X1104=1,"Invalid/outlier unit price",IF(Y1104=1,"Discount greater than order value",""))))))))</f>
        <v/>
      </c>
      <c r="AC1104" s="7" t="str">
        <f aca="false">IF(AB1104="","KEEP","DROP")</f>
        <v>KEEP</v>
      </c>
      <c r="AD1104" s="7" t="str">
        <f aca="false">IF(TRIM(F1104)="",IFERROR(INDEX(Map_Tables!$I$4:$I$37,MATCH(TRIM(E1104),Map_Tables!$G$4:$G$37,0)),""),IFERROR(INDEX(Map_Tables!$B$4:$B$18,MATCH(TRIM(F1104),Map_Tables!$A$4:$A$18,0)),"CHECK"))</f>
        <v>Delhi</v>
      </c>
      <c r="AE1104" s="7" t="str">
        <f aca="false">IF(TRIM(E1104)="","",IFERROR(INDEX(Map_Tables!$H$4:$H$37,MATCH(TRIM(E1104),Map_Tables!$G$4:$G$37,0)),"CHECK"))</f>
        <v>Chaat Corner</v>
      </c>
      <c r="AF1104" s="7" t="str">
        <f aca="false">IF(TRIM(K1104)="","Unknown",IFERROR(INDEX(Map_Tables!$E$4:$E$15,MATCH(TRIM(K1104),Map_Tables!$D$4:$D$15,0)),"CHECK"))</f>
        <v>Net Banking</v>
      </c>
      <c r="AG1104" s="7" t="str">
        <f aca="false">IF(LEFT(LOWER(TRIM(L1104)),6)="cancel","Cancelled","Delivered")</f>
        <v>Delivered</v>
      </c>
      <c r="AH1104" s="10" t="n">
        <f aca="false">IF(ISNUMBER(SEARCH("/",B1104)),DATE(VALUE(RIGHT(B1104,4)),VALUE(MID(B1104,4,2)),VALUE(LEFT(B1104,2))),IF(MID(B1104,5,1)="-",DATE(VALUE(LEFT(B1104,4)),VALUE(MID(B1104,6,2)),VALUE(RIGHT(B1104,2))),DATE(VALUE(RIGHT(B1104,4)),MATCH(MID(B1104,4,3),{"Jan","Feb","Mar","Apr","May","Jun","Jul","Aug","Sep","Oct","Nov","Dec"},0),VALUE(LEFT(B1104,2)))))</f>
        <v>45899</v>
      </c>
    </row>
    <row r="1105" customFormat="false" ht="15" hidden="false" customHeight="false" outlineLevel="0" collapsed="false">
      <c r="A1105" s="7" t="s">
        <v>3223</v>
      </c>
      <c r="B1105" s="7" t="s">
        <v>2617</v>
      </c>
      <c r="C1105" s="7" t="s">
        <v>1520</v>
      </c>
      <c r="D1105" s="7" t="s">
        <v>1605</v>
      </c>
      <c r="E1105" s="7" t="s">
        <v>160</v>
      </c>
      <c r="F1105" s="7" t="s">
        <v>136</v>
      </c>
      <c r="G1105" s="7" t="s">
        <v>150</v>
      </c>
      <c r="H1105" s="7" t="n">
        <v>1</v>
      </c>
      <c r="I1105" s="7" t="n">
        <v>170</v>
      </c>
      <c r="J1105" s="7" t="n">
        <v>0</v>
      </c>
      <c r="K1105" s="7" t="s">
        <v>121</v>
      </c>
      <c r="L1105" s="7" t="s">
        <v>194</v>
      </c>
      <c r="M1105" s="7" t="n">
        <v>34</v>
      </c>
      <c r="N1105" s="7" t="n">
        <v>5</v>
      </c>
      <c r="O1105" s="7" t="str">
        <f aca="false">A1105&amp;"|"&amp;B1105&amp;"|"&amp;C1105&amp;"|"&amp;D1105&amp;"|"&amp;E1105&amp;"|"&amp;F1105&amp;"|"&amp;G1105&amp;"|"&amp;H1105&amp;"|"&amp;I1105&amp;"|"&amp;J1105&amp;"|"&amp;K1105&amp;"|"&amp;L1105&amp;"|"&amp;M1105&amp;"|"&amp;N1105</f>
        <v>ORD12686|2025-11-27|12:11|C1421|Cake Walk|Pune|Desserts|1|170|0|Wallet|Delivered|34|5</v>
      </c>
      <c r="P1105" s="7" t="str">
        <f aca="false">IF(COUNTIF($O$2:O1105,O1105)&gt;1,"DUP","OK")</f>
        <v>OK</v>
      </c>
      <c r="Q1105" s="7" t="n">
        <f aca="false">COUNTBLANK(A1105:N1105)</f>
        <v>0</v>
      </c>
      <c r="R1105" s="7" t="n">
        <f aca="false">IF(A1105="",0,COUNTIFS($A$2:$A$3058,A1105,$P$2:$P$3058,"OK"))</f>
        <v>1</v>
      </c>
      <c r="S1105" s="7" t="str">
        <f aca="false">IF(OR(A1105="",P1105="DUP",R1105&lt;2),"",IF(Q1105=_xlfn.MINIFS($Q$2:$Q$3058,$A$2:$A$3058,A1105,$P$2:$P$3058,"OK"),"KEEP","DROP"))</f>
        <v/>
      </c>
      <c r="T1105" s="9" t="n">
        <f aca="false">IF(A1105="",1,0)</f>
        <v>0</v>
      </c>
      <c r="U1105" s="9" t="n">
        <f aca="false">IF(D1105="",1,0)</f>
        <v>0</v>
      </c>
      <c r="V1105" s="9" t="n">
        <f aca="false">IF(E1105="",1,0)</f>
        <v>0</v>
      </c>
      <c r="W1105" s="9" t="n">
        <f aca="false">IF(OR(H1105&lt;1,H1105&gt;10),1,0)</f>
        <v>0</v>
      </c>
      <c r="X1105" s="9" t="n">
        <f aca="false">IF(OR(I1105&lt;=0,I1105&gt;1500),1,0)</f>
        <v>0</v>
      </c>
      <c r="Y1105" s="9" t="n">
        <f aca="false">IF(J1105&gt;H1105*I1105,1,0)</f>
        <v>0</v>
      </c>
      <c r="Z1105" s="9" t="n">
        <f aca="false">IF(AND(N1105&lt;&gt;"",OR(N1105&lt;1,N1105&gt;5)),1,0)</f>
        <v>0</v>
      </c>
      <c r="AA1105" s="9" t="n">
        <f aca="false">IF(AND(M1105&lt;&gt;"",OR(M1105&lt;5,M1105&gt;180)),1,0)</f>
        <v>0</v>
      </c>
      <c r="AB1105" s="7" t="str">
        <f aca="false">IF(P1105="DUP","Exact duplicate row",IF(T1105=1,"Missing Order ID",IF(S1105="DROP","Duplicate Order ID (less complete row)",IF(U1105=1,"Missing Customer ID",IF(V1105=1,"Missing Restaurant name",IF(W1105=1,"Invalid/outlier quantity",IF(X1105=1,"Invalid/outlier unit price",IF(Y1105=1,"Discount greater than order value",""))))))))</f>
        <v/>
      </c>
      <c r="AC1105" s="7" t="str">
        <f aca="false">IF(AB1105="","KEEP","DROP")</f>
        <v>KEEP</v>
      </c>
      <c r="AD1105" s="7" t="str">
        <f aca="false">IF(TRIM(F1105)="",IFERROR(INDEX(Map_Tables!$I$4:$I$37,MATCH(TRIM(E1105),Map_Tables!$G$4:$G$37,0)),""),IFERROR(INDEX(Map_Tables!$B$4:$B$18,MATCH(TRIM(F1105),Map_Tables!$A$4:$A$18,0)),"CHECK"))</f>
        <v>Pune</v>
      </c>
      <c r="AE1105" s="7" t="str">
        <f aca="false">IF(TRIM(E1105)="","",IFERROR(INDEX(Map_Tables!$H$4:$H$37,MATCH(TRIM(E1105),Map_Tables!$G$4:$G$37,0)),"CHECK"))</f>
        <v>Cake Walk</v>
      </c>
      <c r="AF1105" s="7" t="str">
        <f aca="false">IF(TRIM(K1105)="","Unknown",IFERROR(INDEX(Map_Tables!$E$4:$E$15,MATCH(TRIM(K1105),Map_Tables!$D$4:$D$15,0)),"CHECK"))</f>
        <v>Wallet</v>
      </c>
      <c r="AG1105" s="7" t="str">
        <f aca="false">IF(LEFT(LOWER(TRIM(L1105)),6)="cancel","Cancelled","Delivered")</f>
        <v>Delivered</v>
      </c>
      <c r="AH1105" s="10" t="n">
        <f aca="false">IF(ISNUMBER(SEARCH("/",B1105)),DATE(VALUE(RIGHT(B1105,4)),VALUE(MID(B1105,4,2)),VALUE(LEFT(B1105,2))),IF(MID(B1105,5,1)="-",DATE(VALUE(LEFT(B1105,4)),VALUE(MID(B1105,6,2)),VALUE(RIGHT(B1105,2))),DATE(VALUE(RIGHT(B1105,4)),MATCH(MID(B1105,4,3),{"Jan","Feb","Mar","Apr","May","Jun","Jul","Aug","Sep","Oct","Nov","Dec"},0),VALUE(LEFT(B1105,2)))))</f>
        <v>45988</v>
      </c>
    </row>
    <row r="1106" customFormat="false" ht="15" hidden="false" customHeight="false" outlineLevel="0" collapsed="false">
      <c r="A1106" s="7" t="s">
        <v>3224</v>
      </c>
      <c r="B1106" s="7" t="s">
        <v>2548</v>
      </c>
      <c r="C1106" s="7" t="s">
        <v>2762</v>
      </c>
      <c r="D1106" s="7" t="s">
        <v>387</v>
      </c>
      <c r="E1106" s="7" t="s">
        <v>151</v>
      </c>
      <c r="F1106" s="7" t="s">
        <v>128</v>
      </c>
      <c r="G1106" s="7" t="s">
        <v>95</v>
      </c>
      <c r="H1106" s="7" t="n">
        <v>5</v>
      </c>
      <c r="I1106" s="7" t="n">
        <v>175</v>
      </c>
      <c r="J1106" s="7" t="n">
        <v>0</v>
      </c>
      <c r="K1106" s="7" t="s">
        <v>121</v>
      </c>
      <c r="L1106" s="7" t="s">
        <v>194</v>
      </c>
      <c r="M1106" s="7" t="n">
        <v>25</v>
      </c>
      <c r="N1106" s="7" t="n">
        <v>4</v>
      </c>
      <c r="O1106" s="7" t="str">
        <f aca="false">A1106&amp;"|"&amp;B1106&amp;"|"&amp;C1106&amp;"|"&amp;D1106&amp;"|"&amp;E1106&amp;"|"&amp;F1106&amp;"|"&amp;G1106&amp;"|"&amp;H1106&amp;"|"&amp;I1106&amp;"|"&amp;J1106&amp;"|"&amp;K1106&amp;"|"&amp;L1106&amp;"|"&amp;M1106&amp;"|"&amp;N1106</f>
        <v>ORD11034|2025-05-11|09:33|C0754|Chettinad House|Chennai|South Indian|5|175|0|Wallet|Delivered|25|4</v>
      </c>
      <c r="P1106" s="7" t="str">
        <f aca="false">IF(COUNTIF($O$2:O1106,O1106)&gt;1,"DUP","OK")</f>
        <v>OK</v>
      </c>
      <c r="Q1106" s="7" t="n">
        <f aca="false">COUNTBLANK(A1106:N1106)</f>
        <v>0</v>
      </c>
      <c r="R1106" s="7" t="n">
        <f aca="false">IF(A1106="",0,COUNTIFS($A$2:$A$3058,A1106,$P$2:$P$3058,"OK"))</f>
        <v>1</v>
      </c>
      <c r="S1106" s="7" t="str">
        <f aca="false">IF(OR(A1106="",P1106="DUP",R1106&lt;2),"",IF(Q1106=_xlfn.MINIFS($Q$2:$Q$3058,$A$2:$A$3058,A1106,$P$2:$P$3058,"OK"),"KEEP","DROP"))</f>
        <v/>
      </c>
      <c r="T1106" s="9" t="n">
        <f aca="false">IF(A1106="",1,0)</f>
        <v>0</v>
      </c>
      <c r="U1106" s="9" t="n">
        <f aca="false">IF(D1106="",1,0)</f>
        <v>0</v>
      </c>
      <c r="V1106" s="9" t="n">
        <f aca="false">IF(E1106="",1,0)</f>
        <v>0</v>
      </c>
      <c r="W1106" s="9" t="n">
        <f aca="false">IF(OR(H1106&lt;1,H1106&gt;10),1,0)</f>
        <v>0</v>
      </c>
      <c r="X1106" s="9" t="n">
        <f aca="false">IF(OR(I1106&lt;=0,I1106&gt;1500),1,0)</f>
        <v>0</v>
      </c>
      <c r="Y1106" s="9" t="n">
        <f aca="false">IF(J1106&gt;H1106*I1106,1,0)</f>
        <v>0</v>
      </c>
      <c r="Z1106" s="9" t="n">
        <f aca="false">IF(AND(N1106&lt;&gt;"",OR(N1106&lt;1,N1106&gt;5)),1,0)</f>
        <v>0</v>
      </c>
      <c r="AA1106" s="9" t="n">
        <f aca="false">IF(AND(M1106&lt;&gt;"",OR(M1106&lt;5,M1106&gt;180)),1,0)</f>
        <v>0</v>
      </c>
      <c r="AB1106" s="7" t="str">
        <f aca="false">IF(P1106="DUP","Exact duplicate row",IF(T1106=1,"Missing Order ID",IF(S1106="DROP","Duplicate Order ID (less complete row)",IF(U1106=1,"Missing Customer ID",IF(V1106=1,"Missing Restaurant name",IF(W1106=1,"Invalid/outlier quantity",IF(X1106=1,"Invalid/outlier unit price",IF(Y1106=1,"Discount greater than order value",""))))))))</f>
        <v/>
      </c>
      <c r="AC1106" s="7" t="str">
        <f aca="false">IF(AB1106="","KEEP","DROP")</f>
        <v>KEEP</v>
      </c>
      <c r="AD1106" s="7" t="str">
        <f aca="false">IF(TRIM(F1106)="",IFERROR(INDEX(Map_Tables!$I$4:$I$37,MATCH(TRIM(E1106),Map_Tables!$G$4:$G$37,0)),""),IFERROR(INDEX(Map_Tables!$B$4:$B$18,MATCH(TRIM(F1106),Map_Tables!$A$4:$A$18,0)),"CHECK"))</f>
        <v>Chennai</v>
      </c>
      <c r="AE1106" s="7" t="str">
        <f aca="false">IF(TRIM(E1106)="","",IFERROR(INDEX(Map_Tables!$H$4:$H$37,MATCH(TRIM(E1106),Map_Tables!$G$4:$G$37,0)),"CHECK"))</f>
        <v>Chettinad House</v>
      </c>
      <c r="AF1106" s="7" t="str">
        <f aca="false">IF(TRIM(K1106)="","Unknown",IFERROR(INDEX(Map_Tables!$E$4:$E$15,MATCH(TRIM(K1106),Map_Tables!$D$4:$D$15,0)),"CHECK"))</f>
        <v>Wallet</v>
      </c>
      <c r="AG1106" s="7" t="str">
        <f aca="false">IF(LEFT(LOWER(TRIM(L1106)),6)="cancel","Cancelled","Delivered")</f>
        <v>Delivered</v>
      </c>
      <c r="AH1106" s="10" t="n">
        <f aca="false">IF(ISNUMBER(SEARCH("/",B1106)),DATE(VALUE(RIGHT(B1106,4)),VALUE(MID(B1106,4,2)),VALUE(LEFT(B1106,2))),IF(MID(B1106,5,1)="-",DATE(VALUE(LEFT(B1106,4)),VALUE(MID(B1106,6,2)),VALUE(RIGHT(B1106,2))),DATE(VALUE(RIGHT(B1106,4)),MATCH(MID(B1106,4,3),{"Jan","Feb","Mar","Apr","May","Jun","Jul","Aug","Sep","Oct","Nov","Dec"},0),VALUE(LEFT(B1106,2)))))</f>
        <v>45788</v>
      </c>
    </row>
    <row r="1107" customFormat="false" ht="15" hidden="false" customHeight="false" outlineLevel="0" collapsed="false">
      <c r="A1107" s="7" t="s">
        <v>3225</v>
      </c>
      <c r="B1107" s="7" t="s">
        <v>3226</v>
      </c>
      <c r="C1107" s="7" t="s">
        <v>1430</v>
      </c>
      <c r="D1107" s="7" t="s">
        <v>2370</v>
      </c>
      <c r="E1107" s="7" t="s">
        <v>154</v>
      </c>
      <c r="F1107" s="7" t="s">
        <v>128</v>
      </c>
      <c r="G1107" s="7" t="s">
        <v>99</v>
      </c>
      <c r="H1107" s="7" t="n">
        <v>2</v>
      </c>
      <c r="I1107" s="7" t="n">
        <v>265</v>
      </c>
      <c r="J1107" s="7" t="n">
        <v>0</v>
      </c>
      <c r="K1107" s="7" t="s">
        <v>88</v>
      </c>
      <c r="L1107" s="7" t="s">
        <v>194</v>
      </c>
      <c r="M1107" s="7" t="n">
        <v>34</v>
      </c>
      <c r="N1107" s="7" t="n">
        <v>3</v>
      </c>
      <c r="O1107" s="7" t="str">
        <f aca="false">A1107&amp;"|"&amp;B1107&amp;"|"&amp;C1107&amp;"|"&amp;D1107&amp;"|"&amp;E1107&amp;"|"&amp;F1107&amp;"|"&amp;G1107&amp;"|"&amp;H1107&amp;"|"&amp;I1107&amp;"|"&amp;J1107&amp;"|"&amp;K1107&amp;"|"&amp;L1107&amp;"|"&amp;M1107&amp;"|"&amp;N1107</f>
        <v>ORD11922|06-Sep-2025|21:21|C0375|Madras Biryani Co|Chennai|Biryani|2|265|0|UPI|Delivered|34|3</v>
      </c>
      <c r="P1107" s="7" t="str">
        <f aca="false">IF(COUNTIF($O$2:O1107,O1107)&gt;1,"DUP","OK")</f>
        <v>OK</v>
      </c>
      <c r="Q1107" s="7" t="n">
        <f aca="false">COUNTBLANK(A1107:N1107)</f>
        <v>0</v>
      </c>
      <c r="R1107" s="7" t="n">
        <f aca="false">IF(A1107="",0,COUNTIFS($A$2:$A$3058,A1107,$P$2:$P$3058,"OK"))</f>
        <v>1</v>
      </c>
      <c r="S1107" s="7" t="str">
        <f aca="false">IF(OR(A1107="",P1107="DUP",R1107&lt;2),"",IF(Q1107=_xlfn.MINIFS($Q$2:$Q$3058,$A$2:$A$3058,A1107,$P$2:$P$3058,"OK"),"KEEP","DROP"))</f>
        <v/>
      </c>
      <c r="T1107" s="9" t="n">
        <f aca="false">IF(A1107="",1,0)</f>
        <v>0</v>
      </c>
      <c r="U1107" s="9" t="n">
        <f aca="false">IF(D1107="",1,0)</f>
        <v>0</v>
      </c>
      <c r="V1107" s="9" t="n">
        <f aca="false">IF(E1107="",1,0)</f>
        <v>0</v>
      </c>
      <c r="W1107" s="9" t="n">
        <f aca="false">IF(OR(H1107&lt;1,H1107&gt;10),1,0)</f>
        <v>0</v>
      </c>
      <c r="X1107" s="9" t="n">
        <f aca="false">IF(OR(I1107&lt;=0,I1107&gt;1500),1,0)</f>
        <v>0</v>
      </c>
      <c r="Y1107" s="9" t="n">
        <f aca="false">IF(J1107&gt;H1107*I1107,1,0)</f>
        <v>0</v>
      </c>
      <c r="Z1107" s="9" t="n">
        <f aca="false">IF(AND(N1107&lt;&gt;"",OR(N1107&lt;1,N1107&gt;5)),1,0)</f>
        <v>0</v>
      </c>
      <c r="AA1107" s="9" t="n">
        <f aca="false">IF(AND(M1107&lt;&gt;"",OR(M1107&lt;5,M1107&gt;180)),1,0)</f>
        <v>0</v>
      </c>
      <c r="AB1107" s="7" t="str">
        <f aca="false">IF(P1107="DUP","Exact duplicate row",IF(T1107=1,"Missing Order ID",IF(S1107="DROP","Duplicate Order ID (less complete row)",IF(U1107=1,"Missing Customer ID",IF(V1107=1,"Missing Restaurant name",IF(W1107=1,"Invalid/outlier quantity",IF(X1107=1,"Invalid/outlier unit price",IF(Y1107=1,"Discount greater than order value",""))))))))</f>
        <v/>
      </c>
      <c r="AC1107" s="7" t="str">
        <f aca="false">IF(AB1107="","KEEP","DROP")</f>
        <v>KEEP</v>
      </c>
      <c r="AD1107" s="7" t="str">
        <f aca="false">IF(TRIM(F1107)="",IFERROR(INDEX(Map_Tables!$I$4:$I$37,MATCH(TRIM(E1107),Map_Tables!$G$4:$G$37,0)),""),IFERROR(INDEX(Map_Tables!$B$4:$B$18,MATCH(TRIM(F1107),Map_Tables!$A$4:$A$18,0)),"CHECK"))</f>
        <v>Chennai</v>
      </c>
      <c r="AE1107" s="7" t="str">
        <f aca="false">IF(TRIM(E1107)="","",IFERROR(INDEX(Map_Tables!$H$4:$H$37,MATCH(TRIM(E1107),Map_Tables!$G$4:$G$37,0)),"CHECK"))</f>
        <v>Madras Biryani Co</v>
      </c>
      <c r="AF1107" s="7" t="str">
        <f aca="false">IF(TRIM(K1107)="","Unknown",IFERROR(INDEX(Map_Tables!$E$4:$E$15,MATCH(TRIM(K1107),Map_Tables!$D$4:$D$15,0)),"CHECK"))</f>
        <v>UPI</v>
      </c>
      <c r="AG1107" s="7" t="str">
        <f aca="false">IF(LEFT(LOWER(TRIM(L1107)),6)="cancel","Cancelled","Delivered")</f>
        <v>Delivered</v>
      </c>
      <c r="AH1107" s="10" t="n">
        <f aca="false">IF(ISNUMBER(SEARCH("/",B1107)),DATE(VALUE(RIGHT(B1107,4)),VALUE(MID(B1107,4,2)),VALUE(LEFT(B1107,2))),IF(MID(B1107,5,1)="-",DATE(VALUE(LEFT(B1107,4)),VALUE(MID(B1107,6,2)),VALUE(RIGHT(B1107,2))),DATE(VALUE(RIGHT(B1107,4)),MATCH(MID(B1107,4,3),{"Jan","Feb","Mar","Apr","May","Jun","Jul","Aug","Sep","Oct","Nov","Dec"},0),VALUE(LEFT(B1107,2)))))</f>
        <v>45906</v>
      </c>
    </row>
    <row r="1108" customFormat="false" ht="15" hidden="false" customHeight="false" outlineLevel="0" collapsed="false">
      <c r="A1108" s="7" t="s">
        <v>3227</v>
      </c>
      <c r="B1108" s="7" t="s">
        <v>326</v>
      </c>
      <c r="C1108" s="7" t="s">
        <v>2402</v>
      </c>
      <c r="D1108" s="7" t="s">
        <v>3228</v>
      </c>
      <c r="E1108" s="7" t="s">
        <v>3229</v>
      </c>
      <c r="F1108" s="7" t="s">
        <v>101</v>
      </c>
      <c r="G1108" s="7" t="s">
        <v>123</v>
      </c>
      <c r="H1108" s="7" t="n">
        <v>2</v>
      </c>
      <c r="I1108" s="7" t="n">
        <v>370</v>
      </c>
      <c r="J1108" s="7" t="n">
        <v>0</v>
      </c>
      <c r="K1108" s="7" t="s">
        <v>88</v>
      </c>
      <c r="L1108" s="7" t="s">
        <v>194</v>
      </c>
      <c r="M1108" s="7" t="n">
        <v>51</v>
      </c>
      <c r="N1108" s="7" t="n">
        <v>3</v>
      </c>
      <c r="O1108" s="7" t="str">
        <f aca="false">A1108&amp;"|"&amp;B1108&amp;"|"&amp;C1108&amp;"|"&amp;D1108&amp;"|"&amp;E1108&amp;"|"&amp;F1108&amp;"|"&amp;G1108&amp;"|"&amp;H1108&amp;"|"&amp;I1108&amp;"|"&amp;J1108&amp;"|"&amp;K1108&amp;"|"&amp;L1108&amp;"|"&amp;M1108&amp;"|"&amp;N1108</f>
        <v>ORD12435|2025-11-02|19:55|C0168|Mumbai Pizza Co |Mumbai|Pizza|2|370|0|UPI|Delivered|51|3</v>
      </c>
      <c r="P1108" s="7" t="str">
        <f aca="false">IF(COUNTIF($O$2:O1108,O1108)&gt;1,"DUP","OK")</f>
        <v>OK</v>
      </c>
      <c r="Q1108" s="7" t="n">
        <f aca="false">COUNTBLANK(A1108:N1108)</f>
        <v>0</v>
      </c>
      <c r="R1108" s="7" t="n">
        <f aca="false">IF(A1108="",0,COUNTIFS($A$2:$A$3058,A1108,$P$2:$P$3058,"OK"))</f>
        <v>1</v>
      </c>
      <c r="S1108" s="7" t="str">
        <f aca="false">IF(OR(A1108="",P1108="DUP",R1108&lt;2),"",IF(Q1108=_xlfn.MINIFS($Q$2:$Q$3058,$A$2:$A$3058,A1108,$P$2:$P$3058,"OK"),"KEEP","DROP"))</f>
        <v/>
      </c>
      <c r="T1108" s="9" t="n">
        <f aca="false">IF(A1108="",1,0)</f>
        <v>0</v>
      </c>
      <c r="U1108" s="9" t="n">
        <f aca="false">IF(D1108="",1,0)</f>
        <v>0</v>
      </c>
      <c r="V1108" s="9" t="n">
        <f aca="false">IF(E1108="",1,0)</f>
        <v>0</v>
      </c>
      <c r="W1108" s="9" t="n">
        <f aca="false">IF(OR(H1108&lt;1,H1108&gt;10),1,0)</f>
        <v>0</v>
      </c>
      <c r="X1108" s="9" t="n">
        <f aca="false">IF(OR(I1108&lt;=0,I1108&gt;1500),1,0)</f>
        <v>0</v>
      </c>
      <c r="Y1108" s="9" t="n">
        <f aca="false">IF(J1108&gt;H1108*I1108,1,0)</f>
        <v>0</v>
      </c>
      <c r="Z1108" s="9" t="n">
        <f aca="false">IF(AND(N1108&lt;&gt;"",OR(N1108&lt;1,N1108&gt;5)),1,0)</f>
        <v>0</v>
      </c>
      <c r="AA1108" s="9" t="n">
        <f aca="false">IF(AND(M1108&lt;&gt;"",OR(M1108&lt;5,M1108&gt;180)),1,0)</f>
        <v>0</v>
      </c>
      <c r="AB1108" s="7" t="str">
        <f aca="false">IF(P1108="DUP","Exact duplicate row",IF(T1108=1,"Missing Order ID",IF(S1108="DROP","Duplicate Order ID (less complete row)",IF(U1108=1,"Missing Customer ID",IF(V1108=1,"Missing Restaurant name",IF(W1108=1,"Invalid/outlier quantity",IF(X1108=1,"Invalid/outlier unit price",IF(Y1108=1,"Discount greater than order value",""))))))))</f>
        <v/>
      </c>
      <c r="AC1108" s="7" t="str">
        <f aca="false">IF(AB1108="","KEEP","DROP")</f>
        <v>KEEP</v>
      </c>
      <c r="AD1108" s="7" t="str">
        <f aca="false">IF(TRIM(F1108)="",IFERROR(INDEX(Map_Tables!$I$4:$I$37,MATCH(TRIM(E1108),Map_Tables!$G$4:$G$37,0)),""),IFERROR(INDEX(Map_Tables!$B$4:$B$18,MATCH(TRIM(F1108),Map_Tables!$A$4:$A$18,0)),"CHECK"))</f>
        <v>Mumbai</v>
      </c>
      <c r="AE1108" s="7" t="str">
        <f aca="false">IF(TRIM(E1108)="","",IFERROR(INDEX(Map_Tables!$H$4:$H$37,MATCH(TRIM(E1108),Map_Tables!$G$4:$G$37,0)),"CHECK"))</f>
        <v>Mumbai Pizza Co</v>
      </c>
      <c r="AF1108" s="7" t="str">
        <f aca="false">IF(TRIM(K1108)="","Unknown",IFERROR(INDEX(Map_Tables!$E$4:$E$15,MATCH(TRIM(K1108),Map_Tables!$D$4:$D$15,0)),"CHECK"))</f>
        <v>UPI</v>
      </c>
      <c r="AG1108" s="7" t="str">
        <f aca="false">IF(LEFT(LOWER(TRIM(L1108)),6)="cancel","Cancelled","Delivered")</f>
        <v>Delivered</v>
      </c>
      <c r="AH1108" s="10" t="n">
        <f aca="false">IF(ISNUMBER(SEARCH("/",B1108)),DATE(VALUE(RIGHT(B1108,4)),VALUE(MID(B1108,4,2)),VALUE(LEFT(B1108,2))),IF(MID(B1108,5,1)="-",DATE(VALUE(LEFT(B1108,4)),VALUE(MID(B1108,6,2)),VALUE(RIGHT(B1108,2))),DATE(VALUE(RIGHT(B1108,4)),MATCH(MID(B1108,4,3),{"Jan","Feb","Mar","Apr","May","Jun","Jul","Aug","Sep","Oct","Nov","Dec"},0),VALUE(LEFT(B1108,2)))))</f>
        <v>45963</v>
      </c>
    </row>
    <row r="1109" customFormat="false" ht="15" hidden="false" customHeight="false" outlineLevel="0" collapsed="false">
      <c r="A1109" s="7" t="s">
        <v>3230</v>
      </c>
      <c r="B1109" s="7" t="s">
        <v>3231</v>
      </c>
      <c r="C1109" s="7" t="s">
        <v>1058</v>
      </c>
      <c r="D1109" s="7" t="s">
        <v>2497</v>
      </c>
      <c r="E1109" s="7" t="s">
        <v>116</v>
      </c>
      <c r="F1109" s="7" t="s">
        <v>101</v>
      </c>
      <c r="G1109" s="7" t="s">
        <v>117</v>
      </c>
      <c r="H1109" s="7" t="n">
        <v>2</v>
      </c>
      <c r="I1109" s="7" t="n">
        <v>125</v>
      </c>
      <c r="J1109" s="7" t="n">
        <v>30</v>
      </c>
      <c r="K1109" s="7" t="s">
        <v>93</v>
      </c>
      <c r="L1109" s="7" t="s">
        <v>194</v>
      </c>
      <c r="M1109" s="7" t="n">
        <v>45</v>
      </c>
      <c r="N1109" s="7" t="n">
        <v>2</v>
      </c>
      <c r="O1109" s="7" t="str">
        <f aca="false">A1109&amp;"|"&amp;B1109&amp;"|"&amp;C1109&amp;"|"&amp;D1109&amp;"|"&amp;E1109&amp;"|"&amp;F1109&amp;"|"&amp;G1109&amp;"|"&amp;H1109&amp;"|"&amp;I1109&amp;"|"&amp;J1109&amp;"|"&amp;K1109&amp;"|"&amp;L1109&amp;"|"&amp;M1109&amp;"|"&amp;N1109</f>
        <v>ORD11114|2025-05-21|20:49|C1295|Pav Bhaji Point|Mumbai|Street Food|2|125|30|Credit Card|Delivered|45|2</v>
      </c>
      <c r="P1109" s="7" t="str">
        <f aca="false">IF(COUNTIF($O$2:O1109,O1109)&gt;1,"DUP","OK")</f>
        <v>OK</v>
      </c>
      <c r="Q1109" s="7" t="n">
        <f aca="false">COUNTBLANK(A1109:N1109)</f>
        <v>0</v>
      </c>
      <c r="R1109" s="7" t="n">
        <f aca="false">IF(A1109="",0,COUNTIFS($A$2:$A$3058,A1109,$P$2:$P$3058,"OK"))</f>
        <v>1</v>
      </c>
      <c r="S1109" s="7" t="str">
        <f aca="false">IF(OR(A1109="",P1109="DUP",R1109&lt;2),"",IF(Q1109=_xlfn.MINIFS($Q$2:$Q$3058,$A$2:$A$3058,A1109,$P$2:$P$3058,"OK"),"KEEP","DROP"))</f>
        <v/>
      </c>
      <c r="T1109" s="9" t="n">
        <f aca="false">IF(A1109="",1,0)</f>
        <v>0</v>
      </c>
      <c r="U1109" s="9" t="n">
        <f aca="false">IF(D1109="",1,0)</f>
        <v>0</v>
      </c>
      <c r="V1109" s="9" t="n">
        <f aca="false">IF(E1109="",1,0)</f>
        <v>0</v>
      </c>
      <c r="W1109" s="9" t="n">
        <f aca="false">IF(OR(H1109&lt;1,H1109&gt;10),1,0)</f>
        <v>0</v>
      </c>
      <c r="X1109" s="9" t="n">
        <f aca="false">IF(OR(I1109&lt;=0,I1109&gt;1500),1,0)</f>
        <v>0</v>
      </c>
      <c r="Y1109" s="9" t="n">
        <f aca="false">IF(J1109&gt;H1109*I1109,1,0)</f>
        <v>0</v>
      </c>
      <c r="Z1109" s="9" t="n">
        <f aca="false">IF(AND(N1109&lt;&gt;"",OR(N1109&lt;1,N1109&gt;5)),1,0)</f>
        <v>0</v>
      </c>
      <c r="AA1109" s="9" t="n">
        <f aca="false">IF(AND(M1109&lt;&gt;"",OR(M1109&lt;5,M1109&gt;180)),1,0)</f>
        <v>0</v>
      </c>
      <c r="AB1109" s="7" t="str">
        <f aca="false">IF(P1109="DUP","Exact duplicate row",IF(T1109=1,"Missing Order ID",IF(S1109="DROP","Duplicate Order ID (less complete row)",IF(U1109=1,"Missing Customer ID",IF(V1109=1,"Missing Restaurant name",IF(W1109=1,"Invalid/outlier quantity",IF(X1109=1,"Invalid/outlier unit price",IF(Y1109=1,"Discount greater than order value",""))))))))</f>
        <v/>
      </c>
      <c r="AC1109" s="7" t="str">
        <f aca="false">IF(AB1109="","KEEP","DROP")</f>
        <v>KEEP</v>
      </c>
      <c r="AD1109" s="7" t="str">
        <f aca="false">IF(TRIM(F1109)="",IFERROR(INDEX(Map_Tables!$I$4:$I$37,MATCH(TRIM(E1109),Map_Tables!$G$4:$G$37,0)),""),IFERROR(INDEX(Map_Tables!$B$4:$B$18,MATCH(TRIM(F1109),Map_Tables!$A$4:$A$18,0)),"CHECK"))</f>
        <v>Mumbai</v>
      </c>
      <c r="AE1109" s="7" t="str">
        <f aca="false">IF(TRIM(E1109)="","",IFERROR(INDEX(Map_Tables!$H$4:$H$37,MATCH(TRIM(E1109),Map_Tables!$G$4:$G$37,0)),"CHECK"))</f>
        <v>Pav Bhaji Point</v>
      </c>
      <c r="AF1109" s="7" t="str">
        <f aca="false">IF(TRIM(K1109)="","Unknown",IFERROR(INDEX(Map_Tables!$E$4:$E$15,MATCH(TRIM(K1109),Map_Tables!$D$4:$D$15,0)),"CHECK"))</f>
        <v>Credit Card</v>
      </c>
      <c r="AG1109" s="7" t="str">
        <f aca="false">IF(LEFT(LOWER(TRIM(L1109)),6)="cancel","Cancelled","Delivered")</f>
        <v>Delivered</v>
      </c>
      <c r="AH1109" s="10" t="n">
        <f aca="false">IF(ISNUMBER(SEARCH("/",B1109)),DATE(VALUE(RIGHT(B1109,4)),VALUE(MID(B1109,4,2)),VALUE(LEFT(B1109,2))),IF(MID(B1109,5,1)="-",DATE(VALUE(LEFT(B1109,4)),VALUE(MID(B1109,6,2)),VALUE(RIGHT(B1109,2))),DATE(VALUE(RIGHT(B1109,4)),MATCH(MID(B1109,4,3),{"Jan","Feb","Mar","Apr","May","Jun","Jul","Aug","Sep","Oct","Nov","Dec"},0),VALUE(LEFT(B1109,2)))))</f>
        <v>45798</v>
      </c>
    </row>
    <row r="1110" customFormat="false" ht="15" hidden="false" customHeight="false" outlineLevel="0" collapsed="false">
      <c r="A1110" s="7" t="s">
        <v>3232</v>
      </c>
      <c r="B1110" s="7" t="s">
        <v>3233</v>
      </c>
      <c r="C1110" s="7" t="s">
        <v>3234</v>
      </c>
      <c r="D1110" s="7" t="s">
        <v>2429</v>
      </c>
      <c r="E1110" s="7" t="s">
        <v>89</v>
      </c>
      <c r="F1110" s="7" t="s">
        <v>86</v>
      </c>
      <c r="G1110" s="7" t="s">
        <v>90</v>
      </c>
      <c r="H1110" s="7" t="n">
        <v>1</v>
      </c>
      <c r="I1110" s="7" t="n">
        <v>280</v>
      </c>
      <c r="J1110" s="7" t="n">
        <v>30</v>
      </c>
      <c r="K1110" s="7" t="s">
        <v>379</v>
      </c>
      <c r="L1110" s="7" t="s">
        <v>194</v>
      </c>
      <c r="M1110" s="7" t="n">
        <v>34</v>
      </c>
      <c r="N1110" s="7"/>
      <c r="O1110" s="7" t="str">
        <f aca="false">A1110&amp;"|"&amp;B1110&amp;"|"&amp;C1110&amp;"|"&amp;D1110&amp;"|"&amp;E1110&amp;"|"&amp;F1110&amp;"|"&amp;G1110&amp;"|"&amp;H1110&amp;"|"&amp;I1110&amp;"|"&amp;J1110&amp;"|"&amp;K1110&amp;"|"&amp;L1110&amp;"|"&amp;M1110&amp;"|"&amp;N1110</f>
        <v>ORD11049|2025-05-12|18:40|C1033|Spice Junction|Bengaluru|North Indian|1|280|30|Credit card|Delivered|34|</v>
      </c>
      <c r="P1110" s="7" t="str">
        <f aca="false">IF(COUNTIF($O$2:O1110,O1110)&gt;1,"DUP","OK")</f>
        <v>OK</v>
      </c>
      <c r="Q1110" s="7" t="n">
        <f aca="false">COUNTBLANK(A1110:N1110)</f>
        <v>1</v>
      </c>
      <c r="R1110" s="7" t="n">
        <f aca="false">IF(A1110="",0,COUNTIFS($A$2:$A$3058,A1110,$P$2:$P$3058,"OK"))</f>
        <v>1</v>
      </c>
      <c r="S1110" s="7" t="str">
        <f aca="false">IF(OR(A1110="",P1110="DUP",R1110&lt;2),"",IF(Q1110=_xlfn.MINIFS($Q$2:$Q$3058,$A$2:$A$3058,A1110,$P$2:$P$3058,"OK"),"KEEP","DROP"))</f>
        <v/>
      </c>
      <c r="T1110" s="9" t="n">
        <f aca="false">IF(A1110="",1,0)</f>
        <v>0</v>
      </c>
      <c r="U1110" s="9" t="n">
        <f aca="false">IF(D1110="",1,0)</f>
        <v>0</v>
      </c>
      <c r="V1110" s="9" t="n">
        <f aca="false">IF(E1110="",1,0)</f>
        <v>0</v>
      </c>
      <c r="W1110" s="9" t="n">
        <f aca="false">IF(OR(H1110&lt;1,H1110&gt;10),1,0)</f>
        <v>0</v>
      </c>
      <c r="X1110" s="9" t="n">
        <f aca="false">IF(OR(I1110&lt;=0,I1110&gt;1500),1,0)</f>
        <v>0</v>
      </c>
      <c r="Y1110" s="9" t="n">
        <f aca="false">IF(J1110&gt;H1110*I1110,1,0)</f>
        <v>0</v>
      </c>
      <c r="Z1110" s="9" t="n">
        <f aca="false">IF(AND(N1110&lt;&gt;"",OR(N1110&lt;1,N1110&gt;5)),1,0)</f>
        <v>0</v>
      </c>
      <c r="AA1110" s="9" t="n">
        <f aca="false">IF(AND(M1110&lt;&gt;"",OR(M1110&lt;5,M1110&gt;180)),1,0)</f>
        <v>0</v>
      </c>
      <c r="AB1110" s="7" t="str">
        <f aca="false">IF(P1110="DUP","Exact duplicate row",IF(T1110=1,"Missing Order ID",IF(S1110="DROP","Duplicate Order ID (less complete row)",IF(U1110=1,"Missing Customer ID",IF(V1110=1,"Missing Restaurant name",IF(W1110=1,"Invalid/outlier quantity",IF(X1110=1,"Invalid/outlier unit price",IF(Y1110=1,"Discount greater than order value",""))))))))</f>
        <v/>
      </c>
      <c r="AC1110" s="7" t="str">
        <f aca="false">IF(AB1110="","KEEP","DROP")</f>
        <v>KEEP</v>
      </c>
      <c r="AD1110" s="7" t="str">
        <f aca="false">IF(TRIM(F1110)="",IFERROR(INDEX(Map_Tables!$I$4:$I$37,MATCH(TRIM(E1110),Map_Tables!$G$4:$G$37,0)),""),IFERROR(INDEX(Map_Tables!$B$4:$B$18,MATCH(TRIM(F1110),Map_Tables!$A$4:$A$18,0)),"CHECK"))</f>
        <v>Bengaluru</v>
      </c>
      <c r="AE1110" s="7" t="str">
        <f aca="false">IF(TRIM(E1110)="","",IFERROR(INDEX(Map_Tables!$H$4:$H$37,MATCH(TRIM(E1110),Map_Tables!$G$4:$G$37,0)),"CHECK"))</f>
        <v>Spice Junction</v>
      </c>
      <c r="AF1110" s="7" t="str">
        <f aca="false">IF(TRIM(K1110)="","Unknown",IFERROR(INDEX(Map_Tables!$E$4:$E$15,MATCH(TRIM(K1110),Map_Tables!$D$4:$D$15,0)),"CHECK"))</f>
        <v>Credit Card</v>
      </c>
      <c r="AG1110" s="7" t="str">
        <f aca="false">IF(LEFT(LOWER(TRIM(L1110)),6)="cancel","Cancelled","Delivered")</f>
        <v>Delivered</v>
      </c>
      <c r="AH1110" s="10" t="n">
        <f aca="false">IF(ISNUMBER(SEARCH("/",B1110)),DATE(VALUE(RIGHT(B1110,4)),VALUE(MID(B1110,4,2)),VALUE(LEFT(B1110,2))),IF(MID(B1110,5,1)="-",DATE(VALUE(LEFT(B1110,4)),VALUE(MID(B1110,6,2)),VALUE(RIGHT(B1110,2))),DATE(VALUE(RIGHT(B1110,4)),MATCH(MID(B1110,4,3),{"Jan","Feb","Mar","Apr","May","Jun","Jul","Aug","Sep","Oct","Nov","Dec"},0),VALUE(LEFT(B1110,2)))))</f>
        <v>45789</v>
      </c>
    </row>
    <row r="1111" customFormat="false" ht="15" hidden="false" customHeight="false" outlineLevel="0" collapsed="false">
      <c r="A1111" s="7" t="s">
        <v>3235</v>
      </c>
      <c r="B1111" s="7" t="s">
        <v>1733</v>
      </c>
      <c r="C1111" s="7" t="s">
        <v>547</v>
      </c>
      <c r="D1111" s="7" t="s">
        <v>416</v>
      </c>
      <c r="E1111" s="7" t="s">
        <v>148</v>
      </c>
      <c r="F1111" s="7" t="s">
        <v>119</v>
      </c>
      <c r="G1111" s="7" t="s">
        <v>123</v>
      </c>
      <c r="H1111" s="7" t="n">
        <v>1</v>
      </c>
      <c r="I1111" s="7" t="n">
        <v>380</v>
      </c>
      <c r="J1111" s="7" t="n">
        <v>0</v>
      </c>
      <c r="K1111" s="7" t="s">
        <v>112</v>
      </c>
      <c r="L1111" s="7" t="s">
        <v>194</v>
      </c>
      <c r="M1111" s="7" t="n">
        <v>29</v>
      </c>
      <c r="N1111" s="7" t="n">
        <v>5</v>
      </c>
      <c r="O1111" s="7" t="str">
        <f aca="false">A1111&amp;"|"&amp;B1111&amp;"|"&amp;C1111&amp;"|"&amp;D1111&amp;"|"&amp;E1111&amp;"|"&amp;F1111&amp;"|"&amp;G1111&amp;"|"&amp;H1111&amp;"|"&amp;I1111&amp;"|"&amp;J1111&amp;"|"&amp;K1111&amp;"|"&amp;L1111&amp;"|"&amp;M1111&amp;"|"&amp;N1111</f>
        <v>ORD12592|2025-11-17|11:20|C0410|Pizza Palace|Hyderabad|Pizza|1|380|0|Cash on Delivery|Delivered|29|5</v>
      </c>
      <c r="P1111" s="7" t="str">
        <f aca="false">IF(COUNTIF($O$2:O1111,O1111)&gt;1,"DUP","OK")</f>
        <v>OK</v>
      </c>
      <c r="Q1111" s="7" t="n">
        <f aca="false">COUNTBLANK(A1111:N1111)</f>
        <v>0</v>
      </c>
      <c r="R1111" s="7" t="n">
        <f aca="false">IF(A1111="",0,COUNTIFS($A$2:$A$3058,A1111,$P$2:$P$3058,"OK"))</f>
        <v>1</v>
      </c>
      <c r="S1111" s="7" t="str">
        <f aca="false">IF(OR(A1111="",P1111="DUP",R1111&lt;2),"",IF(Q1111=_xlfn.MINIFS($Q$2:$Q$3058,$A$2:$A$3058,A1111,$P$2:$P$3058,"OK"),"KEEP","DROP"))</f>
        <v/>
      </c>
      <c r="T1111" s="9" t="n">
        <f aca="false">IF(A1111="",1,0)</f>
        <v>0</v>
      </c>
      <c r="U1111" s="9" t="n">
        <f aca="false">IF(D1111="",1,0)</f>
        <v>0</v>
      </c>
      <c r="V1111" s="9" t="n">
        <f aca="false">IF(E1111="",1,0)</f>
        <v>0</v>
      </c>
      <c r="W1111" s="9" t="n">
        <f aca="false">IF(OR(H1111&lt;1,H1111&gt;10),1,0)</f>
        <v>0</v>
      </c>
      <c r="X1111" s="9" t="n">
        <f aca="false">IF(OR(I1111&lt;=0,I1111&gt;1500),1,0)</f>
        <v>0</v>
      </c>
      <c r="Y1111" s="9" t="n">
        <f aca="false">IF(J1111&gt;H1111*I1111,1,0)</f>
        <v>0</v>
      </c>
      <c r="Z1111" s="9" t="n">
        <f aca="false">IF(AND(N1111&lt;&gt;"",OR(N1111&lt;1,N1111&gt;5)),1,0)</f>
        <v>0</v>
      </c>
      <c r="AA1111" s="9" t="n">
        <f aca="false">IF(AND(M1111&lt;&gt;"",OR(M1111&lt;5,M1111&gt;180)),1,0)</f>
        <v>0</v>
      </c>
      <c r="AB1111" s="7" t="str">
        <f aca="false">IF(P1111="DUP","Exact duplicate row",IF(T1111=1,"Missing Order ID",IF(S1111="DROP","Duplicate Order ID (less complete row)",IF(U1111=1,"Missing Customer ID",IF(V1111=1,"Missing Restaurant name",IF(W1111=1,"Invalid/outlier quantity",IF(X1111=1,"Invalid/outlier unit price",IF(Y1111=1,"Discount greater than order value",""))))))))</f>
        <v/>
      </c>
      <c r="AC1111" s="7" t="str">
        <f aca="false">IF(AB1111="","KEEP","DROP")</f>
        <v>KEEP</v>
      </c>
      <c r="AD1111" s="7" t="str">
        <f aca="false">IF(TRIM(F1111)="",IFERROR(INDEX(Map_Tables!$I$4:$I$37,MATCH(TRIM(E1111),Map_Tables!$G$4:$G$37,0)),""),IFERROR(INDEX(Map_Tables!$B$4:$B$18,MATCH(TRIM(F1111),Map_Tables!$A$4:$A$18,0)),"CHECK"))</f>
        <v>Hyderabad</v>
      </c>
      <c r="AE1111" s="7" t="str">
        <f aca="false">IF(TRIM(E1111)="","",IFERROR(INDEX(Map_Tables!$H$4:$H$37,MATCH(TRIM(E1111),Map_Tables!$G$4:$G$37,0)),"CHECK"))</f>
        <v>Pizza Palace</v>
      </c>
      <c r="AF1111" s="7" t="str">
        <f aca="false">IF(TRIM(K1111)="","Unknown",IFERROR(INDEX(Map_Tables!$E$4:$E$15,MATCH(TRIM(K1111),Map_Tables!$D$4:$D$15,0)),"CHECK"))</f>
        <v>Cash on Delivery</v>
      </c>
      <c r="AG1111" s="7" t="str">
        <f aca="false">IF(LEFT(LOWER(TRIM(L1111)),6)="cancel","Cancelled","Delivered")</f>
        <v>Delivered</v>
      </c>
      <c r="AH1111" s="10" t="n">
        <f aca="false">IF(ISNUMBER(SEARCH("/",B1111)),DATE(VALUE(RIGHT(B1111,4)),VALUE(MID(B1111,4,2)),VALUE(LEFT(B1111,2))),IF(MID(B1111,5,1)="-",DATE(VALUE(LEFT(B1111,4)),VALUE(MID(B1111,6,2)),VALUE(RIGHT(B1111,2))),DATE(VALUE(RIGHT(B1111,4)),MATCH(MID(B1111,4,3),{"Jan","Feb","Mar","Apr","May","Jun","Jul","Aug","Sep","Oct","Nov","Dec"},0),VALUE(LEFT(B1111,2)))))</f>
        <v>45978</v>
      </c>
    </row>
    <row r="1112" customFormat="false" ht="15" hidden="false" customHeight="false" outlineLevel="0" collapsed="false">
      <c r="A1112" s="7" t="s">
        <v>3236</v>
      </c>
      <c r="B1112" s="7" t="s">
        <v>1541</v>
      </c>
      <c r="C1112" s="7" t="s">
        <v>1145</v>
      </c>
      <c r="D1112" s="7" t="s">
        <v>3237</v>
      </c>
      <c r="E1112" s="7" t="s">
        <v>89</v>
      </c>
      <c r="F1112" s="7" t="s">
        <v>785</v>
      </c>
      <c r="G1112" s="7" t="s">
        <v>90</v>
      </c>
      <c r="H1112" s="7" t="n">
        <v>4</v>
      </c>
      <c r="I1112" s="7" t="n">
        <v>245</v>
      </c>
      <c r="J1112" s="7" t="n">
        <v>125</v>
      </c>
      <c r="K1112" s="7" t="s">
        <v>88</v>
      </c>
      <c r="L1112" s="7" t="s">
        <v>238</v>
      </c>
      <c r="M1112" s="7"/>
      <c r="N1112" s="7"/>
      <c r="O1112" s="7" t="str">
        <f aca="false">A1112&amp;"|"&amp;B1112&amp;"|"&amp;C1112&amp;"|"&amp;D1112&amp;"|"&amp;E1112&amp;"|"&amp;F1112&amp;"|"&amp;G1112&amp;"|"&amp;H1112&amp;"|"&amp;I1112&amp;"|"&amp;J1112&amp;"|"&amp;K1112&amp;"|"&amp;L1112&amp;"|"&amp;M1112&amp;"|"&amp;N1112</f>
        <v>ORD10847|2025-04-17|18:47|C1067|Spice Junction|Bengaluru |North Indian|4|245|125|UPI|Cancelled||</v>
      </c>
      <c r="P1112" s="7" t="str">
        <f aca="false">IF(COUNTIF($O$2:O1112,O1112)&gt;1,"DUP","OK")</f>
        <v>OK</v>
      </c>
      <c r="Q1112" s="7" t="n">
        <f aca="false">COUNTBLANK(A1112:N1112)</f>
        <v>2</v>
      </c>
      <c r="R1112" s="7" t="n">
        <f aca="false">IF(A1112="",0,COUNTIFS($A$2:$A$3058,A1112,$P$2:$P$3058,"OK"))</f>
        <v>1</v>
      </c>
      <c r="S1112" s="7" t="str">
        <f aca="false">IF(OR(A1112="",P1112="DUP",R1112&lt;2),"",IF(Q1112=_xlfn.MINIFS($Q$2:$Q$3058,$A$2:$A$3058,A1112,$P$2:$P$3058,"OK"),"KEEP","DROP"))</f>
        <v/>
      </c>
      <c r="T1112" s="9" t="n">
        <f aca="false">IF(A1112="",1,0)</f>
        <v>0</v>
      </c>
      <c r="U1112" s="9" t="n">
        <f aca="false">IF(D1112="",1,0)</f>
        <v>0</v>
      </c>
      <c r="V1112" s="9" t="n">
        <f aca="false">IF(E1112="",1,0)</f>
        <v>0</v>
      </c>
      <c r="W1112" s="9" t="n">
        <f aca="false">IF(OR(H1112&lt;1,H1112&gt;10),1,0)</f>
        <v>0</v>
      </c>
      <c r="X1112" s="9" t="n">
        <f aca="false">IF(OR(I1112&lt;=0,I1112&gt;1500),1,0)</f>
        <v>0</v>
      </c>
      <c r="Y1112" s="9" t="n">
        <f aca="false">IF(J1112&gt;H1112*I1112,1,0)</f>
        <v>0</v>
      </c>
      <c r="Z1112" s="9" t="n">
        <f aca="false">IF(AND(N1112&lt;&gt;"",OR(N1112&lt;1,N1112&gt;5)),1,0)</f>
        <v>0</v>
      </c>
      <c r="AA1112" s="9" t="n">
        <f aca="false">IF(AND(M1112&lt;&gt;"",OR(M1112&lt;5,M1112&gt;180)),1,0)</f>
        <v>0</v>
      </c>
      <c r="AB1112" s="7" t="str">
        <f aca="false">IF(P1112="DUP","Exact duplicate row",IF(T1112=1,"Missing Order ID",IF(S1112="DROP","Duplicate Order ID (less complete row)",IF(U1112=1,"Missing Customer ID",IF(V1112=1,"Missing Restaurant name",IF(W1112=1,"Invalid/outlier quantity",IF(X1112=1,"Invalid/outlier unit price",IF(Y1112=1,"Discount greater than order value",""))))))))</f>
        <v/>
      </c>
      <c r="AC1112" s="7" t="str">
        <f aca="false">IF(AB1112="","KEEP","DROP")</f>
        <v>KEEP</v>
      </c>
      <c r="AD1112" s="7" t="str">
        <f aca="false">IF(TRIM(F1112)="",IFERROR(INDEX(Map_Tables!$I$4:$I$37,MATCH(TRIM(E1112),Map_Tables!$G$4:$G$37,0)),""),IFERROR(INDEX(Map_Tables!$B$4:$B$18,MATCH(TRIM(F1112),Map_Tables!$A$4:$A$18,0)),"CHECK"))</f>
        <v>Bengaluru</v>
      </c>
      <c r="AE1112" s="7" t="str">
        <f aca="false">IF(TRIM(E1112)="","",IFERROR(INDEX(Map_Tables!$H$4:$H$37,MATCH(TRIM(E1112),Map_Tables!$G$4:$G$37,0)),"CHECK"))</f>
        <v>Spice Junction</v>
      </c>
      <c r="AF1112" s="7" t="str">
        <f aca="false">IF(TRIM(K1112)="","Unknown",IFERROR(INDEX(Map_Tables!$E$4:$E$15,MATCH(TRIM(K1112),Map_Tables!$D$4:$D$15,0)),"CHECK"))</f>
        <v>UPI</v>
      </c>
      <c r="AG1112" s="7" t="str">
        <f aca="false">IF(LEFT(LOWER(TRIM(L1112)),6)="cancel","Cancelled","Delivered")</f>
        <v>Cancelled</v>
      </c>
      <c r="AH1112" s="10" t="n">
        <f aca="false">IF(ISNUMBER(SEARCH("/",B1112)),DATE(VALUE(RIGHT(B1112,4)),VALUE(MID(B1112,4,2)),VALUE(LEFT(B1112,2))),IF(MID(B1112,5,1)="-",DATE(VALUE(LEFT(B1112,4)),VALUE(MID(B1112,6,2)),VALUE(RIGHT(B1112,2))),DATE(VALUE(RIGHT(B1112,4)),MATCH(MID(B1112,4,3),{"Jan","Feb","Mar","Apr","May","Jun","Jul","Aug","Sep","Oct","Nov","Dec"},0),VALUE(LEFT(B1112,2)))))</f>
        <v>45764</v>
      </c>
    </row>
    <row r="1113" customFormat="false" ht="15" hidden="false" customHeight="false" outlineLevel="0" collapsed="false">
      <c r="A1113" s="7" t="s">
        <v>3238</v>
      </c>
      <c r="B1113" s="7" t="s">
        <v>3239</v>
      </c>
      <c r="C1113" s="7" t="s">
        <v>3240</v>
      </c>
      <c r="D1113" s="7" t="s">
        <v>3241</v>
      </c>
      <c r="E1113" s="7" t="s">
        <v>122</v>
      </c>
      <c r="F1113" s="7" t="s">
        <v>101</v>
      </c>
      <c r="G1113" s="7" t="s">
        <v>123</v>
      </c>
      <c r="H1113" s="7" t="n">
        <v>3</v>
      </c>
      <c r="I1113" s="7" t="n">
        <v>280</v>
      </c>
      <c r="J1113" s="7" t="n">
        <v>125</v>
      </c>
      <c r="K1113" s="7" t="s">
        <v>88</v>
      </c>
      <c r="L1113" s="7" t="s">
        <v>194</v>
      </c>
      <c r="M1113" s="7" t="n">
        <v>43</v>
      </c>
      <c r="N1113" s="7" t="n">
        <v>2</v>
      </c>
      <c r="O1113" s="7" t="str">
        <f aca="false">A1113&amp;"|"&amp;B1113&amp;"|"&amp;C1113&amp;"|"&amp;D1113&amp;"|"&amp;E1113&amp;"|"&amp;F1113&amp;"|"&amp;G1113&amp;"|"&amp;H1113&amp;"|"&amp;I1113&amp;"|"&amp;J1113&amp;"|"&amp;K1113&amp;"|"&amp;L1113&amp;"|"&amp;M1113&amp;"|"&amp;N1113</f>
        <v>ORD10252|02/02/2025|14:28|C0186|Mumbai Pizza Co|Mumbai|Pizza|3|280|125|UPI|Delivered|43|2</v>
      </c>
      <c r="P1113" s="7" t="str">
        <f aca="false">IF(COUNTIF($O$2:O1113,O1113)&gt;1,"DUP","OK")</f>
        <v>OK</v>
      </c>
      <c r="Q1113" s="7" t="n">
        <f aca="false">COUNTBLANK(A1113:N1113)</f>
        <v>0</v>
      </c>
      <c r="R1113" s="7" t="n">
        <f aca="false">IF(A1113="",0,COUNTIFS($A$2:$A$3058,A1113,$P$2:$P$3058,"OK"))</f>
        <v>1</v>
      </c>
      <c r="S1113" s="7" t="str">
        <f aca="false">IF(OR(A1113="",P1113="DUP",R1113&lt;2),"",IF(Q1113=_xlfn.MINIFS($Q$2:$Q$3058,$A$2:$A$3058,A1113,$P$2:$P$3058,"OK"),"KEEP","DROP"))</f>
        <v/>
      </c>
      <c r="T1113" s="9" t="n">
        <f aca="false">IF(A1113="",1,0)</f>
        <v>0</v>
      </c>
      <c r="U1113" s="9" t="n">
        <f aca="false">IF(D1113="",1,0)</f>
        <v>0</v>
      </c>
      <c r="V1113" s="9" t="n">
        <f aca="false">IF(E1113="",1,0)</f>
        <v>0</v>
      </c>
      <c r="W1113" s="9" t="n">
        <f aca="false">IF(OR(H1113&lt;1,H1113&gt;10),1,0)</f>
        <v>0</v>
      </c>
      <c r="X1113" s="9" t="n">
        <f aca="false">IF(OR(I1113&lt;=0,I1113&gt;1500),1,0)</f>
        <v>0</v>
      </c>
      <c r="Y1113" s="9" t="n">
        <f aca="false">IF(J1113&gt;H1113*I1113,1,0)</f>
        <v>0</v>
      </c>
      <c r="Z1113" s="9" t="n">
        <f aca="false">IF(AND(N1113&lt;&gt;"",OR(N1113&lt;1,N1113&gt;5)),1,0)</f>
        <v>0</v>
      </c>
      <c r="AA1113" s="9" t="n">
        <f aca="false">IF(AND(M1113&lt;&gt;"",OR(M1113&lt;5,M1113&gt;180)),1,0)</f>
        <v>0</v>
      </c>
      <c r="AB1113" s="7" t="str">
        <f aca="false">IF(P1113="DUP","Exact duplicate row",IF(T1113=1,"Missing Order ID",IF(S1113="DROP","Duplicate Order ID (less complete row)",IF(U1113=1,"Missing Customer ID",IF(V1113=1,"Missing Restaurant name",IF(W1113=1,"Invalid/outlier quantity",IF(X1113=1,"Invalid/outlier unit price",IF(Y1113=1,"Discount greater than order value",""))))))))</f>
        <v/>
      </c>
      <c r="AC1113" s="7" t="str">
        <f aca="false">IF(AB1113="","KEEP","DROP")</f>
        <v>KEEP</v>
      </c>
      <c r="AD1113" s="7" t="str">
        <f aca="false">IF(TRIM(F1113)="",IFERROR(INDEX(Map_Tables!$I$4:$I$37,MATCH(TRIM(E1113),Map_Tables!$G$4:$G$37,0)),""),IFERROR(INDEX(Map_Tables!$B$4:$B$18,MATCH(TRIM(F1113),Map_Tables!$A$4:$A$18,0)),"CHECK"))</f>
        <v>Mumbai</v>
      </c>
      <c r="AE1113" s="7" t="str">
        <f aca="false">IF(TRIM(E1113)="","",IFERROR(INDEX(Map_Tables!$H$4:$H$37,MATCH(TRIM(E1113),Map_Tables!$G$4:$G$37,0)),"CHECK"))</f>
        <v>Mumbai Pizza Co</v>
      </c>
      <c r="AF1113" s="7" t="str">
        <f aca="false">IF(TRIM(K1113)="","Unknown",IFERROR(INDEX(Map_Tables!$E$4:$E$15,MATCH(TRIM(K1113),Map_Tables!$D$4:$D$15,0)),"CHECK"))</f>
        <v>UPI</v>
      </c>
      <c r="AG1113" s="7" t="str">
        <f aca="false">IF(LEFT(LOWER(TRIM(L1113)),6)="cancel","Cancelled","Delivered")</f>
        <v>Delivered</v>
      </c>
      <c r="AH1113" s="10" t="n">
        <f aca="false">IF(ISNUMBER(SEARCH("/",B1113)),DATE(VALUE(RIGHT(B1113,4)),VALUE(MID(B1113,4,2)),VALUE(LEFT(B1113,2))),IF(MID(B1113,5,1)="-",DATE(VALUE(LEFT(B1113,4)),VALUE(MID(B1113,6,2)),VALUE(RIGHT(B1113,2))),DATE(VALUE(RIGHT(B1113,4)),MATCH(MID(B1113,4,3),{"Jan","Feb","Mar","Apr","May","Jun","Jul","Aug","Sep","Oct","Nov","Dec"},0),VALUE(LEFT(B1113,2)))))</f>
        <v>45690</v>
      </c>
    </row>
    <row r="1114" customFormat="false" ht="15" hidden="false" customHeight="false" outlineLevel="0" collapsed="false">
      <c r="A1114" s="7" t="s">
        <v>3242</v>
      </c>
      <c r="B1114" s="7" t="s">
        <v>2579</v>
      </c>
      <c r="C1114" s="7" t="s">
        <v>1983</v>
      </c>
      <c r="D1114" s="7" t="s">
        <v>3148</v>
      </c>
      <c r="E1114" s="7" t="s">
        <v>130</v>
      </c>
      <c r="F1114" s="7" t="s">
        <v>110</v>
      </c>
      <c r="G1114" s="7" t="s">
        <v>90</v>
      </c>
      <c r="H1114" s="7" t="n">
        <v>1</v>
      </c>
      <c r="I1114" s="7" t="n">
        <v>215</v>
      </c>
      <c r="J1114" s="7" t="n">
        <v>75</v>
      </c>
      <c r="K1114" s="7" t="s">
        <v>88</v>
      </c>
      <c r="L1114" s="7" t="s">
        <v>1265</v>
      </c>
      <c r="M1114" s="7" t="n">
        <v>47</v>
      </c>
      <c r="N1114" s="7" t="n">
        <v>4</v>
      </c>
      <c r="O1114" s="7" t="str">
        <f aca="false">A1114&amp;"|"&amp;B1114&amp;"|"&amp;C1114&amp;"|"&amp;D1114&amp;"|"&amp;E1114&amp;"|"&amp;F1114&amp;"|"&amp;G1114&amp;"|"&amp;H1114&amp;"|"&amp;I1114&amp;"|"&amp;J1114&amp;"|"&amp;K1114&amp;"|"&amp;L1114&amp;"|"&amp;M1114&amp;"|"&amp;N1114</f>
        <v>ORD11382|2025-06-27|19:58|C0310|Tandoor Tales|Delhi|North Indian|1|215|75|UPI|delivered|47|4</v>
      </c>
      <c r="P1114" s="7" t="str">
        <f aca="false">IF(COUNTIF($O$2:O1114,O1114)&gt;1,"DUP","OK")</f>
        <v>OK</v>
      </c>
      <c r="Q1114" s="7" t="n">
        <f aca="false">COUNTBLANK(A1114:N1114)</f>
        <v>0</v>
      </c>
      <c r="R1114" s="7" t="n">
        <f aca="false">IF(A1114="",0,COUNTIFS($A$2:$A$3058,A1114,$P$2:$P$3058,"OK"))</f>
        <v>1</v>
      </c>
      <c r="S1114" s="7" t="str">
        <f aca="false">IF(OR(A1114="",P1114="DUP",R1114&lt;2),"",IF(Q1114=_xlfn.MINIFS($Q$2:$Q$3058,$A$2:$A$3058,A1114,$P$2:$P$3058,"OK"),"KEEP","DROP"))</f>
        <v/>
      </c>
      <c r="T1114" s="9" t="n">
        <f aca="false">IF(A1114="",1,0)</f>
        <v>0</v>
      </c>
      <c r="U1114" s="9" t="n">
        <f aca="false">IF(D1114="",1,0)</f>
        <v>0</v>
      </c>
      <c r="V1114" s="9" t="n">
        <f aca="false">IF(E1114="",1,0)</f>
        <v>0</v>
      </c>
      <c r="W1114" s="9" t="n">
        <f aca="false">IF(OR(H1114&lt;1,H1114&gt;10),1,0)</f>
        <v>0</v>
      </c>
      <c r="X1114" s="9" t="n">
        <f aca="false">IF(OR(I1114&lt;=0,I1114&gt;1500),1,0)</f>
        <v>0</v>
      </c>
      <c r="Y1114" s="9" t="n">
        <f aca="false">IF(J1114&gt;H1114*I1114,1,0)</f>
        <v>0</v>
      </c>
      <c r="Z1114" s="9" t="n">
        <f aca="false">IF(AND(N1114&lt;&gt;"",OR(N1114&lt;1,N1114&gt;5)),1,0)</f>
        <v>0</v>
      </c>
      <c r="AA1114" s="9" t="n">
        <f aca="false">IF(AND(M1114&lt;&gt;"",OR(M1114&lt;5,M1114&gt;180)),1,0)</f>
        <v>0</v>
      </c>
      <c r="AB1114" s="7" t="str">
        <f aca="false">IF(P1114="DUP","Exact duplicate row",IF(T1114=1,"Missing Order ID",IF(S1114="DROP","Duplicate Order ID (less complete row)",IF(U1114=1,"Missing Customer ID",IF(V1114=1,"Missing Restaurant name",IF(W1114=1,"Invalid/outlier quantity",IF(X1114=1,"Invalid/outlier unit price",IF(Y1114=1,"Discount greater than order value",""))))))))</f>
        <v/>
      </c>
      <c r="AC1114" s="7" t="str">
        <f aca="false">IF(AB1114="","KEEP","DROP")</f>
        <v>KEEP</v>
      </c>
      <c r="AD1114" s="7" t="str">
        <f aca="false">IF(TRIM(F1114)="",IFERROR(INDEX(Map_Tables!$I$4:$I$37,MATCH(TRIM(E1114),Map_Tables!$G$4:$G$37,0)),""),IFERROR(INDEX(Map_Tables!$B$4:$B$18,MATCH(TRIM(F1114),Map_Tables!$A$4:$A$18,0)),"CHECK"))</f>
        <v>Delhi</v>
      </c>
      <c r="AE1114" s="7" t="str">
        <f aca="false">IF(TRIM(E1114)="","",IFERROR(INDEX(Map_Tables!$H$4:$H$37,MATCH(TRIM(E1114),Map_Tables!$G$4:$G$37,0)),"CHECK"))</f>
        <v>Tandoor Tales</v>
      </c>
      <c r="AF1114" s="7" t="str">
        <f aca="false">IF(TRIM(K1114)="","Unknown",IFERROR(INDEX(Map_Tables!$E$4:$E$15,MATCH(TRIM(K1114),Map_Tables!$D$4:$D$15,0)),"CHECK"))</f>
        <v>UPI</v>
      </c>
      <c r="AG1114" s="7" t="str">
        <f aca="false">IF(LEFT(LOWER(TRIM(L1114)),6)="cancel","Cancelled","Delivered")</f>
        <v>Delivered</v>
      </c>
      <c r="AH1114" s="10" t="n">
        <f aca="false">IF(ISNUMBER(SEARCH("/",B1114)),DATE(VALUE(RIGHT(B1114,4)),VALUE(MID(B1114,4,2)),VALUE(LEFT(B1114,2))),IF(MID(B1114,5,1)="-",DATE(VALUE(LEFT(B1114,4)),VALUE(MID(B1114,6,2)),VALUE(RIGHT(B1114,2))),DATE(VALUE(RIGHT(B1114,4)),MATCH(MID(B1114,4,3),{"Jan","Feb","Mar","Apr","May","Jun","Jul","Aug","Sep","Oct","Nov","Dec"},0),VALUE(LEFT(B1114,2)))))</f>
        <v>45835</v>
      </c>
    </row>
    <row r="1115" customFormat="false" ht="15" hidden="false" customHeight="false" outlineLevel="0" collapsed="false">
      <c r="A1115" s="7" t="s">
        <v>3243</v>
      </c>
      <c r="B1115" s="7" t="s">
        <v>2141</v>
      </c>
      <c r="C1115" s="7" t="s">
        <v>3244</v>
      </c>
      <c r="D1115" s="7" t="s">
        <v>2680</v>
      </c>
      <c r="E1115" s="7" t="s">
        <v>165</v>
      </c>
      <c r="F1115" s="7" t="s">
        <v>146</v>
      </c>
      <c r="G1115" s="7" t="s">
        <v>90</v>
      </c>
      <c r="H1115" s="7" t="n">
        <v>1</v>
      </c>
      <c r="I1115" s="7" t="n">
        <v>190</v>
      </c>
      <c r="J1115" s="7" t="n">
        <v>0</v>
      </c>
      <c r="K1115" s="7" t="s">
        <v>88</v>
      </c>
      <c r="L1115" s="7" t="s">
        <v>194</v>
      </c>
      <c r="M1115" s="7" t="n">
        <v>24</v>
      </c>
      <c r="N1115" s="7" t="n">
        <v>4</v>
      </c>
      <c r="O1115" s="7" t="str">
        <f aca="false">A1115&amp;"|"&amp;B1115&amp;"|"&amp;C1115&amp;"|"&amp;D1115&amp;"|"&amp;E1115&amp;"|"&amp;F1115&amp;"|"&amp;G1115&amp;"|"&amp;H1115&amp;"|"&amp;I1115&amp;"|"&amp;J1115&amp;"|"&amp;K1115&amp;"|"&amp;L1115&amp;"|"&amp;M1115&amp;"|"&amp;N1115</f>
        <v>ORD12099|2025-09-27|16:58|C0067|Gujarati Thali Ghar|Ahmedabad|North Indian|1|190|0|UPI|Delivered|24|4</v>
      </c>
      <c r="P1115" s="7" t="str">
        <f aca="false">IF(COUNTIF($O$2:O1115,O1115)&gt;1,"DUP","OK")</f>
        <v>OK</v>
      </c>
      <c r="Q1115" s="7" t="n">
        <f aca="false">COUNTBLANK(A1115:N1115)</f>
        <v>0</v>
      </c>
      <c r="R1115" s="7" t="n">
        <f aca="false">IF(A1115="",0,COUNTIFS($A$2:$A$3058,A1115,$P$2:$P$3058,"OK"))</f>
        <v>1</v>
      </c>
      <c r="S1115" s="7" t="str">
        <f aca="false">IF(OR(A1115="",P1115="DUP",R1115&lt;2),"",IF(Q1115=_xlfn.MINIFS($Q$2:$Q$3058,$A$2:$A$3058,A1115,$P$2:$P$3058,"OK"),"KEEP","DROP"))</f>
        <v/>
      </c>
      <c r="T1115" s="9" t="n">
        <f aca="false">IF(A1115="",1,0)</f>
        <v>0</v>
      </c>
      <c r="U1115" s="9" t="n">
        <f aca="false">IF(D1115="",1,0)</f>
        <v>0</v>
      </c>
      <c r="V1115" s="9" t="n">
        <f aca="false">IF(E1115="",1,0)</f>
        <v>0</v>
      </c>
      <c r="W1115" s="9" t="n">
        <f aca="false">IF(OR(H1115&lt;1,H1115&gt;10),1,0)</f>
        <v>0</v>
      </c>
      <c r="X1115" s="9" t="n">
        <f aca="false">IF(OR(I1115&lt;=0,I1115&gt;1500),1,0)</f>
        <v>0</v>
      </c>
      <c r="Y1115" s="9" t="n">
        <f aca="false">IF(J1115&gt;H1115*I1115,1,0)</f>
        <v>0</v>
      </c>
      <c r="Z1115" s="9" t="n">
        <f aca="false">IF(AND(N1115&lt;&gt;"",OR(N1115&lt;1,N1115&gt;5)),1,0)</f>
        <v>0</v>
      </c>
      <c r="AA1115" s="9" t="n">
        <f aca="false">IF(AND(M1115&lt;&gt;"",OR(M1115&lt;5,M1115&gt;180)),1,0)</f>
        <v>0</v>
      </c>
      <c r="AB1115" s="7" t="str">
        <f aca="false">IF(P1115="DUP","Exact duplicate row",IF(T1115=1,"Missing Order ID",IF(S1115="DROP","Duplicate Order ID (less complete row)",IF(U1115=1,"Missing Customer ID",IF(V1115=1,"Missing Restaurant name",IF(W1115=1,"Invalid/outlier quantity",IF(X1115=1,"Invalid/outlier unit price",IF(Y1115=1,"Discount greater than order value",""))))))))</f>
        <v/>
      </c>
      <c r="AC1115" s="7" t="str">
        <f aca="false">IF(AB1115="","KEEP","DROP")</f>
        <v>KEEP</v>
      </c>
      <c r="AD1115" s="7" t="str">
        <f aca="false">IF(TRIM(F1115)="",IFERROR(INDEX(Map_Tables!$I$4:$I$37,MATCH(TRIM(E1115),Map_Tables!$G$4:$G$37,0)),""),IFERROR(INDEX(Map_Tables!$B$4:$B$18,MATCH(TRIM(F1115),Map_Tables!$A$4:$A$18,0)),"CHECK"))</f>
        <v>Ahmedabad</v>
      </c>
      <c r="AE1115" s="7" t="str">
        <f aca="false">IF(TRIM(E1115)="","",IFERROR(INDEX(Map_Tables!$H$4:$H$37,MATCH(TRIM(E1115),Map_Tables!$G$4:$G$37,0)),"CHECK"))</f>
        <v>Gujarati Thali Ghar</v>
      </c>
      <c r="AF1115" s="7" t="str">
        <f aca="false">IF(TRIM(K1115)="","Unknown",IFERROR(INDEX(Map_Tables!$E$4:$E$15,MATCH(TRIM(K1115),Map_Tables!$D$4:$D$15,0)),"CHECK"))</f>
        <v>UPI</v>
      </c>
      <c r="AG1115" s="7" t="str">
        <f aca="false">IF(LEFT(LOWER(TRIM(L1115)),6)="cancel","Cancelled","Delivered")</f>
        <v>Delivered</v>
      </c>
      <c r="AH1115" s="10" t="n">
        <f aca="false">IF(ISNUMBER(SEARCH("/",B1115)),DATE(VALUE(RIGHT(B1115,4)),VALUE(MID(B1115,4,2)),VALUE(LEFT(B1115,2))),IF(MID(B1115,5,1)="-",DATE(VALUE(LEFT(B1115,4)),VALUE(MID(B1115,6,2)),VALUE(RIGHT(B1115,2))),DATE(VALUE(RIGHT(B1115,4)),MATCH(MID(B1115,4,3),{"Jan","Feb","Mar","Apr","May","Jun","Jul","Aug","Sep","Oct","Nov","Dec"},0),VALUE(LEFT(B1115,2)))))</f>
        <v>45927</v>
      </c>
    </row>
    <row r="1116" customFormat="false" ht="15" hidden="false" customHeight="false" outlineLevel="0" collapsed="false">
      <c r="A1116" s="7" t="s">
        <v>3245</v>
      </c>
      <c r="B1116" s="7" t="s">
        <v>3246</v>
      </c>
      <c r="C1116" s="7" t="s">
        <v>3247</v>
      </c>
      <c r="D1116" s="7" t="s">
        <v>2411</v>
      </c>
      <c r="E1116" s="7" t="s">
        <v>168</v>
      </c>
      <c r="F1116" s="7" t="s">
        <v>146</v>
      </c>
      <c r="G1116" s="7" t="s">
        <v>123</v>
      </c>
      <c r="H1116" s="7" t="n">
        <v>2</v>
      </c>
      <c r="I1116" s="7" t="n">
        <v>310</v>
      </c>
      <c r="J1116" s="7" t="n">
        <v>75</v>
      </c>
      <c r="K1116" s="7" t="s">
        <v>88</v>
      </c>
      <c r="L1116" s="7" t="s">
        <v>194</v>
      </c>
      <c r="M1116" s="7" t="n">
        <v>22</v>
      </c>
      <c r="N1116" s="7" t="n">
        <v>4</v>
      </c>
      <c r="O1116" s="7" t="str">
        <f aca="false">A1116&amp;"|"&amp;B1116&amp;"|"&amp;C1116&amp;"|"&amp;D1116&amp;"|"&amp;E1116&amp;"|"&amp;F1116&amp;"|"&amp;G1116&amp;"|"&amp;H1116&amp;"|"&amp;I1116&amp;"|"&amp;J1116&amp;"|"&amp;K1116&amp;"|"&amp;L1116&amp;"|"&amp;M1116&amp;"|"&amp;N1116</f>
        <v>ORD10807|12/04/2025|19:12|C0477|Cheesy Slice|Ahmedabad|Pizza|2|310|75|UPI|Delivered|22|4</v>
      </c>
      <c r="P1116" s="7" t="str">
        <f aca="false">IF(COUNTIF($O$2:O1116,O1116)&gt;1,"DUP","OK")</f>
        <v>OK</v>
      </c>
      <c r="Q1116" s="7" t="n">
        <f aca="false">COUNTBLANK(A1116:N1116)</f>
        <v>0</v>
      </c>
      <c r="R1116" s="7" t="n">
        <f aca="false">IF(A1116="",0,COUNTIFS($A$2:$A$3058,A1116,$P$2:$P$3058,"OK"))</f>
        <v>1</v>
      </c>
      <c r="S1116" s="7" t="str">
        <f aca="false">IF(OR(A1116="",P1116="DUP",R1116&lt;2),"",IF(Q1116=_xlfn.MINIFS($Q$2:$Q$3058,$A$2:$A$3058,A1116,$P$2:$P$3058,"OK"),"KEEP","DROP"))</f>
        <v/>
      </c>
      <c r="T1116" s="9" t="n">
        <f aca="false">IF(A1116="",1,0)</f>
        <v>0</v>
      </c>
      <c r="U1116" s="9" t="n">
        <f aca="false">IF(D1116="",1,0)</f>
        <v>0</v>
      </c>
      <c r="V1116" s="9" t="n">
        <f aca="false">IF(E1116="",1,0)</f>
        <v>0</v>
      </c>
      <c r="W1116" s="9" t="n">
        <f aca="false">IF(OR(H1116&lt;1,H1116&gt;10),1,0)</f>
        <v>0</v>
      </c>
      <c r="X1116" s="9" t="n">
        <f aca="false">IF(OR(I1116&lt;=0,I1116&gt;1500),1,0)</f>
        <v>0</v>
      </c>
      <c r="Y1116" s="9" t="n">
        <f aca="false">IF(J1116&gt;H1116*I1116,1,0)</f>
        <v>0</v>
      </c>
      <c r="Z1116" s="9" t="n">
        <f aca="false">IF(AND(N1116&lt;&gt;"",OR(N1116&lt;1,N1116&gt;5)),1,0)</f>
        <v>0</v>
      </c>
      <c r="AA1116" s="9" t="n">
        <f aca="false">IF(AND(M1116&lt;&gt;"",OR(M1116&lt;5,M1116&gt;180)),1,0)</f>
        <v>0</v>
      </c>
      <c r="AB1116" s="7" t="str">
        <f aca="false">IF(P1116="DUP","Exact duplicate row",IF(T1116=1,"Missing Order ID",IF(S1116="DROP","Duplicate Order ID (less complete row)",IF(U1116=1,"Missing Customer ID",IF(V1116=1,"Missing Restaurant name",IF(W1116=1,"Invalid/outlier quantity",IF(X1116=1,"Invalid/outlier unit price",IF(Y1116=1,"Discount greater than order value",""))))))))</f>
        <v/>
      </c>
      <c r="AC1116" s="7" t="str">
        <f aca="false">IF(AB1116="","KEEP","DROP")</f>
        <v>KEEP</v>
      </c>
      <c r="AD1116" s="7" t="str">
        <f aca="false">IF(TRIM(F1116)="",IFERROR(INDEX(Map_Tables!$I$4:$I$37,MATCH(TRIM(E1116),Map_Tables!$G$4:$G$37,0)),""),IFERROR(INDEX(Map_Tables!$B$4:$B$18,MATCH(TRIM(F1116),Map_Tables!$A$4:$A$18,0)),"CHECK"))</f>
        <v>Ahmedabad</v>
      </c>
      <c r="AE1116" s="7" t="str">
        <f aca="false">IF(TRIM(E1116)="","",IFERROR(INDEX(Map_Tables!$H$4:$H$37,MATCH(TRIM(E1116),Map_Tables!$G$4:$G$37,0)),"CHECK"))</f>
        <v>Cheesy Slice</v>
      </c>
      <c r="AF1116" s="7" t="str">
        <f aca="false">IF(TRIM(K1116)="","Unknown",IFERROR(INDEX(Map_Tables!$E$4:$E$15,MATCH(TRIM(K1116),Map_Tables!$D$4:$D$15,0)),"CHECK"))</f>
        <v>UPI</v>
      </c>
      <c r="AG1116" s="7" t="str">
        <f aca="false">IF(LEFT(LOWER(TRIM(L1116)),6)="cancel","Cancelled","Delivered")</f>
        <v>Delivered</v>
      </c>
      <c r="AH1116" s="10" t="n">
        <f aca="false">IF(ISNUMBER(SEARCH("/",B1116)),DATE(VALUE(RIGHT(B1116,4)),VALUE(MID(B1116,4,2)),VALUE(LEFT(B1116,2))),IF(MID(B1116,5,1)="-",DATE(VALUE(LEFT(B1116,4)),VALUE(MID(B1116,6,2)),VALUE(RIGHT(B1116,2))),DATE(VALUE(RIGHT(B1116,4)),MATCH(MID(B1116,4,3),{"Jan","Feb","Mar","Apr","May","Jun","Jul","Aug","Sep","Oct","Nov","Dec"},0),VALUE(LEFT(B1116,2)))))</f>
        <v>45759</v>
      </c>
    </row>
    <row r="1117" customFormat="false" ht="15" hidden="false" customHeight="false" outlineLevel="0" collapsed="false">
      <c r="A1117" s="7" t="s">
        <v>3248</v>
      </c>
      <c r="B1117" s="7" t="s">
        <v>558</v>
      </c>
      <c r="C1117" s="7" t="s">
        <v>1474</v>
      </c>
      <c r="D1117" s="7" t="s">
        <v>2973</v>
      </c>
      <c r="E1117" s="7" t="s">
        <v>98</v>
      </c>
      <c r="F1117" s="7"/>
      <c r="G1117" s="7" t="s">
        <v>99</v>
      </c>
      <c r="H1117" s="7" t="n">
        <v>1</v>
      </c>
      <c r="I1117" s="7" t="n">
        <v>265</v>
      </c>
      <c r="J1117" s="7" t="n">
        <v>50</v>
      </c>
      <c r="K1117" s="7" t="s">
        <v>121</v>
      </c>
      <c r="L1117" s="7" t="s">
        <v>194</v>
      </c>
      <c r="M1117" s="7" t="n">
        <v>31</v>
      </c>
      <c r="N1117" s="7" t="n">
        <v>5</v>
      </c>
      <c r="O1117" s="7" t="str">
        <f aca="false">A1117&amp;"|"&amp;B1117&amp;"|"&amp;C1117&amp;"|"&amp;D1117&amp;"|"&amp;E1117&amp;"|"&amp;F1117&amp;"|"&amp;G1117&amp;"|"&amp;H1117&amp;"|"&amp;I1117&amp;"|"&amp;J1117&amp;"|"&amp;K1117&amp;"|"&amp;L1117&amp;"|"&amp;M1117&amp;"|"&amp;N1117</f>
        <v>ORD12414|2025-10-31|19:37|C1289|Nawabi Biryani House||Biryani|1|265|50|Wallet|Delivered|31|5</v>
      </c>
      <c r="P1117" s="7" t="str">
        <f aca="false">IF(COUNTIF($O$2:O1117,O1117)&gt;1,"DUP","OK")</f>
        <v>OK</v>
      </c>
      <c r="Q1117" s="7" t="n">
        <f aca="false">COUNTBLANK(A1117:N1117)</f>
        <v>1</v>
      </c>
      <c r="R1117" s="7" t="n">
        <f aca="false">IF(A1117="",0,COUNTIFS($A$2:$A$3058,A1117,$P$2:$P$3058,"OK"))</f>
        <v>1</v>
      </c>
      <c r="S1117" s="7" t="str">
        <f aca="false">IF(OR(A1117="",P1117="DUP",R1117&lt;2),"",IF(Q1117=_xlfn.MINIFS($Q$2:$Q$3058,$A$2:$A$3058,A1117,$P$2:$P$3058,"OK"),"KEEP","DROP"))</f>
        <v/>
      </c>
      <c r="T1117" s="9" t="n">
        <f aca="false">IF(A1117="",1,0)</f>
        <v>0</v>
      </c>
      <c r="U1117" s="9" t="n">
        <f aca="false">IF(D1117="",1,0)</f>
        <v>0</v>
      </c>
      <c r="V1117" s="9" t="n">
        <f aca="false">IF(E1117="",1,0)</f>
        <v>0</v>
      </c>
      <c r="W1117" s="9" t="n">
        <f aca="false">IF(OR(H1117&lt;1,H1117&gt;10),1,0)</f>
        <v>0</v>
      </c>
      <c r="X1117" s="9" t="n">
        <f aca="false">IF(OR(I1117&lt;=0,I1117&gt;1500),1,0)</f>
        <v>0</v>
      </c>
      <c r="Y1117" s="9" t="n">
        <f aca="false">IF(J1117&gt;H1117*I1117,1,0)</f>
        <v>0</v>
      </c>
      <c r="Z1117" s="9" t="n">
        <f aca="false">IF(AND(N1117&lt;&gt;"",OR(N1117&lt;1,N1117&gt;5)),1,0)</f>
        <v>0</v>
      </c>
      <c r="AA1117" s="9" t="n">
        <f aca="false">IF(AND(M1117&lt;&gt;"",OR(M1117&lt;5,M1117&gt;180)),1,0)</f>
        <v>0</v>
      </c>
      <c r="AB1117" s="7" t="str">
        <f aca="false">IF(P1117="DUP","Exact duplicate row",IF(T1117=1,"Missing Order ID",IF(S1117="DROP","Duplicate Order ID (less complete row)",IF(U1117=1,"Missing Customer ID",IF(V1117=1,"Missing Restaurant name",IF(W1117=1,"Invalid/outlier quantity",IF(X1117=1,"Invalid/outlier unit price",IF(Y1117=1,"Discount greater than order value",""))))))))</f>
        <v/>
      </c>
      <c r="AC1117" s="7" t="str">
        <f aca="false">IF(AB1117="","KEEP","DROP")</f>
        <v>KEEP</v>
      </c>
      <c r="AD1117" s="7" t="str">
        <f aca="false">IF(TRIM(F1117)="",IFERROR(INDEX(Map_Tables!$I$4:$I$37,MATCH(TRIM(E1117),Map_Tables!$G$4:$G$37,0)),""),IFERROR(INDEX(Map_Tables!$B$4:$B$18,MATCH(TRIM(F1117),Map_Tables!$A$4:$A$18,0)),"CHECK"))</f>
        <v>Bengaluru</v>
      </c>
      <c r="AE1117" s="7" t="str">
        <f aca="false">IF(TRIM(E1117)="","",IFERROR(INDEX(Map_Tables!$H$4:$H$37,MATCH(TRIM(E1117),Map_Tables!$G$4:$G$37,0)),"CHECK"))</f>
        <v>Nawabi Biryani House</v>
      </c>
      <c r="AF1117" s="7" t="str">
        <f aca="false">IF(TRIM(K1117)="","Unknown",IFERROR(INDEX(Map_Tables!$E$4:$E$15,MATCH(TRIM(K1117),Map_Tables!$D$4:$D$15,0)),"CHECK"))</f>
        <v>Wallet</v>
      </c>
      <c r="AG1117" s="7" t="str">
        <f aca="false">IF(LEFT(LOWER(TRIM(L1117)),6)="cancel","Cancelled","Delivered")</f>
        <v>Delivered</v>
      </c>
      <c r="AH1117" s="10" t="n">
        <f aca="false">IF(ISNUMBER(SEARCH("/",B1117)),DATE(VALUE(RIGHT(B1117,4)),VALUE(MID(B1117,4,2)),VALUE(LEFT(B1117,2))),IF(MID(B1117,5,1)="-",DATE(VALUE(LEFT(B1117,4)),VALUE(MID(B1117,6,2)),VALUE(RIGHT(B1117,2))),DATE(VALUE(RIGHT(B1117,4)),MATCH(MID(B1117,4,3),{"Jan","Feb","Mar","Apr","May","Jun","Jul","Aug","Sep","Oct","Nov","Dec"},0),VALUE(LEFT(B1117,2)))))</f>
        <v>45961</v>
      </c>
    </row>
    <row r="1118" customFormat="false" ht="15" hidden="false" customHeight="false" outlineLevel="0" collapsed="false">
      <c r="A1118" s="7" t="s">
        <v>3249</v>
      </c>
      <c r="B1118" s="7" t="s">
        <v>406</v>
      </c>
      <c r="C1118" s="7" t="s">
        <v>2292</v>
      </c>
      <c r="D1118" s="7" t="s">
        <v>3250</v>
      </c>
      <c r="E1118" s="7" t="s">
        <v>130</v>
      </c>
      <c r="F1118" s="7" t="s">
        <v>110</v>
      </c>
      <c r="G1118" s="7" t="s">
        <v>90</v>
      </c>
      <c r="H1118" s="7" t="n">
        <v>3</v>
      </c>
      <c r="I1118" s="7" t="n">
        <v>250</v>
      </c>
      <c r="J1118" s="7" t="n">
        <v>0</v>
      </c>
      <c r="K1118" s="7" t="s">
        <v>88</v>
      </c>
      <c r="L1118" s="7" t="s">
        <v>194</v>
      </c>
      <c r="M1118" s="7" t="n">
        <v>46</v>
      </c>
      <c r="N1118" s="7" t="n">
        <v>4</v>
      </c>
      <c r="O1118" s="7" t="str">
        <f aca="false">A1118&amp;"|"&amp;B1118&amp;"|"&amp;C1118&amp;"|"&amp;D1118&amp;"|"&amp;E1118&amp;"|"&amp;F1118&amp;"|"&amp;G1118&amp;"|"&amp;H1118&amp;"|"&amp;I1118&amp;"|"&amp;J1118&amp;"|"&amp;K1118&amp;"|"&amp;L1118&amp;"|"&amp;M1118&amp;"|"&amp;N1118</f>
        <v>ORD10716|2025-04-01|20:11|C1213|Tandoor Tales|Delhi|North Indian|3|250|0|UPI|Delivered|46|4</v>
      </c>
      <c r="P1118" s="7" t="str">
        <f aca="false">IF(COUNTIF($O$2:O1118,O1118)&gt;1,"DUP","OK")</f>
        <v>OK</v>
      </c>
      <c r="Q1118" s="7" t="n">
        <f aca="false">COUNTBLANK(A1118:N1118)</f>
        <v>0</v>
      </c>
      <c r="R1118" s="7" t="n">
        <f aca="false">IF(A1118="",0,COUNTIFS($A$2:$A$3058,A1118,$P$2:$P$3058,"OK"))</f>
        <v>1</v>
      </c>
      <c r="S1118" s="7" t="str">
        <f aca="false">IF(OR(A1118="",P1118="DUP",R1118&lt;2),"",IF(Q1118=_xlfn.MINIFS($Q$2:$Q$3058,$A$2:$A$3058,A1118,$P$2:$P$3058,"OK"),"KEEP","DROP"))</f>
        <v/>
      </c>
      <c r="T1118" s="9" t="n">
        <f aca="false">IF(A1118="",1,0)</f>
        <v>0</v>
      </c>
      <c r="U1118" s="9" t="n">
        <f aca="false">IF(D1118="",1,0)</f>
        <v>0</v>
      </c>
      <c r="V1118" s="9" t="n">
        <f aca="false">IF(E1118="",1,0)</f>
        <v>0</v>
      </c>
      <c r="W1118" s="9" t="n">
        <f aca="false">IF(OR(H1118&lt;1,H1118&gt;10),1,0)</f>
        <v>0</v>
      </c>
      <c r="X1118" s="9" t="n">
        <f aca="false">IF(OR(I1118&lt;=0,I1118&gt;1500),1,0)</f>
        <v>0</v>
      </c>
      <c r="Y1118" s="9" t="n">
        <f aca="false">IF(J1118&gt;H1118*I1118,1,0)</f>
        <v>0</v>
      </c>
      <c r="Z1118" s="9" t="n">
        <f aca="false">IF(AND(N1118&lt;&gt;"",OR(N1118&lt;1,N1118&gt;5)),1,0)</f>
        <v>0</v>
      </c>
      <c r="AA1118" s="9" t="n">
        <f aca="false">IF(AND(M1118&lt;&gt;"",OR(M1118&lt;5,M1118&gt;180)),1,0)</f>
        <v>0</v>
      </c>
      <c r="AB1118" s="7" t="str">
        <f aca="false">IF(P1118="DUP","Exact duplicate row",IF(T1118=1,"Missing Order ID",IF(S1118="DROP","Duplicate Order ID (less complete row)",IF(U1118=1,"Missing Customer ID",IF(V1118=1,"Missing Restaurant name",IF(W1118=1,"Invalid/outlier quantity",IF(X1118=1,"Invalid/outlier unit price",IF(Y1118=1,"Discount greater than order value",""))))))))</f>
        <v/>
      </c>
      <c r="AC1118" s="7" t="str">
        <f aca="false">IF(AB1118="","KEEP","DROP")</f>
        <v>KEEP</v>
      </c>
      <c r="AD1118" s="7" t="str">
        <f aca="false">IF(TRIM(F1118)="",IFERROR(INDEX(Map_Tables!$I$4:$I$37,MATCH(TRIM(E1118),Map_Tables!$G$4:$G$37,0)),""),IFERROR(INDEX(Map_Tables!$B$4:$B$18,MATCH(TRIM(F1118),Map_Tables!$A$4:$A$18,0)),"CHECK"))</f>
        <v>Delhi</v>
      </c>
      <c r="AE1118" s="7" t="str">
        <f aca="false">IF(TRIM(E1118)="","",IFERROR(INDEX(Map_Tables!$H$4:$H$37,MATCH(TRIM(E1118),Map_Tables!$G$4:$G$37,0)),"CHECK"))</f>
        <v>Tandoor Tales</v>
      </c>
      <c r="AF1118" s="7" t="str">
        <f aca="false">IF(TRIM(K1118)="","Unknown",IFERROR(INDEX(Map_Tables!$E$4:$E$15,MATCH(TRIM(K1118),Map_Tables!$D$4:$D$15,0)),"CHECK"))</f>
        <v>UPI</v>
      </c>
      <c r="AG1118" s="7" t="str">
        <f aca="false">IF(LEFT(LOWER(TRIM(L1118)),6)="cancel","Cancelled","Delivered")</f>
        <v>Delivered</v>
      </c>
      <c r="AH1118" s="10" t="n">
        <f aca="false">IF(ISNUMBER(SEARCH("/",B1118)),DATE(VALUE(RIGHT(B1118,4)),VALUE(MID(B1118,4,2)),VALUE(LEFT(B1118,2))),IF(MID(B1118,5,1)="-",DATE(VALUE(LEFT(B1118,4)),VALUE(MID(B1118,6,2)),VALUE(RIGHT(B1118,2))),DATE(VALUE(RIGHT(B1118,4)),MATCH(MID(B1118,4,3),{"Jan","Feb","Mar","Apr","May","Jun","Jul","Aug","Sep","Oct","Nov","Dec"},0),VALUE(LEFT(B1118,2)))))</f>
        <v>45748</v>
      </c>
    </row>
    <row r="1119" customFormat="false" ht="15" hidden="false" customHeight="false" outlineLevel="0" collapsed="false">
      <c r="A1119" s="7" t="s">
        <v>3251</v>
      </c>
      <c r="B1119" s="7" t="s">
        <v>1535</v>
      </c>
      <c r="C1119" s="7" t="s">
        <v>1674</v>
      </c>
      <c r="D1119" s="7" t="s">
        <v>2554</v>
      </c>
      <c r="E1119" s="7" t="s">
        <v>160</v>
      </c>
      <c r="F1119" s="7" t="s">
        <v>136</v>
      </c>
      <c r="G1119" s="7" t="s">
        <v>150</v>
      </c>
      <c r="H1119" s="7" t="n">
        <v>1</v>
      </c>
      <c r="I1119" s="7" t="n">
        <v>150</v>
      </c>
      <c r="J1119" s="7" t="n">
        <v>0</v>
      </c>
      <c r="K1119" s="7" t="s">
        <v>88</v>
      </c>
      <c r="L1119" s="7" t="s">
        <v>194</v>
      </c>
      <c r="M1119" s="7" t="n">
        <v>20</v>
      </c>
      <c r="N1119" s="7" t="n">
        <v>5</v>
      </c>
      <c r="O1119" s="7" t="str">
        <f aca="false">A1119&amp;"|"&amp;B1119&amp;"|"&amp;C1119&amp;"|"&amp;D1119&amp;"|"&amp;E1119&amp;"|"&amp;F1119&amp;"|"&amp;G1119&amp;"|"&amp;H1119&amp;"|"&amp;I1119&amp;"|"&amp;J1119&amp;"|"&amp;K1119&amp;"|"&amp;L1119&amp;"|"&amp;M1119&amp;"|"&amp;N1119</f>
        <v>ORD12016|2025-09-18|17:34|C1184|Cake Walk|Pune|Desserts|1|150|0|UPI|Delivered|20|5</v>
      </c>
      <c r="P1119" s="7" t="str">
        <f aca="false">IF(COUNTIF($O$2:O1119,O1119)&gt;1,"DUP","OK")</f>
        <v>OK</v>
      </c>
      <c r="Q1119" s="7" t="n">
        <f aca="false">COUNTBLANK(A1119:N1119)</f>
        <v>0</v>
      </c>
      <c r="R1119" s="7" t="n">
        <f aca="false">IF(A1119="",0,COUNTIFS($A$2:$A$3058,A1119,$P$2:$P$3058,"OK"))</f>
        <v>1</v>
      </c>
      <c r="S1119" s="7" t="str">
        <f aca="false">IF(OR(A1119="",P1119="DUP",R1119&lt;2),"",IF(Q1119=_xlfn.MINIFS($Q$2:$Q$3058,$A$2:$A$3058,A1119,$P$2:$P$3058,"OK"),"KEEP","DROP"))</f>
        <v/>
      </c>
      <c r="T1119" s="9" t="n">
        <f aca="false">IF(A1119="",1,0)</f>
        <v>0</v>
      </c>
      <c r="U1119" s="9" t="n">
        <f aca="false">IF(D1119="",1,0)</f>
        <v>0</v>
      </c>
      <c r="V1119" s="9" t="n">
        <f aca="false">IF(E1119="",1,0)</f>
        <v>0</v>
      </c>
      <c r="W1119" s="9" t="n">
        <f aca="false">IF(OR(H1119&lt;1,H1119&gt;10),1,0)</f>
        <v>0</v>
      </c>
      <c r="X1119" s="9" t="n">
        <f aca="false">IF(OR(I1119&lt;=0,I1119&gt;1500),1,0)</f>
        <v>0</v>
      </c>
      <c r="Y1119" s="9" t="n">
        <f aca="false">IF(J1119&gt;H1119*I1119,1,0)</f>
        <v>0</v>
      </c>
      <c r="Z1119" s="9" t="n">
        <f aca="false">IF(AND(N1119&lt;&gt;"",OR(N1119&lt;1,N1119&gt;5)),1,0)</f>
        <v>0</v>
      </c>
      <c r="AA1119" s="9" t="n">
        <f aca="false">IF(AND(M1119&lt;&gt;"",OR(M1119&lt;5,M1119&gt;180)),1,0)</f>
        <v>0</v>
      </c>
      <c r="AB1119" s="7" t="str">
        <f aca="false">IF(P1119="DUP","Exact duplicate row",IF(T1119=1,"Missing Order ID",IF(S1119="DROP","Duplicate Order ID (less complete row)",IF(U1119=1,"Missing Customer ID",IF(V1119=1,"Missing Restaurant name",IF(W1119=1,"Invalid/outlier quantity",IF(X1119=1,"Invalid/outlier unit price",IF(Y1119=1,"Discount greater than order value",""))))))))</f>
        <v/>
      </c>
      <c r="AC1119" s="7" t="str">
        <f aca="false">IF(AB1119="","KEEP","DROP")</f>
        <v>KEEP</v>
      </c>
      <c r="AD1119" s="7" t="str">
        <f aca="false">IF(TRIM(F1119)="",IFERROR(INDEX(Map_Tables!$I$4:$I$37,MATCH(TRIM(E1119),Map_Tables!$G$4:$G$37,0)),""),IFERROR(INDEX(Map_Tables!$B$4:$B$18,MATCH(TRIM(F1119),Map_Tables!$A$4:$A$18,0)),"CHECK"))</f>
        <v>Pune</v>
      </c>
      <c r="AE1119" s="7" t="str">
        <f aca="false">IF(TRIM(E1119)="","",IFERROR(INDEX(Map_Tables!$H$4:$H$37,MATCH(TRIM(E1119),Map_Tables!$G$4:$G$37,0)),"CHECK"))</f>
        <v>Cake Walk</v>
      </c>
      <c r="AF1119" s="7" t="str">
        <f aca="false">IF(TRIM(K1119)="","Unknown",IFERROR(INDEX(Map_Tables!$E$4:$E$15,MATCH(TRIM(K1119),Map_Tables!$D$4:$D$15,0)),"CHECK"))</f>
        <v>UPI</v>
      </c>
      <c r="AG1119" s="7" t="str">
        <f aca="false">IF(LEFT(LOWER(TRIM(L1119)),6)="cancel","Cancelled","Delivered")</f>
        <v>Delivered</v>
      </c>
      <c r="AH1119" s="10" t="n">
        <f aca="false">IF(ISNUMBER(SEARCH("/",B1119)),DATE(VALUE(RIGHT(B1119,4)),VALUE(MID(B1119,4,2)),VALUE(LEFT(B1119,2))),IF(MID(B1119,5,1)="-",DATE(VALUE(LEFT(B1119,4)),VALUE(MID(B1119,6,2)),VALUE(RIGHT(B1119,2))),DATE(VALUE(RIGHT(B1119,4)),MATCH(MID(B1119,4,3),{"Jan","Feb","Mar","Apr","May","Jun","Jul","Aug","Sep","Oct","Nov","Dec"},0),VALUE(LEFT(B1119,2)))))</f>
        <v>45918</v>
      </c>
    </row>
    <row r="1120" customFormat="false" ht="15" hidden="false" customHeight="false" outlineLevel="0" collapsed="false">
      <c r="A1120" s="7" t="s">
        <v>3252</v>
      </c>
      <c r="B1120" s="7" t="s">
        <v>828</v>
      </c>
      <c r="C1120" s="7" t="s">
        <v>3253</v>
      </c>
      <c r="D1120" s="7" t="s">
        <v>2077</v>
      </c>
      <c r="E1120" s="7" t="s">
        <v>138</v>
      </c>
      <c r="F1120" s="7" t="s">
        <v>110</v>
      </c>
      <c r="G1120" s="7" t="s">
        <v>1003</v>
      </c>
      <c r="H1120" s="7" t="n">
        <v>4</v>
      </c>
      <c r="I1120" s="7" t="n">
        <v>150</v>
      </c>
      <c r="J1120" s="7" t="n">
        <v>75</v>
      </c>
      <c r="K1120" s="7" t="s">
        <v>103</v>
      </c>
      <c r="L1120" s="7" t="s">
        <v>194</v>
      </c>
      <c r="M1120" s="7" t="n">
        <v>39</v>
      </c>
      <c r="N1120" s="7" t="n">
        <v>5</v>
      </c>
      <c r="O1120" s="7" t="str">
        <f aca="false">A1120&amp;"|"&amp;B1120&amp;"|"&amp;C1120&amp;"|"&amp;D1120&amp;"|"&amp;E1120&amp;"|"&amp;F1120&amp;"|"&amp;G1120&amp;"|"&amp;H1120&amp;"|"&amp;I1120&amp;"|"&amp;J1120&amp;"|"&amp;K1120&amp;"|"&amp;L1120&amp;"|"&amp;M1120&amp;"|"&amp;N1120</f>
        <v>ORD12540|2025-11-13|16:50|C0006|Burger Barn|Delhi|BURGERS|4|150|75|Debit Card|Delivered|39|5</v>
      </c>
      <c r="P1120" s="7" t="str">
        <f aca="false">IF(COUNTIF($O$2:O1120,O1120)&gt;1,"DUP","OK")</f>
        <v>OK</v>
      </c>
      <c r="Q1120" s="7" t="n">
        <f aca="false">COUNTBLANK(A1120:N1120)</f>
        <v>0</v>
      </c>
      <c r="R1120" s="7" t="n">
        <f aca="false">IF(A1120="",0,COUNTIFS($A$2:$A$3058,A1120,$P$2:$P$3058,"OK"))</f>
        <v>1</v>
      </c>
      <c r="S1120" s="7" t="str">
        <f aca="false">IF(OR(A1120="",P1120="DUP",R1120&lt;2),"",IF(Q1120=_xlfn.MINIFS($Q$2:$Q$3058,$A$2:$A$3058,A1120,$P$2:$P$3058,"OK"),"KEEP","DROP"))</f>
        <v/>
      </c>
      <c r="T1120" s="9" t="n">
        <f aca="false">IF(A1120="",1,0)</f>
        <v>0</v>
      </c>
      <c r="U1120" s="9" t="n">
        <f aca="false">IF(D1120="",1,0)</f>
        <v>0</v>
      </c>
      <c r="V1120" s="9" t="n">
        <f aca="false">IF(E1120="",1,0)</f>
        <v>0</v>
      </c>
      <c r="W1120" s="9" t="n">
        <f aca="false">IF(OR(H1120&lt;1,H1120&gt;10),1,0)</f>
        <v>0</v>
      </c>
      <c r="X1120" s="9" t="n">
        <f aca="false">IF(OR(I1120&lt;=0,I1120&gt;1500),1,0)</f>
        <v>0</v>
      </c>
      <c r="Y1120" s="9" t="n">
        <f aca="false">IF(J1120&gt;H1120*I1120,1,0)</f>
        <v>0</v>
      </c>
      <c r="Z1120" s="9" t="n">
        <f aca="false">IF(AND(N1120&lt;&gt;"",OR(N1120&lt;1,N1120&gt;5)),1,0)</f>
        <v>0</v>
      </c>
      <c r="AA1120" s="9" t="n">
        <f aca="false">IF(AND(M1120&lt;&gt;"",OR(M1120&lt;5,M1120&gt;180)),1,0)</f>
        <v>0</v>
      </c>
      <c r="AB1120" s="7" t="str">
        <f aca="false">IF(P1120="DUP","Exact duplicate row",IF(T1120=1,"Missing Order ID",IF(S1120="DROP","Duplicate Order ID (less complete row)",IF(U1120=1,"Missing Customer ID",IF(V1120=1,"Missing Restaurant name",IF(W1120=1,"Invalid/outlier quantity",IF(X1120=1,"Invalid/outlier unit price",IF(Y1120=1,"Discount greater than order value",""))))))))</f>
        <v/>
      </c>
      <c r="AC1120" s="7" t="str">
        <f aca="false">IF(AB1120="","KEEP","DROP")</f>
        <v>KEEP</v>
      </c>
      <c r="AD1120" s="7" t="str">
        <f aca="false">IF(TRIM(F1120)="",IFERROR(INDEX(Map_Tables!$I$4:$I$37,MATCH(TRIM(E1120),Map_Tables!$G$4:$G$37,0)),""),IFERROR(INDEX(Map_Tables!$B$4:$B$18,MATCH(TRIM(F1120),Map_Tables!$A$4:$A$18,0)),"CHECK"))</f>
        <v>Delhi</v>
      </c>
      <c r="AE1120" s="7" t="str">
        <f aca="false">IF(TRIM(E1120)="","",IFERROR(INDEX(Map_Tables!$H$4:$H$37,MATCH(TRIM(E1120),Map_Tables!$G$4:$G$37,0)),"CHECK"))</f>
        <v>Burger Barn</v>
      </c>
      <c r="AF1120" s="7" t="str">
        <f aca="false">IF(TRIM(K1120)="","Unknown",IFERROR(INDEX(Map_Tables!$E$4:$E$15,MATCH(TRIM(K1120),Map_Tables!$D$4:$D$15,0)),"CHECK"))</f>
        <v>Debit Card</v>
      </c>
      <c r="AG1120" s="7" t="str">
        <f aca="false">IF(LEFT(LOWER(TRIM(L1120)),6)="cancel","Cancelled","Delivered")</f>
        <v>Delivered</v>
      </c>
      <c r="AH1120" s="10" t="n">
        <f aca="false">IF(ISNUMBER(SEARCH("/",B1120)),DATE(VALUE(RIGHT(B1120,4)),VALUE(MID(B1120,4,2)),VALUE(LEFT(B1120,2))),IF(MID(B1120,5,1)="-",DATE(VALUE(LEFT(B1120,4)),VALUE(MID(B1120,6,2)),VALUE(RIGHT(B1120,2))),DATE(VALUE(RIGHT(B1120,4)),MATCH(MID(B1120,4,3),{"Jan","Feb","Mar","Apr","May","Jun","Jul","Aug","Sep","Oct","Nov","Dec"},0),VALUE(LEFT(B1120,2)))))</f>
        <v>45974</v>
      </c>
    </row>
    <row r="1121" customFormat="false" ht="15" hidden="false" customHeight="false" outlineLevel="0" collapsed="false">
      <c r="A1121" s="7" t="s">
        <v>3254</v>
      </c>
      <c r="B1121" s="7" t="s">
        <v>2397</v>
      </c>
      <c r="C1121" s="7" t="s">
        <v>2289</v>
      </c>
      <c r="D1121" s="7" t="s">
        <v>2258</v>
      </c>
      <c r="E1121" s="7" t="s">
        <v>148</v>
      </c>
      <c r="F1121" s="7" t="s">
        <v>119</v>
      </c>
      <c r="G1121" s="7" t="s">
        <v>123</v>
      </c>
      <c r="H1121" s="7" t="n">
        <v>1</v>
      </c>
      <c r="I1121" s="7" t="n">
        <v>355</v>
      </c>
      <c r="J1121" s="7" t="n">
        <v>50</v>
      </c>
      <c r="K1121" s="7" t="s">
        <v>971</v>
      </c>
      <c r="L1121" s="7" t="s">
        <v>194</v>
      </c>
      <c r="M1121" s="7" t="n">
        <v>34</v>
      </c>
      <c r="N1121" s="7" t="n">
        <v>4</v>
      </c>
      <c r="O1121" s="7" t="str">
        <f aca="false">A1121&amp;"|"&amp;B1121&amp;"|"&amp;C1121&amp;"|"&amp;D1121&amp;"|"&amp;E1121&amp;"|"&amp;F1121&amp;"|"&amp;G1121&amp;"|"&amp;H1121&amp;"|"&amp;I1121&amp;"|"&amp;J1121&amp;"|"&amp;K1121&amp;"|"&amp;L1121&amp;"|"&amp;M1121&amp;"|"&amp;N1121</f>
        <v>ORD10988|2025-05-05|17:38|C0895|Pizza Palace|Hyderabad|Pizza|1|355|50|Paytm Wallet|Delivered|34|4</v>
      </c>
      <c r="P1121" s="7" t="str">
        <f aca="false">IF(COUNTIF($O$2:O1121,O1121)&gt;1,"DUP","OK")</f>
        <v>OK</v>
      </c>
      <c r="Q1121" s="7" t="n">
        <f aca="false">COUNTBLANK(A1121:N1121)</f>
        <v>0</v>
      </c>
      <c r="R1121" s="7" t="n">
        <f aca="false">IF(A1121="",0,COUNTIFS($A$2:$A$3058,A1121,$P$2:$P$3058,"OK"))</f>
        <v>1</v>
      </c>
      <c r="S1121" s="7" t="str">
        <f aca="false">IF(OR(A1121="",P1121="DUP",R1121&lt;2),"",IF(Q1121=_xlfn.MINIFS($Q$2:$Q$3058,$A$2:$A$3058,A1121,$P$2:$P$3058,"OK"),"KEEP","DROP"))</f>
        <v/>
      </c>
      <c r="T1121" s="9" t="n">
        <f aca="false">IF(A1121="",1,0)</f>
        <v>0</v>
      </c>
      <c r="U1121" s="9" t="n">
        <f aca="false">IF(D1121="",1,0)</f>
        <v>0</v>
      </c>
      <c r="V1121" s="9" t="n">
        <f aca="false">IF(E1121="",1,0)</f>
        <v>0</v>
      </c>
      <c r="W1121" s="9" t="n">
        <f aca="false">IF(OR(H1121&lt;1,H1121&gt;10),1,0)</f>
        <v>0</v>
      </c>
      <c r="X1121" s="9" t="n">
        <f aca="false">IF(OR(I1121&lt;=0,I1121&gt;1500),1,0)</f>
        <v>0</v>
      </c>
      <c r="Y1121" s="9" t="n">
        <f aca="false">IF(J1121&gt;H1121*I1121,1,0)</f>
        <v>0</v>
      </c>
      <c r="Z1121" s="9" t="n">
        <f aca="false">IF(AND(N1121&lt;&gt;"",OR(N1121&lt;1,N1121&gt;5)),1,0)</f>
        <v>0</v>
      </c>
      <c r="AA1121" s="9" t="n">
        <f aca="false">IF(AND(M1121&lt;&gt;"",OR(M1121&lt;5,M1121&gt;180)),1,0)</f>
        <v>0</v>
      </c>
      <c r="AB1121" s="7" t="str">
        <f aca="false">IF(P1121="DUP","Exact duplicate row",IF(T1121=1,"Missing Order ID",IF(S1121="DROP","Duplicate Order ID (less complete row)",IF(U1121=1,"Missing Customer ID",IF(V1121=1,"Missing Restaurant name",IF(W1121=1,"Invalid/outlier quantity",IF(X1121=1,"Invalid/outlier unit price",IF(Y1121=1,"Discount greater than order value",""))))))))</f>
        <v/>
      </c>
      <c r="AC1121" s="7" t="str">
        <f aca="false">IF(AB1121="","KEEP","DROP")</f>
        <v>KEEP</v>
      </c>
      <c r="AD1121" s="7" t="str">
        <f aca="false">IF(TRIM(F1121)="",IFERROR(INDEX(Map_Tables!$I$4:$I$37,MATCH(TRIM(E1121),Map_Tables!$G$4:$G$37,0)),""),IFERROR(INDEX(Map_Tables!$B$4:$B$18,MATCH(TRIM(F1121),Map_Tables!$A$4:$A$18,0)),"CHECK"))</f>
        <v>Hyderabad</v>
      </c>
      <c r="AE1121" s="7" t="str">
        <f aca="false">IF(TRIM(E1121)="","",IFERROR(INDEX(Map_Tables!$H$4:$H$37,MATCH(TRIM(E1121),Map_Tables!$G$4:$G$37,0)),"CHECK"))</f>
        <v>Pizza Palace</v>
      </c>
      <c r="AF1121" s="7" t="str">
        <f aca="false">IF(TRIM(K1121)="","Unknown",IFERROR(INDEX(Map_Tables!$E$4:$E$15,MATCH(TRIM(K1121),Map_Tables!$D$4:$D$15,0)),"CHECK"))</f>
        <v>Wallet</v>
      </c>
      <c r="AG1121" s="7" t="str">
        <f aca="false">IF(LEFT(LOWER(TRIM(L1121)),6)="cancel","Cancelled","Delivered")</f>
        <v>Delivered</v>
      </c>
      <c r="AH1121" s="10" t="n">
        <f aca="false">IF(ISNUMBER(SEARCH("/",B1121)),DATE(VALUE(RIGHT(B1121,4)),VALUE(MID(B1121,4,2)),VALUE(LEFT(B1121,2))),IF(MID(B1121,5,1)="-",DATE(VALUE(LEFT(B1121,4)),VALUE(MID(B1121,6,2)),VALUE(RIGHT(B1121,2))),DATE(VALUE(RIGHT(B1121,4)),MATCH(MID(B1121,4,3),{"Jan","Feb","Mar","Apr","May","Jun","Jul","Aug","Sep","Oct","Nov","Dec"},0),VALUE(LEFT(B1121,2)))))</f>
        <v>45782</v>
      </c>
    </row>
    <row r="1122" customFormat="false" ht="15" hidden="false" customHeight="false" outlineLevel="0" collapsed="false">
      <c r="A1122" s="7" t="s">
        <v>3255</v>
      </c>
      <c r="B1122" s="7" t="s">
        <v>1528</v>
      </c>
      <c r="C1122" s="7" t="s">
        <v>555</v>
      </c>
      <c r="D1122" s="7" t="s">
        <v>2052</v>
      </c>
      <c r="E1122" s="7" t="s">
        <v>142</v>
      </c>
      <c r="F1122" s="7" t="s">
        <v>110</v>
      </c>
      <c r="G1122" s="7" t="s">
        <v>105</v>
      </c>
      <c r="H1122" s="7" t="n">
        <v>3</v>
      </c>
      <c r="I1122" s="7" t="n">
        <v>155</v>
      </c>
      <c r="J1122" s="7" t="n">
        <v>0</v>
      </c>
      <c r="K1122" s="7" t="s">
        <v>112</v>
      </c>
      <c r="L1122" s="7" t="s">
        <v>194</v>
      </c>
      <c r="M1122" s="7" t="n">
        <v>26</v>
      </c>
      <c r="N1122" s="7" t="n">
        <v>5</v>
      </c>
      <c r="O1122" s="7" t="str">
        <f aca="false">A1122&amp;"|"&amp;B1122&amp;"|"&amp;C1122&amp;"|"&amp;D1122&amp;"|"&amp;E1122&amp;"|"&amp;F1122&amp;"|"&amp;G1122&amp;"|"&amp;H1122&amp;"|"&amp;I1122&amp;"|"&amp;J1122&amp;"|"&amp;K1122&amp;"|"&amp;L1122&amp;"|"&amp;M1122&amp;"|"&amp;N1122</f>
        <v>ORD12460|2025-11-05|18:12|C1443|Momo Magic|Delhi|Chinese|3|155|0|Cash on Delivery|Delivered|26|5</v>
      </c>
      <c r="P1122" s="7" t="str">
        <f aca="false">IF(COUNTIF($O$2:O1122,O1122)&gt;1,"DUP","OK")</f>
        <v>OK</v>
      </c>
      <c r="Q1122" s="7" t="n">
        <f aca="false">COUNTBLANK(A1122:N1122)</f>
        <v>0</v>
      </c>
      <c r="R1122" s="7" t="n">
        <f aca="false">IF(A1122="",0,COUNTIFS($A$2:$A$3058,A1122,$P$2:$P$3058,"OK"))</f>
        <v>1</v>
      </c>
      <c r="S1122" s="7" t="str">
        <f aca="false">IF(OR(A1122="",P1122="DUP",R1122&lt;2),"",IF(Q1122=_xlfn.MINIFS($Q$2:$Q$3058,$A$2:$A$3058,A1122,$P$2:$P$3058,"OK"),"KEEP","DROP"))</f>
        <v/>
      </c>
      <c r="T1122" s="9" t="n">
        <f aca="false">IF(A1122="",1,0)</f>
        <v>0</v>
      </c>
      <c r="U1122" s="9" t="n">
        <f aca="false">IF(D1122="",1,0)</f>
        <v>0</v>
      </c>
      <c r="V1122" s="9" t="n">
        <f aca="false">IF(E1122="",1,0)</f>
        <v>0</v>
      </c>
      <c r="W1122" s="9" t="n">
        <f aca="false">IF(OR(H1122&lt;1,H1122&gt;10),1,0)</f>
        <v>0</v>
      </c>
      <c r="X1122" s="9" t="n">
        <f aca="false">IF(OR(I1122&lt;=0,I1122&gt;1500),1,0)</f>
        <v>0</v>
      </c>
      <c r="Y1122" s="9" t="n">
        <f aca="false">IF(J1122&gt;H1122*I1122,1,0)</f>
        <v>0</v>
      </c>
      <c r="Z1122" s="9" t="n">
        <f aca="false">IF(AND(N1122&lt;&gt;"",OR(N1122&lt;1,N1122&gt;5)),1,0)</f>
        <v>0</v>
      </c>
      <c r="AA1122" s="9" t="n">
        <f aca="false">IF(AND(M1122&lt;&gt;"",OR(M1122&lt;5,M1122&gt;180)),1,0)</f>
        <v>0</v>
      </c>
      <c r="AB1122" s="7" t="str">
        <f aca="false">IF(P1122="DUP","Exact duplicate row",IF(T1122=1,"Missing Order ID",IF(S1122="DROP","Duplicate Order ID (less complete row)",IF(U1122=1,"Missing Customer ID",IF(V1122=1,"Missing Restaurant name",IF(W1122=1,"Invalid/outlier quantity",IF(X1122=1,"Invalid/outlier unit price",IF(Y1122=1,"Discount greater than order value",""))))))))</f>
        <v/>
      </c>
      <c r="AC1122" s="7" t="str">
        <f aca="false">IF(AB1122="","KEEP","DROP")</f>
        <v>KEEP</v>
      </c>
      <c r="AD1122" s="7" t="str">
        <f aca="false">IF(TRIM(F1122)="",IFERROR(INDEX(Map_Tables!$I$4:$I$37,MATCH(TRIM(E1122),Map_Tables!$G$4:$G$37,0)),""),IFERROR(INDEX(Map_Tables!$B$4:$B$18,MATCH(TRIM(F1122),Map_Tables!$A$4:$A$18,0)),"CHECK"))</f>
        <v>Delhi</v>
      </c>
      <c r="AE1122" s="7" t="str">
        <f aca="false">IF(TRIM(E1122)="","",IFERROR(INDEX(Map_Tables!$H$4:$H$37,MATCH(TRIM(E1122),Map_Tables!$G$4:$G$37,0)),"CHECK"))</f>
        <v>Momo Magic</v>
      </c>
      <c r="AF1122" s="7" t="str">
        <f aca="false">IF(TRIM(K1122)="","Unknown",IFERROR(INDEX(Map_Tables!$E$4:$E$15,MATCH(TRIM(K1122),Map_Tables!$D$4:$D$15,0)),"CHECK"))</f>
        <v>Cash on Delivery</v>
      </c>
      <c r="AG1122" s="7" t="str">
        <f aca="false">IF(LEFT(LOWER(TRIM(L1122)),6)="cancel","Cancelled","Delivered")</f>
        <v>Delivered</v>
      </c>
      <c r="AH1122" s="10" t="n">
        <f aca="false">IF(ISNUMBER(SEARCH("/",B1122)),DATE(VALUE(RIGHT(B1122,4)),VALUE(MID(B1122,4,2)),VALUE(LEFT(B1122,2))),IF(MID(B1122,5,1)="-",DATE(VALUE(LEFT(B1122,4)),VALUE(MID(B1122,6,2)),VALUE(RIGHT(B1122,2))),DATE(VALUE(RIGHT(B1122,4)),MATCH(MID(B1122,4,3),{"Jan","Feb","Mar","Apr","May","Jun","Jul","Aug","Sep","Oct","Nov","Dec"},0),VALUE(LEFT(B1122,2)))))</f>
        <v>45966</v>
      </c>
    </row>
    <row r="1123" customFormat="false" ht="15" hidden="false" customHeight="false" outlineLevel="0" collapsed="false">
      <c r="A1123" s="7" t="s">
        <v>3256</v>
      </c>
      <c r="B1123" s="7" t="s">
        <v>1190</v>
      </c>
      <c r="C1123" s="7" t="s">
        <v>1423</v>
      </c>
      <c r="D1123" s="7" t="s">
        <v>1072</v>
      </c>
      <c r="E1123" s="7" t="s">
        <v>144</v>
      </c>
      <c r="F1123" s="7" t="s">
        <v>119</v>
      </c>
      <c r="G1123" s="7" t="s">
        <v>99</v>
      </c>
      <c r="H1123" s="7" t="n">
        <v>1</v>
      </c>
      <c r="I1123" s="7" t="n">
        <v>315</v>
      </c>
      <c r="J1123" s="7" t="n">
        <v>100</v>
      </c>
      <c r="K1123" s="7" t="s">
        <v>121</v>
      </c>
      <c r="L1123" s="7" t="s">
        <v>194</v>
      </c>
      <c r="M1123" s="7"/>
      <c r="N1123" s="7" t="n">
        <v>5</v>
      </c>
      <c r="O1123" s="7" t="str">
        <f aca="false">A1123&amp;"|"&amp;B1123&amp;"|"&amp;C1123&amp;"|"&amp;D1123&amp;"|"&amp;E1123&amp;"|"&amp;F1123&amp;"|"&amp;G1123&amp;"|"&amp;H1123&amp;"|"&amp;I1123&amp;"|"&amp;J1123&amp;"|"&amp;K1123&amp;"|"&amp;L1123&amp;"|"&amp;M1123&amp;"|"&amp;N1123</f>
        <v>ORD10196|2025-01-26|18:57|C0699|Hyderabad Dum Biryani|Hyderabad|Biryani|1|315|100|Wallet|Delivered||5</v>
      </c>
      <c r="P1123" s="7" t="str">
        <f aca="false">IF(COUNTIF($O$2:O1123,O1123)&gt;1,"DUP","OK")</f>
        <v>OK</v>
      </c>
      <c r="Q1123" s="7" t="n">
        <f aca="false">COUNTBLANK(A1123:N1123)</f>
        <v>1</v>
      </c>
      <c r="R1123" s="7" t="n">
        <f aca="false">IF(A1123="",0,COUNTIFS($A$2:$A$3058,A1123,$P$2:$P$3058,"OK"))</f>
        <v>1</v>
      </c>
      <c r="S1123" s="7" t="str">
        <f aca="false">IF(OR(A1123="",P1123="DUP",R1123&lt;2),"",IF(Q1123=_xlfn.MINIFS($Q$2:$Q$3058,$A$2:$A$3058,A1123,$P$2:$P$3058,"OK"),"KEEP","DROP"))</f>
        <v/>
      </c>
      <c r="T1123" s="9" t="n">
        <f aca="false">IF(A1123="",1,0)</f>
        <v>0</v>
      </c>
      <c r="U1123" s="9" t="n">
        <f aca="false">IF(D1123="",1,0)</f>
        <v>0</v>
      </c>
      <c r="V1123" s="9" t="n">
        <f aca="false">IF(E1123="",1,0)</f>
        <v>0</v>
      </c>
      <c r="W1123" s="9" t="n">
        <f aca="false">IF(OR(H1123&lt;1,H1123&gt;10),1,0)</f>
        <v>0</v>
      </c>
      <c r="X1123" s="9" t="n">
        <f aca="false">IF(OR(I1123&lt;=0,I1123&gt;1500),1,0)</f>
        <v>0</v>
      </c>
      <c r="Y1123" s="9" t="n">
        <f aca="false">IF(J1123&gt;H1123*I1123,1,0)</f>
        <v>0</v>
      </c>
      <c r="Z1123" s="9" t="n">
        <f aca="false">IF(AND(N1123&lt;&gt;"",OR(N1123&lt;1,N1123&gt;5)),1,0)</f>
        <v>0</v>
      </c>
      <c r="AA1123" s="9" t="n">
        <f aca="false">IF(AND(M1123&lt;&gt;"",OR(M1123&lt;5,M1123&gt;180)),1,0)</f>
        <v>0</v>
      </c>
      <c r="AB1123" s="7" t="str">
        <f aca="false">IF(P1123="DUP","Exact duplicate row",IF(T1123=1,"Missing Order ID",IF(S1123="DROP","Duplicate Order ID (less complete row)",IF(U1123=1,"Missing Customer ID",IF(V1123=1,"Missing Restaurant name",IF(W1123=1,"Invalid/outlier quantity",IF(X1123=1,"Invalid/outlier unit price",IF(Y1123=1,"Discount greater than order value",""))))))))</f>
        <v/>
      </c>
      <c r="AC1123" s="7" t="str">
        <f aca="false">IF(AB1123="","KEEP","DROP")</f>
        <v>KEEP</v>
      </c>
      <c r="AD1123" s="7" t="str">
        <f aca="false">IF(TRIM(F1123)="",IFERROR(INDEX(Map_Tables!$I$4:$I$37,MATCH(TRIM(E1123),Map_Tables!$G$4:$G$37,0)),""),IFERROR(INDEX(Map_Tables!$B$4:$B$18,MATCH(TRIM(F1123),Map_Tables!$A$4:$A$18,0)),"CHECK"))</f>
        <v>Hyderabad</v>
      </c>
      <c r="AE1123" s="7" t="str">
        <f aca="false">IF(TRIM(E1123)="","",IFERROR(INDEX(Map_Tables!$H$4:$H$37,MATCH(TRIM(E1123),Map_Tables!$G$4:$G$37,0)),"CHECK"))</f>
        <v>Hyderabad Dum Biryani</v>
      </c>
      <c r="AF1123" s="7" t="str">
        <f aca="false">IF(TRIM(K1123)="","Unknown",IFERROR(INDEX(Map_Tables!$E$4:$E$15,MATCH(TRIM(K1123),Map_Tables!$D$4:$D$15,0)),"CHECK"))</f>
        <v>Wallet</v>
      </c>
      <c r="AG1123" s="7" t="str">
        <f aca="false">IF(LEFT(LOWER(TRIM(L1123)),6)="cancel","Cancelled","Delivered")</f>
        <v>Delivered</v>
      </c>
      <c r="AH1123" s="10" t="n">
        <f aca="false">IF(ISNUMBER(SEARCH("/",B1123)),DATE(VALUE(RIGHT(B1123,4)),VALUE(MID(B1123,4,2)),VALUE(LEFT(B1123,2))),IF(MID(B1123,5,1)="-",DATE(VALUE(LEFT(B1123,4)),VALUE(MID(B1123,6,2)),VALUE(RIGHT(B1123,2))),DATE(VALUE(RIGHT(B1123,4)),MATCH(MID(B1123,4,3),{"Jan","Feb","Mar","Apr","May","Jun","Jul","Aug","Sep","Oct","Nov","Dec"},0),VALUE(LEFT(B1123,2)))))</f>
        <v>45683</v>
      </c>
    </row>
    <row r="1124" customFormat="false" ht="15" hidden="false" customHeight="false" outlineLevel="0" collapsed="false">
      <c r="A1124" s="7" t="s">
        <v>3257</v>
      </c>
      <c r="B1124" s="7" t="s">
        <v>943</v>
      </c>
      <c r="C1124" s="7" t="s">
        <v>3023</v>
      </c>
      <c r="D1124" s="7" t="s">
        <v>3148</v>
      </c>
      <c r="E1124" s="7" t="s">
        <v>142</v>
      </c>
      <c r="F1124" s="7" t="s">
        <v>110</v>
      </c>
      <c r="G1124" s="7" t="s">
        <v>105</v>
      </c>
      <c r="H1124" s="7" t="n">
        <v>1</v>
      </c>
      <c r="I1124" s="7" t="n">
        <v>165</v>
      </c>
      <c r="J1124" s="7" t="n">
        <v>66</v>
      </c>
      <c r="K1124" s="7" t="s">
        <v>88</v>
      </c>
      <c r="L1124" s="7" t="s">
        <v>194</v>
      </c>
      <c r="M1124" s="7" t="n">
        <v>44</v>
      </c>
      <c r="N1124" s="7" t="n">
        <v>4</v>
      </c>
      <c r="O1124" s="7" t="str">
        <f aca="false">A1124&amp;"|"&amp;B1124&amp;"|"&amp;C1124&amp;"|"&amp;D1124&amp;"|"&amp;E1124&amp;"|"&amp;F1124&amp;"|"&amp;G1124&amp;"|"&amp;H1124&amp;"|"&amp;I1124&amp;"|"&amp;J1124&amp;"|"&amp;K1124&amp;"|"&amp;L1124&amp;"|"&amp;M1124&amp;"|"&amp;N1124</f>
        <v>ORD12918|2025-12-22|21:54|C0310|Momo Magic|Delhi|Chinese|1|165|66|UPI|Delivered|44|4</v>
      </c>
      <c r="P1124" s="7" t="str">
        <f aca="false">IF(COUNTIF($O$2:O1124,O1124)&gt;1,"DUP","OK")</f>
        <v>OK</v>
      </c>
      <c r="Q1124" s="7" t="n">
        <f aca="false">COUNTBLANK(A1124:N1124)</f>
        <v>0</v>
      </c>
      <c r="R1124" s="7" t="n">
        <f aca="false">IF(A1124="",0,COUNTIFS($A$2:$A$3058,A1124,$P$2:$P$3058,"OK"))</f>
        <v>1</v>
      </c>
      <c r="S1124" s="7" t="str">
        <f aca="false">IF(OR(A1124="",P1124="DUP",R1124&lt;2),"",IF(Q1124=_xlfn.MINIFS($Q$2:$Q$3058,$A$2:$A$3058,A1124,$P$2:$P$3058,"OK"),"KEEP","DROP"))</f>
        <v/>
      </c>
      <c r="T1124" s="9" t="n">
        <f aca="false">IF(A1124="",1,0)</f>
        <v>0</v>
      </c>
      <c r="U1124" s="9" t="n">
        <f aca="false">IF(D1124="",1,0)</f>
        <v>0</v>
      </c>
      <c r="V1124" s="9" t="n">
        <f aca="false">IF(E1124="",1,0)</f>
        <v>0</v>
      </c>
      <c r="W1124" s="9" t="n">
        <f aca="false">IF(OR(H1124&lt;1,H1124&gt;10),1,0)</f>
        <v>0</v>
      </c>
      <c r="X1124" s="9" t="n">
        <f aca="false">IF(OR(I1124&lt;=0,I1124&gt;1500),1,0)</f>
        <v>0</v>
      </c>
      <c r="Y1124" s="9" t="n">
        <f aca="false">IF(J1124&gt;H1124*I1124,1,0)</f>
        <v>0</v>
      </c>
      <c r="Z1124" s="9" t="n">
        <f aca="false">IF(AND(N1124&lt;&gt;"",OR(N1124&lt;1,N1124&gt;5)),1,0)</f>
        <v>0</v>
      </c>
      <c r="AA1124" s="9" t="n">
        <f aca="false">IF(AND(M1124&lt;&gt;"",OR(M1124&lt;5,M1124&gt;180)),1,0)</f>
        <v>0</v>
      </c>
      <c r="AB1124" s="7" t="str">
        <f aca="false">IF(P1124="DUP","Exact duplicate row",IF(T1124=1,"Missing Order ID",IF(S1124="DROP","Duplicate Order ID (less complete row)",IF(U1124=1,"Missing Customer ID",IF(V1124=1,"Missing Restaurant name",IF(W1124=1,"Invalid/outlier quantity",IF(X1124=1,"Invalid/outlier unit price",IF(Y1124=1,"Discount greater than order value",""))))))))</f>
        <v/>
      </c>
      <c r="AC1124" s="7" t="str">
        <f aca="false">IF(AB1124="","KEEP","DROP")</f>
        <v>KEEP</v>
      </c>
      <c r="AD1124" s="7" t="str">
        <f aca="false">IF(TRIM(F1124)="",IFERROR(INDEX(Map_Tables!$I$4:$I$37,MATCH(TRIM(E1124),Map_Tables!$G$4:$G$37,0)),""),IFERROR(INDEX(Map_Tables!$B$4:$B$18,MATCH(TRIM(F1124),Map_Tables!$A$4:$A$18,0)),"CHECK"))</f>
        <v>Delhi</v>
      </c>
      <c r="AE1124" s="7" t="str">
        <f aca="false">IF(TRIM(E1124)="","",IFERROR(INDEX(Map_Tables!$H$4:$H$37,MATCH(TRIM(E1124),Map_Tables!$G$4:$G$37,0)),"CHECK"))</f>
        <v>Momo Magic</v>
      </c>
      <c r="AF1124" s="7" t="str">
        <f aca="false">IF(TRIM(K1124)="","Unknown",IFERROR(INDEX(Map_Tables!$E$4:$E$15,MATCH(TRIM(K1124),Map_Tables!$D$4:$D$15,0)),"CHECK"))</f>
        <v>UPI</v>
      </c>
      <c r="AG1124" s="7" t="str">
        <f aca="false">IF(LEFT(LOWER(TRIM(L1124)),6)="cancel","Cancelled","Delivered")</f>
        <v>Delivered</v>
      </c>
      <c r="AH1124" s="10" t="n">
        <f aca="false">IF(ISNUMBER(SEARCH("/",B1124)),DATE(VALUE(RIGHT(B1124,4)),VALUE(MID(B1124,4,2)),VALUE(LEFT(B1124,2))),IF(MID(B1124,5,1)="-",DATE(VALUE(LEFT(B1124,4)),VALUE(MID(B1124,6,2)),VALUE(RIGHT(B1124,2))),DATE(VALUE(RIGHT(B1124,4)),MATCH(MID(B1124,4,3),{"Jan","Feb","Mar","Apr","May","Jun","Jul","Aug","Sep","Oct","Nov","Dec"},0),VALUE(LEFT(B1124,2)))))</f>
        <v>46013</v>
      </c>
    </row>
    <row r="1125" customFormat="false" ht="15" hidden="false" customHeight="false" outlineLevel="0" collapsed="false">
      <c r="A1125" s="7" t="s">
        <v>3258</v>
      </c>
      <c r="B1125" s="7" t="s">
        <v>3233</v>
      </c>
      <c r="C1125" s="7" t="s">
        <v>3259</v>
      </c>
      <c r="D1125" s="7" t="s">
        <v>1305</v>
      </c>
      <c r="E1125" s="7" t="s">
        <v>94</v>
      </c>
      <c r="F1125" s="7" t="s">
        <v>449</v>
      </c>
      <c r="G1125" s="7" t="s">
        <v>95</v>
      </c>
      <c r="H1125" s="7" t="n">
        <v>1</v>
      </c>
      <c r="I1125" s="7" t="n">
        <v>135</v>
      </c>
      <c r="J1125" s="7" t="n">
        <v>50</v>
      </c>
      <c r="K1125" s="7" t="s">
        <v>88</v>
      </c>
      <c r="L1125" s="7" t="s">
        <v>194</v>
      </c>
      <c r="M1125" s="7" t="n">
        <v>37</v>
      </c>
      <c r="N1125" s="7" t="n">
        <v>5</v>
      </c>
      <c r="O1125" s="7" t="str">
        <f aca="false">A1125&amp;"|"&amp;B1125&amp;"|"&amp;C1125&amp;"|"&amp;D1125&amp;"|"&amp;E1125&amp;"|"&amp;F1125&amp;"|"&amp;G1125&amp;"|"&amp;H1125&amp;"|"&amp;I1125&amp;"|"&amp;J1125&amp;"|"&amp;K1125&amp;"|"&amp;L1125&amp;"|"&amp;M1125&amp;"|"&amp;N1125</f>
        <v>ORD11045|2025-05-12|11:57|C1345|Dosa Darbar|BLR|South Indian|1|135|50|UPI|Delivered|37|5</v>
      </c>
      <c r="P1125" s="7" t="str">
        <f aca="false">IF(COUNTIF($O$2:O1125,O1125)&gt;1,"DUP","OK")</f>
        <v>OK</v>
      </c>
      <c r="Q1125" s="7" t="n">
        <f aca="false">COUNTBLANK(A1125:N1125)</f>
        <v>0</v>
      </c>
      <c r="R1125" s="7" t="n">
        <f aca="false">IF(A1125="",0,COUNTIFS($A$2:$A$3058,A1125,$P$2:$P$3058,"OK"))</f>
        <v>1</v>
      </c>
      <c r="S1125" s="7" t="str">
        <f aca="false">IF(OR(A1125="",P1125="DUP",R1125&lt;2),"",IF(Q1125=_xlfn.MINIFS($Q$2:$Q$3058,$A$2:$A$3058,A1125,$P$2:$P$3058,"OK"),"KEEP","DROP"))</f>
        <v/>
      </c>
      <c r="T1125" s="9" t="n">
        <f aca="false">IF(A1125="",1,0)</f>
        <v>0</v>
      </c>
      <c r="U1125" s="9" t="n">
        <f aca="false">IF(D1125="",1,0)</f>
        <v>0</v>
      </c>
      <c r="V1125" s="9" t="n">
        <f aca="false">IF(E1125="",1,0)</f>
        <v>0</v>
      </c>
      <c r="W1125" s="9" t="n">
        <f aca="false">IF(OR(H1125&lt;1,H1125&gt;10),1,0)</f>
        <v>0</v>
      </c>
      <c r="X1125" s="9" t="n">
        <f aca="false">IF(OR(I1125&lt;=0,I1125&gt;1500),1,0)</f>
        <v>0</v>
      </c>
      <c r="Y1125" s="9" t="n">
        <f aca="false">IF(J1125&gt;H1125*I1125,1,0)</f>
        <v>0</v>
      </c>
      <c r="Z1125" s="9" t="n">
        <f aca="false">IF(AND(N1125&lt;&gt;"",OR(N1125&lt;1,N1125&gt;5)),1,0)</f>
        <v>0</v>
      </c>
      <c r="AA1125" s="9" t="n">
        <f aca="false">IF(AND(M1125&lt;&gt;"",OR(M1125&lt;5,M1125&gt;180)),1,0)</f>
        <v>0</v>
      </c>
      <c r="AB1125" s="7" t="str">
        <f aca="false">IF(P1125="DUP","Exact duplicate row",IF(T1125=1,"Missing Order ID",IF(S1125="DROP","Duplicate Order ID (less complete row)",IF(U1125=1,"Missing Customer ID",IF(V1125=1,"Missing Restaurant name",IF(W1125=1,"Invalid/outlier quantity",IF(X1125=1,"Invalid/outlier unit price",IF(Y1125=1,"Discount greater than order value",""))))))))</f>
        <v/>
      </c>
      <c r="AC1125" s="7" t="str">
        <f aca="false">IF(AB1125="","KEEP","DROP")</f>
        <v>KEEP</v>
      </c>
      <c r="AD1125" s="7" t="str">
        <f aca="false">IF(TRIM(F1125)="",IFERROR(INDEX(Map_Tables!$I$4:$I$37,MATCH(TRIM(E1125),Map_Tables!$G$4:$G$37,0)),""),IFERROR(INDEX(Map_Tables!$B$4:$B$18,MATCH(TRIM(F1125),Map_Tables!$A$4:$A$18,0)),"CHECK"))</f>
        <v>Bengaluru</v>
      </c>
      <c r="AE1125" s="7" t="str">
        <f aca="false">IF(TRIM(E1125)="","",IFERROR(INDEX(Map_Tables!$H$4:$H$37,MATCH(TRIM(E1125),Map_Tables!$G$4:$G$37,0)),"CHECK"))</f>
        <v>Dosa Darbar</v>
      </c>
      <c r="AF1125" s="7" t="str">
        <f aca="false">IF(TRIM(K1125)="","Unknown",IFERROR(INDEX(Map_Tables!$E$4:$E$15,MATCH(TRIM(K1125),Map_Tables!$D$4:$D$15,0)),"CHECK"))</f>
        <v>UPI</v>
      </c>
      <c r="AG1125" s="7" t="str">
        <f aca="false">IF(LEFT(LOWER(TRIM(L1125)),6)="cancel","Cancelled","Delivered")</f>
        <v>Delivered</v>
      </c>
      <c r="AH1125" s="10" t="n">
        <f aca="false">IF(ISNUMBER(SEARCH("/",B1125)),DATE(VALUE(RIGHT(B1125,4)),VALUE(MID(B1125,4,2)),VALUE(LEFT(B1125,2))),IF(MID(B1125,5,1)="-",DATE(VALUE(LEFT(B1125,4)),VALUE(MID(B1125,6,2)),VALUE(RIGHT(B1125,2))),DATE(VALUE(RIGHT(B1125,4)),MATCH(MID(B1125,4,3),{"Jan","Feb","Mar","Apr","May","Jun","Jul","Aug","Sep","Oct","Nov","Dec"},0),VALUE(LEFT(B1125,2)))))</f>
        <v>45789</v>
      </c>
    </row>
    <row r="1126" customFormat="false" ht="15" hidden="false" customHeight="false" outlineLevel="0" collapsed="false">
      <c r="A1126" s="7" t="s">
        <v>3260</v>
      </c>
      <c r="B1126" s="7" t="s">
        <v>410</v>
      </c>
      <c r="C1126" s="7" t="s">
        <v>232</v>
      </c>
      <c r="D1126" s="7" t="s">
        <v>3261</v>
      </c>
      <c r="E1126" s="7" t="s">
        <v>89</v>
      </c>
      <c r="F1126" s="7" t="s">
        <v>86</v>
      </c>
      <c r="G1126" s="7" t="s">
        <v>90</v>
      </c>
      <c r="H1126" s="7" t="n">
        <v>4</v>
      </c>
      <c r="I1126" s="7" t="n">
        <v>225</v>
      </c>
      <c r="J1126" s="7" t="n">
        <v>0</v>
      </c>
      <c r="K1126" s="7" t="s">
        <v>121</v>
      </c>
      <c r="L1126" s="7" t="s">
        <v>194</v>
      </c>
      <c r="M1126" s="7" t="n">
        <v>39</v>
      </c>
      <c r="N1126" s="7" t="n">
        <v>3</v>
      </c>
      <c r="O1126" s="7" t="str">
        <f aca="false">A1126&amp;"|"&amp;B1126&amp;"|"&amp;C1126&amp;"|"&amp;D1126&amp;"|"&amp;E1126&amp;"|"&amp;F1126&amp;"|"&amp;G1126&amp;"|"&amp;H1126&amp;"|"&amp;I1126&amp;"|"&amp;J1126&amp;"|"&amp;K1126&amp;"|"&amp;L1126&amp;"|"&amp;M1126&amp;"|"&amp;N1126</f>
        <v>ORD10280|2025-02-07|21:09|C0686|Spice Junction|Bengaluru|North Indian|4|225|0|Wallet|Delivered|39|3</v>
      </c>
      <c r="P1126" s="7" t="str">
        <f aca="false">IF(COUNTIF($O$2:O1126,O1126)&gt;1,"DUP","OK")</f>
        <v>OK</v>
      </c>
      <c r="Q1126" s="7" t="n">
        <f aca="false">COUNTBLANK(A1126:N1126)</f>
        <v>0</v>
      </c>
      <c r="R1126" s="7" t="n">
        <f aca="false">IF(A1126="",0,COUNTIFS($A$2:$A$3058,A1126,$P$2:$P$3058,"OK"))</f>
        <v>1</v>
      </c>
      <c r="S1126" s="7" t="str">
        <f aca="false">IF(OR(A1126="",P1126="DUP",R1126&lt;2),"",IF(Q1126=_xlfn.MINIFS($Q$2:$Q$3058,$A$2:$A$3058,A1126,$P$2:$P$3058,"OK"),"KEEP","DROP"))</f>
        <v/>
      </c>
      <c r="T1126" s="9" t="n">
        <f aca="false">IF(A1126="",1,0)</f>
        <v>0</v>
      </c>
      <c r="U1126" s="9" t="n">
        <f aca="false">IF(D1126="",1,0)</f>
        <v>0</v>
      </c>
      <c r="V1126" s="9" t="n">
        <f aca="false">IF(E1126="",1,0)</f>
        <v>0</v>
      </c>
      <c r="W1126" s="9" t="n">
        <f aca="false">IF(OR(H1126&lt;1,H1126&gt;10),1,0)</f>
        <v>0</v>
      </c>
      <c r="X1126" s="9" t="n">
        <f aca="false">IF(OR(I1126&lt;=0,I1126&gt;1500),1,0)</f>
        <v>0</v>
      </c>
      <c r="Y1126" s="9" t="n">
        <f aca="false">IF(J1126&gt;H1126*I1126,1,0)</f>
        <v>0</v>
      </c>
      <c r="Z1126" s="9" t="n">
        <f aca="false">IF(AND(N1126&lt;&gt;"",OR(N1126&lt;1,N1126&gt;5)),1,0)</f>
        <v>0</v>
      </c>
      <c r="AA1126" s="9" t="n">
        <f aca="false">IF(AND(M1126&lt;&gt;"",OR(M1126&lt;5,M1126&gt;180)),1,0)</f>
        <v>0</v>
      </c>
      <c r="AB1126" s="7" t="str">
        <f aca="false">IF(P1126="DUP","Exact duplicate row",IF(T1126=1,"Missing Order ID",IF(S1126="DROP","Duplicate Order ID (less complete row)",IF(U1126=1,"Missing Customer ID",IF(V1126=1,"Missing Restaurant name",IF(W1126=1,"Invalid/outlier quantity",IF(X1126=1,"Invalid/outlier unit price",IF(Y1126=1,"Discount greater than order value",""))))))))</f>
        <v/>
      </c>
      <c r="AC1126" s="7" t="str">
        <f aca="false">IF(AB1126="","KEEP","DROP")</f>
        <v>KEEP</v>
      </c>
      <c r="AD1126" s="7" t="str">
        <f aca="false">IF(TRIM(F1126)="",IFERROR(INDEX(Map_Tables!$I$4:$I$37,MATCH(TRIM(E1126),Map_Tables!$G$4:$G$37,0)),""),IFERROR(INDEX(Map_Tables!$B$4:$B$18,MATCH(TRIM(F1126),Map_Tables!$A$4:$A$18,0)),"CHECK"))</f>
        <v>Bengaluru</v>
      </c>
      <c r="AE1126" s="7" t="str">
        <f aca="false">IF(TRIM(E1126)="","",IFERROR(INDEX(Map_Tables!$H$4:$H$37,MATCH(TRIM(E1126),Map_Tables!$G$4:$G$37,0)),"CHECK"))</f>
        <v>Spice Junction</v>
      </c>
      <c r="AF1126" s="7" t="str">
        <f aca="false">IF(TRIM(K1126)="","Unknown",IFERROR(INDEX(Map_Tables!$E$4:$E$15,MATCH(TRIM(K1126),Map_Tables!$D$4:$D$15,0)),"CHECK"))</f>
        <v>Wallet</v>
      </c>
      <c r="AG1126" s="7" t="str">
        <f aca="false">IF(LEFT(LOWER(TRIM(L1126)),6)="cancel","Cancelled","Delivered")</f>
        <v>Delivered</v>
      </c>
      <c r="AH1126" s="10" t="n">
        <f aca="false">IF(ISNUMBER(SEARCH("/",B1126)),DATE(VALUE(RIGHT(B1126,4)),VALUE(MID(B1126,4,2)),VALUE(LEFT(B1126,2))),IF(MID(B1126,5,1)="-",DATE(VALUE(LEFT(B1126,4)),VALUE(MID(B1126,6,2)),VALUE(RIGHT(B1126,2))),DATE(VALUE(RIGHT(B1126,4)),MATCH(MID(B1126,4,3),{"Jan","Feb","Mar","Apr","May","Jun","Jul","Aug","Sep","Oct","Nov","Dec"},0),VALUE(LEFT(B1126,2)))))</f>
        <v>45695</v>
      </c>
    </row>
    <row r="1127" customFormat="false" ht="15" hidden="false" customHeight="false" outlineLevel="0" collapsed="false">
      <c r="A1127" s="7" t="s">
        <v>3262</v>
      </c>
      <c r="B1127" s="7" t="s">
        <v>1364</v>
      </c>
      <c r="C1127" s="7" t="s">
        <v>2413</v>
      </c>
      <c r="D1127" s="7" t="s">
        <v>3263</v>
      </c>
      <c r="E1127" s="7" t="s">
        <v>388</v>
      </c>
      <c r="F1127" s="7" t="s">
        <v>136</v>
      </c>
      <c r="G1127" s="7" t="s">
        <v>90</v>
      </c>
      <c r="H1127" s="7" t="n">
        <v>1</v>
      </c>
      <c r="I1127" s="7" t="n">
        <v>210</v>
      </c>
      <c r="J1127" s="7" t="n">
        <v>84</v>
      </c>
      <c r="K1127" s="7" t="s">
        <v>112</v>
      </c>
      <c r="L1127" s="7" t="s">
        <v>194</v>
      </c>
      <c r="M1127" s="7" t="n">
        <v>34</v>
      </c>
      <c r="N1127" s="7"/>
      <c r="O1127" s="7" t="str">
        <f aca="false">A1127&amp;"|"&amp;B1127&amp;"|"&amp;C1127&amp;"|"&amp;D1127&amp;"|"&amp;E1127&amp;"|"&amp;F1127&amp;"|"&amp;G1127&amp;"|"&amp;H1127&amp;"|"&amp;I1127&amp;"|"&amp;J1127&amp;"|"&amp;K1127&amp;"|"&amp;L1127&amp;"|"&amp;M1127&amp;"|"&amp;N1127</f>
        <v>ORD10097|2025-01-13|10:14|C0150|Maratha Thali House |Pune|North Indian|1|210|84|Cash on Delivery|Delivered|34|</v>
      </c>
      <c r="P1127" s="7" t="str">
        <f aca="false">IF(COUNTIF($O$2:O1127,O1127)&gt;1,"DUP","OK")</f>
        <v>OK</v>
      </c>
      <c r="Q1127" s="7" t="n">
        <f aca="false">COUNTBLANK(A1127:N1127)</f>
        <v>1</v>
      </c>
      <c r="R1127" s="7" t="n">
        <f aca="false">IF(A1127="",0,COUNTIFS($A$2:$A$3058,A1127,$P$2:$P$3058,"OK"))</f>
        <v>1</v>
      </c>
      <c r="S1127" s="7" t="str">
        <f aca="false">IF(OR(A1127="",P1127="DUP",R1127&lt;2),"",IF(Q1127=_xlfn.MINIFS($Q$2:$Q$3058,$A$2:$A$3058,A1127,$P$2:$P$3058,"OK"),"KEEP","DROP"))</f>
        <v/>
      </c>
      <c r="T1127" s="9" t="n">
        <f aca="false">IF(A1127="",1,0)</f>
        <v>0</v>
      </c>
      <c r="U1127" s="9" t="n">
        <f aca="false">IF(D1127="",1,0)</f>
        <v>0</v>
      </c>
      <c r="V1127" s="9" t="n">
        <f aca="false">IF(E1127="",1,0)</f>
        <v>0</v>
      </c>
      <c r="W1127" s="9" t="n">
        <f aca="false">IF(OR(H1127&lt;1,H1127&gt;10),1,0)</f>
        <v>0</v>
      </c>
      <c r="X1127" s="9" t="n">
        <f aca="false">IF(OR(I1127&lt;=0,I1127&gt;1500),1,0)</f>
        <v>0</v>
      </c>
      <c r="Y1127" s="9" t="n">
        <f aca="false">IF(J1127&gt;H1127*I1127,1,0)</f>
        <v>0</v>
      </c>
      <c r="Z1127" s="9" t="n">
        <f aca="false">IF(AND(N1127&lt;&gt;"",OR(N1127&lt;1,N1127&gt;5)),1,0)</f>
        <v>0</v>
      </c>
      <c r="AA1127" s="9" t="n">
        <f aca="false">IF(AND(M1127&lt;&gt;"",OR(M1127&lt;5,M1127&gt;180)),1,0)</f>
        <v>0</v>
      </c>
      <c r="AB1127" s="7" t="str">
        <f aca="false">IF(P1127="DUP","Exact duplicate row",IF(T1127=1,"Missing Order ID",IF(S1127="DROP","Duplicate Order ID (less complete row)",IF(U1127=1,"Missing Customer ID",IF(V1127=1,"Missing Restaurant name",IF(W1127=1,"Invalid/outlier quantity",IF(X1127=1,"Invalid/outlier unit price",IF(Y1127=1,"Discount greater than order value",""))))))))</f>
        <v/>
      </c>
      <c r="AC1127" s="7" t="str">
        <f aca="false">IF(AB1127="","KEEP","DROP")</f>
        <v>KEEP</v>
      </c>
      <c r="AD1127" s="7" t="str">
        <f aca="false">IF(TRIM(F1127)="",IFERROR(INDEX(Map_Tables!$I$4:$I$37,MATCH(TRIM(E1127),Map_Tables!$G$4:$G$37,0)),""),IFERROR(INDEX(Map_Tables!$B$4:$B$18,MATCH(TRIM(F1127),Map_Tables!$A$4:$A$18,0)),"CHECK"))</f>
        <v>Pune</v>
      </c>
      <c r="AE1127" s="7" t="str">
        <f aca="false">IF(TRIM(E1127)="","",IFERROR(INDEX(Map_Tables!$H$4:$H$37,MATCH(TRIM(E1127),Map_Tables!$G$4:$G$37,0)),"CHECK"))</f>
        <v>Maratha Thali House</v>
      </c>
      <c r="AF1127" s="7" t="str">
        <f aca="false">IF(TRIM(K1127)="","Unknown",IFERROR(INDEX(Map_Tables!$E$4:$E$15,MATCH(TRIM(K1127),Map_Tables!$D$4:$D$15,0)),"CHECK"))</f>
        <v>Cash on Delivery</v>
      </c>
      <c r="AG1127" s="7" t="str">
        <f aca="false">IF(LEFT(LOWER(TRIM(L1127)),6)="cancel","Cancelled","Delivered")</f>
        <v>Delivered</v>
      </c>
      <c r="AH1127" s="10" t="n">
        <f aca="false">IF(ISNUMBER(SEARCH("/",B1127)),DATE(VALUE(RIGHT(B1127,4)),VALUE(MID(B1127,4,2)),VALUE(LEFT(B1127,2))),IF(MID(B1127,5,1)="-",DATE(VALUE(LEFT(B1127,4)),VALUE(MID(B1127,6,2)),VALUE(RIGHT(B1127,2))),DATE(VALUE(RIGHT(B1127,4)),MATCH(MID(B1127,4,3),{"Jan","Feb","Mar","Apr","May","Jun","Jul","Aug","Sep","Oct","Nov","Dec"},0),VALUE(LEFT(B1127,2)))))</f>
        <v>45670</v>
      </c>
    </row>
    <row r="1128" customFormat="false" ht="15" hidden="false" customHeight="false" outlineLevel="0" collapsed="false">
      <c r="A1128" s="7" t="s">
        <v>3264</v>
      </c>
      <c r="B1128" s="7" t="s">
        <v>838</v>
      </c>
      <c r="C1128" s="7" t="s">
        <v>619</v>
      </c>
      <c r="D1128" s="7" t="s">
        <v>3265</v>
      </c>
      <c r="E1128" s="7" t="s">
        <v>142</v>
      </c>
      <c r="F1128" s="7" t="s">
        <v>110</v>
      </c>
      <c r="G1128" s="7" t="s">
        <v>105</v>
      </c>
      <c r="H1128" s="7" t="n">
        <v>4</v>
      </c>
      <c r="I1128" s="7" t="n">
        <v>155</v>
      </c>
      <c r="J1128" s="7" t="n">
        <v>0</v>
      </c>
      <c r="K1128" s="7" t="s">
        <v>88</v>
      </c>
      <c r="L1128" s="7" t="s">
        <v>194</v>
      </c>
      <c r="M1128" s="7" t="n">
        <v>38</v>
      </c>
      <c r="N1128" s="7"/>
      <c r="O1128" s="7" t="str">
        <f aca="false">A1128&amp;"|"&amp;B1128&amp;"|"&amp;C1128&amp;"|"&amp;D1128&amp;"|"&amp;E1128&amp;"|"&amp;F1128&amp;"|"&amp;G1128&amp;"|"&amp;H1128&amp;"|"&amp;I1128&amp;"|"&amp;J1128&amp;"|"&amp;K1128&amp;"|"&amp;L1128&amp;"|"&amp;M1128&amp;"|"&amp;N1128</f>
        <v>ORD10442|2025-02-28|21:59|C1494|Momo Magic|Delhi|Chinese|4|155|0|UPI|Delivered|38|</v>
      </c>
      <c r="P1128" s="7" t="str">
        <f aca="false">IF(COUNTIF($O$2:O1128,O1128)&gt;1,"DUP","OK")</f>
        <v>OK</v>
      </c>
      <c r="Q1128" s="7" t="n">
        <f aca="false">COUNTBLANK(A1128:N1128)</f>
        <v>1</v>
      </c>
      <c r="R1128" s="7" t="n">
        <f aca="false">IF(A1128="",0,COUNTIFS($A$2:$A$3058,A1128,$P$2:$P$3058,"OK"))</f>
        <v>1</v>
      </c>
      <c r="S1128" s="7" t="str">
        <f aca="false">IF(OR(A1128="",P1128="DUP",R1128&lt;2),"",IF(Q1128=_xlfn.MINIFS($Q$2:$Q$3058,$A$2:$A$3058,A1128,$P$2:$P$3058,"OK"),"KEEP","DROP"))</f>
        <v/>
      </c>
      <c r="T1128" s="9" t="n">
        <f aca="false">IF(A1128="",1,0)</f>
        <v>0</v>
      </c>
      <c r="U1128" s="9" t="n">
        <f aca="false">IF(D1128="",1,0)</f>
        <v>0</v>
      </c>
      <c r="V1128" s="9" t="n">
        <f aca="false">IF(E1128="",1,0)</f>
        <v>0</v>
      </c>
      <c r="W1128" s="9" t="n">
        <f aca="false">IF(OR(H1128&lt;1,H1128&gt;10),1,0)</f>
        <v>0</v>
      </c>
      <c r="X1128" s="9" t="n">
        <f aca="false">IF(OR(I1128&lt;=0,I1128&gt;1500),1,0)</f>
        <v>0</v>
      </c>
      <c r="Y1128" s="9" t="n">
        <f aca="false">IF(J1128&gt;H1128*I1128,1,0)</f>
        <v>0</v>
      </c>
      <c r="Z1128" s="9" t="n">
        <f aca="false">IF(AND(N1128&lt;&gt;"",OR(N1128&lt;1,N1128&gt;5)),1,0)</f>
        <v>0</v>
      </c>
      <c r="AA1128" s="9" t="n">
        <f aca="false">IF(AND(M1128&lt;&gt;"",OR(M1128&lt;5,M1128&gt;180)),1,0)</f>
        <v>0</v>
      </c>
      <c r="AB1128" s="7" t="str">
        <f aca="false">IF(P1128="DUP","Exact duplicate row",IF(T1128=1,"Missing Order ID",IF(S1128="DROP","Duplicate Order ID (less complete row)",IF(U1128=1,"Missing Customer ID",IF(V1128=1,"Missing Restaurant name",IF(W1128=1,"Invalid/outlier quantity",IF(X1128=1,"Invalid/outlier unit price",IF(Y1128=1,"Discount greater than order value",""))))))))</f>
        <v/>
      </c>
      <c r="AC1128" s="7" t="str">
        <f aca="false">IF(AB1128="","KEEP","DROP")</f>
        <v>KEEP</v>
      </c>
      <c r="AD1128" s="7" t="str">
        <f aca="false">IF(TRIM(F1128)="",IFERROR(INDEX(Map_Tables!$I$4:$I$37,MATCH(TRIM(E1128),Map_Tables!$G$4:$G$37,0)),""),IFERROR(INDEX(Map_Tables!$B$4:$B$18,MATCH(TRIM(F1128),Map_Tables!$A$4:$A$18,0)),"CHECK"))</f>
        <v>Delhi</v>
      </c>
      <c r="AE1128" s="7" t="str">
        <f aca="false">IF(TRIM(E1128)="","",IFERROR(INDEX(Map_Tables!$H$4:$H$37,MATCH(TRIM(E1128),Map_Tables!$G$4:$G$37,0)),"CHECK"))</f>
        <v>Momo Magic</v>
      </c>
      <c r="AF1128" s="7" t="str">
        <f aca="false">IF(TRIM(K1128)="","Unknown",IFERROR(INDEX(Map_Tables!$E$4:$E$15,MATCH(TRIM(K1128),Map_Tables!$D$4:$D$15,0)),"CHECK"))</f>
        <v>UPI</v>
      </c>
      <c r="AG1128" s="7" t="str">
        <f aca="false">IF(LEFT(LOWER(TRIM(L1128)),6)="cancel","Cancelled","Delivered")</f>
        <v>Delivered</v>
      </c>
      <c r="AH1128" s="10" t="n">
        <f aca="false">IF(ISNUMBER(SEARCH("/",B1128)),DATE(VALUE(RIGHT(B1128,4)),VALUE(MID(B1128,4,2)),VALUE(LEFT(B1128,2))),IF(MID(B1128,5,1)="-",DATE(VALUE(LEFT(B1128,4)),VALUE(MID(B1128,6,2)),VALUE(RIGHT(B1128,2))),DATE(VALUE(RIGHT(B1128,4)),MATCH(MID(B1128,4,3),{"Jan","Feb","Mar","Apr","May","Jun","Jul","Aug","Sep","Oct","Nov","Dec"},0),VALUE(LEFT(B1128,2)))))</f>
        <v>45716</v>
      </c>
    </row>
    <row r="1129" customFormat="false" ht="15" hidden="false" customHeight="false" outlineLevel="0" collapsed="false">
      <c r="A1129" s="7" t="s">
        <v>3266</v>
      </c>
      <c r="B1129" s="7" t="s">
        <v>3267</v>
      </c>
      <c r="C1129" s="7" t="s">
        <v>3268</v>
      </c>
      <c r="D1129" s="7" t="s">
        <v>3055</v>
      </c>
      <c r="E1129" s="7" t="s">
        <v>161</v>
      </c>
      <c r="F1129" s="7" t="s">
        <v>141</v>
      </c>
      <c r="G1129" s="7" t="s">
        <v>117</v>
      </c>
      <c r="H1129" s="7" t="n">
        <v>3</v>
      </c>
      <c r="I1129" s="7" t="n">
        <v>125</v>
      </c>
      <c r="J1129" s="7" t="n">
        <v>100</v>
      </c>
      <c r="K1129" s="7" t="s">
        <v>88</v>
      </c>
      <c r="L1129" s="7" t="s">
        <v>194</v>
      </c>
      <c r="M1129" s="7" t="n">
        <v>38</v>
      </c>
      <c r="N1129" s="7" t="n">
        <v>5</v>
      </c>
      <c r="O1129" s="7" t="str">
        <f aca="false">A1129&amp;"|"&amp;B1129&amp;"|"&amp;C1129&amp;"|"&amp;D1129&amp;"|"&amp;E1129&amp;"|"&amp;F1129&amp;"|"&amp;G1129&amp;"|"&amp;H1129&amp;"|"&amp;I1129&amp;"|"&amp;J1129&amp;"|"&amp;K1129&amp;"|"&amp;L1129&amp;"|"&amp;M1129&amp;"|"&amp;N1129</f>
        <v>ORD11725|14/08/2025|22:57|C0953|Bengal Bites|Kolkata|Street Food|3|125|100|UPI|Delivered|38|5</v>
      </c>
      <c r="P1129" s="7" t="str">
        <f aca="false">IF(COUNTIF($O$2:O1129,O1129)&gt;1,"DUP","OK")</f>
        <v>OK</v>
      </c>
      <c r="Q1129" s="7" t="n">
        <f aca="false">COUNTBLANK(A1129:N1129)</f>
        <v>0</v>
      </c>
      <c r="R1129" s="7" t="n">
        <f aca="false">IF(A1129="",0,COUNTIFS($A$2:$A$3058,A1129,$P$2:$P$3058,"OK"))</f>
        <v>1</v>
      </c>
      <c r="S1129" s="7" t="str">
        <f aca="false">IF(OR(A1129="",P1129="DUP",R1129&lt;2),"",IF(Q1129=_xlfn.MINIFS($Q$2:$Q$3058,$A$2:$A$3058,A1129,$P$2:$P$3058,"OK"),"KEEP","DROP"))</f>
        <v/>
      </c>
      <c r="T1129" s="9" t="n">
        <f aca="false">IF(A1129="",1,0)</f>
        <v>0</v>
      </c>
      <c r="U1129" s="9" t="n">
        <f aca="false">IF(D1129="",1,0)</f>
        <v>0</v>
      </c>
      <c r="V1129" s="9" t="n">
        <f aca="false">IF(E1129="",1,0)</f>
        <v>0</v>
      </c>
      <c r="W1129" s="9" t="n">
        <f aca="false">IF(OR(H1129&lt;1,H1129&gt;10),1,0)</f>
        <v>0</v>
      </c>
      <c r="X1129" s="9" t="n">
        <f aca="false">IF(OR(I1129&lt;=0,I1129&gt;1500),1,0)</f>
        <v>0</v>
      </c>
      <c r="Y1129" s="9" t="n">
        <f aca="false">IF(J1129&gt;H1129*I1129,1,0)</f>
        <v>0</v>
      </c>
      <c r="Z1129" s="9" t="n">
        <f aca="false">IF(AND(N1129&lt;&gt;"",OR(N1129&lt;1,N1129&gt;5)),1,0)</f>
        <v>0</v>
      </c>
      <c r="AA1129" s="9" t="n">
        <f aca="false">IF(AND(M1129&lt;&gt;"",OR(M1129&lt;5,M1129&gt;180)),1,0)</f>
        <v>0</v>
      </c>
      <c r="AB1129" s="7" t="str">
        <f aca="false">IF(P1129="DUP","Exact duplicate row",IF(T1129=1,"Missing Order ID",IF(S1129="DROP","Duplicate Order ID (less complete row)",IF(U1129=1,"Missing Customer ID",IF(V1129=1,"Missing Restaurant name",IF(W1129=1,"Invalid/outlier quantity",IF(X1129=1,"Invalid/outlier unit price",IF(Y1129=1,"Discount greater than order value",""))))))))</f>
        <v/>
      </c>
      <c r="AC1129" s="7" t="str">
        <f aca="false">IF(AB1129="","KEEP","DROP")</f>
        <v>KEEP</v>
      </c>
      <c r="AD1129" s="7" t="str">
        <f aca="false">IF(TRIM(F1129)="",IFERROR(INDEX(Map_Tables!$I$4:$I$37,MATCH(TRIM(E1129),Map_Tables!$G$4:$G$37,0)),""),IFERROR(INDEX(Map_Tables!$B$4:$B$18,MATCH(TRIM(F1129),Map_Tables!$A$4:$A$18,0)),"CHECK"))</f>
        <v>Kolkata</v>
      </c>
      <c r="AE1129" s="7" t="str">
        <f aca="false">IF(TRIM(E1129)="","",IFERROR(INDEX(Map_Tables!$H$4:$H$37,MATCH(TRIM(E1129),Map_Tables!$G$4:$G$37,0)),"CHECK"))</f>
        <v>Bengal Bites</v>
      </c>
      <c r="AF1129" s="7" t="str">
        <f aca="false">IF(TRIM(K1129)="","Unknown",IFERROR(INDEX(Map_Tables!$E$4:$E$15,MATCH(TRIM(K1129),Map_Tables!$D$4:$D$15,0)),"CHECK"))</f>
        <v>UPI</v>
      </c>
      <c r="AG1129" s="7" t="str">
        <f aca="false">IF(LEFT(LOWER(TRIM(L1129)),6)="cancel","Cancelled","Delivered")</f>
        <v>Delivered</v>
      </c>
      <c r="AH1129" s="10" t="n">
        <f aca="false">IF(ISNUMBER(SEARCH("/",B1129)),DATE(VALUE(RIGHT(B1129,4)),VALUE(MID(B1129,4,2)),VALUE(LEFT(B1129,2))),IF(MID(B1129,5,1)="-",DATE(VALUE(LEFT(B1129,4)),VALUE(MID(B1129,6,2)),VALUE(RIGHT(B1129,2))),DATE(VALUE(RIGHT(B1129,4)),MATCH(MID(B1129,4,3),{"Jan","Feb","Mar","Apr","May","Jun","Jul","Aug","Sep","Oct","Nov","Dec"},0),VALUE(LEFT(B1129,2)))))</f>
        <v>45883</v>
      </c>
    </row>
    <row r="1130" customFormat="false" ht="15" hidden="false" customHeight="false" outlineLevel="0" collapsed="false">
      <c r="A1130" s="7" t="s">
        <v>3269</v>
      </c>
      <c r="B1130" s="7" t="s">
        <v>3233</v>
      </c>
      <c r="C1130" s="7" t="s">
        <v>3270</v>
      </c>
      <c r="D1130" s="7" t="s">
        <v>3271</v>
      </c>
      <c r="E1130" s="7" t="s">
        <v>113</v>
      </c>
      <c r="F1130" s="7" t="s">
        <v>101</v>
      </c>
      <c r="G1130" s="7" t="s">
        <v>90</v>
      </c>
      <c r="H1130" s="7" t="n">
        <v>1</v>
      </c>
      <c r="I1130" s="7" t="n">
        <v>240</v>
      </c>
      <c r="J1130" s="7" t="n">
        <v>96</v>
      </c>
      <c r="K1130" s="7" t="s">
        <v>298</v>
      </c>
      <c r="L1130" s="7" t="s">
        <v>194</v>
      </c>
      <c r="M1130" s="7" t="n">
        <v>40</v>
      </c>
      <c r="N1130" s="7" t="n">
        <v>4</v>
      </c>
      <c r="O1130" s="7" t="str">
        <f aca="false">A1130&amp;"|"&amp;B1130&amp;"|"&amp;C1130&amp;"|"&amp;D1130&amp;"|"&amp;E1130&amp;"|"&amp;F1130&amp;"|"&amp;G1130&amp;"|"&amp;H1130&amp;"|"&amp;I1130&amp;"|"&amp;J1130&amp;"|"&amp;K1130&amp;"|"&amp;L1130&amp;"|"&amp;M1130&amp;"|"&amp;N1130</f>
        <v>ORD11043|2025-05-12|00:47|C0196|Curry Leaf Kitchen|Mumbai|North Indian|1|240|96|Cash On Delivery|Delivered|40|4</v>
      </c>
      <c r="P1130" s="7" t="str">
        <f aca="false">IF(COUNTIF($O$2:O1130,O1130)&gt;1,"DUP","OK")</f>
        <v>OK</v>
      </c>
      <c r="Q1130" s="7" t="n">
        <f aca="false">COUNTBLANK(A1130:N1130)</f>
        <v>0</v>
      </c>
      <c r="R1130" s="7" t="n">
        <f aca="false">IF(A1130="",0,COUNTIFS($A$2:$A$3058,A1130,$P$2:$P$3058,"OK"))</f>
        <v>1</v>
      </c>
      <c r="S1130" s="7" t="str">
        <f aca="false">IF(OR(A1130="",P1130="DUP",R1130&lt;2),"",IF(Q1130=_xlfn.MINIFS($Q$2:$Q$3058,$A$2:$A$3058,A1130,$P$2:$P$3058,"OK"),"KEEP","DROP"))</f>
        <v/>
      </c>
      <c r="T1130" s="9" t="n">
        <f aca="false">IF(A1130="",1,0)</f>
        <v>0</v>
      </c>
      <c r="U1130" s="9" t="n">
        <f aca="false">IF(D1130="",1,0)</f>
        <v>0</v>
      </c>
      <c r="V1130" s="9" t="n">
        <f aca="false">IF(E1130="",1,0)</f>
        <v>0</v>
      </c>
      <c r="W1130" s="9" t="n">
        <f aca="false">IF(OR(H1130&lt;1,H1130&gt;10),1,0)</f>
        <v>0</v>
      </c>
      <c r="X1130" s="9" t="n">
        <f aca="false">IF(OR(I1130&lt;=0,I1130&gt;1500),1,0)</f>
        <v>0</v>
      </c>
      <c r="Y1130" s="9" t="n">
        <f aca="false">IF(J1130&gt;H1130*I1130,1,0)</f>
        <v>0</v>
      </c>
      <c r="Z1130" s="9" t="n">
        <f aca="false">IF(AND(N1130&lt;&gt;"",OR(N1130&lt;1,N1130&gt;5)),1,0)</f>
        <v>0</v>
      </c>
      <c r="AA1130" s="9" t="n">
        <f aca="false">IF(AND(M1130&lt;&gt;"",OR(M1130&lt;5,M1130&gt;180)),1,0)</f>
        <v>0</v>
      </c>
      <c r="AB1130" s="7" t="str">
        <f aca="false">IF(P1130="DUP","Exact duplicate row",IF(T1130=1,"Missing Order ID",IF(S1130="DROP","Duplicate Order ID (less complete row)",IF(U1130=1,"Missing Customer ID",IF(V1130=1,"Missing Restaurant name",IF(W1130=1,"Invalid/outlier quantity",IF(X1130=1,"Invalid/outlier unit price",IF(Y1130=1,"Discount greater than order value",""))))))))</f>
        <v/>
      </c>
      <c r="AC1130" s="7" t="str">
        <f aca="false">IF(AB1130="","KEEP","DROP")</f>
        <v>KEEP</v>
      </c>
      <c r="AD1130" s="7" t="str">
        <f aca="false">IF(TRIM(F1130)="",IFERROR(INDEX(Map_Tables!$I$4:$I$37,MATCH(TRIM(E1130),Map_Tables!$G$4:$G$37,0)),""),IFERROR(INDEX(Map_Tables!$B$4:$B$18,MATCH(TRIM(F1130),Map_Tables!$A$4:$A$18,0)),"CHECK"))</f>
        <v>Mumbai</v>
      </c>
      <c r="AE1130" s="7" t="str">
        <f aca="false">IF(TRIM(E1130)="","",IFERROR(INDEX(Map_Tables!$H$4:$H$37,MATCH(TRIM(E1130),Map_Tables!$G$4:$G$37,0)),"CHECK"))</f>
        <v>Curry Leaf Kitchen</v>
      </c>
      <c r="AF1130" s="7" t="str">
        <f aca="false">IF(TRIM(K1130)="","Unknown",IFERROR(INDEX(Map_Tables!$E$4:$E$15,MATCH(TRIM(K1130),Map_Tables!$D$4:$D$15,0)),"CHECK"))</f>
        <v>Cash on Delivery</v>
      </c>
      <c r="AG1130" s="7" t="str">
        <f aca="false">IF(LEFT(LOWER(TRIM(L1130)),6)="cancel","Cancelled","Delivered")</f>
        <v>Delivered</v>
      </c>
      <c r="AH1130" s="10" t="n">
        <f aca="false">IF(ISNUMBER(SEARCH("/",B1130)),DATE(VALUE(RIGHT(B1130,4)),VALUE(MID(B1130,4,2)),VALUE(LEFT(B1130,2))),IF(MID(B1130,5,1)="-",DATE(VALUE(LEFT(B1130,4)),VALUE(MID(B1130,6,2)),VALUE(RIGHT(B1130,2))),DATE(VALUE(RIGHT(B1130,4)),MATCH(MID(B1130,4,3),{"Jan","Feb","Mar","Apr","May","Jun","Jul","Aug","Sep","Oct","Nov","Dec"},0),VALUE(LEFT(B1130,2)))))</f>
        <v>45789</v>
      </c>
    </row>
    <row r="1131" customFormat="false" ht="15" hidden="false" customHeight="false" outlineLevel="0" collapsed="false">
      <c r="A1131" s="7" t="s">
        <v>3272</v>
      </c>
      <c r="B1131" s="7" t="s">
        <v>2351</v>
      </c>
      <c r="C1131" s="7" t="s">
        <v>280</v>
      </c>
      <c r="D1131" s="7" t="s">
        <v>3273</v>
      </c>
      <c r="E1131" s="7" t="s">
        <v>1094</v>
      </c>
      <c r="F1131" s="7" t="s">
        <v>110</v>
      </c>
      <c r="G1131" s="7" t="s">
        <v>139</v>
      </c>
      <c r="H1131" s="7" t="n">
        <v>4</v>
      </c>
      <c r="I1131" s="7" t="n">
        <v>175</v>
      </c>
      <c r="J1131" s="7" t="n">
        <v>0</v>
      </c>
      <c r="K1131" s="7" t="s">
        <v>88</v>
      </c>
      <c r="L1131" s="7" t="s">
        <v>238</v>
      </c>
      <c r="M1131" s="7"/>
      <c r="N1131" s="7"/>
      <c r="O1131" s="7" t="str">
        <f aca="false">A1131&amp;"|"&amp;B1131&amp;"|"&amp;C1131&amp;"|"&amp;D1131&amp;"|"&amp;E1131&amp;"|"&amp;F1131&amp;"|"&amp;G1131&amp;"|"&amp;H1131&amp;"|"&amp;I1131&amp;"|"&amp;J1131&amp;"|"&amp;K1131&amp;"|"&amp;L1131&amp;"|"&amp;M1131&amp;"|"&amp;N1131</f>
        <v>ORD12381|2025-10-27|20:39|C1402|BURGER BARN|Delhi|Burgers|4|175|0|UPI|Cancelled||</v>
      </c>
      <c r="P1131" s="7" t="str">
        <f aca="false">IF(COUNTIF($O$2:O1131,O1131)&gt;1,"DUP","OK")</f>
        <v>OK</v>
      </c>
      <c r="Q1131" s="7" t="n">
        <f aca="false">COUNTBLANK(A1131:N1131)</f>
        <v>2</v>
      </c>
      <c r="R1131" s="7" t="n">
        <f aca="false">IF(A1131="",0,COUNTIFS($A$2:$A$3058,A1131,$P$2:$P$3058,"OK"))</f>
        <v>1</v>
      </c>
      <c r="S1131" s="7" t="str">
        <f aca="false">IF(OR(A1131="",P1131="DUP",R1131&lt;2),"",IF(Q1131=_xlfn.MINIFS($Q$2:$Q$3058,$A$2:$A$3058,A1131,$P$2:$P$3058,"OK"),"KEEP","DROP"))</f>
        <v/>
      </c>
      <c r="T1131" s="9" t="n">
        <f aca="false">IF(A1131="",1,0)</f>
        <v>0</v>
      </c>
      <c r="U1131" s="9" t="n">
        <f aca="false">IF(D1131="",1,0)</f>
        <v>0</v>
      </c>
      <c r="V1131" s="9" t="n">
        <f aca="false">IF(E1131="",1,0)</f>
        <v>0</v>
      </c>
      <c r="W1131" s="9" t="n">
        <f aca="false">IF(OR(H1131&lt;1,H1131&gt;10),1,0)</f>
        <v>0</v>
      </c>
      <c r="X1131" s="9" t="n">
        <f aca="false">IF(OR(I1131&lt;=0,I1131&gt;1500),1,0)</f>
        <v>0</v>
      </c>
      <c r="Y1131" s="9" t="n">
        <f aca="false">IF(J1131&gt;H1131*I1131,1,0)</f>
        <v>0</v>
      </c>
      <c r="Z1131" s="9" t="n">
        <f aca="false">IF(AND(N1131&lt;&gt;"",OR(N1131&lt;1,N1131&gt;5)),1,0)</f>
        <v>0</v>
      </c>
      <c r="AA1131" s="9" t="n">
        <f aca="false">IF(AND(M1131&lt;&gt;"",OR(M1131&lt;5,M1131&gt;180)),1,0)</f>
        <v>0</v>
      </c>
      <c r="AB1131" s="7" t="str">
        <f aca="false">IF(P1131="DUP","Exact duplicate row",IF(T1131=1,"Missing Order ID",IF(S1131="DROP","Duplicate Order ID (less complete row)",IF(U1131=1,"Missing Customer ID",IF(V1131=1,"Missing Restaurant name",IF(W1131=1,"Invalid/outlier quantity",IF(X1131=1,"Invalid/outlier unit price",IF(Y1131=1,"Discount greater than order value",""))))))))</f>
        <v/>
      </c>
      <c r="AC1131" s="7" t="str">
        <f aca="false">IF(AB1131="","KEEP","DROP")</f>
        <v>KEEP</v>
      </c>
      <c r="AD1131" s="7" t="str">
        <f aca="false">IF(TRIM(F1131)="",IFERROR(INDEX(Map_Tables!$I$4:$I$37,MATCH(TRIM(E1131),Map_Tables!$G$4:$G$37,0)),""),IFERROR(INDEX(Map_Tables!$B$4:$B$18,MATCH(TRIM(F1131),Map_Tables!$A$4:$A$18,0)),"CHECK"))</f>
        <v>Delhi</v>
      </c>
      <c r="AE1131" s="7" t="str">
        <f aca="false">IF(TRIM(E1131)="","",IFERROR(INDEX(Map_Tables!$H$4:$H$37,MATCH(TRIM(E1131),Map_Tables!$G$4:$G$37,0)),"CHECK"))</f>
        <v>Burger Barn</v>
      </c>
      <c r="AF1131" s="7" t="str">
        <f aca="false">IF(TRIM(K1131)="","Unknown",IFERROR(INDEX(Map_Tables!$E$4:$E$15,MATCH(TRIM(K1131),Map_Tables!$D$4:$D$15,0)),"CHECK"))</f>
        <v>UPI</v>
      </c>
      <c r="AG1131" s="7" t="str">
        <f aca="false">IF(LEFT(LOWER(TRIM(L1131)),6)="cancel","Cancelled","Delivered")</f>
        <v>Cancelled</v>
      </c>
      <c r="AH1131" s="10" t="n">
        <f aca="false">IF(ISNUMBER(SEARCH("/",B1131)),DATE(VALUE(RIGHT(B1131,4)),VALUE(MID(B1131,4,2)),VALUE(LEFT(B1131,2))),IF(MID(B1131,5,1)="-",DATE(VALUE(LEFT(B1131,4)),VALUE(MID(B1131,6,2)),VALUE(RIGHT(B1131,2))),DATE(VALUE(RIGHT(B1131,4)),MATCH(MID(B1131,4,3),{"Jan","Feb","Mar","Apr","May","Jun","Jul","Aug","Sep","Oct","Nov","Dec"},0),VALUE(LEFT(B1131,2)))))</f>
        <v>45957</v>
      </c>
    </row>
    <row r="1132" customFormat="false" ht="15" hidden="false" customHeight="false" outlineLevel="0" collapsed="false">
      <c r="A1132" s="7" t="s">
        <v>3274</v>
      </c>
      <c r="B1132" s="7" t="s">
        <v>795</v>
      </c>
      <c r="C1132" s="7" t="s">
        <v>443</v>
      </c>
      <c r="D1132" s="7" t="s">
        <v>3275</v>
      </c>
      <c r="E1132" s="7" t="s">
        <v>138</v>
      </c>
      <c r="F1132" s="7" t="s">
        <v>110</v>
      </c>
      <c r="G1132" s="7" t="s">
        <v>139</v>
      </c>
      <c r="H1132" s="7" t="n">
        <v>5</v>
      </c>
      <c r="I1132" s="7" t="n">
        <v>225</v>
      </c>
      <c r="J1132" s="7" t="n">
        <v>75</v>
      </c>
      <c r="K1132" s="7" t="s">
        <v>88</v>
      </c>
      <c r="L1132" s="7" t="s">
        <v>194</v>
      </c>
      <c r="M1132" s="7" t="n">
        <v>43</v>
      </c>
      <c r="N1132" s="7" t="n">
        <v>4</v>
      </c>
      <c r="O1132" s="7" t="str">
        <f aca="false">A1132&amp;"|"&amp;B1132&amp;"|"&amp;C1132&amp;"|"&amp;D1132&amp;"|"&amp;E1132&amp;"|"&amp;F1132&amp;"|"&amp;G1132&amp;"|"&amp;H1132&amp;"|"&amp;I1132&amp;"|"&amp;J1132&amp;"|"&amp;K1132&amp;"|"&amp;L1132&amp;"|"&amp;M1132&amp;"|"&amp;N1132</f>
        <v>ORD11490|2025-07-12|22:51|C0284|Burger Barn|Delhi|Burgers|5|225|75|UPI|Delivered|43|4</v>
      </c>
      <c r="P1132" s="7" t="str">
        <f aca="false">IF(COUNTIF($O$2:O1132,O1132)&gt;1,"DUP","OK")</f>
        <v>OK</v>
      </c>
      <c r="Q1132" s="7" t="n">
        <f aca="false">COUNTBLANK(A1132:N1132)</f>
        <v>0</v>
      </c>
      <c r="R1132" s="7" t="n">
        <f aca="false">IF(A1132="",0,COUNTIFS($A$2:$A$3058,A1132,$P$2:$P$3058,"OK"))</f>
        <v>1</v>
      </c>
      <c r="S1132" s="7" t="str">
        <f aca="false">IF(OR(A1132="",P1132="DUP",R1132&lt;2),"",IF(Q1132=_xlfn.MINIFS($Q$2:$Q$3058,$A$2:$A$3058,A1132,$P$2:$P$3058,"OK"),"KEEP","DROP"))</f>
        <v/>
      </c>
      <c r="T1132" s="9" t="n">
        <f aca="false">IF(A1132="",1,0)</f>
        <v>0</v>
      </c>
      <c r="U1132" s="9" t="n">
        <f aca="false">IF(D1132="",1,0)</f>
        <v>0</v>
      </c>
      <c r="V1132" s="9" t="n">
        <f aca="false">IF(E1132="",1,0)</f>
        <v>0</v>
      </c>
      <c r="W1132" s="9" t="n">
        <f aca="false">IF(OR(H1132&lt;1,H1132&gt;10),1,0)</f>
        <v>0</v>
      </c>
      <c r="X1132" s="9" t="n">
        <f aca="false">IF(OR(I1132&lt;=0,I1132&gt;1500),1,0)</f>
        <v>0</v>
      </c>
      <c r="Y1132" s="9" t="n">
        <f aca="false">IF(J1132&gt;H1132*I1132,1,0)</f>
        <v>0</v>
      </c>
      <c r="Z1132" s="9" t="n">
        <f aca="false">IF(AND(N1132&lt;&gt;"",OR(N1132&lt;1,N1132&gt;5)),1,0)</f>
        <v>0</v>
      </c>
      <c r="AA1132" s="9" t="n">
        <f aca="false">IF(AND(M1132&lt;&gt;"",OR(M1132&lt;5,M1132&gt;180)),1,0)</f>
        <v>0</v>
      </c>
      <c r="AB1132" s="7" t="str">
        <f aca="false">IF(P1132="DUP","Exact duplicate row",IF(T1132=1,"Missing Order ID",IF(S1132="DROP","Duplicate Order ID (less complete row)",IF(U1132=1,"Missing Customer ID",IF(V1132=1,"Missing Restaurant name",IF(W1132=1,"Invalid/outlier quantity",IF(X1132=1,"Invalid/outlier unit price",IF(Y1132=1,"Discount greater than order value",""))))))))</f>
        <v/>
      </c>
      <c r="AC1132" s="7" t="str">
        <f aca="false">IF(AB1132="","KEEP","DROP")</f>
        <v>KEEP</v>
      </c>
      <c r="AD1132" s="7" t="str">
        <f aca="false">IF(TRIM(F1132)="",IFERROR(INDEX(Map_Tables!$I$4:$I$37,MATCH(TRIM(E1132),Map_Tables!$G$4:$G$37,0)),""),IFERROR(INDEX(Map_Tables!$B$4:$B$18,MATCH(TRIM(F1132),Map_Tables!$A$4:$A$18,0)),"CHECK"))</f>
        <v>Delhi</v>
      </c>
      <c r="AE1132" s="7" t="str">
        <f aca="false">IF(TRIM(E1132)="","",IFERROR(INDEX(Map_Tables!$H$4:$H$37,MATCH(TRIM(E1132),Map_Tables!$G$4:$G$37,0)),"CHECK"))</f>
        <v>Burger Barn</v>
      </c>
      <c r="AF1132" s="7" t="str">
        <f aca="false">IF(TRIM(K1132)="","Unknown",IFERROR(INDEX(Map_Tables!$E$4:$E$15,MATCH(TRIM(K1132),Map_Tables!$D$4:$D$15,0)),"CHECK"))</f>
        <v>UPI</v>
      </c>
      <c r="AG1132" s="7" t="str">
        <f aca="false">IF(LEFT(LOWER(TRIM(L1132)),6)="cancel","Cancelled","Delivered")</f>
        <v>Delivered</v>
      </c>
      <c r="AH1132" s="10" t="n">
        <f aca="false">IF(ISNUMBER(SEARCH("/",B1132)),DATE(VALUE(RIGHT(B1132,4)),VALUE(MID(B1132,4,2)),VALUE(LEFT(B1132,2))),IF(MID(B1132,5,1)="-",DATE(VALUE(LEFT(B1132,4)),VALUE(MID(B1132,6,2)),VALUE(RIGHT(B1132,2))),DATE(VALUE(RIGHT(B1132,4)),MATCH(MID(B1132,4,3),{"Jan","Feb","Mar","Apr","May","Jun","Jul","Aug","Sep","Oct","Nov","Dec"},0),VALUE(LEFT(B1132,2)))))</f>
        <v>45850</v>
      </c>
    </row>
    <row r="1133" customFormat="false" ht="15" hidden="false" customHeight="false" outlineLevel="0" collapsed="false">
      <c r="A1133" s="7" t="s">
        <v>3276</v>
      </c>
      <c r="B1133" s="7" t="s">
        <v>3277</v>
      </c>
      <c r="C1133" s="7" t="s">
        <v>743</v>
      </c>
      <c r="D1133" s="7" t="s">
        <v>3278</v>
      </c>
      <c r="E1133" s="7" t="s">
        <v>144</v>
      </c>
      <c r="F1133" s="7" t="s">
        <v>119</v>
      </c>
      <c r="G1133" s="7" t="s">
        <v>99</v>
      </c>
      <c r="H1133" s="7" t="n">
        <v>3</v>
      </c>
      <c r="I1133" s="7" t="n">
        <v>340</v>
      </c>
      <c r="J1133" s="7" t="n">
        <v>40</v>
      </c>
      <c r="K1133" s="7" t="s">
        <v>2596</v>
      </c>
      <c r="L1133" s="7" t="s">
        <v>194</v>
      </c>
      <c r="M1133" s="7" t="n">
        <v>30</v>
      </c>
      <c r="N1133" s="7" t="n">
        <v>4</v>
      </c>
      <c r="O1133" s="7" t="str">
        <f aca="false">A1133&amp;"|"&amp;B1133&amp;"|"&amp;C1133&amp;"|"&amp;D1133&amp;"|"&amp;E1133&amp;"|"&amp;F1133&amp;"|"&amp;G1133&amp;"|"&amp;H1133&amp;"|"&amp;I1133&amp;"|"&amp;J1133&amp;"|"&amp;K1133&amp;"|"&amp;L1133&amp;"|"&amp;M1133&amp;"|"&amp;N1133</f>
        <v>ORD10331|2025-02-13|11:09|C1154|Hyderabad Dum Biryani|Hyderabad|Biryani|3|340|40|COD|Delivered|30|4</v>
      </c>
      <c r="P1133" s="7" t="str">
        <f aca="false">IF(COUNTIF($O$2:O1133,O1133)&gt;1,"DUP","OK")</f>
        <v>OK</v>
      </c>
      <c r="Q1133" s="7" t="n">
        <f aca="false">COUNTBLANK(A1133:N1133)</f>
        <v>0</v>
      </c>
      <c r="R1133" s="7" t="n">
        <f aca="false">IF(A1133="",0,COUNTIFS($A$2:$A$3058,A1133,$P$2:$P$3058,"OK"))</f>
        <v>1</v>
      </c>
      <c r="S1133" s="7" t="str">
        <f aca="false">IF(OR(A1133="",P1133="DUP",R1133&lt;2),"",IF(Q1133=_xlfn.MINIFS($Q$2:$Q$3058,$A$2:$A$3058,A1133,$P$2:$P$3058,"OK"),"KEEP","DROP"))</f>
        <v/>
      </c>
      <c r="T1133" s="9" t="n">
        <f aca="false">IF(A1133="",1,0)</f>
        <v>0</v>
      </c>
      <c r="U1133" s="9" t="n">
        <f aca="false">IF(D1133="",1,0)</f>
        <v>0</v>
      </c>
      <c r="V1133" s="9" t="n">
        <f aca="false">IF(E1133="",1,0)</f>
        <v>0</v>
      </c>
      <c r="W1133" s="9" t="n">
        <f aca="false">IF(OR(H1133&lt;1,H1133&gt;10),1,0)</f>
        <v>0</v>
      </c>
      <c r="X1133" s="9" t="n">
        <f aca="false">IF(OR(I1133&lt;=0,I1133&gt;1500),1,0)</f>
        <v>0</v>
      </c>
      <c r="Y1133" s="9" t="n">
        <f aca="false">IF(J1133&gt;H1133*I1133,1,0)</f>
        <v>0</v>
      </c>
      <c r="Z1133" s="9" t="n">
        <f aca="false">IF(AND(N1133&lt;&gt;"",OR(N1133&lt;1,N1133&gt;5)),1,0)</f>
        <v>0</v>
      </c>
      <c r="AA1133" s="9" t="n">
        <f aca="false">IF(AND(M1133&lt;&gt;"",OR(M1133&lt;5,M1133&gt;180)),1,0)</f>
        <v>0</v>
      </c>
      <c r="AB1133" s="7" t="str">
        <f aca="false">IF(P1133="DUP","Exact duplicate row",IF(T1133=1,"Missing Order ID",IF(S1133="DROP","Duplicate Order ID (less complete row)",IF(U1133=1,"Missing Customer ID",IF(V1133=1,"Missing Restaurant name",IF(W1133=1,"Invalid/outlier quantity",IF(X1133=1,"Invalid/outlier unit price",IF(Y1133=1,"Discount greater than order value",""))))))))</f>
        <v/>
      </c>
      <c r="AC1133" s="7" t="str">
        <f aca="false">IF(AB1133="","KEEP","DROP")</f>
        <v>KEEP</v>
      </c>
      <c r="AD1133" s="7" t="str">
        <f aca="false">IF(TRIM(F1133)="",IFERROR(INDEX(Map_Tables!$I$4:$I$37,MATCH(TRIM(E1133),Map_Tables!$G$4:$G$37,0)),""),IFERROR(INDEX(Map_Tables!$B$4:$B$18,MATCH(TRIM(F1133),Map_Tables!$A$4:$A$18,0)),"CHECK"))</f>
        <v>Hyderabad</v>
      </c>
      <c r="AE1133" s="7" t="str">
        <f aca="false">IF(TRIM(E1133)="","",IFERROR(INDEX(Map_Tables!$H$4:$H$37,MATCH(TRIM(E1133),Map_Tables!$G$4:$G$37,0)),"CHECK"))</f>
        <v>Hyderabad Dum Biryani</v>
      </c>
      <c r="AF1133" s="7" t="str">
        <f aca="false">IF(TRIM(K1133)="","Unknown",IFERROR(INDEX(Map_Tables!$E$4:$E$15,MATCH(TRIM(K1133),Map_Tables!$D$4:$D$15,0)),"CHECK"))</f>
        <v>Cash on Delivery</v>
      </c>
      <c r="AG1133" s="7" t="str">
        <f aca="false">IF(LEFT(LOWER(TRIM(L1133)),6)="cancel","Cancelled","Delivered")</f>
        <v>Delivered</v>
      </c>
      <c r="AH1133" s="10" t="n">
        <f aca="false">IF(ISNUMBER(SEARCH("/",B1133)),DATE(VALUE(RIGHT(B1133,4)),VALUE(MID(B1133,4,2)),VALUE(LEFT(B1133,2))),IF(MID(B1133,5,1)="-",DATE(VALUE(LEFT(B1133,4)),VALUE(MID(B1133,6,2)),VALUE(RIGHT(B1133,2))),DATE(VALUE(RIGHT(B1133,4)),MATCH(MID(B1133,4,3),{"Jan","Feb","Mar","Apr","May","Jun","Jul","Aug","Sep","Oct","Nov","Dec"},0),VALUE(LEFT(B1133,2)))))</f>
        <v>45701</v>
      </c>
    </row>
    <row r="1134" customFormat="false" ht="15" hidden="false" customHeight="false" outlineLevel="0" collapsed="false">
      <c r="A1134" s="7" t="s">
        <v>3279</v>
      </c>
      <c r="B1134" s="7" t="s">
        <v>2582</v>
      </c>
      <c r="C1134" s="7" t="s">
        <v>3163</v>
      </c>
      <c r="D1134" s="7" t="s">
        <v>740</v>
      </c>
      <c r="E1134" s="7" t="s">
        <v>161</v>
      </c>
      <c r="F1134" s="7" t="s">
        <v>141</v>
      </c>
      <c r="G1134" s="7" t="s">
        <v>117</v>
      </c>
      <c r="H1134" s="7" t="n">
        <v>4</v>
      </c>
      <c r="I1134" s="7" t="n">
        <v>150</v>
      </c>
      <c r="J1134" s="7" t="n">
        <v>40</v>
      </c>
      <c r="K1134" s="7" t="s">
        <v>88</v>
      </c>
      <c r="L1134" s="7" t="s">
        <v>194</v>
      </c>
      <c r="M1134" s="7" t="n">
        <v>36</v>
      </c>
      <c r="N1134" s="7" t="n">
        <v>5</v>
      </c>
      <c r="O1134" s="7" t="str">
        <f aca="false">A1134&amp;"|"&amp;B1134&amp;"|"&amp;C1134&amp;"|"&amp;D1134&amp;"|"&amp;E1134&amp;"|"&amp;F1134&amp;"|"&amp;G1134&amp;"|"&amp;H1134&amp;"|"&amp;I1134&amp;"|"&amp;J1134&amp;"|"&amp;K1134&amp;"|"&amp;L1134&amp;"|"&amp;M1134&amp;"|"&amp;N1134</f>
        <v>ORD11442|2025-07-06|19:28|C1277|Bengal Bites|Kolkata|Street Food|4|150|40|UPI|Delivered|36|5</v>
      </c>
      <c r="P1134" s="7" t="str">
        <f aca="false">IF(COUNTIF($O$2:O1134,O1134)&gt;1,"DUP","OK")</f>
        <v>OK</v>
      </c>
      <c r="Q1134" s="7" t="n">
        <f aca="false">COUNTBLANK(A1134:N1134)</f>
        <v>0</v>
      </c>
      <c r="R1134" s="7" t="n">
        <f aca="false">IF(A1134="",0,COUNTIFS($A$2:$A$3058,A1134,$P$2:$P$3058,"OK"))</f>
        <v>1</v>
      </c>
      <c r="S1134" s="7" t="str">
        <f aca="false">IF(OR(A1134="",P1134="DUP",R1134&lt;2),"",IF(Q1134=_xlfn.MINIFS($Q$2:$Q$3058,$A$2:$A$3058,A1134,$P$2:$P$3058,"OK"),"KEEP","DROP"))</f>
        <v/>
      </c>
      <c r="T1134" s="9" t="n">
        <f aca="false">IF(A1134="",1,0)</f>
        <v>0</v>
      </c>
      <c r="U1134" s="9" t="n">
        <f aca="false">IF(D1134="",1,0)</f>
        <v>0</v>
      </c>
      <c r="V1134" s="9" t="n">
        <f aca="false">IF(E1134="",1,0)</f>
        <v>0</v>
      </c>
      <c r="W1134" s="9" t="n">
        <f aca="false">IF(OR(H1134&lt;1,H1134&gt;10),1,0)</f>
        <v>0</v>
      </c>
      <c r="X1134" s="9" t="n">
        <f aca="false">IF(OR(I1134&lt;=0,I1134&gt;1500),1,0)</f>
        <v>0</v>
      </c>
      <c r="Y1134" s="9" t="n">
        <f aca="false">IF(J1134&gt;H1134*I1134,1,0)</f>
        <v>0</v>
      </c>
      <c r="Z1134" s="9" t="n">
        <f aca="false">IF(AND(N1134&lt;&gt;"",OR(N1134&lt;1,N1134&gt;5)),1,0)</f>
        <v>0</v>
      </c>
      <c r="AA1134" s="9" t="n">
        <f aca="false">IF(AND(M1134&lt;&gt;"",OR(M1134&lt;5,M1134&gt;180)),1,0)</f>
        <v>0</v>
      </c>
      <c r="AB1134" s="7" t="str">
        <f aca="false">IF(P1134="DUP","Exact duplicate row",IF(T1134=1,"Missing Order ID",IF(S1134="DROP","Duplicate Order ID (less complete row)",IF(U1134=1,"Missing Customer ID",IF(V1134=1,"Missing Restaurant name",IF(W1134=1,"Invalid/outlier quantity",IF(X1134=1,"Invalid/outlier unit price",IF(Y1134=1,"Discount greater than order value",""))))))))</f>
        <v/>
      </c>
      <c r="AC1134" s="7" t="str">
        <f aca="false">IF(AB1134="","KEEP","DROP")</f>
        <v>KEEP</v>
      </c>
      <c r="AD1134" s="7" t="str">
        <f aca="false">IF(TRIM(F1134)="",IFERROR(INDEX(Map_Tables!$I$4:$I$37,MATCH(TRIM(E1134),Map_Tables!$G$4:$G$37,0)),""),IFERROR(INDEX(Map_Tables!$B$4:$B$18,MATCH(TRIM(F1134),Map_Tables!$A$4:$A$18,0)),"CHECK"))</f>
        <v>Kolkata</v>
      </c>
      <c r="AE1134" s="7" t="str">
        <f aca="false">IF(TRIM(E1134)="","",IFERROR(INDEX(Map_Tables!$H$4:$H$37,MATCH(TRIM(E1134),Map_Tables!$G$4:$G$37,0)),"CHECK"))</f>
        <v>Bengal Bites</v>
      </c>
      <c r="AF1134" s="7" t="str">
        <f aca="false">IF(TRIM(K1134)="","Unknown",IFERROR(INDEX(Map_Tables!$E$4:$E$15,MATCH(TRIM(K1134),Map_Tables!$D$4:$D$15,0)),"CHECK"))</f>
        <v>UPI</v>
      </c>
      <c r="AG1134" s="7" t="str">
        <f aca="false">IF(LEFT(LOWER(TRIM(L1134)),6)="cancel","Cancelled","Delivered")</f>
        <v>Delivered</v>
      </c>
      <c r="AH1134" s="10" t="n">
        <f aca="false">IF(ISNUMBER(SEARCH("/",B1134)),DATE(VALUE(RIGHT(B1134,4)),VALUE(MID(B1134,4,2)),VALUE(LEFT(B1134,2))),IF(MID(B1134,5,1)="-",DATE(VALUE(LEFT(B1134,4)),VALUE(MID(B1134,6,2)),VALUE(RIGHT(B1134,2))),DATE(VALUE(RIGHT(B1134,4)),MATCH(MID(B1134,4,3),{"Jan","Feb","Mar","Apr","May","Jun","Jul","Aug","Sep","Oct","Nov","Dec"},0),VALUE(LEFT(B1134,2)))))</f>
        <v>45844</v>
      </c>
    </row>
    <row r="1135" customFormat="false" ht="15" hidden="false" customHeight="false" outlineLevel="0" collapsed="false">
      <c r="A1135" s="7" t="s">
        <v>3280</v>
      </c>
      <c r="B1135" s="7" t="s">
        <v>217</v>
      </c>
      <c r="C1135" s="7" t="s">
        <v>3281</v>
      </c>
      <c r="D1135" s="7" t="s">
        <v>3282</v>
      </c>
      <c r="E1135" s="7" t="s">
        <v>98</v>
      </c>
      <c r="F1135" s="7" t="s">
        <v>449</v>
      </c>
      <c r="G1135" s="7" t="s">
        <v>99</v>
      </c>
      <c r="H1135" s="7" t="n">
        <v>1</v>
      </c>
      <c r="I1135" s="7" t="n">
        <v>285</v>
      </c>
      <c r="J1135" s="7" t="n">
        <v>50</v>
      </c>
      <c r="K1135" s="7" t="s">
        <v>121</v>
      </c>
      <c r="L1135" s="7" t="s">
        <v>194</v>
      </c>
      <c r="M1135" s="7" t="n">
        <v>43</v>
      </c>
      <c r="N1135" s="7" t="n">
        <v>4</v>
      </c>
      <c r="O1135" s="7" t="str">
        <f aca="false">A1135&amp;"|"&amp;B1135&amp;"|"&amp;C1135&amp;"|"&amp;D1135&amp;"|"&amp;E1135&amp;"|"&amp;F1135&amp;"|"&amp;G1135&amp;"|"&amp;H1135&amp;"|"&amp;I1135&amp;"|"&amp;J1135&amp;"|"&amp;K1135&amp;"|"&amp;L1135&amp;"|"&amp;M1135&amp;"|"&amp;N1135</f>
        <v>ORD10862|2025-04-18|22:55|C0395|Nawabi Biryani House|BLR|Biryani|1|285|50|Wallet|Delivered|43|4</v>
      </c>
      <c r="P1135" s="7" t="str">
        <f aca="false">IF(COUNTIF($O$2:O1135,O1135)&gt;1,"DUP","OK")</f>
        <v>OK</v>
      </c>
      <c r="Q1135" s="7" t="n">
        <f aca="false">COUNTBLANK(A1135:N1135)</f>
        <v>0</v>
      </c>
      <c r="R1135" s="7" t="n">
        <f aca="false">IF(A1135="",0,COUNTIFS($A$2:$A$3058,A1135,$P$2:$P$3058,"OK"))</f>
        <v>1</v>
      </c>
      <c r="S1135" s="7" t="str">
        <f aca="false">IF(OR(A1135="",P1135="DUP",R1135&lt;2),"",IF(Q1135=_xlfn.MINIFS($Q$2:$Q$3058,$A$2:$A$3058,A1135,$P$2:$P$3058,"OK"),"KEEP","DROP"))</f>
        <v/>
      </c>
      <c r="T1135" s="9" t="n">
        <f aca="false">IF(A1135="",1,0)</f>
        <v>0</v>
      </c>
      <c r="U1135" s="9" t="n">
        <f aca="false">IF(D1135="",1,0)</f>
        <v>0</v>
      </c>
      <c r="V1135" s="9" t="n">
        <f aca="false">IF(E1135="",1,0)</f>
        <v>0</v>
      </c>
      <c r="W1135" s="9" t="n">
        <f aca="false">IF(OR(H1135&lt;1,H1135&gt;10),1,0)</f>
        <v>0</v>
      </c>
      <c r="X1135" s="9" t="n">
        <f aca="false">IF(OR(I1135&lt;=0,I1135&gt;1500),1,0)</f>
        <v>0</v>
      </c>
      <c r="Y1135" s="9" t="n">
        <f aca="false">IF(J1135&gt;H1135*I1135,1,0)</f>
        <v>0</v>
      </c>
      <c r="Z1135" s="9" t="n">
        <f aca="false">IF(AND(N1135&lt;&gt;"",OR(N1135&lt;1,N1135&gt;5)),1,0)</f>
        <v>0</v>
      </c>
      <c r="AA1135" s="9" t="n">
        <f aca="false">IF(AND(M1135&lt;&gt;"",OR(M1135&lt;5,M1135&gt;180)),1,0)</f>
        <v>0</v>
      </c>
      <c r="AB1135" s="7" t="str">
        <f aca="false">IF(P1135="DUP","Exact duplicate row",IF(T1135=1,"Missing Order ID",IF(S1135="DROP","Duplicate Order ID (less complete row)",IF(U1135=1,"Missing Customer ID",IF(V1135=1,"Missing Restaurant name",IF(W1135=1,"Invalid/outlier quantity",IF(X1135=1,"Invalid/outlier unit price",IF(Y1135=1,"Discount greater than order value",""))))))))</f>
        <v/>
      </c>
      <c r="AC1135" s="7" t="str">
        <f aca="false">IF(AB1135="","KEEP","DROP")</f>
        <v>KEEP</v>
      </c>
      <c r="AD1135" s="7" t="str">
        <f aca="false">IF(TRIM(F1135)="",IFERROR(INDEX(Map_Tables!$I$4:$I$37,MATCH(TRIM(E1135),Map_Tables!$G$4:$G$37,0)),""),IFERROR(INDEX(Map_Tables!$B$4:$B$18,MATCH(TRIM(F1135),Map_Tables!$A$4:$A$18,0)),"CHECK"))</f>
        <v>Bengaluru</v>
      </c>
      <c r="AE1135" s="7" t="str">
        <f aca="false">IF(TRIM(E1135)="","",IFERROR(INDEX(Map_Tables!$H$4:$H$37,MATCH(TRIM(E1135),Map_Tables!$G$4:$G$37,0)),"CHECK"))</f>
        <v>Nawabi Biryani House</v>
      </c>
      <c r="AF1135" s="7" t="str">
        <f aca="false">IF(TRIM(K1135)="","Unknown",IFERROR(INDEX(Map_Tables!$E$4:$E$15,MATCH(TRIM(K1135),Map_Tables!$D$4:$D$15,0)),"CHECK"))</f>
        <v>Wallet</v>
      </c>
      <c r="AG1135" s="7" t="str">
        <f aca="false">IF(LEFT(LOWER(TRIM(L1135)),6)="cancel","Cancelled","Delivered")</f>
        <v>Delivered</v>
      </c>
      <c r="AH1135" s="10" t="n">
        <f aca="false">IF(ISNUMBER(SEARCH("/",B1135)),DATE(VALUE(RIGHT(B1135,4)),VALUE(MID(B1135,4,2)),VALUE(LEFT(B1135,2))),IF(MID(B1135,5,1)="-",DATE(VALUE(LEFT(B1135,4)),VALUE(MID(B1135,6,2)),VALUE(RIGHT(B1135,2))),DATE(VALUE(RIGHT(B1135,4)),MATCH(MID(B1135,4,3),{"Jan","Feb","Mar","Apr","May","Jun","Jul","Aug","Sep","Oct","Nov","Dec"},0),VALUE(LEFT(B1135,2)))))</f>
        <v>45765</v>
      </c>
    </row>
    <row r="1136" customFormat="false" ht="15" hidden="false" customHeight="false" outlineLevel="0" collapsed="false">
      <c r="A1136" s="7" t="s">
        <v>3283</v>
      </c>
      <c r="B1136" s="7" t="s">
        <v>318</v>
      </c>
      <c r="C1136" s="7" t="s">
        <v>327</v>
      </c>
      <c r="D1136" s="7" t="s">
        <v>3284</v>
      </c>
      <c r="E1136" s="7" t="s">
        <v>104</v>
      </c>
      <c r="F1136" s="7" t="s">
        <v>785</v>
      </c>
      <c r="G1136" s="7" t="s">
        <v>105</v>
      </c>
      <c r="H1136" s="7" t="n">
        <v>3</v>
      </c>
      <c r="I1136" s="7" t="n">
        <v>210</v>
      </c>
      <c r="J1136" s="7" t="n">
        <v>0</v>
      </c>
      <c r="K1136" s="7" t="s">
        <v>88</v>
      </c>
      <c r="L1136" s="7" t="s">
        <v>194</v>
      </c>
      <c r="M1136" s="7" t="n">
        <v>36</v>
      </c>
      <c r="N1136" s="7" t="n">
        <v>3</v>
      </c>
      <c r="O1136" s="7" t="str">
        <f aca="false">A1136&amp;"|"&amp;B1136&amp;"|"&amp;C1136&amp;"|"&amp;D1136&amp;"|"&amp;E1136&amp;"|"&amp;F1136&amp;"|"&amp;G1136&amp;"|"&amp;H1136&amp;"|"&amp;I1136&amp;"|"&amp;J1136&amp;"|"&amp;K1136&amp;"|"&amp;L1136&amp;"|"&amp;M1136&amp;"|"&amp;N1136</f>
        <v>ORD10746|2025-04-05|19:10|C0767|Wok &amp; Roll|Bengaluru |Chinese|3|210|0|UPI|Delivered|36|3</v>
      </c>
      <c r="P1136" s="7" t="str">
        <f aca="false">IF(COUNTIF($O$2:O1136,O1136)&gt;1,"DUP","OK")</f>
        <v>OK</v>
      </c>
      <c r="Q1136" s="7" t="n">
        <f aca="false">COUNTBLANK(A1136:N1136)</f>
        <v>0</v>
      </c>
      <c r="R1136" s="7" t="n">
        <f aca="false">IF(A1136="",0,COUNTIFS($A$2:$A$3058,A1136,$P$2:$P$3058,"OK"))</f>
        <v>1</v>
      </c>
      <c r="S1136" s="7" t="str">
        <f aca="false">IF(OR(A1136="",P1136="DUP",R1136&lt;2),"",IF(Q1136=_xlfn.MINIFS($Q$2:$Q$3058,$A$2:$A$3058,A1136,$P$2:$P$3058,"OK"),"KEEP","DROP"))</f>
        <v/>
      </c>
      <c r="T1136" s="9" t="n">
        <f aca="false">IF(A1136="",1,0)</f>
        <v>0</v>
      </c>
      <c r="U1136" s="9" t="n">
        <f aca="false">IF(D1136="",1,0)</f>
        <v>0</v>
      </c>
      <c r="V1136" s="9" t="n">
        <f aca="false">IF(E1136="",1,0)</f>
        <v>0</v>
      </c>
      <c r="W1136" s="9" t="n">
        <f aca="false">IF(OR(H1136&lt;1,H1136&gt;10),1,0)</f>
        <v>0</v>
      </c>
      <c r="X1136" s="9" t="n">
        <f aca="false">IF(OR(I1136&lt;=0,I1136&gt;1500),1,0)</f>
        <v>0</v>
      </c>
      <c r="Y1136" s="9" t="n">
        <f aca="false">IF(J1136&gt;H1136*I1136,1,0)</f>
        <v>0</v>
      </c>
      <c r="Z1136" s="9" t="n">
        <f aca="false">IF(AND(N1136&lt;&gt;"",OR(N1136&lt;1,N1136&gt;5)),1,0)</f>
        <v>0</v>
      </c>
      <c r="AA1136" s="9" t="n">
        <f aca="false">IF(AND(M1136&lt;&gt;"",OR(M1136&lt;5,M1136&gt;180)),1,0)</f>
        <v>0</v>
      </c>
      <c r="AB1136" s="7" t="str">
        <f aca="false">IF(P1136="DUP","Exact duplicate row",IF(T1136=1,"Missing Order ID",IF(S1136="DROP","Duplicate Order ID (less complete row)",IF(U1136=1,"Missing Customer ID",IF(V1136=1,"Missing Restaurant name",IF(W1136=1,"Invalid/outlier quantity",IF(X1136=1,"Invalid/outlier unit price",IF(Y1136=1,"Discount greater than order value",""))))))))</f>
        <v/>
      </c>
      <c r="AC1136" s="7" t="str">
        <f aca="false">IF(AB1136="","KEEP","DROP")</f>
        <v>KEEP</v>
      </c>
      <c r="AD1136" s="7" t="str">
        <f aca="false">IF(TRIM(F1136)="",IFERROR(INDEX(Map_Tables!$I$4:$I$37,MATCH(TRIM(E1136),Map_Tables!$G$4:$G$37,0)),""),IFERROR(INDEX(Map_Tables!$B$4:$B$18,MATCH(TRIM(F1136),Map_Tables!$A$4:$A$18,0)),"CHECK"))</f>
        <v>Bengaluru</v>
      </c>
      <c r="AE1136" s="7" t="str">
        <f aca="false">IF(TRIM(E1136)="","",IFERROR(INDEX(Map_Tables!$H$4:$H$37,MATCH(TRIM(E1136),Map_Tables!$G$4:$G$37,0)),"CHECK"))</f>
        <v>Wok &amp; Roll</v>
      </c>
      <c r="AF1136" s="7" t="str">
        <f aca="false">IF(TRIM(K1136)="","Unknown",IFERROR(INDEX(Map_Tables!$E$4:$E$15,MATCH(TRIM(K1136),Map_Tables!$D$4:$D$15,0)),"CHECK"))</f>
        <v>UPI</v>
      </c>
      <c r="AG1136" s="7" t="str">
        <f aca="false">IF(LEFT(LOWER(TRIM(L1136)),6)="cancel","Cancelled","Delivered")</f>
        <v>Delivered</v>
      </c>
      <c r="AH1136" s="10" t="n">
        <f aca="false">IF(ISNUMBER(SEARCH("/",B1136)),DATE(VALUE(RIGHT(B1136,4)),VALUE(MID(B1136,4,2)),VALUE(LEFT(B1136,2))),IF(MID(B1136,5,1)="-",DATE(VALUE(LEFT(B1136,4)),VALUE(MID(B1136,6,2)),VALUE(RIGHT(B1136,2))),DATE(VALUE(RIGHT(B1136,4)),MATCH(MID(B1136,4,3),{"Jan","Feb","Mar","Apr","May","Jun","Jul","Aug","Sep","Oct","Nov","Dec"},0),VALUE(LEFT(B1136,2)))))</f>
        <v>45752</v>
      </c>
    </row>
    <row r="1137" customFormat="false" ht="15" hidden="false" customHeight="false" outlineLevel="0" collapsed="false">
      <c r="A1137" s="7" t="s">
        <v>3285</v>
      </c>
      <c r="B1137" s="7" t="s">
        <v>2798</v>
      </c>
      <c r="C1137" s="7" t="s">
        <v>2003</v>
      </c>
      <c r="D1137" s="7" t="s">
        <v>3286</v>
      </c>
      <c r="E1137" s="7" t="s">
        <v>3287</v>
      </c>
      <c r="F1137" s="7" t="s">
        <v>119</v>
      </c>
      <c r="G1137" s="7" t="s">
        <v>95</v>
      </c>
      <c r="H1137" s="7" t="n">
        <v>1</v>
      </c>
      <c r="I1137" s="7" t="n">
        <v>135</v>
      </c>
      <c r="J1137" s="7" t="n">
        <v>0</v>
      </c>
      <c r="K1137" s="7" t="s">
        <v>88</v>
      </c>
      <c r="L1137" s="7" t="s">
        <v>194</v>
      </c>
      <c r="M1137" s="7" t="n">
        <v>31</v>
      </c>
      <c r="N1137" s="7"/>
      <c r="O1137" s="7" t="str">
        <f aca="false">A1137&amp;"|"&amp;B1137&amp;"|"&amp;C1137&amp;"|"&amp;D1137&amp;"|"&amp;E1137&amp;"|"&amp;F1137&amp;"|"&amp;G1137&amp;"|"&amp;H1137&amp;"|"&amp;I1137&amp;"|"&amp;J1137&amp;"|"&amp;K1137&amp;"|"&amp;L1137&amp;"|"&amp;M1137&amp;"|"&amp;N1137</f>
        <v>ORD12704|2025-11-29|10:04|C0248|Andhra  Meals Mess|Hyderabad|South Indian|1|135|0|UPI|Delivered|31|</v>
      </c>
      <c r="P1137" s="7" t="str">
        <f aca="false">IF(COUNTIF($O$2:O1137,O1137)&gt;1,"DUP","OK")</f>
        <v>OK</v>
      </c>
      <c r="Q1137" s="7" t="n">
        <f aca="false">COUNTBLANK(A1137:N1137)</f>
        <v>1</v>
      </c>
      <c r="R1137" s="7" t="n">
        <f aca="false">IF(A1137="",0,COUNTIFS($A$2:$A$3058,A1137,$P$2:$P$3058,"OK"))</f>
        <v>1</v>
      </c>
      <c r="S1137" s="7" t="str">
        <f aca="false">IF(OR(A1137="",P1137="DUP",R1137&lt;2),"",IF(Q1137=_xlfn.MINIFS($Q$2:$Q$3058,$A$2:$A$3058,A1137,$P$2:$P$3058,"OK"),"KEEP","DROP"))</f>
        <v/>
      </c>
      <c r="T1137" s="9" t="n">
        <f aca="false">IF(A1137="",1,0)</f>
        <v>0</v>
      </c>
      <c r="U1137" s="9" t="n">
        <f aca="false">IF(D1137="",1,0)</f>
        <v>0</v>
      </c>
      <c r="V1137" s="9" t="n">
        <f aca="false">IF(E1137="",1,0)</f>
        <v>0</v>
      </c>
      <c r="W1137" s="9" t="n">
        <f aca="false">IF(OR(H1137&lt;1,H1137&gt;10),1,0)</f>
        <v>0</v>
      </c>
      <c r="X1137" s="9" t="n">
        <f aca="false">IF(OR(I1137&lt;=0,I1137&gt;1500),1,0)</f>
        <v>0</v>
      </c>
      <c r="Y1137" s="9" t="n">
        <f aca="false">IF(J1137&gt;H1137*I1137,1,0)</f>
        <v>0</v>
      </c>
      <c r="Z1137" s="9" t="n">
        <f aca="false">IF(AND(N1137&lt;&gt;"",OR(N1137&lt;1,N1137&gt;5)),1,0)</f>
        <v>0</v>
      </c>
      <c r="AA1137" s="9" t="n">
        <f aca="false">IF(AND(M1137&lt;&gt;"",OR(M1137&lt;5,M1137&gt;180)),1,0)</f>
        <v>0</v>
      </c>
      <c r="AB1137" s="7" t="str">
        <f aca="false">IF(P1137="DUP","Exact duplicate row",IF(T1137=1,"Missing Order ID",IF(S1137="DROP","Duplicate Order ID (less complete row)",IF(U1137=1,"Missing Customer ID",IF(V1137=1,"Missing Restaurant name",IF(W1137=1,"Invalid/outlier quantity",IF(X1137=1,"Invalid/outlier unit price",IF(Y1137=1,"Discount greater than order value",""))))))))</f>
        <v/>
      </c>
      <c r="AC1137" s="7" t="str">
        <f aca="false">IF(AB1137="","KEEP","DROP")</f>
        <v>KEEP</v>
      </c>
      <c r="AD1137" s="7" t="str">
        <f aca="false">IF(TRIM(F1137)="",IFERROR(INDEX(Map_Tables!$I$4:$I$37,MATCH(TRIM(E1137),Map_Tables!$G$4:$G$37,0)),""),IFERROR(INDEX(Map_Tables!$B$4:$B$18,MATCH(TRIM(F1137),Map_Tables!$A$4:$A$18,0)),"CHECK"))</f>
        <v>Hyderabad</v>
      </c>
      <c r="AE1137" s="7" t="str">
        <f aca="false">IF(TRIM(E1137)="","",IFERROR(INDEX(Map_Tables!$H$4:$H$37,MATCH(TRIM(E1137),Map_Tables!$G$4:$G$37,0)),"CHECK"))</f>
        <v>Andhra Meals Mess</v>
      </c>
      <c r="AF1137" s="7" t="str">
        <f aca="false">IF(TRIM(K1137)="","Unknown",IFERROR(INDEX(Map_Tables!$E$4:$E$15,MATCH(TRIM(K1137),Map_Tables!$D$4:$D$15,0)),"CHECK"))</f>
        <v>UPI</v>
      </c>
      <c r="AG1137" s="7" t="str">
        <f aca="false">IF(LEFT(LOWER(TRIM(L1137)),6)="cancel","Cancelled","Delivered")</f>
        <v>Delivered</v>
      </c>
      <c r="AH1137" s="10" t="n">
        <f aca="false">IF(ISNUMBER(SEARCH("/",B1137)),DATE(VALUE(RIGHT(B1137,4)),VALUE(MID(B1137,4,2)),VALUE(LEFT(B1137,2))),IF(MID(B1137,5,1)="-",DATE(VALUE(LEFT(B1137,4)),VALUE(MID(B1137,6,2)),VALUE(RIGHT(B1137,2))),DATE(VALUE(RIGHT(B1137,4)),MATCH(MID(B1137,4,3),{"Jan","Feb","Mar","Apr","May","Jun","Jul","Aug","Sep","Oct","Nov","Dec"},0),VALUE(LEFT(B1137,2)))))</f>
        <v>45990</v>
      </c>
    </row>
    <row r="1138" customFormat="false" ht="15" hidden="false" customHeight="false" outlineLevel="0" collapsed="false">
      <c r="A1138" s="7" t="s">
        <v>3288</v>
      </c>
      <c r="B1138" s="7" t="s">
        <v>3231</v>
      </c>
      <c r="C1138" s="7" t="s">
        <v>3289</v>
      </c>
      <c r="D1138" s="7" t="s">
        <v>2052</v>
      </c>
      <c r="E1138" s="7" t="s">
        <v>122</v>
      </c>
      <c r="F1138" s="7" t="s">
        <v>101</v>
      </c>
      <c r="G1138" s="7" t="s">
        <v>764</v>
      </c>
      <c r="H1138" s="7" t="n">
        <v>3</v>
      </c>
      <c r="I1138" s="7" t="n">
        <v>385</v>
      </c>
      <c r="J1138" s="7" t="n">
        <v>125</v>
      </c>
      <c r="K1138" s="7" t="s">
        <v>112</v>
      </c>
      <c r="L1138" s="7" t="s">
        <v>194</v>
      </c>
      <c r="M1138" s="7" t="n">
        <v>50</v>
      </c>
      <c r="N1138" s="7" t="n">
        <v>3</v>
      </c>
      <c r="O1138" s="7" t="str">
        <f aca="false">A1138&amp;"|"&amp;B1138&amp;"|"&amp;C1138&amp;"|"&amp;D1138&amp;"|"&amp;E1138&amp;"|"&amp;F1138&amp;"|"&amp;G1138&amp;"|"&amp;H1138&amp;"|"&amp;I1138&amp;"|"&amp;J1138&amp;"|"&amp;K1138&amp;"|"&amp;L1138&amp;"|"&amp;M1138&amp;"|"&amp;N1138</f>
        <v>ORD11112|2025-05-21|16:04|C1443|Mumbai Pizza Co|Mumbai|pizza|3|385|125|Cash on Delivery|Delivered|50|3</v>
      </c>
      <c r="P1138" s="7" t="str">
        <f aca="false">IF(COUNTIF($O$2:O1138,O1138)&gt;1,"DUP","OK")</f>
        <v>OK</v>
      </c>
      <c r="Q1138" s="7" t="n">
        <f aca="false">COUNTBLANK(A1138:N1138)</f>
        <v>0</v>
      </c>
      <c r="R1138" s="7" t="n">
        <f aca="false">IF(A1138="",0,COUNTIFS($A$2:$A$3058,A1138,$P$2:$P$3058,"OK"))</f>
        <v>1</v>
      </c>
      <c r="S1138" s="7" t="str">
        <f aca="false">IF(OR(A1138="",P1138="DUP",R1138&lt;2),"",IF(Q1138=_xlfn.MINIFS($Q$2:$Q$3058,$A$2:$A$3058,A1138,$P$2:$P$3058,"OK"),"KEEP","DROP"))</f>
        <v/>
      </c>
      <c r="T1138" s="9" t="n">
        <f aca="false">IF(A1138="",1,0)</f>
        <v>0</v>
      </c>
      <c r="U1138" s="9" t="n">
        <f aca="false">IF(D1138="",1,0)</f>
        <v>0</v>
      </c>
      <c r="V1138" s="9" t="n">
        <f aca="false">IF(E1138="",1,0)</f>
        <v>0</v>
      </c>
      <c r="W1138" s="9" t="n">
        <f aca="false">IF(OR(H1138&lt;1,H1138&gt;10),1,0)</f>
        <v>0</v>
      </c>
      <c r="X1138" s="9" t="n">
        <f aca="false">IF(OR(I1138&lt;=0,I1138&gt;1500),1,0)</f>
        <v>0</v>
      </c>
      <c r="Y1138" s="9" t="n">
        <f aca="false">IF(J1138&gt;H1138*I1138,1,0)</f>
        <v>0</v>
      </c>
      <c r="Z1138" s="9" t="n">
        <f aca="false">IF(AND(N1138&lt;&gt;"",OR(N1138&lt;1,N1138&gt;5)),1,0)</f>
        <v>0</v>
      </c>
      <c r="AA1138" s="9" t="n">
        <f aca="false">IF(AND(M1138&lt;&gt;"",OR(M1138&lt;5,M1138&gt;180)),1,0)</f>
        <v>0</v>
      </c>
      <c r="AB1138" s="7" t="str">
        <f aca="false">IF(P1138="DUP","Exact duplicate row",IF(T1138=1,"Missing Order ID",IF(S1138="DROP","Duplicate Order ID (less complete row)",IF(U1138=1,"Missing Customer ID",IF(V1138=1,"Missing Restaurant name",IF(W1138=1,"Invalid/outlier quantity",IF(X1138=1,"Invalid/outlier unit price",IF(Y1138=1,"Discount greater than order value",""))))))))</f>
        <v/>
      </c>
      <c r="AC1138" s="7" t="str">
        <f aca="false">IF(AB1138="","KEEP","DROP")</f>
        <v>KEEP</v>
      </c>
      <c r="AD1138" s="7" t="str">
        <f aca="false">IF(TRIM(F1138)="",IFERROR(INDEX(Map_Tables!$I$4:$I$37,MATCH(TRIM(E1138),Map_Tables!$G$4:$G$37,0)),""),IFERROR(INDEX(Map_Tables!$B$4:$B$18,MATCH(TRIM(F1138),Map_Tables!$A$4:$A$18,0)),"CHECK"))</f>
        <v>Mumbai</v>
      </c>
      <c r="AE1138" s="7" t="str">
        <f aca="false">IF(TRIM(E1138)="","",IFERROR(INDEX(Map_Tables!$H$4:$H$37,MATCH(TRIM(E1138),Map_Tables!$G$4:$G$37,0)),"CHECK"))</f>
        <v>Mumbai Pizza Co</v>
      </c>
      <c r="AF1138" s="7" t="str">
        <f aca="false">IF(TRIM(K1138)="","Unknown",IFERROR(INDEX(Map_Tables!$E$4:$E$15,MATCH(TRIM(K1138),Map_Tables!$D$4:$D$15,0)),"CHECK"))</f>
        <v>Cash on Delivery</v>
      </c>
      <c r="AG1138" s="7" t="str">
        <f aca="false">IF(LEFT(LOWER(TRIM(L1138)),6)="cancel","Cancelled","Delivered")</f>
        <v>Delivered</v>
      </c>
      <c r="AH1138" s="10" t="n">
        <f aca="false">IF(ISNUMBER(SEARCH("/",B1138)),DATE(VALUE(RIGHT(B1138,4)),VALUE(MID(B1138,4,2)),VALUE(LEFT(B1138,2))),IF(MID(B1138,5,1)="-",DATE(VALUE(LEFT(B1138,4)),VALUE(MID(B1138,6,2)),VALUE(RIGHT(B1138,2))),DATE(VALUE(RIGHT(B1138,4)),MATCH(MID(B1138,4,3),{"Jan","Feb","Mar","Apr","May","Jun","Jul","Aug","Sep","Oct","Nov","Dec"},0),VALUE(LEFT(B1138,2)))))</f>
        <v>45798</v>
      </c>
    </row>
    <row r="1139" customFormat="false" ht="15" hidden="false" customHeight="false" outlineLevel="0" collapsed="false">
      <c r="A1139" s="7" t="s">
        <v>3290</v>
      </c>
      <c r="B1139" s="7" t="s">
        <v>803</v>
      </c>
      <c r="C1139" s="7" t="s">
        <v>3291</v>
      </c>
      <c r="D1139" s="7" t="s">
        <v>339</v>
      </c>
      <c r="E1139" s="7" t="s">
        <v>158</v>
      </c>
      <c r="F1139" s="7" t="s">
        <v>136</v>
      </c>
      <c r="G1139" s="7" t="s">
        <v>139</v>
      </c>
      <c r="H1139" s="7" t="n">
        <v>2</v>
      </c>
      <c r="I1139" s="7" t="n">
        <v>210</v>
      </c>
      <c r="J1139" s="7" t="n">
        <v>0</v>
      </c>
      <c r="K1139" s="7" t="s">
        <v>120</v>
      </c>
      <c r="L1139" s="7" t="s">
        <v>194</v>
      </c>
      <c r="M1139" s="7" t="n">
        <v>20</v>
      </c>
      <c r="N1139" s="7" t="n">
        <v>5</v>
      </c>
      <c r="O1139" s="7" t="str">
        <f aca="false">A1139&amp;"|"&amp;B1139&amp;"|"&amp;C1139&amp;"|"&amp;D1139&amp;"|"&amp;E1139&amp;"|"&amp;F1139&amp;"|"&amp;G1139&amp;"|"&amp;H1139&amp;"|"&amp;I1139&amp;"|"&amp;J1139&amp;"|"&amp;K1139&amp;"|"&amp;L1139&amp;"|"&amp;M1139&amp;"|"&amp;N1139</f>
        <v>ORD11963|2025-09-12|08:06|C0245|Pune Burger Hub|Pune|Burgers|2|210|0|wallet|Delivered|20|5</v>
      </c>
      <c r="P1139" s="7" t="str">
        <f aca="false">IF(COUNTIF($O$2:O1139,O1139)&gt;1,"DUP","OK")</f>
        <v>OK</v>
      </c>
      <c r="Q1139" s="7" t="n">
        <f aca="false">COUNTBLANK(A1139:N1139)</f>
        <v>0</v>
      </c>
      <c r="R1139" s="7" t="n">
        <f aca="false">IF(A1139="",0,COUNTIFS($A$2:$A$3058,A1139,$P$2:$P$3058,"OK"))</f>
        <v>1</v>
      </c>
      <c r="S1139" s="7" t="str">
        <f aca="false">IF(OR(A1139="",P1139="DUP",R1139&lt;2),"",IF(Q1139=_xlfn.MINIFS($Q$2:$Q$3058,$A$2:$A$3058,A1139,$P$2:$P$3058,"OK"),"KEEP","DROP"))</f>
        <v/>
      </c>
      <c r="T1139" s="9" t="n">
        <f aca="false">IF(A1139="",1,0)</f>
        <v>0</v>
      </c>
      <c r="U1139" s="9" t="n">
        <f aca="false">IF(D1139="",1,0)</f>
        <v>0</v>
      </c>
      <c r="V1139" s="9" t="n">
        <f aca="false">IF(E1139="",1,0)</f>
        <v>0</v>
      </c>
      <c r="W1139" s="9" t="n">
        <f aca="false">IF(OR(H1139&lt;1,H1139&gt;10),1,0)</f>
        <v>0</v>
      </c>
      <c r="X1139" s="9" t="n">
        <f aca="false">IF(OR(I1139&lt;=0,I1139&gt;1500),1,0)</f>
        <v>0</v>
      </c>
      <c r="Y1139" s="9" t="n">
        <f aca="false">IF(J1139&gt;H1139*I1139,1,0)</f>
        <v>0</v>
      </c>
      <c r="Z1139" s="9" t="n">
        <f aca="false">IF(AND(N1139&lt;&gt;"",OR(N1139&lt;1,N1139&gt;5)),1,0)</f>
        <v>0</v>
      </c>
      <c r="AA1139" s="9" t="n">
        <f aca="false">IF(AND(M1139&lt;&gt;"",OR(M1139&lt;5,M1139&gt;180)),1,0)</f>
        <v>0</v>
      </c>
      <c r="AB1139" s="7" t="str">
        <f aca="false">IF(P1139="DUP","Exact duplicate row",IF(T1139=1,"Missing Order ID",IF(S1139="DROP","Duplicate Order ID (less complete row)",IF(U1139=1,"Missing Customer ID",IF(V1139=1,"Missing Restaurant name",IF(W1139=1,"Invalid/outlier quantity",IF(X1139=1,"Invalid/outlier unit price",IF(Y1139=1,"Discount greater than order value",""))))))))</f>
        <v/>
      </c>
      <c r="AC1139" s="7" t="str">
        <f aca="false">IF(AB1139="","KEEP","DROP")</f>
        <v>KEEP</v>
      </c>
      <c r="AD1139" s="7" t="str">
        <f aca="false">IF(TRIM(F1139)="",IFERROR(INDEX(Map_Tables!$I$4:$I$37,MATCH(TRIM(E1139),Map_Tables!$G$4:$G$37,0)),""),IFERROR(INDEX(Map_Tables!$B$4:$B$18,MATCH(TRIM(F1139),Map_Tables!$A$4:$A$18,0)),"CHECK"))</f>
        <v>Pune</v>
      </c>
      <c r="AE1139" s="7" t="str">
        <f aca="false">IF(TRIM(E1139)="","",IFERROR(INDEX(Map_Tables!$H$4:$H$37,MATCH(TRIM(E1139),Map_Tables!$G$4:$G$37,0)),"CHECK"))</f>
        <v>Pune Burger Hub</v>
      </c>
      <c r="AF1139" s="7" t="str">
        <f aca="false">IF(TRIM(K1139)="","Unknown",IFERROR(INDEX(Map_Tables!$E$4:$E$15,MATCH(TRIM(K1139),Map_Tables!$D$4:$D$15,0)),"CHECK"))</f>
        <v>Wallet</v>
      </c>
      <c r="AG1139" s="7" t="str">
        <f aca="false">IF(LEFT(LOWER(TRIM(L1139)),6)="cancel","Cancelled","Delivered")</f>
        <v>Delivered</v>
      </c>
      <c r="AH1139" s="10" t="n">
        <f aca="false">IF(ISNUMBER(SEARCH("/",B1139)),DATE(VALUE(RIGHT(B1139,4)),VALUE(MID(B1139,4,2)),VALUE(LEFT(B1139,2))),IF(MID(B1139,5,1)="-",DATE(VALUE(LEFT(B1139,4)),VALUE(MID(B1139,6,2)),VALUE(RIGHT(B1139,2))),DATE(VALUE(RIGHT(B1139,4)),MATCH(MID(B1139,4,3),{"Jan","Feb","Mar","Apr","May","Jun","Jul","Aug","Sep","Oct","Nov","Dec"},0),VALUE(LEFT(B1139,2)))))</f>
        <v>45912</v>
      </c>
    </row>
    <row r="1140" customFormat="false" ht="15" hidden="false" customHeight="false" outlineLevel="0" collapsed="false">
      <c r="A1140" s="7" t="s">
        <v>3292</v>
      </c>
      <c r="B1140" s="7" t="s">
        <v>1930</v>
      </c>
      <c r="C1140" s="7" t="s">
        <v>759</v>
      </c>
      <c r="D1140" s="7" t="s">
        <v>1331</v>
      </c>
      <c r="E1140" s="7" t="s">
        <v>130</v>
      </c>
      <c r="F1140" s="7" t="s">
        <v>110</v>
      </c>
      <c r="G1140" s="7" t="s">
        <v>90</v>
      </c>
      <c r="H1140" s="7" t="n">
        <v>5</v>
      </c>
      <c r="I1140" s="7" t="n">
        <v>275</v>
      </c>
      <c r="J1140" s="7" t="n">
        <v>0</v>
      </c>
      <c r="K1140" s="7" t="s">
        <v>88</v>
      </c>
      <c r="L1140" s="7" t="s">
        <v>194</v>
      </c>
      <c r="M1140" s="7" t="n">
        <v>34</v>
      </c>
      <c r="N1140" s="7"/>
      <c r="O1140" s="7" t="str">
        <f aca="false">A1140&amp;"|"&amp;B1140&amp;"|"&amp;C1140&amp;"|"&amp;D1140&amp;"|"&amp;E1140&amp;"|"&amp;F1140&amp;"|"&amp;G1140&amp;"|"&amp;H1140&amp;"|"&amp;I1140&amp;"|"&amp;J1140&amp;"|"&amp;K1140&amp;"|"&amp;L1140&amp;"|"&amp;M1140&amp;"|"&amp;N1140</f>
        <v>ORD11388|2025-06-29|11:50|C0478|Tandoor Tales|Delhi|North Indian|5|275|0|UPI|Delivered|34|</v>
      </c>
      <c r="P1140" s="7" t="str">
        <f aca="false">IF(COUNTIF($O$2:O1140,O1140)&gt;1,"DUP","OK")</f>
        <v>OK</v>
      </c>
      <c r="Q1140" s="7" t="n">
        <f aca="false">COUNTBLANK(A1140:N1140)</f>
        <v>1</v>
      </c>
      <c r="R1140" s="7" t="n">
        <f aca="false">IF(A1140="",0,COUNTIFS($A$2:$A$3058,A1140,$P$2:$P$3058,"OK"))</f>
        <v>1</v>
      </c>
      <c r="S1140" s="7" t="str">
        <f aca="false">IF(OR(A1140="",P1140="DUP",R1140&lt;2),"",IF(Q1140=_xlfn.MINIFS($Q$2:$Q$3058,$A$2:$A$3058,A1140,$P$2:$P$3058,"OK"),"KEEP","DROP"))</f>
        <v/>
      </c>
      <c r="T1140" s="9" t="n">
        <f aca="false">IF(A1140="",1,0)</f>
        <v>0</v>
      </c>
      <c r="U1140" s="9" t="n">
        <f aca="false">IF(D1140="",1,0)</f>
        <v>0</v>
      </c>
      <c r="V1140" s="9" t="n">
        <f aca="false">IF(E1140="",1,0)</f>
        <v>0</v>
      </c>
      <c r="W1140" s="9" t="n">
        <f aca="false">IF(OR(H1140&lt;1,H1140&gt;10),1,0)</f>
        <v>0</v>
      </c>
      <c r="X1140" s="9" t="n">
        <f aca="false">IF(OR(I1140&lt;=0,I1140&gt;1500),1,0)</f>
        <v>0</v>
      </c>
      <c r="Y1140" s="9" t="n">
        <f aca="false">IF(J1140&gt;H1140*I1140,1,0)</f>
        <v>0</v>
      </c>
      <c r="Z1140" s="9" t="n">
        <f aca="false">IF(AND(N1140&lt;&gt;"",OR(N1140&lt;1,N1140&gt;5)),1,0)</f>
        <v>0</v>
      </c>
      <c r="AA1140" s="9" t="n">
        <f aca="false">IF(AND(M1140&lt;&gt;"",OR(M1140&lt;5,M1140&gt;180)),1,0)</f>
        <v>0</v>
      </c>
      <c r="AB1140" s="7" t="str">
        <f aca="false">IF(P1140="DUP","Exact duplicate row",IF(T1140=1,"Missing Order ID",IF(S1140="DROP","Duplicate Order ID (less complete row)",IF(U1140=1,"Missing Customer ID",IF(V1140=1,"Missing Restaurant name",IF(W1140=1,"Invalid/outlier quantity",IF(X1140=1,"Invalid/outlier unit price",IF(Y1140=1,"Discount greater than order value",""))))))))</f>
        <v/>
      </c>
      <c r="AC1140" s="7" t="str">
        <f aca="false">IF(AB1140="","KEEP","DROP")</f>
        <v>KEEP</v>
      </c>
      <c r="AD1140" s="7" t="str">
        <f aca="false">IF(TRIM(F1140)="",IFERROR(INDEX(Map_Tables!$I$4:$I$37,MATCH(TRIM(E1140),Map_Tables!$G$4:$G$37,0)),""),IFERROR(INDEX(Map_Tables!$B$4:$B$18,MATCH(TRIM(F1140),Map_Tables!$A$4:$A$18,0)),"CHECK"))</f>
        <v>Delhi</v>
      </c>
      <c r="AE1140" s="7" t="str">
        <f aca="false">IF(TRIM(E1140)="","",IFERROR(INDEX(Map_Tables!$H$4:$H$37,MATCH(TRIM(E1140),Map_Tables!$G$4:$G$37,0)),"CHECK"))</f>
        <v>Tandoor Tales</v>
      </c>
      <c r="AF1140" s="7" t="str">
        <f aca="false">IF(TRIM(K1140)="","Unknown",IFERROR(INDEX(Map_Tables!$E$4:$E$15,MATCH(TRIM(K1140),Map_Tables!$D$4:$D$15,0)),"CHECK"))</f>
        <v>UPI</v>
      </c>
      <c r="AG1140" s="7" t="str">
        <f aca="false">IF(LEFT(LOWER(TRIM(L1140)),6)="cancel","Cancelled","Delivered")</f>
        <v>Delivered</v>
      </c>
      <c r="AH1140" s="10" t="n">
        <f aca="false">IF(ISNUMBER(SEARCH("/",B1140)),DATE(VALUE(RIGHT(B1140,4)),VALUE(MID(B1140,4,2)),VALUE(LEFT(B1140,2))),IF(MID(B1140,5,1)="-",DATE(VALUE(LEFT(B1140,4)),VALUE(MID(B1140,6,2)),VALUE(RIGHT(B1140,2))),DATE(VALUE(RIGHT(B1140,4)),MATCH(MID(B1140,4,3),{"Jan","Feb","Mar","Apr","May","Jun","Jul","Aug","Sep","Oct","Nov","Dec"},0),VALUE(LEFT(B1140,2)))))</f>
        <v>45837</v>
      </c>
    </row>
    <row r="1141" customFormat="false" ht="15" hidden="false" customHeight="false" outlineLevel="0" collapsed="false">
      <c r="A1141" s="7" t="s">
        <v>3293</v>
      </c>
      <c r="B1141" s="7" t="s">
        <v>3294</v>
      </c>
      <c r="C1141" s="7" t="s">
        <v>1704</v>
      </c>
      <c r="D1141" s="7" t="s">
        <v>3295</v>
      </c>
      <c r="E1141" s="7" t="s">
        <v>149</v>
      </c>
      <c r="F1141" s="7" t="s">
        <v>119</v>
      </c>
      <c r="G1141" s="7" t="s">
        <v>150</v>
      </c>
      <c r="H1141" s="7" t="n">
        <v>2</v>
      </c>
      <c r="I1141" s="7" t="n">
        <v>185</v>
      </c>
      <c r="J1141" s="7" t="n">
        <v>100</v>
      </c>
      <c r="K1141" s="7" t="s">
        <v>88</v>
      </c>
      <c r="L1141" s="7" t="s">
        <v>194</v>
      </c>
      <c r="M1141" s="7" t="n">
        <v>41</v>
      </c>
      <c r="N1141" s="7" t="n">
        <v>4</v>
      </c>
      <c r="O1141" s="7" t="str">
        <f aca="false">A1141&amp;"|"&amp;B1141&amp;"|"&amp;C1141&amp;"|"&amp;D1141&amp;"|"&amp;E1141&amp;"|"&amp;F1141&amp;"|"&amp;G1141&amp;"|"&amp;H1141&amp;"|"&amp;I1141&amp;"|"&amp;J1141&amp;"|"&amp;K1141&amp;"|"&amp;L1141&amp;"|"&amp;M1141&amp;"|"&amp;N1141</f>
        <v>ORD11931|2025-09-07|20:01|C1187|Sweet Tooth Studio|Hyderabad|Desserts|2|185|100|UPI|Delivered|41|4</v>
      </c>
      <c r="P1141" s="7" t="str">
        <f aca="false">IF(COUNTIF($O$2:O1141,O1141)&gt;1,"DUP","OK")</f>
        <v>OK</v>
      </c>
      <c r="Q1141" s="7" t="n">
        <f aca="false">COUNTBLANK(A1141:N1141)</f>
        <v>0</v>
      </c>
      <c r="R1141" s="7" t="n">
        <f aca="false">IF(A1141="",0,COUNTIFS($A$2:$A$3058,A1141,$P$2:$P$3058,"OK"))</f>
        <v>1</v>
      </c>
      <c r="S1141" s="7" t="str">
        <f aca="false">IF(OR(A1141="",P1141="DUP",R1141&lt;2),"",IF(Q1141=_xlfn.MINIFS($Q$2:$Q$3058,$A$2:$A$3058,A1141,$P$2:$P$3058,"OK"),"KEEP","DROP"))</f>
        <v/>
      </c>
      <c r="T1141" s="9" t="n">
        <f aca="false">IF(A1141="",1,0)</f>
        <v>0</v>
      </c>
      <c r="U1141" s="9" t="n">
        <f aca="false">IF(D1141="",1,0)</f>
        <v>0</v>
      </c>
      <c r="V1141" s="9" t="n">
        <f aca="false">IF(E1141="",1,0)</f>
        <v>0</v>
      </c>
      <c r="W1141" s="9" t="n">
        <f aca="false">IF(OR(H1141&lt;1,H1141&gt;10),1,0)</f>
        <v>0</v>
      </c>
      <c r="X1141" s="9" t="n">
        <f aca="false">IF(OR(I1141&lt;=0,I1141&gt;1500),1,0)</f>
        <v>0</v>
      </c>
      <c r="Y1141" s="9" t="n">
        <f aca="false">IF(J1141&gt;H1141*I1141,1,0)</f>
        <v>0</v>
      </c>
      <c r="Z1141" s="9" t="n">
        <f aca="false">IF(AND(N1141&lt;&gt;"",OR(N1141&lt;1,N1141&gt;5)),1,0)</f>
        <v>0</v>
      </c>
      <c r="AA1141" s="9" t="n">
        <f aca="false">IF(AND(M1141&lt;&gt;"",OR(M1141&lt;5,M1141&gt;180)),1,0)</f>
        <v>0</v>
      </c>
      <c r="AB1141" s="7" t="str">
        <f aca="false">IF(P1141="DUP","Exact duplicate row",IF(T1141=1,"Missing Order ID",IF(S1141="DROP","Duplicate Order ID (less complete row)",IF(U1141=1,"Missing Customer ID",IF(V1141=1,"Missing Restaurant name",IF(W1141=1,"Invalid/outlier quantity",IF(X1141=1,"Invalid/outlier unit price",IF(Y1141=1,"Discount greater than order value",""))))))))</f>
        <v/>
      </c>
      <c r="AC1141" s="7" t="str">
        <f aca="false">IF(AB1141="","KEEP","DROP")</f>
        <v>KEEP</v>
      </c>
      <c r="AD1141" s="7" t="str">
        <f aca="false">IF(TRIM(F1141)="",IFERROR(INDEX(Map_Tables!$I$4:$I$37,MATCH(TRIM(E1141),Map_Tables!$G$4:$G$37,0)),""),IFERROR(INDEX(Map_Tables!$B$4:$B$18,MATCH(TRIM(F1141),Map_Tables!$A$4:$A$18,0)),"CHECK"))</f>
        <v>Hyderabad</v>
      </c>
      <c r="AE1141" s="7" t="str">
        <f aca="false">IF(TRIM(E1141)="","",IFERROR(INDEX(Map_Tables!$H$4:$H$37,MATCH(TRIM(E1141),Map_Tables!$G$4:$G$37,0)),"CHECK"))</f>
        <v>Sweet Tooth Studio</v>
      </c>
      <c r="AF1141" s="7" t="str">
        <f aca="false">IF(TRIM(K1141)="","Unknown",IFERROR(INDEX(Map_Tables!$E$4:$E$15,MATCH(TRIM(K1141),Map_Tables!$D$4:$D$15,0)),"CHECK"))</f>
        <v>UPI</v>
      </c>
      <c r="AG1141" s="7" t="str">
        <f aca="false">IF(LEFT(LOWER(TRIM(L1141)),6)="cancel","Cancelled","Delivered")</f>
        <v>Delivered</v>
      </c>
      <c r="AH1141" s="10" t="n">
        <f aca="false">IF(ISNUMBER(SEARCH("/",B1141)),DATE(VALUE(RIGHT(B1141,4)),VALUE(MID(B1141,4,2)),VALUE(LEFT(B1141,2))),IF(MID(B1141,5,1)="-",DATE(VALUE(LEFT(B1141,4)),VALUE(MID(B1141,6,2)),VALUE(RIGHT(B1141,2))),DATE(VALUE(RIGHT(B1141,4)),MATCH(MID(B1141,4,3),{"Jan","Feb","Mar","Apr","May","Jun","Jul","Aug","Sep","Oct","Nov","Dec"},0),VALUE(LEFT(B1141,2)))))</f>
        <v>45907</v>
      </c>
    </row>
    <row r="1142" customFormat="false" ht="15" hidden="false" customHeight="false" outlineLevel="0" collapsed="false">
      <c r="A1142" s="7" t="s">
        <v>3296</v>
      </c>
      <c r="B1142" s="7" t="s">
        <v>955</v>
      </c>
      <c r="C1142" s="7" t="s">
        <v>470</v>
      </c>
      <c r="D1142" s="7" t="s">
        <v>2256</v>
      </c>
      <c r="E1142" s="7" t="s">
        <v>167</v>
      </c>
      <c r="F1142" s="7" t="s">
        <v>145</v>
      </c>
      <c r="G1142" s="7" t="s">
        <v>156</v>
      </c>
      <c r="H1142" s="7" t="n">
        <v>2</v>
      </c>
      <c r="I1142" s="7" t="n">
        <v>255</v>
      </c>
      <c r="J1142" s="7" t="n">
        <v>0</v>
      </c>
      <c r="K1142" s="7" t="s">
        <v>103</v>
      </c>
      <c r="L1142" s="7" t="s">
        <v>194</v>
      </c>
      <c r="M1142" s="7" t="n">
        <v>19</v>
      </c>
      <c r="N1142" s="7" t="n">
        <v>4</v>
      </c>
      <c r="O1142" s="7" t="str">
        <f aca="false">A1142&amp;"|"&amp;B1142&amp;"|"&amp;C1142&amp;"|"&amp;D1142&amp;"|"&amp;E1142&amp;"|"&amp;F1142&amp;"|"&amp;G1142&amp;"|"&amp;H1142&amp;"|"&amp;I1142&amp;"|"&amp;J1142&amp;"|"&amp;K1142&amp;"|"&amp;L1142&amp;"|"&amp;M1142&amp;"|"&amp;N1142</f>
        <v>ORD11445|2025-07-07|11:29|C1066|Fit Fuel Kitchen|ahmedabad|Healthy Food|2|255|0|Debit Card|Delivered|19|4</v>
      </c>
      <c r="P1142" s="7" t="str">
        <f aca="false">IF(COUNTIF($O$2:O1142,O1142)&gt;1,"DUP","OK")</f>
        <v>OK</v>
      </c>
      <c r="Q1142" s="7" t="n">
        <f aca="false">COUNTBLANK(A1142:N1142)</f>
        <v>0</v>
      </c>
      <c r="R1142" s="7" t="n">
        <f aca="false">IF(A1142="",0,COUNTIFS($A$2:$A$3058,A1142,$P$2:$P$3058,"OK"))</f>
        <v>1</v>
      </c>
      <c r="S1142" s="7" t="str">
        <f aca="false">IF(OR(A1142="",P1142="DUP",R1142&lt;2),"",IF(Q1142=_xlfn.MINIFS($Q$2:$Q$3058,$A$2:$A$3058,A1142,$P$2:$P$3058,"OK"),"KEEP","DROP"))</f>
        <v/>
      </c>
      <c r="T1142" s="9" t="n">
        <f aca="false">IF(A1142="",1,0)</f>
        <v>0</v>
      </c>
      <c r="U1142" s="9" t="n">
        <f aca="false">IF(D1142="",1,0)</f>
        <v>0</v>
      </c>
      <c r="V1142" s="9" t="n">
        <f aca="false">IF(E1142="",1,0)</f>
        <v>0</v>
      </c>
      <c r="W1142" s="9" t="n">
        <f aca="false">IF(OR(H1142&lt;1,H1142&gt;10),1,0)</f>
        <v>0</v>
      </c>
      <c r="X1142" s="9" t="n">
        <f aca="false">IF(OR(I1142&lt;=0,I1142&gt;1500),1,0)</f>
        <v>0</v>
      </c>
      <c r="Y1142" s="9" t="n">
        <f aca="false">IF(J1142&gt;H1142*I1142,1,0)</f>
        <v>0</v>
      </c>
      <c r="Z1142" s="9" t="n">
        <f aca="false">IF(AND(N1142&lt;&gt;"",OR(N1142&lt;1,N1142&gt;5)),1,0)</f>
        <v>0</v>
      </c>
      <c r="AA1142" s="9" t="n">
        <f aca="false">IF(AND(M1142&lt;&gt;"",OR(M1142&lt;5,M1142&gt;180)),1,0)</f>
        <v>0</v>
      </c>
      <c r="AB1142" s="7" t="str">
        <f aca="false">IF(P1142="DUP","Exact duplicate row",IF(T1142=1,"Missing Order ID",IF(S1142="DROP","Duplicate Order ID (less complete row)",IF(U1142=1,"Missing Customer ID",IF(V1142=1,"Missing Restaurant name",IF(W1142=1,"Invalid/outlier quantity",IF(X1142=1,"Invalid/outlier unit price",IF(Y1142=1,"Discount greater than order value",""))))))))</f>
        <v/>
      </c>
      <c r="AC1142" s="7" t="str">
        <f aca="false">IF(AB1142="","KEEP","DROP")</f>
        <v>KEEP</v>
      </c>
      <c r="AD1142" s="7" t="str">
        <f aca="false">IF(TRIM(F1142)="",IFERROR(INDEX(Map_Tables!$I$4:$I$37,MATCH(TRIM(E1142),Map_Tables!$G$4:$G$37,0)),""),IFERROR(INDEX(Map_Tables!$B$4:$B$18,MATCH(TRIM(F1142),Map_Tables!$A$4:$A$18,0)),"CHECK"))</f>
        <v>Ahmedabad</v>
      </c>
      <c r="AE1142" s="7" t="str">
        <f aca="false">IF(TRIM(E1142)="","",IFERROR(INDEX(Map_Tables!$H$4:$H$37,MATCH(TRIM(E1142),Map_Tables!$G$4:$G$37,0)),"CHECK"))</f>
        <v>Fit Fuel Kitchen</v>
      </c>
      <c r="AF1142" s="7" t="str">
        <f aca="false">IF(TRIM(K1142)="","Unknown",IFERROR(INDEX(Map_Tables!$E$4:$E$15,MATCH(TRIM(K1142),Map_Tables!$D$4:$D$15,0)),"CHECK"))</f>
        <v>Debit Card</v>
      </c>
      <c r="AG1142" s="7" t="str">
        <f aca="false">IF(LEFT(LOWER(TRIM(L1142)),6)="cancel","Cancelled","Delivered")</f>
        <v>Delivered</v>
      </c>
      <c r="AH1142" s="10" t="n">
        <f aca="false">IF(ISNUMBER(SEARCH("/",B1142)),DATE(VALUE(RIGHT(B1142,4)),VALUE(MID(B1142,4,2)),VALUE(LEFT(B1142,2))),IF(MID(B1142,5,1)="-",DATE(VALUE(LEFT(B1142,4)),VALUE(MID(B1142,6,2)),VALUE(RIGHT(B1142,2))),DATE(VALUE(RIGHT(B1142,4)),MATCH(MID(B1142,4,3),{"Jan","Feb","Mar","Apr","May","Jun","Jul","Aug","Sep","Oct","Nov","Dec"},0),VALUE(LEFT(B1142,2)))))</f>
        <v>45845</v>
      </c>
    </row>
    <row r="1143" customFormat="false" ht="15" hidden="false" customHeight="false" outlineLevel="0" collapsed="false">
      <c r="A1143" s="7" t="s">
        <v>3297</v>
      </c>
      <c r="B1143" s="7" t="s">
        <v>3298</v>
      </c>
      <c r="C1143" s="7" t="s">
        <v>743</v>
      </c>
      <c r="D1143" s="7" t="s">
        <v>2914</v>
      </c>
      <c r="E1143" s="7" t="s">
        <v>122</v>
      </c>
      <c r="F1143" s="7" t="s">
        <v>101</v>
      </c>
      <c r="G1143" s="7" t="s">
        <v>123</v>
      </c>
      <c r="H1143" s="7" t="n">
        <v>1</v>
      </c>
      <c r="I1143" s="7" t="n">
        <v>330</v>
      </c>
      <c r="J1143" s="7" t="n">
        <v>0</v>
      </c>
      <c r="K1143" s="7" t="s">
        <v>121</v>
      </c>
      <c r="L1143" s="7" t="s">
        <v>194</v>
      </c>
      <c r="M1143" s="7" t="n">
        <v>50</v>
      </c>
      <c r="N1143" s="7" t="n">
        <v>3</v>
      </c>
      <c r="O1143" s="7" t="str">
        <f aca="false">A1143&amp;"|"&amp;B1143&amp;"|"&amp;C1143&amp;"|"&amp;D1143&amp;"|"&amp;E1143&amp;"|"&amp;F1143&amp;"|"&amp;G1143&amp;"|"&amp;H1143&amp;"|"&amp;I1143&amp;"|"&amp;J1143&amp;"|"&amp;K1143&amp;"|"&amp;L1143&amp;"|"&amp;M1143&amp;"|"&amp;N1143</f>
        <v>ORD12635|22/11/2025|11:09|C0515|Mumbai Pizza Co|Mumbai|Pizza|1|330|0|Wallet|Delivered|50|3</v>
      </c>
      <c r="P1143" s="7" t="str">
        <f aca="false">IF(COUNTIF($O$2:O1143,O1143)&gt;1,"DUP","OK")</f>
        <v>OK</v>
      </c>
      <c r="Q1143" s="7" t="n">
        <f aca="false">COUNTBLANK(A1143:N1143)</f>
        <v>0</v>
      </c>
      <c r="R1143" s="7" t="n">
        <f aca="false">IF(A1143="",0,COUNTIFS($A$2:$A$3058,A1143,$P$2:$P$3058,"OK"))</f>
        <v>1</v>
      </c>
      <c r="S1143" s="7" t="str">
        <f aca="false">IF(OR(A1143="",P1143="DUP",R1143&lt;2),"",IF(Q1143=_xlfn.MINIFS($Q$2:$Q$3058,$A$2:$A$3058,A1143,$P$2:$P$3058,"OK"),"KEEP","DROP"))</f>
        <v/>
      </c>
      <c r="T1143" s="9" t="n">
        <f aca="false">IF(A1143="",1,0)</f>
        <v>0</v>
      </c>
      <c r="U1143" s="9" t="n">
        <f aca="false">IF(D1143="",1,0)</f>
        <v>0</v>
      </c>
      <c r="V1143" s="9" t="n">
        <f aca="false">IF(E1143="",1,0)</f>
        <v>0</v>
      </c>
      <c r="W1143" s="9" t="n">
        <f aca="false">IF(OR(H1143&lt;1,H1143&gt;10),1,0)</f>
        <v>0</v>
      </c>
      <c r="X1143" s="9" t="n">
        <f aca="false">IF(OR(I1143&lt;=0,I1143&gt;1500),1,0)</f>
        <v>0</v>
      </c>
      <c r="Y1143" s="9" t="n">
        <f aca="false">IF(J1143&gt;H1143*I1143,1,0)</f>
        <v>0</v>
      </c>
      <c r="Z1143" s="9" t="n">
        <f aca="false">IF(AND(N1143&lt;&gt;"",OR(N1143&lt;1,N1143&gt;5)),1,0)</f>
        <v>0</v>
      </c>
      <c r="AA1143" s="9" t="n">
        <f aca="false">IF(AND(M1143&lt;&gt;"",OR(M1143&lt;5,M1143&gt;180)),1,0)</f>
        <v>0</v>
      </c>
      <c r="AB1143" s="7" t="str">
        <f aca="false">IF(P1143="DUP","Exact duplicate row",IF(T1143=1,"Missing Order ID",IF(S1143="DROP","Duplicate Order ID (less complete row)",IF(U1143=1,"Missing Customer ID",IF(V1143=1,"Missing Restaurant name",IF(W1143=1,"Invalid/outlier quantity",IF(X1143=1,"Invalid/outlier unit price",IF(Y1143=1,"Discount greater than order value",""))))))))</f>
        <v/>
      </c>
      <c r="AC1143" s="7" t="str">
        <f aca="false">IF(AB1143="","KEEP","DROP")</f>
        <v>KEEP</v>
      </c>
      <c r="AD1143" s="7" t="str">
        <f aca="false">IF(TRIM(F1143)="",IFERROR(INDEX(Map_Tables!$I$4:$I$37,MATCH(TRIM(E1143),Map_Tables!$G$4:$G$37,0)),""),IFERROR(INDEX(Map_Tables!$B$4:$B$18,MATCH(TRIM(F1143),Map_Tables!$A$4:$A$18,0)),"CHECK"))</f>
        <v>Mumbai</v>
      </c>
      <c r="AE1143" s="7" t="str">
        <f aca="false">IF(TRIM(E1143)="","",IFERROR(INDEX(Map_Tables!$H$4:$H$37,MATCH(TRIM(E1143),Map_Tables!$G$4:$G$37,0)),"CHECK"))</f>
        <v>Mumbai Pizza Co</v>
      </c>
      <c r="AF1143" s="7" t="str">
        <f aca="false">IF(TRIM(K1143)="","Unknown",IFERROR(INDEX(Map_Tables!$E$4:$E$15,MATCH(TRIM(K1143),Map_Tables!$D$4:$D$15,0)),"CHECK"))</f>
        <v>Wallet</v>
      </c>
      <c r="AG1143" s="7" t="str">
        <f aca="false">IF(LEFT(LOWER(TRIM(L1143)),6)="cancel","Cancelled","Delivered")</f>
        <v>Delivered</v>
      </c>
      <c r="AH1143" s="10" t="n">
        <f aca="false">IF(ISNUMBER(SEARCH("/",B1143)),DATE(VALUE(RIGHT(B1143,4)),VALUE(MID(B1143,4,2)),VALUE(LEFT(B1143,2))),IF(MID(B1143,5,1)="-",DATE(VALUE(LEFT(B1143,4)),VALUE(MID(B1143,6,2)),VALUE(RIGHT(B1143,2))),DATE(VALUE(RIGHT(B1143,4)),MATCH(MID(B1143,4,3),{"Jan","Feb","Mar","Apr","May","Jun","Jul","Aug","Sep","Oct","Nov","Dec"},0),VALUE(LEFT(B1143,2)))))</f>
        <v>45983</v>
      </c>
    </row>
    <row r="1144" customFormat="false" ht="15" hidden="false" customHeight="false" outlineLevel="0" collapsed="false">
      <c r="A1144" s="7" t="s">
        <v>3299</v>
      </c>
      <c r="B1144" s="7" t="s">
        <v>1223</v>
      </c>
      <c r="C1144" s="7" t="s">
        <v>3300</v>
      </c>
      <c r="D1144" s="7" t="s">
        <v>2562</v>
      </c>
      <c r="E1144" s="7" t="s">
        <v>116</v>
      </c>
      <c r="F1144" s="7" t="s">
        <v>101</v>
      </c>
      <c r="G1144" s="7" t="s">
        <v>117</v>
      </c>
      <c r="H1144" s="7" t="n">
        <v>4</v>
      </c>
      <c r="I1144" s="7" t="n">
        <v>135</v>
      </c>
      <c r="J1144" s="7" t="n">
        <v>40</v>
      </c>
      <c r="K1144" s="7" t="s">
        <v>120</v>
      </c>
      <c r="L1144" s="7" t="s">
        <v>194</v>
      </c>
      <c r="M1144" s="7" t="n">
        <v>37</v>
      </c>
      <c r="N1144" s="7"/>
      <c r="O1144" s="7" t="str">
        <f aca="false">A1144&amp;"|"&amp;B1144&amp;"|"&amp;C1144&amp;"|"&amp;D1144&amp;"|"&amp;E1144&amp;"|"&amp;F1144&amp;"|"&amp;G1144&amp;"|"&amp;H1144&amp;"|"&amp;I1144&amp;"|"&amp;J1144&amp;"|"&amp;K1144&amp;"|"&amp;L1144&amp;"|"&amp;M1144&amp;"|"&amp;N1144</f>
        <v>ORD11163|2025-05-28|18:25|C1045|Pav Bhaji Point|Mumbai|Street Food|4|135|40|wallet|Delivered|37|</v>
      </c>
      <c r="P1144" s="7" t="str">
        <f aca="false">IF(COUNTIF($O$2:O1144,O1144)&gt;1,"DUP","OK")</f>
        <v>OK</v>
      </c>
      <c r="Q1144" s="7" t="n">
        <f aca="false">COUNTBLANK(A1144:N1144)</f>
        <v>1</v>
      </c>
      <c r="R1144" s="7" t="n">
        <f aca="false">IF(A1144="",0,COUNTIFS($A$2:$A$3058,A1144,$P$2:$P$3058,"OK"))</f>
        <v>1</v>
      </c>
      <c r="S1144" s="7" t="str">
        <f aca="false">IF(OR(A1144="",P1144="DUP",R1144&lt;2),"",IF(Q1144=_xlfn.MINIFS($Q$2:$Q$3058,$A$2:$A$3058,A1144,$P$2:$P$3058,"OK"),"KEEP","DROP"))</f>
        <v/>
      </c>
      <c r="T1144" s="9" t="n">
        <f aca="false">IF(A1144="",1,0)</f>
        <v>0</v>
      </c>
      <c r="U1144" s="9" t="n">
        <f aca="false">IF(D1144="",1,0)</f>
        <v>0</v>
      </c>
      <c r="V1144" s="9" t="n">
        <f aca="false">IF(E1144="",1,0)</f>
        <v>0</v>
      </c>
      <c r="W1144" s="9" t="n">
        <f aca="false">IF(OR(H1144&lt;1,H1144&gt;10),1,0)</f>
        <v>0</v>
      </c>
      <c r="X1144" s="9" t="n">
        <f aca="false">IF(OR(I1144&lt;=0,I1144&gt;1500),1,0)</f>
        <v>0</v>
      </c>
      <c r="Y1144" s="9" t="n">
        <f aca="false">IF(J1144&gt;H1144*I1144,1,0)</f>
        <v>0</v>
      </c>
      <c r="Z1144" s="9" t="n">
        <f aca="false">IF(AND(N1144&lt;&gt;"",OR(N1144&lt;1,N1144&gt;5)),1,0)</f>
        <v>0</v>
      </c>
      <c r="AA1144" s="9" t="n">
        <f aca="false">IF(AND(M1144&lt;&gt;"",OR(M1144&lt;5,M1144&gt;180)),1,0)</f>
        <v>0</v>
      </c>
      <c r="AB1144" s="7" t="str">
        <f aca="false">IF(P1144="DUP","Exact duplicate row",IF(T1144=1,"Missing Order ID",IF(S1144="DROP","Duplicate Order ID (less complete row)",IF(U1144=1,"Missing Customer ID",IF(V1144=1,"Missing Restaurant name",IF(W1144=1,"Invalid/outlier quantity",IF(X1144=1,"Invalid/outlier unit price",IF(Y1144=1,"Discount greater than order value",""))))))))</f>
        <v/>
      </c>
      <c r="AC1144" s="7" t="str">
        <f aca="false">IF(AB1144="","KEEP","DROP")</f>
        <v>KEEP</v>
      </c>
      <c r="AD1144" s="7" t="str">
        <f aca="false">IF(TRIM(F1144)="",IFERROR(INDEX(Map_Tables!$I$4:$I$37,MATCH(TRIM(E1144),Map_Tables!$G$4:$G$37,0)),""),IFERROR(INDEX(Map_Tables!$B$4:$B$18,MATCH(TRIM(F1144),Map_Tables!$A$4:$A$18,0)),"CHECK"))</f>
        <v>Mumbai</v>
      </c>
      <c r="AE1144" s="7" t="str">
        <f aca="false">IF(TRIM(E1144)="","",IFERROR(INDEX(Map_Tables!$H$4:$H$37,MATCH(TRIM(E1144),Map_Tables!$G$4:$G$37,0)),"CHECK"))</f>
        <v>Pav Bhaji Point</v>
      </c>
      <c r="AF1144" s="7" t="str">
        <f aca="false">IF(TRIM(K1144)="","Unknown",IFERROR(INDEX(Map_Tables!$E$4:$E$15,MATCH(TRIM(K1144),Map_Tables!$D$4:$D$15,0)),"CHECK"))</f>
        <v>Wallet</v>
      </c>
      <c r="AG1144" s="7" t="str">
        <f aca="false">IF(LEFT(LOWER(TRIM(L1144)),6)="cancel","Cancelled","Delivered")</f>
        <v>Delivered</v>
      </c>
      <c r="AH1144" s="10" t="n">
        <f aca="false">IF(ISNUMBER(SEARCH("/",B1144)),DATE(VALUE(RIGHT(B1144,4)),VALUE(MID(B1144,4,2)),VALUE(LEFT(B1144,2))),IF(MID(B1144,5,1)="-",DATE(VALUE(LEFT(B1144,4)),VALUE(MID(B1144,6,2)),VALUE(RIGHT(B1144,2))),DATE(VALUE(RIGHT(B1144,4)),MATCH(MID(B1144,4,3),{"Jan","Feb","Mar","Apr","May","Jun","Jul","Aug","Sep","Oct","Nov","Dec"},0),VALUE(LEFT(B1144,2)))))</f>
        <v>45805</v>
      </c>
    </row>
    <row r="1145" customFormat="false" ht="15" hidden="false" customHeight="false" outlineLevel="0" collapsed="false">
      <c r="A1145" s="7" t="s">
        <v>3301</v>
      </c>
      <c r="B1145" s="7" t="s">
        <v>231</v>
      </c>
      <c r="C1145" s="7" t="s">
        <v>3302</v>
      </c>
      <c r="D1145" s="7" t="s">
        <v>2624</v>
      </c>
      <c r="E1145" s="7" t="s">
        <v>163</v>
      </c>
      <c r="F1145" s="7" t="s">
        <v>140</v>
      </c>
      <c r="G1145" s="7" t="s">
        <v>99</v>
      </c>
      <c r="H1145" s="7" t="n">
        <v>2</v>
      </c>
      <c r="I1145" s="7" t="n">
        <v>230</v>
      </c>
      <c r="J1145" s="7" t="n">
        <v>100</v>
      </c>
      <c r="K1145" s="7" t="s">
        <v>88</v>
      </c>
      <c r="L1145" s="7" t="s">
        <v>194</v>
      </c>
      <c r="M1145" s="7" t="n">
        <v>28</v>
      </c>
      <c r="N1145" s="7" t="n">
        <v>2</v>
      </c>
      <c r="O1145" s="7" t="str">
        <f aca="false">A1145&amp;"|"&amp;B1145&amp;"|"&amp;C1145&amp;"|"&amp;D1145&amp;"|"&amp;E1145&amp;"|"&amp;F1145&amp;"|"&amp;G1145&amp;"|"&amp;H1145&amp;"|"&amp;I1145&amp;"|"&amp;J1145&amp;"|"&amp;K1145&amp;"|"&amp;L1145&amp;"|"&amp;M1145&amp;"|"&amp;N1145</f>
        <v>ORD12716|2025-11-30|14:11|C0496|Biryani Baadshah|kolkata|Biryani|2|230|100|UPI|Delivered|28|2</v>
      </c>
      <c r="P1145" s="7" t="str">
        <f aca="false">IF(COUNTIF($O$2:O1145,O1145)&gt;1,"DUP","OK")</f>
        <v>OK</v>
      </c>
      <c r="Q1145" s="7" t="n">
        <f aca="false">COUNTBLANK(A1145:N1145)</f>
        <v>0</v>
      </c>
      <c r="R1145" s="7" t="n">
        <f aca="false">IF(A1145="",0,COUNTIFS($A$2:$A$3058,A1145,$P$2:$P$3058,"OK"))</f>
        <v>1</v>
      </c>
      <c r="S1145" s="7" t="str">
        <f aca="false">IF(OR(A1145="",P1145="DUP",R1145&lt;2),"",IF(Q1145=_xlfn.MINIFS($Q$2:$Q$3058,$A$2:$A$3058,A1145,$P$2:$P$3058,"OK"),"KEEP","DROP"))</f>
        <v/>
      </c>
      <c r="T1145" s="9" t="n">
        <f aca="false">IF(A1145="",1,0)</f>
        <v>0</v>
      </c>
      <c r="U1145" s="9" t="n">
        <f aca="false">IF(D1145="",1,0)</f>
        <v>0</v>
      </c>
      <c r="V1145" s="9" t="n">
        <f aca="false">IF(E1145="",1,0)</f>
        <v>0</v>
      </c>
      <c r="W1145" s="9" t="n">
        <f aca="false">IF(OR(H1145&lt;1,H1145&gt;10),1,0)</f>
        <v>0</v>
      </c>
      <c r="X1145" s="9" t="n">
        <f aca="false">IF(OR(I1145&lt;=0,I1145&gt;1500),1,0)</f>
        <v>0</v>
      </c>
      <c r="Y1145" s="9" t="n">
        <f aca="false">IF(J1145&gt;H1145*I1145,1,0)</f>
        <v>0</v>
      </c>
      <c r="Z1145" s="9" t="n">
        <f aca="false">IF(AND(N1145&lt;&gt;"",OR(N1145&lt;1,N1145&gt;5)),1,0)</f>
        <v>0</v>
      </c>
      <c r="AA1145" s="9" t="n">
        <f aca="false">IF(AND(M1145&lt;&gt;"",OR(M1145&lt;5,M1145&gt;180)),1,0)</f>
        <v>0</v>
      </c>
      <c r="AB1145" s="7" t="str">
        <f aca="false">IF(P1145="DUP","Exact duplicate row",IF(T1145=1,"Missing Order ID",IF(S1145="DROP","Duplicate Order ID (less complete row)",IF(U1145=1,"Missing Customer ID",IF(V1145=1,"Missing Restaurant name",IF(W1145=1,"Invalid/outlier quantity",IF(X1145=1,"Invalid/outlier unit price",IF(Y1145=1,"Discount greater than order value",""))))))))</f>
        <v/>
      </c>
      <c r="AC1145" s="7" t="str">
        <f aca="false">IF(AB1145="","KEEP","DROP")</f>
        <v>KEEP</v>
      </c>
      <c r="AD1145" s="7" t="str">
        <f aca="false">IF(TRIM(F1145)="",IFERROR(INDEX(Map_Tables!$I$4:$I$37,MATCH(TRIM(E1145),Map_Tables!$G$4:$G$37,0)),""),IFERROR(INDEX(Map_Tables!$B$4:$B$18,MATCH(TRIM(F1145),Map_Tables!$A$4:$A$18,0)),"CHECK"))</f>
        <v>Kolkata</v>
      </c>
      <c r="AE1145" s="7" t="str">
        <f aca="false">IF(TRIM(E1145)="","",IFERROR(INDEX(Map_Tables!$H$4:$H$37,MATCH(TRIM(E1145),Map_Tables!$G$4:$G$37,0)),"CHECK"))</f>
        <v>Biryani Baadshah</v>
      </c>
      <c r="AF1145" s="7" t="str">
        <f aca="false">IF(TRIM(K1145)="","Unknown",IFERROR(INDEX(Map_Tables!$E$4:$E$15,MATCH(TRIM(K1145),Map_Tables!$D$4:$D$15,0)),"CHECK"))</f>
        <v>UPI</v>
      </c>
      <c r="AG1145" s="7" t="str">
        <f aca="false">IF(LEFT(LOWER(TRIM(L1145)),6)="cancel","Cancelled","Delivered")</f>
        <v>Delivered</v>
      </c>
      <c r="AH1145" s="10" t="n">
        <f aca="false">IF(ISNUMBER(SEARCH("/",B1145)),DATE(VALUE(RIGHT(B1145,4)),VALUE(MID(B1145,4,2)),VALUE(LEFT(B1145,2))),IF(MID(B1145,5,1)="-",DATE(VALUE(LEFT(B1145,4)),VALUE(MID(B1145,6,2)),VALUE(RIGHT(B1145,2))),DATE(VALUE(RIGHT(B1145,4)),MATCH(MID(B1145,4,3),{"Jan","Feb","Mar","Apr","May","Jun","Jul","Aug","Sep","Oct","Nov","Dec"},0),VALUE(LEFT(B1145,2)))))</f>
        <v>45991</v>
      </c>
    </row>
    <row r="1146" customFormat="false" ht="15" hidden="false" customHeight="false" outlineLevel="0" collapsed="false">
      <c r="A1146" s="7" t="s">
        <v>3303</v>
      </c>
      <c r="B1146" s="7" t="s">
        <v>1872</v>
      </c>
      <c r="C1146" s="7" t="s">
        <v>2160</v>
      </c>
      <c r="D1146" s="7" t="s">
        <v>3304</v>
      </c>
      <c r="E1146" s="7" t="s">
        <v>98</v>
      </c>
      <c r="F1146" s="7" t="s">
        <v>86</v>
      </c>
      <c r="G1146" s="7" t="s">
        <v>99</v>
      </c>
      <c r="H1146" s="7" t="n">
        <v>1</v>
      </c>
      <c r="I1146" s="7" t="n">
        <v>220</v>
      </c>
      <c r="J1146" s="7" t="n">
        <v>0</v>
      </c>
      <c r="K1146" s="7" t="s">
        <v>87</v>
      </c>
      <c r="L1146" s="7" t="s">
        <v>238</v>
      </c>
      <c r="M1146" s="7"/>
      <c r="N1146" s="7"/>
      <c r="O1146" s="7" t="str">
        <f aca="false">A1146&amp;"|"&amp;B1146&amp;"|"&amp;C1146&amp;"|"&amp;D1146&amp;"|"&amp;E1146&amp;"|"&amp;F1146&amp;"|"&amp;G1146&amp;"|"&amp;H1146&amp;"|"&amp;I1146&amp;"|"&amp;J1146&amp;"|"&amp;K1146&amp;"|"&amp;L1146&amp;"|"&amp;M1146&amp;"|"&amp;N1146</f>
        <v>ORD10595|2025-03-16|21:35|C1294|Nawabi Biryani House|Bengaluru|Biryani|1|220|0|upi|Cancelled||</v>
      </c>
      <c r="P1146" s="7" t="str">
        <f aca="false">IF(COUNTIF($O$2:O1146,O1146)&gt;1,"DUP","OK")</f>
        <v>OK</v>
      </c>
      <c r="Q1146" s="7" t="n">
        <f aca="false">COUNTBLANK(A1146:N1146)</f>
        <v>2</v>
      </c>
      <c r="R1146" s="7" t="n">
        <f aca="false">IF(A1146="",0,COUNTIFS($A$2:$A$3058,A1146,$P$2:$P$3058,"OK"))</f>
        <v>1</v>
      </c>
      <c r="S1146" s="7" t="str">
        <f aca="false">IF(OR(A1146="",P1146="DUP",R1146&lt;2),"",IF(Q1146=_xlfn.MINIFS($Q$2:$Q$3058,$A$2:$A$3058,A1146,$P$2:$P$3058,"OK"),"KEEP","DROP"))</f>
        <v/>
      </c>
      <c r="T1146" s="9" t="n">
        <f aca="false">IF(A1146="",1,0)</f>
        <v>0</v>
      </c>
      <c r="U1146" s="9" t="n">
        <f aca="false">IF(D1146="",1,0)</f>
        <v>0</v>
      </c>
      <c r="V1146" s="9" t="n">
        <f aca="false">IF(E1146="",1,0)</f>
        <v>0</v>
      </c>
      <c r="W1146" s="9" t="n">
        <f aca="false">IF(OR(H1146&lt;1,H1146&gt;10),1,0)</f>
        <v>0</v>
      </c>
      <c r="X1146" s="9" t="n">
        <f aca="false">IF(OR(I1146&lt;=0,I1146&gt;1500),1,0)</f>
        <v>0</v>
      </c>
      <c r="Y1146" s="9" t="n">
        <f aca="false">IF(J1146&gt;H1146*I1146,1,0)</f>
        <v>0</v>
      </c>
      <c r="Z1146" s="9" t="n">
        <f aca="false">IF(AND(N1146&lt;&gt;"",OR(N1146&lt;1,N1146&gt;5)),1,0)</f>
        <v>0</v>
      </c>
      <c r="AA1146" s="9" t="n">
        <f aca="false">IF(AND(M1146&lt;&gt;"",OR(M1146&lt;5,M1146&gt;180)),1,0)</f>
        <v>0</v>
      </c>
      <c r="AB1146" s="7" t="str">
        <f aca="false">IF(P1146="DUP","Exact duplicate row",IF(T1146=1,"Missing Order ID",IF(S1146="DROP","Duplicate Order ID (less complete row)",IF(U1146=1,"Missing Customer ID",IF(V1146=1,"Missing Restaurant name",IF(W1146=1,"Invalid/outlier quantity",IF(X1146=1,"Invalid/outlier unit price",IF(Y1146=1,"Discount greater than order value",""))))))))</f>
        <v/>
      </c>
      <c r="AC1146" s="7" t="str">
        <f aca="false">IF(AB1146="","KEEP","DROP")</f>
        <v>KEEP</v>
      </c>
      <c r="AD1146" s="7" t="str">
        <f aca="false">IF(TRIM(F1146)="",IFERROR(INDEX(Map_Tables!$I$4:$I$37,MATCH(TRIM(E1146),Map_Tables!$G$4:$G$37,0)),""),IFERROR(INDEX(Map_Tables!$B$4:$B$18,MATCH(TRIM(F1146),Map_Tables!$A$4:$A$18,0)),"CHECK"))</f>
        <v>Bengaluru</v>
      </c>
      <c r="AE1146" s="7" t="str">
        <f aca="false">IF(TRIM(E1146)="","",IFERROR(INDEX(Map_Tables!$H$4:$H$37,MATCH(TRIM(E1146),Map_Tables!$G$4:$G$37,0)),"CHECK"))</f>
        <v>Nawabi Biryani House</v>
      </c>
      <c r="AF1146" s="7" t="str">
        <f aca="false">IF(TRIM(K1146)="","Unknown",IFERROR(INDEX(Map_Tables!$E$4:$E$15,MATCH(TRIM(K1146),Map_Tables!$D$4:$D$15,0)),"CHECK"))</f>
        <v>UPI</v>
      </c>
      <c r="AG1146" s="7" t="str">
        <f aca="false">IF(LEFT(LOWER(TRIM(L1146)),6)="cancel","Cancelled","Delivered")</f>
        <v>Cancelled</v>
      </c>
      <c r="AH1146" s="10" t="n">
        <f aca="false">IF(ISNUMBER(SEARCH("/",B1146)),DATE(VALUE(RIGHT(B1146,4)),VALUE(MID(B1146,4,2)),VALUE(LEFT(B1146,2))),IF(MID(B1146,5,1)="-",DATE(VALUE(LEFT(B1146,4)),VALUE(MID(B1146,6,2)),VALUE(RIGHT(B1146,2))),DATE(VALUE(RIGHT(B1146,4)),MATCH(MID(B1146,4,3),{"Jan","Feb","Mar","Apr","May","Jun","Jul","Aug","Sep","Oct","Nov","Dec"},0),VALUE(LEFT(B1146,2)))))</f>
        <v>45732</v>
      </c>
    </row>
    <row r="1147" customFormat="false" ht="15" hidden="false" customHeight="false" outlineLevel="0" collapsed="false">
      <c r="A1147" s="7" t="s">
        <v>3305</v>
      </c>
      <c r="B1147" s="7" t="s">
        <v>2495</v>
      </c>
      <c r="C1147" s="7" t="s">
        <v>981</v>
      </c>
      <c r="D1147" s="7" t="s">
        <v>2034</v>
      </c>
      <c r="E1147" s="7" t="s">
        <v>122</v>
      </c>
      <c r="F1147" s="7" t="s">
        <v>498</v>
      </c>
      <c r="G1147" s="7" t="s">
        <v>123</v>
      </c>
      <c r="H1147" s="7" t="n">
        <v>2</v>
      </c>
      <c r="I1147" s="7" t="n">
        <v>390</v>
      </c>
      <c r="J1147" s="7" t="n">
        <v>50</v>
      </c>
      <c r="K1147" s="7" t="s">
        <v>88</v>
      </c>
      <c r="L1147" s="7" t="s">
        <v>194</v>
      </c>
      <c r="M1147" s="7" t="n">
        <v>49</v>
      </c>
      <c r="N1147" s="7" t="n">
        <v>4</v>
      </c>
      <c r="O1147" s="7" t="str">
        <f aca="false">A1147&amp;"|"&amp;B1147&amp;"|"&amp;C1147&amp;"|"&amp;D1147&amp;"|"&amp;E1147&amp;"|"&amp;F1147&amp;"|"&amp;G1147&amp;"|"&amp;H1147&amp;"|"&amp;I1147&amp;"|"&amp;J1147&amp;"|"&amp;K1147&amp;"|"&amp;L1147&amp;"|"&amp;M1147&amp;"|"&amp;N1147</f>
        <v>ORD12629|2025-11-21|11:52|C1410|Mumbai Pizza Co|Bombay|Pizza|2|390|50|UPI|Delivered|49|4</v>
      </c>
      <c r="P1147" s="7" t="str">
        <f aca="false">IF(COUNTIF($O$2:O1147,O1147)&gt;1,"DUP","OK")</f>
        <v>OK</v>
      </c>
      <c r="Q1147" s="7" t="n">
        <f aca="false">COUNTBLANK(A1147:N1147)</f>
        <v>0</v>
      </c>
      <c r="R1147" s="7" t="n">
        <f aca="false">IF(A1147="",0,COUNTIFS($A$2:$A$3058,A1147,$P$2:$P$3058,"OK"))</f>
        <v>1</v>
      </c>
      <c r="S1147" s="7" t="str">
        <f aca="false">IF(OR(A1147="",P1147="DUP",R1147&lt;2),"",IF(Q1147=_xlfn.MINIFS($Q$2:$Q$3058,$A$2:$A$3058,A1147,$P$2:$P$3058,"OK"),"KEEP","DROP"))</f>
        <v/>
      </c>
      <c r="T1147" s="9" t="n">
        <f aca="false">IF(A1147="",1,0)</f>
        <v>0</v>
      </c>
      <c r="U1147" s="9" t="n">
        <f aca="false">IF(D1147="",1,0)</f>
        <v>0</v>
      </c>
      <c r="V1147" s="9" t="n">
        <f aca="false">IF(E1147="",1,0)</f>
        <v>0</v>
      </c>
      <c r="W1147" s="9" t="n">
        <f aca="false">IF(OR(H1147&lt;1,H1147&gt;10),1,0)</f>
        <v>0</v>
      </c>
      <c r="X1147" s="9" t="n">
        <f aca="false">IF(OR(I1147&lt;=0,I1147&gt;1500),1,0)</f>
        <v>0</v>
      </c>
      <c r="Y1147" s="9" t="n">
        <f aca="false">IF(J1147&gt;H1147*I1147,1,0)</f>
        <v>0</v>
      </c>
      <c r="Z1147" s="9" t="n">
        <f aca="false">IF(AND(N1147&lt;&gt;"",OR(N1147&lt;1,N1147&gt;5)),1,0)</f>
        <v>0</v>
      </c>
      <c r="AA1147" s="9" t="n">
        <f aca="false">IF(AND(M1147&lt;&gt;"",OR(M1147&lt;5,M1147&gt;180)),1,0)</f>
        <v>0</v>
      </c>
      <c r="AB1147" s="7" t="str">
        <f aca="false">IF(P1147="DUP","Exact duplicate row",IF(T1147=1,"Missing Order ID",IF(S1147="DROP","Duplicate Order ID (less complete row)",IF(U1147=1,"Missing Customer ID",IF(V1147=1,"Missing Restaurant name",IF(W1147=1,"Invalid/outlier quantity",IF(X1147=1,"Invalid/outlier unit price",IF(Y1147=1,"Discount greater than order value",""))))))))</f>
        <v/>
      </c>
      <c r="AC1147" s="7" t="str">
        <f aca="false">IF(AB1147="","KEEP","DROP")</f>
        <v>KEEP</v>
      </c>
      <c r="AD1147" s="7" t="str">
        <f aca="false">IF(TRIM(F1147)="",IFERROR(INDEX(Map_Tables!$I$4:$I$37,MATCH(TRIM(E1147),Map_Tables!$G$4:$G$37,0)),""),IFERROR(INDEX(Map_Tables!$B$4:$B$18,MATCH(TRIM(F1147),Map_Tables!$A$4:$A$18,0)),"CHECK"))</f>
        <v>Mumbai</v>
      </c>
      <c r="AE1147" s="7" t="str">
        <f aca="false">IF(TRIM(E1147)="","",IFERROR(INDEX(Map_Tables!$H$4:$H$37,MATCH(TRIM(E1147),Map_Tables!$G$4:$G$37,0)),"CHECK"))</f>
        <v>Mumbai Pizza Co</v>
      </c>
      <c r="AF1147" s="7" t="str">
        <f aca="false">IF(TRIM(K1147)="","Unknown",IFERROR(INDEX(Map_Tables!$E$4:$E$15,MATCH(TRIM(K1147),Map_Tables!$D$4:$D$15,0)),"CHECK"))</f>
        <v>UPI</v>
      </c>
      <c r="AG1147" s="7" t="str">
        <f aca="false">IF(LEFT(LOWER(TRIM(L1147)),6)="cancel","Cancelled","Delivered")</f>
        <v>Delivered</v>
      </c>
      <c r="AH1147" s="10" t="n">
        <f aca="false">IF(ISNUMBER(SEARCH("/",B1147)),DATE(VALUE(RIGHT(B1147,4)),VALUE(MID(B1147,4,2)),VALUE(LEFT(B1147,2))),IF(MID(B1147,5,1)="-",DATE(VALUE(LEFT(B1147,4)),VALUE(MID(B1147,6,2)),VALUE(RIGHT(B1147,2))),DATE(VALUE(RIGHT(B1147,4)),MATCH(MID(B1147,4,3),{"Jan","Feb","Mar","Apr","May","Jun","Jul","Aug","Sep","Oct","Nov","Dec"},0),VALUE(LEFT(B1147,2)))))</f>
        <v>45982</v>
      </c>
    </row>
    <row r="1148" customFormat="false" ht="15" hidden="false" customHeight="false" outlineLevel="0" collapsed="false">
      <c r="A1148" s="7" t="s">
        <v>3306</v>
      </c>
      <c r="B1148" s="7" t="s">
        <v>3307</v>
      </c>
      <c r="C1148" s="7" t="s">
        <v>1880</v>
      </c>
      <c r="D1148" s="7" t="s">
        <v>3308</v>
      </c>
      <c r="E1148" s="7" t="s">
        <v>104</v>
      </c>
      <c r="F1148" s="7" t="s">
        <v>86</v>
      </c>
      <c r="G1148" s="7" t="s">
        <v>105</v>
      </c>
      <c r="H1148" s="7" t="n">
        <v>4</v>
      </c>
      <c r="I1148" s="7" t="n">
        <v>205</v>
      </c>
      <c r="J1148" s="7" t="n">
        <v>0</v>
      </c>
      <c r="K1148" s="7" t="s">
        <v>103</v>
      </c>
      <c r="L1148" s="7" t="s">
        <v>194</v>
      </c>
      <c r="M1148" s="7" t="n">
        <v>43</v>
      </c>
      <c r="N1148" s="7" t="n">
        <v>4</v>
      </c>
      <c r="O1148" s="7" t="str">
        <f aca="false">A1148&amp;"|"&amp;B1148&amp;"|"&amp;C1148&amp;"|"&amp;D1148&amp;"|"&amp;E1148&amp;"|"&amp;F1148&amp;"|"&amp;G1148&amp;"|"&amp;H1148&amp;"|"&amp;I1148&amp;"|"&amp;J1148&amp;"|"&amp;K1148&amp;"|"&amp;L1148&amp;"|"&amp;M1148&amp;"|"&amp;N1148</f>
        <v>ORD11560|22/07/2025|22:15|C0551|Wok &amp; Roll|Bengaluru|Chinese|4|205|0|Debit Card|Delivered|43|4</v>
      </c>
      <c r="P1148" s="7" t="str">
        <f aca="false">IF(COUNTIF($O$2:O1148,O1148)&gt;1,"DUP","OK")</f>
        <v>OK</v>
      </c>
      <c r="Q1148" s="7" t="n">
        <f aca="false">COUNTBLANK(A1148:N1148)</f>
        <v>0</v>
      </c>
      <c r="R1148" s="7" t="n">
        <f aca="false">IF(A1148="",0,COUNTIFS($A$2:$A$3058,A1148,$P$2:$P$3058,"OK"))</f>
        <v>1</v>
      </c>
      <c r="S1148" s="7" t="str">
        <f aca="false">IF(OR(A1148="",P1148="DUP",R1148&lt;2),"",IF(Q1148=_xlfn.MINIFS($Q$2:$Q$3058,$A$2:$A$3058,A1148,$P$2:$P$3058,"OK"),"KEEP","DROP"))</f>
        <v/>
      </c>
      <c r="T1148" s="9" t="n">
        <f aca="false">IF(A1148="",1,0)</f>
        <v>0</v>
      </c>
      <c r="U1148" s="9" t="n">
        <f aca="false">IF(D1148="",1,0)</f>
        <v>0</v>
      </c>
      <c r="V1148" s="9" t="n">
        <f aca="false">IF(E1148="",1,0)</f>
        <v>0</v>
      </c>
      <c r="W1148" s="9" t="n">
        <f aca="false">IF(OR(H1148&lt;1,H1148&gt;10),1,0)</f>
        <v>0</v>
      </c>
      <c r="X1148" s="9" t="n">
        <f aca="false">IF(OR(I1148&lt;=0,I1148&gt;1500),1,0)</f>
        <v>0</v>
      </c>
      <c r="Y1148" s="9" t="n">
        <f aca="false">IF(J1148&gt;H1148*I1148,1,0)</f>
        <v>0</v>
      </c>
      <c r="Z1148" s="9" t="n">
        <f aca="false">IF(AND(N1148&lt;&gt;"",OR(N1148&lt;1,N1148&gt;5)),1,0)</f>
        <v>0</v>
      </c>
      <c r="AA1148" s="9" t="n">
        <f aca="false">IF(AND(M1148&lt;&gt;"",OR(M1148&lt;5,M1148&gt;180)),1,0)</f>
        <v>0</v>
      </c>
      <c r="AB1148" s="7" t="str">
        <f aca="false">IF(P1148="DUP","Exact duplicate row",IF(T1148=1,"Missing Order ID",IF(S1148="DROP","Duplicate Order ID (less complete row)",IF(U1148=1,"Missing Customer ID",IF(V1148=1,"Missing Restaurant name",IF(W1148=1,"Invalid/outlier quantity",IF(X1148=1,"Invalid/outlier unit price",IF(Y1148=1,"Discount greater than order value",""))))))))</f>
        <v/>
      </c>
      <c r="AC1148" s="7" t="str">
        <f aca="false">IF(AB1148="","KEEP","DROP")</f>
        <v>KEEP</v>
      </c>
      <c r="AD1148" s="7" t="str">
        <f aca="false">IF(TRIM(F1148)="",IFERROR(INDEX(Map_Tables!$I$4:$I$37,MATCH(TRIM(E1148),Map_Tables!$G$4:$G$37,0)),""),IFERROR(INDEX(Map_Tables!$B$4:$B$18,MATCH(TRIM(F1148),Map_Tables!$A$4:$A$18,0)),"CHECK"))</f>
        <v>Bengaluru</v>
      </c>
      <c r="AE1148" s="7" t="str">
        <f aca="false">IF(TRIM(E1148)="","",IFERROR(INDEX(Map_Tables!$H$4:$H$37,MATCH(TRIM(E1148),Map_Tables!$G$4:$G$37,0)),"CHECK"))</f>
        <v>Wok &amp; Roll</v>
      </c>
      <c r="AF1148" s="7" t="str">
        <f aca="false">IF(TRIM(K1148)="","Unknown",IFERROR(INDEX(Map_Tables!$E$4:$E$15,MATCH(TRIM(K1148),Map_Tables!$D$4:$D$15,0)),"CHECK"))</f>
        <v>Debit Card</v>
      </c>
      <c r="AG1148" s="7" t="str">
        <f aca="false">IF(LEFT(LOWER(TRIM(L1148)),6)="cancel","Cancelled","Delivered")</f>
        <v>Delivered</v>
      </c>
      <c r="AH1148" s="10" t="n">
        <f aca="false">IF(ISNUMBER(SEARCH("/",B1148)),DATE(VALUE(RIGHT(B1148,4)),VALUE(MID(B1148,4,2)),VALUE(LEFT(B1148,2))),IF(MID(B1148,5,1)="-",DATE(VALUE(LEFT(B1148,4)),VALUE(MID(B1148,6,2)),VALUE(RIGHT(B1148,2))),DATE(VALUE(RIGHT(B1148,4)),MATCH(MID(B1148,4,3),{"Jan","Feb","Mar","Apr","May","Jun","Jul","Aug","Sep","Oct","Nov","Dec"},0),VALUE(LEFT(B1148,2)))))</f>
        <v>45860</v>
      </c>
    </row>
    <row r="1149" customFormat="false" ht="15" hidden="false" customHeight="false" outlineLevel="0" collapsed="false">
      <c r="A1149" s="7" t="s">
        <v>3309</v>
      </c>
      <c r="B1149" s="7" t="s">
        <v>1538</v>
      </c>
      <c r="C1149" s="7" t="s">
        <v>976</v>
      </c>
      <c r="D1149" s="7" t="s">
        <v>1840</v>
      </c>
      <c r="E1149" s="7" t="s">
        <v>113</v>
      </c>
      <c r="F1149" s="7" t="s">
        <v>101</v>
      </c>
      <c r="G1149" s="7" t="s">
        <v>90</v>
      </c>
      <c r="H1149" s="7" t="n">
        <v>2</v>
      </c>
      <c r="I1149" s="7" t="n">
        <v>245</v>
      </c>
      <c r="J1149" s="7" t="n">
        <v>0</v>
      </c>
      <c r="K1149" s="7" t="s">
        <v>88</v>
      </c>
      <c r="L1149" s="7" t="s">
        <v>194</v>
      </c>
      <c r="M1149" s="7" t="n">
        <v>46</v>
      </c>
      <c r="N1149" s="7" t="n">
        <v>4</v>
      </c>
      <c r="O1149" s="7" t="str">
        <f aca="false">A1149&amp;"|"&amp;B1149&amp;"|"&amp;C1149&amp;"|"&amp;D1149&amp;"|"&amp;E1149&amp;"|"&amp;F1149&amp;"|"&amp;G1149&amp;"|"&amp;H1149&amp;"|"&amp;I1149&amp;"|"&amp;J1149&amp;"|"&amp;K1149&amp;"|"&amp;L1149&amp;"|"&amp;M1149&amp;"|"&amp;N1149</f>
        <v>ORD11846|2025-08-28|20:20|C0835|Curry Leaf Kitchen|Mumbai|North Indian|2|245|0|UPI|Delivered|46|4</v>
      </c>
      <c r="P1149" s="7" t="str">
        <f aca="false">IF(COUNTIF($O$2:O1149,O1149)&gt;1,"DUP","OK")</f>
        <v>OK</v>
      </c>
      <c r="Q1149" s="7" t="n">
        <f aca="false">COUNTBLANK(A1149:N1149)</f>
        <v>0</v>
      </c>
      <c r="R1149" s="7" t="n">
        <f aca="false">IF(A1149="",0,COUNTIFS($A$2:$A$3058,A1149,$P$2:$P$3058,"OK"))</f>
        <v>1</v>
      </c>
      <c r="S1149" s="7" t="str">
        <f aca="false">IF(OR(A1149="",P1149="DUP",R1149&lt;2),"",IF(Q1149=_xlfn.MINIFS($Q$2:$Q$3058,$A$2:$A$3058,A1149,$P$2:$P$3058,"OK"),"KEEP","DROP"))</f>
        <v/>
      </c>
      <c r="T1149" s="9" t="n">
        <f aca="false">IF(A1149="",1,0)</f>
        <v>0</v>
      </c>
      <c r="U1149" s="9" t="n">
        <f aca="false">IF(D1149="",1,0)</f>
        <v>0</v>
      </c>
      <c r="V1149" s="9" t="n">
        <f aca="false">IF(E1149="",1,0)</f>
        <v>0</v>
      </c>
      <c r="W1149" s="9" t="n">
        <f aca="false">IF(OR(H1149&lt;1,H1149&gt;10),1,0)</f>
        <v>0</v>
      </c>
      <c r="X1149" s="9" t="n">
        <f aca="false">IF(OR(I1149&lt;=0,I1149&gt;1500),1,0)</f>
        <v>0</v>
      </c>
      <c r="Y1149" s="9" t="n">
        <f aca="false">IF(J1149&gt;H1149*I1149,1,0)</f>
        <v>0</v>
      </c>
      <c r="Z1149" s="9" t="n">
        <f aca="false">IF(AND(N1149&lt;&gt;"",OR(N1149&lt;1,N1149&gt;5)),1,0)</f>
        <v>0</v>
      </c>
      <c r="AA1149" s="9" t="n">
        <f aca="false">IF(AND(M1149&lt;&gt;"",OR(M1149&lt;5,M1149&gt;180)),1,0)</f>
        <v>0</v>
      </c>
      <c r="AB1149" s="7" t="str">
        <f aca="false">IF(P1149="DUP","Exact duplicate row",IF(T1149=1,"Missing Order ID",IF(S1149="DROP","Duplicate Order ID (less complete row)",IF(U1149=1,"Missing Customer ID",IF(V1149=1,"Missing Restaurant name",IF(W1149=1,"Invalid/outlier quantity",IF(X1149=1,"Invalid/outlier unit price",IF(Y1149=1,"Discount greater than order value",""))))))))</f>
        <v/>
      </c>
      <c r="AC1149" s="7" t="str">
        <f aca="false">IF(AB1149="","KEEP","DROP")</f>
        <v>KEEP</v>
      </c>
      <c r="AD1149" s="7" t="str">
        <f aca="false">IF(TRIM(F1149)="",IFERROR(INDEX(Map_Tables!$I$4:$I$37,MATCH(TRIM(E1149),Map_Tables!$G$4:$G$37,0)),""),IFERROR(INDEX(Map_Tables!$B$4:$B$18,MATCH(TRIM(F1149),Map_Tables!$A$4:$A$18,0)),"CHECK"))</f>
        <v>Mumbai</v>
      </c>
      <c r="AE1149" s="7" t="str">
        <f aca="false">IF(TRIM(E1149)="","",IFERROR(INDEX(Map_Tables!$H$4:$H$37,MATCH(TRIM(E1149),Map_Tables!$G$4:$G$37,0)),"CHECK"))</f>
        <v>Curry Leaf Kitchen</v>
      </c>
      <c r="AF1149" s="7" t="str">
        <f aca="false">IF(TRIM(K1149)="","Unknown",IFERROR(INDEX(Map_Tables!$E$4:$E$15,MATCH(TRIM(K1149),Map_Tables!$D$4:$D$15,0)),"CHECK"))</f>
        <v>UPI</v>
      </c>
      <c r="AG1149" s="7" t="str">
        <f aca="false">IF(LEFT(LOWER(TRIM(L1149)),6)="cancel","Cancelled","Delivered")</f>
        <v>Delivered</v>
      </c>
      <c r="AH1149" s="10" t="n">
        <f aca="false">IF(ISNUMBER(SEARCH("/",B1149)),DATE(VALUE(RIGHT(B1149,4)),VALUE(MID(B1149,4,2)),VALUE(LEFT(B1149,2))),IF(MID(B1149,5,1)="-",DATE(VALUE(LEFT(B1149,4)),VALUE(MID(B1149,6,2)),VALUE(RIGHT(B1149,2))),DATE(VALUE(RIGHT(B1149,4)),MATCH(MID(B1149,4,3),{"Jan","Feb","Mar","Apr","May","Jun","Jul","Aug","Sep","Oct","Nov","Dec"},0),VALUE(LEFT(B1149,2)))))</f>
        <v>45897</v>
      </c>
    </row>
    <row r="1150" customFormat="false" ht="15" hidden="false" customHeight="false" outlineLevel="0" collapsed="false">
      <c r="A1150" s="7" t="s">
        <v>3310</v>
      </c>
      <c r="B1150" s="7" t="s">
        <v>1160</v>
      </c>
      <c r="C1150" s="7" t="s">
        <v>1704</v>
      </c>
      <c r="D1150" s="7" t="s">
        <v>3311</v>
      </c>
      <c r="E1150" s="7" t="s">
        <v>2620</v>
      </c>
      <c r="F1150" s="7" t="s">
        <v>110</v>
      </c>
      <c r="G1150" s="7" t="s">
        <v>105</v>
      </c>
      <c r="H1150" s="7" t="n">
        <v>2</v>
      </c>
      <c r="I1150" s="7" t="n">
        <v>170</v>
      </c>
      <c r="J1150" s="7" t="n">
        <v>40</v>
      </c>
      <c r="K1150" s="7" t="s">
        <v>93</v>
      </c>
      <c r="L1150" s="7" t="s">
        <v>238</v>
      </c>
      <c r="M1150" s="7"/>
      <c r="N1150" s="7"/>
      <c r="O1150" s="7" t="str">
        <f aca="false">A1150&amp;"|"&amp;B1150&amp;"|"&amp;C1150&amp;"|"&amp;D1150&amp;"|"&amp;E1150&amp;"|"&amp;F1150&amp;"|"&amp;G1150&amp;"|"&amp;H1150&amp;"|"&amp;I1150&amp;"|"&amp;J1150&amp;"|"&amp;K1150&amp;"|"&amp;L1150&amp;"|"&amp;M1150&amp;"|"&amp;N1150</f>
        <v>ORD10550|2025-03-11|20:01|C0657|momo magic|Delhi|Chinese|2|170|40|Credit Card|Cancelled||</v>
      </c>
      <c r="P1150" s="7" t="str">
        <f aca="false">IF(COUNTIF($O$2:O1150,O1150)&gt;1,"DUP","OK")</f>
        <v>OK</v>
      </c>
      <c r="Q1150" s="7" t="n">
        <f aca="false">COUNTBLANK(A1150:N1150)</f>
        <v>2</v>
      </c>
      <c r="R1150" s="7" t="n">
        <f aca="false">IF(A1150="",0,COUNTIFS($A$2:$A$3058,A1150,$P$2:$P$3058,"OK"))</f>
        <v>1</v>
      </c>
      <c r="S1150" s="7" t="str">
        <f aca="false">IF(OR(A1150="",P1150="DUP",R1150&lt;2),"",IF(Q1150=_xlfn.MINIFS($Q$2:$Q$3058,$A$2:$A$3058,A1150,$P$2:$P$3058,"OK"),"KEEP","DROP"))</f>
        <v/>
      </c>
      <c r="T1150" s="9" t="n">
        <f aca="false">IF(A1150="",1,0)</f>
        <v>0</v>
      </c>
      <c r="U1150" s="9" t="n">
        <f aca="false">IF(D1150="",1,0)</f>
        <v>0</v>
      </c>
      <c r="V1150" s="9" t="n">
        <f aca="false">IF(E1150="",1,0)</f>
        <v>0</v>
      </c>
      <c r="W1150" s="9" t="n">
        <f aca="false">IF(OR(H1150&lt;1,H1150&gt;10),1,0)</f>
        <v>0</v>
      </c>
      <c r="X1150" s="9" t="n">
        <f aca="false">IF(OR(I1150&lt;=0,I1150&gt;1500),1,0)</f>
        <v>0</v>
      </c>
      <c r="Y1150" s="9" t="n">
        <f aca="false">IF(J1150&gt;H1150*I1150,1,0)</f>
        <v>0</v>
      </c>
      <c r="Z1150" s="9" t="n">
        <f aca="false">IF(AND(N1150&lt;&gt;"",OR(N1150&lt;1,N1150&gt;5)),1,0)</f>
        <v>0</v>
      </c>
      <c r="AA1150" s="9" t="n">
        <f aca="false">IF(AND(M1150&lt;&gt;"",OR(M1150&lt;5,M1150&gt;180)),1,0)</f>
        <v>0</v>
      </c>
      <c r="AB1150" s="7" t="str">
        <f aca="false">IF(P1150="DUP","Exact duplicate row",IF(T1150=1,"Missing Order ID",IF(S1150="DROP","Duplicate Order ID (less complete row)",IF(U1150=1,"Missing Customer ID",IF(V1150=1,"Missing Restaurant name",IF(W1150=1,"Invalid/outlier quantity",IF(X1150=1,"Invalid/outlier unit price",IF(Y1150=1,"Discount greater than order value",""))))))))</f>
        <v/>
      </c>
      <c r="AC1150" s="7" t="str">
        <f aca="false">IF(AB1150="","KEEP","DROP")</f>
        <v>KEEP</v>
      </c>
      <c r="AD1150" s="7" t="str">
        <f aca="false">IF(TRIM(F1150)="",IFERROR(INDEX(Map_Tables!$I$4:$I$37,MATCH(TRIM(E1150),Map_Tables!$G$4:$G$37,0)),""),IFERROR(INDEX(Map_Tables!$B$4:$B$18,MATCH(TRIM(F1150),Map_Tables!$A$4:$A$18,0)),"CHECK"))</f>
        <v>Delhi</v>
      </c>
      <c r="AE1150" s="7" t="str">
        <f aca="false">IF(TRIM(E1150)="","",IFERROR(INDEX(Map_Tables!$H$4:$H$37,MATCH(TRIM(E1150),Map_Tables!$G$4:$G$37,0)),"CHECK"))</f>
        <v>Momo Magic</v>
      </c>
      <c r="AF1150" s="7" t="str">
        <f aca="false">IF(TRIM(K1150)="","Unknown",IFERROR(INDEX(Map_Tables!$E$4:$E$15,MATCH(TRIM(K1150),Map_Tables!$D$4:$D$15,0)),"CHECK"))</f>
        <v>Credit Card</v>
      </c>
      <c r="AG1150" s="7" t="str">
        <f aca="false">IF(LEFT(LOWER(TRIM(L1150)),6)="cancel","Cancelled","Delivered")</f>
        <v>Cancelled</v>
      </c>
      <c r="AH1150" s="10" t="n">
        <f aca="false">IF(ISNUMBER(SEARCH("/",B1150)),DATE(VALUE(RIGHT(B1150,4)),VALUE(MID(B1150,4,2)),VALUE(LEFT(B1150,2))),IF(MID(B1150,5,1)="-",DATE(VALUE(LEFT(B1150,4)),VALUE(MID(B1150,6,2)),VALUE(RIGHT(B1150,2))),DATE(VALUE(RIGHT(B1150,4)),MATCH(MID(B1150,4,3),{"Jan","Feb","Mar","Apr","May","Jun","Jul","Aug","Sep","Oct","Nov","Dec"},0),VALUE(LEFT(B1150,2)))))</f>
        <v>45727</v>
      </c>
    </row>
    <row r="1151" customFormat="false" ht="15" hidden="false" customHeight="false" outlineLevel="0" collapsed="false">
      <c r="A1151" s="7" t="s">
        <v>3312</v>
      </c>
      <c r="B1151" s="7" t="s">
        <v>3313</v>
      </c>
      <c r="C1151" s="7" t="s">
        <v>1384</v>
      </c>
      <c r="D1151" s="7" t="s">
        <v>3314</v>
      </c>
      <c r="E1151" s="7" t="s">
        <v>98</v>
      </c>
      <c r="F1151" s="7" t="s">
        <v>86</v>
      </c>
      <c r="G1151" s="7" t="s">
        <v>99</v>
      </c>
      <c r="H1151" s="7" t="n">
        <v>3</v>
      </c>
      <c r="I1151" s="7" t="n">
        <v>295</v>
      </c>
      <c r="J1151" s="7" t="n">
        <v>30</v>
      </c>
      <c r="K1151" s="7" t="s">
        <v>88</v>
      </c>
      <c r="L1151" s="7" t="s">
        <v>194</v>
      </c>
      <c r="M1151" s="7" t="n">
        <v>38</v>
      </c>
      <c r="N1151" s="7" t="n">
        <v>5</v>
      </c>
      <c r="O1151" s="7" t="str">
        <f aca="false">A1151&amp;"|"&amp;B1151&amp;"|"&amp;C1151&amp;"|"&amp;D1151&amp;"|"&amp;E1151&amp;"|"&amp;F1151&amp;"|"&amp;G1151&amp;"|"&amp;H1151&amp;"|"&amp;I1151&amp;"|"&amp;J1151&amp;"|"&amp;K1151&amp;"|"&amp;L1151&amp;"|"&amp;M1151&amp;"|"&amp;N1151</f>
        <v>ORD10557|2025-03-12|12:24|C0843|Nawabi Biryani House|Bengaluru|Biryani|3|295|30|UPI|Delivered|38|5</v>
      </c>
      <c r="P1151" s="7" t="str">
        <f aca="false">IF(COUNTIF($O$2:O1151,O1151)&gt;1,"DUP","OK")</f>
        <v>OK</v>
      </c>
      <c r="Q1151" s="7" t="n">
        <f aca="false">COUNTBLANK(A1151:N1151)</f>
        <v>0</v>
      </c>
      <c r="R1151" s="7" t="n">
        <f aca="false">IF(A1151="",0,COUNTIFS($A$2:$A$3058,A1151,$P$2:$P$3058,"OK"))</f>
        <v>1</v>
      </c>
      <c r="S1151" s="7" t="str">
        <f aca="false">IF(OR(A1151="",P1151="DUP",R1151&lt;2),"",IF(Q1151=_xlfn.MINIFS($Q$2:$Q$3058,$A$2:$A$3058,A1151,$P$2:$P$3058,"OK"),"KEEP","DROP"))</f>
        <v/>
      </c>
      <c r="T1151" s="9" t="n">
        <f aca="false">IF(A1151="",1,0)</f>
        <v>0</v>
      </c>
      <c r="U1151" s="9" t="n">
        <f aca="false">IF(D1151="",1,0)</f>
        <v>0</v>
      </c>
      <c r="V1151" s="9" t="n">
        <f aca="false">IF(E1151="",1,0)</f>
        <v>0</v>
      </c>
      <c r="W1151" s="9" t="n">
        <f aca="false">IF(OR(H1151&lt;1,H1151&gt;10),1,0)</f>
        <v>0</v>
      </c>
      <c r="X1151" s="9" t="n">
        <f aca="false">IF(OR(I1151&lt;=0,I1151&gt;1500),1,0)</f>
        <v>0</v>
      </c>
      <c r="Y1151" s="9" t="n">
        <f aca="false">IF(J1151&gt;H1151*I1151,1,0)</f>
        <v>0</v>
      </c>
      <c r="Z1151" s="9" t="n">
        <f aca="false">IF(AND(N1151&lt;&gt;"",OR(N1151&lt;1,N1151&gt;5)),1,0)</f>
        <v>0</v>
      </c>
      <c r="AA1151" s="9" t="n">
        <f aca="false">IF(AND(M1151&lt;&gt;"",OR(M1151&lt;5,M1151&gt;180)),1,0)</f>
        <v>0</v>
      </c>
      <c r="AB1151" s="7" t="str">
        <f aca="false">IF(P1151="DUP","Exact duplicate row",IF(T1151=1,"Missing Order ID",IF(S1151="DROP","Duplicate Order ID (less complete row)",IF(U1151=1,"Missing Customer ID",IF(V1151=1,"Missing Restaurant name",IF(W1151=1,"Invalid/outlier quantity",IF(X1151=1,"Invalid/outlier unit price",IF(Y1151=1,"Discount greater than order value",""))))))))</f>
        <v/>
      </c>
      <c r="AC1151" s="7" t="str">
        <f aca="false">IF(AB1151="","KEEP","DROP")</f>
        <v>KEEP</v>
      </c>
      <c r="AD1151" s="7" t="str">
        <f aca="false">IF(TRIM(F1151)="",IFERROR(INDEX(Map_Tables!$I$4:$I$37,MATCH(TRIM(E1151),Map_Tables!$G$4:$G$37,0)),""),IFERROR(INDEX(Map_Tables!$B$4:$B$18,MATCH(TRIM(F1151),Map_Tables!$A$4:$A$18,0)),"CHECK"))</f>
        <v>Bengaluru</v>
      </c>
      <c r="AE1151" s="7" t="str">
        <f aca="false">IF(TRIM(E1151)="","",IFERROR(INDEX(Map_Tables!$H$4:$H$37,MATCH(TRIM(E1151),Map_Tables!$G$4:$G$37,0)),"CHECK"))</f>
        <v>Nawabi Biryani House</v>
      </c>
      <c r="AF1151" s="7" t="str">
        <f aca="false">IF(TRIM(K1151)="","Unknown",IFERROR(INDEX(Map_Tables!$E$4:$E$15,MATCH(TRIM(K1151),Map_Tables!$D$4:$D$15,0)),"CHECK"))</f>
        <v>UPI</v>
      </c>
      <c r="AG1151" s="7" t="str">
        <f aca="false">IF(LEFT(LOWER(TRIM(L1151)),6)="cancel","Cancelled","Delivered")</f>
        <v>Delivered</v>
      </c>
      <c r="AH1151" s="10" t="n">
        <f aca="false">IF(ISNUMBER(SEARCH("/",B1151)),DATE(VALUE(RIGHT(B1151,4)),VALUE(MID(B1151,4,2)),VALUE(LEFT(B1151,2))),IF(MID(B1151,5,1)="-",DATE(VALUE(LEFT(B1151,4)),VALUE(MID(B1151,6,2)),VALUE(RIGHT(B1151,2))),DATE(VALUE(RIGHT(B1151,4)),MATCH(MID(B1151,4,3),{"Jan","Feb","Mar","Apr","May","Jun","Jul","Aug","Sep","Oct","Nov","Dec"},0),VALUE(LEFT(B1151,2)))))</f>
        <v>45728</v>
      </c>
    </row>
    <row r="1152" customFormat="false" ht="15" hidden="false" customHeight="false" outlineLevel="0" collapsed="false">
      <c r="A1152" s="7" t="s">
        <v>3315</v>
      </c>
      <c r="B1152" s="7" t="s">
        <v>671</v>
      </c>
      <c r="C1152" s="7" t="s">
        <v>1288</v>
      </c>
      <c r="D1152" s="7" t="s">
        <v>1931</v>
      </c>
      <c r="E1152" s="7" t="s">
        <v>142</v>
      </c>
      <c r="F1152" s="7" t="s">
        <v>110</v>
      </c>
      <c r="G1152" s="7" t="s">
        <v>531</v>
      </c>
      <c r="H1152" s="7" t="n">
        <v>3</v>
      </c>
      <c r="I1152" s="7" t="n">
        <v>170</v>
      </c>
      <c r="J1152" s="7" t="n">
        <v>20</v>
      </c>
      <c r="K1152" s="7" t="s">
        <v>88</v>
      </c>
      <c r="L1152" s="7" t="s">
        <v>194</v>
      </c>
      <c r="M1152" s="7" t="n">
        <v>41</v>
      </c>
      <c r="N1152" s="7" t="n">
        <v>5</v>
      </c>
      <c r="O1152" s="7" t="str">
        <f aca="false">A1152&amp;"|"&amp;B1152&amp;"|"&amp;C1152&amp;"|"&amp;D1152&amp;"|"&amp;E1152&amp;"|"&amp;F1152&amp;"|"&amp;G1152&amp;"|"&amp;H1152&amp;"|"&amp;I1152&amp;"|"&amp;J1152&amp;"|"&amp;K1152&amp;"|"&amp;L1152&amp;"|"&amp;M1152&amp;"|"&amp;N1152</f>
        <v>ORD12562|2025-11-14|20:54|C0318|Momo Magic|Delhi|CHINESE|3|170|20|UPI|Delivered|41|5</v>
      </c>
      <c r="P1152" s="7" t="str">
        <f aca="false">IF(COUNTIF($O$2:O1152,O1152)&gt;1,"DUP","OK")</f>
        <v>OK</v>
      </c>
      <c r="Q1152" s="7" t="n">
        <f aca="false">COUNTBLANK(A1152:N1152)</f>
        <v>0</v>
      </c>
      <c r="R1152" s="7" t="n">
        <f aca="false">IF(A1152="",0,COUNTIFS($A$2:$A$3058,A1152,$P$2:$P$3058,"OK"))</f>
        <v>1</v>
      </c>
      <c r="S1152" s="7" t="str">
        <f aca="false">IF(OR(A1152="",P1152="DUP",R1152&lt;2),"",IF(Q1152=_xlfn.MINIFS($Q$2:$Q$3058,$A$2:$A$3058,A1152,$P$2:$P$3058,"OK"),"KEEP","DROP"))</f>
        <v/>
      </c>
      <c r="T1152" s="9" t="n">
        <f aca="false">IF(A1152="",1,0)</f>
        <v>0</v>
      </c>
      <c r="U1152" s="9" t="n">
        <f aca="false">IF(D1152="",1,0)</f>
        <v>0</v>
      </c>
      <c r="V1152" s="9" t="n">
        <f aca="false">IF(E1152="",1,0)</f>
        <v>0</v>
      </c>
      <c r="W1152" s="9" t="n">
        <f aca="false">IF(OR(H1152&lt;1,H1152&gt;10),1,0)</f>
        <v>0</v>
      </c>
      <c r="X1152" s="9" t="n">
        <f aca="false">IF(OR(I1152&lt;=0,I1152&gt;1500),1,0)</f>
        <v>0</v>
      </c>
      <c r="Y1152" s="9" t="n">
        <f aca="false">IF(J1152&gt;H1152*I1152,1,0)</f>
        <v>0</v>
      </c>
      <c r="Z1152" s="9" t="n">
        <f aca="false">IF(AND(N1152&lt;&gt;"",OR(N1152&lt;1,N1152&gt;5)),1,0)</f>
        <v>0</v>
      </c>
      <c r="AA1152" s="9" t="n">
        <f aca="false">IF(AND(M1152&lt;&gt;"",OR(M1152&lt;5,M1152&gt;180)),1,0)</f>
        <v>0</v>
      </c>
      <c r="AB1152" s="7" t="str">
        <f aca="false">IF(P1152="DUP","Exact duplicate row",IF(T1152=1,"Missing Order ID",IF(S1152="DROP","Duplicate Order ID (less complete row)",IF(U1152=1,"Missing Customer ID",IF(V1152=1,"Missing Restaurant name",IF(W1152=1,"Invalid/outlier quantity",IF(X1152=1,"Invalid/outlier unit price",IF(Y1152=1,"Discount greater than order value",""))))))))</f>
        <v/>
      </c>
      <c r="AC1152" s="7" t="str">
        <f aca="false">IF(AB1152="","KEEP","DROP")</f>
        <v>KEEP</v>
      </c>
      <c r="AD1152" s="7" t="str">
        <f aca="false">IF(TRIM(F1152)="",IFERROR(INDEX(Map_Tables!$I$4:$I$37,MATCH(TRIM(E1152),Map_Tables!$G$4:$G$37,0)),""),IFERROR(INDEX(Map_Tables!$B$4:$B$18,MATCH(TRIM(F1152),Map_Tables!$A$4:$A$18,0)),"CHECK"))</f>
        <v>Delhi</v>
      </c>
      <c r="AE1152" s="7" t="str">
        <f aca="false">IF(TRIM(E1152)="","",IFERROR(INDEX(Map_Tables!$H$4:$H$37,MATCH(TRIM(E1152),Map_Tables!$G$4:$G$37,0)),"CHECK"))</f>
        <v>Momo Magic</v>
      </c>
      <c r="AF1152" s="7" t="str">
        <f aca="false">IF(TRIM(K1152)="","Unknown",IFERROR(INDEX(Map_Tables!$E$4:$E$15,MATCH(TRIM(K1152),Map_Tables!$D$4:$D$15,0)),"CHECK"))</f>
        <v>UPI</v>
      </c>
      <c r="AG1152" s="7" t="str">
        <f aca="false">IF(LEFT(LOWER(TRIM(L1152)),6)="cancel","Cancelled","Delivered")</f>
        <v>Delivered</v>
      </c>
      <c r="AH1152" s="10" t="n">
        <f aca="false">IF(ISNUMBER(SEARCH("/",B1152)),DATE(VALUE(RIGHT(B1152,4)),VALUE(MID(B1152,4,2)),VALUE(LEFT(B1152,2))),IF(MID(B1152,5,1)="-",DATE(VALUE(LEFT(B1152,4)),VALUE(MID(B1152,6,2)),VALUE(RIGHT(B1152,2))),DATE(VALUE(RIGHT(B1152,4)),MATCH(MID(B1152,4,3),{"Jan","Feb","Mar","Apr","May","Jun","Jul","Aug","Sep","Oct","Nov","Dec"},0),VALUE(LEFT(B1152,2)))))</f>
        <v>45975</v>
      </c>
    </row>
    <row r="1153" customFormat="false" ht="15" hidden="false" customHeight="false" outlineLevel="0" collapsed="false">
      <c r="A1153" s="7" t="s">
        <v>3316</v>
      </c>
      <c r="B1153" s="7" t="s">
        <v>1150</v>
      </c>
      <c r="C1153" s="7" t="s">
        <v>2083</v>
      </c>
      <c r="D1153" s="7" t="s">
        <v>3017</v>
      </c>
      <c r="E1153" s="7" t="s">
        <v>130</v>
      </c>
      <c r="F1153" s="7" t="s">
        <v>109</v>
      </c>
      <c r="G1153" s="7" t="s">
        <v>90</v>
      </c>
      <c r="H1153" s="7" t="n">
        <v>1</v>
      </c>
      <c r="I1153" s="7" t="n">
        <v>285</v>
      </c>
      <c r="J1153" s="7" t="n">
        <v>0</v>
      </c>
      <c r="K1153" s="7" t="s">
        <v>121</v>
      </c>
      <c r="L1153" s="7" t="s">
        <v>194</v>
      </c>
      <c r="M1153" s="7" t="n">
        <v>31</v>
      </c>
      <c r="N1153" s="7" t="n">
        <v>5</v>
      </c>
      <c r="O1153" s="7" t="str">
        <f aca="false">A1153&amp;"|"&amp;B1153&amp;"|"&amp;C1153&amp;"|"&amp;D1153&amp;"|"&amp;E1153&amp;"|"&amp;F1153&amp;"|"&amp;G1153&amp;"|"&amp;H1153&amp;"|"&amp;I1153&amp;"|"&amp;J1153&amp;"|"&amp;K1153&amp;"|"&amp;L1153&amp;"|"&amp;M1153&amp;"|"&amp;N1153</f>
        <v>ORD10542|2025-03-10|21:13|C1211|Tandoor Tales|delhi|North Indian|1|285|0|Wallet|Delivered|31|5</v>
      </c>
      <c r="P1153" s="7" t="str">
        <f aca="false">IF(COUNTIF($O$2:O1153,O1153)&gt;1,"DUP","OK")</f>
        <v>OK</v>
      </c>
      <c r="Q1153" s="7" t="n">
        <f aca="false">COUNTBLANK(A1153:N1153)</f>
        <v>0</v>
      </c>
      <c r="R1153" s="7" t="n">
        <f aca="false">IF(A1153="",0,COUNTIFS($A$2:$A$3058,A1153,$P$2:$P$3058,"OK"))</f>
        <v>1</v>
      </c>
      <c r="S1153" s="7" t="str">
        <f aca="false">IF(OR(A1153="",P1153="DUP",R1153&lt;2),"",IF(Q1153=_xlfn.MINIFS($Q$2:$Q$3058,$A$2:$A$3058,A1153,$P$2:$P$3058,"OK"),"KEEP","DROP"))</f>
        <v/>
      </c>
      <c r="T1153" s="9" t="n">
        <f aca="false">IF(A1153="",1,0)</f>
        <v>0</v>
      </c>
      <c r="U1153" s="9" t="n">
        <f aca="false">IF(D1153="",1,0)</f>
        <v>0</v>
      </c>
      <c r="V1153" s="9" t="n">
        <f aca="false">IF(E1153="",1,0)</f>
        <v>0</v>
      </c>
      <c r="W1153" s="9" t="n">
        <f aca="false">IF(OR(H1153&lt;1,H1153&gt;10),1,0)</f>
        <v>0</v>
      </c>
      <c r="X1153" s="9" t="n">
        <f aca="false">IF(OR(I1153&lt;=0,I1153&gt;1500),1,0)</f>
        <v>0</v>
      </c>
      <c r="Y1153" s="9" t="n">
        <f aca="false">IF(J1153&gt;H1153*I1153,1,0)</f>
        <v>0</v>
      </c>
      <c r="Z1153" s="9" t="n">
        <f aca="false">IF(AND(N1153&lt;&gt;"",OR(N1153&lt;1,N1153&gt;5)),1,0)</f>
        <v>0</v>
      </c>
      <c r="AA1153" s="9" t="n">
        <f aca="false">IF(AND(M1153&lt;&gt;"",OR(M1153&lt;5,M1153&gt;180)),1,0)</f>
        <v>0</v>
      </c>
      <c r="AB1153" s="7" t="str">
        <f aca="false">IF(P1153="DUP","Exact duplicate row",IF(T1153=1,"Missing Order ID",IF(S1153="DROP","Duplicate Order ID (less complete row)",IF(U1153=1,"Missing Customer ID",IF(V1153=1,"Missing Restaurant name",IF(W1153=1,"Invalid/outlier quantity",IF(X1153=1,"Invalid/outlier unit price",IF(Y1153=1,"Discount greater than order value",""))))))))</f>
        <v/>
      </c>
      <c r="AC1153" s="7" t="str">
        <f aca="false">IF(AB1153="","KEEP","DROP")</f>
        <v>KEEP</v>
      </c>
      <c r="AD1153" s="7" t="str">
        <f aca="false">IF(TRIM(F1153)="",IFERROR(INDEX(Map_Tables!$I$4:$I$37,MATCH(TRIM(E1153),Map_Tables!$G$4:$G$37,0)),""),IFERROR(INDEX(Map_Tables!$B$4:$B$18,MATCH(TRIM(F1153),Map_Tables!$A$4:$A$18,0)),"CHECK"))</f>
        <v>Delhi</v>
      </c>
      <c r="AE1153" s="7" t="str">
        <f aca="false">IF(TRIM(E1153)="","",IFERROR(INDEX(Map_Tables!$H$4:$H$37,MATCH(TRIM(E1153),Map_Tables!$G$4:$G$37,0)),"CHECK"))</f>
        <v>Tandoor Tales</v>
      </c>
      <c r="AF1153" s="7" t="str">
        <f aca="false">IF(TRIM(K1153)="","Unknown",IFERROR(INDEX(Map_Tables!$E$4:$E$15,MATCH(TRIM(K1153),Map_Tables!$D$4:$D$15,0)),"CHECK"))</f>
        <v>Wallet</v>
      </c>
      <c r="AG1153" s="7" t="str">
        <f aca="false">IF(LEFT(LOWER(TRIM(L1153)),6)="cancel","Cancelled","Delivered")</f>
        <v>Delivered</v>
      </c>
      <c r="AH1153" s="10" t="n">
        <f aca="false">IF(ISNUMBER(SEARCH("/",B1153)),DATE(VALUE(RIGHT(B1153,4)),VALUE(MID(B1153,4,2)),VALUE(LEFT(B1153,2))),IF(MID(B1153,5,1)="-",DATE(VALUE(LEFT(B1153,4)),VALUE(MID(B1153,6,2)),VALUE(RIGHT(B1153,2))),DATE(VALUE(RIGHT(B1153,4)),MATCH(MID(B1153,4,3),{"Jan","Feb","Mar","Apr","May","Jun","Jul","Aug","Sep","Oct","Nov","Dec"},0),VALUE(LEFT(B1153,2)))))</f>
        <v>45726</v>
      </c>
    </row>
    <row r="1154" customFormat="false" ht="15" hidden="false" customHeight="false" outlineLevel="0" collapsed="false">
      <c r="A1154" s="7" t="s">
        <v>3317</v>
      </c>
      <c r="B1154" s="7" t="s">
        <v>2150</v>
      </c>
      <c r="C1154" s="7" t="s">
        <v>2325</v>
      </c>
      <c r="D1154" s="7" t="s">
        <v>520</v>
      </c>
      <c r="E1154" s="7" t="s">
        <v>3318</v>
      </c>
      <c r="F1154" s="7" t="s">
        <v>86</v>
      </c>
      <c r="G1154" s="7" t="s">
        <v>105</v>
      </c>
      <c r="H1154" s="7" t="n">
        <v>1</v>
      </c>
      <c r="I1154" s="7" t="n">
        <v>260</v>
      </c>
      <c r="J1154" s="7" t="n">
        <v>0</v>
      </c>
      <c r="K1154" s="7" t="s">
        <v>88</v>
      </c>
      <c r="L1154" s="7" t="s">
        <v>194</v>
      </c>
      <c r="M1154" s="7" t="n">
        <v>30</v>
      </c>
      <c r="N1154" s="7" t="n">
        <v>4</v>
      </c>
      <c r="O1154" s="7" t="str">
        <f aca="false">A1154&amp;"|"&amp;B1154&amp;"|"&amp;C1154&amp;"|"&amp;D1154&amp;"|"&amp;E1154&amp;"|"&amp;F1154&amp;"|"&amp;G1154&amp;"|"&amp;H1154&amp;"|"&amp;I1154&amp;"|"&amp;J1154&amp;"|"&amp;K1154&amp;"|"&amp;L1154&amp;"|"&amp;M1154&amp;"|"&amp;N1154</f>
        <v>ORD11766|2025-08-19|18:46|C1338|Wok &amp; Roll |Bengaluru|Chinese|1|260|0|UPI|Delivered|30|4</v>
      </c>
      <c r="P1154" s="7" t="str">
        <f aca="false">IF(COUNTIF($O$2:O1154,O1154)&gt;1,"DUP","OK")</f>
        <v>OK</v>
      </c>
      <c r="Q1154" s="7" t="n">
        <f aca="false">COUNTBLANK(A1154:N1154)</f>
        <v>0</v>
      </c>
      <c r="R1154" s="7" t="n">
        <f aca="false">IF(A1154="",0,COUNTIFS($A$2:$A$3058,A1154,$P$2:$P$3058,"OK"))</f>
        <v>1</v>
      </c>
      <c r="S1154" s="7" t="str">
        <f aca="false">IF(OR(A1154="",P1154="DUP",R1154&lt;2),"",IF(Q1154=_xlfn.MINIFS($Q$2:$Q$3058,$A$2:$A$3058,A1154,$P$2:$P$3058,"OK"),"KEEP","DROP"))</f>
        <v/>
      </c>
      <c r="T1154" s="9" t="n">
        <f aca="false">IF(A1154="",1,0)</f>
        <v>0</v>
      </c>
      <c r="U1154" s="9" t="n">
        <f aca="false">IF(D1154="",1,0)</f>
        <v>0</v>
      </c>
      <c r="V1154" s="9" t="n">
        <f aca="false">IF(E1154="",1,0)</f>
        <v>0</v>
      </c>
      <c r="W1154" s="9" t="n">
        <f aca="false">IF(OR(H1154&lt;1,H1154&gt;10),1,0)</f>
        <v>0</v>
      </c>
      <c r="X1154" s="9" t="n">
        <f aca="false">IF(OR(I1154&lt;=0,I1154&gt;1500),1,0)</f>
        <v>0</v>
      </c>
      <c r="Y1154" s="9" t="n">
        <f aca="false">IF(J1154&gt;H1154*I1154,1,0)</f>
        <v>0</v>
      </c>
      <c r="Z1154" s="9" t="n">
        <f aca="false">IF(AND(N1154&lt;&gt;"",OR(N1154&lt;1,N1154&gt;5)),1,0)</f>
        <v>0</v>
      </c>
      <c r="AA1154" s="9" t="n">
        <f aca="false">IF(AND(M1154&lt;&gt;"",OR(M1154&lt;5,M1154&gt;180)),1,0)</f>
        <v>0</v>
      </c>
      <c r="AB1154" s="7" t="str">
        <f aca="false">IF(P1154="DUP","Exact duplicate row",IF(T1154=1,"Missing Order ID",IF(S1154="DROP","Duplicate Order ID (less complete row)",IF(U1154=1,"Missing Customer ID",IF(V1154=1,"Missing Restaurant name",IF(W1154=1,"Invalid/outlier quantity",IF(X1154=1,"Invalid/outlier unit price",IF(Y1154=1,"Discount greater than order value",""))))))))</f>
        <v/>
      </c>
      <c r="AC1154" s="7" t="str">
        <f aca="false">IF(AB1154="","KEEP","DROP")</f>
        <v>KEEP</v>
      </c>
      <c r="AD1154" s="7" t="str">
        <f aca="false">IF(TRIM(F1154)="",IFERROR(INDEX(Map_Tables!$I$4:$I$37,MATCH(TRIM(E1154),Map_Tables!$G$4:$G$37,0)),""),IFERROR(INDEX(Map_Tables!$B$4:$B$18,MATCH(TRIM(F1154),Map_Tables!$A$4:$A$18,0)),"CHECK"))</f>
        <v>Bengaluru</v>
      </c>
      <c r="AE1154" s="7" t="str">
        <f aca="false">IF(TRIM(E1154)="","",IFERROR(INDEX(Map_Tables!$H$4:$H$37,MATCH(TRIM(E1154),Map_Tables!$G$4:$G$37,0)),"CHECK"))</f>
        <v>Wok &amp; Roll</v>
      </c>
      <c r="AF1154" s="7" t="str">
        <f aca="false">IF(TRIM(K1154)="","Unknown",IFERROR(INDEX(Map_Tables!$E$4:$E$15,MATCH(TRIM(K1154),Map_Tables!$D$4:$D$15,0)),"CHECK"))</f>
        <v>UPI</v>
      </c>
      <c r="AG1154" s="7" t="str">
        <f aca="false">IF(LEFT(LOWER(TRIM(L1154)),6)="cancel","Cancelled","Delivered")</f>
        <v>Delivered</v>
      </c>
      <c r="AH1154" s="10" t="n">
        <f aca="false">IF(ISNUMBER(SEARCH("/",B1154)),DATE(VALUE(RIGHT(B1154,4)),VALUE(MID(B1154,4,2)),VALUE(LEFT(B1154,2))),IF(MID(B1154,5,1)="-",DATE(VALUE(LEFT(B1154,4)),VALUE(MID(B1154,6,2)),VALUE(RIGHT(B1154,2))),DATE(VALUE(RIGHT(B1154,4)),MATCH(MID(B1154,4,3),{"Jan","Feb","Mar","Apr","May","Jun","Jul","Aug","Sep","Oct","Nov","Dec"},0),VALUE(LEFT(B1154,2)))))</f>
        <v>45888</v>
      </c>
    </row>
    <row r="1155" customFormat="false" ht="15" hidden="false" customHeight="false" outlineLevel="0" collapsed="false">
      <c r="A1155" s="7" t="s">
        <v>3319</v>
      </c>
      <c r="B1155" s="7" t="s">
        <v>1919</v>
      </c>
      <c r="C1155" s="7" t="s">
        <v>1449</v>
      </c>
      <c r="D1155" s="7" t="s">
        <v>2537</v>
      </c>
      <c r="E1155" s="7" t="s">
        <v>113</v>
      </c>
      <c r="F1155" s="7" t="s">
        <v>101</v>
      </c>
      <c r="G1155" s="7" t="s">
        <v>90</v>
      </c>
      <c r="H1155" s="7" t="n">
        <v>1</v>
      </c>
      <c r="I1155" s="7" t="n">
        <v>220</v>
      </c>
      <c r="J1155" s="7" t="n">
        <v>0</v>
      </c>
      <c r="K1155" s="7" t="s">
        <v>421</v>
      </c>
      <c r="L1155" s="7" t="s">
        <v>194</v>
      </c>
      <c r="M1155" s="7" t="n">
        <v>34</v>
      </c>
      <c r="N1155" s="7" t="n">
        <v>5</v>
      </c>
      <c r="O1155" s="7" t="str">
        <f aca="false">A1155&amp;"|"&amp;B1155&amp;"|"&amp;C1155&amp;"|"&amp;D1155&amp;"|"&amp;E1155&amp;"|"&amp;F1155&amp;"|"&amp;G1155&amp;"|"&amp;H1155&amp;"|"&amp;I1155&amp;"|"&amp;J1155&amp;"|"&amp;K1155&amp;"|"&amp;L1155&amp;"|"&amp;M1155&amp;"|"&amp;N1155</f>
        <v>ORD10265|2025-02-05|11:58|C0654|Curry Leaf Kitchen|Mumbai|North Indian|1|220|0|UPI |Delivered|34|5</v>
      </c>
      <c r="P1155" s="7" t="str">
        <f aca="false">IF(COUNTIF($O$2:O1155,O1155)&gt;1,"DUP","OK")</f>
        <v>OK</v>
      </c>
      <c r="Q1155" s="7" t="n">
        <f aca="false">COUNTBLANK(A1155:N1155)</f>
        <v>0</v>
      </c>
      <c r="R1155" s="7" t="n">
        <f aca="false">IF(A1155="",0,COUNTIFS($A$2:$A$3058,A1155,$P$2:$P$3058,"OK"))</f>
        <v>1</v>
      </c>
      <c r="S1155" s="7" t="str">
        <f aca="false">IF(OR(A1155="",P1155="DUP",R1155&lt;2),"",IF(Q1155=_xlfn.MINIFS($Q$2:$Q$3058,$A$2:$A$3058,A1155,$P$2:$P$3058,"OK"),"KEEP","DROP"))</f>
        <v/>
      </c>
      <c r="T1155" s="9" t="n">
        <f aca="false">IF(A1155="",1,0)</f>
        <v>0</v>
      </c>
      <c r="U1155" s="9" t="n">
        <f aca="false">IF(D1155="",1,0)</f>
        <v>0</v>
      </c>
      <c r="V1155" s="9" t="n">
        <f aca="false">IF(E1155="",1,0)</f>
        <v>0</v>
      </c>
      <c r="W1155" s="9" t="n">
        <f aca="false">IF(OR(H1155&lt;1,H1155&gt;10),1,0)</f>
        <v>0</v>
      </c>
      <c r="X1155" s="9" t="n">
        <f aca="false">IF(OR(I1155&lt;=0,I1155&gt;1500),1,0)</f>
        <v>0</v>
      </c>
      <c r="Y1155" s="9" t="n">
        <f aca="false">IF(J1155&gt;H1155*I1155,1,0)</f>
        <v>0</v>
      </c>
      <c r="Z1155" s="9" t="n">
        <f aca="false">IF(AND(N1155&lt;&gt;"",OR(N1155&lt;1,N1155&gt;5)),1,0)</f>
        <v>0</v>
      </c>
      <c r="AA1155" s="9" t="n">
        <f aca="false">IF(AND(M1155&lt;&gt;"",OR(M1155&lt;5,M1155&gt;180)),1,0)</f>
        <v>0</v>
      </c>
      <c r="AB1155" s="7" t="str">
        <f aca="false">IF(P1155="DUP","Exact duplicate row",IF(T1155=1,"Missing Order ID",IF(S1155="DROP","Duplicate Order ID (less complete row)",IF(U1155=1,"Missing Customer ID",IF(V1155=1,"Missing Restaurant name",IF(W1155=1,"Invalid/outlier quantity",IF(X1155=1,"Invalid/outlier unit price",IF(Y1155=1,"Discount greater than order value",""))))))))</f>
        <v/>
      </c>
      <c r="AC1155" s="7" t="str">
        <f aca="false">IF(AB1155="","KEEP","DROP")</f>
        <v>KEEP</v>
      </c>
      <c r="AD1155" s="7" t="str">
        <f aca="false">IF(TRIM(F1155)="",IFERROR(INDEX(Map_Tables!$I$4:$I$37,MATCH(TRIM(E1155),Map_Tables!$G$4:$G$37,0)),""),IFERROR(INDEX(Map_Tables!$B$4:$B$18,MATCH(TRIM(F1155),Map_Tables!$A$4:$A$18,0)),"CHECK"))</f>
        <v>Mumbai</v>
      </c>
      <c r="AE1155" s="7" t="str">
        <f aca="false">IF(TRIM(E1155)="","",IFERROR(INDEX(Map_Tables!$H$4:$H$37,MATCH(TRIM(E1155),Map_Tables!$G$4:$G$37,0)),"CHECK"))</f>
        <v>Curry Leaf Kitchen</v>
      </c>
      <c r="AF1155" s="7" t="str">
        <f aca="false">IF(TRIM(K1155)="","Unknown",IFERROR(INDEX(Map_Tables!$E$4:$E$15,MATCH(TRIM(K1155),Map_Tables!$D$4:$D$15,0)),"CHECK"))</f>
        <v>UPI</v>
      </c>
      <c r="AG1155" s="7" t="str">
        <f aca="false">IF(LEFT(LOWER(TRIM(L1155)),6)="cancel","Cancelled","Delivered")</f>
        <v>Delivered</v>
      </c>
      <c r="AH1155" s="10" t="n">
        <f aca="false">IF(ISNUMBER(SEARCH("/",B1155)),DATE(VALUE(RIGHT(B1155,4)),VALUE(MID(B1155,4,2)),VALUE(LEFT(B1155,2))),IF(MID(B1155,5,1)="-",DATE(VALUE(LEFT(B1155,4)),VALUE(MID(B1155,6,2)),VALUE(RIGHT(B1155,2))),DATE(VALUE(RIGHT(B1155,4)),MATCH(MID(B1155,4,3),{"Jan","Feb","Mar","Apr","May","Jun","Jul","Aug","Sep","Oct","Nov","Dec"},0),VALUE(LEFT(B1155,2)))))</f>
        <v>45693</v>
      </c>
    </row>
    <row r="1156" customFormat="false" ht="15" hidden="false" customHeight="false" outlineLevel="0" collapsed="false">
      <c r="A1156" s="7" t="s">
        <v>3320</v>
      </c>
      <c r="B1156" s="7" t="s">
        <v>3321</v>
      </c>
      <c r="C1156" s="7" t="s">
        <v>1901</v>
      </c>
      <c r="D1156" s="7" t="s">
        <v>1067</v>
      </c>
      <c r="E1156" s="7" t="s">
        <v>116</v>
      </c>
      <c r="F1156" s="7" t="s">
        <v>101</v>
      </c>
      <c r="G1156" s="7" t="s">
        <v>117</v>
      </c>
      <c r="H1156" s="7" t="n">
        <v>1</v>
      </c>
      <c r="I1156" s="7" t="n">
        <v>130</v>
      </c>
      <c r="J1156" s="7" t="n">
        <v>40</v>
      </c>
      <c r="K1156" s="7" t="s">
        <v>93</v>
      </c>
      <c r="L1156" s="7" t="s">
        <v>194</v>
      </c>
      <c r="M1156" s="7" t="n">
        <v>38</v>
      </c>
      <c r="N1156" s="7" t="n">
        <v>3</v>
      </c>
      <c r="O1156" s="7" t="str">
        <f aca="false">A1156&amp;"|"&amp;B1156&amp;"|"&amp;C1156&amp;"|"&amp;D1156&amp;"|"&amp;E1156&amp;"|"&amp;F1156&amp;"|"&amp;G1156&amp;"|"&amp;H1156&amp;"|"&amp;I1156&amp;"|"&amp;J1156&amp;"|"&amp;K1156&amp;"|"&amp;L1156&amp;"|"&amp;M1156&amp;"|"&amp;N1156</f>
        <v>ORD12174|04/10/2025|18:33|C0662|Pav Bhaji Point|Mumbai|Street Food|1|130|40|Credit Card|Delivered|38|3</v>
      </c>
      <c r="P1156" s="7" t="str">
        <f aca="false">IF(COUNTIF($O$2:O1156,O1156)&gt;1,"DUP","OK")</f>
        <v>OK</v>
      </c>
      <c r="Q1156" s="7" t="n">
        <f aca="false">COUNTBLANK(A1156:N1156)</f>
        <v>0</v>
      </c>
      <c r="R1156" s="7" t="n">
        <f aca="false">IF(A1156="",0,COUNTIFS($A$2:$A$3058,A1156,$P$2:$P$3058,"OK"))</f>
        <v>1</v>
      </c>
      <c r="S1156" s="7" t="str">
        <f aca="false">IF(OR(A1156="",P1156="DUP",R1156&lt;2),"",IF(Q1156=_xlfn.MINIFS($Q$2:$Q$3058,$A$2:$A$3058,A1156,$P$2:$P$3058,"OK"),"KEEP","DROP"))</f>
        <v/>
      </c>
      <c r="T1156" s="9" t="n">
        <f aca="false">IF(A1156="",1,0)</f>
        <v>0</v>
      </c>
      <c r="U1156" s="9" t="n">
        <f aca="false">IF(D1156="",1,0)</f>
        <v>0</v>
      </c>
      <c r="V1156" s="9" t="n">
        <f aca="false">IF(E1156="",1,0)</f>
        <v>0</v>
      </c>
      <c r="W1156" s="9" t="n">
        <f aca="false">IF(OR(H1156&lt;1,H1156&gt;10),1,0)</f>
        <v>0</v>
      </c>
      <c r="X1156" s="9" t="n">
        <f aca="false">IF(OR(I1156&lt;=0,I1156&gt;1500),1,0)</f>
        <v>0</v>
      </c>
      <c r="Y1156" s="9" t="n">
        <f aca="false">IF(J1156&gt;H1156*I1156,1,0)</f>
        <v>0</v>
      </c>
      <c r="Z1156" s="9" t="n">
        <f aca="false">IF(AND(N1156&lt;&gt;"",OR(N1156&lt;1,N1156&gt;5)),1,0)</f>
        <v>0</v>
      </c>
      <c r="AA1156" s="9" t="n">
        <f aca="false">IF(AND(M1156&lt;&gt;"",OR(M1156&lt;5,M1156&gt;180)),1,0)</f>
        <v>0</v>
      </c>
      <c r="AB1156" s="7" t="str">
        <f aca="false">IF(P1156="DUP","Exact duplicate row",IF(T1156=1,"Missing Order ID",IF(S1156="DROP","Duplicate Order ID (less complete row)",IF(U1156=1,"Missing Customer ID",IF(V1156=1,"Missing Restaurant name",IF(W1156=1,"Invalid/outlier quantity",IF(X1156=1,"Invalid/outlier unit price",IF(Y1156=1,"Discount greater than order value",""))))))))</f>
        <v/>
      </c>
      <c r="AC1156" s="7" t="str">
        <f aca="false">IF(AB1156="","KEEP","DROP")</f>
        <v>KEEP</v>
      </c>
      <c r="AD1156" s="7" t="str">
        <f aca="false">IF(TRIM(F1156)="",IFERROR(INDEX(Map_Tables!$I$4:$I$37,MATCH(TRIM(E1156),Map_Tables!$G$4:$G$37,0)),""),IFERROR(INDEX(Map_Tables!$B$4:$B$18,MATCH(TRIM(F1156),Map_Tables!$A$4:$A$18,0)),"CHECK"))</f>
        <v>Mumbai</v>
      </c>
      <c r="AE1156" s="7" t="str">
        <f aca="false">IF(TRIM(E1156)="","",IFERROR(INDEX(Map_Tables!$H$4:$H$37,MATCH(TRIM(E1156),Map_Tables!$G$4:$G$37,0)),"CHECK"))</f>
        <v>Pav Bhaji Point</v>
      </c>
      <c r="AF1156" s="7" t="str">
        <f aca="false">IF(TRIM(K1156)="","Unknown",IFERROR(INDEX(Map_Tables!$E$4:$E$15,MATCH(TRIM(K1156),Map_Tables!$D$4:$D$15,0)),"CHECK"))</f>
        <v>Credit Card</v>
      </c>
      <c r="AG1156" s="7" t="str">
        <f aca="false">IF(LEFT(LOWER(TRIM(L1156)),6)="cancel","Cancelled","Delivered")</f>
        <v>Delivered</v>
      </c>
      <c r="AH1156" s="10" t="n">
        <f aca="false">IF(ISNUMBER(SEARCH("/",B1156)),DATE(VALUE(RIGHT(B1156,4)),VALUE(MID(B1156,4,2)),VALUE(LEFT(B1156,2))),IF(MID(B1156,5,1)="-",DATE(VALUE(LEFT(B1156,4)),VALUE(MID(B1156,6,2)),VALUE(RIGHT(B1156,2))),DATE(VALUE(RIGHT(B1156,4)),MATCH(MID(B1156,4,3),{"Jan","Feb","Mar","Apr","May","Jun","Jul","Aug","Sep","Oct","Nov","Dec"},0),VALUE(LEFT(B1156,2)))))</f>
        <v>45934</v>
      </c>
    </row>
    <row r="1157" customFormat="false" ht="15" hidden="false" customHeight="false" outlineLevel="0" collapsed="false">
      <c r="A1157" s="7" t="s">
        <v>3322</v>
      </c>
      <c r="B1157" s="7" t="s">
        <v>2324</v>
      </c>
      <c r="C1157" s="7" t="s">
        <v>2369</v>
      </c>
      <c r="D1157" s="7" t="s">
        <v>3323</v>
      </c>
      <c r="E1157" s="7" t="s">
        <v>113</v>
      </c>
      <c r="F1157" s="7" t="s">
        <v>1557</v>
      </c>
      <c r="G1157" s="7" t="s">
        <v>90</v>
      </c>
      <c r="H1157" s="7" t="n">
        <v>3</v>
      </c>
      <c r="I1157" s="7" t="n">
        <v>275</v>
      </c>
      <c r="J1157" s="7" t="n">
        <v>20</v>
      </c>
      <c r="K1157" s="7" t="s">
        <v>93</v>
      </c>
      <c r="L1157" s="7" t="s">
        <v>194</v>
      </c>
      <c r="M1157" s="7" t="n">
        <v>47</v>
      </c>
      <c r="N1157" s="7" t="n">
        <v>3</v>
      </c>
      <c r="O1157" s="7" t="str">
        <f aca="false">A1157&amp;"|"&amp;B1157&amp;"|"&amp;C1157&amp;"|"&amp;D1157&amp;"|"&amp;E1157&amp;"|"&amp;F1157&amp;"|"&amp;G1157&amp;"|"&amp;H1157&amp;"|"&amp;I1157&amp;"|"&amp;J1157&amp;"|"&amp;K1157&amp;"|"&amp;L1157&amp;"|"&amp;M1157&amp;"|"&amp;N1157</f>
        <v>ORD12197|2025-10-06|21:38|C0628|Curry Leaf Kitchen|Mumbai |North Indian|3|275|20|Credit Card|Delivered|47|3</v>
      </c>
      <c r="P1157" s="7" t="str">
        <f aca="false">IF(COUNTIF($O$2:O1157,O1157)&gt;1,"DUP","OK")</f>
        <v>OK</v>
      </c>
      <c r="Q1157" s="7" t="n">
        <f aca="false">COUNTBLANK(A1157:N1157)</f>
        <v>0</v>
      </c>
      <c r="R1157" s="7" t="n">
        <f aca="false">IF(A1157="",0,COUNTIFS($A$2:$A$3058,A1157,$P$2:$P$3058,"OK"))</f>
        <v>1</v>
      </c>
      <c r="S1157" s="7" t="str">
        <f aca="false">IF(OR(A1157="",P1157="DUP",R1157&lt;2),"",IF(Q1157=_xlfn.MINIFS($Q$2:$Q$3058,$A$2:$A$3058,A1157,$P$2:$P$3058,"OK"),"KEEP","DROP"))</f>
        <v/>
      </c>
      <c r="T1157" s="9" t="n">
        <f aca="false">IF(A1157="",1,0)</f>
        <v>0</v>
      </c>
      <c r="U1157" s="9" t="n">
        <f aca="false">IF(D1157="",1,0)</f>
        <v>0</v>
      </c>
      <c r="V1157" s="9" t="n">
        <f aca="false">IF(E1157="",1,0)</f>
        <v>0</v>
      </c>
      <c r="W1157" s="9" t="n">
        <f aca="false">IF(OR(H1157&lt;1,H1157&gt;10),1,0)</f>
        <v>0</v>
      </c>
      <c r="X1157" s="9" t="n">
        <f aca="false">IF(OR(I1157&lt;=0,I1157&gt;1500),1,0)</f>
        <v>0</v>
      </c>
      <c r="Y1157" s="9" t="n">
        <f aca="false">IF(J1157&gt;H1157*I1157,1,0)</f>
        <v>0</v>
      </c>
      <c r="Z1157" s="9" t="n">
        <f aca="false">IF(AND(N1157&lt;&gt;"",OR(N1157&lt;1,N1157&gt;5)),1,0)</f>
        <v>0</v>
      </c>
      <c r="AA1157" s="9" t="n">
        <f aca="false">IF(AND(M1157&lt;&gt;"",OR(M1157&lt;5,M1157&gt;180)),1,0)</f>
        <v>0</v>
      </c>
      <c r="AB1157" s="7" t="str">
        <f aca="false">IF(P1157="DUP","Exact duplicate row",IF(T1157=1,"Missing Order ID",IF(S1157="DROP","Duplicate Order ID (less complete row)",IF(U1157=1,"Missing Customer ID",IF(V1157=1,"Missing Restaurant name",IF(W1157=1,"Invalid/outlier quantity",IF(X1157=1,"Invalid/outlier unit price",IF(Y1157=1,"Discount greater than order value",""))))))))</f>
        <v/>
      </c>
      <c r="AC1157" s="7" t="str">
        <f aca="false">IF(AB1157="","KEEP","DROP")</f>
        <v>KEEP</v>
      </c>
      <c r="AD1157" s="7" t="str">
        <f aca="false">IF(TRIM(F1157)="",IFERROR(INDEX(Map_Tables!$I$4:$I$37,MATCH(TRIM(E1157),Map_Tables!$G$4:$G$37,0)),""),IFERROR(INDEX(Map_Tables!$B$4:$B$18,MATCH(TRIM(F1157),Map_Tables!$A$4:$A$18,0)),"CHECK"))</f>
        <v>Mumbai</v>
      </c>
      <c r="AE1157" s="7" t="str">
        <f aca="false">IF(TRIM(E1157)="","",IFERROR(INDEX(Map_Tables!$H$4:$H$37,MATCH(TRIM(E1157),Map_Tables!$G$4:$G$37,0)),"CHECK"))</f>
        <v>Curry Leaf Kitchen</v>
      </c>
      <c r="AF1157" s="7" t="str">
        <f aca="false">IF(TRIM(K1157)="","Unknown",IFERROR(INDEX(Map_Tables!$E$4:$E$15,MATCH(TRIM(K1157),Map_Tables!$D$4:$D$15,0)),"CHECK"))</f>
        <v>Credit Card</v>
      </c>
      <c r="AG1157" s="7" t="str">
        <f aca="false">IF(LEFT(LOWER(TRIM(L1157)),6)="cancel","Cancelled","Delivered")</f>
        <v>Delivered</v>
      </c>
      <c r="AH1157" s="10" t="n">
        <f aca="false">IF(ISNUMBER(SEARCH("/",B1157)),DATE(VALUE(RIGHT(B1157,4)),VALUE(MID(B1157,4,2)),VALUE(LEFT(B1157,2))),IF(MID(B1157,5,1)="-",DATE(VALUE(LEFT(B1157,4)),VALUE(MID(B1157,6,2)),VALUE(RIGHT(B1157,2))),DATE(VALUE(RIGHT(B1157,4)),MATCH(MID(B1157,4,3),{"Jan","Feb","Mar","Apr","May","Jun","Jul","Aug","Sep","Oct","Nov","Dec"},0),VALUE(LEFT(B1157,2)))))</f>
        <v>45936</v>
      </c>
    </row>
    <row r="1158" customFormat="false" ht="15" hidden="false" customHeight="false" outlineLevel="0" collapsed="false">
      <c r="A1158" s="7" t="s">
        <v>3324</v>
      </c>
      <c r="B1158" s="7" t="s">
        <v>1373</v>
      </c>
      <c r="C1158" s="7" t="s">
        <v>2539</v>
      </c>
      <c r="D1158" s="7" t="s">
        <v>1553</v>
      </c>
      <c r="E1158" s="7" t="s">
        <v>138</v>
      </c>
      <c r="F1158" s="7" t="s">
        <v>110</v>
      </c>
      <c r="G1158" s="7" t="s">
        <v>139</v>
      </c>
      <c r="H1158" s="7" t="n">
        <v>5</v>
      </c>
      <c r="I1158" s="7" t="n">
        <v>195</v>
      </c>
      <c r="J1158" s="7" t="n">
        <v>0</v>
      </c>
      <c r="K1158" s="7" t="s">
        <v>298</v>
      </c>
      <c r="L1158" s="7" t="s">
        <v>194</v>
      </c>
      <c r="M1158" s="7" t="n">
        <v>42</v>
      </c>
      <c r="N1158" s="7" t="n">
        <v>4</v>
      </c>
      <c r="O1158" s="7" t="str">
        <f aca="false">A1158&amp;"|"&amp;B1158&amp;"|"&amp;C1158&amp;"|"&amp;D1158&amp;"|"&amp;E1158&amp;"|"&amp;F1158&amp;"|"&amp;G1158&amp;"|"&amp;H1158&amp;"|"&amp;I1158&amp;"|"&amp;J1158&amp;"|"&amp;K1158&amp;"|"&amp;L1158&amp;"|"&amp;M1158&amp;"|"&amp;N1158</f>
        <v>ORD11887|2025-09-03|12:25|C1498|Burger Barn|Delhi|Burgers|5|195|0|Cash On Delivery|Delivered|42|4</v>
      </c>
      <c r="P1158" s="7" t="str">
        <f aca="false">IF(COUNTIF($O$2:O1158,O1158)&gt;1,"DUP","OK")</f>
        <v>OK</v>
      </c>
      <c r="Q1158" s="7" t="n">
        <f aca="false">COUNTBLANK(A1158:N1158)</f>
        <v>0</v>
      </c>
      <c r="R1158" s="7" t="n">
        <f aca="false">IF(A1158="",0,COUNTIFS($A$2:$A$3058,A1158,$P$2:$P$3058,"OK"))</f>
        <v>1</v>
      </c>
      <c r="S1158" s="7" t="str">
        <f aca="false">IF(OR(A1158="",P1158="DUP",R1158&lt;2),"",IF(Q1158=_xlfn.MINIFS($Q$2:$Q$3058,$A$2:$A$3058,A1158,$P$2:$P$3058,"OK"),"KEEP","DROP"))</f>
        <v/>
      </c>
      <c r="T1158" s="9" t="n">
        <f aca="false">IF(A1158="",1,0)</f>
        <v>0</v>
      </c>
      <c r="U1158" s="9" t="n">
        <f aca="false">IF(D1158="",1,0)</f>
        <v>0</v>
      </c>
      <c r="V1158" s="9" t="n">
        <f aca="false">IF(E1158="",1,0)</f>
        <v>0</v>
      </c>
      <c r="W1158" s="9" t="n">
        <f aca="false">IF(OR(H1158&lt;1,H1158&gt;10),1,0)</f>
        <v>0</v>
      </c>
      <c r="X1158" s="9" t="n">
        <f aca="false">IF(OR(I1158&lt;=0,I1158&gt;1500),1,0)</f>
        <v>0</v>
      </c>
      <c r="Y1158" s="9" t="n">
        <f aca="false">IF(J1158&gt;H1158*I1158,1,0)</f>
        <v>0</v>
      </c>
      <c r="Z1158" s="9" t="n">
        <f aca="false">IF(AND(N1158&lt;&gt;"",OR(N1158&lt;1,N1158&gt;5)),1,0)</f>
        <v>0</v>
      </c>
      <c r="AA1158" s="9" t="n">
        <f aca="false">IF(AND(M1158&lt;&gt;"",OR(M1158&lt;5,M1158&gt;180)),1,0)</f>
        <v>0</v>
      </c>
      <c r="AB1158" s="7" t="str">
        <f aca="false">IF(P1158="DUP","Exact duplicate row",IF(T1158=1,"Missing Order ID",IF(S1158="DROP","Duplicate Order ID (less complete row)",IF(U1158=1,"Missing Customer ID",IF(V1158=1,"Missing Restaurant name",IF(W1158=1,"Invalid/outlier quantity",IF(X1158=1,"Invalid/outlier unit price",IF(Y1158=1,"Discount greater than order value",""))))))))</f>
        <v/>
      </c>
      <c r="AC1158" s="7" t="str">
        <f aca="false">IF(AB1158="","KEEP","DROP")</f>
        <v>KEEP</v>
      </c>
      <c r="AD1158" s="7" t="str">
        <f aca="false">IF(TRIM(F1158)="",IFERROR(INDEX(Map_Tables!$I$4:$I$37,MATCH(TRIM(E1158),Map_Tables!$G$4:$G$37,0)),""),IFERROR(INDEX(Map_Tables!$B$4:$B$18,MATCH(TRIM(F1158),Map_Tables!$A$4:$A$18,0)),"CHECK"))</f>
        <v>Delhi</v>
      </c>
      <c r="AE1158" s="7" t="str">
        <f aca="false">IF(TRIM(E1158)="","",IFERROR(INDEX(Map_Tables!$H$4:$H$37,MATCH(TRIM(E1158),Map_Tables!$G$4:$G$37,0)),"CHECK"))</f>
        <v>Burger Barn</v>
      </c>
      <c r="AF1158" s="7" t="str">
        <f aca="false">IF(TRIM(K1158)="","Unknown",IFERROR(INDEX(Map_Tables!$E$4:$E$15,MATCH(TRIM(K1158),Map_Tables!$D$4:$D$15,0)),"CHECK"))</f>
        <v>Cash on Delivery</v>
      </c>
      <c r="AG1158" s="7" t="str">
        <f aca="false">IF(LEFT(LOWER(TRIM(L1158)),6)="cancel","Cancelled","Delivered")</f>
        <v>Delivered</v>
      </c>
      <c r="AH1158" s="10" t="n">
        <f aca="false">IF(ISNUMBER(SEARCH("/",B1158)),DATE(VALUE(RIGHT(B1158,4)),VALUE(MID(B1158,4,2)),VALUE(LEFT(B1158,2))),IF(MID(B1158,5,1)="-",DATE(VALUE(LEFT(B1158,4)),VALUE(MID(B1158,6,2)),VALUE(RIGHT(B1158,2))),DATE(VALUE(RIGHT(B1158,4)),MATCH(MID(B1158,4,3),{"Jan","Feb","Mar","Apr","May","Jun","Jul","Aug","Sep","Oct","Nov","Dec"},0),VALUE(LEFT(B1158,2)))))</f>
        <v>45903</v>
      </c>
    </row>
    <row r="1159" customFormat="false" ht="15" hidden="false" customHeight="false" outlineLevel="0" collapsed="false">
      <c r="A1159" s="7" t="s">
        <v>3325</v>
      </c>
      <c r="B1159" s="7" t="s">
        <v>2162</v>
      </c>
      <c r="C1159" s="7" t="s">
        <v>3326</v>
      </c>
      <c r="D1159" s="7" t="s">
        <v>3327</v>
      </c>
      <c r="E1159" s="7" t="s">
        <v>116</v>
      </c>
      <c r="F1159" s="7" t="s">
        <v>498</v>
      </c>
      <c r="G1159" s="7" t="s">
        <v>117</v>
      </c>
      <c r="H1159" s="7" t="n">
        <v>2</v>
      </c>
      <c r="I1159" s="7" t="n">
        <v>130</v>
      </c>
      <c r="J1159" s="7" t="n">
        <v>0</v>
      </c>
      <c r="K1159" s="7" t="s">
        <v>133</v>
      </c>
      <c r="L1159" s="7" t="s">
        <v>194</v>
      </c>
      <c r="M1159" s="7" t="n">
        <v>41</v>
      </c>
      <c r="N1159" s="7" t="n">
        <v>3</v>
      </c>
      <c r="O1159" s="7" t="str">
        <f aca="false">A1159&amp;"|"&amp;B1159&amp;"|"&amp;C1159&amp;"|"&amp;D1159&amp;"|"&amp;E1159&amp;"|"&amp;F1159&amp;"|"&amp;G1159&amp;"|"&amp;H1159&amp;"|"&amp;I1159&amp;"|"&amp;J1159&amp;"|"&amp;K1159&amp;"|"&amp;L1159&amp;"|"&amp;M1159&amp;"|"&amp;N1159</f>
        <v>ORD11822|2025-08-26|08:14|C0279|Pav Bhaji Point|Bombay|Street Food|2|130|0|Net Banking|Delivered|41|3</v>
      </c>
      <c r="P1159" s="7" t="str">
        <f aca="false">IF(COUNTIF($O$2:O1159,O1159)&gt;1,"DUP","OK")</f>
        <v>OK</v>
      </c>
      <c r="Q1159" s="7" t="n">
        <f aca="false">COUNTBLANK(A1159:N1159)</f>
        <v>0</v>
      </c>
      <c r="R1159" s="7" t="n">
        <f aca="false">IF(A1159="",0,COUNTIFS($A$2:$A$3058,A1159,$P$2:$P$3058,"OK"))</f>
        <v>1</v>
      </c>
      <c r="S1159" s="7" t="str">
        <f aca="false">IF(OR(A1159="",P1159="DUP",R1159&lt;2),"",IF(Q1159=_xlfn.MINIFS($Q$2:$Q$3058,$A$2:$A$3058,A1159,$P$2:$P$3058,"OK"),"KEEP","DROP"))</f>
        <v/>
      </c>
      <c r="T1159" s="9" t="n">
        <f aca="false">IF(A1159="",1,0)</f>
        <v>0</v>
      </c>
      <c r="U1159" s="9" t="n">
        <f aca="false">IF(D1159="",1,0)</f>
        <v>0</v>
      </c>
      <c r="V1159" s="9" t="n">
        <f aca="false">IF(E1159="",1,0)</f>
        <v>0</v>
      </c>
      <c r="W1159" s="9" t="n">
        <f aca="false">IF(OR(H1159&lt;1,H1159&gt;10),1,0)</f>
        <v>0</v>
      </c>
      <c r="X1159" s="9" t="n">
        <f aca="false">IF(OR(I1159&lt;=0,I1159&gt;1500),1,0)</f>
        <v>0</v>
      </c>
      <c r="Y1159" s="9" t="n">
        <f aca="false">IF(J1159&gt;H1159*I1159,1,0)</f>
        <v>0</v>
      </c>
      <c r="Z1159" s="9" t="n">
        <f aca="false">IF(AND(N1159&lt;&gt;"",OR(N1159&lt;1,N1159&gt;5)),1,0)</f>
        <v>0</v>
      </c>
      <c r="AA1159" s="9" t="n">
        <f aca="false">IF(AND(M1159&lt;&gt;"",OR(M1159&lt;5,M1159&gt;180)),1,0)</f>
        <v>0</v>
      </c>
      <c r="AB1159" s="7" t="str">
        <f aca="false">IF(P1159="DUP","Exact duplicate row",IF(T1159=1,"Missing Order ID",IF(S1159="DROP","Duplicate Order ID (less complete row)",IF(U1159=1,"Missing Customer ID",IF(V1159=1,"Missing Restaurant name",IF(W1159=1,"Invalid/outlier quantity",IF(X1159=1,"Invalid/outlier unit price",IF(Y1159=1,"Discount greater than order value",""))))))))</f>
        <v/>
      </c>
      <c r="AC1159" s="7" t="str">
        <f aca="false">IF(AB1159="","KEEP","DROP")</f>
        <v>KEEP</v>
      </c>
      <c r="AD1159" s="7" t="str">
        <f aca="false">IF(TRIM(F1159)="",IFERROR(INDEX(Map_Tables!$I$4:$I$37,MATCH(TRIM(E1159),Map_Tables!$G$4:$G$37,0)),""),IFERROR(INDEX(Map_Tables!$B$4:$B$18,MATCH(TRIM(F1159),Map_Tables!$A$4:$A$18,0)),"CHECK"))</f>
        <v>Mumbai</v>
      </c>
      <c r="AE1159" s="7" t="str">
        <f aca="false">IF(TRIM(E1159)="","",IFERROR(INDEX(Map_Tables!$H$4:$H$37,MATCH(TRIM(E1159),Map_Tables!$G$4:$G$37,0)),"CHECK"))</f>
        <v>Pav Bhaji Point</v>
      </c>
      <c r="AF1159" s="7" t="str">
        <f aca="false">IF(TRIM(K1159)="","Unknown",IFERROR(INDEX(Map_Tables!$E$4:$E$15,MATCH(TRIM(K1159),Map_Tables!$D$4:$D$15,0)),"CHECK"))</f>
        <v>Net Banking</v>
      </c>
      <c r="AG1159" s="7" t="str">
        <f aca="false">IF(LEFT(LOWER(TRIM(L1159)),6)="cancel","Cancelled","Delivered")</f>
        <v>Delivered</v>
      </c>
      <c r="AH1159" s="10" t="n">
        <f aca="false">IF(ISNUMBER(SEARCH("/",B1159)),DATE(VALUE(RIGHT(B1159,4)),VALUE(MID(B1159,4,2)),VALUE(LEFT(B1159,2))),IF(MID(B1159,5,1)="-",DATE(VALUE(LEFT(B1159,4)),VALUE(MID(B1159,6,2)),VALUE(RIGHT(B1159,2))),DATE(VALUE(RIGHT(B1159,4)),MATCH(MID(B1159,4,3),{"Jan","Feb","Mar","Apr","May","Jun","Jul","Aug","Sep","Oct","Nov","Dec"},0),VALUE(LEFT(B1159,2)))))</f>
        <v>45895</v>
      </c>
    </row>
    <row r="1160" customFormat="false" ht="15" hidden="false" customHeight="false" outlineLevel="0" collapsed="false">
      <c r="A1160" s="7" t="s">
        <v>3328</v>
      </c>
      <c r="B1160" s="7" t="s">
        <v>1790</v>
      </c>
      <c r="C1160" s="7" t="s">
        <v>679</v>
      </c>
      <c r="D1160" s="7" t="s">
        <v>3329</v>
      </c>
      <c r="E1160" s="7" t="s">
        <v>94</v>
      </c>
      <c r="F1160" s="7" t="s">
        <v>86</v>
      </c>
      <c r="G1160" s="7" t="s">
        <v>95</v>
      </c>
      <c r="H1160" s="7" t="n">
        <v>1</v>
      </c>
      <c r="I1160" s="7" t="n">
        <v>130</v>
      </c>
      <c r="J1160" s="7" t="n">
        <v>52</v>
      </c>
      <c r="K1160" s="7" t="s">
        <v>88</v>
      </c>
      <c r="L1160" s="7" t="s">
        <v>194</v>
      </c>
      <c r="M1160" s="7" t="n">
        <v>29</v>
      </c>
      <c r="N1160" s="7" t="n">
        <v>3</v>
      </c>
      <c r="O1160" s="7" t="str">
        <f aca="false">A1160&amp;"|"&amp;B1160&amp;"|"&amp;C1160&amp;"|"&amp;D1160&amp;"|"&amp;E1160&amp;"|"&amp;F1160&amp;"|"&amp;G1160&amp;"|"&amp;H1160&amp;"|"&amp;I1160&amp;"|"&amp;J1160&amp;"|"&amp;K1160&amp;"|"&amp;L1160&amp;"|"&amp;M1160&amp;"|"&amp;N1160</f>
        <v>ORD11065|2025-05-15|11:00|C0453|Dosa Darbar|Bengaluru|South Indian|1|130|52|UPI|Delivered|29|3</v>
      </c>
      <c r="P1160" s="7" t="str">
        <f aca="false">IF(COUNTIF($O$2:O1160,O1160)&gt;1,"DUP","OK")</f>
        <v>OK</v>
      </c>
      <c r="Q1160" s="7" t="n">
        <f aca="false">COUNTBLANK(A1160:N1160)</f>
        <v>0</v>
      </c>
      <c r="R1160" s="7" t="n">
        <f aca="false">IF(A1160="",0,COUNTIFS($A$2:$A$3058,A1160,$P$2:$P$3058,"OK"))</f>
        <v>1</v>
      </c>
      <c r="S1160" s="7" t="str">
        <f aca="false">IF(OR(A1160="",P1160="DUP",R1160&lt;2),"",IF(Q1160=_xlfn.MINIFS($Q$2:$Q$3058,$A$2:$A$3058,A1160,$P$2:$P$3058,"OK"),"KEEP","DROP"))</f>
        <v/>
      </c>
      <c r="T1160" s="9" t="n">
        <f aca="false">IF(A1160="",1,0)</f>
        <v>0</v>
      </c>
      <c r="U1160" s="9" t="n">
        <f aca="false">IF(D1160="",1,0)</f>
        <v>0</v>
      </c>
      <c r="V1160" s="9" t="n">
        <f aca="false">IF(E1160="",1,0)</f>
        <v>0</v>
      </c>
      <c r="W1160" s="9" t="n">
        <f aca="false">IF(OR(H1160&lt;1,H1160&gt;10),1,0)</f>
        <v>0</v>
      </c>
      <c r="X1160" s="9" t="n">
        <f aca="false">IF(OR(I1160&lt;=0,I1160&gt;1500),1,0)</f>
        <v>0</v>
      </c>
      <c r="Y1160" s="9" t="n">
        <f aca="false">IF(J1160&gt;H1160*I1160,1,0)</f>
        <v>0</v>
      </c>
      <c r="Z1160" s="9" t="n">
        <f aca="false">IF(AND(N1160&lt;&gt;"",OR(N1160&lt;1,N1160&gt;5)),1,0)</f>
        <v>0</v>
      </c>
      <c r="AA1160" s="9" t="n">
        <f aca="false">IF(AND(M1160&lt;&gt;"",OR(M1160&lt;5,M1160&gt;180)),1,0)</f>
        <v>0</v>
      </c>
      <c r="AB1160" s="7" t="str">
        <f aca="false">IF(P1160="DUP","Exact duplicate row",IF(T1160=1,"Missing Order ID",IF(S1160="DROP","Duplicate Order ID (less complete row)",IF(U1160=1,"Missing Customer ID",IF(V1160=1,"Missing Restaurant name",IF(W1160=1,"Invalid/outlier quantity",IF(X1160=1,"Invalid/outlier unit price",IF(Y1160=1,"Discount greater than order value",""))))))))</f>
        <v/>
      </c>
      <c r="AC1160" s="7" t="str">
        <f aca="false">IF(AB1160="","KEEP","DROP")</f>
        <v>KEEP</v>
      </c>
      <c r="AD1160" s="7" t="str">
        <f aca="false">IF(TRIM(F1160)="",IFERROR(INDEX(Map_Tables!$I$4:$I$37,MATCH(TRIM(E1160),Map_Tables!$G$4:$G$37,0)),""),IFERROR(INDEX(Map_Tables!$B$4:$B$18,MATCH(TRIM(F1160),Map_Tables!$A$4:$A$18,0)),"CHECK"))</f>
        <v>Bengaluru</v>
      </c>
      <c r="AE1160" s="7" t="str">
        <f aca="false">IF(TRIM(E1160)="","",IFERROR(INDEX(Map_Tables!$H$4:$H$37,MATCH(TRIM(E1160),Map_Tables!$G$4:$G$37,0)),"CHECK"))</f>
        <v>Dosa Darbar</v>
      </c>
      <c r="AF1160" s="7" t="str">
        <f aca="false">IF(TRIM(K1160)="","Unknown",IFERROR(INDEX(Map_Tables!$E$4:$E$15,MATCH(TRIM(K1160),Map_Tables!$D$4:$D$15,0)),"CHECK"))</f>
        <v>UPI</v>
      </c>
      <c r="AG1160" s="7" t="str">
        <f aca="false">IF(LEFT(LOWER(TRIM(L1160)),6)="cancel","Cancelled","Delivered")</f>
        <v>Delivered</v>
      </c>
      <c r="AH1160" s="10" t="n">
        <f aca="false">IF(ISNUMBER(SEARCH("/",B1160)),DATE(VALUE(RIGHT(B1160,4)),VALUE(MID(B1160,4,2)),VALUE(LEFT(B1160,2))),IF(MID(B1160,5,1)="-",DATE(VALUE(LEFT(B1160,4)),VALUE(MID(B1160,6,2)),VALUE(RIGHT(B1160,2))),DATE(VALUE(RIGHT(B1160,4)),MATCH(MID(B1160,4,3),{"Jan","Feb","Mar","Apr","May","Jun","Jul","Aug","Sep","Oct","Nov","Dec"},0),VALUE(LEFT(B1160,2)))))</f>
        <v>45792</v>
      </c>
    </row>
    <row r="1161" customFormat="false" ht="15" hidden="false" customHeight="false" outlineLevel="0" collapsed="false">
      <c r="A1161" s="7" t="s">
        <v>3330</v>
      </c>
      <c r="B1161" s="7" t="s">
        <v>1923</v>
      </c>
      <c r="C1161" s="7" t="s">
        <v>1805</v>
      </c>
      <c r="D1161" s="7" t="s">
        <v>3331</v>
      </c>
      <c r="E1161" s="7" t="s">
        <v>163</v>
      </c>
      <c r="F1161" s="7" t="s">
        <v>141</v>
      </c>
      <c r="G1161" s="7" t="s">
        <v>99</v>
      </c>
      <c r="H1161" s="7" t="n">
        <v>1</v>
      </c>
      <c r="I1161" s="7" t="n">
        <v>270</v>
      </c>
      <c r="J1161" s="7" t="n">
        <v>0</v>
      </c>
      <c r="K1161" s="7" t="s">
        <v>115</v>
      </c>
      <c r="L1161" s="7" t="s">
        <v>194</v>
      </c>
      <c r="M1161" s="7" t="n">
        <v>41</v>
      </c>
      <c r="N1161" s="7" t="n">
        <v>3</v>
      </c>
      <c r="O1161" s="7" t="str">
        <f aca="false">A1161&amp;"|"&amp;B1161&amp;"|"&amp;C1161&amp;"|"&amp;D1161&amp;"|"&amp;E1161&amp;"|"&amp;F1161&amp;"|"&amp;G1161&amp;"|"&amp;H1161&amp;"|"&amp;I1161&amp;"|"&amp;J1161&amp;"|"&amp;K1161&amp;"|"&amp;L1161&amp;"|"&amp;M1161&amp;"|"&amp;N1161</f>
        <v>ORD10301|2025-02-10|19:30|C0815|Biryani Baadshah|Kolkata|Biryani|1|270|0|cash on delivery|Delivered|41|3</v>
      </c>
      <c r="P1161" s="7" t="str">
        <f aca="false">IF(COUNTIF($O$2:O1161,O1161)&gt;1,"DUP","OK")</f>
        <v>OK</v>
      </c>
      <c r="Q1161" s="7" t="n">
        <f aca="false">COUNTBLANK(A1161:N1161)</f>
        <v>0</v>
      </c>
      <c r="R1161" s="7" t="n">
        <f aca="false">IF(A1161="",0,COUNTIFS($A$2:$A$3058,A1161,$P$2:$P$3058,"OK"))</f>
        <v>1</v>
      </c>
      <c r="S1161" s="7" t="str">
        <f aca="false">IF(OR(A1161="",P1161="DUP",R1161&lt;2),"",IF(Q1161=_xlfn.MINIFS($Q$2:$Q$3058,$A$2:$A$3058,A1161,$P$2:$P$3058,"OK"),"KEEP","DROP"))</f>
        <v/>
      </c>
      <c r="T1161" s="9" t="n">
        <f aca="false">IF(A1161="",1,0)</f>
        <v>0</v>
      </c>
      <c r="U1161" s="9" t="n">
        <f aca="false">IF(D1161="",1,0)</f>
        <v>0</v>
      </c>
      <c r="V1161" s="9" t="n">
        <f aca="false">IF(E1161="",1,0)</f>
        <v>0</v>
      </c>
      <c r="W1161" s="9" t="n">
        <f aca="false">IF(OR(H1161&lt;1,H1161&gt;10),1,0)</f>
        <v>0</v>
      </c>
      <c r="X1161" s="9" t="n">
        <f aca="false">IF(OR(I1161&lt;=0,I1161&gt;1500),1,0)</f>
        <v>0</v>
      </c>
      <c r="Y1161" s="9" t="n">
        <f aca="false">IF(J1161&gt;H1161*I1161,1,0)</f>
        <v>0</v>
      </c>
      <c r="Z1161" s="9" t="n">
        <f aca="false">IF(AND(N1161&lt;&gt;"",OR(N1161&lt;1,N1161&gt;5)),1,0)</f>
        <v>0</v>
      </c>
      <c r="AA1161" s="9" t="n">
        <f aca="false">IF(AND(M1161&lt;&gt;"",OR(M1161&lt;5,M1161&gt;180)),1,0)</f>
        <v>0</v>
      </c>
      <c r="AB1161" s="7" t="str">
        <f aca="false">IF(P1161="DUP","Exact duplicate row",IF(T1161=1,"Missing Order ID",IF(S1161="DROP","Duplicate Order ID (less complete row)",IF(U1161=1,"Missing Customer ID",IF(V1161=1,"Missing Restaurant name",IF(W1161=1,"Invalid/outlier quantity",IF(X1161=1,"Invalid/outlier unit price",IF(Y1161=1,"Discount greater than order value",""))))))))</f>
        <v/>
      </c>
      <c r="AC1161" s="7" t="str">
        <f aca="false">IF(AB1161="","KEEP","DROP")</f>
        <v>KEEP</v>
      </c>
      <c r="AD1161" s="7" t="str">
        <f aca="false">IF(TRIM(F1161)="",IFERROR(INDEX(Map_Tables!$I$4:$I$37,MATCH(TRIM(E1161),Map_Tables!$G$4:$G$37,0)),""),IFERROR(INDEX(Map_Tables!$B$4:$B$18,MATCH(TRIM(F1161),Map_Tables!$A$4:$A$18,0)),"CHECK"))</f>
        <v>Kolkata</v>
      </c>
      <c r="AE1161" s="7" t="str">
        <f aca="false">IF(TRIM(E1161)="","",IFERROR(INDEX(Map_Tables!$H$4:$H$37,MATCH(TRIM(E1161),Map_Tables!$G$4:$G$37,0)),"CHECK"))</f>
        <v>Biryani Baadshah</v>
      </c>
      <c r="AF1161" s="7" t="str">
        <f aca="false">IF(TRIM(K1161)="","Unknown",IFERROR(INDEX(Map_Tables!$E$4:$E$15,MATCH(TRIM(K1161),Map_Tables!$D$4:$D$15,0)),"CHECK"))</f>
        <v>Cash on Delivery</v>
      </c>
      <c r="AG1161" s="7" t="str">
        <f aca="false">IF(LEFT(LOWER(TRIM(L1161)),6)="cancel","Cancelled","Delivered")</f>
        <v>Delivered</v>
      </c>
      <c r="AH1161" s="10" t="n">
        <f aca="false">IF(ISNUMBER(SEARCH("/",B1161)),DATE(VALUE(RIGHT(B1161,4)),VALUE(MID(B1161,4,2)),VALUE(LEFT(B1161,2))),IF(MID(B1161,5,1)="-",DATE(VALUE(LEFT(B1161,4)),VALUE(MID(B1161,6,2)),VALUE(RIGHT(B1161,2))),DATE(VALUE(RIGHT(B1161,4)),MATCH(MID(B1161,4,3),{"Jan","Feb","Mar","Apr","May","Jun","Jul","Aug","Sep","Oct","Nov","Dec"},0),VALUE(LEFT(B1161,2)))))</f>
        <v>45698</v>
      </c>
    </row>
    <row r="1162" customFormat="false" ht="15" hidden="false" customHeight="false" outlineLevel="0" collapsed="false">
      <c r="A1162" s="7" t="s">
        <v>3332</v>
      </c>
      <c r="B1162" s="7" t="s">
        <v>3333</v>
      </c>
      <c r="C1162" s="7" t="s">
        <v>315</v>
      </c>
      <c r="D1162" s="7" t="s">
        <v>3065</v>
      </c>
      <c r="E1162" s="7" t="s">
        <v>167</v>
      </c>
      <c r="F1162" s="7" t="s">
        <v>146</v>
      </c>
      <c r="G1162" s="7" t="s">
        <v>156</v>
      </c>
      <c r="H1162" s="7" t="n">
        <v>3</v>
      </c>
      <c r="I1162" s="7" t="n">
        <v>255</v>
      </c>
      <c r="J1162" s="7" t="n">
        <v>75</v>
      </c>
      <c r="K1162" s="7" t="s">
        <v>93</v>
      </c>
      <c r="L1162" s="7" t="s">
        <v>194</v>
      </c>
      <c r="M1162" s="7" t="n">
        <v>40</v>
      </c>
      <c r="N1162" s="7" t="n">
        <v>4</v>
      </c>
      <c r="O1162" s="7" t="str">
        <f aca="false">A1162&amp;"|"&amp;B1162&amp;"|"&amp;C1162&amp;"|"&amp;D1162&amp;"|"&amp;E1162&amp;"|"&amp;F1162&amp;"|"&amp;G1162&amp;"|"&amp;H1162&amp;"|"&amp;I1162&amp;"|"&amp;J1162&amp;"|"&amp;K1162&amp;"|"&amp;L1162&amp;"|"&amp;M1162&amp;"|"&amp;N1162</f>
        <v>ORD11807|24-Aug-2025|14:20|C1283|Fit Fuel Kitchen|Ahmedabad|Healthy Food|3|255|75|Credit Card|Delivered|40|4</v>
      </c>
      <c r="P1162" s="7" t="str">
        <f aca="false">IF(COUNTIF($O$2:O1162,O1162)&gt;1,"DUP","OK")</f>
        <v>OK</v>
      </c>
      <c r="Q1162" s="7" t="n">
        <f aca="false">COUNTBLANK(A1162:N1162)</f>
        <v>0</v>
      </c>
      <c r="R1162" s="7" t="n">
        <f aca="false">IF(A1162="",0,COUNTIFS($A$2:$A$3058,A1162,$P$2:$P$3058,"OK"))</f>
        <v>1</v>
      </c>
      <c r="S1162" s="7" t="str">
        <f aca="false">IF(OR(A1162="",P1162="DUP",R1162&lt;2),"",IF(Q1162=_xlfn.MINIFS($Q$2:$Q$3058,$A$2:$A$3058,A1162,$P$2:$P$3058,"OK"),"KEEP","DROP"))</f>
        <v/>
      </c>
      <c r="T1162" s="9" t="n">
        <f aca="false">IF(A1162="",1,0)</f>
        <v>0</v>
      </c>
      <c r="U1162" s="9" t="n">
        <f aca="false">IF(D1162="",1,0)</f>
        <v>0</v>
      </c>
      <c r="V1162" s="9" t="n">
        <f aca="false">IF(E1162="",1,0)</f>
        <v>0</v>
      </c>
      <c r="W1162" s="9" t="n">
        <f aca="false">IF(OR(H1162&lt;1,H1162&gt;10),1,0)</f>
        <v>0</v>
      </c>
      <c r="X1162" s="9" t="n">
        <f aca="false">IF(OR(I1162&lt;=0,I1162&gt;1500),1,0)</f>
        <v>0</v>
      </c>
      <c r="Y1162" s="9" t="n">
        <f aca="false">IF(J1162&gt;H1162*I1162,1,0)</f>
        <v>0</v>
      </c>
      <c r="Z1162" s="9" t="n">
        <f aca="false">IF(AND(N1162&lt;&gt;"",OR(N1162&lt;1,N1162&gt;5)),1,0)</f>
        <v>0</v>
      </c>
      <c r="AA1162" s="9" t="n">
        <f aca="false">IF(AND(M1162&lt;&gt;"",OR(M1162&lt;5,M1162&gt;180)),1,0)</f>
        <v>0</v>
      </c>
      <c r="AB1162" s="7" t="str">
        <f aca="false">IF(P1162="DUP","Exact duplicate row",IF(T1162=1,"Missing Order ID",IF(S1162="DROP","Duplicate Order ID (less complete row)",IF(U1162=1,"Missing Customer ID",IF(V1162=1,"Missing Restaurant name",IF(W1162=1,"Invalid/outlier quantity",IF(X1162=1,"Invalid/outlier unit price",IF(Y1162=1,"Discount greater than order value",""))))))))</f>
        <v/>
      </c>
      <c r="AC1162" s="7" t="str">
        <f aca="false">IF(AB1162="","KEEP","DROP")</f>
        <v>KEEP</v>
      </c>
      <c r="AD1162" s="7" t="str">
        <f aca="false">IF(TRIM(F1162)="",IFERROR(INDEX(Map_Tables!$I$4:$I$37,MATCH(TRIM(E1162),Map_Tables!$G$4:$G$37,0)),""),IFERROR(INDEX(Map_Tables!$B$4:$B$18,MATCH(TRIM(F1162),Map_Tables!$A$4:$A$18,0)),"CHECK"))</f>
        <v>Ahmedabad</v>
      </c>
      <c r="AE1162" s="7" t="str">
        <f aca="false">IF(TRIM(E1162)="","",IFERROR(INDEX(Map_Tables!$H$4:$H$37,MATCH(TRIM(E1162),Map_Tables!$G$4:$G$37,0)),"CHECK"))</f>
        <v>Fit Fuel Kitchen</v>
      </c>
      <c r="AF1162" s="7" t="str">
        <f aca="false">IF(TRIM(K1162)="","Unknown",IFERROR(INDEX(Map_Tables!$E$4:$E$15,MATCH(TRIM(K1162),Map_Tables!$D$4:$D$15,0)),"CHECK"))</f>
        <v>Credit Card</v>
      </c>
      <c r="AG1162" s="7" t="str">
        <f aca="false">IF(LEFT(LOWER(TRIM(L1162)),6)="cancel","Cancelled","Delivered")</f>
        <v>Delivered</v>
      </c>
      <c r="AH1162" s="10" t="n">
        <f aca="false">IF(ISNUMBER(SEARCH("/",B1162)),DATE(VALUE(RIGHT(B1162,4)),VALUE(MID(B1162,4,2)),VALUE(LEFT(B1162,2))),IF(MID(B1162,5,1)="-",DATE(VALUE(LEFT(B1162,4)),VALUE(MID(B1162,6,2)),VALUE(RIGHT(B1162,2))),DATE(VALUE(RIGHT(B1162,4)),MATCH(MID(B1162,4,3),{"Jan","Feb","Mar","Apr","May","Jun","Jul","Aug","Sep","Oct","Nov","Dec"},0),VALUE(LEFT(B1162,2)))))</f>
        <v>45893</v>
      </c>
    </row>
    <row r="1163" customFormat="false" ht="15" hidden="false" customHeight="false" outlineLevel="0" collapsed="false">
      <c r="A1163" s="7" t="s">
        <v>3334</v>
      </c>
      <c r="B1163" s="7" t="s">
        <v>1814</v>
      </c>
      <c r="C1163" s="7" t="s">
        <v>1466</v>
      </c>
      <c r="D1163" s="7" t="s">
        <v>3335</v>
      </c>
      <c r="E1163" s="7" t="s">
        <v>98</v>
      </c>
      <c r="F1163" s="7" t="s">
        <v>86</v>
      </c>
      <c r="G1163" s="7" t="s">
        <v>99</v>
      </c>
      <c r="H1163" s="7" t="n">
        <v>1</v>
      </c>
      <c r="I1163" s="7" t="n">
        <v>265</v>
      </c>
      <c r="J1163" s="7" t="n">
        <v>0</v>
      </c>
      <c r="K1163" s="7" t="s">
        <v>121</v>
      </c>
      <c r="L1163" s="7" t="s">
        <v>194</v>
      </c>
      <c r="M1163" s="7" t="n">
        <v>47</v>
      </c>
      <c r="N1163" s="7" t="n">
        <v>4</v>
      </c>
      <c r="O1163" s="7" t="str">
        <f aca="false">A1163&amp;"|"&amp;B1163&amp;"|"&amp;C1163&amp;"|"&amp;D1163&amp;"|"&amp;E1163&amp;"|"&amp;F1163&amp;"|"&amp;G1163&amp;"|"&amp;H1163&amp;"|"&amp;I1163&amp;"|"&amp;J1163&amp;"|"&amp;K1163&amp;"|"&amp;L1163&amp;"|"&amp;M1163&amp;"|"&amp;N1163</f>
        <v>ORD10554|12/03/2025|09:22|C0582|Nawabi Biryani House|Bengaluru|Biryani|1|265|0|Wallet|Delivered|47|4</v>
      </c>
      <c r="P1163" s="7" t="str">
        <f aca="false">IF(COUNTIF($O$2:O1163,O1163)&gt;1,"DUP","OK")</f>
        <v>OK</v>
      </c>
      <c r="Q1163" s="7" t="n">
        <f aca="false">COUNTBLANK(A1163:N1163)</f>
        <v>0</v>
      </c>
      <c r="R1163" s="7" t="n">
        <f aca="false">IF(A1163="",0,COUNTIFS($A$2:$A$3058,A1163,$P$2:$P$3058,"OK"))</f>
        <v>1</v>
      </c>
      <c r="S1163" s="7" t="str">
        <f aca="false">IF(OR(A1163="",P1163="DUP",R1163&lt;2),"",IF(Q1163=_xlfn.MINIFS($Q$2:$Q$3058,$A$2:$A$3058,A1163,$P$2:$P$3058,"OK"),"KEEP","DROP"))</f>
        <v/>
      </c>
      <c r="T1163" s="9" t="n">
        <f aca="false">IF(A1163="",1,0)</f>
        <v>0</v>
      </c>
      <c r="U1163" s="9" t="n">
        <f aca="false">IF(D1163="",1,0)</f>
        <v>0</v>
      </c>
      <c r="V1163" s="9" t="n">
        <f aca="false">IF(E1163="",1,0)</f>
        <v>0</v>
      </c>
      <c r="W1163" s="9" t="n">
        <f aca="false">IF(OR(H1163&lt;1,H1163&gt;10),1,0)</f>
        <v>0</v>
      </c>
      <c r="X1163" s="9" t="n">
        <f aca="false">IF(OR(I1163&lt;=0,I1163&gt;1500),1,0)</f>
        <v>0</v>
      </c>
      <c r="Y1163" s="9" t="n">
        <f aca="false">IF(J1163&gt;H1163*I1163,1,0)</f>
        <v>0</v>
      </c>
      <c r="Z1163" s="9" t="n">
        <f aca="false">IF(AND(N1163&lt;&gt;"",OR(N1163&lt;1,N1163&gt;5)),1,0)</f>
        <v>0</v>
      </c>
      <c r="AA1163" s="9" t="n">
        <f aca="false">IF(AND(M1163&lt;&gt;"",OR(M1163&lt;5,M1163&gt;180)),1,0)</f>
        <v>0</v>
      </c>
      <c r="AB1163" s="7" t="str">
        <f aca="false">IF(P1163="DUP","Exact duplicate row",IF(T1163=1,"Missing Order ID",IF(S1163="DROP","Duplicate Order ID (less complete row)",IF(U1163=1,"Missing Customer ID",IF(V1163=1,"Missing Restaurant name",IF(W1163=1,"Invalid/outlier quantity",IF(X1163=1,"Invalid/outlier unit price",IF(Y1163=1,"Discount greater than order value",""))))))))</f>
        <v/>
      </c>
      <c r="AC1163" s="7" t="str">
        <f aca="false">IF(AB1163="","KEEP","DROP")</f>
        <v>KEEP</v>
      </c>
      <c r="AD1163" s="7" t="str">
        <f aca="false">IF(TRIM(F1163)="",IFERROR(INDEX(Map_Tables!$I$4:$I$37,MATCH(TRIM(E1163),Map_Tables!$G$4:$G$37,0)),""),IFERROR(INDEX(Map_Tables!$B$4:$B$18,MATCH(TRIM(F1163),Map_Tables!$A$4:$A$18,0)),"CHECK"))</f>
        <v>Bengaluru</v>
      </c>
      <c r="AE1163" s="7" t="str">
        <f aca="false">IF(TRIM(E1163)="","",IFERROR(INDEX(Map_Tables!$H$4:$H$37,MATCH(TRIM(E1163),Map_Tables!$G$4:$G$37,0)),"CHECK"))</f>
        <v>Nawabi Biryani House</v>
      </c>
      <c r="AF1163" s="7" t="str">
        <f aca="false">IF(TRIM(K1163)="","Unknown",IFERROR(INDEX(Map_Tables!$E$4:$E$15,MATCH(TRIM(K1163),Map_Tables!$D$4:$D$15,0)),"CHECK"))</f>
        <v>Wallet</v>
      </c>
      <c r="AG1163" s="7" t="str">
        <f aca="false">IF(LEFT(LOWER(TRIM(L1163)),6)="cancel","Cancelled","Delivered")</f>
        <v>Delivered</v>
      </c>
      <c r="AH1163" s="10" t="n">
        <f aca="false">IF(ISNUMBER(SEARCH("/",B1163)),DATE(VALUE(RIGHT(B1163,4)),VALUE(MID(B1163,4,2)),VALUE(LEFT(B1163,2))),IF(MID(B1163,5,1)="-",DATE(VALUE(LEFT(B1163,4)),VALUE(MID(B1163,6,2)),VALUE(RIGHT(B1163,2))),DATE(VALUE(RIGHT(B1163,4)),MATCH(MID(B1163,4,3),{"Jan","Feb","Mar","Apr","May","Jun","Jul","Aug","Sep","Oct","Nov","Dec"},0),VALUE(LEFT(B1163,2)))))</f>
        <v>45728</v>
      </c>
    </row>
    <row r="1164" customFormat="false" ht="15" hidden="false" customHeight="false" outlineLevel="0" collapsed="false">
      <c r="A1164" s="7" t="s">
        <v>3336</v>
      </c>
      <c r="B1164" s="7" t="s">
        <v>1057</v>
      </c>
      <c r="C1164" s="7" t="s">
        <v>201</v>
      </c>
      <c r="D1164" s="7" t="s">
        <v>2253</v>
      </c>
      <c r="E1164" s="7" t="s">
        <v>94</v>
      </c>
      <c r="F1164" s="7" t="s">
        <v>86</v>
      </c>
      <c r="G1164" s="7" t="s">
        <v>95</v>
      </c>
      <c r="H1164" s="7" t="n">
        <v>1</v>
      </c>
      <c r="I1164" s="7" t="n">
        <v>125</v>
      </c>
      <c r="J1164" s="7" t="n">
        <v>0</v>
      </c>
      <c r="K1164" s="7" t="s">
        <v>93</v>
      </c>
      <c r="L1164" s="7" t="s">
        <v>194</v>
      </c>
      <c r="M1164" s="7" t="n">
        <v>40</v>
      </c>
      <c r="N1164" s="7" t="n">
        <v>4</v>
      </c>
      <c r="O1164" s="7" t="str">
        <f aca="false">A1164&amp;"|"&amp;B1164&amp;"|"&amp;C1164&amp;"|"&amp;D1164&amp;"|"&amp;E1164&amp;"|"&amp;F1164&amp;"|"&amp;G1164&amp;"|"&amp;H1164&amp;"|"&amp;I1164&amp;"|"&amp;J1164&amp;"|"&amp;K1164&amp;"|"&amp;L1164&amp;"|"&amp;M1164&amp;"|"&amp;N1164</f>
        <v>ORD10468|2025-03-03|20:46|C1441|Dosa Darbar|Bengaluru|South Indian|1|125|0|Credit Card|Delivered|40|4</v>
      </c>
      <c r="P1164" s="7" t="str">
        <f aca="false">IF(COUNTIF($O$2:O1164,O1164)&gt;1,"DUP","OK")</f>
        <v>OK</v>
      </c>
      <c r="Q1164" s="7" t="n">
        <f aca="false">COUNTBLANK(A1164:N1164)</f>
        <v>0</v>
      </c>
      <c r="R1164" s="7" t="n">
        <f aca="false">IF(A1164="",0,COUNTIFS($A$2:$A$3058,A1164,$P$2:$P$3058,"OK"))</f>
        <v>1</v>
      </c>
      <c r="S1164" s="7" t="str">
        <f aca="false">IF(OR(A1164="",P1164="DUP",R1164&lt;2),"",IF(Q1164=_xlfn.MINIFS($Q$2:$Q$3058,$A$2:$A$3058,A1164,$P$2:$P$3058,"OK"),"KEEP","DROP"))</f>
        <v/>
      </c>
      <c r="T1164" s="9" t="n">
        <f aca="false">IF(A1164="",1,0)</f>
        <v>0</v>
      </c>
      <c r="U1164" s="9" t="n">
        <f aca="false">IF(D1164="",1,0)</f>
        <v>0</v>
      </c>
      <c r="V1164" s="9" t="n">
        <f aca="false">IF(E1164="",1,0)</f>
        <v>0</v>
      </c>
      <c r="W1164" s="9" t="n">
        <f aca="false">IF(OR(H1164&lt;1,H1164&gt;10),1,0)</f>
        <v>0</v>
      </c>
      <c r="X1164" s="9" t="n">
        <f aca="false">IF(OR(I1164&lt;=0,I1164&gt;1500),1,0)</f>
        <v>0</v>
      </c>
      <c r="Y1164" s="9" t="n">
        <f aca="false">IF(J1164&gt;H1164*I1164,1,0)</f>
        <v>0</v>
      </c>
      <c r="Z1164" s="9" t="n">
        <f aca="false">IF(AND(N1164&lt;&gt;"",OR(N1164&lt;1,N1164&gt;5)),1,0)</f>
        <v>0</v>
      </c>
      <c r="AA1164" s="9" t="n">
        <f aca="false">IF(AND(M1164&lt;&gt;"",OR(M1164&lt;5,M1164&gt;180)),1,0)</f>
        <v>0</v>
      </c>
      <c r="AB1164" s="7" t="str">
        <f aca="false">IF(P1164="DUP","Exact duplicate row",IF(T1164=1,"Missing Order ID",IF(S1164="DROP","Duplicate Order ID (less complete row)",IF(U1164=1,"Missing Customer ID",IF(V1164=1,"Missing Restaurant name",IF(W1164=1,"Invalid/outlier quantity",IF(X1164=1,"Invalid/outlier unit price",IF(Y1164=1,"Discount greater than order value",""))))))))</f>
        <v/>
      </c>
      <c r="AC1164" s="7" t="str">
        <f aca="false">IF(AB1164="","KEEP","DROP")</f>
        <v>KEEP</v>
      </c>
      <c r="AD1164" s="7" t="str">
        <f aca="false">IF(TRIM(F1164)="",IFERROR(INDEX(Map_Tables!$I$4:$I$37,MATCH(TRIM(E1164),Map_Tables!$G$4:$G$37,0)),""),IFERROR(INDEX(Map_Tables!$B$4:$B$18,MATCH(TRIM(F1164),Map_Tables!$A$4:$A$18,0)),"CHECK"))</f>
        <v>Bengaluru</v>
      </c>
      <c r="AE1164" s="7" t="str">
        <f aca="false">IF(TRIM(E1164)="","",IFERROR(INDEX(Map_Tables!$H$4:$H$37,MATCH(TRIM(E1164),Map_Tables!$G$4:$G$37,0)),"CHECK"))</f>
        <v>Dosa Darbar</v>
      </c>
      <c r="AF1164" s="7" t="str">
        <f aca="false">IF(TRIM(K1164)="","Unknown",IFERROR(INDEX(Map_Tables!$E$4:$E$15,MATCH(TRIM(K1164),Map_Tables!$D$4:$D$15,0)),"CHECK"))</f>
        <v>Credit Card</v>
      </c>
      <c r="AG1164" s="7" t="str">
        <f aca="false">IF(LEFT(LOWER(TRIM(L1164)),6)="cancel","Cancelled","Delivered")</f>
        <v>Delivered</v>
      </c>
      <c r="AH1164" s="10" t="n">
        <f aca="false">IF(ISNUMBER(SEARCH("/",B1164)),DATE(VALUE(RIGHT(B1164,4)),VALUE(MID(B1164,4,2)),VALUE(LEFT(B1164,2))),IF(MID(B1164,5,1)="-",DATE(VALUE(LEFT(B1164,4)),VALUE(MID(B1164,6,2)),VALUE(RIGHT(B1164,2))),DATE(VALUE(RIGHT(B1164,4)),MATCH(MID(B1164,4,3),{"Jan","Feb","Mar","Apr","May","Jun","Jul","Aug","Sep","Oct","Nov","Dec"},0),VALUE(LEFT(B1164,2)))))</f>
        <v>45719</v>
      </c>
    </row>
    <row r="1165" customFormat="false" ht="15" hidden="false" customHeight="false" outlineLevel="0" collapsed="false">
      <c r="A1165" s="7" t="s">
        <v>3337</v>
      </c>
      <c r="B1165" s="7" t="s">
        <v>995</v>
      </c>
      <c r="C1165" s="7" t="s">
        <v>2767</v>
      </c>
      <c r="D1165" s="7" t="s">
        <v>3150</v>
      </c>
      <c r="E1165" s="7" t="s">
        <v>130</v>
      </c>
      <c r="F1165" s="7" t="s">
        <v>110</v>
      </c>
      <c r="G1165" s="7" t="s">
        <v>90</v>
      </c>
      <c r="H1165" s="7" t="n">
        <v>1</v>
      </c>
      <c r="I1165" s="7" t="n">
        <v>220</v>
      </c>
      <c r="J1165" s="7" t="n">
        <v>0</v>
      </c>
      <c r="K1165" s="7" t="s">
        <v>88</v>
      </c>
      <c r="L1165" s="7" t="s">
        <v>194</v>
      </c>
      <c r="M1165" s="7" t="n">
        <v>53</v>
      </c>
      <c r="N1165" s="7" t="n">
        <v>3</v>
      </c>
      <c r="O1165" s="7" t="str">
        <f aca="false">A1165&amp;"|"&amp;B1165&amp;"|"&amp;C1165&amp;"|"&amp;D1165&amp;"|"&amp;E1165&amp;"|"&amp;F1165&amp;"|"&amp;G1165&amp;"|"&amp;H1165&amp;"|"&amp;I1165&amp;"|"&amp;J1165&amp;"|"&amp;K1165&amp;"|"&amp;L1165&amp;"|"&amp;M1165&amp;"|"&amp;N1165</f>
        <v>ORD10345|2025-02-15|19:33|C0911|Tandoor Tales|Delhi|North Indian|1|220|0|UPI|Delivered|53|3</v>
      </c>
      <c r="P1165" s="7" t="str">
        <f aca="false">IF(COUNTIF($O$2:O1165,O1165)&gt;1,"DUP","OK")</f>
        <v>OK</v>
      </c>
      <c r="Q1165" s="7" t="n">
        <f aca="false">COUNTBLANK(A1165:N1165)</f>
        <v>0</v>
      </c>
      <c r="R1165" s="7" t="n">
        <f aca="false">IF(A1165="",0,COUNTIFS($A$2:$A$3058,A1165,$P$2:$P$3058,"OK"))</f>
        <v>1</v>
      </c>
      <c r="S1165" s="7" t="str">
        <f aca="false">IF(OR(A1165="",P1165="DUP",R1165&lt;2),"",IF(Q1165=_xlfn.MINIFS($Q$2:$Q$3058,$A$2:$A$3058,A1165,$P$2:$P$3058,"OK"),"KEEP","DROP"))</f>
        <v/>
      </c>
      <c r="T1165" s="9" t="n">
        <f aca="false">IF(A1165="",1,0)</f>
        <v>0</v>
      </c>
      <c r="U1165" s="9" t="n">
        <f aca="false">IF(D1165="",1,0)</f>
        <v>0</v>
      </c>
      <c r="V1165" s="9" t="n">
        <f aca="false">IF(E1165="",1,0)</f>
        <v>0</v>
      </c>
      <c r="W1165" s="9" t="n">
        <f aca="false">IF(OR(H1165&lt;1,H1165&gt;10),1,0)</f>
        <v>0</v>
      </c>
      <c r="X1165" s="9" t="n">
        <f aca="false">IF(OR(I1165&lt;=0,I1165&gt;1500),1,0)</f>
        <v>0</v>
      </c>
      <c r="Y1165" s="9" t="n">
        <f aca="false">IF(J1165&gt;H1165*I1165,1,0)</f>
        <v>0</v>
      </c>
      <c r="Z1165" s="9" t="n">
        <f aca="false">IF(AND(N1165&lt;&gt;"",OR(N1165&lt;1,N1165&gt;5)),1,0)</f>
        <v>0</v>
      </c>
      <c r="AA1165" s="9" t="n">
        <f aca="false">IF(AND(M1165&lt;&gt;"",OR(M1165&lt;5,M1165&gt;180)),1,0)</f>
        <v>0</v>
      </c>
      <c r="AB1165" s="7" t="str">
        <f aca="false">IF(P1165="DUP","Exact duplicate row",IF(T1165=1,"Missing Order ID",IF(S1165="DROP","Duplicate Order ID (less complete row)",IF(U1165=1,"Missing Customer ID",IF(V1165=1,"Missing Restaurant name",IF(W1165=1,"Invalid/outlier quantity",IF(X1165=1,"Invalid/outlier unit price",IF(Y1165=1,"Discount greater than order value",""))))))))</f>
        <v/>
      </c>
      <c r="AC1165" s="7" t="str">
        <f aca="false">IF(AB1165="","KEEP","DROP")</f>
        <v>KEEP</v>
      </c>
      <c r="AD1165" s="7" t="str">
        <f aca="false">IF(TRIM(F1165)="",IFERROR(INDEX(Map_Tables!$I$4:$I$37,MATCH(TRIM(E1165),Map_Tables!$G$4:$G$37,0)),""),IFERROR(INDEX(Map_Tables!$B$4:$B$18,MATCH(TRIM(F1165),Map_Tables!$A$4:$A$18,0)),"CHECK"))</f>
        <v>Delhi</v>
      </c>
      <c r="AE1165" s="7" t="str">
        <f aca="false">IF(TRIM(E1165)="","",IFERROR(INDEX(Map_Tables!$H$4:$H$37,MATCH(TRIM(E1165),Map_Tables!$G$4:$G$37,0)),"CHECK"))</f>
        <v>Tandoor Tales</v>
      </c>
      <c r="AF1165" s="7" t="str">
        <f aca="false">IF(TRIM(K1165)="","Unknown",IFERROR(INDEX(Map_Tables!$E$4:$E$15,MATCH(TRIM(K1165),Map_Tables!$D$4:$D$15,0)),"CHECK"))</f>
        <v>UPI</v>
      </c>
      <c r="AG1165" s="7" t="str">
        <f aca="false">IF(LEFT(LOWER(TRIM(L1165)),6)="cancel","Cancelled","Delivered")</f>
        <v>Delivered</v>
      </c>
      <c r="AH1165" s="10" t="n">
        <f aca="false">IF(ISNUMBER(SEARCH("/",B1165)),DATE(VALUE(RIGHT(B1165,4)),VALUE(MID(B1165,4,2)),VALUE(LEFT(B1165,2))),IF(MID(B1165,5,1)="-",DATE(VALUE(LEFT(B1165,4)),VALUE(MID(B1165,6,2)),VALUE(RIGHT(B1165,2))),DATE(VALUE(RIGHT(B1165,4)),MATCH(MID(B1165,4,3),{"Jan","Feb","Mar","Apr","May","Jun","Jul","Aug","Sep","Oct","Nov","Dec"},0),VALUE(LEFT(B1165,2)))))</f>
        <v>45703</v>
      </c>
    </row>
    <row r="1166" customFormat="false" ht="15" hidden="false" customHeight="false" outlineLevel="0" collapsed="false">
      <c r="A1166" s="7" t="s">
        <v>3338</v>
      </c>
      <c r="B1166" s="7" t="s">
        <v>2795</v>
      </c>
      <c r="C1166" s="7" t="s">
        <v>1764</v>
      </c>
      <c r="D1166" s="7" t="s">
        <v>3027</v>
      </c>
      <c r="E1166" s="7" t="s">
        <v>130</v>
      </c>
      <c r="F1166" s="7" t="s">
        <v>294</v>
      </c>
      <c r="G1166" s="7" t="s">
        <v>90</v>
      </c>
      <c r="H1166" s="7" t="n">
        <v>2</v>
      </c>
      <c r="I1166" s="7" t="n">
        <v>275</v>
      </c>
      <c r="J1166" s="7" t="n">
        <v>0</v>
      </c>
      <c r="K1166" s="7" t="s">
        <v>88</v>
      </c>
      <c r="L1166" s="7" t="s">
        <v>194</v>
      </c>
      <c r="M1166" s="7" t="n">
        <v>44</v>
      </c>
      <c r="N1166" s="7" t="n">
        <v>2</v>
      </c>
      <c r="O1166" s="7" t="str">
        <f aca="false">A1166&amp;"|"&amp;B1166&amp;"|"&amp;C1166&amp;"|"&amp;D1166&amp;"|"&amp;E1166&amp;"|"&amp;F1166&amp;"|"&amp;G1166&amp;"|"&amp;H1166&amp;"|"&amp;I1166&amp;"|"&amp;J1166&amp;"|"&amp;K1166&amp;"|"&amp;L1166&amp;"|"&amp;M1166&amp;"|"&amp;N1166</f>
        <v>ORD12053|2025-09-22|19:36|C0676|Tandoor Tales|New Delhi|North Indian|2|275|0|UPI|Delivered|44|2</v>
      </c>
      <c r="P1166" s="7" t="str">
        <f aca="false">IF(COUNTIF($O$2:O1166,O1166)&gt;1,"DUP","OK")</f>
        <v>OK</v>
      </c>
      <c r="Q1166" s="7" t="n">
        <f aca="false">COUNTBLANK(A1166:N1166)</f>
        <v>0</v>
      </c>
      <c r="R1166" s="7" t="n">
        <f aca="false">IF(A1166="",0,COUNTIFS($A$2:$A$3058,A1166,$P$2:$P$3058,"OK"))</f>
        <v>1</v>
      </c>
      <c r="S1166" s="7" t="str">
        <f aca="false">IF(OR(A1166="",P1166="DUP",R1166&lt;2),"",IF(Q1166=_xlfn.MINIFS($Q$2:$Q$3058,$A$2:$A$3058,A1166,$P$2:$P$3058,"OK"),"KEEP","DROP"))</f>
        <v/>
      </c>
      <c r="T1166" s="9" t="n">
        <f aca="false">IF(A1166="",1,0)</f>
        <v>0</v>
      </c>
      <c r="U1166" s="9" t="n">
        <f aca="false">IF(D1166="",1,0)</f>
        <v>0</v>
      </c>
      <c r="V1166" s="9" t="n">
        <f aca="false">IF(E1166="",1,0)</f>
        <v>0</v>
      </c>
      <c r="W1166" s="9" t="n">
        <f aca="false">IF(OR(H1166&lt;1,H1166&gt;10),1,0)</f>
        <v>0</v>
      </c>
      <c r="X1166" s="9" t="n">
        <f aca="false">IF(OR(I1166&lt;=0,I1166&gt;1500),1,0)</f>
        <v>0</v>
      </c>
      <c r="Y1166" s="9" t="n">
        <f aca="false">IF(J1166&gt;H1166*I1166,1,0)</f>
        <v>0</v>
      </c>
      <c r="Z1166" s="9" t="n">
        <f aca="false">IF(AND(N1166&lt;&gt;"",OR(N1166&lt;1,N1166&gt;5)),1,0)</f>
        <v>0</v>
      </c>
      <c r="AA1166" s="9" t="n">
        <f aca="false">IF(AND(M1166&lt;&gt;"",OR(M1166&lt;5,M1166&gt;180)),1,0)</f>
        <v>0</v>
      </c>
      <c r="AB1166" s="7" t="str">
        <f aca="false">IF(P1166="DUP","Exact duplicate row",IF(T1166=1,"Missing Order ID",IF(S1166="DROP","Duplicate Order ID (less complete row)",IF(U1166=1,"Missing Customer ID",IF(V1166=1,"Missing Restaurant name",IF(W1166=1,"Invalid/outlier quantity",IF(X1166=1,"Invalid/outlier unit price",IF(Y1166=1,"Discount greater than order value",""))))))))</f>
        <v/>
      </c>
      <c r="AC1166" s="7" t="str">
        <f aca="false">IF(AB1166="","KEEP","DROP")</f>
        <v>KEEP</v>
      </c>
      <c r="AD1166" s="7" t="str">
        <f aca="false">IF(TRIM(F1166)="",IFERROR(INDEX(Map_Tables!$I$4:$I$37,MATCH(TRIM(E1166),Map_Tables!$G$4:$G$37,0)),""),IFERROR(INDEX(Map_Tables!$B$4:$B$18,MATCH(TRIM(F1166),Map_Tables!$A$4:$A$18,0)),"CHECK"))</f>
        <v>Delhi</v>
      </c>
      <c r="AE1166" s="7" t="str">
        <f aca="false">IF(TRIM(E1166)="","",IFERROR(INDEX(Map_Tables!$H$4:$H$37,MATCH(TRIM(E1166),Map_Tables!$G$4:$G$37,0)),"CHECK"))</f>
        <v>Tandoor Tales</v>
      </c>
      <c r="AF1166" s="7" t="str">
        <f aca="false">IF(TRIM(K1166)="","Unknown",IFERROR(INDEX(Map_Tables!$E$4:$E$15,MATCH(TRIM(K1166),Map_Tables!$D$4:$D$15,0)),"CHECK"))</f>
        <v>UPI</v>
      </c>
      <c r="AG1166" s="7" t="str">
        <f aca="false">IF(LEFT(LOWER(TRIM(L1166)),6)="cancel","Cancelled","Delivered")</f>
        <v>Delivered</v>
      </c>
      <c r="AH1166" s="10" t="n">
        <f aca="false">IF(ISNUMBER(SEARCH("/",B1166)),DATE(VALUE(RIGHT(B1166,4)),VALUE(MID(B1166,4,2)),VALUE(LEFT(B1166,2))),IF(MID(B1166,5,1)="-",DATE(VALUE(LEFT(B1166,4)),VALUE(MID(B1166,6,2)),VALUE(RIGHT(B1166,2))),DATE(VALUE(RIGHT(B1166,4)),MATCH(MID(B1166,4,3),{"Jan","Feb","Mar","Apr","May","Jun","Jul","Aug","Sep","Oct","Nov","Dec"},0),VALUE(LEFT(B1166,2)))))</f>
        <v>45922</v>
      </c>
    </row>
    <row r="1167" customFormat="false" ht="15" hidden="false" customHeight="false" outlineLevel="0" collapsed="false">
      <c r="A1167" s="7" t="s">
        <v>3339</v>
      </c>
      <c r="B1167" s="7" t="s">
        <v>2846</v>
      </c>
      <c r="C1167" s="7" t="s">
        <v>3340</v>
      </c>
      <c r="D1167" s="7" t="s">
        <v>887</v>
      </c>
      <c r="E1167" s="7" t="s">
        <v>1098</v>
      </c>
      <c r="F1167" s="7" t="s">
        <v>86</v>
      </c>
      <c r="G1167" s="7" t="s">
        <v>90</v>
      </c>
      <c r="H1167" s="7" t="n">
        <v>2</v>
      </c>
      <c r="I1167" s="7" t="n">
        <v>255</v>
      </c>
      <c r="J1167" s="7" t="n">
        <v>0</v>
      </c>
      <c r="K1167" s="7" t="s">
        <v>88</v>
      </c>
      <c r="L1167" s="7" t="s">
        <v>194</v>
      </c>
      <c r="M1167" s="7" t="n">
        <v>34</v>
      </c>
      <c r="N1167" s="7" t="n">
        <v>3</v>
      </c>
      <c r="O1167" s="7" t="str">
        <f aca="false">A1167&amp;"|"&amp;B1167&amp;"|"&amp;C1167&amp;"|"&amp;D1167&amp;"|"&amp;E1167&amp;"|"&amp;F1167&amp;"|"&amp;G1167&amp;"|"&amp;H1167&amp;"|"&amp;I1167&amp;"|"&amp;J1167&amp;"|"&amp;K1167&amp;"|"&amp;L1167&amp;"|"&amp;M1167&amp;"|"&amp;N1167</f>
        <v>ORD12237|2025-10-11|15:11|C1435|SPICE JUNCTION|Bengaluru|North Indian|2|255|0|UPI|Delivered|34|3</v>
      </c>
      <c r="P1167" s="7" t="str">
        <f aca="false">IF(COUNTIF($O$2:O1167,O1167)&gt;1,"DUP","OK")</f>
        <v>OK</v>
      </c>
      <c r="Q1167" s="7" t="n">
        <f aca="false">COUNTBLANK(A1167:N1167)</f>
        <v>0</v>
      </c>
      <c r="R1167" s="7" t="n">
        <f aca="false">IF(A1167="",0,COUNTIFS($A$2:$A$3058,A1167,$P$2:$P$3058,"OK"))</f>
        <v>1</v>
      </c>
      <c r="S1167" s="7" t="str">
        <f aca="false">IF(OR(A1167="",P1167="DUP",R1167&lt;2),"",IF(Q1167=_xlfn.MINIFS($Q$2:$Q$3058,$A$2:$A$3058,A1167,$P$2:$P$3058,"OK"),"KEEP","DROP"))</f>
        <v/>
      </c>
      <c r="T1167" s="9" t="n">
        <f aca="false">IF(A1167="",1,0)</f>
        <v>0</v>
      </c>
      <c r="U1167" s="9" t="n">
        <f aca="false">IF(D1167="",1,0)</f>
        <v>0</v>
      </c>
      <c r="V1167" s="9" t="n">
        <f aca="false">IF(E1167="",1,0)</f>
        <v>0</v>
      </c>
      <c r="W1167" s="9" t="n">
        <f aca="false">IF(OR(H1167&lt;1,H1167&gt;10),1,0)</f>
        <v>0</v>
      </c>
      <c r="X1167" s="9" t="n">
        <f aca="false">IF(OR(I1167&lt;=0,I1167&gt;1500),1,0)</f>
        <v>0</v>
      </c>
      <c r="Y1167" s="9" t="n">
        <f aca="false">IF(J1167&gt;H1167*I1167,1,0)</f>
        <v>0</v>
      </c>
      <c r="Z1167" s="9" t="n">
        <f aca="false">IF(AND(N1167&lt;&gt;"",OR(N1167&lt;1,N1167&gt;5)),1,0)</f>
        <v>0</v>
      </c>
      <c r="AA1167" s="9" t="n">
        <f aca="false">IF(AND(M1167&lt;&gt;"",OR(M1167&lt;5,M1167&gt;180)),1,0)</f>
        <v>0</v>
      </c>
      <c r="AB1167" s="7" t="str">
        <f aca="false">IF(P1167="DUP","Exact duplicate row",IF(T1167=1,"Missing Order ID",IF(S1167="DROP","Duplicate Order ID (less complete row)",IF(U1167=1,"Missing Customer ID",IF(V1167=1,"Missing Restaurant name",IF(W1167=1,"Invalid/outlier quantity",IF(X1167=1,"Invalid/outlier unit price",IF(Y1167=1,"Discount greater than order value",""))))))))</f>
        <v/>
      </c>
      <c r="AC1167" s="7" t="str">
        <f aca="false">IF(AB1167="","KEEP","DROP")</f>
        <v>KEEP</v>
      </c>
      <c r="AD1167" s="7" t="str">
        <f aca="false">IF(TRIM(F1167)="",IFERROR(INDEX(Map_Tables!$I$4:$I$37,MATCH(TRIM(E1167),Map_Tables!$G$4:$G$37,0)),""),IFERROR(INDEX(Map_Tables!$B$4:$B$18,MATCH(TRIM(F1167),Map_Tables!$A$4:$A$18,0)),"CHECK"))</f>
        <v>Bengaluru</v>
      </c>
      <c r="AE1167" s="7" t="str">
        <f aca="false">IF(TRIM(E1167)="","",IFERROR(INDEX(Map_Tables!$H$4:$H$37,MATCH(TRIM(E1167),Map_Tables!$G$4:$G$37,0)),"CHECK"))</f>
        <v>Spice Junction</v>
      </c>
      <c r="AF1167" s="7" t="str">
        <f aca="false">IF(TRIM(K1167)="","Unknown",IFERROR(INDEX(Map_Tables!$E$4:$E$15,MATCH(TRIM(K1167),Map_Tables!$D$4:$D$15,0)),"CHECK"))</f>
        <v>UPI</v>
      </c>
      <c r="AG1167" s="7" t="str">
        <f aca="false">IF(LEFT(LOWER(TRIM(L1167)),6)="cancel","Cancelled","Delivered")</f>
        <v>Delivered</v>
      </c>
      <c r="AH1167" s="10" t="n">
        <f aca="false">IF(ISNUMBER(SEARCH("/",B1167)),DATE(VALUE(RIGHT(B1167,4)),VALUE(MID(B1167,4,2)),VALUE(LEFT(B1167,2))),IF(MID(B1167,5,1)="-",DATE(VALUE(LEFT(B1167,4)),VALUE(MID(B1167,6,2)),VALUE(RIGHT(B1167,2))),DATE(VALUE(RIGHT(B1167,4)),MATCH(MID(B1167,4,3),{"Jan","Feb","Mar","Apr","May","Jun","Jul","Aug","Sep","Oct","Nov","Dec"},0),VALUE(LEFT(B1167,2)))))</f>
        <v>45941</v>
      </c>
    </row>
    <row r="1168" customFormat="false" ht="15" hidden="false" customHeight="false" outlineLevel="0" collapsed="false">
      <c r="A1168" s="7" t="s">
        <v>3341</v>
      </c>
      <c r="B1168" s="7" t="s">
        <v>921</v>
      </c>
      <c r="C1168" s="7" t="s">
        <v>1087</v>
      </c>
      <c r="D1168" s="7" t="s">
        <v>2339</v>
      </c>
      <c r="E1168" s="7" t="s">
        <v>113</v>
      </c>
      <c r="F1168" s="7" t="s">
        <v>101</v>
      </c>
      <c r="G1168" s="7" t="s">
        <v>90</v>
      </c>
      <c r="H1168" s="7" t="n">
        <v>2</v>
      </c>
      <c r="I1168" s="7" t="n">
        <v>275</v>
      </c>
      <c r="J1168" s="7" t="n">
        <v>0</v>
      </c>
      <c r="K1168" s="7" t="s">
        <v>103</v>
      </c>
      <c r="L1168" s="7" t="s">
        <v>194</v>
      </c>
      <c r="M1168" s="7" t="n">
        <v>43</v>
      </c>
      <c r="N1168" s="7" t="n">
        <v>4</v>
      </c>
      <c r="O1168" s="7" t="str">
        <f aca="false">A1168&amp;"|"&amp;B1168&amp;"|"&amp;C1168&amp;"|"&amp;D1168&amp;"|"&amp;E1168&amp;"|"&amp;F1168&amp;"|"&amp;G1168&amp;"|"&amp;H1168&amp;"|"&amp;I1168&amp;"|"&amp;J1168&amp;"|"&amp;K1168&amp;"|"&amp;L1168&amp;"|"&amp;M1168&amp;"|"&amp;N1168</f>
        <v>ORD12161|2025-10-03|19:47|C1381|Curry Leaf Kitchen|Mumbai|North Indian|2|275|0|Debit Card|Delivered|43|4</v>
      </c>
      <c r="P1168" s="7" t="str">
        <f aca="false">IF(COUNTIF($O$2:O1168,O1168)&gt;1,"DUP","OK")</f>
        <v>OK</v>
      </c>
      <c r="Q1168" s="7" t="n">
        <f aca="false">COUNTBLANK(A1168:N1168)</f>
        <v>0</v>
      </c>
      <c r="R1168" s="7" t="n">
        <f aca="false">IF(A1168="",0,COUNTIFS($A$2:$A$3058,A1168,$P$2:$P$3058,"OK"))</f>
        <v>1</v>
      </c>
      <c r="S1168" s="7" t="str">
        <f aca="false">IF(OR(A1168="",P1168="DUP",R1168&lt;2),"",IF(Q1168=_xlfn.MINIFS($Q$2:$Q$3058,$A$2:$A$3058,A1168,$P$2:$P$3058,"OK"),"KEEP","DROP"))</f>
        <v/>
      </c>
      <c r="T1168" s="9" t="n">
        <f aca="false">IF(A1168="",1,0)</f>
        <v>0</v>
      </c>
      <c r="U1168" s="9" t="n">
        <f aca="false">IF(D1168="",1,0)</f>
        <v>0</v>
      </c>
      <c r="V1168" s="9" t="n">
        <f aca="false">IF(E1168="",1,0)</f>
        <v>0</v>
      </c>
      <c r="W1168" s="9" t="n">
        <f aca="false">IF(OR(H1168&lt;1,H1168&gt;10),1,0)</f>
        <v>0</v>
      </c>
      <c r="X1168" s="9" t="n">
        <f aca="false">IF(OR(I1168&lt;=0,I1168&gt;1500),1,0)</f>
        <v>0</v>
      </c>
      <c r="Y1168" s="9" t="n">
        <f aca="false">IF(J1168&gt;H1168*I1168,1,0)</f>
        <v>0</v>
      </c>
      <c r="Z1168" s="9" t="n">
        <f aca="false">IF(AND(N1168&lt;&gt;"",OR(N1168&lt;1,N1168&gt;5)),1,0)</f>
        <v>0</v>
      </c>
      <c r="AA1168" s="9" t="n">
        <f aca="false">IF(AND(M1168&lt;&gt;"",OR(M1168&lt;5,M1168&gt;180)),1,0)</f>
        <v>0</v>
      </c>
      <c r="AB1168" s="7" t="str">
        <f aca="false">IF(P1168="DUP","Exact duplicate row",IF(T1168=1,"Missing Order ID",IF(S1168="DROP","Duplicate Order ID (less complete row)",IF(U1168=1,"Missing Customer ID",IF(V1168=1,"Missing Restaurant name",IF(W1168=1,"Invalid/outlier quantity",IF(X1168=1,"Invalid/outlier unit price",IF(Y1168=1,"Discount greater than order value",""))))))))</f>
        <v/>
      </c>
      <c r="AC1168" s="7" t="str">
        <f aca="false">IF(AB1168="","KEEP","DROP")</f>
        <v>KEEP</v>
      </c>
      <c r="AD1168" s="7" t="str">
        <f aca="false">IF(TRIM(F1168)="",IFERROR(INDEX(Map_Tables!$I$4:$I$37,MATCH(TRIM(E1168),Map_Tables!$G$4:$G$37,0)),""),IFERROR(INDEX(Map_Tables!$B$4:$B$18,MATCH(TRIM(F1168),Map_Tables!$A$4:$A$18,0)),"CHECK"))</f>
        <v>Mumbai</v>
      </c>
      <c r="AE1168" s="7" t="str">
        <f aca="false">IF(TRIM(E1168)="","",IFERROR(INDEX(Map_Tables!$H$4:$H$37,MATCH(TRIM(E1168),Map_Tables!$G$4:$G$37,0)),"CHECK"))</f>
        <v>Curry Leaf Kitchen</v>
      </c>
      <c r="AF1168" s="7" t="str">
        <f aca="false">IF(TRIM(K1168)="","Unknown",IFERROR(INDEX(Map_Tables!$E$4:$E$15,MATCH(TRIM(K1168),Map_Tables!$D$4:$D$15,0)),"CHECK"))</f>
        <v>Debit Card</v>
      </c>
      <c r="AG1168" s="7" t="str">
        <f aca="false">IF(LEFT(LOWER(TRIM(L1168)),6)="cancel","Cancelled","Delivered")</f>
        <v>Delivered</v>
      </c>
      <c r="AH1168" s="10" t="n">
        <f aca="false">IF(ISNUMBER(SEARCH("/",B1168)),DATE(VALUE(RIGHT(B1168,4)),VALUE(MID(B1168,4,2)),VALUE(LEFT(B1168,2))),IF(MID(B1168,5,1)="-",DATE(VALUE(LEFT(B1168,4)),VALUE(MID(B1168,6,2)),VALUE(RIGHT(B1168,2))),DATE(VALUE(RIGHT(B1168,4)),MATCH(MID(B1168,4,3),{"Jan","Feb","Mar","Apr","May","Jun","Jul","Aug","Sep","Oct","Nov","Dec"},0),VALUE(LEFT(B1168,2)))))</f>
        <v>45933</v>
      </c>
    </row>
    <row r="1169" customFormat="false" ht="15" hidden="false" customHeight="false" outlineLevel="0" collapsed="false">
      <c r="A1169" s="7" t="s">
        <v>3342</v>
      </c>
      <c r="B1169" s="7" t="s">
        <v>231</v>
      </c>
      <c r="C1169" s="7" t="s">
        <v>452</v>
      </c>
      <c r="D1169" s="7" t="s">
        <v>2894</v>
      </c>
      <c r="E1169" s="7" t="s">
        <v>138</v>
      </c>
      <c r="F1169" s="7" t="s">
        <v>294</v>
      </c>
      <c r="G1169" s="7" t="s">
        <v>139</v>
      </c>
      <c r="H1169" s="7" t="n">
        <v>3</v>
      </c>
      <c r="I1169" s="7" t="n">
        <v>180</v>
      </c>
      <c r="J1169" s="7" t="n">
        <v>150</v>
      </c>
      <c r="K1169" s="7" t="s">
        <v>93</v>
      </c>
      <c r="L1169" s="7" t="s">
        <v>194</v>
      </c>
      <c r="M1169" s="7" t="n">
        <v>38</v>
      </c>
      <c r="N1169" s="7" t="n">
        <v>3</v>
      </c>
      <c r="O1169" s="7" t="str">
        <f aca="false">A1169&amp;"|"&amp;B1169&amp;"|"&amp;C1169&amp;"|"&amp;D1169&amp;"|"&amp;E1169&amp;"|"&amp;F1169&amp;"|"&amp;G1169&amp;"|"&amp;H1169&amp;"|"&amp;I1169&amp;"|"&amp;J1169&amp;"|"&amp;K1169&amp;"|"&amp;L1169&amp;"|"&amp;M1169&amp;"|"&amp;N1169</f>
        <v>ORD12722|2025-11-30|19:34|C1466|Burger Barn|New Delhi|Burgers|3|180|150|Credit Card|Delivered|38|3</v>
      </c>
      <c r="P1169" s="7" t="str">
        <f aca="false">IF(COUNTIF($O$2:O1169,O1169)&gt;1,"DUP","OK")</f>
        <v>OK</v>
      </c>
      <c r="Q1169" s="7" t="n">
        <f aca="false">COUNTBLANK(A1169:N1169)</f>
        <v>0</v>
      </c>
      <c r="R1169" s="7" t="n">
        <f aca="false">IF(A1169="",0,COUNTIFS($A$2:$A$3058,A1169,$P$2:$P$3058,"OK"))</f>
        <v>1</v>
      </c>
      <c r="S1169" s="7" t="str">
        <f aca="false">IF(OR(A1169="",P1169="DUP",R1169&lt;2),"",IF(Q1169=_xlfn.MINIFS($Q$2:$Q$3058,$A$2:$A$3058,A1169,$P$2:$P$3058,"OK"),"KEEP","DROP"))</f>
        <v/>
      </c>
      <c r="T1169" s="9" t="n">
        <f aca="false">IF(A1169="",1,0)</f>
        <v>0</v>
      </c>
      <c r="U1169" s="9" t="n">
        <f aca="false">IF(D1169="",1,0)</f>
        <v>0</v>
      </c>
      <c r="V1169" s="9" t="n">
        <f aca="false">IF(E1169="",1,0)</f>
        <v>0</v>
      </c>
      <c r="W1169" s="9" t="n">
        <f aca="false">IF(OR(H1169&lt;1,H1169&gt;10),1,0)</f>
        <v>0</v>
      </c>
      <c r="X1169" s="9" t="n">
        <f aca="false">IF(OR(I1169&lt;=0,I1169&gt;1500),1,0)</f>
        <v>0</v>
      </c>
      <c r="Y1169" s="9" t="n">
        <f aca="false">IF(J1169&gt;H1169*I1169,1,0)</f>
        <v>0</v>
      </c>
      <c r="Z1169" s="9" t="n">
        <f aca="false">IF(AND(N1169&lt;&gt;"",OR(N1169&lt;1,N1169&gt;5)),1,0)</f>
        <v>0</v>
      </c>
      <c r="AA1169" s="9" t="n">
        <f aca="false">IF(AND(M1169&lt;&gt;"",OR(M1169&lt;5,M1169&gt;180)),1,0)</f>
        <v>0</v>
      </c>
      <c r="AB1169" s="7" t="str">
        <f aca="false">IF(P1169="DUP","Exact duplicate row",IF(T1169=1,"Missing Order ID",IF(S1169="DROP","Duplicate Order ID (less complete row)",IF(U1169=1,"Missing Customer ID",IF(V1169=1,"Missing Restaurant name",IF(W1169=1,"Invalid/outlier quantity",IF(X1169=1,"Invalid/outlier unit price",IF(Y1169=1,"Discount greater than order value",""))))))))</f>
        <v/>
      </c>
      <c r="AC1169" s="7" t="str">
        <f aca="false">IF(AB1169="","KEEP","DROP")</f>
        <v>KEEP</v>
      </c>
      <c r="AD1169" s="7" t="str">
        <f aca="false">IF(TRIM(F1169)="",IFERROR(INDEX(Map_Tables!$I$4:$I$37,MATCH(TRIM(E1169),Map_Tables!$G$4:$G$37,0)),""),IFERROR(INDEX(Map_Tables!$B$4:$B$18,MATCH(TRIM(F1169),Map_Tables!$A$4:$A$18,0)),"CHECK"))</f>
        <v>Delhi</v>
      </c>
      <c r="AE1169" s="7" t="str">
        <f aca="false">IF(TRIM(E1169)="","",IFERROR(INDEX(Map_Tables!$H$4:$H$37,MATCH(TRIM(E1169),Map_Tables!$G$4:$G$37,0)),"CHECK"))</f>
        <v>Burger Barn</v>
      </c>
      <c r="AF1169" s="7" t="str">
        <f aca="false">IF(TRIM(K1169)="","Unknown",IFERROR(INDEX(Map_Tables!$E$4:$E$15,MATCH(TRIM(K1169),Map_Tables!$D$4:$D$15,0)),"CHECK"))</f>
        <v>Credit Card</v>
      </c>
      <c r="AG1169" s="7" t="str">
        <f aca="false">IF(LEFT(LOWER(TRIM(L1169)),6)="cancel","Cancelled","Delivered")</f>
        <v>Delivered</v>
      </c>
      <c r="AH1169" s="10" t="n">
        <f aca="false">IF(ISNUMBER(SEARCH("/",B1169)),DATE(VALUE(RIGHT(B1169,4)),VALUE(MID(B1169,4,2)),VALUE(LEFT(B1169,2))),IF(MID(B1169,5,1)="-",DATE(VALUE(LEFT(B1169,4)),VALUE(MID(B1169,6,2)),VALUE(RIGHT(B1169,2))),DATE(VALUE(RIGHT(B1169,4)),MATCH(MID(B1169,4,3),{"Jan","Feb","Mar","Apr","May","Jun","Jul","Aug","Sep","Oct","Nov","Dec"},0),VALUE(LEFT(B1169,2)))))</f>
        <v>45991</v>
      </c>
    </row>
    <row r="1170" customFormat="false" ht="15" hidden="false" customHeight="false" outlineLevel="0" collapsed="false">
      <c r="A1170" s="7" t="s">
        <v>3343</v>
      </c>
      <c r="B1170" s="7" t="s">
        <v>1214</v>
      </c>
      <c r="C1170" s="7" t="s">
        <v>3344</v>
      </c>
      <c r="D1170" s="7" t="s">
        <v>985</v>
      </c>
      <c r="E1170" s="7" t="s">
        <v>149</v>
      </c>
      <c r="F1170" s="7" t="s">
        <v>119</v>
      </c>
      <c r="G1170" s="7" t="s">
        <v>150</v>
      </c>
      <c r="H1170" s="7" t="n">
        <v>1</v>
      </c>
      <c r="I1170" s="7" t="n">
        <v>190</v>
      </c>
      <c r="J1170" s="7" t="n">
        <v>0</v>
      </c>
      <c r="K1170" s="7" t="s">
        <v>112</v>
      </c>
      <c r="L1170" s="7" t="s">
        <v>220</v>
      </c>
      <c r="M1170" s="7" t="n">
        <v>26</v>
      </c>
      <c r="N1170" s="7" t="n">
        <v>4</v>
      </c>
      <c r="O1170" s="7" t="str">
        <f aca="false">A1170&amp;"|"&amp;B1170&amp;"|"&amp;C1170&amp;"|"&amp;D1170&amp;"|"&amp;E1170&amp;"|"&amp;F1170&amp;"|"&amp;G1170&amp;"|"&amp;H1170&amp;"|"&amp;I1170&amp;"|"&amp;J1170&amp;"|"&amp;K1170&amp;"|"&amp;L1170&amp;"|"&amp;M1170&amp;"|"&amp;N1170</f>
        <v>ORD11376|2025-06-26|21:25|C0143|Sweet Tooth Studio|Hyderabad|Desserts|1|190|0|Cash on Delivery|DELIVERED|26|4</v>
      </c>
      <c r="P1170" s="7" t="str">
        <f aca="false">IF(COUNTIF($O$2:O1170,O1170)&gt;1,"DUP","OK")</f>
        <v>OK</v>
      </c>
      <c r="Q1170" s="7" t="n">
        <f aca="false">COUNTBLANK(A1170:N1170)</f>
        <v>0</v>
      </c>
      <c r="R1170" s="7" t="n">
        <f aca="false">IF(A1170="",0,COUNTIFS($A$2:$A$3058,A1170,$P$2:$P$3058,"OK"))</f>
        <v>1</v>
      </c>
      <c r="S1170" s="7" t="str">
        <f aca="false">IF(OR(A1170="",P1170="DUP",R1170&lt;2),"",IF(Q1170=_xlfn.MINIFS($Q$2:$Q$3058,$A$2:$A$3058,A1170,$P$2:$P$3058,"OK"),"KEEP","DROP"))</f>
        <v/>
      </c>
      <c r="T1170" s="9" t="n">
        <f aca="false">IF(A1170="",1,0)</f>
        <v>0</v>
      </c>
      <c r="U1170" s="9" t="n">
        <f aca="false">IF(D1170="",1,0)</f>
        <v>0</v>
      </c>
      <c r="V1170" s="9" t="n">
        <f aca="false">IF(E1170="",1,0)</f>
        <v>0</v>
      </c>
      <c r="W1170" s="9" t="n">
        <f aca="false">IF(OR(H1170&lt;1,H1170&gt;10),1,0)</f>
        <v>0</v>
      </c>
      <c r="X1170" s="9" t="n">
        <f aca="false">IF(OR(I1170&lt;=0,I1170&gt;1500),1,0)</f>
        <v>0</v>
      </c>
      <c r="Y1170" s="9" t="n">
        <f aca="false">IF(J1170&gt;H1170*I1170,1,0)</f>
        <v>0</v>
      </c>
      <c r="Z1170" s="9" t="n">
        <f aca="false">IF(AND(N1170&lt;&gt;"",OR(N1170&lt;1,N1170&gt;5)),1,0)</f>
        <v>0</v>
      </c>
      <c r="AA1170" s="9" t="n">
        <f aca="false">IF(AND(M1170&lt;&gt;"",OR(M1170&lt;5,M1170&gt;180)),1,0)</f>
        <v>0</v>
      </c>
      <c r="AB1170" s="7" t="str">
        <f aca="false">IF(P1170="DUP","Exact duplicate row",IF(T1170=1,"Missing Order ID",IF(S1170="DROP","Duplicate Order ID (less complete row)",IF(U1170=1,"Missing Customer ID",IF(V1170=1,"Missing Restaurant name",IF(W1170=1,"Invalid/outlier quantity",IF(X1170=1,"Invalid/outlier unit price",IF(Y1170=1,"Discount greater than order value",""))))))))</f>
        <v/>
      </c>
      <c r="AC1170" s="7" t="str">
        <f aca="false">IF(AB1170="","KEEP","DROP")</f>
        <v>KEEP</v>
      </c>
      <c r="AD1170" s="7" t="str">
        <f aca="false">IF(TRIM(F1170)="",IFERROR(INDEX(Map_Tables!$I$4:$I$37,MATCH(TRIM(E1170),Map_Tables!$G$4:$G$37,0)),""),IFERROR(INDEX(Map_Tables!$B$4:$B$18,MATCH(TRIM(F1170),Map_Tables!$A$4:$A$18,0)),"CHECK"))</f>
        <v>Hyderabad</v>
      </c>
      <c r="AE1170" s="7" t="str">
        <f aca="false">IF(TRIM(E1170)="","",IFERROR(INDEX(Map_Tables!$H$4:$H$37,MATCH(TRIM(E1170),Map_Tables!$G$4:$G$37,0)),"CHECK"))</f>
        <v>Sweet Tooth Studio</v>
      </c>
      <c r="AF1170" s="7" t="str">
        <f aca="false">IF(TRIM(K1170)="","Unknown",IFERROR(INDEX(Map_Tables!$E$4:$E$15,MATCH(TRIM(K1170),Map_Tables!$D$4:$D$15,0)),"CHECK"))</f>
        <v>Cash on Delivery</v>
      </c>
      <c r="AG1170" s="7" t="str">
        <f aca="false">IF(LEFT(LOWER(TRIM(L1170)),6)="cancel","Cancelled","Delivered")</f>
        <v>Delivered</v>
      </c>
      <c r="AH1170" s="10" t="n">
        <f aca="false">IF(ISNUMBER(SEARCH("/",B1170)),DATE(VALUE(RIGHT(B1170,4)),VALUE(MID(B1170,4,2)),VALUE(LEFT(B1170,2))),IF(MID(B1170,5,1)="-",DATE(VALUE(LEFT(B1170,4)),VALUE(MID(B1170,6,2)),VALUE(RIGHT(B1170,2))),DATE(VALUE(RIGHT(B1170,4)),MATCH(MID(B1170,4,3),{"Jan","Feb","Mar","Apr","May","Jun","Jul","Aug","Sep","Oct","Nov","Dec"},0),VALUE(LEFT(B1170,2)))))</f>
        <v>45834</v>
      </c>
    </row>
    <row r="1171" customFormat="false" ht="15" hidden="false" customHeight="false" outlineLevel="0" collapsed="false">
      <c r="A1171" s="7" t="s">
        <v>3345</v>
      </c>
      <c r="B1171" s="7" t="s">
        <v>2795</v>
      </c>
      <c r="C1171" s="7" t="s">
        <v>3346</v>
      </c>
      <c r="D1171" s="7" t="s">
        <v>3347</v>
      </c>
      <c r="E1171" s="7" t="s">
        <v>122</v>
      </c>
      <c r="F1171" s="7" t="s">
        <v>101</v>
      </c>
      <c r="G1171" s="7" t="s">
        <v>123</v>
      </c>
      <c r="H1171" s="7" t="n">
        <v>5</v>
      </c>
      <c r="I1171" s="7" t="n">
        <v>285</v>
      </c>
      <c r="J1171" s="7" t="n">
        <v>150</v>
      </c>
      <c r="K1171" s="7" t="s">
        <v>88</v>
      </c>
      <c r="L1171" s="7" t="s">
        <v>194</v>
      </c>
      <c r="M1171" s="7" t="n">
        <v>52</v>
      </c>
      <c r="N1171" s="7" t="n">
        <v>4</v>
      </c>
      <c r="O1171" s="7" t="str">
        <f aca="false">A1171&amp;"|"&amp;B1171&amp;"|"&amp;C1171&amp;"|"&amp;D1171&amp;"|"&amp;E1171&amp;"|"&amp;F1171&amp;"|"&amp;G1171&amp;"|"&amp;H1171&amp;"|"&amp;I1171&amp;"|"&amp;J1171&amp;"|"&amp;K1171&amp;"|"&amp;L1171&amp;"|"&amp;M1171&amp;"|"&amp;N1171</f>
        <v>ORD12055|2025-09-22|21:33|C1365|Mumbai Pizza Co|Mumbai|Pizza|5|285|150|UPI|Delivered|52|4</v>
      </c>
      <c r="P1171" s="7" t="str">
        <f aca="false">IF(COUNTIF($O$2:O1171,O1171)&gt;1,"DUP","OK")</f>
        <v>OK</v>
      </c>
      <c r="Q1171" s="7" t="n">
        <f aca="false">COUNTBLANK(A1171:N1171)</f>
        <v>0</v>
      </c>
      <c r="R1171" s="7" t="n">
        <f aca="false">IF(A1171="",0,COUNTIFS($A$2:$A$3058,A1171,$P$2:$P$3058,"OK"))</f>
        <v>1</v>
      </c>
      <c r="S1171" s="7" t="str">
        <f aca="false">IF(OR(A1171="",P1171="DUP",R1171&lt;2),"",IF(Q1171=_xlfn.MINIFS($Q$2:$Q$3058,$A$2:$A$3058,A1171,$P$2:$P$3058,"OK"),"KEEP","DROP"))</f>
        <v/>
      </c>
      <c r="T1171" s="9" t="n">
        <f aca="false">IF(A1171="",1,0)</f>
        <v>0</v>
      </c>
      <c r="U1171" s="9" t="n">
        <f aca="false">IF(D1171="",1,0)</f>
        <v>0</v>
      </c>
      <c r="V1171" s="9" t="n">
        <f aca="false">IF(E1171="",1,0)</f>
        <v>0</v>
      </c>
      <c r="W1171" s="9" t="n">
        <f aca="false">IF(OR(H1171&lt;1,H1171&gt;10),1,0)</f>
        <v>0</v>
      </c>
      <c r="X1171" s="9" t="n">
        <f aca="false">IF(OR(I1171&lt;=0,I1171&gt;1500),1,0)</f>
        <v>0</v>
      </c>
      <c r="Y1171" s="9" t="n">
        <f aca="false">IF(J1171&gt;H1171*I1171,1,0)</f>
        <v>0</v>
      </c>
      <c r="Z1171" s="9" t="n">
        <f aca="false">IF(AND(N1171&lt;&gt;"",OR(N1171&lt;1,N1171&gt;5)),1,0)</f>
        <v>0</v>
      </c>
      <c r="AA1171" s="9" t="n">
        <f aca="false">IF(AND(M1171&lt;&gt;"",OR(M1171&lt;5,M1171&gt;180)),1,0)</f>
        <v>0</v>
      </c>
      <c r="AB1171" s="7" t="str">
        <f aca="false">IF(P1171="DUP","Exact duplicate row",IF(T1171=1,"Missing Order ID",IF(S1171="DROP","Duplicate Order ID (less complete row)",IF(U1171=1,"Missing Customer ID",IF(V1171=1,"Missing Restaurant name",IF(W1171=1,"Invalid/outlier quantity",IF(X1171=1,"Invalid/outlier unit price",IF(Y1171=1,"Discount greater than order value",""))))))))</f>
        <v/>
      </c>
      <c r="AC1171" s="7" t="str">
        <f aca="false">IF(AB1171="","KEEP","DROP")</f>
        <v>KEEP</v>
      </c>
      <c r="AD1171" s="7" t="str">
        <f aca="false">IF(TRIM(F1171)="",IFERROR(INDEX(Map_Tables!$I$4:$I$37,MATCH(TRIM(E1171),Map_Tables!$G$4:$G$37,0)),""),IFERROR(INDEX(Map_Tables!$B$4:$B$18,MATCH(TRIM(F1171),Map_Tables!$A$4:$A$18,0)),"CHECK"))</f>
        <v>Mumbai</v>
      </c>
      <c r="AE1171" s="7" t="str">
        <f aca="false">IF(TRIM(E1171)="","",IFERROR(INDEX(Map_Tables!$H$4:$H$37,MATCH(TRIM(E1171),Map_Tables!$G$4:$G$37,0)),"CHECK"))</f>
        <v>Mumbai Pizza Co</v>
      </c>
      <c r="AF1171" s="7" t="str">
        <f aca="false">IF(TRIM(K1171)="","Unknown",IFERROR(INDEX(Map_Tables!$E$4:$E$15,MATCH(TRIM(K1171),Map_Tables!$D$4:$D$15,0)),"CHECK"))</f>
        <v>UPI</v>
      </c>
      <c r="AG1171" s="7" t="str">
        <f aca="false">IF(LEFT(LOWER(TRIM(L1171)),6)="cancel","Cancelled","Delivered")</f>
        <v>Delivered</v>
      </c>
      <c r="AH1171" s="10" t="n">
        <f aca="false">IF(ISNUMBER(SEARCH("/",B1171)),DATE(VALUE(RIGHT(B1171,4)),VALUE(MID(B1171,4,2)),VALUE(LEFT(B1171,2))),IF(MID(B1171,5,1)="-",DATE(VALUE(LEFT(B1171,4)),VALUE(MID(B1171,6,2)),VALUE(RIGHT(B1171,2))),DATE(VALUE(RIGHT(B1171,4)),MATCH(MID(B1171,4,3),{"Jan","Feb","Mar","Apr","May","Jun","Jul","Aug","Sep","Oct","Nov","Dec"},0),VALUE(LEFT(B1171,2)))))</f>
        <v>45922</v>
      </c>
    </row>
    <row r="1172" customFormat="false" ht="15" hidden="false" customHeight="false" outlineLevel="0" collapsed="false">
      <c r="A1172" s="7" t="s">
        <v>3348</v>
      </c>
      <c r="B1172" s="7" t="s">
        <v>1187</v>
      </c>
      <c r="C1172" s="7" t="s">
        <v>3349</v>
      </c>
      <c r="D1172" s="7" t="s">
        <v>2823</v>
      </c>
      <c r="E1172" s="7" t="s">
        <v>126</v>
      </c>
      <c r="F1172" s="7" t="s">
        <v>101</v>
      </c>
      <c r="G1172" s="7" t="s">
        <v>105</v>
      </c>
      <c r="H1172" s="7" t="n">
        <v>3</v>
      </c>
      <c r="I1172" s="7" t="n">
        <v>215</v>
      </c>
      <c r="J1172" s="7" t="n">
        <v>150</v>
      </c>
      <c r="K1172" s="7" t="s">
        <v>93</v>
      </c>
      <c r="L1172" s="7" t="s">
        <v>194</v>
      </c>
      <c r="M1172" s="7" t="n">
        <v>42</v>
      </c>
      <c r="N1172" s="7" t="n">
        <v>3</v>
      </c>
      <c r="O1172" s="7" t="str">
        <f aca="false">A1172&amp;"|"&amp;B1172&amp;"|"&amp;C1172&amp;"|"&amp;D1172&amp;"|"&amp;E1172&amp;"|"&amp;F1172&amp;"|"&amp;G1172&amp;"|"&amp;H1172&amp;"|"&amp;I1172&amp;"|"&amp;J1172&amp;"|"&amp;K1172&amp;"|"&amp;L1172&amp;"|"&amp;M1172&amp;"|"&amp;N1172</f>
        <v>ORD11959|2025-09-11|13:34|C0780|Dragon Express|Mumbai|Chinese|3|215|150|Credit Card|Delivered|42|3</v>
      </c>
      <c r="P1172" s="7" t="str">
        <f aca="false">IF(COUNTIF($O$2:O1172,O1172)&gt;1,"DUP","OK")</f>
        <v>OK</v>
      </c>
      <c r="Q1172" s="7" t="n">
        <f aca="false">COUNTBLANK(A1172:N1172)</f>
        <v>0</v>
      </c>
      <c r="R1172" s="7" t="n">
        <f aca="false">IF(A1172="",0,COUNTIFS($A$2:$A$3058,A1172,$P$2:$P$3058,"OK"))</f>
        <v>1</v>
      </c>
      <c r="S1172" s="7" t="str">
        <f aca="false">IF(OR(A1172="",P1172="DUP",R1172&lt;2),"",IF(Q1172=_xlfn.MINIFS($Q$2:$Q$3058,$A$2:$A$3058,A1172,$P$2:$P$3058,"OK"),"KEEP","DROP"))</f>
        <v/>
      </c>
      <c r="T1172" s="9" t="n">
        <f aca="false">IF(A1172="",1,0)</f>
        <v>0</v>
      </c>
      <c r="U1172" s="9" t="n">
        <f aca="false">IF(D1172="",1,0)</f>
        <v>0</v>
      </c>
      <c r="V1172" s="9" t="n">
        <f aca="false">IF(E1172="",1,0)</f>
        <v>0</v>
      </c>
      <c r="W1172" s="9" t="n">
        <f aca="false">IF(OR(H1172&lt;1,H1172&gt;10),1,0)</f>
        <v>0</v>
      </c>
      <c r="X1172" s="9" t="n">
        <f aca="false">IF(OR(I1172&lt;=0,I1172&gt;1500),1,0)</f>
        <v>0</v>
      </c>
      <c r="Y1172" s="9" t="n">
        <f aca="false">IF(J1172&gt;H1172*I1172,1,0)</f>
        <v>0</v>
      </c>
      <c r="Z1172" s="9" t="n">
        <f aca="false">IF(AND(N1172&lt;&gt;"",OR(N1172&lt;1,N1172&gt;5)),1,0)</f>
        <v>0</v>
      </c>
      <c r="AA1172" s="9" t="n">
        <f aca="false">IF(AND(M1172&lt;&gt;"",OR(M1172&lt;5,M1172&gt;180)),1,0)</f>
        <v>0</v>
      </c>
      <c r="AB1172" s="7" t="str">
        <f aca="false">IF(P1172="DUP","Exact duplicate row",IF(T1172=1,"Missing Order ID",IF(S1172="DROP","Duplicate Order ID (less complete row)",IF(U1172=1,"Missing Customer ID",IF(V1172=1,"Missing Restaurant name",IF(W1172=1,"Invalid/outlier quantity",IF(X1172=1,"Invalid/outlier unit price",IF(Y1172=1,"Discount greater than order value",""))))))))</f>
        <v/>
      </c>
      <c r="AC1172" s="7" t="str">
        <f aca="false">IF(AB1172="","KEEP","DROP")</f>
        <v>KEEP</v>
      </c>
      <c r="AD1172" s="7" t="str">
        <f aca="false">IF(TRIM(F1172)="",IFERROR(INDEX(Map_Tables!$I$4:$I$37,MATCH(TRIM(E1172),Map_Tables!$G$4:$G$37,0)),""),IFERROR(INDEX(Map_Tables!$B$4:$B$18,MATCH(TRIM(F1172),Map_Tables!$A$4:$A$18,0)),"CHECK"))</f>
        <v>Mumbai</v>
      </c>
      <c r="AE1172" s="7" t="str">
        <f aca="false">IF(TRIM(E1172)="","",IFERROR(INDEX(Map_Tables!$H$4:$H$37,MATCH(TRIM(E1172),Map_Tables!$G$4:$G$37,0)),"CHECK"))</f>
        <v>Dragon Express</v>
      </c>
      <c r="AF1172" s="7" t="str">
        <f aca="false">IF(TRIM(K1172)="","Unknown",IFERROR(INDEX(Map_Tables!$E$4:$E$15,MATCH(TRIM(K1172),Map_Tables!$D$4:$D$15,0)),"CHECK"))</f>
        <v>Credit Card</v>
      </c>
      <c r="AG1172" s="7" t="str">
        <f aca="false">IF(LEFT(LOWER(TRIM(L1172)),6)="cancel","Cancelled","Delivered")</f>
        <v>Delivered</v>
      </c>
      <c r="AH1172" s="10" t="n">
        <f aca="false">IF(ISNUMBER(SEARCH("/",B1172)),DATE(VALUE(RIGHT(B1172,4)),VALUE(MID(B1172,4,2)),VALUE(LEFT(B1172,2))),IF(MID(B1172,5,1)="-",DATE(VALUE(LEFT(B1172,4)),VALUE(MID(B1172,6,2)),VALUE(RIGHT(B1172,2))),DATE(VALUE(RIGHT(B1172,4)),MATCH(MID(B1172,4,3),{"Jan","Feb","Mar","Apr","May","Jun","Jul","Aug","Sep","Oct","Nov","Dec"},0),VALUE(LEFT(B1172,2)))))</f>
        <v>45911</v>
      </c>
    </row>
    <row r="1173" customFormat="false" ht="15" hidden="false" customHeight="false" outlineLevel="0" collapsed="false">
      <c r="A1173" s="7" t="s">
        <v>3350</v>
      </c>
      <c r="B1173" s="7" t="s">
        <v>2150</v>
      </c>
      <c r="C1173" s="7" t="s">
        <v>310</v>
      </c>
      <c r="D1173" s="7" t="s">
        <v>1821</v>
      </c>
      <c r="E1173" s="7" t="s">
        <v>2395</v>
      </c>
      <c r="F1173" s="7" t="s">
        <v>101</v>
      </c>
      <c r="G1173" s="7" t="s">
        <v>90</v>
      </c>
      <c r="H1173" s="7" t="n">
        <v>4</v>
      </c>
      <c r="I1173" s="7" t="n">
        <v>230</v>
      </c>
      <c r="J1173" s="7" t="n">
        <v>0</v>
      </c>
      <c r="K1173" s="7" t="s">
        <v>88</v>
      </c>
      <c r="L1173" s="7" t="s">
        <v>194</v>
      </c>
      <c r="M1173" s="7" t="n">
        <v>46</v>
      </c>
      <c r="N1173" s="7" t="n">
        <v>4</v>
      </c>
      <c r="O1173" s="7" t="str">
        <f aca="false">A1173&amp;"|"&amp;B1173&amp;"|"&amp;C1173&amp;"|"&amp;D1173&amp;"|"&amp;E1173&amp;"|"&amp;F1173&amp;"|"&amp;G1173&amp;"|"&amp;H1173&amp;"|"&amp;I1173&amp;"|"&amp;J1173&amp;"|"&amp;K1173&amp;"|"&amp;L1173&amp;"|"&amp;M1173&amp;"|"&amp;N1173</f>
        <v>ORD11767|2025-08-19|19:09|C1312|Curry Leaf Kitchen |Mumbai|North Indian|4|230|0|UPI|Delivered|46|4</v>
      </c>
      <c r="P1173" s="7" t="str">
        <f aca="false">IF(COUNTIF($O$2:O1173,O1173)&gt;1,"DUP","OK")</f>
        <v>OK</v>
      </c>
      <c r="Q1173" s="7" t="n">
        <f aca="false">COUNTBLANK(A1173:N1173)</f>
        <v>0</v>
      </c>
      <c r="R1173" s="7" t="n">
        <f aca="false">IF(A1173="",0,COUNTIFS($A$2:$A$3058,A1173,$P$2:$P$3058,"OK"))</f>
        <v>1</v>
      </c>
      <c r="S1173" s="7" t="str">
        <f aca="false">IF(OR(A1173="",P1173="DUP",R1173&lt;2),"",IF(Q1173=_xlfn.MINIFS($Q$2:$Q$3058,$A$2:$A$3058,A1173,$P$2:$P$3058,"OK"),"KEEP","DROP"))</f>
        <v/>
      </c>
      <c r="T1173" s="9" t="n">
        <f aca="false">IF(A1173="",1,0)</f>
        <v>0</v>
      </c>
      <c r="U1173" s="9" t="n">
        <f aca="false">IF(D1173="",1,0)</f>
        <v>0</v>
      </c>
      <c r="V1173" s="9" t="n">
        <f aca="false">IF(E1173="",1,0)</f>
        <v>0</v>
      </c>
      <c r="W1173" s="9" t="n">
        <f aca="false">IF(OR(H1173&lt;1,H1173&gt;10),1,0)</f>
        <v>0</v>
      </c>
      <c r="X1173" s="9" t="n">
        <f aca="false">IF(OR(I1173&lt;=0,I1173&gt;1500),1,0)</f>
        <v>0</v>
      </c>
      <c r="Y1173" s="9" t="n">
        <f aca="false">IF(J1173&gt;H1173*I1173,1,0)</f>
        <v>0</v>
      </c>
      <c r="Z1173" s="9" t="n">
        <f aca="false">IF(AND(N1173&lt;&gt;"",OR(N1173&lt;1,N1173&gt;5)),1,0)</f>
        <v>0</v>
      </c>
      <c r="AA1173" s="9" t="n">
        <f aca="false">IF(AND(M1173&lt;&gt;"",OR(M1173&lt;5,M1173&gt;180)),1,0)</f>
        <v>0</v>
      </c>
      <c r="AB1173" s="7" t="str">
        <f aca="false">IF(P1173="DUP","Exact duplicate row",IF(T1173=1,"Missing Order ID",IF(S1173="DROP","Duplicate Order ID (less complete row)",IF(U1173=1,"Missing Customer ID",IF(V1173=1,"Missing Restaurant name",IF(W1173=1,"Invalid/outlier quantity",IF(X1173=1,"Invalid/outlier unit price",IF(Y1173=1,"Discount greater than order value",""))))))))</f>
        <v/>
      </c>
      <c r="AC1173" s="7" t="str">
        <f aca="false">IF(AB1173="","KEEP","DROP")</f>
        <v>KEEP</v>
      </c>
      <c r="AD1173" s="7" t="str">
        <f aca="false">IF(TRIM(F1173)="",IFERROR(INDEX(Map_Tables!$I$4:$I$37,MATCH(TRIM(E1173),Map_Tables!$G$4:$G$37,0)),""),IFERROR(INDEX(Map_Tables!$B$4:$B$18,MATCH(TRIM(F1173),Map_Tables!$A$4:$A$18,0)),"CHECK"))</f>
        <v>Mumbai</v>
      </c>
      <c r="AE1173" s="7" t="str">
        <f aca="false">IF(TRIM(E1173)="","",IFERROR(INDEX(Map_Tables!$H$4:$H$37,MATCH(TRIM(E1173),Map_Tables!$G$4:$G$37,0)),"CHECK"))</f>
        <v>Curry Leaf Kitchen</v>
      </c>
      <c r="AF1173" s="7" t="str">
        <f aca="false">IF(TRIM(K1173)="","Unknown",IFERROR(INDEX(Map_Tables!$E$4:$E$15,MATCH(TRIM(K1173),Map_Tables!$D$4:$D$15,0)),"CHECK"))</f>
        <v>UPI</v>
      </c>
      <c r="AG1173" s="7" t="str">
        <f aca="false">IF(LEFT(LOWER(TRIM(L1173)),6)="cancel","Cancelled","Delivered")</f>
        <v>Delivered</v>
      </c>
      <c r="AH1173" s="10" t="n">
        <f aca="false">IF(ISNUMBER(SEARCH("/",B1173)),DATE(VALUE(RIGHT(B1173,4)),VALUE(MID(B1173,4,2)),VALUE(LEFT(B1173,2))),IF(MID(B1173,5,1)="-",DATE(VALUE(LEFT(B1173,4)),VALUE(MID(B1173,6,2)),VALUE(RIGHT(B1173,2))),DATE(VALUE(RIGHT(B1173,4)),MATCH(MID(B1173,4,3),{"Jan","Feb","Mar","Apr","May","Jun","Jul","Aug","Sep","Oct","Nov","Dec"},0),VALUE(LEFT(B1173,2)))))</f>
        <v>45888</v>
      </c>
    </row>
    <row r="1174" customFormat="false" ht="15" hidden="false" customHeight="false" outlineLevel="0" collapsed="false">
      <c r="A1174" s="7" t="s">
        <v>3351</v>
      </c>
      <c r="B1174" s="7" t="s">
        <v>731</v>
      </c>
      <c r="C1174" s="7" t="s">
        <v>3352</v>
      </c>
      <c r="D1174" s="7" t="s">
        <v>2512</v>
      </c>
      <c r="E1174" s="7" t="s">
        <v>157</v>
      </c>
      <c r="F1174" s="7" t="s">
        <v>136</v>
      </c>
      <c r="G1174" s="7" t="s">
        <v>844</v>
      </c>
      <c r="H1174" s="7" t="n">
        <v>1</v>
      </c>
      <c r="I1174" s="7" t="n">
        <v>100</v>
      </c>
      <c r="J1174" s="7" t="n">
        <v>40</v>
      </c>
      <c r="K1174" s="7" t="s">
        <v>112</v>
      </c>
      <c r="L1174" s="7" t="s">
        <v>194</v>
      </c>
      <c r="M1174" s="7" t="n">
        <v>29</v>
      </c>
      <c r="N1174" s="7" t="n">
        <v>4</v>
      </c>
      <c r="O1174" s="7" t="str">
        <f aca="false">A1174&amp;"|"&amp;B1174&amp;"|"&amp;C1174&amp;"|"&amp;D1174&amp;"|"&amp;E1174&amp;"|"&amp;F1174&amp;"|"&amp;G1174&amp;"|"&amp;H1174&amp;"|"&amp;I1174&amp;"|"&amp;J1174&amp;"|"&amp;K1174&amp;"|"&amp;L1174&amp;"|"&amp;M1174&amp;"|"&amp;N1174</f>
        <v>ORD12225|2025-10-09|22:29|C0933|Misal Mantra|Pune|STREET FOOD|1|100|40|Cash on Delivery|Delivered|29|4</v>
      </c>
      <c r="P1174" s="7" t="str">
        <f aca="false">IF(COUNTIF($O$2:O1174,O1174)&gt;1,"DUP","OK")</f>
        <v>OK</v>
      </c>
      <c r="Q1174" s="7" t="n">
        <f aca="false">COUNTBLANK(A1174:N1174)</f>
        <v>0</v>
      </c>
      <c r="R1174" s="7" t="n">
        <f aca="false">IF(A1174="",0,COUNTIFS($A$2:$A$3058,A1174,$P$2:$P$3058,"OK"))</f>
        <v>1</v>
      </c>
      <c r="S1174" s="7" t="str">
        <f aca="false">IF(OR(A1174="",P1174="DUP",R1174&lt;2),"",IF(Q1174=_xlfn.MINIFS($Q$2:$Q$3058,$A$2:$A$3058,A1174,$P$2:$P$3058,"OK"),"KEEP","DROP"))</f>
        <v/>
      </c>
      <c r="T1174" s="9" t="n">
        <f aca="false">IF(A1174="",1,0)</f>
        <v>0</v>
      </c>
      <c r="U1174" s="9" t="n">
        <f aca="false">IF(D1174="",1,0)</f>
        <v>0</v>
      </c>
      <c r="V1174" s="9" t="n">
        <f aca="false">IF(E1174="",1,0)</f>
        <v>0</v>
      </c>
      <c r="W1174" s="9" t="n">
        <f aca="false">IF(OR(H1174&lt;1,H1174&gt;10),1,0)</f>
        <v>0</v>
      </c>
      <c r="X1174" s="9" t="n">
        <f aca="false">IF(OR(I1174&lt;=0,I1174&gt;1500),1,0)</f>
        <v>0</v>
      </c>
      <c r="Y1174" s="9" t="n">
        <f aca="false">IF(J1174&gt;H1174*I1174,1,0)</f>
        <v>0</v>
      </c>
      <c r="Z1174" s="9" t="n">
        <f aca="false">IF(AND(N1174&lt;&gt;"",OR(N1174&lt;1,N1174&gt;5)),1,0)</f>
        <v>0</v>
      </c>
      <c r="AA1174" s="9" t="n">
        <f aca="false">IF(AND(M1174&lt;&gt;"",OR(M1174&lt;5,M1174&gt;180)),1,0)</f>
        <v>0</v>
      </c>
      <c r="AB1174" s="7" t="str">
        <f aca="false">IF(P1174="DUP","Exact duplicate row",IF(T1174=1,"Missing Order ID",IF(S1174="DROP","Duplicate Order ID (less complete row)",IF(U1174=1,"Missing Customer ID",IF(V1174=1,"Missing Restaurant name",IF(W1174=1,"Invalid/outlier quantity",IF(X1174=1,"Invalid/outlier unit price",IF(Y1174=1,"Discount greater than order value",""))))))))</f>
        <v/>
      </c>
      <c r="AC1174" s="7" t="str">
        <f aca="false">IF(AB1174="","KEEP","DROP")</f>
        <v>KEEP</v>
      </c>
      <c r="AD1174" s="7" t="str">
        <f aca="false">IF(TRIM(F1174)="",IFERROR(INDEX(Map_Tables!$I$4:$I$37,MATCH(TRIM(E1174),Map_Tables!$G$4:$G$37,0)),""),IFERROR(INDEX(Map_Tables!$B$4:$B$18,MATCH(TRIM(F1174),Map_Tables!$A$4:$A$18,0)),"CHECK"))</f>
        <v>Pune</v>
      </c>
      <c r="AE1174" s="7" t="str">
        <f aca="false">IF(TRIM(E1174)="","",IFERROR(INDEX(Map_Tables!$H$4:$H$37,MATCH(TRIM(E1174),Map_Tables!$G$4:$G$37,0)),"CHECK"))</f>
        <v>Misal Mantra</v>
      </c>
      <c r="AF1174" s="7" t="str">
        <f aca="false">IF(TRIM(K1174)="","Unknown",IFERROR(INDEX(Map_Tables!$E$4:$E$15,MATCH(TRIM(K1174),Map_Tables!$D$4:$D$15,0)),"CHECK"))</f>
        <v>Cash on Delivery</v>
      </c>
      <c r="AG1174" s="7" t="str">
        <f aca="false">IF(LEFT(LOWER(TRIM(L1174)),6)="cancel","Cancelled","Delivered")</f>
        <v>Delivered</v>
      </c>
      <c r="AH1174" s="10" t="n">
        <f aca="false">IF(ISNUMBER(SEARCH("/",B1174)),DATE(VALUE(RIGHT(B1174,4)),VALUE(MID(B1174,4,2)),VALUE(LEFT(B1174,2))),IF(MID(B1174,5,1)="-",DATE(VALUE(LEFT(B1174,4)),VALUE(MID(B1174,6,2)),VALUE(RIGHT(B1174,2))),DATE(VALUE(RIGHT(B1174,4)),MATCH(MID(B1174,4,3),{"Jan","Feb","Mar","Apr","May","Jun","Jul","Aug","Sep","Oct","Nov","Dec"},0),VALUE(LEFT(B1174,2)))))</f>
        <v>45939</v>
      </c>
    </row>
    <row r="1175" customFormat="false" ht="15" hidden="false" customHeight="false" outlineLevel="0" collapsed="false">
      <c r="A1175" s="7" t="s">
        <v>3353</v>
      </c>
      <c r="B1175" s="7" t="s">
        <v>546</v>
      </c>
      <c r="C1175" s="7" t="s">
        <v>3152</v>
      </c>
      <c r="D1175" s="7" t="s">
        <v>3354</v>
      </c>
      <c r="E1175" s="7" t="s">
        <v>163</v>
      </c>
      <c r="F1175" s="7" t="s">
        <v>141</v>
      </c>
      <c r="G1175" s="7" t="s">
        <v>99</v>
      </c>
      <c r="H1175" s="7" t="n">
        <v>1</v>
      </c>
      <c r="I1175" s="7" t="n">
        <v>280</v>
      </c>
      <c r="J1175" s="7" t="n">
        <v>0</v>
      </c>
      <c r="K1175" s="7" t="s">
        <v>88</v>
      </c>
      <c r="L1175" s="7" t="s">
        <v>194</v>
      </c>
      <c r="M1175" s="7" t="n">
        <v>42</v>
      </c>
      <c r="N1175" s="7" t="n">
        <v>4</v>
      </c>
      <c r="O1175" s="7" t="str">
        <f aca="false">A1175&amp;"|"&amp;B1175&amp;"|"&amp;C1175&amp;"|"&amp;D1175&amp;"|"&amp;E1175&amp;"|"&amp;F1175&amp;"|"&amp;G1175&amp;"|"&amp;H1175&amp;"|"&amp;I1175&amp;"|"&amp;J1175&amp;"|"&amp;K1175&amp;"|"&amp;L1175&amp;"|"&amp;M1175&amp;"|"&amp;N1175</f>
        <v>ORD12606|2025-11-18|18:37|C1323|Biryani Baadshah|Kolkata|Biryani|1|280|0|UPI|Delivered|42|4</v>
      </c>
      <c r="P1175" s="7" t="str">
        <f aca="false">IF(COUNTIF($O$2:O1175,O1175)&gt;1,"DUP","OK")</f>
        <v>OK</v>
      </c>
      <c r="Q1175" s="7" t="n">
        <f aca="false">COUNTBLANK(A1175:N1175)</f>
        <v>0</v>
      </c>
      <c r="R1175" s="7" t="n">
        <f aca="false">IF(A1175="",0,COUNTIFS($A$2:$A$3058,A1175,$P$2:$P$3058,"OK"))</f>
        <v>1</v>
      </c>
      <c r="S1175" s="7" t="str">
        <f aca="false">IF(OR(A1175="",P1175="DUP",R1175&lt;2),"",IF(Q1175=_xlfn.MINIFS($Q$2:$Q$3058,$A$2:$A$3058,A1175,$P$2:$P$3058,"OK"),"KEEP","DROP"))</f>
        <v/>
      </c>
      <c r="T1175" s="9" t="n">
        <f aca="false">IF(A1175="",1,0)</f>
        <v>0</v>
      </c>
      <c r="U1175" s="9" t="n">
        <f aca="false">IF(D1175="",1,0)</f>
        <v>0</v>
      </c>
      <c r="V1175" s="9" t="n">
        <f aca="false">IF(E1175="",1,0)</f>
        <v>0</v>
      </c>
      <c r="W1175" s="9" t="n">
        <f aca="false">IF(OR(H1175&lt;1,H1175&gt;10),1,0)</f>
        <v>0</v>
      </c>
      <c r="X1175" s="9" t="n">
        <f aca="false">IF(OR(I1175&lt;=0,I1175&gt;1500),1,0)</f>
        <v>0</v>
      </c>
      <c r="Y1175" s="9" t="n">
        <f aca="false">IF(J1175&gt;H1175*I1175,1,0)</f>
        <v>0</v>
      </c>
      <c r="Z1175" s="9" t="n">
        <f aca="false">IF(AND(N1175&lt;&gt;"",OR(N1175&lt;1,N1175&gt;5)),1,0)</f>
        <v>0</v>
      </c>
      <c r="AA1175" s="9" t="n">
        <f aca="false">IF(AND(M1175&lt;&gt;"",OR(M1175&lt;5,M1175&gt;180)),1,0)</f>
        <v>0</v>
      </c>
      <c r="AB1175" s="7" t="str">
        <f aca="false">IF(P1175="DUP","Exact duplicate row",IF(T1175=1,"Missing Order ID",IF(S1175="DROP","Duplicate Order ID (less complete row)",IF(U1175=1,"Missing Customer ID",IF(V1175=1,"Missing Restaurant name",IF(W1175=1,"Invalid/outlier quantity",IF(X1175=1,"Invalid/outlier unit price",IF(Y1175=1,"Discount greater than order value",""))))))))</f>
        <v/>
      </c>
      <c r="AC1175" s="7" t="str">
        <f aca="false">IF(AB1175="","KEEP","DROP")</f>
        <v>KEEP</v>
      </c>
      <c r="AD1175" s="7" t="str">
        <f aca="false">IF(TRIM(F1175)="",IFERROR(INDEX(Map_Tables!$I$4:$I$37,MATCH(TRIM(E1175),Map_Tables!$G$4:$G$37,0)),""),IFERROR(INDEX(Map_Tables!$B$4:$B$18,MATCH(TRIM(F1175),Map_Tables!$A$4:$A$18,0)),"CHECK"))</f>
        <v>Kolkata</v>
      </c>
      <c r="AE1175" s="7" t="str">
        <f aca="false">IF(TRIM(E1175)="","",IFERROR(INDEX(Map_Tables!$H$4:$H$37,MATCH(TRIM(E1175),Map_Tables!$G$4:$G$37,0)),"CHECK"))</f>
        <v>Biryani Baadshah</v>
      </c>
      <c r="AF1175" s="7" t="str">
        <f aca="false">IF(TRIM(K1175)="","Unknown",IFERROR(INDEX(Map_Tables!$E$4:$E$15,MATCH(TRIM(K1175),Map_Tables!$D$4:$D$15,0)),"CHECK"))</f>
        <v>UPI</v>
      </c>
      <c r="AG1175" s="7" t="str">
        <f aca="false">IF(LEFT(LOWER(TRIM(L1175)),6)="cancel","Cancelled","Delivered")</f>
        <v>Delivered</v>
      </c>
      <c r="AH1175" s="10" t="n">
        <f aca="false">IF(ISNUMBER(SEARCH("/",B1175)),DATE(VALUE(RIGHT(B1175,4)),VALUE(MID(B1175,4,2)),VALUE(LEFT(B1175,2))),IF(MID(B1175,5,1)="-",DATE(VALUE(LEFT(B1175,4)),VALUE(MID(B1175,6,2)),VALUE(RIGHT(B1175,2))),DATE(VALUE(RIGHT(B1175,4)),MATCH(MID(B1175,4,3),{"Jan","Feb","Mar","Apr","May","Jun","Jul","Aug","Sep","Oct","Nov","Dec"},0),VALUE(LEFT(B1175,2)))))</f>
        <v>45979</v>
      </c>
    </row>
    <row r="1176" customFormat="false" ht="15" hidden="false" customHeight="false" outlineLevel="0" collapsed="false">
      <c r="A1176" s="7" t="s">
        <v>3355</v>
      </c>
      <c r="B1176" s="7" t="s">
        <v>3356</v>
      </c>
      <c r="C1176" s="7" t="s">
        <v>2767</v>
      </c>
      <c r="D1176" s="7" t="s">
        <v>2988</v>
      </c>
      <c r="E1176" s="7" t="s">
        <v>158</v>
      </c>
      <c r="F1176" s="7" t="s">
        <v>136</v>
      </c>
      <c r="G1176" s="7" t="s">
        <v>139</v>
      </c>
      <c r="H1176" s="7" t="n">
        <v>1</v>
      </c>
      <c r="I1176" s="7" t="n">
        <v>190</v>
      </c>
      <c r="J1176" s="7" t="n">
        <v>0</v>
      </c>
      <c r="K1176" s="7" t="s">
        <v>88</v>
      </c>
      <c r="L1176" s="7" t="s">
        <v>194</v>
      </c>
      <c r="M1176" s="7" t="n">
        <v>34</v>
      </c>
      <c r="N1176" s="7" t="n">
        <v>5</v>
      </c>
      <c r="O1176" s="7" t="str">
        <f aca="false">A1176&amp;"|"&amp;B1176&amp;"|"&amp;C1176&amp;"|"&amp;D1176&amp;"|"&amp;E1176&amp;"|"&amp;F1176&amp;"|"&amp;G1176&amp;"|"&amp;H1176&amp;"|"&amp;I1176&amp;"|"&amp;J1176&amp;"|"&amp;K1176&amp;"|"&amp;L1176&amp;"|"&amp;M1176&amp;"|"&amp;N1176</f>
        <v>ORD10440|28-Feb-2025|19:33|C1332|Pune Burger Hub|Pune|Burgers|1|190|0|UPI|Delivered|34|5</v>
      </c>
      <c r="P1176" s="7" t="str">
        <f aca="false">IF(COUNTIF($O$2:O1176,O1176)&gt;1,"DUP","OK")</f>
        <v>OK</v>
      </c>
      <c r="Q1176" s="7" t="n">
        <f aca="false">COUNTBLANK(A1176:N1176)</f>
        <v>0</v>
      </c>
      <c r="R1176" s="7" t="n">
        <f aca="false">IF(A1176="",0,COUNTIFS($A$2:$A$3058,A1176,$P$2:$P$3058,"OK"))</f>
        <v>1</v>
      </c>
      <c r="S1176" s="7" t="str">
        <f aca="false">IF(OR(A1176="",P1176="DUP",R1176&lt;2),"",IF(Q1176=_xlfn.MINIFS($Q$2:$Q$3058,$A$2:$A$3058,A1176,$P$2:$P$3058,"OK"),"KEEP","DROP"))</f>
        <v/>
      </c>
      <c r="T1176" s="9" t="n">
        <f aca="false">IF(A1176="",1,0)</f>
        <v>0</v>
      </c>
      <c r="U1176" s="9" t="n">
        <f aca="false">IF(D1176="",1,0)</f>
        <v>0</v>
      </c>
      <c r="V1176" s="9" t="n">
        <f aca="false">IF(E1176="",1,0)</f>
        <v>0</v>
      </c>
      <c r="W1176" s="9" t="n">
        <f aca="false">IF(OR(H1176&lt;1,H1176&gt;10),1,0)</f>
        <v>0</v>
      </c>
      <c r="X1176" s="9" t="n">
        <f aca="false">IF(OR(I1176&lt;=0,I1176&gt;1500),1,0)</f>
        <v>0</v>
      </c>
      <c r="Y1176" s="9" t="n">
        <f aca="false">IF(J1176&gt;H1176*I1176,1,0)</f>
        <v>0</v>
      </c>
      <c r="Z1176" s="9" t="n">
        <f aca="false">IF(AND(N1176&lt;&gt;"",OR(N1176&lt;1,N1176&gt;5)),1,0)</f>
        <v>0</v>
      </c>
      <c r="AA1176" s="9" t="n">
        <f aca="false">IF(AND(M1176&lt;&gt;"",OR(M1176&lt;5,M1176&gt;180)),1,0)</f>
        <v>0</v>
      </c>
      <c r="AB1176" s="7" t="str">
        <f aca="false">IF(P1176="DUP","Exact duplicate row",IF(T1176=1,"Missing Order ID",IF(S1176="DROP","Duplicate Order ID (less complete row)",IF(U1176=1,"Missing Customer ID",IF(V1176=1,"Missing Restaurant name",IF(W1176=1,"Invalid/outlier quantity",IF(X1176=1,"Invalid/outlier unit price",IF(Y1176=1,"Discount greater than order value",""))))))))</f>
        <v/>
      </c>
      <c r="AC1176" s="7" t="str">
        <f aca="false">IF(AB1176="","KEEP","DROP")</f>
        <v>KEEP</v>
      </c>
      <c r="AD1176" s="7" t="str">
        <f aca="false">IF(TRIM(F1176)="",IFERROR(INDEX(Map_Tables!$I$4:$I$37,MATCH(TRIM(E1176),Map_Tables!$G$4:$G$37,0)),""),IFERROR(INDEX(Map_Tables!$B$4:$B$18,MATCH(TRIM(F1176),Map_Tables!$A$4:$A$18,0)),"CHECK"))</f>
        <v>Pune</v>
      </c>
      <c r="AE1176" s="7" t="str">
        <f aca="false">IF(TRIM(E1176)="","",IFERROR(INDEX(Map_Tables!$H$4:$H$37,MATCH(TRIM(E1176),Map_Tables!$G$4:$G$37,0)),"CHECK"))</f>
        <v>Pune Burger Hub</v>
      </c>
      <c r="AF1176" s="7" t="str">
        <f aca="false">IF(TRIM(K1176)="","Unknown",IFERROR(INDEX(Map_Tables!$E$4:$E$15,MATCH(TRIM(K1176),Map_Tables!$D$4:$D$15,0)),"CHECK"))</f>
        <v>UPI</v>
      </c>
      <c r="AG1176" s="7" t="str">
        <f aca="false">IF(LEFT(LOWER(TRIM(L1176)),6)="cancel","Cancelled","Delivered")</f>
        <v>Delivered</v>
      </c>
      <c r="AH1176" s="10" t="n">
        <f aca="false">IF(ISNUMBER(SEARCH("/",B1176)),DATE(VALUE(RIGHT(B1176,4)),VALUE(MID(B1176,4,2)),VALUE(LEFT(B1176,2))),IF(MID(B1176,5,1)="-",DATE(VALUE(LEFT(B1176,4)),VALUE(MID(B1176,6,2)),VALUE(RIGHT(B1176,2))),DATE(VALUE(RIGHT(B1176,4)),MATCH(MID(B1176,4,3),{"Jan","Feb","Mar","Apr","May","Jun","Jul","Aug","Sep","Oct","Nov","Dec"},0),VALUE(LEFT(B1176,2)))))</f>
        <v>45716</v>
      </c>
    </row>
    <row r="1177" customFormat="false" ht="15" hidden="false" customHeight="false" outlineLevel="0" collapsed="false">
      <c r="A1177" s="7" t="s">
        <v>3357</v>
      </c>
      <c r="B1177" s="7" t="s">
        <v>1687</v>
      </c>
      <c r="C1177" s="7" t="s">
        <v>1164</v>
      </c>
      <c r="D1177" s="7" t="s">
        <v>2139</v>
      </c>
      <c r="E1177" s="7" t="s">
        <v>149</v>
      </c>
      <c r="F1177" s="7" t="s">
        <v>118</v>
      </c>
      <c r="G1177" s="7" t="s">
        <v>150</v>
      </c>
      <c r="H1177" s="7" t="n">
        <v>2</v>
      </c>
      <c r="I1177" s="7" t="n">
        <v>160</v>
      </c>
      <c r="J1177" s="7" t="n">
        <v>20</v>
      </c>
      <c r="K1177" s="7" t="s">
        <v>88</v>
      </c>
      <c r="L1177" s="7" t="s">
        <v>194</v>
      </c>
      <c r="M1177" s="7" t="n">
        <v>41</v>
      </c>
      <c r="N1177" s="7" t="n">
        <v>3</v>
      </c>
      <c r="O1177" s="7" t="str">
        <f aca="false">A1177&amp;"|"&amp;B1177&amp;"|"&amp;C1177&amp;"|"&amp;D1177&amp;"|"&amp;E1177&amp;"|"&amp;F1177&amp;"|"&amp;G1177&amp;"|"&amp;H1177&amp;"|"&amp;I1177&amp;"|"&amp;J1177&amp;"|"&amp;K1177&amp;"|"&amp;L1177&amp;"|"&amp;M1177&amp;"|"&amp;N1177</f>
        <v>ORD10022|2025-01-04|13:25|C0675|Sweet Tooth Studio|hyderabad|Desserts|2|160|20|UPI|Delivered|41|3</v>
      </c>
      <c r="P1177" s="7" t="str">
        <f aca="false">IF(COUNTIF($O$2:O1177,O1177)&gt;1,"DUP","OK")</f>
        <v>OK</v>
      </c>
      <c r="Q1177" s="7" t="n">
        <f aca="false">COUNTBLANK(A1177:N1177)</f>
        <v>0</v>
      </c>
      <c r="R1177" s="7" t="n">
        <f aca="false">IF(A1177="",0,COUNTIFS($A$2:$A$3058,A1177,$P$2:$P$3058,"OK"))</f>
        <v>1</v>
      </c>
      <c r="S1177" s="7" t="str">
        <f aca="false">IF(OR(A1177="",P1177="DUP",R1177&lt;2),"",IF(Q1177=_xlfn.MINIFS($Q$2:$Q$3058,$A$2:$A$3058,A1177,$P$2:$P$3058,"OK"),"KEEP","DROP"))</f>
        <v/>
      </c>
      <c r="T1177" s="9" t="n">
        <f aca="false">IF(A1177="",1,0)</f>
        <v>0</v>
      </c>
      <c r="U1177" s="9" t="n">
        <f aca="false">IF(D1177="",1,0)</f>
        <v>0</v>
      </c>
      <c r="V1177" s="9" t="n">
        <f aca="false">IF(E1177="",1,0)</f>
        <v>0</v>
      </c>
      <c r="W1177" s="9" t="n">
        <f aca="false">IF(OR(H1177&lt;1,H1177&gt;10),1,0)</f>
        <v>0</v>
      </c>
      <c r="X1177" s="9" t="n">
        <f aca="false">IF(OR(I1177&lt;=0,I1177&gt;1500),1,0)</f>
        <v>0</v>
      </c>
      <c r="Y1177" s="9" t="n">
        <f aca="false">IF(J1177&gt;H1177*I1177,1,0)</f>
        <v>0</v>
      </c>
      <c r="Z1177" s="9" t="n">
        <f aca="false">IF(AND(N1177&lt;&gt;"",OR(N1177&lt;1,N1177&gt;5)),1,0)</f>
        <v>0</v>
      </c>
      <c r="AA1177" s="9" t="n">
        <f aca="false">IF(AND(M1177&lt;&gt;"",OR(M1177&lt;5,M1177&gt;180)),1,0)</f>
        <v>0</v>
      </c>
      <c r="AB1177" s="7" t="str">
        <f aca="false">IF(P1177="DUP","Exact duplicate row",IF(T1177=1,"Missing Order ID",IF(S1177="DROP","Duplicate Order ID (less complete row)",IF(U1177=1,"Missing Customer ID",IF(V1177=1,"Missing Restaurant name",IF(W1177=1,"Invalid/outlier quantity",IF(X1177=1,"Invalid/outlier unit price",IF(Y1177=1,"Discount greater than order value",""))))))))</f>
        <v/>
      </c>
      <c r="AC1177" s="7" t="str">
        <f aca="false">IF(AB1177="","KEEP","DROP")</f>
        <v>KEEP</v>
      </c>
      <c r="AD1177" s="7" t="str">
        <f aca="false">IF(TRIM(F1177)="",IFERROR(INDEX(Map_Tables!$I$4:$I$37,MATCH(TRIM(E1177),Map_Tables!$G$4:$G$37,0)),""),IFERROR(INDEX(Map_Tables!$B$4:$B$18,MATCH(TRIM(F1177),Map_Tables!$A$4:$A$18,0)),"CHECK"))</f>
        <v>Hyderabad</v>
      </c>
      <c r="AE1177" s="7" t="str">
        <f aca="false">IF(TRIM(E1177)="","",IFERROR(INDEX(Map_Tables!$H$4:$H$37,MATCH(TRIM(E1177),Map_Tables!$G$4:$G$37,0)),"CHECK"))</f>
        <v>Sweet Tooth Studio</v>
      </c>
      <c r="AF1177" s="7" t="str">
        <f aca="false">IF(TRIM(K1177)="","Unknown",IFERROR(INDEX(Map_Tables!$E$4:$E$15,MATCH(TRIM(K1177),Map_Tables!$D$4:$D$15,0)),"CHECK"))</f>
        <v>UPI</v>
      </c>
      <c r="AG1177" s="7" t="str">
        <f aca="false">IF(LEFT(LOWER(TRIM(L1177)),6)="cancel","Cancelled","Delivered")</f>
        <v>Delivered</v>
      </c>
      <c r="AH1177" s="10" t="n">
        <f aca="false">IF(ISNUMBER(SEARCH("/",B1177)),DATE(VALUE(RIGHT(B1177,4)),VALUE(MID(B1177,4,2)),VALUE(LEFT(B1177,2))),IF(MID(B1177,5,1)="-",DATE(VALUE(LEFT(B1177,4)),VALUE(MID(B1177,6,2)),VALUE(RIGHT(B1177,2))),DATE(VALUE(RIGHT(B1177,4)),MATCH(MID(B1177,4,3),{"Jan","Feb","Mar","Apr","May","Jun","Jul","Aug","Sep","Oct","Nov","Dec"},0),VALUE(LEFT(B1177,2)))))</f>
        <v>45661</v>
      </c>
    </row>
    <row r="1178" customFormat="false" ht="15" hidden="false" customHeight="false" outlineLevel="0" collapsed="false">
      <c r="A1178" s="7" t="s">
        <v>3358</v>
      </c>
      <c r="B1178" s="7" t="s">
        <v>731</v>
      </c>
      <c r="C1178" s="7" t="s">
        <v>1520</v>
      </c>
      <c r="D1178" s="7" t="s">
        <v>3359</v>
      </c>
      <c r="E1178" s="7" t="s">
        <v>94</v>
      </c>
      <c r="F1178" s="7" t="s">
        <v>86</v>
      </c>
      <c r="G1178" s="7" t="s">
        <v>95</v>
      </c>
      <c r="H1178" s="7" t="n">
        <v>4</v>
      </c>
      <c r="I1178" s="7" t="n">
        <v>115</v>
      </c>
      <c r="J1178" s="7" t="n">
        <v>0</v>
      </c>
      <c r="K1178" s="7" t="s">
        <v>112</v>
      </c>
      <c r="L1178" s="7" t="s">
        <v>194</v>
      </c>
      <c r="M1178" s="7" t="n">
        <v>40</v>
      </c>
      <c r="N1178" s="7" t="n">
        <v>4</v>
      </c>
      <c r="O1178" s="7" t="str">
        <f aca="false">A1178&amp;"|"&amp;B1178&amp;"|"&amp;C1178&amp;"|"&amp;D1178&amp;"|"&amp;E1178&amp;"|"&amp;F1178&amp;"|"&amp;G1178&amp;"|"&amp;H1178&amp;"|"&amp;I1178&amp;"|"&amp;J1178&amp;"|"&amp;K1178&amp;"|"&amp;L1178&amp;"|"&amp;M1178&amp;"|"&amp;N1178</f>
        <v>ORD12217|2025-10-09|12:11|C0056|Dosa Darbar|Bengaluru|South Indian|4|115|0|Cash on Delivery|Delivered|40|4</v>
      </c>
      <c r="P1178" s="7" t="str">
        <f aca="false">IF(COUNTIF($O$2:O1178,O1178)&gt;1,"DUP","OK")</f>
        <v>OK</v>
      </c>
      <c r="Q1178" s="7" t="n">
        <f aca="false">COUNTBLANK(A1178:N1178)</f>
        <v>0</v>
      </c>
      <c r="R1178" s="7" t="n">
        <f aca="false">IF(A1178="",0,COUNTIFS($A$2:$A$3058,A1178,$P$2:$P$3058,"OK"))</f>
        <v>1</v>
      </c>
      <c r="S1178" s="7" t="str">
        <f aca="false">IF(OR(A1178="",P1178="DUP",R1178&lt;2),"",IF(Q1178=_xlfn.MINIFS($Q$2:$Q$3058,$A$2:$A$3058,A1178,$P$2:$P$3058,"OK"),"KEEP","DROP"))</f>
        <v/>
      </c>
      <c r="T1178" s="9" t="n">
        <f aca="false">IF(A1178="",1,0)</f>
        <v>0</v>
      </c>
      <c r="U1178" s="9" t="n">
        <f aca="false">IF(D1178="",1,0)</f>
        <v>0</v>
      </c>
      <c r="V1178" s="9" t="n">
        <f aca="false">IF(E1178="",1,0)</f>
        <v>0</v>
      </c>
      <c r="W1178" s="9" t="n">
        <f aca="false">IF(OR(H1178&lt;1,H1178&gt;10),1,0)</f>
        <v>0</v>
      </c>
      <c r="X1178" s="9" t="n">
        <f aca="false">IF(OR(I1178&lt;=0,I1178&gt;1500),1,0)</f>
        <v>0</v>
      </c>
      <c r="Y1178" s="9" t="n">
        <f aca="false">IF(J1178&gt;H1178*I1178,1,0)</f>
        <v>0</v>
      </c>
      <c r="Z1178" s="9" t="n">
        <f aca="false">IF(AND(N1178&lt;&gt;"",OR(N1178&lt;1,N1178&gt;5)),1,0)</f>
        <v>0</v>
      </c>
      <c r="AA1178" s="9" t="n">
        <f aca="false">IF(AND(M1178&lt;&gt;"",OR(M1178&lt;5,M1178&gt;180)),1,0)</f>
        <v>0</v>
      </c>
      <c r="AB1178" s="7" t="str">
        <f aca="false">IF(P1178="DUP","Exact duplicate row",IF(T1178=1,"Missing Order ID",IF(S1178="DROP","Duplicate Order ID (less complete row)",IF(U1178=1,"Missing Customer ID",IF(V1178=1,"Missing Restaurant name",IF(W1178=1,"Invalid/outlier quantity",IF(X1178=1,"Invalid/outlier unit price",IF(Y1178=1,"Discount greater than order value",""))))))))</f>
        <v/>
      </c>
      <c r="AC1178" s="7" t="str">
        <f aca="false">IF(AB1178="","KEEP","DROP")</f>
        <v>KEEP</v>
      </c>
      <c r="AD1178" s="7" t="str">
        <f aca="false">IF(TRIM(F1178)="",IFERROR(INDEX(Map_Tables!$I$4:$I$37,MATCH(TRIM(E1178),Map_Tables!$G$4:$G$37,0)),""),IFERROR(INDEX(Map_Tables!$B$4:$B$18,MATCH(TRIM(F1178),Map_Tables!$A$4:$A$18,0)),"CHECK"))</f>
        <v>Bengaluru</v>
      </c>
      <c r="AE1178" s="7" t="str">
        <f aca="false">IF(TRIM(E1178)="","",IFERROR(INDEX(Map_Tables!$H$4:$H$37,MATCH(TRIM(E1178),Map_Tables!$G$4:$G$37,0)),"CHECK"))</f>
        <v>Dosa Darbar</v>
      </c>
      <c r="AF1178" s="7" t="str">
        <f aca="false">IF(TRIM(K1178)="","Unknown",IFERROR(INDEX(Map_Tables!$E$4:$E$15,MATCH(TRIM(K1178),Map_Tables!$D$4:$D$15,0)),"CHECK"))</f>
        <v>Cash on Delivery</v>
      </c>
      <c r="AG1178" s="7" t="str">
        <f aca="false">IF(LEFT(LOWER(TRIM(L1178)),6)="cancel","Cancelled","Delivered")</f>
        <v>Delivered</v>
      </c>
      <c r="AH1178" s="10" t="n">
        <f aca="false">IF(ISNUMBER(SEARCH("/",B1178)),DATE(VALUE(RIGHT(B1178,4)),VALUE(MID(B1178,4,2)),VALUE(LEFT(B1178,2))),IF(MID(B1178,5,1)="-",DATE(VALUE(LEFT(B1178,4)),VALUE(MID(B1178,6,2)),VALUE(RIGHT(B1178,2))),DATE(VALUE(RIGHT(B1178,4)),MATCH(MID(B1178,4,3),{"Jan","Feb","Mar","Apr","May","Jun","Jul","Aug","Sep","Oct","Nov","Dec"},0),VALUE(LEFT(B1178,2)))))</f>
        <v>45939</v>
      </c>
    </row>
    <row r="1179" customFormat="false" ht="15" hidden="false" customHeight="false" outlineLevel="0" collapsed="false">
      <c r="A1179" s="7" t="s">
        <v>3360</v>
      </c>
      <c r="B1179" s="7" t="s">
        <v>791</v>
      </c>
      <c r="C1179" s="7" t="s">
        <v>3204</v>
      </c>
      <c r="D1179" s="7" t="s">
        <v>3361</v>
      </c>
      <c r="E1179" s="7" t="s">
        <v>138</v>
      </c>
      <c r="F1179" s="7" t="s">
        <v>110</v>
      </c>
      <c r="G1179" s="7" t="s">
        <v>139</v>
      </c>
      <c r="H1179" s="7" t="n">
        <v>3</v>
      </c>
      <c r="I1179" s="7" t="n">
        <v>180</v>
      </c>
      <c r="J1179" s="7" t="n">
        <v>0</v>
      </c>
      <c r="K1179" s="7" t="s">
        <v>103</v>
      </c>
      <c r="L1179" s="7" t="s">
        <v>194</v>
      </c>
      <c r="M1179" s="7" t="n">
        <v>37</v>
      </c>
      <c r="N1179" s="7" t="n">
        <v>3</v>
      </c>
      <c r="O1179" s="7" t="str">
        <f aca="false">A1179&amp;"|"&amp;B1179&amp;"|"&amp;C1179&amp;"|"&amp;D1179&amp;"|"&amp;E1179&amp;"|"&amp;F1179&amp;"|"&amp;G1179&amp;"|"&amp;H1179&amp;"|"&amp;I1179&amp;"|"&amp;J1179&amp;"|"&amp;K1179&amp;"|"&amp;L1179&amp;"|"&amp;M1179&amp;"|"&amp;N1179</f>
        <v>ORD12509|2025-11-10|21:26|C0382|Burger Barn|Delhi|Burgers|3|180|0|Debit Card|Delivered|37|3</v>
      </c>
      <c r="P1179" s="7" t="str">
        <f aca="false">IF(COUNTIF($O$2:O1179,O1179)&gt;1,"DUP","OK")</f>
        <v>OK</v>
      </c>
      <c r="Q1179" s="7" t="n">
        <f aca="false">COUNTBLANK(A1179:N1179)</f>
        <v>0</v>
      </c>
      <c r="R1179" s="7" t="n">
        <f aca="false">IF(A1179="",0,COUNTIFS($A$2:$A$3058,A1179,$P$2:$P$3058,"OK"))</f>
        <v>1</v>
      </c>
      <c r="S1179" s="7" t="str">
        <f aca="false">IF(OR(A1179="",P1179="DUP",R1179&lt;2),"",IF(Q1179=_xlfn.MINIFS($Q$2:$Q$3058,$A$2:$A$3058,A1179,$P$2:$P$3058,"OK"),"KEEP","DROP"))</f>
        <v/>
      </c>
      <c r="T1179" s="9" t="n">
        <f aca="false">IF(A1179="",1,0)</f>
        <v>0</v>
      </c>
      <c r="U1179" s="9" t="n">
        <f aca="false">IF(D1179="",1,0)</f>
        <v>0</v>
      </c>
      <c r="V1179" s="9" t="n">
        <f aca="false">IF(E1179="",1,0)</f>
        <v>0</v>
      </c>
      <c r="W1179" s="9" t="n">
        <f aca="false">IF(OR(H1179&lt;1,H1179&gt;10),1,0)</f>
        <v>0</v>
      </c>
      <c r="X1179" s="9" t="n">
        <f aca="false">IF(OR(I1179&lt;=0,I1179&gt;1500),1,0)</f>
        <v>0</v>
      </c>
      <c r="Y1179" s="9" t="n">
        <f aca="false">IF(J1179&gt;H1179*I1179,1,0)</f>
        <v>0</v>
      </c>
      <c r="Z1179" s="9" t="n">
        <f aca="false">IF(AND(N1179&lt;&gt;"",OR(N1179&lt;1,N1179&gt;5)),1,0)</f>
        <v>0</v>
      </c>
      <c r="AA1179" s="9" t="n">
        <f aca="false">IF(AND(M1179&lt;&gt;"",OR(M1179&lt;5,M1179&gt;180)),1,0)</f>
        <v>0</v>
      </c>
      <c r="AB1179" s="7" t="str">
        <f aca="false">IF(P1179="DUP","Exact duplicate row",IF(T1179=1,"Missing Order ID",IF(S1179="DROP","Duplicate Order ID (less complete row)",IF(U1179=1,"Missing Customer ID",IF(V1179=1,"Missing Restaurant name",IF(W1179=1,"Invalid/outlier quantity",IF(X1179=1,"Invalid/outlier unit price",IF(Y1179=1,"Discount greater than order value",""))))))))</f>
        <v/>
      </c>
      <c r="AC1179" s="7" t="str">
        <f aca="false">IF(AB1179="","KEEP","DROP")</f>
        <v>KEEP</v>
      </c>
      <c r="AD1179" s="7" t="str">
        <f aca="false">IF(TRIM(F1179)="",IFERROR(INDEX(Map_Tables!$I$4:$I$37,MATCH(TRIM(E1179),Map_Tables!$G$4:$G$37,0)),""),IFERROR(INDEX(Map_Tables!$B$4:$B$18,MATCH(TRIM(F1179),Map_Tables!$A$4:$A$18,0)),"CHECK"))</f>
        <v>Delhi</v>
      </c>
      <c r="AE1179" s="7" t="str">
        <f aca="false">IF(TRIM(E1179)="","",IFERROR(INDEX(Map_Tables!$H$4:$H$37,MATCH(TRIM(E1179),Map_Tables!$G$4:$G$37,0)),"CHECK"))</f>
        <v>Burger Barn</v>
      </c>
      <c r="AF1179" s="7" t="str">
        <f aca="false">IF(TRIM(K1179)="","Unknown",IFERROR(INDEX(Map_Tables!$E$4:$E$15,MATCH(TRIM(K1179),Map_Tables!$D$4:$D$15,0)),"CHECK"))</f>
        <v>Debit Card</v>
      </c>
      <c r="AG1179" s="7" t="str">
        <f aca="false">IF(LEFT(LOWER(TRIM(L1179)),6)="cancel","Cancelled","Delivered")</f>
        <v>Delivered</v>
      </c>
      <c r="AH1179" s="10" t="n">
        <f aca="false">IF(ISNUMBER(SEARCH("/",B1179)),DATE(VALUE(RIGHT(B1179,4)),VALUE(MID(B1179,4,2)),VALUE(LEFT(B1179,2))),IF(MID(B1179,5,1)="-",DATE(VALUE(LEFT(B1179,4)),VALUE(MID(B1179,6,2)),VALUE(RIGHT(B1179,2))),DATE(VALUE(RIGHT(B1179,4)),MATCH(MID(B1179,4,3),{"Jan","Feb","Mar","Apr","May","Jun","Jul","Aug","Sep","Oct","Nov","Dec"},0),VALUE(LEFT(B1179,2)))))</f>
        <v>45971</v>
      </c>
    </row>
    <row r="1180" customFormat="false" ht="15" hidden="false" customHeight="false" outlineLevel="0" collapsed="false">
      <c r="A1180" s="7" t="s">
        <v>3362</v>
      </c>
      <c r="B1180" s="7" t="s">
        <v>1657</v>
      </c>
      <c r="C1180" s="7" t="s">
        <v>1058</v>
      </c>
      <c r="D1180" s="7" t="s">
        <v>1727</v>
      </c>
      <c r="E1180" s="7" t="s">
        <v>104</v>
      </c>
      <c r="F1180" s="7" t="s">
        <v>86</v>
      </c>
      <c r="G1180" s="7" t="s">
        <v>105</v>
      </c>
      <c r="H1180" s="7" t="n">
        <v>4</v>
      </c>
      <c r="I1180" s="7" t="n">
        <v>265</v>
      </c>
      <c r="J1180" s="7" t="n">
        <v>30</v>
      </c>
      <c r="K1180" s="7" t="s">
        <v>112</v>
      </c>
      <c r="L1180" s="7" t="s">
        <v>194</v>
      </c>
      <c r="M1180" s="7" t="n">
        <v>45</v>
      </c>
      <c r="N1180" s="7" t="n">
        <v>4</v>
      </c>
      <c r="O1180" s="7" t="str">
        <f aca="false">A1180&amp;"|"&amp;B1180&amp;"|"&amp;C1180&amp;"|"&amp;D1180&amp;"|"&amp;E1180&amp;"|"&amp;F1180&amp;"|"&amp;G1180&amp;"|"&amp;H1180&amp;"|"&amp;I1180&amp;"|"&amp;J1180&amp;"|"&amp;K1180&amp;"|"&amp;L1180&amp;"|"&amp;M1180&amp;"|"&amp;N1180</f>
        <v>ORD11869|2025-08-31|20:49|C0913|Wok &amp; Roll|Bengaluru|Chinese|4|265|30|Cash on Delivery|Delivered|45|4</v>
      </c>
      <c r="P1180" s="7" t="str">
        <f aca="false">IF(COUNTIF($O$2:O1180,O1180)&gt;1,"DUP","OK")</f>
        <v>OK</v>
      </c>
      <c r="Q1180" s="7" t="n">
        <f aca="false">COUNTBLANK(A1180:N1180)</f>
        <v>0</v>
      </c>
      <c r="R1180" s="7" t="n">
        <f aca="false">IF(A1180="",0,COUNTIFS($A$2:$A$3058,A1180,$P$2:$P$3058,"OK"))</f>
        <v>1</v>
      </c>
      <c r="S1180" s="7" t="str">
        <f aca="false">IF(OR(A1180="",P1180="DUP",R1180&lt;2),"",IF(Q1180=_xlfn.MINIFS($Q$2:$Q$3058,$A$2:$A$3058,A1180,$P$2:$P$3058,"OK"),"KEEP","DROP"))</f>
        <v/>
      </c>
      <c r="T1180" s="9" t="n">
        <f aca="false">IF(A1180="",1,0)</f>
        <v>0</v>
      </c>
      <c r="U1180" s="9" t="n">
        <f aca="false">IF(D1180="",1,0)</f>
        <v>0</v>
      </c>
      <c r="V1180" s="9" t="n">
        <f aca="false">IF(E1180="",1,0)</f>
        <v>0</v>
      </c>
      <c r="W1180" s="9" t="n">
        <f aca="false">IF(OR(H1180&lt;1,H1180&gt;10),1,0)</f>
        <v>0</v>
      </c>
      <c r="X1180" s="9" t="n">
        <f aca="false">IF(OR(I1180&lt;=0,I1180&gt;1500),1,0)</f>
        <v>0</v>
      </c>
      <c r="Y1180" s="9" t="n">
        <f aca="false">IF(J1180&gt;H1180*I1180,1,0)</f>
        <v>0</v>
      </c>
      <c r="Z1180" s="9" t="n">
        <f aca="false">IF(AND(N1180&lt;&gt;"",OR(N1180&lt;1,N1180&gt;5)),1,0)</f>
        <v>0</v>
      </c>
      <c r="AA1180" s="9" t="n">
        <f aca="false">IF(AND(M1180&lt;&gt;"",OR(M1180&lt;5,M1180&gt;180)),1,0)</f>
        <v>0</v>
      </c>
      <c r="AB1180" s="7" t="str">
        <f aca="false">IF(P1180="DUP","Exact duplicate row",IF(T1180=1,"Missing Order ID",IF(S1180="DROP","Duplicate Order ID (less complete row)",IF(U1180=1,"Missing Customer ID",IF(V1180=1,"Missing Restaurant name",IF(W1180=1,"Invalid/outlier quantity",IF(X1180=1,"Invalid/outlier unit price",IF(Y1180=1,"Discount greater than order value",""))))))))</f>
        <v/>
      </c>
      <c r="AC1180" s="7" t="str">
        <f aca="false">IF(AB1180="","KEEP","DROP")</f>
        <v>KEEP</v>
      </c>
      <c r="AD1180" s="7" t="str">
        <f aca="false">IF(TRIM(F1180)="",IFERROR(INDEX(Map_Tables!$I$4:$I$37,MATCH(TRIM(E1180),Map_Tables!$G$4:$G$37,0)),""),IFERROR(INDEX(Map_Tables!$B$4:$B$18,MATCH(TRIM(F1180),Map_Tables!$A$4:$A$18,0)),"CHECK"))</f>
        <v>Bengaluru</v>
      </c>
      <c r="AE1180" s="7" t="str">
        <f aca="false">IF(TRIM(E1180)="","",IFERROR(INDEX(Map_Tables!$H$4:$H$37,MATCH(TRIM(E1180),Map_Tables!$G$4:$G$37,0)),"CHECK"))</f>
        <v>Wok &amp; Roll</v>
      </c>
      <c r="AF1180" s="7" t="str">
        <f aca="false">IF(TRIM(K1180)="","Unknown",IFERROR(INDEX(Map_Tables!$E$4:$E$15,MATCH(TRIM(K1180),Map_Tables!$D$4:$D$15,0)),"CHECK"))</f>
        <v>Cash on Delivery</v>
      </c>
      <c r="AG1180" s="7" t="str">
        <f aca="false">IF(LEFT(LOWER(TRIM(L1180)),6)="cancel","Cancelled","Delivered")</f>
        <v>Delivered</v>
      </c>
      <c r="AH1180" s="10" t="n">
        <f aca="false">IF(ISNUMBER(SEARCH("/",B1180)),DATE(VALUE(RIGHT(B1180,4)),VALUE(MID(B1180,4,2)),VALUE(LEFT(B1180,2))),IF(MID(B1180,5,1)="-",DATE(VALUE(LEFT(B1180,4)),VALUE(MID(B1180,6,2)),VALUE(RIGHT(B1180,2))),DATE(VALUE(RIGHT(B1180,4)),MATCH(MID(B1180,4,3),{"Jan","Feb","Mar","Apr","May","Jun","Jul","Aug","Sep","Oct","Nov","Dec"},0),VALUE(LEFT(B1180,2)))))</f>
        <v>45900</v>
      </c>
    </row>
    <row r="1181" customFormat="false" ht="15" hidden="false" customHeight="false" outlineLevel="0" collapsed="false">
      <c r="A1181" s="7" t="s">
        <v>3363</v>
      </c>
      <c r="B1181" s="7" t="s">
        <v>528</v>
      </c>
      <c r="C1181" s="7" t="s">
        <v>2042</v>
      </c>
      <c r="D1181" s="7" t="s">
        <v>3364</v>
      </c>
      <c r="E1181" s="7" t="s">
        <v>126</v>
      </c>
      <c r="F1181" s="7" t="s">
        <v>100</v>
      </c>
      <c r="G1181" s="7" t="s">
        <v>105</v>
      </c>
      <c r="H1181" s="7" t="n">
        <v>3</v>
      </c>
      <c r="I1181" s="7" t="n">
        <v>285</v>
      </c>
      <c r="J1181" s="7" t="n">
        <v>75</v>
      </c>
      <c r="K1181" s="7" t="s">
        <v>88</v>
      </c>
      <c r="L1181" s="7" t="s">
        <v>194</v>
      </c>
      <c r="M1181" s="7" t="n">
        <v>42</v>
      </c>
      <c r="N1181" s="7" t="n">
        <v>4</v>
      </c>
      <c r="O1181" s="7" t="str">
        <f aca="false">A1181&amp;"|"&amp;B1181&amp;"|"&amp;C1181&amp;"|"&amp;D1181&amp;"|"&amp;E1181&amp;"|"&amp;F1181&amp;"|"&amp;G1181&amp;"|"&amp;H1181&amp;"|"&amp;I1181&amp;"|"&amp;J1181&amp;"|"&amp;K1181&amp;"|"&amp;L1181&amp;"|"&amp;M1181&amp;"|"&amp;N1181</f>
        <v>ORD12116|2025-09-29|17:22|C0499|Dragon Express|mumbai|Chinese|3|285|75|UPI|Delivered|42|4</v>
      </c>
      <c r="P1181" s="7" t="str">
        <f aca="false">IF(COUNTIF($O$2:O1181,O1181)&gt;1,"DUP","OK")</f>
        <v>OK</v>
      </c>
      <c r="Q1181" s="7" t="n">
        <f aca="false">COUNTBLANK(A1181:N1181)</f>
        <v>0</v>
      </c>
      <c r="R1181" s="7" t="n">
        <f aca="false">IF(A1181="",0,COUNTIFS($A$2:$A$3058,A1181,$P$2:$P$3058,"OK"))</f>
        <v>1</v>
      </c>
      <c r="S1181" s="7" t="str">
        <f aca="false">IF(OR(A1181="",P1181="DUP",R1181&lt;2),"",IF(Q1181=_xlfn.MINIFS($Q$2:$Q$3058,$A$2:$A$3058,A1181,$P$2:$P$3058,"OK"),"KEEP","DROP"))</f>
        <v/>
      </c>
      <c r="T1181" s="9" t="n">
        <f aca="false">IF(A1181="",1,0)</f>
        <v>0</v>
      </c>
      <c r="U1181" s="9" t="n">
        <f aca="false">IF(D1181="",1,0)</f>
        <v>0</v>
      </c>
      <c r="V1181" s="9" t="n">
        <f aca="false">IF(E1181="",1,0)</f>
        <v>0</v>
      </c>
      <c r="W1181" s="9" t="n">
        <f aca="false">IF(OR(H1181&lt;1,H1181&gt;10),1,0)</f>
        <v>0</v>
      </c>
      <c r="X1181" s="9" t="n">
        <f aca="false">IF(OR(I1181&lt;=0,I1181&gt;1500),1,0)</f>
        <v>0</v>
      </c>
      <c r="Y1181" s="9" t="n">
        <f aca="false">IF(J1181&gt;H1181*I1181,1,0)</f>
        <v>0</v>
      </c>
      <c r="Z1181" s="9" t="n">
        <f aca="false">IF(AND(N1181&lt;&gt;"",OR(N1181&lt;1,N1181&gt;5)),1,0)</f>
        <v>0</v>
      </c>
      <c r="AA1181" s="9" t="n">
        <f aca="false">IF(AND(M1181&lt;&gt;"",OR(M1181&lt;5,M1181&gt;180)),1,0)</f>
        <v>0</v>
      </c>
      <c r="AB1181" s="7" t="str">
        <f aca="false">IF(P1181="DUP","Exact duplicate row",IF(T1181=1,"Missing Order ID",IF(S1181="DROP","Duplicate Order ID (less complete row)",IF(U1181=1,"Missing Customer ID",IF(V1181=1,"Missing Restaurant name",IF(W1181=1,"Invalid/outlier quantity",IF(X1181=1,"Invalid/outlier unit price",IF(Y1181=1,"Discount greater than order value",""))))))))</f>
        <v/>
      </c>
      <c r="AC1181" s="7" t="str">
        <f aca="false">IF(AB1181="","KEEP","DROP")</f>
        <v>KEEP</v>
      </c>
      <c r="AD1181" s="7" t="str">
        <f aca="false">IF(TRIM(F1181)="",IFERROR(INDEX(Map_Tables!$I$4:$I$37,MATCH(TRIM(E1181),Map_Tables!$G$4:$G$37,0)),""),IFERROR(INDEX(Map_Tables!$B$4:$B$18,MATCH(TRIM(F1181),Map_Tables!$A$4:$A$18,0)),"CHECK"))</f>
        <v>Mumbai</v>
      </c>
      <c r="AE1181" s="7" t="str">
        <f aca="false">IF(TRIM(E1181)="","",IFERROR(INDEX(Map_Tables!$H$4:$H$37,MATCH(TRIM(E1181),Map_Tables!$G$4:$G$37,0)),"CHECK"))</f>
        <v>Dragon Express</v>
      </c>
      <c r="AF1181" s="7" t="str">
        <f aca="false">IF(TRIM(K1181)="","Unknown",IFERROR(INDEX(Map_Tables!$E$4:$E$15,MATCH(TRIM(K1181),Map_Tables!$D$4:$D$15,0)),"CHECK"))</f>
        <v>UPI</v>
      </c>
      <c r="AG1181" s="7" t="str">
        <f aca="false">IF(LEFT(LOWER(TRIM(L1181)),6)="cancel","Cancelled","Delivered")</f>
        <v>Delivered</v>
      </c>
      <c r="AH1181" s="10" t="n">
        <f aca="false">IF(ISNUMBER(SEARCH("/",B1181)),DATE(VALUE(RIGHT(B1181,4)),VALUE(MID(B1181,4,2)),VALUE(LEFT(B1181,2))),IF(MID(B1181,5,1)="-",DATE(VALUE(LEFT(B1181,4)),VALUE(MID(B1181,6,2)),VALUE(RIGHT(B1181,2))),DATE(VALUE(RIGHT(B1181,4)),MATCH(MID(B1181,4,3),{"Jan","Feb","Mar","Apr","May","Jun","Jul","Aug","Sep","Oct","Nov","Dec"},0),VALUE(LEFT(B1181,2)))))</f>
        <v>45929</v>
      </c>
    </row>
    <row r="1182" customFormat="false" ht="15" hidden="false" customHeight="false" outlineLevel="0" collapsed="false">
      <c r="A1182" s="7" t="s">
        <v>3365</v>
      </c>
      <c r="B1182" s="7" t="s">
        <v>1835</v>
      </c>
      <c r="C1182" s="7" t="s">
        <v>1087</v>
      </c>
      <c r="D1182" s="7" t="s">
        <v>3074</v>
      </c>
      <c r="E1182" s="7" t="s">
        <v>2702</v>
      </c>
      <c r="F1182" s="7" t="s">
        <v>110</v>
      </c>
      <c r="G1182" s="7" t="s">
        <v>139</v>
      </c>
      <c r="H1182" s="7" t="n">
        <v>1</v>
      </c>
      <c r="I1182" s="7" t="n">
        <v>190</v>
      </c>
      <c r="J1182" s="7" t="n">
        <v>0</v>
      </c>
      <c r="K1182" s="7" t="s">
        <v>112</v>
      </c>
      <c r="L1182" s="7" t="s">
        <v>194</v>
      </c>
      <c r="M1182" s="7" t="n">
        <v>39</v>
      </c>
      <c r="N1182" s="7" t="n">
        <v>4</v>
      </c>
      <c r="O1182" s="7" t="str">
        <f aca="false">A1182&amp;"|"&amp;B1182&amp;"|"&amp;C1182&amp;"|"&amp;D1182&amp;"|"&amp;E1182&amp;"|"&amp;F1182&amp;"|"&amp;G1182&amp;"|"&amp;H1182&amp;"|"&amp;I1182&amp;"|"&amp;J1182&amp;"|"&amp;K1182&amp;"|"&amp;L1182&amp;"|"&amp;M1182&amp;"|"&amp;N1182</f>
        <v>ORD12288|2025-10-16|19:47|C0941|Burger Barn |Delhi|Burgers|1|190|0|Cash on Delivery|Delivered|39|4</v>
      </c>
      <c r="P1182" s="7" t="str">
        <f aca="false">IF(COUNTIF($O$2:O1182,O1182)&gt;1,"DUP","OK")</f>
        <v>OK</v>
      </c>
      <c r="Q1182" s="7" t="n">
        <f aca="false">COUNTBLANK(A1182:N1182)</f>
        <v>0</v>
      </c>
      <c r="R1182" s="7" t="n">
        <f aca="false">IF(A1182="",0,COUNTIFS($A$2:$A$3058,A1182,$P$2:$P$3058,"OK"))</f>
        <v>1</v>
      </c>
      <c r="S1182" s="7" t="str">
        <f aca="false">IF(OR(A1182="",P1182="DUP",R1182&lt;2),"",IF(Q1182=_xlfn.MINIFS($Q$2:$Q$3058,$A$2:$A$3058,A1182,$P$2:$P$3058,"OK"),"KEEP","DROP"))</f>
        <v/>
      </c>
      <c r="T1182" s="9" t="n">
        <f aca="false">IF(A1182="",1,0)</f>
        <v>0</v>
      </c>
      <c r="U1182" s="9" t="n">
        <f aca="false">IF(D1182="",1,0)</f>
        <v>0</v>
      </c>
      <c r="V1182" s="9" t="n">
        <f aca="false">IF(E1182="",1,0)</f>
        <v>0</v>
      </c>
      <c r="W1182" s="9" t="n">
        <f aca="false">IF(OR(H1182&lt;1,H1182&gt;10),1,0)</f>
        <v>0</v>
      </c>
      <c r="X1182" s="9" t="n">
        <f aca="false">IF(OR(I1182&lt;=0,I1182&gt;1500),1,0)</f>
        <v>0</v>
      </c>
      <c r="Y1182" s="9" t="n">
        <f aca="false">IF(J1182&gt;H1182*I1182,1,0)</f>
        <v>0</v>
      </c>
      <c r="Z1182" s="9" t="n">
        <f aca="false">IF(AND(N1182&lt;&gt;"",OR(N1182&lt;1,N1182&gt;5)),1,0)</f>
        <v>0</v>
      </c>
      <c r="AA1182" s="9" t="n">
        <f aca="false">IF(AND(M1182&lt;&gt;"",OR(M1182&lt;5,M1182&gt;180)),1,0)</f>
        <v>0</v>
      </c>
      <c r="AB1182" s="7" t="str">
        <f aca="false">IF(P1182="DUP","Exact duplicate row",IF(T1182=1,"Missing Order ID",IF(S1182="DROP","Duplicate Order ID (less complete row)",IF(U1182=1,"Missing Customer ID",IF(V1182=1,"Missing Restaurant name",IF(W1182=1,"Invalid/outlier quantity",IF(X1182=1,"Invalid/outlier unit price",IF(Y1182=1,"Discount greater than order value",""))))))))</f>
        <v/>
      </c>
      <c r="AC1182" s="7" t="str">
        <f aca="false">IF(AB1182="","KEEP","DROP")</f>
        <v>KEEP</v>
      </c>
      <c r="AD1182" s="7" t="str">
        <f aca="false">IF(TRIM(F1182)="",IFERROR(INDEX(Map_Tables!$I$4:$I$37,MATCH(TRIM(E1182),Map_Tables!$G$4:$G$37,0)),""),IFERROR(INDEX(Map_Tables!$B$4:$B$18,MATCH(TRIM(F1182),Map_Tables!$A$4:$A$18,0)),"CHECK"))</f>
        <v>Delhi</v>
      </c>
      <c r="AE1182" s="7" t="str">
        <f aca="false">IF(TRIM(E1182)="","",IFERROR(INDEX(Map_Tables!$H$4:$H$37,MATCH(TRIM(E1182),Map_Tables!$G$4:$G$37,0)),"CHECK"))</f>
        <v>Burger Barn</v>
      </c>
      <c r="AF1182" s="7" t="str">
        <f aca="false">IF(TRIM(K1182)="","Unknown",IFERROR(INDEX(Map_Tables!$E$4:$E$15,MATCH(TRIM(K1182),Map_Tables!$D$4:$D$15,0)),"CHECK"))</f>
        <v>Cash on Delivery</v>
      </c>
      <c r="AG1182" s="7" t="str">
        <f aca="false">IF(LEFT(LOWER(TRIM(L1182)),6)="cancel","Cancelled","Delivered")</f>
        <v>Delivered</v>
      </c>
      <c r="AH1182" s="10" t="n">
        <f aca="false">IF(ISNUMBER(SEARCH("/",B1182)),DATE(VALUE(RIGHT(B1182,4)),VALUE(MID(B1182,4,2)),VALUE(LEFT(B1182,2))),IF(MID(B1182,5,1)="-",DATE(VALUE(LEFT(B1182,4)),VALUE(MID(B1182,6,2)),VALUE(RIGHT(B1182,2))),DATE(VALUE(RIGHT(B1182,4)),MATCH(MID(B1182,4,3),{"Jan","Feb","Mar","Apr","May","Jun","Jul","Aug","Sep","Oct","Nov","Dec"},0),VALUE(LEFT(B1182,2)))))</f>
        <v>45946</v>
      </c>
    </row>
    <row r="1183" customFormat="false" ht="15" hidden="false" customHeight="false" outlineLevel="0" collapsed="false">
      <c r="A1183" s="7" t="s">
        <v>3366</v>
      </c>
      <c r="B1183" s="7" t="s">
        <v>2579</v>
      </c>
      <c r="C1183" s="7" t="s">
        <v>2743</v>
      </c>
      <c r="D1183" s="7" t="s">
        <v>357</v>
      </c>
      <c r="E1183" s="7" t="s">
        <v>138</v>
      </c>
      <c r="F1183" s="7" t="s">
        <v>110</v>
      </c>
      <c r="G1183" s="7" t="s">
        <v>139</v>
      </c>
      <c r="H1183" s="7" t="n">
        <v>2</v>
      </c>
      <c r="I1183" s="7" t="n">
        <v>185</v>
      </c>
      <c r="J1183" s="7" t="n">
        <v>0</v>
      </c>
      <c r="K1183" s="7" t="s">
        <v>88</v>
      </c>
      <c r="L1183" s="7" t="s">
        <v>194</v>
      </c>
      <c r="M1183" s="7" t="n">
        <v>55</v>
      </c>
      <c r="N1183" s="7" t="n">
        <v>5</v>
      </c>
      <c r="O1183" s="7" t="str">
        <f aca="false">A1183&amp;"|"&amp;B1183&amp;"|"&amp;C1183&amp;"|"&amp;D1183&amp;"|"&amp;E1183&amp;"|"&amp;F1183&amp;"|"&amp;G1183&amp;"|"&amp;H1183&amp;"|"&amp;I1183&amp;"|"&amp;J1183&amp;"|"&amp;K1183&amp;"|"&amp;L1183&amp;"|"&amp;M1183&amp;"|"&amp;N1183</f>
        <v>ORD11377|2025-06-27|12:51|C0088|Burger Barn|Delhi|Burgers|2|185|0|UPI|Delivered|55|5</v>
      </c>
      <c r="P1183" s="7" t="str">
        <f aca="false">IF(COUNTIF($O$2:O1183,O1183)&gt;1,"DUP","OK")</f>
        <v>OK</v>
      </c>
      <c r="Q1183" s="7" t="n">
        <f aca="false">COUNTBLANK(A1183:N1183)</f>
        <v>0</v>
      </c>
      <c r="R1183" s="7" t="n">
        <f aca="false">IF(A1183="",0,COUNTIFS($A$2:$A$3058,A1183,$P$2:$P$3058,"OK"))</f>
        <v>1</v>
      </c>
      <c r="S1183" s="7" t="str">
        <f aca="false">IF(OR(A1183="",P1183="DUP",R1183&lt;2),"",IF(Q1183=_xlfn.MINIFS($Q$2:$Q$3058,$A$2:$A$3058,A1183,$P$2:$P$3058,"OK"),"KEEP","DROP"))</f>
        <v/>
      </c>
      <c r="T1183" s="9" t="n">
        <f aca="false">IF(A1183="",1,0)</f>
        <v>0</v>
      </c>
      <c r="U1183" s="9" t="n">
        <f aca="false">IF(D1183="",1,0)</f>
        <v>0</v>
      </c>
      <c r="V1183" s="9" t="n">
        <f aca="false">IF(E1183="",1,0)</f>
        <v>0</v>
      </c>
      <c r="W1183" s="9" t="n">
        <f aca="false">IF(OR(H1183&lt;1,H1183&gt;10),1,0)</f>
        <v>0</v>
      </c>
      <c r="X1183" s="9" t="n">
        <f aca="false">IF(OR(I1183&lt;=0,I1183&gt;1500),1,0)</f>
        <v>0</v>
      </c>
      <c r="Y1183" s="9" t="n">
        <f aca="false">IF(J1183&gt;H1183*I1183,1,0)</f>
        <v>0</v>
      </c>
      <c r="Z1183" s="9" t="n">
        <f aca="false">IF(AND(N1183&lt;&gt;"",OR(N1183&lt;1,N1183&gt;5)),1,0)</f>
        <v>0</v>
      </c>
      <c r="AA1183" s="9" t="n">
        <f aca="false">IF(AND(M1183&lt;&gt;"",OR(M1183&lt;5,M1183&gt;180)),1,0)</f>
        <v>0</v>
      </c>
      <c r="AB1183" s="7" t="str">
        <f aca="false">IF(P1183="DUP","Exact duplicate row",IF(T1183=1,"Missing Order ID",IF(S1183="DROP","Duplicate Order ID (less complete row)",IF(U1183=1,"Missing Customer ID",IF(V1183=1,"Missing Restaurant name",IF(W1183=1,"Invalid/outlier quantity",IF(X1183=1,"Invalid/outlier unit price",IF(Y1183=1,"Discount greater than order value",""))))))))</f>
        <v/>
      </c>
      <c r="AC1183" s="7" t="str">
        <f aca="false">IF(AB1183="","KEEP","DROP")</f>
        <v>KEEP</v>
      </c>
      <c r="AD1183" s="7" t="str">
        <f aca="false">IF(TRIM(F1183)="",IFERROR(INDEX(Map_Tables!$I$4:$I$37,MATCH(TRIM(E1183),Map_Tables!$G$4:$G$37,0)),""),IFERROR(INDEX(Map_Tables!$B$4:$B$18,MATCH(TRIM(F1183),Map_Tables!$A$4:$A$18,0)),"CHECK"))</f>
        <v>Delhi</v>
      </c>
      <c r="AE1183" s="7" t="str">
        <f aca="false">IF(TRIM(E1183)="","",IFERROR(INDEX(Map_Tables!$H$4:$H$37,MATCH(TRIM(E1183),Map_Tables!$G$4:$G$37,0)),"CHECK"))</f>
        <v>Burger Barn</v>
      </c>
      <c r="AF1183" s="7" t="str">
        <f aca="false">IF(TRIM(K1183)="","Unknown",IFERROR(INDEX(Map_Tables!$E$4:$E$15,MATCH(TRIM(K1183),Map_Tables!$D$4:$D$15,0)),"CHECK"))</f>
        <v>UPI</v>
      </c>
      <c r="AG1183" s="7" t="str">
        <f aca="false">IF(LEFT(LOWER(TRIM(L1183)),6)="cancel","Cancelled","Delivered")</f>
        <v>Delivered</v>
      </c>
      <c r="AH1183" s="10" t="n">
        <f aca="false">IF(ISNUMBER(SEARCH("/",B1183)),DATE(VALUE(RIGHT(B1183,4)),VALUE(MID(B1183,4,2)),VALUE(LEFT(B1183,2))),IF(MID(B1183,5,1)="-",DATE(VALUE(LEFT(B1183,4)),VALUE(MID(B1183,6,2)),VALUE(RIGHT(B1183,2))),DATE(VALUE(RIGHT(B1183,4)),MATCH(MID(B1183,4,3),{"Jan","Feb","Mar","Apr","May","Jun","Jul","Aug","Sep","Oct","Nov","Dec"},0),VALUE(LEFT(B1183,2)))))</f>
        <v>45835</v>
      </c>
    </row>
    <row r="1184" customFormat="false" ht="15" hidden="false" customHeight="false" outlineLevel="0" collapsed="false">
      <c r="A1184" s="7" t="s">
        <v>3367</v>
      </c>
      <c r="B1184" s="7" t="s">
        <v>3368</v>
      </c>
      <c r="C1184" s="7" t="s">
        <v>1168</v>
      </c>
      <c r="D1184" s="7" t="s">
        <v>3369</v>
      </c>
      <c r="E1184" s="7" t="s">
        <v>116</v>
      </c>
      <c r="F1184" s="7" t="s">
        <v>101</v>
      </c>
      <c r="G1184" s="7" t="s">
        <v>117</v>
      </c>
      <c r="H1184" s="7" t="n">
        <v>5</v>
      </c>
      <c r="I1184" s="7" t="n">
        <v>120</v>
      </c>
      <c r="J1184" s="7" t="n">
        <v>0</v>
      </c>
      <c r="K1184" s="7" t="s">
        <v>88</v>
      </c>
      <c r="L1184" s="7" t="s">
        <v>194</v>
      </c>
      <c r="M1184" s="7" t="n">
        <v>51</v>
      </c>
      <c r="N1184" s="7" t="n">
        <v>2</v>
      </c>
      <c r="O1184" s="7" t="str">
        <f aca="false">A1184&amp;"|"&amp;B1184&amp;"|"&amp;C1184&amp;"|"&amp;D1184&amp;"|"&amp;E1184&amp;"|"&amp;F1184&amp;"|"&amp;G1184&amp;"|"&amp;H1184&amp;"|"&amp;I1184&amp;"|"&amp;J1184&amp;"|"&amp;K1184&amp;"|"&amp;L1184&amp;"|"&amp;M1184&amp;"|"&amp;N1184</f>
        <v>ORD11458|09-Jul-2025|18:56|C0771|Pav Bhaji Point|Mumbai|Street Food|5|120|0|UPI|Delivered|51|2</v>
      </c>
      <c r="P1184" s="7" t="str">
        <f aca="false">IF(COUNTIF($O$2:O1184,O1184)&gt;1,"DUP","OK")</f>
        <v>OK</v>
      </c>
      <c r="Q1184" s="7" t="n">
        <f aca="false">COUNTBLANK(A1184:N1184)</f>
        <v>0</v>
      </c>
      <c r="R1184" s="7" t="n">
        <f aca="false">IF(A1184="",0,COUNTIFS($A$2:$A$3058,A1184,$P$2:$P$3058,"OK"))</f>
        <v>1</v>
      </c>
      <c r="S1184" s="7" t="str">
        <f aca="false">IF(OR(A1184="",P1184="DUP",R1184&lt;2),"",IF(Q1184=_xlfn.MINIFS($Q$2:$Q$3058,$A$2:$A$3058,A1184,$P$2:$P$3058,"OK"),"KEEP","DROP"))</f>
        <v/>
      </c>
      <c r="T1184" s="9" t="n">
        <f aca="false">IF(A1184="",1,0)</f>
        <v>0</v>
      </c>
      <c r="U1184" s="9" t="n">
        <f aca="false">IF(D1184="",1,0)</f>
        <v>0</v>
      </c>
      <c r="V1184" s="9" t="n">
        <f aca="false">IF(E1184="",1,0)</f>
        <v>0</v>
      </c>
      <c r="W1184" s="9" t="n">
        <f aca="false">IF(OR(H1184&lt;1,H1184&gt;10),1,0)</f>
        <v>0</v>
      </c>
      <c r="X1184" s="9" t="n">
        <f aca="false">IF(OR(I1184&lt;=0,I1184&gt;1500),1,0)</f>
        <v>0</v>
      </c>
      <c r="Y1184" s="9" t="n">
        <f aca="false">IF(J1184&gt;H1184*I1184,1,0)</f>
        <v>0</v>
      </c>
      <c r="Z1184" s="9" t="n">
        <f aca="false">IF(AND(N1184&lt;&gt;"",OR(N1184&lt;1,N1184&gt;5)),1,0)</f>
        <v>0</v>
      </c>
      <c r="AA1184" s="9" t="n">
        <f aca="false">IF(AND(M1184&lt;&gt;"",OR(M1184&lt;5,M1184&gt;180)),1,0)</f>
        <v>0</v>
      </c>
      <c r="AB1184" s="7" t="str">
        <f aca="false">IF(P1184="DUP","Exact duplicate row",IF(T1184=1,"Missing Order ID",IF(S1184="DROP","Duplicate Order ID (less complete row)",IF(U1184=1,"Missing Customer ID",IF(V1184=1,"Missing Restaurant name",IF(W1184=1,"Invalid/outlier quantity",IF(X1184=1,"Invalid/outlier unit price",IF(Y1184=1,"Discount greater than order value",""))))))))</f>
        <v/>
      </c>
      <c r="AC1184" s="7" t="str">
        <f aca="false">IF(AB1184="","KEEP","DROP")</f>
        <v>KEEP</v>
      </c>
      <c r="AD1184" s="7" t="str">
        <f aca="false">IF(TRIM(F1184)="",IFERROR(INDEX(Map_Tables!$I$4:$I$37,MATCH(TRIM(E1184),Map_Tables!$G$4:$G$37,0)),""),IFERROR(INDEX(Map_Tables!$B$4:$B$18,MATCH(TRIM(F1184),Map_Tables!$A$4:$A$18,0)),"CHECK"))</f>
        <v>Mumbai</v>
      </c>
      <c r="AE1184" s="7" t="str">
        <f aca="false">IF(TRIM(E1184)="","",IFERROR(INDEX(Map_Tables!$H$4:$H$37,MATCH(TRIM(E1184),Map_Tables!$G$4:$G$37,0)),"CHECK"))</f>
        <v>Pav Bhaji Point</v>
      </c>
      <c r="AF1184" s="7" t="str">
        <f aca="false">IF(TRIM(K1184)="","Unknown",IFERROR(INDEX(Map_Tables!$E$4:$E$15,MATCH(TRIM(K1184),Map_Tables!$D$4:$D$15,0)),"CHECK"))</f>
        <v>UPI</v>
      </c>
      <c r="AG1184" s="7" t="str">
        <f aca="false">IF(LEFT(LOWER(TRIM(L1184)),6)="cancel","Cancelled","Delivered")</f>
        <v>Delivered</v>
      </c>
      <c r="AH1184" s="10" t="n">
        <f aca="false">IF(ISNUMBER(SEARCH("/",B1184)),DATE(VALUE(RIGHT(B1184,4)),VALUE(MID(B1184,4,2)),VALUE(LEFT(B1184,2))),IF(MID(B1184,5,1)="-",DATE(VALUE(LEFT(B1184,4)),VALUE(MID(B1184,6,2)),VALUE(RIGHT(B1184,2))),DATE(VALUE(RIGHT(B1184,4)),MATCH(MID(B1184,4,3),{"Jan","Feb","Mar","Apr","May","Jun","Jul","Aug","Sep","Oct","Nov","Dec"},0),VALUE(LEFT(B1184,2)))))</f>
        <v>45847</v>
      </c>
    </row>
    <row r="1185" customFormat="false" ht="15" hidden="false" customHeight="false" outlineLevel="0" collapsed="false">
      <c r="A1185" s="7" t="s">
        <v>3370</v>
      </c>
      <c r="B1185" s="7" t="s">
        <v>1267</v>
      </c>
      <c r="C1185" s="7" t="s">
        <v>3371</v>
      </c>
      <c r="D1185" s="7" t="s">
        <v>1774</v>
      </c>
      <c r="E1185" s="7" t="s">
        <v>113</v>
      </c>
      <c r="F1185" s="7" t="s">
        <v>101</v>
      </c>
      <c r="G1185" s="7" t="s">
        <v>90</v>
      </c>
      <c r="H1185" s="7" t="n">
        <v>4</v>
      </c>
      <c r="I1185" s="7" t="n">
        <v>285</v>
      </c>
      <c r="J1185" s="7" t="n">
        <v>100</v>
      </c>
      <c r="K1185" s="7" t="s">
        <v>88</v>
      </c>
      <c r="L1185" s="7" t="s">
        <v>457</v>
      </c>
      <c r="M1185" s="7" t="n">
        <v>32</v>
      </c>
      <c r="N1185" s="7" t="n">
        <v>2</v>
      </c>
      <c r="O1185" s="7" t="str">
        <f aca="false">A1185&amp;"|"&amp;B1185&amp;"|"&amp;C1185&amp;"|"&amp;D1185&amp;"|"&amp;E1185&amp;"|"&amp;F1185&amp;"|"&amp;G1185&amp;"|"&amp;H1185&amp;"|"&amp;I1185&amp;"|"&amp;J1185&amp;"|"&amp;K1185&amp;"|"&amp;L1185&amp;"|"&amp;M1185&amp;"|"&amp;N1185</f>
        <v>ORD10488|2025-03-05|23:43|C0083|Curry Leaf Kitchen|Mumbai|North Indian|4|285|100|UPI|Delivered |32|2</v>
      </c>
      <c r="P1185" s="7" t="str">
        <f aca="false">IF(COUNTIF($O$2:O1185,O1185)&gt;1,"DUP","OK")</f>
        <v>OK</v>
      </c>
      <c r="Q1185" s="7" t="n">
        <f aca="false">COUNTBLANK(A1185:N1185)</f>
        <v>0</v>
      </c>
      <c r="R1185" s="7" t="n">
        <f aca="false">IF(A1185="",0,COUNTIFS($A$2:$A$3058,A1185,$P$2:$P$3058,"OK"))</f>
        <v>1</v>
      </c>
      <c r="S1185" s="7" t="str">
        <f aca="false">IF(OR(A1185="",P1185="DUP",R1185&lt;2),"",IF(Q1185=_xlfn.MINIFS($Q$2:$Q$3058,$A$2:$A$3058,A1185,$P$2:$P$3058,"OK"),"KEEP","DROP"))</f>
        <v/>
      </c>
      <c r="T1185" s="9" t="n">
        <f aca="false">IF(A1185="",1,0)</f>
        <v>0</v>
      </c>
      <c r="U1185" s="9" t="n">
        <f aca="false">IF(D1185="",1,0)</f>
        <v>0</v>
      </c>
      <c r="V1185" s="9" t="n">
        <f aca="false">IF(E1185="",1,0)</f>
        <v>0</v>
      </c>
      <c r="W1185" s="9" t="n">
        <f aca="false">IF(OR(H1185&lt;1,H1185&gt;10),1,0)</f>
        <v>0</v>
      </c>
      <c r="X1185" s="9" t="n">
        <f aca="false">IF(OR(I1185&lt;=0,I1185&gt;1500),1,0)</f>
        <v>0</v>
      </c>
      <c r="Y1185" s="9" t="n">
        <f aca="false">IF(J1185&gt;H1185*I1185,1,0)</f>
        <v>0</v>
      </c>
      <c r="Z1185" s="9" t="n">
        <f aca="false">IF(AND(N1185&lt;&gt;"",OR(N1185&lt;1,N1185&gt;5)),1,0)</f>
        <v>0</v>
      </c>
      <c r="AA1185" s="9" t="n">
        <f aca="false">IF(AND(M1185&lt;&gt;"",OR(M1185&lt;5,M1185&gt;180)),1,0)</f>
        <v>0</v>
      </c>
      <c r="AB1185" s="7" t="str">
        <f aca="false">IF(P1185="DUP","Exact duplicate row",IF(T1185=1,"Missing Order ID",IF(S1185="DROP","Duplicate Order ID (less complete row)",IF(U1185=1,"Missing Customer ID",IF(V1185=1,"Missing Restaurant name",IF(W1185=1,"Invalid/outlier quantity",IF(X1185=1,"Invalid/outlier unit price",IF(Y1185=1,"Discount greater than order value",""))))))))</f>
        <v/>
      </c>
      <c r="AC1185" s="7" t="str">
        <f aca="false">IF(AB1185="","KEEP","DROP")</f>
        <v>KEEP</v>
      </c>
      <c r="AD1185" s="7" t="str">
        <f aca="false">IF(TRIM(F1185)="",IFERROR(INDEX(Map_Tables!$I$4:$I$37,MATCH(TRIM(E1185),Map_Tables!$G$4:$G$37,0)),""),IFERROR(INDEX(Map_Tables!$B$4:$B$18,MATCH(TRIM(F1185),Map_Tables!$A$4:$A$18,0)),"CHECK"))</f>
        <v>Mumbai</v>
      </c>
      <c r="AE1185" s="7" t="str">
        <f aca="false">IF(TRIM(E1185)="","",IFERROR(INDEX(Map_Tables!$H$4:$H$37,MATCH(TRIM(E1185),Map_Tables!$G$4:$G$37,0)),"CHECK"))</f>
        <v>Curry Leaf Kitchen</v>
      </c>
      <c r="AF1185" s="7" t="str">
        <f aca="false">IF(TRIM(K1185)="","Unknown",IFERROR(INDEX(Map_Tables!$E$4:$E$15,MATCH(TRIM(K1185),Map_Tables!$D$4:$D$15,0)),"CHECK"))</f>
        <v>UPI</v>
      </c>
      <c r="AG1185" s="7" t="str">
        <f aca="false">IF(LEFT(LOWER(TRIM(L1185)),6)="cancel","Cancelled","Delivered")</f>
        <v>Delivered</v>
      </c>
      <c r="AH1185" s="10" t="n">
        <f aca="false">IF(ISNUMBER(SEARCH("/",B1185)),DATE(VALUE(RIGHT(B1185,4)),VALUE(MID(B1185,4,2)),VALUE(LEFT(B1185,2))),IF(MID(B1185,5,1)="-",DATE(VALUE(LEFT(B1185,4)),VALUE(MID(B1185,6,2)),VALUE(RIGHT(B1185,2))),DATE(VALUE(RIGHT(B1185,4)),MATCH(MID(B1185,4,3),{"Jan","Feb","Mar","Apr","May","Jun","Jul","Aug","Sep","Oct","Nov","Dec"},0),VALUE(LEFT(B1185,2)))))</f>
        <v>45721</v>
      </c>
    </row>
    <row r="1186" customFormat="false" ht="15" hidden="false" customHeight="false" outlineLevel="0" collapsed="false">
      <c r="A1186" s="7" t="s">
        <v>3372</v>
      </c>
      <c r="B1186" s="7" t="s">
        <v>3373</v>
      </c>
      <c r="C1186" s="7" t="s">
        <v>693</v>
      </c>
      <c r="D1186" s="7" t="s">
        <v>1369</v>
      </c>
      <c r="E1186" s="7" t="s">
        <v>89</v>
      </c>
      <c r="F1186" s="7" t="s">
        <v>86</v>
      </c>
      <c r="G1186" s="7" t="s">
        <v>90</v>
      </c>
      <c r="H1186" s="7" t="n">
        <v>2</v>
      </c>
      <c r="I1186" s="7" t="n">
        <v>245</v>
      </c>
      <c r="J1186" s="7" t="n">
        <v>0</v>
      </c>
      <c r="K1186" s="7" t="s">
        <v>103</v>
      </c>
      <c r="L1186" s="7" t="s">
        <v>238</v>
      </c>
      <c r="M1186" s="7"/>
      <c r="N1186" s="7"/>
      <c r="O1186" s="7" t="str">
        <f aca="false">A1186&amp;"|"&amp;B1186&amp;"|"&amp;C1186&amp;"|"&amp;D1186&amp;"|"&amp;E1186&amp;"|"&amp;F1186&amp;"|"&amp;G1186&amp;"|"&amp;H1186&amp;"|"&amp;I1186&amp;"|"&amp;J1186&amp;"|"&amp;K1186&amp;"|"&amp;L1186&amp;"|"&amp;M1186&amp;"|"&amp;N1186</f>
        <v>ORD10230|01/02/2025|11:10|C0964|Spice Junction|Bengaluru|North Indian|2|245|0|Debit Card|Cancelled||</v>
      </c>
      <c r="P1186" s="7" t="str">
        <f aca="false">IF(COUNTIF($O$2:O1186,O1186)&gt;1,"DUP","OK")</f>
        <v>OK</v>
      </c>
      <c r="Q1186" s="7" t="n">
        <f aca="false">COUNTBLANK(A1186:N1186)</f>
        <v>2</v>
      </c>
      <c r="R1186" s="7" t="n">
        <f aca="false">IF(A1186="",0,COUNTIFS($A$2:$A$3058,A1186,$P$2:$P$3058,"OK"))</f>
        <v>1</v>
      </c>
      <c r="S1186" s="7" t="str">
        <f aca="false">IF(OR(A1186="",P1186="DUP",R1186&lt;2),"",IF(Q1186=_xlfn.MINIFS($Q$2:$Q$3058,$A$2:$A$3058,A1186,$P$2:$P$3058,"OK"),"KEEP","DROP"))</f>
        <v/>
      </c>
      <c r="T1186" s="9" t="n">
        <f aca="false">IF(A1186="",1,0)</f>
        <v>0</v>
      </c>
      <c r="U1186" s="9" t="n">
        <f aca="false">IF(D1186="",1,0)</f>
        <v>0</v>
      </c>
      <c r="V1186" s="9" t="n">
        <f aca="false">IF(E1186="",1,0)</f>
        <v>0</v>
      </c>
      <c r="W1186" s="9" t="n">
        <f aca="false">IF(OR(H1186&lt;1,H1186&gt;10),1,0)</f>
        <v>0</v>
      </c>
      <c r="X1186" s="9" t="n">
        <f aca="false">IF(OR(I1186&lt;=0,I1186&gt;1500),1,0)</f>
        <v>0</v>
      </c>
      <c r="Y1186" s="9" t="n">
        <f aca="false">IF(J1186&gt;H1186*I1186,1,0)</f>
        <v>0</v>
      </c>
      <c r="Z1186" s="9" t="n">
        <f aca="false">IF(AND(N1186&lt;&gt;"",OR(N1186&lt;1,N1186&gt;5)),1,0)</f>
        <v>0</v>
      </c>
      <c r="AA1186" s="9" t="n">
        <f aca="false">IF(AND(M1186&lt;&gt;"",OR(M1186&lt;5,M1186&gt;180)),1,0)</f>
        <v>0</v>
      </c>
      <c r="AB1186" s="7" t="str">
        <f aca="false">IF(P1186="DUP","Exact duplicate row",IF(T1186=1,"Missing Order ID",IF(S1186="DROP","Duplicate Order ID (less complete row)",IF(U1186=1,"Missing Customer ID",IF(V1186=1,"Missing Restaurant name",IF(W1186=1,"Invalid/outlier quantity",IF(X1186=1,"Invalid/outlier unit price",IF(Y1186=1,"Discount greater than order value",""))))))))</f>
        <v/>
      </c>
      <c r="AC1186" s="7" t="str">
        <f aca="false">IF(AB1186="","KEEP","DROP")</f>
        <v>KEEP</v>
      </c>
      <c r="AD1186" s="7" t="str">
        <f aca="false">IF(TRIM(F1186)="",IFERROR(INDEX(Map_Tables!$I$4:$I$37,MATCH(TRIM(E1186),Map_Tables!$G$4:$G$37,0)),""),IFERROR(INDEX(Map_Tables!$B$4:$B$18,MATCH(TRIM(F1186),Map_Tables!$A$4:$A$18,0)),"CHECK"))</f>
        <v>Bengaluru</v>
      </c>
      <c r="AE1186" s="7" t="str">
        <f aca="false">IF(TRIM(E1186)="","",IFERROR(INDEX(Map_Tables!$H$4:$H$37,MATCH(TRIM(E1186),Map_Tables!$G$4:$G$37,0)),"CHECK"))</f>
        <v>Spice Junction</v>
      </c>
      <c r="AF1186" s="7" t="str">
        <f aca="false">IF(TRIM(K1186)="","Unknown",IFERROR(INDEX(Map_Tables!$E$4:$E$15,MATCH(TRIM(K1186),Map_Tables!$D$4:$D$15,0)),"CHECK"))</f>
        <v>Debit Card</v>
      </c>
      <c r="AG1186" s="7" t="str">
        <f aca="false">IF(LEFT(LOWER(TRIM(L1186)),6)="cancel","Cancelled","Delivered")</f>
        <v>Cancelled</v>
      </c>
      <c r="AH1186" s="10" t="n">
        <f aca="false">IF(ISNUMBER(SEARCH("/",B1186)),DATE(VALUE(RIGHT(B1186,4)),VALUE(MID(B1186,4,2)),VALUE(LEFT(B1186,2))),IF(MID(B1186,5,1)="-",DATE(VALUE(LEFT(B1186,4)),VALUE(MID(B1186,6,2)),VALUE(RIGHT(B1186,2))),DATE(VALUE(RIGHT(B1186,4)),MATCH(MID(B1186,4,3),{"Jan","Feb","Mar","Apr","May","Jun","Jul","Aug","Sep","Oct","Nov","Dec"},0),VALUE(LEFT(B1186,2)))))</f>
        <v>45689</v>
      </c>
    </row>
    <row r="1187" customFormat="false" ht="15" hidden="false" customHeight="false" outlineLevel="0" collapsed="false">
      <c r="A1187" s="7" t="s">
        <v>3374</v>
      </c>
      <c r="B1187" s="7" t="s">
        <v>3375</v>
      </c>
      <c r="C1187" s="7" t="s">
        <v>3346</v>
      </c>
      <c r="D1187" s="7" t="s">
        <v>1738</v>
      </c>
      <c r="E1187" s="7" t="s">
        <v>116</v>
      </c>
      <c r="F1187" s="7" t="s">
        <v>101</v>
      </c>
      <c r="G1187" s="7" t="s">
        <v>117</v>
      </c>
      <c r="H1187" s="7" t="n">
        <v>2</v>
      </c>
      <c r="I1187" s="7" t="n">
        <v>125</v>
      </c>
      <c r="J1187" s="7" t="n">
        <v>75</v>
      </c>
      <c r="K1187" s="7" t="s">
        <v>133</v>
      </c>
      <c r="L1187" s="7" t="s">
        <v>194</v>
      </c>
      <c r="M1187" s="7" t="n">
        <v>41</v>
      </c>
      <c r="N1187" s="7" t="n">
        <v>5</v>
      </c>
      <c r="O1187" s="7" t="str">
        <f aca="false">A1187&amp;"|"&amp;B1187&amp;"|"&amp;C1187&amp;"|"&amp;D1187&amp;"|"&amp;E1187&amp;"|"&amp;F1187&amp;"|"&amp;G1187&amp;"|"&amp;H1187&amp;"|"&amp;I1187&amp;"|"&amp;J1187&amp;"|"&amp;K1187&amp;"|"&amp;L1187&amp;"|"&amp;M1187&amp;"|"&amp;N1187</f>
        <v>ORD11364|24-Jun-2025|21:33|C0543|Pav Bhaji Point|Mumbai|Street Food|2|125|75|Net Banking|Delivered|41|5</v>
      </c>
      <c r="P1187" s="7" t="str">
        <f aca="false">IF(COUNTIF($O$2:O1187,O1187)&gt;1,"DUP","OK")</f>
        <v>OK</v>
      </c>
      <c r="Q1187" s="7" t="n">
        <f aca="false">COUNTBLANK(A1187:N1187)</f>
        <v>0</v>
      </c>
      <c r="R1187" s="7" t="n">
        <f aca="false">IF(A1187="",0,COUNTIFS($A$2:$A$3058,A1187,$P$2:$P$3058,"OK"))</f>
        <v>1</v>
      </c>
      <c r="S1187" s="7" t="str">
        <f aca="false">IF(OR(A1187="",P1187="DUP",R1187&lt;2),"",IF(Q1187=_xlfn.MINIFS($Q$2:$Q$3058,$A$2:$A$3058,A1187,$P$2:$P$3058,"OK"),"KEEP","DROP"))</f>
        <v/>
      </c>
      <c r="T1187" s="9" t="n">
        <f aca="false">IF(A1187="",1,0)</f>
        <v>0</v>
      </c>
      <c r="U1187" s="9" t="n">
        <f aca="false">IF(D1187="",1,0)</f>
        <v>0</v>
      </c>
      <c r="V1187" s="9" t="n">
        <f aca="false">IF(E1187="",1,0)</f>
        <v>0</v>
      </c>
      <c r="W1187" s="9" t="n">
        <f aca="false">IF(OR(H1187&lt;1,H1187&gt;10),1,0)</f>
        <v>0</v>
      </c>
      <c r="X1187" s="9" t="n">
        <f aca="false">IF(OR(I1187&lt;=0,I1187&gt;1500),1,0)</f>
        <v>0</v>
      </c>
      <c r="Y1187" s="9" t="n">
        <f aca="false">IF(J1187&gt;H1187*I1187,1,0)</f>
        <v>0</v>
      </c>
      <c r="Z1187" s="9" t="n">
        <f aca="false">IF(AND(N1187&lt;&gt;"",OR(N1187&lt;1,N1187&gt;5)),1,0)</f>
        <v>0</v>
      </c>
      <c r="AA1187" s="9" t="n">
        <f aca="false">IF(AND(M1187&lt;&gt;"",OR(M1187&lt;5,M1187&gt;180)),1,0)</f>
        <v>0</v>
      </c>
      <c r="AB1187" s="7" t="str">
        <f aca="false">IF(P1187="DUP","Exact duplicate row",IF(T1187=1,"Missing Order ID",IF(S1187="DROP","Duplicate Order ID (less complete row)",IF(U1187=1,"Missing Customer ID",IF(V1187=1,"Missing Restaurant name",IF(W1187=1,"Invalid/outlier quantity",IF(X1187=1,"Invalid/outlier unit price",IF(Y1187=1,"Discount greater than order value",""))))))))</f>
        <v/>
      </c>
      <c r="AC1187" s="7" t="str">
        <f aca="false">IF(AB1187="","KEEP","DROP")</f>
        <v>KEEP</v>
      </c>
      <c r="AD1187" s="7" t="str">
        <f aca="false">IF(TRIM(F1187)="",IFERROR(INDEX(Map_Tables!$I$4:$I$37,MATCH(TRIM(E1187),Map_Tables!$G$4:$G$37,0)),""),IFERROR(INDEX(Map_Tables!$B$4:$B$18,MATCH(TRIM(F1187),Map_Tables!$A$4:$A$18,0)),"CHECK"))</f>
        <v>Mumbai</v>
      </c>
      <c r="AE1187" s="7" t="str">
        <f aca="false">IF(TRIM(E1187)="","",IFERROR(INDEX(Map_Tables!$H$4:$H$37,MATCH(TRIM(E1187),Map_Tables!$G$4:$G$37,0)),"CHECK"))</f>
        <v>Pav Bhaji Point</v>
      </c>
      <c r="AF1187" s="7" t="str">
        <f aca="false">IF(TRIM(K1187)="","Unknown",IFERROR(INDEX(Map_Tables!$E$4:$E$15,MATCH(TRIM(K1187),Map_Tables!$D$4:$D$15,0)),"CHECK"))</f>
        <v>Net Banking</v>
      </c>
      <c r="AG1187" s="7" t="str">
        <f aca="false">IF(LEFT(LOWER(TRIM(L1187)),6)="cancel","Cancelled","Delivered")</f>
        <v>Delivered</v>
      </c>
      <c r="AH1187" s="10" t="n">
        <f aca="false">IF(ISNUMBER(SEARCH("/",B1187)),DATE(VALUE(RIGHT(B1187,4)),VALUE(MID(B1187,4,2)),VALUE(LEFT(B1187,2))),IF(MID(B1187,5,1)="-",DATE(VALUE(LEFT(B1187,4)),VALUE(MID(B1187,6,2)),VALUE(RIGHT(B1187,2))),DATE(VALUE(RIGHT(B1187,4)),MATCH(MID(B1187,4,3),{"Jan","Feb","Mar","Apr","May","Jun","Jul","Aug","Sep","Oct","Nov","Dec"},0),VALUE(LEFT(B1187,2)))))</f>
        <v>45832</v>
      </c>
    </row>
    <row r="1188" customFormat="false" ht="15" hidden="false" customHeight="false" outlineLevel="0" collapsed="false">
      <c r="A1188" s="7" t="s">
        <v>3376</v>
      </c>
      <c r="B1188" s="7" t="s">
        <v>1634</v>
      </c>
      <c r="C1188" s="7" t="s">
        <v>686</v>
      </c>
      <c r="D1188" s="7" t="s">
        <v>293</v>
      </c>
      <c r="E1188" s="7" t="s">
        <v>142</v>
      </c>
      <c r="F1188" s="7" t="s">
        <v>294</v>
      </c>
      <c r="G1188" s="7" t="s">
        <v>105</v>
      </c>
      <c r="H1188" s="7" t="n">
        <v>2</v>
      </c>
      <c r="I1188" s="7" t="n">
        <v>165</v>
      </c>
      <c r="J1188" s="7" t="n">
        <v>0</v>
      </c>
      <c r="K1188" s="7" t="s">
        <v>103</v>
      </c>
      <c r="L1188" s="7" t="s">
        <v>194</v>
      </c>
      <c r="M1188" s="7" t="n">
        <v>34</v>
      </c>
      <c r="N1188" s="7" t="n">
        <v>5</v>
      </c>
      <c r="O1188" s="7" t="str">
        <f aca="false">A1188&amp;"|"&amp;B1188&amp;"|"&amp;C1188&amp;"|"&amp;D1188&amp;"|"&amp;E1188&amp;"|"&amp;F1188&amp;"|"&amp;G1188&amp;"|"&amp;H1188&amp;"|"&amp;I1188&amp;"|"&amp;J1188&amp;"|"&amp;K1188&amp;"|"&amp;L1188&amp;"|"&amp;M1188&amp;"|"&amp;N1188</f>
        <v>ORD11803|2025-08-23|19:57|C1451|Momo Magic|New Delhi|Chinese|2|165|0|Debit Card|Delivered|34|5</v>
      </c>
      <c r="P1188" s="7" t="str">
        <f aca="false">IF(COUNTIF($O$2:O1188,O1188)&gt;1,"DUP","OK")</f>
        <v>OK</v>
      </c>
      <c r="Q1188" s="7" t="n">
        <f aca="false">COUNTBLANK(A1188:N1188)</f>
        <v>0</v>
      </c>
      <c r="R1188" s="7" t="n">
        <f aca="false">IF(A1188="",0,COUNTIFS($A$2:$A$3058,A1188,$P$2:$P$3058,"OK"))</f>
        <v>1</v>
      </c>
      <c r="S1188" s="7" t="str">
        <f aca="false">IF(OR(A1188="",P1188="DUP",R1188&lt;2),"",IF(Q1188=_xlfn.MINIFS($Q$2:$Q$3058,$A$2:$A$3058,A1188,$P$2:$P$3058,"OK"),"KEEP","DROP"))</f>
        <v/>
      </c>
      <c r="T1188" s="9" t="n">
        <f aca="false">IF(A1188="",1,0)</f>
        <v>0</v>
      </c>
      <c r="U1188" s="9" t="n">
        <f aca="false">IF(D1188="",1,0)</f>
        <v>0</v>
      </c>
      <c r="V1188" s="9" t="n">
        <f aca="false">IF(E1188="",1,0)</f>
        <v>0</v>
      </c>
      <c r="W1188" s="9" t="n">
        <f aca="false">IF(OR(H1188&lt;1,H1188&gt;10),1,0)</f>
        <v>0</v>
      </c>
      <c r="X1188" s="9" t="n">
        <f aca="false">IF(OR(I1188&lt;=0,I1188&gt;1500),1,0)</f>
        <v>0</v>
      </c>
      <c r="Y1188" s="9" t="n">
        <f aca="false">IF(J1188&gt;H1188*I1188,1,0)</f>
        <v>0</v>
      </c>
      <c r="Z1188" s="9" t="n">
        <f aca="false">IF(AND(N1188&lt;&gt;"",OR(N1188&lt;1,N1188&gt;5)),1,0)</f>
        <v>0</v>
      </c>
      <c r="AA1188" s="9" t="n">
        <f aca="false">IF(AND(M1188&lt;&gt;"",OR(M1188&lt;5,M1188&gt;180)),1,0)</f>
        <v>0</v>
      </c>
      <c r="AB1188" s="7" t="str">
        <f aca="false">IF(P1188="DUP","Exact duplicate row",IF(T1188=1,"Missing Order ID",IF(S1188="DROP","Duplicate Order ID (less complete row)",IF(U1188=1,"Missing Customer ID",IF(V1188=1,"Missing Restaurant name",IF(W1188=1,"Invalid/outlier quantity",IF(X1188=1,"Invalid/outlier unit price",IF(Y1188=1,"Discount greater than order value",""))))))))</f>
        <v/>
      </c>
      <c r="AC1188" s="7" t="str">
        <f aca="false">IF(AB1188="","KEEP","DROP")</f>
        <v>KEEP</v>
      </c>
      <c r="AD1188" s="7" t="str">
        <f aca="false">IF(TRIM(F1188)="",IFERROR(INDEX(Map_Tables!$I$4:$I$37,MATCH(TRIM(E1188),Map_Tables!$G$4:$G$37,0)),""),IFERROR(INDEX(Map_Tables!$B$4:$B$18,MATCH(TRIM(F1188),Map_Tables!$A$4:$A$18,0)),"CHECK"))</f>
        <v>Delhi</v>
      </c>
      <c r="AE1188" s="7" t="str">
        <f aca="false">IF(TRIM(E1188)="","",IFERROR(INDEX(Map_Tables!$H$4:$H$37,MATCH(TRIM(E1188),Map_Tables!$G$4:$G$37,0)),"CHECK"))</f>
        <v>Momo Magic</v>
      </c>
      <c r="AF1188" s="7" t="str">
        <f aca="false">IF(TRIM(K1188)="","Unknown",IFERROR(INDEX(Map_Tables!$E$4:$E$15,MATCH(TRIM(K1188),Map_Tables!$D$4:$D$15,0)),"CHECK"))</f>
        <v>Debit Card</v>
      </c>
      <c r="AG1188" s="7" t="str">
        <f aca="false">IF(LEFT(LOWER(TRIM(L1188)),6)="cancel","Cancelled","Delivered")</f>
        <v>Delivered</v>
      </c>
      <c r="AH1188" s="10" t="n">
        <f aca="false">IF(ISNUMBER(SEARCH("/",B1188)),DATE(VALUE(RIGHT(B1188,4)),VALUE(MID(B1188,4,2)),VALUE(LEFT(B1188,2))),IF(MID(B1188,5,1)="-",DATE(VALUE(LEFT(B1188,4)),VALUE(MID(B1188,6,2)),VALUE(RIGHT(B1188,2))),DATE(VALUE(RIGHT(B1188,4)),MATCH(MID(B1188,4,3),{"Jan","Feb","Mar","Apr","May","Jun","Jul","Aug","Sep","Oct","Nov","Dec"},0),VALUE(LEFT(B1188,2)))))</f>
        <v>45892</v>
      </c>
    </row>
    <row r="1189" customFormat="false" ht="15" hidden="false" customHeight="false" outlineLevel="0" collapsed="false">
      <c r="A1189" s="7" t="s">
        <v>3377</v>
      </c>
      <c r="B1189" s="7" t="s">
        <v>704</v>
      </c>
      <c r="C1189" s="7" t="s">
        <v>3378</v>
      </c>
      <c r="D1189" s="7" t="s">
        <v>3379</v>
      </c>
      <c r="E1189" s="7" t="s">
        <v>89</v>
      </c>
      <c r="F1189" s="7" t="s">
        <v>86</v>
      </c>
      <c r="G1189" s="7" t="s">
        <v>90</v>
      </c>
      <c r="H1189" s="7" t="n">
        <v>2</v>
      </c>
      <c r="I1189" s="7" t="n">
        <v>220</v>
      </c>
      <c r="J1189" s="7" t="n">
        <v>0</v>
      </c>
      <c r="K1189" s="7" t="s">
        <v>112</v>
      </c>
      <c r="L1189" s="7" t="s">
        <v>194</v>
      </c>
      <c r="M1189" s="7" t="n">
        <v>47</v>
      </c>
      <c r="N1189" s="7" t="n">
        <v>4</v>
      </c>
      <c r="O1189" s="7" t="str">
        <f aca="false">A1189&amp;"|"&amp;B1189&amp;"|"&amp;C1189&amp;"|"&amp;D1189&amp;"|"&amp;E1189&amp;"|"&amp;F1189&amp;"|"&amp;G1189&amp;"|"&amp;H1189&amp;"|"&amp;I1189&amp;"|"&amp;J1189&amp;"|"&amp;K1189&amp;"|"&amp;L1189&amp;"|"&amp;M1189&amp;"|"&amp;N1189</f>
        <v>ORD10287|2025-02-08|13:41|C1395|Spice Junction|Bengaluru|North Indian|2|220|0|Cash on Delivery|Delivered|47|4</v>
      </c>
      <c r="P1189" s="7" t="str">
        <f aca="false">IF(COUNTIF($O$2:O1189,O1189)&gt;1,"DUP","OK")</f>
        <v>OK</v>
      </c>
      <c r="Q1189" s="7" t="n">
        <f aca="false">COUNTBLANK(A1189:N1189)</f>
        <v>0</v>
      </c>
      <c r="R1189" s="7" t="n">
        <f aca="false">IF(A1189="",0,COUNTIFS($A$2:$A$3058,A1189,$P$2:$P$3058,"OK"))</f>
        <v>1</v>
      </c>
      <c r="S1189" s="7" t="str">
        <f aca="false">IF(OR(A1189="",P1189="DUP",R1189&lt;2),"",IF(Q1189=_xlfn.MINIFS($Q$2:$Q$3058,$A$2:$A$3058,A1189,$P$2:$P$3058,"OK"),"KEEP","DROP"))</f>
        <v/>
      </c>
      <c r="T1189" s="9" t="n">
        <f aca="false">IF(A1189="",1,0)</f>
        <v>0</v>
      </c>
      <c r="U1189" s="9" t="n">
        <f aca="false">IF(D1189="",1,0)</f>
        <v>0</v>
      </c>
      <c r="V1189" s="9" t="n">
        <f aca="false">IF(E1189="",1,0)</f>
        <v>0</v>
      </c>
      <c r="W1189" s="9" t="n">
        <f aca="false">IF(OR(H1189&lt;1,H1189&gt;10),1,0)</f>
        <v>0</v>
      </c>
      <c r="X1189" s="9" t="n">
        <f aca="false">IF(OR(I1189&lt;=0,I1189&gt;1500),1,0)</f>
        <v>0</v>
      </c>
      <c r="Y1189" s="9" t="n">
        <f aca="false">IF(J1189&gt;H1189*I1189,1,0)</f>
        <v>0</v>
      </c>
      <c r="Z1189" s="9" t="n">
        <f aca="false">IF(AND(N1189&lt;&gt;"",OR(N1189&lt;1,N1189&gt;5)),1,0)</f>
        <v>0</v>
      </c>
      <c r="AA1189" s="9" t="n">
        <f aca="false">IF(AND(M1189&lt;&gt;"",OR(M1189&lt;5,M1189&gt;180)),1,0)</f>
        <v>0</v>
      </c>
      <c r="AB1189" s="7" t="str">
        <f aca="false">IF(P1189="DUP","Exact duplicate row",IF(T1189=1,"Missing Order ID",IF(S1189="DROP","Duplicate Order ID (less complete row)",IF(U1189=1,"Missing Customer ID",IF(V1189=1,"Missing Restaurant name",IF(W1189=1,"Invalid/outlier quantity",IF(X1189=1,"Invalid/outlier unit price",IF(Y1189=1,"Discount greater than order value",""))))))))</f>
        <v/>
      </c>
      <c r="AC1189" s="7" t="str">
        <f aca="false">IF(AB1189="","KEEP","DROP")</f>
        <v>KEEP</v>
      </c>
      <c r="AD1189" s="7" t="str">
        <f aca="false">IF(TRIM(F1189)="",IFERROR(INDEX(Map_Tables!$I$4:$I$37,MATCH(TRIM(E1189),Map_Tables!$G$4:$G$37,0)),""),IFERROR(INDEX(Map_Tables!$B$4:$B$18,MATCH(TRIM(F1189),Map_Tables!$A$4:$A$18,0)),"CHECK"))</f>
        <v>Bengaluru</v>
      </c>
      <c r="AE1189" s="7" t="str">
        <f aca="false">IF(TRIM(E1189)="","",IFERROR(INDEX(Map_Tables!$H$4:$H$37,MATCH(TRIM(E1189),Map_Tables!$G$4:$G$37,0)),"CHECK"))</f>
        <v>Spice Junction</v>
      </c>
      <c r="AF1189" s="7" t="str">
        <f aca="false">IF(TRIM(K1189)="","Unknown",IFERROR(INDEX(Map_Tables!$E$4:$E$15,MATCH(TRIM(K1189),Map_Tables!$D$4:$D$15,0)),"CHECK"))</f>
        <v>Cash on Delivery</v>
      </c>
      <c r="AG1189" s="7" t="str">
        <f aca="false">IF(LEFT(LOWER(TRIM(L1189)),6)="cancel","Cancelled","Delivered")</f>
        <v>Delivered</v>
      </c>
      <c r="AH1189" s="10" t="n">
        <f aca="false">IF(ISNUMBER(SEARCH("/",B1189)),DATE(VALUE(RIGHT(B1189,4)),VALUE(MID(B1189,4,2)),VALUE(LEFT(B1189,2))),IF(MID(B1189,5,1)="-",DATE(VALUE(LEFT(B1189,4)),VALUE(MID(B1189,6,2)),VALUE(RIGHT(B1189,2))),DATE(VALUE(RIGHT(B1189,4)),MATCH(MID(B1189,4,3),{"Jan","Feb","Mar","Apr","May","Jun","Jul","Aug","Sep","Oct","Nov","Dec"},0),VALUE(LEFT(B1189,2)))))</f>
        <v>45696</v>
      </c>
    </row>
    <row r="1190" customFormat="false" ht="15" hidden="false" customHeight="false" outlineLevel="0" collapsed="false">
      <c r="A1190" s="7" t="s">
        <v>3380</v>
      </c>
      <c r="B1190" s="7" t="s">
        <v>3156</v>
      </c>
      <c r="C1190" s="7" t="s">
        <v>382</v>
      </c>
      <c r="D1190" s="7" t="s">
        <v>3381</v>
      </c>
      <c r="E1190" s="7" t="s">
        <v>122</v>
      </c>
      <c r="F1190" s="7" t="s">
        <v>101</v>
      </c>
      <c r="G1190" s="7" t="s">
        <v>123</v>
      </c>
      <c r="H1190" s="7" t="n">
        <v>1</v>
      </c>
      <c r="I1190" s="7" t="n">
        <v>395</v>
      </c>
      <c r="J1190" s="7" t="n">
        <v>0</v>
      </c>
      <c r="K1190" s="7" t="s">
        <v>88</v>
      </c>
      <c r="L1190" s="7" t="s">
        <v>194</v>
      </c>
      <c r="M1190" s="7" t="n">
        <v>28</v>
      </c>
      <c r="N1190" s="7" t="n">
        <v>4</v>
      </c>
      <c r="O1190" s="7" t="str">
        <f aca="false">A1190&amp;"|"&amp;B1190&amp;"|"&amp;C1190&amp;"|"&amp;D1190&amp;"|"&amp;E1190&amp;"|"&amp;F1190&amp;"|"&amp;G1190&amp;"|"&amp;H1190&amp;"|"&amp;I1190&amp;"|"&amp;J1190&amp;"|"&amp;K1190&amp;"|"&amp;L1190&amp;"|"&amp;M1190&amp;"|"&amp;N1190</f>
        <v>ORD11478|2025-07-11|18:26|C0072|Mumbai Pizza Co|Mumbai|Pizza|1|395|0|UPI|Delivered|28|4</v>
      </c>
      <c r="P1190" s="7" t="str">
        <f aca="false">IF(COUNTIF($O$2:O1190,O1190)&gt;1,"DUP","OK")</f>
        <v>OK</v>
      </c>
      <c r="Q1190" s="7" t="n">
        <f aca="false">COUNTBLANK(A1190:N1190)</f>
        <v>0</v>
      </c>
      <c r="R1190" s="7" t="n">
        <f aca="false">IF(A1190="",0,COUNTIFS($A$2:$A$3058,A1190,$P$2:$P$3058,"OK"))</f>
        <v>1</v>
      </c>
      <c r="S1190" s="7" t="str">
        <f aca="false">IF(OR(A1190="",P1190="DUP",R1190&lt;2),"",IF(Q1190=_xlfn.MINIFS($Q$2:$Q$3058,$A$2:$A$3058,A1190,$P$2:$P$3058,"OK"),"KEEP","DROP"))</f>
        <v/>
      </c>
      <c r="T1190" s="9" t="n">
        <f aca="false">IF(A1190="",1,0)</f>
        <v>0</v>
      </c>
      <c r="U1190" s="9" t="n">
        <f aca="false">IF(D1190="",1,0)</f>
        <v>0</v>
      </c>
      <c r="V1190" s="9" t="n">
        <f aca="false">IF(E1190="",1,0)</f>
        <v>0</v>
      </c>
      <c r="W1190" s="9" t="n">
        <f aca="false">IF(OR(H1190&lt;1,H1190&gt;10),1,0)</f>
        <v>0</v>
      </c>
      <c r="X1190" s="9" t="n">
        <f aca="false">IF(OR(I1190&lt;=0,I1190&gt;1500),1,0)</f>
        <v>0</v>
      </c>
      <c r="Y1190" s="9" t="n">
        <f aca="false">IF(J1190&gt;H1190*I1190,1,0)</f>
        <v>0</v>
      </c>
      <c r="Z1190" s="9" t="n">
        <f aca="false">IF(AND(N1190&lt;&gt;"",OR(N1190&lt;1,N1190&gt;5)),1,0)</f>
        <v>0</v>
      </c>
      <c r="AA1190" s="9" t="n">
        <f aca="false">IF(AND(M1190&lt;&gt;"",OR(M1190&lt;5,M1190&gt;180)),1,0)</f>
        <v>0</v>
      </c>
      <c r="AB1190" s="7" t="str">
        <f aca="false">IF(P1190="DUP","Exact duplicate row",IF(T1190=1,"Missing Order ID",IF(S1190="DROP","Duplicate Order ID (less complete row)",IF(U1190=1,"Missing Customer ID",IF(V1190=1,"Missing Restaurant name",IF(W1190=1,"Invalid/outlier quantity",IF(X1190=1,"Invalid/outlier unit price",IF(Y1190=1,"Discount greater than order value",""))))))))</f>
        <v/>
      </c>
      <c r="AC1190" s="7" t="str">
        <f aca="false">IF(AB1190="","KEEP","DROP")</f>
        <v>KEEP</v>
      </c>
      <c r="AD1190" s="7" t="str">
        <f aca="false">IF(TRIM(F1190)="",IFERROR(INDEX(Map_Tables!$I$4:$I$37,MATCH(TRIM(E1190),Map_Tables!$G$4:$G$37,0)),""),IFERROR(INDEX(Map_Tables!$B$4:$B$18,MATCH(TRIM(F1190),Map_Tables!$A$4:$A$18,0)),"CHECK"))</f>
        <v>Mumbai</v>
      </c>
      <c r="AE1190" s="7" t="str">
        <f aca="false">IF(TRIM(E1190)="","",IFERROR(INDEX(Map_Tables!$H$4:$H$37,MATCH(TRIM(E1190),Map_Tables!$G$4:$G$37,0)),"CHECK"))</f>
        <v>Mumbai Pizza Co</v>
      </c>
      <c r="AF1190" s="7" t="str">
        <f aca="false">IF(TRIM(K1190)="","Unknown",IFERROR(INDEX(Map_Tables!$E$4:$E$15,MATCH(TRIM(K1190),Map_Tables!$D$4:$D$15,0)),"CHECK"))</f>
        <v>UPI</v>
      </c>
      <c r="AG1190" s="7" t="str">
        <f aca="false">IF(LEFT(LOWER(TRIM(L1190)),6)="cancel","Cancelled","Delivered")</f>
        <v>Delivered</v>
      </c>
      <c r="AH1190" s="10" t="n">
        <f aca="false">IF(ISNUMBER(SEARCH("/",B1190)),DATE(VALUE(RIGHT(B1190,4)),VALUE(MID(B1190,4,2)),VALUE(LEFT(B1190,2))),IF(MID(B1190,5,1)="-",DATE(VALUE(LEFT(B1190,4)),VALUE(MID(B1190,6,2)),VALUE(RIGHT(B1190,2))),DATE(VALUE(RIGHT(B1190,4)),MATCH(MID(B1190,4,3),{"Jan","Feb","Mar","Apr","May","Jun","Jul","Aug","Sep","Oct","Nov","Dec"},0),VALUE(LEFT(B1190,2)))))</f>
        <v>45849</v>
      </c>
    </row>
    <row r="1191" customFormat="false" ht="15" hidden="false" customHeight="false" outlineLevel="0" collapsed="false">
      <c r="A1191" s="7" t="s">
        <v>3382</v>
      </c>
      <c r="B1191" s="7" t="s">
        <v>2214</v>
      </c>
      <c r="C1191" s="7" t="s">
        <v>3383</v>
      </c>
      <c r="D1191" s="7" t="s">
        <v>3384</v>
      </c>
      <c r="E1191" s="7" t="s">
        <v>94</v>
      </c>
      <c r="F1191" s="7" t="s">
        <v>86</v>
      </c>
      <c r="G1191" s="7" t="s">
        <v>95</v>
      </c>
      <c r="H1191" s="7" t="n">
        <v>3</v>
      </c>
      <c r="I1191" s="7" t="n">
        <v>135</v>
      </c>
      <c r="J1191" s="7" t="n">
        <v>0</v>
      </c>
      <c r="K1191" s="7" t="s">
        <v>88</v>
      </c>
      <c r="L1191" s="7" t="s">
        <v>194</v>
      </c>
      <c r="M1191" s="7" t="n">
        <v>45</v>
      </c>
      <c r="N1191" s="7" t="n">
        <v>3</v>
      </c>
      <c r="O1191" s="7" t="str">
        <f aca="false">A1191&amp;"|"&amp;B1191&amp;"|"&amp;C1191&amp;"|"&amp;D1191&amp;"|"&amp;E1191&amp;"|"&amp;F1191&amp;"|"&amp;G1191&amp;"|"&amp;H1191&amp;"|"&amp;I1191&amp;"|"&amp;J1191&amp;"|"&amp;K1191&amp;"|"&amp;L1191&amp;"|"&amp;M1191&amp;"|"&amp;N1191</f>
        <v>ORD11293|2025-06-14|17:00|C0076|Dosa Darbar|Bengaluru|South Indian|3|135|0|UPI|Delivered|45|3</v>
      </c>
      <c r="P1191" s="7" t="str">
        <f aca="false">IF(COUNTIF($O$2:O1191,O1191)&gt;1,"DUP","OK")</f>
        <v>OK</v>
      </c>
      <c r="Q1191" s="7" t="n">
        <f aca="false">COUNTBLANK(A1191:N1191)</f>
        <v>0</v>
      </c>
      <c r="R1191" s="7" t="n">
        <f aca="false">IF(A1191="",0,COUNTIFS($A$2:$A$3058,A1191,$P$2:$P$3058,"OK"))</f>
        <v>1</v>
      </c>
      <c r="S1191" s="7" t="str">
        <f aca="false">IF(OR(A1191="",P1191="DUP",R1191&lt;2),"",IF(Q1191=_xlfn.MINIFS($Q$2:$Q$3058,$A$2:$A$3058,A1191,$P$2:$P$3058,"OK"),"KEEP","DROP"))</f>
        <v/>
      </c>
      <c r="T1191" s="9" t="n">
        <f aca="false">IF(A1191="",1,0)</f>
        <v>0</v>
      </c>
      <c r="U1191" s="9" t="n">
        <f aca="false">IF(D1191="",1,0)</f>
        <v>0</v>
      </c>
      <c r="V1191" s="9" t="n">
        <f aca="false">IF(E1191="",1,0)</f>
        <v>0</v>
      </c>
      <c r="W1191" s="9" t="n">
        <f aca="false">IF(OR(H1191&lt;1,H1191&gt;10),1,0)</f>
        <v>0</v>
      </c>
      <c r="X1191" s="9" t="n">
        <f aca="false">IF(OR(I1191&lt;=0,I1191&gt;1500),1,0)</f>
        <v>0</v>
      </c>
      <c r="Y1191" s="9" t="n">
        <f aca="false">IF(J1191&gt;H1191*I1191,1,0)</f>
        <v>0</v>
      </c>
      <c r="Z1191" s="9" t="n">
        <f aca="false">IF(AND(N1191&lt;&gt;"",OR(N1191&lt;1,N1191&gt;5)),1,0)</f>
        <v>0</v>
      </c>
      <c r="AA1191" s="9" t="n">
        <f aca="false">IF(AND(M1191&lt;&gt;"",OR(M1191&lt;5,M1191&gt;180)),1,0)</f>
        <v>0</v>
      </c>
      <c r="AB1191" s="7" t="str">
        <f aca="false">IF(P1191="DUP","Exact duplicate row",IF(T1191=1,"Missing Order ID",IF(S1191="DROP","Duplicate Order ID (less complete row)",IF(U1191=1,"Missing Customer ID",IF(V1191=1,"Missing Restaurant name",IF(W1191=1,"Invalid/outlier quantity",IF(X1191=1,"Invalid/outlier unit price",IF(Y1191=1,"Discount greater than order value",""))))))))</f>
        <v/>
      </c>
      <c r="AC1191" s="7" t="str">
        <f aca="false">IF(AB1191="","KEEP","DROP")</f>
        <v>KEEP</v>
      </c>
      <c r="AD1191" s="7" t="str">
        <f aca="false">IF(TRIM(F1191)="",IFERROR(INDEX(Map_Tables!$I$4:$I$37,MATCH(TRIM(E1191),Map_Tables!$G$4:$G$37,0)),""),IFERROR(INDEX(Map_Tables!$B$4:$B$18,MATCH(TRIM(F1191),Map_Tables!$A$4:$A$18,0)),"CHECK"))</f>
        <v>Bengaluru</v>
      </c>
      <c r="AE1191" s="7" t="str">
        <f aca="false">IF(TRIM(E1191)="","",IFERROR(INDEX(Map_Tables!$H$4:$H$37,MATCH(TRIM(E1191),Map_Tables!$G$4:$G$37,0)),"CHECK"))</f>
        <v>Dosa Darbar</v>
      </c>
      <c r="AF1191" s="7" t="str">
        <f aca="false">IF(TRIM(K1191)="","Unknown",IFERROR(INDEX(Map_Tables!$E$4:$E$15,MATCH(TRIM(K1191),Map_Tables!$D$4:$D$15,0)),"CHECK"))</f>
        <v>UPI</v>
      </c>
      <c r="AG1191" s="7" t="str">
        <f aca="false">IF(LEFT(LOWER(TRIM(L1191)),6)="cancel","Cancelled","Delivered")</f>
        <v>Delivered</v>
      </c>
      <c r="AH1191" s="10" t="n">
        <f aca="false">IF(ISNUMBER(SEARCH("/",B1191)),DATE(VALUE(RIGHT(B1191,4)),VALUE(MID(B1191,4,2)),VALUE(LEFT(B1191,2))),IF(MID(B1191,5,1)="-",DATE(VALUE(LEFT(B1191,4)),VALUE(MID(B1191,6,2)),VALUE(RIGHT(B1191,2))),DATE(VALUE(RIGHT(B1191,4)),MATCH(MID(B1191,4,3),{"Jan","Feb","Mar","Apr","May","Jun","Jul","Aug","Sep","Oct","Nov","Dec"},0),VALUE(LEFT(B1191,2)))))</f>
        <v>45822</v>
      </c>
    </row>
    <row r="1192" customFormat="false" ht="15" hidden="false" customHeight="false" outlineLevel="0" collapsed="false">
      <c r="A1192" s="7" t="s">
        <v>3385</v>
      </c>
      <c r="B1192" s="7" t="s">
        <v>3386</v>
      </c>
      <c r="C1192" s="7" t="s">
        <v>1555</v>
      </c>
      <c r="D1192" s="7" t="s">
        <v>1979</v>
      </c>
      <c r="E1192" s="7" t="s">
        <v>126</v>
      </c>
      <c r="F1192" s="7" t="s">
        <v>101</v>
      </c>
      <c r="G1192" s="7" t="s">
        <v>105</v>
      </c>
      <c r="H1192" s="7" t="n">
        <v>1</v>
      </c>
      <c r="I1192" s="7" t="n">
        <v>190</v>
      </c>
      <c r="J1192" s="7" t="n">
        <v>40</v>
      </c>
      <c r="K1192" s="7" t="s">
        <v>88</v>
      </c>
      <c r="L1192" s="7" t="s">
        <v>194</v>
      </c>
      <c r="M1192" s="7" t="n">
        <v>39</v>
      </c>
      <c r="N1192" s="7"/>
      <c r="O1192" s="7" t="str">
        <f aca="false">A1192&amp;"|"&amp;B1192&amp;"|"&amp;C1192&amp;"|"&amp;D1192&amp;"|"&amp;E1192&amp;"|"&amp;F1192&amp;"|"&amp;G1192&amp;"|"&amp;H1192&amp;"|"&amp;I1192&amp;"|"&amp;J1192&amp;"|"&amp;K1192&amp;"|"&amp;L1192&amp;"|"&amp;M1192&amp;"|"&amp;N1192</f>
        <v>ORD10811|2025-04-13|18:42|C1335|Dragon Express|Mumbai|Chinese|1|190|40|UPI|Delivered|39|</v>
      </c>
      <c r="P1192" s="7" t="str">
        <f aca="false">IF(COUNTIF($O$2:O1192,O1192)&gt;1,"DUP","OK")</f>
        <v>OK</v>
      </c>
      <c r="Q1192" s="7" t="n">
        <f aca="false">COUNTBLANK(A1192:N1192)</f>
        <v>1</v>
      </c>
      <c r="R1192" s="7" t="n">
        <f aca="false">IF(A1192="",0,COUNTIFS($A$2:$A$3058,A1192,$P$2:$P$3058,"OK"))</f>
        <v>1</v>
      </c>
      <c r="S1192" s="7" t="str">
        <f aca="false">IF(OR(A1192="",P1192="DUP",R1192&lt;2),"",IF(Q1192=_xlfn.MINIFS($Q$2:$Q$3058,$A$2:$A$3058,A1192,$P$2:$P$3058,"OK"),"KEEP","DROP"))</f>
        <v/>
      </c>
      <c r="T1192" s="9" t="n">
        <f aca="false">IF(A1192="",1,0)</f>
        <v>0</v>
      </c>
      <c r="U1192" s="9" t="n">
        <f aca="false">IF(D1192="",1,0)</f>
        <v>0</v>
      </c>
      <c r="V1192" s="9" t="n">
        <f aca="false">IF(E1192="",1,0)</f>
        <v>0</v>
      </c>
      <c r="W1192" s="9" t="n">
        <f aca="false">IF(OR(H1192&lt;1,H1192&gt;10),1,0)</f>
        <v>0</v>
      </c>
      <c r="X1192" s="9" t="n">
        <f aca="false">IF(OR(I1192&lt;=0,I1192&gt;1500),1,0)</f>
        <v>0</v>
      </c>
      <c r="Y1192" s="9" t="n">
        <f aca="false">IF(J1192&gt;H1192*I1192,1,0)</f>
        <v>0</v>
      </c>
      <c r="Z1192" s="9" t="n">
        <f aca="false">IF(AND(N1192&lt;&gt;"",OR(N1192&lt;1,N1192&gt;5)),1,0)</f>
        <v>0</v>
      </c>
      <c r="AA1192" s="9" t="n">
        <f aca="false">IF(AND(M1192&lt;&gt;"",OR(M1192&lt;5,M1192&gt;180)),1,0)</f>
        <v>0</v>
      </c>
      <c r="AB1192" s="7" t="str">
        <f aca="false">IF(P1192="DUP","Exact duplicate row",IF(T1192=1,"Missing Order ID",IF(S1192="DROP","Duplicate Order ID (less complete row)",IF(U1192=1,"Missing Customer ID",IF(V1192=1,"Missing Restaurant name",IF(W1192=1,"Invalid/outlier quantity",IF(X1192=1,"Invalid/outlier unit price",IF(Y1192=1,"Discount greater than order value",""))))))))</f>
        <v/>
      </c>
      <c r="AC1192" s="7" t="str">
        <f aca="false">IF(AB1192="","KEEP","DROP")</f>
        <v>KEEP</v>
      </c>
      <c r="AD1192" s="7" t="str">
        <f aca="false">IF(TRIM(F1192)="",IFERROR(INDEX(Map_Tables!$I$4:$I$37,MATCH(TRIM(E1192),Map_Tables!$G$4:$G$37,0)),""),IFERROR(INDEX(Map_Tables!$B$4:$B$18,MATCH(TRIM(F1192),Map_Tables!$A$4:$A$18,0)),"CHECK"))</f>
        <v>Mumbai</v>
      </c>
      <c r="AE1192" s="7" t="str">
        <f aca="false">IF(TRIM(E1192)="","",IFERROR(INDEX(Map_Tables!$H$4:$H$37,MATCH(TRIM(E1192),Map_Tables!$G$4:$G$37,0)),"CHECK"))</f>
        <v>Dragon Express</v>
      </c>
      <c r="AF1192" s="7" t="str">
        <f aca="false">IF(TRIM(K1192)="","Unknown",IFERROR(INDEX(Map_Tables!$E$4:$E$15,MATCH(TRIM(K1192),Map_Tables!$D$4:$D$15,0)),"CHECK"))</f>
        <v>UPI</v>
      </c>
      <c r="AG1192" s="7" t="str">
        <f aca="false">IF(LEFT(LOWER(TRIM(L1192)),6)="cancel","Cancelled","Delivered")</f>
        <v>Delivered</v>
      </c>
      <c r="AH1192" s="10" t="n">
        <f aca="false">IF(ISNUMBER(SEARCH("/",B1192)),DATE(VALUE(RIGHT(B1192,4)),VALUE(MID(B1192,4,2)),VALUE(LEFT(B1192,2))),IF(MID(B1192,5,1)="-",DATE(VALUE(LEFT(B1192,4)),VALUE(MID(B1192,6,2)),VALUE(RIGHT(B1192,2))),DATE(VALUE(RIGHT(B1192,4)),MATCH(MID(B1192,4,3),{"Jan","Feb","Mar","Apr","May","Jun","Jul","Aug","Sep","Oct","Nov","Dec"},0),VALUE(LEFT(B1192,2)))))</f>
        <v>45760</v>
      </c>
    </row>
    <row r="1193" customFormat="false" ht="15" hidden="false" customHeight="false" outlineLevel="0" collapsed="false">
      <c r="A1193" s="7" t="s">
        <v>3387</v>
      </c>
      <c r="B1193" s="7" t="s">
        <v>576</v>
      </c>
      <c r="C1193" s="7" t="s">
        <v>1640</v>
      </c>
      <c r="D1193" s="7" t="s">
        <v>3388</v>
      </c>
      <c r="E1193" s="7" t="s">
        <v>94</v>
      </c>
      <c r="F1193" s="7" t="s">
        <v>86</v>
      </c>
      <c r="G1193" s="7" t="s">
        <v>95</v>
      </c>
      <c r="H1193" s="7" t="n">
        <v>5</v>
      </c>
      <c r="I1193" s="7" t="n">
        <v>95</v>
      </c>
      <c r="J1193" s="7" t="n">
        <v>0</v>
      </c>
      <c r="K1193" s="7" t="s">
        <v>133</v>
      </c>
      <c r="L1193" s="7" t="s">
        <v>194</v>
      </c>
      <c r="M1193" s="7" t="n">
        <v>46</v>
      </c>
      <c r="N1193" s="7"/>
      <c r="O1193" s="7" t="str">
        <f aca="false">A1193&amp;"|"&amp;B1193&amp;"|"&amp;C1193&amp;"|"&amp;D1193&amp;"|"&amp;E1193&amp;"|"&amp;F1193&amp;"|"&amp;G1193&amp;"|"&amp;H1193&amp;"|"&amp;I1193&amp;"|"&amp;J1193&amp;"|"&amp;K1193&amp;"|"&amp;L1193&amp;"|"&amp;M1193&amp;"|"&amp;N1193</f>
        <v>ORD12278|2025-10-15|19:52|C1487|Dosa Darbar|Bengaluru|South Indian|5|95|0|Net Banking|Delivered|46|</v>
      </c>
      <c r="P1193" s="7" t="str">
        <f aca="false">IF(COUNTIF($O$2:O1193,O1193)&gt;1,"DUP","OK")</f>
        <v>OK</v>
      </c>
      <c r="Q1193" s="7" t="n">
        <f aca="false">COUNTBLANK(A1193:N1193)</f>
        <v>1</v>
      </c>
      <c r="R1193" s="7" t="n">
        <f aca="false">IF(A1193="",0,COUNTIFS($A$2:$A$3058,A1193,$P$2:$P$3058,"OK"))</f>
        <v>1</v>
      </c>
      <c r="S1193" s="7" t="str">
        <f aca="false">IF(OR(A1193="",P1193="DUP",R1193&lt;2),"",IF(Q1193=_xlfn.MINIFS($Q$2:$Q$3058,$A$2:$A$3058,A1193,$P$2:$P$3058,"OK"),"KEEP","DROP"))</f>
        <v/>
      </c>
      <c r="T1193" s="9" t="n">
        <f aca="false">IF(A1193="",1,0)</f>
        <v>0</v>
      </c>
      <c r="U1193" s="9" t="n">
        <f aca="false">IF(D1193="",1,0)</f>
        <v>0</v>
      </c>
      <c r="V1193" s="9" t="n">
        <f aca="false">IF(E1193="",1,0)</f>
        <v>0</v>
      </c>
      <c r="W1193" s="9" t="n">
        <f aca="false">IF(OR(H1193&lt;1,H1193&gt;10),1,0)</f>
        <v>0</v>
      </c>
      <c r="X1193" s="9" t="n">
        <f aca="false">IF(OR(I1193&lt;=0,I1193&gt;1500),1,0)</f>
        <v>0</v>
      </c>
      <c r="Y1193" s="9" t="n">
        <f aca="false">IF(J1193&gt;H1193*I1193,1,0)</f>
        <v>0</v>
      </c>
      <c r="Z1193" s="9" t="n">
        <f aca="false">IF(AND(N1193&lt;&gt;"",OR(N1193&lt;1,N1193&gt;5)),1,0)</f>
        <v>0</v>
      </c>
      <c r="AA1193" s="9" t="n">
        <f aca="false">IF(AND(M1193&lt;&gt;"",OR(M1193&lt;5,M1193&gt;180)),1,0)</f>
        <v>0</v>
      </c>
      <c r="AB1193" s="7" t="str">
        <f aca="false">IF(P1193="DUP","Exact duplicate row",IF(T1193=1,"Missing Order ID",IF(S1193="DROP","Duplicate Order ID (less complete row)",IF(U1193=1,"Missing Customer ID",IF(V1193=1,"Missing Restaurant name",IF(W1193=1,"Invalid/outlier quantity",IF(X1193=1,"Invalid/outlier unit price",IF(Y1193=1,"Discount greater than order value",""))))))))</f>
        <v/>
      </c>
      <c r="AC1193" s="7" t="str">
        <f aca="false">IF(AB1193="","KEEP","DROP")</f>
        <v>KEEP</v>
      </c>
      <c r="AD1193" s="7" t="str">
        <f aca="false">IF(TRIM(F1193)="",IFERROR(INDEX(Map_Tables!$I$4:$I$37,MATCH(TRIM(E1193),Map_Tables!$G$4:$G$37,0)),""),IFERROR(INDEX(Map_Tables!$B$4:$B$18,MATCH(TRIM(F1193),Map_Tables!$A$4:$A$18,0)),"CHECK"))</f>
        <v>Bengaluru</v>
      </c>
      <c r="AE1193" s="7" t="str">
        <f aca="false">IF(TRIM(E1193)="","",IFERROR(INDEX(Map_Tables!$H$4:$H$37,MATCH(TRIM(E1193),Map_Tables!$G$4:$G$37,0)),"CHECK"))</f>
        <v>Dosa Darbar</v>
      </c>
      <c r="AF1193" s="7" t="str">
        <f aca="false">IF(TRIM(K1193)="","Unknown",IFERROR(INDEX(Map_Tables!$E$4:$E$15,MATCH(TRIM(K1193),Map_Tables!$D$4:$D$15,0)),"CHECK"))</f>
        <v>Net Banking</v>
      </c>
      <c r="AG1193" s="7" t="str">
        <f aca="false">IF(LEFT(LOWER(TRIM(L1193)),6)="cancel","Cancelled","Delivered")</f>
        <v>Delivered</v>
      </c>
      <c r="AH1193" s="10" t="n">
        <f aca="false">IF(ISNUMBER(SEARCH("/",B1193)),DATE(VALUE(RIGHT(B1193,4)),VALUE(MID(B1193,4,2)),VALUE(LEFT(B1193,2))),IF(MID(B1193,5,1)="-",DATE(VALUE(LEFT(B1193,4)),VALUE(MID(B1193,6,2)),VALUE(RIGHT(B1193,2))),DATE(VALUE(RIGHT(B1193,4)),MATCH(MID(B1193,4,3),{"Jan","Feb","Mar","Apr","May","Jun","Jul","Aug","Sep","Oct","Nov","Dec"},0),VALUE(LEFT(B1193,2)))))</f>
        <v>45945</v>
      </c>
    </row>
    <row r="1194" customFormat="false" ht="15" hidden="false" customHeight="false" outlineLevel="0" collapsed="false">
      <c r="A1194" s="7" t="s">
        <v>3389</v>
      </c>
      <c r="B1194" s="7" t="s">
        <v>838</v>
      </c>
      <c r="C1194" s="7" t="s">
        <v>3390</v>
      </c>
      <c r="D1194" s="7" t="s">
        <v>1954</v>
      </c>
      <c r="E1194" s="7" t="s">
        <v>89</v>
      </c>
      <c r="F1194" s="7" t="s">
        <v>86</v>
      </c>
      <c r="G1194" s="7" t="s">
        <v>90</v>
      </c>
      <c r="H1194" s="7" t="n">
        <v>1</v>
      </c>
      <c r="I1194" s="7" t="n">
        <v>285</v>
      </c>
      <c r="J1194" s="7" t="n">
        <v>0</v>
      </c>
      <c r="K1194" s="7" t="s">
        <v>87</v>
      </c>
      <c r="L1194" s="7" t="s">
        <v>194</v>
      </c>
      <c r="M1194" s="7" t="n">
        <v>39</v>
      </c>
      <c r="N1194" s="7" t="n">
        <v>5</v>
      </c>
      <c r="O1194" s="7" t="str">
        <f aca="false">A1194&amp;"|"&amp;B1194&amp;"|"&amp;C1194&amp;"|"&amp;D1194&amp;"|"&amp;E1194&amp;"|"&amp;F1194&amp;"|"&amp;G1194&amp;"|"&amp;H1194&amp;"|"&amp;I1194&amp;"|"&amp;J1194&amp;"|"&amp;K1194&amp;"|"&amp;L1194&amp;"|"&amp;M1194&amp;"|"&amp;N1194</f>
        <v>ORD10432|2025-02-28|11:44|C1044|Spice Junction|Bengaluru|North Indian|1|285|0|upi|Delivered|39|5</v>
      </c>
      <c r="P1194" s="7" t="str">
        <f aca="false">IF(COUNTIF($O$2:O1194,O1194)&gt;1,"DUP","OK")</f>
        <v>OK</v>
      </c>
      <c r="Q1194" s="7" t="n">
        <f aca="false">COUNTBLANK(A1194:N1194)</f>
        <v>0</v>
      </c>
      <c r="R1194" s="7" t="n">
        <f aca="false">IF(A1194="",0,COUNTIFS($A$2:$A$3058,A1194,$P$2:$P$3058,"OK"))</f>
        <v>1</v>
      </c>
      <c r="S1194" s="7" t="str">
        <f aca="false">IF(OR(A1194="",P1194="DUP",R1194&lt;2),"",IF(Q1194=_xlfn.MINIFS($Q$2:$Q$3058,$A$2:$A$3058,A1194,$P$2:$P$3058,"OK"),"KEEP","DROP"))</f>
        <v/>
      </c>
      <c r="T1194" s="9" t="n">
        <f aca="false">IF(A1194="",1,0)</f>
        <v>0</v>
      </c>
      <c r="U1194" s="9" t="n">
        <f aca="false">IF(D1194="",1,0)</f>
        <v>0</v>
      </c>
      <c r="V1194" s="9" t="n">
        <f aca="false">IF(E1194="",1,0)</f>
        <v>0</v>
      </c>
      <c r="W1194" s="9" t="n">
        <f aca="false">IF(OR(H1194&lt;1,H1194&gt;10),1,0)</f>
        <v>0</v>
      </c>
      <c r="X1194" s="9" t="n">
        <f aca="false">IF(OR(I1194&lt;=0,I1194&gt;1500),1,0)</f>
        <v>0</v>
      </c>
      <c r="Y1194" s="9" t="n">
        <f aca="false">IF(J1194&gt;H1194*I1194,1,0)</f>
        <v>0</v>
      </c>
      <c r="Z1194" s="9" t="n">
        <f aca="false">IF(AND(N1194&lt;&gt;"",OR(N1194&lt;1,N1194&gt;5)),1,0)</f>
        <v>0</v>
      </c>
      <c r="AA1194" s="9" t="n">
        <f aca="false">IF(AND(M1194&lt;&gt;"",OR(M1194&lt;5,M1194&gt;180)),1,0)</f>
        <v>0</v>
      </c>
      <c r="AB1194" s="7" t="str">
        <f aca="false">IF(P1194="DUP","Exact duplicate row",IF(T1194=1,"Missing Order ID",IF(S1194="DROP","Duplicate Order ID (less complete row)",IF(U1194=1,"Missing Customer ID",IF(V1194=1,"Missing Restaurant name",IF(W1194=1,"Invalid/outlier quantity",IF(X1194=1,"Invalid/outlier unit price",IF(Y1194=1,"Discount greater than order value",""))))))))</f>
        <v/>
      </c>
      <c r="AC1194" s="7" t="str">
        <f aca="false">IF(AB1194="","KEEP","DROP")</f>
        <v>KEEP</v>
      </c>
      <c r="AD1194" s="7" t="str">
        <f aca="false">IF(TRIM(F1194)="",IFERROR(INDEX(Map_Tables!$I$4:$I$37,MATCH(TRIM(E1194),Map_Tables!$G$4:$G$37,0)),""),IFERROR(INDEX(Map_Tables!$B$4:$B$18,MATCH(TRIM(F1194),Map_Tables!$A$4:$A$18,0)),"CHECK"))</f>
        <v>Bengaluru</v>
      </c>
      <c r="AE1194" s="7" t="str">
        <f aca="false">IF(TRIM(E1194)="","",IFERROR(INDEX(Map_Tables!$H$4:$H$37,MATCH(TRIM(E1194),Map_Tables!$G$4:$G$37,0)),"CHECK"))</f>
        <v>Spice Junction</v>
      </c>
      <c r="AF1194" s="7" t="str">
        <f aca="false">IF(TRIM(K1194)="","Unknown",IFERROR(INDEX(Map_Tables!$E$4:$E$15,MATCH(TRIM(K1194),Map_Tables!$D$4:$D$15,0)),"CHECK"))</f>
        <v>UPI</v>
      </c>
      <c r="AG1194" s="7" t="str">
        <f aca="false">IF(LEFT(LOWER(TRIM(L1194)),6)="cancel","Cancelled","Delivered")</f>
        <v>Delivered</v>
      </c>
      <c r="AH1194" s="10" t="n">
        <f aca="false">IF(ISNUMBER(SEARCH("/",B1194)),DATE(VALUE(RIGHT(B1194,4)),VALUE(MID(B1194,4,2)),VALUE(LEFT(B1194,2))),IF(MID(B1194,5,1)="-",DATE(VALUE(LEFT(B1194,4)),VALUE(MID(B1194,6,2)),VALUE(RIGHT(B1194,2))),DATE(VALUE(RIGHT(B1194,4)),MATCH(MID(B1194,4,3),{"Jan","Feb","Mar","Apr","May","Jun","Jul","Aug","Sep","Oct","Nov","Dec"},0),VALUE(LEFT(B1194,2)))))</f>
        <v>45716</v>
      </c>
    </row>
    <row r="1195" customFormat="false" ht="15" hidden="false" customHeight="false" outlineLevel="0" collapsed="false">
      <c r="A1195" s="7" t="s">
        <v>3391</v>
      </c>
      <c r="B1195" s="7" t="s">
        <v>563</v>
      </c>
      <c r="C1195" s="7" t="s">
        <v>2377</v>
      </c>
      <c r="D1195" s="7" t="s">
        <v>3392</v>
      </c>
      <c r="E1195" s="7" t="s">
        <v>164</v>
      </c>
      <c r="F1195" s="7" t="s">
        <v>1793</v>
      </c>
      <c r="G1195" s="7" t="s">
        <v>150</v>
      </c>
      <c r="H1195" s="7" t="n">
        <v>2</v>
      </c>
      <c r="I1195" s="7" t="n">
        <v>155</v>
      </c>
      <c r="J1195" s="7" t="n">
        <v>0</v>
      </c>
      <c r="K1195" s="7" t="s">
        <v>121</v>
      </c>
      <c r="L1195" s="7" t="s">
        <v>194</v>
      </c>
      <c r="M1195" s="7" t="n">
        <v>44</v>
      </c>
      <c r="N1195" s="7" t="n">
        <v>5</v>
      </c>
      <c r="O1195" s="7" t="str">
        <f aca="false">A1195&amp;"|"&amp;B1195&amp;"|"&amp;C1195&amp;"|"&amp;D1195&amp;"|"&amp;E1195&amp;"|"&amp;F1195&amp;"|"&amp;G1195&amp;"|"&amp;H1195&amp;"|"&amp;I1195&amp;"|"&amp;J1195&amp;"|"&amp;K1195&amp;"|"&amp;L1195&amp;"|"&amp;M1195&amp;"|"&amp;N1195</f>
        <v>ORD11773|2025-08-20|11:55|C1046|Mishti Mandir|Calcutta|Desserts|2|155|0|Wallet|Delivered|44|5</v>
      </c>
      <c r="P1195" s="7" t="str">
        <f aca="false">IF(COUNTIF($O$2:O1195,O1195)&gt;1,"DUP","OK")</f>
        <v>OK</v>
      </c>
      <c r="Q1195" s="7" t="n">
        <f aca="false">COUNTBLANK(A1195:N1195)</f>
        <v>0</v>
      </c>
      <c r="R1195" s="7" t="n">
        <f aca="false">IF(A1195="",0,COUNTIFS($A$2:$A$3058,A1195,$P$2:$P$3058,"OK"))</f>
        <v>1</v>
      </c>
      <c r="S1195" s="7" t="str">
        <f aca="false">IF(OR(A1195="",P1195="DUP",R1195&lt;2),"",IF(Q1195=_xlfn.MINIFS($Q$2:$Q$3058,$A$2:$A$3058,A1195,$P$2:$P$3058,"OK"),"KEEP","DROP"))</f>
        <v/>
      </c>
      <c r="T1195" s="9" t="n">
        <f aca="false">IF(A1195="",1,0)</f>
        <v>0</v>
      </c>
      <c r="U1195" s="9" t="n">
        <f aca="false">IF(D1195="",1,0)</f>
        <v>0</v>
      </c>
      <c r="V1195" s="9" t="n">
        <f aca="false">IF(E1195="",1,0)</f>
        <v>0</v>
      </c>
      <c r="W1195" s="9" t="n">
        <f aca="false">IF(OR(H1195&lt;1,H1195&gt;10),1,0)</f>
        <v>0</v>
      </c>
      <c r="X1195" s="9" t="n">
        <f aca="false">IF(OR(I1195&lt;=0,I1195&gt;1500),1,0)</f>
        <v>0</v>
      </c>
      <c r="Y1195" s="9" t="n">
        <f aca="false">IF(J1195&gt;H1195*I1195,1,0)</f>
        <v>0</v>
      </c>
      <c r="Z1195" s="9" t="n">
        <f aca="false">IF(AND(N1195&lt;&gt;"",OR(N1195&lt;1,N1195&gt;5)),1,0)</f>
        <v>0</v>
      </c>
      <c r="AA1195" s="9" t="n">
        <f aca="false">IF(AND(M1195&lt;&gt;"",OR(M1195&lt;5,M1195&gt;180)),1,0)</f>
        <v>0</v>
      </c>
      <c r="AB1195" s="7" t="str">
        <f aca="false">IF(P1195="DUP","Exact duplicate row",IF(T1195=1,"Missing Order ID",IF(S1195="DROP","Duplicate Order ID (less complete row)",IF(U1195=1,"Missing Customer ID",IF(V1195=1,"Missing Restaurant name",IF(W1195=1,"Invalid/outlier quantity",IF(X1195=1,"Invalid/outlier unit price",IF(Y1195=1,"Discount greater than order value",""))))))))</f>
        <v/>
      </c>
      <c r="AC1195" s="7" t="str">
        <f aca="false">IF(AB1195="","KEEP","DROP")</f>
        <v>KEEP</v>
      </c>
      <c r="AD1195" s="7" t="str">
        <f aca="false">IF(TRIM(F1195)="",IFERROR(INDEX(Map_Tables!$I$4:$I$37,MATCH(TRIM(E1195),Map_Tables!$G$4:$G$37,0)),""),IFERROR(INDEX(Map_Tables!$B$4:$B$18,MATCH(TRIM(F1195),Map_Tables!$A$4:$A$18,0)),"CHECK"))</f>
        <v>Kolkata</v>
      </c>
      <c r="AE1195" s="7" t="str">
        <f aca="false">IF(TRIM(E1195)="","",IFERROR(INDEX(Map_Tables!$H$4:$H$37,MATCH(TRIM(E1195),Map_Tables!$G$4:$G$37,0)),"CHECK"))</f>
        <v>Mishti Mandir</v>
      </c>
      <c r="AF1195" s="7" t="str">
        <f aca="false">IF(TRIM(K1195)="","Unknown",IFERROR(INDEX(Map_Tables!$E$4:$E$15,MATCH(TRIM(K1195),Map_Tables!$D$4:$D$15,0)),"CHECK"))</f>
        <v>Wallet</v>
      </c>
      <c r="AG1195" s="7" t="str">
        <f aca="false">IF(LEFT(LOWER(TRIM(L1195)),6)="cancel","Cancelled","Delivered")</f>
        <v>Delivered</v>
      </c>
      <c r="AH1195" s="10" t="n">
        <f aca="false">IF(ISNUMBER(SEARCH("/",B1195)),DATE(VALUE(RIGHT(B1195,4)),VALUE(MID(B1195,4,2)),VALUE(LEFT(B1195,2))),IF(MID(B1195,5,1)="-",DATE(VALUE(LEFT(B1195,4)),VALUE(MID(B1195,6,2)),VALUE(RIGHT(B1195,2))),DATE(VALUE(RIGHT(B1195,4)),MATCH(MID(B1195,4,3),{"Jan","Feb","Mar","Apr","May","Jun","Jul","Aug","Sep","Oct","Nov","Dec"},0),VALUE(LEFT(B1195,2)))))</f>
        <v>45889</v>
      </c>
    </row>
    <row r="1196" customFormat="false" ht="15" hidden="false" customHeight="false" outlineLevel="0" collapsed="false">
      <c r="A1196" s="7" t="s">
        <v>3393</v>
      </c>
      <c r="B1196" s="7" t="s">
        <v>2324</v>
      </c>
      <c r="C1196" s="7" t="s">
        <v>3383</v>
      </c>
      <c r="D1196" s="7" t="s">
        <v>3394</v>
      </c>
      <c r="E1196" s="7" t="s">
        <v>126</v>
      </c>
      <c r="F1196" s="7" t="s">
        <v>101</v>
      </c>
      <c r="G1196" s="7" t="s">
        <v>105</v>
      </c>
      <c r="H1196" s="7" t="n">
        <v>1</v>
      </c>
      <c r="I1196" s="7" t="n">
        <v>210</v>
      </c>
      <c r="J1196" s="7" t="n">
        <v>84</v>
      </c>
      <c r="K1196" s="7" t="s">
        <v>133</v>
      </c>
      <c r="L1196" s="7" t="s">
        <v>194</v>
      </c>
      <c r="M1196" s="7" t="n">
        <v>45</v>
      </c>
      <c r="N1196" s="7" t="n">
        <v>4</v>
      </c>
      <c r="O1196" s="7" t="str">
        <f aca="false">A1196&amp;"|"&amp;B1196&amp;"|"&amp;C1196&amp;"|"&amp;D1196&amp;"|"&amp;E1196&amp;"|"&amp;F1196&amp;"|"&amp;G1196&amp;"|"&amp;H1196&amp;"|"&amp;I1196&amp;"|"&amp;J1196&amp;"|"&amp;K1196&amp;"|"&amp;L1196&amp;"|"&amp;M1196&amp;"|"&amp;N1196</f>
        <v>ORD12191|2025-10-06|17:00|C1411|Dragon Express|Mumbai|Chinese|1|210|84|Net Banking|Delivered|45|4</v>
      </c>
      <c r="P1196" s="7" t="str">
        <f aca="false">IF(COUNTIF($O$2:O1196,O1196)&gt;1,"DUP","OK")</f>
        <v>OK</v>
      </c>
      <c r="Q1196" s="7" t="n">
        <f aca="false">COUNTBLANK(A1196:N1196)</f>
        <v>0</v>
      </c>
      <c r="R1196" s="7" t="n">
        <f aca="false">IF(A1196="",0,COUNTIFS($A$2:$A$3058,A1196,$P$2:$P$3058,"OK"))</f>
        <v>1</v>
      </c>
      <c r="S1196" s="7" t="str">
        <f aca="false">IF(OR(A1196="",P1196="DUP",R1196&lt;2),"",IF(Q1196=_xlfn.MINIFS($Q$2:$Q$3058,$A$2:$A$3058,A1196,$P$2:$P$3058,"OK"),"KEEP","DROP"))</f>
        <v/>
      </c>
      <c r="T1196" s="9" t="n">
        <f aca="false">IF(A1196="",1,0)</f>
        <v>0</v>
      </c>
      <c r="U1196" s="9" t="n">
        <f aca="false">IF(D1196="",1,0)</f>
        <v>0</v>
      </c>
      <c r="V1196" s="9" t="n">
        <f aca="false">IF(E1196="",1,0)</f>
        <v>0</v>
      </c>
      <c r="W1196" s="9" t="n">
        <f aca="false">IF(OR(H1196&lt;1,H1196&gt;10),1,0)</f>
        <v>0</v>
      </c>
      <c r="X1196" s="9" t="n">
        <f aca="false">IF(OR(I1196&lt;=0,I1196&gt;1500),1,0)</f>
        <v>0</v>
      </c>
      <c r="Y1196" s="9" t="n">
        <f aca="false">IF(J1196&gt;H1196*I1196,1,0)</f>
        <v>0</v>
      </c>
      <c r="Z1196" s="9" t="n">
        <f aca="false">IF(AND(N1196&lt;&gt;"",OR(N1196&lt;1,N1196&gt;5)),1,0)</f>
        <v>0</v>
      </c>
      <c r="AA1196" s="9" t="n">
        <f aca="false">IF(AND(M1196&lt;&gt;"",OR(M1196&lt;5,M1196&gt;180)),1,0)</f>
        <v>0</v>
      </c>
      <c r="AB1196" s="7" t="str">
        <f aca="false">IF(P1196="DUP","Exact duplicate row",IF(T1196=1,"Missing Order ID",IF(S1196="DROP","Duplicate Order ID (less complete row)",IF(U1196=1,"Missing Customer ID",IF(V1196=1,"Missing Restaurant name",IF(W1196=1,"Invalid/outlier quantity",IF(X1196=1,"Invalid/outlier unit price",IF(Y1196=1,"Discount greater than order value",""))))))))</f>
        <v/>
      </c>
      <c r="AC1196" s="7" t="str">
        <f aca="false">IF(AB1196="","KEEP","DROP")</f>
        <v>KEEP</v>
      </c>
      <c r="AD1196" s="7" t="str">
        <f aca="false">IF(TRIM(F1196)="",IFERROR(INDEX(Map_Tables!$I$4:$I$37,MATCH(TRIM(E1196),Map_Tables!$G$4:$G$37,0)),""),IFERROR(INDEX(Map_Tables!$B$4:$B$18,MATCH(TRIM(F1196),Map_Tables!$A$4:$A$18,0)),"CHECK"))</f>
        <v>Mumbai</v>
      </c>
      <c r="AE1196" s="7" t="str">
        <f aca="false">IF(TRIM(E1196)="","",IFERROR(INDEX(Map_Tables!$H$4:$H$37,MATCH(TRIM(E1196),Map_Tables!$G$4:$G$37,0)),"CHECK"))</f>
        <v>Dragon Express</v>
      </c>
      <c r="AF1196" s="7" t="str">
        <f aca="false">IF(TRIM(K1196)="","Unknown",IFERROR(INDEX(Map_Tables!$E$4:$E$15,MATCH(TRIM(K1196),Map_Tables!$D$4:$D$15,0)),"CHECK"))</f>
        <v>Net Banking</v>
      </c>
      <c r="AG1196" s="7" t="str">
        <f aca="false">IF(LEFT(LOWER(TRIM(L1196)),6)="cancel","Cancelled","Delivered")</f>
        <v>Delivered</v>
      </c>
      <c r="AH1196" s="10" t="n">
        <f aca="false">IF(ISNUMBER(SEARCH("/",B1196)),DATE(VALUE(RIGHT(B1196,4)),VALUE(MID(B1196,4,2)),VALUE(LEFT(B1196,2))),IF(MID(B1196,5,1)="-",DATE(VALUE(LEFT(B1196,4)),VALUE(MID(B1196,6,2)),VALUE(RIGHT(B1196,2))),DATE(VALUE(RIGHT(B1196,4)),MATCH(MID(B1196,4,3),{"Jan","Feb","Mar","Apr","May","Jun","Jul","Aug","Sep","Oct","Nov","Dec"},0),VALUE(LEFT(B1196,2)))))</f>
        <v>45936</v>
      </c>
    </row>
    <row r="1197" customFormat="false" ht="15" hidden="false" customHeight="false" outlineLevel="0" collapsed="false">
      <c r="A1197" s="7" t="s">
        <v>3395</v>
      </c>
      <c r="B1197" s="7" t="s">
        <v>2920</v>
      </c>
      <c r="C1197" s="7" t="s">
        <v>2384</v>
      </c>
      <c r="D1197" s="7" t="s">
        <v>3396</v>
      </c>
      <c r="E1197" s="7" t="s">
        <v>3397</v>
      </c>
      <c r="F1197" s="7" t="s">
        <v>101</v>
      </c>
      <c r="G1197" s="7" t="s">
        <v>90</v>
      </c>
      <c r="H1197" s="7" t="n">
        <v>1</v>
      </c>
      <c r="I1197" s="7" t="n">
        <v>235</v>
      </c>
      <c r="J1197" s="7" t="n">
        <v>0</v>
      </c>
      <c r="K1197" s="7" t="s">
        <v>93</v>
      </c>
      <c r="L1197" s="7" t="s">
        <v>194</v>
      </c>
      <c r="M1197" s="7" t="n">
        <v>33</v>
      </c>
      <c r="N1197" s="7"/>
      <c r="O1197" s="7" t="str">
        <f aca="false">A1197&amp;"|"&amp;B1197&amp;"|"&amp;C1197&amp;"|"&amp;D1197&amp;"|"&amp;E1197&amp;"|"&amp;F1197&amp;"|"&amp;G1197&amp;"|"&amp;H1197&amp;"|"&amp;I1197&amp;"|"&amp;J1197&amp;"|"&amp;K1197&amp;"|"&amp;L1197&amp;"|"&amp;M1197&amp;"|"&amp;N1197</f>
        <v>ORD12856|2025-12-16|11:07|C0942|CURRY LEAF KITCHEN|Mumbai|North Indian|1|235|0|Credit Card|Delivered|33|</v>
      </c>
      <c r="P1197" s="7" t="str">
        <f aca="false">IF(COUNTIF($O$2:O1197,O1197)&gt;1,"DUP","OK")</f>
        <v>OK</v>
      </c>
      <c r="Q1197" s="7" t="n">
        <f aca="false">COUNTBLANK(A1197:N1197)</f>
        <v>1</v>
      </c>
      <c r="R1197" s="7" t="n">
        <f aca="false">IF(A1197="",0,COUNTIFS($A$2:$A$3058,A1197,$P$2:$P$3058,"OK"))</f>
        <v>1</v>
      </c>
      <c r="S1197" s="7" t="str">
        <f aca="false">IF(OR(A1197="",P1197="DUP",R1197&lt;2),"",IF(Q1197=_xlfn.MINIFS($Q$2:$Q$3058,$A$2:$A$3058,A1197,$P$2:$P$3058,"OK"),"KEEP","DROP"))</f>
        <v/>
      </c>
      <c r="T1197" s="9" t="n">
        <f aca="false">IF(A1197="",1,0)</f>
        <v>0</v>
      </c>
      <c r="U1197" s="9" t="n">
        <f aca="false">IF(D1197="",1,0)</f>
        <v>0</v>
      </c>
      <c r="V1197" s="9" t="n">
        <f aca="false">IF(E1197="",1,0)</f>
        <v>0</v>
      </c>
      <c r="W1197" s="9" t="n">
        <f aca="false">IF(OR(H1197&lt;1,H1197&gt;10),1,0)</f>
        <v>0</v>
      </c>
      <c r="X1197" s="9" t="n">
        <f aca="false">IF(OR(I1197&lt;=0,I1197&gt;1500),1,0)</f>
        <v>0</v>
      </c>
      <c r="Y1197" s="9" t="n">
        <f aca="false">IF(J1197&gt;H1197*I1197,1,0)</f>
        <v>0</v>
      </c>
      <c r="Z1197" s="9" t="n">
        <f aca="false">IF(AND(N1197&lt;&gt;"",OR(N1197&lt;1,N1197&gt;5)),1,0)</f>
        <v>0</v>
      </c>
      <c r="AA1197" s="9" t="n">
        <f aca="false">IF(AND(M1197&lt;&gt;"",OR(M1197&lt;5,M1197&gt;180)),1,0)</f>
        <v>0</v>
      </c>
      <c r="AB1197" s="7" t="str">
        <f aca="false">IF(P1197="DUP","Exact duplicate row",IF(T1197=1,"Missing Order ID",IF(S1197="DROP","Duplicate Order ID (less complete row)",IF(U1197=1,"Missing Customer ID",IF(V1197=1,"Missing Restaurant name",IF(W1197=1,"Invalid/outlier quantity",IF(X1197=1,"Invalid/outlier unit price",IF(Y1197=1,"Discount greater than order value",""))))))))</f>
        <v/>
      </c>
      <c r="AC1197" s="7" t="str">
        <f aca="false">IF(AB1197="","KEEP","DROP")</f>
        <v>KEEP</v>
      </c>
      <c r="AD1197" s="7" t="str">
        <f aca="false">IF(TRIM(F1197)="",IFERROR(INDEX(Map_Tables!$I$4:$I$37,MATCH(TRIM(E1197),Map_Tables!$G$4:$G$37,0)),""),IFERROR(INDEX(Map_Tables!$B$4:$B$18,MATCH(TRIM(F1197),Map_Tables!$A$4:$A$18,0)),"CHECK"))</f>
        <v>Mumbai</v>
      </c>
      <c r="AE1197" s="7" t="str">
        <f aca="false">IF(TRIM(E1197)="","",IFERROR(INDEX(Map_Tables!$H$4:$H$37,MATCH(TRIM(E1197),Map_Tables!$G$4:$G$37,0)),"CHECK"))</f>
        <v>Curry Leaf Kitchen</v>
      </c>
      <c r="AF1197" s="7" t="str">
        <f aca="false">IF(TRIM(K1197)="","Unknown",IFERROR(INDEX(Map_Tables!$E$4:$E$15,MATCH(TRIM(K1197),Map_Tables!$D$4:$D$15,0)),"CHECK"))</f>
        <v>Credit Card</v>
      </c>
      <c r="AG1197" s="7" t="str">
        <f aca="false">IF(LEFT(LOWER(TRIM(L1197)),6)="cancel","Cancelled","Delivered")</f>
        <v>Delivered</v>
      </c>
      <c r="AH1197" s="10" t="n">
        <f aca="false">IF(ISNUMBER(SEARCH("/",B1197)),DATE(VALUE(RIGHT(B1197,4)),VALUE(MID(B1197,4,2)),VALUE(LEFT(B1197,2))),IF(MID(B1197,5,1)="-",DATE(VALUE(LEFT(B1197,4)),VALUE(MID(B1197,6,2)),VALUE(RIGHT(B1197,2))),DATE(VALUE(RIGHT(B1197,4)),MATCH(MID(B1197,4,3),{"Jan","Feb","Mar","Apr","May","Jun","Jul","Aug","Sep","Oct","Nov","Dec"},0),VALUE(LEFT(B1197,2)))))</f>
        <v>46007</v>
      </c>
    </row>
    <row r="1198" customFormat="false" ht="15" hidden="false" customHeight="false" outlineLevel="0" collapsed="false">
      <c r="A1198" s="7" t="s">
        <v>3398</v>
      </c>
      <c r="B1198" s="7" t="s">
        <v>3399</v>
      </c>
      <c r="C1198" s="7" t="s">
        <v>3400</v>
      </c>
      <c r="D1198" s="7" t="s">
        <v>1264</v>
      </c>
      <c r="E1198" s="7" t="s">
        <v>147</v>
      </c>
      <c r="F1198" s="7" t="s">
        <v>119</v>
      </c>
      <c r="G1198" s="7" t="s">
        <v>95</v>
      </c>
      <c r="H1198" s="7" t="n">
        <v>2</v>
      </c>
      <c r="I1198" s="7" t="n">
        <v>190</v>
      </c>
      <c r="J1198" s="7" t="n">
        <v>40</v>
      </c>
      <c r="K1198" s="7" t="s">
        <v>112</v>
      </c>
      <c r="L1198" s="7" t="s">
        <v>194</v>
      </c>
      <c r="M1198" s="7" t="n">
        <v>33</v>
      </c>
      <c r="N1198" s="7"/>
      <c r="O1198" s="7" t="str">
        <f aca="false">A1198&amp;"|"&amp;B1198&amp;"|"&amp;C1198&amp;"|"&amp;D1198&amp;"|"&amp;E1198&amp;"|"&amp;F1198&amp;"|"&amp;G1198&amp;"|"&amp;H1198&amp;"|"&amp;I1198&amp;"|"&amp;J1198&amp;"|"&amp;K1198&amp;"|"&amp;L1198&amp;"|"&amp;M1198&amp;"|"&amp;N1198</f>
        <v>ORD10621|2025-03-20|12:56|C0773|Andhra Meals Mess|Hyderabad|South Indian|2|190|40|Cash on Delivery|Delivered|33|</v>
      </c>
      <c r="P1198" s="7" t="str">
        <f aca="false">IF(COUNTIF($O$2:O1198,O1198)&gt;1,"DUP","OK")</f>
        <v>OK</v>
      </c>
      <c r="Q1198" s="7" t="n">
        <f aca="false">COUNTBLANK(A1198:N1198)</f>
        <v>1</v>
      </c>
      <c r="R1198" s="7" t="n">
        <f aca="false">IF(A1198="",0,COUNTIFS($A$2:$A$3058,A1198,$P$2:$P$3058,"OK"))</f>
        <v>1</v>
      </c>
      <c r="S1198" s="7" t="str">
        <f aca="false">IF(OR(A1198="",P1198="DUP",R1198&lt;2),"",IF(Q1198=_xlfn.MINIFS($Q$2:$Q$3058,$A$2:$A$3058,A1198,$P$2:$P$3058,"OK"),"KEEP","DROP"))</f>
        <v/>
      </c>
      <c r="T1198" s="9" t="n">
        <f aca="false">IF(A1198="",1,0)</f>
        <v>0</v>
      </c>
      <c r="U1198" s="9" t="n">
        <f aca="false">IF(D1198="",1,0)</f>
        <v>0</v>
      </c>
      <c r="V1198" s="9" t="n">
        <f aca="false">IF(E1198="",1,0)</f>
        <v>0</v>
      </c>
      <c r="W1198" s="9" t="n">
        <f aca="false">IF(OR(H1198&lt;1,H1198&gt;10),1,0)</f>
        <v>0</v>
      </c>
      <c r="X1198" s="9" t="n">
        <f aca="false">IF(OR(I1198&lt;=0,I1198&gt;1500),1,0)</f>
        <v>0</v>
      </c>
      <c r="Y1198" s="9" t="n">
        <f aca="false">IF(J1198&gt;H1198*I1198,1,0)</f>
        <v>0</v>
      </c>
      <c r="Z1198" s="9" t="n">
        <f aca="false">IF(AND(N1198&lt;&gt;"",OR(N1198&lt;1,N1198&gt;5)),1,0)</f>
        <v>0</v>
      </c>
      <c r="AA1198" s="9" t="n">
        <f aca="false">IF(AND(M1198&lt;&gt;"",OR(M1198&lt;5,M1198&gt;180)),1,0)</f>
        <v>0</v>
      </c>
      <c r="AB1198" s="7" t="str">
        <f aca="false">IF(P1198="DUP","Exact duplicate row",IF(T1198=1,"Missing Order ID",IF(S1198="DROP","Duplicate Order ID (less complete row)",IF(U1198=1,"Missing Customer ID",IF(V1198=1,"Missing Restaurant name",IF(W1198=1,"Invalid/outlier quantity",IF(X1198=1,"Invalid/outlier unit price",IF(Y1198=1,"Discount greater than order value",""))))))))</f>
        <v/>
      </c>
      <c r="AC1198" s="7" t="str">
        <f aca="false">IF(AB1198="","KEEP","DROP")</f>
        <v>KEEP</v>
      </c>
      <c r="AD1198" s="7" t="str">
        <f aca="false">IF(TRIM(F1198)="",IFERROR(INDEX(Map_Tables!$I$4:$I$37,MATCH(TRIM(E1198),Map_Tables!$G$4:$G$37,0)),""),IFERROR(INDEX(Map_Tables!$B$4:$B$18,MATCH(TRIM(F1198),Map_Tables!$A$4:$A$18,0)),"CHECK"))</f>
        <v>Hyderabad</v>
      </c>
      <c r="AE1198" s="7" t="str">
        <f aca="false">IF(TRIM(E1198)="","",IFERROR(INDEX(Map_Tables!$H$4:$H$37,MATCH(TRIM(E1198),Map_Tables!$G$4:$G$37,0)),"CHECK"))</f>
        <v>Andhra Meals Mess</v>
      </c>
      <c r="AF1198" s="7" t="str">
        <f aca="false">IF(TRIM(K1198)="","Unknown",IFERROR(INDEX(Map_Tables!$E$4:$E$15,MATCH(TRIM(K1198),Map_Tables!$D$4:$D$15,0)),"CHECK"))</f>
        <v>Cash on Delivery</v>
      </c>
      <c r="AG1198" s="7" t="str">
        <f aca="false">IF(LEFT(LOWER(TRIM(L1198)),6)="cancel","Cancelled","Delivered")</f>
        <v>Delivered</v>
      </c>
      <c r="AH1198" s="10" t="n">
        <f aca="false">IF(ISNUMBER(SEARCH("/",B1198)),DATE(VALUE(RIGHT(B1198,4)),VALUE(MID(B1198,4,2)),VALUE(LEFT(B1198,2))),IF(MID(B1198,5,1)="-",DATE(VALUE(LEFT(B1198,4)),VALUE(MID(B1198,6,2)),VALUE(RIGHT(B1198,2))),DATE(VALUE(RIGHT(B1198,4)),MATCH(MID(B1198,4,3),{"Jan","Feb","Mar","Apr","May","Jun","Jul","Aug","Sep","Oct","Nov","Dec"},0),VALUE(LEFT(B1198,2)))))</f>
        <v>45736</v>
      </c>
    </row>
    <row r="1199" customFormat="false" ht="15" hidden="false" customHeight="false" outlineLevel="0" collapsed="false">
      <c r="A1199" s="7" t="s">
        <v>3401</v>
      </c>
      <c r="B1199" s="7" t="s">
        <v>1136</v>
      </c>
      <c r="C1199" s="7" t="s">
        <v>3402</v>
      </c>
      <c r="D1199" s="7" t="s">
        <v>3127</v>
      </c>
      <c r="E1199" s="7" t="s">
        <v>122</v>
      </c>
      <c r="F1199" s="7" t="s">
        <v>498</v>
      </c>
      <c r="G1199" s="7" t="s">
        <v>123</v>
      </c>
      <c r="H1199" s="7" t="n">
        <v>2</v>
      </c>
      <c r="I1199" s="7" t="n">
        <v>345</v>
      </c>
      <c r="J1199" s="7" t="n">
        <v>0</v>
      </c>
      <c r="K1199" s="7" t="s">
        <v>88</v>
      </c>
      <c r="L1199" s="7" t="s">
        <v>194</v>
      </c>
      <c r="M1199" s="7" t="n">
        <v>34</v>
      </c>
      <c r="N1199" s="7" t="n">
        <v>4</v>
      </c>
      <c r="O1199" s="7" t="str">
        <f aca="false">A1199&amp;"|"&amp;B1199&amp;"|"&amp;C1199&amp;"|"&amp;D1199&amp;"|"&amp;E1199&amp;"|"&amp;F1199&amp;"|"&amp;G1199&amp;"|"&amp;H1199&amp;"|"&amp;I1199&amp;"|"&amp;J1199&amp;"|"&amp;K1199&amp;"|"&amp;L1199&amp;"|"&amp;M1199&amp;"|"&amp;N1199</f>
        <v>ORD11982|2025-09-13|23:52|C1459|Mumbai Pizza Co|Bombay|Pizza|2|345|0|UPI|Delivered|34|4</v>
      </c>
      <c r="P1199" s="7" t="str">
        <f aca="false">IF(COUNTIF($O$2:O1199,O1199)&gt;1,"DUP","OK")</f>
        <v>OK</v>
      </c>
      <c r="Q1199" s="7" t="n">
        <f aca="false">COUNTBLANK(A1199:N1199)</f>
        <v>0</v>
      </c>
      <c r="R1199" s="7" t="n">
        <f aca="false">IF(A1199="",0,COUNTIFS($A$2:$A$3058,A1199,$P$2:$P$3058,"OK"))</f>
        <v>1</v>
      </c>
      <c r="S1199" s="7" t="str">
        <f aca="false">IF(OR(A1199="",P1199="DUP",R1199&lt;2),"",IF(Q1199=_xlfn.MINIFS($Q$2:$Q$3058,$A$2:$A$3058,A1199,$P$2:$P$3058,"OK"),"KEEP","DROP"))</f>
        <v/>
      </c>
      <c r="T1199" s="9" t="n">
        <f aca="false">IF(A1199="",1,0)</f>
        <v>0</v>
      </c>
      <c r="U1199" s="9" t="n">
        <f aca="false">IF(D1199="",1,0)</f>
        <v>0</v>
      </c>
      <c r="V1199" s="9" t="n">
        <f aca="false">IF(E1199="",1,0)</f>
        <v>0</v>
      </c>
      <c r="W1199" s="9" t="n">
        <f aca="false">IF(OR(H1199&lt;1,H1199&gt;10),1,0)</f>
        <v>0</v>
      </c>
      <c r="X1199" s="9" t="n">
        <f aca="false">IF(OR(I1199&lt;=0,I1199&gt;1500),1,0)</f>
        <v>0</v>
      </c>
      <c r="Y1199" s="9" t="n">
        <f aca="false">IF(J1199&gt;H1199*I1199,1,0)</f>
        <v>0</v>
      </c>
      <c r="Z1199" s="9" t="n">
        <f aca="false">IF(AND(N1199&lt;&gt;"",OR(N1199&lt;1,N1199&gt;5)),1,0)</f>
        <v>0</v>
      </c>
      <c r="AA1199" s="9" t="n">
        <f aca="false">IF(AND(M1199&lt;&gt;"",OR(M1199&lt;5,M1199&gt;180)),1,0)</f>
        <v>0</v>
      </c>
      <c r="AB1199" s="7" t="str">
        <f aca="false">IF(P1199="DUP","Exact duplicate row",IF(T1199=1,"Missing Order ID",IF(S1199="DROP","Duplicate Order ID (less complete row)",IF(U1199=1,"Missing Customer ID",IF(V1199=1,"Missing Restaurant name",IF(W1199=1,"Invalid/outlier quantity",IF(X1199=1,"Invalid/outlier unit price",IF(Y1199=1,"Discount greater than order value",""))))))))</f>
        <v/>
      </c>
      <c r="AC1199" s="7" t="str">
        <f aca="false">IF(AB1199="","KEEP","DROP")</f>
        <v>KEEP</v>
      </c>
      <c r="AD1199" s="7" t="str">
        <f aca="false">IF(TRIM(F1199)="",IFERROR(INDEX(Map_Tables!$I$4:$I$37,MATCH(TRIM(E1199),Map_Tables!$G$4:$G$37,0)),""),IFERROR(INDEX(Map_Tables!$B$4:$B$18,MATCH(TRIM(F1199),Map_Tables!$A$4:$A$18,0)),"CHECK"))</f>
        <v>Mumbai</v>
      </c>
      <c r="AE1199" s="7" t="str">
        <f aca="false">IF(TRIM(E1199)="","",IFERROR(INDEX(Map_Tables!$H$4:$H$37,MATCH(TRIM(E1199),Map_Tables!$G$4:$G$37,0)),"CHECK"))</f>
        <v>Mumbai Pizza Co</v>
      </c>
      <c r="AF1199" s="7" t="str">
        <f aca="false">IF(TRIM(K1199)="","Unknown",IFERROR(INDEX(Map_Tables!$E$4:$E$15,MATCH(TRIM(K1199),Map_Tables!$D$4:$D$15,0)),"CHECK"))</f>
        <v>UPI</v>
      </c>
      <c r="AG1199" s="7" t="str">
        <f aca="false">IF(LEFT(LOWER(TRIM(L1199)),6)="cancel","Cancelled","Delivered")</f>
        <v>Delivered</v>
      </c>
      <c r="AH1199" s="10" t="n">
        <f aca="false">IF(ISNUMBER(SEARCH("/",B1199)),DATE(VALUE(RIGHT(B1199,4)),VALUE(MID(B1199,4,2)),VALUE(LEFT(B1199,2))),IF(MID(B1199,5,1)="-",DATE(VALUE(LEFT(B1199,4)),VALUE(MID(B1199,6,2)),VALUE(RIGHT(B1199,2))),DATE(VALUE(RIGHT(B1199,4)),MATCH(MID(B1199,4,3),{"Jan","Feb","Mar","Apr","May","Jun","Jul","Aug","Sep","Oct","Nov","Dec"},0),VALUE(LEFT(B1199,2)))))</f>
        <v>45913</v>
      </c>
    </row>
    <row r="1200" customFormat="false" ht="15" hidden="false" customHeight="false" outlineLevel="0" collapsed="false">
      <c r="A1200" s="7" t="s">
        <v>3403</v>
      </c>
      <c r="B1200" s="7" t="s">
        <v>960</v>
      </c>
      <c r="C1200" s="7" t="s">
        <v>559</v>
      </c>
      <c r="D1200" s="7" t="s">
        <v>538</v>
      </c>
      <c r="E1200" s="7" t="s">
        <v>89</v>
      </c>
      <c r="F1200" s="7" t="s">
        <v>86</v>
      </c>
      <c r="G1200" s="7" t="s">
        <v>90</v>
      </c>
      <c r="H1200" s="7" t="n">
        <v>1</v>
      </c>
      <c r="I1200" s="7" t="n">
        <v>195</v>
      </c>
      <c r="J1200" s="7" t="n">
        <v>0</v>
      </c>
      <c r="K1200" s="7" t="s">
        <v>93</v>
      </c>
      <c r="L1200" s="7" t="s">
        <v>194</v>
      </c>
      <c r="M1200" s="7" t="n">
        <v>36</v>
      </c>
      <c r="N1200" s="7"/>
      <c r="O1200" s="7" t="str">
        <f aca="false">A1200&amp;"|"&amp;B1200&amp;"|"&amp;C1200&amp;"|"&amp;D1200&amp;"|"&amp;E1200&amp;"|"&amp;F1200&amp;"|"&amp;G1200&amp;"|"&amp;H1200&amp;"|"&amp;I1200&amp;"|"&amp;J1200&amp;"|"&amp;K1200&amp;"|"&amp;L1200&amp;"|"&amp;M1200&amp;"|"&amp;N1200</f>
        <v>ORD10937|2025-04-28|20:25|C1155|Spice Junction|Bengaluru|North Indian|1|195|0|Credit Card|Delivered|36|</v>
      </c>
      <c r="P1200" s="7" t="str">
        <f aca="false">IF(COUNTIF($O$2:O1200,O1200)&gt;1,"DUP","OK")</f>
        <v>OK</v>
      </c>
      <c r="Q1200" s="7" t="n">
        <f aca="false">COUNTBLANK(A1200:N1200)</f>
        <v>1</v>
      </c>
      <c r="R1200" s="7" t="n">
        <f aca="false">IF(A1200="",0,COUNTIFS($A$2:$A$3058,A1200,$P$2:$P$3058,"OK"))</f>
        <v>1</v>
      </c>
      <c r="S1200" s="7" t="str">
        <f aca="false">IF(OR(A1200="",P1200="DUP",R1200&lt;2),"",IF(Q1200=_xlfn.MINIFS($Q$2:$Q$3058,$A$2:$A$3058,A1200,$P$2:$P$3058,"OK"),"KEEP","DROP"))</f>
        <v/>
      </c>
      <c r="T1200" s="9" t="n">
        <f aca="false">IF(A1200="",1,0)</f>
        <v>0</v>
      </c>
      <c r="U1200" s="9" t="n">
        <f aca="false">IF(D1200="",1,0)</f>
        <v>0</v>
      </c>
      <c r="V1200" s="9" t="n">
        <f aca="false">IF(E1200="",1,0)</f>
        <v>0</v>
      </c>
      <c r="W1200" s="9" t="n">
        <f aca="false">IF(OR(H1200&lt;1,H1200&gt;10),1,0)</f>
        <v>0</v>
      </c>
      <c r="X1200" s="9" t="n">
        <f aca="false">IF(OR(I1200&lt;=0,I1200&gt;1500),1,0)</f>
        <v>0</v>
      </c>
      <c r="Y1200" s="9" t="n">
        <f aca="false">IF(J1200&gt;H1200*I1200,1,0)</f>
        <v>0</v>
      </c>
      <c r="Z1200" s="9" t="n">
        <f aca="false">IF(AND(N1200&lt;&gt;"",OR(N1200&lt;1,N1200&gt;5)),1,0)</f>
        <v>0</v>
      </c>
      <c r="AA1200" s="9" t="n">
        <f aca="false">IF(AND(M1200&lt;&gt;"",OR(M1200&lt;5,M1200&gt;180)),1,0)</f>
        <v>0</v>
      </c>
      <c r="AB1200" s="7" t="str">
        <f aca="false">IF(P1200="DUP","Exact duplicate row",IF(T1200=1,"Missing Order ID",IF(S1200="DROP","Duplicate Order ID (less complete row)",IF(U1200=1,"Missing Customer ID",IF(V1200=1,"Missing Restaurant name",IF(W1200=1,"Invalid/outlier quantity",IF(X1200=1,"Invalid/outlier unit price",IF(Y1200=1,"Discount greater than order value",""))))))))</f>
        <v/>
      </c>
      <c r="AC1200" s="7" t="str">
        <f aca="false">IF(AB1200="","KEEP","DROP")</f>
        <v>KEEP</v>
      </c>
      <c r="AD1200" s="7" t="str">
        <f aca="false">IF(TRIM(F1200)="",IFERROR(INDEX(Map_Tables!$I$4:$I$37,MATCH(TRIM(E1200),Map_Tables!$G$4:$G$37,0)),""),IFERROR(INDEX(Map_Tables!$B$4:$B$18,MATCH(TRIM(F1200),Map_Tables!$A$4:$A$18,0)),"CHECK"))</f>
        <v>Bengaluru</v>
      </c>
      <c r="AE1200" s="7" t="str">
        <f aca="false">IF(TRIM(E1200)="","",IFERROR(INDEX(Map_Tables!$H$4:$H$37,MATCH(TRIM(E1200),Map_Tables!$G$4:$G$37,0)),"CHECK"))</f>
        <v>Spice Junction</v>
      </c>
      <c r="AF1200" s="7" t="str">
        <f aca="false">IF(TRIM(K1200)="","Unknown",IFERROR(INDEX(Map_Tables!$E$4:$E$15,MATCH(TRIM(K1200),Map_Tables!$D$4:$D$15,0)),"CHECK"))</f>
        <v>Credit Card</v>
      </c>
      <c r="AG1200" s="7" t="str">
        <f aca="false">IF(LEFT(LOWER(TRIM(L1200)),6)="cancel","Cancelled","Delivered")</f>
        <v>Delivered</v>
      </c>
      <c r="AH1200" s="10" t="n">
        <f aca="false">IF(ISNUMBER(SEARCH("/",B1200)),DATE(VALUE(RIGHT(B1200,4)),VALUE(MID(B1200,4,2)),VALUE(LEFT(B1200,2))),IF(MID(B1200,5,1)="-",DATE(VALUE(LEFT(B1200,4)),VALUE(MID(B1200,6,2)),VALUE(RIGHT(B1200,2))),DATE(VALUE(RIGHT(B1200,4)),MATCH(MID(B1200,4,3),{"Jan","Feb","Mar","Apr","May","Jun","Jul","Aug","Sep","Oct","Nov","Dec"},0),VALUE(LEFT(B1200,2)))))</f>
        <v>45775</v>
      </c>
    </row>
    <row r="1201" customFormat="false" ht="15" hidden="false" customHeight="false" outlineLevel="0" collapsed="false">
      <c r="A1201" s="7" t="s">
        <v>3404</v>
      </c>
      <c r="B1201" s="7" t="s">
        <v>719</v>
      </c>
      <c r="C1201" s="7" t="s">
        <v>543</v>
      </c>
      <c r="D1201" s="7" t="s">
        <v>3329</v>
      </c>
      <c r="E1201" s="7" t="s">
        <v>94</v>
      </c>
      <c r="F1201" s="7" t="s">
        <v>86</v>
      </c>
      <c r="G1201" s="7" t="s">
        <v>95</v>
      </c>
      <c r="H1201" s="7" t="n">
        <v>3</v>
      </c>
      <c r="I1201" s="7" t="n">
        <v>125</v>
      </c>
      <c r="J1201" s="7" t="n">
        <v>0</v>
      </c>
      <c r="K1201" s="7" t="s">
        <v>88</v>
      </c>
      <c r="L1201" s="7" t="s">
        <v>194</v>
      </c>
      <c r="M1201" s="7" t="n">
        <v>30</v>
      </c>
      <c r="N1201" s="7" t="n">
        <v>4</v>
      </c>
      <c r="O1201" s="7" t="str">
        <f aca="false">A1201&amp;"|"&amp;B1201&amp;"|"&amp;C1201&amp;"|"&amp;D1201&amp;"|"&amp;E1201&amp;"|"&amp;F1201&amp;"|"&amp;G1201&amp;"|"&amp;H1201&amp;"|"&amp;I1201&amp;"|"&amp;J1201&amp;"|"&amp;K1201&amp;"|"&amp;L1201&amp;"|"&amp;M1201&amp;"|"&amp;N1201</f>
        <v>ORD12139|01/10/2025|19:40|C0453|Dosa Darbar|Bengaluru|South Indian|3|125|0|UPI|Delivered|30|4</v>
      </c>
      <c r="P1201" s="7" t="str">
        <f aca="false">IF(COUNTIF($O$2:O1201,O1201)&gt;1,"DUP","OK")</f>
        <v>OK</v>
      </c>
      <c r="Q1201" s="7" t="n">
        <f aca="false">COUNTBLANK(A1201:N1201)</f>
        <v>0</v>
      </c>
      <c r="R1201" s="7" t="n">
        <f aca="false">IF(A1201="",0,COUNTIFS($A$2:$A$3058,A1201,$P$2:$P$3058,"OK"))</f>
        <v>1</v>
      </c>
      <c r="S1201" s="7" t="str">
        <f aca="false">IF(OR(A1201="",P1201="DUP",R1201&lt;2),"",IF(Q1201=_xlfn.MINIFS($Q$2:$Q$3058,$A$2:$A$3058,A1201,$P$2:$P$3058,"OK"),"KEEP","DROP"))</f>
        <v/>
      </c>
      <c r="T1201" s="9" t="n">
        <f aca="false">IF(A1201="",1,0)</f>
        <v>0</v>
      </c>
      <c r="U1201" s="9" t="n">
        <f aca="false">IF(D1201="",1,0)</f>
        <v>0</v>
      </c>
      <c r="V1201" s="9" t="n">
        <f aca="false">IF(E1201="",1,0)</f>
        <v>0</v>
      </c>
      <c r="W1201" s="9" t="n">
        <f aca="false">IF(OR(H1201&lt;1,H1201&gt;10),1,0)</f>
        <v>0</v>
      </c>
      <c r="X1201" s="9" t="n">
        <f aca="false">IF(OR(I1201&lt;=0,I1201&gt;1500),1,0)</f>
        <v>0</v>
      </c>
      <c r="Y1201" s="9" t="n">
        <f aca="false">IF(J1201&gt;H1201*I1201,1,0)</f>
        <v>0</v>
      </c>
      <c r="Z1201" s="9" t="n">
        <f aca="false">IF(AND(N1201&lt;&gt;"",OR(N1201&lt;1,N1201&gt;5)),1,0)</f>
        <v>0</v>
      </c>
      <c r="AA1201" s="9" t="n">
        <f aca="false">IF(AND(M1201&lt;&gt;"",OR(M1201&lt;5,M1201&gt;180)),1,0)</f>
        <v>0</v>
      </c>
      <c r="AB1201" s="7" t="str">
        <f aca="false">IF(P1201="DUP","Exact duplicate row",IF(T1201=1,"Missing Order ID",IF(S1201="DROP","Duplicate Order ID (less complete row)",IF(U1201=1,"Missing Customer ID",IF(V1201=1,"Missing Restaurant name",IF(W1201=1,"Invalid/outlier quantity",IF(X1201=1,"Invalid/outlier unit price",IF(Y1201=1,"Discount greater than order value",""))))))))</f>
        <v/>
      </c>
      <c r="AC1201" s="7" t="str">
        <f aca="false">IF(AB1201="","KEEP","DROP")</f>
        <v>KEEP</v>
      </c>
      <c r="AD1201" s="7" t="str">
        <f aca="false">IF(TRIM(F1201)="",IFERROR(INDEX(Map_Tables!$I$4:$I$37,MATCH(TRIM(E1201),Map_Tables!$G$4:$G$37,0)),""),IFERROR(INDEX(Map_Tables!$B$4:$B$18,MATCH(TRIM(F1201),Map_Tables!$A$4:$A$18,0)),"CHECK"))</f>
        <v>Bengaluru</v>
      </c>
      <c r="AE1201" s="7" t="str">
        <f aca="false">IF(TRIM(E1201)="","",IFERROR(INDEX(Map_Tables!$H$4:$H$37,MATCH(TRIM(E1201),Map_Tables!$G$4:$G$37,0)),"CHECK"))</f>
        <v>Dosa Darbar</v>
      </c>
      <c r="AF1201" s="7" t="str">
        <f aca="false">IF(TRIM(K1201)="","Unknown",IFERROR(INDEX(Map_Tables!$E$4:$E$15,MATCH(TRIM(K1201),Map_Tables!$D$4:$D$15,0)),"CHECK"))</f>
        <v>UPI</v>
      </c>
      <c r="AG1201" s="7" t="str">
        <f aca="false">IF(LEFT(LOWER(TRIM(L1201)),6)="cancel","Cancelled","Delivered")</f>
        <v>Delivered</v>
      </c>
      <c r="AH1201" s="10" t="n">
        <f aca="false">IF(ISNUMBER(SEARCH("/",B1201)),DATE(VALUE(RIGHT(B1201,4)),VALUE(MID(B1201,4,2)),VALUE(LEFT(B1201,2))),IF(MID(B1201,5,1)="-",DATE(VALUE(LEFT(B1201,4)),VALUE(MID(B1201,6,2)),VALUE(RIGHT(B1201,2))),DATE(VALUE(RIGHT(B1201,4)),MATCH(MID(B1201,4,3),{"Jan","Feb","Mar","Apr","May","Jun","Jul","Aug","Sep","Oct","Nov","Dec"},0),VALUE(LEFT(B1201,2)))))</f>
        <v>45931</v>
      </c>
    </row>
    <row r="1202" customFormat="false" ht="15" hidden="false" customHeight="false" outlineLevel="0" collapsed="false">
      <c r="A1202" s="7" t="s">
        <v>3405</v>
      </c>
      <c r="B1202" s="7" t="s">
        <v>267</v>
      </c>
      <c r="C1202" s="7" t="s">
        <v>3406</v>
      </c>
      <c r="D1202" s="7" t="s">
        <v>198</v>
      </c>
      <c r="E1202" s="7" t="s">
        <v>1130</v>
      </c>
      <c r="F1202" s="7" t="s">
        <v>119</v>
      </c>
      <c r="G1202" s="7" t="s">
        <v>150</v>
      </c>
      <c r="H1202" s="7" t="n">
        <v>2</v>
      </c>
      <c r="I1202" s="7" t="n">
        <v>165</v>
      </c>
      <c r="J1202" s="7" t="n">
        <v>50</v>
      </c>
      <c r="K1202" s="7" t="s">
        <v>112</v>
      </c>
      <c r="L1202" s="7" t="s">
        <v>194</v>
      </c>
      <c r="M1202" s="7" t="n">
        <v>33</v>
      </c>
      <c r="N1202" s="7"/>
      <c r="O1202" s="7" t="str">
        <f aca="false">A1202&amp;"|"&amp;B1202&amp;"|"&amp;C1202&amp;"|"&amp;D1202&amp;"|"&amp;E1202&amp;"|"&amp;F1202&amp;"|"&amp;G1202&amp;"|"&amp;H1202&amp;"|"&amp;I1202&amp;"|"&amp;J1202&amp;"|"&amp;K1202&amp;"|"&amp;L1202&amp;"|"&amp;M1202&amp;"|"&amp;N1202</f>
        <v>ORD11211|2025-06-03|08:36|C0449|sweet tooth studio|Hyderabad|Desserts|2|165|50|Cash on Delivery|Delivered|33|</v>
      </c>
      <c r="P1202" s="7" t="str">
        <f aca="false">IF(COUNTIF($O$2:O1202,O1202)&gt;1,"DUP","OK")</f>
        <v>OK</v>
      </c>
      <c r="Q1202" s="7" t="n">
        <f aca="false">COUNTBLANK(A1202:N1202)</f>
        <v>1</v>
      </c>
      <c r="R1202" s="7" t="n">
        <f aca="false">IF(A1202="",0,COUNTIFS($A$2:$A$3058,A1202,$P$2:$P$3058,"OK"))</f>
        <v>1</v>
      </c>
      <c r="S1202" s="7" t="str">
        <f aca="false">IF(OR(A1202="",P1202="DUP",R1202&lt;2),"",IF(Q1202=_xlfn.MINIFS($Q$2:$Q$3058,$A$2:$A$3058,A1202,$P$2:$P$3058,"OK"),"KEEP","DROP"))</f>
        <v/>
      </c>
      <c r="T1202" s="9" t="n">
        <f aca="false">IF(A1202="",1,0)</f>
        <v>0</v>
      </c>
      <c r="U1202" s="9" t="n">
        <f aca="false">IF(D1202="",1,0)</f>
        <v>0</v>
      </c>
      <c r="V1202" s="9" t="n">
        <f aca="false">IF(E1202="",1,0)</f>
        <v>0</v>
      </c>
      <c r="W1202" s="9" t="n">
        <f aca="false">IF(OR(H1202&lt;1,H1202&gt;10),1,0)</f>
        <v>0</v>
      </c>
      <c r="X1202" s="9" t="n">
        <f aca="false">IF(OR(I1202&lt;=0,I1202&gt;1500),1,0)</f>
        <v>0</v>
      </c>
      <c r="Y1202" s="9" t="n">
        <f aca="false">IF(J1202&gt;H1202*I1202,1,0)</f>
        <v>0</v>
      </c>
      <c r="Z1202" s="9" t="n">
        <f aca="false">IF(AND(N1202&lt;&gt;"",OR(N1202&lt;1,N1202&gt;5)),1,0)</f>
        <v>0</v>
      </c>
      <c r="AA1202" s="9" t="n">
        <f aca="false">IF(AND(M1202&lt;&gt;"",OR(M1202&lt;5,M1202&gt;180)),1,0)</f>
        <v>0</v>
      </c>
      <c r="AB1202" s="7" t="str">
        <f aca="false">IF(P1202="DUP","Exact duplicate row",IF(T1202=1,"Missing Order ID",IF(S1202="DROP","Duplicate Order ID (less complete row)",IF(U1202=1,"Missing Customer ID",IF(V1202=1,"Missing Restaurant name",IF(W1202=1,"Invalid/outlier quantity",IF(X1202=1,"Invalid/outlier unit price",IF(Y1202=1,"Discount greater than order value",""))))))))</f>
        <v/>
      </c>
      <c r="AC1202" s="7" t="str">
        <f aca="false">IF(AB1202="","KEEP","DROP")</f>
        <v>KEEP</v>
      </c>
      <c r="AD1202" s="7" t="str">
        <f aca="false">IF(TRIM(F1202)="",IFERROR(INDEX(Map_Tables!$I$4:$I$37,MATCH(TRIM(E1202),Map_Tables!$G$4:$G$37,0)),""),IFERROR(INDEX(Map_Tables!$B$4:$B$18,MATCH(TRIM(F1202),Map_Tables!$A$4:$A$18,0)),"CHECK"))</f>
        <v>Hyderabad</v>
      </c>
      <c r="AE1202" s="7" t="str">
        <f aca="false">IF(TRIM(E1202)="","",IFERROR(INDEX(Map_Tables!$H$4:$H$37,MATCH(TRIM(E1202),Map_Tables!$G$4:$G$37,0)),"CHECK"))</f>
        <v>Sweet Tooth Studio</v>
      </c>
      <c r="AF1202" s="7" t="str">
        <f aca="false">IF(TRIM(K1202)="","Unknown",IFERROR(INDEX(Map_Tables!$E$4:$E$15,MATCH(TRIM(K1202),Map_Tables!$D$4:$D$15,0)),"CHECK"))</f>
        <v>Cash on Delivery</v>
      </c>
      <c r="AG1202" s="7" t="str">
        <f aca="false">IF(LEFT(LOWER(TRIM(L1202)),6)="cancel","Cancelled","Delivered")</f>
        <v>Delivered</v>
      </c>
      <c r="AH1202" s="10" t="n">
        <f aca="false">IF(ISNUMBER(SEARCH("/",B1202)),DATE(VALUE(RIGHT(B1202,4)),VALUE(MID(B1202,4,2)),VALUE(LEFT(B1202,2))),IF(MID(B1202,5,1)="-",DATE(VALUE(LEFT(B1202,4)),VALUE(MID(B1202,6,2)),VALUE(RIGHT(B1202,2))),DATE(VALUE(RIGHT(B1202,4)),MATCH(MID(B1202,4,3),{"Jan","Feb","Mar","Apr","May","Jun","Jul","Aug","Sep","Oct","Nov","Dec"},0),VALUE(LEFT(B1202,2)))))</f>
        <v>45811</v>
      </c>
    </row>
    <row r="1203" customFormat="false" ht="15" hidden="false" customHeight="false" outlineLevel="0" collapsed="false">
      <c r="A1203" s="7" t="s">
        <v>3407</v>
      </c>
      <c r="B1203" s="7" t="s">
        <v>528</v>
      </c>
      <c r="C1203" s="7" t="s">
        <v>3408</v>
      </c>
      <c r="D1203" s="7" t="s">
        <v>3409</v>
      </c>
      <c r="E1203" s="7" t="s">
        <v>168</v>
      </c>
      <c r="F1203" s="7" t="s">
        <v>146</v>
      </c>
      <c r="G1203" s="7" t="s">
        <v>123</v>
      </c>
      <c r="H1203" s="7" t="n">
        <v>1</v>
      </c>
      <c r="I1203" s="7" t="n">
        <v>335</v>
      </c>
      <c r="J1203" s="7" t="n">
        <v>0</v>
      </c>
      <c r="K1203" s="7" t="s">
        <v>88</v>
      </c>
      <c r="L1203" s="7" t="s">
        <v>194</v>
      </c>
      <c r="M1203" s="7" t="n">
        <v>26</v>
      </c>
      <c r="N1203" s="7" t="n">
        <v>4</v>
      </c>
      <c r="O1203" s="7" t="str">
        <f aca="false">A1203&amp;"|"&amp;B1203&amp;"|"&amp;C1203&amp;"|"&amp;D1203&amp;"|"&amp;E1203&amp;"|"&amp;F1203&amp;"|"&amp;G1203&amp;"|"&amp;H1203&amp;"|"&amp;I1203&amp;"|"&amp;J1203&amp;"|"&amp;K1203&amp;"|"&amp;L1203&amp;"|"&amp;M1203&amp;"|"&amp;N1203</f>
        <v>ORD12115|2025-09-29|17:03|C0428|Cheesy Slice|Ahmedabad|Pizza|1|335|0|UPI|Delivered|26|4</v>
      </c>
      <c r="P1203" s="7" t="str">
        <f aca="false">IF(COUNTIF($O$2:O1203,O1203)&gt;1,"DUP","OK")</f>
        <v>OK</v>
      </c>
      <c r="Q1203" s="7" t="n">
        <f aca="false">COUNTBLANK(A1203:N1203)</f>
        <v>0</v>
      </c>
      <c r="R1203" s="7" t="n">
        <f aca="false">IF(A1203="",0,COUNTIFS($A$2:$A$3058,A1203,$P$2:$P$3058,"OK"))</f>
        <v>1</v>
      </c>
      <c r="S1203" s="7" t="str">
        <f aca="false">IF(OR(A1203="",P1203="DUP",R1203&lt;2),"",IF(Q1203=_xlfn.MINIFS($Q$2:$Q$3058,$A$2:$A$3058,A1203,$P$2:$P$3058,"OK"),"KEEP","DROP"))</f>
        <v/>
      </c>
      <c r="T1203" s="9" t="n">
        <f aca="false">IF(A1203="",1,0)</f>
        <v>0</v>
      </c>
      <c r="U1203" s="9" t="n">
        <f aca="false">IF(D1203="",1,0)</f>
        <v>0</v>
      </c>
      <c r="V1203" s="9" t="n">
        <f aca="false">IF(E1203="",1,0)</f>
        <v>0</v>
      </c>
      <c r="W1203" s="9" t="n">
        <f aca="false">IF(OR(H1203&lt;1,H1203&gt;10),1,0)</f>
        <v>0</v>
      </c>
      <c r="X1203" s="9" t="n">
        <f aca="false">IF(OR(I1203&lt;=0,I1203&gt;1500),1,0)</f>
        <v>0</v>
      </c>
      <c r="Y1203" s="9" t="n">
        <f aca="false">IF(J1203&gt;H1203*I1203,1,0)</f>
        <v>0</v>
      </c>
      <c r="Z1203" s="9" t="n">
        <f aca="false">IF(AND(N1203&lt;&gt;"",OR(N1203&lt;1,N1203&gt;5)),1,0)</f>
        <v>0</v>
      </c>
      <c r="AA1203" s="9" t="n">
        <f aca="false">IF(AND(M1203&lt;&gt;"",OR(M1203&lt;5,M1203&gt;180)),1,0)</f>
        <v>0</v>
      </c>
      <c r="AB1203" s="7" t="str">
        <f aca="false">IF(P1203="DUP","Exact duplicate row",IF(T1203=1,"Missing Order ID",IF(S1203="DROP","Duplicate Order ID (less complete row)",IF(U1203=1,"Missing Customer ID",IF(V1203=1,"Missing Restaurant name",IF(W1203=1,"Invalid/outlier quantity",IF(X1203=1,"Invalid/outlier unit price",IF(Y1203=1,"Discount greater than order value",""))))))))</f>
        <v/>
      </c>
      <c r="AC1203" s="7" t="str">
        <f aca="false">IF(AB1203="","KEEP","DROP")</f>
        <v>KEEP</v>
      </c>
      <c r="AD1203" s="7" t="str">
        <f aca="false">IF(TRIM(F1203)="",IFERROR(INDEX(Map_Tables!$I$4:$I$37,MATCH(TRIM(E1203),Map_Tables!$G$4:$G$37,0)),""),IFERROR(INDEX(Map_Tables!$B$4:$B$18,MATCH(TRIM(F1203),Map_Tables!$A$4:$A$18,0)),"CHECK"))</f>
        <v>Ahmedabad</v>
      </c>
      <c r="AE1203" s="7" t="str">
        <f aca="false">IF(TRIM(E1203)="","",IFERROR(INDEX(Map_Tables!$H$4:$H$37,MATCH(TRIM(E1203),Map_Tables!$G$4:$G$37,0)),"CHECK"))</f>
        <v>Cheesy Slice</v>
      </c>
      <c r="AF1203" s="7" t="str">
        <f aca="false">IF(TRIM(K1203)="","Unknown",IFERROR(INDEX(Map_Tables!$E$4:$E$15,MATCH(TRIM(K1203),Map_Tables!$D$4:$D$15,0)),"CHECK"))</f>
        <v>UPI</v>
      </c>
      <c r="AG1203" s="7" t="str">
        <f aca="false">IF(LEFT(LOWER(TRIM(L1203)),6)="cancel","Cancelled","Delivered")</f>
        <v>Delivered</v>
      </c>
      <c r="AH1203" s="10" t="n">
        <f aca="false">IF(ISNUMBER(SEARCH("/",B1203)),DATE(VALUE(RIGHT(B1203,4)),VALUE(MID(B1203,4,2)),VALUE(LEFT(B1203,2))),IF(MID(B1203,5,1)="-",DATE(VALUE(LEFT(B1203,4)),VALUE(MID(B1203,6,2)),VALUE(RIGHT(B1203,2))),DATE(VALUE(RIGHT(B1203,4)),MATCH(MID(B1203,4,3),{"Jan","Feb","Mar","Apr","May","Jun","Jul","Aug","Sep","Oct","Nov","Dec"},0),VALUE(LEFT(B1203,2)))))</f>
        <v>45929</v>
      </c>
    </row>
    <row r="1204" customFormat="false" ht="15" hidden="false" customHeight="false" outlineLevel="0" collapsed="false">
      <c r="A1204" s="7" t="s">
        <v>3410</v>
      </c>
      <c r="B1204" s="7" t="s">
        <v>1773</v>
      </c>
      <c r="C1204" s="7" t="s">
        <v>1011</v>
      </c>
      <c r="D1204" s="7" t="s">
        <v>3411</v>
      </c>
      <c r="E1204" s="7" t="s">
        <v>130</v>
      </c>
      <c r="F1204" s="7" t="s">
        <v>110</v>
      </c>
      <c r="G1204" s="7" t="s">
        <v>90</v>
      </c>
      <c r="H1204" s="7" t="n">
        <v>4</v>
      </c>
      <c r="I1204" s="7" t="n">
        <v>245</v>
      </c>
      <c r="J1204" s="7" t="n">
        <v>20</v>
      </c>
      <c r="K1204" s="7" t="s">
        <v>88</v>
      </c>
      <c r="L1204" s="7" t="s">
        <v>194</v>
      </c>
      <c r="M1204" s="7" t="n">
        <v>25</v>
      </c>
      <c r="N1204" s="7" t="n">
        <v>5</v>
      </c>
      <c r="O1204" s="7" t="str">
        <f aca="false">A1204&amp;"|"&amp;B1204&amp;"|"&amp;C1204&amp;"|"&amp;D1204&amp;"|"&amp;E1204&amp;"|"&amp;F1204&amp;"|"&amp;G1204&amp;"|"&amp;H1204&amp;"|"&amp;I1204&amp;"|"&amp;J1204&amp;"|"&amp;K1204&amp;"|"&amp;L1204&amp;"|"&amp;M1204&amp;"|"&amp;N1204</f>
        <v>ORD10131|2025-01-17|17:29|C0564|Tandoor Tales|Delhi|North Indian|4|245|20|UPI|Delivered|25|5</v>
      </c>
      <c r="P1204" s="7" t="str">
        <f aca="false">IF(COUNTIF($O$2:O1204,O1204)&gt;1,"DUP","OK")</f>
        <v>OK</v>
      </c>
      <c r="Q1204" s="7" t="n">
        <f aca="false">COUNTBLANK(A1204:N1204)</f>
        <v>0</v>
      </c>
      <c r="R1204" s="7" t="n">
        <f aca="false">IF(A1204="",0,COUNTIFS($A$2:$A$3058,A1204,$P$2:$P$3058,"OK"))</f>
        <v>1</v>
      </c>
      <c r="S1204" s="7" t="str">
        <f aca="false">IF(OR(A1204="",P1204="DUP",R1204&lt;2),"",IF(Q1204=_xlfn.MINIFS($Q$2:$Q$3058,$A$2:$A$3058,A1204,$P$2:$P$3058,"OK"),"KEEP","DROP"))</f>
        <v/>
      </c>
      <c r="T1204" s="9" t="n">
        <f aca="false">IF(A1204="",1,0)</f>
        <v>0</v>
      </c>
      <c r="U1204" s="9" t="n">
        <f aca="false">IF(D1204="",1,0)</f>
        <v>0</v>
      </c>
      <c r="V1204" s="9" t="n">
        <f aca="false">IF(E1204="",1,0)</f>
        <v>0</v>
      </c>
      <c r="W1204" s="9" t="n">
        <f aca="false">IF(OR(H1204&lt;1,H1204&gt;10),1,0)</f>
        <v>0</v>
      </c>
      <c r="X1204" s="9" t="n">
        <f aca="false">IF(OR(I1204&lt;=0,I1204&gt;1500),1,0)</f>
        <v>0</v>
      </c>
      <c r="Y1204" s="9" t="n">
        <f aca="false">IF(J1204&gt;H1204*I1204,1,0)</f>
        <v>0</v>
      </c>
      <c r="Z1204" s="9" t="n">
        <f aca="false">IF(AND(N1204&lt;&gt;"",OR(N1204&lt;1,N1204&gt;5)),1,0)</f>
        <v>0</v>
      </c>
      <c r="AA1204" s="9" t="n">
        <f aca="false">IF(AND(M1204&lt;&gt;"",OR(M1204&lt;5,M1204&gt;180)),1,0)</f>
        <v>0</v>
      </c>
      <c r="AB1204" s="7" t="str">
        <f aca="false">IF(P1204="DUP","Exact duplicate row",IF(T1204=1,"Missing Order ID",IF(S1204="DROP","Duplicate Order ID (less complete row)",IF(U1204=1,"Missing Customer ID",IF(V1204=1,"Missing Restaurant name",IF(W1204=1,"Invalid/outlier quantity",IF(X1204=1,"Invalid/outlier unit price",IF(Y1204=1,"Discount greater than order value",""))))))))</f>
        <v/>
      </c>
      <c r="AC1204" s="7" t="str">
        <f aca="false">IF(AB1204="","KEEP","DROP")</f>
        <v>KEEP</v>
      </c>
      <c r="AD1204" s="7" t="str">
        <f aca="false">IF(TRIM(F1204)="",IFERROR(INDEX(Map_Tables!$I$4:$I$37,MATCH(TRIM(E1204),Map_Tables!$G$4:$G$37,0)),""),IFERROR(INDEX(Map_Tables!$B$4:$B$18,MATCH(TRIM(F1204),Map_Tables!$A$4:$A$18,0)),"CHECK"))</f>
        <v>Delhi</v>
      </c>
      <c r="AE1204" s="7" t="str">
        <f aca="false">IF(TRIM(E1204)="","",IFERROR(INDEX(Map_Tables!$H$4:$H$37,MATCH(TRIM(E1204),Map_Tables!$G$4:$G$37,0)),"CHECK"))</f>
        <v>Tandoor Tales</v>
      </c>
      <c r="AF1204" s="7" t="str">
        <f aca="false">IF(TRIM(K1204)="","Unknown",IFERROR(INDEX(Map_Tables!$E$4:$E$15,MATCH(TRIM(K1204),Map_Tables!$D$4:$D$15,0)),"CHECK"))</f>
        <v>UPI</v>
      </c>
      <c r="AG1204" s="7" t="str">
        <f aca="false">IF(LEFT(LOWER(TRIM(L1204)),6)="cancel","Cancelled","Delivered")</f>
        <v>Delivered</v>
      </c>
      <c r="AH1204" s="10" t="n">
        <f aca="false">IF(ISNUMBER(SEARCH("/",B1204)),DATE(VALUE(RIGHT(B1204,4)),VALUE(MID(B1204,4,2)),VALUE(LEFT(B1204,2))),IF(MID(B1204,5,1)="-",DATE(VALUE(LEFT(B1204,4)),VALUE(MID(B1204,6,2)),VALUE(RIGHT(B1204,2))),DATE(VALUE(RIGHT(B1204,4)),MATCH(MID(B1204,4,3),{"Jan","Feb","Mar","Apr","May","Jun","Jul","Aug","Sep","Oct","Nov","Dec"},0),VALUE(LEFT(B1204,2)))))</f>
        <v>45674</v>
      </c>
    </row>
    <row r="1205" customFormat="false" ht="15" hidden="false" customHeight="false" outlineLevel="0" collapsed="false">
      <c r="A1205" s="7" t="s">
        <v>3412</v>
      </c>
      <c r="B1205" s="7" t="s">
        <v>503</v>
      </c>
      <c r="C1205" s="7" t="s">
        <v>2542</v>
      </c>
      <c r="D1205" s="7" t="s">
        <v>3413</v>
      </c>
      <c r="E1205" s="7" t="s">
        <v>168</v>
      </c>
      <c r="F1205" s="7" t="s">
        <v>145</v>
      </c>
      <c r="G1205" s="7" t="s">
        <v>123</v>
      </c>
      <c r="H1205" s="7" t="n">
        <v>1</v>
      </c>
      <c r="I1205" s="7" t="n">
        <v>360</v>
      </c>
      <c r="J1205" s="7" t="n">
        <v>100</v>
      </c>
      <c r="K1205" s="7" t="s">
        <v>103</v>
      </c>
      <c r="L1205" s="7" t="s">
        <v>194</v>
      </c>
      <c r="M1205" s="7" t="n">
        <v>25</v>
      </c>
      <c r="N1205" s="7" t="n">
        <v>4</v>
      </c>
      <c r="O1205" s="7" t="str">
        <f aca="false">A1205&amp;"|"&amp;B1205&amp;"|"&amp;C1205&amp;"|"&amp;D1205&amp;"|"&amp;E1205&amp;"|"&amp;F1205&amp;"|"&amp;G1205&amp;"|"&amp;H1205&amp;"|"&amp;I1205&amp;"|"&amp;J1205&amp;"|"&amp;K1205&amp;"|"&amp;L1205&amp;"|"&amp;M1205&amp;"|"&amp;N1205</f>
        <v>ORD11553|2025-07-21|17:30|C0130|Cheesy Slice|ahmedabad|Pizza|1|360|100|Debit Card|Delivered|25|4</v>
      </c>
      <c r="P1205" s="7" t="str">
        <f aca="false">IF(COUNTIF($O$2:O1205,O1205)&gt;1,"DUP","OK")</f>
        <v>OK</v>
      </c>
      <c r="Q1205" s="7" t="n">
        <f aca="false">COUNTBLANK(A1205:N1205)</f>
        <v>0</v>
      </c>
      <c r="R1205" s="7" t="n">
        <f aca="false">IF(A1205="",0,COUNTIFS($A$2:$A$3058,A1205,$P$2:$P$3058,"OK"))</f>
        <v>1</v>
      </c>
      <c r="S1205" s="7" t="str">
        <f aca="false">IF(OR(A1205="",P1205="DUP",R1205&lt;2),"",IF(Q1205=_xlfn.MINIFS($Q$2:$Q$3058,$A$2:$A$3058,A1205,$P$2:$P$3058,"OK"),"KEEP","DROP"))</f>
        <v/>
      </c>
      <c r="T1205" s="9" t="n">
        <f aca="false">IF(A1205="",1,0)</f>
        <v>0</v>
      </c>
      <c r="U1205" s="9" t="n">
        <f aca="false">IF(D1205="",1,0)</f>
        <v>0</v>
      </c>
      <c r="V1205" s="9" t="n">
        <f aca="false">IF(E1205="",1,0)</f>
        <v>0</v>
      </c>
      <c r="W1205" s="9" t="n">
        <f aca="false">IF(OR(H1205&lt;1,H1205&gt;10),1,0)</f>
        <v>0</v>
      </c>
      <c r="X1205" s="9" t="n">
        <f aca="false">IF(OR(I1205&lt;=0,I1205&gt;1500),1,0)</f>
        <v>0</v>
      </c>
      <c r="Y1205" s="9" t="n">
        <f aca="false">IF(J1205&gt;H1205*I1205,1,0)</f>
        <v>0</v>
      </c>
      <c r="Z1205" s="9" t="n">
        <f aca="false">IF(AND(N1205&lt;&gt;"",OR(N1205&lt;1,N1205&gt;5)),1,0)</f>
        <v>0</v>
      </c>
      <c r="AA1205" s="9" t="n">
        <f aca="false">IF(AND(M1205&lt;&gt;"",OR(M1205&lt;5,M1205&gt;180)),1,0)</f>
        <v>0</v>
      </c>
      <c r="AB1205" s="7" t="str">
        <f aca="false">IF(P1205="DUP","Exact duplicate row",IF(T1205=1,"Missing Order ID",IF(S1205="DROP","Duplicate Order ID (less complete row)",IF(U1205=1,"Missing Customer ID",IF(V1205=1,"Missing Restaurant name",IF(W1205=1,"Invalid/outlier quantity",IF(X1205=1,"Invalid/outlier unit price",IF(Y1205=1,"Discount greater than order value",""))))))))</f>
        <v/>
      </c>
      <c r="AC1205" s="7" t="str">
        <f aca="false">IF(AB1205="","KEEP","DROP")</f>
        <v>KEEP</v>
      </c>
      <c r="AD1205" s="7" t="str">
        <f aca="false">IF(TRIM(F1205)="",IFERROR(INDEX(Map_Tables!$I$4:$I$37,MATCH(TRIM(E1205),Map_Tables!$G$4:$G$37,0)),""),IFERROR(INDEX(Map_Tables!$B$4:$B$18,MATCH(TRIM(F1205),Map_Tables!$A$4:$A$18,0)),"CHECK"))</f>
        <v>Ahmedabad</v>
      </c>
      <c r="AE1205" s="7" t="str">
        <f aca="false">IF(TRIM(E1205)="","",IFERROR(INDEX(Map_Tables!$H$4:$H$37,MATCH(TRIM(E1205),Map_Tables!$G$4:$G$37,0)),"CHECK"))</f>
        <v>Cheesy Slice</v>
      </c>
      <c r="AF1205" s="7" t="str">
        <f aca="false">IF(TRIM(K1205)="","Unknown",IFERROR(INDEX(Map_Tables!$E$4:$E$15,MATCH(TRIM(K1205),Map_Tables!$D$4:$D$15,0)),"CHECK"))</f>
        <v>Debit Card</v>
      </c>
      <c r="AG1205" s="7" t="str">
        <f aca="false">IF(LEFT(LOWER(TRIM(L1205)),6)="cancel","Cancelled","Delivered")</f>
        <v>Delivered</v>
      </c>
      <c r="AH1205" s="10" t="n">
        <f aca="false">IF(ISNUMBER(SEARCH("/",B1205)),DATE(VALUE(RIGHT(B1205,4)),VALUE(MID(B1205,4,2)),VALUE(LEFT(B1205,2))),IF(MID(B1205,5,1)="-",DATE(VALUE(LEFT(B1205,4)),VALUE(MID(B1205,6,2)),VALUE(RIGHT(B1205,2))),DATE(VALUE(RIGHT(B1205,4)),MATCH(MID(B1205,4,3),{"Jan","Feb","Mar","Apr","May","Jun","Jul","Aug","Sep","Oct","Nov","Dec"},0),VALUE(LEFT(B1205,2)))))</f>
        <v>45859</v>
      </c>
    </row>
    <row r="1206" customFormat="false" ht="15" hidden="false" customHeight="false" outlineLevel="0" collapsed="false">
      <c r="A1206" s="7" t="s">
        <v>3414</v>
      </c>
      <c r="B1206" s="7" t="s">
        <v>2322</v>
      </c>
      <c r="C1206" s="7" t="s">
        <v>3415</v>
      </c>
      <c r="D1206" s="7" t="s">
        <v>214</v>
      </c>
      <c r="E1206" s="7" t="s">
        <v>149</v>
      </c>
      <c r="F1206" s="7" t="s">
        <v>119</v>
      </c>
      <c r="G1206" s="7" t="s">
        <v>150</v>
      </c>
      <c r="H1206" s="7" t="n">
        <v>5</v>
      </c>
      <c r="I1206" s="7" t="n">
        <v>130</v>
      </c>
      <c r="J1206" s="7" t="n">
        <v>0</v>
      </c>
      <c r="K1206" s="7" t="s">
        <v>298</v>
      </c>
      <c r="L1206" s="7" t="s">
        <v>194</v>
      </c>
      <c r="M1206" s="7" t="n">
        <v>36</v>
      </c>
      <c r="N1206" s="7"/>
      <c r="O1206" s="7" t="str">
        <f aca="false">A1206&amp;"|"&amp;B1206&amp;"|"&amp;C1206&amp;"|"&amp;D1206&amp;"|"&amp;E1206&amp;"|"&amp;F1206&amp;"|"&amp;G1206&amp;"|"&amp;H1206&amp;"|"&amp;I1206&amp;"|"&amp;J1206&amp;"|"&amp;K1206&amp;"|"&amp;L1206&amp;"|"&amp;M1206&amp;"|"&amp;N1206</f>
        <v>ORD10956|2025-05-01|12:39|C0481|Sweet Tooth Studio|Hyderabad|Desserts|5|130|0|Cash On Delivery|Delivered|36|</v>
      </c>
      <c r="P1206" s="7" t="str">
        <f aca="false">IF(COUNTIF($O$2:O1206,O1206)&gt;1,"DUP","OK")</f>
        <v>OK</v>
      </c>
      <c r="Q1206" s="7" t="n">
        <f aca="false">COUNTBLANK(A1206:N1206)</f>
        <v>1</v>
      </c>
      <c r="R1206" s="7" t="n">
        <f aca="false">IF(A1206="",0,COUNTIFS($A$2:$A$3058,A1206,$P$2:$P$3058,"OK"))</f>
        <v>1</v>
      </c>
      <c r="S1206" s="7" t="str">
        <f aca="false">IF(OR(A1206="",P1206="DUP",R1206&lt;2),"",IF(Q1206=_xlfn.MINIFS($Q$2:$Q$3058,$A$2:$A$3058,A1206,$P$2:$P$3058,"OK"),"KEEP","DROP"))</f>
        <v/>
      </c>
      <c r="T1206" s="9" t="n">
        <f aca="false">IF(A1206="",1,0)</f>
        <v>0</v>
      </c>
      <c r="U1206" s="9" t="n">
        <f aca="false">IF(D1206="",1,0)</f>
        <v>0</v>
      </c>
      <c r="V1206" s="9" t="n">
        <f aca="false">IF(E1206="",1,0)</f>
        <v>0</v>
      </c>
      <c r="W1206" s="9" t="n">
        <f aca="false">IF(OR(H1206&lt;1,H1206&gt;10),1,0)</f>
        <v>0</v>
      </c>
      <c r="X1206" s="9" t="n">
        <f aca="false">IF(OR(I1206&lt;=0,I1206&gt;1500),1,0)</f>
        <v>0</v>
      </c>
      <c r="Y1206" s="9" t="n">
        <f aca="false">IF(J1206&gt;H1206*I1206,1,0)</f>
        <v>0</v>
      </c>
      <c r="Z1206" s="9" t="n">
        <f aca="false">IF(AND(N1206&lt;&gt;"",OR(N1206&lt;1,N1206&gt;5)),1,0)</f>
        <v>0</v>
      </c>
      <c r="AA1206" s="9" t="n">
        <f aca="false">IF(AND(M1206&lt;&gt;"",OR(M1206&lt;5,M1206&gt;180)),1,0)</f>
        <v>0</v>
      </c>
      <c r="AB1206" s="7" t="str">
        <f aca="false">IF(P1206="DUP","Exact duplicate row",IF(T1206=1,"Missing Order ID",IF(S1206="DROP","Duplicate Order ID (less complete row)",IF(U1206=1,"Missing Customer ID",IF(V1206=1,"Missing Restaurant name",IF(W1206=1,"Invalid/outlier quantity",IF(X1206=1,"Invalid/outlier unit price",IF(Y1206=1,"Discount greater than order value",""))))))))</f>
        <v/>
      </c>
      <c r="AC1206" s="7" t="str">
        <f aca="false">IF(AB1206="","KEEP","DROP")</f>
        <v>KEEP</v>
      </c>
      <c r="AD1206" s="7" t="str">
        <f aca="false">IF(TRIM(F1206)="",IFERROR(INDEX(Map_Tables!$I$4:$I$37,MATCH(TRIM(E1206),Map_Tables!$G$4:$G$37,0)),""),IFERROR(INDEX(Map_Tables!$B$4:$B$18,MATCH(TRIM(F1206),Map_Tables!$A$4:$A$18,0)),"CHECK"))</f>
        <v>Hyderabad</v>
      </c>
      <c r="AE1206" s="7" t="str">
        <f aca="false">IF(TRIM(E1206)="","",IFERROR(INDEX(Map_Tables!$H$4:$H$37,MATCH(TRIM(E1206),Map_Tables!$G$4:$G$37,0)),"CHECK"))</f>
        <v>Sweet Tooth Studio</v>
      </c>
      <c r="AF1206" s="7" t="str">
        <f aca="false">IF(TRIM(K1206)="","Unknown",IFERROR(INDEX(Map_Tables!$E$4:$E$15,MATCH(TRIM(K1206),Map_Tables!$D$4:$D$15,0)),"CHECK"))</f>
        <v>Cash on Delivery</v>
      </c>
      <c r="AG1206" s="7" t="str">
        <f aca="false">IF(LEFT(LOWER(TRIM(L1206)),6)="cancel","Cancelled","Delivered")</f>
        <v>Delivered</v>
      </c>
      <c r="AH1206" s="10" t="n">
        <f aca="false">IF(ISNUMBER(SEARCH("/",B1206)),DATE(VALUE(RIGHT(B1206,4)),VALUE(MID(B1206,4,2)),VALUE(LEFT(B1206,2))),IF(MID(B1206,5,1)="-",DATE(VALUE(LEFT(B1206,4)),VALUE(MID(B1206,6,2)),VALUE(RIGHT(B1206,2))),DATE(VALUE(RIGHT(B1206,4)),MATCH(MID(B1206,4,3),{"Jan","Feb","Mar","Apr","May","Jun","Jul","Aug","Sep","Oct","Nov","Dec"},0),VALUE(LEFT(B1206,2)))))</f>
        <v>45778</v>
      </c>
    </row>
    <row r="1207" customFormat="false" ht="15" hidden="false" customHeight="false" outlineLevel="0" collapsed="false">
      <c r="A1207" s="7" t="s">
        <v>3416</v>
      </c>
      <c r="B1207" s="7" t="s">
        <v>3417</v>
      </c>
      <c r="C1207" s="7" t="s">
        <v>1118</v>
      </c>
      <c r="D1207" s="7" t="s">
        <v>1849</v>
      </c>
      <c r="E1207" s="7" t="s">
        <v>113</v>
      </c>
      <c r="F1207" s="7" t="s">
        <v>498</v>
      </c>
      <c r="G1207" s="7" t="s">
        <v>90</v>
      </c>
      <c r="H1207" s="7" t="n">
        <v>2</v>
      </c>
      <c r="I1207" s="7" t="n">
        <v>280</v>
      </c>
      <c r="J1207" s="7" t="n">
        <v>0</v>
      </c>
      <c r="K1207" s="7" t="s">
        <v>112</v>
      </c>
      <c r="L1207" s="7" t="s">
        <v>194</v>
      </c>
      <c r="M1207" s="7" t="n">
        <v>40</v>
      </c>
      <c r="N1207" s="7" t="n">
        <v>3</v>
      </c>
      <c r="O1207" s="7" t="str">
        <f aca="false">A1207&amp;"|"&amp;B1207&amp;"|"&amp;C1207&amp;"|"&amp;D1207&amp;"|"&amp;E1207&amp;"|"&amp;F1207&amp;"|"&amp;G1207&amp;"|"&amp;H1207&amp;"|"&amp;I1207&amp;"|"&amp;J1207&amp;"|"&amp;K1207&amp;"|"&amp;L1207&amp;"|"&amp;M1207&amp;"|"&amp;N1207</f>
        <v>ORD10914|2025-04-25|12:13|C0547|Curry Leaf Kitchen|Bombay|North Indian|2|280|0|Cash on Delivery|Delivered|40|3</v>
      </c>
      <c r="P1207" s="7" t="str">
        <f aca="false">IF(COUNTIF($O$2:O1207,O1207)&gt;1,"DUP","OK")</f>
        <v>OK</v>
      </c>
      <c r="Q1207" s="7" t="n">
        <f aca="false">COUNTBLANK(A1207:N1207)</f>
        <v>0</v>
      </c>
      <c r="R1207" s="7" t="n">
        <f aca="false">IF(A1207="",0,COUNTIFS($A$2:$A$3058,A1207,$P$2:$P$3058,"OK"))</f>
        <v>1</v>
      </c>
      <c r="S1207" s="7" t="str">
        <f aca="false">IF(OR(A1207="",P1207="DUP",R1207&lt;2),"",IF(Q1207=_xlfn.MINIFS($Q$2:$Q$3058,$A$2:$A$3058,A1207,$P$2:$P$3058,"OK"),"KEEP","DROP"))</f>
        <v/>
      </c>
      <c r="T1207" s="9" t="n">
        <f aca="false">IF(A1207="",1,0)</f>
        <v>0</v>
      </c>
      <c r="U1207" s="9" t="n">
        <f aca="false">IF(D1207="",1,0)</f>
        <v>0</v>
      </c>
      <c r="V1207" s="9" t="n">
        <f aca="false">IF(E1207="",1,0)</f>
        <v>0</v>
      </c>
      <c r="W1207" s="9" t="n">
        <f aca="false">IF(OR(H1207&lt;1,H1207&gt;10),1,0)</f>
        <v>0</v>
      </c>
      <c r="X1207" s="9" t="n">
        <f aca="false">IF(OR(I1207&lt;=0,I1207&gt;1500),1,0)</f>
        <v>0</v>
      </c>
      <c r="Y1207" s="9" t="n">
        <f aca="false">IF(J1207&gt;H1207*I1207,1,0)</f>
        <v>0</v>
      </c>
      <c r="Z1207" s="9" t="n">
        <f aca="false">IF(AND(N1207&lt;&gt;"",OR(N1207&lt;1,N1207&gt;5)),1,0)</f>
        <v>0</v>
      </c>
      <c r="AA1207" s="9" t="n">
        <f aca="false">IF(AND(M1207&lt;&gt;"",OR(M1207&lt;5,M1207&gt;180)),1,0)</f>
        <v>0</v>
      </c>
      <c r="AB1207" s="7" t="str">
        <f aca="false">IF(P1207="DUP","Exact duplicate row",IF(T1207=1,"Missing Order ID",IF(S1207="DROP","Duplicate Order ID (less complete row)",IF(U1207=1,"Missing Customer ID",IF(V1207=1,"Missing Restaurant name",IF(W1207=1,"Invalid/outlier quantity",IF(X1207=1,"Invalid/outlier unit price",IF(Y1207=1,"Discount greater than order value",""))))))))</f>
        <v/>
      </c>
      <c r="AC1207" s="7" t="str">
        <f aca="false">IF(AB1207="","KEEP","DROP")</f>
        <v>KEEP</v>
      </c>
      <c r="AD1207" s="7" t="str">
        <f aca="false">IF(TRIM(F1207)="",IFERROR(INDEX(Map_Tables!$I$4:$I$37,MATCH(TRIM(E1207),Map_Tables!$G$4:$G$37,0)),""),IFERROR(INDEX(Map_Tables!$B$4:$B$18,MATCH(TRIM(F1207),Map_Tables!$A$4:$A$18,0)),"CHECK"))</f>
        <v>Mumbai</v>
      </c>
      <c r="AE1207" s="7" t="str">
        <f aca="false">IF(TRIM(E1207)="","",IFERROR(INDEX(Map_Tables!$H$4:$H$37,MATCH(TRIM(E1207),Map_Tables!$G$4:$G$37,0)),"CHECK"))</f>
        <v>Curry Leaf Kitchen</v>
      </c>
      <c r="AF1207" s="7" t="str">
        <f aca="false">IF(TRIM(K1207)="","Unknown",IFERROR(INDEX(Map_Tables!$E$4:$E$15,MATCH(TRIM(K1207),Map_Tables!$D$4:$D$15,0)),"CHECK"))</f>
        <v>Cash on Delivery</v>
      </c>
      <c r="AG1207" s="7" t="str">
        <f aca="false">IF(LEFT(LOWER(TRIM(L1207)),6)="cancel","Cancelled","Delivered")</f>
        <v>Delivered</v>
      </c>
      <c r="AH1207" s="10" t="n">
        <f aca="false">IF(ISNUMBER(SEARCH("/",B1207)),DATE(VALUE(RIGHT(B1207,4)),VALUE(MID(B1207,4,2)),VALUE(LEFT(B1207,2))),IF(MID(B1207,5,1)="-",DATE(VALUE(LEFT(B1207,4)),VALUE(MID(B1207,6,2)),VALUE(RIGHT(B1207,2))),DATE(VALUE(RIGHT(B1207,4)),MATCH(MID(B1207,4,3),{"Jan","Feb","Mar","Apr","May","Jun","Jul","Aug","Sep","Oct","Nov","Dec"},0),VALUE(LEFT(B1207,2)))))</f>
        <v>45772</v>
      </c>
    </row>
    <row r="1208" customFormat="false" ht="15" hidden="false" customHeight="false" outlineLevel="0" collapsed="false">
      <c r="A1208" s="7" t="s">
        <v>3418</v>
      </c>
      <c r="B1208" s="7" t="s">
        <v>217</v>
      </c>
      <c r="C1208" s="7" t="s">
        <v>1688</v>
      </c>
      <c r="D1208" s="7" t="s">
        <v>491</v>
      </c>
      <c r="E1208" s="7" t="s">
        <v>138</v>
      </c>
      <c r="F1208" s="7" t="s">
        <v>110</v>
      </c>
      <c r="G1208" s="7" t="s">
        <v>139</v>
      </c>
      <c r="H1208" s="7" t="n">
        <v>3</v>
      </c>
      <c r="I1208" s="7" t="n">
        <v>175</v>
      </c>
      <c r="J1208" s="7" t="n">
        <v>0</v>
      </c>
      <c r="K1208" s="7" t="s">
        <v>93</v>
      </c>
      <c r="L1208" s="7" t="s">
        <v>194</v>
      </c>
      <c r="M1208" s="7" t="n">
        <v>43</v>
      </c>
      <c r="N1208" s="7" t="n">
        <v>5</v>
      </c>
      <c r="O1208" s="7" t="str">
        <f aca="false">A1208&amp;"|"&amp;B1208&amp;"|"&amp;C1208&amp;"|"&amp;D1208&amp;"|"&amp;E1208&amp;"|"&amp;F1208&amp;"|"&amp;G1208&amp;"|"&amp;H1208&amp;"|"&amp;I1208&amp;"|"&amp;J1208&amp;"|"&amp;K1208&amp;"|"&amp;L1208&amp;"|"&amp;M1208&amp;"|"&amp;N1208</f>
        <v>ORD10860|2025-04-18|19:44|C0822|Burger Barn|Delhi|Burgers|3|175|0|Credit Card|Delivered|43|5</v>
      </c>
      <c r="P1208" s="7" t="str">
        <f aca="false">IF(COUNTIF($O$2:O1208,O1208)&gt;1,"DUP","OK")</f>
        <v>OK</v>
      </c>
      <c r="Q1208" s="7" t="n">
        <f aca="false">COUNTBLANK(A1208:N1208)</f>
        <v>0</v>
      </c>
      <c r="R1208" s="7" t="n">
        <f aca="false">IF(A1208="",0,COUNTIFS($A$2:$A$3058,A1208,$P$2:$P$3058,"OK"))</f>
        <v>1</v>
      </c>
      <c r="S1208" s="7" t="str">
        <f aca="false">IF(OR(A1208="",P1208="DUP",R1208&lt;2),"",IF(Q1208=_xlfn.MINIFS($Q$2:$Q$3058,$A$2:$A$3058,A1208,$P$2:$P$3058,"OK"),"KEEP","DROP"))</f>
        <v/>
      </c>
      <c r="T1208" s="9" t="n">
        <f aca="false">IF(A1208="",1,0)</f>
        <v>0</v>
      </c>
      <c r="U1208" s="9" t="n">
        <f aca="false">IF(D1208="",1,0)</f>
        <v>0</v>
      </c>
      <c r="V1208" s="9" t="n">
        <f aca="false">IF(E1208="",1,0)</f>
        <v>0</v>
      </c>
      <c r="W1208" s="9" t="n">
        <f aca="false">IF(OR(H1208&lt;1,H1208&gt;10),1,0)</f>
        <v>0</v>
      </c>
      <c r="X1208" s="9" t="n">
        <f aca="false">IF(OR(I1208&lt;=0,I1208&gt;1500),1,0)</f>
        <v>0</v>
      </c>
      <c r="Y1208" s="9" t="n">
        <f aca="false">IF(J1208&gt;H1208*I1208,1,0)</f>
        <v>0</v>
      </c>
      <c r="Z1208" s="9" t="n">
        <f aca="false">IF(AND(N1208&lt;&gt;"",OR(N1208&lt;1,N1208&gt;5)),1,0)</f>
        <v>0</v>
      </c>
      <c r="AA1208" s="9" t="n">
        <f aca="false">IF(AND(M1208&lt;&gt;"",OR(M1208&lt;5,M1208&gt;180)),1,0)</f>
        <v>0</v>
      </c>
      <c r="AB1208" s="7" t="str">
        <f aca="false">IF(P1208="DUP","Exact duplicate row",IF(T1208=1,"Missing Order ID",IF(S1208="DROP","Duplicate Order ID (less complete row)",IF(U1208=1,"Missing Customer ID",IF(V1208=1,"Missing Restaurant name",IF(W1208=1,"Invalid/outlier quantity",IF(X1208=1,"Invalid/outlier unit price",IF(Y1208=1,"Discount greater than order value",""))))))))</f>
        <v/>
      </c>
      <c r="AC1208" s="7" t="str">
        <f aca="false">IF(AB1208="","KEEP","DROP")</f>
        <v>KEEP</v>
      </c>
      <c r="AD1208" s="7" t="str">
        <f aca="false">IF(TRIM(F1208)="",IFERROR(INDEX(Map_Tables!$I$4:$I$37,MATCH(TRIM(E1208),Map_Tables!$G$4:$G$37,0)),""),IFERROR(INDEX(Map_Tables!$B$4:$B$18,MATCH(TRIM(F1208),Map_Tables!$A$4:$A$18,0)),"CHECK"))</f>
        <v>Delhi</v>
      </c>
      <c r="AE1208" s="7" t="str">
        <f aca="false">IF(TRIM(E1208)="","",IFERROR(INDEX(Map_Tables!$H$4:$H$37,MATCH(TRIM(E1208),Map_Tables!$G$4:$G$37,0)),"CHECK"))</f>
        <v>Burger Barn</v>
      </c>
      <c r="AF1208" s="7" t="str">
        <f aca="false">IF(TRIM(K1208)="","Unknown",IFERROR(INDEX(Map_Tables!$E$4:$E$15,MATCH(TRIM(K1208),Map_Tables!$D$4:$D$15,0)),"CHECK"))</f>
        <v>Credit Card</v>
      </c>
      <c r="AG1208" s="7" t="str">
        <f aca="false">IF(LEFT(LOWER(TRIM(L1208)),6)="cancel","Cancelled","Delivered")</f>
        <v>Delivered</v>
      </c>
      <c r="AH1208" s="10" t="n">
        <f aca="false">IF(ISNUMBER(SEARCH("/",B1208)),DATE(VALUE(RIGHT(B1208,4)),VALUE(MID(B1208,4,2)),VALUE(LEFT(B1208,2))),IF(MID(B1208,5,1)="-",DATE(VALUE(LEFT(B1208,4)),VALUE(MID(B1208,6,2)),VALUE(RIGHT(B1208,2))),DATE(VALUE(RIGHT(B1208,4)),MATCH(MID(B1208,4,3),{"Jan","Feb","Mar","Apr","May","Jun","Jul","Aug","Sep","Oct","Nov","Dec"},0),VALUE(LEFT(B1208,2)))))</f>
        <v>45765</v>
      </c>
    </row>
    <row r="1209" customFormat="false" ht="15" hidden="false" customHeight="false" outlineLevel="0" collapsed="false">
      <c r="A1209" s="7" t="s">
        <v>3419</v>
      </c>
      <c r="B1209" s="7" t="s">
        <v>3156</v>
      </c>
      <c r="C1209" s="7" t="s">
        <v>258</v>
      </c>
      <c r="D1209" s="7" t="s">
        <v>3420</v>
      </c>
      <c r="E1209" s="7" t="s">
        <v>1862</v>
      </c>
      <c r="F1209" s="7" t="s">
        <v>86</v>
      </c>
      <c r="G1209" s="7" t="s">
        <v>90</v>
      </c>
      <c r="H1209" s="7" t="n">
        <v>1</v>
      </c>
      <c r="I1209" s="7" t="n">
        <v>185</v>
      </c>
      <c r="J1209" s="7" t="n">
        <v>20</v>
      </c>
      <c r="K1209" s="7" t="s">
        <v>88</v>
      </c>
      <c r="L1209" s="7" t="s">
        <v>194</v>
      </c>
      <c r="M1209" s="7" t="n">
        <v>32</v>
      </c>
      <c r="N1209" s="7" t="n">
        <v>5</v>
      </c>
      <c r="O1209" s="7" t="str">
        <f aca="false">A1209&amp;"|"&amp;B1209&amp;"|"&amp;C1209&amp;"|"&amp;D1209&amp;"|"&amp;E1209&amp;"|"&amp;F1209&amp;"|"&amp;G1209&amp;"|"&amp;H1209&amp;"|"&amp;I1209&amp;"|"&amp;J1209&amp;"|"&amp;K1209&amp;"|"&amp;L1209&amp;"|"&amp;M1209&amp;"|"&amp;N1209</f>
        <v>ORD11479|2025-07-11|20:24|C0503|Spice Junction |Bengaluru|North Indian|1|185|20|UPI|Delivered|32|5</v>
      </c>
      <c r="P1209" s="7" t="str">
        <f aca="false">IF(COUNTIF($O$2:O1209,O1209)&gt;1,"DUP","OK")</f>
        <v>OK</v>
      </c>
      <c r="Q1209" s="7" t="n">
        <f aca="false">COUNTBLANK(A1209:N1209)</f>
        <v>0</v>
      </c>
      <c r="R1209" s="7" t="n">
        <f aca="false">IF(A1209="",0,COUNTIFS($A$2:$A$3058,A1209,$P$2:$P$3058,"OK"))</f>
        <v>1</v>
      </c>
      <c r="S1209" s="7" t="str">
        <f aca="false">IF(OR(A1209="",P1209="DUP",R1209&lt;2),"",IF(Q1209=_xlfn.MINIFS($Q$2:$Q$3058,$A$2:$A$3058,A1209,$P$2:$P$3058,"OK"),"KEEP","DROP"))</f>
        <v/>
      </c>
      <c r="T1209" s="9" t="n">
        <f aca="false">IF(A1209="",1,0)</f>
        <v>0</v>
      </c>
      <c r="U1209" s="9" t="n">
        <f aca="false">IF(D1209="",1,0)</f>
        <v>0</v>
      </c>
      <c r="V1209" s="9" t="n">
        <f aca="false">IF(E1209="",1,0)</f>
        <v>0</v>
      </c>
      <c r="W1209" s="9" t="n">
        <f aca="false">IF(OR(H1209&lt;1,H1209&gt;10),1,0)</f>
        <v>0</v>
      </c>
      <c r="X1209" s="9" t="n">
        <f aca="false">IF(OR(I1209&lt;=0,I1209&gt;1500),1,0)</f>
        <v>0</v>
      </c>
      <c r="Y1209" s="9" t="n">
        <f aca="false">IF(J1209&gt;H1209*I1209,1,0)</f>
        <v>0</v>
      </c>
      <c r="Z1209" s="9" t="n">
        <f aca="false">IF(AND(N1209&lt;&gt;"",OR(N1209&lt;1,N1209&gt;5)),1,0)</f>
        <v>0</v>
      </c>
      <c r="AA1209" s="9" t="n">
        <f aca="false">IF(AND(M1209&lt;&gt;"",OR(M1209&lt;5,M1209&gt;180)),1,0)</f>
        <v>0</v>
      </c>
      <c r="AB1209" s="7" t="str">
        <f aca="false">IF(P1209="DUP","Exact duplicate row",IF(T1209=1,"Missing Order ID",IF(S1209="DROP","Duplicate Order ID (less complete row)",IF(U1209=1,"Missing Customer ID",IF(V1209=1,"Missing Restaurant name",IF(W1209=1,"Invalid/outlier quantity",IF(X1209=1,"Invalid/outlier unit price",IF(Y1209=1,"Discount greater than order value",""))))))))</f>
        <v/>
      </c>
      <c r="AC1209" s="7" t="str">
        <f aca="false">IF(AB1209="","KEEP","DROP")</f>
        <v>KEEP</v>
      </c>
      <c r="AD1209" s="7" t="str">
        <f aca="false">IF(TRIM(F1209)="",IFERROR(INDEX(Map_Tables!$I$4:$I$37,MATCH(TRIM(E1209),Map_Tables!$G$4:$G$37,0)),""),IFERROR(INDEX(Map_Tables!$B$4:$B$18,MATCH(TRIM(F1209),Map_Tables!$A$4:$A$18,0)),"CHECK"))</f>
        <v>Bengaluru</v>
      </c>
      <c r="AE1209" s="7" t="str">
        <f aca="false">IF(TRIM(E1209)="","",IFERROR(INDEX(Map_Tables!$H$4:$H$37,MATCH(TRIM(E1209),Map_Tables!$G$4:$G$37,0)),"CHECK"))</f>
        <v>Spice Junction</v>
      </c>
      <c r="AF1209" s="7" t="str">
        <f aca="false">IF(TRIM(K1209)="","Unknown",IFERROR(INDEX(Map_Tables!$E$4:$E$15,MATCH(TRIM(K1209),Map_Tables!$D$4:$D$15,0)),"CHECK"))</f>
        <v>UPI</v>
      </c>
      <c r="AG1209" s="7" t="str">
        <f aca="false">IF(LEFT(LOWER(TRIM(L1209)),6)="cancel","Cancelled","Delivered")</f>
        <v>Delivered</v>
      </c>
      <c r="AH1209" s="10" t="n">
        <f aca="false">IF(ISNUMBER(SEARCH("/",B1209)),DATE(VALUE(RIGHT(B1209,4)),VALUE(MID(B1209,4,2)),VALUE(LEFT(B1209,2))),IF(MID(B1209,5,1)="-",DATE(VALUE(LEFT(B1209,4)),VALUE(MID(B1209,6,2)),VALUE(RIGHT(B1209,2))),DATE(VALUE(RIGHT(B1209,4)),MATCH(MID(B1209,4,3),{"Jan","Feb","Mar","Apr","May","Jun","Jul","Aug","Sep","Oct","Nov","Dec"},0),VALUE(LEFT(B1209,2)))))</f>
        <v>45849</v>
      </c>
    </row>
    <row r="1210" customFormat="false" ht="15" hidden="false" customHeight="false" outlineLevel="0" collapsed="false">
      <c r="A1210" s="7" t="s">
        <v>3421</v>
      </c>
      <c r="B1210" s="7" t="s">
        <v>2527</v>
      </c>
      <c r="C1210" s="7" t="s">
        <v>3422</v>
      </c>
      <c r="D1210" s="7" t="s">
        <v>3423</v>
      </c>
      <c r="E1210" s="7" t="s">
        <v>138</v>
      </c>
      <c r="F1210" s="7" t="s">
        <v>110</v>
      </c>
      <c r="G1210" s="7" t="s">
        <v>139</v>
      </c>
      <c r="H1210" s="7" t="n">
        <v>1</v>
      </c>
      <c r="I1210" s="7" t="n">
        <v>165</v>
      </c>
      <c r="J1210" s="7" t="n">
        <v>0</v>
      </c>
      <c r="K1210" s="7" t="s">
        <v>421</v>
      </c>
      <c r="L1210" s="7" t="s">
        <v>194</v>
      </c>
      <c r="M1210" s="7" t="n">
        <v>29</v>
      </c>
      <c r="N1210" s="7" t="n">
        <v>5</v>
      </c>
      <c r="O1210" s="7" t="str">
        <f aca="false">A1210&amp;"|"&amp;B1210&amp;"|"&amp;C1210&amp;"|"&amp;D1210&amp;"|"&amp;E1210&amp;"|"&amp;F1210&amp;"|"&amp;G1210&amp;"|"&amp;H1210&amp;"|"&amp;I1210&amp;"|"&amp;J1210&amp;"|"&amp;K1210&amp;"|"&amp;L1210&amp;"|"&amp;M1210&amp;"|"&amp;N1210</f>
        <v>ORD11328|2025-06-21|10:08|C0840|Burger Barn|Delhi|Burgers|1|165|0|UPI |Delivered|29|5</v>
      </c>
      <c r="P1210" s="7" t="str">
        <f aca="false">IF(COUNTIF($O$2:O1210,O1210)&gt;1,"DUP","OK")</f>
        <v>OK</v>
      </c>
      <c r="Q1210" s="7" t="n">
        <f aca="false">COUNTBLANK(A1210:N1210)</f>
        <v>0</v>
      </c>
      <c r="R1210" s="7" t="n">
        <f aca="false">IF(A1210="",0,COUNTIFS($A$2:$A$3058,A1210,$P$2:$P$3058,"OK"))</f>
        <v>1</v>
      </c>
      <c r="S1210" s="7" t="str">
        <f aca="false">IF(OR(A1210="",P1210="DUP",R1210&lt;2),"",IF(Q1210=_xlfn.MINIFS($Q$2:$Q$3058,$A$2:$A$3058,A1210,$P$2:$P$3058,"OK"),"KEEP","DROP"))</f>
        <v/>
      </c>
      <c r="T1210" s="9" t="n">
        <f aca="false">IF(A1210="",1,0)</f>
        <v>0</v>
      </c>
      <c r="U1210" s="9" t="n">
        <f aca="false">IF(D1210="",1,0)</f>
        <v>0</v>
      </c>
      <c r="V1210" s="9" t="n">
        <f aca="false">IF(E1210="",1,0)</f>
        <v>0</v>
      </c>
      <c r="W1210" s="9" t="n">
        <f aca="false">IF(OR(H1210&lt;1,H1210&gt;10),1,0)</f>
        <v>0</v>
      </c>
      <c r="X1210" s="9" t="n">
        <f aca="false">IF(OR(I1210&lt;=0,I1210&gt;1500),1,0)</f>
        <v>0</v>
      </c>
      <c r="Y1210" s="9" t="n">
        <f aca="false">IF(J1210&gt;H1210*I1210,1,0)</f>
        <v>0</v>
      </c>
      <c r="Z1210" s="9" t="n">
        <f aca="false">IF(AND(N1210&lt;&gt;"",OR(N1210&lt;1,N1210&gt;5)),1,0)</f>
        <v>0</v>
      </c>
      <c r="AA1210" s="9" t="n">
        <f aca="false">IF(AND(M1210&lt;&gt;"",OR(M1210&lt;5,M1210&gt;180)),1,0)</f>
        <v>0</v>
      </c>
      <c r="AB1210" s="7" t="str">
        <f aca="false">IF(P1210="DUP","Exact duplicate row",IF(T1210=1,"Missing Order ID",IF(S1210="DROP","Duplicate Order ID (less complete row)",IF(U1210=1,"Missing Customer ID",IF(V1210=1,"Missing Restaurant name",IF(W1210=1,"Invalid/outlier quantity",IF(X1210=1,"Invalid/outlier unit price",IF(Y1210=1,"Discount greater than order value",""))))))))</f>
        <v/>
      </c>
      <c r="AC1210" s="7" t="str">
        <f aca="false">IF(AB1210="","KEEP","DROP")</f>
        <v>KEEP</v>
      </c>
      <c r="AD1210" s="7" t="str">
        <f aca="false">IF(TRIM(F1210)="",IFERROR(INDEX(Map_Tables!$I$4:$I$37,MATCH(TRIM(E1210),Map_Tables!$G$4:$G$37,0)),""),IFERROR(INDEX(Map_Tables!$B$4:$B$18,MATCH(TRIM(F1210),Map_Tables!$A$4:$A$18,0)),"CHECK"))</f>
        <v>Delhi</v>
      </c>
      <c r="AE1210" s="7" t="str">
        <f aca="false">IF(TRIM(E1210)="","",IFERROR(INDEX(Map_Tables!$H$4:$H$37,MATCH(TRIM(E1210),Map_Tables!$G$4:$G$37,0)),"CHECK"))</f>
        <v>Burger Barn</v>
      </c>
      <c r="AF1210" s="7" t="str">
        <f aca="false">IF(TRIM(K1210)="","Unknown",IFERROR(INDEX(Map_Tables!$E$4:$E$15,MATCH(TRIM(K1210),Map_Tables!$D$4:$D$15,0)),"CHECK"))</f>
        <v>UPI</v>
      </c>
      <c r="AG1210" s="7" t="str">
        <f aca="false">IF(LEFT(LOWER(TRIM(L1210)),6)="cancel","Cancelled","Delivered")</f>
        <v>Delivered</v>
      </c>
      <c r="AH1210" s="10" t="n">
        <f aca="false">IF(ISNUMBER(SEARCH("/",B1210)),DATE(VALUE(RIGHT(B1210,4)),VALUE(MID(B1210,4,2)),VALUE(LEFT(B1210,2))),IF(MID(B1210,5,1)="-",DATE(VALUE(LEFT(B1210,4)),VALUE(MID(B1210,6,2)),VALUE(RIGHT(B1210,2))),DATE(VALUE(RIGHT(B1210,4)),MATCH(MID(B1210,4,3),{"Jan","Feb","Mar","Apr","May","Jun","Jul","Aug","Sep","Oct","Nov","Dec"},0),VALUE(LEFT(B1210,2)))))</f>
        <v>45829</v>
      </c>
    </row>
    <row r="1211" customFormat="false" ht="15" hidden="false" customHeight="false" outlineLevel="0" collapsed="false">
      <c r="A1211" s="7" t="s">
        <v>3424</v>
      </c>
      <c r="B1211" s="7" t="s">
        <v>1773</v>
      </c>
      <c r="C1211" s="7" t="s">
        <v>2271</v>
      </c>
      <c r="D1211" s="7" t="s">
        <v>766</v>
      </c>
      <c r="E1211" s="7" t="s">
        <v>94</v>
      </c>
      <c r="F1211" s="7" t="s">
        <v>928</v>
      </c>
      <c r="G1211" s="7" t="s">
        <v>95</v>
      </c>
      <c r="H1211" s="7" t="n">
        <v>2</v>
      </c>
      <c r="I1211" s="7" t="n">
        <v>135</v>
      </c>
      <c r="J1211" s="7" t="n">
        <v>75</v>
      </c>
      <c r="K1211" s="7" t="s">
        <v>93</v>
      </c>
      <c r="L1211" s="7" t="s">
        <v>194</v>
      </c>
      <c r="M1211" s="7" t="n">
        <v>46</v>
      </c>
      <c r="N1211" s="7" t="n">
        <v>3</v>
      </c>
      <c r="O1211" s="7" t="str">
        <f aca="false">A1211&amp;"|"&amp;B1211&amp;"|"&amp;C1211&amp;"|"&amp;D1211&amp;"|"&amp;E1211&amp;"|"&amp;F1211&amp;"|"&amp;G1211&amp;"|"&amp;H1211&amp;"|"&amp;I1211&amp;"|"&amp;J1211&amp;"|"&amp;K1211&amp;"|"&amp;L1211&amp;"|"&amp;M1211&amp;"|"&amp;N1211</f>
        <v>ORD10128|2025-01-17|12:38|C1437|Dosa Darbar|Bangalore|South Indian|2|135|75|Credit Card|Delivered|46|3</v>
      </c>
      <c r="P1211" s="7" t="str">
        <f aca="false">IF(COUNTIF($O$2:O1211,O1211)&gt;1,"DUP","OK")</f>
        <v>OK</v>
      </c>
      <c r="Q1211" s="7" t="n">
        <f aca="false">COUNTBLANK(A1211:N1211)</f>
        <v>0</v>
      </c>
      <c r="R1211" s="7" t="n">
        <f aca="false">IF(A1211="",0,COUNTIFS($A$2:$A$3058,A1211,$P$2:$P$3058,"OK"))</f>
        <v>1</v>
      </c>
      <c r="S1211" s="7" t="str">
        <f aca="false">IF(OR(A1211="",P1211="DUP",R1211&lt;2),"",IF(Q1211=_xlfn.MINIFS($Q$2:$Q$3058,$A$2:$A$3058,A1211,$P$2:$P$3058,"OK"),"KEEP","DROP"))</f>
        <v/>
      </c>
      <c r="T1211" s="9" t="n">
        <f aca="false">IF(A1211="",1,0)</f>
        <v>0</v>
      </c>
      <c r="U1211" s="9" t="n">
        <f aca="false">IF(D1211="",1,0)</f>
        <v>0</v>
      </c>
      <c r="V1211" s="9" t="n">
        <f aca="false">IF(E1211="",1,0)</f>
        <v>0</v>
      </c>
      <c r="W1211" s="9" t="n">
        <f aca="false">IF(OR(H1211&lt;1,H1211&gt;10),1,0)</f>
        <v>0</v>
      </c>
      <c r="X1211" s="9" t="n">
        <f aca="false">IF(OR(I1211&lt;=0,I1211&gt;1500),1,0)</f>
        <v>0</v>
      </c>
      <c r="Y1211" s="9" t="n">
        <f aca="false">IF(J1211&gt;H1211*I1211,1,0)</f>
        <v>0</v>
      </c>
      <c r="Z1211" s="9" t="n">
        <f aca="false">IF(AND(N1211&lt;&gt;"",OR(N1211&lt;1,N1211&gt;5)),1,0)</f>
        <v>0</v>
      </c>
      <c r="AA1211" s="9" t="n">
        <f aca="false">IF(AND(M1211&lt;&gt;"",OR(M1211&lt;5,M1211&gt;180)),1,0)</f>
        <v>0</v>
      </c>
      <c r="AB1211" s="7" t="str">
        <f aca="false">IF(P1211="DUP","Exact duplicate row",IF(T1211=1,"Missing Order ID",IF(S1211="DROP","Duplicate Order ID (less complete row)",IF(U1211=1,"Missing Customer ID",IF(V1211=1,"Missing Restaurant name",IF(W1211=1,"Invalid/outlier quantity",IF(X1211=1,"Invalid/outlier unit price",IF(Y1211=1,"Discount greater than order value",""))))))))</f>
        <v/>
      </c>
      <c r="AC1211" s="7" t="str">
        <f aca="false">IF(AB1211="","KEEP","DROP")</f>
        <v>KEEP</v>
      </c>
      <c r="AD1211" s="7" t="str">
        <f aca="false">IF(TRIM(F1211)="",IFERROR(INDEX(Map_Tables!$I$4:$I$37,MATCH(TRIM(E1211),Map_Tables!$G$4:$G$37,0)),""),IFERROR(INDEX(Map_Tables!$B$4:$B$18,MATCH(TRIM(F1211),Map_Tables!$A$4:$A$18,0)),"CHECK"))</f>
        <v>Bengaluru</v>
      </c>
      <c r="AE1211" s="7" t="str">
        <f aca="false">IF(TRIM(E1211)="","",IFERROR(INDEX(Map_Tables!$H$4:$H$37,MATCH(TRIM(E1211),Map_Tables!$G$4:$G$37,0)),"CHECK"))</f>
        <v>Dosa Darbar</v>
      </c>
      <c r="AF1211" s="7" t="str">
        <f aca="false">IF(TRIM(K1211)="","Unknown",IFERROR(INDEX(Map_Tables!$E$4:$E$15,MATCH(TRIM(K1211),Map_Tables!$D$4:$D$15,0)),"CHECK"))</f>
        <v>Credit Card</v>
      </c>
      <c r="AG1211" s="7" t="str">
        <f aca="false">IF(LEFT(LOWER(TRIM(L1211)),6)="cancel","Cancelled","Delivered")</f>
        <v>Delivered</v>
      </c>
      <c r="AH1211" s="10" t="n">
        <f aca="false">IF(ISNUMBER(SEARCH("/",B1211)),DATE(VALUE(RIGHT(B1211,4)),VALUE(MID(B1211,4,2)),VALUE(LEFT(B1211,2))),IF(MID(B1211,5,1)="-",DATE(VALUE(LEFT(B1211,4)),VALUE(MID(B1211,6,2)),VALUE(RIGHT(B1211,2))),DATE(VALUE(RIGHT(B1211,4)),MATCH(MID(B1211,4,3),{"Jan","Feb","Mar","Apr","May","Jun","Jul","Aug","Sep","Oct","Nov","Dec"},0),VALUE(LEFT(B1211,2)))))</f>
        <v>45674</v>
      </c>
    </row>
    <row r="1212" customFormat="false" ht="15" hidden="false" customHeight="false" outlineLevel="0" collapsed="false">
      <c r="A1212" s="7" t="s">
        <v>3425</v>
      </c>
      <c r="B1212" s="7" t="s">
        <v>704</v>
      </c>
      <c r="C1212" s="7" t="s">
        <v>2672</v>
      </c>
      <c r="D1212" s="7" t="s">
        <v>3426</v>
      </c>
      <c r="E1212" s="7" t="s">
        <v>149</v>
      </c>
      <c r="F1212" s="7" t="s">
        <v>119</v>
      </c>
      <c r="G1212" s="7" t="s">
        <v>150</v>
      </c>
      <c r="H1212" s="7" t="n">
        <v>4</v>
      </c>
      <c r="I1212" s="7" t="n">
        <v>170</v>
      </c>
      <c r="J1212" s="7" t="n">
        <v>0</v>
      </c>
      <c r="K1212" s="7" t="s">
        <v>93</v>
      </c>
      <c r="L1212" s="7" t="s">
        <v>194</v>
      </c>
      <c r="M1212" s="7" t="n">
        <v>30</v>
      </c>
      <c r="N1212" s="7"/>
      <c r="O1212" s="7" t="str">
        <f aca="false">A1212&amp;"|"&amp;B1212&amp;"|"&amp;C1212&amp;"|"&amp;D1212&amp;"|"&amp;E1212&amp;"|"&amp;F1212&amp;"|"&amp;G1212&amp;"|"&amp;H1212&amp;"|"&amp;I1212&amp;"|"&amp;J1212&amp;"|"&amp;K1212&amp;"|"&amp;L1212&amp;"|"&amp;M1212&amp;"|"&amp;N1212</f>
        <v>ORD10285|2025-02-08|12:09|C1065|Sweet Tooth Studio|Hyderabad|Desserts|4|170|0|Credit Card|Delivered|30|</v>
      </c>
      <c r="P1212" s="7" t="str">
        <f aca="false">IF(COUNTIF($O$2:O1212,O1212)&gt;1,"DUP","OK")</f>
        <v>OK</v>
      </c>
      <c r="Q1212" s="7" t="n">
        <f aca="false">COUNTBLANK(A1212:N1212)</f>
        <v>1</v>
      </c>
      <c r="R1212" s="7" t="n">
        <f aca="false">IF(A1212="",0,COUNTIFS($A$2:$A$3058,A1212,$P$2:$P$3058,"OK"))</f>
        <v>1</v>
      </c>
      <c r="S1212" s="7" t="str">
        <f aca="false">IF(OR(A1212="",P1212="DUP",R1212&lt;2),"",IF(Q1212=_xlfn.MINIFS($Q$2:$Q$3058,$A$2:$A$3058,A1212,$P$2:$P$3058,"OK"),"KEEP","DROP"))</f>
        <v/>
      </c>
      <c r="T1212" s="9" t="n">
        <f aca="false">IF(A1212="",1,0)</f>
        <v>0</v>
      </c>
      <c r="U1212" s="9" t="n">
        <f aca="false">IF(D1212="",1,0)</f>
        <v>0</v>
      </c>
      <c r="V1212" s="9" t="n">
        <f aca="false">IF(E1212="",1,0)</f>
        <v>0</v>
      </c>
      <c r="W1212" s="9" t="n">
        <f aca="false">IF(OR(H1212&lt;1,H1212&gt;10),1,0)</f>
        <v>0</v>
      </c>
      <c r="X1212" s="9" t="n">
        <f aca="false">IF(OR(I1212&lt;=0,I1212&gt;1500),1,0)</f>
        <v>0</v>
      </c>
      <c r="Y1212" s="9" t="n">
        <f aca="false">IF(J1212&gt;H1212*I1212,1,0)</f>
        <v>0</v>
      </c>
      <c r="Z1212" s="9" t="n">
        <f aca="false">IF(AND(N1212&lt;&gt;"",OR(N1212&lt;1,N1212&gt;5)),1,0)</f>
        <v>0</v>
      </c>
      <c r="AA1212" s="9" t="n">
        <f aca="false">IF(AND(M1212&lt;&gt;"",OR(M1212&lt;5,M1212&gt;180)),1,0)</f>
        <v>0</v>
      </c>
      <c r="AB1212" s="7" t="str">
        <f aca="false">IF(P1212="DUP","Exact duplicate row",IF(T1212=1,"Missing Order ID",IF(S1212="DROP","Duplicate Order ID (less complete row)",IF(U1212=1,"Missing Customer ID",IF(V1212=1,"Missing Restaurant name",IF(W1212=1,"Invalid/outlier quantity",IF(X1212=1,"Invalid/outlier unit price",IF(Y1212=1,"Discount greater than order value",""))))))))</f>
        <v/>
      </c>
      <c r="AC1212" s="7" t="str">
        <f aca="false">IF(AB1212="","KEEP","DROP")</f>
        <v>KEEP</v>
      </c>
      <c r="AD1212" s="7" t="str">
        <f aca="false">IF(TRIM(F1212)="",IFERROR(INDEX(Map_Tables!$I$4:$I$37,MATCH(TRIM(E1212),Map_Tables!$G$4:$G$37,0)),""),IFERROR(INDEX(Map_Tables!$B$4:$B$18,MATCH(TRIM(F1212),Map_Tables!$A$4:$A$18,0)),"CHECK"))</f>
        <v>Hyderabad</v>
      </c>
      <c r="AE1212" s="7" t="str">
        <f aca="false">IF(TRIM(E1212)="","",IFERROR(INDEX(Map_Tables!$H$4:$H$37,MATCH(TRIM(E1212),Map_Tables!$G$4:$G$37,0)),"CHECK"))</f>
        <v>Sweet Tooth Studio</v>
      </c>
      <c r="AF1212" s="7" t="str">
        <f aca="false">IF(TRIM(K1212)="","Unknown",IFERROR(INDEX(Map_Tables!$E$4:$E$15,MATCH(TRIM(K1212),Map_Tables!$D$4:$D$15,0)),"CHECK"))</f>
        <v>Credit Card</v>
      </c>
      <c r="AG1212" s="7" t="str">
        <f aca="false">IF(LEFT(LOWER(TRIM(L1212)),6)="cancel","Cancelled","Delivered")</f>
        <v>Delivered</v>
      </c>
      <c r="AH1212" s="10" t="n">
        <f aca="false">IF(ISNUMBER(SEARCH("/",B1212)),DATE(VALUE(RIGHT(B1212,4)),VALUE(MID(B1212,4,2)),VALUE(LEFT(B1212,2))),IF(MID(B1212,5,1)="-",DATE(VALUE(LEFT(B1212,4)),VALUE(MID(B1212,6,2)),VALUE(RIGHT(B1212,2))),DATE(VALUE(RIGHT(B1212,4)),MATCH(MID(B1212,4,3),{"Jan","Feb","Mar","Apr","May","Jun","Jul","Aug","Sep","Oct","Nov","Dec"},0),VALUE(LEFT(B1212,2)))))</f>
        <v>45696</v>
      </c>
    </row>
    <row r="1213" customFormat="false" ht="15" hidden="false" customHeight="false" outlineLevel="0" collapsed="false">
      <c r="A1213" s="7" t="s">
        <v>2850</v>
      </c>
      <c r="B1213" s="7" t="s">
        <v>921</v>
      </c>
      <c r="C1213" s="7" t="s">
        <v>2588</v>
      </c>
      <c r="D1213" s="7" t="s">
        <v>2851</v>
      </c>
      <c r="E1213" s="7" t="s">
        <v>130</v>
      </c>
      <c r="F1213" s="7" t="s">
        <v>110</v>
      </c>
      <c r="G1213" s="7" t="s">
        <v>90</v>
      </c>
      <c r="H1213" s="7" t="n">
        <v>3</v>
      </c>
      <c r="I1213" s="7" t="n">
        <v>310</v>
      </c>
      <c r="J1213" s="7" t="n">
        <v>30</v>
      </c>
      <c r="K1213" s="7" t="s">
        <v>112</v>
      </c>
      <c r="L1213" s="7" t="s">
        <v>194</v>
      </c>
      <c r="M1213" s="7" t="n">
        <v>44</v>
      </c>
      <c r="N1213" s="7" t="n">
        <v>4</v>
      </c>
      <c r="O1213" s="7" t="str">
        <f aca="false">A1213&amp;"|"&amp;B1213&amp;"|"&amp;C1213&amp;"|"&amp;D1213&amp;"|"&amp;E1213&amp;"|"&amp;F1213&amp;"|"&amp;G1213&amp;"|"&amp;H1213&amp;"|"&amp;I1213&amp;"|"&amp;J1213&amp;"|"&amp;K1213&amp;"|"&amp;L1213&amp;"|"&amp;M1213&amp;"|"&amp;N1213</f>
        <v>ORD12157|2025-10-03|11:01|C0464|Tandoor Tales|Delhi|North Indian|3|310|30|Cash on Delivery|Delivered|44|4</v>
      </c>
      <c r="P1213" s="7" t="str">
        <f aca="false">IF(COUNTIF($O$2:O1213,O1213)&gt;1,"DUP","OK")</f>
        <v>DUP</v>
      </c>
      <c r="Q1213" s="7" t="n">
        <f aca="false">COUNTBLANK(A1213:N1213)</f>
        <v>0</v>
      </c>
      <c r="R1213" s="7" t="n">
        <f aca="false">IF(A1213="",0,COUNTIFS($A$2:$A$3058,A1213,$P$2:$P$3058,"OK"))</f>
        <v>1</v>
      </c>
      <c r="S1213" s="7" t="str">
        <f aca="false">IF(OR(A1213="",P1213="DUP",R1213&lt;2),"",IF(Q1213=_xlfn.MINIFS($Q$2:$Q$3058,$A$2:$A$3058,A1213,$P$2:$P$3058,"OK"),"KEEP","DROP"))</f>
        <v/>
      </c>
      <c r="T1213" s="9" t="n">
        <f aca="false">IF(A1213="",1,0)</f>
        <v>0</v>
      </c>
      <c r="U1213" s="9" t="n">
        <f aca="false">IF(D1213="",1,0)</f>
        <v>0</v>
      </c>
      <c r="V1213" s="9" t="n">
        <f aca="false">IF(E1213="",1,0)</f>
        <v>0</v>
      </c>
      <c r="W1213" s="9" t="n">
        <f aca="false">IF(OR(H1213&lt;1,H1213&gt;10),1,0)</f>
        <v>0</v>
      </c>
      <c r="X1213" s="9" t="n">
        <f aca="false">IF(OR(I1213&lt;=0,I1213&gt;1500),1,0)</f>
        <v>0</v>
      </c>
      <c r="Y1213" s="9" t="n">
        <f aca="false">IF(J1213&gt;H1213*I1213,1,0)</f>
        <v>0</v>
      </c>
      <c r="Z1213" s="9" t="n">
        <f aca="false">IF(AND(N1213&lt;&gt;"",OR(N1213&lt;1,N1213&gt;5)),1,0)</f>
        <v>0</v>
      </c>
      <c r="AA1213" s="9" t="n">
        <f aca="false">IF(AND(M1213&lt;&gt;"",OR(M1213&lt;5,M1213&gt;180)),1,0)</f>
        <v>0</v>
      </c>
      <c r="AB1213" s="7" t="str">
        <f aca="false">IF(P1213="DUP","Exact duplicate row",IF(T1213=1,"Missing Order ID",IF(S1213="DROP","Duplicate Order ID (less complete row)",IF(U1213=1,"Missing Customer ID",IF(V1213=1,"Missing Restaurant name",IF(W1213=1,"Invalid/outlier quantity",IF(X1213=1,"Invalid/outlier unit price",IF(Y1213=1,"Discount greater than order value",""))))))))</f>
        <v>Exact duplicate row</v>
      </c>
      <c r="AC1213" s="7" t="str">
        <f aca="false">IF(AB1213="","KEEP","DROP")</f>
        <v>DROP</v>
      </c>
      <c r="AD1213" s="7" t="str">
        <f aca="false">IF(TRIM(F1213)="",IFERROR(INDEX(Map_Tables!$I$4:$I$37,MATCH(TRIM(E1213),Map_Tables!$G$4:$G$37,0)),""),IFERROR(INDEX(Map_Tables!$B$4:$B$18,MATCH(TRIM(F1213),Map_Tables!$A$4:$A$18,0)),"CHECK"))</f>
        <v>Delhi</v>
      </c>
      <c r="AE1213" s="7" t="str">
        <f aca="false">IF(TRIM(E1213)="","",IFERROR(INDEX(Map_Tables!$H$4:$H$37,MATCH(TRIM(E1213),Map_Tables!$G$4:$G$37,0)),"CHECK"))</f>
        <v>Tandoor Tales</v>
      </c>
      <c r="AF1213" s="7" t="str">
        <f aca="false">IF(TRIM(K1213)="","Unknown",IFERROR(INDEX(Map_Tables!$E$4:$E$15,MATCH(TRIM(K1213),Map_Tables!$D$4:$D$15,0)),"CHECK"))</f>
        <v>Cash on Delivery</v>
      </c>
      <c r="AG1213" s="7" t="str">
        <f aca="false">IF(LEFT(LOWER(TRIM(L1213)),6)="cancel","Cancelled","Delivered")</f>
        <v>Delivered</v>
      </c>
      <c r="AH1213" s="10" t="n">
        <f aca="false">IF(ISNUMBER(SEARCH("/",B1213)),DATE(VALUE(RIGHT(B1213,4)),VALUE(MID(B1213,4,2)),VALUE(LEFT(B1213,2))),IF(MID(B1213,5,1)="-",DATE(VALUE(LEFT(B1213,4)),VALUE(MID(B1213,6,2)),VALUE(RIGHT(B1213,2))),DATE(VALUE(RIGHT(B1213,4)),MATCH(MID(B1213,4,3),{"Jan","Feb","Mar","Apr","May","Jun","Jul","Aug","Sep","Oct","Nov","Dec"},0),VALUE(LEFT(B1213,2)))))</f>
        <v>45933</v>
      </c>
    </row>
    <row r="1214" customFormat="false" ht="15" hidden="false" customHeight="false" outlineLevel="0" collapsed="false">
      <c r="A1214" s="7" t="s">
        <v>3427</v>
      </c>
      <c r="B1214" s="7" t="s">
        <v>2713</v>
      </c>
      <c r="C1214" s="7" t="s">
        <v>2710</v>
      </c>
      <c r="D1214" s="7" t="s">
        <v>3428</v>
      </c>
      <c r="E1214" s="7" t="s">
        <v>144</v>
      </c>
      <c r="F1214" s="7" t="s">
        <v>119</v>
      </c>
      <c r="G1214" s="7" t="s">
        <v>99</v>
      </c>
      <c r="H1214" s="7" t="n">
        <v>1</v>
      </c>
      <c r="I1214" s="7" t="n">
        <v>310</v>
      </c>
      <c r="J1214" s="7" t="n">
        <v>0</v>
      </c>
      <c r="K1214" s="7" t="s">
        <v>93</v>
      </c>
      <c r="L1214" s="7" t="s">
        <v>194</v>
      </c>
      <c r="M1214" s="7" t="n">
        <v>40</v>
      </c>
      <c r="N1214" s="7" t="n">
        <v>4</v>
      </c>
      <c r="O1214" s="7" t="str">
        <f aca="false">A1214&amp;"|"&amp;B1214&amp;"|"&amp;C1214&amp;"|"&amp;D1214&amp;"|"&amp;E1214&amp;"|"&amp;F1214&amp;"|"&amp;G1214&amp;"|"&amp;H1214&amp;"|"&amp;I1214&amp;"|"&amp;J1214&amp;"|"&amp;K1214&amp;"|"&amp;L1214&amp;"|"&amp;M1214&amp;"|"&amp;N1214</f>
        <v>ORD10979|2025-05-04|13:59|C1156|Hyderabad Dum Biryani|Hyderabad|Biryani|1|310|0|Credit Card|Delivered|40|4</v>
      </c>
      <c r="P1214" s="7" t="str">
        <f aca="false">IF(COUNTIF($O$2:O1214,O1214)&gt;1,"DUP","OK")</f>
        <v>OK</v>
      </c>
      <c r="Q1214" s="7" t="n">
        <f aca="false">COUNTBLANK(A1214:N1214)</f>
        <v>0</v>
      </c>
      <c r="R1214" s="7" t="n">
        <f aca="false">IF(A1214="",0,COUNTIFS($A$2:$A$3058,A1214,$P$2:$P$3058,"OK"))</f>
        <v>1</v>
      </c>
      <c r="S1214" s="7" t="str">
        <f aca="false">IF(OR(A1214="",P1214="DUP",R1214&lt;2),"",IF(Q1214=_xlfn.MINIFS($Q$2:$Q$3058,$A$2:$A$3058,A1214,$P$2:$P$3058,"OK"),"KEEP","DROP"))</f>
        <v/>
      </c>
      <c r="T1214" s="9" t="n">
        <f aca="false">IF(A1214="",1,0)</f>
        <v>0</v>
      </c>
      <c r="U1214" s="9" t="n">
        <f aca="false">IF(D1214="",1,0)</f>
        <v>0</v>
      </c>
      <c r="V1214" s="9" t="n">
        <f aca="false">IF(E1214="",1,0)</f>
        <v>0</v>
      </c>
      <c r="W1214" s="9" t="n">
        <f aca="false">IF(OR(H1214&lt;1,H1214&gt;10),1,0)</f>
        <v>0</v>
      </c>
      <c r="X1214" s="9" t="n">
        <f aca="false">IF(OR(I1214&lt;=0,I1214&gt;1500),1,0)</f>
        <v>0</v>
      </c>
      <c r="Y1214" s="9" t="n">
        <f aca="false">IF(J1214&gt;H1214*I1214,1,0)</f>
        <v>0</v>
      </c>
      <c r="Z1214" s="9" t="n">
        <f aca="false">IF(AND(N1214&lt;&gt;"",OR(N1214&lt;1,N1214&gt;5)),1,0)</f>
        <v>0</v>
      </c>
      <c r="AA1214" s="9" t="n">
        <f aca="false">IF(AND(M1214&lt;&gt;"",OR(M1214&lt;5,M1214&gt;180)),1,0)</f>
        <v>0</v>
      </c>
      <c r="AB1214" s="7" t="str">
        <f aca="false">IF(P1214="DUP","Exact duplicate row",IF(T1214=1,"Missing Order ID",IF(S1214="DROP","Duplicate Order ID (less complete row)",IF(U1214=1,"Missing Customer ID",IF(V1214=1,"Missing Restaurant name",IF(W1214=1,"Invalid/outlier quantity",IF(X1214=1,"Invalid/outlier unit price",IF(Y1214=1,"Discount greater than order value",""))))))))</f>
        <v/>
      </c>
      <c r="AC1214" s="7" t="str">
        <f aca="false">IF(AB1214="","KEEP","DROP")</f>
        <v>KEEP</v>
      </c>
      <c r="AD1214" s="7" t="str">
        <f aca="false">IF(TRIM(F1214)="",IFERROR(INDEX(Map_Tables!$I$4:$I$37,MATCH(TRIM(E1214),Map_Tables!$G$4:$G$37,0)),""),IFERROR(INDEX(Map_Tables!$B$4:$B$18,MATCH(TRIM(F1214),Map_Tables!$A$4:$A$18,0)),"CHECK"))</f>
        <v>Hyderabad</v>
      </c>
      <c r="AE1214" s="7" t="str">
        <f aca="false">IF(TRIM(E1214)="","",IFERROR(INDEX(Map_Tables!$H$4:$H$37,MATCH(TRIM(E1214),Map_Tables!$G$4:$G$37,0)),"CHECK"))</f>
        <v>Hyderabad Dum Biryani</v>
      </c>
      <c r="AF1214" s="7" t="str">
        <f aca="false">IF(TRIM(K1214)="","Unknown",IFERROR(INDEX(Map_Tables!$E$4:$E$15,MATCH(TRIM(K1214),Map_Tables!$D$4:$D$15,0)),"CHECK"))</f>
        <v>Credit Card</v>
      </c>
      <c r="AG1214" s="7" t="str">
        <f aca="false">IF(LEFT(LOWER(TRIM(L1214)),6)="cancel","Cancelled","Delivered")</f>
        <v>Delivered</v>
      </c>
      <c r="AH1214" s="10" t="n">
        <f aca="false">IF(ISNUMBER(SEARCH("/",B1214)),DATE(VALUE(RIGHT(B1214,4)),VALUE(MID(B1214,4,2)),VALUE(LEFT(B1214,2))),IF(MID(B1214,5,1)="-",DATE(VALUE(LEFT(B1214,4)),VALUE(MID(B1214,6,2)),VALUE(RIGHT(B1214,2))),DATE(VALUE(RIGHT(B1214,4)),MATCH(MID(B1214,4,3),{"Jan","Feb","Mar","Apr","May","Jun","Jul","Aug","Sep","Oct","Nov","Dec"},0),VALUE(LEFT(B1214,2)))))</f>
        <v>45781</v>
      </c>
    </row>
    <row r="1215" customFormat="false" ht="15" hidden="false" customHeight="false" outlineLevel="0" collapsed="false">
      <c r="A1215" s="7" t="s">
        <v>3429</v>
      </c>
      <c r="B1215" s="7" t="s">
        <v>3399</v>
      </c>
      <c r="C1215" s="7" t="s">
        <v>732</v>
      </c>
      <c r="D1215" s="7" t="s">
        <v>948</v>
      </c>
      <c r="E1215" s="7" t="s">
        <v>122</v>
      </c>
      <c r="F1215" s="7" t="s">
        <v>101</v>
      </c>
      <c r="G1215" s="7" t="s">
        <v>123</v>
      </c>
      <c r="H1215" s="7" t="n">
        <v>3</v>
      </c>
      <c r="I1215" s="7" t="n">
        <v>360</v>
      </c>
      <c r="J1215" s="7" t="n">
        <v>0</v>
      </c>
      <c r="K1215" s="7" t="s">
        <v>102</v>
      </c>
      <c r="L1215" s="7" t="s">
        <v>194</v>
      </c>
      <c r="M1215" s="7" t="n">
        <v>53</v>
      </c>
      <c r="N1215" s="7"/>
      <c r="O1215" s="7" t="str">
        <f aca="false">A1215&amp;"|"&amp;B1215&amp;"|"&amp;C1215&amp;"|"&amp;D1215&amp;"|"&amp;E1215&amp;"|"&amp;F1215&amp;"|"&amp;G1215&amp;"|"&amp;H1215&amp;"|"&amp;I1215&amp;"|"&amp;J1215&amp;"|"&amp;K1215&amp;"|"&amp;L1215&amp;"|"&amp;M1215&amp;"|"&amp;N1215</f>
        <v>ORD10624|2025-03-20|19:07|C0622|Mumbai Pizza Co|Mumbai|Pizza|3|360|0|debit card|Delivered|53|</v>
      </c>
      <c r="P1215" s="7" t="str">
        <f aca="false">IF(COUNTIF($O$2:O1215,O1215)&gt;1,"DUP","OK")</f>
        <v>OK</v>
      </c>
      <c r="Q1215" s="7" t="n">
        <f aca="false">COUNTBLANK(A1215:N1215)</f>
        <v>1</v>
      </c>
      <c r="R1215" s="7" t="n">
        <f aca="false">IF(A1215="",0,COUNTIFS($A$2:$A$3058,A1215,$P$2:$P$3058,"OK"))</f>
        <v>1</v>
      </c>
      <c r="S1215" s="7" t="str">
        <f aca="false">IF(OR(A1215="",P1215="DUP",R1215&lt;2),"",IF(Q1215=_xlfn.MINIFS($Q$2:$Q$3058,$A$2:$A$3058,A1215,$P$2:$P$3058,"OK"),"KEEP","DROP"))</f>
        <v/>
      </c>
      <c r="T1215" s="9" t="n">
        <f aca="false">IF(A1215="",1,0)</f>
        <v>0</v>
      </c>
      <c r="U1215" s="9" t="n">
        <f aca="false">IF(D1215="",1,0)</f>
        <v>0</v>
      </c>
      <c r="V1215" s="9" t="n">
        <f aca="false">IF(E1215="",1,0)</f>
        <v>0</v>
      </c>
      <c r="W1215" s="9" t="n">
        <f aca="false">IF(OR(H1215&lt;1,H1215&gt;10),1,0)</f>
        <v>0</v>
      </c>
      <c r="X1215" s="9" t="n">
        <f aca="false">IF(OR(I1215&lt;=0,I1215&gt;1500),1,0)</f>
        <v>0</v>
      </c>
      <c r="Y1215" s="9" t="n">
        <f aca="false">IF(J1215&gt;H1215*I1215,1,0)</f>
        <v>0</v>
      </c>
      <c r="Z1215" s="9" t="n">
        <f aca="false">IF(AND(N1215&lt;&gt;"",OR(N1215&lt;1,N1215&gt;5)),1,0)</f>
        <v>0</v>
      </c>
      <c r="AA1215" s="9" t="n">
        <f aca="false">IF(AND(M1215&lt;&gt;"",OR(M1215&lt;5,M1215&gt;180)),1,0)</f>
        <v>0</v>
      </c>
      <c r="AB1215" s="7" t="str">
        <f aca="false">IF(P1215="DUP","Exact duplicate row",IF(T1215=1,"Missing Order ID",IF(S1215="DROP","Duplicate Order ID (less complete row)",IF(U1215=1,"Missing Customer ID",IF(V1215=1,"Missing Restaurant name",IF(W1215=1,"Invalid/outlier quantity",IF(X1215=1,"Invalid/outlier unit price",IF(Y1215=1,"Discount greater than order value",""))))))))</f>
        <v/>
      </c>
      <c r="AC1215" s="7" t="str">
        <f aca="false">IF(AB1215="","KEEP","DROP")</f>
        <v>KEEP</v>
      </c>
      <c r="AD1215" s="7" t="str">
        <f aca="false">IF(TRIM(F1215)="",IFERROR(INDEX(Map_Tables!$I$4:$I$37,MATCH(TRIM(E1215),Map_Tables!$G$4:$G$37,0)),""),IFERROR(INDEX(Map_Tables!$B$4:$B$18,MATCH(TRIM(F1215),Map_Tables!$A$4:$A$18,0)),"CHECK"))</f>
        <v>Mumbai</v>
      </c>
      <c r="AE1215" s="7" t="str">
        <f aca="false">IF(TRIM(E1215)="","",IFERROR(INDEX(Map_Tables!$H$4:$H$37,MATCH(TRIM(E1215),Map_Tables!$G$4:$G$37,0)),"CHECK"))</f>
        <v>Mumbai Pizza Co</v>
      </c>
      <c r="AF1215" s="7" t="str">
        <f aca="false">IF(TRIM(K1215)="","Unknown",IFERROR(INDEX(Map_Tables!$E$4:$E$15,MATCH(TRIM(K1215),Map_Tables!$D$4:$D$15,0)),"CHECK"))</f>
        <v>Debit Card</v>
      </c>
      <c r="AG1215" s="7" t="str">
        <f aca="false">IF(LEFT(LOWER(TRIM(L1215)),6)="cancel","Cancelled","Delivered")</f>
        <v>Delivered</v>
      </c>
      <c r="AH1215" s="10" t="n">
        <f aca="false">IF(ISNUMBER(SEARCH("/",B1215)),DATE(VALUE(RIGHT(B1215,4)),VALUE(MID(B1215,4,2)),VALUE(LEFT(B1215,2))),IF(MID(B1215,5,1)="-",DATE(VALUE(LEFT(B1215,4)),VALUE(MID(B1215,6,2)),VALUE(RIGHT(B1215,2))),DATE(VALUE(RIGHT(B1215,4)),MATCH(MID(B1215,4,3),{"Jan","Feb","Mar","Apr","May","Jun","Jul","Aug","Sep","Oct","Nov","Dec"},0),VALUE(LEFT(B1215,2)))))</f>
        <v>45736</v>
      </c>
    </row>
    <row r="1216" customFormat="false" ht="15" hidden="false" customHeight="false" outlineLevel="0" collapsed="false">
      <c r="A1216" s="7" t="s">
        <v>3430</v>
      </c>
      <c r="B1216" s="7" t="s">
        <v>1132</v>
      </c>
      <c r="C1216" s="7" t="s">
        <v>1805</v>
      </c>
      <c r="D1216" s="7" t="s">
        <v>3431</v>
      </c>
      <c r="E1216" s="7" t="s">
        <v>151</v>
      </c>
      <c r="F1216" s="7" t="s">
        <v>128</v>
      </c>
      <c r="G1216" s="7" t="s">
        <v>95</v>
      </c>
      <c r="H1216" s="7" t="n">
        <v>2</v>
      </c>
      <c r="I1216" s="7" t="n">
        <v>205</v>
      </c>
      <c r="J1216" s="7" t="n">
        <v>40</v>
      </c>
      <c r="K1216" s="7" t="s">
        <v>112</v>
      </c>
      <c r="L1216" s="7" t="s">
        <v>194</v>
      </c>
      <c r="M1216" s="7" t="n">
        <v>24</v>
      </c>
      <c r="N1216" s="7" t="n">
        <v>5</v>
      </c>
      <c r="O1216" s="7" t="str">
        <f aca="false">A1216&amp;"|"&amp;B1216&amp;"|"&amp;C1216&amp;"|"&amp;D1216&amp;"|"&amp;E1216&amp;"|"&amp;F1216&amp;"|"&amp;G1216&amp;"|"&amp;H1216&amp;"|"&amp;I1216&amp;"|"&amp;J1216&amp;"|"&amp;K1216&amp;"|"&amp;L1216&amp;"|"&amp;M1216&amp;"|"&amp;N1216</f>
        <v>ORD10689|2025-03-28|19:30|C0457|Chettinad House|Chennai|South Indian|2|205|40|Cash on Delivery|Delivered|24|5</v>
      </c>
      <c r="P1216" s="7" t="str">
        <f aca="false">IF(COUNTIF($O$2:O1216,O1216)&gt;1,"DUP","OK")</f>
        <v>OK</v>
      </c>
      <c r="Q1216" s="7" t="n">
        <f aca="false">COUNTBLANK(A1216:N1216)</f>
        <v>0</v>
      </c>
      <c r="R1216" s="7" t="n">
        <f aca="false">IF(A1216="",0,COUNTIFS($A$2:$A$3058,A1216,$P$2:$P$3058,"OK"))</f>
        <v>1</v>
      </c>
      <c r="S1216" s="7" t="str">
        <f aca="false">IF(OR(A1216="",P1216="DUP",R1216&lt;2),"",IF(Q1216=_xlfn.MINIFS($Q$2:$Q$3058,$A$2:$A$3058,A1216,$P$2:$P$3058,"OK"),"KEEP","DROP"))</f>
        <v/>
      </c>
      <c r="T1216" s="9" t="n">
        <f aca="false">IF(A1216="",1,0)</f>
        <v>0</v>
      </c>
      <c r="U1216" s="9" t="n">
        <f aca="false">IF(D1216="",1,0)</f>
        <v>0</v>
      </c>
      <c r="V1216" s="9" t="n">
        <f aca="false">IF(E1216="",1,0)</f>
        <v>0</v>
      </c>
      <c r="W1216" s="9" t="n">
        <f aca="false">IF(OR(H1216&lt;1,H1216&gt;10),1,0)</f>
        <v>0</v>
      </c>
      <c r="X1216" s="9" t="n">
        <f aca="false">IF(OR(I1216&lt;=0,I1216&gt;1500),1,0)</f>
        <v>0</v>
      </c>
      <c r="Y1216" s="9" t="n">
        <f aca="false">IF(J1216&gt;H1216*I1216,1,0)</f>
        <v>0</v>
      </c>
      <c r="Z1216" s="9" t="n">
        <f aca="false">IF(AND(N1216&lt;&gt;"",OR(N1216&lt;1,N1216&gt;5)),1,0)</f>
        <v>0</v>
      </c>
      <c r="AA1216" s="9" t="n">
        <f aca="false">IF(AND(M1216&lt;&gt;"",OR(M1216&lt;5,M1216&gt;180)),1,0)</f>
        <v>0</v>
      </c>
      <c r="AB1216" s="7" t="str">
        <f aca="false">IF(P1216="DUP","Exact duplicate row",IF(T1216=1,"Missing Order ID",IF(S1216="DROP","Duplicate Order ID (less complete row)",IF(U1216=1,"Missing Customer ID",IF(V1216=1,"Missing Restaurant name",IF(W1216=1,"Invalid/outlier quantity",IF(X1216=1,"Invalid/outlier unit price",IF(Y1216=1,"Discount greater than order value",""))))))))</f>
        <v/>
      </c>
      <c r="AC1216" s="7" t="str">
        <f aca="false">IF(AB1216="","KEEP","DROP")</f>
        <v>KEEP</v>
      </c>
      <c r="AD1216" s="7" t="str">
        <f aca="false">IF(TRIM(F1216)="",IFERROR(INDEX(Map_Tables!$I$4:$I$37,MATCH(TRIM(E1216),Map_Tables!$G$4:$G$37,0)),""),IFERROR(INDEX(Map_Tables!$B$4:$B$18,MATCH(TRIM(F1216),Map_Tables!$A$4:$A$18,0)),"CHECK"))</f>
        <v>Chennai</v>
      </c>
      <c r="AE1216" s="7" t="str">
        <f aca="false">IF(TRIM(E1216)="","",IFERROR(INDEX(Map_Tables!$H$4:$H$37,MATCH(TRIM(E1216),Map_Tables!$G$4:$G$37,0)),"CHECK"))</f>
        <v>Chettinad House</v>
      </c>
      <c r="AF1216" s="7" t="str">
        <f aca="false">IF(TRIM(K1216)="","Unknown",IFERROR(INDEX(Map_Tables!$E$4:$E$15,MATCH(TRIM(K1216),Map_Tables!$D$4:$D$15,0)),"CHECK"))</f>
        <v>Cash on Delivery</v>
      </c>
      <c r="AG1216" s="7" t="str">
        <f aca="false">IF(LEFT(LOWER(TRIM(L1216)),6)="cancel","Cancelled","Delivered")</f>
        <v>Delivered</v>
      </c>
      <c r="AH1216" s="10" t="n">
        <f aca="false">IF(ISNUMBER(SEARCH("/",B1216)),DATE(VALUE(RIGHT(B1216,4)),VALUE(MID(B1216,4,2)),VALUE(LEFT(B1216,2))),IF(MID(B1216,5,1)="-",DATE(VALUE(LEFT(B1216,4)),VALUE(MID(B1216,6,2)),VALUE(RIGHT(B1216,2))),DATE(VALUE(RIGHT(B1216,4)),MATCH(MID(B1216,4,3),{"Jan","Feb","Mar","Apr","May","Jun","Jul","Aug","Sep","Oct","Nov","Dec"},0),VALUE(LEFT(B1216,2)))))</f>
        <v>45744</v>
      </c>
    </row>
    <row r="1217" customFormat="false" ht="15" hidden="false" customHeight="false" outlineLevel="0" collapsed="false">
      <c r="A1217" s="7" t="s">
        <v>3432</v>
      </c>
      <c r="B1217" s="7" t="s">
        <v>1538</v>
      </c>
      <c r="C1217" s="7" t="s">
        <v>1101</v>
      </c>
      <c r="D1217" s="7" t="s">
        <v>3433</v>
      </c>
      <c r="E1217" s="7" t="s">
        <v>94</v>
      </c>
      <c r="F1217" s="7" t="s">
        <v>86</v>
      </c>
      <c r="G1217" s="7" t="s">
        <v>95</v>
      </c>
      <c r="H1217" s="7" t="n">
        <v>5</v>
      </c>
      <c r="I1217" s="7" t="n">
        <v>145</v>
      </c>
      <c r="J1217" s="7" t="n">
        <v>0</v>
      </c>
      <c r="K1217" s="7" t="s">
        <v>112</v>
      </c>
      <c r="L1217" s="7" t="s">
        <v>194</v>
      </c>
      <c r="M1217" s="7" t="n">
        <v>47</v>
      </c>
      <c r="N1217" s="7" t="n">
        <v>3</v>
      </c>
      <c r="O1217" s="7" t="str">
        <f aca="false">A1217&amp;"|"&amp;B1217&amp;"|"&amp;C1217&amp;"|"&amp;D1217&amp;"|"&amp;E1217&amp;"|"&amp;F1217&amp;"|"&amp;G1217&amp;"|"&amp;H1217&amp;"|"&amp;I1217&amp;"|"&amp;J1217&amp;"|"&amp;K1217&amp;"|"&amp;L1217&amp;"|"&amp;M1217&amp;"|"&amp;N1217</f>
        <v>ORD11845|2025-08-28|19:59|C1479|Dosa Darbar|Bengaluru|South Indian|5|145|0|Cash on Delivery|Delivered|47|3</v>
      </c>
      <c r="P1217" s="7" t="str">
        <f aca="false">IF(COUNTIF($O$2:O1217,O1217)&gt;1,"DUP","OK")</f>
        <v>OK</v>
      </c>
      <c r="Q1217" s="7" t="n">
        <f aca="false">COUNTBLANK(A1217:N1217)</f>
        <v>0</v>
      </c>
      <c r="R1217" s="7" t="n">
        <f aca="false">IF(A1217="",0,COUNTIFS($A$2:$A$3058,A1217,$P$2:$P$3058,"OK"))</f>
        <v>1</v>
      </c>
      <c r="S1217" s="7" t="str">
        <f aca="false">IF(OR(A1217="",P1217="DUP",R1217&lt;2),"",IF(Q1217=_xlfn.MINIFS($Q$2:$Q$3058,$A$2:$A$3058,A1217,$P$2:$P$3058,"OK"),"KEEP","DROP"))</f>
        <v/>
      </c>
      <c r="T1217" s="9" t="n">
        <f aca="false">IF(A1217="",1,0)</f>
        <v>0</v>
      </c>
      <c r="U1217" s="9" t="n">
        <f aca="false">IF(D1217="",1,0)</f>
        <v>0</v>
      </c>
      <c r="V1217" s="9" t="n">
        <f aca="false">IF(E1217="",1,0)</f>
        <v>0</v>
      </c>
      <c r="W1217" s="9" t="n">
        <f aca="false">IF(OR(H1217&lt;1,H1217&gt;10),1,0)</f>
        <v>0</v>
      </c>
      <c r="X1217" s="9" t="n">
        <f aca="false">IF(OR(I1217&lt;=0,I1217&gt;1500),1,0)</f>
        <v>0</v>
      </c>
      <c r="Y1217" s="9" t="n">
        <f aca="false">IF(J1217&gt;H1217*I1217,1,0)</f>
        <v>0</v>
      </c>
      <c r="Z1217" s="9" t="n">
        <f aca="false">IF(AND(N1217&lt;&gt;"",OR(N1217&lt;1,N1217&gt;5)),1,0)</f>
        <v>0</v>
      </c>
      <c r="AA1217" s="9" t="n">
        <f aca="false">IF(AND(M1217&lt;&gt;"",OR(M1217&lt;5,M1217&gt;180)),1,0)</f>
        <v>0</v>
      </c>
      <c r="AB1217" s="7" t="str">
        <f aca="false">IF(P1217="DUP","Exact duplicate row",IF(T1217=1,"Missing Order ID",IF(S1217="DROP","Duplicate Order ID (less complete row)",IF(U1217=1,"Missing Customer ID",IF(V1217=1,"Missing Restaurant name",IF(W1217=1,"Invalid/outlier quantity",IF(X1217=1,"Invalid/outlier unit price",IF(Y1217=1,"Discount greater than order value",""))))))))</f>
        <v/>
      </c>
      <c r="AC1217" s="7" t="str">
        <f aca="false">IF(AB1217="","KEEP","DROP")</f>
        <v>KEEP</v>
      </c>
      <c r="AD1217" s="7" t="str">
        <f aca="false">IF(TRIM(F1217)="",IFERROR(INDEX(Map_Tables!$I$4:$I$37,MATCH(TRIM(E1217),Map_Tables!$G$4:$G$37,0)),""),IFERROR(INDEX(Map_Tables!$B$4:$B$18,MATCH(TRIM(F1217),Map_Tables!$A$4:$A$18,0)),"CHECK"))</f>
        <v>Bengaluru</v>
      </c>
      <c r="AE1217" s="7" t="str">
        <f aca="false">IF(TRIM(E1217)="","",IFERROR(INDEX(Map_Tables!$H$4:$H$37,MATCH(TRIM(E1217),Map_Tables!$G$4:$G$37,0)),"CHECK"))</f>
        <v>Dosa Darbar</v>
      </c>
      <c r="AF1217" s="7" t="str">
        <f aca="false">IF(TRIM(K1217)="","Unknown",IFERROR(INDEX(Map_Tables!$E$4:$E$15,MATCH(TRIM(K1217),Map_Tables!$D$4:$D$15,0)),"CHECK"))</f>
        <v>Cash on Delivery</v>
      </c>
      <c r="AG1217" s="7" t="str">
        <f aca="false">IF(LEFT(LOWER(TRIM(L1217)),6)="cancel","Cancelled","Delivered")</f>
        <v>Delivered</v>
      </c>
      <c r="AH1217" s="10" t="n">
        <f aca="false">IF(ISNUMBER(SEARCH("/",B1217)),DATE(VALUE(RIGHT(B1217,4)),VALUE(MID(B1217,4,2)),VALUE(LEFT(B1217,2))),IF(MID(B1217,5,1)="-",DATE(VALUE(LEFT(B1217,4)),VALUE(MID(B1217,6,2)),VALUE(RIGHT(B1217,2))),DATE(VALUE(RIGHT(B1217,4)),MATCH(MID(B1217,4,3),{"Jan","Feb","Mar","Apr","May","Jun","Jul","Aug","Sep","Oct","Nov","Dec"},0),VALUE(LEFT(B1217,2)))))</f>
        <v>45897</v>
      </c>
    </row>
    <row r="1218" customFormat="false" ht="15" hidden="false" customHeight="false" outlineLevel="0" collapsed="false">
      <c r="A1218" s="7" t="s">
        <v>3434</v>
      </c>
      <c r="B1218" s="7" t="s">
        <v>1650</v>
      </c>
      <c r="C1218" s="7" t="s">
        <v>3435</v>
      </c>
      <c r="D1218" s="7" t="s">
        <v>2694</v>
      </c>
      <c r="E1218" s="7" t="s">
        <v>94</v>
      </c>
      <c r="F1218" s="7" t="s">
        <v>86</v>
      </c>
      <c r="G1218" s="7" t="s">
        <v>95</v>
      </c>
      <c r="H1218" s="7" t="n">
        <v>2</v>
      </c>
      <c r="I1218" s="7" t="n">
        <v>115</v>
      </c>
      <c r="J1218" s="7" t="n">
        <v>0</v>
      </c>
      <c r="K1218" s="7" t="s">
        <v>103</v>
      </c>
      <c r="L1218" s="7" t="s">
        <v>194</v>
      </c>
      <c r="M1218" s="7" t="n">
        <v>41</v>
      </c>
      <c r="N1218" s="7" t="n">
        <v>5</v>
      </c>
      <c r="O1218" s="7" t="str">
        <f aca="false">A1218&amp;"|"&amp;B1218&amp;"|"&amp;C1218&amp;"|"&amp;D1218&amp;"|"&amp;E1218&amp;"|"&amp;F1218&amp;"|"&amp;G1218&amp;"|"&amp;H1218&amp;"|"&amp;I1218&amp;"|"&amp;J1218&amp;"|"&amp;K1218&amp;"|"&amp;L1218&amp;"|"&amp;M1218&amp;"|"&amp;N1218</f>
        <v>ORD12961|2025-12-27|22:37|C0117|Dosa Darbar|Bengaluru|South Indian|2|115|0|Debit Card|Delivered|41|5</v>
      </c>
      <c r="P1218" s="7" t="str">
        <f aca="false">IF(COUNTIF($O$2:O1218,O1218)&gt;1,"DUP","OK")</f>
        <v>OK</v>
      </c>
      <c r="Q1218" s="7" t="n">
        <f aca="false">COUNTBLANK(A1218:N1218)</f>
        <v>0</v>
      </c>
      <c r="R1218" s="7" t="n">
        <f aca="false">IF(A1218="",0,COUNTIFS($A$2:$A$3058,A1218,$P$2:$P$3058,"OK"))</f>
        <v>1</v>
      </c>
      <c r="S1218" s="7" t="str">
        <f aca="false">IF(OR(A1218="",P1218="DUP",R1218&lt;2),"",IF(Q1218=_xlfn.MINIFS($Q$2:$Q$3058,$A$2:$A$3058,A1218,$P$2:$P$3058,"OK"),"KEEP","DROP"))</f>
        <v/>
      </c>
      <c r="T1218" s="9" t="n">
        <f aca="false">IF(A1218="",1,0)</f>
        <v>0</v>
      </c>
      <c r="U1218" s="9" t="n">
        <f aca="false">IF(D1218="",1,0)</f>
        <v>0</v>
      </c>
      <c r="V1218" s="9" t="n">
        <f aca="false">IF(E1218="",1,0)</f>
        <v>0</v>
      </c>
      <c r="W1218" s="9" t="n">
        <f aca="false">IF(OR(H1218&lt;1,H1218&gt;10),1,0)</f>
        <v>0</v>
      </c>
      <c r="X1218" s="9" t="n">
        <f aca="false">IF(OR(I1218&lt;=0,I1218&gt;1500),1,0)</f>
        <v>0</v>
      </c>
      <c r="Y1218" s="9" t="n">
        <f aca="false">IF(J1218&gt;H1218*I1218,1,0)</f>
        <v>0</v>
      </c>
      <c r="Z1218" s="9" t="n">
        <f aca="false">IF(AND(N1218&lt;&gt;"",OR(N1218&lt;1,N1218&gt;5)),1,0)</f>
        <v>0</v>
      </c>
      <c r="AA1218" s="9" t="n">
        <f aca="false">IF(AND(M1218&lt;&gt;"",OR(M1218&lt;5,M1218&gt;180)),1,0)</f>
        <v>0</v>
      </c>
      <c r="AB1218" s="7" t="str">
        <f aca="false">IF(P1218="DUP","Exact duplicate row",IF(T1218=1,"Missing Order ID",IF(S1218="DROP","Duplicate Order ID (less complete row)",IF(U1218=1,"Missing Customer ID",IF(V1218=1,"Missing Restaurant name",IF(W1218=1,"Invalid/outlier quantity",IF(X1218=1,"Invalid/outlier unit price",IF(Y1218=1,"Discount greater than order value",""))))))))</f>
        <v/>
      </c>
      <c r="AC1218" s="7" t="str">
        <f aca="false">IF(AB1218="","KEEP","DROP")</f>
        <v>KEEP</v>
      </c>
      <c r="AD1218" s="7" t="str">
        <f aca="false">IF(TRIM(F1218)="",IFERROR(INDEX(Map_Tables!$I$4:$I$37,MATCH(TRIM(E1218),Map_Tables!$G$4:$G$37,0)),""),IFERROR(INDEX(Map_Tables!$B$4:$B$18,MATCH(TRIM(F1218),Map_Tables!$A$4:$A$18,0)),"CHECK"))</f>
        <v>Bengaluru</v>
      </c>
      <c r="AE1218" s="7" t="str">
        <f aca="false">IF(TRIM(E1218)="","",IFERROR(INDEX(Map_Tables!$H$4:$H$37,MATCH(TRIM(E1218),Map_Tables!$G$4:$G$37,0)),"CHECK"))</f>
        <v>Dosa Darbar</v>
      </c>
      <c r="AF1218" s="7" t="str">
        <f aca="false">IF(TRIM(K1218)="","Unknown",IFERROR(INDEX(Map_Tables!$E$4:$E$15,MATCH(TRIM(K1218),Map_Tables!$D$4:$D$15,0)),"CHECK"))</f>
        <v>Debit Card</v>
      </c>
      <c r="AG1218" s="7" t="str">
        <f aca="false">IF(LEFT(LOWER(TRIM(L1218)),6)="cancel","Cancelled","Delivered")</f>
        <v>Delivered</v>
      </c>
      <c r="AH1218" s="10" t="n">
        <f aca="false">IF(ISNUMBER(SEARCH("/",B1218)),DATE(VALUE(RIGHT(B1218,4)),VALUE(MID(B1218,4,2)),VALUE(LEFT(B1218,2))),IF(MID(B1218,5,1)="-",DATE(VALUE(LEFT(B1218,4)),VALUE(MID(B1218,6,2)),VALUE(RIGHT(B1218,2))),DATE(VALUE(RIGHT(B1218,4)),MATCH(MID(B1218,4,3),{"Jan","Feb","Mar","Apr","May","Jun","Jul","Aug","Sep","Oct","Nov","Dec"},0),VALUE(LEFT(B1218,2)))))</f>
        <v>46018</v>
      </c>
    </row>
    <row r="1219" customFormat="false" ht="15" hidden="false" customHeight="false" outlineLevel="0" collapsed="false">
      <c r="A1219" s="7" t="s">
        <v>3436</v>
      </c>
      <c r="B1219" s="7" t="s">
        <v>1376</v>
      </c>
      <c r="C1219" s="7" t="s">
        <v>3437</v>
      </c>
      <c r="D1219" s="7" t="s">
        <v>3438</v>
      </c>
      <c r="E1219" s="7" t="s">
        <v>89</v>
      </c>
      <c r="F1219" s="7" t="s">
        <v>86</v>
      </c>
      <c r="G1219" s="7" t="s">
        <v>90</v>
      </c>
      <c r="H1219" s="7" t="n">
        <v>1</v>
      </c>
      <c r="I1219" s="7" t="n">
        <v>210</v>
      </c>
      <c r="J1219" s="7" t="n">
        <v>84</v>
      </c>
      <c r="K1219" s="7" t="s">
        <v>93</v>
      </c>
      <c r="L1219" s="7" t="s">
        <v>194</v>
      </c>
      <c r="M1219" s="7" t="n">
        <v>37</v>
      </c>
      <c r="N1219" s="7" t="n">
        <v>5</v>
      </c>
      <c r="O1219" s="7" t="str">
        <f aca="false">A1219&amp;"|"&amp;B1219&amp;"|"&amp;C1219&amp;"|"&amp;D1219&amp;"|"&amp;E1219&amp;"|"&amp;F1219&amp;"|"&amp;G1219&amp;"|"&amp;H1219&amp;"|"&amp;I1219&amp;"|"&amp;J1219&amp;"|"&amp;K1219&amp;"|"&amp;L1219&amp;"|"&amp;M1219&amp;"|"&amp;N1219</f>
        <v>ORD10996|2025-05-07|08:53|C1457|Spice Junction|Bengaluru|North Indian|1|210|84|Credit Card|Delivered|37|5</v>
      </c>
      <c r="P1219" s="7" t="str">
        <f aca="false">IF(COUNTIF($O$2:O1219,O1219)&gt;1,"DUP","OK")</f>
        <v>OK</v>
      </c>
      <c r="Q1219" s="7" t="n">
        <f aca="false">COUNTBLANK(A1219:N1219)</f>
        <v>0</v>
      </c>
      <c r="R1219" s="7" t="n">
        <f aca="false">IF(A1219="",0,COUNTIFS($A$2:$A$3058,A1219,$P$2:$P$3058,"OK"))</f>
        <v>1</v>
      </c>
      <c r="S1219" s="7" t="str">
        <f aca="false">IF(OR(A1219="",P1219="DUP",R1219&lt;2),"",IF(Q1219=_xlfn.MINIFS($Q$2:$Q$3058,$A$2:$A$3058,A1219,$P$2:$P$3058,"OK"),"KEEP","DROP"))</f>
        <v/>
      </c>
      <c r="T1219" s="9" t="n">
        <f aca="false">IF(A1219="",1,0)</f>
        <v>0</v>
      </c>
      <c r="U1219" s="9" t="n">
        <f aca="false">IF(D1219="",1,0)</f>
        <v>0</v>
      </c>
      <c r="V1219" s="9" t="n">
        <f aca="false">IF(E1219="",1,0)</f>
        <v>0</v>
      </c>
      <c r="W1219" s="9" t="n">
        <f aca="false">IF(OR(H1219&lt;1,H1219&gt;10),1,0)</f>
        <v>0</v>
      </c>
      <c r="X1219" s="9" t="n">
        <f aca="false">IF(OR(I1219&lt;=0,I1219&gt;1500),1,0)</f>
        <v>0</v>
      </c>
      <c r="Y1219" s="9" t="n">
        <f aca="false">IF(J1219&gt;H1219*I1219,1,0)</f>
        <v>0</v>
      </c>
      <c r="Z1219" s="9" t="n">
        <f aca="false">IF(AND(N1219&lt;&gt;"",OR(N1219&lt;1,N1219&gt;5)),1,0)</f>
        <v>0</v>
      </c>
      <c r="AA1219" s="9" t="n">
        <f aca="false">IF(AND(M1219&lt;&gt;"",OR(M1219&lt;5,M1219&gt;180)),1,0)</f>
        <v>0</v>
      </c>
      <c r="AB1219" s="7" t="str">
        <f aca="false">IF(P1219="DUP","Exact duplicate row",IF(T1219=1,"Missing Order ID",IF(S1219="DROP","Duplicate Order ID (less complete row)",IF(U1219=1,"Missing Customer ID",IF(V1219=1,"Missing Restaurant name",IF(W1219=1,"Invalid/outlier quantity",IF(X1219=1,"Invalid/outlier unit price",IF(Y1219=1,"Discount greater than order value",""))))))))</f>
        <v/>
      </c>
      <c r="AC1219" s="7" t="str">
        <f aca="false">IF(AB1219="","KEEP","DROP")</f>
        <v>KEEP</v>
      </c>
      <c r="AD1219" s="7" t="str">
        <f aca="false">IF(TRIM(F1219)="",IFERROR(INDEX(Map_Tables!$I$4:$I$37,MATCH(TRIM(E1219),Map_Tables!$G$4:$G$37,0)),""),IFERROR(INDEX(Map_Tables!$B$4:$B$18,MATCH(TRIM(F1219),Map_Tables!$A$4:$A$18,0)),"CHECK"))</f>
        <v>Bengaluru</v>
      </c>
      <c r="AE1219" s="7" t="str">
        <f aca="false">IF(TRIM(E1219)="","",IFERROR(INDEX(Map_Tables!$H$4:$H$37,MATCH(TRIM(E1219),Map_Tables!$G$4:$G$37,0)),"CHECK"))</f>
        <v>Spice Junction</v>
      </c>
      <c r="AF1219" s="7" t="str">
        <f aca="false">IF(TRIM(K1219)="","Unknown",IFERROR(INDEX(Map_Tables!$E$4:$E$15,MATCH(TRIM(K1219),Map_Tables!$D$4:$D$15,0)),"CHECK"))</f>
        <v>Credit Card</v>
      </c>
      <c r="AG1219" s="7" t="str">
        <f aca="false">IF(LEFT(LOWER(TRIM(L1219)),6)="cancel","Cancelled","Delivered")</f>
        <v>Delivered</v>
      </c>
      <c r="AH1219" s="10" t="n">
        <f aca="false">IF(ISNUMBER(SEARCH("/",B1219)),DATE(VALUE(RIGHT(B1219,4)),VALUE(MID(B1219,4,2)),VALUE(LEFT(B1219,2))),IF(MID(B1219,5,1)="-",DATE(VALUE(LEFT(B1219,4)),VALUE(MID(B1219,6,2)),VALUE(RIGHT(B1219,2))),DATE(VALUE(RIGHT(B1219,4)),MATCH(MID(B1219,4,3),{"Jan","Feb","Mar","Apr","May","Jun","Jul","Aug","Sep","Oct","Nov","Dec"},0),VALUE(LEFT(B1219,2)))))</f>
        <v>45784</v>
      </c>
    </row>
    <row r="1220" customFormat="false" ht="15" hidden="false" customHeight="false" outlineLevel="0" collapsed="false">
      <c r="A1220" s="7" t="s">
        <v>3439</v>
      </c>
      <c r="B1220" s="7" t="s">
        <v>2150</v>
      </c>
      <c r="C1220" s="7" t="s">
        <v>2830</v>
      </c>
      <c r="D1220" s="7" t="s">
        <v>3058</v>
      </c>
      <c r="E1220" s="7" t="s">
        <v>113</v>
      </c>
      <c r="F1220" s="7" t="s">
        <v>101</v>
      </c>
      <c r="G1220" s="7" t="s">
        <v>90</v>
      </c>
      <c r="H1220" s="7" t="n">
        <v>1</v>
      </c>
      <c r="I1220" s="7" t="n">
        <v>235</v>
      </c>
      <c r="J1220" s="7" t="n">
        <v>0</v>
      </c>
      <c r="K1220" s="7" t="s">
        <v>112</v>
      </c>
      <c r="L1220" s="7" t="s">
        <v>194</v>
      </c>
      <c r="M1220" s="7" t="n">
        <v>41</v>
      </c>
      <c r="N1220" s="7" t="n">
        <v>4</v>
      </c>
      <c r="O1220" s="7" t="str">
        <f aca="false">A1220&amp;"|"&amp;B1220&amp;"|"&amp;C1220&amp;"|"&amp;D1220&amp;"|"&amp;E1220&amp;"|"&amp;F1220&amp;"|"&amp;G1220&amp;"|"&amp;H1220&amp;"|"&amp;I1220&amp;"|"&amp;J1220&amp;"|"&amp;K1220&amp;"|"&amp;L1220&amp;"|"&amp;M1220&amp;"|"&amp;N1220</f>
        <v>ORD11764|2025-08-19|15:16|C0265|Curry Leaf Kitchen|Mumbai|North Indian|1|235|0|Cash on Delivery|Delivered|41|4</v>
      </c>
      <c r="P1220" s="7" t="str">
        <f aca="false">IF(COUNTIF($O$2:O1220,O1220)&gt;1,"DUP","OK")</f>
        <v>OK</v>
      </c>
      <c r="Q1220" s="7" t="n">
        <f aca="false">COUNTBLANK(A1220:N1220)</f>
        <v>0</v>
      </c>
      <c r="R1220" s="7" t="n">
        <f aca="false">IF(A1220="",0,COUNTIFS($A$2:$A$3058,A1220,$P$2:$P$3058,"OK"))</f>
        <v>1</v>
      </c>
      <c r="S1220" s="7" t="str">
        <f aca="false">IF(OR(A1220="",P1220="DUP",R1220&lt;2),"",IF(Q1220=_xlfn.MINIFS($Q$2:$Q$3058,$A$2:$A$3058,A1220,$P$2:$P$3058,"OK"),"KEEP","DROP"))</f>
        <v/>
      </c>
      <c r="T1220" s="9" t="n">
        <f aca="false">IF(A1220="",1,0)</f>
        <v>0</v>
      </c>
      <c r="U1220" s="9" t="n">
        <f aca="false">IF(D1220="",1,0)</f>
        <v>0</v>
      </c>
      <c r="V1220" s="9" t="n">
        <f aca="false">IF(E1220="",1,0)</f>
        <v>0</v>
      </c>
      <c r="W1220" s="9" t="n">
        <f aca="false">IF(OR(H1220&lt;1,H1220&gt;10),1,0)</f>
        <v>0</v>
      </c>
      <c r="X1220" s="9" t="n">
        <f aca="false">IF(OR(I1220&lt;=0,I1220&gt;1500),1,0)</f>
        <v>0</v>
      </c>
      <c r="Y1220" s="9" t="n">
        <f aca="false">IF(J1220&gt;H1220*I1220,1,0)</f>
        <v>0</v>
      </c>
      <c r="Z1220" s="9" t="n">
        <f aca="false">IF(AND(N1220&lt;&gt;"",OR(N1220&lt;1,N1220&gt;5)),1,0)</f>
        <v>0</v>
      </c>
      <c r="AA1220" s="9" t="n">
        <f aca="false">IF(AND(M1220&lt;&gt;"",OR(M1220&lt;5,M1220&gt;180)),1,0)</f>
        <v>0</v>
      </c>
      <c r="AB1220" s="7" t="str">
        <f aca="false">IF(P1220="DUP","Exact duplicate row",IF(T1220=1,"Missing Order ID",IF(S1220="DROP","Duplicate Order ID (less complete row)",IF(U1220=1,"Missing Customer ID",IF(V1220=1,"Missing Restaurant name",IF(W1220=1,"Invalid/outlier quantity",IF(X1220=1,"Invalid/outlier unit price",IF(Y1220=1,"Discount greater than order value",""))))))))</f>
        <v/>
      </c>
      <c r="AC1220" s="7" t="str">
        <f aca="false">IF(AB1220="","KEEP","DROP")</f>
        <v>KEEP</v>
      </c>
      <c r="AD1220" s="7" t="str">
        <f aca="false">IF(TRIM(F1220)="",IFERROR(INDEX(Map_Tables!$I$4:$I$37,MATCH(TRIM(E1220),Map_Tables!$G$4:$G$37,0)),""),IFERROR(INDEX(Map_Tables!$B$4:$B$18,MATCH(TRIM(F1220),Map_Tables!$A$4:$A$18,0)),"CHECK"))</f>
        <v>Mumbai</v>
      </c>
      <c r="AE1220" s="7" t="str">
        <f aca="false">IF(TRIM(E1220)="","",IFERROR(INDEX(Map_Tables!$H$4:$H$37,MATCH(TRIM(E1220),Map_Tables!$G$4:$G$37,0)),"CHECK"))</f>
        <v>Curry Leaf Kitchen</v>
      </c>
      <c r="AF1220" s="7" t="str">
        <f aca="false">IF(TRIM(K1220)="","Unknown",IFERROR(INDEX(Map_Tables!$E$4:$E$15,MATCH(TRIM(K1220),Map_Tables!$D$4:$D$15,0)),"CHECK"))</f>
        <v>Cash on Delivery</v>
      </c>
      <c r="AG1220" s="7" t="str">
        <f aca="false">IF(LEFT(LOWER(TRIM(L1220)),6)="cancel","Cancelled","Delivered")</f>
        <v>Delivered</v>
      </c>
      <c r="AH1220" s="10" t="n">
        <f aca="false">IF(ISNUMBER(SEARCH("/",B1220)),DATE(VALUE(RIGHT(B1220,4)),VALUE(MID(B1220,4,2)),VALUE(LEFT(B1220,2))),IF(MID(B1220,5,1)="-",DATE(VALUE(LEFT(B1220,4)),VALUE(MID(B1220,6,2)),VALUE(RIGHT(B1220,2))),DATE(VALUE(RIGHT(B1220,4)),MATCH(MID(B1220,4,3),{"Jan","Feb","Mar","Apr","May","Jun","Jul","Aug","Sep","Oct","Nov","Dec"},0),VALUE(LEFT(B1220,2)))))</f>
        <v>45888</v>
      </c>
    </row>
    <row r="1221" customFormat="false" ht="15" hidden="false" customHeight="false" outlineLevel="0" collapsed="false">
      <c r="A1221" s="7" t="s">
        <v>3440</v>
      </c>
      <c r="B1221" s="7" t="s">
        <v>3441</v>
      </c>
      <c r="C1221" s="7" t="s">
        <v>1692</v>
      </c>
      <c r="D1221" s="7" t="s">
        <v>2339</v>
      </c>
      <c r="E1221" s="7" t="s">
        <v>155</v>
      </c>
      <c r="F1221" s="7" t="s">
        <v>128</v>
      </c>
      <c r="G1221" s="7" t="s">
        <v>156</v>
      </c>
      <c r="H1221" s="7" t="n">
        <v>1</v>
      </c>
      <c r="I1221" s="7" t="n">
        <v>365</v>
      </c>
      <c r="J1221" s="7" t="n">
        <v>0</v>
      </c>
      <c r="K1221" s="7" t="s">
        <v>133</v>
      </c>
      <c r="L1221" s="7" t="s">
        <v>194</v>
      </c>
      <c r="M1221" s="7" t="n">
        <v>37</v>
      </c>
      <c r="N1221" s="7" t="n">
        <v>5</v>
      </c>
      <c r="O1221" s="7" t="str">
        <f aca="false">A1221&amp;"|"&amp;B1221&amp;"|"&amp;C1221&amp;"|"&amp;D1221&amp;"|"&amp;E1221&amp;"|"&amp;F1221&amp;"|"&amp;G1221&amp;"|"&amp;H1221&amp;"|"&amp;I1221&amp;"|"&amp;J1221&amp;"|"&amp;K1221&amp;"|"&amp;L1221&amp;"|"&amp;M1221&amp;"|"&amp;N1221</f>
        <v>ORD11694|10/08/2025|12:03|C1381|Green Bowl Kitchen|Chennai|Healthy Food|1|365|0|Net Banking|Delivered|37|5</v>
      </c>
      <c r="P1221" s="7" t="str">
        <f aca="false">IF(COUNTIF($O$2:O1221,O1221)&gt;1,"DUP","OK")</f>
        <v>OK</v>
      </c>
      <c r="Q1221" s="7" t="n">
        <f aca="false">COUNTBLANK(A1221:N1221)</f>
        <v>0</v>
      </c>
      <c r="R1221" s="7" t="n">
        <f aca="false">IF(A1221="",0,COUNTIFS($A$2:$A$3058,A1221,$P$2:$P$3058,"OK"))</f>
        <v>1</v>
      </c>
      <c r="S1221" s="7" t="str">
        <f aca="false">IF(OR(A1221="",P1221="DUP",R1221&lt;2),"",IF(Q1221=_xlfn.MINIFS($Q$2:$Q$3058,$A$2:$A$3058,A1221,$P$2:$P$3058,"OK"),"KEEP","DROP"))</f>
        <v/>
      </c>
      <c r="T1221" s="9" t="n">
        <f aca="false">IF(A1221="",1,0)</f>
        <v>0</v>
      </c>
      <c r="U1221" s="9" t="n">
        <f aca="false">IF(D1221="",1,0)</f>
        <v>0</v>
      </c>
      <c r="V1221" s="9" t="n">
        <f aca="false">IF(E1221="",1,0)</f>
        <v>0</v>
      </c>
      <c r="W1221" s="9" t="n">
        <f aca="false">IF(OR(H1221&lt;1,H1221&gt;10),1,0)</f>
        <v>0</v>
      </c>
      <c r="X1221" s="9" t="n">
        <f aca="false">IF(OR(I1221&lt;=0,I1221&gt;1500),1,0)</f>
        <v>0</v>
      </c>
      <c r="Y1221" s="9" t="n">
        <f aca="false">IF(J1221&gt;H1221*I1221,1,0)</f>
        <v>0</v>
      </c>
      <c r="Z1221" s="9" t="n">
        <f aca="false">IF(AND(N1221&lt;&gt;"",OR(N1221&lt;1,N1221&gt;5)),1,0)</f>
        <v>0</v>
      </c>
      <c r="AA1221" s="9" t="n">
        <f aca="false">IF(AND(M1221&lt;&gt;"",OR(M1221&lt;5,M1221&gt;180)),1,0)</f>
        <v>0</v>
      </c>
      <c r="AB1221" s="7" t="str">
        <f aca="false">IF(P1221="DUP","Exact duplicate row",IF(T1221=1,"Missing Order ID",IF(S1221="DROP","Duplicate Order ID (less complete row)",IF(U1221=1,"Missing Customer ID",IF(V1221=1,"Missing Restaurant name",IF(W1221=1,"Invalid/outlier quantity",IF(X1221=1,"Invalid/outlier unit price",IF(Y1221=1,"Discount greater than order value",""))))))))</f>
        <v/>
      </c>
      <c r="AC1221" s="7" t="str">
        <f aca="false">IF(AB1221="","KEEP","DROP")</f>
        <v>KEEP</v>
      </c>
      <c r="AD1221" s="7" t="str">
        <f aca="false">IF(TRIM(F1221)="",IFERROR(INDEX(Map_Tables!$I$4:$I$37,MATCH(TRIM(E1221),Map_Tables!$G$4:$G$37,0)),""),IFERROR(INDEX(Map_Tables!$B$4:$B$18,MATCH(TRIM(F1221),Map_Tables!$A$4:$A$18,0)),"CHECK"))</f>
        <v>Chennai</v>
      </c>
      <c r="AE1221" s="7" t="str">
        <f aca="false">IF(TRIM(E1221)="","",IFERROR(INDEX(Map_Tables!$H$4:$H$37,MATCH(TRIM(E1221),Map_Tables!$G$4:$G$37,0)),"CHECK"))</f>
        <v>Green Bowl Kitchen</v>
      </c>
      <c r="AF1221" s="7" t="str">
        <f aca="false">IF(TRIM(K1221)="","Unknown",IFERROR(INDEX(Map_Tables!$E$4:$E$15,MATCH(TRIM(K1221),Map_Tables!$D$4:$D$15,0)),"CHECK"))</f>
        <v>Net Banking</v>
      </c>
      <c r="AG1221" s="7" t="str">
        <f aca="false">IF(LEFT(LOWER(TRIM(L1221)),6)="cancel","Cancelled","Delivered")</f>
        <v>Delivered</v>
      </c>
      <c r="AH1221" s="10" t="n">
        <f aca="false">IF(ISNUMBER(SEARCH("/",B1221)),DATE(VALUE(RIGHT(B1221,4)),VALUE(MID(B1221,4,2)),VALUE(LEFT(B1221,2))),IF(MID(B1221,5,1)="-",DATE(VALUE(LEFT(B1221,4)),VALUE(MID(B1221,6,2)),VALUE(RIGHT(B1221,2))),DATE(VALUE(RIGHT(B1221,4)),MATCH(MID(B1221,4,3),{"Jan","Feb","Mar","Apr","May","Jun","Jul","Aug","Sep","Oct","Nov","Dec"},0),VALUE(LEFT(B1221,2)))))</f>
        <v>45879</v>
      </c>
    </row>
    <row r="1222" customFormat="false" ht="15" hidden="false" customHeight="false" outlineLevel="0" collapsed="false">
      <c r="A1222" s="7" t="s">
        <v>3442</v>
      </c>
      <c r="B1222" s="7" t="s">
        <v>723</v>
      </c>
      <c r="C1222" s="7" t="s">
        <v>1734</v>
      </c>
      <c r="D1222" s="7" t="s">
        <v>3443</v>
      </c>
      <c r="E1222" s="7" t="s">
        <v>149</v>
      </c>
      <c r="F1222" s="7" t="s">
        <v>119</v>
      </c>
      <c r="G1222" s="7" t="s">
        <v>150</v>
      </c>
      <c r="H1222" s="7" t="n">
        <v>1</v>
      </c>
      <c r="I1222" s="7" t="n">
        <v>135</v>
      </c>
      <c r="J1222" s="7" t="n">
        <v>30</v>
      </c>
      <c r="K1222" s="7" t="s">
        <v>112</v>
      </c>
      <c r="L1222" s="7" t="s">
        <v>194</v>
      </c>
      <c r="M1222" s="7" t="n">
        <v>37</v>
      </c>
      <c r="N1222" s="7"/>
      <c r="O1222" s="7" t="str">
        <f aca="false">A1222&amp;"|"&amp;B1222&amp;"|"&amp;C1222&amp;"|"&amp;D1222&amp;"|"&amp;E1222&amp;"|"&amp;F1222&amp;"|"&amp;G1222&amp;"|"&amp;H1222&amp;"|"&amp;I1222&amp;"|"&amp;J1222&amp;"|"&amp;K1222&amp;"|"&amp;L1222&amp;"|"&amp;M1222&amp;"|"&amp;N1222</f>
        <v>ORD10611|2025-03-18|17:16|C0253|Sweet Tooth Studio|Hyderabad|Desserts|1|135|30|Cash on Delivery|Delivered|37|</v>
      </c>
      <c r="P1222" s="7" t="str">
        <f aca="false">IF(COUNTIF($O$2:O1222,O1222)&gt;1,"DUP","OK")</f>
        <v>OK</v>
      </c>
      <c r="Q1222" s="7" t="n">
        <f aca="false">COUNTBLANK(A1222:N1222)</f>
        <v>1</v>
      </c>
      <c r="R1222" s="7" t="n">
        <f aca="false">IF(A1222="",0,COUNTIFS($A$2:$A$3058,A1222,$P$2:$P$3058,"OK"))</f>
        <v>1</v>
      </c>
      <c r="S1222" s="7" t="str">
        <f aca="false">IF(OR(A1222="",P1222="DUP",R1222&lt;2),"",IF(Q1222=_xlfn.MINIFS($Q$2:$Q$3058,$A$2:$A$3058,A1222,$P$2:$P$3058,"OK"),"KEEP","DROP"))</f>
        <v/>
      </c>
      <c r="T1222" s="9" t="n">
        <f aca="false">IF(A1222="",1,0)</f>
        <v>0</v>
      </c>
      <c r="U1222" s="9" t="n">
        <f aca="false">IF(D1222="",1,0)</f>
        <v>0</v>
      </c>
      <c r="V1222" s="9" t="n">
        <f aca="false">IF(E1222="",1,0)</f>
        <v>0</v>
      </c>
      <c r="W1222" s="9" t="n">
        <f aca="false">IF(OR(H1222&lt;1,H1222&gt;10),1,0)</f>
        <v>0</v>
      </c>
      <c r="X1222" s="9" t="n">
        <f aca="false">IF(OR(I1222&lt;=0,I1222&gt;1500),1,0)</f>
        <v>0</v>
      </c>
      <c r="Y1222" s="9" t="n">
        <f aca="false">IF(J1222&gt;H1222*I1222,1,0)</f>
        <v>0</v>
      </c>
      <c r="Z1222" s="9" t="n">
        <f aca="false">IF(AND(N1222&lt;&gt;"",OR(N1222&lt;1,N1222&gt;5)),1,0)</f>
        <v>0</v>
      </c>
      <c r="AA1222" s="9" t="n">
        <f aca="false">IF(AND(M1222&lt;&gt;"",OR(M1222&lt;5,M1222&gt;180)),1,0)</f>
        <v>0</v>
      </c>
      <c r="AB1222" s="7" t="str">
        <f aca="false">IF(P1222="DUP","Exact duplicate row",IF(T1222=1,"Missing Order ID",IF(S1222="DROP","Duplicate Order ID (less complete row)",IF(U1222=1,"Missing Customer ID",IF(V1222=1,"Missing Restaurant name",IF(W1222=1,"Invalid/outlier quantity",IF(X1222=1,"Invalid/outlier unit price",IF(Y1222=1,"Discount greater than order value",""))))))))</f>
        <v/>
      </c>
      <c r="AC1222" s="7" t="str">
        <f aca="false">IF(AB1222="","KEEP","DROP")</f>
        <v>KEEP</v>
      </c>
      <c r="AD1222" s="7" t="str">
        <f aca="false">IF(TRIM(F1222)="",IFERROR(INDEX(Map_Tables!$I$4:$I$37,MATCH(TRIM(E1222),Map_Tables!$G$4:$G$37,0)),""),IFERROR(INDEX(Map_Tables!$B$4:$B$18,MATCH(TRIM(F1222),Map_Tables!$A$4:$A$18,0)),"CHECK"))</f>
        <v>Hyderabad</v>
      </c>
      <c r="AE1222" s="7" t="str">
        <f aca="false">IF(TRIM(E1222)="","",IFERROR(INDEX(Map_Tables!$H$4:$H$37,MATCH(TRIM(E1222),Map_Tables!$G$4:$G$37,0)),"CHECK"))</f>
        <v>Sweet Tooth Studio</v>
      </c>
      <c r="AF1222" s="7" t="str">
        <f aca="false">IF(TRIM(K1222)="","Unknown",IFERROR(INDEX(Map_Tables!$E$4:$E$15,MATCH(TRIM(K1222),Map_Tables!$D$4:$D$15,0)),"CHECK"))</f>
        <v>Cash on Delivery</v>
      </c>
      <c r="AG1222" s="7" t="str">
        <f aca="false">IF(LEFT(LOWER(TRIM(L1222)),6)="cancel","Cancelled","Delivered")</f>
        <v>Delivered</v>
      </c>
      <c r="AH1222" s="10" t="n">
        <f aca="false">IF(ISNUMBER(SEARCH("/",B1222)),DATE(VALUE(RIGHT(B1222,4)),VALUE(MID(B1222,4,2)),VALUE(LEFT(B1222,2))),IF(MID(B1222,5,1)="-",DATE(VALUE(LEFT(B1222,4)),VALUE(MID(B1222,6,2)),VALUE(RIGHT(B1222,2))),DATE(VALUE(RIGHT(B1222,4)),MATCH(MID(B1222,4,3),{"Jan","Feb","Mar","Apr","May","Jun","Jul","Aug","Sep","Oct","Nov","Dec"},0),VALUE(LEFT(B1222,2)))))</f>
        <v>45734</v>
      </c>
    </row>
    <row r="1223" customFormat="false" ht="15" hidden="false" customHeight="false" outlineLevel="0" collapsed="false">
      <c r="A1223" s="7" t="s">
        <v>3444</v>
      </c>
      <c r="B1223" s="7" t="s">
        <v>248</v>
      </c>
      <c r="C1223" s="7" t="s">
        <v>3445</v>
      </c>
      <c r="D1223" s="7" t="s">
        <v>1521</v>
      </c>
      <c r="E1223" s="7" t="s">
        <v>138</v>
      </c>
      <c r="F1223" s="7" t="s">
        <v>110</v>
      </c>
      <c r="G1223" s="7" t="s">
        <v>139</v>
      </c>
      <c r="H1223" s="7" t="n">
        <v>1</v>
      </c>
      <c r="I1223" s="7" t="n">
        <v>175</v>
      </c>
      <c r="J1223" s="7" t="n">
        <v>40</v>
      </c>
      <c r="K1223" s="7" t="s">
        <v>112</v>
      </c>
      <c r="L1223" s="7" t="s">
        <v>194</v>
      </c>
      <c r="M1223" s="7" t="n">
        <v>34</v>
      </c>
      <c r="N1223" s="7" t="n">
        <v>3</v>
      </c>
      <c r="O1223" s="7" t="str">
        <f aca="false">A1223&amp;"|"&amp;B1223&amp;"|"&amp;C1223&amp;"|"&amp;D1223&amp;"|"&amp;E1223&amp;"|"&amp;F1223&amp;"|"&amp;G1223&amp;"|"&amp;H1223&amp;"|"&amp;I1223&amp;"|"&amp;J1223&amp;"|"&amp;K1223&amp;"|"&amp;L1223&amp;"|"&amp;M1223&amp;"|"&amp;N1223</f>
        <v>ORD10459|2025-03-02|22:50|C0475|Burger Barn|Delhi|Burgers|1|175|40|Cash on Delivery|Delivered|34|3</v>
      </c>
      <c r="P1223" s="7" t="str">
        <f aca="false">IF(COUNTIF($O$2:O1223,O1223)&gt;1,"DUP","OK")</f>
        <v>OK</v>
      </c>
      <c r="Q1223" s="7" t="n">
        <f aca="false">COUNTBLANK(A1223:N1223)</f>
        <v>0</v>
      </c>
      <c r="R1223" s="7" t="n">
        <f aca="false">IF(A1223="",0,COUNTIFS($A$2:$A$3058,A1223,$P$2:$P$3058,"OK"))</f>
        <v>1</v>
      </c>
      <c r="S1223" s="7" t="str">
        <f aca="false">IF(OR(A1223="",P1223="DUP",R1223&lt;2),"",IF(Q1223=_xlfn.MINIFS($Q$2:$Q$3058,$A$2:$A$3058,A1223,$P$2:$P$3058,"OK"),"KEEP","DROP"))</f>
        <v/>
      </c>
      <c r="T1223" s="9" t="n">
        <f aca="false">IF(A1223="",1,0)</f>
        <v>0</v>
      </c>
      <c r="U1223" s="9" t="n">
        <f aca="false">IF(D1223="",1,0)</f>
        <v>0</v>
      </c>
      <c r="V1223" s="9" t="n">
        <f aca="false">IF(E1223="",1,0)</f>
        <v>0</v>
      </c>
      <c r="W1223" s="9" t="n">
        <f aca="false">IF(OR(H1223&lt;1,H1223&gt;10),1,0)</f>
        <v>0</v>
      </c>
      <c r="X1223" s="9" t="n">
        <f aca="false">IF(OR(I1223&lt;=0,I1223&gt;1500),1,0)</f>
        <v>0</v>
      </c>
      <c r="Y1223" s="9" t="n">
        <f aca="false">IF(J1223&gt;H1223*I1223,1,0)</f>
        <v>0</v>
      </c>
      <c r="Z1223" s="9" t="n">
        <f aca="false">IF(AND(N1223&lt;&gt;"",OR(N1223&lt;1,N1223&gt;5)),1,0)</f>
        <v>0</v>
      </c>
      <c r="AA1223" s="9" t="n">
        <f aca="false">IF(AND(M1223&lt;&gt;"",OR(M1223&lt;5,M1223&gt;180)),1,0)</f>
        <v>0</v>
      </c>
      <c r="AB1223" s="7" t="str">
        <f aca="false">IF(P1223="DUP","Exact duplicate row",IF(T1223=1,"Missing Order ID",IF(S1223="DROP","Duplicate Order ID (less complete row)",IF(U1223=1,"Missing Customer ID",IF(V1223=1,"Missing Restaurant name",IF(W1223=1,"Invalid/outlier quantity",IF(X1223=1,"Invalid/outlier unit price",IF(Y1223=1,"Discount greater than order value",""))))))))</f>
        <v/>
      </c>
      <c r="AC1223" s="7" t="str">
        <f aca="false">IF(AB1223="","KEEP","DROP")</f>
        <v>KEEP</v>
      </c>
      <c r="AD1223" s="7" t="str">
        <f aca="false">IF(TRIM(F1223)="",IFERROR(INDEX(Map_Tables!$I$4:$I$37,MATCH(TRIM(E1223),Map_Tables!$G$4:$G$37,0)),""),IFERROR(INDEX(Map_Tables!$B$4:$B$18,MATCH(TRIM(F1223),Map_Tables!$A$4:$A$18,0)),"CHECK"))</f>
        <v>Delhi</v>
      </c>
      <c r="AE1223" s="7" t="str">
        <f aca="false">IF(TRIM(E1223)="","",IFERROR(INDEX(Map_Tables!$H$4:$H$37,MATCH(TRIM(E1223),Map_Tables!$G$4:$G$37,0)),"CHECK"))</f>
        <v>Burger Barn</v>
      </c>
      <c r="AF1223" s="7" t="str">
        <f aca="false">IF(TRIM(K1223)="","Unknown",IFERROR(INDEX(Map_Tables!$E$4:$E$15,MATCH(TRIM(K1223),Map_Tables!$D$4:$D$15,0)),"CHECK"))</f>
        <v>Cash on Delivery</v>
      </c>
      <c r="AG1223" s="7" t="str">
        <f aca="false">IF(LEFT(LOWER(TRIM(L1223)),6)="cancel","Cancelled","Delivered")</f>
        <v>Delivered</v>
      </c>
      <c r="AH1223" s="10" t="n">
        <f aca="false">IF(ISNUMBER(SEARCH("/",B1223)),DATE(VALUE(RIGHT(B1223,4)),VALUE(MID(B1223,4,2)),VALUE(LEFT(B1223,2))),IF(MID(B1223,5,1)="-",DATE(VALUE(LEFT(B1223,4)),VALUE(MID(B1223,6,2)),VALUE(RIGHT(B1223,2))),DATE(VALUE(RIGHT(B1223,4)),MATCH(MID(B1223,4,3),{"Jan","Feb","Mar","Apr","May","Jun","Jul","Aug","Sep","Oct","Nov","Dec"},0),VALUE(LEFT(B1223,2)))))</f>
        <v>45718</v>
      </c>
    </row>
    <row r="1224" customFormat="false" ht="15" hidden="false" customHeight="false" outlineLevel="0" collapsed="false">
      <c r="A1224" s="7" t="s">
        <v>3446</v>
      </c>
      <c r="B1224" s="7" t="s">
        <v>418</v>
      </c>
      <c r="C1224" s="7" t="s">
        <v>1836</v>
      </c>
      <c r="D1224" s="7" t="s">
        <v>3392</v>
      </c>
      <c r="E1224" s="7" t="s">
        <v>681</v>
      </c>
      <c r="F1224" s="7" t="s">
        <v>110</v>
      </c>
      <c r="G1224" s="7" t="s">
        <v>117</v>
      </c>
      <c r="H1224" s="7" t="n">
        <v>5</v>
      </c>
      <c r="I1224" s="7" t="n">
        <v>120</v>
      </c>
      <c r="J1224" s="7" t="n">
        <v>40</v>
      </c>
      <c r="K1224" s="7" t="s">
        <v>88</v>
      </c>
      <c r="L1224" s="7" t="s">
        <v>194</v>
      </c>
      <c r="M1224" s="7" t="n">
        <v>31</v>
      </c>
      <c r="N1224" s="7" t="n">
        <v>5</v>
      </c>
      <c r="O1224" s="7" t="str">
        <f aca="false">A1224&amp;"|"&amp;B1224&amp;"|"&amp;C1224&amp;"|"&amp;D1224&amp;"|"&amp;E1224&amp;"|"&amp;F1224&amp;"|"&amp;G1224&amp;"|"&amp;H1224&amp;"|"&amp;I1224&amp;"|"&amp;J1224&amp;"|"&amp;K1224&amp;"|"&amp;L1224&amp;"|"&amp;M1224&amp;"|"&amp;N1224</f>
        <v>ORD12269|2025-10-14|23:39|C1046|chaat corner|Delhi|Street Food|5|120|40|UPI|Delivered|31|5</v>
      </c>
      <c r="P1224" s="7" t="str">
        <f aca="false">IF(COUNTIF($O$2:O1224,O1224)&gt;1,"DUP","OK")</f>
        <v>OK</v>
      </c>
      <c r="Q1224" s="7" t="n">
        <f aca="false">COUNTBLANK(A1224:N1224)</f>
        <v>0</v>
      </c>
      <c r="R1224" s="7" t="n">
        <f aca="false">IF(A1224="",0,COUNTIFS($A$2:$A$3058,A1224,$P$2:$P$3058,"OK"))</f>
        <v>1</v>
      </c>
      <c r="S1224" s="7" t="str">
        <f aca="false">IF(OR(A1224="",P1224="DUP",R1224&lt;2),"",IF(Q1224=_xlfn.MINIFS($Q$2:$Q$3058,$A$2:$A$3058,A1224,$P$2:$P$3058,"OK"),"KEEP","DROP"))</f>
        <v/>
      </c>
      <c r="T1224" s="9" t="n">
        <f aca="false">IF(A1224="",1,0)</f>
        <v>0</v>
      </c>
      <c r="U1224" s="9" t="n">
        <f aca="false">IF(D1224="",1,0)</f>
        <v>0</v>
      </c>
      <c r="V1224" s="9" t="n">
        <f aca="false">IF(E1224="",1,0)</f>
        <v>0</v>
      </c>
      <c r="W1224" s="9" t="n">
        <f aca="false">IF(OR(H1224&lt;1,H1224&gt;10),1,0)</f>
        <v>0</v>
      </c>
      <c r="X1224" s="9" t="n">
        <f aca="false">IF(OR(I1224&lt;=0,I1224&gt;1500),1,0)</f>
        <v>0</v>
      </c>
      <c r="Y1224" s="9" t="n">
        <f aca="false">IF(J1224&gt;H1224*I1224,1,0)</f>
        <v>0</v>
      </c>
      <c r="Z1224" s="9" t="n">
        <f aca="false">IF(AND(N1224&lt;&gt;"",OR(N1224&lt;1,N1224&gt;5)),1,0)</f>
        <v>0</v>
      </c>
      <c r="AA1224" s="9" t="n">
        <f aca="false">IF(AND(M1224&lt;&gt;"",OR(M1224&lt;5,M1224&gt;180)),1,0)</f>
        <v>0</v>
      </c>
      <c r="AB1224" s="7" t="str">
        <f aca="false">IF(P1224="DUP","Exact duplicate row",IF(T1224=1,"Missing Order ID",IF(S1224="DROP","Duplicate Order ID (less complete row)",IF(U1224=1,"Missing Customer ID",IF(V1224=1,"Missing Restaurant name",IF(W1224=1,"Invalid/outlier quantity",IF(X1224=1,"Invalid/outlier unit price",IF(Y1224=1,"Discount greater than order value",""))))))))</f>
        <v/>
      </c>
      <c r="AC1224" s="7" t="str">
        <f aca="false">IF(AB1224="","KEEP","DROP")</f>
        <v>KEEP</v>
      </c>
      <c r="AD1224" s="7" t="str">
        <f aca="false">IF(TRIM(F1224)="",IFERROR(INDEX(Map_Tables!$I$4:$I$37,MATCH(TRIM(E1224),Map_Tables!$G$4:$G$37,0)),""),IFERROR(INDEX(Map_Tables!$B$4:$B$18,MATCH(TRIM(F1224),Map_Tables!$A$4:$A$18,0)),"CHECK"))</f>
        <v>Delhi</v>
      </c>
      <c r="AE1224" s="7" t="str">
        <f aca="false">IF(TRIM(E1224)="","",IFERROR(INDEX(Map_Tables!$H$4:$H$37,MATCH(TRIM(E1224),Map_Tables!$G$4:$G$37,0)),"CHECK"))</f>
        <v>Chaat Corner</v>
      </c>
      <c r="AF1224" s="7" t="str">
        <f aca="false">IF(TRIM(K1224)="","Unknown",IFERROR(INDEX(Map_Tables!$E$4:$E$15,MATCH(TRIM(K1224),Map_Tables!$D$4:$D$15,0)),"CHECK"))</f>
        <v>UPI</v>
      </c>
      <c r="AG1224" s="7" t="str">
        <f aca="false">IF(LEFT(LOWER(TRIM(L1224)),6)="cancel","Cancelled","Delivered")</f>
        <v>Delivered</v>
      </c>
      <c r="AH1224" s="10" t="n">
        <f aca="false">IF(ISNUMBER(SEARCH("/",B1224)),DATE(VALUE(RIGHT(B1224,4)),VALUE(MID(B1224,4,2)),VALUE(LEFT(B1224,2))),IF(MID(B1224,5,1)="-",DATE(VALUE(LEFT(B1224,4)),VALUE(MID(B1224,6,2)),VALUE(RIGHT(B1224,2))),DATE(VALUE(RIGHT(B1224,4)),MATCH(MID(B1224,4,3),{"Jan","Feb","Mar","Apr","May","Jun","Jul","Aug","Sep","Oct","Nov","Dec"},0),VALUE(LEFT(B1224,2)))))</f>
        <v>45944</v>
      </c>
    </row>
    <row r="1225" customFormat="false" ht="15" hidden="false" customHeight="false" outlineLevel="0" collapsed="false">
      <c r="A1225" s="7" t="s">
        <v>3447</v>
      </c>
      <c r="B1225" s="7" t="s">
        <v>1057</v>
      </c>
      <c r="C1225" s="7" t="s">
        <v>3448</v>
      </c>
      <c r="D1225" s="7" t="s">
        <v>2706</v>
      </c>
      <c r="E1225" s="7" t="s">
        <v>126</v>
      </c>
      <c r="F1225" s="7" t="s">
        <v>101</v>
      </c>
      <c r="G1225" s="7" t="s">
        <v>105</v>
      </c>
      <c r="H1225" s="7" t="n">
        <v>3</v>
      </c>
      <c r="I1225" s="7" t="n">
        <v>210</v>
      </c>
      <c r="J1225" s="7" t="n">
        <v>30</v>
      </c>
      <c r="K1225" s="7" t="s">
        <v>93</v>
      </c>
      <c r="L1225" s="7" t="s">
        <v>194</v>
      </c>
      <c r="M1225" s="7" t="n">
        <v>51</v>
      </c>
      <c r="N1225" s="7" t="n">
        <v>5</v>
      </c>
      <c r="O1225" s="7" t="str">
        <f aca="false">A1225&amp;"|"&amp;B1225&amp;"|"&amp;C1225&amp;"|"&amp;D1225&amp;"|"&amp;E1225&amp;"|"&amp;F1225&amp;"|"&amp;G1225&amp;"|"&amp;H1225&amp;"|"&amp;I1225&amp;"|"&amp;J1225&amp;"|"&amp;K1225&amp;"|"&amp;L1225&amp;"|"&amp;M1225&amp;"|"&amp;N1225</f>
        <v>ORD10463|2025-03-03|17:21|C1039|Dragon Express|Mumbai|Chinese|3|210|30|Credit Card|Delivered|51|5</v>
      </c>
      <c r="P1225" s="7" t="str">
        <f aca="false">IF(COUNTIF($O$2:O1225,O1225)&gt;1,"DUP","OK")</f>
        <v>OK</v>
      </c>
      <c r="Q1225" s="7" t="n">
        <f aca="false">COUNTBLANK(A1225:N1225)</f>
        <v>0</v>
      </c>
      <c r="R1225" s="7" t="n">
        <f aca="false">IF(A1225="",0,COUNTIFS($A$2:$A$3058,A1225,$P$2:$P$3058,"OK"))</f>
        <v>1</v>
      </c>
      <c r="S1225" s="7" t="str">
        <f aca="false">IF(OR(A1225="",P1225="DUP",R1225&lt;2),"",IF(Q1225=_xlfn.MINIFS($Q$2:$Q$3058,$A$2:$A$3058,A1225,$P$2:$P$3058,"OK"),"KEEP","DROP"))</f>
        <v/>
      </c>
      <c r="T1225" s="9" t="n">
        <f aca="false">IF(A1225="",1,0)</f>
        <v>0</v>
      </c>
      <c r="U1225" s="9" t="n">
        <f aca="false">IF(D1225="",1,0)</f>
        <v>0</v>
      </c>
      <c r="V1225" s="9" t="n">
        <f aca="false">IF(E1225="",1,0)</f>
        <v>0</v>
      </c>
      <c r="W1225" s="9" t="n">
        <f aca="false">IF(OR(H1225&lt;1,H1225&gt;10),1,0)</f>
        <v>0</v>
      </c>
      <c r="X1225" s="9" t="n">
        <f aca="false">IF(OR(I1225&lt;=0,I1225&gt;1500),1,0)</f>
        <v>0</v>
      </c>
      <c r="Y1225" s="9" t="n">
        <f aca="false">IF(J1225&gt;H1225*I1225,1,0)</f>
        <v>0</v>
      </c>
      <c r="Z1225" s="9" t="n">
        <f aca="false">IF(AND(N1225&lt;&gt;"",OR(N1225&lt;1,N1225&gt;5)),1,0)</f>
        <v>0</v>
      </c>
      <c r="AA1225" s="9" t="n">
        <f aca="false">IF(AND(M1225&lt;&gt;"",OR(M1225&lt;5,M1225&gt;180)),1,0)</f>
        <v>0</v>
      </c>
      <c r="AB1225" s="7" t="str">
        <f aca="false">IF(P1225="DUP","Exact duplicate row",IF(T1225=1,"Missing Order ID",IF(S1225="DROP","Duplicate Order ID (less complete row)",IF(U1225=1,"Missing Customer ID",IF(V1225=1,"Missing Restaurant name",IF(W1225=1,"Invalid/outlier quantity",IF(X1225=1,"Invalid/outlier unit price",IF(Y1225=1,"Discount greater than order value",""))))))))</f>
        <v/>
      </c>
      <c r="AC1225" s="7" t="str">
        <f aca="false">IF(AB1225="","KEEP","DROP")</f>
        <v>KEEP</v>
      </c>
      <c r="AD1225" s="7" t="str">
        <f aca="false">IF(TRIM(F1225)="",IFERROR(INDEX(Map_Tables!$I$4:$I$37,MATCH(TRIM(E1225),Map_Tables!$G$4:$G$37,0)),""),IFERROR(INDEX(Map_Tables!$B$4:$B$18,MATCH(TRIM(F1225),Map_Tables!$A$4:$A$18,0)),"CHECK"))</f>
        <v>Mumbai</v>
      </c>
      <c r="AE1225" s="7" t="str">
        <f aca="false">IF(TRIM(E1225)="","",IFERROR(INDEX(Map_Tables!$H$4:$H$37,MATCH(TRIM(E1225),Map_Tables!$G$4:$G$37,0)),"CHECK"))</f>
        <v>Dragon Express</v>
      </c>
      <c r="AF1225" s="7" t="str">
        <f aca="false">IF(TRIM(K1225)="","Unknown",IFERROR(INDEX(Map_Tables!$E$4:$E$15,MATCH(TRIM(K1225),Map_Tables!$D$4:$D$15,0)),"CHECK"))</f>
        <v>Credit Card</v>
      </c>
      <c r="AG1225" s="7" t="str">
        <f aca="false">IF(LEFT(LOWER(TRIM(L1225)),6)="cancel","Cancelled","Delivered")</f>
        <v>Delivered</v>
      </c>
      <c r="AH1225" s="10" t="n">
        <f aca="false">IF(ISNUMBER(SEARCH("/",B1225)),DATE(VALUE(RIGHT(B1225,4)),VALUE(MID(B1225,4,2)),VALUE(LEFT(B1225,2))),IF(MID(B1225,5,1)="-",DATE(VALUE(LEFT(B1225,4)),VALUE(MID(B1225,6,2)),VALUE(RIGHT(B1225,2))),DATE(VALUE(RIGHT(B1225,4)),MATCH(MID(B1225,4,3),{"Jan","Feb","Mar","Apr","May","Jun","Jul","Aug","Sep","Oct","Nov","Dec"},0),VALUE(LEFT(B1225,2)))))</f>
        <v>45719</v>
      </c>
    </row>
    <row r="1226" customFormat="false" ht="15" hidden="false" customHeight="false" outlineLevel="0" collapsed="false">
      <c r="A1226" s="7" t="s">
        <v>3449</v>
      </c>
      <c r="B1226" s="7" t="s">
        <v>739</v>
      </c>
      <c r="C1226" s="7" t="s">
        <v>3450</v>
      </c>
      <c r="D1226" s="7" t="s">
        <v>737</v>
      </c>
      <c r="E1226" s="7" t="s">
        <v>130</v>
      </c>
      <c r="F1226" s="7" t="s">
        <v>110</v>
      </c>
      <c r="G1226" s="7" t="s">
        <v>90</v>
      </c>
      <c r="H1226" s="7" t="n">
        <v>4</v>
      </c>
      <c r="I1226" s="7" t="n">
        <v>235</v>
      </c>
      <c r="J1226" s="7" t="n">
        <v>0</v>
      </c>
      <c r="K1226" s="7" t="s">
        <v>88</v>
      </c>
      <c r="L1226" s="7" t="s">
        <v>194</v>
      </c>
      <c r="M1226" s="7" t="n">
        <v>31</v>
      </c>
      <c r="N1226" s="7" t="n">
        <v>3</v>
      </c>
      <c r="O1226" s="7" t="str">
        <f aca="false">A1226&amp;"|"&amp;B1226&amp;"|"&amp;C1226&amp;"|"&amp;D1226&amp;"|"&amp;E1226&amp;"|"&amp;F1226&amp;"|"&amp;G1226&amp;"|"&amp;H1226&amp;"|"&amp;I1226&amp;"|"&amp;J1226&amp;"|"&amp;K1226&amp;"|"&amp;L1226&amp;"|"&amp;M1226&amp;"|"&amp;N1226</f>
        <v>ORD10793|2025-04-11|09:38|C0519|Tandoor Tales|Delhi|North Indian|4|235|0|UPI|Delivered|31|3</v>
      </c>
      <c r="P1226" s="7" t="str">
        <f aca="false">IF(COUNTIF($O$2:O1226,O1226)&gt;1,"DUP","OK")</f>
        <v>OK</v>
      </c>
      <c r="Q1226" s="7" t="n">
        <f aca="false">COUNTBLANK(A1226:N1226)</f>
        <v>0</v>
      </c>
      <c r="R1226" s="7" t="n">
        <f aca="false">IF(A1226="",0,COUNTIFS($A$2:$A$3058,A1226,$P$2:$P$3058,"OK"))</f>
        <v>1</v>
      </c>
      <c r="S1226" s="7" t="str">
        <f aca="false">IF(OR(A1226="",P1226="DUP",R1226&lt;2),"",IF(Q1226=_xlfn.MINIFS($Q$2:$Q$3058,$A$2:$A$3058,A1226,$P$2:$P$3058,"OK"),"KEEP","DROP"))</f>
        <v/>
      </c>
      <c r="T1226" s="9" t="n">
        <f aca="false">IF(A1226="",1,0)</f>
        <v>0</v>
      </c>
      <c r="U1226" s="9" t="n">
        <f aca="false">IF(D1226="",1,0)</f>
        <v>0</v>
      </c>
      <c r="V1226" s="9" t="n">
        <f aca="false">IF(E1226="",1,0)</f>
        <v>0</v>
      </c>
      <c r="W1226" s="9" t="n">
        <f aca="false">IF(OR(H1226&lt;1,H1226&gt;10),1,0)</f>
        <v>0</v>
      </c>
      <c r="X1226" s="9" t="n">
        <f aca="false">IF(OR(I1226&lt;=0,I1226&gt;1500),1,0)</f>
        <v>0</v>
      </c>
      <c r="Y1226" s="9" t="n">
        <f aca="false">IF(J1226&gt;H1226*I1226,1,0)</f>
        <v>0</v>
      </c>
      <c r="Z1226" s="9" t="n">
        <f aca="false">IF(AND(N1226&lt;&gt;"",OR(N1226&lt;1,N1226&gt;5)),1,0)</f>
        <v>0</v>
      </c>
      <c r="AA1226" s="9" t="n">
        <f aca="false">IF(AND(M1226&lt;&gt;"",OR(M1226&lt;5,M1226&gt;180)),1,0)</f>
        <v>0</v>
      </c>
      <c r="AB1226" s="7" t="str">
        <f aca="false">IF(P1226="DUP","Exact duplicate row",IF(T1226=1,"Missing Order ID",IF(S1226="DROP","Duplicate Order ID (less complete row)",IF(U1226=1,"Missing Customer ID",IF(V1226=1,"Missing Restaurant name",IF(W1226=1,"Invalid/outlier quantity",IF(X1226=1,"Invalid/outlier unit price",IF(Y1226=1,"Discount greater than order value",""))))))))</f>
        <v/>
      </c>
      <c r="AC1226" s="7" t="str">
        <f aca="false">IF(AB1226="","KEEP","DROP")</f>
        <v>KEEP</v>
      </c>
      <c r="AD1226" s="7" t="str">
        <f aca="false">IF(TRIM(F1226)="",IFERROR(INDEX(Map_Tables!$I$4:$I$37,MATCH(TRIM(E1226),Map_Tables!$G$4:$G$37,0)),""),IFERROR(INDEX(Map_Tables!$B$4:$B$18,MATCH(TRIM(F1226),Map_Tables!$A$4:$A$18,0)),"CHECK"))</f>
        <v>Delhi</v>
      </c>
      <c r="AE1226" s="7" t="str">
        <f aca="false">IF(TRIM(E1226)="","",IFERROR(INDEX(Map_Tables!$H$4:$H$37,MATCH(TRIM(E1226),Map_Tables!$G$4:$G$37,0)),"CHECK"))</f>
        <v>Tandoor Tales</v>
      </c>
      <c r="AF1226" s="7" t="str">
        <f aca="false">IF(TRIM(K1226)="","Unknown",IFERROR(INDEX(Map_Tables!$E$4:$E$15,MATCH(TRIM(K1226),Map_Tables!$D$4:$D$15,0)),"CHECK"))</f>
        <v>UPI</v>
      </c>
      <c r="AG1226" s="7" t="str">
        <f aca="false">IF(LEFT(LOWER(TRIM(L1226)),6)="cancel","Cancelled","Delivered")</f>
        <v>Delivered</v>
      </c>
      <c r="AH1226" s="10" t="n">
        <f aca="false">IF(ISNUMBER(SEARCH("/",B1226)),DATE(VALUE(RIGHT(B1226,4)),VALUE(MID(B1226,4,2)),VALUE(LEFT(B1226,2))),IF(MID(B1226,5,1)="-",DATE(VALUE(LEFT(B1226,4)),VALUE(MID(B1226,6,2)),VALUE(RIGHT(B1226,2))),DATE(VALUE(RIGHT(B1226,4)),MATCH(MID(B1226,4,3),{"Jan","Feb","Mar","Apr","May","Jun","Jul","Aug","Sep","Oct","Nov","Dec"},0),VALUE(LEFT(B1226,2)))))</f>
        <v>45758</v>
      </c>
    </row>
    <row r="1227" customFormat="false" ht="15" hidden="false" customHeight="false" outlineLevel="0" collapsed="false">
      <c r="A1227" s="7" t="s">
        <v>3451</v>
      </c>
      <c r="B1227" s="7" t="s">
        <v>287</v>
      </c>
      <c r="C1227" s="7" t="s">
        <v>1694</v>
      </c>
      <c r="D1227" s="7" t="s">
        <v>721</v>
      </c>
      <c r="E1227" s="7" t="s">
        <v>148</v>
      </c>
      <c r="F1227" s="7" t="s">
        <v>119</v>
      </c>
      <c r="G1227" s="7" t="s">
        <v>123</v>
      </c>
      <c r="H1227" s="7" t="n">
        <v>5</v>
      </c>
      <c r="I1227" s="7" t="n">
        <v>345</v>
      </c>
      <c r="J1227" s="7" t="n">
        <v>150</v>
      </c>
      <c r="K1227" s="7" t="s">
        <v>88</v>
      </c>
      <c r="L1227" s="7" t="s">
        <v>194</v>
      </c>
      <c r="M1227" s="7" t="n">
        <v>44</v>
      </c>
      <c r="N1227" s="7" t="n">
        <v>5</v>
      </c>
      <c r="O1227" s="7" t="str">
        <f aca="false">A1227&amp;"|"&amp;B1227&amp;"|"&amp;C1227&amp;"|"&amp;D1227&amp;"|"&amp;E1227&amp;"|"&amp;F1227&amp;"|"&amp;G1227&amp;"|"&amp;H1227&amp;"|"&amp;I1227&amp;"|"&amp;J1227&amp;"|"&amp;K1227&amp;"|"&amp;L1227&amp;"|"&amp;M1227&amp;"|"&amp;N1227</f>
        <v>ORD10505|07/03/2025|17:51|C1430|Pizza Palace|Hyderabad|Pizza|5|345|150|UPI|Delivered|44|5</v>
      </c>
      <c r="P1227" s="7" t="str">
        <f aca="false">IF(COUNTIF($O$2:O1227,O1227)&gt;1,"DUP","OK")</f>
        <v>OK</v>
      </c>
      <c r="Q1227" s="7" t="n">
        <f aca="false">COUNTBLANK(A1227:N1227)</f>
        <v>0</v>
      </c>
      <c r="R1227" s="7" t="n">
        <f aca="false">IF(A1227="",0,COUNTIFS($A$2:$A$3058,A1227,$P$2:$P$3058,"OK"))</f>
        <v>1</v>
      </c>
      <c r="S1227" s="7" t="str">
        <f aca="false">IF(OR(A1227="",P1227="DUP",R1227&lt;2),"",IF(Q1227=_xlfn.MINIFS($Q$2:$Q$3058,$A$2:$A$3058,A1227,$P$2:$P$3058,"OK"),"KEEP","DROP"))</f>
        <v/>
      </c>
      <c r="T1227" s="9" t="n">
        <f aca="false">IF(A1227="",1,0)</f>
        <v>0</v>
      </c>
      <c r="U1227" s="9" t="n">
        <f aca="false">IF(D1227="",1,0)</f>
        <v>0</v>
      </c>
      <c r="V1227" s="9" t="n">
        <f aca="false">IF(E1227="",1,0)</f>
        <v>0</v>
      </c>
      <c r="W1227" s="9" t="n">
        <f aca="false">IF(OR(H1227&lt;1,H1227&gt;10),1,0)</f>
        <v>0</v>
      </c>
      <c r="X1227" s="9" t="n">
        <f aca="false">IF(OR(I1227&lt;=0,I1227&gt;1500),1,0)</f>
        <v>0</v>
      </c>
      <c r="Y1227" s="9" t="n">
        <f aca="false">IF(J1227&gt;H1227*I1227,1,0)</f>
        <v>0</v>
      </c>
      <c r="Z1227" s="9" t="n">
        <f aca="false">IF(AND(N1227&lt;&gt;"",OR(N1227&lt;1,N1227&gt;5)),1,0)</f>
        <v>0</v>
      </c>
      <c r="AA1227" s="9" t="n">
        <f aca="false">IF(AND(M1227&lt;&gt;"",OR(M1227&lt;5,M1227&gt;180)),1,0)</f>
        <v>0</v>
      </c>
      <c r="AB1227" s="7" t="str">
        <f aca="false">IF(P1227="DUP","Exact duplicate row",IF(T1227=1,"Missing Order ID",IF(S1227="DROP","Duplicate Order ID (less complete row)",IF(U1227=1,"Missing Customer ID",IF(V1227=1,"Missing Restaurant name",IF(W1227=1,"Invalid/outlier quantity",IF(X1227=1,"Invalid/outlier unit price",IF(Y1227=1,"Discount greater than order value",""))))))))</f>
        <v/>
      </c>
      <c r="AC1227" s="7" t="str">
        <f aca="false">IF(AB1227="","KEEP","DROP")</f>
        <v>KEEP</v>
      </c>
      <c r="AD1227" s="7" t="str">
        <f aca="false">IF(TRIM(F1227)="",IFERROR(INDEX(Map_Tables!$I$4:$I$37,MATCH(TRIM(E1227),Map_Tables!$G$4:$G$37,0)),""),IFERROR(INDEX(Map_Tables!$B$4:$B$18,MATCH(TRIM(F1227),Map_Tables!$A$4:$A$18,0)),"CHECK"))</f>
        <v>Hyderabad</v>
      </c>
      <c r="AE1227" s="7" t="str">
        <f aca="false">IF(TRIM(E1227)="","",IFERROR(INDEX(Map_Tables!$H$4:$H$37,MATCH(TRIM(E1227),Map_Tables!$G$4:$G$37,0)),"CHECK"))</f>
        <v>Pizza Palace</v>
      </c>
      <c r="AF1227" s="7" t="str">
        <f aca="false">IF(TRIM(K1227)="","Unknown",IFERROR(INDEX(Map_Tables!$E$4:$E$15,MATCH(TRIM(K1227),Map_Tables!$D$4:$D$15,0)),"CHECK"))</f>
        <v>UPI</v>
      </c>
      <c r="AG1227" s="7" t="str">
        <f aca="false">IF(LEFT(LOWER(TRIM(L1227)),6)="cancel","Cancelled","Delivered")</f>
        <v>Delivered</v>
      </c>
      <c r="AH1227" s="10" t="n">
        <f aca="false">IF(ISNUMBER(SEARCH("/",B1227)),DATE(VALUE(RIGHT(B1227,4)),VALUE(MID(B1227,4,2)),VALUE(LEFT(B1227,2))),IF(MID(B1227,5,1)="-",DATE(VALUE(LEFT(B1227,4)),VALUE(MID(B1227,6,2)),VALUE(RIGHT(B1227,2))),DATE(VALUE(RIGHT(B1227,4)),MATCH(MID(B1227,4,3),{"Jan","Feb","Mar","Apr","May","Jun","Jul","Aug","Sep","Oct","Nov","Dec"},0),VALUE(LEFT(B1227,2)))))</f>
        <v>45723</v>
      </c>
    </row>
    <row r="1228" customFormat="false" ht="15" hidden="false" customHeight="false" outlineLevel="0" collapsed="false">
      <c r="A1228" s="7" t="s">
        <v>3452</v>
      </c>
      <c r="B1228" s="7" t="s">
        <v>1029</v>
      </c>
      <c r="C1228" s="7" t="s">
        <v>3217</v>
      </c>
      <c r="D1228" s="7" t="s">
        <v>2318</v>
      </c>
      <c r="E1228" s="7" t="s">
        <v>116</v>
      </c>
      <c r="F1228" s="7" t="s">
        <v>100</v>
      </c>
      <c r="G1228" s="7" t="s">
        <v>117</v>
      </c>
      <c r="H1228" s="7" t="n">
        <v>4</v>
      </c>
      <c r="I1228" s="7" t="n">
        <v>110</v>
      </c>
      <c r="J1228" s="7" t="n">
        <v>0</v>
      </c>
      <c r="K1228" s="7" t="s">
        <v>103</v>
      </c>
      <c r="L1228" s="7" t="s">
        <v>194</v>
      </c>
      <c r="M1228" s="7" t="n">
        <v>37</v>
      </c>
      <c r="N1228" s="7"/>
      <c r="O1228" s="7" t="str">
        <f aca="false">A1228&amp;"|"&amp;B1228&amp;"|"&amp;C1228&amp;"|"&amp;D1228&amp;"|"&amp;E1228&amp;"|"&amp;F1228&amp;"|"&amp;G1228&amp;"|"&amp;H1228&amp;"|"&amp;I1228&amp;"|"&amp;J1228&amp;"|"&amp;K1228&amp;"|"&amp;L1228&amp;"|"&amp;M1228&amp;"|"&amp;N1228</f>
        <v>ORD10309|2025-02-11|12:17|C0718|Pav Bhaji Point|mumbai|Street Food|4|110|0|Debit Card|Delivered|37|</v>
      </c>
      <c r="P1228" s="7" t="str">
        <f aca="false">IF(COUNTIF($O$2:O1228,O1228)&gt;1,"DUP","OK")</f>
        <v>OK</v>
      </c>
      <c r="Q1228" s="7" t="n">
        <f aca="false">COUNTBLANK(A1228:N1228)</f>
        <v>1</v>
      </c>
      <c r="R1228" s="7" t="n">
        <f aca="false">IF(A1228="",0,COUNTIFS($A$2:$A$3058,A1228,$P$2:$P$3058,"OK"))</f>
        <v>1</v>
      </c>
      <c r="S1228" s="7" t="str">
        <f aca="false">IF(OR(A1228="",P1228="DUP",R1228&lt;2),"",IF(Q1228=_xlfn.MINIFS($Q$2:$Q$3058,$A$2:$A$3058,A1228,$P$2:$P$3058,"OK"),"KEEP","DROP"))</f>
        <v/>
      </c>
      <c r="T1228" s="9" t="n">
        <f aca="false">IF(A1228="",1,0)</f>
        <v>0</v>
      </c>
      <c r="U1228" s="9" t="n">
        <f aca="false">IF(D1228="",1,0)</f>
        <v>0</v>
      </c>
      <c r="V1228" s="9" t="n">
        <f aca="false">IF(E1228="",1,0)</f>
        <v>0</v>
      </c>
      <c r="W1228" s="9" t="n">
        <f aca="false">IF(OR(H1228&lt;1,H1228&gt;10),1,0)</f>
        <v>0</v>
      </c>
      <c r="X1228" s="9" t="n">
        <f aca="false">IF(OR(I1228&lt;=0,I1228&gt;1500),1,0)</f>
        <v>0</v>
      </c>
      <c r="Y1228" s="9" t="n">
        <f aca="false">IF(J1228&gt;H1228*I1228,1,0)</f>
        <v>0</v>
      </c>
      <c r="Z1228" s="9" t="n">
        <f aca="false">IF(AND(N1228&lt;&gt;"",OR(N1228&lt;1,N1228&gt;5)),1,0)</f>
        <v>0</v>
      </c>
      <c r="AA1228" s="9" t="n">
        <f aca="false">IF(AND(M1228&lt;&gt;"",OR(M1228&lt;5,M1228&gt;180)),1,0)</f>
        <v>0</v>
      </c>
      <c r="AB1228" s="7" t="str">
        <f aca="false">IF(P1228="DUP","Exact duplicate row",IF(T1228=1,"Missing Order ID",IF(S1228="DROP","Duplicate Order ID (less complete row)",IF(U1228=1,"Missing Customer ID",IF(V1228=1,"Missing Restaurant name",IF(W1228=1,"Invalid/outlier quantity",IF(X1228=1,"Invalid/outlier unit price",IF(Y1228=1,"Discount greater than order value",""))))))))</f>
        <v/>
      </c>
      <c r="AC1228" s="7" t="str">
        <f aca="false">IF(AB1228="","KEEP","DROP")</f>
        <v>KEEP</v>
      </c>
      <c r="AD1228" s="7" t="str">
        <f aca="false">IF(TRIM(F1228)="",IFERROR(INDEX(Map_Tables!$I$4:$I$37,MATCH(TRIM(E1228),Map_Tables!$G$4:$G$37,0)),""),IFERROR(INDEX(Map_Tables!$B$4:$B$18,MATCH(TRIM(F1228),Map_Tables!$A$4:$A$18,0)),"CHECK"))</f>
        <v>Mumbai</v>
      </c>
      <c r="AE1228" s="7" t="str">
        <f aca="false">IF(TRIM(E1228)="","",IFERROR(INDEX(Map_Tables!$H$4:$H$37,MATCH(TRIM(E1228),Map_Tables!$G$4:$G$37,0)),"CHECK"))</f>
        <v>Pav Bhaji Point</v>
      </c>
      <c r="AF1228" s="7" t="str">
        <f aca="false">IF(TRIM(K1228)="","Unknown",IFERROR(INDEX(Map_Tables!$E$4:$E$15,MATCH(TRIM(K1228),Map_Tables!$D$4:$D$15,0)),"CHECK"))</f>
        <v>Debit Card</v>
      </c>
      <c r="AG1228" s="7" t="str">
        <f aca="false">IF(LEFT(LOWER(TRIM(L1228)),6)="cancel","Cancelled","Delivered")</f>
        <v>Delivered</v>
      </c>
      <c r="AH1228" s="10" t="n">
        <f aca="false">IF(ISNUMBER(SEARCH("/",B1228)),DATE(VALUE(RIGHT(B1228,4)),VALUE(MID(B1228,4,2)),VALUE(LEFT(B1228,2))),IF(MID(B1228,5,1)="-",DATE(VALUE(LEFT(B1228,4)),VALUE(MID(B1228,6,2)),VALUE(RIGHT(B1228,2))),DATE(VALUE(RIGHT(B1228,4)),MATCH(MID(B1228,4,3),{"Jan","Feb","Mar","Apr","May","Jun","Jul","Aug","Sep","Oct","Nov","Dec"},0),VALUE(LEFT(B1228,2)))))</f>
        <v>45699</v>
      </c>
    </row>
    <row r="1229" customFormat="false" ht="15" hidden="false" customHeight="false" outlineLevel="0" collapsed="false">
      <c r="A1229" s="7" t="s">
        <v>3453</v>
      </c>
      <c r="B1229" s="7" t="s">
        <v>1083</v>
      </c>
      <c r="C1229" s="7" t="s">
        <v>1109</v>
      </c>
      <c r="D1229" s="7" t="s">
        <v>3454</v>
      </c>
      <c r="E1229" s="7" t="s">
        <v>130</v>
      </c>
      <c r="F1229" s="7" t="s">
        <v>110</v>
      </c>
      <c r="G1229" s="7" t="s">
        <v>90</v>
      </c>
      <c r="H1229" s="7" t="n">
        <v>2</v>
      </c>
      <c r="I1229" s="7" t="n">
        <v>225</v>
      </c>
      <c r="J1229" s="7" t="n">
        <v>125</v>
      </c>
      <c r="K1229" s="7" t="s">
        <v>88</v>
      </c>
      <c r="L1229" s="7" t="s">
        <v>194</v>
      </c>
      <c r="M1229" s="7" t="n">
        <v>41</v>
      </c>
      <c r="N1229" s="7" t="n">
        <v>3</v>
      </c>
      <c r="O1229" s="7" t="str">
        <f aca="false">A1229&amp;"|"&amp;B1229&amp;"|"&amp;C1229&amp;"|"&amp;D1229&amp;"|"&amp;E1229&amp;"|"&amp;F1229&amp;"|"&amp;G1229&amp;"|"&amp;H1229&amp;"|"&amp;I1229&amp;"|"&amp;J1229&amp;"|"&amp;K1229&amp;"|"&amp;L1229&amp;"|"&amp;M1229&amp;"|"&amp;N1229</f>
        <v>ORD11580|25/07/2025|17:48|C1486|Tandoor Tales|Delhi|North Indian|2|225|125|UPI|Delivered|41|3</v>
      </c>
      <c r="P1229" s="7" t="str">
        <f aca="false">IF(COUNTIF($O$2:O1229,O1229)&gt;1,"DUP","OK")</f>
        <v>OK</v>
      </c>
      <c r="Q1229" s="7" t="n">
        <f aca="false">COUNTBLANK(A1229:N1229)</f>
        <v>0</v>
      </c>
      <c r="R1229" s="7" t="n">
        <f aca="false">IF(A1229="",0,COUNTIFS($A$2:$A$3058,A1229,$P$2:$P$3058,"OK"))</f>
        <v>1</v>
      </c>
      <c r="S1229" s="7" t="str">
        <f aca="false">IF(OR(A1229="",P1229="DUP",R1229&lt;2),"",IF(Q1229=_xlfn.MINIFS($Q$2:$Q$3058,$A$2:$A$3058,A1229,$P$2:$P$3058,"OK"),"KEEP","DROP"))</f>
        <v/>
      </c>
      <c r="T1229" s="9" t="n">
        <f aca="false">IF(A1229="",1,0)</f>
        <v>0</v>
      </c>
      <c r="U1229" s="9" t="n">
        <f aca="false">IF(D1229="",1,0)</f>
        <v>0</v>
      </c>
      <c r="V1229" s="9" t="n">
        <f aca="false">IF(E1229="",1,0)</f>
        <v>0</v>
      </c>
      <c r="W1229" s="9" t="n">
        <f aca="false">IF(OR(H1229&lt;1,H1229&gt;10),1,0)</f>
        <v>0</v>
      </c>
      <c r="X1229" s="9" t="n">
        <f aca="false">IF(OR(I1229&lt;=0,I1229&gt;1500),1,0)</f>
        <v>0</v>
      </c>
      <c r="Y1229" s="9" t="n">
        <f aca="false">IF(J1229&gt;H1229*I1229,1,0)</f>
        <v>0</v>
      </c>
      <c r="Z1229" s="9" t="n">
        <f aca="false">IF(AND(N1229&lt;&gt;"",OR(N1229&lt;1,N1229&gt;5)),1,0)</f>
        <v>0</v>
      </c>
      <c r="AA1229" s="9" t="n">
        <f aca="false">IF(AND(M1229&lt;&gt;"",OR(M1229&lt;5,M1229&gt;180)),1,0)</f>
        <v>0</v>
      </c>
      <c r="AB1229" s="7" t="str">
        <f aca="false">IF(P1229="DUP","Exact duplicate row",IF(T1229=1,"Missing Order ID",IF(S1229="DROP","Duplicate Order ID (less complete row)",IF(U1229=1,"Missing Customer ID",IF(V1229=1,"Missing Restaurant name",IF(W1229=1,"Invalid/outlier quantity",IF(X1229=1,"Invalid/outlier unit price",IF(Y1229=1,"Discount greater than order value",""))))))))</f>
        <v/>
      </c>
      <c r="AC1229" s="7" t="str">
        <f aca="false">IF(AB1229="","KEEP","DROP")</f>
        <v>KEEP</v>
      </c>
      <c r="AD1229" s="7" t="str">
        <f aca="false">IF(TRIM(F1229)="",IFERROR(INDEX(Map_Tables!$I$4:$I$37,MATCH(TRIM(E1229),Map_Tables!$G$4:$G$37,0)),""),IFERROR(INDEX(Map_Tables!$B$4:$B$18,MATCH(TRIM(F1229),Map_Tables!$A$4:$A$18,0)),"CHECK"))</f>
        <v>Delhi</v>
      </c>
      <c r="AE1229" s="7" t="str">
        <f aca="false">IF(TRIM(E1229)="","",IFERROR(INDEX(Map_Tables!$H$4:$H$37,MATCH(TRIM(E1229),Map_Tables!$G$4:$G$37,0)),"CHECK"))</f>
        <v>Tandoor Tales</v>
      </c>
      <c r="AF1229" s="7" t="str">
        <f aca="false">IF(TRIM(K1229)="","Unknown",IFERROR(INDEX(Map_Tables!$E$4:$E$15,MATCH(TRIM(K1229),Map_Tables!$D$4:$D$15,0)),"CHECK"))</f>
        <v>UPI</v>
      </c>
      <c r="AG1229" s="7" t="str">
        <f aca="false">IF(LEFT(LOWER(TRIM(L1229)),6)="cancel","Cancelled","Delivered")</f>
        <v>Delivered</v>
      </c>
      <c r="AH1229" s="10" t="n">
        <f aca="false">IF(ISNUMBER(SEARCH("/",B1229)),DATE(VALUE(RIGHT(B1229,4)),VALUE(MID(B1229,4,2)),VALUE(LEFT(B1229,2))),IF(MID(B1229,5,1)="-",DATE(VALUE(LEFT(B1229,4)),VALUE(MID(B1229,6,2)),VALUE(RIGHT(B1229,2))),DATE(VALUE(RIGHT(B1229,4)),MATCH(MID(B1229,4,3),{"Jan","Feb","Mar","Apr","May","Jun","Jul","Aug","Sep","Oct","Nov","Dec"},0),VALUE(LEFT(B1229,2)))))</f>
        <v>45863</v>
      </c>
    </row>
    <row r="1230" customFormat="false" ht="15" hidden="false" customHeight="false" outlineLevel="0" collapsed="false">
      <c r="A1230" s="7" t="s">
        <v>3455</v>
      </c>
      <c r="B1230" s="7" t="s">
        <v>257</v>
      </c>
      <c r="C1230" s="7" t="s">
        <v>3456</v>
      </c>
      <c r="D1230" s="7" t="s">
        <v>3457</v>
      </c>
      <c r="E1230" s="7" t="s">
        <v>162</v>
      </c>
      <c r="F1230" s="7" t="s">
        <v>141</v>
      </c>
      <c r="G1230" s="7" t="s">
        <v>117</v>
      </c>
      <c r="H1230" s="7" t="n">
        <v>3</v>
      </c>
      <c r="I1230" s="7" t="n">
        <v>75</v>
      </c>
      <c r="J1230" s="7" t="n">
        <v>90</v>
      </c>
      <c r="K1230" s="7" t="s">
        <v>112</v>
      </c>
      <c r="L1230" s="7" t="s">
        <v>194</v>
      </c>
      <c r="M1230" s="7" t="n">
        <v>41</v>
      </c>
      <c r="N1230" s="7"/>
      <c r="O1230" s="7" t="str">
        <f aca="false">A1230&amp;"|"&amp;B1230&amp;"|"&amp;C1230&amp;"|"&amp;D1230&amp;"|"&amp;E1230&amp;"|"&amp;F1230&amp;"|"&amp;G1230&amp;"|"&amp;H1230&amp;"|"&amp;I1230&amp;"|"&amp;J1230&amp;"|"&amp;K1230&amp;"|"&amp;L1230&amp;"|"&amp;M1230&amp;"|"&amp;N1230</f>
        <v>ORD10364|2025-02-17|20:36|C0819|Kolkata Roll Centre|Kolkata|Street Food|3|75|90|Cash on Delivery|Delivered|41|</v>
      </c>
      <c r="P1230" s="7" t="str">
        <f aca="false">IF(COUNTIF($O$2:O1230,O1230)&gt;1,"DUP","OK")</f>
        <v>OK</v>
      </c>
      <c r="Q1230" s="7" t="n">
        <f aca="false">COUNTBLANK(A1230:N1230)</f>
        <v>1</v>
      </c>
      <c r="R1230" s="7" t="n">
        <f aca="false">IF(A1230="",0,COUNTIFS($A$2:$A$3058,A1230,$P$2:$P$3058,"OK"))</f>
        <v>1</v>
      </c>
      <c r="S1230" s="7" t="str">
        <f aca="false">IF(OR(A1230="",P1230="DUP",R1230&lt;2),"",IF(Q1230=_xlfn.MINIFS($Q$2:$Q$3058,$A$2:$A$3058,A1230,$P$2:$P$3058,"OK"),"KEEP","DROP"))</f>
        <v/>
      </c>
      <c r="T1230" s="9" t="n">
        <f aca="false">IF(A1230="",1,0)</f>
        <v>0</v>
      </c>
      <c r="U1230" s="9" t="n">
        <f aca="false">IF(D1230="",1,0)</f>
        <v>0</v>
      </c>
      <c r="V1230" s="9" t="n">
        <f aca="false">IF(E1230="",1,0)</f>
        <v>0</v>
      </c>
      <c r="W1230" s="9" t="n">
        <f aca="false">IF(OR(H1230&lt;1,H1230&gt;10),1,0)</f>
        <v>0</v>
      </c>
      <c r="X1230" s="9" t="n">
        <f aca="false">IF(OR(I1230&lt;=0,I1230&gt;1500),1,0)</f>
        <v>0</v>
      </c>
      <c r="Y1230" s="9" t="n">
        <f aca="false">IF(J1230&gt;H1230*I1230,1,0)</f>
        <v>0</v>
      </c>
      <c r="Z1230" s="9" t="n">
        <f aca="false">IF(AND(N1230&lt;&gt;"",OR(N1230&lt;1,N1230&gt;5)),1,0)</f>
        <v>0</v>
      </c>
      <c r="AA1230" s="9" t="n">
        <f aca="false">IF(AND(M1230&lt;&gt;"",OR(M1230&lt;5,M1230&gt;180)),1,0)</f>
        <v>0</v>
      </c>
      <c r="AB1230" s="7" t="str">
        <f aca="false">IF(P1230="DUP","Exact duplicate row",IF(T1230=1,"Missing Order ID",IF(S1230="DROP","Duplicate Order ID (less complete row)",IF(U1230=1,"Missing Customer ID",IF(V1230=1,"Missing Restaurant name",IF(W1230=1,"Invalid/outlier quantity",IF(X1230=1,"Invalid/outlier unit price",IF(Y1230=1,"Discount greater than order value",""))))))))</f>
        <v/>
      </c>
      <c r="AC1230" s="7" t="str">
        <f aca="false">IF(AB1230="","KEEP","DROP")</f>
        <v>KEEP</v>
      </c>
      <c r="AD1230" s="7" t="str">
        <f aca="false">IF(TRIM(F1230)="",IFERROR(INDEX(Map_Tables!$I$4:$I$37,MATCH(TRIM(E1230),Map_Tables!$G$4:$G$37,0)),""),IFERROR(INDEX(Map_Tables!$B$4:$B$18,MATCH(TRIM(F1230),Map_Tables!$A$4:$A$18,0)),"CHECK"))</f>
        <v>Kolkata</v>
      </c>
      <c r="AE1230" s="7" t="str">
        <f aca="false">IF(TRIM(E1230)="","",IFERROR(INDEX(Map_Tables!$H$4:$H$37,MATCH(TRIM(E1230),Map_Tables!$G$4:$G$37,0)),"CHECK"))</f>
        <v>Kolkata Roll Centre</v>
      </c>
      <c r="AF1230" s="7" t="str">
        <f aca="false">IF(TRIM(K1230)="","Unknown",IFERROR(INDEX(Map_Tables!$E$4:$E$15,MATCH(TRIM(K1230),Map_Tables!$D$4:$D$15,0)),"CHECK"))</f>
        <v>Cash on Delivery</v>
      </c>
      <c r="AG1230" s="7" t="str">
        <f aca="false">IF(LEFT(LOWER(TRIM(L1230)),6)="cancel","Cancelled","Delivered")</f>
        <v>Delivered</v>
      </c>
      <c r="AH1230" s="10" t="n">
        <f aca="false">IF(ISNUMBER(SEARCH("/",B1230)),DATE(VALUE(RIGHT(B1230,4)),VALUE(MID(B1230,4,2)),VALUE(LEFT(B1230,2))),IF(MID(B1230,5,1)="-",DATE(VALUE(LEFT(B1230,4)),VALUE(MID(B1230,6,2)),VALUE(RIGHT(B1230,2))),DATE(VALUE(RIGHT(B1230,4)),MATCH(MID(B1230,4,3),{"Jan","Feb","Mar","Apr","May","Jun","Jul","Aug","Sep","Oct","Nov","Dec"},0),VALUE(LEFT(B1230,2)))))</f>
        <v>45705</v>
      </c>
    </row>
    <row r="1231" customFormat="false" ht="15" hidden="false" customHeight="false" outlineLevel="0" collapsed="false">
      <c r="A1231" s="7" t="s">
        <v>3458</v>
      </c>
      <c r="B1231" s="7" t="s">
        <v>271</v>
      </c>
      <c r="C1231" s="7" t="s">
        <v>2810</v>
      </c>
      <c r="D1231" s="7" t="s">
        <v>214</v>
      </c>
      <c r="E1231" s="7" t="s">
        <v>113</v>
      </c>
      <c r="F1231" s="7" t="s">
        <v>101</v>
      </c>
      <c r="G1231" s="7" t="s">
        <v>90</v>
      </c>
      <c r="H1231" s="7" t="n">
        <v>1</v>
      </c>
      <c r="I1231" s="7" t="n">
        <v>285</v>
      </c>
      <c r="J1231" s="7" t="n">
        <v>0</v>
      </c>
      <c r="K1231" s="7" t="s">
        <v>88</v>
      </c>
      <c r="L1231" s="7" t="s">
        <v>194</v>
      </c>
      <c r="M1231" s="7" t="n">
        <v>29</v>
      </c>
      <c r="N1231" s="7" t="n">
        <v>4</v>
      </c>
      <c r="O1231" s="7" t="str">
        <f aca="false">A1231&amp;"|"&amp;B1231&amp;"|"&amp;C1231&amp;"|"&amp;D1231&amp;"|"&amp;E1231&amp;"|"&amp;F1231&amp;"|"&amp;G1231&amp;"|"&amp;H1231&amp;"|"&amp;I1231&amp;"|"&amp;J1231&amp;"|"&amp;K1231&amp;"|"&amp;L1231&amp;"|"&amp;M1231&amp;"|"&amp;N1231</f>
        <v>ORD10580|2025-03-15|13:46|C0481|Curry Leaf Kitchen|Mumbai|North Indian|1|285|0|UPI|Delivered|29|4</v>
      </c>
      <c r="P1231" s="7" t="str">
        <f aca="false">IF(COUNTIF($O$2:O1231,O1231)&gt;1,"DUP","OK")</f>
        <v>OK</v>
      </c>
      <c r="Q1231" s="7" t="n">
        <f aca="false">COUNTBLANK(A1231:N1231)</f>
        <v>0</v>
      </c>
      <c r="R1231" s="7" t="n">
        <f aca="false">IF(A1231="",0,COUNTIFS($A$2:$A$3058,A1231,$P$2:$P$3058,"OK"))</f>
        <v>1</v>
      </c>
      <c r="S1231" s="7" t="str">
        <f aca="false">IF(OR(A1231="",P1231="DUP",R1231&lt;2),"",IF(Q1231=_xlfn.MINIFS($Q$2:$Q$3058,$A$2:$A$3058,A1231,$P$2:$P$3058,"OK"),"KEEP","DROP"))</f>
        <v/>
      </c>
      <c r="T1231" s="9" t="n">
        <f aca="false">IF(A1231="",1,0)</f>
        <v>0</v>
      </c>
      <c r="U1231" s="9" t="n">
        <f aca="false">IF(D1231="",1,0)</f>
        <v>0</v>
      </c>
      <c r="V1231" s="9" t="n">
        <f aca="false">IF(E1231="",1,0)</f>
        <v>0</v>
      </c>
      <c r="W1231" s="9" t="n">
        <f aca="false">IF(OR(H1231&lt;1,H1231&gt;10),1,0)</f>
        <v>0</v>
      </c>
      <c r="X1231" s="9" t="n">
        <f aca="false">IF(OR(I1231&lt;=0,I1231&gt;1500),1,0)</f>
        <v>0</v>
      </c>
      <c r="Y1231" s="9" t="n">
        <f aca="false">IF(J1231&gt;H1231*I1231,1,0)</f>
        <v>0</v>
      </c>
      <c r="Z1231" s="9" t="n">
        <f aca="false">IF(AND(N1231&lt;&gt;"",OR(N1231&lt;1,N1231&gt;5)),1,0)</f>
        <v>0</v>
      </c>
      <c r="AA1231" s="9" t="n">
        <f aca="false">IF(AND(M1231&lt;&gt;"",OR(M1231&lt;5,M1231&gt;180)),1,0)</f>
        <v>0</v>
      </c>
      <c r="AB1231" s="7" t="str">
        <f aca="false">IF(P1231="DUP","Exact duplicate row",IF(T1231=1,"Missing Order ID",IF(S1231="DROP","Duplicate Order ID (less complete row)",IF(U1231=1,"Missing Customer ID",IF(V1231=1,"Missing Restaurant name",IF(W1231=1,"Invalid/outlier quantity",IF(X1231=1,"Invalid/outlier unit price",IF(Y1231=1,"Discount greater than order value",""))))))))</f>
        <v/>
      </c>
      <c r="AC1231" s="7" t="str">
        <f aca="false">IF(AB1231="","KEEP","DROP")</f>
        <v>KEEP</v>
      </c>
      <c r="AD1231" s="7" t="str">
        <f aca="false">IF(TRIM(F1231)="",IFERROR(INDEX(Map_Tables!$I$4:$I$37,MATCH(TRIM(E1231),Map_Tables!$G$4:$G$37,0)),""),IFERROR(INDEX(Map_Tables!$B$4:$B$18,MATCH(TRIM(F1231),Map_Tables!$A$4:$A$18,0)),"CHECK"))</f>
        <v>Mumbai</v>
      </c>
      <c r="AE1231" s="7" t="str">
        <f aca="false">IF(TRIM(E1231)="","",IFERROR(INDEX(Map_Tables!$H$4:$H$37,MATCH(TRIM(E1231),Map_Tables!$G$4:$G$37,0)),"CHECK"))</f>
        <v>Curry Leaf Kitchen</v>
      </c>
      <c r="AF1231" s="7" t="str">
        <f aca="false">IF(TRIM(K1231)="","Unknown",IFERROR(INDEX(Map_Tables!$E$4:$E$15,MATCH(TRIM(K1231),Map_Tables!$D$4:$D$15,0)),"CHECK"))</f>
        <v>UPI</v>
      </c>
      <c r="AG1231" s="7" t="str">
        <f aca="false">IF(LEFT(LOWER(TRIM(L1231)),6)="cancel","Cancelled","Delivered")</f>
        <v>Delivered</v>
      </c>
      <c r="AH1231" s="10" t="n">
        <f aca="false">IF(ISNUMBER(SEARCH("/",B1231)),DATE(VALUE(RIGHT(B1231,4)),VALUE(MID(B1231,4,2)),VALUE(LEFT(B1231,2))),IF(MID(B1231,5,1)="-",DATE(VALUE(LEFT(B1231,4)),VALUE(MID(B1231,6,2)),VALUE(RIGHT(B1231,2))),DATE(VALUE(RIGHT(B1231,4)),MATCH(MID(B1231,4,3),{"Jan","Feb","Mar","Apr","May","Jun","Jul","Aug","Sep","Oct","Nov","Dec"},0),VALUE(LEFT(B1231,2)))))</f>
        <v>45731</v>
      </c>
    </row>
    <row r="1232" customFormat="false" ht="15" hidden="false" customHeight="false" outlineLevel="0" collapsed="false">
      <c r="A1232" s="7" t="s">
        <v>3459</v>
      </c>
      <c r="B1232" s="7" t="s">
        <v>924</v>
      </c>
      <c r="C1232" s="7" t="s">
        <v>3460</v>
      </c>
      <c r="D1232" s="7" t="s">
        <v>242</v>
      </c>
      <c r="E1232" s="7" t="s">
        <v>138</v>
      </c>
      <c r="F1232" s="7" t="s">
        <v>110</v>
      </c>
      <c r="G1232" s="7" t="s">
        <v>139</v>
      </c>
      <c r="H1232" s="7" t="n">
        <v>3</v>
      </c>
      <c r="I1232" s="7" t="n">
        <v>175</v>
      </c>
      <c r="J1232" s="7" t="n">
        <v>0</v>
      </c>
      <c r="K1232" s="7" t="s">
        <v>112</v>
      </c>
      <c r="L1232" s="7" t="s">
        <v>194</v>
      </c>
      <c r="M1232" s="7" t="n">
        <v>37</v>
      </c>
      <c r="N1232" s="7" t="n">
        <v>3</v>
      </c>
      <c r="O1232" s="7" t="str">
        <f aca="false">A1232&amp;"|"&amp;B1232&amp;"|"&amp;C1232&amp;"|"&amp;D1232&amp;"|"&amp;E1232&amp;"|"&amp;F1232&amp;"|"&amp;G1232&amp;"|"&amp;H1232&amp;"|"&amp;I1232&amp;"|"&amp;J1232&amp;"|"&amp;K1232&amp;"|"&amp;L1232&amp;"|"&amp;M1232&amp;"|"&amp;N1232</f>
        <v>ORD10106|2025-01-14|18:32|C1117|Burger Barn|Delhi|Burgers|3|175|0|Cash on Delivery|Delivered|37|3</v>
      </c>
      <c r="P1232" s="7" t="str">
        <f aca="false">IF(COUNTIF($O$2:O1232,O1232)&gt;1,"DUP","OK")</f>
        <v>OK</v>
      </c>
      <c r="Q1232" s="7" t="n">
        <f aca="false">COUNTBLANK(A1232:N1232)</f>
        <v>0</v>
      </c>
      <c r="R1232" s="7" t="n">
        <f aca="false">IF(A1232="",0,COUNTIFS($A$2:$A$3058,A1232,$P$2:$P$3058,"OK"))</f>
        <v>1</v>
      </c>
      <c r="S1232" s="7" t="str">
        <f aca="false">IF(OR(A1232="",P1232="DUP",R1232&lt;2),"",IF(Q1232=_xlfn.MINIFS($Q$2:$Q$3058,$A$2:$A$3058,A1232,$P$2:$P$3058,"OK"),"KEEP","DROP"))</f>
        <v/>
      </c>
      <c r="T1232" s="9" t="n">
        <f aca="false">IF(A1232="",1,0)</f>
        <v>0</v>
      </c>
      <c r="U1232" s="9" t="n">
        <f aca="false">IF(D1232="",1,0)</f>
        <v>0</v>
      </c>
      <c r="V1232" s="9" t="n">
        <f aca="false">IF(E1232="",1,0)</f>
        <v>0</v>
      </c>
      <c r="W1232" s="9" t="n">
        <f aca="false">IF(OR(H1232&lt;1,H1232&gt;10),1,0)</f>
        <v>0</v>
      </c>
      <c r="X1232" s="9" t="n">
        <f aca="false">IF(OR(I1232&lt;=0,I1232&gt;1500),1,0)</f>
        <v>0</v>
      </c>
      <c r="Y1232" s="9" t="n">
        <f aca="false">IF(J1232&gt;H1232*I1232,1,0)</f>
        <v>0</v>
      </c>
      <c r="Z1232" s="9" t="n">
        <f aca="false">IF(AND(N1232&lt;&gt;"",OR(N1232&lt;1,N1232&gt;5)),1,0)</f>
        <v>0</v>
      </c>
      <c r="AA1232" s="9" t="n">
        <f aca="false">IF(AND(M1232&lt;&gt;"",OR(M1232&lt;5,M1232&gt;180)),1,0)</f>
        <v>0</v>
      </c>
      <c r="AB1232" s="7" t="str">
        <f aca="false">IF(P1232="DUP","Exact duplicate row",IF(T1232=1,"Missing Order ID",IF(S1232="DROP","Duplicate Order ID (less complete row)",IF(U1232=1,"Missing Customer ID",IF(V1232=1,"Missing Restaurant name",IF(W1232=1,"Invalid/outlier quantity",IF(X1232=1,"Invalid/outlier unit price",IF(Y1232=1,"Discount greater than order value",""))))))))</f>
        <v/>
      </c>
      <c r="AC1232" s="7" t="str">
        <f aca="false">IF(AB1232="","KEEP","DROP")</f>
        <v>KEEP</v>
      </c>
      <c r="AD1232" s="7" t="str">
        <f aca="false">IF(TRIM(F1232)="",IFERROR(INDEX(Map_Tables!$I$4:$I$37,MATCH(TRIM(E1232),Map_Tables!$G$4:$G$37,0)),""),IFERROR(INDEX(Map_Tables!$B$4:$B$18,MATCH(TRIM(F1232),Map_Tables!$A$4:$A$18,0)),"CHECK"))</f>
        <v>Delhi</v>
      </c>
      <c r="AE1232" s="7" t="str">
        <f aca="false">IF(TRIM(E1232)="","",IFERROR(INDEX(Map_Tables!$H$4:$H$37,MATCH(TRIM(E1232),Map_Tables!$G$4:$G$37,0)),"CHECK"))</f>
        <v>Burger Barn</v>
      </c>
      <c r="AF1232" s="7" t="str">
        <f aca="false">IF(TRIM(K1232)="","Unknown",IFERROR(INDEX(Map_Tables!$E$4:$E$15,MATCH(TRIM(K1232),Map_Tables!$D$4:$D$15,0)),"CHECK"))</f>
        <v>Cash on Delivery</v>
      </c>
      <c r="AG1232" s="7" t="str">
        <f aca="false">IF(LEFT(LOWER(TRIM(L1232)),6)="cancel","Cancelled","Delivered")</f>
        <v>Delivered</v>
      </c>
      <c r="AH1232" s="10" t="n">
        <f aca="false">IF(ISNUMBER(SEARCH("/",B1232)),DATE(VALUE(RIGHT(B1232,4)),VALUE(MID(B1232,4,2)),VALUE(LEFT(B1232,2))),IF(MID(B1232,5,1)="-",DATE(VALUE(LEFT(B1232,4)),VALUE(MID(B1232,6,2)),VALUE(RIGHT(B1232,2))),DATE(VALUE(RIGHT(B1232,4)),MATCH(MID(B1232,4,3),{"Jan","Feb","Mar","Apr","May","Jun","Jul","Aug","Sep","Oct","Nov","Dec"},0),VALUE(LEFT(B1232,2)))))</f>
        <v>45671</v>
      </c>
    </row>
    <row r="1233" customFormat="false" ht="15" hidden="false" customHeight="false" outlineLevel="0" collapsed="false">
      <c r="A1233" s="7" t="s">
        <v>3461</v>
      </c>
      <c r="B1233" s="7" t="s">
        <v>2270</v>
      </c>
      <c r="C1233" s="7" t="s">
        <v>846</v>
      </c>
      <c r="D1233" s="7" t="s">
        <v>2399</v>
      </c>
      <c r="E1233" s="7" t="s">
        <v>148</v>
      </c>
      <c r="F1233" s="7" t="s">
        <v>118</v>
      </c>
      <c r="G1233" s="7" t="s">
        <v>123</v>
      </c>
      <c r="H1233" s="7" t="n">
        <v>2</v>
      </c>
      <c r="I1233" s="7" t="n">
        <v>415</v>
      </c>
      <c r="J1233" s="7" t="n">
        <v>40</v>
      </c>
      <c r="K1233" s="7" t="s">
        <v>93</v>
      </c>
      <c r="L1233" s="7" t="s">
        <v>238</v>
      </c>
      <c r="M1233" s="7"/>
      <c r="N1233" s="7"/>
      <c r="O1233" s="7" t="str">
        <f aca="false">A1233&amp;"|"&amp;B1233&amp;"|"&amp;C1233&amp;"|"&amp;D1233&amp;"|"&amp;E1233&amp;"|"&amp;F1233&amp;"|"&amp;G1233&amp;"|"&amp;H1233&amp;"|"&amp;I1233&amp;"|"&amp;J1233&amp;"|"&amp;K1233&amp;"|"&amp;L1233&amp;"|"&amp;M1233&amp;"|"&amp;N1233</f>
        <v>ORD12931|2025-12-24|11:27|C1244|Pizza Palace|hyderabad|Pizza|2|415|40|Credit Card|Cancelled||</v>
      </c>
      <c r="P1233" s="7" t="str">
        <f aca="false">IF(COUNTIF($O$2:O1233,O1233)&gt;1,"DUP","OK")</f>
        <v>OK</v>
      </c>
      <c r="Q1233" s="7" t="n">
        <f aca="false">COUNTBLANK(A1233:N1233)</f>
        <v>2</v>
      </c>
      <c r="R1233" s="7" t="n">
        <f aca="false">IF(A1233="",0,COUNTIFS($A$2:$A$3058,A1233,$P$2:$P$3058,"OK"))</f>
        <v>1</v>
      </c>
      <c r="S1233" s="7" t="str">
        <f aca="false">IF(OR(A1233="",P1233="DUP",R1233&lt;2),"",IF(Q1233=_xlfn.MINIFS($Q$2:$Q$3058,$A$2:$A$3058,A1233,$P$2:$P$3058,"OK"),"KEEP","DROP"))</f>
        <v/>
      </c>
      <c r="T1233" s="9" t="n">
        <f aca="false">IF(A1233="",1,0)</f>
        <v>0</v>
      </c>
      <c r="U1233" s="9" t="n">
        <f aca="false">IF(D1233="",1,0)</f>
        <v>0</v>
      </c>
      <c r="V1233" s="9" t="n">
        <f aca="false">IF(E1233="",1,0)</f>
        <v>0</v>
      </c>
      <c r="W1233" s="9" t="n">
        <f aca="false">IF(OR(H1233&lt;1,H1233&gt;10),1,0)</f>
        <v>0</v>
      </c>
      <c r="X1233" s="9" t="n">
        <f aca="false">IF(OR(I1233&lt;=0,I1233&gt;1500),1,0)</f>
        <v>0</v>
      </c>
      <c r="Y1233" s="9" t="n">
        <f aca="false">IF(J1233&gt;H1233*I1233,1,0)</f>
        <v>0</v>
      </c>
      <c r="Z1233" s="9" t="n">
        <f aca="false">IF(AND(N1233&lt;&gt;"",OR(N1233&lt;1,N1233&gt;5)),1,0)</f>
        <v>0</v>
      </c>
      <c r="AA1233" s="9" t="n">
        <f aca="false">IF(AND(M1233&lt;&gt;"",OR(M1233&lt;5,M1233&gt;180)),1,0)</f>
        <v>0</v>
      </c>
      <c r="AB1233" s="7" t="str">
        <f aca="false">IF(P1233="DUP","Exact duplicate row",IF(T1233=1,"Missing Order ID",IF(S1233="DROP","Duplicate Order ID (less complete row)",IF(U1233=1,"Missing Customer ID",IF(V1233=1,"Missing Restaurant name",IF(W1233=1,"Invalid/outlier quantity",IF(X1233=1,"Invalid/outlier unit price",IF(Y1233=1,"Discount greater than order value",""))))))))</f>
        <v/>
      </c>
      <c r="AC1233" s="7" t="str">
        <f aca="false">IF(AB1233="","KEEP","DROP")</f>
        <v>KEEP</v>
      </c>
      <c r="AD1233" s="7" t="str">
        <f aca="false">IF(TRIM(F1233)="",IFERROR(INDEX(Map_Tables!$I$4:$I$37,MATCH(TRIM(E1233),Map_Tables!$G$4:$G$37,0)),""),IFERROR(INDEX(Map_Tables!$B$4:$B$18,MATCH(TRIM(F1233),Map_Tables!$A$4:$A$18,0)),"CHECK"))</f>
        <v>Hyderabad</v>
      </c>
      <c r="AE1233" s="7" t="str">
        <f aca="false">IF(TRIM(E1233)="","",IFERROR(INDEX(Map_Tables!$H$4:$H$37,MATCH(TRIM(E1233),Map_Tables!$G$4:$G$37,0)),"CHECK"))</f>
        <v>Pizza Palace</v>
      </c>
      <c r="AF1233" s="7" t="str">
        <f aca="false">IF(TRIM(K1233)="","Unknown",IFERROR(INDEX(Map_Tables!$E$4:$E$15,MATCH(TRIM(K1233),Map_Tables!$D$4:$D$15,0)),"CHECK"))</f>
        <v>Credit Card</v>
      </c>
      <c r="AG1233" s="7" t="str">
        <f aca="false">IF(LEFT(LOWER(TRIM(L1233)),6)="cancel","Cancelled","Delivered")</f>
        <v>Cancelled</v>
      </c>
      <c r="AH1233" s="10" t="n">
        <f aca="false">IF(ISNUMBER(SEARCH("/",B1233)),DATE(VALUE(RIGHT(B1233,4)),VALUE(MID(B1233,4,2)),VALUE(LEFT(B1233,2))),IF(MID(B1233,5,1)="-",DATE(VALUE(LEFT(B1233,4)),VALUE(MID(B1233,6,2)),VALUE(RIGHT(B1233,2))),DATE(VALUE(RIGHT(B1233,4)),MATCH(MID(B1233,4,3),{"Jan","Feb","Mar","Apr","May","Jun","Jul","Aug","Sep","Oct","Nov","Dec"},0),VALUE(LEFT(B1233,2)))))</f>
        <v>46015</v>
      </c>
    </row>
    <row r="1234" customFormat="false" ht="15" hidden="false" customHeight="false" outlineLevel="0" collapsed="false">
      <c r="A1234" s="7" t="s">
        <v>3462</v>
      </c>
      <c r="B1234" s="7" t="s">
        <v>800</v>
      </c>
      <c r="C1234" s="7" t="s">
        <v>543</v>
      </c>
      <c r="D1234" s="7" t="s">
        <v>662</v>
      </c>
      <c r="E1234" s="7" t="s">
        <v>130</v>
      </c>
      <c r="F1234" s="7" t="s">
        <v>110</v>
      </c>
      <c r="G1234" s="7" t="s">
        <v>90</v>
      </c>
      <c r="H1234" s="7" t="n">
        <v>2</v>
      </c>
      <c r="I1234" s="7" t="n">
        <v>225</v>
      </c>
      <c r="J1234" s="7" t="n">
        <v>0</v>
      </c>
      <c r="K1234" s="7" t="s">
        <v>229</v>
      </c>
      <c r="L1234" s="7" t="s">
        <v>194</v>
      </c>
      <c r="M1234" s="7" t="n">
        <v>39</v>
      </c>
      <c r="N1234" s="7" t="n">
        <v>4</v>
      </c>
      <c r="O1234" s="7" t="str">
        <f aca="false">A1234&amp;"|"&amp;B1234&amp;"|"&amp;C1234&amp;"|"&amp;D1234&amp;"|"&amp;E1234&amp;"|"&amp;F1234&amp;"|"&amp;G1234&amp;"|"&amp;H1234&amp;"|"&amp;I1234&amp;"|"&amp;J1234&amp;"|"&amp;K1234&amp;"|"&amp;L1234&amp;"|"&amp;M1234&amp;"|"&amp;N1234</f>
        <v>ORD11133|2025-05-24|19:40|C0894|Tandoor Tales|Delhi|North Indian|2|225|0|Upi|Delivered|39|4</v>
      </c>
      <c r="P1234" s="7" t="str">
        <f aca="false">IF(COUNTIF($O$2:O1234,O1234)&gt;1,"DUP","OK")</f>
        <v>OK</v>
      </c>
      <c r="Q1234" s="7" t="n">
        <f aca="false">COUNTBLANK(A1234:N1234)</f>
        <v>0</v>
      </c>
      <c r="R1234" s="7" t="n">
        <f aca="false">IF(A1234="",0,COUNTIFS($A$2:$A$3058,A1234,$P$2:$P$3058,"OK"))</f>
        <v>1</v>
      </c>
      <c r="S1234" s="7" t="str">
        <f aca="false">IF(OR(A1234="",P1234="DUP",R1234&lt;2),"",IF(Q1234=_xlfn.MINIFS($Q$2:$Q$3058,$A$2:$A$3058,A1234,$P$2:$P$3058,"OK"),"KEEP","DROP"))</f>
        <v/>
      </c>
      <c r="T1234" s="9" t="n">
        <f aca="false">IF(A1234="",1,0)</f>
        <v>0</v>
      </c>
      <c r="U1234" s="9" t="n">
        <f aca="false">IF(D1234="",1,0)</f>
        <v>0</v>
      </c>
      <c r="V1234" s="9" t="n">
        <f aca="false">IF(E1234="",1,0)</f>
        <v>0</v>
      </c>
      <c r="W1234" s="9" t="n">
        <f aca="false">IF(OR(H1234&lt;1,H1234&gt;10),1,0)</f>
        <v>0</v>
      </c>
      <c r="X1234" s="9" t="n">
        <f aca="false">IF(OR(I1234&lt;=0,I1234&gt;1500),1,0)</f>
        <v>0</v>
      </c>
      <c r="Y1234" s="9" t="n">
        <f aca="false">IF(J1234&gt;H1234*I1234,1,0)</f>
        <v>0</v>
      </c>
      <c r="Z1234" s="9" t="n">
        <f aca="false">IF(AND(N1234&lt;&gt;"",OR(N1234&lt;1,N1234&gt;5)),1,0)</f>
        <v>0</v>
      </c>
      <c r="AA1234" s="9" t="n">
        <f aca="false">IF(AND(M1234&lt;&gt;"",OR(M1234&lt;5,M1234&gt;180)),1,0)</f>
        <v>0</v>
      </c>
      <c r="AB1234" s="7" t="str">
        <f aca="false">IF(P1234="DUP","Exact duplicate row",IF(T1234=1,"Missing Order ID",IF(S1234="DROP","Duplicate Order ID (less complete row)",IF(U1234=1,"Missing Customer ID",IF(V1234=1,"Missing Restaurant name",IF(W1234=1,"Invalid/outlier quantity",IF(X1234=1,"Invalid/outlier unit price",IF(Y1234=1,"Discount greater than order value",""))))))))</f>
        <v/>
      </c>
      <c r="AC1234" s="7" t="str">
        <f aca="false">IF(AB1234="","KEEP","DROP")</f>
        <v>KEEP</v>
      </c>
      <c r="AD1234" s="7" t="str">
        <f aca="false">IF(TRIM(F1234)="",IFERROR(INDEX(Map_Tables!$I$4:$I$37,MATCH(TRIM(E1234),Map_Tables!$G$4:$G$37,0)),""),IFERROR(INDEX(Map_Tables!$B$4:$B$18,MATCH(TRIM(F1234),Map_Tables!$A$4:$A$18,0)),"CHECK"))</f>
        <v>Delhi</v>
      </c>
      <c r="AE1234" s="7" t="str">
        <f aca="false">IF(TRIM(E1234)="","",IFERROR(INDEX(Map_Tables!$H$4:$H$37,MATCH(TRIM(E1234),Map_Tables!$G$4:$G$37,0)),"CHECK"))</f>
        <v>Tandoor Tales</v>
      </c>
      <c r="AF1234" s="7" t="str">
        <f aca="false">IF(TRIM(K1234)="","Unknown",IFERROR(INDEX(Map_Tables!$E$4:$E$15,MATCH(TRIM(K1234),Map_Tables!$D$4:$D$15,0)),"CHECK"))</f>
        <v>UPI</v>
      </c>
      <c r="AG1234" s="7" t="str">
        <f aca="false">IF(LEFT(LOWER(TRIM(L1234)),6)="cancel","Cancelled","Delivered")</f>
        <v>Delivered</v>
      </c>
      <c r="AH1234" s="10" t="n">
        <f aca="false">IF(ISNUMBER(SEARCH("/",B1234)),DATE(VALUE(RIGHT(B1234,4)),VALUE(MID(B1234,4,2)),VALUE(LEFT(B1234,2))),IF(MID(B1234,5,1)="-",DATE(VALUE(LEFT(B1234,4)),VALUE(MID(B1234,6,2)),VALUE(RIGHT(B1234,2))),DATE(VALUE(RIGHT(B1234,4)),MATCH(MID(B1234,4,3),{"Jan","Feb","Mar","Apr","May","Jun","Jul","Aug","Sep","Oct","Nov","Dec"},0),VALUE(LEFT(B1234,2)))))</f>
        <v>45801</v>
      </c>
    </row>
    <row r="1235" customFormat="false" ht="15" hidden="false" customHeight="false" outlineLevel="0" collapsed="false">
      <c r="A1235" s="7" t="s">
        <v>3463</v>
      </c>
      <c r="B1235" s="7" t="s">
        <v>1393</v>
      </c>
      <c r="C1235" s="7" t="s">
        <v>1486</v>
      </c>
      <c r="D1235" s="7" t="s">
        <v>2580</v>
      </c>
      <c r="E1235" s="7" t="s">
        <v>89</v>
      </c>
      <c r="F1235" s="7" t="s">
        <v>928</v>
      </c>
      <c r="G1235" s="7" t="s">
        <v>90</v>
      </c>
      <c r="H1235" s="7" t="n">
        <v>2</v>
      </c>
      <c r="I1235" s="7" t="n">
        <v>180</v>
      </c>
      <c r="J1235" s="7" t="n">
        <v>144</v>
      </c>
      <c r="K1235" s="7" t="s">
        <v>88</v>
      </c>
      <c r="L1235" s="7" t="s">
        <v>194</v>
      </c>
      <c r="M1235" s="7" t="n">
        <v>42</v>
      </c>
      <c r="N1235" s="7"/>
      <c r="O1235" s="7" t="str">
        <f aca="false">A1235&amp;"|"&amp;B1235&amp;"|"&amp;C1235&amp;"|"&amp;D1235&amp;"|"&amp;E1235&amp;"|"&amp;F1235&amp;"|"&amp;G1235&amp;"|"&amp;H1235&amp;"|"&amp;I1235&amp;"|"&amp;J1235&amp;"|"&amp;K1235&amp;"|"&amp;L1235&amp;"|"&amp;M1235&amp;"|"&amp;N1235</f>
        <v>ORD10508|2025-03-08|11:43|C0859|Spice Junction|Bangalore|North Indian|2|180|144|UPI|Delivered|42|</v>
      </c>
      <c r="P1235" s="7" t="str">
        <f aca="false">IF(COUNTIF($O$2:O1235,O1235)&gt;1,"DUP","OK")</f>
        <v>OK</v>
      </c>
      <c r="Q1235" s="7" t="n">
        <f aca="false">COUNTBLANK(A1235:N1235)</f>
        <v>1</v>
      </c>
      <c r="R1235" s="7" t="n">
        <f aca="false">IF(A1235="",0,COUNTIFS($A$2:$A$3058,A1235,$P$2:$P$3058,"OK"))</f>
        <v>1</v>
      </c>
      <c r="S1235" s="7" t="str">
        <f aca="false">IF(OR(A1235="",P1235="DUP",R1235&lt;2),"",IF(Q1235=_xlfn.MINIFS($Q$2:$Q$3058,$A$2:$A$3058,A1235,$P$2:$P$3058,"OK"),"KEEP","DROP"))</f>
        <v/>
      </c>
      <c r="T1235" s="9" t="n">
        <f aca="false">IF(A1235="",1,0)</f>
        <v>0</v>
      </c>
      <c r="U1235" s="9" t="n">
        <f aca="false">IF(D1235="",1,0)</f>
        <v>0</v>
      </c>
      <c r="V1235" s="9" t="n">
        <f aca="false">IF(E1235="",1,0)</f>
        <v>0</v>
      </c>
      <c r="W1235" s="9" t="n">
        <f aca="false">IF(OR(H1235&lt;1,H1235&gt;10),1,0)</f>
        <v>0</v>
      </c>
      <c r="X1235" s="9" t="n">
        <f aca="false">IF(OR(I1235&lt;=0,I1235&gt;1500),1,0)</f>
        <v>0</v>
      </c>
      <c r="Y1235" s="9" t="n">
        <f aca="false">IF(J1235&gt;H1235*I1235,1,0)</f>
        <v>0</v>
      </c>
      <c r="Z1235" s="9" t="n">
        <f aca="false">IF(AND(N1235&lt;&gt;"",OR(N1235&lt;1,N1235&gt;5)),1,0)</f>
        <v>0</v>
      </c>
      <c r="AA1235" s="9" t="n">
        <f aca="false">IF(AND(M1235&lt;&gt;"",OR(M1235&lt;5,M1235&gt;180)),1,0)</f>
        <v>0</v>
      </c>
      <c r="AB1235" s="7" t="str">
        <f aca="false">IF(P1235="DUP","Exact duplicate row",IF(T1235=1,"Missing Order ID",IF(S1235="DROP","Duplicate Order ID (less complete row)",IF(U1235=1,"Missing Customer ID",IF(V1235=1,"Missing Restaurant name",IF(W1235=1,"Invalid/outlier quantity",IF(X1235=1,"Invalid/outlier unit price",IF(Y1235=1,"Discount greater than order value",""))))))))</f>
        <v/>
      </c>
      <c r="AC1235" s="7" t="str">
        <f aca="false">IF(AB1235="","KEEP","DROP")</f>
        <v>KEEP</v>
      </c>
      <c r="AD1235" s="7" t="str">
        <f aca="false">IF(TRIM(F1235)="",IFERROR(INDEX(Map_Tables!$I$4:$I$37,MATCH(TRIM(E1235),Map_Tables!$G$4:$G$37,0)),""),IFERROR(INDEX(Map_Tables!$B$4:$B$18,MATCH(TRIM(F1235),Map_Tables!$A$4:$A$18,0)),"CHECK"))</f>
        <v>Bengaluru</v>
      </c>
      <c r="AE1235" s="7" t="str">
        <f aca="false">IF(TRIM(E1235)="","",IFERROR(INDEX(Map_Tables!$H$4:$H$37,MATCH(TRIM(E1235),Map_Tables!$G$4:$G$37,0)),"CHECK"))</f>
        <v>Spice Junction</v>
      </c>
      <c r="AF1235" s="7" t="str">
        <f aca="false">IF(TRIM(K1235)="","Unknown",IFERROR(INDEX(Map_Tables!$E$4:$E$15,MATCH(TRIM(K1235),Map_Tables!$D$4:$D$15,0)),"CHECK"))</f>
        <v>UPI</v>
      </c>
      <c r="AG1235" s="7" t="str">
        <f aca="false">IF(LEFT(LOWER(TRIM(L1235)),6)="cancel","Cancelled","Delivered")</f>
        <v>Delivered</v>
      </c>
      <c r="AH1235" s="10" t="n">
        <f aca="false">IF(ISNUMBER(SEARCH("/",B1235)),DATE(VALUE(RIGHT(B1235,4)),VALUE(MID(B1235,4,2)),VALUE(LEFT(B1235,2))),IF(MID(B1235,5,1)="-",DATE(VALUE(LEFT(B1235,4)),VALUE(MID(B1235,6,2)),VALUE(RIGHT(B1235,2))),DATE(VALUE(RIGHT(B1235,4)),MATCH(MID(B1235,4,3),{"Jan","Feb","Mar","Apr","May","Jun","Jul","Aug","Sep","Oct","Nov","Dec"},0),VALUE(LEFT(B1235,2)))))</f>
        <v>45724</v>
      </c>
    </row>
    <row r="1236" customFormat="false" ht="15" hidden="false" customHeight="false" outlineLevel="0" collapsed="false">
      <c r="A1236" s="7" t="s">
        <v>3464</v>
      </c>
      <c r="B1236" s="7" t="s">
        <v>1721</v>
      </c>
      <c r="C1236" s="7" t="s">
        <v>2756</v>
      </c>
      <c r="D1236" s="7" t="s">
        <v>3465</v>
      </c>
      <c r="E1236" s="7" t="s">
        <v>89</v>
      </c>
      <c r="F1236" s="7" t="s">
        <v>86</v>
      </c>
      <c r="G1236" s="7" t="s">
        <v>90</v>
      </c>
      <c r="H1236" s="7" t="n">
        <v>2</v>
      </c>
      <c r="I1236" s="7" t="n">
        <v>215</v>
      </c>
      <c r="J1236" s="7" t="n">
        <v>0</v>
      </c>
      <c r="K1236" s="7" t="s">
        <v>88</v>
      </c>
      <c r="L1236" s="7" t="s">
        <v>194</v>
      </c>
      <c r="M1236" s="7" t="n">
        <v>46</v>
      </c>
      <c r="N1236" s="7" t="n">
        <v>5</v>
      </c>
      <c r="O1236" s="7" t="str">
        <f aca="false">A1236&amp;"|"&amp;B1236&amp;"|"&amp;C1236&amp;"|"&amp;D1236&amp;"|"&amp;E1236&amp;"|"&amp;F1236&amp;"|"&amp;G1236&amp;"|"&amp;H1236&amp;"|"&amp;I1236&amp;"|"&amp;J1236&amp;"|"&amp;K1236&amp;"|"&amp;L1236&amp;"|"&amp;M1236&amp;"|"&amp;N1236</f>
        <v>ORD11012|2025-05-08|20:17|C0273|Spice Junction|Bengaluru|North Indian|2|215|0|UPI|Delivered|46|5</v>
      </c>
      <c r="P1236" s="7" t="str">
        <f aca="false">IF(COUNTIF($O$2:O1236,O1236)&gt;1,"DUP","OK")</f>
        <v>OK</v>
      </c>
      <c r="Q1236" s="7" t="n">
        <f aca="false">COUNTBLANK(A1236:N1236)</f>
        <v>0</v>
      </c>
      <c r="R1236" s="7" t="n">
        <f aca="false">IF(A1236="",0,COUNTIFS($A$2:$A$3058,A1236,$P$2:$P$3058,"OK"))</f>
        <v>1</v>
      </c>
      <c r="S1236" s="7" t="str">
        <f aca="false">IF(OR(A1236="",P1236="DUP",R1236&lt;2),"",IF(Q1236=_xlfn.MINIFS($Q$2:$Q$3058,$A$2:$A$3058,A1236,$P$2:$P$3058,"OK"),"KEEP","DROP"))</f>
        <v/>
      </c>
      <c r="T1236" s="9" t="n">
        <f aca="false">IF(A1236="",1,0)</f>
        <v>0</v>
      </c>
      <c r="U1236" s="9" t="n">
        <f aca="false">IF(D1236="",1,0)</f>
        <v>0</v>
      </c>
      <c r="V1236" s="9" t="n">
        <f aca="false">IF(E1236="",1,0)</f>
        <v>0</v>
      </c>
      <c r="W1236" s="9" t="n">
        <f aca="false">IF(OR(H1236&lt;1,H1236&gt;10),1,0)</f>
        <v>0</v>
      </c>
      <c r="X1236" s="9" t="n">
        <f aca="false">IF(OR(I1236&lt;=0,I1236&gt;1500),1,0)</f>
        <v>0</v>
      </c>
      <c r="Y1236" s="9" t="n">
        <f aca="false">IF(J1236&gt;H1236*I1236,1,0)</f>
        <v>0</v>
      </c>
      <c r="Z1236" s="9" t="n">
        <f aca="false">IF(AND(N1236&lt;&gt;"",OR(N1236&lt;1,N1236&gt;5)),1,0)</f>
        <v>0</v>
      </c>
      <c r="AA1236" s="9" t="n">
        <f aca="false">IF(AND(M1236&lt;&gt;"",OR(M1236&lt;5,M1236&gt;180)),1,0)</f>
        <v>0</v>
      </c>
      <c r="AB1236" s="7" t="str">
        <f aca="false">IF(P1236="DUP","Exact duplicate row",IF(T1236=1,"Missing Order ID",IF(S1236="DROP","Duplicate Order ID (less complete row)",IF(U1236=1,"Missing Customer ID",IF(V1236=1,"Missing Restaurant name",IF(W1236=1,"Invalid/outlier quantity",IF(X1236=1,"Invalid/outlier unit price",IF(Y1236=1,"Discount greater than order value",""))))))))</f>
        <v/>
      </c>
      <c r="AC1236" s="7" t="str">
        <f aca="false">IF(AB1236="","KEEP","DROP")</f>
        <v>KEEP</v>
      </c>
      <c r="AD1236" s="7" t="str">
        <f aca="false">IF(TRIM(F1236)="",IFERROR(INDEX(Map_Tables!$I$4:$I$37,MATCH(TRIM(E1236),Map_Tables!$G$4:$G$37,0)),""),IFERROR(INDEX(Map_Tables!$B$4:$B$18,MATCH(TRIM(F1236),Map_Tables!$A$4:$A$18,0)),"CHECK"))</f>
        <v>Bengaluru</v>
      </c>
      <c r="AE1236" s="7" t="str">
        <f aca="false">IF(TRIM(E1236)="","",IFERROR(INDEX(Map_Tables!$H$4:$H$37,MATCH(TRIM(E1236),Map_Tables!$G$4:$G$37,0)),"CHECK"))</f>
        <v>Spice Junction</v>
      </c>
      <c r="AF1236" s="7" t="str">
        <f aca="false">IF(TRIM(K1236)="","Unknown",IFERROR(INDEX(Map_Tables!$E$4:$E$15,MATCH(TRIM(K1236),Map_Tables!$D$4:$D$15,0)),"CHECK"))</f>
        <v>UPI</v>
      </c>
      <c r="AG1236" s="7" t="str">
        <f aca="false">IF(LEFT(LOWER(TRIM(L1236)),6)="cancel","Cancelled","Delivered")</f>
        <v>Delivered</v>
      </c>
      <c r="AH1236" s="10" t="n">
        <f aca="false">IF(ISNUMBER(SEARCH("/",B1236)),DATE(VALUE(RIGHT(B1236,4)),VALUE(MID(B1236,4,2)),VALUE(LEFT(B1236,2))),IF(MID(B1236,5,1)="-",DATE(VALUE(LEFT(B1236,4)),VALUE(MID(B1236,6,2)),VALUE(RIGHT(B1236,2))),DATE(VALUE(RIGHT(B1236,4)),MATCH(MID(B1236,4,3),{"Jan","Feb","Mar","Apr","May","Jun","Jul","Aug","Sep","Oct","Nov","Dec"},0),VALUE(LEFT(B1236,2)))))</f>
        <v>45785</v>
      </c>
    </row>
    <row r="1237" customFormat="false" ht="15" hidden="false" customHeight="false" outlineLevel="0" collapsed="false">
      <c r="A1237" s="7" t="s">
        <v>3466</v>
      </c>
      <c r="B1237" s="7" t="s">
        <v>451</v>
      </c>
      <c r="C1237" s="7" t="s">
        <v>209</v>
      </c>
      <c r="D1237" s="7" t="s">
        <v>1302</v>
      </c>
      <c r="E1237" s="7" t="s">
        <v>89</v>
      </c>
      <c r="F1237" s="7" t="s">
        <v>85</v>
      </c>
      <c r="G1237" s="7" t="s">
        <v>90</v>
      </c>
      <c r="H1237" s="7" t="n">
        <v>1</v>
      </c>
      <c r="I1237" s="7" t="n">
        <v>190</v>
      </c>
      <c r="J1237" s="7" t="n">
        <v>0</v>
      </c>
      <c r="K1237" s="7" t="s">
        <v>88</v>
      </c>
      <c r="L1237" s="7" t="s">
        <v>194</v>
      </c>
      <c r="M1237" s="7" t="n">
        <v>34</v>
      </c>
      <c r="N1237" s="7" t="n">
        <v>5</v>
      </c>
      <c r="O1237" s="7" t="str">
        <f aca="false">A1237&amp;"|"&amp;B1237&amp;"|"&amp;C1237&amp;"|"&amp;D1237&amp;"|"&amp;E1237&amp;"|"&amp;F1237&amp;"|"&amp;G1237&amp;"|"&amp;H1237&amp;"|"&amp;I1237&amp;"|"&amp;J1237&amp;"|"&amp;K1237&amp;"|"&amp;L1237&amp;"|"&amp;M1237&amp;"|"&amp;N1237</f>
        <v>ORD11531|2025-07-17|21:40|C1347|Spice Junction|bangalore|North Indian|1|190|0|UPI|Delivered|34|5</v>
      </c>
      <c r="P1237" s="7" t="str">
        <f aca="false">IF(COUNTIF($O$2:O1237,O1237)&gt;1,"DUP","OK")</f>
        <v>OK</v>
      </c>
      <c r="Q1237" s="7" t="n">
        <f aca="false">COUNTBLANK(A1237:N1237)</f>
        <v>0</v>
      </c>
      <c r="R1237" s="7" t="n">
        <f aca="false">IF(A1237="",0,COUNTIFS($A$2:$A$3058,A1237,$P$2:$P$3058,"OK"))</f>
        <v>1</v>
      </c>
      <c r="S1237" s="7" t="str">
        <f aca="false">IF(OR(A1237="",P1237="DUP",R1237&lt;2),"",IF(Q1237=_xlfn.MINIFS($Q$2:$Q$3058,$A$2:$A$3058,A1237,$P$2:$P$3058,"OK"),"KEEP","DROP"))</f>
        <v/>
      </c>
      <c r="T1237" s="9" t="n">
        <f aca="false">IF(A1237="",1,0)</f>
        <v>0</v>
      </c>
      <c r="U1237" s="9" t="n">
        <f aca="false">IF(D1237="",1,0)</f>
        <v>0</v>
      </c>
      <c r="V1237" s="9" t="n">
        <f aca="false">IF(E1237="",1,0)</f>
        <v>0</v>
      </c>
      <c r="W1237" s="9" t="n">
        <f aca="false">IF(OR(H1237&lt;1,H1237&gt;10),1,0)</f>
        <v>0</v>
      </c>
      <c r="X1237" s="9" t="n">
        <f aca="false">IF(OR(I1237&lt;=0,I1237&gt;1500),1,0)</f>
        <v>0</v>
      </c>
      <c r="Y1237" s="9" t="n">
        <f aca="false">IF(J1237&gt;H1237*I1237,1,0)</f>
        <v>0</v>
      </c>
      <c r="Z1237" s="9" t="n">
        <f aca="false">IF(AND(N1237&lt;&gt;"",OR(N1237&lt;1,N1237&gt;5)),1,0)</f>
        <v>0</v>
      </c>
      <c r="AA1237" s="9" t="n">
        <f aca="false">IF(AND(M1237&lt;&gt;"",OR(M1237&lt;5,M1237&gt;180)),1,0)</f>
        <v>0</v>
      </c>
      <c r="AB1237" s="7" t="str">
        <f aca="false">IF(P1237="DUP","Exact duplicate row",IF(T1237=1,"Missing Order ID",IF(S1237="DROP","Duplicate Order ID (less complete row)",IF(U1237=1,"Missing Customer ID",IF(V1237=1,"Missing Restaurant name",IF(W1237=1,"Invalid/outlier quantity",IF(X1237=1,"Invalid/outlier unit price",IF(Y1237=1,"Discount greater than order value",""))))))))</f>
        <v/>
      </c>
      <c r="AC1237" s="7" t="str">
        <f aca="false">IF(AB1237="","KEEP","DROP")</f>
        <v>KEEP</v>
      </c>
      <c r="AD1237" s="7" t="str">
        <f aca="false">IF(TRIM(F1237)="",IFERROR(INDEX(Map_Tables!$I$4:$I$37,MATCH(TRIM(E1237),Map_Tables!$G$4:$G$37,0)),""),IFERROR(INDEX(Map_Tables!$B$4:$B$18,MATCH(TRIM(F1237),Map_Tables!$A$4:$A$18,0)),"CHECK"))</f>
        <v>Bengaluru</v>
      </c>
      <c r="AE1237" s="7" t="str">
        <f aca="false">IF(TRIM(E1237)="","",IFERROR(INDEX(Map_Tables!$H$4:$H$37,MATCH(TRIM(E1237),Map_Tables!$G$4:$G$37,0)),"CHECK"))</f>
        <v>Spice Junction</v>
      </c>
      <c r="AF1237" s="7" t="str">
        <f aca="false">IF(TRIM(K1237)="","Unknown",IFERROR(INDEX(Map_Tables!$E$4:$E$15,MATCH(TRIM(K1237),Map_Tables!$D$4:$D$15,0)),"CHECK"))</f>
        <v>UPI</v>
      </c>
      <c r="AG1237" s="7" t="str">
        <f aca="false">IF(LEFT(LOWER(TRIM(L1237)),6)="cancel","Cancelled","Delivered")</f>
        <v>Delivered</v>
      </c>
      <c r="AH1237" s="10" t="n">
        <f aca="false">IF(ISNUMBER(SEARCH("/",B1237)),DATE(VALUE(RIGHT(B1237,4)),VALUE(MID(B1237,4,2)),VALUE(LEFT(B1237,2))),IF(MID(B1237,5,1)="-",DATE(VALUE(LEFT(B1237,4)),VALUE(MID(B1237,6,2)),VALUE(RIGHT(B1237,2))),DATE(VALUE(RIGHT(B1237,4)),MATCH(MID(B1237,4,3),{"Jan","Feb","Mar","Apr","May","Jun","Jul","Aug","Sep","Oct","Nov","Dec"},0),VALUE(LEFT(B1237,2)))))</f>
        <v>45855</v>
      </c>
    </row>
    <row r="1238" customFormat="false" ht="15" hidden="false" customHeight="false" outlineLevel="0" collapsed="false">
      <c r="A1238" s="7" t="s">
        <v>3467</v>
      </c>
      <c r="B1238" s="7" t="s">
        <v>1752</v>
      </c>
      <c r="C1238" s="7" t="s">
        <v>2187</v>
      </c>
      <c r="D1238" s="7" t="s">
        <v>3468</v>
      </c>
      <c r="E1238" s="7" t="s">
        <v>98</v>
      </c>
      <c r="F1238" s="7" t="s">
        <v>86</v>
      </c>
      <c r="G1238" s="7" t="s">
        <v>99</v>
      </c>
      <c r="H1238" s="7" t="n">
        <v>1</v>
      </c>
      <c r="I1238" s="7" t="n">
        <v>315</v>
      </c>
      <c r="J1238" s="7" t="n">
        <v>50</v>
      </c>
      <c r="K1238" s="7" t="s">
        <v>298</v>
      </c>
      <c r="L1238" s="7" t="s">
        <v>194</v>
      </c>
      <c r="M1238" s="7" t="n">
        <v>28</v>
      </c>
      <c r="N1238" s="7" t="n">
        <v>3</v>
      </c>
      <c r="O1238" s="7" t="str">
        <f aca="false">A1238&amp;"|"&amp;B1238&amp;"|"&amp;C1238&amp;"|"&amp;D1238&amp;"|"&amp;E1238&amp;"|"&amp;F1238&amp;"|"&amp;G1238&amp;"|"&amp;H1238&amp;"|"&amp;I1238&amp;"|"&amp;J1238&amp;"|"&amp;K1238&amp;"|"&amp;L1238&amp;"|"&amp;M1238&amp;"|"&amp;N1238</f>
        <v>ORD10947|2025-04-30|09:20|C0618|Nawabi Biryani House|Bengaluru|Biryani|1|315|50|Cash On Delivery|Delivered|28|3</v>
      </c>
      <c r="P1238" s="7" t="str">
        <f aca="false">IF(COUNTIF($O$2:O1238,O1238)&gt;1,"DUP","OK")</f>
        <v>OK</v>
      </c>
      <c r="Q1238" s="7" t="n">
        <f aca="false">COUNTBLANK(A1238:N1238)</f>
        <v>0</v>
      </c>
      <c r="R1238" s="7" t="n">
        <f aca="false">IF(A1238="",0,COUNTIFS($A$2:$A$3058,A1238,$P$2:$P$3058,"OK"))</f>
        <v>1</v>
      </c>
      <c r="S1238" s="7" t="str">
        <f aca="false">IF(OR(A1238="",P1238="DUP",R1238&lt;2),"",IF(Q1238=_xlfn.MINIFS($Q$2:$Q$3058,$A$2:$A$3058,A1238,$P$2:$P$3058,"OK"),"KEEP","DROP"))</f>
        <v/>
      </c>
      <c r="T1238" s="9" t="n">
        <f aca="false">IF(A1238="",1,0)</f>
        <v>0</v>
      </c>
      <c r="U1238" s="9" t="n">
        <f aca="false">IF(D1238="",1,0)</f>
        <v>0</v>
      </c>
      <c r="V1238" s="9" t="n">
        <f aca="false">IF(E1238="",1,0)</f>
        <v>0</v>
      </c>
      <c r="W1238" s="9" t="n">
        <f aca="false">IF(OR(H1238&lt;1,H1238&gt;10),1,0)</f>
        <v>0</v>
      </c>
      <c r="X1238" s="9" t="n">
        <f aca="false">IF(OR(I1238&lt;=0,I1238&gt;1500),1,0)</f>
        <v>0</v>
      </c>
      <c r="Y1238" s="9" t="n">
        <f aca="false">IF(J1238&gt;H1238*I1238,1,0)</f>
        <v>0</v>
      </c>
      <c r="Z1238" s="9" t="n">
        <f aca="false">IF(AND(N1238&lt;&gt;"",OR(N1238&lt;1,N1238&gt;5)),1,0)</f>
        <v>0</v>
      </c>
      <c r="AA1238" s="9" t="n">
        <f aca="false">IF(AND(M1238&lt;&gt;"",OR(M1238&lt;5,M1238&gt;180)),1,0)</f>
        <v>0</v>
      </c>
      <c r="AB1238" s="7" t="str">
        <f aca="false">IF(P1238="DUP","Exact duplicate row",IF(T1238=1,"Missing Order ID",IF(S1238="DROP","Duplicate Order ID (less complete row)",IF(U1238=1,"Missing Customer ID",IF(V1238=1,"Missing Restaurant name",IF(W1238=1,"Invalid/outlier quantity",IF(X1238=1,"Invalid/outlier unit price",IF(Y1238=1,"Discount greater than order value",""))))))))</f>
        <v/>
      </c>
      <c r="AC1238" s="7" t="str">
        <f aca="false">IF(AB1238="","KEEP","DROP")</f>
        <v>KEEP</v>
      </c>
      <c r="AD1238" s="7" t="str">
        <f aca="false">IF(TRIM(F1238)="",IFERROR(INDEX(Map_Tables!$I$4:$I$37,MATCH(TRIM(E1238),Map_Tables!$G$4:$G$37,0)),""),IFERROR(INDEX(Map_Tables!$B$4:$B$18,MATCH(TRIM(F1238),Map_Tables!$A$4:$A$18,0)),"CHECK"))</f>
        <v>Bengaluru</v>
      </c>
      <c r="AE1238" s="7" t="str">
        <f aca="false">IF(TRIM(E1238)="","",IFERROR(INDEX(Map_Tables!$H$4:$H$37,MATCH(TRIM(E1238),Map_Tables!$G$4:$G$37,0)),"CHECK"))</f>
        <v>Nawabi Biryani House</v>
      </c>
      <c r="AF1238" s="7" t="str">
        <f aca="false">IF(TRIM(K1238)="","Unknown",IFERROR(INDEX(Map_Tables!$E$4:$E$15,MATCH(TRIM(K1238),Map_Tables!$D$4:$D$15,0)),"CHECK"))</f>
        <v>Cash on Delivery</v>
      </c>
      <c r="AG1238" s="7" t="str">
        <f aca="false">IF(LEFT(LOWER(TRIM(L1238)),6)="cancel","Cancelled","Delivered")</f>
        <v>Delivered</v>
      </c>
      <c r="AH1238" s="10" t="n">
        <f aca="false">IF(ISNUMBER(SEARCH("/",B1238)),DATE(VALUE(RIGHT(B1238,4)),VALUE(MID(B1238,4,2)),VALUE(LEFT(B1238,2))),IF(MID(B1238,5,1)="-",DATE(VALUE(LEFT(B1238,4)),VALUE(MID(B1238,6,2)),VALUE(RIGHT(B1238,2))),DATE(VALUE(RIGHT(B1238,4)),MATCH(MID(B1238,4,3),{"Jan","Feb","Mar","Apr","May","Jun","Jul","Aug","Sep","Oct","Nov","Dec"},0),VALUE(LEFT(B1238,2)))))</f>
        <v>45777</v>
      </c>
    </row>
    <row r="1239" customFormat="false" ht="15" hidden="false" customHeight="false" outlineLevel="0" collapsed="false">
      <c r="A1239" s="7" t="s">
        <v>3469</v>
      </c>
      <c r="B1239" s="7" t="s">
        <v>1943</v>
      </c>
      <c r="C1239" s="7" t="s">
        <v>263</v>
      </c>
      <c r="D1239" s="7" t="s">
        <v>1016</v>
      </c>
      <c r="E1239" s="7" t="s">
        <v>2400</v>
      </c>
      <c r="F1239" s="7" t="s">
        <v>86</v>
      </c>
      <c r="G1239" s="7" t="s">
        <v>90</v>
      </c>
      <c r="H1239" s="7" t="n">
        <v>1</v>
      </c>
      <c r="I1239" s="7" t="n">
        <v>210</v>
      </c>
      <c r="J1239" s="7" t="n">
        <v>40</v>
      </c>
      <c r="K1239" s="7" t="s">
        <v>88</v>
      </c>
      <c r="L1239" s="7" t="s">
        <v>194</v>
      </c>
      <c r="M1239" s="7" t="n">
        <v>39</v>
      </c>
      <c r="N1239" s="7" t="n">
        <v>4</v>
      </c>
      <c r="O1239" s="7" t="str">
        <f aca="false">A1239&amp;"|"&amp;B1239&amp;"|"&amp;C1239&amp;"|"&amp;D1239&amp;"|"&amp;E1239&amp;"|"&amp;F1239&amp;"|"&amp;G1239&amp;"|"&amp;H1239&amp;"|"&amp;I1239&amp;"|"&amp;J1239&amp;"|"&amp;K1239&amp;"|"&amp;L1239&amp;"|"&amp;M1239&amp;"|"&amp;N1239</f>
        <v>ORD11239|2025-06-07|11:22|C0945| Spice Junction|Bengaluru|North Indian|1|210|40|UPI|Delivered|39|4</v>
      </c>
      <c r="P1239" s="7" t="str">
        <f aca="false">IF(COUNTIF($O$2:O1239,O1239)&gt;1,"DUP","OK")</f>
        <v>OK</v>
      </c>
      <c r="Q1239" s="7" t="n">
        <f aca="false">COUNTBLANK(A1239:N1239)</f>
        <v>0</v>
      </c>
      <c r="R1239" s="7" t="n">
        <f aca="false">IF(A1239="",0,COUNTIFS($A$2:$A$3058,A1239,$P$2:$P$3058,"OK"))</f>
        <v>1</v>
      </c>
      <c r="S1239" s="7" t="str">
        <f aca="false">IF(OR(A1239="",P1239="DUP",R1239&lt;2),"",IF(Q1239=_xlfn.MINIFS($Q$2:$Q$3058,$A$2:$A$3058,A1239,$P$2:$P$3058,"OK"),"KEEP","DROP"))</f>
        <v/>
      </c>
      <c r="T1239" s="9" t="n">
        <f aca="false">IF(A1239="",1,0)</f>
        <v>0</v>
      </c>
      <c r="U1239" s="9" t="n">
        <f aca="false">IF(D1239="",1,0)</f>
        <v>0</v>
      </c>
      <c r="V1239" s="9" t="n">
        <f aca="false">IF(E1239="",1,0)</f>
        <v>0</v>
      </c>
      <c r="W1239" s="9" t="n">
        <f aca="false">IF(OR(H1239&lt;1,H1239&gt;10),1,0)</f>
        <v>0</v>
      </c>
      <c r="X1239" s="9" t="n">
        <f aca="false">IF(OR(I1239&lt;=0,I1239&gt;1500),1,0)</f>
        <v>0</v>
      </c>
      <c r="Y1239" s="9" t="n">
        <f aca="false">IF(J1239&gt;H1239*I1239,1,0)</f>
        <v>0</v>
      </c>
      <c r="Z1239" s="9" t="n">
        <f aca="false">IF(AND(N1239&lt;&gt;"",OR(N1239&lt;1,N1239&gt;5)),1,0)</f>
        <v>0</v>
      </c>
      <c r="AA1239" s="9" t="n">
        <f aca="false">IF(AND(M1239&lt;&gt;"",OR(M1239&lt;5,M1239&gt;180)),1,0)</f>
        <v>0</v>
      </c>
      <c r="AB1239" s="7" t="str">
        <f aca="false">IF(P1239="DUP","Exact duplicate row",IF(T1239=1,"Missing Order ID",IF(S1239="DROP","Duplicate Order ID (less complete row)",IF(U1239=1,"Missing Customer ID",IF(V1239=1,"Missing Restaurant name",IF(W1239=1,"Invalid/outlier quantity",IF(X1239=1,"Invalid/outlier unit price",IF(Y1239=1,"Discount greater than order value",""))))))))</f>
        <v/>
      </c>
      <c r="AC1239" s="7" t="str">
        <f aca="false">IF(AB1239="","KEEP","DROP")</f>
        <v>KEEP</v>
      </c>
      <c r="AD1239" s="7" t="str">
        <f aca="false">IF(TRIM(F1239)="",IFERROR(INDEX(Map_Tables!$I$4:$I$37,MATCH(TRIM(E1239),Map_Tables!$G$4:$G$37,0)),""),IFERROR(INDEX(Map_Tables!$B$4:$B$18,MATCH(TRIM(F1239),Map_Tables!$A$4:$A$18,0)),"CHECK"))</f>
        <v>Bengaluru</v>
      </c>
      <c r="AE1239" s="7" t="str">
        <f aca="false">IF(TRIM(E1239)="","",IFERROR(INDEX(Map_Tables!$H$4:$H$37,MATCH(TRIM(E1239),Map_Tables!$G$4:$G$37,0)),"CHECK"))</f>
        <v>Spice Junction</v>
      </c>
      <c r="AF1239" s="7" t="str">
        <f aca="false">IF(TRIM(K1239)="","Unknown",IFERROR(INDEX(Map_Tables!$E$4:$E$15,MATCH(TRIM(K1239),Map_Tables!$D$4:$D$15,0)),"CHECK"))</f>
        <v>UPI</v>
      </c>
      <c r="AG1239" s="7" t="str">
        <f aca="false">IF(LEFT(LOWER(TRIM(L1239)),6)="cancel","Cancelled","Delivered")</f>
        <v>Delivered</v>
      </c>
      <c r="AH1239" s="10" t="n">
        <f aca="false">IF(ISNUMBER(SEARCH("/",B1239)),DATE(VALUE(RIGHT(B1239,4)),VALUE(MID(B1239,4,2)),VALUE(LEFT(B1239,2))),IF(MID(B1239,5,1)="-",DATE(VALUE(LEFT(B1239,4)),VALUE(MID(B1239,6,2)),VALUE(RIGHT(B1239,2))),DATE(VALUE(RIGHT(B1239,4)),MATCH(MID(B1239,4,3),{"Jan","Feb","Mar","Apr","May","Jun","Jul","Aug","Sep","Oct","Nov","Dec"},0),VALUE(LEFT(B1239,2)))))</f>
        <v>45815</v>
      </c>
    </row>
    <row r="1240" customFormat="false" ht="15" hidden="false" customHeight="false" outlineLevel="0" collapsed="false">
      <c r="A1240" s="7" t="s">
        <v>3470</v>
      </c>
      <c r="B1240" s="7" t="s">
        <v>1297</v>
      </c>
      <c r="C1240" s="7" t="s">
        <v>1624</v>
      </c>
      <c r="D1240" s="7" t="s">
        <v>3471</v>
      </c>
      <c r="E1240" s="7" t="s">
        <v>160</v>
      </c>
      <c r="F1240" s="7" t="s">
        <v>135</v>
      </c>
      <c r="G1240" s="7" t="s">
        <v>150</v>
      </c>
      <c r="H1240" s="7" t="n">
        <v>1</v>
      </c>
      <c r="I1240" s="7" t="n">
        <v>190</v>
      </c>
      <c r="J1240" s="7" t="n">
        <v>0</v>
      </c>
      <c r="K1240" s="7" t="s">
        <v>88</v>
      </c>
      <c r="L1240" s="7" t="s">
        <v>194</v>
      </c>
      <c r="M1240" s="7" t="n">
        <v>46</v>
      </c>
      <c r="N1240" s="7" t="n">
        <v>4</v>
      </c>
      <c r="O1240" s="7" t="str">
        <f aca="false">A1240&amp;"|"&amp;B1240&amp;"|"&amp;C1240&amp;"|"&amp;D1240&amp;"|"&amp;E1240&amp;"|"&amp;F1240&amp;"|"&amp;G1240&amp;"|"&amp;H1240&amp;"|"&amp;I1240&amp;"|"&amp;J1240&amp;"|"&amp;K1240&amp;"|"&amp;L1240&amp;"|"&amp;M1240&amp;"|"&amp;N1240</f>
        <v>ORD11263|2025-06-10|20:31|C0614|Cake Walk|pune|Desserts|1|190|0|UPI|Delivered|46|4</v>
      </c>
      <c r="P1240" s="7" t="str">
        <f aca="false">IF(COUNTIF($O$2:O1240,O1240)&gt;1,"DUP","OK")</f>
        <v>OK</v>
      </c>
      <c r="Q1240" s="7" t="n">
        <f aca="false">COUNTBLANK(A1240:N1240)</f>
        <v>0</v>
      </c>
      <c r="R1240" s="7" t="n">
        <f aca="false">IF(A1240="",0,COUNTIFS($A$2:$A$3058,A1240,$P$2:$P$3058,"OK"))</f>
        <v>1</v>
      </c>
      <c r="S1240" s="7" t="str">
        <f aca="false">IF(OR(A1240="",P1240="DUP",R1240&lt;2),"",IF(Q1240=_xlfn.MINIFS($Q$2:$Q$3058,$A$2:$A$3058,A1240,$P$2:$P$3058,"OK"),"KEEP","DROP"))</f>
        <v/>
      </c>
      <c r="T1240" s="9" t="n">
        <f aca="false">IF(A1240="",1,0)</f>
        <v>0</v>
      </c>
      <c r="U1240" s="9" t="n">
        <f aca="false">IF(D1240="",1,0)</f>
        <v>0</v>
      </c>
      <c r="V1240" s="9" t="n">
        <f aca="false">IF(E1240="",1,0)</f>
        <v>0</v>
      </c>
      <c r="W1240" s="9" t="n">
        <f aca="false">IF(OR(H1240&lt;1,H1240&gt;10),1,0)</f>
        <v>0</v>
      </c>
      <c r="X1240" s="9" t="n">
        <f aca="false">IF(OR(I1240&lt;=0,I1240&gt;1500),1,0)</f>
        <v>0</v>
      </c>
      <c r="Y1240" s="9" t="n">
        <f aca="false">IF(J1240&gt;H1240*I1240,1,0)</f>
        <v>0</v>
      </c>
      <c r="Z1240" s="9" t="n">
        <f aca="false">IF(AND(N1240&lt;&gt;"",OR(N1240&lt;1,N1240&gt;5)),1,0)</f>
        <v>0</v>
      </c>
      <c r="AA1240" s="9" t="n">
        <f aca="false">IF(AND(M1240&lt;&gt;"",OR(M1240&lt;5,M1240&gt;180)),1,0)</f>
        <v>0</v>
      </c>
      <c r="AB1240" s="7" t="str">
        <f aca="false">IF(P1240="DUP","Exact duplicate row",IF(T1240=1,"Missing Order ID",IF(S1240="DROP","Duplicate Order ID (less complete row)",IF(U1240=1,"Missing Customer ID",IF(V1240=1,"Missing Restaurant name",IF(W1240=1,"Invalid/outlier quantity",IF(X1240=1,"Invalid/outlier unit price",IF(Y1240=1,"Discount greater than order value",""))))))))</f>
        <v/>
      </c>
      <c r="AC1240" s="7" t="str">
        <f aca="false">IF(AB1240="","KEEP","DROP")</f>
        <v>KEEP</v>
      </c>
      <c r="AD1240" s="7" t="str">
        <f aca="false">IF(TRIM(F1240)="",IFERROR(INDEX(Map_Tables!$I$4:$I$37,MATCH(TRIM(E1240),Map_Tables!$G$4:$G$37,0)),""),IFERROR(INDEX(Map_Tables!$B$4:$B$18,MATCH(TRIM(F1240),Map_Tables!$A$4:$A$18,0)),"CHECK"))</f>
        <v>Pune</v>
      </c>
      <c r="AE1240" s="7" t="str">
        <f aca="false">IF(TRIM(E1240)="","",IFERROR(INDEX(Map_Tables!$H$4:$H$37,MATCH(TRIM(E1240),Map_Tables!$G$4:$G$37,0)),"CHECK"))</f>
        <v>Cake Walk</v>
      </c>
      <c r="AF1240" s="7" t="str">
        <f aca="false">IF(TRIM(K1240)="","Unknown",IFERROR(INDEX(Map_Tables!$E$4:$E$15,MATCH(TRIM(K1240),Map_Tables!$D$4:$D$15,0)),"CHECK"))</f>
        <v>UPI</v>
      </c>
      <c r="AG1240" s="7" t="str">
        <f aca="false">IF(LEFT(LOWER(TRIM(L1240)),6)="cancel","Cancelled","Delivered")</f>
        <v>Delivered</v>
      </c>
      <c r="AH1240" s="10" t="n">
        <f aca="false">IF(ISNUMBER(SEARCH("/",B1240)),DATE(VALUE(RIGHT(B1240,4)),VALUE(MID(B1240,4,2)),VALUE(LEFT(B1240,2))),IF(MID(B1240,5,1)="-",DATE(VALUE(LEFT(B1240,4)),VALUE(MID(B1240,6,2)),VALUE(RIGHT(B1240,2))),DATE(VALUE(RIGHT(B1240,4)),MATCH(MID(B1240,4,3),{"Jan","Feb","Mar","Apr","May","Jun","Jul","Aug","Sep","Oct","Nov","Dec"},0),VALUE(LEFT(B1240,2)))))</f>
        <v>45818</v>
      </c>
    </row>
    <row r="1241" customFormat="false" ht="15" hidden="false" customHeight="false" outlineLevel="0" collapsed="false">
      <c r="A1241" s="7" t="s">
        <v>3472</v>
      </c>
      <c r="B1241" s="7" t="s">
        <v>1183</v>
      </c>
      <c r="C1241" s="7" t="s">
        <v>1852</v>
      </c>
      <c r="D1241" s="7" t="s">
        <v>3473</v>
      </c>
      <c r="E1241" s="7" t="s">
        <v>3474</v>
      </c>
      <c r="F1241" s="7" t="s">
        <v>110</v>
      </c>
      <c r="G1241" s="7" t="s">
        <v>117</v>
      </c>
      <c r="H1241" s="7" t="n">
        <v>2</v>
      </c>
      <c r="I1241" s="7" t="n">
        <v>115</v>
      </c>
      <c r="J1241" s="7" t="n">
        <v>0</v>
      </c>
      <c r="K1241" s="7" t="s">
        <v>121</v>
      </c>
      <c r="L1241" s="7" t="s">
        <v>194</v>
      </c>
      <c r="M1241" s="7" t="n">
        <v>36</v>
      </c>
      <c r="N1241" s="7" t="n">
        <v>3</v>
      </c>
      <c r="O1241" s="7" t="str">
        <f aca="false">A1241&amp;"|"&amp;B1241&amp;"|"&amp;C1241&amp;"|"&amp;D1241&amp;"|"&amp;E1241&amp;"|"&amp;F1241&amp;"|"&amp;G1241&amp;"|"&amp;H1241&amp;"|"&amp;I1241&amp;"|"&amp;J1241&amp;"|"&amp;K1241&amp;"|"&amp;L1241&amp;"|"&amp;M1241&amp;"|"&amp;N1241</f>
        <v>ORD11585|2025-07-26|19:54|C0749|Chaat Corner |Delhi|Street Food|2|115|0|Wallet|Delivered|36|3</v>
      </c>
      <c r="P1241" s="7" t="str">
        <f aca="false">IF(COUNTIF($O$2:O1241,O1241)&gt;1,"DUP","OK")</f>
        <v>OK</v>
      </c>
      <c r="Q1241" s="7" t="n">
        <f aca="false">COUNTBLANK(A1241:N1241)</f>
        <v>0</v>
      </c>
      <c r="R1241" s="7" t="n">
        <f aca="false">IF(A1241="",0,COUNTIFS($A$2:$A$3058,A1241,$P$2:$P$3058,"OK"))</f>
        <v>1</v>
      </c>
      <c r="S1241" s="7" t="str">
        <f aca="false">IF(OR(A1241="",P1241="DUP",R1241&lt;2),"",IF(Q1241=_xlfn.MINIFS($Q$2:$Q$3058,$A$2:$A$3058,A1241,$P$2:$P$3058,"OK"),"KEEP","DROP"))</f>
        <v/>
      </c>
      <c r="T1241" s="9" t="n">
        <f aca="false">IF(A1241="",1,0)</f>
        <v>0</v>
      </c>
      <c r="U1241" s="9" t="n">
        <f aca="false">IF(D1241="",1,0)</f>
        <v>0</v>
      </c>
      <c r="V1241" s="9" t="n">
        <f aca="false">IF(E1241="",1,0)</f>
        <v>0</v>
      </c>
      <c r="W1241" s="9" t="n">
        <f aca="false">IF(OR(H1241&lt;1,H1241&gt;10),1,0)</f>
        <v>0</v>
      </c>
      <c r="X1241" s="9" t="n">
        <f aca="false">IF(OR(I1241&lt;=0,I1241&gt;1500),1,0)</f>
        <v>0</v>
      </c>
      <c r="Y1241" s="9" t="n">
        <f aca="false">IF(J1241&gt;H1241*I1241,1,0)</f>
        <v>0</v>
      </c>
      <c r="Z1241" s="9" t="n">
        <f aca="false">IF(AND(N1241&lt;&gt;"",OR(N1241&lt;1,N1241&gt;5)),1,0)</f>
        <v>0</v>
      </c>
      <c r="AA1241" s="9" t="n">
        <f aca="false">IF(AND(M1241&lt;&gt;"",OR(M1241&lt;5,M1241&gt;180)),1,0)</f>
        <v>0</v>
      </c>
      <c r="AB1241" s="7" t="str">
        <f aca="false">IF(P1241="DUP","Exact duplicate row",IF(T1241=1,"Missing Order ID",IF(S1241="DROP","Duplicate Order ID (less complete row)",IF(U1241=1,"Missing Customer ID",IF(V1241=1,"Missing Restaurant name",IF(W1241=1,"Invalid/outlier quantity",IF(X1241=1,"Invalid/outlier unit price",IF(Y1241=1,"Discount greater than order value",""))))))))</f>
        <v/>
      </c>
      <c r="AC1241" s="7" t="str">
        <f aca="false">IF(AB1241="","KEEP","DROP")</f>
        <v>KEEP</v>
      </c>
      <c r="AD1241" s="7" t="str">
        <f aca="false">IF(TRIM(F1241)="",IFERROR(INDEX(Map_Tables!$I$4:$I$37,MATCH(TRIM(E1241),Map_Tables!$G$4:$G$37,0)),""),IFERROR(INDEX(Map_Tables!$B$4:$B$18,MATCH(TRIM(F1241),Map_Tables!$A$4:$A$18,0)),"CHECK"))</f>
        <v>Delhi</v>
      </c>
      <c r="AE1241" s="7" t="str">
        <f aca="false">IF(TRIM(E1241)="","",IFERROR(INDEX(Map_Tables!$H$4:$H$37,MATCH(TRIM(E1241),Map_Tables!$G$4:$G$37,0)),"CHECK"))</f>
        <v>Chaat Corner</v>
      </c>
      <c r="AF1241" s="7" t="str">
        <f aca="false">IF(TRIM(K1241)="","Unknown",IFERROR(INDEX(Map_Tables!$E$4:$E$15,MATCH(TRIM(K1241),Map_Tables!$D$4:$D$15,0)),"CHECK"))</f>
        <v>Wallet</v>
      </c>
      <c r="AG1241" s="7" t="str">
        <f aca="false">IF(LEFT(LOWER(TRIM(L1241)),6)="cancel","Cancelled","Delivered")</f>
        <v>Delivered</v>
      </c>
      <c r="AH1241" s="10" t="n">
        <f aca="false">IF(ISNUMBER(SEARCH("/",B1241)),DATE(VALUE(RIGHT(B1241,4)),VALUE(MID(B1241,4,2)),VALUE(LEFT(B1241,2))),IF(MID(B1241,5,1)="-",DATE(VALUE(LEFT(B1241,4)),VALUE(MID(B1241,6,2)),VALUE(RIGHT(B1241,2))),DATE(VALUE(RIGHT(B1241,4)),MATCH(MID(B1241,4,3),{"Jan","Feb","Mar","Apr","May","Jun","Jul","Aug","Sep","Oct","Nov","Dec"},0),VALUE(LEFT(B1241,2)))))</f>
        <v>45864</v>
      </c>
    </row>
    <row r="1242" customFormat="false" ht="15" hidden="false" customHeight="false" outlineLevel="0" collapsed="false">
      <c r="A1242" s="7" t="s">
        <v>3475</v>
      </c>
      <c r="B1242" s="7" t="s">
        <v>3476</v>
      </c>
      <c r="C1242" s="7" t="s">
        <v>191</v>
      </c>
      <c r="D1242" s="7" t="s">
        <v>1833</v>
      </c>
      <c r="E1242" s="7" t="s">
        <v>98</v>
      </c>
      <c r="F1242" s="7" t="s">
        <v>86</v>
      </c>
      <c r="G1242" s="7" t="s">
        <v>99</v>
      </c>
      <c r="H1242" s="7" t="n">
        <v>1</v>
      </c>
      <c r="I1242" s="7" t="n">
        <v>280</v>
      </c>
      <c r="J1242" s="7" t="n">
        <v>0</v>
      </c>
      <c r="K1242" s="7" t="s">
        <v>103</v>
      </c>
      <c r="L1242" s="7" t="s">
        <v>194</v>
      </c>
      <c r="M1242" s="7" t="n">
        <v>36</v>
      </c>
      <c r="N1242" s="7" t="n">
        <v>5</v>
      </c>
      <c r="O1242" s="7" t="str">
        <f aca="false">A1242&amp;"|"&amp;B1242&amp;"|"&amp;C1242&amp;"|"&amp;D1242&amp;"|"&amp;E1242&amp;"|"&amp;F1242&amp;"|"&amp;G1242&amp;"|"&amp;H1242&amp;"|"&amp;I1242&amp;"|"&amp;J1242&amp;"|"&amp;K1242&amp;"|"&amp;L1242&amp;"|"&amp;M1242&amp;"|"&amp;N1242</f>
        <v>ORD11730|15/08/2025|12:57|C0366|Nawabi Biryani House|Bengaluru|Biryani|1|280|0|Debit Card|Delivered|36|5</v>
      </c>
      <c r="P1242" s="7" t="str">
        <f aca="false">IF(COUNTIF($O$2:O1242,O1242)&gt;1,"DUP","OK")</f>
        <v>OK</v>
      </c>
      <c r="Q1242" s="7" t="n">
        <f aca="false">COUNTBLANK(A1242:N1242)</f>
        <v>0</v>
      </c>
      <c r="R1242" s="7" t="n">
        <f aca="false">IF(A1242="",0,COUNTIFS($A$2:$A$3058,A1242,$P$2:$P$3058,"OK"))</f>
        <v>1</v>
      </c>
      <c r="S1242" s="7" t="str">
        <f aca="false">IF(OR(A1242="",P1242="DUP",R1242&lt;2),"",IF(Q1242=_xlfn.MINIFS($Q$2:$Q$3058,$A$2:$A$3058,A1242,$P$2:$P$3058,"OK"),"KEEP","DROP"))</f>
        <v/>
      </c>
      <c r="T1242" s="9" t="n">
        <f aca="false">IF(A1242="",1,0)</f>
        <v>0</v>
      </c>
      <c r="U1242" s="9" t="n">
        <f aca="false">IF(D1242="",1,0)</f>
        <v>0</v>
      </c>
      <c r="V1242" s="9" t="n">
        <f aca="false">IF(E1242="",1,0)</f>
        <v>0</v>
      </c>
      <c r="W1242" s="9" t="n">
        <f aca="false">IF(OR(H1242&lt;1,H1242&gt;10),1,0)</f>
        <v>0</v>
      </c>
      <c r="X1242" s="9" t="n">
        <f aca="false">IF(OR(I1242&lt;=0,I1242&gt;1500),1,0)</f>
        <v>0</v>
      </c>
      <c r="Y1242" s="9" t="n">
        <f aca="false">IF(J1242&gt;H1242*I1242,1,0)</f>
        <v>0</v>
      </c>
      <c r="Z1242" s="9" t="n">
        <f aca="false">IF(AND(N1242&lt;&gt;"",OR(N1242&lt;1,N1242&gt;5)),1,0)</f>
        <v>0</v>
      </c>
      <c r="AA1242" s="9" t="n">
        <f aca="false">IF(AND(M1242&lt;&gt;"",OR(M1242&lt;5,M1242&gt;180)),1,0)</f>
        <v>0</v>
      </c>
      <c r="AB1242" s="7" t="str">
        <f aca="false">IF(P1242="DUP","Exact duplicate row",IF(T1242=1,"Missing Order ID",IF(S1242="DROP","Duplicate Order ID (less complete row)",IF(U1242=1,"Missing Customer ID",IF(V1242=1,"Missing Restaurant name",IF(W1242=1,"Invalid/outlier quantity",IF(X1242=1,"Invalid/outlier unit price",IF(Y1242=1,"Discount greater than order value",""))))))))</f>
        <v/>
      </c>
      <c r="AC1242" s="7" t="str">
        <f aca="false">IF(AB1242="","KEEP","DROP")</f>
        <v>KEEP</v>
      </c>
      <c r="AD1242" s="7" t="str">
        <f aca="false">IF(TRIM(F1242)="",IFERROR(INDEX(Map_Tables!$I$4:$I$37,MATCH(TRIM(E1242),Map_Tables!$G$4:$G$37,0)),""),IFERROR(INDEX(Map_Tables!$B$4:$B$18,MATCH(TRIM(F1242),Map_Tables!$A$4:$A$18,0)),"CHECK"))</f>
        <v>Bengaluru</v>
      </c>
      <c r="AE1242" s="7" t="str">
        <f aca="false">IF(TRIM(E1242)="","",IFERROR(INDEX(Map_Tables!$H$4:$H$37,MATCH(TRIM(E1242),Map_Tables!$G$4:$G$37,0)),"CHECK"))</f>
        <v>Nawabi Biryani House</v>
      </c>
      <c r="AF1242" s="7" t="str">
        <f aca="false">IF(TRIM(K1242)="","Unknown",IFERROR(INDEX(Map_Tables!$E$4:$E$15,MATCH(TRIM(K1242),Map_Tables!$D$4:$D$15,0)),"CHECK"))</f>
        <v>Debit Card</v>
      </c>
      <c r="AG1242" s="7" t="str">
        <f aca="false">IF(LEFT(LOWER(TRIM(L1242)),6)="cancel","Cancelled","Delivered")</f>
        <v>Delivered</v>
      </c>
      <c r="AH1242" s="10" t="n">
        <f aca="false">IF(ISNUMBER(SEARCH("/",B1242)),DATE(VALUE(RIGHT(B1242,4)),VALUE(MID(B1242,4,2)),VALUE(LEFT(B1242,2))),IF(MID(B1242,5,1)="-",DATE(VALUE(LEFT(B1242,4)),VALUE(MID(B1242,6,2)),VALUE(RIGHT(B1242,2))),DATE(VALUE(RIGHT(B1242,4)),MATCH(MID(B1242,4,3),{"Jan","Feb","Mar","Apr","May","Jun","Jul","Aug","Sep","Oct","Nov","Dec"},0),VALUE(LEFT(B1242,2)))))</f>
        <v>45884</v>
      </c>
    </row>
    <row r="1243" customFormat="false" ht="15" hidden="false" customHeight="false" outlineLevel="0" collapsed="false">
      <c r="A1243" s="7" t="s">
        <v>3477</v>
      </c>
      <c r="B1243" s="7" t="s">
        <v>3478</v>
      </c>
      <c r="C1243" s="7" t="s">
        <v>801</v>
      </c>
      <c r="D1243" s="7" t="s">
        <v>3479</v>
      </c>
      <c r="E1243" s="7" t="s">
        <v>126</v>
      </c>
      <c r="F1243" s="7" t="s">
        <v>101</v>
      </c>
      <c r="G1243" s="7" t="s">
        <v>105</v>
      </c>
      <c r="H1243" s="7" t="n">
        <v>1</v>
      </c>
      <c r="I1243" s="7" t="n">
        <v>195</v>
      </c>
      <c r="J1243" s="7" t="n">
        <v>78</v>
      </c>
      <c r="K1243" s="7" t="s">
        <v>88</v>
      </c>
      <c r="L1243" s="7" t="s">
        <v>194</v>
      </c>
      <c r="M1243" s="7" t="n">
        <v>37</v>
      </c>
      <c r="N1243" s="7" t="n">
        <v>4</v>
      </c>
      <c r="O1243" s="7" t="str">
        <f aca="false">A1243&amp;"|"&amp;B1243&amp;"|"&amp;C1243&amp;"|"&amp;D1243&amp;"|"&amp;E1243&amp;"|"&amp;F1243&amp;"|"&amp;G1243&amp;"|"&amp;H1243&amp;"|"&amp;I1243&amp;"|"&amp;J1243&amp;"|"&amp;K1243&amp;"|"&amp;L1243&amp;"|"&amp;M1243&amp;"|"&amp;N1243</f>
        <v>ORD11299|15-Jun-2025|21:24|C0345|Dragon Express|Mumbai|Chinese|1|195|78|UPI|Delivered|37|4</v>
      </c>
      <c r="P1243" s="7" t="str">
        <f aca="false">IF(COUNTIF($O$2:O1243,O1243)&gt;1,"DUP","OK")</f>
        <v>OK</v>
      </c>
      <c r="Q1243" s="7" t="n">
        <f aca="false">COUNTBLANK(A1243:N1243)</f>
        <v>0</v>
      </c>
      <c r="R1243" s="7" t="n">
        <f aca="false">IF(A1243="",0,COUNTIFS($A$2:$A$3058,A1243,$P$2:$P$3058,"OK"))</f>
        <v>1</v>
      </c>
      <c r="S1243" s="7" t="str">
        <f aca="false">IF(OR(A1243="",P1243="DUP",R1243&lt;2),"",IF(Q1243=_xlfn.MINIFS($Q$2:$Q$3058,$A$2:$A$3058,A1243,$P$2:$P$3058,"OK"),"KEEP","DROP"))</f>
        <v/>
      </c>
      <c r="T1243" s="9" t="n">
        <f aca="false">IF(A1243="",1,0)</f>
        <v>0</v>
      </c>
      <c r="U1243" s="9" t="n">
        <f aca="false">IF(D1243="",1,0)</f>
        <v>0</v>
      </c>
      <c r="V1243" s="9" t="n">
        <f aca="false">IF(E1243="",1,0)</f>
        <v>0</v>
      </c>
      <c r="W1243" s="9" t="n">
        <f aca="false">IF(OR(H1243&lt;1,H1243&gt;10),1,0)</f>
        <v>0</v>
      </c>
      <c r="X1243" s="9" t="n">
        <f aca="false">IF(OR(I1243&lt;=0,I1243&gt;1500),1,0)</f>
        <v>0</v>
      </c>
      <c r="Y1243" s="9" t="n">
        <f aca="false">IF(J1243&gt;H1243*I1243,1,0)</f>
        <v>0</v>
      </c>
      <c r="Z1243" s="9" t="n">
        <f aca="false">IF(AND(N1243&lt;&gt;"",OR(N1243&lt;1,N1243&gt;5)),1,0)</f>
        <v>0</v>
      </c>
      <c r="AA1243" s="9" t="n">
        <f aca="false">IF(AND(M1243&lt;&gt;"",OR(M1243&lt;5,M1243&gt;180)),1,0)</f>
        <v>0</v>
      </c>
      <c r="AB1243" s="7" t="str">
        <f aca="false">IF(P1243="DUP","Exact duplicate row",IF(T1243=1,"Missing Order ID",IF(S1243="DROP","Duplicate Order ID (less complete row)",IF(U1243=1,"Missing Customer ID",IF(V1243=1,"Missing Restaurant name",IF(W1243=1,"Invalid/outlier quantity",IF(X1243=1,"Invalid/outlier unit price",IF(Y1243=1,"Discount greater than order value",""))))))))</f>
        <v/>
      </c>
      <c r="AC1243" s="7" t="str">
        <f aca="false">IF(AB1243="","KEEP","DROP")</f>
        <v>KEEP</v>
      </c>
      <c r="AD1243" s="7" t="str">
        <f aca="false">IF(TRIM(F1243)="",IFERROR(INDEX(Map_Tables!$I$4:$I$37,MATCH(TRIM(E1243),Map_Tables!$G$4:$G$37,0)),""),IFERROR(INDEX(Map_Tables!$B$4:$B$18,MATCH(TRIM(F1243),Map_Tables!$A$4:$A$18,0)),"CHECK"))</f>
        <v>Mumbai</v>
      </c>
      <c r="AE1243" s="7" t="str">
        <f aca="false">IF(TRIM(E1243)="","",IFERROR(INDEX(Map_Tables!$H$4:$H$37,MATCH(TRIM(E1243),Map_Tables!$G$4:$G$37,0)),"CHECK"))</f>
        <v>Dragon Express</v>
      </c>
      <c r="AF1243" s="7" t="str">
        <f aca="false">IF(TRIM(K1243)="","Unknown",IFERROR(INDEX(Map_Tables!$E$4:$E$15,MATCH(TRIM(K1243),Map_Tables!$D$4:$D$15,0)),"CHECK"))</f>
        <v>UPI</v>
      </c>
      <c r="AG1243" s="7" t="str">
        <f aca="false">IF(LEFT(LOWER(TRIM(L1243)),6)="cancel","Cancelled","Delivered")</f>
        <v>Delivered</v>
      </c>
      <c r="AH1243" s="10" t="n">
        <f aca="false">IF(ISNUMBER(SEARCH("/",B1243)),DATE(VALUE(RIGHT(B1243,4)),VALUE(MID(B1243,4,2)),VALUE(LEFT(B1243,2))),IF(MID(B1243,5,1)="-",DATE(VALUE(LEFT(B1243,4)),VALUE(MID(B1243,6,2)),VALUE(RIGHT(B1243,2))),DATE(VALUE(RIGHT(B1243,4)),MATCH(MID(B1243,4,3),{"Jan","Feb","Mar","Apr","May","Jun","Jul","Aug","Sep","Oct","Nov","Dec"},0),VALUE(LEFT(B1243,2)))))</f>
        <v>45823</v>
      </c>
    </row>
    <row r="1244" customFormat="false" ht="15" hidden="false" customHeight="false" outlineLevel="0" collapsed="false">
      <c r="A1244" s="7" t="s">
        <v>3480</v>
      </c>
      <c r="B1244" s="7" t="s">
        <v>1351</v>
      </c>
      <c r="C1244" s="7" t="s">
        <v>201</v>
      </c>
      <c r="D1244" s="7" t="s">
        <v>1738</v>
      </c>
      <c r="E1244" s="7" t="s">
        <v>168</v>
      </c>
      <c r="F1244" s="7" t="s">
        <v>146</v>
      </c>
      <c r="G1244" s="7" t="s">
        <v>123</v>
      </c>
      <c r="H1244" s="7" t="n">
        <v>3</v>
      </c>
      <c r="I1244" s="7" t="n">
        <v>355</v>
      </c>
      <c r="J1244" s="7" t="n">
        <v>0</v>
      </c>
      <c r="K1244" s="7" t="s">
        <v>88</v>
      </c>
      <c r="L1244" s="7" t="s">
        <v>194</v>
      </c>
      <c r="M1244" s="7" t="n">
        <v>35</v>
      </c>
      <c r="N1244" s="7" t="n">
        <v>4</v>
      </c>
      <c r="O1244" s="7" t="str">
        <f aca="false">A1244&amp;"|"&amp;B1244&amp;"|"&amp;C1244&amp;"|"&amp;D1244&amp;"|"&amp;E1244&amp;"|"&amp;F1244&amp;"|"&amp;G1244&amp;"|"&amp;H1244&amp;"|"&amp;I1244&amp;"|"&amp;J1244&amp;"|"&amp;K1244&amp;"|"&amp;L1244&amp;"|"&amp;M1244&amp;"|"&amp;N1244</f>
        <v>ORD11426|2025-07-04|20:46|C0543|Cheesy Slice|Ahmedabad|Pizza|3|355|0|UPI|Delivered|35|4</v>
      </c>
      <c r="P1244" s="7" t="str">
        <f aca="false">IF(COUNTIF($O$2:O1244,O1244)&gt;1,"DUP","OK")</f>
        <v>OK</v>
      </c>
      <c r="Q1244" s="7" t="n">
        <f aca="false">COUNTBLANK(A1244:N1244)</f>
        <v>0</v>
      </c>
      <c r="R1244" s="7" t="n">
        <f aca="false">IF(A1244="",0,COUNTIFS($A$2:$A$3058,A1244,$P$2:$P$3058,"OK"))</f>
        <v>1</v>
      </c>
      <c r="S1244" s="7" t="str">
        <f aca="false">IF(OR(A1244="",P1244="DUP",R1244&lt;2),"",IF(Q1244=_xlfn.MINIFS($Q$2:$Q$3058,$A$2:$A$3058,A1244,$P$2:$P$3058,"OK"),"KEEP","DROP"))</f>
        <v/>
      </c>
      <c r="T1244" s="9" t="n">
        <f aca="false">IF(A1244="",1,0)</f>
        <v>0</v>
      </c>
      <c r="U1244" s="9" t="n">
        <f aca="false">IF(D1244="",1,0)</f>
        <v>0</v>
      </c>
      <c r="V1244" s="9" t="n">
        <f aca="false">IF(E1244="",1,0)</f>
        <v>0</v>
      </c>
      <c r="W1244" s="9" t="n">
        <f aca="false">IF(OR(H1244&lt;1,H1244&gt;10),1,0)</f>
        <v>0</v>
      </c>
      <c r="X1244" s="9" t="n">
        <f aca="false">IF(OR(I1244&lt;=0,I1244&gt;1500),1,0)</f>
        <v>0</v>
      </c>
      <c r="Y1244" s="9" t="n">
        <f aca="false">IF(J1244&gt;H1244*I1244,1,0)</f>
        <v>0</v>
      </c>
      <c r="Z1244" s="9" t="n">
        <f aca="false">IF(AND(N1244&lt;&gt;"",OR(N1244&lt;1,N1244&gt;5)),1,0)</f>
        <v>0</v>
      </c>
      <c r="AA1244" s="9" t="n">
        <f aca="false">IF(AND(M1244&lt;&gt;"",OR(M1244&lt;5,M1244&gt;180)),1,0)</f>
        <v>0</v>
      </c>
      <c r="AB1244" s="7" t="str">
        <f aca="false">IF(P1244="DUP","Exact duplicate row",IF(T1244=1,"Missing Order ID",IF(S1244="DROP","Duplicate Order ID (less complete row)",IF(U1244=1,"Missing Customer ID",IF(V1244=1,"Missing Restaurant name",IF(W1244=1,"Invalid/outlier quantity",IF(X1244=1,"Invalid/outlier unit price",IF(Y1244=1,"Discount greater than order value",""))))))))</f>
        <v/>
      </c>
      <c r="AC1244" s="7" t="str">
        <f aca="false">IF(AB1244="","KEEP","DROP")</f>
        <v>KEEP</v>
      </c>
      <c r="AD1244" s="7" t="str">
        <f aca="false">IF(TRIM(F1244)="",IFERROR(INDEX(Map_Tables!$I$4:$I$37,MATCH(TRIM(E1244),Map_Tables!$G$4:$G$37,0)),""),IFERROR(INDEX(Map_Tables!$B$4:$B$18,MATCH(TRIM(F1244),Map_Tables!$A$4:$A$18,0)),"CHECK"))</f>
        <v>Ahmedabad</v>
      </c>
      <c r="AE1244" s="7" t="str">
        <f aca="false">IF(TRIM(E1244)="","",IFERROR(INDEX(Map_Tables!$H$4:$H$37,MATCH(TRIM(E1244),Map_Tables!$G$4:$G$37,0)),"CHECK"))</f>
        <v>Cheesy Slice</v>
      </c>
      <c r="AF1244" s="7" t="str">
        <f aca="false">IF(TRIM(K1244)="","Unknown",IFERROR(INDEX(Map_Tables!$E$4:$E$15,MATCH(TRIM(K1244),Map_Tables!$D$4:$D$15,0)),"CHECK"))</f>
        <v>UPI</v>
      </c>
      <c r="AG1244" s="7" t="str">
        <f aca="false">IF(LEFT(LOWER(TRIM(L1244)),6)="cancel","Cancelled","Delivered")</f>
        <v>Delivered</v>
      </c>
      <c r="AH1244" s="10" t="n">
        <f aca="false">IF(ISNUMBER(SEARCH("/",B1244)),DATE(VALUE(RIGHT(B1244,4)),VALUE(MID(B1244,4,2)),VALUE(LEFT(B1244,2))),IF(MID(B1244,5,1)="-",DATE(VALUE(LEFT(B1244,4)),VALUE(MID(B1244,6,2)),VALUE(RIGHT(B1244,2))),DATE(VALUE(RIGHT(B1244,4)),MATCH(MID(B1244,4,3),{"Jan","Feb","Mar","Apr","May","Jun","Jul","Aug","Sep","Oct","Nov","Dec"},0),VALUE(LEFT(B1244,2)))))</f>
        <v>45842</v>
      </c>
    </row>
    <row r="1245" customFormat="false" ht="15" hidden="false" customHeight="false" outlineLevel="0" collapsed="false">
      <c r="A1245" s="7" t="s">
        <v>3481</v>
      </c>
      <c r="B1245" s="7" t="s">
        <v>3313</v>
      </c>
      <c r="C1245" s="7" t="s">
        <v>1317</v>
      </c>
      <c r="D1245" s="7" t="s">
        <v>2437</v>
      </c>
      <c r="E1245" s="7" t="s">
        <v>164</v>
      </c>
      <c r="F1245" s="7" t="s">
        <v>141</v>
      </c>
      <c r="G1245" s="7" t="s">
        <v>150</v>
      </c>
      <c r="H1245" s="7" t="n">
        <v>2</v>
      </c>
      <c r="I1245" s="7" t="n">
        <v>155</v>
      </c>
      <c r="J1245" s="7" t="n">
        <v>40</v>
      </c>
      <c r="K1245" s="7" t="s">
        <v>88</v>
      </c>
      <c r="L1245" s="7" t="s">
        <v>194</v>
      </c>
      <c r="M1245" s="7" t="n">
        <v>34</v>
      </c>
      <c r="N1245" s="7" t="n">
        <v>5</v>
      </c>
      <c r="O1245" s="7" t="str">
        <f aca="false">A1245&amp;"|"&amp;B1245&amp;"|"&amp;C1245&amp;"|"&amp;D1245&amp;"|"&amp;E1245&amp;"|"&amp;F1245&amp;"|"&amp;G1245&amp;"|"&amp;H1245&amp;"|"&amp;I1245&amp;"|"&amp;J1245&amp;"|"&amp;K1245&amp;"|"&amp;L1245&amp;"|"&amp;M1245&amp;"|"&amp;N1245</f>
        <v>ORD10561|2025-03-12|20:35|C0133|Mishti Mandir|Kolkata|Desserts|2|155|40|UPI|Delivered|34|5</v>
      </c>
      <c r="P1245" s="7" t="str">
        <f aca="false">IF(COUNTIF($O$2:O1245,O1245)&gt;1,"DUP","OK")</f>
        <v>OK</v>
      </c>
      <c r="Q1245" s="7" t="n">
        <f aca="false">COUNTBLANK(A1245:N1245)</f>
        <v>0</v>
      </c>
      <c r="R1245" s="7" t="n">
        <f aca="false">IF(A1245="",0,COUNTIFS($A$2:$A$3058,A1245,$P$2:$P$3058,"OK"))</f>
        <v>1</v>
      </c>
      <c r="S1245" s="7" t="str">
        <f aca="false">IF(OR(A1245="",P1245="DUP",R1245&lt;2),"",IF(Q1245=_xlfn.MINIFS($Q$2:$Q$3058,$A$2:$A$3058,A1245,$P$2:$P$3058,"OK"),"KEEP","DROP"))</f>
        <v/>
      </c>
      <c r="T1245" s="9" t="n">
        <f aca="false">IF(A1245="",1,0)</f>
        <v>0</v>
      </c>
      <c r="U1245" s="9" t="n">
        <f aca="false">IF(D1245="",1,0)</f>
        <v>0</v>
      </c>
      <c r="V1245" s="9" t="n">
        <f aca="false">IF(E1245="",1,0)</f>
        <v>0</v>
      </c>
      <c r="W1245" s="9" t="n">
        <f aca="false">IF(OR(H1245&lt;1,H1245&gt;10),1,0)</f>
        <v>0</v>
      </c>
      <c r="X1245" s="9" t="n">
        <f aca="false">IF(OR(I1245&lt;=0,I1245&gt;1500),1,0)</f>
        <v>0</v>
      </c>
      <c r="Y1245" s="9" t="n">
        <f aca="false">IF(J1245&gt;H1245*I1245,1,0)</f>
        <v>0</v>
      </c>
      <c r="Z1245" s="9" t="n">
        <f aca="false">IF(AND(N1245&lt;&gt;"",OR(N1245&lt;1,N1245&gt;5)),1,0)</f>
        <v>0</v>
      </c>
      <c r="AA1245" s="9" t="n">
        <f aca="false">IF(AND(M1245&lt;&gt;"",OR(M1245&lt;5,M1245&gt;180)),1,0)</f>
        <v>0</v>
      </c>
      <c r="AB1245" s="7" t="str">
        <f aca="false">IF(P1245="DUP","Exact duplicate row",IF(T1245=1,"Missing Order ID",IF(S1245="DROP","Duplicate Order ID (less complete row)",IF(U1245=1,"Missing Customer ID",IF(V1245=1,"Missing Restaurant name",IF(W1245=1,"Invalid/outlier quantity",IF(X1245=1,"Invalid/outlier unit price",IF(Y1245=1,"Discount greater than order value",""))))))))</f>
        <v/>
      </c>
      <c r="AC1245" s="7" t="str">
        <f aca="false">IF(AB1245="","KEEP","DROP")</f>
        <v>KEEP</v>
      </c>
      <c r="AD1245" s="7" t="str">
        <f aca="false">IF(TRIM(F1245)="",IFERROR(INDEX(Map_Tables!$I$4:$I$37,MATCH(TRIM(E1245),Map_Tables!$G$4:$G$37,0)),""),IFERROR(INDEX(Map_Tables!$B$4:$B$18,MATCH(TRIM(F1245),Map_Tables!$A$4:$A$18,0)),"CHECK"))</f>
        <v>Kolkata</v>
      </c>
      <c r="AE1245" s="7" t="str">
        <f aca="false">IF(TRIM(E1245)="","",IFERROR(INDEX(Map_Tables!$H$4:$H$37,MATCH(TRIM(E1245),Map_Tables!$G$4:$G$37,0)),"CHECK"))</f>
        <v>Mishti Mandir</v>
      </c>
      <c r="AF1245" s="7" t="str">
        <f aca="false">IF(TRIM(K1245)="","Unknown",IFERROR(INDEX(Map_Tables!$E$4:$E$15,MATCH(TRIM(K1245),Map_Tables!$D$4:$D$15,0)),"CHECK"))</f>
        <v>UPI</v>
      </c>
      <c r="AG1245" s="7" t="str">
        <f aca="false">IF(LEFT(LOWER(TRIM(L1245)),6)="cancel","Cancelled","Delivered")</f>
        <v>Delivered</v>
      </c>
      <c r="AH1245" s="10" t="n">
        <f aca="false">IF(ISNUMBER(SEARCH("/",B1245)),DATE(VALUE(RIGHT(B1245,4)),VALUE(MID(B1245,4,2)),VALUE(LEFT(B1245,2))),IF(MID(B1245,5,1)="-",DATE(VALUE(LEFT(B1245,4)),VALUE(MID(B1245,6,2)),VALUE(RIGHT(B1245,2))),DATE(VALUE(RIGHT(B1245,4)),MATCH(MID(B1245,4,3),{"Jan","Feb","Mar","Apr","May","Jun","Jul","Aug","Sep","Oct","Nov","Dec"},0),VALUE(LEFT(B1245,2)))))</f>
        <v>45728</v>
      </c>
    </row>
    <row r="1246" customFormat="false" ht="15" hidden="false" customHeight="false" outlineLevel="0" collapsed="false">
      <c r="A1246" s="7" t="s">
        <v>3482</v>
      </c>
      <c r="B1246" s="7" t="s">
        <v>3483</v>
      </c>
      <c r="C1246" s="7" t="s">
        <v>2358</v>
      </c>
      <c r="D1246" s="7" t="s">
        <v>3484</v>
      </c>
      <c r="E1246" s="7" t="s">
        <v>161</v>
      </c>
      <c r="F1246" s="7" t="s">
        <v>141</v>
      </c>
      <c r="G1246" s="7" t="s">
        <v>117</v>
      </c>
      <c r="H1246" s="7" t="n">
        <v>1</v>
      </c>
      <c r="I1246" s="7" t="n">
        <v>145</v>
      </c>
      <c r="J1246" s="7" t="n">
        <v>58</v>
      </c>
      <c r="K1246" s="7" t="s">
        <v>88</v>
      </c>
      <c r="L1246" s="7" t="s">
        <v>194</v>
      </c>
      <c r="M1246" s="7" t="n">
        <v>35</v>
      </c>
      <c r="N1246" s="7" t="n">
        <v>5</v>
      </c>
      <c r="O1246" s="7" t="str">
        <f aca="false">A1246&amp;"|"&amp;B1246&amp;"|"&amp;C1246&amp;"|"&amp;D1246&amp;"|"&amp;E1246&amp;"|"&amp;F1246&amp;"|"&amp;G1246&amp;"|"&amp;H1246&amp;"|"&amp;I1246&amp;"|"&amp;J1246&amp;"|"&amp;K1246&amp;"|"&amp;L1246&amp;"|"&amp;M1246&amp;"|"&amp;N1246</f>
        <v>ORD10189|2025-01-25|13:47|C0916|Bengal Bites|Kolkata|Street Food|1|145|58|UPI|Delivered|35|5</v>
      </c>
      <c r="P1246" s="7" t="str">
        <f aca="false">IF(COUNTIF($O$2:O1246,O1246)&gt;1,"DUP","OK")</f>
        <v>OK</v>
      </c>
      <c r="Q1246" s="7" t="n">
        <f aca="false">COUNTBLANK(A1246:N1246)</f>
        <v>0</v>
      </c>
      <c r="R1246" s="7" t="n">
        <f aca="false">IF(A1246="",0,COUNTIFS($A$2:$A$3058,A1246,$P$2:$P$3058,"OK"))</f>
        <v>1</v>
      </c>
      <c r="S1246" s="7" t="str">
        <f aca="false">IF(OR(A1246="",P1246="DUP",R1246&lt;2),"",IF(Q1246=_xlfn.MINIFS($Q$2:$Q$3058,$A$2:$A$3058,A1246,$P$2:$P$3058,"OK"),"KEEP","DROP"))</f>
        <v/>
      </c>
      <c r="T1246" s="9" t="n">
        <f aca="false">IF(A1246="",1,0)</f>
        <v>0</v>
      </c>
      <c r="U1246" s="9" t="n">
        <f aca="false">IF(D1246="",1,0)</f>
        <v>0</v>
      </c>
      <c r="V1246" s="9" t="n">
        <f aca="false">IF(E1246="",1,0)</f>
        <v>0</v>
      </c>
      <c r="W1246" s="9" t="n">
        <f aca="false">IF(OR(H1246&lt;1,H1246&gt;10),1,0)</f>
        <v>0</v>
      </c>
      <c r="X1246" s="9" t="n">
        <f aca="false">IF(OR(I1246&lt;=0,I1246&gt;1500),1,0)</f>
        <v>0</v>
      </c>
      <c r="Y1246" s="9" t="n">
        <f aca="false">IF(J1246&gt;H1246*I1246,1,0)</f>
        <v>0</v>
      </c>
      <c r="Z1246" s="9" t="n">
        <f aca="false">IF(AND(N1246&lt;&gt;"",OR(N1246&lt;1,N1246&gt;5)),1,0)</f>
        <v>0</v>
      </c>
      <c r="AA1246" s="9" t="n">
        <f aca="false">IF(AND(M1246&lt;&gt;"",OR(M1246&lt;5,M1246&gt;180)),1,0)</f>
        <v>0</v>
      </c>
      <c r="AB1246" s="7" t="str">
        <f aca="false">IF(P1246="DUP","Exact duplicate row",IF(T1246=1,"Missing Order ID",IF(S1246="DROP","Duplicate Order ID (less complete row)",IF(U1246=1,"Missing Customer ID",IF(V1246=1,"Missing Restaurant name",IF(W1246=1,"Invalid/outlier quantity",IF(X1246=1,"Invalid/outlier unit price",IF(Y1246=1,"Discount greater than order value",""))))))))</f>
        <v/>
      </c>
      <c r="AC1246" s="7" t="str">
        <f aca="false">IF(AB1246="","KEEP","DROP")</f>
        <v>KEEP</v>
      </c>
      <c r="AD1246" s="7" t="str">
        <f aca="false">IF(TRIM(F1246)="",IFERROR(INDEX(Map_Tables!$I$4:$I$37,MATCH(TRIM(E1246),Map_Tables!$G$4:$G$37,0)),""),IFERROR(INDEX(Map_Tables!$B$4:$B$18,MATCH(TRIM(F1246),Map_Tables!$A$4:$A$18,0)),"CHECK"))</f>
        <v>Kolkata</v>
      </c>
      <c r="AE1246" s="7" t="str">
        <f aca="false">IF(TRIM(E1246)="","",IFERROR(INDEX(Map_Tables!$H$4:$H$37,MATCH(TRIM(E1246),Map_Tables!$G$4:$G$37,0)),"CHECK"))</f>
        <v>Bengal Bites</v>
      </c>
      <c r="AF1246" s="7" t="str">
        <f aca="false">IF(TRIM(K1246)="","Unknown",IFERROR(INDEX(Map_Tables!$E$4:$E$15,MATCH(TRIM(K1246),Map_Tables!$D$4:$D$15,0)),"CHECK"))</f>
        <v>UPI</v>
      </c>
      <c r="AG1246" s="7" t="str">
        <f aca="false">IF(LEFT(LOWER(TRIM(L1246)),6)="cancel","Cancelled","Delivered")</f>
        <v>Delivered</v>
      </c>
      <c r="AH1246" s="10" t="n">
        <f aca="false">IF(ISNUMBER(SEARCH("/",B1246)),DATE(VALUE(RIGHT(B1246,4)),VALUE(MID(B1246,4,2)),VALUE(LEFT(B1246,2))),IF(MID(B1246,5,1)="-",DATE(VALUE(LEFT(B1246,4)),VALUE(MID(B1246,6,2)),VALUE(RIGHT(B1246,2))),DATE(VALUE(RIGHT(B1246,4)),MATCH(MID(B1246,4,3),{"Jan","Feb","Mar","Apr","May","Jun","Jul","Aug","Sep","Oct","Nov","Dec"},0),VALUE(LEFT(B1246,2)))))</f>
        <v>45682</v>
      </c>
    </row>
    <row r="1247" customFormat="false" ht="15" hidden="false" customHeight="false" outlineLevel="0" collapsed="false">
      <c r="A1247" s="7" t="s">
        <v>3485</v>
      </c>
      <c r="B1247" s="7" t="s">
        <v>3122</v>
      </c>
      <c r="C1247" s="7" t="s">
        <v>1688</v>
      </c>
      <c r="D1247" s="7" t="s">
        <v>453</v>
      </c>
      <c r="E1247" s="7" t="s">
        <v>138</v>
      </c>
      <c r="F1247" s="7" t="s">
        <v>110</v>
      </c>
      <c r="G1247" s="7" t="s">
        <v>139</v>
      </c>
      <c r="H1247" s="7" t="n">
        <v>3</v>
      </c>
      <c r="I1247" s="7" t="n">
        <v>180</v>
      </c>
      <c r="J1247" s="7" t="n">
        <v>30</v>
      </c>
      <c r="K1247" s="7" t="s">
        <v>93</v>
      </c>
      <c r="L1247" s="7" t="s">
        <v>194</v>
      </c>
      <c r="M1247" s="7" t="n">
        <v>41</v>
      </c>
      <c r="N1247" s="7"/>
      <c r="O1247" s="7" t="str">
        <f aca="false">A1247&amp;"|"&amp;B1247&amp;"|"&amp;C1247&amp;"|"&amp;D1247&amp;"|"&amp;E1247&amp;"|"&amp;F1247&amp;"|"&amp;G1247&amp;"|"&amp;H1247&amp;"|"&amp;I1247&amp;"|"&amp;J1247&amp;"|"&amp;K1247&amp;"|"&amp;L1247&amp;"|"&amp;M1247&amp;"|"&amp;N1247</f>
        <v>ORD12498|2025-11-09|19:44|C0965|Burger Barn|Delhi|Burgers|3|180|30|Credit Card|Delivered|41|</v>
      </c>
      <c r="P1247" s="7" t="str">
        <f aca="false">IF(COUNTIF($O$2:O1247,O1247)&gt;1,"DUP","OK")</f>
        <v>OK</v>
      </c>
      <c r="Q1247" s="7" t="n">
        <f aca="false">COUNTBLANK(A1247:N1247)</f>
        <v>1</v>
      </c>
      <c r="R1247" s="7" t="n">
        <f aca="false">IF(A1247="",0,COUNTIFS($A$2:$A$3058,A1247,$P$2:$P$3058,"OK"))</f>
        <v>1</v>
      </c>
      <c r="S1247" s="7" t="str">
        <f aca="false">IF(OR(A1247="",P1247="DUP",R1247&lt;2),"",IF(Q1247=_xlfn.MINIFS($Q$2:$Q$3058,$A$2:$A$3058,A1247,$P$2:$P$3058,"OK"),"KEEP","DROP"))</f>
        <v/>
      </c>
      <c r="T1247" s="9" t="n">
        <f aca="false">IF(A1247="",1,0)</f>
        <v>0</v>
      </c>
      <c r="U1247" s="9" t="n">
        <f aca="false">IF(D1247="",1,0)</f>
        <v>0</v>
      </c>
      <c r="V1247" s="9" t="n">
        <f aca="false">IF(E1247="",1,0)</f>
        <v>0</v>
      </c>
      <c r="W1247" s="9" t="n">
        <f aca="false">IF(OR(H1247&lt;1,H1247&gt;10),1,0)</f>
        <v>0</v>
      </c>
      <c r="X1247" s="9" t="n">
        <f aca="false">IF(OR(I1247&lt;=0,I1247&gt;1500),1,0)</f>
        <v>0</v>
      </c>
      <c r="Y1247" s="9" t="n">
        <f aca="false">IF(J1247&gt;H1247*I1247,1,0)</f>
        <v>0</v>
      </c>
      <c r="Z1247" s="9" t="n">
        <f aca="false">IF(AND(N1247&lt;&gt;"",OR(N1247&lt;1,N1247&gt;5)),1,0)</f>
        <v>0</v>
      </c>
      <c r="AA1247" s="9" t="n">
        <f aca="false">IF(AND(M1247&lt;&gt;"",OR(M1247&lt;5,M1247&gt;180)),1,0)</f>
        <v>0</v>
      </c>
      <c r="AB1247" s="7" t="str">
        <f aca="false">IF(P1247="DUP","Exact duplicate row",IF(T1247=1,"Missing Order ID",IF(S1247="DROP","Duplicate Order ID (less complete row)",IF(U1247=1,"Missing Customer ID",IF(V1247=1,"Missing Restaurant name",IF(W1247=1,"Invalid/outlier quantity",IF(X1247=1,"Invalid/outlier unit price",IF(Y1247=1,"Discount greater than order value",""))))))))</f>
        <v/>
      </c>
      <c r="AC1247" s="7" t="str">
        <f aca="false">IF(AB1247="","KEEP","DROP")</f>
        <v>KEEP</v>
      </c>
      <c r="AD1247" s="7" t="str">
        <f aca="false">IF(TRIM(F1247)="",IFERROR(INDEX(Map_Tables!$I$4:$I$37,MATCH(TRIM(E1247),Map_Tables!$G$4:$G$37,0)),""),IFERROR(INDEX(Map_Tables!$B$4:$B$18,MATCH(TRIM(F1247),Map_Tables!$A$4:$A$18,0)),"CHECK"))</f>
        <v>Delhi</v>
      </c>
      <c r="AE1247" s="7" t="str">
        <f aca="false">IF(TRIM(E1247)="","",IFERROR(INDEX(Map_Tables!$H$4:$H$37,MATCH(TRIM(E1247),Map_Tables!$G$4:$G$37,0)),"CHECK"))</f>
        <v>Burger Barn</v>
      </c>
      <c r="AF1247" s="7" t="str">
        <f aca="false">IF(TRIM(K1247)="","Unknown",IFERROR(INDEX(Map_Tables!$E$4:$E$15,MATCH(TRIM(K1247),Map_Tables!$D$4:$D$15,0)),"CHECK"))</f>
        <v>Credit Card</v>
      </c>
      <c r="AG1247" s="7" t="str">
        <f aca="false">IF(LEFT(LOWER(TRIM(L1247)),6)="cancel","Cancelled","Delivered")</f>
        <v>Delivered</v>
      </c>
      <c r="AH1247" s="10" t="n">
        <f aca="false">IF(ISNUMBER(SEARCH("/",B1247)),DATE(VALUE(RIGHT(B1247,4)),VALUE(MID(B1247,4,2)),VALUE(LEFT(B1247,2))),IF(MID(B1247,5,1)="-",DATE(VALUE(LEFT(B1247,4)),VALUE(MID(B1247,6,2)),VALUE(RIGHT(B1247,2))),DATE(VALUE(RIGHT(B1247,4)),MATCH(MID(B1247,4,3),{"Jan","Feb","Mar","Apr","May","Jun","Jul","Aug","Sep","Oct","Nov","Dec"},0),VALUE(LEFT(B1247,2)))))</f>
        <v>45970</v>
      </c>
    </row>
    <row r="1248" customFormat="false" ht="15" hidden="false" customHeight="false" outlineLevel="0" collapsed="false">
      <c r="A1248" s="7" t="s">
        <v>3486</v>
      </c>
      <c r="B1248" s="7" t="s">
        <v>921</v>
      </c>
      <c r="C1248" s="7" t="s">
        <v>3487</v>
      </c>
      <c r="D1248" s="7" t="s">
        <v>289</v>
      </c>
      <c r="E1248" s="7" t="s">
        <v>113</v>
      </c>
      <c r="F1248" s="7" t="s">
        <v>101</v>
      </c>
      <c r="G1248" s="7" t="s">
        <v>90</v>
      </c>
      <c r="H1248" s="7" t="n">
        <v>1</v>
      </c>
      <c r="I1248" s="7" t="n">
        <v>285</v>
      </c>
      <c r="J1248" s="7" t="n">
        <v>0</v>
      </c>
      <c r="K1248" s="7" t="s">
        <v>88</v>
      </c>
      <c r="L1248" s="7" t="s">
        <v>194</v>
      </c>
      <c r="M1248" s="7" t="n">
        <v>61</v>
      </c>
      <c r="N1248" s="7" t="n">
        <v>4</v>
      </c>
      <c r="O1248" s="7" t="str">
        <f aca="false">A1248&amp;"|"&amp;B1248&amp;"|"&amp;C1248&amp;"|"&amp;D1248&amp;"|"&amp;E1248&amp;"|"&amp;F1248&amp;"|"&amp;G1248&amp;"|"&amp;H1248&amp;"|"&amp;I1248&amp;"|"&amp;J1248&amp;"|"&amp;K1248&amp;"|"&amp;L1248&amp;"|"&amp;M1248&amp;"|"&amp;N1248</f>
        <v>ORD12164|2025-10-03|20:57|C1262|Curry Leaf Kitchen|Mumbai|North Indian|1|285|0|UPI|Delivered|61|4</v>
      </c>
      <c r="P1248" s="7" t="str">
        <f aca="false">IF(COUNTIF($O$2:O1248,O1248)&gt;1,"DUP","OK")</f>
        <v>OK</v>
      </c>
      <c r="Q1248" s="7" t="n">
        <f aca="false">COUNTBLANK(A1248:N1248)</f>
        <v>0</v>
      </c>
      <c r="R1248" s="7" t="n">
        <f aca="false">IF(A1248="",0,COUNTIFS($A$2:$A$3058,A1248,$P$2:$P$3058,"OK"))</f>
        <v>1</v>
      </c>
      <c r="S1248" s="7" t="str">
        <f aca="false">IF(OR(A1248="",P1248="DUP",R1248&lt;2),"",IF(Q1248=_xlfn.MINIFS($Q$2:$Q$3058,$A$2:$A$3058,A1248,$P$2:$P$3058,"OK"),"KEEP","DROP"))</f>
        <v/>
      </c>
      <c r="T1248" s="9" t="n">
        <f aca="false">IF(A1248="",1,0)</f>
        <v>0</v>
      </c>
      <c r="U1248" s="9" t="n">
        <f aca="false">IF(D1248="",1,0)</f>
        <v>0</v>
      </c>
      <c r="V1248" s="9" t="n">
        <f aca="false">IF(E1248="",1,0)</f>
        <v>0</v>
      </c>
      <c r="W1248" s="9" t="n">
        <f aca="false">IF(OR(H1248&lt;1,H1248&gt;10),1,0)</f>
        <v>0</v>
      </c>
      <c r="X1248" s="9" t="n">
        <f aca="false">IF(OR(I1248&lt;=0,I1248&gt;1500),1,0)</f>
        <v>0</v>
      </c>
      <c r="Y1248" s="9" t="n">
        <f aca="false">IF(J1248&gt;H1248*I1248,1,0)</f>
        <v>0</v>
      </c>
      <c r="Z1248" s="9" t="n">
        <f aca="false">IF(AND(N1248&lt;&gt;"",OR(N1248&lt;1,N1248&gt;5)),1,0)</f>
        <v>0</v>
      </c>
      <c r="AA1248" s="9" t="n">
        <f aca="false">IF(AND(M1248&lt;&gt;"",OR(M1248&lt;5,M1248&gt;180)),1,0)</f>
        <v>0</v>
      </c>
      <c r="AB1248" s="7" t="str">
        <f aca="false">IF(P1248="DUP","Exact duplicate row",IF(T1248=1,"Missing Order ID",IF(S1248="DROP","Duplicate Order ID (less complete row)",IF(U1248=1,"Missing Customer ID",IF(V1248=1,"Missing Restaurant name",IF(W1248=1,"Invalid/outlier quantity",IF(X1248=1,"Invalid/outlier unit price",IF(Y1248=1,"Discount greater than order value",""))))))))</f>
        <v/>
      </c>
      <c r="AC1248" s="7" t="str">
        <f aca="false">IF(AB1248="","KEEP","DROP")</f>
        <v>KEEP</v>
      </c>
      <c r="AD1248" s="7" t="str">
        <f aca="false">IF(TRIM(F1248)="",IFERROR(INDEX(Map_Tables!$I$4:$I$37,MATCH(TRIM(E1248),Map_Tables!$G$4:$G$37,0)),""),IFERROR(INDEX(Map_Tables!$B$4:$B$18,MATCH(TRIM(F1248),Map_Tables!$A$4:$A$18,0)),"CHECK"))</f>
        <v>Mumbai</v>
      </c>
      <c r="AE1248" s="7" t="str">
        <f aca="false">IF(TRIM(E1248)="","",IFERROR(INDEX(Map_Tables!$H$4:$H$37,MATCH(TRIM(E1248),Map_Tables!$G$4:$G$37,0)),"CHECK"))</f>
        <v>Curry Leaf Kitchen</v>
      </c>
      <c r="AF1248" s="7" t="str">
        <f aca="false">IF(TRIM(K1248)="","Unknown",IFERROR(INDEX(Map_Tables!$E$4:$E$15,MATCH(TRIM(K1248),Map_Tables!$D$4:$D$15,0)),"CHECK"))</f>
        <v>UPI</v>
      </c>
      <c r="AG1248" s="7" t="str">
        <f aca="false">IF(LEFT(LOWER(TRIM(L1248)),6)="cancel","Cancelled","Delivered")</f>
        <v>Delivered</v>
      </c>
      <c r="AH1248" s="10" t="n">
        <f aca="false">IF(ISNUMBER(SEARCH("/",B1248)),DATE(VALUE(RIGHT(B1248,4)),VALUE(MID(B1248,4,2)),VALUE(LEFT(B1248,2))),IF(MID(B1248,5,1)="-",DATE(VALUE(LEFT(B1248,4)),VALUE(MID(B1248,6,2)),VALUE(RIGHT(B1248,2))),DATE(VALUE(RIGHT(B1248,4)),MATCH(MID(B1248,4,3),{"Jan","Feb","Mar","Apr","May","Jun","Jul","Aug","Sep","Oct","Nov","Dec"},0),VALUE(LEFT(B1248,2)))))</f>
        <v>45933</v>
      </c>
    </row>
    <row r="1249" customFormat="false" ht="15" hidden="false" customHeight="false" outlineLevel="0" collapsed="false">
      <c r="A1249" s="7" t="s">
        <v>3488</v>
      </c>
      <c r="B1249" s="7" t="s">
        <v>660</v>
      </c>
      <c r="C1249" s="7" t="s">
        <v>3489</v>
      </c>
      <c r="D1249" s="7" t="s">
        <v>1716</v>
      </c>
      <c r="E1249" s="7" t="s">
        <v>167</v>
      </c>
      <c r="F1249" s="7" t="s">
        <v>146</v>
      </c>
      <c r="G1249" s="7" t="s">
        <v>156</v>
      </c>
      <c r="H1249" s="7" t="n">
        <v>3</v>
      </c>
      <c r="I1249" s="7" t="n">
        <v>245</v>
      </c>
      <c r="J1249" s="7" t="n">
        <v>125</v>
      </c>
      <c r="K1249" s="7" t="s">
        <v>87</v>
      </c>
      <c r="L1249" s="7" t="s">
        <v>194</v>
      </c>
      <c r="M1249" s="7" t="n">
        <v>22</v>
      </c>
      <c r="N1249" s="7" t="n">
        <v>2</v>
      </c>
      <c r="O1249" s="7" t="str">
        <f aca="false">A1249&amp;"|"&amp;B1249&amp;"|"&amp;C1249&amp;"|"&amp;D1249&amp;"|"&amp;E1249&amp;"|"&amp;F1249&amp;"|"&amp;G1249&amp;"|"&amp;H1249&amp;"|"&amp;I1249&amp;"|"&amp;J1249&amp;"|"&amp;K1249&amp;"|"&amp;L1249&amp;"|"&amp;M1249&amp;"|"&amp;N1249</f>
        <v>ORD12984|2025-12-29|21:20|C0185|Fit Fuel Kitchen|Ahmedabad|Healthy Food|3|245|125|upi|Delivered|22|2</v>
      </c>
      <c r="P1249" s="7" t="str">
        <f aca="false">IF(COUNTIF($O$2:O1249,O1249)&gt;1,"DUP","OK")</f>
        <v>OK</v>
      </c>
      <c r="Q1249" s="7" t="n">
        <f aca="false">COUNTBLANK(A1249:N1249)</f>
        <v>0</v>
      </c>
      <c r="R1249" s="7" t="n">
        <f aca="false">IF(A1249="",0,COUNTIFS($A$2:$A$3058,A1249,$P$2:$P$3058,"OK"))</f>
        <v>1</v>
      </c>
      <c r="S1249" s="7" t="str">
        <f aca="false">IF(OR(A1249="",P1249="DUP",R1249&lt;2),"",IF(Q1249=_xlfn.MINIFS($Q$2:$Q$3058,$A$2:$A$3058,A1249,$P$2:$P$3058,"OK"),"KEEP","DROP"))</f>
        <v/>
      </c>
      <c r="T1249" s="9" t="n">
        <f aca="false">IF(A1249="",1,0)</f>
        <v>0</v>
      </c>
      <c r="U1249" s="9" t="n">
        <f aca="false">IF(D1249="",1,0)</f>
        <v>0</v>
      </c>
      <c r="V1249" s="9" t="n">
        <f aca="false">IF(E1249="",1,0)</f>
        <v>0</v>
      </c>
      <c r="W1249" s="9" t="n">
        <f aca="false">IF(OR(H1249&lt;1,H1249&gt;10),1,0)</f>
        <v>0</v>
      </c>
      <c r="X1249" s="9" t="n">
        <f aca="false">IF(OR(I1249&lt;=0,I1249&gt;1500),1,0)</f>
        <v>0</v>
      </c>
      <c r="Y1249" s="9" t="n">
        <f aca="false">IF(J1249&gt;H1249*I1249,1,0)</f>
        <v>0</v>
      </c>
      <c r="Z1249" s="9" t="n">
        <f aca="false">IF(AND(N1249&lt;&gt;"",OR(N1249&lt;1,N1249&gt;5)),1,0)</f>
        <v>0</v>
      </c>
      <c r="AA1249" s="9" t="n">
        <f aca="false">IF(AND(M1249&lt;&gt;"",OR(M1249&lt;5,M1249&gt;180)),1,0)</f>
        <v>0</v>
      </c>
      <c r="AB1249" s="7" t="str">
        <f aca="false">IF(P1249="DUP","Exact duplicate row",IF(T1249=1,"Missing Order ID",IF(S1249="DROP","Duplicate Order ID (less complete row)",IF(U1249=1,"Missing Customer ID",IF(V1249=1,"Missing Restaurant name",IF(W1249=1,"Invalid/outlier quantity",IF(X1249=1,"Invalid/outlier unit price",IF(Y1249=1,"Discount greater than order value",""))))))))</f>
        <v/>
      </c>
      <c r="AC1249" s="7" t="str">
        <f aca="false">IF(AB1249="","KEEP","DROP")</f>
        <v>KEEP</v>
      </c>
      <c r="AD1249" s="7" t="str">
        <f aca="false">IF(TRIM(F1249)="",IFERROR(INDEX(Map_Tables!$I$4:$I$37,MATCH(TRIM(E1249),Map_Tables!$G$4:$G$37,0)),""),IFERROR(INDEX(Map_Tables!$B$4:$B$18,MATCH(TRIM(F1249),Map_Tables!$A$4:$A$18,0)),"CHECK"))</f>
        <v>Ahmedabad</v>
      </c>
      <c r="AE1249" s="7" t="str">
        <f aca="false">IF(TRIM(E1249)="","",IFERROR(INDEX(Map_Tables!$H$4:$H$37,MATCH(TRIM(E1249),Map_Tables!$G$4:$G$37,0)),"CHECK"))</f>
        <v>Fit Fuel Kitchen</v>
      </c>
      <c r="AF1249" s="7" t="str">
        <f aca="false">IF(TRIM(K1249)="","Unknown",IFERROR(INDEX(Map_Tables!$E$4:$E$15,MATCH(TRIM(K1249),Map_Tables!$D$4:$D$15,0)),"CHECK"))</f>
        <v>UPI</v>
      </c>
      <c r="AG1249" s="7" t="str">
        <f aca="false">IF(LEFT(LOWER(TRIM(L1249)),6)="cancel","Cancelled","Delivered")</f>
        <v>Delivered</v>
      </c>
      <c r="AH1249" s="10" t="n">
        <f aca="false">IF(ISNUMBER(SEARCH("/",B1249)),DATE(VALUE(RIGHT(B1249,4)),VALUE(MID(B1249,4,2)),VALUE(LEFT(B1249,2))),IF(MID(B1249,5,1)="-",DATE(VALUE(LEFT(B1249,4)),VALUE(MID(B1249,6,2)),VALUE(RIGHT(B1249,2))),DATE(VALUE(RIGHT(B1249,4)),MATCH(MID(B1249,4,3),{"Jan","Feb","Mar","Apr","May","Jun","Jul","Aug","Sep","Oct","Nov","Dec"},0),VALUE(LEFT(B1249,2)))))</f>
        <v>46020</v>
      </c>
    </row>
    <row r="1250" customFormat="false" ht="15" hidden="false" customHeight="false" outlineLevel="0" collapsed="false">
      <c r="A1250" s="7" t="s">
        <v>3490</v>
      </c>
      <c r="B1250" s="7" t="s">
        <v>2270</v>
      </c>
      <c r="C1250" s="7" t="s">
        <v>3491</v>
      </c>
      <c r="D1250" s="7" t="s">
        <v>3492</v>
      </c>
      <c r="E1250" s="7" t="s">
        <v>158</v>
      </c>
      <c r="F1250" s="7" t="s">
        <v>136</v>
      </c>
      <c r="G1250" s="7" t="s">
        <v>139</v>
      </c>
      <c r="H1250" s="7" t="n">
        <v>40</v>
      </c>
      <c r="I1250" s="7" t="n">
        <v>205</v>
      </c>
      <c r="J1250" s="7" t="n">
        <v>0</v>
      </c>
      <c r="K1250" s="7" t="s">
        <v>88</v>
      </c>
      <c r="L1250" s="7" t="s">
        <v>238</v>
      </c>
      <c r="M1250" s="7"/>
      <c r="N1250" s="7"/>
      <c r="O1250" s="7" t="str">
        <f aca="false">A1250&amp;"|"&amp;B1250&amp;"|"&amp;C1250&amp;"|"&amp;D1250&amp;"|"&amp;E1250&amp;"|"&amp;F1250&amp;"|"&amp;G1250&amp;"|"&amp;H1250&amp;"|"&amp;I1250&amp;"|"&amp;J1250&amp;"|"&amp;K1250&amp;"|"&amp;L1250&amp;"|"&amp;M1250&amp;"|"&amp;N1250</f>
        <v>ORD12934|2025-12-24|14:35|C0180|Pune Burger Hub|Pune|Burgers|40|205|0|UPI|Cancelled||</v>
      </c>
      <c r="P1250" s="7" t="str">
        <f aca="false">IF(COUNTIF($O$2:O1250,O1250)&gt;1,"DUP","OK")</f>
        <v>OK</v>
      </c>
      <c r="Q1250" s="7" t="n">
        <f aca="false">COUNTBLANK(A1250:N1250)</f>
        <v>2</v>
      </c>
      <c r="R1250" s="7" t="n">
        <f aca="false">IF(A1250="",0,COUNTIFS($A$2:$A$3058,A1250,$P$2:$P$3058,"OK"))</f>
        <v>1</v>
      </c>
      <c r="S1250" s="7" t="str">
        <f aca="false">IF(OR(A1250="",P1250="DUP",R1250&lt;2),"",IF(Q1250=_xlfn.MINIFS($Q$2:$Q$3058,$A$2:$A$3058,A1250,$P$2:$P$3058,"OK"),"KEEP","DROP"))</f>
        <v/>
      </c>
      <c r="T1250" s="9" t="n">
        <f aca="false">IF(A1250="",1,0)</f>
        <v>0</v>
      </c>
      <c r="U1250" s="9" t="n">
        <f aca="false">IF(D1250="",1,0)</f>
        <v>0</v>
      </c>
      <c r="V1250" s="9" t="n">
        <f aca="false">IF(E1250="",1,0)</f>
        <v>0</v>
      </c>
      <c r="W1250" s="9" t="n">
        <f aca="false">IF(OR(H1250&lt;1,H1250&gt;10),1,0)</f>
        <v>1</v>
      </c>
      <c r="X1250" s="9" t="n">
        <f aca="false">IF(OR(I1250&lt;=0,I1250&gt;1500),1,0)</f>
        <v>0</v>
      </c>
      <c r="Y1250" s="9" t="n">
        <f aca="false">IF(J1250&gt;H1250*I1250,1,0)</f>
        <v>0</v>
      </c>
      <c r="Z1250" s="9" t="n">
        <f aca="false">IF(AND(N1250&lt;&gt;"",OR(N1250&lt;1,N1250&gt;5)),1,0)</f>
        <v>0</v>
      </c>
      <c r="AA1250" s="9" t="n">
        <f aca="false">IF(AND(M1250&lt;&gt;"",OR(M1250&lt;5,M1250&gt;180)),1,0)</f>
        <v>0</v>
      </c>
      <c r="AB1250" s="7" t="str">
        <f aca="false">IF(P1250="DUP","Exact duplicate row",IF(T1250=1,"Missing Order ID",IF(S1250="DROP","Duplicate Order ID (less complete row)",IF(U1250=1,"Missing Customer ID",IF(V1250=1,"Missing Restaurant name",IF(W1250=1,"Invalid/outlier quantity",IF(X1250=1,"Invalid/outlier unit price",IF(Y1250=1,"Discount greater than order value",""))))))))</f>
        <v>Invalid/outlier quantity</v>
      </c>
      <c r="AC1250" s="7" t="str">
        <f aca="false">IF(AB1250="","KEEP","DROP")</f>
        <v>DROP</v>
      </c>
      <c r="AD1250" s="7" t="str">
        <f aca="false">IF(TRIM(F1250)="",IFERROR(INDEX(Map_Tables!$I$4:$I$37,MATCH(TRIM(E1250),Map_Tables!$G$4:$G$37,0)),""),IFERROR(INDEX(Map_Tables!$B$4:$B$18,MATCH(TRIM(F1250),Map_Tables!$A$4:$A$18,0)),"CHECK"))</f>
        <v>Pune</v>
      </c>
      <c r="AE1250" s="7" t="str">
        <f aca="false">IF(TRIM(E1250)="","",IFERROR(INDEX(Map_Tables!$H$4:$H$37,MATCH(TRIM(E1250),Map_Tables!$G$4:$G$37,0)),"CHECK"))</f>
        <v>Pune Burger Hub</v>
      </c>
      <c r="AF1250" s="7" t="str">
        <f aca="false">IF(TRIM(K1250)="","Unknown",IFERROR(INDEX(Map_Tables!$E$4:$E$15,MATCH(TRIM(K1250),Map_Tables!$D$4:$D$15,0)),"CHECK"))</f>
        <v>UPI</v>
      </c>
      <c r="AG1250" s="7" t="str">
        <f aca="false">IF(LEFT(LOWER(TRIM(L1250)),6)="cancel","Cancelled","Delivered")</f>
        <v>Cancelled</v>
      </c>
      <c r="AH1250" s="10" t="n">
        <f aca="false">IF(ISNUMBER(SEARCH("/",B1250)),DATE(VALUE(RIGHT(B1250,4)),VALUE(MID(B1250,4,2)),VALUE(LEFT(B1250,2))),IF(MID(B1250,5,1)="-",DATE(VALUE(LEFT(B1250,4)),VALUE(MID(B1250,6,2)),VALUE(RIGHT(B1250,2))),DATE(VALUE(RIGHT(B1250,4)),MATCH(MID(B1250,4,3),{"Jan","Feb","Mar","Apr","May","Jun","Jul","Aug","Sep","Oct","Nov","Dec"},0),VALUE(LEFT(B1250,2)))))</f>
        <v>46015</v>
      </c>
    </row>
    <row r="1251" customFormat="false" ht="15" hidden="false" customHeight="false" outlineLevel="0" collapsed="false">
      <c r="A1251" s="7" t="s">
        <v>3493</v>
      </c>
      <c r="B1251" s="7" t="s">
        <v>1429</v>
      </c>
      <c r="C1251" s="7" t="s">
        <v>1699</v>
      </c>
      <c r="D1251" s="7" t="s">
        <v>3494</v>
      </c>
      <c r="E1251" s="7" t="s">
        <v>94</v>
      </c>
      <c r="F1251" s="7" t="s">
        <v>729</v>
      </c>
      <c r="G1251" s="7" t="s">
        <v>95</v>
      </c>
      <c r="H1251" s="7" t="n">
        <v>5</v>
      </c>
      <c r="I1251" s="7" t="n">
        <v>130</v>
      </c>
      <c r="J1251" s="7" t="n">
        <v>0</v>
      </c>
      <c r="K1251" s="7" t="s">
        <v>88</v>
      </c>
      <c r="L1251" s="7" t="s">
        <v>194</v>
      </c>
      <c r="M1251" s="7" t="n">
        <v>40</v>
      </c>
      <c r="N1251" s="7" t="n">
        <v>3</v>
      </c>
      <c r="O1251" s="7" t="str">
        <f aca="false">A1251&amp;"|"&amp;B1251&amp;"|"&amp;C1251&amp;"|"&amp;D1251&amp;"|"&amp;E1251&amp;"|"&amp;F1251&amp;"|"&amp;G1251&amp;"|"&amp;H1251&amp;"|"&amp;I1251&amp;"|"&amp;J1251&amp;"|"&amp;K1251&amp;"|"&amp;L1251&amp;"|"&amp;M1251&amp;"|"&amp;N1251</f>
        <v>ORD12890|2025-12-20|08:11|C0439|Dosa Darbar|BENGALURU|South Indian|5|130|0|UPI|Delivered|40|3</v>
      </c>
      <c r="P1251" s="7" t="str">
        <f aca="false">IF(COUNTIF($O$2:O1251,O1251)&gt;1,"DUP","OK")</f>
        <v>OK</v>
      </c>
      <c r="Q1251" s="7" t="n">
        <f aca="false">COUNTBLANK(A1251:N1251)</f>
        <v>0</v>
      </c>
      <c r="R1251" s="7" t="n">
        <f aca="false">IF(A1251="",0,COUNTIFS($A$2:$A$3058,A1251,$P$2:$P$3058,"OK"))</f>
        <v>1</v>
      </c>
      <c r="S1251" s="7" t="str">
        <f aca="false">IF(OR(A1251="",P1251="DUP",R1251&lt;2),"",IF(Q1251=_xlfn.MINIFS($Q$2:$Q$3058,$A$2:$A$3058,A1251,$P$2:$P$3058,"OK"),"KEEP","DROP"))</f>
        <v/>
      </c>
      <c r="T1251" s="9" t="n">
        <f aca="false">IF(A1251="",1,0)</f>
        <v>0</v>
      </c>
      <c r="U1251" s="9" t="n">
        <f aca="false">IF(D1251="",1,0)</f>
        <v>0</v>
      </c>
      <c r="V1251" s="9" t="n">
        <f aca="false">IF(E1251="",1,0)</f>
        <v>0</v>
      </c>
      <c r="W1251" s="9" t="n">
        <f aca="false">IF(OR(H1251&lt;1,H1251&gt;10),1,0)</f>
        <v>0</v>
      </c>
      <c r="X1251" s="9" t="n">
        <f aca="false">IF(OR(I1251&lt;=0,I1251&gt;1500),1,0)</f>
        <v>0</v>
      </c>
      <c r="Y1251" s="9" t="n">
        <f aca="false">IF(J1251&gt;H1251*I1251,1,0)</f>
        <v>0</v>
      </c>
      <c r="Z1251" s="9" t="n">
        <f aca="false">IF(AND(N1251&lt;&gt;"",OR(N1251&lt;1,N1251&gt;5)),1,0)</f>
        <v>0</v>
      </c>
      <c r="AA1251" s="9" t="n">
        <f aca="false">IF(AND(M1251&lt;&gt;"",OR(M1251&lt;5,M1251&gt;180)),1,0)</f>
        <v>0</v>
      </c>
      <c r="AB1251" s="7" t="str">
        <f aca="false">IF(P1251="DUP","Exact duplicate row",IF(T1251=1,"Missing Order ID",IF(S1251="DROP","Duplicate Order ID (less complete row)",IF(U1251=1,"Missing Customer ID",IF(V1251=1,"Missing Restaurant name",IF(W1251=1,"Invalid/outlier quantity",IF(X1251=1,"Invalid/outlier unit price",IF(Y1251=1,"Discount greater than order value",""))))))))</f>
        <v/>
      </c>
      <c r="AC1251" s="7" t="str">
        <f aca="false">IF(AB1251="","KEEP","DROP")</f>
        <v>KEEP</v>
      </c>
      <c r="AD1251" s="7" t="str">
        <f aca="false">IF(TRIM(F1251)="",IFERROR(INDEX(Map_Tables!$I$4:$I$37,MATCH(TRIM(E1251),Map_Tables!$G$4:$G$37,0)),""),IFERROR(INDEX(Map_Tables!$B$4:$B$18,MATCH(TRIM(F1251),Map_Tables!$A$4:$A$18,0)),"CHECK"))</f>
        <v>Bengaluru</v>
      </c>
      <c r="AE1251" s="7" t="str">
        <f aca="false">IF(TRIM(E1251)="","",IFERROR(INDEX(Map_Tables!$H$4:$H$37,MATCH(TRIM(E1251),Map_Tables!$G$4:$G$37,0)),"CHECK"))</f>
        <v>Dosa Darbar</v>
      </c>
      <c r="AF1251" s="7" t="str">
        <f aca="false">IF(TRIM(K1251)="","Unknown",IFERROR(INDEX(Map_Tables!$E$4:$E$15,MATCH(TRIM(K1251),Map_Tables!$D$4:$D$15,0)),"CHECK"))</f>
        <v>UPI</v>
      </c>
      <c r="AG1251" s="7" t="str">
        <f aca="false">IF(LEFT(LOWER(TRIM(L1251)),6)="cancel","Cancelled","Delivered")</f>
        <v>Delivered</v>
      </c>
      <c r="AH1251" s="10" t="n">
        <f aca="false">IF(ISNUMBER(SEARCH("/",B1251)),DATE(VALUE(RIGHT(B1251,4)),VALUE(MID(B1251,4,2)),VALUE(LEFT(B1251,2))),IF(MID(B1251,5,1)="-",DATE(VALUE(LEFT(B1251,4)),VALUE(MID(B1251,6,2)),VALUE(RIGHT(B1251,2))),DATE(VALUE(RIGHT(B1251,4)),MATCH(MID(B1251,4,3),{"Jan","Feb","Mar","Apr","May","Jun","Jul","Aug","Sep","Oct","Nov","Dec"},0),VALUE(LEFT(B1251,2)))))</f>
        <v>46011</v>
      </c>
    </row>
    <row r="1252" customFormat="false" ht="15" hidden="false" customHeight="false" outlineLevel="0" collapsed="false">
      <c r="A1252" s="7" t="s">
        <v>3495</v>
      </c>
      <c r="B1252" s="7" t="s">
        <v>1500</v>
      </c>
      <c r="C1252" s="7" t="s">
        <v>3496</v>
      </c>
      <c r="D1252" s="7" t="s">
        <v>2577</v>
      </c>
      <c r="E1252" s="7" t="s">
        <v>116</v>
      </c>
      <c r="F1252" s="7" t="s">
        <v>101</v>
      </c>
      <c r="G1252" s="7" t="s">
        <v>117</v>
      </c>
      <c r="H1252" s="7" t="n">
        <v>3</v>
      </c>
      <c r="I1252" s="7" t="n">
        <v>150</v>
      </c>
      <c r="J1252" s="7" t="n">
        <v>0</v>
      </c>
      <c r="K1252" s="7" t="s">
        <v>88</v>
      </c>
      <c r="L1252" s="7" t="s">
        <v>194</v>
      </c>
      <c r="M1252" s="7" t="n">
        <v>47</v>
      </c>
      <c r="N1252" s="7" t="n">
        <v>5</v>
      </c>
      <c r="O1252" s="7" t="str">
        <f aca="false">A1252&amp;"|"&amp;B1252&amp;"|"&amp;C1252&amp;"|"&amp;D1252&amp;"|"&amp;E1252&amp;"|"&amp;F1252&amp;"|"&amp;G1252&amp;"|"&amp;H1252&amp;"|"&amp;I1252&amp;"|"&amp;J1252&amp;"|"&amp;K1252&amp;"|"&amp;L1252&amp;"|"&amp;M1252&amp;"|"&amp;N1252</f>
        <v>ORD11652|2025-08-04|10:32|C0705|Pav Bhaji Point|Mumbai|Street Food|3|150|0|UPI|Delivered|47|5</v>
      </c>
      <c r="P1252" s="7" t="str">
        <f aca="false">IF(COUNTIF($O$2:O1252,O1252)&gt;1,"DUP","OK")</f>
        <v>OK</v>
      </c>
      <c r="Q1252" s="7" t="n">
        <f aca="false">COUNTBLANK(A1252:N1252)</f>
        <v>0</v>
      </c>
      <c r="R1252" s="7" t="n">
        <f aca="false">IF(A1252="",0,COUNTIFS($A$2:$A$3058,A1252,$P$2:$P$3058,"OK"))</f>
        <v>1</v>
      </c>
      <c r="S1252" s="7" t="str">
        <f aca="false">IF(OR(A1252="",P1252="DUP",R1252&lt;2),"",IF(Q1252=_xlfn.MINIFS($Q$2:$Q$3058,$A$2:$A$3058,A1252,$P$2:$P$3058,"OK"),"KEEP","DROP"))</f>
        <v/>
      </c>
      <c r="T1252" s="9" t="n">
        <f aca="false">IF(A1252="",1,0)</f>
        <v>0</v>
      </c>
      <c r="U1252" s="9" t="n">
        <f aca="false">IF(D1252="",1,0)</f>
        <v>0</v>
      </c>
      <c r="V1252" s="9" t="n">
        <f aca="false">IF(E1252="",1,0)</f>
        <v>0</v>
      </c>
      <c r="W1252" s="9" t="n">
        <f aca="false">IF(OR(H1252&lt;1,H1252&gt;10),1,0)</f>
        <v>0</v>
      </c>
      <c r="X1252" s="9" t="n">
        <f aca="false">IF(OR(I1252&lt;=0,I1252&gt;1500),1,0)</f>
        <v>0</v>
      </c>
      <c r="Y1252" s="9" t="n">
        <f aca="false">IF(J1252&gt;H1252*I1252,1,0)</f>
        <v>0</v>
      </c>
      <c r="Z1252" s="9" t="n">
        <f aca="false">IF(AND(N1252&lt;&gt;"",OR(N1252&lt;1,N1252&gt;5)),1,0)</f>
        <v>0</v>
      </c>
      <c r="AA1252" s="9" t="n">
        <f aca="false">IF(AND(M1252&lt;&gt;"",OR(M1252&lt;5,M1252&gt;180)),1,0)</f>
        <v>0</v>
      </c>
      <c r="AB1252" s="7" t="str">
        <f aca="false">IF(P1252="DUP","Exact duplicate row",IF(T1252=1,"Missing Order ID",IF(S1252="DROP","Duplicate Order ID (less complete row)",IF(U1252=1,"Missing Customer ID",IF(V1252=1,"Missing Restaurant name",IF(W1252=1,"Invalid/outlier quantity",IF(X1252=1,"Invalid/outlier unit price",IF(Y1252=1,"Discount greater than order value",""))))))))</f>
        <v/>
      </c>
      <c r="AC1252" s="7" t="str">
        <f aca="false">IF(AB1252="","KEEP","DROP")</f>
        <v>KEEP</v>
      </c>
      <c r="AD1252" s="7" t="str">
        <f aca="false">IF(TRIM(F1252)="",IFERROR(INDEX(Map_Tables!$I$4:$I$37,MATCH(TRIM(E1252),Map_Tables!$G$4:$G$37,0)),""),IFERROR(INDEX(Map_Tables!$B$4:$B$18,MATCH(TRIM(F1252),Map_Tables!$A$4:$A$18,0)),"CHECK"))</f>
        <v>Mumbai</v>
      </c>
      <c r="AE1252" s="7" t="str">
        <f aca="false">IF(TRIM(E1252)="","",IFERROR(INDEX(Map_Tables!$H$4:$H$37,MATCH(TRIM(E1252),Map_Tables!$G$4:$G$37,0)),"CHECK"))</f>
        <v>Pav Bhaji Point</v>
      </c>
      <c r="AF1252" s="7" t="str">
        <f aca="false">IF(TRIM(K1252)="","Unknown",IFERROR(INDEX(Map_Tables!$E$4:$E$15,MATCH(TRIM(K1252),Map_Tables!$D$4:$D$15,0)),"CHECK"))</f>
        <v>UPI</v>
      </c>
      <c r="AG1252" s="7" t="str">
        <f aca="false">IF(LEFT(LOWER(TRIM(L1252)),6)="cancel","Cancelled","Delivered")</f>
        <v>Delivered</v>
      </c>
      <c r="AH1252" s="10" t="n">
        <f aca="false">IF(ISNUMBER(SEARCH("/",B1252)),DATE(VALUE(RIGHT(B1252,4)),VALUE(MID(B1252,4,2)),VALUE(LEFT(B1252,2))),IF(MID(B1252,5,1)="-",DATE(VALUE(LEFT(B1252,4)),VALUE(MID(B1252,6,2)),VALUE(RIGHT(B1252,2))),DATE(VALUE(RIGHT(B1252,4)),MATCH(MID(B1252,4,3),{"Jan","Feb","Mar","Apr","May","Jun","Jul","Aug","Sep","Oct","Nov","Dec"},0),VALUE(LEFT(B1252,2)))))</f>
        <v>45873</v>
      </c>
    </row>
    <row r="1253" customFormat="false" ht="15" hidden="false" customHeight="false" outlineLevel="0" collapsed="false">
      <c r="A1253" s="7" t="s">
        <v>3497</v>
      </c>
      <c r="B1253" s="7" t="s">
        <v>1144</v>
      </c>
      <c r="C1253" s="7" t="s">
        <v>3259</v>
      </c>
      <c r="D1253" s="7" t="s">
        <v>810</v>
      </c>
      <c r="E1253" s="7" t="s">
        <v>142</v>
      </c>
      <c r="F1253" s="7" t="s">
        <v>110</v>
      </c>
      <c r="G1253" s="7" t="s">
        <v>105</v>
      </c>
      <c r="H1253" s="7" t="n">
        <v>2</v>
      </c>
      <c r="I1253" s="7" t="n">
        <v>145</v>
      </c>
      <c r="J1253" s="7" t="n">
        <v>50</v>
      </c>
      <c r="K1253" s="7" t="s">
        <v>88</v>
      </c>
      <c r="L1253" s="7" t="s">
        <v>194</v>
      </c>
      <c r="M1253" s="7" t="n">
        <v>35</v>
      </c>
      <c r="N1253" s="7"/>
      <c r="O1253" s="7" t="str">
        <f aca="false">A1253&amp;"|"&amp;B1253&amp;"|"&amp;C1253&amp;"|"&amp;D1253&amp;"|"&amp;E1253&amp;"|"&amp;F1253&amp;"|"&amp;G1253&amp;"|"&amp;H1253&amp;"|"&amp;I1253&amp;"|"&amp;J1253&amp;"|"&amp;K1253&amp;"|"&amp;L1253&amp;"|"&amp;M1253&amp;"|"&amp;N1253</f>
        <v>ORD11429|2025-07-05|11:57|C0647|Momo Magic|Delhi|Chinese|2|145|50|UPI|Delivered|35|</v>
      </c>
      <c r="P1253" s="7" t="str">
        <f aca="false">IF(COUNTIF($O$2:O1253,O1253)&gt;1,"DUP","OK")</f>
        <v>OK</v>
      </c>
      <c r="Q1253" s="7" t="n">
        <f aca="false">COUNTBLANK(A1253:N1253)</f>
        <v>1</v>
      </c>
      <c r="R1253" s="7" t="n">
        <f aca="false">IF(A1253="",0,COUNTIFS($A$2:$A$3058,A1253,$P$2:$P$3058,"OK"))</f>
        <v>1</v>
      </c>
      <c r="S1253" s="7" t="str">
        <f aca="false">IF(OR(A1253="",P1253="DUP",R1253&lt;2),"",IF(Q1253=_xlfn.MINIFS($Q$2:$Q$3058,$A$2:$A$3058,A1253,$P$2:$P$3058,"OK"),"KEEP","DROP"))</f>
        <v/>
      </c>
      <c r="T1253" s="9" t="n">
        <f aca="false">IF(A1253="",1,0)</f>
        <v>0</v>
      </c>
      <c r="U1253" s="9" t="n">
        <f aca="false">IF(D1253="",1,0)</f>
        <v>0</v>
      </c>
      <c r="V1253" s="9" t="n">
        <f aca="false">IF(E1253="",1,0)</f>
        <v>0</v>
      </c>
      <c r="W1253" s="9" t="n">
        <f aca="false">IF(OR(H1253&lt;1,H1253&gt;10),1,0)</f>
        <v>0</v>
      </c>
      <c r="X1253" s="9" t="n">
        <f aca="false">IF(OR(I1253&lt;=0,I1253&gt;1500),1,0)</f>
        <v>0</v>
      </c>
      <c r="Y1253" s="9" t="n">
        <f aca="false">IF(J1253&gt;H1253*I1253,1,0)</f>
        <v>0</v>
      </c>
      <c r="Z1253" s="9" t="n">
        <f aca="false">IF(AND(N1253&lt;&gt;"",OR(N1253&lt;1,N1253&gt;5)),1,0)</f>
        <v>0</v>
      </c>
      <c r="AA1253" s="9" t="n">
        <f aca="false">IF(AND(M1253&lt;&gt;"",OR(M1253&lt;5,M1253&gt;180)),1,0)</f>
        <v>0</v>
      </c>
      <c r="AB1253" s="7" t="str">
        <f aca="false">IF(P1253="DUP","Exact duplicate row",IF(T1253=1,"Missing Order ID",IF(S1253="DROP","Duplicate Order ID (less complete row)",IF(U1253=1,"Missing Customer ID",IF(V1253=1,"Missing Restaurant name",IF(W1253=1,"Invalid/outlier quantity",IF(X1253=1,"Invalid/outlier unit price",IF(Y1253=1,"Discount greater than order value",""))))))))</f>
        <v/>
      </c>
      <c r="AC1253" s="7" t="str">
        <f aca="false">IF(AB1253="","KEEP","DROP")</f>
        <v>KEEP</v>
      </c>
      <c r="AD1253" s="7" t="str">
        <f aca="false">IF(TRIM(F1253)="",IFERROR(INDEX(Map_Tables!$I$4:$I$37,MATCH(TRIM(E1253),Map_Tables!$G$4:$G$37,0)),""),IFERROR(INDEX(Map_Tables!$B$4:$B$18,MATCH(TRIM(F1253),Map_Tables!$A$4:$A$18,0)),"CHECK"))</f>
        <v>Delhi</v>
      </c>
      <c r="AE1253" s="7" t="str">
        <f aca="false">IF(TRIM(E1253)="","",IFERROR(INDEX(Map_Tables!$H$4:$H$37,MATCH(TRIM(E1253),Map_Tables!$G$4:$G$37,0)),"CHECK"))</f>
        <v>Momo Magic</v>
      </c>
      <c r="AF1253" s="7" t="str">
        <f aca="false">IF(TRIM(K1253)="","Unknown",IFERROR(INDEX(Map_Tables!$E$4:$E$15,MATCH(TRIM(K1253),Map_Tables!$D$4:$D$15,0)),"CHECK"))</f>
        <v>UPI</v>
      </c>
      <c r="AG1253" s="7" t="str">
        <f aca="false">IF(LEFT(LOWER(TRIM(L1253)),6)="cancel","Cancelled","Delivered")</f>
        <v>Delivered</v>
      </c>
      <c r="AH1253" s="10" t="n">
        <f aca="false">IF(ISNUMBER(SEARCH("/",B1253)),DATE(VALUE(RIGHT(B1253,4)),VALUE(MID(B1253,4,2)),VALUE(LEFT(B1253,2))),IF(MID(B1253,5,1)="-",DATE(VALUE(LEFT(B1253,4)),VALUE(MID(B1253,6,2)),VALUE(RIGHT(B1253,2))),DATE(VALUE(RIGHT(B1253,4)),MATCH(MID(B1253,4,3),{"Jan","Feb","Mar","Apr","May","Jun","Jul","Aug","Sep","Oct","Nov","Dec"},0),VALUE(LEFT(B1253,2)))))</f>
        <v>45843</v>
      </c>
    </row>
    <row r="1254" customFormat="false" ht="15" hidden="false" customHeight="false" outlineLevel="0" collapsed="false">
      <c r="A1254" s="7" t="s">
        <v>3498</v>
      </c>
      <c r="B1254" s="7" t="s">
        <v>330</v>
      </c>
      <c r="C1254" s="7" t="s">
        <v>3487</v>
      </c>
      <c r="D1254" s="7" t="s">
        <v>1742</v>
      </c>
      <c r="E1254" s="7" t="s">
        <v>94</v>
      </c>
      <c r="F1254" s="7" t="s">
        <v>729</v>
      </c>
      <c r="G1254" s="7" t="s">
        <v>95</v>
      </c>
      <c r="H1254" s="7" t="n">
        <v>2</v>
      </c>
      <c r="I1254" s="7" t="n">
        <v>150</v>
      </c>
      <c r="J1254" s="7" t="n">
        <v>0</v>
      </c>
      <c r="K1254" s="7" t="s">
        <v>88</v>
      </c>
      <c r="L1254" s="7" t="s">
        <v>194</v>
      </c>
      <c r="M1254" s="7" t="n">
        <v>39</v>
      </c>
      <c r="N1254" s="7" t="n">
        <v>3</v>
      </c>
      <c r="O1254" s="7" t="str">
        <f aca="false">A1254&amp;"|"&amp;B1254&amp;"|"&amp;C1254&amp;"|"&amp;D1254&amp;"|"&amp;E1254&amp;"|"&amp;F1254&amp;"|"&amp;G1254&amp;"|"&amp;H1254&amp;"|"&amp;I1254&amp;"|"&amp;J1254&amp;"|"&amp;K1254&amp;"|"&amp;L1254&amp;"|"&amp;M1254&amp;"|"&amp;N1254</f>
        <v>ORD12840|2025-12-13|20:57|C1102|Dosa Darbar|BENGALURU|South Indian|2|150|0|UPI|Delivered|39|3</v>
      </c>
      <c r="P1254" s="7" t="str">
        <f aca="false">IF(COUNTIF($O$2:O1254,O1254)&gt;1,"DUP","OK")</f>
        <v>OK</v>
      </c>
      <c r="Q1254" s="7" t="n">
        <f aca="false">COUNTBLANK(A1254:N1254)</f>
        <v>0</v>
      </c>
      <c r="R1254" s="7" t="n">
        <f aca="false">IF(A1254="",0,COUNTIFS($A$2:$A$3058,A1254,$P$2:$P$3058,"OK"))</f>
        <v>1</v>
      </c>
      <c r="S1254" s="7" t="str">
        <f aca="false">IF(OR(A1254="",P1254="DUP",R1254&lt;2),"",IF(Q1254=_xlfn.MINIFS($Q$2:$Q$3058,$A$2:$A$3058,A1254,$P$2:$P$3058,"OK"),"KEEP","DROP"))</f>
        <v/>
      </c>
      <c r="T1254" s="9" t="n">
        <f aca="false">IF(A1254="",1,0)</f>
        <v>0</v>
      </c>
      <c r="U1254" s="9" t="n">
        <f aca="false">IF(D1254="",1,0)</f>
        <v>0</v>
      </c>
      <c r="V1254" s="9" t="n">
        <f aca="false">IF(E1254="",1,0)</f>
        <v>0</v>
      </c>
      <c r="W1254" s="9" t="n">
        <f aca="false">IF(OR(H1254&lt;1,H1254&gt;10),1,0)</f>
        <v>0</v>
      </c>
      <c r="X1254" s="9" t="n">
        <f aca="false">IF(OR(I1254&lt;=0,I1254&gt;1500),1,0)</f>
        <v>0</v>
      </c>
      <c r="Y1254" s="9" t="n">
        <f aca="false">IF(J1254&gt;H1254*I1254,1,0)</f>
        <v>0</v>
      </c>
      <c r="Z1254" s="9" t="n">
        <f aca="false">IF(AND(N1254&lt;&gt;"",OR(N1254&lt;1,N1254&gt;5)),1,0)</f>
        <v>0</v>
      </c>
      <c r="AA1254" s="9" t="n">
        <f aca="false">IF(AND(M1254&lt;&gt;"",OR(M1254&lt;5,M1254&gt;180)),1,0)</f>
        <v>0</v>
      </c>
      <c r="AB1254" s="7" t="str">
        <f aca="false">IF(P1254="DUP","Exact duplicate row",IF(T1254=1,"Missing Order ID",IF(S1254="DROP","Duplicate Order ID (less complete row)",IF(U1254=1,"Missing Customer ID",IF(V1254=1,"Missing Restaurant name",IF(W1254=1,"Invalid/outlier quantity",IF(X1254=1,"Invalid/outlier unit price",IF(Y1254=1,"Discount greater than order value",""))))))))</f>
        <v/>
      </c>
      <c r="AC1254" s="7" t="str">
        <f aca="false">IF(AB1254="","KEEP","DROP")</f>
        <v>KEEP</v>
      </c>
      <c r="AD1254" s="7" t="str">
        <f aca="false">IF(TRIM(F1254)="",IFERROR(INDEX(Map_Tables!$I$4:$I$37,MATCH(TRIM(E1254),Map_Tables!$G$4:$G$37,0)),""),IFERROR(INDEX(Map_Tables!$B$4:$B$18,MATCH(TRIM(F1254),Map_Tables!$A$4:$A$18,0)),"CHECK"))</f>
        <v>Bengaluru</v>
      </c>
      <c r="AE1254" s="7" t="str">
        <f aca="false">IF(TRIM(E1254)="","",IFERROR(INDEX(Map_Tables!$H$4:$H$37,MATCH(TRIM(E1254),Map_Tables!$G$4:$G$37,0)),"CHECK"))</f>
        <v>Dosa Darbar</v>
      </c>
      <c r="AF1254" s="7" t="str">
        <f aca="false">IF(TRIM(K1254)="","Unknown",IFERROR(INDEX(Map_Tables!$E$4:$E$15,MATCH(TRIM(K1254),Map_Tables!$D$4:$D$15,0)),"CHECK"))</f>
        <v>UPI</v>
      </c>
      <c r="AG1254" s="7" t="str">
        <f aca="false">IF(LEFT(LOWER(TRIM(L1254)),6)="cancel","Cancelled","Delivered")</f>
        <v>Delivered</v>
      </c>
      <c r="AH1254" s="10" t="n">
        <f aca="false">IF(ISNUMBER(SEARCH("/",B1254)),DATE(VALUE(RIGHT(B1254,4)),VALUE(MID(B1254,4,2)),VALUE(LEFT(B1254,2))),IF(MID(B1254,5,1)="-",DATE(VALUE(LEFT(B1254,4)),VALUE(MID(B1254,6,2)),VALUE(RIGHT(B1254,2))),DATE(VALUE(RIGHT(B1254,4)),MATCH(MID(B1254,4,3),{"Jan","Feb","Mar","Apr","May","Jun","Jul","Aug","Sep","Oct","Nov","Dec"},0),VALUE(LEFT(B1254,2)))))</f>
        <v>46004</v>
      </c>
    </row>
    <row r="1255" customFormat="false" ht="15" hidden="false" customHeight="false" outlineLevel="0" collapsed="false">
      <c r="A1255" s="7" t="s">
        <v>3499</v>
      </c>
      <c r="B1255" s="7" t="s">
        <v>1535</v>
      </c>
      <c r="C1255" s="7" t="s">
        <v>1414</v>
      </c>
      <c r="D1255" s="7" t="s">
        <v>3500</v>
      </c>
      <c r="E1255" s="7" t="s">
        <v>2702</v>
      </c>
      <c r="F1255" s="7" t="s">
        <v>110</v>
      </c>
      <c r="G1255" s="7" t="s">
        <v>139</v>
      </c>
      <c r="H1255" s="7" t="n">
        <v>2</v>
      </c>
      <c r="I1255" s="7" t="n">
        <v>200</v>
      </c>
      <c r="J1255" s="7" t="n">
        <v>0</v>
      </c>
      <c r="K1255" s="7" t="s">
        <v>88</v>
      </c>
      <c r="L1255" s="7" t="s">
        <v>194</v>
      </c>
      <c r="M1255" s="7" t="n">
        <v>38</v>
      </c>
      <c r="N1255" s="7" t="n">
        <v>5</v>
      </c>
      <c r="O1255" s="7" t="str">
        <f aca="false">A1255&amp;"|"&amp;B1255&amp;"|"&amp;C1255&amp;"|"&amp;D1255&amp;"|"&amp;E1255&amp;"|"&amp;F1255&amp;"|"&amp;G1255&amp;"|"&amp;H1255&amp;"|"&amp;I1255&amp;"|"&amp;J1255&amp;"|"&amp;K1255&amp;"|"&amp;L1255&amp;"|"&amp;M1255&amp;"|"&amp;N1255</f>
        <v>ORD12019|2025-09-18|19:24|C0252|Burger Barn |Delhi|Burgers|2|200|0|UPI|Delivered|38|5</v>
      </c>
      <c r="P1255" s="7" t="str">
        <f aca="false">IF(COUNTIF($O$2:O1255,O1255)&gt;1,"DUP","OK")</f>
        <v>OK</v>
      </c>
      <c r="Q1255" s="7" t="n">
        <f aca="false">COUNTBLANK(A1255:N1255)</f>
        <v>0</v>
      </c>
      <c r="R1255" s="7" t="n">
        <f aca="false">IF(A1255="",0,COUNTIFS($A$2:$A$3058,A1255,$P$2:$P$3058,"OK"))</f>
        <v>1</v>
      </c>
      <c r="S1255" s="7" t="str">
        <f aca="false">IF(OR(A1255="",P1255="DUP",R1255&lt;2),"",IF(Q1255=_xlfn.MINIFS($Q$2:$Q$3058,$A$2:$A$3058,A1255,$P$2:$P$3058,"OK"),"KEEP","DROP"))</f>
        <v/>
      </c>
      <c r="T1255" s="9" t="n">
        <f aca="false">IF(A1255="",1,0)</f>
        <v>0</v>
      </c>
      <c r="U1255" s="9" t="n">
        <f aca="false">IF(D1255="",1,0)</f>
        <v>0</v>
      </c>
      <c r="V1255" s="9" t="n">
        <f aca="false">IF(E1255="",1,0)</f>
        <v>0</v>
      </c>
      <c r="W1255" s="9" t="n">
        <f aca="false">IF(OR(H1255&lt;1,H1255&gt;10),1,0)</f>
        <v>0</v>
      </c>
      <c r="X1255" s="9" t="n">
        <f aca="false">IF(OR(I1255&lt;=0,I1255&gt;1500),1,0)</f>
        <v>0</v>
      </c>
      <c r="Y1255" s="9" t="n">
        <f aca="false">IF(J1255&gt;H1255*I1255,1,0)</f>
        <v>0</v>
      </c>
      <c r="Z1255" s="9" t="n">
        <f aca="false">IF(AND(N1255&lt;&gt;"",OR(N1255&lt;1,N1255&gt;5)),1,0)</f>
        <v>0</v>
      </c>
      <c r="AA1255" s="9" t="n">
        <f aca="false">IF(AND(M1255&lt;&gt;"",OR(M1255&lt;5,M1255&gt;180)),1,0)</f>
        <v>0</v>
      </c>
      <c r="AB1255" s="7" t="str">
        <f aca="false">IF(P1255="DUP","Exact duplicate row",IF(T1255=1,"Missing Order ID",IF(S1255="DROP","Duplicate Order ID (less complete row)",IF(U1255=1,"Missing Customer ID",IF(V1255=1,"Missing Restaurant name",IF(W1255=1,"Invalid/outlier quantity",IF(X1255=1,"Invalid/outlier unit price",IF(Y1255=1,"Discount greater than order value",""))))))))</f>
        <v/>
      </c>
      <c r="AC1255" s="7" t="str">
        <f aca="false">IF(AB1255="","KEEP","DROP")</f>
        <v>KEEP</v>
      </c>
      <c r="AD1255" s="7" t="str">
        <f aca="false">IF(TRIM(F1255)="",IFERROR(INDEX(Map_Tables!$I$4:$I$37,MATCH(TRIM(E1255),Map_Tables!$G$4:$G$37,0)),""),IFERROR(INDEX(Map_Tables!$B$4:$B$18,MATCH(TRIM(F1255),Map_Tables!$A$4:$A$18,0)),"CHECK"))</f>
        <v>Delhi</v>
      </c>
      <c r="AE1255" s="7" t="str">
        <f aca="false">IF(TRIM(E1255)="","",IFERROR(INDEX(Map_Tables!$H$4:$H$37,MATCH(TRIM(E1255),Map_Tables!$G$4:$G$37,0)),"CHECK"))</f>
        <v>Burger Barn</v>
      </c>
      <c r="AF1255" s="7" t="str">
        <f aca="false">IF(TRIM(K1255)="","Unknown",IFERROR(INDEX(Map_Tables!$E$4:$E$15,MATCH(TRIM(K1255),Map_Tables!$D$4:$D$15,0)),"CHECK"))</f>
        <v>UPI</v>
      </c>
      <c r="AG1255" s="7" t="str">
        <f aca="false">IF(LEFT(LOWER(TRIM(L1255)),6)="cancel","Cancelled","Delivered")</f>
        <v>Delivered</v>
      </c>
      <c r="AH1255" s="10" t="n">
        <f aca="false">IF(ISNUMBER(SEARCH("/",B1255)),DATE(VALUE(RIGHT(B1255,4)),VALUE(MID(B1255,4,2)),VALUE(LEFT(B1255,2))),IF(MID(B1255,5,1)="-",DATE(VALUE(LEFT(B1255,4)),VALUE(MID(B1255,6,2)),VALUE(RIGHT(B1255,2))),DATE(VALUE(RIGHT(B1255,4)),MATCH(MID(B1255,4,3),{"Jan","Feb","Mar","Apr","May","Jun","Jul","Aug","Sep","Oct","Nov","Dec"},0),VALUE(LEFT(B1255,2)))))</f>
        <v>45918</v>
      </c>
    </row>
    <row r="1256" customFormat="false" ht="15" hidden="false" customHeight="false" outlineLevel="0" collapsed="false">
      <c r="A1256" s="7" t="s">
        <v>3501</v>
      </c>
      <c r="B1256" s="7" t="s">
        <v>960</v>
      </c>
      <c r="C1256" s="7" t="s">
        <v>2061</v>
      </c>
      <c r="D1256" s="7" t="s">
        <v>3502</v>
      </c>
      <c r="E1256" s="7" t="s">
        <v>122</v>
      </c>
      <c r="F1256" s="7" t="s">
        <v>101</v>
      </c>
      <c r="G1256" s="7" t="s">
        <v>123</v>
      </c>
      <c r="H1256" s="7" t="n">
        <v>2</v>
      </c>
      <c r="I1256" s="7" t="n">
        <v>295</v>
      </c>
      <c r="J1256" s="7" t="n">
        <v>0</v>
      </c>
      <c r="K1256" s="7" t="s">
        <v>112</v>
      </c>
      <c r="L1256" s="7" t="s">
        <v>194</v>
      </c>
      <c r="M1256" s="7" t="n">
        <v>35</v>
      </c>
      <c r="N1256" s="7" t="n">
        <v>4</v>
      </c>
      <c r="O1256" s="7" t="str">
        <f aca="false">A1256&amp;"|"&amp;B1256&amp;"|"&amp;C1256&amp;"|"&amp;D1256&amp;"|"&amp;E1256&amp;"|"&amp;F1256&amp;"|"&amp;G1256&amp;"|"&amp;H1256&amp;"|"&amp;I1256&amp;"|"&amp;J1256&amp;"|"&amp;K1256&amp;"|"&amp;L1256&amp;"|"&amp;M1256&amp;"|"&amp;N1256</f>
        <v>ORD10933|2025-04-28|13:51|C0888|Mumbai Pizza Co|Mumbai|Pizza|2|295|0|Cash on Delivery|Delivered|35|4</v>
      </c>
      <c r="P1256" s="7" t="str">
        <f aca="false">IF(COUNTIF($O$2:O1256,O1256)&gt;1,"DUP","OK")</f>
        <v>OK</v>
      </c>
      <c r="Q1256" s="7" t="n">
        <f aca="false">COUNTBLANK(A1256:N1256)</f>
        <v>0</v>
      </c>
      <c r="R1256" s="7" t="n">
        <f aca="false">IF(A1256="",0,COUNTIFS($A$2:$A$3058,A1256,$P$2:$P$3058,"OK"))</f>
        <v>2</v>
      </c>
      <c r="S1256" s="7" t="str">
        <f aca="false">IF(OR(A1256="",P1256="DUP",R1256&lt;2),"",IF(Q1256=_xlfn.MINIFS($Q$2:$Q$3058,$A$2:$A$3058,A1256,$P$2:$P$3058,"OK"),"KEEP","DROP"))</f>
        <v>KEEP</v>
      </c>
      <c r="T1256" s="9" t="n">
        <f aca="false">IF(A1256="",1,0)</f>
        <v>0</v>
      </c>
      <c r="U1256" s="9" t="n">
        <f aca="false">IF(D1256="",1,0)</f>
        <v>0</v>
      </c>
      <c r="V1256" s="9" t="n">
        <f aca="false">IF(E1256="",1,0)</f>
        <v>0</v>
      </c>
      <c r="W1256" s="9" t="n">
        <f aca="false">IF(OR(H1256&lt;1,H1256&gt;10),1,0)</f>
        <v>0</v>
      </c>
      <c r="X1256" s="9" t="n">
        <f aca="false">IF(OR(I1256&lt;=0,I1256&gt;1500),1,0)</f>
        <v>0</v>
      </c>
      <c r="Y1256" s="9" t="n">
        <f aca="false">IF(J1256&gt;H1256*I1256,1,0)</f>
        <v>0</v>
      </c>
      <c r="Z1256" s="9" t="n">
        <f aca="false">IF(AND(N1256&lt;&gt;"",OR(N1256&lt;1,N1256&gt;5)),1,0)</f>
        <v>0</v>
      </c>
      <c r="AA1256" s="9" t="n">
        <f aca="false">IF(AND(M1256&lt;&gt;"",OR(M1256&lt;5,M1256&gt;180)),1,0)</f>
        <v>0</v>
      </c>
      <c r="AB1256" s="7" t="str">
        <f aca="false">IF(P1256="DUP","Exact duplicate row",IF(T1256=1,"Missing Order ID",IF(S1256="DROP","Duplicate Order ID (less complete row)",IF(U1256=1,"Missing Customer ID",IF(V1256=1,"Missing Restaurant name",IF(W1256=1,"Invalid/outlier quantity",IF(X1256=1,"Invalid/outlier unit price",IF(Y1256=1,"Discount greater than order value",""))))))))</f>
        <v/>
      </c>
      <c r="AC1256" s="7" t="str">
        <f aca="false">IF(AB1256="","KEEP","DROP")</f>
        <v>KEEP</v>
      </c>
      <c r="AD1256" s="7" t="str">
        <f aca="false">IF(TRIM(F1256)="",IFERROR(INDEX(Map_Tables!$I$4:$I$37,MATCH(TRIM(E1256),Map_Tables!$G$4:$G$37,0)),""),IFERROR(INDEX(Map_Tables!$B$4:$B$18,MATCH(TRIM(F1256),Map_Tables!$A$4:$A$18,0)),"CHECK"))</f>
        <v>Mumbai</v>
      </c>
      <c r="AE1256" s="7" t="str">
        <f aca="false">IF(TRIM(E1256)="","",IFERROR(INDEX(Map_Tables!$H$4:$H$37,MATCH(TRIM(E1256),Map_Tables!$G$4:$G$37,0)),"CHECK"))</f>
        <v>Mumbai Pizza Co</v>
      </c>
      <c r="AF1256" s="7" t="str">
        <f aca="false">IF(TRIM(K1256)="","Unknown",IFERROR(INDEX(Map_Tables!$E$4:$E$15,MATCH(TRIM(K1256),Map_Tables!$D$4:$D$15,0)),"CHECK"))</f>
        <v>Cash on Delivery</v>
      </c>
      <c r="AG1256" s="7" t="str">
        <f aca="false">IF(LEFT(LOWER(TRIM(L1256)),6)="cancel","Cancelled","Delivered")</f>
        <v>Delivered</v>
      </c>
      <c r="AH1256" s="10" t="n">
        <f aca="false">IF(ISNUMBER(SEARCH("/",B1256)),DATE(VALUE(RIGHT(B1256,4)),VALUE(MID(B1256,4,2)),VALUE(LEFT(B1256,2))),IF(MID(B1256,5,1)="-",DATE(VALUE(LEFT(B1256,4)),VALUE(MID(B1256,6,2)),VALUE(RIGHT(B1256,2))),DATE(VALUE(RIGHT(B1256,4)),MATCH(MID(B1256,4,3),{"Jan","Feb","Mar","Apr","May","Jun","Jul","Aug","Sep","Oct","Nov","Dec"},0),VALUE(LEFT(B1256,2)))))</f>
        <v>45775</v>
      </c>
    </row>
    <row r="1257" customFormat="false" ht="15" hidden="false" customHeight="false" outlineLevel="0" collapsed="false">
      <c r="A1257" s="7" t="s">
        <v>3503</v>
      </c>
      <c r="B1257" s="7" t="s">
        <v>3504</v>
      </c>
      <c r="C1257" s="7" t="s">
        <v>1054</v>
      </c>
      <c r="D1257" s="7" t="s">
        <v>3505</v>
      </c>
      <c r="E1257" s="7" t="s">
        <v>168</v>
      </c>
      <c r="F1257" s="7" t="s">
        <v>146</v>
      </c>
      <c r="G1257" s="7" t="s">
        <v>123</v>
      </c>
      <c r="H1257" s="7" t="n">
        <v>2</v>
      </c>
      <c r="I1257" s="7" t="n">
        <v>270</v>
      </c>
      <c r="J1257" s="7" t="n">
        <v>150</v>
      </c>
      <c r="K1257" s="7" t="s">
        <v>112</v>
      </c>
      <c r="L1257" s="7" t="s">
        <v>194</v>
      </c>
      <c r="M1257" s="7" t="n">
        <v>43</v>
      </c>
      <c r="N1257" s="7" t="n">
        <v>3</v>
      </c>
      <c r="O1257" s="7" t="str">
        <f aca="false">A1257&amp;"|"&amp;B1257&amp;"|"&amp;C1257&amp;"|"&amp;D1257&amp;"|"&amp;E1257&amp;"|"&amp;F1257&amp;"|"&amp;G1257&amp;"|"&amp;H1257&amp;"|"&amp;I1257&amp;"|"&amp;J1257&amp;"|"&amp;K1257&amp;"|"&amp;L1257&amp;"|"&amp;M1257&amp;"|"&amp;N1257</f>
        <v>ORD11671|2025-08-06|13:36|C0981|Cheesy Slice|Ahmedabad|Pizza|2|270|150|Cash on Delivery|Delivered|43|3</v>
      </c>
      <c r="P1257" s="7" t="str">
        <f aca="false">IF(COUNTIF($O$2:O1257,O1257)&gt;1,"DUP","OK")</f>
        <v>OK</v>
      </c>
      <c r="Q1257" s="7" t="n">
        <f aca="false">COUNTBLANK(A1257:N1257)</f>
        <v>0</v>
      </c>
      <c r="R1257" s="7" t="n">
        <f aca="false">IF(A1257="",0,COUNTIFS($A$2:$A$3058,A1257,$P$2:$P$3058,"OK"))</f>
        <v>1</v>
      </c>
      <c r="S1257" s="7" t="str">
        <f aca="false">IF(OR(A1257="",P1257="DUP",R1257&lt;2),"",IF(Q1257=_xlfn.MINIFS($Q$2:$Q$3058,$A$2:$A$3058,A1257,$P$2:$P$3058,"OK"),"KEEP","DROP"))</f>
        <v/>
      </c>
      <c r="T1257" s="9" t="n">
        <f aca="false">IF(A1257="",1,0)</f>
        <v>0</v>
      </c>
      <c r="U1257" s="9" t="n">
        <f aca="false">IF(D1257="",1,0)</f>
        <v>0</v>
      </c>
      <c r="V1257" s="9" t="n">
        <f aca="false">IF(E1257="",1,0)</f>
        <v>0</v>
      </c>
      <c r="W1257" s="9" t="n">
        <f aca="false">IF(OR(H1257&lt;1,H1257&gt;10),1,0)</f>
        <v>0</v>
      </c>
      <c r="X1257" s="9" t="n">
        <f aca="false">IF(OR(I1257&lt;=0,I1257&gt;1500),1,0)</f>
        <v>0</v>
      </c>
      <c r="Y1257" s="9" t="n">
        <f aca="false">IF(J1257&gt;H1257*I1257,1,0)</f>
        <v>0</v>
      </c>
      <c r="Z1257" s="9" t="n">
        <f aca="false">IF(AND(N1257&lt;&gt;"",OR(N1257&lt;1,N1257&gt;5)),1,0)</f>
        <v>0</v>
      </c>
      <c r="AA1257" s="9" t="n">
        <f aca="false">IF(AND(M1257&lt;&gt;"",OR(M1257&lt;5,M1257&gt;180)),1,0)</f>
        <v>0</v>
      </c>
      <c r="AB1257" s="7" t="str">
        <f aca="false">IF(P1257="DUP","Exact duplicate row",IF(T1257=1,"Missing Order ID",IF(S1257="DROP","Duplicate Order ID (less complete row)",IF(U1257=1,"Missing Customer ID",IF(V1257=1,"Missing Restaurant name",IF(W1257=1,"Invalid/outlier quantity",IF(X1257=1,"Invalid/outlier unit price",IF(Y1257=1,"Discount greater than order value",""))))))))</f>
        <v/>
      </c>
      <c r="AC1257" s="7" t="str">
        <f aca="false">IF(AB1257="","KEEP","DROP")</f>
        <v>KEEP</v>
      </c>
      <c r="AD1257" s="7" t="str">
        <f aca="false">IF(TRIM(F1257)="",IFERROR(INDEX(Map_Tables!$I$4:$I$37,MATCH(TRIM(E1257),Map_Tables!$G$4:$G$37,0)),""),IFERROR(INDEX(Map_Tables!$B$4:$B$18,MATCH(TRIM(F1257),Map_Tables!$A$4:$A$18,0)),"CHECK"))</f>
        <v>Ahmedabad</v>
      </c>
      <c r="AE1257" s="7" t="str">
        <f aca="false">IF(TRIM(E1257)="","",IFERROR(INDEX(Map_Tables!$H$4:$H$37,MATCH(TRIM(E1257),Map_Tables!$G$4:$G$37,0)),"CHECK"))</f>
        <v>Cheesy Slice</v>
      </c>
      <c r="AF1257" s="7" t="str">
        <f aca="false">IF(TRIM(K1257)="","Unknown",IFERROR(INDEX(Map_Tables!$E$4:$E$15,MATCH(TRIM(K1257),Map_Tables!$D$4:$D$15,0)),"CHECK"))</f>
        <v>Cash on Delivery</v>
      </c>
      <c r="AG1257" s="7" t="str">
        <f aca="false">IF(LEFT(LOWER(TRIM(L1257)),6)="cancel","Cancelled","Delivered")</f>
        <v>Delivered</v>
      </c>
      <c r="AH1257" s="10" t="n">
        <f aca="false">IF(ISNUMBER(SEARCH("/",B1257)),DATE(VALUE(RIGHT(B1257,4)),VALUE(MID(B1257,4,2)),VALUE(LEFT(B1257,2))),IF(MID(B1257,5,1)="-",DATE(VALUE(LEFT(B1257,4)),VALUE(MID(B1257,6,2)),VALUE(RIGHT(B1257,2))),DATE(VALUE(RIGHT(B1257,4)),MATCH(MID(B1257,4,3),{"Jan","Feb","Mar","Apr","May","Jun","Jul","Aug","Sep","Oct","Nov","Dec"},0),VALUE(LEFT(B1257,2)))))</f>
        <v>45875</v>
      </c>
    </row>
    <row r="1258" customFormat="false" ht="15" hidden="false" customHeight="false" outlineLevel="0" collapsed="false">
      <c r="A1258" s="7" t="s">
        <v>3506</v>
      </c>
      <c r="B1258" s="7" t="s">
        <v>735</v>
      </c>
      <c r="C1258" s="7" t="s">
        <v>361</v>
      </c>
      <c r="D1258" s="7" t="s">
        <v>3507</v>
      </c>
      <c r="E1258" s="7" t="s">
        <v>152</v>
      </c>
      <c r="F1258" s="7" t="s">
        <v>128</v>
      </c>
      <c r="G1258" s="7" t="s">
        <v>95</v>
      </c>
      <c r="H1258" s="7" t="n">
        <v>2</v>
      </c>
      <c r="I1258" s="7" t="n">
        <v>110</v>
      </c>
      <c r="J1258" s="7" t="n">
        <v>0</v>
      </c>
      <c r="K1258" s="7" t="s">
        <v>566</v>
      </c>
      <c r="L1258" s="7" t="s">
        <v>194</v>
      </c>
      <c r="M1258" s="7" t="n">
        <v>25</v>
      </c>
      <c r="N1258" s="7" t="n">
        <v>4</v>
      </c>
      <c r="O1258" s="7" t="str">
        <f aca="false">A1258&amp;"|"&amp;B1258&amp;"|"&amp;C1258&amp;"|"&amp;D1258&amp;"|"&amp;E1258&amp;"|"&amp;F1258&amp;"|"&amp;G1258&amp;"|"&amp;H1258&amp;"|"&amp;I1258&amp;"|"&amp;J1258&amp;"|"&amp;K1258&amp;"|"&amp;L1258&amp;"|"&amp;M1258&amp;"|"&amp;N1258</f>
        <v>ORD10863|2025-04-19|11:08|C0774|Filter Coffee &amp; Tiffin|Chennai|South Indian|2|110|0|NetBanking|Delivered|25|4</v>
      </c>
      <c r="P1258" s="7" t="str">
        <f aca="false">IF(COUNTIF($O$2:O1258,O1258)&gt;1,"DUP","OK")</f>
        <v>OK</v>
      </c>
      <c r="Q1258" s="7" t="n">
        <f aca="false">COUNTBLANK(A1258:N1258)</f>
        <v>0</v>
      </c>
      <c r="R1258" s="7" t="n">
        <f aca="false">IF(A1258="",0,COUNTIFS($A$2:$A$3058,A1258,$P$2:$P$3058,"OK"))</f>
        <v>1</v>
      </c>
      <c r="S1258" s="7" t="str">
        <f aca="false">IF(OR(A1258="",P1258="DUP",R1258&lt;2),"",IF(Q1258=_xlfn.MINIFS($Q$2:$Q$3058,$A$2:$A$3058,A1258,$P$2:$P$3058,"OK"),"KEEP","DROP"))</f>
        <v/>
      </c>
      <c r="T1258" s="9" t="n">
        <f aca="false">IF(A1258="",1,0)</f>
        <v>0</v>
      </c>
      <c r="U1258" s="9" t="n">
        <f aca="false">IF(D1258="",1,0)</f>
        <v>0</v>
      </c>
      <c r="V1258" s="9" t="n">
        <f aca="false">IF(E1258="",1,0)</f>
        <v>0</v>
      </c>
      <c r="W1258" s="9" t="n">
        <f aca="false">IF(OR(H1258&lt;1,H1258&gt;10),1,0)</f>
        <v>0</v>
      </c>
      <c r="X1258" s="9" t="n">
        <f aca="false">IF(OR(I1258&lt;=0,I1258&gt;1500),1,0)</f>
        <v>0</v>
      </c>
      <c r="Y1258" s="9" t="n">
        <f aca="false">IF(J1258&gt;H1258*I1258,1,0)</f>
        <v>0</v>
      </c>
      <c r="Z1258" s="9" t="n">
        <f aca="false">IF(AND(N1258&lt;&gt;"",OR(N1258&lt;1,N1258&gt;5)),1,0)</f>
        <v>0</v>
      </c>
      <c r="AA1258" s="9" t="n">
        <f aca="false">IF(AND(M1258&lt;&gt;"",OR(M1258&lt;5,M1258&gt;180)),1,0)</f>
        <v>0</v>
      </c>
      <c r="AB1258" s="7" t="str">
        <f aca="false">IF(P1258="DUP","Exact duplicate row",IF(T1258=1,"Missing Order ID",IF(S1258="DROP","Duplicate Order ID (less complete row)",IF(U1258=1,"Missing Customer ID",IF(V1258=1,"Missing Restaurant name",IF(W1258=1,"Invalid/outlier quantity",IF(X1258=1,"Invalid/outlier unit price",IF(Y1258=1,"Discount greater than order value",""))))))))</f>
        <v/>
      </c>
      <c r="AC1258" s="7" t="str">
        <f aca="false">IF(AB1258="","KEEP","DROP")</f>
        <v>KEEP</v>
      </c>
      <c r="AD1258" s="7" t="str">
        <f aca="false">IF(TRIM(F1258)="",IFERROR(INDEX(Map_Tables!$I$4:$I$37,MATCH(TRIM(E1258),Map_Tables!$G$4:$G$37,0)),""),IFERROR(INDEX(Map_Tables!$B$4:$B$18,MATCH(TRIM(F1258),Map_Tables!$A$4:$A$18,0)),"CHECK"))</f>
        <v>Chennai</v>
      </c>
      <c r="AE1258" s="7" t="str">
        <f aca="false">IF(TRIM(E1258)="","",IFERROR(INDEX(Map_Tables!$H$4:$H$37,MATCH(TRIM(E1258),Map_Tables!$G$4:$G$37,0)),"CHECK"))</f>
        <v>Filter Coffee &amp; Tiffin</v>
      </c>
      <c r="AF1258" s="7" t="str">
        <f aca="false">IF(TRIM(K1258)="","Unknown",IFERROR(INDEX(Map_Tables!$E$4:$E$15,MATCH(TRIM(K1258),Map_Tables!$D$4:$D$15,0)),"CHECK"))</f>
        <v>Net Banking</v>
      </c>
      <c r="AG1258" s="7" t="str">
        <f aca="false">IF(LEFT(LOWER(TRIM(L1258)),6)="cancel","Cancelled","Delivered")</f>
        <v>Delivered</v>
      </c>
      <c r="AH1258" s="10" t="n">
        <f aca="false">IF(ISNUMBER(SEARCH("/",B1258)),DATE(VALUE(RIGHT(B1258,4)),VALUE(MID(B1258,4,2)),VALUE(LEFT(B1258,2))),IF(MID(B1258,5,1)="-",DATE(VALUE(LEFT(B1258,4)),VALUE(MID(B1258,6,2)),VALUE(RIGHT(B1258,2))),DATE(VALUE(RIGHT(B1258,4)),MATCH(MID(B1258,4,3),{"Jan","Feb","Mar","Apr","May","Jun","Jul","Aug","Sep","Oct","Nov","Dec"},0),VALUE(LEFT(B1258,2)))))</f>
        <v>45766</v>
      </c>
    </row>
    <row r="1259" customFormat="false" ht="15" hidden="false" customHeight="false" outlineLevel="0" collapsed="false">
      <c r="A1259" s="7" t="s">
        <v>3508</v>
      </c>
      <c r="B1259" s="7" t="s">
        <v>2333</v>
      </c>
      <c r="C1259" s="7" t="s">
        <v>2033</v>
      </c>
      <c r="D1259" s="7" t="s">
        <v>1685</v>
      </c>
      <c r="E1259" s="7" t="s">
        <v>3136</v>
      </c>
      <c r="F1259" s="7" t="s">
        <v>141</v>
      </c>
      <c r="G1259" s="7" t="s">
        <v>99</v>
      </c>
      <c r="H1259" s="7" t="n">
        <v>4</v>
      </c>
      <c r="I1259" s="7" t="n">
        <v>240</v>
      </c>
      <c r="J1259" s="7" t="n">
        <v>0</v>
      </c>
      <c r="K1259" s="7" t="s">
        <v>88</v>
      </c>
      <c r="L1259" s="7" t="s">
        <v>194</v>
      </c>
      <c r="M1259" s="7" t="n">
        <v>41</v>
      </c>
      <c r="N1259" s="7" t="n">
        <v>5</v>
      </c>
      <c r="O1259" s="7" t="str">
        <f aca="false">A1259&amp;"|"&amp;B1259&amp;"|"&amp;C1259&amp;"|"&amp;D1259&amp;"|"&amp;E1259&amp;"|"&amp;F1259&amp;"|"&amp;G1259&amp;"|"&amp;H1259&amp;"|"&amp;I1259&amp;"|"&amp;J1259&amp;"|"&amp;K1259&amp;"|"&amp;L1259&amp;"|"&amp;M1259&amp;"|"&amp;N1259</f>
        <v>ORD11174|2025-05-29|19:02|C1253|Biryani Baadshah |Kolkata|Biryani|4|240|0|UPI|Delivered|41|5</v>
      </c>
      <c r="P1259" s="7" t="str">
        <f aca="false">IF(COUNTIF($O$2:O1259,O1259)&gt;1,"DUP","OK")</f>
        <v>OK</v>
      </c>
      <c r="Q1259" s="7" t="n">
        <f aca="false">COUNTBLANK(A1259:N1259)</f>
        <v>0</v>
      </c>
      <c r="R1259" s="7" t="n">
        <f aca="false">IF(A1259="",0,COUNTIFS($A$2:$A$3058,A1259,$P$2:$P$3058,"OK"))</f>
        <v>1</v>
      </c>
      <c r="S1259" s="7" t="str">
        <f aca="false">IF(OR(A1259="",P1259="DUP",R1259&lt;2),"",IF(Q1259=_xlfn.MINIFS($Q$2:$Q$3058,$A$2:$A$3058,A1259,$P$2:$P$3058,"OK"),"KEEP","DROP"))</f>
        <v/>
      </c>
      <c r="T1259" s="9" t="n">
        <f aca="false">IF(A1259="",1,0)</f>
        <v>0</v>
      </c>
      <c r="U1259" s="9" t="n">
        <f aca="false">IF(D1259="",1,0)</f>
        <v>0</v>
      </c>
      <c r="V1259" s="9" t="n">
        <f aca="false">IF(E1259="",1,0)</f>
        <v>0</v>
      </c>
      <c r="W1259" s="9" t="n">
        <f aca="false">IF(OR(H1259&lt;1,H1259&gt;10),1,0)</f>
        <v>0</v>
      </c>
      <c r="X1259" s="9" t="n">
        <f aca="false">IF(OR(I1259&lt;=0,I1259&gt;1500),1,0)</f>
        <v>0</v>
      </c>
      <c r="Y1259" s="9" t="n">
        <f aca="false">IF(J1259&gt;H1259*I1259,1,0)</f>
        <v>0</v>
      </c>
      <c r="Z1259" s="9" t="n">
        <f aca="false">IF(AND(N1259&lt;&gt;"",OR(N1259&lt;1,N1259&gt;5)),1,0)</f>
        <v>0</v>
      </c>
      <c r="AA1259" s="9" t="n">
        <f aca="false">IF(AND(M1259&lt;&gt;"",OR(M1259&lt;5,M1259&gt;180)),1,0)</f>
        <v>0</v>
      </c>
      <c r="AB1259" s="7" t="str">
        <f aca="false">IF(P1259="DUP","Exact duplicate row",IF(T1259=1,"Missing Order ID",IF(S1259="DROP","Duplicate Order ID (less complete row)",IF(U1259=1,"Missing Customer ID",IF(V1259=1,"Missing Restaurant name",IF(W1259=1,"Invalid/outlier quantity",IF(X1259=1,"Invalid/outlier unit price",IF(Y1259=1,"Discount greater than order value",""))))))))</f>
        <v/>
      </c>
      <c r="AC1259" s="7" t="str">
        <f aca="false">IF(AB1259="","KEEP","DROP")</f>
        <v>KEEP</v>
      </c>
      <c r="AD1259" s="7" t="str">
        <f aca="false">IF(TRIM(F1259)="",IFERROR(INDEX(Map_Tables!$I$4:$I$37,MATCH(TRIM(E1259),Map_Tables!$G$4:$G$37,0)),""),IFERROR(INDEX(Map_Tables!$B$4:$B$18,MATCH(TRIM(F1259),Map_Tables!$A$4:$A$18,0)),"CHECK"))</f>
        <v>Kolkata</v>
      </c>
      <c r="AE1259" s="7" t="str">
        <f aca="false">IF(TRIM(E1259)="","",IFERROR(INDEX(Map_Tables!$H$4:$H$37,MATCH(TRIM(E1259),Map_Tables!$G$4:$G$37,0)),"CHECK"))</f>
        <v>Biryani Baadshah</v>
      </c>
      <c r="AF1259" s="7" t="str">
        <f aca="false">IF(TRIM(K1259)="","Unknown",IFERROR(INDEX(Map_Tables!$E$4:$E$15,MATCH(TRIM(K1259),Map_Tables!$D$4:$D$15,0)),"CHECK"))</f>
        <v>UPI</v>
      </c>
      <c r="AG1259" s="7" t="str">
        <f aca="false">IF(LEFT(LOWER(TRIM(L1259)),6)="cancel","Cancelled","Delivered")</f>
        <v>Delivered</v>
      </c>
      <c r="AH1259" s="10" t="n">
        <f aca="false">IF(ISNUMBER(SEARCH("/",B1259)),DATE(VALUE(RIGHT(B1259,4)),VALUE(MID(B1259,4,2)),VALUE(LEFT(B1259,2))),IF(MID(B1259,5,1)="-",DATE(VALUE(LEFT(B1259,4)),VALUE(MID(B1259,6,2)),VALUE(RIGHT(B1259,2))),DATE(VALUE(RIGHT(B1259,4)),MATCH(MID(B1259,4,3),{"Jan","Feb","Mar","Apr","May","Jun","Jul","Aug","Sep","Oct","Nov","Dec"},0),VALUE(LEFT(B1259,2)))))</f>
        <v>45806</v>
      </c>
    </row>
    <row r="1260" customFormat="false" ht="15" hidden="false" customHeight="false" outlineLevel="0" collapsed="false">
      <c r="A1260" s="7" t="s">
        <v>3509</v>
      </c>
      <c r="B1260" s="7" t="s">
        <v>3156</v>
      </c>
      <c r="C1260" s="7" t="s">
        <v>3510</v>
      </c>
      <c r="D1260" s="7" t="s">
        <v>471</v>
      </c>
      <c r="E1260" s="7" t="s">
        <v>144</v>
      </c>
      <c r="F1260" s="7" t="s">
        <v>118</v>
      </c>
      <c r="G1260" s="7" t="s">
        <v>99</v>
      </c>
      <c r="H1260" s="7" t="n">
        <v>1</v>
      </c>
      <c r="I1260" s="7" t="n">
        <v>295</v>
      </c>
      <c r="J1260" s="7" t="n">
        <v>118</v>
      </c>
      <c r="K1260" s="7" t="s">
        <v>88</v>
      </c>
      <c r="L1260" s="7" t="s">
        <v>194</v>
      </c>
      <c r="M1260" s="7" t="n">
        <v>20</v>
      </c>
      <c r="N1260" s="7" t="n">
        <v>5</v>
      </c>
      <c r="O1260" s="7" t="str">
        <f aca="false">A1260&amp;"|"&amp;B1260&amp;"|"&amp;C1260&amp;"|"&amp;D1260&amp;"|"&amp;E1260&amp;"|"&amp;F1260&amp;"|"&amp;G1260&amp;"|"&amp;H1260&amp;"|"&amp;I1260&amp;"|"&amp;J1260&amp;"|"&amp;K1260&amp;"|"&amp;L1260&amp;"|"&amp;M1260&amp;"|"&amp;N1260</f>
        <v>ORD11477|2025-07-11|16:30|C0728|Hyderabad Dum Biryani|hyderabad|Biryani|1|295|118|UPI|Delivered|20|5</v>
      </c>
      <c r="P1260" s="7" t="str">
        <f aca="false">IF(COUNTIF($O$2:O1260,O1260)&gt;1,"DUP","OK")</f>
        <v>OK</v>
      </c>
      <c r="Q1260" s="7" t="n">
        <f aca="false">COUNTBLANK(A1260:N1260)</f>
        <v>0</v>
      </c>
      <c r="R1260" s="7" t="n">
        <f aca="false">IF(A1260="",0,COUNTIFS($A$2:$A$3058,A1260,$P$2:$P$3058,"OK"))</f>
        <v>1</v>
      </c>
      <c r="S1260" s="7" t="str">
        <f aca="false">IF(OR(A1260="",P1260="DUP",R1260&lt;2),"",IF(Q1260=_xlfn.MINIFS($Q$2:$Q$3058,$A$2:$A$3058,A1260,$P$2:$P$3058,"OK"),"KEEP","DROP"))</f>
        <v/>
      </c>
      <c r="T1260" s="9" t="n">
        <f aca="false">IF(A1260="",1,0)</f>
        <v>0</v>
      </c>
      <c r="U1260" s="9" t="n">
        <f aca="false">IF(D1260="",1,0)</f>
        <v>0</v>
      </c>
      <c r="V1260" s="9" t="n">
        <f aca="false">IF(E1260="",1,0)</f>
        <v>0</v>
      </c>
      <c r="W1260" s="9" t="n">
        <f aca="false">IF(OR(H1260&lt;1,H1260&gt;10),1,0)</f>
        <v>0</v>
      </c>
      <c r="X1260" s="9" t="n">
        <f aca="false">IF(OR(I1260&lt;=0,I1260&gt;1500),1,0)</f>
        <v>0</v>
      </c>
      <c r="Y1260" s="9" t="n">
        <f aca="false">IF(J1260&gt;H1260*I1260,1,0)</f>
        <v>0</v>
      </c>
      <c r="Z1260" s="9" t="n">
        <f aca="false">IF(AND(N1260&lt;&gt;"",OR(N1260&lt;1,N1260&gt;5)),1,0)</f>
        <v>0</v>
      </c>
      <c r="AA1260" s="9" t="n">
        <f aca="false">IF(AND(M1260&lt;&gt;"",OR(M1260&lt;5,M1260&gt;180)),1,0)</f>
        <v>0</v>
      </c>
      <c r="AB1260" s="7" t="str">
        <f aca="false">IF(P1260="DUP","Exact duplicate row",IF(T1260=1,"Missing Order ID",IF(S1260="DROP","Duplicate Order ID (less complete row)",IF(U1260=1,"Missing Customer ID",IF(V1260=1,"Missing Restaurant name",IF(W1260=1,"Invalid/outlier quantity",IF(X1260=1,"Invalid/outlier unit price",IF(Y1260=1,"Discount greater than order value",""))))))))</f>
        <v/>
      </c>
      <c r="AC1260" s="7" t="str">
        <f aca="false">IF(AB1260="","KEEP","DROP")</f>
        <v>KEEP</v>
      </c>
      <c r="AD1260" s="7" t="str">
        <f aca="false">IF(TRIM(F1260)="",IFERROR(INDEX(Map_Tables!$I$4:$I$37,MATCH(TRIM(E1260),Map_Tables!$G$4:$G$37,0)),""),IFERROR(INDEX(Map_Tables!$B$4:$B$18,MATCH(TRIM(F1260),Map_Tables!$A$4:$A$18,0)),"CHECK"))</f>
        <v>Hyderabad</v>
      </c>
      <c r="AE1260" s="7" t="str">
        <f aca="false">IF(TRIM(E1260)="","",IFERROR(INDEX(Map_Tables!$H$4:$H$37,MATCH(TRIM(E1260),Map_Tables!$G$4:$G$37,0)),"CHECK"))</f>
        <v>Hyderabad Dum Biryani</v>
      </c>
      <c r="AF1260" s="7" t="str">
        <f aca="false">IF(TRIM(K1260)="","Unknown",IFERROR(INDEX(Map_Tables!$E$4:$E$15,MATCH(TRIM(K1260),Map_Tables!$D$4:$D$15,0)),"CHECK"))</f>
        <v>UPI</v>
      </c>
      <c r="AG1260" s="7" t="str">
        <f aca="false">IF(LEFT(LOWER(TRIM(L1260)),6)="cancel","Cancelled","Delivered")</f>
        <v>Delivered</v>
      </c>
      <c r="AH1260" s="10" t="n">
        <f aca="false">IF(ISNUMBER(SEARCH("/",B1260)),DATE(VALUE(RIGHT(B1260,4)),VALUE(MID(B1260,4,2)),VALUE(LEFT(B1260,2))),IF(MID(B1260,5,1)="-",DATE(VALUE(LEFT(B1260,4)),VALUE(MID(B1260,6,2)),VALUE(RIGHT(B1260,2))),DATE(VALUE(RIGHT(B1260,4)),MATCH(MID(B1260,4,3),{"Jan","Feb","Mar","Apr","May","Jun","Jul","Aug","Sep","Oct","Nov","Dec"},0),VALUE(LEFT(B1260,2)))))</f>
        <v>45849</v>
      </c>
    </row>
    <row r="1261" customFormat="false" ht="15" hidden="false" customHeight="false" outlineLevel="0" collapsed="false">
      <c r="A1261" s="7" t="s">
        <v>3511</v>
      </c>
      <c r="B1261" s="7" t="s">
        <v>309</v>
      </c>
      <c r="C1261" s="7" t="s">
        <v>3512</v>
      </c>
      <c r="D1261" s="7" t="s">
        <v>3513</v>
      </c>
      <c r="E1261" s="7" t="s">
        <v>89</v>
      </c>
      <c r="F1261" s="7" t="s">
        <v>86</v>
      </c>
      <c r="G1261" s="7" t="s">
        <v>90</v>
      </c>
      <c r="H1261" s="7" t="n">
        <v>3</v>
      </c>
      <c r="I1261" s="7" t="n">
        <v>250</v>
      </c>
      <c r="J1261" s="7" t="n">
        <v>40</v>
      </c>
      <c r="K1261" s="7" t="s">
        <v>93</v>
      </c>
      <c r="L1261" s="7" t="s">
        <v>194</v>
      </c>
      <c r="M1261" s="7" t="n">
        <v>40</v>
      </c>
      <c r="N1261" s="7" t="n">
        <v>4</v>
      </c>
      <c r="O1261" s="7" t="str">
        <f aca="false">A1261&amp;"|"&amp;B1261&amp;"|"&amp;C1261&amp;"|"&amp;D1261&amp;"|"&amp;E1261&amp;"|"&amp;F1261&amp;"|"&amp;G1261&amp;"|"&amp;H1261&amp;"|"&amp;I1261&amp;"|"&amp;J1261&amp;"|"&amp;K1261&amp;"|"&amp;L1261&amp;"|"&amp;M1261&amp;"|"&amp;N1261</f>
        <v>ORD12821|2025-12-11|19:32|C0104|Spice Junction|Bengaluru|North Indian|3|250|40|Credit Card|Delivered|40|4</v>
      </c>
      <c r="P1261" s="7" t="str">
        <f aca="false">IF(COUNTIF($O$2:O1261,O1261)&gt;1,"DUP","OK")</f>
        <v>OK</v>
      </c>
      <c r="Q1261" s="7" t="n">
        <f aca="false">COUNTBLANK(A1261:N1261)</f>
        <v>0</v>
      </c>
      <c r="R1261" s="7" t="n">
        <f aca="false">IF(A1261="",0,COUNTIFS($A$2:$A$3058,A1261,$P$2:$P$3058,"OK"))</f>
        <v>1</v>
      </c>
      <c r="S1261" s="7" t="str">
        <f aca="false">IF(OR(A1261="",P1261="DUP",R1261&lt;2),"",IF(Q1261=_xlfn.MINIFS($Q$2:$Q$3058,$A$2:$A$3058,A1261,$P$2:$P$3058,"OK"),"KEEP","DROP"))</f>
        <v/>
      </c>
      <c r="T1261" s="9" t="n">
        <f aca="false">IF(A1261="",1,0)</f>
        <v>0</v>
      </c>
      <c r="U1261" s="9" t="n">
        <f aca="false">IF(D1261="",1,0)</f>
        <v>0</v>
      </c>
      <c r="V1261" s="9" t="n">
        <f aca="false">IF(E1261="",1,0)</f>
        <v>0</v>
      </c>
      <c r="W1261" s="9" t="n">
        <f aca="false">IF(OR(H1261&lt;1,H1261&gt;10),1,0)</f>
        <v>0</v>
      </c>
      <c r="X1261" s="9" t="n">
        <f aca="false">IF(OR(I1261&lt;=0,I1261&gt;1500),1,0)</f>
        <v>0</v>
      </c>
      <c r="Y1261" s="9" t="n">
        <f aca="false">IF(J1261&gt;H1261*I1261,1,0)</f>
        <v>0</v>
      </c>
      <c r="Z1261" s="9" t="n">
        <f aca="false">IF(AND(N1261&lt;&gt;"",OR(N1261&lt;1,N1261&gt;5)),1,0)</f>
        <v>0</v>
      </c>
      <c r="AA1261" s="9" t="n">
        <f aca="false">IF(AND(M1261&lt;&gt;"",OR(M1261&lt;5,M1261&gt;180)),1,0)</f>
        <v>0</v>
      </c>
      <c r="AB1261" s="7" t="str">
        <f aca="false">IF(P1261="DUP","Exact duplicate row",IF(T1261=1,"Missing Order ID",IF(S1261="DROP","Duplicate Order ID (less complete row)",IF(U1261=1,"Missing Customer ID",IF(V1261=1,"Missing Restaurant name",IF(W1261=1,"Invalid/outlier quantity",IF(X1261=1,"Invalid/outlier unit price",IF(Y1261=1,"Discount greater than order value",""))))))))</f>
        <v/>
      </c>
      <c r="AC1261" s="7" t="str">
        <f aca="false">IF(AB1261="","KEEP","DROP")</f>
        <v>KEEP</v>
      </c>
      <c r="AD1261" s="7" t="str">
        <f aca="false">IF(TRIM(F1261)="",IFERROR(INDEX(Map_Tables!$I$4:$I$37,MATCH(TRIM(E1261),Map_Tables!$G$4:$G$37,0)),""),IFERROR(INDEX(Map_Tables!$B$4:$B$18,MATCH(TRIM(F1261),Map_Tables!$A$4:$A$18,0)),"CHECK"))</f>
        <v>Bengaluru</v>
      </c>
      <c r="AE1261" s="7" t="str">
        <f aca="false">IF(TRIM(E1261)="","",IFERROR(INDEX(Map_Tables!$H$4:$H$37,MATCH(TRIM(E1261),Map_Tables!$G$4:$G$37,0)),"CHECK"))</f>
        <v>Spice Junction</v>
      </c>
      <c r="AF1261" s="7" t="str">
        <f aca="false">IF(TRIM(K1261)="","Unknown",IFERROR(INDEX(Map_Tables!$E$4:$E$15,MATCH(TRIM(K1261),Map_Tables!$D$4:$D$15,0)),"CHECK"))</f>
        <v>Credit Card</v>
      </c>
      <c r="AG1261" s="7" t="str">
        <f aca="false">IF(LEFT(LOWER(TRIM(L1261)),6)="cancel","Cancelled","Delivered")</f>
        <v>Delivered</v>
      </c>
      <c r="AH1261" s="10" t="n">
        <f aca="false">IF(ISNUMBER(SEARCH("/",B1261)),DATE(VALUE(RIGHT(B1261,4)),VALUE(MID(B1261,4,2)),VALUE(LEFT(B1261,2))),IF(MID(B1261,5,1)="-",DATE(VALUE(LEFT(B1261,4)),VALUE(MID(B1261,6,2)),VALUE(RIGHT(B1261,2))),DATE(VALUE(RIGHT(B1261,4)),MATCH(MID(B1261,4,3),{"Jan","Feb","Mar","Apr","May","Jun","Jul","Aug","Sep","Oct","Nov","Dec"},0),VALUE(LEFT(B1261,2)))))</f>
        <v>46002</v>
      </c>
    </row>
    <row r="1262" customFormat="false" ht="15" hidden="false" customHeight="false" outlineLevel="0" collapsed="false">
      <c r="A1262" s="7" t="s">
        <v>3514</v>
      </c>
      <c r="B1262" s="7" t="s">
        <v>2090</v>
      </c>
      <c r="C1262" s="7" t="s">
        <v>1910</v>
      </c>
      <c r="D1262" s="7" t="s">
        <v>1636</v>
      </c>
      <c r="E1262" s="7" t="s">
        <v>98</v>
      </c>
      <c r="F1262" s="7" t="s">
        <v>86</v>
      </c>
      <c r="G1262" s="7" t="s">
        <v>99</v>
      </c>
      <c r="H1262" s="7" t="n">
        <v>1</v>
      </c>
      <c r="I1262" s="7" t="n">
        <v>275</v>
      </c>
      <c r="J1262" s="7" t="n">
        <v>50</v>
      </c>
      <c r="K1262" s="7" t="s">
        <v>88</v>
      </c>
      <c r="L1262" s="7" t="s">
        <v>194</v>
      </c>
      <c r="M1262" s="7" t="n">
        <v>48</v>
      </c>
      <c r="N1262" s="7" t="n">
        <v>5</v>
      </c>
      <c r="O1262" s="7" t="str">
        <f aca="false">A1262&amp;"|"&amp;B1262&amp;"|"&amp;C1262&amp;"|"&amp;D1262&amp;"|"&amp;E1262&amp;"|"&amp;F1262&amp;"|"&amp;G1262&amp;"|"&amp;H1262&amp;"|"&amp;I1262&amp;"|"&amp;J1262&amp;"|"&amp;K1262&amp;"|"&amp;L1262&amp;"|"&amp;M1262&amp;"|"&amp;N1262</f>
        <v>ORD11116|2025-05-22|17:08|C0980|Nawabi Biryani House|Bengaluru|Biryani|1|275|50|UPI|Delivered|48|5</v>
      </c>
      <c r="P1262" s="7" t="str">
        <f aca="false">IF(COUNTIF($O$2:O1262,O1262)&gt;1,"DUP","OK")</f>
        <v>OK</v>
      </c>
      <c r="Q1262" s="7" t="n">
        <f aca="false">COUNTBLANK(A1262:N1262)</f>
        <v>0</v>
      </c>
      <c r="R1262" s="7" t="n">
        <f aca="false">IF(A1262="",0,COUNTIFS($A$2:$A$3058,A1262,$P$2:$P$3058,"OK"))</f>
        <v>1</v>
      </c>
      <c r="S1262" s="7" t="str">
        <f aca="false">IF(OR(A1262="",P1262="DUP",R1262&lt;2),"",IF(Q1262=_xlfn.MINIFS($Q$2:$Q$3058,$A$2:$A$3058,A1262,$P$2:$P$3058,"OK"),"KEEP","DROP"))</f>
        <v/>
      </c>
      <c r="T1262" s="9" t="n">
        <f aca="false">IF(A1262="",1,0)</f>
        <v>0</v>
      </c>
      <c r="U1262" s="9" t="n">
        <f aca="false">IF(D1262="",1,0)</f>
        <v>0</v>
      </c>
      <c r="V1262" s="9" t="n">
        <f aca="false">IF(E1262="",1,0)</f>
        <v>0</v>
      </c>
      <c r="W1262" s="9" t="n">
        <f aca="false">IF(OR(H1262&lt;1,H1262&gt;10),1,0)</f>
        <v>0</v>
      </c>
      <c r="X1262" s="9" t="n">
        <f aca="false">IF(OR(I1262&lt;=0,I1262&gt;1500),1,0)</f>
        <v>0</v>
      </c>
      <c r="Y1262" s="9" t="n">
        <f aca="false">IF(J1262&gt;H1262*I1262,1,0)</f>
        <v>0</v>
      </c>
      <c r="Z1262" s="9" t="n">
        <f aca="false">IF(AND(N1262&lt;&gt;"",OR(N1262&lt;1,N1262&gt;5)),1,0)</f>
        <v>0</v>
      </c>
      <c r="AA1262" s="9" t="n">
        <f aca="false">IF(AND(M1262&lt;&gt;"",OR(M1262&lt;5,M1262&gt;180)),1,0)</f>
        <v>0</v>
      </c>
      <c r="AB1262" s="7" t="str">
        <f aca="false">IF(P1262="DUP","Exact duplicate row",IF(T1262=1,"Missing Order ID",IF(S1262="DROP","Duplicate Order ID (less complete row)",IF(U1262=1,"Missing Customer ID",IF(V1262=1,"Missing Restaurant name",IF(W1262=1,"Invalid/outlier quantity",IF(X1262=1,"Invalid/outlier unit price",IF(Y1262=1,"Discount greater than order value",""))))))))</f>
        <v/>
      </c>
      <c r="AC1262" s="7" t="str">
        <f aca="false">IF(AB1262="","KEEP","DROP")</f>
        <v>KEEP</v>
      </c>
      <c r="AD1262" s="7" t="str">
        <f aca="false">IF(TRIM(F1262)="",IFERROR(INDEX(Map_Tables!$I$4:$I$37,MATCH(TRIM(E1262),Map_Tables!$G$4:$G$37,0)),""),IFERROR(INDEX(Map_Tables!$B$4:$B$18,MATCH(TRIM(F1262),Map_Tables!$A$4:$A$18,0)),"CHECK"))</f>
        <v>Bengaluru</v>
      </c>
      <c r="AE1262" s="7" t="str">
        <f aca="false">IF(TRIM(E1262)="","",IFERROR(INDEX(Map_Tables!$H$4:$H$37,MATCH(TRIM(E1262),Map_Tables!$G$4:$G$37,0)),"CHECK"))</f>
        <v>Nawabi Biryani House</v>
      </c>
      <c r="AF1262" s="7" t="str">
        <f aca="false">IF(TRIM(K1262)="","Unknown",IFERROR(INDEX(Map_Tables!$E$4:$E$15,MATCH(TRIM(K1262),Map_Tables!$D$4:$D$15,0)),"CHECK"))</f>
        <v>UPI</v>
      </c>
      <c r="AG1262" s="7" t="str">
        <f aca="false">IF(LEFT(LOWER(TRIM(L1262)),6)="cancel","Cancelled","Delivered")</f>
        <v>Delivered</v>
      </c>
      <c r="AH1262" s="10" t="n">
        <f aca="false">IF(ISNUMBER(SEARCH("/",B1262)),DATE(VALUE(RIGHT(B1262,4)),VALUE(MID(B1262,4,2)),VALUE(LEFT(B1262,2))),IF(MID(B1262,5,1)="-",DATE(VALUE(LEFT(B1262,4)),VALUE(MID(B1262,6,2)),VALUE(RIGHT(B1262,2))),DATE(VALUE(RIGHT(B1262,4)),MATCH(MID(B1262,4,3),{"Jan","Feb","Mar","Apr","May","Jun","Jul","Aug","Sep","Oct","Nov","Dec"},0),VALUE(LEFT(B1262,2)))))</f>
        <v>45799</v>
      </c>
    </row>
    <row r="1263" customFormat="false" ht="15" hidden="false" customHeight="false" outlineLevel="0" collapsed="false">
      <c r="A1263" s="7" t="s">
        <v>3515</v>
      </c>
      <c r="B1263" s="7" t="s">
        <v>2116</v>
      </c>
      <c r="C1263" s="7" t="s">
        <v>2508</v>
      </c>
      <c r="D1263" s="7" t="s">
        <v>1905</v>
      </c>
      <c r="E1263" s="7" t="s">
        <v>811</v>
      </c>
      <c r="F1263" s="7" t="s">
        <v>101</v>
      </c>
      <c r="G1263" s="7" t="s">
        <v>105</v>
      </c>
      <c r="H1263" s="7" t="n">
        <v>1</v>
      </c>
      <c r="I1263" s="7" t="n">
        <v>180</v>
      </c>
      <c r="J1263" s="7" t="n">
        <v>0</v>
      </c>
      <c r="K1263" s="7" t="s">
        <v>88</v>
      </c>
      <c r="L1263" s="7" t="s">
        <v>194</v>
      </c>
      <c r="M1263" s="7" t="n">
        <v>53</v>
      </c>
      <c r="N1263" s="7" t="n">
        <v>3</v>
      </c>
      <c r="O1263" s="7" t="str">
        <f aca="false">A1263&amp;"|"&amp;B1263&amp;"|"&amp;C1263&amp;"|"&amp;D1263&amp;"|"&amp;E1263&amp;"|"&amp;F1263&amp;"|"&amp;G1263&amp;"|"&amp;H1263&amp;"|"&amp;I1263&amp;"|"&amp;J1263&amp;"|"&amp;K1263&amp;"|"&amp;L1263&amp;"|"&amp;M1263&amp;"|"&amp;N1263</f>
        <v>ORD10354|2025-02-16|20:22|C0378|Dragon Express |Mumbai|Chinese|1|180|0|UPI|Delivered|53|3</v>
      </c>
      <c r="P1263" s="7" t="str">
        <f aca="false">IF(COUNTIF($O$2:O1263,O1263)&gt;1,"DUP","OK")</f>
        <v>OK</v>
      </c>
      <c r="Q1263" s="7" t="n">
        <f aca="false">COUNTBLANK(A1263:N1263)</f>
        <v>0</v>
      </c>
      <c r="R1263" s="7" t="n">
        <f aca="false">IF(A1263="",0,COUNTIFS($A$2:$A$3058,A1263,$P$2:$P$3058,"OK"))</f>
        <v>1</v>
      </c>
      <c r="S1263" s="7" t="str">
        <f aca="false">IF(OR(A1263="",P1263="DUP",R1263&lt;2),"",IF(Q1263=_xlfn.MINIFS($Q$2:$Q$3058,$A$2:$A$3058,A1263,$P$2:$P$3058,"OK"),"KEEP","DROP"))</f>
        <v/>
      </c>
      <c r="T1263" s="9" t="n">
        <f aca="false">IF(A1263="",1,0)</f>
        <v>0</v>
      </c>
      <c r="U1263" s="9" t="n">
        <f aca="false">IF(D1263="",1,0)</f>
        <v>0</v>
      </c>
      <c r="V1263" s="9" t="n">
        <f aca="false">IF(E1263="",1,0)</f>
        <v>0</v>
      </c>
      <c r="W1263" s="9" t="n">
        <f aca="false">IF(OR(H1263&lt;1,H1263&gt;10),1,0)</f>
        <v>0</v>
      </c>
      <c r="X1263" s="9" t="n">
        <f aca="false">IF(OR(I1263&lt;=0,I1263&gt;1500),1,0)</f>
        <v>0</v>
      </c>
      <c r="Y1263" s="9" t="n">
        <f aca="false">IF(J1263&gt;H1263*I1263,1,0)</f>
        <v>0</v>
      </c>
      <c r="Z1263" s="9" t="n">
        <f aca="false">IF(AND(N1263&lt;&gt;"",OR(N1263&lt;1,N1263&gt;5)),1,0)</f>
        <v>0</v>
      </c>
      <c r="AA1263" s="9" t="n">
        <f aca="false">IF(AND(M1263&lt;&gt;"",OR(M1263&lt;5,M1263&gt;180)),1,0)</f>
        <v>0</v>
      </c>
      <c r="AB1263" s="7" t="str">
        <f aca="false">IF(P1263="DUP","Exact duplicate row",IF(T1263=1,"Missing Order ID",IF(S1263="DROP","Duplicate Order ID (less complete row)",IF(U1263=1,"Missing Customer ID",IF(V1263=1,"Missing Restaurant name",IF(W1263=1,"Invalid/outlier quantity",IF(X1263=1,"Invalid/outlier unit price",IF(Y1263=1,"Discount greater than order value",""))))))))</f>
        <v/>
      </c>
      <c r="AC1263" s="7" t="str">
        <f aca="false">IF(AB1263="","KEEP","DROP")</f>
        <v>KEEP</v>
      </c>
      <c r="AD1263" s="7" t="str">
        <f aca="false">IF(TRIM(F1263)="",IFERROR(INDEX(Map_Tables!$I$4:$I$37,MATCH(TRIM(E1263),Map_Tables!$G$4:$G$37,0)),""),IFERROR(INDEX(Map_Tables!$B$4:$B$18,MATCH(TRIM(F1263),Map_Tables!$A$4:$A$18,0)),"CHECK"))</f>
        <v>Mumbai</v>
      </c>
      <c r="AE1263" s="7" t="str">
        <f aca="false">IF(TRIM(E1263)="","",IFERROR(INDEX(Map_Tables!$H$4:$H$37,MATCH(TRIM(E1263),Map_Tables!$G$4:$G$37,0)),"CHECK"))</f>
        <v>Dragon Express</v>
      </c>
      <c r="AF1263" s="7" t="str">
        <f aca="false">IF(TRIM(K1263)="","Unknown",IFERROR(INDEX(Map_Tables!$E$4:$E$15,MATCH(TRIM(K1263),Map_Tables!$D$4:$D$15,0)),"CHECK"))</f>
        <v>UPI</v>
      </c>
      <c r="AG1263" s="7" t="str">
        <f aca="false">IF(LEFT(LOWER(TRIM(L1263)),6)="cancel","Cancelled","Delivered")</f>
        <v>Delivered</v>
      </c>
      <c r="AH1263" s="10" t="n">
        <f aca="false">IF(ISNUMBER(SEARCH("/",B1263)),DATE(VALUE(RIGHT(B1263,4)),VALUE(MID(B1263,4,2)),VALUE(LEFT(B1263,2))),IF(MID(B1263,5,1)="-",DATE(VALUE(LEFT(B1263,4)),VALUE(MID(B1263,6,2)),VALUE(RIGHT(B1263,2))),DATE(VALUE(RIGHT(B1263,4)),MATCH(MID(B1263,4,3),{"Jan","Feb","Mar","Apr","May","Jun","Jul","Aug","Sep","Oct","Nov","Dec"},0),VALUE(LEFT(B1263,2)))))</f>
        <v>45704</v>
      </c>
    </row>
    <row r="1264" customFormat="false" ht="15" hidden="false" customHeight="false" outlineLevel="0" collapsed="false">
      <c r="A1264" s="7" t="s">
        <v>3516</v>
      </c>
      <c r="B1264" s="7" t="s">
        <v>2548</v>
      </c>
      <c r="C1264" s="7" t="s">
        <v>2663</v>
      </c>
      <c r="D1264" s="7" t="s">
        <v>3517</v>
      </c>
      <c r="E1264" s="7" t="s">
        <v>3518</v>
      </c>
      <c r="F1264" s="7" t="s">
        <v>136</v>
      </c>
      <c r="G1264" s="7" t="s">
        <v>90</v>
      </c>
      <c r="H1264" s="7" t="n">
        <v>5</v>
      </c>
      <c r="I1264" s="7" t="n">
        <v>210</v>
      </c>
      <c r="J1264" s="7" t="n">
        <v>0</v>
      </c>
      <c r="K1264" s="7" t="s">
        <v>121</v>
      </c>
      <c r="L1264" s="7" t="s">
        <v>194</v>
      </c>
      <c r="M1264" s="7" t="n">
        <v>29</v>
      </c>
      <c r="N1264" s="7" t="n">
        <v>4</v>
      </c>
      <c r="O1264" s="7" t="str">
        <f aca="false">A1264&amp;"|"&amp;B1264&amp;"|"&amp;C1264&amp;"|"&amp;D1264&amp;"|"&amp;E1264&amp;"|"&amp;F1264&amp;"|"&amp;G1264&amp;"|"&amp;H1264&amp;"|"&amp;I1264&amp;"|"&amp;J1264&amp;"|"&amp;K1264&amp;"|"&amp;L1264&amp;"|"&amp;M1264&amp;"|"&amp;N1264</f>
        <v>ORD11035|2025-05-11|11:37|C0872| Maratha Thali House|Pune|North Indian|5|210|0|Wallet|Delivered|29|4</v>
      </c>
      <c r="P1264" s="7" t="str">
        <f aca="false">IF(COUNTIF($O$2:O1264,O1264)&gt;1,"DUP","OK")</f>
        <v>OK</v>
      </c>
      <c r="Q1264" s="7" t="n">
        <f aca="false">COUNTBLANK(A1264:N1264)</f>
        <v>0</v>
      </c>
      <c r="R1264" s="7" t="n">
        <f aca="false">IF(A1264="",0,COUNTIFS($A$2:$A$3058,A1264,$P$2:$P$3058,"OK"))</f>
        <v>1</v>
      </c>
      <c r="S1264" s="7" t="str">
        <f aca="false">IF(OR(A1264="",P1264="DUP",R1264&lt;2),"",IF(Q1264=_xlfn.MINIFS($Q$2:$Q$3058,$A$2:$A$3058,A1264,$P$2:$P$3058,"OK"),"KEEP","DROP"))</f>
        <v/>
      </c>
      <c r="T1264" s="9" t="n">
        <f aca="false">IF(A1264="",1,0)</f>
        <v>0</v>
      </c>
      <c r="U1264" s="9" t="n">
        <f aca="false">IF(D1264="",1,0)</f>
        <v>0</v>
      </c>
      <c r="V1264" s="9" t="n">
        <f aca="false">IF(E1264="",1,0)</f>
        <v>0</v>
      </c>
      <c r="W1264" s="9" t="n">
        <f aca="false">IF(OR(H1264&lt;1,H1264&gt;10),1,0)</f>
        <v>0</v>
      </c>
      <c r="X1264" s="9" t="n">
        <f aca="false">IF(OR(I1264&lt;=0,I1264&gt;1500),1,0)</f>
        <v>0</v>
      </c>
      <c r="Y1264" s="9" t="n">
        <f aca="false">IF(J1264&gt;H1264*I1264,1,0)</f>
        <v>0</v>
      </c>
      <c r="Z1264" s="9" t="n">
        <f aca="false">IF(AND(N1264&lt;&gt;"",OR(N1264&lt;1,N1264&gt;5)),1,0)</f>
        <v>0</v>
      </c>
      <c r="AA1264" s="9" t="n">
        <f aca="false">IF(AND(M1264&lt;&gt;"",OR(M1264&lt;5,M1264&gt;180)),1,0)</f>
        <v>0</v>
      </c>
      <c r="AB1264" s="7" t="str">
        <f aca="false">IF(P1264="DUP","Exact duplicate row",IF(T1264=1,"Missing Order ID",IF(S1264="DROP","Duplicate Order ID (less complete row)",IF(U1264=1,"Missing Customer ID",IF(V1264=1,"Missing Restaurant name",IF(W1264=1,"Invalid/outlier quantity",IF(X1264=1,"Invalid/outlier unit price",IF(Y1264=1,"Discount greater than order value",""))))))))</f>
        <v/>
      </c>
      <c r="AC1264" s="7" t="str">
        <f aca="false">IF(AB1264="","KEEP","DROP")</f>
        <v>KEEP</v>
      </c>
      <c r="AD1264" s="7" t="str">
        <f aca="false">IF(TRIM(F1264)="",IFERROR(INDEX(Map_Tables!$I$4:$I$37,MATCH(TRIM(E1264),Map_Tables!$G$4:$G$37,0)),""),IFERROR(INDEX(Map_Tables!$B$4:$B$18,MATCH(TRIM(F1264),Map_Tables!$A$4:$A$18,0)),"CHECK"))</f>
        <v>Pune</v>
      </c>
      <c r="AE1264" s="7" t="str">
        <f aca="false">IF(TRIM(E1264)="","",IFERROR(INDEX(Map_Tables!$H$4:$H$37,MATCH(TRIM(E1264),Map_Tables!$G$4:$G$37,0)),"CHECK"))</f>
        <v>Maratha Thali House</v>
      </c>
      <c r="AF1264" s="7" t="str">
        <f aca="false">IF(TRIM(K1264)="","Unknown",IFERROR(INDEX(Map_Tables!$E$4:$E$15,MATCH(TRIM(K1264),Map_Tables!$D$4:$D$15,0)),"CHECK"))</f>
        <v>Wallet</v>
      </c>
      <c r="AG1264" s="7" t="str">
        <f aca="false">IF(LEFT(LOWER(TRIM(L1264)),6)="cancel","Cancelled","Delivered")</f>
        <v>Delivered</v>
      </c>
      <c r="AH1264" s="10" t="n">
        <f aca="false">IF(ISNUMBER(SEARCH("/",B1264)),DATE(VALUE(RIGHT(B1264,4)),VALUE(MID(B1264,4,2)),VALUE(LEFT(B1264,2))),IF(MID(B1264,5,1)="-",DATE(VALUE(LEFT(B1264,4)),VALUE(MID(B1264,6,2)),VALUE(RIGHT(B1264,2))),DATE(VALUE(RIGHT(B1264,4)),MATCH(MID(B1264,4,3),{"Jan","Feb","Mar","Apr","May","Jun","Jul","Aug","Sep","Oct","Nov","Dec"},0),VALUE(LEFT(B1264,2)))))</f>
        <v>45788</v>
      </c>
    </row>
    <row r="1265" customFormat="false" ht="15" hidden="false" customHeight="false" outlineLevel="0" collapsed="false">
      <c r="A1265" s="7" t="s">
        <v>3519</v>
      </c>
      <c r="B1265" s="7" t="s">
        <v>1733</v>
      </c>
      <c r="C1265" s="7" t="s">
        <v>3520</v>
      </c>
      <c r="D1265" s="7" t="s">
        <v>1750</v>
      </c>
      <c r="E1265" s="7" t="s">
        <v>166</v>
      </c>
      <c r="F1265" s="7" t="s">
        <v>146</v>
      </c>
      <c r="G1265" s="7" t="s">
        <v>117</v>
      </c>
      <c r="H1265" s="7" t="n">
        <v>3</v>
      </c>
      <c r="I1265" s="7" t="n">
        <v>110</v>
      </c>
      <c r="J1265" s="7" t="n">
        <v>40</v>
      </c>
      <c r="K1265" s="7" t="s">
        <v>87</v>
      </c>
      <c r="L1265" s="7" t="s">
        <v>194</v>
      </c>
      <c r="M1265" s="7" t="n">
        <v>30</v>
      </c>
      <c r="N1265" s="7" t="n">
        <v>3</v>
      </c>
      <c r="O1265" s="7" t="str">
        <f aca="false">A1265&amp;"|"&amp;B1265&amp;"|"&amp;C1265&amp;"|"&amp;D1265&amp;"|"&amp;E1265&amp;"|"&amp;F1265&amp;"|"&amp;G1265&amp;"|"&amp;H1265&amp;"|"&amp;I1265&amp;"|"&amp;J1265&amp;"|"&amp;K1265&amp;"|"&amp;L1265&amp;"|"&amp;M1265&amp;"|"&amp;N1265</f>
        <v>ORD12589|2025-11-17|01:42|C0513|Dhokla Delight|Ahmedabad|Street Food|3|110|40|upi|Delivered|30|3</v>
      </c>
      <c r="P1265" s="7" t="str">
        <f aca="false">IF(COUNTIF($O$2:O1265,O1265)&gt;1,"DUP","OK")</f>
        <v>OK</v>
      </c>
      <c r="Q1265" s="7" t="n">
        <f aca="false">COUNTBLANK(A1265:N1265)</f>
        <v>0</v>
      </c>
      <c r="R1265" s="7" t="n">
        <f aca="false">IF(A1265="",0,COUNTIFS($A$2:$A$3058,A1265,$P$2:$P$3058,"OK"))</f>
        <v>1</v>
      </c>
      <c r="S1265" s="7" t="str">
        <f aca="false">IF(OR(A1265="",P1265="DUP",R1265&lt;2),"",IF(Q1265=_xlfn.MINIFS($Q$2:$Q$3058,$A$2:$A$3058,A1265,$P$2:$P$3058,"OK"),"KEEP","DROP"))</f>
        <v/>
      </c>
      <c r="T1265" s="9" t="n">
        <f aca="false">IF(A1265="",1,0)</f>
        <v>0</v>
      </c>
      <c r="U1265" s="9" t="n">
        <f aca="false">IF(D1265="",1,0)</f>
        <v>0</v>
      </c>
      <c r="V1265" s="9" t="n">
        <f aca="false">IF(E1265="",1,0)</f>
        <v>0</v>
      </c>
      <c r="W1265" s="9" t="n">
        <f aca="false">IF(OR(H1265&lt;1,H1265&gt;10),1,0)</f>
        <v>0</v>
      </c>
      <c r="X1265" s="9" t="n">
        <f aca="false">IF(OR(I1265&lt;=0,I1265&gt;1500),1,0)</f>
        <v>0</v>
      </c>
      <c r="Y1265" s="9" t="n">
        <f aca="false">IF(J1265&gt;H1265*I1265,1,0)</f>
        <v>0</v>
      </c>
      <c r="Z1265" s="9" t="n">
        <f aca="false">IF(AND(N1265&lt;&gt;"",OR(N1265&lt;1,N1265&gt;5)),1,0)</f>
        <v>0</v>
      </c>
      <c r="AA1265" s="9" t="n">
        <f aca="false">IF(AND(M1265&lt;&gt;"",OR(M1265&lt;5,M1265&gt;180)),1,0)</f>
        <v>0</v>
      </c>
      <c r="AB1265" s="7" t="str">
        <f aca="false">IF(P1265="DUP","Exact duplicate row",IF(T1265=1,"Missing Order ID",IF(S1265="DROP","Duplicate Order ID (less complete row)",IF(U1265=1,"Missing Customer ID",IF(V1265=1,"Missing Restaurant name",IF(W1265=1,"Invalid/outlier quantity",IF(X1265=1,"Invalid/outlier unit price",IF(Y1265=1,"Discount greater than order value",""))))))))</f>
        <v/>
      </c>
      <c r="AC1265" s="7" t="str">
        <f aca="false">IF(AB1265="","KEEP","DROP")</f>
        <v>KEEP</v>
      </c>
      <c r="AD1265" s="7" t="str">
        <f aca="false">IF(TRIM(F1265)="",IFERROR(INDEX(Map_Tables!$I$4:$I$37,MATCH(TRIM(E1265),Map_Tables!$G$4:$G$37,0)),""),IFERROR(INDEX(Map_Tables!$B$4:$B$18,MATCH(TRIM(F1265),Map_Tables!$A$4:$A$18,0)),"CHECK"))</f>
        <v>Ahmedabad</v>
      </c>
      <c r="AE1265" s="7" t="str">
        <f aca="false">IF(TRIM(E1265)="","",IFERROR(INDEX(Map_Tables!$H$4:$H$37,MATCH(TRIM(E1265),Map_Tables!$G$4:$G$37,0)),"CHECK"))</f>
        <v>Dhokla Delight</v>
      </c>
      <c r="AF1265" s="7" t="str">
        <f aca="false">IF(TRIM(K1265)="","Unknown",IFERROR(INDEX(Map_Tables!$E$4:$E$15,MATCH(TRIM(K1265),Map_Tables!$D$4:$D$15,0)),"CHECK"))</f>
        <v>UPI</v>
      </c>
      <c r="AG1265" s="7" t="str">
        <f aca="false">IF(LEFT(LOWER(TRIM(L1265)),6)="cancel","Cancelled","Delivered")</f>
        <v>Delivered</v>
      </c>
      <c r="AH1265" s="10" t="n">
        <f aca="false">IF(ISNUMBER(SEARCH("/",B1265)),DATE(VALUE(RIGHT(B1265,4)),VALUE(MID(B1265,4,2)),VALUE(LEFT(B1265,2))),IF(MID(B1265,5,1)="-",DATE(VALUE(LEFT(B1265,4)),VALUE(MID(B1265,6,2)),VALUE(RIGHT(B1265,2))),DATE(VALUE(RIGHT(B1265,4)),MATCH(MID(B1265,4,3),{"Jan","Feb","Mar","Apr","May","Jun","Jul","Aug","Sep","Oct","Nov","Dec"},0),VALUE(LEFT(B1265,2)))))</f>
        <v>45978</v>
      </c>
    </row>
    <row r="1266" customFormat="false" ht="15" hidden="false" customHeight="false" outlineLevel="0" collapsed="false">
      <c r="A1266" s="7" t="s">
        <v>3521</v>
      </c>
      <c r="B1266" s="7" t="s">
        <v>253</v>
      </c>
      <c r="C1266" s="7" t="s">
        <v>3522</v>
      </c>
      <c r="D1266" s="7" t="s">
        <v>3369</v>
      </c>
      <c r="E1266" s="7" t="s">
        <v>2752</v>
      </c>
      <c r="F1266" s="7" t="s">
        <v>110</v>
      </c>
      <c r="G1266" s="7" t="s">
        <v>90</v>
      </c>
      <c r="H1266" s="7" t="n">
        <v>1</v>
      </c>
      <c r="I1266" s="7" t="n">
        <v>255</v>
      </c>
      <c r="J1266" s="7" t="n">
        <v>0</v>
      </c>
      <c r="K1266" s="7" t="s">
        <v>88</v>
      </c>
      <c r="L1266" s="7" t="s">
        <v>194</v>
      </c>
      <c r="M1266" s="7" t="n">
        <v>45</v>
      </c>
      <c r="N1266" s="7" t="n">
        <v>5</v>
      </c>
      <c r="O1266" s="7" t="str">
        <f aca="false">A1266&amp;"|"&amp;B1266&amp;"|"&amp;C1266&amp;"|"&amp;D1266&amp;"|"&amp;E1266&amp;"|"&amp;F1266&amp;"|"&amp;G1266&amp;"|"&amp;H1266&amp;"|"&amp;I1266&amp;"|"&amp;J1266&amp;"|"&amp;K1266&amp;"|"&amp;L1266&amp;"|"&amp;M1266&amp;"|"&amp;N1266</f>
        <v>ORD10732|2025-04-04|09:21|C0771|Tandoor Tales |Delhi|North Indian|1|255|0|UPI|Delivered|45|5</v>
      </c>
      <c r="P1266" s="7" t="str">
        <f aca="false">IF(COUNTIF($O$2:O1266,O1266)&gt;1,"DUP","OK")</f>
        <v>OK</v>
      </c>
      <c r="Q1266" s="7" t="n">
        <f aca="false">COUNTBLANK(A1266:N1266)</f>
        <v>0</v>
      </c>
      <c r="R1266" s="7" t="n">
        <f aca="false">IF(A1266="",0,COUNTIFS($A$2:$A$3058,A1266,$P$2:$P$3058,"OK"))</f>
        <v>1</v>
      </c>
      <c r="S1266" s="7" t="str">
        <f aca="false">IF(OR(A1266="",P1266="DUP",R1266&lt;2),"",IF(Q1266=_xlfn.MINIFS($Q$2:$Q$3058,$A$2:$A$3058,A1266,$P$2:$P$3058,"OK"),"KEEP","DROP"))</f>
        <v/>
      </c>
      <c r="T1266" s="9" t="n">
        <f aca="false">IF(A1266="",1,0)</f>
        <v>0</v>
      </c>
      <c r="U1266" s="9" t="n">
        <f aca="false">IF(D1266="",1,0)</f>
        <v>0</v>
      </c>
      <c r="V1266" s="9" t="n">
        <f aca="false">IF(E1266="",1,0)</f>
        <v>0</v>
      </c>
      <c r="W1266" s="9" t="n">
        <f aca="false">IF(OR(H1266&lt;1,H1266&gt;10),1,0)</f>
        <v>0</v>
      </c>
      <c r="X1266" s="9" t="n">
        <f aca="false">IF(OR(I1266&lt;=0,I1266&gt;1500),1,0)</f>
        <v>0</v>
      </c>
      <c r="Y1266" s="9" t="n">
        <f aca="false">IF(J1266&gt;H1266*I1266,1,0)</f>
        <v>0</v>
      </c>
      <c r="Z1266" s="9" t="n">
        <f aca="false">IF(AND(N1266&lt;&gt;"",OR(N1266&lt;1,N1266&gt;5)),1,0)</f>
        <v>0</v>
      </c>
      <c r="AA1266" s="9" t="n">
        <f aca="false">IF(AND(M1266&lt;&gt;"",OR(M1266&lt;5,M1266&gt;180)),1,0)</f>
        <v>0</v>
      </c>
      <c r="AB1266" s="7" t="str">
        <f aca="false">IF(P1266="DUP","Exact duplicate row",IF(T1266=1,"Missing Order ID",IF(S1266="DROP","Duplicate Order ID (less complete row)",IF(U1266=1,"Missing Customer ID",IF(V1266=1,"Missing Restaurant name",IF(W1266=1,"Invalid/outlier quantity",IF(X1266=1,"Invalid/outlier unit price",IF(Y1266=1,"Discount greater than order value",""))))))))</f>
        <v/>
      </c>
      <c r="AC1266" s="7" t="str">
        <f aca="false">IF(AB1266="","KEEP","DROP")</f>
        <v>KEEP</v>
      </c>
      <c r="AD1266" s="7" t="str">
        <f aca="false">IF(TRIM(F1266)="",IFERROR(INDEX(Map_Tables!$I$4:$I$37,MATCH(TRIM(E1266),Map_Tables!$G$4:$G$37,0)),""),IFERROR(INDEX(Map_Tables!$B$4:$B$18,MATCH(TRIM(F1266),Map_Tables!$A$4:$A$18,0)),"CHECK"))</f>
        <v>Delhi</v>
      </c>
      <c r="AE1266" s="7" t="str">
        <f aca="false">IF(TRIM(E1266)="","",IFERROR(INDEX(Map_Tables!$H$4:$H$37,MATCH(TRIM(E1266),Map_Tables!$G$4:$G$37,0)),"CHECK"))</f>
        <v>Tandoor Tales</v>
      </c>
      <c r="AF1266" s="7" t="str">
        <f aca="false">IF(TRIM(K1266)="","Unknown",IFERROR(INDEX(Map_Tables!$E$4:$E$15,MATCH(TRIM(K1266),Map_Tables!$D$4:$D$15,0)),"CHECK"))</f>
        <v>UPI</v>
      </c>
      <c r="AG1266" s="7" t="str">
        <f aca="false">IF(LEFT(LOWER(TRIM(L1266)),6)="cancel","Cancelled","Delivered")</f>
        <v>Delivered</v>
      </c>
      <c r="AH1266" s="10" t="n">
        <f aca="false">IF(ISNUMBER(SEARCH("/",B1266)),DATE(VALUE(RIGHT(B1266,4)),VALUE(MID(B1266,4,2)),VALUE(LEFT(B1266,2))),IF(MID(B1266,5,1)="-",DATE(VALUE(LEFT(B1266,4)),VALUE(MID(B1266,6,2)),VALUE(RIGHT(B1266,2))),DATE(VALUE(RIGHT(B1266,4)),MATCH(MID(B1266,4,3),{"Jan","Feb","Mar","Apr","May","Jun","Jul","Aug","Sep","Oct","Nov","Dec"},0),VALUE(LEFT(B1266,2)))))</f>
        <v>45751</v>
      </c>
    </row>
    <row r="1267" customFormat="false" ht="15" hidden="false" customHeight="false" outlineLevel="0" collapsed="false">
      <c r="A1267" s="7" t="s">
        <v>3523</v>
      </c>
      <c r="B1267" s="7" t="s">
        <v>1361</v>
      </c>
      <c r="C1267" s="7" t="s">
        <v>3524</v>
      </c>
      <c r="D1267" s="7" t="s">
        <v>1878</v>
      </c>
      <c r="E1267" s="7" t="s">
        <v>165</v>
      </c>
      <c r="F1267" s="7" t="s">
        <v>146</v>
      </c>
      <c r="G1267" s="7" t="s">
        <v>90</v>
      </c>
      <c r="H1267" s="7" t="n">
        <v>1</v>
      </c>
      <c r="I1267" s="7" t="n">
        <v>250</v>
      </c>
      <c r="J1267" s="7" t="n">
        <v>20</v>
      </c>
      <c r="K1267" s="7" t="s">
        <v>1173</v>
      </c>
      <c r="L1267" s="7" t="s">
        <v>194</v>
      </c>
      <c r="M1267" s="7" t="n">
        <v>30</v>
      </c>
      <c r="N1267" s="7"/>
      <c r="O1267" s="7" t="str">
        <f aca="false">A1267&amp;"|"&amp;B1267&amp;"|"&amp;C1267&amp;"|"&amp;D1267&amp;"|"&amp;E1267&amp;"|"&amp;F1267&amp;"|"&amp;G1267&amp;"|"&amp;H1267&amp;"|"&amp;I1267&amp;"|"&amp;J1267&amp;"|"&amp;K1267&amp;"|"&amp;L1267&amp;"|"&amp;M1267&amp;"|"&amp;N1267</f>
        <v>ORD10703|2025-03-30|10:33|C0020|Gujarati Thali Ghar|Ahmedabad|North Indian|1|250|20|E-Wallet|Delivered|30|</v>
      </c>
      <c r="P1267" s="7" t="str">
        <f aca="false">IF(COUNTIF($O$2:O1267,O1267)&gt;1,"DUP","OK")</f>
        <v>OK</v>
      </c>
      <c r="Q1267" s="7" t="n">
        <f aca="false">COUNTBLANK(A1267:N1267)</f>
        <v>1</v>
      </c>
      <c r="R1267" s="7" t="n">
        <f aca="false">IF(A1267="",0,COUNTIFS($A$2:$A$3058,A1267,$P$2:$P$3058,"OK"))</f>
        <v>1</v>
      </c>
      <c r="S1267" s="7" t="str">
        <f aca="false">IF(OR(A1267="",P1267="DUP",R1267&lt;2),"",IF(Q1267=_xlfn.MINIFS($Q$2:$Q$3058,$A$2:$A$3058,A1267,$P$2:$P$3058,"OK"),"KEEP","DROP"))</f>
        <v/>
      </c>
      <c r="T1267" s="9" t="n">
        <f aca="false">IF(A1267="",1,0)</f>
        <v>0</v>
      </c>
      <c r="U1267" s="9" t="n">
        <f aca="false">IF(D1267="",1,0)</f>
        <v>0</v>
      </c>
      <c r="V1267" s="9" t="n">
        <f aca="false">IF(E1267="",1,0)</f>
        <v>0</v>
      </c>
      <c r="W1267" s="9" t="n">
        <f aca="false">IF(OR(H1267&lt;1,H1267&gt;10),1,0)</f>
        <v>0</v>
      </c>
      <c r="X1267" s="9" t="n">
        <f aca="false">IF(OR(I1267&lt;=0,I1267&gt;1500),1,0)</f>
        <v>0</v>
      </c>
      <c r="Y1267" s="9" t="n">
        <f aca="false">IF(J1267&gt;H1267*I1267,1,0)</f>
        <v>0</v>
      </c>
      <c r="Z1267" s="9" t="n">
        <f aca="false">IF(AND(N1267&lt;&gt;"",OR(N1267&lt;1,N1267&gt;5)),1,0)</f>
        <v>0</v>
      </c>
      <c r="AA1267" s="9" t="n">
        <f aca="false">IF(AND(M1267&lt;&gt;"",OR(M1267&lt;5,M1267&gt;180)),1,0)</f>
        <v>0</v>
      </c>
      <c r="AB1267" s="7" t="str">
        <f aca="false">IF(P1267="DUP","Exact duplicate row",IF(T1267=1,"Missing Order ID",IF(S1267="DROP","Duplicate Order ID (less complete row)",IF(U1267=1,"Missing Customer ID",IF(V1267=1,"Missing Restaurant name",IF(W1267=1,"Invalid/outlier quantity",IF(X1267=1,"Invalid/outlier unit price",IF(Y1267=1,"Discount greater than order value",""))))))))</f>
        <v/>
      </c>
      <c r="AC1267" s="7" t="str">
        <f aca="false">IF(AB1267="","KEEP","DROP")</f>
        <v>KEEP</v>
      </c>
      <c r="AD1267" s="7" t="str">
        <f aca="false">IF(TRIM(F1267)="",IFERROR(INDEX(Map_Tables!$I$4:$I$37,MATCH(TRIM(E1267),Map_Tables!$G$4:$G$37,0)),""),IFERROR(INDEX(Map_Tables!$B$4:$B$18,MATCH(TRIM(F1267),Map_Tables!$A$4:$A$18,0)),"CHECK"))</f>
        <v>Ahmedabad</v>
      </c>
      <c r="AE1267" s="7" t="str">
        <f aca="false">IF(TRIM(E1267)="","",IFERROR(INDEX(Map_Tables!$H$4:$H$37,MATCH(TRIM(E1267),Map_Tables!$G$4:$G$37,0)),"CHECK"))</f>
        <v>Gujarati Thali Ghar</v>
      </c>
      <c r="AF1267" s="7" t="str">
        <f aca="false">IF(TRIM(K1267)="","Unknown",IFERROR(INDEX(Map_Tables!$E$4:$E$15,MATCH(TRIM(K1267),Map_Tables!$D$4:$D$15,0)),"CHECK"))</f>
        <v>Wallet</v>
      </c>
      <c r="AG1267" s="7" t="str">
        <f aca="false">IF(LEFT(LOWER(TRIM(L1267)),6)="cancel","Cancelled","Delivered")</f>
        <v>Delivered</v>
      </c>
      <c r="AH1267" s="10" t="n">
        <f aca="false">IF(ISNUMBER(SEARCH("/",B1267)),DATE(VALUE(RIGHT(B1267,4)),VALUE(MID(B1267,4,2)),VALUE(LEFT(B1267,2))),IF(MID(B1267,5,1)="-",DATE(VALUE(LEFT(B1267,4)),VALUE(MID(B1267,6,2)),VALUE(RIGHT(B1267,2))),DATE(VALUE(RIGHT(B1267,4)),MATCH(MID(B1267,4,3),{"Jan","Feb","Mar","Apr","May","Jun","Jul","Aug","Sep","Oct","Nov","Dec"},0),VALUE(LEFT(B1267,2)))))</f>
        <v>45746</v>
      </c>
    </row>
    <row r="1268" customFormat="false" ht="15" hidden="false" customHeight="false" outlineLevel="0" collapsed="false">
      <c r="A1268" s="7" t="s">
        <v>3525</v>
      </c>
      <c r="B1268" s="7" t="s">
        <v>1069</v>
      </c>
      <c r="C1268" s="7" t="s">
        <v>346</v>
      </c>
      <c r="D1268" s="7" t="s">
        <v>2540</v>
      </c>
      <c r="E1268" s="7" t="s">
        <v>122</v>
      </c>
      <c r="F1268" s="7" t="s">
        <v>101</v>
      </c>
      <c r="G1268" s="7" t="s">
        <v>123</v>
      </c>
      <c r="H1268" s="7" t="n">
        <v>2</v>
      </c>
      <c r="I1268" s="7" t="n">
        <v>310</v>
      </c>
      <c r="J1268" s="7" t="n">
        <v>40</v>
      </c>
      <c r="K1268" s="7" t="s">
        <v>88</v>
      </c>
      <c r="L1268" s="7" t="s">
        <v>194</v>
      </c>
      <c r="M1268" s="7" t="n">
        <v>40</v>
      </c>
      <c r="N1268" s="7"/>
      <c r="O1268" s="7" t="str">
        <f aca="false">A1268&amp;"|"&amp;B1268&amp;"|"&amp;C1268&amp;"|"&amp;D1268&amp;"|"&amp;E1268&amp;"|"&amp;F1268&amp;"|"&amp;G1268&amp;"|"&amp;H1268&amp;"|"&amp;I1268&amp;"|"&amp;J1268&amp;"|"&amp;K1268&amp;"|"&amp;L1268&amp;"|"&amp;M1268&amp;"|"&amp;N1268</f>
        <v>ORD12943|2025-12-25|19:18|C0903|Mumbai Pizza Co|Mumbai|Pizza|2|310|40|UPI|Delivered|40|</v>
      </c>
      <c r="P1268" s="7" t="str">
        <f aca="false">IF(COUNTIF($O$2:O1268,O1268)&gt;1,"DUP","OK")</f>
        <v>OK</v>
      </c>
      <c r="Q1268" s="7" t="n">
        <f aca="false">COUNTBLANK(A1268:N1268)</f>
        <v>1</v>
      </c>
      <c r="R1268" s="7" t="n">
        <f aca="false">IF(A1268="",0,COUNTIFS($A$2:$A$3058,A1268,$P$2:$P$3058,"OK"))</f>
        <v>1</v>
      </c>
      <c r="S1268" s="7" t="str">
        <f aca="false">IF(OR(A1268="",P1268="DUP",R1268&lt;2),"",IF(Q1268=_xlfn.MINIFS($Q$2:$Q$3058,$A$2:$A$3058,A1268,$P$2:$P$3058,"OK"),"KEEP","DROP"))</f>
        <v/>
      </c>
      <c r="T1268" s="9" t="n">
        <f aca="false">IF(A1268="",1,0)</f>
        <v>0</v>
      </c>
      <c r="U1268" s="9" t="n">
        <f aca="false">IF(D1268="",1,0)</f>
        <v>0</v>
      </c>
      <c r="V1268" s="9" t="n">
        <f aca="false">IF(E1268="",1,0)</f>
        <v>0</v>
      </c>
      <c r="W1268" s="9" t="n">
        <f aca="false">IF(OR(H1268&lt;1,H1268&gt;10),1,0)</f>
        <v>0</v>
      </c>
      <c r="X1268" s="9" t="n">
        <f aca="false">IF(OR(I1268&lt;=0,I1268&gt;1500),1,0)</f>
        <v>0</v>
      </c>
      <c r="Y1268" s="9" t="n">
        <f aca="false">IF(J1268&gt;H1268*I1268,1,0)</f>
        <v>0</v>
      </c>
      <c r="Z1268" s="9" t="n">
        <f aca="false">IF(AND(N1268&lt;&gt;"",OR(N1268&lt;1,N1268&gt;5)),1,0)</f>
        <v>0</v>
      </c>
      <c r="AA1268" s="9" t="n">
        <f aca="false">IF(AND(M1268&lt;&gt;"",OR(M1268&lt;5,M1268&gt;180)),1,0)</f>
        <v>0</v>
      </c>
      <c r="AB1268" s="7" t="str">
        <f aca="false">IF(P1268="DUP","Exact duplicate row",IF(T1268=1,"Missing Order ID",IF(S1268="DROP","Duplicate Order ID (less complete row)",IF(U1268=1,"Missing Customer ID",IF(V1268=1,"Missing Restaurant name",IF(W1268=1,"Invalid/outlier quantity",IF(X1268=1,"Invalid/outlier unit price",IF(Y1268=1,"Discount greater than order value",""))))))))</f>
        <v/>
      </c>
      <c r="AC1268" s="7" t="str">
        <f aca="false">IF(AB1268="","KEEP","DROP")</f>
        <v>KEEP</v>
      </c>
      <c r="AD1268" s="7" t="str">
        <f aca="false">IF(TRIM(F1268)="",IFERROR(INDEX(Map_Tables!$I$4:$I$37,MATCH(TRIM(E1268),Map_Tables!$G$4:$G$37,0)),""),IFERROR(INDEX(Map_Tables!$B$4:$B$18,MATCH(TRIM(F1268),Map_Tables!$A$4:$A$18,0)),"CHECK"))</f>
        <v>Mumbai</v>
      </c>
      <c r="AE1268" s="7" t="str">
        <f aca="false">IF(TRIM(E1268)="","",IFERROR(INDEX(Map_Tables!$H$4:$H$37,MATCH(TRIM(E1268),Map_Tables!$G$4:$G$37,0)),"CHECK"))</f>
        <v>Mumbai Pizza Co</v>
      </c>
      <c r="AF1268" s="7" t="str">
        <f aca="false">IF(TRIM(K1268)="","Unknown",IFERROR(INDEX(Map_Tables!$E$4:$E$15,MATCH(TRIM(K1268),Map_Tables!$D$4:$D$15,0)),"CHECK"))</f>
        <v>UPI</v>
      </c>
      <c r="AG1268" s="7" t="str">
        <f aca="false">IF(LEFT(LOWER(TRIM(L1268)),6)="cancel","Cancelled","Delivered")</f>
        <v>Delivered</v>
      </c>
      <c r="AH1268" s="10" t="n">
        <f aca="false">IF(ISNUMBER(SEARCH("/",B1268)),DATE(VALUE(RIGHT(B1268,4)),VALUE(MID(B1268,4,2)),VALUE(LEFT(B1268,2))),IF(MID(B1268,5,1)="-",DATE(VALUE(LEFT(B1268,4)),VALUE(MID(B1268,6,2)),VALUE(RIGHT(B1268,2))),DATE(VALUE(RIGHT(B1268,4)),MATCH(MID(B1268,4,3),{"Jan","Feb","Mar","Apr","May","Jun","Jul","Aug","Sep","Oct","Nov","Dec"},0),VALUE(LEFT(B1268,2)))))</f>
        <v>46016</v>
      </c>
    </row>
    <row r="1269" customFormat="false" ht="15" hidden="false" customHeight="false" outlineLevel="0" collapsed="false">
      <c r="A1269" s="7" t="s">
        <v>3526</v>
      </c>
      <c r="B1269" s="7" t="s">
        <v>558</v>
      </c>
      <c r="C1269" s="7" t="s">
        <v>197</v>
      </c>
      <c r="D1269" s="7" t="s">
        <v>3527</v>
      </c>
      <c r="E1269" s="7" t="s">
        <v>144</v>
      </c>
      <c r="F1269" s="7" t="s">
        <v>119</v>
      </c>
      <c r="G1269" s="7" t="s">
        <v>99</v>
      </c>
      <c r="H1269" s="7" t="n">
        <v>1</v>
      </c>
      <c r="I1269" s="7" t="n">
        <v>310</v>
      </c>
      <c r="J1269" s="7" t="n">
        <v>0</v>
      </c>
      <c r="K1269" s="7" t="s">
        <v>88</v>
      </c>
      <c r="L1269" s="7" t="s">
        <v>194</v>
      </c>
      <c r="M1269" s="7" t="n">
        <v>29</v>
      </c>
      <c r="N1269" s="7" t="n">
        <v>4</v>
      </c>
      <c r="O1269" s="7" t="str">
        <f aca="false">A1269&amp;"|"&amp;B1269&amp;"|"&amp;C1269&amp;"|"&amp;D1269&amp;"|"&amp;E1269&amp;"|"&amp;F1269&amp;"|"&amp;G1269&amp;"|"&amp;H1269&amp;"|"&amp;I1269&amp;"|"&amp;J1269&amp;"|"&amp;K1269&amp;"|"&amp;L1269&amp;"|"&amp;M1269&amp;"|"&amp;N1269</f>
        <v>ORD12416|2025-10-31|22:08|C0996|Hyderabad Dum Biryani|Hyderabad|Biryani|1|310|0|UPI|Delivered|29|4</v>
      </c>
      <c r="P1269" s="7" t="str">
        <f aca="false">IF(COUNTIF($O$2:O1269,O1269)&gt;1,"DUP","OK")</f>
        <v>OK</v>
      </c>
      <c r="Q1269" s="7" t="n">
        <f aca="false">COUNTBLANK(A1269:N1269)</f>
        <v>0</v>
      </c>
      <c r="R1269" s="7" t="n">
        <f aca="false">IF(A1269="",0,COUNTIFS($A$2:$A$3058,A1269,$P$2:$P$3058,"OK"))</f>
        <v>1</v>
      </c>
      <c r="S1269" s="7" t="str">
        <f aca="false">IF(OR(A1269="",P1269="DUP",R1269&lt;2),"",IF(Q1269=_xlfn.MINIFS($Q$2:$Q$3058,$A$2:$A$3058,A1269,$P$2:$P$3058,"OK"),"KEEP","DROP"))</f>
        <v/>
      </c>
      <c r="T1269" s="9" t="n">
        <f aca="false">IF(A1269="",1,0)</f>
        <v>0</v>
      </c>
      <c r="U1269" s="9" t="n">
        <f aca="false">IF(D1269="",1,0)</f>
        <v>0</v>
      </c>
      <c r="V1269" s="9" t="n">
        <f aca="false">IF(E1269="",1,0)</f>
        <v>0</v>
      </c>
      <c r="W1269" s="9" t="n">
        <f aca="false">IF(OR(H1269&lt;1,H1269&gt;10),1,0)</f>
        <v>0</v>
      </c>
      <c r="X1269" s="9" t="n">
        <f aca="false">IF(OR(I1269&lt;=0,I1269&gt;1500),1,0)</f>
        <v>0</v>
      </c>
      <c r="Y1269" s="9" t="n">
        <f aca="false">IF(J1269&gt;H1269*I1269,1,0)</f>
        <v>0</v>
      </c>
      <c r="Z1269" s="9" t="n">
        <f aca="false">IF(AND(N1269&lt;&gt;"",OR(N1269&lt;1,N1269&gt;5)),1,0)</f>
        <v>0</v>
      </c>
      <c r="AA1269" s="9" t="n">
        <f aca="false">IF(AND(M1269&lt;&gt;"",OR(M1269&lt;5,M1269&gt;180)),1,0)</f>
        <v>0</v>
      </c>
      <c r="AB1269" s="7" t="str">
        <f aca="false">IF(P1269="DUP","Exact duplicate row",IF(T1269=1,"Missing Order ID",IF(S1269="DROP","Duplicate Order ID (less complete row)",IF(U1269=1,"Missing Customer ID",IF(V1269=1,"Missing Restaurant name",IF(W1269=1,"Invalid/outlier quantity",IF(X1269=1,"Invalid/outlier unit price",IF(Y1269=1,"Discount greater than order value",""))))))))</f>
        <v/>
      </c>
      <c r="AC1269" s="7" t="str">
        <f aca="false">IF(AB1269="","KEEP","DROP")</f>
        <v>KEEP</v>
      </c>
      <c r="AD1269" s="7" t="str">
        <f aca="false">IF(TRIM(F1269)="",IFERROR(INDEX(Map_Tables!$I$4:$I$37,MATCH(TRIM(E1269),Map_Tables!$G$4:$G$37,0)),""),IFERROR(INDEX(Map_Tables!$B$4:$B$18,MATCH(TRIM(F1269),Map_Tables!$A$4:$A$18,0)),"CHECK"))</f>
        <v>Hyderabad</v>
      </c>
      <c r="AE1269" s="7" t="str">
        <f aca="false">IF(TRIM(E1269)="","",IFERROR(INDEX(Map_Tables!$H$4:$H$37,MATCH(TRIM(E1269),Map_Tables!$G$4:$G$37,0)),"CHECK"))</f>
        <v>Hyderabad Dum Biryani</v>
      </c>
      <c r="AF1269" s="7" t="str">
        <f aca="false">IF(TRIM(K1269)="","Unknown",IFERROR(INDEX(Map_Tables!$E$4:$E$15,MATCH(TRIM(K1269),Map_Tables!$D$4:$D$15,0)),"CHECK"))</f>
        <v>UPI</v>
      </c>
      <c r="AG1269" s="7" t="str">
        <f aca="false">IF(LEFT(LOWER(TRIM(L1269)),6)="cancel","Cancelled","Delivered")</f>
        <v>Delivered</v>
      </c>
      <c r="AH1269" s="10" t="n">
        <f aca="false">IF(ISNUMBER(SEARCH("/",B1269)),DATE(VALUE(RIGHT(B1269,4)),VALUE(MID(B1269,4,2)),VALUE(LEFT(B1269,2))),IF(MID(B1269,5,1)="-",DATE(VALUE(LEFT(B1269,4)),VALUE(MID(B1269,6,2)),VALUE(RIGHT(B1269,2))),DATE(VALUE(RIGHT(B1269,4)),MATCH(MID(B1269,4,3),{"Jan","Feb","Mar","Apr","May","Jun","Jul","Aug","Sep","Oct","Nov","Dec"},0),VALUE(LEFT(B1269,2)))))</f>
        <v>45961</v>
      </c>
    </row>
    <row r="1270" customFormat="false" ht="15" hidden="false" customHeight="false" outlineLevel="0" collapsed="false">
      <c r="A1270" s="7" t="s">
        <v>3528</v>
      </c>
      <c r="B1270" s="7" t="s">
        <v>808</v>
      </c>
      <c r="C1270" s="7" t="s">
        <v>1852</v>
      </c>
      <c r="D1270" s="7" t="s">
        <v>3529</v>
      </c>
      <c r="E1270" s="7" t="s">
        <v>1094</v>
      </c>
      <c r="F1270" s="7" t="s">
        <v>110</v>
      </c>
      <c r="G1270" s="7" t="s">
        <v>139</v>
      </c>
      <c r="H1270" s="7" t="n">
        <v>2</v>
      </c>
      <c r="I1270" s="7" t="n">
        <v>210</v>
      </c>
      <c r="J1270" s="7" t="n">
        <v>0</v>
      </c>
      <c r="K1270" s="7" t="s">
        <v>88</v>
      </c>
      <c r="L1270" s="7" t="s">
        <v>194</v>
      </c>
      <c r="M1270" s="7" t="n">
        <v>37</v>
      </c>
      <c r="N1270" s="7" t="n">
        <v>3</v>
      </c>
      <c r="O1270" s="7" t="str">
        <f aca="false">A1270&amp;"|"&amp;B1270&amp;"|"&amp;C1270&amp;"|"&amp;D1270&amp;"|"&amp;E1270&amp;"|"&amp;F1270&amp;"|"&amp;G1270&amp;"|"&amp;H1270&amp;"|"&amp;I1270&amp;"|"&amp;J1270&amp;"|"&amp;K1270&amp;"|"&amp;L1270&amp;"|"&amp;M1270&amp;"|"&amp;N1270</f>
        <v>ORD12587|2025-11-16|19:54|C0746|BURGER BARN|Delhi|Burgers|2|210|0|UPI|Delivered|37|3</v>
      </c>
      <c r="P1270" s="7" t="str">
        <f aca="false">IF(COUNTIF($O$2:O1270,O1270)&gt;1,"DUP","OK")</f>
        <v>OK</v>
      </c>
      <c r="Q1270" s="7" t="n">
        <f aca="false">COUNTBLANK(A1270:N1270)</f>
        <v>0</v>
      </c>
      <c r="R1270" s="7" t="n">
        <f aca="false">IF(A1270="",0,COUNTIFS($A$2:$A$3058,A1270,$P$2:$P$3058,"OK"))</f>
        <v>1</v>
      </c>
      <c r="S1270" s="7" t="str">
        <f aca="false">IF(OR(A1270="",P1270="DUP",R1270&lt;2),"",IF(Q1270=_xlfn.MINIFS($Q$2:$Q$3058,$A$2:$A$3058,A1270,$P$2:$P$3058,"OK"),"KEEP","DROP"))</f>
        <v/>
      </c>
      <c r="T1270" s="9" t="n">
        <f aca="false">IF(A1270="",1,0)</f>
        <v>0</v>
      </c>
      <c r="U1270" s="9" t="n">
        <f aca="false">IF(D1270="",1,0)</f>
        <v>0</v>
      </c>
      <c r="V1270" s="9" t="n">
        <f aca="false">IF(E1270="",1,0)</f>
        <v>0</v>
      </c>
      <c r="W1270" s="9" t="n">
        <f aca="false">IF(OR(H1270&lt;1,H1270&gt;10),1,0)</f>
        <v>0</v>
      </c>
      <c r="X1270" s="9" t="n">
        <f aca="false">IF(OR(I1270&lt;=0,I1270&gt;1500),1,0)</f>
        <v>0</v>
      </c>
      <c r="Y1270" s="9" t="n">
        <f aca="false">IF(J1270&gt;H1270*I1270,1,0)</f>
        <v>0</v>
      </c>
      <c r="Z1270" s="9" t="n">
        <f aca="false">IF(AND(N1270&lt;&gt;"",OR(N1270&lt;1,N1270&gt;5)),1,0)</f>
        <v>0</v>
      </c>
      <c r="AA1270" s="9" t="n">
        <f aca="false">IF(AND(M1270&lt;&gt;"",OR(M1270&lt;5,M1270&gt;180)),1,0)</f>
        <v>0</v>
      </c>
      <c r="AB1270" s="7" t="str">
        <f aca="false">IF(P1270="DUP","Exact duplicate row",IF(T1270=1,"Missing Order ID",IF(S1270="DROP","Duplicate Order ID (less complete row)",IF(U1270=1,"Missing Customer ID",IF(V1270=1,"Missing Restaurant name",IF(W1270=1,"Invalid/outlier quantity",IF(X1270=1,"Invalid/outlier unit price",IF(Y1270=1,"Discount greater than order value",""))))))))</f>
        <v/>
      </c>
      <c r="AC1270" s="7" t="str">
        <f aca="false">IF(AB1270="","KEEP","DROP")</f>
        <v>KEEP</v>
      </c>
      <c r="AD1270" s="7" t="str">
        <f aca="false">IF(TRIM(F1270)="",IFERROR(INDEX(Map_Tables!$I$4:$I$37,MATCH(TRIM(E1270),Map_Tables!$G$4:$G$37,0)),""),IFERROR(INDEX(Map_Tables!$B$4:$B$18,MATCH(TRIM(F1270),Map_Tables!$A$4:$A$18,0)),"CHECK"))</f>
        <v>Delhi</v>
      </c>
      <c r="AE1270" s="7" t="str">
        <f aca="false">IF(TRIM(E1270)="","",IFERROR(INDEX(Map_Tables!$H$4:$H$37,MATCH(TRIM(E1270),Map_Tables!$G$4:$G$37,0)),"CHECK"))</f>
        <v>Burger Barn</v>
      </c>
      <c r="AF1270" s="7" t="str">
        <f aca="false">IF(TRIM(K1270)="","Unknown",IFERROR(INDEX(Map_Tables!$E$4:$E$15,MATCH(TRIM(K1270),Map_Tables!$D$4:$D$15,0)),"CHECK"))</f>
        <v>UPI</v>
      </c>
      <c r="AG1270" s="7" t="str">
        <f aca="false">IF(LEFT(LOWER(TRIM(L1270)),6)="cancel","Cancelled","Delivered")</f>
        <v>Delivered</v>
      </c>
      <c r="AH1270" s="10" t="n">
        <f aca="false">IF(ISNUMBER(SEARCH("/",B1270)),DATE(VALUE(RIGHT(B1270,4)),VALUE(MID(B1270,4,2)),VALUE(LEFT(B1270,2))),IF(MID(B1270,5,1)="-",DATE(VALUE(LEFT(B1270,4)),VALUE(MID(B1270,6,2)),VALUE(RIGHT(B1270,2))),DATE(VALUE(RIGHT(B1270,4)),MATCH(MID(B1270,4,3),{"Jan","Feb","Mar","Apr","May","Jun","Jul","Aug","Sep","Oct","Nov","Dec"},0),VALUE(LEFT(B1270,2)))))</f>
        <v>45977</v>
      </c>
    </row>
    <row r="1271" customFormat="false" ht="15" hidden="false" customHeight="false" outlineLevel="0" collapsed="false">
      <c r="A1271" s="7" t="s">
        <v>3530</v>
      </c>
      <c r="B1271" s="7" t="s">
        <v>3531</v>
      </c>
      <c r="C1271" s="7" t="s">
        <v>3005</v>
      </c>
      <c r="D1271" s="7" t="s">
        <v>3532</v>
      </c>
      <c r="E1271" s="7" t="s">
        <v>89</v>
      </c>
      <c r="F1271" s="7" t="s">
        <v>86</v>
      </c>
      <c r="G1271" s="7" t="s">
        <v>90</v>
      </c>
      <c r="H1271" s="7" t="n">
        <v>2</v>
      </c>
      <c r="I1271" s="7" t="n">
        <v>265</v>
      </c>
      <c r="J1271" s="7" t="n">
        <v>0</v>
      </c>
      <c r="K1271" s="7" t="s">
        <v>88</v>
      </c>
      <c r="L1271" s="7" t="s">
        <v>194</v>
      </c>
      <c r="M1271" s="7" t="n">
        <v>27</v>
      </c>
      <c r="N1271" s="7" t="n">
        <v>4</v>
      </c>
      <c r="O1271" s="7" t="str">
        <f aca="false">A1271&amp;"|"&amp;B1271&amp;"|"&amp;C1271&amp;"|"&amp;D1271&amp;"|"&amp;E1271&amp;"|"&amp;F1271&amp;"|"&amp;G1271&amp;"|"&amp;H1271&amp;"|"&amp;I1271&amp;"|"&amp;J1271&amp;"|"&amp;K1271&amp;"|"&amp;L1271&amp;"|"&amp;M1271&amp;"|"&amp;N1271</f>
        <v>ORD10161|21/01/2025|18:19|C0899|Spice Junction|Bengaluru|North Indian|2|265|0|UPI|Delivered|27|4</v>
      </c>
      <c r="P1271" s="7" t="str">
        <f aca="false">IF(COUNTIF($O$2:O1271,O1271)&gt;1,"DUP","OK")</f>
        <v>OK</v>
      </c>
      <c r="Q1271" s="7" t="n">
        <f aca="false">COUNTBLANK(A1271:N1271)</f>
        <v>0</v>
      </c>
      <c r="R1271" s="7" t="n">
        <f aca="false">IF(A1271="",0,COUNTIFS($A$2:$A$3058,A1271,$P$2:$P$3058,"OK"))</f>
        <v>1</v>
      </c>
      <c r="S1271" s="7" t="str">
        <f aca="false">IF(OR(A1271="",P1271="DUP",R1271&lt;2),"",IF(Q1271=_xlfn.MINIFS($Q$2:$Q$3058,$A$2:$A$3058,A1271,$P$2:$P$3058,"OK"),"KEEP","DROP"))</f>
        <v/>
      </c>
      <c r="T1271" s="9" t="n">
        <f aca="false">IF(A1271="",1,0)</f>
        <v>0</v>
      </c>
      <c r="U1271" s="9" t="n">
        <f aca="false">IF(D1271="",1,0)</f>
        <v>0</v>
      </c>
      <c r="V1271" s="9" t="n">
        <f aca="false">IF(E1271="",1,0)</f>
        <v>0</v>
      </c>
      <c r="W1271" s="9" t="n">
        <f aca="false">IF(OR(H1271&lt;1,H1271&gt;10),1,0)</f>
        <v>0</v>
      </c>
      <c r="X1271" s="9" t="n">
        <f aca="false">IF(OR(I1271&lt;=0,I1271&gt;1500),1,0)</f>
        <v>0</v>
      </c>
      <c r="Y1271" s="9" t="n">
        <f aca="false">IF(J1271&gt;H1271*I1271,1,0)</f>
        <v>0</v>
      </c>
      <c r="Z1271" s="9" t="n">
        <f aca="false">IF(AND(N1271&lt;&gt;"",OR(N1271&lt;1,N1271&gt;5)),1,0)</f>
        <v>0</v>
      </c>
      <c r="AA1271" s="9" t="n">
        <f aca="false">IF(AND(M1271&lt;&gt;"",OR(M1271&lt;5,M1271&gt;180)),1,0)</f>
        <v>0</v>
      </c>
      <c r="AB1271" s="7" t="str">
        <f aca="false">IF(P1271="DUP","Exact duplicate row",IF(T1271=1,"Missing Order ID",IF(S1271="DROP","Duplicate Order ID (less complete row)",IF(U1271=1,"Missing Customer ID",IF(V1271=1,"Missing Restaurant name",IF(W1271=1,"Invalid/outlier quantity",IF(X1271=1,"Invalid/outlier unit price",IF(Y1271=1,"Discount greater than order value",""))))))))</f>
        <v/>
      </c>
      <c r="AC1271" s="7" t="str">
        <f aca="false">IF(AB1271="","KEEP","DROP")</f>
        <v>KEEP</v>
      </c>
      <c r="AD1271" s="7" t="str">
        <f aca="false">IF(TRIM(F1271)="",IFERROR(INDEX(Map_Tables!$I$4:$I$37,MATCH(TRIM(E1271),Map_Tables!$G$4:$G$37,0)),""),IFERROR(INDEX(Map_Tables!$B$4:$B$18,MATCH(TRIM(F1271),Map_Tables!$A$4:$A$18,0)),"CHECK"))</f>
        <v>Bengaluru</v>
      </c>
      <c r="AE1271" s="7" t="str">
        <f aca="false">IF(TRIM(E1271)="","",IFERROR(INDEX(Map_Tables!$H$4:$H$37,MATCH(TRIM(E1271),Map_Tables!$G$4:$G$37,0)),"CHECK"))</f>
        <v>Spice Junction</v>
      </c>
      <c r="AF1271" s="7" t="str">
        <f aca="false">IF(TRIM(K1271)="","Unknown",IFERROR(INDEX(Map_Tables!$E$4:$E$15,MATCH(TRIM(K1271),Map_Tables!$D$4:$D$15,0)),"CHECK"))</f>
        <v>UPI</v>
      </c>
      <c r="AG1271" s="7" t="str">
        <f aca="false">IF(LEFT(LOWER(TRIM(L1271)),6)="cancel","Cancelled","Delivered")</f>
        <v>Delivered</v>
      </c>
      <c r="AH1271" s="10" t="n">
        <f aca="false">IF(ISNUMBER(SEARCH("/",B1271)),DATE(VALUE(RIGHT(B1271,4)),VALUE(MID(B1271,4,2)),VALUE(LEFT(B1271,2))),IF(MID(B1271,5,1)="-",DATE(VALUE(LEFT(B1271,4)),VALUE(MID(B1271,6,2)),VALUE(RIGHT(B1271,2))),DATE(VALUE(RIGHT(B1271,4)),MATCH(MID(B1271,4,3),{"Jan","Feb","Mar","Apr","May","Jun","Jul","Aug","Sep","Oct","Nov","Dec"},0),VALUE(LEFT(B1271,2)))))</f>
        <v>45678</v>
      </c>
    </row>
    <row r="1272" customFormat="false" ht="15" hidden="false" customHeight="false" outlineLevel="0" collapsed="false">
      <c r="A1272" s="7" t="s">
        <v>3533</v>
      </c>
      <c r="B1272" s="7" t="s">
        <v>671</v>
      </c>
      <c r="C1272" s="7" t="s">
        <v>3302</v>
      </c>
      <c r="D1272" s="7" t="s">
        <v>1063</v>
      </c>
      <c r="E1272" s="7" t="s">
        <v>130</v>
      </c>
      <c r="F1272" s="7" t="s">
        <v>109</v>
      </c>
      <c r="G1272" s="7" t="s">
        <v>90</v>
      </c>
      <c r="H1272" s="7" t="n">
        <v>1</v>
      </c>
      <c r="I1272" s="7" t="n">
        <v>290</v>
      </c>
      <c r="J1272" s="7" t="n">
        <v>30</v>
      </c>
      <c r="K1272" s="7" t="s">
        <v>88</v>
      </c>
      <c r="L1272" s="7" t="s">
        <v>194</v>
      </c>
      <c r="M1272" s="7" t="n">
        <v>47</v>
      </c>
      <c r="N1272" s="7" t="n">
        <v>5</v>
      </c>
      <c r="O1272" s="7" t="str">
        <f aca="false">A1272&amp;"|"&amp;B1272&amp;"|"&amp;C1272&amp;"|"&amp;D1272&amp;"|"&amp;E1272&amp;"|"&amp;F1272&amp;"|"&amp;G1272&amp;"|"&amp;H1272&amp;"|"&amp;I1272&amp;"|"&amp;J1272&amp;"|"&amp;K1272&amp;"|"&amp;L1272&amp;"|"&amp;M1272&amp;"|"&amp;N1272</f>
        <v>ORD12556|2025-11-14|14:11|C0966|Tandoor Tales|delhi|North Indian|1|290|30|UPI|Delivered|47|5</v>
      </c>
      <c r="P1272" s="7" t="str">
        <f aca="false">IF(COUNTIF($O$2:O1272,O1272)&gt;1,"DUP","OK")</f>
        <v>OK</v>
      </c>
      <c r="Q1272" s="7" t="n">
        <f aca="false">COUNTBLANK(A1272:N1272)</f>
        <v>0</v>
      </c>
      <c r="R1272" s="7" t="n">
        <f aca="false">IF(A1272="",0,COUNTIFS($A$2:$A$3058,A1272,$P$2:$P$3058,"OK"))</f>
        <v>1</v>
      </c>
      <c r="S1272" s="7" t="str">
        <f aca="false">IF(OR(A1272="",P1272="DUP",R1272&lt;2),"",IF(Q1272=_xlfn.MINIFS($Q$2:$Q$3058,$A$2:$A$3058,A1272,$P$2:$P$3058,"OK"),"KEEP","DROP"))</f>
        <v/>
      </c>
      <c r="T1272" s="9" t="n">
        <f aca="false">IF(A1272="",1,0)</f>
        <v>0</v>
      </c>
      <c r="U1272" s="9" t="n">
        <f aca="false">IF(D1272="",1,0)</f>
        <v>0</v>
      </c>
      <c r="V1272" s="9" t="n">
        <f aca="false">IF(E1272="",1,0)</f>
        <v>0</v>
      </c>
      <c r="W1272" s="9" t="n">
        <f aca="false">IF(OR(H1272&lt;1,H1272&gt;10),1,0)</f>
        <v>0</v>
      </c>
      <c r="X1272" s="9" t="n">
        <f aca="false">IF(OR(I1272&lt;=0,I1272&gt;1500),1,0)</f>
        <v>0</v>
      </c>
      <c r="Y1272" s="9" t="n">
        <f aca="false">IF(J1272&gt;H1272*I1272,1,0)</f>
        <v>0</v>
      </c>
      <c r="Z1272" s="9" t="n">
        <f aca="false">IF(AND(N1272&lt;&gt;"",OR(N1272&lt;1,N1272&gt;5)),1,0)</f>
        <v>0</v>
      </c>
      <c r="AA1272" s="9" t="n">
        <f aca="false">IF(AND(M1272&lt;&gt;"",OR(M1272&lt;5,M1272&gt;180)),1,0)</f>
        <v>0</v>
      </c>
      <c r="AB1272" s="7" t="str">
        <f aca="false">IF(P1272="DUP","Exact duplicate row",IF(T1272=1,"Missing Order ID",IF(S1272="DROP","Duplicate Order ID (less complete row)",IF(U1272=1,"Missing Customer ID",IF(V1272=1,"Missing Restaurant name",IF(W1272=1,"Invalid/outlier quantity",IF(X1272=1,"Invalid/outlier unit price",IF(Y1272=1,"Discount greater than order value",""))))))))</f>
        <v/>
      </c>
      <c r="AC1272" s="7" t="str">
        <f aca="false">IF(AB1272="","KEEP","DROP")</f>
        <v>KEEP</v>
      </c>
      <c r="AD1272" s="7" t="str">
        <f aca="false">IF(TRIM(F1272)="",IFERROR(INDEX(Map_Tables!$I$4:$I$37,MATCH(TRIM(E1272),Map_Tables!$G$4:$G$37,0)),""),IFERROR(INDEX(Map_Tables!$B$4:$B$18,MATCH(TRIM(F1272),Map_Tables!$A$4:$A$18,0)),"CHECK"))</f>
        <v>Delhi</v>
      </c>
      <c r="AE1272" s="7" t="str">
        <f aca="false">IF(TRIM(E1272)="","",IFERROR(INDEX(Map_Tables!$H$4:$H$37,MATCH(TRIM(E1272),Map_Tables!$G$4:$G$37,0)),"CHECK"))</f>
        <v>Tandoor Tales</v>
      </c>
      <c r="AF1272" s="7" t="str">
        <f aca="false">IF(TRIM(K1272)="","Unknown",IFERROR(INDEX(Map_Tables!$E$4:$E$15,MATCH(TRIM(K1272),Map_Tables!$D$4:$D$15,0)),"CHECK"))</f>
        <v>UPI</v>
      </c>
      <c r="AG1272" s="7" t="str">
        <f aca="false">IF(LEFT(LOWER(TRIM(L1272)),6)="cancel","Cancelled","Delivered")</f>
        <v>Delivered</v>
      </c>
      <c r="AH1272" s="10" t="n">
        <f aca="false">IF(ISNUMBER(SEARCH("/",B1272)),DATE(VALUE(RIGHT(B1272,4)),VALUE(MID(B1272,4,2)),VALUE(LEFT(B1272,2))),IF(MID(B1272,5,1)="-",DATE(VALUE(LEFT(B1272,4)),VALUE(MID(B1272,6,2)),VALUE(RIGHT(B1272,2))),DATE(VALUE(RIGHT(B1272,4)),MATCH(MID(B1272,4,3),{"Jan","Feb","Mar","Apr","May","Jun","Jul","Aug","Sep","Oct","Nov","Dec"},0),VALUE(LEFT(B1272,2)))))</f>
        <v>45975</v>
      </c>
    </row>
    <row r="1273" customFormat="false" ht="15" hidden="false" customHeight="false" outlineLevel="0" collapsed="false">
      <c r="A1273" s="7" t="s">
        <v>3534</v>
      </c>
      <c r="B1273" s="7" t="s">
        <v>1246</v>
      </c>
      <c r="C1273" s="7" t="s">
        <v>2155</v>
      </c>
      <c r="D1273" s="7" t="s">
        <v>2256</v>
      </c>
      <c r="E1273" s="7" t="s">
        <v>122</v>
      </c>
      <c r="F1273" s="7" t="s">
        <v>101</v>
      </c>
      <c r="G1273" s="7" t="s">
        <v>123</v>
      </c>
      <c r="H1273" s="7" t="n">
        <v>4</v>
      </c>
      <c r="I1273" s="7" t="n">
        <v>355</v>
      </c>
      <c r="J1273" s="7" t="n">
        <v>40</v>
      </c>
      <c r="K1273" s="7" t="s">
        <v>103</v>
      </c>
      <c r="L1273" s="7" t="s">
        <v>194</v>
      </c>
      <c r="M1273" s="7" t="n">
        <v>47</v>
      </c>
      <c r="N1273" s="7" t="n">
        <v>2</v>
      </c>
      <c r="O1273" s="7" t="str">
        <f aca="false">A1273&amp;"|"&amp;B1273&amp;"|"&amp;C1273&amp;"|"&amp;D1273&amp;"|"&amp;E1273&amp;"|"&amp;F1273&amp;"|"&amp;G1273&amp;"|"&amp;H1273&amp;"|"&amp;I1273&amp;"|"&amp;J1273&amp;"|"&amp;K1273&amp;"|"&amp;L1273&amp;"|"&amp;M1273&amp;"|"&amp;N1273</f>
        <v>ORD11277|2025-06-12|12:10|C1066|Mumbai Pizza Co|Mumbai|Pizza|4|355|40|Debit Card|Delivered|47|2</v>
      </c>
      <c r="P1273" s="7" t="str">
        <f aca="false">IF(COUNTIF($O$2:O1273,O1273)&gt;1,"DUP","OK")</f>
        <v>OK</v>
      </c>
      <c r="Q1273" s="7" t="n">
        <f aca="false">COUNTBLANK(A1273:N1273)</f>
        <v>0</v>
      </c>
      <c r="R1273" s="7" t="n">
        <f aca="false">IF(A1273="",0,COUNTIFS($A$2:$A$3058,A1273,$P$2:$P$3058,"OK"))</f>
        <v>1</v>
      </c>
      <c r="S1273" s="7" t="str">
        <f aca="false">IF(OR(A1273="",P1273="DUP",R1273&lt;2),"",IF(Q1273=_xlfn.MINIFS($Q$2:$Q$3058,$A$2:$A$3058,A1273,$P$2:$P$3058,"OK"),"KEEP","DROP"))</f>
        <v/>
      </c>
      <c r="T1273" s="9" t="n">
        <f aca="false">IF(A1273="",1,0)</f>
        <v>0</v>
      </c>
      <c r="U1273" s="9" t="n">
        <f aca="false">IF(D1273="",1,0)</f>
        <v>0</v>
      </c>
      <c r="V1273" s="9" t="n">
        <f aca="false">IF(E1273="",1,0)</f>
        <v>0</v>
      </c>
      <c r="W1273" s="9" t="n">
        <f aca="false">IF(OR(H1273&lt;1,H1273&gt;10),1,0)</f>
        <v>0</v>
      </c>
      <c r="X1273" s="9" t="n">
        <f aca="false">IF(OR(I1273&lt;=0,I1273&gt;1500),1,0)</f>
        <v>0</v>
      </c>
      <c r="Y1273" s="9" t="n">
        <f aca="false">IF(J1273&gt;H1273*I1273,1,0)</f>
        <v>0</v>
      </c>
      <c r="Z1273" s="9" t="n">
        <f aca="false">IF(AND(N1273&lt;&gt;"",OR(N1273&lt;1,N1273&gt;5)),1,0)</f>
        <v>0</v>
      </c>
      <c r="AA1273" s="9" t="n">
        <f aca="false">IF(AND(M1273&lt;&gt;"",OR(M1273&lt;5,M1273&gt;180)),1,0)</f>
        <v>0</v>
      </c>
      <c r="AB1273" s="7" t="str">
        <f aca="false">IF(P1273="DUP","Exact duplicate row",IF(T1273=1,"Missing Order ID",IF(S1273="DROP","Duplicate Order ID (less complete row)",IF(U1273=1,"Missing Customer ID",IF(V1273=1,"Missing Restaurant name",IF(W1273=1,"Invalid/outlier quantity",IF(X1273=1,"Invalid/outlier unit price",IF(Y1273=1,"Discount greater than order value",""))))))))</f>
        <v/>
      </c>
      <c r="AC1273" s="7" t="str">
        <f aca="false">IF(AB1273="","KEEP","DROP")</f>
        <v>KEEP</v>
      </c>
      <c r="AD1273" s="7" t="str">
        <f aca="false">IF(TRIM(F1273)="",IFERROR(INDEX(Map_Tables!$I$4:$I$37,MATCH(TRIM(E1273),Map_Tables!$G$4:$G$37,0)),""),IFERROR(INDEX(Map_Tables!$B$4:$B$18,MATCH(TRIM(F1273),Map_Tables!$A$4:$A$18,0)),"CHECK"))</f>
        <v>Mumbai</v>
      </c>
      <c r="AE1273" s="7" t="str">
        <f aca="false">IF(TRIM(E1273)="","",IFERROR(INDEX(Map_Tables!$H$4:$H$37,MATCH(TRIM(E1273),Map_Tables!$G$4:$G$37,0)),"CHECK"))</f>
        <v>Mumbai Pizza Co</v>
      </c>
      <c r="AF1273" s="7" t="str">
        <f aca="false">IF(TRIM(K1273)="","Unknown",IFERROR(INDEX(Map_Tables!$E$4:$E$15,MATCH(TRIM(K1273),Map_Tables!$D$4:$D$15,0)),"CHECK"))</f>
        <v>Debit Card</v>
      </c>
      <c r="AG1273" s="7" t="str">
        <f aca="false">IF(LEFT(LOWER(TRIM(L1273)),6)="cancel","Cancelled","Delivered")</f>
        <v>Delivered</v>
      </c>
      <c r="AH1273" s="10" t="n">
        <f aca="false">IF(ISNUMBER(SEARCH("/",B1273)),DATE(VALUE(RIGHT(B1273,4)),VALUE(MID(B1273,4,2)),VALUE(LEFT(B1273,2))),IF(MID(B1273,5,1)="-",DATE(VALUE(LEFT(B1273,4)),VALUE(MID(B1273,6,2)),VALUE(RIGHT(B1273,2))),DATE(VALUE(RIGHT(B1273,4)),MATCH(MID(B1273,4,3),{"Jan","Feb","Mar","Apr","May","Jun","Jul","Aug","Sep","Oct","Nov","Dec"},0),VALUE(LEFT(B1273,2)))))</f>
        <v>45820</v>
      </c>
    </row>
    <row r="1274" customFormat="false" ht="15" hidden="false" customHeight="false" outlineLevel="0" collapsed="false">
      <c r="A1274" s="7" t="s">
        <v>3535</v>
      </c>
      <c r="B1274" s="7" t="s">
        <v>1538</v>
      </c>
      <c r="C1274" s="7" t="s">
        <v>1957</v>
      </c>
      <c r="D1274" s="7" t="s">
        <v>2054</v>
      </c>
      <c r="E1274" s="7" t="s">
        <v>160</v>
      </c>
      <c r="F1274" s="7" t="s">
        <v>136</v>
      </c>
      <c r="G1274" s="7" t="s">
        <v>150</v>
      </c>
      <c r="H1274" s="7" t="n">
        <v>3</v>
      </c>
      <c r="I1274" s="7" t="n">
        <v>135</v>
      </c>
      <c r="J1274" s="7" t="n">
        <v>0</v>
      </c>
      <c r="K1274" s="7" t="s">
        <v>112</v>
      </c>
      <c r="L1274" s="7" t="s">
        <v>194</v>
      </c>
      <c r="M1274" s="7" t="n">
        <v>40</v>
      </c>
      <c r="N1274" s="7" t="n">
        <v>3</v>
      </c>
      <c r="O1274" s="7" t="str">
        <f aca="false">A1274&amp;"|"&amp;B1274&amp;"|"&amp;C1274&amp;"|"&amp;D1274&amp;"|"&amp;E1274&amp;"|"&amp;F1274&amp;"|"&amp;G1274&amp;"|"&amp;H1274&amp;"|"&amp;I1274&amp;"|"&amp;J1274&amp;"|"&amp;K1274&amp;"|"&amp;L1274&amp;"|"&amp;M1274&amp;"|"&amp;N1274</f>
        <v>ORD11843|2025-08-28|13:29|C0837|Cake Walk|Pune|Desserts|3|135|0|Cash on Delivery|Delivered|40|3</v>
      </c>
      <c r="P1274" s="7" t="str">
        <f aca="false">IF(COUNTIF($O$2:O1274,O1274)&gt;1,"DUP","OK")</f>
        <v>OK</v>
      </c>
      <c r="Q1274" s="7" t="n">
        <f aca="false">COUNTBLANK(A1274:N1274)</f>
        <v>0</v>
      </c>
      <c r="R1274" s="7" t="n">
        <f aca="false">IF(A1274="",0,COUNTIFS($A$2:$A$3058,A1274,$P$2:$P$3058,"OK"))</f>
        <v>1</v>
      </c>
      <c r="S1274" s="7" t="str">
        <f aca="false">IF(OR(A1274="",P1274="DUP",R1274&lt;2),"",IF(Q1274=_xlfn.MINIFS($Q$2:$Q$3058,$A$2:$A$3058,A1274,$P$2:$P$3058,"OK"),"KEEP","DROP"))</f>
        <v/>
      </c>
      <c r="T1274" s="9" t="n">
        <f aca="false">IF(A1274="",1,0)</f>
        <v>0</v>
      </c>
      <c r="U1274" s="9" t="n">
        <f aca="false">IF(D1274="",1,0)</f>
        <v>0</v>
      </c>
      <c r="V1274" s="9" t="n">
        <f aca="false">IF(E1274="",1,0)</f>
        <v>0</v>
      </c>
      <c r="W1274" s="9" t="n">
        <f aca="false">IF(OR(H1274&lt;1,H1274&gt;10),1,0)</f>
        <v>0</v>
      </c>
      <c r="X1274" s="9" t="n">
        <f aca="false">IF(OR(I1274&lt;=0,I1274&gt;1500),1,0)</f>
        <v>0</v>
      </c>
      <c r="Y1274" s="9" t="n">
        <f aca="false">IF(J1274&gt;H1274*I1274,1,0)</f>
        <v>0</v>
      </c>
      <c r="Z1274" s="9" t="n">
        <f aca="false">IF(AND(N1274&lt;&gt;"",OR(N1274&lt;1,N1274&gt;5)),1,0)</f>
        <v>0</v>
      </c>
      <c r="AA1274" s="9" t="n">
        <f aca="false">IF(AND(M1274&lt;&gt;"",OR(M1274&lt;5,M1274&gt;180)),1,0)</f>
        <v>0</v>
      </c>
      <c r="AB1274" s="7" t="str">
        <f aca="false">IF(P1274="DUP","Exact duplicate row",IF(T1274=1,"Missing Order ID",IF(S1274="DROP","Duplicate Order ID (less complete row)",IF(U1274=1,"Missing Customer ID",IF(V1274=1,"Missing Restaurant name",IF(W1274=1,"Invalid/outlier quantity",IF(X1274=1,"Invalid/outlier unit price",IF(Y1274=1,"Discount greater than order value",""))))))))</f>
        <v/>
      </c>
      <c r="AC1274" s="7" t="str">
        <f aca="false">IF(AB1274="","KEEP","DROP")</f>
        <v>KEEP</v>
      </c>
      <c r="AD1274" s="7" t="str">
        <f aca="false">IF(TRIM(F1274)="",IFERROR(INDEX(Map_Tables!$I$4:$I$37,MATCH(TRIM(E1274),Map_Tables!$G$4:$G$37,0)),""),IFERROR(INDEX(Map_Tables!$B$4:$B$18,MATCH(TRIM(F1274),Map_Tables!$A$4:$A$18,0)),"CHECK"))</f>
        <v>Pune</v>
      </c>
      <c r="AE1274" s="7" t="str">
        <f aca="false">IF(TRIM(E1274)="","",IFERROR(INDEX(Map_Tables!$H$4:$H$37,MATCH(TRIM(E1274),Map_Tables!$G$4:$G$37,0)),"CHECK"))</f>
        <v>Cake Walk</v>
      </c>
      <c r="AF1274" s="7" t="str">
        <f aca="false">IF(TRIM(K1274)="","Unknown",IFERROR(INDEX(Map_Tables!$E$4:$E$15,MATCH(TRIM(K1274),Map_Tables!$D$4:$D$15,0)),"CHECK"))</f>
        <v>Cash on Delivery</v>
      </c>
      <c r="AG1274" s="7" t="str">
        <f aca="false">IF(LEFT(LOWER(TRIM(L1274)),6)="cancel","Cancelled","Delivered")</f>
        <v>Delivered</v>
      </c>
      <c r="AH1274" s="10" t="n">
        <f aca="false">IF(ISNUMBER(SEARCH("/",B1274)),DATE(VALUE(RIGHT(B1274,4)),VALUE(MID(B1274,4,2)),VALUE(LEFT(B1274,2))),IF(MID(B1274,5,1)="-",DATE(VALUE(LEFT(B1274,4)),VALUE(MID(B1274,6,2)),VALUE(RIGHT(B1274,2))),DATE(VALUE(RIGHT(B1274,4)),MATCH(MID(B1274,4,3),{"Jan","Feb","Mar","Apr","May","Jun","Jul","Aug","Sep","Oct","Nov","Dec"},0),VALUE(LEFT(B1274,2)))))</f>
        <v>45897</v>
      </c>
    </row>
    <row r="1275" customFormat="false" ht="15" hidden="false" customHeight="false" outlineLevel="0" collapsed="false">
      <c r="A1275" s="7" t="s">
        <v>3536</v>
      </c>
      <c r="B1275" s="7" t="s">
        <v>2320</v>
      </c>
      <c r="C1275" s="7" t="s">
        <v>3537</v>
      </c>
      <c r="D1275" s="7" t="s">
        <v>3538</v>
      </c>
      <c r="E1275" s="7" t="s">
        <v>98</v>
      </c>
      <c r="F1275" s="7" t="s">
        <v>86</v>
      </c>
      <c r="G1275" s="7" t="s">
        <v>99</v>
      </c>
      <c r="H1275" s="7" t="n">
        <v>2</v>
      </c>
      <c r="I1275" s="7" t="n">
        <v>245</v>
      </c>
      <c r="J1275" s="7" t="n">
        <v>50</v>
      </c>
      <c r="K1275" s="7" t="s">
        <v>88</v>
      </c>
      <c r="L1275" s="7" t="s">
        <v>194</v>
      </c>
      <c r="M1275" s="7" t="n">
        <v>40</v>
      </c>
      <c r="N1275" s="7" t="n">
        <v>5</v>
      </c>
      <c r="O1275" s="7" t="str">
        <f aca="false">A1275&amp;"|"&amp;B1275&amp;"|"&amp;C1275&amp;"|"&amp;D1275&amp;"|"&amp;E1275&amp;"|"&amp;F1275&amp;"|"&amp;G1275&amp;"|"&amp;H1275&amp;"|"&amp;I1275&amp;"|"&amp;J1275&amp;"|"&amp;K1275&amp;"|"&amp;L1275&amp;"|"&amp;M1275&amp;"|"&amp;N1275</f>
        <v>ORD11468|2025-07-10|10:00|C1440|Nawabi Biryani House|Bengaluru|Biryani|2|245|50|UPI|Delivered|40|5</v>
      </c>
      <c r="P1275" s="7" t="str">
        <f aca="false">IF(COUNTIF($O$2:O1275,O1275)&gt;1,"DUP","OK")</f>
        <v>OK</v>
      </c>
      <c r="Q1275" s="7" t="n">
        <f aca="false">COUNTBLANK(A1275:N1275)</f>
        <v>0</v>
      </c>
      <c r="R1275" s="7" t="n">
        <f aca="false">IF(A1275="",0,COUNTIFS($A$2:$A$3058,A1275,$P$2:$P$3058,"OK"))</f>
        <v>1</v>
      </c>
      <c r="S1275" s="7" t="str">
        <f aca="false">IF(OR(A1275="",P1275="DUP",R1275&lt;2),"",IF(Q1275=_xlfn.MINIFS($Q$2:$Q$3058,$A$2:$A$3058,A1275,$P$2:$P$3058,"OK"),"KEEP","DROP"))</f>
        <v/>
      </c>
      <c r="T1275" s="9" t="n">
        <f aca="false">IF(A1275="",1,0)</f>
        <v>0</v>
      </c>
      <c r="U1275" s="9" t="n">
        <f aca="false">IF(D1275="",1,0)</f>
        <v>0</v>
      </c>
      <c r="V1275" s="9" t="n">
        <f aca="false">IF(E1275="",1,0)</f>
        <v>0</v>
      </c>
      <c r="W1275" s="9" t="n">
        <f aca="false">IF(OR(H1275&lt;1,H1275&gt;10),1,0)</f>
        <v>0</v>
      </c>
      <c r="X1275" s="9" t="n">
        <f aca="false">IF(OR(I1275&lt;=0,I1275&gt;1500),1,0)</f>
        <v>0</v>
      </c>
      <c r="Y1275" s="9" t="n">
        <f aca="false">IF(J1275&gt;H1275*I1275,1,0)</f>
        <v>0</v>
      </c>
      <c r="Z1275" s="9" t="n">
        <f aca="false">IF(AND(N1275&lt;&gt;"",OR(N1275&lt;1,N1275&gt;5)),1,0)</f>
        <v>0</v>
      </c>
      <c r="AA1275" s="9" t="n">
        <f aca="false">IF(AND(M1275&lt;&gt;"",OR(M1275&lt;5,M1275&gt;180)),1,0)</f>
        <v>0</v>
      </c>
      <c r="AB1275" s="7" t="str">
        <f aca="false">IF(P1275="DUP","Exact duplicate row",IF(T1275=1,"Missing Order ID",IF(S1275="DROP","Duplicate Order ID (less complete row)",IF(U1275=1,"Missing Customer ID",IF(V1275=1,"Missing Restaurant name",IF(W1275=1,"Invalid/outlier quantity",IF(X1275=1,"Invalid/outlier unit price",IF(Y1275=1,"Discount greater than order value",""))))))))</f>
        <v/>
      </c>
      <c r="AC1275" s="7" t="str">
        <f aca="false">IF(AB1275="","KEEP","DROP")</f>
        <v>KEEP</v>
      </c>
      <c r="AD1275" s="7" t="str">
        <f aca="false">IF(TRIM(F1275)="",IFERROR(INDEX(Map_Tables!$I$4:$I$37,MATCH(TRIM(E1275),Map_Tables!$G$4:$G$37,0)),""),IFERROR(INDEX(Map_Tables!$B$4:$B$18,MATCH(TRIM(F1275),Map_Tables!$A$4:$A$18,0)),"CHECK"))</f>
        <v>Bengaluru</v>
      </c>
      <c r="AE1275" s="7" t="str">
        <f aca="false">IF(TRIM(E1275)="","",IFERROR(INDEX(Map_Tables!$H$4:$H$37,MATCH(TRIM(E1275),Map_Tables!$G$4:$G$37,0)),"CHECK"))</f>
        <v>Nawabi Biryani House</v>
      </c>
      <c r="AF1275" s="7" t="str">
        <f aca="false">IF(TRIM(K1275)="","Unknown",IFERROR(INDEX(Map_Tables!$E$4:$E$15,MATCH(TRIM(K1275),Map_Tables!$D$4:$D$15,0)),"CHECK"))</f>
        <v>UPI</v>
      </c>
      <c r="AG1275" s="7" t="str">
        <f aca="false">IF(LEFT(LOWER(TRIM(L1275)),6)="cancel","Cancelled","Delivered")</f>
        <v>Delivered</v>
      </c>
      <c r="AH1275" s="10" t="n">
        <f aca="false">IF(ISNUMBER(SEARCH("/",B1275)),DATE(VALUE(RIGHT(B1275,4)),VALUE(MID(B1275,4,2)),VALUE(LEFT(B1275,2))),IF(MID(B1275,5,1)="-",DATE(VALUE(LEFT(B1275,4)),VALUE(MID(B1275,6,2)),VALUE(RIGHT(B1275,2))),DATE(VALUE(RIGHT(B1275,4)),MATCH(MID(B1275,4,3),{"Jan","Feb","Mar","Apr","May","Jun","Jul","Aug","Sep","Oct","Nov","Dec"},0),VALUE(LEFT(B1275,2)))))</f>
        <v>45848</v>
      </c>
    </row>
    <row r="1276" customFormat="false" ht="15" hidden="false" customHeight="false" outlineLevel="0" collapsed="false">
      <c r="A1276" s="7" t="s">
        <v>3539</v>
      </c>
      <c r="B1276" s="7" t="s">
        <v>800</v>
      </c>
      <c r="C1276" s="7" t="s">
        <v>3540</v>
      </c>
      <c r="D1276" s="7" t="s">
        <v>3541</v>
      </c>
      <c r="E1276" s="7" t="s">
        <v>144</v>
      </c>
      <c r="F1276" s="7" t="s">
        <v>119</v>
      </c>
      <c r="G1276" s="7" t="s">
        <v>99</v>
      </c>
      <c r="H1276" s="7" t="n">
        <v>4</v>
      </c>
      <c r="I1276" s="7" t="n">
        <v>300</v>
      </c>
      <c r="J1276" s="7" t="n">
        <v>0</v>
      </c>
      <c r="K1276" s="7" t="s">
        <v>88</v>
      </c>
      <c r="L1276" s="7" t="s">
        <v>194</v>
      </c>
      <c r="M1276" s="7" t="n">
        <v>33</v>
      </c>
      <c r="N1276" s="7" t="n">
        <v>5</v>
      </c>
      <c r="O1276" s="7" t="str">
        <f aca="false">A1276&amp;"|"&amp;B1276&amp;"|"&amp;C1276&amp;"|"&amp;D1276&amp;"|"&amp;E1276&amp;"|"&amp;F1276&amp;"|"&amp;G1276&amp;"|"&amp;H1276&amp;"|"&amp;I1276&amp;"|"&amp;J1276&amp;"|"&amp;K1276&amp;"|"&amp;L1276&amp;"|"&amp;M1276&amp;"|"&amp;N1276</f>
        <v>ORD11138|2025-05-24|22:34|C0577|Hyderabad Dum Biryani|Hyderabad|Biryani|4|300|0|UPI|Delivered|33|5</v>
      </c>
      <c r="P1276" s="7" t="str">
        <f aca="false">IF(COUNTIF($O$2:O1276,O1276)&gt;1,"DUP","OK")</f>
        <v>OK</v>
      </c>
      <c r="Q1276" s="7" t="n">
        <f aca="false">COUNTBLANK(A1276:N1276)</f>
        <v>0</v>
      </c>
      <c r="R1276" s="7" t="n">
        <f aca="false">IF(A1276="",0,COUNTIFS($A$2:$A$3058,A1276,$P$2:$P$3058,"OK"))</f>
        <v>1</v>
      </c>
      <c r="S1276" s="7" t="str">
        <f aca="false">IF(OR(A1276="",P1276="DUP",R1276&lt;2),"",IF(Q1276=_xlfn.MINIFS($Q$2:$Q$3058,$A$2:$A$3058,A1276,$P$2:$P$3058,"OK"),"KEEP","DROP"))</f>
        <v/>
      </c>
      <c r="T1276" s="9" t="n">
        <f aca="false">IF(A1276="",1,0)</f>
        <v>0</v>
      </c>
      <c r="U1276" s="9" t="n">
        <f aca="false">IF(D1276="",1,0)</f>
        <v>0</v>
      </c>
      <c r="V1276" s="9" t="n">
        <f aca="false">IF(E1276="",1,0)</f>
        <v>0</v>
      </c>
      <c r="W1276" s="9" t="n">
        <f aca="false">IF(OR(H1276&lt;1,H1276&gt;10),1,0)</f>
        <v>0</v>
      </c>
      <c r="X1276" s="9" t="n">
        <f aca="false">IF(OR(I1276&lt;=0,I1276&gt;1500),1,0)</f>
        <v>0</v>
      </c>
      <c r="Y1276" s="9" t="n">
        <f aca="false">IF(J1276&gt;H1276*I1276,1,0)</f>
        <v>0</v>
      </c>
      <c r="Z1276" s="9" t="n">
        <f aca="false">IF(AND(N1276&lt;&gt;"",OR(N1276&lt;1,N1276&gt;5)),1,0)</f>
        <v>0</v>
      </c>
      <c r="AA1276" s="9" t="n">
        <f aca="false">IF(AND(M1276&lt;&gt;"",OR(M1276&lt;5,M1276&gt;180)),1,0)</f>
        <v>0</v>
      </c>
      <c r="AB1276" s="7" t="str">
        <f aca="false">IF(P1276="DUP","Exact duplicate row",IF(T1276=1,"Missing Order ID",IF(S1276="DROP","Duplicate Order ID (less complete row)",IF(U1276=1,"Missing Customer ID",IF(V1276=1,"Missing Restaurant name",IF(W1276=1,"Invalid/outlier quantity",IF(X1276=1,"Invalid/outlier unit price",IF(Y1276=1,"Discount greater than order value",""))))))))</f>
        <v/>
      </c>
      <c r="AC1276" s="7" t="str">
        <f aca="false">IF(AB1276="","KEEP","DROP")</f>
        <v>KEEP</v>
      </c>
      <c r="AD1276" s="7" t="str">
        <f aca="false">IF(TRIM(F1276)="",IFERROR(INDEX(Map_Tables!$I$4:$I$37,MATCH(TRIM(E1276),Map_Tables!$G$4:$G$37,0)),""),IFERROR(INDEX(Map_Tables!$B$4:$B$18,MATCH(TRIM(F1276),Map_Tables!$A$4:$A$18,0)),"CHECK"))</f>
        <v>Hyderabad</v>
      </c>
      <c r="AE1276" s="7" t="str">
        <f aca="false">IF(TRIM(E1276)="","",IFERROR(INDEX(Map_Tables!$H$4:$H$37,MATCH(TRIM(E1276),Map_Tables!$G$4:$G$37,0)),"CHECK"))</f>
        <v>Hyderabad Dum Biryani</v>
      </c>
      <c r="AF1276" s="7" t="str">
        <f aca="false">IF(TRIM(K1276)="","Unknown",IFERROR(INDEX(Map_Tables!$E$4:$E$15,MATCH(TRIM(K1276),Map_Tables!$D$4:$D$15,0)),"CHECK"))</f>
        <v>UPI</v>
      </c>
      <c r="AG1276" s="7" t="str">
        <f aca="false">IF(LEFT(LOWER(TRIM(L1276)),6)="cancel","Cancelled","Delivered")</f>
        <v>Delivered</v>
      </c>
      <c r="AH1276" s="10" t="n">
        <f aca="false">IF(ISNUMBER(SEARCH("/",B1276)),DATE(VALUE(RIGHT(B1276,4)),VALUE(MID(B1276,4,2)),VALUE(LEFT(B1276,2))),IF(MID(B1276,5,1)="-",DATE(VALUE(LEFT(B1276,4)),VALUE(MID(B1276,6,2)),VALUE(RIGHT(B1276,2))),DATE(VALUE(RIGHT(B1276,4)),MATCH(MID(B1276,4,3),{"Jan","Feb","Mar","Apr","May","Jun","Jul","Aug","Sep","Oct","Nov","Dec"},0),VALUE(LEFT(B1276,2)))))</f>
        <v>45801</v>
      </c>
    </row>
    <row r="1277" customFormat="false" ht="15" hidden="false" customHeight="false" outlineLevel="0" collapsed="false">
      <c r="A1277" s="7" t="s">
        <v>3542</v>
      </c>
      <c r="B1277" s="7" t="s">
        <v>1389</v>
      </c>
      <c r="C1277" s="7" t="s">
        <v>1145</v>
      </c>
      <c r="D1277" s="7" t="s">
        <v>3543</v>
      </c>
      <c r="E1277" s="7" t="s">
        <v>89</v>
      </c>
      <c r="F1277" s="7" t="s">
        <v>86</v>
      </c>
      <c r="G1277" s="7" t="s">
        <v>90</v>
      </c>
      <c r="H1277" s="7" t="n">
        <v>2</v>
      </c>
      <c r="I1277" s="7" t="n">
        <v>210</v>
      </c>
      <c r="J1277" s="7" t="n">
        <v>50</v>
      </c>
      <c r="K1277" s="7" t="s">
        <v>229</v>
      </c>
      <c r="L1277" s="7" t="s">
        <v>194</v>
      </c>
      <c r="M1277" s="7" t="n">
        <v>43</v>
      </c>
      <c r="N1277" s="7" t="n">
        <v>5</v>
      </c>
      <c r="O1277" s="7" t="str">
        <f aca="false">A1277&amp;"|"&amp;B1277&amp;"|"&amp;C1277&amp;"|"&amp;D1277&amp;"|"&amp;E1277&amp;"|"&amp;F1277&amp;"|"&amp;G1277&amp;"|"&amp;H1277&amp;"|"&amp;I1277&amp;"|"&amp;J1277&amp;"|"&amp;K1277&amp;"|"&amp;L1277&amp;"|"&amp;M1277&amp;"|"&amp;N1277</f>
        <v>ORD11199|2025-06-01|18:47|C0619|Spice Junction|Bengaluru|North Indian|2|210|50|Upi|Delivered|43|5</v>
      </c>
      <c r="P1277" s="7" t="str">
        <f aca="false">IF(COUNTIF($O$2:O1277,O1277)&gt;1,"DUP","OK")</f>
        <v>OK</v>
      </c>
      <c r="Q1277" s="7" t="n">
        <f aca="false">COUNTBLANK(A1277:N1277)</f>
        <v>0</v>
      </c>
      <c r="R1277" s="7" t="n">
        <f aca="false">IF(A1277="",0,COUNTIFS($A$2:$A$3058,A1277,$P$2:$P$3058,"OK"))</f>
        <v>1</v>
      </c>
      <c r="S1277" s="7" t="str">
        <f aca="false">IF(OR(A1277="",P1277="DUP",R1277&lt;2),"",IF(Q1277=_xlfn.MINIFS($Q$2:$Q$3058,$A$2:$A$3058,A1277,$P$2:$P$3058,"OK"),"KEEP","DROP"))</f>
        <v/>
      </c>
      <c r="T1277" s="9" t="n">
        <f aca="false">IF(A1277="",1,0)</f>
        <v>0</v>
      </c>
      <c r="U1277" s="9" t="n">
        <f aca="false">IF(D1277="",1,0)</f>
        <v>0</v>
      </c>
      <c r="V1277" s="9" t="n">
        <f aca="false">IF(E1277="",1,0)</f>
        <v>0</v>
      </c>
      <c r="W1277" s="9" t="n">
        <f aca="false">IF(OR(H1277&lt;1,H1277&gt;10),1,0)</f>
        <v>0</v>
      </c>
      <c r="X1277" s="9" t="n">
        <f aca="false">IF(OR(I1277&lt;=0,I1277&gt;1500),1,0)</f>
        <v>0</v>
      </c>
      <c r="Y1277" s="9" t="n">
        <f aca="false">IF(J1277&gt;H1277*I1277,1,0)</f>
        <v>0</v>
      </c>
      <c r="Z1277" s="9" t="n">
        <f aca="false">IF(AND(N1277&lt;&gt;"",OR(N1277&lt;1,N1277&gt;5)),1,0)</f>
        <v>0</v>
      </c>
      <c r="AA1277" s="9" t="n">
        <f aca="false">IF(AND(M1277&lt;&gt;"",OR(M1277&lt;5,M1277&gt;180)),1,0)</f>
        <v>0</v>
      </c>
      <c r="AB1277" s="7" t="str">
        <f aca="false">IF(P1277="DUP","Exact duplicate row",IF(T1277=1,"Missing Order ID",IF(S1277="DROP","Duplicate Order ID (less complete row)",IF(U1277=1,"Missing Customer ID",IF(V1277=1,"Missing Restaurant name",IF(W1277=1,"Invalid/outlier quantity",IF(X1277=1,"Invalid/outlier unit price",IF(Y1277=1,"Discount greater than order value",""))))))))</f>
        <v/>
      </c>
      <c r="AC1277" s="7" t="str">
        <f aca="false">IF(AB1277="","KEEP","DROP")</f>
        <v>KEEP</v>
      </c>
      <c r="AD1277" s="7" t="str">
        <f aca="false">IF(TRIM(F1277)="",IFERROR(INDEX(Map_Tables!$I$4:$I$37,MATCH(TRIM(E1277),Map_Tables!$G$4:$G$37,0)),""),IFERROR(INDEX(Map_Tables!$B$4:$B$18,MATCH(TRIM(F1277),Map_Tables!$A$4:$A$18,0)),"CHECK"))</f>
        <v>Bengaluru</v>
      </c>
      <c r="AE1277" s="7" t="str">
        <f aca="false">IF(TRIM(E1277)="","",IFERROR(INDEX(Map_Tables!$H$4:$H$37,MATCH(TRIM(E1277),Map_Tables!$G$4:$G$37,0)),"CHECK"))</f>
        <v>Spice Junction</v>
      </c>
      <c r="AF1277" s="7" t="str">
        <f aca="false">IF(TRIM(K1277)="","Unknown",IFERROR(INDEX(Map_Tables!$E$4:$E$15,MATCH(TRIM(K1277),Map_Tables!$D$4:$D$15,0)),"CHECK"))</f>
        <v>UPI</v>
      </c>
      <c r="AG1277" s="7" t="str">
        <f aca="false">IF(LEFT(LOWER(TRIM(L1277)),6)="cancel","Cancelled","Delivered")</f>
        <v>Delivered</v>
      </c>
      <c r="AH1277" s="10" t="n">
        <f aca="false">IF(ISNUMBER(SEARCH("/",B1277)),DATE(VALUE(RIGHT(B1277,4)),VALUE(MID(B1277,4,2)),VALUE(LEFT(B1277,2))),IF(MID(B1277,5,1)="-",DATE(VALUE(LEFT(B1277,4)),VALUE(MID(B1277,6,2)),VALUE(RIGHT(B1277,2))),DATE(VALUE(RIGHT(B1277,4)),MATCH(MID(B1277,4,3),{"Jan","Feb","Mar","Apr","May","Jun","Jul","Aug","Sep","Oct","Nov","Dec"},0),VALUE(LEFT(B1277,2)))))</f>
        <v>45809</v>
      </c>
    </row>
    <row r="1278" customFormat="false" ht="15" hidden="false" customHeight="false" outlineLevel="0" collapsed="false">
      <c r="A1278" s="7" t="s">
        <v>3544</v>
      </c>
      <c r="B1278" s="7" t="s">
        <v>2312</v>
      </c>
      <c r="C1278" s="7" t="s">
        <v>191</v>
      </c>
      <c r="D1278" s="7" t="s">
        <v>2577</v>
      </c>
      <c r="E1278" s="7" t="s">
        <v>158</v>
      </c>
      <c r="F1278" s="7" t="s">
        <v>136</v>
      </c>
      <c r="G1278" s="7" t="s">
        <v>139</v>
      </c>
      <c r="H1278" s="7" t="n">
        <v>1</v>
      </c>
      <c r="I1278" s="7" t="n">
        <v>170</v>
      </c>
      <c r="J1278" s="7" t="n">
        <v>0</v>
      </c>
      <c r="K1278" s="7" t="s">
        <v>88</v>
      </c>
      <c r="L1278" s="7" t="s">
        <v>238</v>
      </c>
      <c r="M1278" s="7"/>
      <c r="N1278" s="7"/>
      <c r="O1278" s="7" t="str">
        <f aca="false">A1278&amp;"|"&amp;B1278&amp;"|"&amp;C1278&amp;"|"&amp;D1278&amp;"|"&amp;E1278&amp;"|"&amp;F1278&amp;"|"&amp;G1278&amp;"|"&amp;H1278&amp;"|"&amp;I1278&amp;"|"&amp;J1278&amp;"|"&amp;K1278&amp;"|"&amp;L1278&amp;"|"&amp;M1278&amp;"|"&amp;N1278</f>
        <v>ORD12422|2025-11-01|12:57|C0705|Pune Burger Hub|Pune|Burgers|1|170|0|UPI|Cancelled||</v>
      </c>
      <c r="P1278" s="7" t="str">
        <f aca="false">IF(COUNTIF($O$2:O1278,O1278)&gt;1,"DUP","OK")</f>
        <v>OK</v>
      </c>
      <c r="Q1278" s="7" t="n">
        <f aca="false">COUNTBLANK(A1278:N1278)</f>
        <v>2</v>
      </c>
      <c r="R1278" s="7" t="n">
        <f aca="false">IF(A1278="",0,COUNTIFS($A$2:$A$3058,A1278,$P$2:$P$3058,"OK"))</f>
        <v>1</v>
      </c>
      <c r="S1278" s="7" t="str">
        <f aca="false">IF(OR(A1278="",P1278="DUP",R1278&lt;2),"",IF(Q1278=_xlfn.MINIFS($Q$2:$Q$3058,$A$2:$A$3058,A1278,$P$2:$P$3058,"OK"),"KEEP","DROP"))</f>
        <v/>
      </c>
      <c r="T1278" s="9" t="n">
        <f aca="false">IF(A1278="",1,0)</f>
        <v>0</v>
      </c>
      <c r="U1278" s="9" t="n">
        <f aca="false">IF(D1278="",1,0)</f>
        <v>0</v>
      </c>
      <c r="V1278" s="9" t="n">
        <f aca="false">IF(E1278="",1,0)</f>
        <v>0</v>
      </c>
      <c r="W1278" s="9" t="n">
        <f aca="false">IF(OR(H1278&lt;1,H1278&gt;10),1,0)</f>
        <v>0</v>
      </c>
      <c r="X1278" s="9" t="n">
        <f aca="false">IF(OR(I1278&lt;=0,I1278&gt;1500),1,0)</f>
        <v>0</v>
      </c>
      <c r="Y1278" s="9" t="n">
        <f aca="false">IF(J1278&gt;H1278*I1278,1,0)</f>
        <v>0</v>
      </c>
      <c r="Z1278" s="9" t="n">
        <f aca="false">IF(AND(N1278&lt;&gt;"",OR(N1278&lt;1,N1278&gt;5)),1,0)</f>
        <v>0</v>
      </c>
      <c r="AA1278" s="9" t="n">
        <f aca="false">IF(AND(M1278&lt;&gt;"",OR(M1278&lt;5,M1278&gt;180)),1,0)</f>
        <v>0</v>
      </c>
      <c r="AB1278" s="7" t="str">
        <f aca="false">IF(P1278="DUP","Exact duplicate row",IF(T1278=1,"Missing Order ID",IF(S1278="DROP","Duplicate Order ID (less complete row)",IF(U1278=1,"Missing Customer ID",IF(V1278=1,"Missing Restaurant name",IF(W1278=1,"Invalid/outlier quantity",IF(X1278=1,"Invalid/outlier unit price",IF(Y1278=1,"Discount greater than order value",""))))))))</f>
        <v/>
      </c>
      <c r="AC1278" s="7" t="str">
        <f aca="false">IF(AB1278="","KEEP","DROP")</f>
        <v>KEEP</v>
      </c>
      <c r="AD1278" s="7" t="str">
        <f aca="false">IF(TRIM(F1278)="",IFERROR(INDEX(Map_Tables!$I$4:$I$37,MATCH(TRIM(E1278),Map_Tables!$G$4:$G$37,0)),""),IFERROR(INDEX(Map_Tables!$B$4:$B$18,MATCH(TRIM(F1278),Map_Tables!$A$4:$A$18,0)),"CHECK"))</f>
        <v>Pune</v>
      </c>
      <c r="AE1278" s="7" t="str">
        <f aca="false">IF(TRIM(E1278)="","",IFERROR(INDEX(Map_Tables!$H$4:$H$37,MATCH(TRIM(E1278),Map_Tables!$G$4:$G$37,0)),"CHECK"))</f>
        <v>Pune Burger Hub</v>
      </c>
      <c r="AF1278" s="7" t="str">
        <f aca="false">IF(TRIM(K1278)="","Unknown",IFERROR(INDEX(Map_Tables!$E$4:$E$15,MATCH(TRIM(K1278),Map_Tables!$D$4:$D$15,0)),"CHECK"))</f>
        <v>UPI</v>
      </c>
      <c r="AG1278" s="7" t="str">
        <f aca="false">IF(LEFT(LOWER(TRIM(L1278)),6)="cancel","Cancelled","Delivered")</f>
        <v>Cancelled</v>
      </c>
      <c r="AH1278" s="10" t="n">
        <f aca="false">IF(ISNUMBER(SEARCH("/",B1278)),DATE(VALUE(RIGHT(B1278,4)),VALUE(MID(B1278,4,2)),VALUE(LEFT(B1278,2))),IF(MID(B1278,5,1)="-",DATE(VALUE(LEFT(B1278,4)),VALUE(MID(B1278,6,2)),VALUE(RIGHT(B1278,2))),DATE(VALUE(RIGHT(B1278,4)),MATCH(MID(B1278,4,3),{"Jan","Feb","Mar","Apr","May","Jun","Jul","Aug","Sep","Oct","Nov","Dec"},0),VALUE(LEFT(B1278,2)))))</f>
        <v>45962</v>
      </c>
    </row>
    <row r="1279" customFormat="false" ht="15" hidden="false" customHeight="false" outlineLevel="0" collapsed="false">
      <c r="A1279" s="7" t="s">
        <v>3545</v>
      </c>
      <c r="B1279" s="7" t="s">
        <v>3200</v>
      </c>
      <c r="C1279" s="7" t="s">
        <v>1788</v>
      </c>
      <c r="D1279" s="7" t="s">
        <v>690</v>
      </c>
      <c r="E1279" s="7" t="s">
        <v>126</v>
      </c>
      <c r="F1279" s="7" t="s">
        <v>101</v>
      </c>
      <c r="G1279" s="7" t="s">
        <v>105</v>
      </c>
      <c r="H1279" s="7" t="n">
        <v>2</v>
      </c>
      <c r="I1279" s="7" t="n">
        <v>225</v>
      </c>
      <c r="J1279" s="7" t="n">
        <v>150</v>
      </c>
      <c r="K1279" s="7" t="s">
        <v>93</v>
      </c>
      <c r="L1279" s="7" t="s">
        <v>194</v>
      </c>
      <c r="M1279" s="7" t="n">
        <v>38</v>
      </c>
      <c r="N1279" s="7" t="n">
        <v>4</v>
      </c>
      <c r="O1279" s="7" t="str">
        <f aca="false">A1279&amp;"|"&amp;B1279&amp;"|"&amp;C1279&amp;"|"&amp;D1279&amp;"|"&amp;E1279&amp;"|"&amp;F1279&amp;"|"&amp;G1279&amp;"|"&amp;H1279&amp;"|"&amp;I1279&amp;"|"&amp;J1279&amp;"|"&amp;K1279&amp;"|"&amp;L1279&amp;"|"&amp;M1279&amp;"|"&amp;N1279</f>
        <v>ORD10163|2025-01-21|20:33|C0311|Dragon Express|Mumbai|Chinese|2|225|150|Credit Card|Delivered|38|4</v>
      </c>
      <c r="P1279" s="7" t="str">
        <f aca="false">IF(COUNTIF($O$2:O1279,O1279)&gt;1,"DUP","OK")</f>
        <v>OK</v>
      </c>
      <c r="Q1279" s="7" t="n">
        <f aca="false">COUNTBLANK(A1279:N1279)</f>
        <v>0</v>
      </c>
      <c r="R1279" s="7" t="n">
        <f aca="false">IF(A1279="",0,COUNTIFS($A$2:$A$3058,A1279,$P$2:$P$3058,"OK"))</f>
        <v>1</v>
      </c>
      <c r="S1279" s="7" t="str">
        <f aca="false">IF(OR(A1279="",P1279="DUP",R1279&lt;2),"",IF(Q1279=_xlfn.MINIFS($Q$2:$Q$3058,$A$2:$A$3058,A1279,$P$2:$P$3058,"OK"),"KEEP","DROP"))</f>
        <v/>
      </c>
      <c r="T1279" s="9" t="n">
        <f aca="false">IF(A1279="",1,0)</f>
        <v>0</v>
      </c>
      <c r="U1279" s="9" t="n">
        <f aca="false">IF(D1279="",1,0)</f>
        <v>0</v>
      </c>
      <c r="V1279" s="9" t="n">
        <f aca="false">IF(E1279="",1,0)</f>
        <v>0</v>
      </c>
      <c r="W1279" s="9" t="n">
        <f aca="false">IF(OR(H1279&lt;1,H1279&gt;10),1,0)</f>
        <v>0</v>
      </c>
      <c r="X1279" s="9" t="n">
        <f aca="false">IF(OR(I1279&lt;=0,I1279&gt;1500),1,0)</f>
        <v>0</v>
      </c>
      <c r="Y1279" s="9" t="n">
        <f aca="false">IF(J1279&gt;H1279*I1279,1,0)</f>
        <v>0</v>
      </c>
      <c r="Z1279" s="9" t="n">
        <f aca="false">IF(AND(N1279&lt;&gt;"",OR(N1279&lt;1,N1279&gt;5)),1,0)</f>
        <v>0</v>
      </c>
      <c r="AA1279" s="9" t="n">
        <f aca="false">IF(AND(M1279&lt;&gt;"",OR(M1279&lt;5,M1279&gt;180)),1,0)</f>
        <v>0</v>
      </c>
      <c r="AB1279" s="7" t="str">
        <f aca="false">IF(P1279="DUP","Exact duplicate row",IF(T1279=1,"Missing Order ID",IF(S1279="DROP","Duplicate Order ID (less complete row)",IF(U1279=1,"Missing Customer ID",IF(V1279=1,"Missing Restaurant name",IF(W1279=1,"Invalid/outlier quantity",IF(X1279=1,"Invalid/outlier unit price",IF(Y1279=1,"Discount greater than order value",""))))))))</f>
        <v/>
      </c>
      <c r="AC1279" s="7" t="str">
        <f aca="false">IF(AB1279="","KEEP","DROP")</f>
        <v>KEEP</v>
      </c>
      <c r="AD1279" s="7" t="str">
        <f aca="false">IF(TRIM(F1279)="",IFERROR(INDEX(Map_Tables!$I$4:$I$37,MATCH(TRIM(E1279),Map_Tables!$G$4:$G$37,0)),""),IFERROR(INDEX(Map_Tables!$B$4:$B$18,MATCH(TRIM(F1279),Map_Tables!$A$4:$A$18,0)),"CHECK"))</f>
        <v>Mumbai</v>
      </c>
      <c r="AE1279" s="7" t="str">
        <f aca="false">IF(TRIM(E1279)="","",IFERROR(INDEX(Map_Tables!$H$4:$H$37,MATCH(TRIM(E1279),Map_Tables!$G$4:$G$37,0)),"CHECK"))</f>
        <v>Dragon Express</v>
      </c>
      <c r="AF1279" s="7" t="str">
        <f aca="false">IF(TRIM(K1279)="","Unknown",IFERROR(INDEX(Map_Tables!$E$4:$E$15,MATCH(TRIM(K1279),Map_Tables!$D$4:$D$15,0)),"CHECK"))</f>
        <v>Credit Card</v>
      </c>
      <c r="AG1279" s="7" t="str">
        <f aca="false">IF(LEFT(LOWER(TRIM(L1279)),6)="cancel","Cancelled","Delivered")</f>
        <v>Delivered</v>
      </c>
      <c r="AH1279" s="10" t="n">
        <f aca="false">IF(ISNUMBER(SEARCH("/",B1279)),DATE(VALUE(RIGHT(B1279,4)),VALUE(MID(B1279,4,2)),VALUE(LEFT(B1279,2))),IF(MID(B1279,5,1)="-",DATE(VALUE(LEFT(B1279,4)),VALUE(MID(B1279,6,2)),VALUE(RIGHT(B1279,2))),DATE(VALUE(RIGHT(B1279,4)),MATCH(MID(B1279,4,3),{"Jan","Feb","Mar","Apr","May","Jun","Jul","Aug","Sep","Oct","Nov","Dec"},0),VALUE(LEFT(B1279,2)))))</f>
        <v>45678</v>
      </c>
    </row>
    <row r="1280" customFormat="false" ht="15" hidden="false" customHeight="false" outlineLevel="0" collapsed="false">
      <c r="A1280" s="7" t="s">
        <v>3546</v>
      </c>
      <c r="B1280" s="7" t="s">
        <v>1516</v>
      </c>
      <c r="C1280" s="7" t="s">
        <v>3547</v>
      </c>
      <c r="D1280" s="7" t="s">
        <v>725</v>
      </c>
      <c r="E1280" s="7" t="s">
        <v>149</v>
      </c>
      <c r="F1280" s="7" t="s">
        <v>119</v>
      </c>
      <c r="G1280" s="7" t="s">
        <v>150</v>
      </c>
      <c r="H1280" s="7" t="n">
        <v>2</v>
      </c>
      <c r="I1280" s="7" t="n">
        <v>165</v>
      </c>
      <c r="J1280" s="7" t="n">
        <v>0</v>
      </c>
      <c r="K1280" s="7" t="s">
        <v>112</v>
      </c>
      <c r="L1280" s="7" t="s">
        <v>194</v>
      </c>
      <c r="M1280" s="7" t="n">
        <v>35</v>
      </c>
      <c r="N1280" s="7" t="n">
        <v>4</v>
      </c>
      <c r="O1280" s="7" t="str">
        <f aca="false">A1280&amp;"|"&amp;B1280&amp;"|"&amp;C1280&amp;"|"&amp;D1280&amp;"|"&amp;E1280&amp;"|"&amp;F1280&amp;"|"&amp;G1280&amp;"|"&amp;H1280&amp;"|"&amp;I1280&amp;"|"&amp;J1280&amp;"|"&amp;K1280&amp;"|"&amp;L1280&amp;"|"&amp;M1280&amp;"|"&amp;N1280</f>
        <v>ORD11628|2025-07-31|16:03|C0330|Sweet Tooth Studio|Hyderabad|Desserts|2|165|0|Cash on Delivery|Delivered|35|4</v>
      </c>
      <c r="P1280" s="7" t="str">
        <f aca="false">IF(COUNTIF($O$2:O1280,O1280)&gt;1,"DUP","OK")</f>
        <v>OK</v>
      </c>
      <c r="Q1280" s="7" t="n">
        <f aca="false">COUNTBLANK(A1280:N1280)</f>
        <v>0</v>
      </c>
      <c r="R1280" s="7" t="n">
        <f aca="false">IF(A1280="",0,COUNTIFS($A$2:$A$3058,A1280,$P$2:$P$3058,"OK"))</f>
        <v>1</v>
      </c>
      <c r="S1280" s="7" t="str">
        <f aca="false">IF(OR(A1280="",P1280="DUP",R1280&lt;2),"",IF(Q1280=_xlfn.MINIFS($Q$2:$Q$3058,$A$2:$A$3058,A1280,$P$2:$P$3058,"OK"),"KEEP","DROP"))</f>
        <v/>
      </c>
      <c r="T1280" s="9" t="n">
        <f aca="false">IF(A1280="",1,0)</f>
        <v>0</v>
      </c>
      <c r="U1280" s="9" t="n">
        <f aca="false">IF(D1280="",1,0)</f>
        <v>0</v>
      </c>
      <c r="V1280" s="9" t="n">
        <f aca="false">IF(E1280="",1,0)</f>
        <v>0</v>
      </c>
      <c r="W1280" s="9" t="n">
        <f aca="false">IF(OR(H1280&lt;1,H1280&gt;10),1,0)</f>
        <v>0</v>
      </c>
      <c r="X1280" s="9" t="n">
        <f aca="false">IF(OR(I1280&lt;=0,I1280&gt;1500),1,0)</f>
        <v>0</v>
      </c>
      <c r="Y1280" s="9" t="n">
        <f aca="false">IF(J1280&gt;H1280*I1280,1,0)</f>
        <v>0</v>
      </c>
      <c r="Z1280" s="9" t="n">
        <f aca="false">IF(AND(N1280&lt;&gt;"",OR(N1280&lt;1,N1280&gt;5)),1,0)</f>
        <v>0</v>
      </c>
      <c r="AA1280" s="9" t="n">
        <f aca="false">IF(AND(M1280&lt;&gt;"",OR(M1280&lt;5,M1280&gt;180)),1,0)</f>
        <v>0</v>
      </c>
      <c r="AB1280" s="7" t="str">
        <f aca="false">IF(P1280="DUP","Exact duplicate row",IF(T1280=1,"Missing Order ID",IF(S1280="DROP","Duplicate Order ID (less complete row)",IF(U1280=1,"Missing Customer ID",IF(V1280=1,"Missing Restaurant name",IF(W1280=1,"Invalid/outlier quantity",IF(X1280=1,"Invalid/outlier unit price",IF(Y1280=1,"Discount greater than order value",""))))))))</f>
        <v/>
      </c>
      <c r="AC1280" s="7" t="str">
        <f aca="false">IF(AB1280="","KEEP","DROP")</f>
        <v>KEEP</v>
      </c>
      <c r="AD1280" s="7" t="str">
        <f aca="false">IF(TRIM(F1280)="",IFERROR(INDEX(Map_Tables!$I$4:$I$37,MATCH(TRIM(E1280),Map_Tables!$G$4:$G$37,0)),""),IFERROR(INDEX(Map_Tables!$B$4:$B$18,MATCH(TRIM(F1280),Map_Tables!$A$4:$A$18,0)),"CHECK"))</f>
        <v>Hyderabad</v>
      </c>
      <c r="AE1280" s="7" t="str">
        <f aca="false">IF(TRIM(E1280)="","",IFERROR(INDEX(Map_Tables!$H$4:$H$37,MATCH(TRIM(E1280),Map_Tables!$G$4:$G$37,0)),"CHECK"))</f>
        <v>Sweet Tooth Studio</v>
      </c>
      <c r="AF1280" s="7" t="str">
        <f aca="false">IF(TRIM(K1280)="","Unknown",IFERROR(INDEX(Map_Tables!$E$4:$E$15,MATCH(TRIM(K1280),Map_Tables!$D$4:$D$15,0)),"CHECK"))</f>
        <v>Cash on Delivery</v>
      </c>
      <c r="AG1280" s="7" t="str">
        <f aca="false">IF(LEFT(LOWER(TRIM(L1280)),6)="cancel","Cancelled","Delivered")</f>
        <v>Delivered</v>
      </c>
      <c r="AH1280" s="10" t="n">
        <f aca="false">IF(ISNUMBER(SEARCH("/",B1280)),DATE(VALUE(RIGHT(B1280,4)),VALUE(MID(B1280,4,2)),VALUE(LEFT(B1280,2))),IF(MID(B1280,5,1)="-",DATE(VALUE(LEFT(B1280,4)),VALUE(MID(B1280,6,2)),VALUE(RIGHT(B1280,2))),DATE(VALUE(RIGHT(B1280,4)),MATCH(MID(B1280,4,3),{"Jan","Feb","Mar","Apr","May","Jun","Jul","Aug","Sep","Oct","Nov","Dec"},0),VALUE(LEFT(B1280,2)))))</f>
        <v>45869</v>
      </c>
    </row>
    <row r="1281" customFormat="false" ht="15" hidden="false" customHeight="false" outlineLevel="0" collapsed="false">
      <c r="A1281" s="7" t="s">
        <v>3548</v>
      </c>
      <c r="B1281" s="7" t="s">
        <v>3549</v>
      </c>
      <c r="C1281" s="7" t="s">
        <v>346</v>
      </c>
      <c r="D1281" s="7" t="s">
        <v>721</v>
      </c>
      <c r="E1281" s="7" t="s">
        <v>104</v>
      </c>
      <c r="F1281" s="7" t="s">
        <v>86</v>
      </c>
      <c r="G1281" s="7" t="s">
        <v>105</v>
      </c>
      <c r="H1281" s="7" t="n">
        <v>1</v>
      </c>
      <c r="I1281" s="7" t="n">
        <v>210</v>
      </c>
      <c r="J1281" s="7" t="n">
        <v>30</v>
      </c>
      <c r="K1281" s="7" t="s">
        <v>112</v>
      </c>
      <c r="L1281" s="7" t="s">
        <v>194</v>
      </c>
      <c r="M1281" s="7" t="n">
        <v>41</v>
      </c>
      <c r="N1281" s="7" t="n">
        <v>4</v>
      </c>
      <c r="O1281" s="7" t="str">
        <f aca="false">A1281&amp;"|"&amp;B1281&amp;"|"&amp;C1281&amp;"|"&amp;D1281&amp;"|"&amp;E1281&amp;"|"&amp;F1281&amp;"|"&amp;G1281&amp;"|"&amp;H1281&amp;"|"&amp;I1281&amp;"|"&amp;J1281&amp;"|"&amp;K1281&amp;"|"&amp;L1281&amp;"|"&amp;M1281&amp;"|"&amp;N1281</f>
        <v>ORD11513|15/07/2025|19:18|C1430|Wok &amp; Roll|Bengaluru|Chinese|1|210|30|Cash on Delivery|Delivered|41|4</v>
      </c>
      <c r="P1281" s="7" t="str">
        <f aca="false">IF(COUNTIF($O$2:O1281,O1281)&gt;1,"DUP","OK")</f>
        <v>OK</v>
      </c>
      <c r="Q1281" s="7" t="n">
        <f aca="false">COUNTBLANK(A1281:N1281)</f>
        <v>0</v>
      </c>
      <c r="R1281" s="7" t="n">
        <f aca="false">IF(A1281="",0,COUNTIFS($A$2:$A$3058,A1281,$P$2:$P$3058,"OK"))</f>
        <v>1</v>
      </c>
      <c r="S1281" s="7" t="str">
        <f aca="false">IF(OR(A1281="",P1281="DUP",R1281&lt;2),"",IF(Q1281=_xlfn.MINIFS($Q$2:$Q$3058,$A$2:$A$3058,A1281,$P$2:$P$3058,"OK"),"KEEP","DROP"))</f>
        <v/>
      </c>
      <c r="T1281" s="9" t="n">
        <f aca="false">IF(A1281="",1,0)</f>
        <v>0</v>
      </c>
      <c r="U1281" s="9" t="n">
        <f aca="false">IF(D1281="",1,0)</f>
        <v>0</v>
      </c>
      <c r="V1281" s="9" t="n">
        <f aca="false">IF(E1281="",1,0)</f>
        <v>0</v>
      </c>
      <c r="W1281" s="9" t="n">
        <f aca="false">IF(OR(H1281&lt;1,H1281&gt;10),1,0)</f>
        <v>0</v>
      </c>
      <c r="X1281" s="9" t="n">
        <f aca="false">IF(OR(I1281&lt;=0,I1281&gt;1500),1,0)</f>
        <v>0</v>
      </c>
      <c r="Y1281" s="9" t="n">
        <f aca="false">IF(J1281&gt;H1281*I1281,1,0)</f>
        <v>0</v>
      </c>
      <c r="Z1281" s="9" t="n">
        <f aca="false">IF(AND(N1281&lt;&gt;"",OR(N1281&lt;1,N1281&gt;5)),1,0)</f>
        <v>0</v>
      </c>
      <c r="AA1281" s="9" t="n">
        <f aca="false">IF(AND(M1281&lt;&gt;"",OR(M1281&lt;5,M1281&gt;180)),1,0)</f>
        <v>0</v>
      </c>
      <c r="AB1281" s="7" t="str">
        <f aca="false">IF(P1281="DUP","Exact duplicate row",IF(T1281=1,"Missing Order ID",IF(S1281="DROP","Duplicate Order ID (less complete row)",IF(U1281=1,"Missing Customer ID",IF(V1281=1,"Missing Restaurant name",IF(W1281=1,"Invalid/outlier quantity",IF(X1281=1,"Invalid/outlier unit price",IF(Y1281=1,"Discount greater than order value",""))))))))</f>
        <v/>
      </c>
      <c r="AC1281" s="7" t="str">
        <f aca="false">IF(AB1281="","KEEP","DROP")</f>
        <v>KEEP</v>
      </c>
      <c r="AD1281" s="7" t="str">
        <f aca="false">IF(TRIM(F1281)="",IFERROR(INDEX(Map_Tables!$I$4:$I$37,MATCH(TRIM(E1281),Map_Tables!$G$4:$G$37,0)),""),IFERROR(INDEX(Map_Tables!$B$4:$B$18,MATCH(TRIM(F1281),Map_Tables!$A$4:$A$18,0)),"CHECK"))</f>
        <v>Bengaluru</v>
      </c>
      <c r="AE1281" s="7" t="str">
        <f aca="false">IF(TRIM(E1281)="","",IFERROR(INDEX(Map_Tables!$H$4:$H$37,MATCH(TRIM(E1281),Map_Tables!$G$4:$G$37,0)),"CHECK"))</f>
        <v>Wok &amp; Roll</v>
      </c>
      <c r="AF1281" s="7" t="str">
        <f aca="false">IF(TRIM(K1281)="","Unknown",IFERROR(INDEX(Map_Tables!$E$4:$E$15,MATCH(TRIM(K1281),Map_Tables!$D$4:$D$15,0)),"CHECK"))</f>
        <v>Cash on Delivery</v>
      </c>
      <c r="AG1281" s="7" t="str">
        <f aca="false">IF(LEFT(LOWER(TRIM(L1281)),6)="cancel","Cancelled","Delivered")</f>
        <v>Delivered</v>
      </c>
      <c r="AH1281" s="10" t="n">
        <f aca="false">IF(ISNUMBER(SEARCH("/",B1281)),DATE(VALUE(RIGHT(B1281,4)),VALUE(MID(B1281,4,2)),VALUE(LEFT(B1281,2))),IF(MID(B1281,5,1)="-",DATE(VALUE(LEFT(B1281,4)),VALUE(MID(B1281,6,2)),VALUE(RIGHT(B1281,2))),DATE(VALUE(RIGHT(B1281,4)),MATCH(MID(B1281,4,3),{"Jan","Feb","Mar","Apr","May","Jun","Jul","Aug","Sep","Oct","Nov","Dec"},0),VALUE(LEFT(B1281,2)))))</f>
        <v>45853</v>
      </c>
    </row>
    <row r="1282" customFormat="false" ht="15" hidden="false" customHeight="false" outlineLevel="0" collapsed="false">
      <c r="A1282" s="7" t="s">
        <v>3550</v>
      </c>
      <c r="B1282" s="7" t="s">
        <v>3551</v>
      </c>
      <c r="C1282" s="7" t="s">
        <v>573</v>
      </c>
      <c r="D1282" s="7" t="s">
        <v>3552</v>
      </c>
      <c r="E1282" s="7" t="s">
        <v>94</v>
      </c>
      <c r="F1282" s="7" t="s">
        <v>86</v>
      </c>
      <c r="G1282" s="7" t="s">
        <v>95</v>
      </c>
      <c r="H1282" s="7" t="n">
        <v>5</v>
      </c>
      <c r="I1282" s="7" t="n">
        <v>120</v>
      </c>
      <c r="J1282" s="7" t="n">
        <v>0</v>
      </c>
      <c r="K1282" s="7" t="s">
        <v>103</v>
      </c>
      <c r="L1282" s="7" t="s">
        <v>194</v>
      </c>
      <c r="M1282" s="7" t="n">
        <v>36</v>
      </c>
      <c r="N1282" s="7" t="n">
        <v>5</v>
      </c>
      <c r="O1282" s="7" t="str">
        <f aca="false">A1282&amp;"|"&amp;B1282&amp;"|"&amp;C1282&amp;"|"&amp;D1282&amp;"|"&amp;E1282&amp;"|"&amp;F1282&amp;"|"&amp;G1282&amp;"|"&amp;H1282&amp;"|"&amp;I1282&amp;"|"&amp;J1282&amp;"|"&amp;K1282&amp;"|"&amp;L1282&amp;"|"&amp;M1282&amp;"|"&amp;N1282</f>
        <v>ORD11451|07/07/2025|21:43|C1372|Dosa Darbar|Bengaluru|South Indian|5|120|0|Debit Card|Delivered|36|5</v>
      </c>
      <c r="P1282" s="7" t="str">
        <f aca="false">IF(COUNTIF($O$2:O1282,O1282)&gt;1,"DUP","OK")</f>
        <v>OK</v>
      </c>
      <c r="Q1282" s="7" t="n">
        <f aca="false">COUNTBLANK(A1282:N1282)</f>
        <v>0</v>
      </c>
      <c r="R1282" s="7" t="n">
        <f aca="false">IF(A1282="",0,COUNTIFS($A$2:$A$3058,A1282,$P$2:$P$3058,"OK"))</f>
        <v>1</v>
      </c>
      <c r="S1282" s="7" t="str">
        <f aca="false">IF(OR(A1282="",P1282="DUP",R1282&lt;2),"",IF(Q1282=_xlfn.MINIFS($Q$2:$Q$3058,$A$2:$A$3058,A1282,$P$2:$P$3058,"OK"),"KEEP","DROP"))</f>
        <v/>
      </c>
      <c r="T1282" s="9" t="n">
        <f aca="false">IF(A1282="",1,0)</f>
        <v>0</v>
      </c>
      <c r="U1282" s="9" t="n">
        <f aca="false">IF(D1282="",1,0)</f>
        <v>0</v>
      </c>
      <c r="V1282" s="9" t="n">
        <f aca="false">IF(E1282="",1,0)</f>
        <v>0</v>
      </c>
      <c r="W1282" s="9" t="n">
        <f aca="false">IF(OR(H1282&lt;1,H1282&gt;10),1,0)</f>
        <v>0</v>
      </c>
      <c r="X1282" s="9" t="n">
        <f aca="false">IF(OR(I1282&lt;=0,I1282&gt;1500),1,0)</f>
        <v>0</v>
      </c>
      <c r="Y1282" s="9" t="n">
        <f aca="false">IF(J1282&gt;H1282*I1282,1,0)</f>
        <v>0</v>
      </c>
      <c r="Z1282" s="9" t="n">
        <f aca="false">IF(AND(N1282&lt;&gt;"",OR(N1282&lt;1,N1282&gt;5)),1,0)</f>
        <v>0</v>
      </c>
      <c r="AA1282" s="9" t="n">
        <f aca="false">IF(AND(M1282&lt;&gt;"",OR(M1282&lt;5,M1282&gt;180)),1,0)</f>
        <v>0</v>
      </c>
      <c r="AB1282" s="7" t="str">
        <f aca="false">IF(P1282="DUP","Exact duplicate row",IF(T1282=1,"Missing Order ID",IF(S1282="DROP","Duplicate Order ID (less complete row)",IF(U1282=1,"Missing Customer ID",IF(V1282=1,"Missing Restaurant name",IF(W1282=1,"Invalid/outlier quantity",IF(X1282=1,"Invalid/outlier unit price",IF(Y1282=1,"Discount greater than order value",""))))))))</f>
        <v/>
      </c>
      <c r="AC1282" s="7" t="str">
        <f aca="false">IF(AB1282="","KEEP","DROP")</f>
        <v>KEEP</v>
      </c>
      <c r="AD1282" s="7" t="str">
        <f aca="false">IF(TRIM(F1282)="",IFERROR(INDEX(Map_Tables!$I$4:$I$37,MATCH(TRIM(E1282),Map_Tables!$G$4:$G$37,0)),""),IFERROR(INDEX(Map_Tables!$B$4:$B$18,MATCH(TRIM(F1282),Map_Tables!$A$4:$A$18,0)),"CHECK"))</f>
        <v>Bengaluru</v>
      </c>
      <c r="AE1282" s="7" t="str">
        <f aca="false">IF(TRIM(E1282)="","",IFERROR(INDEX(Map_Tables!$H$4:$H$37,MATCH(TRIM(E1282),Map_Tables!$G$4:$G$37,0)),"CHECK"))</f>
        <v>Dosa Darbar</v>
      </c>
      <c r="AF1282" s="7" t="str">
        <f aca="false">IF(TRIM(K1282)="","Unknown",IFERROR(INDEX(Map_Tables!$E$4:$E$15,MATCH(TRIM(K1282),Map_Tables!$D$4:$D$15,0)),"CHECK"))</f>
        <v>Debit Card</v>
      </c>
      <c r="AG1282" s="7" t="str">
        <f aca="false">IF(LEFT(LOWER(TRIM(L1282)),6)="cancel","Cancelled","Delivered")</f>
        <v>Delivered</v>
      </c>
      <c r="AH1282" s="10" t="n">
        <f aca="false">IF(ISNUMBER(SEARCH("/",B1282)),DATE(VALUE(RIGHT(B1282,4)),VALUE(MID(B1282,4,2)),VALUE(LEFT(B1282,2))),IF(MID(B1282,5,1)="-",DATE(VALUE(LEFT(B1282,4)),VALUE(MID(B1282,6,2)),VALUE(RIGHT(B1282,2))),DATE(VALUE(RIGHT(B1282,4)),MATCH(MID(B1282,4,3),{"Jan","Feb","Mar","Apr","May","Jun","Jul","Aug","Sep","Oct","Nov","Dec"},0),VALUE(LEFT(B1282,2)))))</f>
        <v>45845</v>
      </c>
    </row>
    <row r="1283" customFormat="false" ht="15" hidden="false" customHeight="false" outlineLevel="0" collapsed="false">
      <c r="A1283" s="7" t="s">
        <v>3553</v>
      </c>
      <c r="B1283" s="7" t="s">
        <v>3483</v>
      </c>
      <c r="C1283" s="7" t="s">
        <v>846</v>
      </c>
      <c r="D1283" s="7" t="s">
        <v>3554</v>
      </c>
      <c r="E1283" s="7" t="s">
        <v>168</v>
      </c>
      <c r="F1283" s="7" t="s">
        <v>146</v>
      </c>
      <c r="G1283" s="7" t="s">
        <v>123</v>
      </c>
      <c r="H1283" s="7" t="n">
        <v>4</v>
      </c>
      <c r="I1283" s="7" t="n">
        <v>425</v>
      </c>
      <c r="J1283" s="7" t="n">
        <v>100</v>
      </c>
      <c r="K1283" s="7" t="s">
        <v>88</v>
      </c>
      <c r="L1283" s="7" t="s">
        <v>1265</v>
      </c>
      <c r="M1283" s="7" t="n">
        <v>37</v>
      </c>
      <c r="N1283" s="7" t="n">
        <v>3</v>
      </c>
      <c r="O1283" s="7" t="str">
        <f aca="false">A1283&amp;"|"&amp;B1283&amp;"|"&amp;C1283&amp;"|"&amp;D1283&amp;"|"&amp;E1283&amp;"|"&amp;F1283&amp;"|"&amp;G1283&amp;"|"&amp;H1283&amp;"|"&amp;I1283&amp;"|"&amp;J1283&amp;"|"&amp;K1283&amp;"|"&amp;L1283&amp;"|"&amp;M1283&amp;"|"&amp;N1283</f>
        <v>ORD10186|2025-01-25|11:27|C0810|Cheesy Slice|Ahmedabad|Pizza|4|425|100|UPI|delivered|37|3</v>
      </c>
      <c r="P1283" s="7" t="str">
        <f aca="false">IF(COUNTIF($O$2:O1283,O1283)&gt;1,"DUP","OK")</f>
        <v>OK</v>
      </c>
      <c r="Q1283" s="7" t="n">
        <f aca="false">COUNTBLANK(A1283:N1283)</f>
        <v>0</v>
      </c>
      <c r="R1283" s="7" t="n">
        <f aca="false">IF(A1283="",0,COUNTIFS($A$2:$A$3058,A1283,$P$2:$P$3058,"OK"))</f>
        <v>1</v>
      </c>
      <c r="S1283" s="7" t="str">
        <f aca="false">IF(OR(A1283="",P1283="DUP",R1283&lt;2),"",IF(Q1283=_xlfn.MINIFS($Q$2:$Q$3058,$A$2:$A$3058,A1283,$P$2:$P$3058,"OK"),"KEEP","DROP"))</f>
        <v/>
      </c>
      <c r="T1283" s="9" t="n">
        <f aca="false">IF(A1283="",1,0)</f>
        <v>0</v>
      </c>
      <c r="U1283" s="9" t="n">
        <f aca="false">IF(D1283="",1,0)</f>
        <v>0</v>
      </c>
      <c r="V1283" s="9" t="n">
        <f aca="false">IF(E1283="",1,0)</f>
        <v>0</v>
      </c>
      <c r="W1283" s="9" t="n">
        <f aca="false">IF(OR(H1283&lt;1,H1283&gt;10),1,0)</f>
        <v>0</v>
      </c>
      <c r="X1283" s="9" t="n">
        <f aca="false">IF(OR(I1283&lt;=0,I1283&gt;1500),1,0)</f>
        <v>0</v>
      </c>
      <c r="Y1283" s="9" t="n">
        <f aca="false">IF(J1283&gt;H1283*I1283,1,0)</f>
        <v>0</v>
      </c>
      <c r="Z1283" s="9" t="n">
        <f aca="false">IF(AND(N1283&lt;&gt;"",OR(N1283&lt;1,N1283&gt;5)),1,0)</f>
        <v>0</v>
      </c>
      <c r="AA1283" s="9" t="n">
        <f aca="false">IF(AND(M1283&lt;&gt;"",OR(M1283&lt;5,M1283&gt;180)),1,0)</f>
        <v>0</v>
      </c>
      <c r="AB1283" s="7" t="str">
        <f aca="false">IF(P1283="DUP","Exact duplicate row",IF(T1283=1,"Missing Order ID",IF(S1283="DROP","Duplicate Order ID (less complete row)",IF(U1283=1,"Missing Customer ID",IF(V1283=1,"Missing Restaurant name",IF(W1283=1,"Invalid/outlier quantity",IF(X1283=1,"Invalid/outlier unit price",IF(Y1283=1,"Discount greater than order value",""))))))))</f>
        <v/>
      </c>
      <c r="AC1283" s="7" t="str">
        <f aca="false">IF(AB1283="","KEEP","DROP")</f>
        <v>KEEP</v>
      </c>
      <c r="AD1283" s="7" t="str">
        <f aca="false">IF(TRIM(F1283)="",IFERROR(INDEX(Map_Tables!$I$4:$I$37,MATCH(TRIM(E1283),Map_Tables!$G$4:$G$37,0)),""),IFERROR(INDEX(Map_Tables!$B$4:$B$18,MATCH(TRIM(F1283),Map_Tables!$A$4:$A$18,0)),"CHECK"))</f>
        <v>Ahmedabad</v>
      </c>
      <c r="AE1283" s="7" t="str">
        <f aca="false">IF(TRIM(E1283)="","",IFERROR(INDEX(Map_Tables!$H$4:$H$37,MATCH(TRIM(E1283),Map_Tables!$G$4:$G$37,0)),"CHECK"))</f>
        <v>Cheesy Slice</v>
      </c>
      <c r="AF1283" s="7" t="str">
        <f aca="false">IF(TRIM(K1283)="","Unknown",IFERROR(INDEX(Map_Tables!$E$4:$E$15,MATCH(TRIM(K1283),Map_Tables!$D$4:$D$15,0)),"CHECK"))</f>
        <v>UPI</v>
      </c>
      <c r="AG1283" s="7" t="str">
        <f aca="false">IF(LEFT(LOWER(TRIM(L1283)),6)="cancel","Cancelled","Delivered")</f>
        <v>Delivered</v>
      </c>
      <c r="AH1283" s="10" t="n">
        <f aca="false">IF(ISNUMBER(SEARCH("/",B1283)),DATE(VALUE(RIGHT(B1283,4)),VALUE(MID(B1283,4,2)),VALUE(LEFT(B1283,2))),IF(MID(B1283,5,1)="-",DATE(VALUE(LEFT(B1283,4)),VALUE(MID(B1283,6,2)),VALUE(RIGHT(B1283,2))),DATE(VALUE(RIGHT(B1283,4)),MATCH(MID(B1283,4,3),{"Jan","Feb","Mar","Apr","May","Jun","Jul","Aug","Sep","Oct","Nov","Dec"},0),VALUE(LEFT(B1283,2)))))</f>
        <v>45682</v>
      </c>
    </row>
    <row r="1284" customFormat="false" ht="15" hidden="false" customHeight="false" outlineLevel="0" collapsed="false">
      <c r="A1284" s="7" t="s">
        <v>3555</v>
      </c>
      <c r="B1284" s="7" t="s">
        <v>1057</v>
      </c>
      <c r="C1284" s="7" t="s">
        <v>3189</v>
      </c>
      <c r="D1284" s="7" t="s">
        <v>777</v>
      </c>
      <c r="E1284" s="7" t="s">
        <v>142</v>
      </c>
      <c r="F1284" s="7" t="s">
        <v>110</v>
      </c>
      <c r="G1284" s="7" t="s">
        <v>105</v>
      </c>
      <c r="H1284" s="7" t="n">
        <v>1</v>
      </c>
      <c r="I1284" s="7" t="n">
        <v>195</v>
      </c>
      <c r="J1284" s="7" t="n">
        <v>0</v>
      </c>
      <c r="K1284" s="7" t="s">
        <v>1739</v>
      </c>
      <c r="L1284" s="7" t="s">
        <v>194</v>
      </c>
      <c r="M1284" s="7" t="n">
        <v>41</v>
      </c>
      <c r="N1284" s="7" t="n">
        <v>4</v>
      </c>
      <c r="O1284" s="7" t="str">
        <f aca="false">A1284&amp;"|"&amp;B1284&amp;"|"&amp;C1284&amp;"|"&amp;D1284&amp;"|"&amp;E1284&amp;"|"&amp;F1284&amp;"|"&amp;G1284&amp;"|"&amp;H1284&amp;"|"&amp;I1284&amp;"|"&amp;J1284&amp;"|"&amp;K1284&amp;"|"&amp;L1284&amp;"|"&amp;M1284&amp;"|"&amp;N1284</f>
        <v>ORD10460|2025-03-03|10:12|C0816|Momo Magic|Delhi|Chinese|1|195|0|CC|Delivered|41|4</v>
      </c>
      <c r="P1284" s="7" t="str">
        <f aca="false">IF(COUNTIF($O$2:O1284,O1284)&gt;1,"DUP","OK")</f>
        <v>OK</v>
      </c>
      <c r="Q1284" s="7" t="n">
        <f aca="false">COUNTBLANK(A1284:N1284)</f>
        <v>0</v>
      </c>
      <c r="R1284" s="7" t="n">
        <f aca="false">IF(A1284="",0,COUNTIFS($A$2:$A$3058,A1284,$P$2:$P$3058,"OK"))</f>
        <v>1</v>
      </c>
      <c r="S1284" s="7" t="str">
        <f aca="false">IF(OR(A1284="",P1284="DUP",R1284&lt;2),"",IF(Q1284=_xlfn.MINIFS($Q$2:$Q$3058,$A$2:$A$3058,A1284,$P$2:$P$3058,"OK"),"KEEP","DROP"))</f>
        <v/>
      </c>
      <c r="T1284" s="9" t="n">
        <f aca="false">IF(A1284="",1,0)</f>
        <v>0</v>
      </c>
      <c r="U1284" s="9" t="n">
        <f aca="false">IF(D1284="",1,0)</f>
        <v>0</v>
      </c>
      <c r="V1284" s="9" t="n">
        <f aca="false">IF(E1284="",1,0)</f>
        <v>0</v>
      </c>
      <c r="W1284" s="9" t="n">
        <f aca="false">IF(OR(H1284&lt;1,H1284&gt;10),1,0)</f>
        <v>0</v>
      </c>
      <c r="X1284" s="9" t="n">
        <f aca="false">IF(OR(I1284&lt;=0,I1284&gt;1500),1,0)</f>
        <v>0</v>
      </c>
      <c r="Y1284" s="9" t="n">
        <f aca="false">IF(J1284&gt;H1284*I1284,1,0)</f>
        <v>0</v>
      </c>
      <c r="Z1284" s="9" t="n">
        <f aca="false">IF(AND(N1284&lt;&gt;"",OR(N1284&lt;1,N1284&gt;5)),1,0)</f>
        <v>0</v>
      </c>
      <c r="AA1284" s="9" t="n">
        <f aca="false">IF(AND(M1284&lt;&gt;"",OR(M1284&lt;5,M1284&gt;180)),1,0)</f>
        <v>0</v>
      </c>
      <c r="AB1284" s="7" t="str">
        <f aca="false">IF(P1284="DUP","Exact duplicate row",IF(T1284=1,"Missing Order ID",IF(S1284="DROP","Duplicate Order ID (less complete row)",IF(U1284=1,"Missing Customer ID",IF(V1284=1,"Missing Restaurant name",IF(W1284=1,"Invalid/outlier quantity",IF(X1284=1,"Invalid/outlier unit price",IF(Y1284=1,"Discount greater than order value",""))))))))</f>
        <v/>
      </c>
      <c r="AC1284" s="7" t="str">
        <f aca="false">IF(AB1284="","KEEP","DROP")</f>
        <v>KEEP</v>
      </c>
      <c r="AD1284" s="7" t="str">
        <f aca="false">IF(TRIM(F1284)="",IFERROR(INDEX(Map_Tables!$I$4:$I$37,MATCH(TRIM(E1284),Map_Tables!$G$4:$G$37,0)),""),IFERROR(INDEX(Map_Tables!$B$4:$B$18,MATCH(TRIM(F1284),Map_Tables!$A$4:$A$18,0)),"CHECK"))</f>
        <v>Delhi</v>
      </c>
      <c r="AE1284" s="7" t="str">
        <f aca="false">IF(TRIM(E1284)="","",IFERROR(INDEX(Map_Tables!$H$4:$H$37,MATCH(TRIM(E1284),Map_Tables!$G$4:$G$37,0)),"CHECK"))</f>
        <v>Momo Magic</v>
      </c>
      <c r="AF1284" s="7" t="str">
        <f aca="false">IF(TRIM(K1284)="","Unknown",IFERROR(INDEX(Map_Tables!$E$4:$E$15,MATCH(TRIM(K1284),Map_Tables!$D$4:$D$15,0)),"CHECK"))</f>
        <v>Credit Card</v>
      </c>
      <c r="AG1284" s="7" t="str">
        <f aca="false">IF(LEFT(LOWER(TRIM(L1284)),6)="cancel","Cancelled","Delivered")</f>
        <v>Delivered</v>
      </c>
      <c r="AH1284" s="10" t="n">
        <f aca="false">IF(ISNUMBER(SEARCH("/",B1284)),DATE(VALUE(RIGHT(B1284,4)),VALUE(MID(B1284,4,2)),VALUE(LEFT(B1284,2))),IF(MID(B1284,5,1)="-",DATE(VALUE(LEFT(B1284,4)),VALUE(MID(B1284,6,2)),VALUE(RIGHT(B1284,2))),DATE(VALUE(RIGHT(B1284,4)),MATCH(MID(B1284,4,3),{"Jan","Feb","Mar","Apr","May","Jun","Jul","Aug","Sep","Oct","Nov","Dec"},0),VALUE(LEFT(B1284,2)))))</f>
        <v>45719</v>
      </c>
    </row>
    <row r="1285" customFormat="false" ht="15" hidden="false" customHeight="false" outlineLevel="0" collapsed="false">
      <c r="A1285" s="7" t="s">
        <v>3556</v>
      </c>
      <c r="B1285" s="7" t="s">
        <v>1989</v>
      </c>
      <c r="C1285" s="7" t="s">
        <v>2921</v>
      </c>
      <c r="D1285" s="7" t="s">
        <v>3195</v>
      </c>
      <c r="E1285" s="7" t="s">
        <v>116</v>
      </c>
      <c r="F1285" s="7"/>
      <c r="G1285" s="7" t="s">
        <v>117</v>
      </c>
      <c r="H1285" s="7" t="n">
        <v>3</v>
      </c>
      <c r="I1285" s="7" t="n">
        <v>130</v>
      </c>
      <c r="J1285" s="7" t="n">
        <v>30</v>
      </c>
      <c r="K1285" s="7" t="s">
        <v>88</v>
      </c>
      <c r="L1285" s="7" t="s">
        <v>194</v>
      </c>
      <c r="M1285" s="7" t="n">
        <v>36</v>
      </c>
      <c r="N1285" s="7" t="n">
        <v>4</v>
      </c>
      <c r="O1285" s="7" t="str">
        <f aca="false">A1285&amp;"|"&amp;B1285&amp;"|"&amp;C1285&amp;"|"&amp;D1285&amp;"|"&amp;E1285&amp;"|"&amp;F1285&amp;"|"&amp;G1285&amp;"|"&amp;H1285&amp;"|"&amp;I1285&amp;"|"&amp;J1285&amp;"|"&amp;K1285&amp;"|"&amp;L1285&amp;"|"&amp;M1285&amp;"|"&amp;N1285</f>
        <v>ORD11398|2025-06-30|12:44|C0759|Pav Bhaji Point||Street Food|3|130|30|UPI|Delivered|36|4</v>
      </c>
      <c r="P1285" s="7" t="str">
        <f aca="false">IF(COUNTIF($O$2:O1285,O1285)&gt;1,"DUP","OK")</f>
        <v>OK</v>
      </c>
      <c r="Q1285" s="7" t="n">
        <f aca="false">COUNTBLANK(A1285:N1285)</f>
        <v>1</v>
      </c>
      <c r="R1285" s="7" t="n">
        <f aca="false">IF(A1285="",0,COUNTIFS($A$2:$A$3058,A1285,$P$2:$P$3058,"OK"))</f>
        <v>1</v>
      </c>
      <c r="S1285" s="7" t="str">
        <f aca="false">IF(OR(A1285="",P1285="DUP",R1285&lt;2),"",IF(Q1285=_xlfn.MINIFS($Q$2:$Q$3058,$A$2:$A$3058,A1285,$P$2:$P$3058,"OK"),"KEEP","DROP"))</f>
        <v/>
      </c>
      <c r="T1285" s="9" t="n">
        <f aca="false">IF(A1285="",1,0)</f>
        <v>0</v>
      </c>
      <c r="U1285" s="9" t="n">
        <f aca="false">IF(D1285="",1,0)</f>
        <v>0</v>
      </c>
      <c r="V1285" s="9" t="n">
        <f aca="false">IF(E1285="",1,0)</f>
        <v>0</v>
      </c>
      <c r="W1285" s="9" t="n">
        <f aca="false">IF(OR(H1285&lt;1,H1285&gt;10),1,0)</f>
        <v>0</v>
      </c>
      <c r="X1285" s="9" t="n">
        <f aca="false">IF(OR(I1285&lt;=0,I1285&gt;1500),1,0)</f>
        <v>0</v>
      </c>
      <c r="Y1285" s="9" t="n">
        <f aca="false">IF(J1285&gt;H1285*I1285,1,0)</f>
        <v>0</v>
      </c>
      <c r="Z1285" s="9" t="n">
        <f aca="false">IF(AND(N1285&lt;&gt;"",OR(N1285&lt;1,N1285&gt;5)),1,0)</f>
        <v>0</v>
      </c>
      <c r="AA1285" s="9" t="n">
        <f aca="false">IF(AND(M1285&lt;&gt;"",OR(M1285&lt;5,M1285&gt;180)),1,0)</f>
        <v>0</v>
      </c>
      <c r="AB1285" s="7" t="str">
        <f aca="false">IF(P1285="DUP","Exact duplicate row",IF(T1285=1,"Missing Order ID",IF(S1285="DROP","Duplicate Order ID (less complete row)",IF(U1285=1,"Missing Customer ID",IF(V1285=1,"Missing Restaurant name",IF(W1285=1,"Invalid/outlier quantity",IF(X1285=1,"Invalid/outlier unit price",IF(Y1285=1,"Discount greater than order value",""))))))))</f>
        <v/>
      </c>
      <c r="AC1285" s="7" t="str">
        <f aca="false">IF(AB1285="","KEEP","DROP")</f>
        <v>KEEP</v>
      </c>
      <c r="AD1285" s="7" t="str">
        <f aca="false">IF(TRIM(F1285)="",IFERROR(INDEX(Map_Tables!$I$4:$I$37,MATCH(TRIM(E1285),Map_Tables!$G$4:$G$37,0)),""),IFERROR(INDEX(Map_Tables!$B$4:$B$18,MATCH(TRIM(F1285),Map_Tables!$A$4:$A$18,0)),"CHECK"))</f>
        <v>Mumbai</v>
      </c>
      <c r="AE1285" s="7" t="str">
        <f aca="false">IF(TRIM(E1285)="","",IFERROR(INDEX(Map_Tables!$H$4:$H$37,MATCH(TRIM(E1285),Map_Tables!$G$4:$G$37,0)),"CHECK"))</f>
        <v>Pav Bhaji Point</v>
      </c>
      <c r="AF1285" s="7" t="str">
        <f aca="false">IF(TRIM(K1285)="","Unknown",IFERROR(INDEX(Map_Tables!$E$4:$E$15,MATCH(TRIM(K1285),Map_Tables!$D$4:$D$15,0)),"CHECK"))</f>
        <v>UPI</v>
      </c>
      <c r="AG1285" s="7" t="str">
        <f aca="false">IF(LEFT(LOWER(TRIM(L1285)),6)="cancel","Cancelled","Delivered")</f>
        <v>Delivered</v>
      </c>
      <c r="AH1285" s="10" t="n">
        <f aca="false">IF(ISNUMBER(SEARCH("/",B1285)),DATE(VALUE(RIGHT(B1285,4)),VALUE(MID(B1285,4,2)),VALUE(LEFT(B1285,2))),IF(MID(B1285,5,1)="-",DATE(VALUE(LEFT(B1285,4)),VALUE(MID(B1285,6,2)),VALUE(RIGHT(B1285,2))),DATE(VALUE(RIGHT(B1285,4)),MATCH(MID(B1285,4,3),{"Jan","Feb","Mar","Apr","May","Jun","Jul","Aug","Sep","Oct","Nov","Dec"},0),VALUE(LEFT(B1285,2)))))</f>
        <v>45838</v>
      </c>
    </row>
    <row r="1286" customFormat="false" ht="15" hidden="false" customHeight="false" outlineLevel="0" collapsed="false">
      <c r="A1286" s="7" t="s">
        <v>3557</v>
      </c>
      <c r="B1286" s="7" t="s">
        <v>859</v>
      </c>
      <c r="C1286" s="7" t="s">
        <v>3247</v>
      </c>
      <c r="D1286" s="7" t="s">
        <v>3558</v>
      </c>
      <c r="E1286" s="7" t="s">
        <v>717</v>
      </c>
      <c r="F1286" s="7" t="s">
        <v>136</v>
      </c>
      <c r="G1286" s="7" t="s">
        <v>150</v>
      </c>
      <c r="H1286" s="7" t="n">
        <v>1</v>
      </c>
      <c r="I1286" s="7" t="n">
        <v>175</v>
      </c>
      <c r="J1286" s="7" t="n">
        <v>0</v>
      </c>
      <c r="K1286" s="7" t="s">
        <v>88</v>
      </c>
      <c r="L1286" s="7" t="s">
        <v>194</v>
      </c>
      <c r="M1286" s="7" t="n">
        <v>40</v>
      </c>
      <c r="N1286" s="7"/>
      <c r="O1286" s="7" t="str">
        <f aca="false">A1286&amp;"|"&amp;B1286&amp;"|"&amp;C1286&amp;"|"&amp;D1286&amp;"|"&amp;E1286&amp;"|"&amp;F1286&amp;"|"&amp;G1286&amp;"|"&amp;H1286&amp;"|"&amp;I1286&amp;"|"&amp;J1286&amp;"|"&amp;K1286&amp;"|"&amp;L1286&amp;"|"&amp;M1286&amp;"|"&amp;N1286</f>
        <v>ORD11873|2025-09-01|19:12|C0851|Cake  Walk|Pune|Desserts|1|175|0|UPI|Delivered|40|</v>
      </c>
      <c r="P1286" s="7" t="str">
        <f aca="false">IF(COUNTIF($O$2:O1286,O1286)&gt;1,"DUP","OK")</f>
        <v>OK</v>
      </c>
      <c r="Q1286" s="7" t="n">
        <f aca="false">COUNTBLANK(A1286:N1286)</f>
        <v>1</v>
      </c>
      <c r="R1286" s="7" t="n">
        <f aca="false">IF(A1286="",0,COUNTIFS($A$2:$A$3058,A1286,$P$2:$P$3058,"OK"))</f>
        <v>1</v>
      </c>
      <c r="S1286" s="7" t="str">
        <f aca="false">IF(OR(A1286="",P1286="DUP",R1286&lt;2),"",IF(Q1286=_xlfn.MINIFS($Q$2:$Q$3058,$A$2:$A$3058,A1286,$P$2:$P$3058,"OK"),"KEEP","DROP"))</f>
        <v/>
      </c>
      <c r="T1286" s="9" t="n">
        <f aca="false">IF(A1286="",1,0)</f>
        <v>0</v>
      </c>
      <c r="U1286" s="9" t="n">
        <f aca="false">IF(D1286="",1,0)</f>
        <v>0</v>
      </c>
      <c r="V1286" s="9" t="n">
        <f aca="false">IF(E1286="",1,0)</f>
        <v>0</v>
      </c>
      <c r="W1286" s="9" t="n">
        <f aca="false">IF(OR(H1286&lt;1,H1286&gt;10),1,0)</f>
        <v>0</v>
      </c>
      <c r="X1286" s="9" t="n">
        <f aca="false">IF(OR(I1286&lt;=0,I1286&gt;1500),1,0)</f>
        <v>0</v>
      </c>
      <c r="Y1286" s="9" t="n">
        <f aca="false">IF(J1286&gt;H1286*I1286,1,0)</f>
        <v>0</v>
      </c>
      <c r="Z1286" s="9" t="n">
        <f aca="false">IF(AND(N1286&lt;&gt;"",OR(N1286&lt;1,N1286&gt;5)),1,0)</f>
        <v>0</v>
      </c>
      <c r="AA1286" s="9" t="n">
        <f aca="false">IF(AND(M1286&lt;&gt;"",OR(M1286&lt;5,M1286&gt;180)),1,0)</f>
        <v>0</v>
      </c>
      <c r="AB1286" s="7" t="str">
        <f aca="false">IF(P1286="DUP","Exact duplicate row",IF(T1286=1,"Missing Order ID",IF(S1286="DROP","Duplicate Order ID (less complete row)",IF(U1286=1,"Missing Customer ID",IF(V1286=1,"Missing Restaurant name",IF(W1286=1,"Invalid/outlier quantity",IF(X1286=1,"Invalid/outlier unit price",IF(Y1286=1,"Discount greater than order value",""))))))))</f>
        <v/>
      </c>
      <c r="AC1286" s="7" t="str">
        <f aca="false">IF(AB1286="","KEEP","DROP")</f>
        <v>KEEP</v>
      </c>
      <c r="AD1286" s="7" t="str">
        <f aca="false">IF(TRIM(F1286)="",IFERROR(INDEX(Map_Tables!$I$4:$I$37,MATCH(TRIM(E1286),Map_Tables!$G$4:$G$37,0)),""),IFERROR(INDEX(Map_Tables!$B$4:$B$18,MATCH(TRIM(F1286),Map_Tables!$A$4:$A$18,0)),"CHECK"))</f>
        <v>Pune</v>
      </c>
      <c r="AE1286" s="7" t="str">
        <f aca="false">IF(TRIM(E1286)="","",IFERROR(INDEX(Map_Tables!$H$4:$H$37,MATCH(TRIM(E1286),Map_Tables!$G$4:$G$37,0)),"CHECK"))</f>
        <v>Cake Walk</v>
      </c>
      <c r="AF1286" s="7" t="str">
        <f aca="false">IF(TRIM(K1286)="","Unknown",IFERROR(INDEX(Map_Tables!$E$4:$E$15,MATCH(TRIM(K1286),Map_Tables!$D$4:$D$15,0)),"CHECK"))</f>
        <v>UPI</v>
      </c>
      <c r="AG1286" s="7" t="str">
        <f aca="false">IF(LEFT(LOWER(TRIM(L1286)),6)="cancel","Cancelled","Delivered")</f>
        <v>Delivered</v>
      </c>
      <c r="AH1286" s="10" t="n">
        <f aca="false">IF(ISNUMBER(SEARCH("/",B1286)),DATE(VALUE(RIGHT(B1286,4)),VALUE(MID(B1286,4,2)),VALUE(LEFT(B1286,2))),IF(MID(B1286,5,1)="-",DATE(VALUE(LEFT(B1286,4)),VALUE(MID(B1286,6,2)),VALUE(RIGHT(B1286,2))),DATE(VALUE(RIGHT(B1286,4)),MATCH(MID(B1286,4,3),{"Jan","Feb","Mar","Apr","May","Jun","Jul","Aug","Sep","Oct","Nov","Dec"},0),VALUE(LEFT(B1286,2)))))</f>
        <v>45901</v>
      </c>
    </row>
    <row r="1287" customFormat="false" ht="15" hidden="false" customHeight="false" outlineLevel="0" collapsed="false">
      <c r="A1287" s="7" t="s">
        <v>3559</v>
      </c>
      <c r="B1287" s="7" t="s">
        <v>1721</v>
      </c>
      <c r="C1287" s="7" t="s">
        <v>2514</v>
      </c>
      <c r="D1287" s="7" t="s">
        <v>3560</v>
      </c>
      <c r="E1287" s="7" t="s">
        <v>98</v>
      </c>
      <c r="F1287" s="7" t="s">
        <v>86</v>
      </c>
      <c r="G1287" s="7" t="s">
        <v>99</v>
      </c>
      <c r="H1287" s="7" t="n">
        <v>2</v>
      </c>
      <c r="I1287" s="7" t="n">
        <v>245</v>
      </c>
      <c r="J1287" s="7" t="n">
        <v>75</v>
      </c>
      <c r="K1287" s="7" t="s">
        <v>88</v>
      </c>
      <c r="L1287" s="7" t="s">
        <v>194</v>
      </c>
      <c r="M1287" s="7" t="n">
        <v>39</v>
      </c>
      <c r="N1287" s="7" t="n">
        <v>5</v>
      </c>
      <c r="O1287" s="7" t="str">
        <f aca="false">A1287&amp;"|"&amp;B1287&amp;"|"&amp;C1287&amp;"|"&amp;D1287&amp;"|"&amp;E1287&amp;"|"&amp;F1287&amp;"|"&amp;G1287&amp;"|"&amp;H1287&amp;"|"&amp;I1287&amp;"|"&amp;J1287&amp;"|"&amp;K1287&amp;"|"&amp;L1287&amp;"|"&amp;M1287&amp;"|"&amp;N1287</f>
        <v>ORD11008|2025-05-08|14:05|C0917|Nawabi Biryani House|Bengaluru|Biryani|2|245|75|UPI|Delivered|39|5</v>
      </c>
      <c r="P1287" s="7" t="str">
        <f aca="false">IF(COUNTIF($O$2:O1287,O1287)&gt;1,"DUP","OK")</f>
        <v>OK</v>
      </c>
      <c r="Q1287" s="7" t="n">
        <f aca="false">COUNTBLANK(A1287:N1287)</f>
        <v>0</v>
      </c>
      <c r="R1287" s="7" t="n">
        <f aca="false">IF(A1287="",0,COUNTIFS($A$2:$A$3058,A1287,$P$2:$P$3058,"OK"))</f>
        <v>1</v>
      </c>
      <c r="S1287" s="7" t="str">
        <f aca="false">IF(OR(A1287="",P1287="DUP",R1287&lt;2),"",IF(Q1287=_xlfn.MINIFS($Q$2:$Q$3058,$A$2:$A$3058,A1287,$P$2:$P$3058,"OK"),"KEEP","DROP"))</f>
        <v/>
      </c>
      <c r="T1287" s="9" t="n">
        <f aca="false">IF(A1287="",1,0)</f>
        <v>0</v>
      </c>
      <c r="U1287" s="9" t="n">
        <f aca="false">IF(D1287="",1,0)</f>
        <v>0</v>
      </c>
      <c r="V1287" s="9" t="n">
        <f aca="false">IF(E1287="",1,0)</f>
        <v>0</v>
      </c>
      <c r="W1287" s="9" t="n">
        <f aca="false">IF(OR(H1287&lt;1,H1287&gt;10),1,0)</f>
        <v>0</v>
      </c>
      <c r="X1287" s="9" t="n">
        <f aca="false">IF(OR(I1287&lt;=0,I1287&gt;1500),1,0)</f>
        <v>0</v>
      </c>
      <c r="Y1287" s="9" t="n">
        <f aca="false">IF(J1287&gt;H1287*I1287,1,0)</f>
        <v>0</v>
      </c>
      <c r="Z1287" s="9" t="n">
        <f aca="false">IF(AND(N1287&lt;&gt;"",OR(N1287&lt;1,N1287&gt;5)),1,0)</f>
        <v>0</v>
      </c>
      <c r="AA1287" s="9" t="n">
        <f aca="false">IF(AND(M1287&lt;&gt;"",OR(M1287&lt;5,M1287&gt;180)),1,0)</f>
        <v>0</v>
      </c>
      <c r="AB1287" s="7" t="str">
        <f aca="false">IF(P1287="DUP","Exact duplicate row",IF(T1287=1,"Missing Order ID",IF(S1287="DROP","Duplicate Order ID (less complete row)",IF(U1287=1,"Missing Customer ID",IF(V1287=1,"Missing Restaurant name",IF(W1287=1,"Invalid/outlier quantity",IF(X1287=1,"Invalid/outlier unit price",IF(Y1287=1,"Discount greater than order value",""))))))))</f>
        <v/>
      </c>
      <c r="AC1287" s="7" t="str">
        <f aca="false">IF(AB1287="","KEEP","DROP")</f>
        <v>KEEP</v>
      </c>
      <c r="AD1287" s="7" t="str">
        <f aca="false">IF(TRIM(F1287)="",IFERROR(INDEX(Map_Tables!$I$4:$I$37,MATCH(TRIM(E1287),Map_Tables!$G$4:$G$37,0)),""),IFERROR(INDEX(Map_Tables!$B$4:$B$18,MATCH(TRIM(F1287),Map_Tables!$A$4:$A$18,0)),"CHECK"))</f>
        <v>Bengaluru</v>
      </c>
      <c r="AE1287" s="7" t="str">
        <f aca="false">IF(TRIM(E1287)="","",IFERROR(INDEX(Map_Tables!$H$4:$H$37,MATCH(TRIM(E1287),Map_Tables!$G$4:$G$37,0)),"CHECK"))</f>
        <v>Nawabi Biryani House</v>
      </c>
      <c r="AF1287" s="7" t="str">
        <f aca="false">IF(TRIM(K1287)="","Unknown",IFERROR(INDEX(Map_Tables!$E$4:$E$15,MATCH(TRIM(K1287),Map_Tables!$D$4:$D$15,0)),"CHECK"))</f>
        <v>UPI</v>
      </c>
      <c r="AG1287" s="7" t="str">
        <f aca="false">IF(LEFT(LOWER(TRIM(L1287)),6)="cancel","Cancelled","Delivered")</f>
        <v>Delivered</v>
      </c>
      <c r="AH1287" s="10" t="n">
        <f aca="false">IF(ISNUMBER(SEARCH("/",B1287)),DATE(VALUE(RIGHT(B1287,4)),VALUE(MID(B1287,4,2)),VALUE(LEFT(B1287,2))),IF(MID(B1287,5,1)="-",DATE(VALUE(LEFT(B1287,4)),VALUE(MID(B1287,6,2)),VALUE(RIGHT(B1287,2))),DATE(VALUE(RIGHT(B1287,4)),MATCH(MID(B1287,4,3),{"Jan","Feb","Mar","Apr","May","Jun","Jul","Aug","Sep","Oct","Nov","Dec"},0),VALUE(LEFT(B1287,2)))))</f>
        <v>45785</v>
      </c>
    </row>
    <row r="1288" customFormat="false" ht="15" hidden="false" customHeight="false" outlineLevel="0" collapsed="false">
      <c r="A1288" s="7" t="s">
        <v>3561</v>
      </c>
      <c r="B1288" s="7" t="s">
        <v>1187</v>
      </c>
      <c r="C1288" s="7" t="s">
        <v>809</v>
      </c>
      <c r="D1288" s="7" t="s">
        <v>2153</v>
      </c>
      <c r="E1288" s="7" t="s">
        <v>89</v>
      </c>
      <c r="F1288" s="7" t="s">
        <v>86</v>
      </c>
      <c r="G1288" s="7" t="s">
        <v>90</v>
      </c>
      <c r="H1288" s="7" t="n">
        <v>2</v>
      </c>
      <c r="I1288" s="7" t="n">
        <v>275</v>
      </c>
      <c r="J1288" s="7" t="n">
        <v>30</v>
      </c>
      <c r="K1288" s="7" t="s">
        <v>121</v>
      </c>
      <c r="L1288" s="7" t="s">
        <v>194</v>
      </c>
      <c r="M1288" s="7" t="n">
        <v>53</v>
      </c>
      <c r="N1288" s="7" t="n">
        <v>4</v>
      </c>
      <c r="O1288" s="7" t="str">
        <f aca="false">A1288&amp;"|"&amp;B1288&amp;"|"&amp;C1288&amp;"|"&amp;D1288&amp;"|"&amp;E1288&amp;"|"&amp;F1288&amp;"|"&amp;G1288&amp;"|"&amp;H1288&amp;"|"&amp;I1288&amp;"|"&amp;J1288&amp;"|"&amp;K1288&amp;"|"&amp;L1288&amp;"|"&amp;M1288&amp;"|"&amp;N1288</f>
        <v>ORD11962|2025-09-11|19:49|C0192|Spice Junction|Bengaluru|North Indian|2|275|30|Wallet|Delivered|53|4</v>
      </c>
      <c r="P1288" s="7" t="str">
        <f aca="false">IF(COUNTIF($O$2:O1288,O1288)&gt;1,"DUP","OK")</f>
        <v>OK</v>
      </c>
      <c r="Q1288" s="7" t="n">
        <f aca="false">COUNTBLANK(A1288:N1288)</f>
        <v>0</v>
      </c>
      <c r="R1288" s="7" t="n">
        <f aca="false">IF(A1288="",0,COUNTIFS($A$2:$A$3058,A1288,$P$2:$P$3058,"OK"))</f>
        <v>1</v>
      </c>
      <c r="S1288" s="7" t="str">
        <f aca="false">IF(OR(A1288="",P1288="DUP",R1288&lt;2),"",IF(Q1288=_xlfn.MINIFS($Q$2:$Q$3058,$A$2:$A$3058,A1288,$P$2:$P$3058,"OK"),"KEEP","DROP"))</f>
        <v/>
      </c>
      <c r="T1288" s="9" t="n">
        <f aca="false">IF(A1288="",1,0)</f>
        <v>0</v>
      </c>
      <c r="U1288" s="9" t="n">
        <f aca="false">IF(D1288="",1,0)</f>
        <v>0</v>
      </c>
      <c r="V1288" s="9" t="n">
        <f aca="false">IF(E1288="",1,0)</f>
        <v>0</v>
      </c>
      <c r="W1288" s="9" t="n">
        <f aca="false">IF(OR(H1288&lt;1,H1288&gt;10),1,0)</f>
        <v>0</v>
      </c>
      <c r="X1288" s="9" t="n">
        <f aca="false">IF(OR(I1288&lt;=0,I1288&gt;1500),1,0)</f>
        <v>0</v>
      </c>
      <c r="Y1288" s="9" t="n">
        <f aca="false">IF(J1288&gt;H1288*I1288,1,0)</f>
        <v>0</v>
      </c>
      <c r="Z1288" s="9" t="n">
        <f aca="false">IF(AND(N1288&lt;&gt;"",OR(N1288&lt;1,N1288&gt;5)),1,0)</f>
        <v>0</v>
      </c>
      <c r="AA1288" s="9" t="n">
        <f aca="false">IF(AND(M1288&lt;&gt;"",OR(M1288&lt;5,M1288&gt;180)),1,0)</f>
        <v>0</v>
      </c>
      <c r="AB1288" s="7" t="str">
        <f aca="false">IF(P1288="DUP","Exact duplicate row",IF(T1288=1,"Missing Order ID",IF(S1288="DROP","Duplicate Order ID (less complete row)",IF(U1288=1,"Missing Customer ID",IF(V1288=1,"Missing Restaurant name",IF(W1288=1,"Invalid/outlier quantity",IF(X1288=1,"Invalid/outlier unit price",IF(Y1288=1,"Discount greater than order value",""))))))))</f>
        <v/>
      </c>
      <c r="AC1288" s="7" t="str">
        <f aca="false">IF(AB1288="","KEEP","DROP")</f>
        <v>KEEP</v>
      </c>
      <c r="AD1288" s="7" t="str">
        <f aca="false">IF(TRIM(F1288)="",IFERROR(INDEX(Map_Tables!$I$4:$I$37,MATCH(TRIM(E1288),Map_Tables!$G$4:$G$37,0)),""),IFERROR(INDEX(Map_Tables!$B$4:$B$18,MATCH(TRIM(F1288),Map_Tables!$A$4:$A$18,0)),"CHECK"))</f>
        <v>Bengaluru</v>
      </c>
      <c r="AE1288" s="7" t="str">
        <f aca="false">IF(TRIM(E1288)="","",IFERROR(INDEX(Map_Tables!$H$4:$H$37,MATCH(TRIM(E1288),Map_Tables!$G$4:$G$37,0)),"CHECK"))</f>
        <v>Spice Junction</v>
      </c>
      <c r="AF1288" s="7" t="str">
        <f aca="false">IF(TRIM(K1288)="","Unknown",IFERROR(INDEX(Map_Tables!$E$4:$E$15,MATCH(TRIM(K1288),Map_Tables!$D$4:$D$15,0)),"CHECK"))</f>
        <v>Wallet</v>
      </c>
      <c r="AG1288" s="7" t="str">
        <f aca="false">IF(LEFT(LOWER(TRIM(L1288)),6)="cancel","Cancelled","Delivered")</f>
        <v>Delivered</v>
      </c>
      <c r="AH1288" s="10" t="n">
        <f aca="false">IF(ISNUMBER(SEARCH("/",B1288)),DATE(VALUE(RIGHT(B1288,4)),VALUE(MID(B1288,4,2)),VALUE(LEFT(B1288,2))),IF(MID(B1288,5,1)="-",DATE(VALUE(LEFT(B1288,4)),VALUE(MID(B1288,6,2)),VALUE(RIGHT(B1288,2))),DATE(VALUE(RIGHT(B1288,4)),MATCH(MID(B1288,4,3),{"Jan","Feb","Mar","Apr","May","Jun","Jul","Aug","Sep","Oct","Nov","Dec"},0),VALUE(LEFT(B1288,2)))))</f>
        <v>45911</v>
      </c>
    </row>
    <row r="1289" customFormat="false" ht="15" hidden="false" customHeight="false" outlineLevel="0" collapsed="false">
      <c r="A1289" s="7" t="s">
        <v>3562</v>
      </c>
      <c r="B1289" s="7" t="s">
        <v>3563</v>
      </c>
      <c r="C1289" s="7" t="s">
        <v>3564</v>
      </c>
      <c r="D1289" s="7" t="s">
        <v>2318</v>
      </c>
      <c r="E1289" s="7" t="s">
        <v>152</v>
      </c>
      <c r="F1289" s="7" t="s">
        <v>128</v>
      </c>
      <c r="G1289" s="7" t="s">
        <v>95</v>
      </c>
      <c r="H1289" s="7" t="n">
        <v>2</v>
      </c>
      <c r="I1289" s="7" t="n">
        <v>105</v>
      </c>
      <c r="J1289" s="7" t="n">
        <v>0</v>
      </c>
      <c r="K1289" s="7" t="s">
        <v>88</v>
      </c>
      <c r="L1289" s="7" t="s">
        <v>194</v>
      </c>
      <c r="M1289" s="7" t="n">
        <v>38</v>
      </c>
      <c r="N1289" s="7" t="n">
        <v>4</v>
      </c>
      <c r="O1289" s="7" t="str">
        <f aca="false">A1289&amp;"|"&amp;B1289&amp;"|"&amp;C1289&amp;"|"&amp;D1289&amp;"|"&amp;E1289&amp;"|"&amp;F1289&amp;"|"&amp;G1289&amp;"|"&amp;H1289&amp;"|"&amp;I1289&amp;"|"&amp;J1289&amp;"|"&amp;K1289&amp;"|"&amp;L1289&amp;"|"&amp;M1289&amp;"|"&amp;N1289</f>
        <v>ORD12112|28-Sep-2025|21:42|C0718|Filter Coffee &amp; Tiffin|Chennai|South Indian|2|105|0|UPI|Delivered|38|4</v>
      </c>
      <c r="P1289" s="7" t="str">
        <f aca="false">IF(COUNTIF($O$2:O1289,O1289)&gt;1,"DUP","OK")</f>
        <v>OK</v>
      </c>
      <c r="Q1289" s="7" t="n">
        <f aca="false">COUNTBLANK(A1289:N1289)</f>
        <v>0</v>
      </c>
      <c r="R1289" s="7" t="n">
        <f aca="false">IF(A1289="",0,COUNTIFS($A$2:$A$3058,A1289,$P$2:$P$3058,"OK"))</f>
        <v>1</v>
      </c>
      <c r="S1289" s="7" t="str">
        <f aca="false">IF(OR(A1289="",P1289="DUP",R1289&lt;2),"",IF(Q1289=_xlfn.MINIFS($Q$2:$Q$3058,$A$2:$A$3058,A1289,$P$2:$P$3058,"OK"),"KEEP","DROP"))</f>
        <v/>
      </c>
      <c r="T1289" s="9" t="n">
        <f aca="false">IF(A1289="",1,0)</f>
        <v>0</v>
      </c>
      <c r="U1289" s="9" t="n">
        <f aca="false">IF(D1289="",1,0)</f>
        <v>0</v>
      </c>
      <c r="V1289" s="9" t="n">
        <f aca="false">IF(E1289="",1,0)</f>
        <v>0</v>
      </c>
      <c r="W1289" s="9" t="n">
        <f aca="false">IF(OR(H1289&lt;1,H1289&gt;10),1,0)</f>
        <v>0</v>
      </c>
      <c r="X1289" s="9" t="n">
        <f aca="false">IF(OR(I1289&lt;=0,I1289&gt;1500),1,0)</f>
        <v>0</v>
      </c>
      <c r="Y1289" s="9" t="n">
        <f aca="false">IF(J1289&gt;H1289*I1289,1,0)</f>
        <v>0</v>
      </c>
      <c r="Z1289" s="9" t="n">
        <f aca="false">IF(AND(N1289&lt;&gt;"",OR(N1289&lt;1,N1289&gt;5)),1,0)</f>
        <v>0</v>
      </c>
      <c r="AA1289" s="9" t="n">
        <f aca="false">IF(AND(M1289&lt;&gt;"",OR(M1289&lt;5,M1289&gt;180)),1,0)</f>
        <v>0</v>
      </c>
      <c r="AB1289" s="7" t="str">
        <f aca="false">IF(P1289="DUP","Exact duplicate row",IF(T1289=1,"Missing Order ID",IF(S1289="DROP","Duplicate Order ID (less complete row)",IF(U1289=1,"Missing Customer ID",IF(V1289=1,"Missing Restaurant name",IF(W1289=1,"Invalid/outlier quantity",IF(X1289=1,"Invalid/outlier unit price",IF(Y1289=1,"Discount greater than order value",""))))))))</f>
        <v/>
      </c>
      <c r="AC1289" s="7" t="str">
        <f aca="false">IF(AB1289="","KEEP","DROP")</f>
        <v>KEEP</v>
      </c>
      <c r="AD1289" s="7" t="str">
        <f aca="false">IF(TRIM(F1289)="",IFERROR(INDEX(Map_Tables!$I$4:$I$37,MATCH(TRIM(E1289),Map_Tables!$G$4:$G$37,0)),""),IFERROR(INDEX(Map_Tables!$B$4:$B$18,MATCH(TRIM(F1289),Map_Tables!$A$4:$A$18,0)),"CHECK"))</f>
        <v>Chennai</v>
      </c>
      <c r="AE1289" s="7" t="str">
        <f aca="false">IF(TRIM(E1289)="","",IFERROR(INDEX(Map_Tables!$H$4:$H$37,MATCH(TRIM(E1289),Map_Tables!$G$4:$G$37,0)),"CHECK"))</f>
        <v>Filter Coffee &amp; Tiffin</v>
      </c>
      <c r="AF1289" s="7" t="str">
        <f aca="false">IF(TRIM(K1289)="","Unknown",IFERROR(INDEX(Map_Tables!$E$4:$E$15,MATCH(TRIM(K1289),Map_Tables!$D$4:$D$15,0)),"CHECK"))</f>
        <v>UPI</v>
      </c>
      <c r="AG1289" s="7" t="str">
        <f aca="false">IF(LEFT(LOWER(TRIM(L1289)),6)="cancel","Cancelled","Delivered")</f>
        <v>Delivered</v>
      </c>
      <c r="AH1289" s="10" t="n">
        <f aca="false">IF(ISNUMBER(SEARCH("/",B1289)),DATE(VALUE(RIGHT(B1289,4)),VALUE(MID(B1289,4,2)),VALUE(LEFT(B1289,2))),IF(MID(B1289,5,1)="-",DATE(VALUE(LEFT(B1289,4)),VALUE(MID(B1289,6,2)),VALUE(RIGHT(B1289,2))),DATE(VALUE(RIGHT(B1289,4)),MATCH(MID(B1289,4,3),{"Jan","Feb","Mar","Apr","May","Jun","Jul","Aug","Sep","Oct","Nov","Dec"},0),VALUE(LEFT(B1289,2)))))</f>
        <v>45928</v>
      </c>
    </row>
    <row r="1290" customFormat="false" ht="15" hidden="false" customHeight="false" outlineLevel="0" collapsed="false">
      <c r="A1290" s="7" t="s">
        <v>3565</v>
      </c>
      <c r="B1290" s="7" t="s">
        <v>1773</v>
      </c>
      <c r="C1290" s="7" t="s">
        <v>3566</v>
      </c>
      <c r="D1290" s="7" t="s">
        <v>3567</v>
      </c>
      <c r="E1290" s="7" t="s">
        <v>151</v>
      </c>
      <c r="F1290" s="7" t="s">
        <v>128</v>
      </c>
      <c r="G1290" s="7" t="s">
        <v>95</v>
      </c>
      <c r="H1290" s="7" t="n">
        <v>3</v>
      </c>
      <c r="I1290" s="7" t="n">
        <v>150</v>
      </c>
      <c r="J1290" s="7" t="n">
        <v>20</v>
      </c>
      <c r="K1290" s="7" t="s">
        <v>88</v>
      </c>
      <c r="L1290" s="7" t="s">
        <v>194</v>
      </c>
      <c r="M1290" s="7" t="n">
        <v>41</v>
      </c>
      <c r="N1290" s="7" t="n">
        <v>5</v>
      </c>
      <c r="O1290" s="7" t="str">
        <f aca="false">A1290&amp;"|"&amp;B1290&amp;"|"&amp;C1290&amp;"|"&amp;D1290&amp;"|"&amp;E1290&amp;"|"&amp;F1290&amp;"|"&amp;G1290&amp;"|"&amp;H1290&amp;"|"&amp;I1290&amp;"|"&amp;J1290&amp;"|"&amp;K1290&amp;"|"&amp;L1290&amp;"|"&amp;M1290&amp;"|"&amp;N1290</f>
        <v>ORD10127|2025-01-17|11:06|C0361|Chettinad House|Chennai|South Indian|3|150|20|UPI|Delivered|41|5</v>
      </c>
      <c r="P1290" s="7" t="str">
        <f aca="false">IF(COUNTIF($O$2:O1290,O1290)&gt;1,"DUP","OK")</f>
        <v>OK</v>
      </c>
      <c r="Q1290" s="7" t="n">
        <f aca="false">COUNTBLANK(A1290:N1290)</f>
        <v>0</v>
      </c>
      <c r="R1290" s="7" t="n">
        <f aca="false">IF(A1290="",0,COUNTIFS($A$2:$A$3058,A1290,$P$2:$P$3058,"OK"))</f>
        <v>1</v>
      </c>
      <c r="S1290" s="7" t="str">
        <f aca="false">IF(OR(A1290="",P1290="DUP",R1290&lt;2),"",IF(Q1290=_xlfn.MINIFS($Q$2:$Q$3058,$A$2:$A$3058,A1290,$P$2:$P$3058,"OK"),"KEEP","DROP"))</f>
        <v/>
      </c>
      <c r="T1290" s="9" t="n">
        <f aca="false">IF(A1290="",1,0)</f>
        <v>0</v>
      </c>
      <c r="U1290" s="9" t="n">
        <f aca="false">IF(D1290="",1,0)</f>
        <v>0</v>
      </c>
      <c r="V1290" s="9" t="n">
        <f aca="false">IF(E1290="",1,0)</f>
        <v>0</v>
      </c>
      <c r="W1290" s="9" t="n">
        <f aca="false">IF(OR(H1290&lt;1,H1290&gt;10),1,0)</f>
        <v>0</v>
      </c>
      <c r="X1290" s="9" t="n">
        <f aca="false">IF(OR(I1290&lt;=0,I1290&gt;1500),1,0)</f>
        <v>0</v>
      </c>
      <c r="Y1290" s="9" t="n">
        <f aca="false">IF(J1290&gt;H1290*I1290,1,0)</f>
        <v>0</v>
      </c>
      <c r="Z1290" s="9" t="n">
        <f aca="false">IF(AND(N1290&lt;&gt;"",OR(N1290&lt;1,N1290&gt;5)),1,0)</f>
        <v>0</v>
      </c>
      <c r="AA1290" s="9" t="n">
        <f aca="false">IF(AND(M1290&lt;&gt;"",OR(M1290&lt;5,M1290&gt;180)),1,0)</f>
        <v>0</v>
      </c>
      <c r="AB1290" s="7" t="str">
        <f aca="false">IF(P1290="DUP","Exact duplicate row",IF(T1290=1,"Missing Order ID",IF(S1290="DROP","Duplicate Order ID (less complete row)",IF(U1290=1,"Missing Customer ID",IF(V1290=1,"Missing Restaurant name",IF(W1290=1,"Invalid/outlier quantity",IF(X1290=1,"Invalid/outlier unit price",IF(Y1290=1,"Discount greater than order value",""))))))))</f>
        <v/>
      </c>
      <c r="AC1290" s="7" t="str">
        <f aca="false">IF(AB1290="","KEEP","DROP")</f>
        <v>KEEP</v>
      </c>
      <c r="AD1290" s="7" t="str">
        <f aca="false">IF(TRIM(F1290)="",IFERROR(INDEX(Map_Tables!$I$4:$I$37,MATCH(TRIM(E1290),Map_Tables!$G$4:$G$37,0)),""),IFERROR(INDEX(Map_Tables!$B$4:$B$18,MATCH(TRIM(F1290),Map_Tables!$A$4:$A$18,0)),"CHECK"))</f>
        <v>Chennai</v>
      </c>
      <c r="AE1290" s="7" t="str">
        <f aca="false">IF(TRIM(E1290)="","",IFERROR(INDEX(Map_Tables!$H$4:$H$37,MATCH(TRIM(E1290),Map_Tables!$G$4:$G$37,0)),"CHECK"))</f>
        <v>Chettinad House</v>
      </c>
      <c r="AF1290" s="7" t="str">
        <f aca="false">IF(TRIM(K1290)="","Unknown",IFERROR(INDEX(Map_Tables!$E$4:$E$15,MATCH(TRIM(K1290),Map_Tables!$D$4:$D$15,0)),"CHECK"))</f>
        <v>UPI</v>
      </c>
      <c r="AG1290" s="7" t="str">
        <f aca="false">IF(LEFT(LOWER(TRIM(L1290)),6)="cancel","Cancelled","Delivered")</f>
        <v>Delivered</v>
      </c>
      <c r="AH1290" s="10" t="n">
        <f aca="false">IF(ISNUMBER(SEARCH("/",B1290)),DATE(VALUE(RIGHT(B1290,4)),VALUE(MID(B1290,4,2)),VALUE(LEFT(B1290,2))),IF(MID(B1290,5,1)="-",DATE(VALUE(LEFT(B1290,4)),VALUE(MID(B1290,6,2)),VALUE(RIGHT(B1290,2))),DATE(VALUE(RIGHT(B1290,4)),MATCH(MID(B1290,4,3),{"Jan","Feb","Mar","Apr","May","Jun","Jul","Aug","Sep","Oct","Nov","Dec"},0),VALUE(LEFT(B1290,2)))))</f>
        <v>45674</v>
      </c>
    </row>
    <row r="1291" customFormat="false" ht="15" hidden="false" customHeight="false" outlineLevel="0" collapsed="false">
      <c r="A1291" s="7" t="s">
        <v>3568</v>
      </c>
      <c r="B1291" s="7" t="s">
        <v>3368</v>
      </c>
      <c r="C1291" s="7" t="s">
        <v>3268</v>
      </c>
      <c r="D1291" s="7" t="s">
        <v>3569</v>
      </c>
      <c r="E1291" s="7" t="s">
        <v>161</v>
      </c>
      <c r="F1291" s="7" t="s">
        <v>141</v>
      </c>
      <c r="G1291" s="7" t="s">
        <v>117</v>
      </c>
      <c r="H1291" s="7" t="n">
        <v>1</v>
      </c>
      <c r="I1291" s="7" t="n">
        <v>120</v>
      </c>
      <c r="J1291" s="7" t="n">
        <v>48</v>
      </c>
      <c r="K1291" s="7" t="s">
        <v>93</v>
      </c>
      <c r="L1291" s="7" t="s">
        <v>194</v>
      </c>
      <c r="M1291" s="7" t="n">
        <v>41</v>
      </c>
      <c r="N1291" s="7" t="n">
        <v>5</v>
      </c>
      <c r="O1291" s="7" t="str">
        <f aca="false">A1291&amp;"|"&amp;B1291&amp;"|"&amp;C1291&amp;"|"&amp;D1291&amp;"|"&amp;E1291&amp;"|"&amp;F1291&amp;"|"&amp;G1291&amp;"|"&amp;H1291&amp;"|"&amp;I1291&amp;"|"&amp;J1291&amp;"|"&amp;K1291&amp;"|"&amp;L1291&amp;"|"&amp;M1291&amp;"|"&amp;N1291</f>
        <v>ORD11465|09-Jul-2025|22:57|C0992|Bengal Bites|Kolkata|Street Food|1|120|48|Credit Card|Delivered|41|5</v>
      </c>
      <c r="P1291" s="7" t="str">
        <f aca="false">IF(COUNTIF($O$2:O1291,O1291)&gt;1,"DUP","OK")</f>
        <v>OK</v>
      </c>
      <c r="Q1291" s="7" t="n">
        <f aca="false">COUNTBLANK(A1291:N1291)</f>
        <v>0</v>
      </c>
      <c r="R1291" s="7" t="n">
        <f aca="false">IF(A1291="",0,COUNTIFS($A$2:$A$3058,A1291,$P$2:$P$3058,"OK"))</f>
        <v>1</v>
      </c>
      <c r="S1291" s="7" t="str">
        <f aca="false">IF(OR(A1291="",P1291="DUP",R1291&lt;2),"",IF(Q1291=_xlfn.MINIFS($Q$2:$Q$3058,$A$2:$A$3058,A1291,$P$2:$P$3058,"OK"),"KEEP","DROP"))</f>
        <v/>
      </c>
      <c r="T1291" s="9" t="n">
        <f aca="false">IF(A1291="",1,0)</f>
        <v>0</v>
      </c>
      <c r="U1291" s="9" t="n">
        <f aca="false">IF(D1291="",1,0)</f>
        <v>0</v>
      </c>
      <c r="V1291" s="9" t="n">
        <f aca="false">IF(E1291="",1,0)</f>
        <v>0</v>
      </c>
      <c r="W1291" s="9" t="n">
        <f aca="false">IF(OR(H1291&lt;1,H1291&gt;10),1,0)</f>
        <v>0</v>
      </c>
      <c r="X1291" s="9" t="n">
        <f aca="false">IF(OR(I1291&lt;=0,I1291&gt;1500),1,0)</f>
        <v>0</v>
      </c>
      <c r="Y1291" s="9" t="n">
        <f aca="false">IF(J1291&gt;H1291*I1291,1,0)</f>
        <v>0</v>
      </c>
      <c r="Z1291" s="9" t="n">
        <f aca="false">IF(AND(N1291&lt;&gt;"",OR(N1291&lt;1,N1291&gt;5)),1,0)</f>
        <v>0</v>
      </c>
      <c r="AA1291" s="9" t="n">
        <f aca="false">IF(AND(M1291&lt;&gt;"",OR(M1291&lt;5,M1291&gt;180)),1,0)</f>
        <v>0</v>
      </c>
      <c r="AB1291" s="7" t="str">
        <f aca="false">IF(P1291="DUP","Exact duplicate row",IF(T1291=1,"Missing Order ID",IF(S1291="DROP","Duplicate Order ID (less complete row)",IF(U1291=1,"Missing Customer ID",IF(V1291=1,"Missing Restaurant name",IF(W1291=1,"Invalid/outlier quantity",IF(X1291=1,"Invalid/outlier unit price",IF(Y1291=1,"Discount greater than order value",""))))))))</f>
        <v/>
      </c>
      <c r="AC1291" s="7" t="str">
        <f aca="false">IF(AB1291="","KEEP","DROP")</f>
        <v>KEEP</v>
      </c>
      <c r="AD1291" s="7" t="str">
        <f aca="false">IF(TRIM(F1291)="",IFERROR(INDEX(Map_Tables!$I$4:$I$37,MATCH(TRIM(E1291),Map_Tables!$G$4:$G$37,0)),""),IFERROR(INDEX(Map_Tables!$B$4:$B$18,MATCH(TRIM(F1291),Map_Tables!$A$4:$A$18,0)),"CHECK"))</f>
        <v>Kolkata</v>
      </c>
      <c r="AE1291" s="7" t="str">
        <f aca="false">IF(TRIM(E1291)="","",IFERROR(INDEX(Map_Tables!$H$4:$H$37,MATCH(TRIM(E1291),Map_Tables!$G$4:$G$37,0)),"CHECK"))</f>
        <v>Bengal Bites</v>
      </c>
      <c r="AF1291" s="7" t="str">
        <f aca="false">IF(TRIM(K1291)="","Unknown",IFERROR(INDEX(Map_Tables!$E$4:$E$15,MATCH(TRIM(K1291),Map_Tables!$D$4:$D$15,0)),"CHECK"))</f>
        <v>Credit Card</v>
      </c>
      <c r="AG1291" s="7" t="str">
        <f aca="false">IF(LEFT(LOWER(TRIM(L1291)),6)="cancel","Cancelled","Delivered")</f>
        <v>Delivered</v>
      </c>
      <c r="AH1291" s="10" t="n">
        <f aca="false">IF(ISNUMBER(SEARCH("/",B1291)),DATE(VALUE(RIGHT(B1291,4)),VALUE(MID(B1291,4,2)),VALUE(LEFT(B1291,2))),IF(MID(B1291,5,1)="-",DATE(VALUE(LEFT(B1291,4)),VALUE(MID(B1291,6,2)),VALUE(RIGHT(B1291,2))),DATE(VALUE(RIGHT(B1291,4)),MATCH(MID(B1291,4,3),{"Jan","Feb","Mar","Apr","May","Jun","Jul","Aug","Sep","Oct","Nov","Dec"},0),VALUE(LEFT(B1291,2)))))</f>
        <v>45847</v>
      </c>
    </row>
    <row r="1292" customFormat="false" ht="15" hidden="false" customHeight="false" outlineLevel="0" collapsed="false">
      <c r="A1292" s="7" t="s">
        <v>3570</v>
      </c>
      <c r="B1292" s="7" t="s">
        <v>859</v>
      </c>
      <c r="C1292" s="7" t="s">
        <v>2260</v>
      </c>
      <c r="D1292" s="7" t="s">
        <v>2682</v>
      </c>
      <c r="E1292" s="7" t="s">
        <v>130</v>
      </c>
      <c r="F1292" s="7" t="s">
        <v>110</v>
      </c>
      <c r="G1292" s="7" t="s">
        <v>90</v>
      </c>
      <c r="H1292" s="7" t="n">
        <v>2</v>
      </c>
      <c r="I1292" s="7" t="n">
        <v>275</v>
      </c>
      <c r="J1292" s="7" t="n">
        <v>0</v>
      </c>
      <c r="K1292" s="7" t="s">
        <v>88</v>
      </c>
      <c r="L1292" s="7" t="s">
        <v>194</v>
      </c>
      <c r="M1292" s="7" t="n">
        <v>52</v>
      </c>
      <c r="N1292" s="7" t="n">
        <v>3</v>
      </c>
      <c r="O1292" s="7" t="str">
        <f aca="false">A1292&amp;"|"&amp;B1292&amp;"|"&amp;C1292&amp;"|"&amp;D1292&amp;"|"&amp;E1292&amp;"|"&amp;F1292&amp;"|"&amp;G1292&amp;"|"&amp;H1292&amp;"|"&amp;I1292&amp;"|"&amp;J1292&amp;"|"&amp;K1292&amp;"|"&amp;L1292&amp;"|"&amp;M1292&amp;"|"&amp;N1292</f>
        <v>ORD11876|2025-09-01|20:30|C0492|Tandoor Tales|Delhi|North Indian|2|275|0|UPI|Delivered|52|3</v>
      </c>
      <c r="P1292" s="7" t="str">
        <f aca="false">IF(COUNTIF($O$2:O1292,O1292)&gt;1,"DUP","OK")</f>
        <v>OK</v>
      </c>
      <c r="Q1292" s="7" t="n">
        <f aca="false">COUNTBLANK(A1292:N1292)</f>
        <v>0</v>
      </c>
      <c r="R1292" s="7" t="n">
        <f aca="false">IF(A1292="",0,COUNTIFS($A$2:$A$3058,A1292,$P$2:$P$3058,"OK"))</f>
        <v>1</v>
      </c>
      <c r="S1292" s="7" t="str">
        <f aca="false">IF(OR(A1292="",P1292="DUP",R1292&lt;2),"",IF(Q1292=_xlfn.MINIFS($Q$2:$Q$3058,$A$2:$A$3058,A1292,$P$2:$P$3058,"OK"),"KEEP","DROP"))</f>
        <v/>
      </c>
      <c r="T1292" s="9" t="n">
        <f aca="false">IF(A1292="",1,0)</f>
        <v>0</v>
      </c>
      <c r="U1292" s="9" t="n">
        <f aca="false">IF(D1292="",1,0)</f>
        <v>0</v>
      </c>
      <c r="V1292" s="9" t="n">
        <f aca="false">IF(E1292="",1,0)</f>
        <v>0</v>
      </c>
      <c r="W1292" s="9" t="n">
        <f aca="false">IF(OR(H1292&lt;1,H1292&gt;10),1,0)</f>
        <v>0</v>
      </c>
      <c r="X1292" s="9" t="n">
        <f aca="false">IF(OR(I1292&lt;=0,I1292&gt;1500),1,0)</f>
        <v>0</v>
      </c>
      <c r="Y1292" s="9" t="n">
        <f aca="false">IF(J1292&gt;H1292*I1292,1,0)</f>
        <v>0</v>
      </c>
      <c r="Z1292" s="9" t="n">
        <f aca="false">IF(AND(N1292&lt;&gt;"",OR(N1292&lt;1,N1292&gt;5)),1,0)</f>
        <v>0</v>
      </c>
      <c r="AA1292" s="9" t="n">
        <f aca="false">IF(AND(M1292&lt;&gt;"",OR(M1292&lt;5,M1292&gt;180)),1,0)</f>
        <v>0</v>
      </c>
      <c r="AB1292" s="7" t="str">
        <f aca="false">IF(P1292="DUP","Exact duplicate row",IF(T1292=1,"Missing Order ID",IF(S1292="DROP","Duplicate Order ID (less complete row)",IF(U1292=1,"Missing Customer ID",IF(V1292=1,"Missing Restaurant name",IF(W1292=1,"Invalid/outlier quantity",IF(X1292=1,"Invalid/outlier unit price",IF(Y1292=1,"Discount greater than order value",""))))))))</f>
        <v/>
      </c>
      <c r="AC1292" s="7" t="str">
        <f aca="false">IF(AB1292="","KEEP","DROP")</f>
        <v>KEEP</v>
      </c>
      <c r="AD1292" s="7" t="str">
        <f aca="false">IF(TRIM(F1292)="",IFERROR(INDEX(Map_Tables!$I$4:$I$37,MATCH(TRIM(E1292),Map_Tables!$G$4:$G$37,0)),""),IFERROR(INDEX(Map_Tables!$B$4:$B$18,MATCH(TRIM(F1292),Map_Tables!$A$4:$A$18,0)),"CHECK"))</f>
        <v>Delhi</v>
      </c>
      <c r="AE1292" s="7" t="str">
        <f aca="false">IF(TRIM(E1292)="","",IFERROR(INDEX(Map_Tables!$H$4:$H$37,MATCH(TRIM(E1292),Map_Tables!$G$4:$G$37,0)),"CHECK"))</f>
        <v>Tandoor Tales</v>
      </c>
      <c r="AF1292" s="7" t="str">
        <f aca="false">IF(TRIM(K1292)="","Unknown",IFERROR(INDEX(Map_Tables!$E$4:$E$15,MATCH(TRIM(K1292),Map_Tables!$D$4:$D$15,0)),"CHECK"))</f>
        <v>UPI</v>
      </c>
      <c r="AG1292" s="7" t="str">
        <f aca="false">IF(LEFT(LOWER(TRIM(L1292)),6)="cancel","Cancelled","Delivered")</f>
        <v>Delivered</v>
      </c>
      <c r="AH1292" s="10" t="n">
        <f aca="false">IF(ISNUMBER(SEARCH("/",B1292)),DATE(VALUE(RIGHT(B1292,4)),VALUE(MID(B1292,4,2)),VALUE(LEFT(B1292,2))),IF(MID(B1292,5,1)="-",DATE(VALUE(LEFT(B1292,4)),VALUE(MID(B1292,6,2)),VALUE(RIGHT(B1292,2))),DATE(VALUE(RIGHT(B1292,4)),MATCH(MID(B1292,4,3),{"Jan","Feb","Mar","Apr","May","Jun","Jul","Aug","Sep","Oct","Nov","Dec"},0),VALUE(LEFT(B1292,2)))))</f>
        <v>45901</v>
      </c>
    </row>
    <row r="1293" customFormat="false" ht="15" hidden="false" customHeight="false" outlineLevel="0" collapsed="false">
      <c r="A1293" s="7" t="s">
        <v>3571</v>
      </c>
      <c r="B1293" s="7" t="s">
        <v>3572</v>
      </c>
      <c r="C1293" s="7" t="s">
        <v>3573</v>
      </c>
      <c r="D1293" s="7" t="s">
        <v>1678</v>
      </c>
      <c r="E1293" s="7" t="s">
        <v>151</v>
      </c>
      <c r="F1293" s="7" t="s">
        <v>128</v>
      </c>
      <c r="G1293" s="7" t="s">
        <v>95</v>
      </c>
      <c r="H1293" s="7" t="n">
        <v>4</v>
      </c>
      <c r="I1293" s="7" t="n">
        <v>195</v>
      </c>
      <c r="J1293" s="7" t="n">
        <v>0</v>
      </c>
      <c r="K1293" s="7" t="s">
        <v>133</v>
      </c>
      <c r="L1293" s="7" t="s">
        <v>194</v>
      </c>
      <c r="M1293" s="7" t="n">
        <v>21</v>
      </c>
      <c r="N1293" s="7" t="n">
        <v>5</v>
      </c>
      <c r="O1293" s="7" t="str">
        <f aca="false">A1293&amp;"|"&amp;B1293&amp;"|"&amp;C1293&amp;"|"&amp;D1293&amp;"|"&amp;E1293&amp;"|"&amp;F1293&amp;"|"&amp;G1293&amp;"|"&amp;H1293&amp;"|"&amp;I1293&amp;"|"&amp;J1293&amp;"|"&amp;K1293&amp;"|"&amp;L1293&amp;"|"&amp;M1293&amp;"|"&amp;N1293</f>
        <v>ORD11288|2025-06-13|17:10|C0598|Chettinad House|Chennai|South Indian|4|195|0|Net Banking|Delivered|21|5</v>
      </c>
      <c r="P1293" s="7" t="str">
        <f aca="false">IF(COUNTIF($O$2:O1293,O1293)&gt;1,"DUP","OK")</f>
        <v>OK</v>
      </c>
      <c r="Q1293" s="7" t="n">
        <f aca="false">COUNTBLANK(A1293:N1293)</f>
        <v>0</v>
      </c>
      <c r="R1293" s="7" t="n">
        <f aca="false">IF(A1293="",0,COUNTIFS($A$2:$A$3058,A1293,$P$2:$P$3058,"OK"))</f>
        <v>1</v>
      </c>
      <c r="S1293" s="7" t="str">
        <f aca="false">IF(OR(A1293="",P1293="DUP",R1293&lt;2),"",IF(Q1293=_xlfn.MINIFS($Q$2:$Q$3058,$A$2:$A$3058,A1293,$P$2:$P$3058,"OK"),"KEEP","DROP"))</f>
        <v/>
      </c>
      <c r="T1293" s="9" t="n">
        <f aca="false">IF(A1293="",1,0)</f>
        <v>0</v>
      </c>
      <c r="U1293" s="9" t="n">
        <f aca="false">IF(D1293="",1,0)</f>
        <v>0</v>
      </c>
      <c r="V1293" s="9" t="n">
        <f aca="false">IF(E1293="",1,0)</f>
        <v>0</v>
      </c>
      <c r="W1293" s="9" t="n">
        <f aca="false">IF(OR(H1293&lt;1,H1293&gt;10),1,0)</f>
        <v>0</v>
      </c>
      <c r="X1293" s="9" t="n">
        <f aca="false">IF(OR(I1293&lt;=0,I1293&gt;1500),1,0)</f>
        <v>0</v>
      </c>
      <c r="Y1293" s="9" t="n">
        <f aca="false">IF(J1293&gt;H1293*I1293,1,0)</f>
        <v>0</v>
      </c>
      <c r="Z1293" s="9" t="n">
        <f aca="false">IF(AND(N1293&lt;&gt;"",OR(N1293&lt;1,N1293&gt;5)),1,0)</f>
        <v>0</v>
      </c>
      <c r="AA1293" s="9" t="n">
        <f aca="false">IF(AND(M1293&lt;&gt;"",OR(M1293&lt;5,M1293&gt;180)),1,0)</f>
        <v>0</v>
      </c>
      <c r="AB1293" s="7" t="str">
        <f aca="false">IF(P1293="DUP","Exact duplicate row",IF(T1293=1,"Missing Order ID",IF(S1293="DROP","Duplicate Order ID (less complete row)",IF(U1293=1,"Missing Customer ID",IF(V1293=1,"Missing Restaurant name",IF(W1293=1,"Invalid/outlier quantity",IF(X1293=1,"Invalid/outlier unit price",IF(Y1293=1,"Discount greater than order value",""))))))))</f>
        <v/>
      </c>
      <c r="AC1293" s="7" t="str">
        <f aca="false">IF(AB1293="","KEEP","DROP")</f>
        <v>KEEP</v>
      </c>
      <c r="AD1293" s="7" t="str">
        <f aca="false">IF(TRIM(F1293)="",IFERROR(INDEX(Map_Tables!$I$4:$I$37,MATCH(TRIM(E1293),Map_Tables!$G$4:$G$37,0)),""),IFERROR(INDEX(Map_Tables!$B$4:$B$18,MATCH(TRIM(F1293),Map_Tables!$A$4:$A$18,0)),"CHECK"))</f>
        <v>Chennai</v>
      </c>
      <c r="AE1293" s="7" t="str">
        <f aca="false">IF(TRIM(E1293)="","",IFERROR(INDEX(Map_Tables!$H$4:$H$37,MATCH(TRIM(E1293),Map_Tables!$G$4:$G$37,0)),"CHECK"))</f>
        <v>Chettinad House</v>
      </c>
      <c r="AF1293" s="7" t="str">
        <f aca="false">IF(TRIM(K1293)="","Unknown",IFERROR(INDEX(Map_Tables!$E$4:$E$15,MATCH(TRIM(K1293),Map_Tables!$D$4:$D$15,0)),"CHECK"))</f>
        <v>Net Banking</v>
      </c>
      <c r="AG1293" s="7" t="str">
        <f aca="false">IF(LEFT(LOWER(TRIM(L1293)),6)="cancel","Cancelled","Delivered")</f>
        <v>Delivered</v>
      </c>
      <c r="AH1293" s="10" t="n">
        <f aca="false">IF(ISNUMBER(SEARCH("/",B1293)),DATE(VALUE(RIGHT(B1293,4)),VALUE(MID(B1293,4,2)),VALUE(LEFT(B1293,2))),IF(MID(B1293,5,1)="-",DATE(VALUE(LEFT(B1293,4)),VALUE(MID(B1293,6,2)),VALUE(RIGHT(B1293,2))),DATE(VALUE(RIGHT(B1293,4)),MATCH(MID(B1293,4,3),{"Jan","Feb","Mar","Apr","May","Jun","Jul","Aug","Sep","Oct","Nov","Dec"},0),VALUE(LEFT(B1293,2)))))</f>
        <v>45821</v>
      </c>
    </row>
    <row r="1294" customFormat="false" ht="15" hidden="false" customHeight="false" outlineLevel="0" collapsed="false">
      <c r="A1294" s="7" t="s">
        <v>3574</v>
      </c>
      <c r="B1294" s="7" t="s">
        <v>3113</v>
      </c>
      <c r="C1294" s="7" t="s">
        <v>1520</v>
      </c>
      <c r="D1294" s="7" t="s">
        <v>3575</v>
      </c>
      <c r="E1294" s="7" t="s">
        <v>155</v>
      </c>
      <c r="F1294" s="7" t="s">
        <v>128</v>
      </c>
      <c r="G1294" s="7" t="s">
        <v>156</v>
      </c>
      <c r="H1294" s="7" t="n">
        <v>3</v>
      </c>
      <c r="I1294" s="7" t="n">
        <v>270</v>
      </c>
      <c r="J1294" s="7" t="n">
        <v>0</v>
      </c>
      <c r="K1294" s="7" t="s">
        <v>112</v>
      </c>
      <c r="L1294" s="7" t="s">
        <v>194</v>
      </c>
      <c r="M1294" s="7" t="n">
        <v>42</v>
      </c>
      <c r="N1294" s="7" t="n">
        <v>5</v>
      </c>
      <c r="O1294" s="7" t="str">
        <f aca="false">A1294&amp;"|"&amp;B1294&amp;"|"&amp;C1294&amp;"|"&amp;D1294&amp;"|"&amp;E1294&amp;"|"&amp;F1294&amp;"|"&amp;G1294&amp;"|"&amp;H1294&amp;"|"&amp;I1294&amp;"|"&amp;J1294&amp;"|"&amp;K1294&amp;"|"&amp;L1294&amp;"|"&amp;M1294&amp;"|"&amp;N1294</f>
        <v>ORD10369|2025-02-18|12:11|C1342|Green Bowl Kitchen|Chennai|Healthy Food|3|270|0|Cash on Delivery|Delivered|42|5</v>
      </c>
      <c r="P1294" s="7" t="str">
        <f aca="false">IF(COUNTIF($O$2:O1294,O1294)&gt;1,"DUP","OK")</f>
        <v>OK</v>
      </c>
      <c r="Q1294" s="7" t="n">
        <f aca="false">COUNTBLANK(A1294:N1294)</f>
        <v>0</v>
      </c>
      <c r="R1294" s="7" t="n">
        <f aca="false">IF(A1294="",0,COUNTIFS($A$2:$A$3058,A1294,$P$2:$P$3058,"OK"))</f>
        <v>1</v>
      </c>
      <c r="S1294" s="7" t="str">
        <f aca="false">IF(OR(A1294="",P1294="DUP",R1294&lt;2),"",IF(Q1294=_xlfn.MINIFS($Q$2:$Q$3058,$A$2:$A$3058,A1294,$P$2:$P$3058,"OK"),"KEEP","DROP"))</f>
        <v/>
      </c>
      <c r="T1294" s="9" t="n">
        <f aca="false">IF(A1294="",1,0)</f>
        <v>0</v>
      </c>
      <c r="U1294" s="9" t="n">
        <f aca="false">IF(D1294="",1,0)</f>
        <v>0</v>
      </c>
      <c r="V1294" s="9" t="n">
        <f aca="false">IF(E1294="",1,0)</f>
        <v>0</v>
      </c>
      <c r="W1294" s="9" t="n">
        <f aca="false">IF(OR(H1294&lt;1,H1294&gt;10),1,0)</f>
        <v>0</v>
      </c>
      <c r="X1294" s="9" t="n">
        <f aca="false">IF(OR(I1294&lt;=0,I1294&gt;1500),1,0)</f>
        <v>0</v>
      </c>
      <c r="Y1294" s="9" t="n">
        <f aca="false">IF(J1294&gt;H1294*I1294,1,0)</f>
        <v>0</v>
      </c>
      <c r="Z1294" s="9" t="n">
        <f aca="false">IF(AND(N1294&lt;&gt;"",OR(N1294&lt;1,N1294&gt;5)),1,0)</f>
        <v>0</v>
      </c>
      <c r="AA1294" s="9" t="n">
        <f aca="false">IF(AND(M1294&lt;&gt;"",OR(M1294&lt;5,M1294&gt;180)),1,0)</f>
        <v>0</v>
      </c>
      <c r="AB1294" s="7" t="str">
        <f aca="false">IF(P1294="DUP","Exact duplicate row",IF(T1294=1,"Missing Order ID",IF(S1294="DROP","Duplicate Order ID (less complete row)",IF(U1294=1,"Missing Customer ID",IF(V1294=1,"Missing Restaurant name",IF(W1294=1,"Invalid/outlier quantity",IF(X1294=1,"Invalid/outlier unit price",IF(Y1294=1,"Discount greater than order value",""))))))))</f>
        <v/>
      </c>
      <c r="AC1294" s="7" t="str">
        <f aca="false">IF(AB1294="","KEEP","DROP")</f>
        <v>KEEP</v>
      </c>
      <c r="AD1294" s="7" t="str">
        <f aca="false">IF(TRIM(F1294)="",IFERROR(INDEX(Map_Tables!$I$4:$I$37,MATCH(TRIM(E1294),Map_Tables!$G$4:$G$37,0)),""),IFERROR(INDEX(Map_Tables!$B$4:$B$18,MATCH(TRIM(F1294),Map_Tables!$A$4:$A$18,0)),"CHECK"))</f>
        <v>Chennai</v>
      </c>
      <c r="AE1294" s="7" t="str">
        <f aca="false">IF(TRIM(E1294)="","",IFERROR(INDEX(Map_Tables!$H$4:$H$37,MATCH(TRIM(E1294),Map_Tables!$G$4:$G$37,0)),"CHECK"))</f>
        <v>Green Bowl Kitchen</v>
      </c>
      <c r="AF1294" s="7" t="str">
        <f aca="false">IF(TRIM(K1294)="","Unknown",IFERROR(INDEX(Map_Tables!$E$4:$E$15,MATCH(TRIM(K1294),Map_Tables!$D$4:$D$15,0)),"CHECK"))</f>
        <v>Cash on Delivery</v>
      </c>
      <c r="AG1294" s="7" t="str">
        <f aca="false">IF(LEFT(LOWER(TRIM(L1294)),6)="cancel","Cancelled","Delivered")</f>
        <v>Delivered</v>
      </c>
      <c r="AH1294" s="10" t="n">
        <f aca="false">IF(ISNUMBER(SEARCH("/",B1294)),DATE(VALUE(RIGHT(B1294,4)),VALUE(MID(B1294,4,2)),VALUE(LEFT(B1294,2))),IF(MID(B1294,5,1)="-",DATE(VALUE(LEFT(B1294,4)),VALUE(MID(B1294,6,2)),VALUE(RIGHT(B1294,2))),DATE(VALUE(RIGHT(B1294,4)),MATCH(MID(B1294,4,3),{"Jan","Feb","Mar","Apr","May","Jun","Jul","Aug","Sep","Oct","Nov","Dec"},0),VALUE(LEFT(B1294,2)))))</f>
        <v>45706</v>
      </c>
    </row>
    <row r="1295" customFormat="false" ht="15" hidden="false" customHeight="false" outlineLevel="0" collapsed="false">
      <c r="A1295" s="7" t="s">
        <v>3576</v>
      </c>
      <c r="B1295" s="7" t="s">
        <v>1223</v>
      </c>
      <c r="C1295" s="7" t="s">
        <v>3577</v>
      </c>
      <c r="D1295" s="7" t="s">
        <v>525</v>
      </c>
      <c r="E1295" s="7" t="s">
        <v>159</v>
      </c>
      <c r="F1295" s="7" t="s">
        <v>136</v>
      </c>
      <c r="G1295" s="7" t="s">
        <v>90</v>
      </c>
      <c r="H1295" s="7" t="n">
        <v>3</v>
      </c>
      <c r="I1295" s="7" t="n">
        <v>280</v>
      </c>
      <c r="J1295" s="7" t="n">
        <v>0</v>
      </c>
      <c r="K1295" s="7" t="s">
        <v>1739</v>
      </c>
      <c r="L1295" s="7" t="s">
        <v>194</v>
      </c>
      <c r="M1295" s="7" t="n">
        <v>29</v>
      </c>
      <c r="N1295" s="7"/>
      <c r="O1295" s="7" t="str">
        <f aca="false">A1295&amp;"|"&amp;B1295&amp;"|"&amp;C1295&amp;"|"&amp;D1295&amp;"|"&amp;E1295&amp;"|"&amp;F1295&amp;"|"&amp;G1295&amp;"|"&amp;H1295&amp;"|"&amp;I1295&amp;"|"&amp;J1295&amp;"|"&amp;K1295&amp;"|"&amp;L1295&amp;"|"&amp;M1295&amp;"|"&amp;N1295</f>
        <v>ORD11169|2025-05-28|23:18|C0747|Maratha Thali House|Pune|North Indian|3|280|0|CC|Delivered|29|</v>
      </c>
      <c r="P1295" s="7" t="str">
        <f aca="false">IF(COUNTIF($O$2:O1295,O1295)&gt;1,"DUP","OK")</f>
        <v>OK</v>
      </c>
      <c r="Q1295" s="7" t="n">
        <f aca="false">COUNTBLANK(A1295:N1295)</f>
        <v>1</v>
      </c>
      <c r="R1295" s="7" t="n">
        <f aca="false">IF(A1295="",0,COUNTIFS($A$2:$A$3058,A1295,$P$2:$P$3058,"OK"))</f>
        <v>1</v>
      </c>
      <c r="S1295" s="7" t="str">
        <f aca="false">IF(OR(A1295="",P1295="DUP",R1295&lt;2),"",IF(Q1295=_xlfn.MINIFS($Q$2:$Q$3058,$A$2:$A$3058,A1295,$P$2:$P$3058,"OK"),"KEEP","DROP"))</f>
        <v/>
      </c>
      <c r="T1295" s="9" t="n">
        <f aca="false">IF(A1295="",1,0)</f>
        <v>0</v>
      </c>
      <c r="U1295" s="9" t="n">
        <f aca="false">IF(D1295="",1,0)</f>
        <v>0</v>
      </c>
      <c r="V1295" s="9" t="n">
        <f aca="false">IF(E1295="",1,0)</f>
        <v>0</v>
      </c>
      <c r="W1295" s="9" t="n">
        <f aca="false">IF(OR(H1295&lt;1,H1295&gt;10),1,0)</f>
        <v>0</v>
      </c>
      <c r="X1295" s="9" t="n">
        <f aca="false">IF(OR(I1295&lt;=0,I1295&gt;1500),1,0)</f>
        <v>0</v>
      </c>
      <c r="Y1295" s="9" t="n">
        <f aca="false">IF(J1295&gt;H1295*I1295,1,0)</f>
        <v>0</v>
      </c>
      <c r="Z1295" s="9" t="n">
        <f aca="false">IF(AND(N1295&lt;&gt;"",OR(N1295&lt;1,N1295&gt;5)),1,0)</f>
        <v>0</v>
      </c>
      <c r="AA1295" s="9" t="n">
        <f aca="false">IF(AND(M1295&lt;&gt;"",OR(M1295&lt;5,M1295&gt;180)),1,0)</f>
        <v>0</v>
      </c>
      <c r="AB1295" s="7" t="str">
        <f aca="false">IF(P1295="DUP","Exact duplicate row",IF(T1295=1,"Missing Order ID",IF(S1295="DROP","Duplicate Order ID (less complete row)",IF(U1295=1,"Missing Customer ID",IF(V1295=1,"Missing Restaurant name",IF(W1295=1,"Invalid/outlier quantity",IF(X1295=1,"Invalid/outlier unit price",IF(Y1295=1,"Discount greater than order value",""))))))))</f>
        <v/>
      </c>
      <c r="AC1295" s="7" t="str">
        <f aca="false">IF(AB1295="","KEEP","DROP")</f>
        <v>KEEP</v>
      </c>
      <c r="AD1295" s="7" t="str">
        <f aca="false">IF(TRIM(F1295)="",IFERROR(INDEX(Map_Tables!$I$4:$I$37,MATCH(TRIM(E1295),Map_Tables!$G$4:$G$37,0)),""),IFERROR(INDEX(Map_Tables!$B$4:$B$18,MATCH(TRIM(F1295),Map_Tables!$A$4:$A$18,0)),"CHECK"))</f>
        <v>Pune</v>
      </c>
      <c r="AE1295" s="7" t="str">
        <f aca="false">IF(TRIM(E1295)="","",IFERROR(INDEX(Map_Tables!$H$4:$H$37,MATCH(TRIM(E1295),Map_Tables!$G$4:$G$37,0)),"CHECK"))</f>
        <v>Maratha Thali House</v>
      </c>
      <c r="AF1295" s="7" t="str">
        <f aca="false">IF(TRIM(K1295)="","Unknown",IFERROR(INDEX(Map_Tables!$E$4:$E$15,MATCH(TRIM(K1295),Map_Tables!$D$4:$D$15,0)),"CHECK"))</f>
        <v>Credit Card</v>
      </c>
      <c r="AG1295" s="7" t="str">
        <f aca="false">IF(LEFT(LOWER(TRIM(L1295)),6)="cancel","Cancelled","Delivered")</f>
        <v>Delivered</v>
      </c>
      <c r="AH1295" s="10" t="n">
        <f aca="false">IF(ISNUMBER(SEARCH("/",B1295)),DATE(VALUE(RIGHT(B1295,4)),VALUE(MID(B1295,4,2)),VALUE(LEFT(B1295,2))),IF(MID(B1295,5,1)="-",DATE(VALUE(LEFT(B1295,4)),VALUE(MID(B1295,6,2)),VALUE(RIGHT(B1295,2))),DATE(VALUE(RIGHT(B1295,4)),MATCH(MID(B1295,4,3),{"Jan","Feb","Mar","Apr","May","Jun","Jul","Aug","Sep","Oct","Nov","Dec"},0),VALUE(LEFT(B1295,2)))))</f>
        <v>45805</v>
      </c>
    </row>
    <row r="1296" customFormat="false" ht="15" hidden="false" customHeight="false" outlineLevel="0" collapsed="false">
      <c r="A1296" s="7" t="s">
        <v>3578</v>
      </c>
      <c r="B1296" s="7" t="s">
        <v>1634</v>
      </c>
      <c r="C1296" s="7" t="s">
        <v>2781</v>
      </c>
      <c r="D1296" s="7" t="s">
        <v>3579</v>
      </c>
      <c r="E1296" s="7" t="s">
        <v>134</v>
      </c>
      <c r="F1296" s="7" t="s">
        <v>521</v>
      </c>
      <c r="G1296" s="7" t="s">
        <v>117</v>
      </c>
      <c r="H1296" s="7" t="n">
        <v>2</v>
      </c>
      <c r="I1296" s="7" t="n">
        <v>125</v>
      </c>
      <c r="J1296" s="7" t="n">
        <v>0</v>
      </c>
      <c r="K1296" s="7" t="s">
        <v>93</v>
      </c>
      <c r="L1296" s="7" t="s">
        <v>194</v>
      </c>
      <c r="M1296" s="7" t="n">
        <v>31</v>
      </c>
      <c r="N1296" s="7" t="n">
        <v>5</v>
      </c>
      <c r="O1296" s="7" t="str">
        <f aca="false">A1296&amp;"|"&amp;B1296&amp;"|"&amp;C1296&amp;"|"&amp;D1296&amp;"|"&amp;E1296&amp;"|"&amp;F1296&amp;"|"&amp;G1296&amp;"|"&amp;H1296&amp;"|"&amp;I1296&amp;"|"&amp;J1296&amp;"|"&amp;K1296&amp;"|"&amp;L1296&amp;"|"&amp;M1296&amp;"|"&amp;N1296</f>
        <v>ORD11800|2025-08-23|13:19|C1485|Chaat Corner|DELHI|Street Food|2|125|0|Credit Card|Delivered|31|5</v>
      </c>
      <c r="P1296" s="7" t="str">
        <f aca="false">IF(COUNTIF($O$2:O1296,O1296)&gt;1,"DUP","OK")</f>
        <v>OK</v>
      </c>
      <c r="Q1296" s="7" t="n">
        <f aca="false">COUNTBLANK(A1296:N1296)</f>
        <v>0</v>
      </c>
      <c r="R1296" s="7" t="n">
        <f aca="false">IF(A1296="",0,COUNTIFS($A$2:$A$3058,A1296,$P$2:$P$3058,"OK"))</f>
        <v>1</v>
      </c>
      <c r="S1296" s="7" t="str">
        <f aca="false">IF(OR(A1296="",P1296="DUP",R1296&lt;2),"",IF(Q1296=_xlfn.MINIFS($Q$2:$Q$3058,$A$2:$A$3058,A1296,$P$2:$P$3058,"OK"),"KEEP","DROP"))</f>
        <v/>
      </c>
      <c r="T1296" s="9" t="n">
        <f aca="false">IF(A1296="",1,0)</f>
        <v>0</v>
      </c>
      <c r="U1296" s="9" t="n">
        <f aca="false">IF(D1296="",1,0)</f>
        <v>0</v>
      </c>
      <c r="V1296" s="9" t="n">
        <f aca="false">IF(E1296="",1,0)</f>
        <v>0</v>
      </c>
      <c r="W1296" s="9" t="n">
        <f aca="false">IF(OR(H1296&lt;1,H1296&gt;10),1,0)</f>
        <v>0</v>
      </c>
      <c r="X1296" s="9" t="n">
        <f aca="false">IF(OR(I1296&lt;=0,I1296&gt;1500),1,0)</f>
        <v>0</v>
      </c>
      <c r="Y1296" s="9" t="n">
        <f aca="false">IF(J1296&gt;H1296*I1296,1,0)</f>
        <v>0</v>
      </c>
      <c r="Z1296" s="9" t="n">
        <f aca="false">IF(AND(N1296&lt;&gt;"",OR(N1296&lt;1,N1296&gt;5)),1,0)</f>
        <v>0</v>
      </c>
      <c r="AA1296" s="9" t="n">
        <f aca="false">IF(AND(M1296&lt;&gt;"",OR(M1296&lt;5,M1296&gt;180)),1,0)</f>
        <v>0</v>
      </c>
      <c r="AB1296" s="7" t="str">
        <f aca="false">IF(P1296="DUP","Exact duplicate row",IF(T1296=1,"Missing Order ID",IF(S1296="DROP","Duplicate Order ID (less complete row)",IF(U1296=1,"Missing Customer ID",IF(V1296=1,"Missing Restaurant name",IF(W1296=1,"Invalid/outlier quantity",IF(X1296=1,"Invalid/outlier unit price",IF(Y1296=1,"Discount greater than order value",""))))))))</f>
        <v/>
      </c>
      <c r="AC1296" s="7" t="str">
        <f aca="false">IF(AB1296="","KEEP","DROP")</f>
        <v>KEEP</v>
      </c>
      <c r="AD1296" s="7" t="str">
        <f aca="false">IF(TRIM(F1296)="",IFERROR(INDEX(Map_Tables!$I$4:$I$37,MATCH(TRIM(E1296),Map_Tables!$G$4:$G$37,0)),""),IFERROR(INDEX(Map_Tables!$B$4:$B$18,MATCH(TRIM(F1296),Map_Tables!$A$4:$A$18,0)),"CHECK"))</f>
        <v>Delhi</v>
      </c>
      <c r="AE1296" s="7" t="str">
        <f aca="false">IF(TRIM(E1296)="","",IFERROR(INDEX(Map_Tables!$H$4:$H$37,MATCH(TRIM(E1296),Map_Tables!$G$4:$G$37,0)),"CHECK"))</f>
        <v>Chaat Corner</v>
      </c>
      <c r="AF1296" s="7" t="str">
        <f aca="false">IF(TRIM(K1296)="","Unknown",IFERROR(INDEX(Map_Tables!$E$4:$E$15,MATCH(TRIM(K1296),Map_Tables!$D$4:$D$15,0)),"CHECK"))</f>
        <v>Credit Card</v>
      </c>
      <c r="AG1296" s="7" t="str">
        <f aca="false">IF(LEFT(LOWER(TRIM(L1296)),6)="cancel","Cancelled","Delivered")</f>
        <v>Delivered</v>
      </c>
      <c r="AH1296" s="10" t="n">
        <f aca="false">IF(ISNUMBER(SEARCH("/",B1296)),DATE(VALUE(RIGHT(B1296,4)),VALUE(MID(B1296,4,2)),VALUE(LEFT(B1296,2))),IF(MID(B1296,5,1)="-",DATE(VALUE(LEFT(B1296,4)),VALUE(MID(B1296,6,2)),VALUE(RIGHT(B1296,2))),DATE(VALUE(RIGHT(B1296,4)),MATCH(MID(B1296,4,3),{"Jan","Feb","Mar","Apr","May","Jun","Jul","Aug","Sep","Oct","Nov","Dec"},0),VALUE(LEFT(B1296,2)))))</f>
        <v>45892</v>
      </c>
    </row>
    <row r="1297" customFormat="false" ht="15" hidden="false" customHeight="false" outlineLevel="0" collapsed="false">
      <c r="A1297" s="7" t="s">
        <v>3580</v>
      </c>
      <c r="B1297" s="7" t="s">
        <v>2010</v>
      </c>
      <c r="C1297" s="7" t="s">
        <v>732</v>
      </c>
      <c r="D1297" s="7" t="s">
        <v>2077</v>
      </c>
      <c r="E1297" s="7" t="s">
        <v>89</v>
      </c>
      <c r="F1297" s="7" t="s">
        <v>86</v>
      </c>
      <c r="G1297" s="7" t="s">
        <v>90</v>
      </c>
      <c r="H1297" s="7" t="n">
        <v>2</v>
      </c>
      <c r="I1297" s="7" t="n">
        <v>260</v>
      </c>
      <c r="J1297" s="7" t="n">
        <v>0</v>
      </c>
      <c r="K1297" s="7" t="s">
        <v>112</v>
      </c>
      <c r="L1297" s="7" t="s">
        <v>194</v>
      </c>
      <c r="M1297" s="7" t="n">
        <v>46</v>
      </c>
      <c r="N1297" s="7" t="n">
        <v>4</v>
      </c>
      <c r="O1297" s="7" t="str">
        <f aca="false">A1297&amp;"|"&amp;B1297&amp;"|"&amp;C1297&amp;"|"&amp;D1297&amp;"|"&amp;E1297&amp;"|"&amp;F1297&amp;"|"&amp;G1297&amp;"|"&amp;H1297&amp;"|"&amp;I1297&amp;"|"&amp;J1297&amp;"|"&amp;K1297&amp;"|"&amp;L1297&amp;"|"&amp;M1297&amp;"|"&amp;N1297</f>
        <v>ORD10494|2025-03-06|19:07|C0006|Spice Junction|Bengaluru|North Indian|2|260|0|Cash on Delivery|Delivered|46|4</v>
      </c>
      <c r="P1297" s="7" t="str">
        <f aca="false">IF(COUNTIF($O$2:O1297,O1297)&gt;1,"DUP","OK")</f>
        <v>OK</v>
      </c>
      <c r="Q1297" s="7" t="n">
        <f aca="false">COUNTBLANK(A1297:N1297)</f>
        <v>0</v>
      </c>
      <c r="R1297" s="7" t="n">
        <f aca="false">IF(A1297="",0,COUNTIFS($A$2:$A$3058,A1297,$P$2:$P$3058,"OK"))</f>
        <v>1</v>
      </c>
      <c r="S1297" s="7" t="str">
        <f aca="false">IF(OR(A1297="",P1297="DUP",R1297&lt;2),"",IF(Q1297=_xlfn.MINIFS($Q$2:$Q$3058,$A$2:$A$3058,A1297,$P$2:$P$3058,"OK"),"KEEP","DROP"))</f>
        <v/>
      </c>
      <c r="T1297" s="9" t="n">
        <f aca="false">IF(A1297="",1,0)</f>
        <v>0</v>
      </c>
      <c r="U1297" s="9" t="n">
        <f aca="false">IF(D1297="",1,0)</f>
        <v>0</v>
      </c>
      <c r="V1297" s="9" t="n">
        <f aca="false">IF(E1297="",1,0)</f>
        <v>0</v>
      </c>
      <c r="W1297" s="9" t="n">
        <f aca="false">IF(OR(H1297&lt;1,H1297&gt;10),1,0)</f>
        <v>0</v>
      </c>
      <c r="X1297" s="9" t="n">
        <f aca="false">IF(OR(I1297&lt;=0,I1297&gt;1500),1,0)</f>
        <v>0</v>
      </c>
      <c r="Y1297" s="9" t="n">
        <f aca="false">IF(J1297&gt;H1297*I1297,1,0)</f>
        <v>0</v>
      </c>
      <c r="Z1297" s="9" t="n">
        <f aca="false">IF(AND(N1297&lt;&gt;"",OR(N1297&lt;1,N1297&gt;5)),1,0)</f>
        <v>0</v>
      </c>
      <c r="AA1297" s="9" t="n">
        <f aca="false">IF(AND(M1297&lt;&gt;"",OR(M1297&lt;5,M1297&gt;180)),1,0)</f>
        <v>0</v>
      </c>
      <c r="AB1297" s="7" t="str">
        <f aca="false">IF(P1297="DUP","Exact duplicate row",IF(T1297=1,"Missing Order ID",IF(S1297="DROP","Duplicate Order ID (less complete row)",IF(U1297=1,"Missing Customer ID",IF(V1297=1,"Missing Restaurant name",IF(W1297=1,"Invalid/outlier quantity",IF(X1297=1,"Invalid/outlier unit price",IF(Y1297=1,"Discount greater than order value",""))))))))</f>
        <v/>
      </c>
      <c r="AC1297" s="7" t="str">
        <f aca="false">IF(AB1297="","KEEP","DROP")</f>
        <v>KEEP</v>
      </c>
      <c r="AD1297" s="7" t="str">
        <f aca="false">IF(TRIM(F1297)="",IFERROR(INDEX(Map_Tables!$I$4:$I$37,MATCH(TRIM(E1297),Map_Tables!$G$4:$G$37,0)),""),IFERROR(INDEX(Map_Tables!$B$4:$B$18,MATCH(TRIM(F1297),Map_Tables!$A$4:$A$18,0)),"CHECK"))</f>
        <v>Bengaluru</v>
      </c>
      <c r="AE1297" s="7" t="str">
        <f aca="false">IF(TRIM(E1297)="","",IFERROR(INDEX(Map_Tables!$H$4:$H$37,MATCH(TRIM(E1297),Map_Tables!$G$4:$G$37,0)),"CHECK"))</f>
        <v>Spice Junction</v>
      </c>
      <c r="AF1297" s="7" t="str">
        <f aca="false">IF(TRIM(K1297)="","Unknown",IFERROR(INDEX(Map_Tables!$E$4:$E$15,MATCH(TRIM(K1297),Map_Tables!$D$4:$D$15,0)),"CHECK"))</f>
        <v>Cash on Delivery</v>
      </c>
      <c r="AG1297" s="7" t="str">
        <f aca="false">IF(LEFT(LOWER(TRIM(L1297)),6)="cancel","Cancelled","Delivered")</f>
        <v>Delivered</v>
      </c>
      <c r="AH1297" s="10" t="n">
        <f aca="false">IF(ISNUMBER(SEARCH("/",B1297)),DATE(VALUE(RIGHT(B1297,4)),VALUE(MID(B1297,4,2)),VALUE(LEFT(B1297,2))),IF(MID(B1297,5,1)="-",DATE(VALUE(LEFT(B1297,4)),VALUE(MID(B1297,6,2)),VALUE(RIGHT(B1297,2))),DATE(VALUE(RIGHT(B1297,4)),MATCH(MID(B1297,4,3),{"Jan","Feb","Mar","Apr","May","Jun","Jul","Aug","Sep","Oct","Nov","Dec"},0),VALUE(LEFT(B1297,2)))))</f>
        <v>45722</v>
      </c>
    </row>
    <row r="1298" customFormat="false" ht="15" hidden="false" customHeight="false" outlineLevel="0" collapsed="false">
      <c r="A1298" s="7" t="s">
        <v>3581</v>
      </c>
      <c r="B1298" s="7" t="s">
        <v>1760</v>
      </c>
      <c r="C1298" s="7" t="s">
        <v>403</v>
      </c>
      <c r="D1298" s="7" t="s">
        <v>1138</v>
      </c>
      <c r="E1298" s="7" t="s">
        <v>158</v>
      </c>
      <c r="F1298" s="7" t="s">
        <v>136</v>
      </c>
      <c r="G1298" s="7" t="s">
        <v>139</v>
      </c>
      <c r="H1298" s="7" t="n">
        <v>2</v>
      </c>
      <c r="I1298" s="7" t="n">
        <v>210</v>
      </c>
      <c r="J1298" s="7" t="n">
        <v>30</v>
      </c>
      <c r="K1298" s="7" t="s">
        <v>88</v>
      </c>
      <c r="L1298" s="7" t="s">
        <v>194</v>
      </c>
      <c r="M1298" s="7" t="n">
        <v>25</v>
      </c>
      <c r="N1298" s="7" t="n">
        <v>4</v>
      </c>
      <c r="O1298" s="7" t="str">
        <f aca="false">A1298&amp;"|"&amp;B1298&amp;"|"&amp;C1298&amp;"|"&amp;D1298&amp;"|"&amp;E1298&amp;"|"&amp;F1298&amp;"|"&amp;G1298&amp;"|"&amp;H1298&amp;"|"&amp;I1298&amp;"|"&amp;J1298&amp;"|"&amp;K1298&amp;"|"&amp;L1298&amp;"|"&amp;M1298&amp;"|"&amp;N1298</f>
        <v>ORD10232|2025-02-01|11:13|C1428|Pune Burger Hub|Pune|Burgers|2|210|30|UPI|Delivered|25|4</v>
      </c>
      <c r="P1298" s="7" t="str">
        <f aca="false">IF(COUNTIF($O$2:O1298,O1298)&gt;1,"DUP","OK")</f>
        <v>OK</v>
      </c>
      <c r="Q1298" s="7" t="n">
        <f aca="false">COUNTBLANK(A1298:N1298)</f>
        <v>0</v>
      </c>
      <c r="R1298" s="7" t="n">
        <f aca="false">IF(A1298="",0,COUNTIFS($A$2:$A$3058,A1298,$P$2:$P$3058,"OK"))</f>
        <v>1</v>
      </c>
      <c r="S1298" s="7" t="str">
        <f aca="false">IF(OR(A1298="",P1298="DUP",R1298&lt;2),"",IF(Q1298=_xlfn.MINIFS($Q$2:$Q$3058,$A$2:$A$3058,A1298,$P$2:$P$3058,"OK"),"KEEP","DROP"))</f>
        <v/>
      </c>
      <c r="T1298" s="9" t="n">
        <f aca="false">IF(A1298="",1,0)</f>
        <v>0</v>
      </c>
      <c r="U1298" s="9" t="n">
        <f aca="false">IF(D1298="",1,0)</f>
        <v>0</v>
      </c>
      <c r="V1298" s="9" t="n">
        <f aca="false">IF(E1298="",1,0)</f>
        <v>0</v>
      </c>
      <c r="W1298" s="9" t="n">
        <f aca="false">IF(OR(H1298&lt;1,H1298&gt;10),1,0)</f>
        <v>0</v>
      </c>
      <c r="X1298" s="9" t="n">
        <f aca="false">IF(OR(I1298&lt;=0,I1298&gt;1500),1,0)</f>
        <v>0</v>
      </c>
      <c r="Y1298" s="9" t="n">
        <f aca="false">IF(J1298&gt;H1298*I1298,1,0)</f>
        <v>0</v>
      </c>
      <c r="Z1298" s="9" t="n">
        <f aca="false">IF(AND(N1298&lt;&gt;"",OR(N1298&lt;1,N1298&gt;5)),1,0)</f>
        <v>0</v>
      </c>
      <c r="AA1298" s="9" t="n">
        <f aca="false">IF(AND(M1298&lt;&gt;"",OR(M1298&lt;5,M1298&gt;180)),1,0)</f>
        <v>0</v>
      </c>
      <c r="AB1298" s="7" t="str">
        <f aca="false">IF(P1298="DUP","Exact duplicate row",IF(T1298=1,"Missing Order ID",IF(S1298="DROP","Duplicate Order ID (less complete row)",IF(U1298=1,"Missing Customer ID",IF(V1298=1,"Missing Restaurant name",IF(W1298=1,"Invalid/outlier quantity",IF(X1298=1,"Invalid/outlier unit price",IF(Y1298=1,"Discount greater than order value",""))))))))</f>
        <v/>
      </c>
      <c r="AC1298" s="7" t="str">
        <f aca="false">IF(AB1298="","KEEP","DROP")</f>
        <v>KEEP</v>
      </c>
      <c r="AD1298" s="7" t="str">
        <f aca="false">IF(TRIM(F1298)="",IFERROR(INDEX(Map_Tables!$I$4:$I$37,MATCH(TRIM(E1298),Map_Tables!$G$4:$G$37,0)),""),IFERROR(INDEX(Map_Tables!$B$4:$B$18,MATCH(TRIM(F1298),Map_Tables!$A$4:$A$18,0)),"CHECK"))</f>
        <v>Pune</v>
      </c>
      <c r="AE1298" s="7" t="str">
        <f aca="false">IF(TRIM(E1298)="","",IFERROR(INDEX(Map_Tables!$H$4:$H$37,MATCH(TRIM(E1298),Map_Tables!$G$4:$G$37,0)),"CHECK"))</f>
        <v>Pune Burger Hub</v>
      </c>
      <c r="AF1298" s="7" t="str">
        <f aca="false">IF(TRIM(K1298)="","Unknown",IFERROR(INDEX(Map_Tables!$E$4:$E$15,MATCH(TRIM(K1298),Map_Tables!$D$4:$D$15,0)),"CHECK"))</f>
        <v>UPI</v>
      </c>
      <c r="AG1298" s="7" t="str">
        <f aca="false">IF(LEFT(LOWER(TRIM(L1298)),6)="cancel","Cancelled","Delivered")</f>
        <v>Delivered</v>
      </c>
      <c r="AH1298" s="10" t="n">
        <f aca="false">IF(ISNUMBER(SEARCH("/",B1298)),DATE(VALUE(RIGHT(B1298,4)),VALUE(MID(B1298,4,2)),VALUE(LEFT(B1298,2))),IF(MID(B1298,5,1)="-",DATE(VALUE(LEFT(B1298,4)),VALUE(MID(B1298,6,2)),VALUE(RIGHT(B1298,2))),DATE(VALUE(RIGHT(B1298,4)),MATCH(MID(B1298,4,3),{"Jan","Feb","Mar","Apr","May","Jun","Jul","Aug","Sep","Oct","Nov","Dec"},0),VALUE(LEFT(B1298,2)))))</f>
        <v>45689</v>
      </c>
    </row>
    <row r="1299" customFormat="false" ht="15" hidden="false" customHeight="false" outlineLevel="0" collapsed="false">
      <c r="A1299" s="7" t="s">
        <v>3582</v>
      </c>
      <c r="B1299" s="7" t="s">
        <v>1970</v>
      </c>
      <c r="C1299" s="7" t="s">
        <v>1694</v>
      </c>
      <c r="D1299" s="7" t="s">
        <v>784</v>
      </c>
      <c r="E1299" s="7" t="s">
        <v>168</v>
      </c>
      <c r="F1299" s="7" t="s">
        <v>145</v>
      </c>
      <c r="G1299" s="7" t="s">
        <v>123</v>
      </c>
      <c r="H1299" s="7" t="n">
        <v>1</v>
      </c>
      <c r="I1299" s="7" t="n">
        <v>330</v>
      </c>
      <c r="J1299" s="7" t="n">
        <v>50</v>
      </c>
      <c r="K1299" s="7" t="s">
        <v>88</v>
      </c>
      <c r="L1299" s="7" t="s">
        <v>194</v>
      </c>
      <c r="M1299" s="7" t="n">
        <v>23</v>
      </c>
      <c r="N1299" s="7" t="n">
        <v>4</v>
      </c>
      <c r="O1299" s="7" t="str">
        <f aca="false">A1299&amp;"|"&amp;B1299&amp;"|"&amp;C1299&amp;"|"&amp;D1299&amp;"|"&amp;E1299&amp;"|"&amp;F1299&amp;"|"&amp;G1299&amp;"|"&amp;H1299&amp;"|"&amp;I1299&amp;"|"&amp;J1299&amp;"|"&amp;K1299&amp;"|"&amp;L1299&amp;"|"&amp;M1299&amp;"|"&amp;N1299</f>
        <v>ORD12137|2025-10-01|17:51|C0674|Cheesy Slice|ahmedabad|Pizza|1|330|50|UPI|Delivered|23|4</v>
      </c>
      <c r="P1299" s="7" t="str">
        <f aca="false">IF(COUNTIF($O$2:O1299,O1299)&gt;1,"DUP","OK")</f>
        <v>OK</v>
      </c>
      <c r="Q1299" s="7" t="n">
        <f aca="false">COUNTBLANK(A1299:N1299)</f>
        <v>0</v>
      </c>
      <c r="R1299" s="7" t="n">
        <f aca="false">IF(A1299="",0,COUNTIFS($A$2:$A$3058,A1299,$P$2:$P$3058,"OK"))</f>
        <v>1</v>
      </c>
      <c r="S1299" s="7" t="str">
        <f aca="false">IF(OR(A1299="",P1299="DUP",R1299&lt;2),"",IF(Q1299=_xlfn.MINIFS($Q$2:$Q$3058,$A$2:$A$3058,A1299,$P$2:$P$3058,"OK"),"KEEP","DROP"))</f>
        <v/>
      </c>
      <c r="T1299" s="9" t="n">
        <f aca="false">IF(A1299="",1,0)</f>
        <v>0</v>
      </c>
      <c r="U1299" s="9" t="n">
        <f aca="false">IF(D1299="",1,0)</f>
        <v>0</v>
      </c>
      <c r="V1299" s="9" t="n">
        <f aca="false">IF(E1299="",1,0)</f>
        <v>0</v>
      </c>
      <c r="W1299" s="9" t="n">
        <f aca="false">IF(OR(H1299&lt;1,H1299&gt;10),1,0)</f>
        <v>0</v>
      </c>
      <c r="X1299" s="9" t="n">
        <f aca="false">IF(OR(I1299&lt;=0,I1299&gt;1500),1,0)</f>
        <v>0</v>
      </c>
      <c r="Y1299" s="9" t="n">
        <f aca="false">IF(J1299&gt;H1299*I1299,1,0)</f>
        <v>0</v>
      </c>
      <c r="Z1299" s="9" t="n">
        <f aca="false">IF(AND(N1299&lt;&gt;"",OR(N1299&lt;1,N1299&gt;5)),1,0)</f>
        <v>0</v>
      </c>
      <c r="AA1299" s="9" t="n">
        <f aca="false">IF(AND(M1299&lt;&gt;"",OR(M1299&lt;5,M1299&gt;180)),1,0)</f>
        <v>0</v>
      </c>
      <c r="AB1299" s="7" t="str">
        <f aca="false">IF(P1299="DUP","Exact duplicate row",IF(T1299=1,"Missing Order ID",IF(S1299="DROP","Duplicate Order ID (less complete row)",IF(U1299=1,"Missing Customer ID",IF(V1299=1,"Missing Restaurant name",IF(W1299=1,"Invalid/outlier quantity",IF(X1299=1,"Invalid/outlier unit price",IF(Y1299=1,"Discount greater than order value",""))))))))</f>
        <v/>
      </c>
      <c r="AC1299" s="7" t="str">
        <f aca="false">IF(AB1299="","KEEP","DROP")</f>
        <v>KEEP</v>
      </c>
      <c r="AD1299" s="7" t="str">
        <f aca="false">IF(TRIM(F1299)="",IFERROR(INDEX(Map_Tables!$I$4:$I$37,MATCH(TRIM(E1299),Map_Tables!$G$4:$G$37,0)),""),IFERROR(INDEX(Map_Tables!$B$4:$B$18,MATCH(TRIM(F1299),Map_Tables!$A$4:$A$18,0)),"CHECK"))</f>
        <v>Ahmedabad</v>
      </c>
      <c r="AE1299" s="7" t="str">
        <f aca="false">IF(TRIM(E1299)="","",IFERROR(INDEX(Map_Tables!$H$4:$H$37,MATCH(TRIM(E1299),Map_Tables!$G$4:$G$37,0)),"CHECK"))</f>
        <v>Cheesy Slice</v>
      </c>
      <c r="AF1299" s="7" t="str">
        <f aca="false">IF(TRIM(K1299)="","Unknown",IFERROR(INDEX(Map_Tables!$E$4:$E$15,MATCH(TRIM(K1299),Map_Tables!$D$4:$D$15,0)),"CHECK"))</f>
        <v>UPI</v>
      </c>
      <c r="AG1299" s="7" t="str">
        <f aca="false">IF(LEFT(LOWER(TRIM(L1299)),6)="cancel","Cancelled","Delivered")</f>
        <v>Delivered</v>
      </c>
      <c r="AH1299" s="10" t="n">
        <f aca="false">IF(ISNUMBER(SEARCH("/",B1299)),DATE(VALUE(RIGHT(B1299,4)),VALUE(MID(B1299,4,2)),VALUE(LEFT(B1299,2))),IF(MID(B1299,5,1)="-",DATE(VALUE(LEFT(B1299,4)),VALUE(MID(B1299,6,2)),VALUE(RIGHT(B1299,2))),DATE(VALUE(RIGHT(B1299,4)),MATCH(MID(B1299,4,3),{"Jan","Feb","Mar","Apr","May","Jun","Jul","Aug","Sep","Oct","Nov","Dec"},0),VALUE(LEFT(B1299,2)))))</f>
        <v>45931</v>
      </c>
    </row>
    <row r="1300" customFormat="false" ht="15" hidden="false" customHeight="false" outlineLevel="0" collapsed="false">
      <c r="A1300" s="7" t="s">
        <v>3583</v>
      </c>
      <c r="B1300" s="7" t="s">
        <v>3277</v>
      </c>
      <c r="C1300" s="7" t="s">
        <v>1631</v>
      </c>
      <c r="D1300" s="7" t="s">
        <v>3454</v>
      </c>
      <c r="E1300" s="7" t="s">
        <v>142</v>
      </c>
      <c r="F1300" s="7" t="s">
        <v>294</v>
      </c>
      <c r="G1300" s="7" t="s">
        <v>105</v>
      </c>
      <c r="H1300" s="7" t="n">
        <v>3</v>
      </c>
      <c r="I1300" s="7" t="n">
        <v>170</v>
      </c>
      <c r="J1300" s="7" t="n">
        <v>100</v>
      </c>
      <c r="K1300" s="7" t="s">
        <v>88</v>
      </c>
      <c r="L1300" s="7" t="s">
        <v>194</v>
      </c>
      <c r="M1300" s="7" t="n">
        <v>44</v>
      </c>
      <c r="N1300" s="7" t="n">
        <v>5</v>
      </c>
      <c r="O1300" s="7" t="str">
        <f aca="false">A1300&amp;"|"&amp;B1300&amp;"|"&amp;C1300&amp;"|"&amp;D1300&amp;"|"&amp;E1300&amp;"|"&amp;F1300&amp;"|"&amp;G1300&amp;"|"&amp;H1300&amp;"|"&amp;I1300&amp;"|"&amp;J1300&amp;"|"&amp;K1300&amp;"|"&amp;L1300&amp;"|"&amp;M1300&amp;"|"&amp;N1300</f>
        <v>ORD10334|2025-02-13|19:53|C1486|Momo Magic|New Delhi|Chinese|3|170|100|UPI|Delivered|44|5</v>
      </c>
      <c r="P1300" s="7" t="str">
        <f aca="false">IF(COUNTIF($O$2:O1300,O1300)&gt;1,"DUP","OK")</f>
        <v>OK</v>
      </c>
      <c r="Q1300" s="7" t="n">
        <f aca="false">COUNTBLANK(A1300:N1300)</f>
        <v>0</v>
      </c>
      <c r="R1300" s="7" t="n">
        <f aca="false">IF(A1300="",0,COUNTIFS($A$2:$A$3058,A1300,$P$2:$P$3058,"OK"))</f>
        <v>1</v>
      </c>
      <c r="S1300" s="7" t="str">
        <f aca="false">IF(OR(A1300="",P1300="DUP",R1300&lt;2),"",IF(Q1300=_xlfn.MINIFS($Q$2:$Q$3058,$A$2:$A$3058,A1300,$P$2:$P$3058,"OK"),"KEEP","DROP"))</f>
        <v/>
      </c>
      <c r="T1300" s="9" t="n">
        <f aca="false">IF(A1300="",1,0)</f>
        <v>0</v>
      </c>
      <c r="U1300" s="9" t="n">
        <f aca="false">IF(D1300="",1,0)</f>
        <v>0</v>
      </c>
      <c r="V1300" s="9" t="n">
        <f aca="false">IF(E1300="",1,0)</f>
        <v>0</v>
      </c>
      <c r="W1300" s="9" t="n">
        <f aca="false">IF(OR(H1300&lt;1,H1300&gt;10),1,0)</f>
        <v>0</v>
      </c>
      <c r="X1300" s="9" t="n">
        <f aca="false">IF(OR(I1300&lt;=0,I1300&gt;1500),1,0)</f>
        <v>0</v>
      </c>
      <c r="Y1300" s="9" t="n">
        <f aca="false">IF(J1300&gt;H1300*I1300,1,0)</f>
        <v>0</v>
      </c>
      <c r="Z1300" s="9" t="n">
        <f aca="false">IF(AND(N1300&lt;&gt;"",OR(N1300&lt;1,N1300&gt;5)),1,0)</f>
        <v>0</v>
      </c>
      <c r="AA1300" s="9" t="n">
        <f aca="false">IF(AND(M1300&lt;&gt;"",OR(M1300&lt;5,M1300&gt;180)),1,0)</f>
        <v>0</v>
      </c>
      <c r="AB1300" s="7" t="str">
        <f aca="false">IF(P1300="DUP","Exact duplicate row",IF(T1300=1,"Missing Order ID",IF(S1300="DROP","Duplicate Order ID (less complete row)",IF(U1300=1,"Missing Customer ID",IF(V1300=1,"Missing Restaurant name",IF(W1300=1,"Invalid/outlier quantity",IF(X1300=1,"Invalid/outlier unit price",IF(Y1300=1,"Discount greater than order value",""))))))))</f>
        <v/>
      </c>
      <c r="AC1300" s="7" t="str">
        <f aca="false">IF(AB1300="","KEEP","DROP")</f>
        <v>KEEP</v>
      </c>
      <c r="AD1300" s="7" t="str">
        <f aca="false">IF(TRIM(F1300)="",IFERROR(INDEX(Map_Tables!$I$4:$I$37,MATCH(TRIM(E1300),Map_Tables!$G$4:$G$37,0)),""),IFERROR(INDEX(Map_Tables!$B$4:$B$18,MATCH(TRIM(F1300),Map_Tables!$A$4:$A$18,0)),"CHECK"))</f>
        <v>Delhi</v>
      </c>
      <c r="AE1300" s="7" t="str">
        <f aca="false">IF(TRIM(E1300)="","",IFERROR(INDEX(Map_Tables!$H$4:$H$37,MATCH(TRIM(E1300),Map_Tables!$G$4:$G$37,0)),"CHECK"))</f>
        <v>Momo Magic</v>
      </c>
      <c r="AF1300" s="7" t="str">
        <f aca="false">IF(TRIM(K1300)="","Unknown",IFERROR(INDEX(Map_Tables!$E$4:$E$15,MATCH(TRIM(K1300),Map_Tables!$D$4:$D$15,0)),"CHECK"))</f>
        <v>UPI</v>
      </c>
      <c r="AG1300" s="7" t="str">
        <f aca="false">IF(LEFT(LOWER(TRIM(L1300)),6)="cancel","Cancelled","Delivered")</f>
        <v>Delivered</v>
      </c>
      <c r="AH1300" s="10" t="n">
        <f aca="false">IF(ISNUMBER(SEARCH("/",B1300)),DATE(VALUE(RIGHT(B1300,4)),VALUE(MID(B1300,4,2)),VALUE(LEFT(B1300,2))),IF(MID(B1300,5,1)="-",DATE(VALUE(LEFT(B1300,4)),VALUE(MID(B1300,6,2)),VALUE(RIGHT(B1300,2))),DATE(VALUE(RIGHT(B1300,4)),MATCH(MID(B1300,4,3),{"Jan","Feb","Mar","Apr","May","Jun","Jul","Aug","Sep","Oct","Nov","Dec"},0),VALUE(LEFT(B1300,2)))))</f>
        <v>45701</v>
      </c>
    </row>
    <row r="1301" customFormat="false" ht="15" hidden="false" customHeight="false" outlineLevel="0" collapsed="false">
      <c r="A1301" s="7"/>
      <c r="B1301" s="7" t="s">
        <v>2231</v>
      </c>
      <c r="C1301" s="7" t="s">
        <v>197</v>
      </c>
      <c r="D1301" s="7" t="s">
        <v>3584</v>
      </c>
      <c r="E1301" s="7" t="s">
        <v>130</v>
      </c>
      <c r="F1301" s="7" t="s">
        <v>110</v>
      </c>
      <c r="G1301" s="7" t="s">
        <v>90</v>
      </c>
      <c r="H1301" s="7" t="n">
        <v>2</v>
      </c>
      <c r="I1301" s="7" t="n">
        <v>230</v>
      </c>
      <c r="J1301" s="7" t="n">
        <v>100</v>
      </c>
      <c r="K1301" s="7" t="s">
        <v>112</v>
      </c>
      <c r="L1301" s="7" t="s">
        <v>194</v>
      </c>
      <c r="M1301" s="7" t="n">
        <v>31</v>
      </c>
      <c r="N1301" s="7" t="n">
        <v>5</v>
      </c>
      <c r="O1301" s="7" t="str">
        <f aca="false">A1301&amp;"|"&amp;B1301&amp;"|"&amp;C1301&amp;"|"&amp;D1301&amp;"|"&amp;E1301&amp;"|"&amp;F1301&amp;"|"&amp;G1301&amp;"|"&amp;H1301&amp;"|"&amp;I1301&amp;"|"&amp;J1301&amp;"|"&amp;K1301&amp;"|"&amp;L1301&amp;"|"&amp;M1301&amp;"|"&amp;N1301</f>
        <v>|2025-10-22|22:08|C1188|Tandoor Tales|Delhi|North Indian|2|230|100|Cash on Delivery|Delivered|31|5</v>
      </c>
      <c r="P1301" s="7" t="str">
        <f aca="false">IF(COUNTIF($O$2:O1301,O1301)&gt;1,"DUP","OK")</f>
        <v>OK</v>
      </c>
      <c r="Q1301" s="7" t="n">
        <f aca="false">COUNTBLANK(A1301:N1301)</f>
        <v>1</v>
      </c>
      <c r="R1301" s="7" t="n">
        <f aca="false">IF(A1301="",0,COUNTIFS($A$2:$A$3058,A1301,$P$2:$P$3058,"OK"))</f>
        <v>0</v>
      </c>
      <c r="S1301" s="7" t="str">
        <f aca="false">IF(OR(A1301="",P1301="DUP",R1301&lt;2),"",IF(Q1301=_xlfn.MINIFS($Q$2:$Q$3058,$A$2:$A$3058,A1301,$P$2:$P$3058,"OK"),"KEEP","DROP"))</f>
        <v/>
      </c>
      <c r="T1301" s="9" t="n">
        <f aca="false">IF(A1301="",1,0)</f>
        <v>1</v>
      </c>
      <c r="U1301" s="9" t="n">
        <f aca="false">IF(D1301="",1,0)</f>
        <v>0</v>
      </c>
      <c r="V1301" s="9" t="n">
        <f aca="false">IF(E1301="",1,0)</f>
        <v>0</v>
      </c>
      <c r="W1301" s="9" t="n">
        <f aca="false">IF(OR(H1301&lt;1,H1301&gt;10),1,0)</f>
        <v>0</v>
      </c>
      <c r="X1301" s="9" t="n">
        <f aca="false">IF(OR(I1301&lt;=0,I1301&gt;1500),1,0)</f>
        <v>0</v>
      </c>
      <c r="Y1301" s="9" t="n">
        <f aca="false">IF(J1301&gt;H1301*I1301,1,0)</f>
        <v>0</v>
      </c>
      <c r="Z1301" s="9" t="n">
        <f aca="false">IF(AND(N1301&lt;&gt;"",OR(N1301&lt;1,N1301&gt;5)),1,0)</f>
        <v>0</v>
      </c>
      <c r="AA1301" s="9" t="n">
        <f aca="false">IF(AND(M1301&lt;&gt;"",OR(M1301&lt;5,M1301&gt;180)),1,0)</f>
        <v>0</v>
      </c>
      <c r="AB1301" s="7" t="str">
        <f aca="false">IF(P1301="DUP","Exact duplicate row",IF(T1301=1,"Missing Order ID",IF(S1301="DROP","Duplicate Order ID (less complete row)",IF(U1301=1,"Missing Customer ID",IF(V1301=1,"Missing Restaurant name",IF(W1301=1,"Invalid/outlier quantity",IF(X1301=1,"Invalid/outlier unit price",IF(Y1301=1,"Discount greater than order value",""))))))))</f>
        <v>Missing Order ID</v>
      </c>
      <c r="AC1301" s="7" t="str">
        <f aca="false">IF(AB1301="","KEEP","DROP")</f>
        <v>DROP</v>
      </c>
      <c r="AD1301" s="7" t="str">
        <f aca="false">IF(TRIM(F1301)="",IFERROR(INDEX(Map_Tables!$I$4:$I$37,MATCH(TRIM(E1301),Map_Tables!$G$4:$G$37,0)),""),IFERROR(INDEX(Map_Tables!$B$4:$B$18,MATCH(TRIM(F1301),Map_Tables!$A$4:$A$18,0)),"CHECK"))</f>
        <v>Delhi</v>
      </c>
      <c r="AE1301" s="7" t="str">
        <f aca="false">IF(TRIM(E1301)="","",IFERROR(INDEX(Map_Tables!$H$4:$H$37,MATCH(TRIM(E1301),Map_Tables!$G$4:$G$37,0)),"CHECK"))</f>
        <v>Tandoor Tales</v>
      </c>
      <c r="AF1301" s="7" t="str">
        <f aca="false">IF(TRIM(K1301)="","Unknown",IFERROR(INDEX(Map_Tables!$E$4:$E$15,MATCH(TRIM(K1301),Map_Tables!$D$4:$D$15,0)),"CHECK"))</f>
        <v>Cash on Delivery</v>
      </c>
      <c r="AG1301" s="7" t="str">
        <f aca="false">IF(LEFT(LOWER(TRIM(L1301)),6)="cancel","Cancelled","Delivered")</f>
        <v>Delivered</v>
      </c>
      <c r="AH1301" s="10" t="n">
        <f aca="false">IF(ISNUMBER(SEARCH("/",B1301)),DATE(VALUE(RIGHT(B1301,4)),VALUE(MID(B1301,4,2)),VALUE(LEFT(B1301,2))),IF(MID(B1301,5,1)="-",DATE(VALUE(LEFT(B1301,4)),VALUE(MID(B1301,6,2)),VALUE(RIGHT(B1301,2))),DATE(VALUE(RIGHT(B1301,4)),MATCH(MID(B1301,4,3),{"Jan","Feb","Mar","Apr","May","Jun","Jul","Aug","Sep","Oct","Nov","Dec"},0),VALUE(LEFT(B1301,2)))))</f>
        <v>45952</v>
      </c>
    </row>
    <row r="1302" customFormat="false" ht="15" hidden="false" customHeight="false" outlineLevel="0" collapsed="false">
      <c r="A1302" s="7" t="s">
        <v>3585</v>
      </c>
      <c r="B1302" s="7" t="s">
        <v>2727</v>
      </c>
      <c r="C1302" s="7" t="s">
        <v>3011</v>
      </c>
      <c r="D1302" s="7" t="s">
        <v>2469</v>
      </c>
      <c r="E1302" s="7" t="s">
        <v>113</v>
      </c>
      <c r="F1302" s="7" t="s">
        <v>101</v>
      </c>
      <c r="G1302" s="7" t="s">
        <v>90</v>
      </c>
      <c r="H1302" s="7" t="n">
        <v>3</v>
      </c>
      <c r="I1302" s="7" t="n">
        <v>280</v>
      </c>
      <c r="J1302" s="7" t="n">
        <v>50</v>
      </c>
      <c r="K1302" s="7" t="s">
        <v>88</v>
      </c>
      <c r="L1302" s="7" t="s">
        <v>194</v>
      </c>
      <c r="M1302" s="7" t="n">
        <v>38</v>
      </c>
      <c r="N1302" s="7" t="n">
        <v>3</v>
      </c>
      <c r="O1302" s="7" t="str">
        <f aca="false">A1302&amp;"|"&amp;B1302&amp;"|"&amp;C1302&amp;"|"&amp;D1302&amp;"|"&amp;E1302&amp;"|"&amp;F1302&amp;"|"&amp;G1302&amp;"|"&amp;H1302&amp;"|"&amp;I1302&amp;"|"&amp;J1302&amp;"|"&amp;K1302&amp;"|"&amp;L1302&amp;"|"&amp;M1302&amp;"|"&amp;N1302</f>
        <v>ORD10789|2025-04-10|17:04|C0315|Curry Leaf Kitchen|Mumbai|North Indian|3|280|50|UPI|Delivered|38|3</v>
      </c>
      <c r="P1302" s="7" t="str">
        <f aca="false">IF(COUNTIF($O$2:O1302,O1302)&gt;1,"DUP","OK")</f>
        <v>OK</v>
      </c>
      <c r="Q1302" s="7" t="n">
        <f aca="false">COUNTBLANK(A1302:N1302)</f>
        <v>0</v>
      </c>
      <c r="R1302" s="7" t="n">
        <f aca="false">IF(A1302="",0,COUNTIFS($A$2:$A$3058,A1302,$P$2:$P$3058,"OK"))</f>
        <v>1</v>
      </c>
      <c r="S1302" s="7" t="str">
        <f aca="false">IF(OR(A1302="",P1302="DUP",R1302&lt;2),"",IF(Q1302=_xlfn.MINIFS($Q$2:$Q$3058,$A$2:$A$3058,A1302,$P$2:$P$3058,"OK"),"KEEP","DROP"))</f>
        <v/>
      </c>
      <c r="T1302" s="9" t="n">
        <f aca="false">IF(A1302="",1,0)</f>
        <v>0</v>
      </c>
      <c r="U1302" s="9" t="n">
        <f aca="false">IF(D1302="",1,0)</f>
        <v>0</v>
      </c>
      <c r="V1302" s="9" t="n">
        <f aca="false">IF(E1302="",1,0)</f>
        <v>0</v>
      </c>
      <c r="W1302" s="9" t="n">
        <f aca="false">IF(OR(H1302&lt;1,H1302&gt;10),1,0)</f>
        <v>0</v>
      </c>
      <c r="X1302" s="9" t="n">
        <f aca="false">IF(OR(I1302&lt;=0,I1302&gt;1500),1,0)</f>
        <v>0</v>
      </c>
      <c r="Y1302" s="9" t="n">
        <f aca="false">IF(J1302&gt;H1302*I1302,1,0)</f>
        <v>0</v>
      </c>
      <c r="Z1302" s="9" t="n">
        <f aca="false">IF(AND(N1302&lt;&gt;"",OR(N1302&lt;1,N1302&gt;5)),1,0)</f>
        <v>0</v>
      </c>
      <c r="AA1302" s="9" t="n">
        <f aca="false">IF(AND(M1302&lt;&gt;"",OR(M1302&lt;5,M1302&gt;180)),1,0)</f>
        <v>0</v>
      </c>
      <c r="AB1302" s="7" t="str">
        <f aca="false">IF(P1302="DUP","Exact duplicate row",IF(T1302=1,"Missing Order ID",IF(S1302="DROP","Duplicate Order ID (less complete row)",IF(U1302=1,"Missing Customer ID",IF(V1302=1,"Missing Restaurant name",IF(W1302=1,"Invalid/outlier quantity",IF(X1302=1,"Invalid/outlier unit price",IF(Y1302=1,"Discount greater than order value",""))))))))</f>
        <v/>
      </c>
      <c r="AC1302" s="7" t="str">
        <f aca="false">IF(AB1302="","KEEP","DROP")</f>
        <v>KEEP</v>
      </c>
      <c r="AD1302" s="7" t="str">
        <f aca="false">IF(TRIM(F1302)="",IFERROR(INDEX(Map_Tables!$I$4:$I$37,MATCH(TRIM(E1302),Map_Tables!$G$4:$G$37,0)),""),IFERROR(INDEX(Map_Tables!$B$4:$B$18,MATCH(TRIM(F1302),Map_Tables!$A$4:$A$18,0)),"CHECK"))</f>
        <v>Mumbai</v>
      </c>
      <c r="AE1302" s="7" t="str">
        <f aca="false">IF(TRIM(E1302)="","",IFERROR(INDEX(Map_Tables!$H$4:$H$37,MATCH(TRIM(E1302),Map_Tables!$G$4:$G$37,0)),"CHECK"))</f>
        <v>Curry Leaf Kitchen</v>
      </c>
      <c r="AF1302" s="7" t="str">
        <f aca="false">IF(TRIM(K1302)="","Unknown",IFERROR(INDEX(Map_Tables!$E$4:$E$15,MATCH(TRIM(K1302),Map_Tables!$D$4:$D$15,0)),"CHECK"))</f>
        <v>UPI</v>
      </c>
      <c r="AG1302" s="7" t="str">
        <f aca="false">IF(LEFT(LOWER(TRIM(L1302)),6)="cancel","Cancelled","Delivered")</f>
        <v>Delivered</v>
      </c>
      <c r="AH1302" s="10" t="n">
        <f aca="false">IF(ISNUMBER(SEARCH("/",B1302)),DATE(VALUE(RIGHT(B1302,4)),VALUE(MID(B1302,4,2)),VALUE(LEFT(B1302,2))),IF(MID(B1302,5,1)="-",DATE(VALUE(LEFT(B1302,4)),VALUE(MID(B1302,6,2)),VALUE(RIGHT(B1302,2))),DATE(VALUE(RIGHT(B1302,4)),MATCH(MID(B1302,4,3),{"Jan","Feb","Mar","Apr","May","Jun","Jul","Aug","Sep","Oct","Nov","Dec"},0),VALUE(LEFT(B1302,2)))))</f>
        <v>45757</v>
      </c>
    </row>
    <row r="1303" customFormat="false" ht="15" hidden="false" customHeight="false" outlineLevel="0" collapsed="false">
      <c r="A1303" s="7" t="s">
        <v>3586</v>
      </c>
      <c r="B1303" s="7" t="s">
        <v>1645</v>
      </c>
      <c r="C1303" s="7" t="s">
        <v>3587</v>
      </c>
      <c r="D1303" s="7" t="s">
        <v>3588</v>
      </c>
      <c r="E1303" s="7" t="s">
        <v>89</v>
      </c>
      <c r="F1303" s="7" t="s">
        <v>86</v>
      </c>
      <c r="G1303" s="7" t="s">
        <v>1928</v>
      </c>
      <c r="H1303" s="7" t="n">
        <v>4</v>
      </c>
      <c r="I1303" s="7" t="n">
        <v>190</v>
      </c>
      <c r="J1303" s="7" t="n">
        <v>50</v>
      </c>
      <c r="K1303" s="7" t="s">
        <v>121</v>
      </c>
      <c r="L1303" s="7" t="s">
        <v>194</v>
      </c>
      <c r="M1303" s="7" t="n">
        <v>48</v>
      </c>
      <c r="N1303" s="7" t="n">
        <v>4</v>
      </c>
      <c r="O1303" s="7" t="str">
        <f aca="false">A1303&amp;"|"&amp;B1303&amp;"|"&amp;C1303&amp;"|"&amp;D1303&amp;"|"&amp;E1303&amp;"|"&amp;F1303&amp;"|"&amp;G1303&amp;"|"&amp;H1303&amp;"|"&amp;I1303&amp;"|"&amp;J1303&amp;"|"&amp;K1303&amp;"|"&amp;L1303&amp;"|"&amp;M1303&amp;"|"&amp;N1303</f>
        <v>ORD11600|2025-07-27|22:12|C1174|Spice Junction|Bengaluru|north indian|4|190|50|Wallet|Delivered|48|4</v>
      </c>
      <c r="P1303" s="7" t="str">
        <f aca="false">IF(COUNTIF($O$2:O1303,O1303)&gt;1,"DUP","OK")</f>
        <v>OK</v>
      </c>
      <c r="Q1303" s="7" t="n">
        <f aca="false">COUNTBLANK(A1303:N1303)</f>
        <v>0</v>
      </c>
      <c r="R1303" s="7" t="n">
        <f aca="false">IF(A1303="",0,COUNTIFS($A$2:$A$3058,A1303,$P$2:$P$3058,"OK"))</f>
        <v>1</v>
      </c>
      <c r="S1303" s="7" t="str">
        <f aca="false">IF(OR(A1303="",P1303="DUP",R1303&lt;2),"",IF(Q1303=_xlfn.MINIFS($Q$2:$Q$3058,$A$2:$A$3058,A1303,$P$2:$P$3058,"OK"),"KEEP","DROP"))</f>
        <v/>
      </c>
      <c r="T1303" s="9" t="n">
        <f aca="false">IF(A1303="",1,0)</f>
        <v>0</v>
      </c>
      <c r="U1303" s="9" t="n">
        <f aca="false">IF(D1303="",1,0)</f>
        <v>0</v>
      </c>
      <c r="V1303" s="9" t="n">
        <f aca="false">IF(E1303="",1,0)</f>
        <v>0</v>
      </c>
      <c r="W1303" s="9" t="n">
        <f aca="false">IF(OR(H1303&lt;1,H1303&gt;10),1,0)</f>
        <v>0</v>
      </c>
      <c r="X1303" s="9" t="n">
        <f aca="false">IF(OR(I1303&lt;=0,I1303&gt;1500),1,0)</f>
        <v>0</v>
      </c>
      <c r="Y1303" s="9" t="n">
        <f aca="false">IF(J1303&gt;H1303*I1303,1,0)</f>
        <v>0</v>
      </c>
      <c r="Z1303" s="9" t="n">
        <f aca="false">IF(AND(N1303&lt;&gt;"",OR(N1303&lt;1,N1303&gt;5)),1,0)</f>
        <v>0</v>
      </c>
      <c r="AA1303" s="9" t="n">
        <f aca="false">IF(AND(M1303&lt;&gt;"",OR(M1303&lt;5,M1303&gt;180)),1,0)</f>
        <v>0</v>
      </c>
      <c r="AB1303" s="7" t="str">
        <f aca="false">IF(P1303="DUP","Exact duplicate row",IF(T1303=1,"Missing Order ID",IF(S1303="DROP","Duplicate Order ID (less complete row)",IF(U1303=1,"Missing Customer ID",IF(V1303=1,"Missing Restaurant name",IF(W1303=1,"Invalid/outlier quantity",IF(X1303=1,"Invalid/outlier unit price",IF(Y1303=1,"Discount greater than order value",""))))))))</f>
        <v/>
      </c>
      <c r="AC1303" s="7" t="str">
        <f aca="false">IF(AB1303="","KEEP","DROP")</f>
        <v>KEEP</v>
      </c>
      <c r="AD1303" s="7" t="str">
        <f aca="false">IF(TRIM(F1303)="",IFERROR(INDEX(Map_Tables!$I$4:$I$37,MATCH(TRIM(E1303),Map_Tables!$G$4:$G$37,0)),""),IFERROR(INDEX(Map_Tables!$B$4:$B$18,MATCH(TRIM(F1303),Map_Tables!$A$4:$A$18,0)),"CHECK"))</f>
        <v>Bengaluru</v>
      </c>
      <c r="AE1303" s="7" t="str">
        <f aca="false">IF(TRIM(E1303)="","",IFERROR(INDEX(Map_Tables!$H$4:$H$37,MATCH(TRIM(E1303),Map_Tables!$G$4:$G$37,0)),"CHECK"))</f>
        <v>Spice Junction</v>
      </c>
      <c r="AF1303" s="7" t="str">
        <f aca="false">IF(TRIM(K1303)="","Unknown",IFERROR(INDEX(Map_Tables!$E$4:$E$15,MATCH(TRIM(K1303),Map_Tables!$D$4:$D$15,0)),"CHECK"))</f>
        <v>Wallet</v>
      </c>
      <c r="AG1303" s="7" t="str">
        <f aca="false">IF(LEFT(LOWER(TRIM(L1303)),6)="cancel","Cancelled","Delivered")</f>
        <v>Delivered</v>
      </c>
      <c r="AH1303" s="10" t="n">
        <f aca="false">IF(ISNUMBER(SEARCH("/",B1303)),DATE(VALUE(RIGHT(B1303,4)),VALUE(MID(B1303,4,2)),VALUE(LEFT(B1303,2))),IF(MID(B1303,5,1)="-",DATE(VALUE(LEFT(B1303,4)),VALUE(MID(B1303,6,2)),VALUE(RIGHT(B1303,2))),DATE(VALUE(RIGHT(B1303,4)),MATCH(MID(B1303,4,3),{"Jan","Feb","Mar","Apr","May","Jun","Jul","Aug","Sep","Oct","Nov","Dec"},0),VALUE(LEFT(B1303,2)))))</f>
        <v>45865</v>
      </c>
    </row>
    <row r="1304" customFormat="false" ht="15" hidden="false" customHeight="false" outlineLevel="0" collapsed="false">
      <c r="A1304" s="7" t="s">
        <v>3589</v>
      </c>
      <c r="B1304" s="7" t="s">
        <v>190</v>
      </c>
      <c r="C1304" s="7" t="s">
        <v>1635</v>
      </c>
      <c r="D1304" s="7" t="s">
        <v>2077</v>
      </c>
      <c r="E1304" s="7" t="s">
        <v>122</v>
      </c>
      <c r="F1304" s="7" t="s">
        <v>498</v>
      </c>
      <c r="G1304" s="7" t="s">
        <v>123</v>
      </c>
      <c r="H1304" s="7" t="n">
        <v>1</v>
      </c>
      <c r="I1304" s="7" t="n">
        <v>375</v>
      </c>
      <c r="J1304" s="7" t="n">
        <v>0</v>
      </c>
      <c r="K1304" s="7" t="s">
        <v>88</v>
      </c>
      <c r="L1304" s="7" t="s">
        <v>194</v>
      </c>
      <c r="M1304" s="7" t="n">
        <v>33</v>
      </c>
      <c r="N1304" s="7" t="n">
        <v>4</v>
      </c>
      <c r="O1304" s="7" t="str">
        <f aca="false">A1304&amp;"|"&amp;B1304&amp;"|"&amp;C1304&amp;"|"&amp;D1304&amp;"|"&amp;E1304&amp;"|"&amp;F1304&amp;"|"&amp;G1304&amp;"|"&amp;H1304&amp;"|"&amp;I1304&amp;"|"&amp;J1304&amp;"|"&amp;K1304&amp;"|"&amp;L1304&amp;"|"&amp;M1304&amp;"|"&amp;N1304</f>
        <v>ORD10679|2025-03-27|21:31|C0006|Mumbai Pizza Co|Bombay|Pizza|1|375|0|UPI|Delivered|33|4</v>
      </c>
      <c r="P1304" s="7" t="str">
        <f aca="false">IF(COUNTIF($O$2:O1304,O1304)&gt;1,"DUP","OK")</f>
        <v>OK</v>
      </c>
      <c r="Q1304" s="7" t="n">
        <f aca="false">COUNTBLANK(A1304:N1304)</f>
        <v>0</v>
      </c>
      <c r="R1304" s="7" t="n">
        <f aca="false">IF(A1304="",0,COUNTIFS($A$2:$A$3058,A1304,$P$2:$P$3058,"OK"))</f>
        <v>1</v>
      </c>
      <c r="S1304" s="7" t="str">
        <f aca="false">IF(OR(A1304="",P1304="DUP",R1304&lt;2),"",IF(Q1304=_xlfn.MINIFS($Q$2:$Q$3058,$A$2:$A$3058,A1304,$P$2:$P$3058,"OK"),"KEEP","DROP"))</f>
        <v/>
      </c>
      <c r="T1304" s="9" t="n">
        <f aca="false">IF(A1304="",1,0)</f>
        <v>0</v>
      </c>
      <c r="U1304" s="9" t="n">
        <f aca="false">IF(D1304="",1,0)</f>
        <v>0</v>
      </c>
      <c r="V1304" s="9" t="n">
        <f aca="false">IF(E1304="",1,0)</f>
        <v>0</v>
      </c>
      <c r="W1304" s="9" t="n">
        <f aca="false">IF(OR(H1304&lt;1,H1304&gt;10),1,0)</f>
        <v>0</v>
      </c>
      <c r="X1304" s="9" t="n">
        <f aca="false">IF(OR(I1304&lt;=0,I1304&gt;1500),1,0)</f>
        <v>0</v>
      </c>
      <c r="Y1304" s="9" t="n">
        <f aca="false">IF(J1304&gt;H1304*I1304,1,0)</f>
        <v>0</v>
      </c>
      <c r="Z1304" s="9" t="n">
        <f aca="false">IF(AND(N1304&lt;&gt;"",OR(N1304&lt;1,N1304&gt;5)),1,0)</f>
        <v>0</v>
      </c>
      <c r="AA1304" s="9" t="n">
        <f aca="false">IF(AND(M1304&lt;&gt;"",OR(M1304&lt;5,M1304&gt;180)),1,0)</f>
        <v>0</v>
      </c>
      <c r="AB1304" s="7" t="str">
        <f aca="false">IF(P1304="DUP","Exact duplicate row",IF(T1304=1,"Missing Order ID",IF(S1304="DROP","Duplicate Order ID (less complete row)",IF(U1304=1,"Missing Customer ID",IF(V1304=1,"Missing Restaurant name",IF(W1304=1,"Invalid/outlier quantity",IF(X1304=1,"Invalid/outlier unit price",IF(Y1304=1,"Discount greater than order value",""))))))))</f>
        <v/>
      </c>
      <c r="AC1304" s="7" t="str">
        <f aca="false">IF(AB1304="","KEEP","DROP")</f>
        <v>KEEP</v>
      </c>
      <c r="AD1304" s="7" t="str">
        <f aca="false">IF(TRIM(F1304)="",IFERROR(INDEX(Map_Tables!$I$4:$I$37,MATCH(TRIM(E1304),Map_Tables!$G$4:$G$37,0)),""),IFERROR(INDEX(Map_Tables!$B$4:$B$18,MATCH(TRIM(F1304),Map_Tables!$A$4:$A$18,0)),"CHECK"))</f>
        <v>Mumbai</v>
      </c>
      <c r="AE1304" s="7" t="str">
        <f aca="false">IF(TRIM(E1304)="","",IFERROR(INDEX(Map_Tables!$H$4:$H$37,MATCH(TRIM(E1304),Map_Tables!$G$4:$G$37,0)),"CHECK"))</f>
        <v>Mumbai Pizza Co</v>
      </c>
      <c r="AF1304" s="7" t="str">
        <f aca="false">IF(TRIM(K1304)="","Unknown",IFERROR(INDEX(Map_Tables!$E$4:$E$15,MATCH(TRIM(K1304),Map_Tables!$D$4:$D$15,0)),"CHECK"))</f>
        <v>UPI</v>
      </c>
      <c r="AG1304" s="7" t="str">
        <f aca="false">IF(LEFT(LOWER(TRIM(L1304)),6)="cancel","Cancelled","Delivered")</f>
        <v>Delivered</v>
      </c>
      <c r="AH1304" s="10" t="n">
        <f aca="false">IF(ISNUMBER(SEARCH("/",B1304)),DATE(VALUE(RIGHT(B1304,4)),VALUE(MID(B1304,4,2)),VALUE(LEFT(B1304,2))),IF(MID(B1304,5,1)="-",DATE(VALUE(LEFT(B1304,4)),VALUE(MID(B1304,6,2)),VALUE(RIGHT(B1304,2))),DATE(VALUE(RIGHT(B1304,4)),MATCH(MID(B1304,4,3),{"Jan","Feb","Mar","Apr","May","Jun","Jul","Aug","Sep","Oct","Nov","Dec"},0),VALUE(LEFT(B1304,2)))))</f>
        <v>45743</v>
      </c>
    </row>
    <row r="1305" customFormat="false" ht="15" hidden="false" customHeight="false" outlineLevel="0" collapsed="false">
      <c r="A1305" s="7" t="s">
        <v>3590</v>
      </c>
      <c r="B1305" s="7" t="s">
        <v>3591</v>
      </c>
      <c r="C1305" s="7" t="s">
        <v>2853</v>
      </c>
      <c r="D1305" s="7" t="s">
        <v>3592</v>
      </c>
      <c r="E1305" s="7" t="s">
        <v>168</v>
      </c>
      <c r="F1305" s="7" t="s">
        <v>146</v>
      </c>
      <c r="G1305" s="7" t="s">
        <v>123</v>
      </c>
      <c r="H1305" s="7" t="n">
        <v>3</v>
      </c>
      <c r="I1305" s="7" t="n">
        <v>285</v>
      </c>
      <c r="J1305" s="7" t="n">
        <v>100</v>
      </c>
      <c r="K1305" s="7" t="s">
        <v>103</v>
      </c>
      <c r="L1305" s="7" t="s">
        <v>194</v>
      </c>
      <c r="M1305" s="7" t="n">
        <v>24</v>
      </c>
      <c r="N1305" s="7" t="n">
        <v>4</v>
      </c>
      <c r="O1305" s="7" t="str">
        <f aca="false">A1305&amp;"|"&amp;B1305&amp;"|"&amp;C1305&amp;"|"&amp;D1305&amp;"|"&amp;E1305&amp;"|"&amp;F1305&amp;"|"&amp;G1305&amp;"|"&amp;H1305&amp;"|"&amp;I1305&amp;"|"&amp;J1305&amp;"|"&amp;K1305&amp;"|"&amp;L1305&amp;"|"&amp;M1305&amp;"|"&amp;N1305</f>
        <v>ORD12336|21/10/2025|20:14|C1220|Cheesy Slice|Ahmedabad|Pizza|3|285|100|Debit Card|Delivered|24|4</v>
      </c>
      <c r="P1305" s="7" t="str">
        <f aca="false">IF(COUNTIF($O$2:O1305,O1305)&gt;1,"DUP","OK")</f>
        <v>OK</v>
      </c>
      <c r="Q1305" s="7" t="n">
        <f aca="false">COUNTBLANK(A1305:N1305)</f>
        <v>0</v>
      </c>
      <c r="R1305" s="7" t="n">
        <f aca="false">IF(A1305="",0,COUNTIFS($A$2:$A$3058,A1305,$P$2:$P$3058,"OK"))</f>
        <v>1</v>
      </c>
      <c r="S1305" s="7" t="str">
        <f aca="false">IF(OR(A1305="",P1305="DUP",R1305&lt;2),"",IF(Q1305=_xlfn.MINIFS($Q$2:$Q$3058,$A$2:$A$3058,A1305,$P$2:$P$3058,"OK"),"KEEP","DROP"))</f>
        <v/>
      </c>
      <c r="T1305" s="9" t="n">
        <f aca="false">IF(A1305="",1,0)</f>
        <v>0</v>
      </c>
      <c r="U1305" s="9" t="n">
        <f aca="false">IF(D1305="",1,0)</f>
        <v>0</v>
      </c>
      <c r="V1305" s="9" t="n">
        <f aca="false">IF(E1305="",1,0)</f>
        <v>0</v>
      </c>
      <c r="W1305" s="9" t="n">
        <f aca="false">IF(OR(H1305&lt;1,H1305&gt;10),1,0)</f>
        <v>0</v>
      </c>
      <c r="X1305" s="9" t="n">
        <f aca="false">IF(OR(I1305&lt;=0,I1305&gt;1500),1,0)</f>
        <v>0</v>
      </c>
      <c r="Y1305" s="9" t="n">
        <f aca="false">IF(J1305&gt;H1305*I1305,1,0)</f>
        <v>0</v>
      </c>
      <c r="Z1305" s="9" t="n">
        <f aca="false">IF(AND(N1305&lt;&gt;"",OR(N1305&lt;1,N1305&gt;5)),1,0)</f>
        <v>0</v>
      </c>
      <c r="AA1305" s="9" t="n">
        <f aca="false">IF(AND(M1305&lt;&gt;"",OR(M1305&lt;5,M1305&gt;180)),1,0)</f>
        <v>0</v>
      </c>
      <c r="AB1305" s="7" t="str">
        <f aca="false">IF(P1305="DUP","Exact duplicate row",IF(T1305=1,"Missing Order ID",IF(S1305="DROP","Duplicate Order ID (less complete row)",IF(U1305=1,"Missing Customer ID",IF(V1305=1,"Missing Restaurant name",IF(W1305=1,"Invalid/outlier quantity",IF(X1305=1,"Invalid/outlier unit price",IF(Y1305=1,"Discount greater than order value",""))))))))</f>
        <v/>
      </c>
      <c r="AC1305" s="7" t="str">
        <f aca="false">IF(AB1305="","KEEP","DROP")</f>
        <v>KEEP</v>
      </c>
      <c r="AD1305" s="7" t="str">
        <f aca="false">IF(TRIM(F1305)="",IFERROR(INDEX(Map_Tables!$I$4:$I$37,MATCH(TRIM(E1305),Map_Tables!$G$4:$G$37,0)),""),IFERROR(INDEX(Map_Tables!$B$4:$B$18,MATCH(TRIM(F1305),Map_Tables!$A$4:$A$18,0)),"CHECK"))</f>
        <v>Ahmedabad</v>
      </c>
      <c r="AE1305" s="7" t="str">
        <f aca="false">IF(TRIM(E1305)="","",IFERROR(INDEX(Map_Tables!$H$4:$H$37,MATCH(TRIM(E1305),Map_Tables!$G$4:$G$37,0)),"CHECK"))</f>
        <v>Cheesy Slice</v>
      </c>
      <c r="AF1305" s="7" t="str">
        <f aca="false">IF(TRIM(K1305)="","Unknown",IFERROR(INDEX(Map_Tables!$E$4:$E$15,MATCH(TRIM(K1305),Map_Tables!$D$4:$D$15,0)),"CHECK"))</f>
        <v>Debit Card</v>
      </c>
      <c r="AG1305" s="7" t="str">
        <f aca="false">IF(LEFT(LOWER(TRIM(L1305)),6)="cancel","Cancelled","Delivered")</f>
        <v>Delivered</v>
      </c>
      <c r="AH1305" s="10" t="n">
        <f aca="false">IF(ISNUMBER(SEARCH("/",B1305)),DATE(VALUE(RIGHT(B1305,4)),VALUE(MID(B1305,4,2)),VALUE(LEFT(B1305,2))),IF(MID(B1305,5,1)="-",DATE(VALUE(LEFT(B1305,4)),VALUE(MID(B1305,6,2)),VALUE(RIGHT(B1305,2))),DATE(VALUE(RIGHT(B1305,4)),MATCH(MID(B1305,4,3),{"Jan","Feb","Mar","Apr","May","Jun","Jul","Aug","Sep","Oct","Nov","Dec"},0),VALUE(LEFT(B1305,2)))))</f>
        <v>45951</v>
      </c>
    </row>
    <row r="1306" customFormat="false" ht="15" hidden="false" customHeight="false" outlineLevel="0" collapsed="false">
      <c r="A1306" s="7" t="s">
        <v>3593</v>
      </c>
      <c r="B1306" s="7" t="s">
        <v>3070</v>
      </c>
      <c r="C1306" s="7" t="s">
        <v>3594</v>
      </c>
      <c r="D1306" s="7" t="s">
        <v>1755</v>
      </c>
      <c r="E1306" s="7" t="s">
        <v>98</v>
      </c>
      <c r="F1306" s="7" t="s">
        <v>86</v>
      </c>
      <c r="G1306" s="7" t="s">
        <v>3595</v>
      </c>
      <c r="H1306" s="7" t="n">
        <v>2</v>
      </c>
      <c r="I1306" s="7" t="n">
        <v>295</v>
      </c>
      <c r="J1306" s="7" t="n">
        <v>100</v>
      </c>
      <c r="K1306" s="7" t="s">
        <v>88</v>
      </c>
      <c r="L1306" s="7" t="s">
        <v>194</v>
      </c>
      <c r="M1306" s="7" t="n">
        <v>34</v>
      </c>
      <c r="N1306" s="7" t="n">
        <v>5</v>
      </c>
      <c r="O1306" s="7" t="str">
        <f aca="false">A1306&amp;"|"&amp;B1306&amp;"|"&amp;C1306&amp;"|"&amp;D1306&amp;"|"&amp;E1306&amp;"|"&amp;F1306&amp;"|"&amp;G1306&amp;"|"&amp;H1306&amp;"|"&amp;I1306&amp;"|"&amp;J1306&amp;"|"&amp;K1306&amp;"|"&amp;L1306&amp;"|"&amp;M1306&amp;"|"&amp;N1306</f>
        <v>ORD10381|2025-02-20|09:03|C0146|Nawabi Biryani House|Bengaluru|BIRYANI|2|295|100|UPI|Delivered|34|5</v>
      </c>
      <c r="P1306" s="7" t="str">
        <f aca="false">IF(COUNTIF($O$2:O1306,O1306)&gt;1,"DUP","OK")</f>
        <v>OK</v>
      </c>
      <c r="Q1306" s="7" t="n">
        <f aca="false">COUNTBLANK(A1306:N1306)</f>
        <v>0</v>
      </c>
      <c r="R1306" s="7" t="n">
        <f aca="false">IF(A1306="",0,COUNTIFS($A$2:$A$3058,A1306,$P$2:$P$3058,"OK"))</f>
        <v>1</v>
      </c>
      <c r="S1306" s="7" t="str">
        <f aca="false">IF(OR(A1306="",P1306="DUP",R1306&lt;2),"",IF(Q1306=_xlfn.MINIFS($Q$2:$Q$3058,$A$2:$A$3058,A1306,$P$2:$P$3058,"OK"),"KEEP","DROP"))</f>
        <v/>
      </c>
      <c r="T1306" s="9" t="n">
        <f aca="false">IF(A1306="",1,0)</f>
        <v>0</v>
      </c>
      <c r="U1306" s="9" t="n">
        <f aca="false">IF(D1306="",1,0)</f>
        <v>0</v>
      </c>
      <c r="V1306" s="9" t="n">
        <f aca="false">IF(E1306="",1,0)</f>
        <v>0</v>
      </c>
      <c r="W1306" s="9" t="n">
        <f aca="false">IF(OR(H1306&lt;1,H1306&gt;10),1,0)</f>
        <v>0</v>
      </c>
      <c r="X1306" s="9" t="n">
        <f aca="false">IF(OR(I1306&lt;=0,I1306&gt;1500),1,0)</f>
        <v>0</v>
      </c>
      <c r="Y1306" s="9" t="n">
        <f aca="false">IF(J1306&gt;H1306*I1306,1,0)</f>
        <v>0</v>
      </c>
      <c r="Z1306" s="9" t="n">
        <f aca="false">IF(AND(N1306&lt;&gt;"",OR(N1306&lt;1,N1306&gt;5)),1,0)</f>
        <v>0</v>
      </c>
      <c r="AA1306" s="9" t="n">
        <f aca="false">IF(AND(M1306&lt;&gt;"",OR(M1306&lt;5,M1306&gt;180)),1,0)</f>
        <v>0</v>
      </c>
      <c r="AB1306" s="7" t="str">
        <f aca="false">IF(P1306="DUP","Exact duplicate row",IF(T1306=1,"Missing Order ID",IF(S1306="DROP","Duplicate Order ID (less complete row)",IF(U1306=1,"Missing Customer ID",IF(V1306=1,"Missing Restaurant name",IF(W1306=1,"Invalid/outlier quantity",IF(X1306=1,"Invalid/outlier unit price",IF(Y1306=1,"Discount greater than order value",""))))))))</f>
        <v/>
      </c>
      <c r="AC1306" s="7" t="str">
        <f aca="false">IF(AB1306="","KEEP","DROP")</f>
        <v>KEEP</v>
      </c>
      <c r="AD1306" s="7" t="str">
        <f aca="false">IF(TRIM(F1306)="",IFERROR(INDEX(Map_Tables!$I$4:$I$37,MATCH(TRIM(E1306),Map_Tables!$G$4:$G$37,0)),""),IFERROR(INDEX(Map_Tables!$B$4:$B$18,MATCH(TRIM(F1306),Map_Tables!$A$4:$A$18,0)),"CHECK"))</f>
        <v>Bengaluru</v>
      </c>
      <c r="AE1306" s="7" t="str">
        <f aca="false">IF(TRIM(E1306)="","",IFERROR(INDEX(Map_Tables!$H$4:$H$37,MATCH(TRIM(E1306),Map_Tables!$G$4:$G$37,0)),"CHECK"))</f>
        <v>Nawabi Biryani House</v>
      </c>
      <c r="AF1306" s="7" t="str">
        <f aca="false">IF(TRIM(K1306)="","Unknown",IFERROR(INDEX(Map_Tables!$E$4:$E$15,MATCH(TRIM(K1306),Map_Tables!$D$4:$D$15,0)),"CHECK"))</f>
        <v>UPI</v>
      </c>
      <c r="AG1306" s="7" t="str">
        <f aca="false">IF(LEFT(LOWER(TRIM(L1306)),6)="cancel","Cancelled","Delivered")</f>
        <v>Delivered</v>
      </c>
      <c r="AH1306" s="10" t="n">
        <f aca="false">IF(ISNUMBER(SEARCH("/",B1306)),DATE(VALUE(RIGHT(B1306,4)),VALUE(MID(B1306,4,2)),VALUE(LEFT(B1306,2))),IF(MID(B1306,5,1)="-",DATE(VALUE(LEFT(B1306,4)),VALUE(MID(B1306,6,2)),VALUE(RIGHT(B1306,2))),DATE(VALUE(RIGHT(B1306,4)),MATCH(MID(B1306,4,3),{"Jan","Feb","Mar","Apr","May","Jun","Jul","Aug","Sep","Oct","Nov","Dec"},0),VALUE(LEFT(B1306,2)))))</f>
        <v>45708</v>
      </c>
    </row>
    <row r="1307" customFormat="false" ht="15" hidden="false" customHeight="false" outlineLevel="0" collapsed="false">
      <c r="A1307" s="7" t="s">
        <v>3596</v>
      </c>
      <c r="B1307" s="7" t="s">
        <v>3597</v>
      </c>
      <c r="C1307" s="7" t="s">
        <v>1517</v>
      </c>
      <c r="D1307" s="7" t="s">
        <v>2174</v>
      </c>
      <c r="E1307" s="7" t="s">
        <v>130</v>
      </c>
      <c r="F1307" s="7" t="s">
        <v>110</v>
      </c>
      <c r="G1307" s="7" t="s">
        <v>90</v>
      </c>
      <c r="H1307" s="7" t="n">
        <v>2</v>
      </c>
      <c r="I1307" s="7" t="n">
        <v>280</v>
      </c>
      <c r="J1307" s="7" t="n">
        <v>0</v>
      </c>
      <c r="K1307" s="7" t="s">
        <v>112</v>
      </c>
      <c r="L1307" s="7" t="s">
        <v>194</v>
      </c>
      <c r="M1307" s="7" t="n">
        <v>37</v>
      </c>
      <c r="N1307" s="7" t="n">
        <v>5</v>
      </c>
      <c r="O1307" s="7" t="str">
        <f aca="false">A1307&amp;"|"&amp;B1307&amp;"|"&amp;C1307&amp;"|"&amp;D1307&amp;"|"&amp;E1307&amp;"|"&amp;F1307&amp;"|"&amp;G1307&amp;"|"&amp;H1307&amp;"|"&amp;I1307&amp;"|"&amp;J1307&amp;"|"&amp;K1307&amp;"|"&amp;L1307&amp;"|"&amp;M1307&amp;"|"&amp;N1307</f>
        <v>ORD12085|25-Sep-2025|22:43|C0505|Tandoor Tales|Delhi|North Indian|2|280|0|Cash on Delivery|Delivered|37|5</v>
      </c>
      <c r="P1307" s="7" t="str">
        <f aca="false">IF(COUNTIF($O$2:O1307,O1307)&gt;1,"DUP","OK")</f>
        <v>OK</v>
      </c>
      <c r="Q1307" s="7" t="n">
        <f aca="false">COUNTBLANK(A1307:N1307)</f>
        <v>0</v>
      </c>
      <c r="R1307" s="7" t="n">
        <f aca="false">IF(A1307="",0,COUNTIFS($A$2:$A$3058,A1307,$P$2:$P$3058,"OK"))</f>
        <v>1</v>
      </c>
      <c r="S1307" s="7" t="str">
        <f aca="false">IF(OR(A1307="",P1307="DUP",R1307&lt;2),"",IF(Q1307=_xlfn.MINIFS($Q$2:$Q$3058,$A$2:$A$3058,A1307,$P$2:$P$3058,"OK"),"KEEP","DROP"))</f>
        <v/>
      </c>
      <c r="T1307" s="9" t="n">
        <f aca="false">IF(A1307="",1,0)</f>
        <v>0</v>
      </c>
      <c r="U1307" s="9" t="n">
        <f aca="false">IF(D1307="",1,0)</f>
        <v>0</v>
      </c>
      <c r="V1307" s="9" t="n">
        <f aca="false">IF(E1307="",1,0)</f>
        <v>0</v>
      </c>
      <c r="W1307" s="9" t="n">
        <f aca="false">IF(OR(H1307&lt;1,H1307&gt;10),1,0)</f>
        <v>0</v>
      </c>
      <c r="X1307" s="9" t="n">
        <f aca="false">IF(OR(I1307&lt;=0,I1307&gt;1500),1,0)</f>
        <v>0</v>
      </c>
      <c r="Y1307" s="9" t="n">
        <f aca="false">IF(J1307&gt;H1307*I1307,1,0)</f>
        <v>0</v>
      </c>
      <c r="Z1307" s="9" t="n">
        <f aca="false">IF(AND(N1307&lt;&gt;"",OR(N1307&lt;1,N1307&gt;5)),1,0)</f>
        <v>0</v>
      </c>
      <c r="AA1307" s="9" t="n">
        <f aca="false">IF(AND(M1307&lt;&gt;"",OR(M1307&lt;5,M1307&gt;180)),1,0)</f>
        <v>0</v>
      </c>
      <c r="AB1307" s="7" t="str">
        <f aca="false">IF(P1307="DUP","Exact duplicate row",IF(T1307=1,"Missing Order ID",IF(S1307="DROP","Duplicate Order ID (less complete row)",IF(U1307=1,"Missing Customer ID",IF(V1307=1,"Missing Restaurant name",IF(W1307=1,"Invalid/outlier quantity",IF(X1307=1,"Invalid/outlier unit price",IF(Y1307=1,"Discount greater than order value",""))))))))</f>
        <v/>
      </c>
      <c r="AC1307" s="7" t="str">
        <f aca="false">IF(AB1307="","KEEP","DROP")</f>
        <v>KEEP</v>
      </c>
      <c r="AD1307" s="7" t="str">
        <f aca="false">IF(TRIM(F1307)="",IFERROR(INDEX(Map_Tables!$I$4:$I$37,MATCH(TRIM(E1307),Map_Tables!$G$4:$G$37,0)),""),IFERROR(INDEX(Map_Tables!$B$4:$B$18,MATCH(TRIM(F1307),Map_Tables!$A$4:$A$18,0)),"CHECK"))</f>
        <v>Delhi</v>
      </c>
      <c r="AE1307" s="7" t="str">
        <f aca="false">IF(TRIM(E1307)="","",IFERROR(INDEX(Map_Tables!$H$4:$H$37,MATCH(TRIM(E1307),Map_Tables!$G$4:$G$37,0)),"CHECK"))</f>
        <v>Tandoor Tales</v>
      </c>
      <c r="AF1307" s="7" t="str">
        <f aca="false">IF(TRIM(K1307)="","Unknown",IFERROR(INDEX(Map_Tables!$E$4:$E$15,MATCH(TRIM(K1307),Map_Tables!$D$4:$D$15,0)),"CHECK"))</f>
        <v>Cash on Delivery</v>
      </c>
      <c r="AG1307" s="7" t="str">
        <f aca="false">IF(LEFT(LOWER(TRIM(L1307)),6)="cancel","Cancelled","Delivered")</f>
        <v>Delivered</v>
      </c>
      <c r="AH1307" s="10" t="n">
        <f aca="false">IF(ISNUMBER(SEARCH("/",B1307)),DATE(VALUE(RIGHT(B1307,4)),VALUE(MID(B1307,4,2)),VALUE(LEFT(B1307,2))),IF(MID(B1307,5,1)="-",DATE(VALUE(LEFT(B1307,4)),VALUE(MID(B1307,6,2)),VALUE(RIGHT(B1307,2))),DATE(VALUE(RIGHT(B1307,4)),MATCH(MID(B1307,4,3),{"Jan","Feb","Mar","Apr","May","Jun","Jul","Aug","Sep","Oct","Nov","Dec"},0),VALUE(LEFT(B1307,2)))))</f>
        <v>45925</v>
      </c>
    </row>
    <row r="1308" customFormat="false" ht="15" hidden="false" customHeight="false" outlineLevel="0" collapsed="false">
      <c r="A1308" s="7" t="s">
        <v>3598</v>
      </c>
      <c r="B1308" s="7" t="s">
        <v>576</v>
      </c>
      <c r="C1308" s="7" t="s">
        <v>369</v>
      </c>
      <c r="D1308" s="7" t="s">
        <v>1051</v>
      </c>
      <c r="E1308" s="7" t="s">
        <v>113</v>
      </c>
      <c r="F1308" s="7" t="s">
        <v>101</v>
      </c>
      <c r="G1308" s="7" t="s">
        <v>90</v>
      </c>
      <c r="H1308" s="7" t="n">
        <v>3</v>
      </c>
      <c r="I1308" s="7" t="n">
        <v>255</v>
      </c>
      <c r="J1308" s="7" t="n">
        <v>0</v>
      </c>
      <c r="K1308" s="7" t="s">
        <v>88</v>
      </c>
      <c r="L1308" s="7" t="s">
        <v>194</v>
      </c>
      <c r="M1308" s="7" t="n">
        <v>46</v>
      </c>
      <c r="N1308" s="7" t="n">
        <v>2</v>
      </c>
      <c r="O1308" s="7" t="str">
        <f aca="false">A1308&amp;"|"&amp;B1308&amp;"|"&amp;C1308&amp;"|"&amp;D1308&amp;"|"&amp;E1308&amp;"|"&amp;F1308&amp;"|"&amp;G1308&amp;"|"&amp;H1308&amp;"|"&amp;I1308&amp;"|"&amp;J1308&amp;"|"&amp;K1308&amp;"|"&amp;L1308&amp;"|"&amp;M1308&amp;"|"&amp;N1308</f>
        <v>ORD12277|2025-10-15|19:29|C1499|Curry Leaf Kitchen|Mumbai|North Indian|3|255|0|UPI|Delivered|46|2</v>
      </c>
      <c r="P1308" s="7" t="str">
        <f aca="false">IF(COUNTIF($O$2:O1308,O1308)&gt;1,"DUP","OK")</f>
        <v>OK</v>
      </c>
      <c r="Q1308" s="7" t="n">
        <f aca="false">COUNTBLANK(A1308:N1308)</f>
        <v>0</v>
      </c>
      <c r="R1308" s="7" t="n">
        <f aca="false">IF(A1308="",0,COUNTIFS($A$2:$A$3058,A1308,$P$2:$P$3058,"OK"))</f>
        <v>1</v>
      </c>
      <c r="S1308" s="7" t="str">
        <f aca="false">IF(OR(A1308="",P1308="DUP",R1308&lt;2),"",IF(Q1308=_xlfn.MINIFS($Q$2:$Q$3058,$A$2:$A$3058,A1308,$P$2:$P$3058,"OK"),"KEEP","DROP"))</f>
        <v/>
      </c>
      <c r="T1308" s="9" t="n">
        <f aca="false">IF(A1308="",1,0)</f>
        <v>0</v>
      </c>
      <c r="U1308" s="9" t="n">
        <f aca="false">IF(D1308="",1,0)</f>
        <v>0</v>
      </c>
      <c r="V1308" s="9" t="n">
        <f aca="false">IF(E1308="",1,0)</f>
        <v>0</v>
      </c>
      <c r="W1308" s="9" t="n">
        <f aca="false">IF(OR(H1308&lt;1,H1308&gt;10),1,0)</f>
        <v>0</v>
      </c>
      <c r="X1308" s="9" t="n">
        <f aca="false">IF(OR(I1308&lt;=0,I1308&gt;1500),1,0)</f>
        <v>0</v>
      </c>
      <c r="Y1308" s="9" t="n">
        <f aca="false">IF(J1308&gt;H1308*I1308,1,0)</f>
        <v>0</v>
      </c>
      <c r="Z1308" s="9" t="n">
        <f aca="false">IF(AND(N1308&lt;&gt;"",OR(N1308&lt;1,N1308&gt;5)),1,0)</f>
        <v>0</v>
      </c>
      <c r="AA1308" s="9" t="n">
        <f aca="false">IF(AND(M1308&lt;&gt;"",OR(M1308&lt;5,M1308&gt;180)),1,0)</f>
        <v>0</v>
      </c>
      <c r="AB1308" s="7" t="str">
        <f aca="false">IF(P1308="DUP","Exact duplicate row",IF(T1308=1,"Missing Order ID",IF(S1308="DROP","Duplicate Order ID (less complete row)",IF(U1308=1,"Missing Customer ID",IF(V1308=1,"Missing Restaurant name",IF(W1308=1,"Invalid/outlier quantity",IF(X1308=1,"Invalid/outlier unit price",IF(Y1308=1,"Discount greater than order value",""))))))))</f>
        <v/>
      </c>
      <c r="AC1308" s="7" t="str">
        <f aca="false">IF(AB1308="","KEEP","DROP")</f>
        <v>KEEP</v>
      </c>
      <c r="AD1308" s="7" t="str">
        <f aca="false">IF(TRIM(F1308)="",IFERROR(INDEX(Map_Tables!$I$4:$I$37,MATCH(TRIM(E1308),Map_Tables!$G$4:$G$37,0)),""),IFERROR(INDEX(Map_Tables!$B$4:$B$18,MATCH(TRIM(F1308),Map_Tables!$A$4:$A$18,0)),"CHECK"))</f>
        <v>Mumbai</v>
      </c>
      <c r="AE1308" s="7" t="str">
        <f aca="false">IF(TRIM(E1308)="","",IFERROR(INDEX(Map_Tables!$H$4:$H$37,MATCH(TRIM(E1308),Map_Tables!$G$4:$G$37,0)),"CHECK"))</f>
        <v>Curry Leaf Kitchen</v>
      </c>
      <c r="AF1308" s="7" t="str">
        <f aca="false">IF(TRIM(K1308)="","Unknown",IFERROR(INDEX(Map_Tables!$E$4:$E$15,MATCH(TRIM(K1308),Map_Tables!$D$4:$D$15,0)),"CHECK"))</f>
        <v>UPI</v>
      </c>
      <c r="AG1308" s="7" t="str">
        <f aca="false">IF(LEFT(LOWER(TRIM(L1308)),6)="cancel","Cancelled","Delivered")</f>
        <v>Delivered</v>
      </c>
      <c r="AH1308" s="10" t="n">
        <f aca="false">IF(ISNUMBER(SEARCH("/",B1308)),DATE(VALUE(RIGHT(B1308,4)),VALUE(MID(B1308,4,2)),VALUE(LEFT(B1308,2))),IF(MID(B1308,5,1)="-",DATE(VALUE(LEFT(B1308,4)),VALUE(MID(B1308,6,2)),VALUE(RIGHT(B1308,2))),DATE(VALUE(RIGHT(B1308,4)),MATCH(MID(B1308,4,3),{"Jan","Feb","Mar","Apr","May","Jun","Jul","Aug","Sep","Oct","Nov","Dec"},0),VALUE(LEFT(B1308,2)))))</f>
        <v>45945</v>
      </c>
    </row>
    <row r="1309" customFormat="false" ht="15" hidden="false" customHeight="false" outlineLevel="0" collapsed="false">
      <c r="A1309" s="7" t="s">
        <v>3599</v>
      </c>
      <c r="B1309" s="7" t="s">
        <v>1835</v>
      </c>
      <c r="C1309" s="7" t="s">
        <v>3600</v>
      </c>
      <c r="D1309" s="7" t="s">
        <v>1716</v>
      </c>
      <c r="E1309" s="7" t="s">
        <v>1616</v>
      </c>
      <c r="F1309" s="7" t="s">
        <v>86</v>
      </c>
      <c r="G1309" s="7" t="s">
        <v>105</v>
      </c>
      <c r="H1309" s="7" t="n">
        <v>2</v>
      </c>
      <c r="I1309" s="7" t="n">
        <v>200</v>
      </c>
      <c r="J1309" s="7" t="n">
        <v>75</v>
      </c>
      <c r="K1309" s="7" t="s">
        <v>88</v>
      </c>
      <c r="L1309" s="7" t="s">
        <v>238</v>
      </c>
      <c r="M1309" s="7"/>
      <c r="N1309" s="7"/>
      <c r="O1309" s="7" t="str">
        <f aca="false">A1309&amp;"|"&amp;B1309&amp;"|"&amp;C1309&amp;"|"&amp;D1309&amp;"|"&amp;E1309&amp;"|"&amp;F1309&amp;"|"&amp;G1309&amp;"|"&amp;H1309&amp;"|"&amp;I1309&amp;"|"&amp;J1309&amp;"|"&amp;K1309&amp;"|"&amp;L1309&amp;"|"&amp;M1309&amp;"|"&amp;N1309</f>
        <v>ORD12282|2025-10-16|12:04|C0185|wok &amp; roll|Bengaluru|Chinese|2|200|75|UPI|Cancelled||</v>
      </c>
      <c r="P1309" s="7" t="str">
        <f aca="false">IF(COUNTIF($O$2:O1309,O1309)&gt;1,"DUP","OK")</f>
        <v>OK</v>
      </c>
      <c r="Q1309" s="7" t="n">
        <f aca="false">COUNTBLANK(A1309:N1309)</f>
        <v>2</v>
      </c>
      <c r="R1309" s="7" t="n">
        <f aca="false">IF(A1309="",0,COUNTIFS($A$2:$A$3058,A1309,$P$2:$P$3058,"OK"))</f>
        <v>1</v>
      </c>
      <c r="S1309" s="7" t="str">
        <f aca="false">IF(OR(A1309="",P1309="DUP",R1309&lt;2),"",IF(Q1309=_xlfn.MINIFS($Q$2:$Q$3058,$A$2:$A$3058,A1309,$P$2:$P$3058,"OK"),"KEEP","DROP"))</f>
        <v/>
      </c>
      <c r="T1309" s="9" t="n">
        <f aca="false">IF(A1309="",1,0)</f>
        <v>0</v>
      </c>
      <c r="U1309" s="9" t="n">
        <f aca="false">IF(D1309="",1,0)</f>
        <v>0</v>
      </c>
      <c r="V1309" s="9" t="n">
        <f aca="false">IF(E1309="",1,0)</f>
        <v>0</v>
      </c>
      <c r="W1309" s="9" t="n">
        <f aca="false">IF(OR(H1309&lt;1,H1309&gt;10),1,0)</f>
        <v>0</v>
      </c>
      <c r="X1309" s="9" t="n">
        <f aca="false">IF(OR(I1309&lt;=0,I1309&gt;1500),1,0)</f>
        <v>0</v>
      </c>
      <c r="Y1309" s="9" t="n">
        <f aca="false">IF(J1309&gt;H1309*I1309,1,0)</f>
        <v>0</v>
      </c>
      <c r="Z1309" s="9" t="n">
        <f aca="false">IF(AND(N1309&lt;&gt;"",OR(N1309&lt;1,N1309&gt;5)),1,0)</f>
        <v>0</v>
      </c>
      <c r="AA1309" s="9" t="n">
        <f aca="false">IF(AND(M1309&lt;&gt;"",OR(M1309&lt;5,M1309&gt;180)),1,0)</f>
        <v>0</v>
      </c>
      <c r="AB1309" s="7" t="str">
        <f aca="false">IF(P1309="DUP","Exact duplicate row",IF(T1309=1,"Missing Order ID",IF(S1309="DROP","Duplicate Order ID (less complete row)",IF(U1309=1,"Missing Customer ID",IF(V1309=1,"Missing Restaurant name",IF(W1309=1,"Invalid/outlier quantity",IF(X1309=1,"Invalid/outlier unit price",IF(Y1309=1,"Discount greater than order value",""))))))))</f>
        <v/>
      </c>
      <c r="AC1309" s="7" t="str">
        <f aca="false">IF(AB1309="","KEEP","DROP")</f>
        <v>KEEP</v>
      </c>
      <c r="AD1309" s="7" t="str">
        <f aca="false">IF(TRIM(F1309)="",IFERROR(INDEX(Map_Tables!$I$4:$I$37,MATCH(TRIM(E1309),Map_Tables!$G$4:$G$37,0)),""),IFERROR(INDEX(Map_Tables!$B$4:$B$18,MATCH(TRIM(F1309),Map_Tables!$A$4:$A$18,0)),"CHECK"))</f>
        <v>Bengaluru</v>
      </c>
      <c r="AE1309" s="7" t="str">
        <f aca="false">IF(TRIM(E1309)="","",IFERROR(INDEX(Map_Tables!$H$4:$H$37,MATCH(TRIM(E1309),Map_Tables!$G$4:$G$37,0)),"CHECK"))</f>
        <v>Wok &amp; Roll</v>
      </c>
      <c r="AF1309" s="7" t="str">
        <f aca="false">IF(TRIM(K1309)="","Unknown",IFERROR(INDEX(Map_Tables!$E$4:$E$15,MATCH(TRIM(K1309),Map_Tables!$D$4:$D$15,0)),"CHECK"))</f>
        <v>UPI</v>
      </c>
      <c r="AG1309" s="7" t="str">
        <f aca="false">IF(LEFT(LOWER(TRIM(L1309)),6)="cancel","Cancelled","Delivered")</f>
        <v>Cancelled</v>
      </c>
      <c r="AH1309" s="10" t="n">
        <f aca="false">IF(ISNUMBER(SEARCH("/",B1309)),DATE(VALUE(RIGHT(B1309,4)),VALUE(MID(B1309,4,2)),VALUE(LEFT(B1309,2))),IF(MID(B1309,5,1)="-",DATE(VALUE(LEFT(B1309,4)),VALUE(MID(B1309,6,2)),VALUE(RIGHT(B1309,2))),DATE(VALUE(RIGHT(B1309,4)),MATCH(MID(B1309,4,3),{"Jan","Feb","Mar","Apr","May","Jun","Jul","Aug","Sep","Oct","Nov","Dec"},0),VALUE(LEFT(B1309,2)))))</f>
        <v>45946</v>
      </c>
    </row>
    <row r="1310" customFormat="false" ht="15" hidden="false" customHeight="false" outlineLevel="0" collapsed="false">
      <c r="A1310" s="7" t="s">
        <v>3601</v>
      </c>
      <c r="B1310" s="7" t="s">
        <v>3602</v>
      </c>
      <c r="C1310" s="7" t="s">
        <v>3603</v>
      </c>
      <c r="D1310" s="7" t="s">
        <v>2452</v>
      </c>
      <c r="E1310" s="7" t="s">
        <v>142</v>
      </c>
      <c r="F1310" s="7" t="s">
        <v>110</v>
      </c>
      <c r="G1310" s="7" t="s">
        <v>105</v>
      </c>
      <c r="H1310" s="7" t="n">
        <v>3</v>
      </c>
      <c r="I1310" s="7" t="n">
        <v>150</v>
      </c>
      <c r="J1310" s="7" t="n">
        <v>100</v>
      </c>
      <c r="K1310" s="7" t="s">
        <v>133</v>
      </c>
      <c r="L1310" s="7" t="s">
        <v>194</v>
      </c>
      <c r="M1310" s="7" t="n">
        <v>45</v>
      </c>
      <c r="N1310" s="7" t="n">
        <v>5</v>
      </c>
      <c r="O1310" s="7" t="str">
        <f aca="false">A1310&amp;"|"&amp;B1310&amp;"|"&amp;C1310&amp;"|"&amp;D1310&amp;"|"&amp;E1310&amp;"|"&amp;F1310&amp;"|"&amp;G1310&amp;"|"&amp;H1310&amp;"|"&amp;I1310&amp;"|"&amp;J1310&amp;"|"&amp;K1310&amp;"|"&amp;L1310&amp;"|"&amp;M1310&amp;"|"&amp;N1310</f>
        <v>ORD11697|11-Aug-2025|01:46|C0455|Momo Magic|Delhi|Chinese|3|150|100|Net Banking|Delivered|45|5</v>
      </c>
      <c r="P1310" s="7" t="str">
        <f aca="false">IF(COUNTIF($O$2:O1310,O1310)&gt;1,"DUP","OK")</f>
        <v>OK</v>
      </c>
      <c r="Q1310" s="7" t="n">
        <f aca="false">COUNTBLANK(A1310:N1310)</f>
        <v>0</v>
      </c>
      <c r="R1310" s="7" t="n">
        <f aca="false">IF(A1310="",0,COUNTIFS($A$2:$A$3058,A1310,$P$2:$P$3058,"OK"))</f>
        <v>1</v>
      </c>
      <c r="S1310" s="7" t="str">
        <f aca="false">IF(OR(A1310="",P1310="DUP",R1310&lt;2),"",IF(Q1310=_xlfn.MINIFS($Q$2:$Q$3058,$A$2:$A$3058,A1310,$P$2:$P$3058,"OK"),"KEEP","DROP"))</f>
        <v/>
      </c>
      <c r="T1310" s="9" t="n">
        <f aca="false">IF(A1310="",1,0)</f>
        <v>0</v>
      </c>
      <c r="U1310" s="9" t="n">
        <f aca="false">IF(D1310="",1,0)</f>
        <v>0</v>
      </c>
      <c r="V1310" s="9" t="n">
        <f aca="false">IF(E1310="",1,0)</f>
        <v>0</v>
      </c>
      <c r="W1310" s="9" t="n">
        <f aca="false">IF(OR(H1310&lt;1,H1310&gt;10),1,0)</f>
        <v>0</v>
      </c>
      <c r="X1310" s="9" t="n">
        <f aca="false">IF(OR(I1310&lt;=0,I1310&gt;1500),1,0)</f>
        <v>0</v>
      </c>
      <c r="Y1310" s="9" t="n">
        <f aca="false">IF(J1310&gt;H1310*I1310,1,0)</f>
        <v>0</v>
      </c>
      <c r="Z1310" s="9" t="n">
        <f aca="false">IF(AND(N1310&lt;&gt;"",OR(N1310&lt;1,N1310&gt;5)),1,0)</f>
        <v>0</v>
      </c>
      <c r="AA1310" s="9" t="n">
        <f aca="false">IF(AND(M1310&lt;&gt;"",OR(M1310&lt;5,M1310&gt;180)),1,0)</f>
        <v>0</v>
      </c>
      <c r="AB1310" s="7" t="str">
        <f aca="false">IF(P1310="DUP","Exact duplicate row",IF(T1310=1,"Missing Order ID",IF(S1310="DROP","Duplicate Order ID (less complete row)",IF(U1310=1,"Missing Customer ID",IF(V1310=1,"Missing Restaurant name",IF(W1310=1,"Invalid/outlier quantity",IF(X1310=1,"Invalid/outlier unit price",IF(Y1310=1,"Discount greater than order value",""))))))))</f>
        <v/>
      </c>
      <c r="AC1310" s="7" t="str">
        <f aca="false">IF(AB1310="","KEEP","DROP")</f>
        <v>KEEP</v>
      </c>
      <c r="AD1310" s="7" t="str">
        <f aca="false">IF(TRIM(F1310)="",IFERROR(INDEX(Map_Tables!$I$4:$I$37,MATCH(TRIM(E1310),Map_Tables!$G$4:$G$37,0)),""),IFERROR(INDEX(Map_Tables!$B$4:$B$18,MATCH(TRIM(F1310),Map_Tables!$A$4:$A$18,0)),"CHECK"))</f>
        <v>Delhi</v>
      </c>
      <c r="AE1310" s="7" t="str">
        <f aca="false">IF(TRIM(E1310)="","",IFERROR(INDEX(Map_Tables!$H$4:$H$37,MATCH(TRIM(E1310),Map_Tables!$G$4:$G$37,0)),"CHECK"))</f>
        <v>Momo Magic</v>
      </c>
      <c r="AF1310" s="7" t="str">
        <f aca="false">IF(TRIM(K1310)="","Unknown",IFERROR(INDEX(Map_Tables!$E$4:$E$15,MATCH(TRIM(K1310),Map_Tables!$D$4:$D$15,0)),"CHECK"))</f>
        <v>Net Banking</v>
      </c>
      <c r="AG1310" s="7" t="str">
        <f aca="false">IF(LEFT(LOWER(TRIM(L1310)),6)="cancel","Cancelled","Delivered")</f>
        <v>Delivered</v>
      </c>
      <c r="AH1310" s="10" t="n">
        <f aca="false">IF(ISNUMBER(SEARCH("/",B1310)),DATE(VALUE(RIGHT(B1310,4)),VALUE(MID(B1310,4,2)),VALUE(LEFT(B1310,2))),IF(MID(B1310,5,1)="-",DATE(VALUE(LEFT(B1310,4)),VALUE(MID(B1310,6,2)),VALUE(RIGHT(B1310,2))),DATE(VALUE(RIGHT(B1310,4)),MATCH(MID(B1310,4,3),{"Jan","Feb","Mar","Apr","May","Jun","Jul","Aug","Sep","Oct","Nov","Dec"},0),VALUE(LEFT(B1310,2)))))</f>
        <v>45880</v>
      </c>
    </row>
    <row r="1311" customFormat="false" ht="15" hidden="false" customHeight="false" outlineLevel="0" collapsed="false">
      <c r="A1311" s="7" t="s">
        <v>3604</v>
      </c>
      <c r="B1311" s="7" t="s">
        <v>1069</v>
      </c>
      <c r="C1311" s="7" t="s">
        <v>3605</v>
      </c>
      <c r="D1311" s="7" t="s">
        <v>1251</v>
      </c>
      <c r="E1311" s="7" t="s">
        <v>89</v>
      </c>
      <c r="F1311" s="7" t="s">
        <v>86</v>
      </c>
      <c r="G1311" s="7" t="s">
        <v>90</v>
      </c>
      <c r="H1311" s="7" t="n">
        <v>1</v>
      </c>
      <c r="I1311" s="7" t="n">
        <v>265</v>
      </c>
      <c r="J1311" s="7" t="n">
        <v>30</v>
      </c>
      <c r="K1311" s="7" t="s">
        <v>133</v>
      </c>
      <c r="L1311" s="7" t="s">
        <v>194</v>
      </c>
      <c r="M1311" s="7" t="n">
        <v>49</v>
      </c>
      <c r="N1311" s="7" t="n">
        <v>3</v>
      </c>
      <c r="O1311" s="7" t="str">
        <f aca="false">A1311&amp;"|"&amp;B1311&amp;"|"&amp;C1311&amp;"|"&amp;D1311&amp;"|"&amp;E1311&amp;"|"&amp;F1311&amp;"|"&amp;G1311&amp;"|"&amp;H1311&amp;"|"&amp;I1311&amp;"|"&amp;J1311&amp;"|"&amp;K1311&amp;"|"&amp;L1311&amp;"|"&amp;M1311&amp;"|"&amp;N1311</f>
        <v>ORD12938|2025-12-25|12:22|C0595|Spice Junction|Bengaluru|North Indian|1|265|30|Net Banking|Delivered|49|3</v>
      </c>
      <c r="P1311" s="7" t="str">
        <f aca="false">IF(COUNTIF($O$2:O1311,O1311)&gt;1,"DUP","OK")</f>
        <v>OK</v>
      </c>
      <c r="Q1311" s="7" t="n">
        <f aca="false">COUNTBLANK(A1311:N1311)</f>
        <v>0</v>
      </c>
      <c r="R1311" s="7" t="n">
        <f aca="false">IF(A1311="",0,COUNTIFS($A$2:$A$3058,A1311,$P$2:$P$3058,"OK"))</f>
        <v>1</v>
      </c>
      <c r="S1311" s="7" t="str">
        <f aca="false">IF(OR(A1311="",P1311="DUP",R1311&lt;2),"",IF(Q1311=_xlfn.MINIFS($Q$2:$Q$3058,$A$2:$A$3058,A1311,$P$2:$P$3058,"OK"),"KEEP","DROP"))</f>
        <v/>
      </c>
      <c r="T1311" s="9" t="n">
        <f aca="false">IF(A1311="",1,0)</f>
        <v>0</v>
      </c>
      <c r="U1311" s="9" t="n">
        <f aca="false">IF(D1311="",1,0)</f>
        <v>0</v>
      </c>
      <c r="V1311" s="9" t="n">
        <f aca="false">IF(E1311="",1,0)</f>
        <v>0</v>
      </c>
      <c r="W1311" s="9" t="n">
        <f aca="false">IF(OR(H1311&lt;1,H1311&gt;10),1,0)</f>
        <v>0</v>
      </c>
      <c r="X1311" s="9" t="n">
        <f aca="false">IF(OR(I1311&lt;=0,I1311&gt;1500),1,0)</f>
        <v>0</v>
      </c>
      <c r="Y1311" s="9" t="n">
        <f aca="false">IF(J1311&gt;H1311*I1311,1,0)</f>
        <v>0</v>
      </c>
      <c r="Z1311" s="9" t="n">
        <f aca="false">IF(AND(N1311&lt;&gt;"",OR(N1311&lt;1,N1311&gt;5)),1,0)</f>
        <v>0</v>
      </c>
      <c r="AA1311" s="9" t="n">
        <f aca="false">IF(AND(M1311&lt;&gt;"",OR(M1311&lt;5,M1311&gt;180)),1,0)</f>
        <v>0</v>
      </c>
      <c r="AB1311" s="7" t="str">
        <f aca="false">IF(P1311="DUP","Exact duplicate row",IF(T1311=1,"Missing Order ID",IF(S1311="DROP","Duplicate Order ID (less complete row)",IF(U1311=1,"Missing Customer ID",IF(V1311=1,"Missing Restaurant name",IF(W1311=1,"Invalid/outlier quantity",IF(X1311=1,"Invalid/outlier unit price",IF(Y1311=1,"Discount greater than order value",""))))))))</f>
        <v/>
      </c>
      <c r="AC1311" s="7" t="str">
        <f aca="false">IF(AB1311="","KEEP","DROP")</f>
        <v>KEEP</v>
      </c>
      <c r="AD1311" s="7" t="str">
        <f aca="false">IF(TRIM(F1311)="",IFERROR(INDEX(Map_Tables!$I$4:$I$37,MATCH(TRIM(E1311),Map_Tables!$G$4:$G$37,0)),""),IFERROR(INDEX(Map_Tables!$B$4:$B$18,MATCH(TRIM(F1311),Map_Tables!$A$4:$A$18,0)),"CHECK"))</f>
        <v>Bengaluru</v>
      </c>
      <c r="AE1311" s="7" t="str">
        <f aca="false">IF(TRIM(E1311)="","",IFERROR(INDEX(Map_Tables!$H$4:$H$37,MATCH(TRIM(E1311),Map_Tables!$G$4:$G$37,0)),"CHECK"))</f>
        <v>Spice Junction</v>
      </c>
      <c r="AF1311" s="7" t="str">
        <f aca="false">IF(TRIM(K1311)="","Unknown",IFERROR(INDEX(Map_Tables!$E$4:$E$15,MATCH(TRIM(K1311),Map_Tables!$D$4:$D$15,0)),"CHECK"))</f>
        <v>Net Banking</v>
      </c>
      <c r="AG1311" s="7" t="str">
        <f aca="false">IF(LEFT(LOWER(TRIM(L1311)),6)="cancel","Cancelled","Delivered")</f>
        <v>Delivered</v>
      </c>
      <c r="AH1311" s="10" t="n">
        <f aca="false">IF(ISNUMBER(SEARCH("/",B1311)),DATE(VALUE(RIGHT(B1311,4)),VALUE(MID(B1311,4,2)),VALUE(LEFT(B1311,2))),IF(MID(B1311,5,1)="-",DATE(VALUE(LEFT(B1311,4)),VALUE(MID(B1311,6,2)),VALUE(RIGHT(B1311,2))),DATE(VALUE(RIGHT(B1311,4)),MATCH(MID(B1311,4,3),{"Jan","Feb","Mar","Apr","May","Jun","Jul","Aug","Sep","Oct","Nov","Dec"},0),VALUE(LEFT(B1311,2)))))</f>
        <v>46016</v>
      </c>
    </row>
    <row r="1312" customFormat="false" ht="15" hidden="false" customHeight="false" outlineLevel="0" collapsed="false">
      <c r="A1312" s="7" t="s">
        <v>3606</v>
      </c>
      <c r="B1312" s="7" t="s">
        <v>2023</v>
      </c>
      <c r="C1312" s="7" t="s">
        <v>649</v>
      </c>
      <c r="D1312" s="7" t="s">
        <v>777</v>
      </c>
      <c r="E1312" s="7" t="s">
        <v>113</v>
      </c>
      <c r="F1312" s="7" t="s">
        <v>101</v>
      </c>
      <c r="G1312" s="7" t="s">
        <v>90</v>
      </c>
      <c r="H1312" s="7" t="n">
        <v>1</v>
      </c>
      <c r="I1312" s="7" t="n">
        <v>240</v>
      </c>
      <c r="J1312" s="7" t="n">
        <v>50</v>
      </c>
      <c r="K1312" s="7" t="s">
        <v>88</v>
      </c>
      <c r="L1312" s="7" t="s">
        <v>194</v>
      </c>
      <c r="M1312" s="7" t="n">
        <v>48</v>
      </c>
      <c r="N1312" s="7" t="n">
        <v>3</v>
      </c>
      <c r="O1312" s="7" t="str">
        <f aca="false">A1312&amp;"|"&amp;B1312&amp;"|"&amp;C1312&amp;"|"&amp;D1312&amp;"|"&amp;E1312&amp;"|"&amp;F1312&amp;"|"&amp;G1312&amp;"|"&amp;H1312&amp;"|"&amp;I1312&amp;"|"&amp;J1312&amp;"|"&amp;K1312&amp;"|"&amp;L1312&amp;"|"&amp;M1312&amp;"|"&amp;N1312</f>
        <v>ORD12224|09/10/2025|21:56|C0816|Curry Leaf Kitchen|Mumbai|North Indian|1|240|50|UPI|Delivered|48|3</v>
      </c>
      <c r="P1312" s="7" t="str">
        <f aca="false">IF(COUNTIF($O$2:O1312,O1312)&gt;1,"DUP","OK")</f>
        <v>OK</v>
      </c>
      <c r="Q1312" s="7" t="n">
        <f aca="false">COUNTBLANK(A1312:N1312)</f>
        <v>0</v>
      </c>
      <c r="R1312" s="7" t="n">
        <f aca="false">IF(A1312="",0,COUNTIFS($A$2:$A$3058,A1312,$P$2:$P$3058,"OK"))</f>
        <v>1</v>
      </c>
      <c r="S1312" s="7" t="str">
        <f aca="false">IF(OR(A1312="",P1312="DUP",R1312&lt;2),"",IF(Q1312=_xlfn.MINIFS($Q$2:$Q$3058,$A$2:$A$3058,A1312,$P$2:$P$3058,"OK"),"KEEP","DROP"))</f>
        <v/>
      </c>
      <c r="T1312" s="9" t="n">
        <f aca="false">IF(A1312="",1,0)</f>
        <v>0</v>
      </c>
      <c r="U1312" s="9" t="n">
        <f aca="false">IF(D1312="",1,0)</f>
        <v>0</v>
      </c>
      <c r="V1312" s="9" t="n">
        <f aca="false">IF(E1312="",1,0)</f>
        <v>0</v>
      </c>
      <c r="W1312" s="9" t="n">
        <f aca="false">IF(OR(H1312&lt;1,H1312&gt;10),1,0)</f>
        <v>0</v>
      </c>
      <c r="X1312" s="9" t="n">
        <f aca="false">IF(OR(I1312&lt;=0,I1312&gt;1500),1,0)</f>
        <v>0</v>
      </c>
      <c r="Y1312" s="9" t="n">
        <f aca="false">IF(J1312&gt;H1312*I1312,1,0)</f>
        <v>0</v>
      </c>
      <c r="Z1312" s="9" t="n">
        <f aca="false">IF(AND(N1312&lt;&gt;"",OR(N1312&lt;1,N1312&gt;5)),1,0)</f>
        <v>0</v>
      </c>
      <c r="AA1312" s="9" t="n">
        <f aca="false">IF(AND(M1312&lt;&gt;"",OR(M1312&lt;5,M1312&gt;180)),1,0)</f>
        <v>0</v>
      </c>
      <c r="AB1312" s="7" t="str">
        <f aca="false">IF(P1312="DUP","Exact duplicate row",IF(T1312=1,"Missing Order ID",IF(S1312="DROP","Duplicate Order ID (less complete row)",IF(U1312=1,"Missing Customer ID",IF(V1312=1,"Missing Restaurant name",IF(W1312=1,"Invalid/outlier quantity",IF(X1312=1,"Invalid/outlier unit price",IF(Y1312=1,"Discount greater than order value",""))))))))</f>
        <v/>
      </c>
      <c r="AC1312" s="7" t="str">
        <f aca="false">IF(AB1312="","KEEP","DROP")</f>
        <v>KEEP</v>
      </c>
      <c r="AD1312" s="7" t="str">
        <f aca="false">IF(TRIM(F1312)="",IFERROR(INDEX(Map_Tables!$I$4:$I$37,MATCH(TRIM(E1312),Map_Tables!$G$4:$G$37,0)),""),IFERROR(INDEX(Map_Tables!$B$4:$B$18,MATCH(TRIM(F1312),Map_Tables!$A$4:$A$18,0)),"CHECK"))</f>
        <v>Mumbai</v>
      </c>
      <c r="AE1312" s="7" t="str">
        <f aca="false">IF(TRIM(E1312)="","",IFERROR(INDEX(Map_Tables!$H$4:$H$37,MATCH(TRIM(E1312),Map_Tables!$G$4:$G$37,0)),"CHECK"))</f>
        <v>Curry Leaf Kitchen</v>
      </c>
      <c r="AF1312" s="7" t="str">
        <f aca="false">IF(TRIM(K1312)="","Unknown",IFERROR(INDEX(Map_Tables!$E$4:$E$15,MATCH(TRIM(K1312),Map_Tables!$D$4:$D$15,0)),"CHECK"))</f>
        <v>UPI</v>
      </c>
      <c r="AG1312" s="7" t="str">
        <f aca="false">IF(LEFT(LOWER(TRIM(L1312)),6)="cancel","Cancelled","Delivered")</f>
        <v>Delivered</v>
      </c>
      <c r="AH1312" s="10" t="n">
        <f aca="false">IF(ISNUMBER(SEARCH("/",B1312)),DATE(VALUE(RIGHT(B1312,4)),VALUE(MID(B1312,4,2)),VALUE(LEFT(B1312,2))),IF(MID(B1312,5,1)="-",DATE(VALUE(LEFT(B1312,4)),VALUE(MID(B1312,6,2)),VALUE(RIGHT(B1312,2))),DATE(VALUE(RIGHT(B1312,4)),MATCH(MID(B1312,4,3),{"Jan","Feb","Mar","Apr","May","Jun","Jul","Aug","Sep","Oct","Nov","Dec"},0),VALUE(LEFT(B1312,2)))))</f>
        <v>45939</v>
      </c>
    </row>
    <row r="1313" customFormat="false" ht="15" hidden="false" customHeight="false" outlineLevel="0" collapsed="false">
      <c r="A1313" s="7" t="s">
        <v>3607</v>
      </c>
      <c r="B1313" s="7" t="s">
        <v>2283</v>
      </c>
      <c r="C1313" s="7" t="s">
        <v>3608</v>
      </c>
      <c r="D1313" s="7" t="s">
        <v>3609</v>
      </c>
      <c r="E1313" s="7" t="s">
        <v>157</v>
      </c>
      <c r="F1313" s="7" t="s">
        <v>136</v>
      </c>
      <c r="G1313" s="7" t="s">
        <v>117</v>
      </c>
      <c r="H1313" s="7" t="n">
        <v>1</v>
      </c>
      <c r="I1313" s="7" t="n">
        <v>125</v>
      </c>
      <c r="J1313" s="7" t="n">
        <v>30</v>
      </c>
      <c r="K1313" s="7" t="s">
        <v>87</v>
      </c>
      <c r="L1313" s="7" t="s">
        <v>194</v>
      </c>
      <c r="M1313" s="7" t="n">
        <v>38</v>
      </c>
      <c r="N1313" s="7" t="n">
        <v>2</v>
      </c>
      <c r="O1313" s="7" t="str">
        <f aca="false">A1313&amp;"|"&amp;B1313&amp;"|"&amp;C1313&amp;"|"&amp;D1313&amp;"|"&amp;E1313&amp;"|"&amp;F1313&amp;"|"&amp;G1313&amp;"|"&amp;H1313&amp;"|"&amp;I1313&amp;"|"&amp;J1313&amp;"|"&amp;K1313&amp;"|"&amp;L1313&amp;"|"&amp;M1313&amp;"|"&amp;N1313</f>
        <v>ORD11878|2025-09-02|12:16|C1371|Misal Mantra|Pune|Street Food|1|125|30|upi|Delivered|38|2</v>
      </c>
      <c r="P1313" s="7" t="str">
        <f aca="false">IF(COUNTIF($O$2:O1313,O1313)&gt;1,"DUP","OK")</f>
        <v>OK</v>
      </c>
      <c r="Q1313" s="7" t="n">
        <f aca="false">COUNTBLANK(A1313:N1313)</f>
        <v>0</v>
      </c>
      <c r="R1313" s="7" t="n">
        <f aca="false">IF(A1313="",0,COUNTIFS($A$2:$A$3058,A1313,$P$2:$P$3058,"OK"))</f>
        <v>1</v>
      </c>
      <c r="S1313" s="7" t="str">
        <f aca="false">IF(OR(A1313="",P1313="DUP",R1313&lt;2),"",IF(Q1313=_xlfn.MINIFS($Q$2:$Q$3058,$A$2:$A$3058,A1313,$P$2:$P$3058,"OK"),"KEEP","DROP"))</f>
        <v/>
      </c>
      <c r="T1313" s="9" t="n">
        <f aca="false">IF(A1313="",1,0)</f>
        <v>0</v>
      </c>
      <c r="U1313" s="9" t="n">
        <f aca="false">IF(D1313="",1,0)</f>
        <v>0</v>
      </c>
      <c r="V1313" s="9" t="n">
        <f aca="false">IF(E1313="",1,0)</f>
        <v>0</v>
      </c>
      <c r="W1313" s="9" t="n">
        <f aca="false">IF(OR(H1313&lt;1,H1313&gt;10),1,0)</f>
        <v>0</v>
      </c>
      <c r="X1313" s="9" t="n">
        <f aca="false">IF(OR(I1313&lt;=0,I1313&gt;1500),1,0)</f>
        <v>0</v>
      </c>
      <c r="Y1313" s="9" t="n">
        <f aca="false">IF(J1313&gt;H1313*I1313,1,0)</f>
        <v>0</v>
      </c>
      <c r="Z1313" s="9" t="n">
        <f aca="false">IF(AND(N1313&lt;&gt;"",OR(N1313&lt;1,N1313&gt;5)),1,0)</f>
        <v>0</v>
      </c>
      <c r="AA1313" s="9" t="n">
        <f aca="false">IF(AND(M1313&lt;&gt;"",OR(M1313&lt;5,M1313&gt;180)),1,0)</f>
        <v>0</v>
      </c>
      <c r="AB1313" s="7" t="str">
        <f aca="false">IF(P1313="DUP","Exact duplicate row",IF(T1313=1,"Missing Order ID",IF(S1313="DROP","Duplicate Order ID (less complete row)",IF(U1313=1,"Missing Customer ID",IF(V1313=1,"Missing Restaurant name",IF(W1313=1,"Invalid/outlier quantity",IF(X1313=1,"Invalid/outlier unit price",IF(Y1313=1,"Discount greater than order value",""))))))))</f>
        <v/>
      </c>
      <c r="AC1313" s="7" t="str">
        <f aca="false">IF(AB1313="","KEEP","DROP")</f>
        <v>KEEP</v>
      </c>
      <c r="AD1313" s="7" t="str">
        <f aca="false">IF(TRIM(F1313)="",IFERROR(INDEX(Map_Tables!$I$4:$I$37,MATCH(TRIM(E1313),Map_Tables!$G$4:$G$37,0)),""),IFERROR(INDEX(Map_Tables!$B$4:$B$18,MATCH(TRIM(F1313),Map_Tables!$A$4:$A$18,0)),"CHECK"))</f>
        <v>Pune</v>
      </c>
      <c r="AE1313" s="7" t="str">
        <f aca="false">IF(TRIM(E1313)="","",IFERROR(INDEX(Map_Tables!$H$4:$H$37,MATCH(TRIM(E1313),Map_Tables!$G$4:$G$37,0)),"CHECK"))</f>
        <v>Misal Mantra</v>
      </c>
      <c r="AF1313" s="7" t="str">
        <f aca="false">IF(TRIM(K1313)="","Unknown",IFERROR(INDEX(Map_Tables!$E$4:$E$15,MATCH(TRIM(K1313),Map_Tables!$D$4:$D$15,0)),"CHECK"))</f>
        <v>UPI</v>
      </c>
      <c r="AG1313" s="7" t="str">
        <f aca="false">IF(LEFT(LOWER(TRIM(L1313)),6)="cancel","Cancelled","Delivered")</f>
        <v>Delivered</v>
      </c>
      <c r="AH1313" s="10" t="n">
        <f aca="false">IF(ISNUMBER(SEARCH("/",B1313)),DATE(VALUE(RIGHT(B1313,4)),VALUE(MID(B1313,4,2)),VALUE(LEFT(B1313,2))),IF(MID(B1313,5,1)="-",DATE(VALUE(LEFT(B1313,4)),VALUE(MID(B1313,6,2)),VALUE(RIGHT(B1313,2))),DATE(VALUE(RIGHT(B1313,4)),MATCH(MID(B1313,4,3),{"Jan","Feb","Mar","Apr","May","Jun","Jul","Aug","Sep","Oct","Nov","Dec"},0),VALUE(LEFT(B1313,2)))))</f>
        <v>45902</v>
      </c>
    </row>
    <row r="1314" customFormat="false" ht="15" hidden="false" customHeight="false" outlineLevel="0" collapsed="false">
      <c r="A1314" s="7" t="s">
        <v>3610</v>
      </c>
      <c r="B1314" s="7" t="s">
        <v>1657</v>
      </c>
      <c r="C1314" s="7" t="s">
        <v>3487</v>
      </c>
      <c r="D1314" s="7" t="s">
        <v>1401</v>
      </c>
      <c r="E1314" s="7" t="s">
        <v>161</v>
      </c>
      <c r="F1314" s="7" t="s">
        <v>141</v>
      </c>
      <c r="G1314" s="7" t="s">
        <v>117</v>
      </c>
      <c r="H1314" s="7" t="n">
        <v>2</v>
      </c>
      <c r="I1314" s="7" t="n">
        <v>140</v>
      </c>
      <c r="J1314" s="7" t="n">
        <v>0</v>
      </c>
      <c r="K1314" s="7" t="s">
        <v>112</v>
      </c>
      <c r="L1314" s="7" t="s">
        <v>194</v>
      </c>
      <c r="M1314" s="7" t="n">
        <v>45</v>
      </c>
      <c r="N1314" s="7" t="n">
        <v>3</v>
      </c>
      <c r="O1314" s="7" t="str">
        <f aca="false">A1314&amp;"|"&amp;B1314&amp;"|"&amp;C1314&amp;"|"&amp;D1314&amp;"|"&amp;E1314&amp;"|"&amp;F1314&amp;"|"&amp;G1314&amp;"|"&amp;H1314&amp;"|"&amp;I1314&amp;"|"&amp;J1314&amp;"|"&amp;K1314&amp;"|"&amp;L1314&amp;"|"&amp;M1314&amp;"|"&amp;N1314</f>
        <v>ORD11870|2025-08-31|20:57|C1367|Bengal Bites|Kolkata|Street Food|2|140|0|Cash on Delivery|Delivered|45|3</v>
      </c>
      <c r="P1314" s="7" t="str">
        <f aca="false">IF(COUNTIF($O$2:O1314,O1314)&gt;1,"DUP","OK")</f>
        <v>OK</v>
      </c>
      <c r="Q1314" s="7" t="n">
        <f aca="false">COUNTBLANK(A1314:N1314)</f>
        <v>0</v>
      </c>
      <c r="R1314" s="7" t="n">
        <f aca="false">IF(A1314="",0,COUNTIFS($A$2:$A$3058,A1314,$P$2:$P$3058,"OK"))</f>
        <v>1</v>
      </c>
      <c r="S1314" s="7" t="str">
        <f aca="false">IF(OR(A1314="",P1314="DUP",R1314&lt;2),"",IF(Q1314=_xlfn.MINIFS($Q$2:$Q$3058,$A$2:$A$3058,A1314,$P$2:$P$3058,"OK"),"KEEP","DROP"))</f>
        <v/>
      </c>
      <c r="T1314" s="9" t="n">
        <f aca="false">IF(A1314="",1,0)</f>
        <v>0</v>
      </c>
      <c r="U1314" s="9" t="n">
        <f aca="false">IF(D1314="",1,0)</f>
        <v>0</v>
      </c>
      <c r="V1314" s="9" t="n">
        <f aca="false">IF(E1314="",1,0)</f>
        <v>0</v>
      </c>
      <c r="W1314" s="9" t="n">
        <f aca="false">IF(OR(H1314&lt;1,H1314&gt;10),1,0)</f>
        <v>0</v>
      </c>
      <c r="X1314" s="9" t="n">
        <f aca="false">IF(OR(I1314&lt;=0,I1314&gt;1500),1,0)</f>
        <v>0</v>
      </c>
      <c r="Y1314" s="9" t="n">
        <f aca="false">IF(J1314&gt;H1314*I1314,1,0)</f>
        <v>0</v>
      </c>
      <c r="Z1314" s="9" t="n">
        <f aca="false">IF(AND(N1314&lt;&gt;"",OR(N1314&lt;1,N1314&gt;5)),1,0)</f>
        <v>0</v>
      </c>
      <c r="AA1314" s="9" t="n">
        <f aca="false">IF(AND(M1314&lt;&gt;"",OR(M1314&lt;5,M1314&gt;180)),1,0)</f>
        <v>0</v>
      </c>
      <c r="AB1314" s="7" t="str">
        <f aca="false">IF(P1314="DUP","Exact duplicate row",IF(T1314=1,"Missing Order ID",IF(S1314="DROP","Duplicate Order ID (less complete row)",IF(U1314=1,"Missing Customer ID",IF(V1314=1,"Missing Restaurant name",IF(W1314=1,"Invalid/outlier quantity",IF(X1314=1,"Invalid/outlier unit price",IF(Y1314=1,"Discount greater than order value",""))))))))</f>
        <v/>
      </c>
      <c r="AC1314" s="7" t="str">
        <f aca="false">IF(AB1314="","KEEP","DROP")</f>
        <v>KEEP</v>
      </c>
      <c r="AD1314" s="7" t="str">
        <f aca="false">IF(TRIM(F1314)="",IFERROR(INDEX(Map_Tables!$I$4:$I$37,MATCH(TRIM(E1314),Map_Tables!$G$4:$G$37,0)),""),IFERROR(INDEX(Map_Tables!$B$4:$B$18,MATCH(TRIM(F1314),Map_Tables!$A$4:$A$18,0)),"CHECK"))</f>
        <v>Kolkata</v>
      </c>
      <c r="AE1314" s="7" t="str">
        <f aca="false">IF(TRIM(E1314)="","",IFERROR(INDEX(Map_Tables!$H$4:$H$37,MATCH(TRIM(E1314),Map_Tables!$G$4:$G$37,0)),"CHECK"))</f>
        <v>Bengal Bites</v>
      </c>
      <c r="AF1314" s="7" t="str">
        <f aca="false">IF(TRIM(K1314)="","Unknown",IFERROR(INDEX(Map_Tables!$E$4:$E$15,MATCH(TRIM(K1314),Map_Tables!$D$4:$D$15,0)),"CHECK"))</f>
        <v>Cash on Delivery</v>
      </c>
      <c r="AG1314" s="7" t="str">
        <f aca="false">IF(LEFT(LOWER(TRIM(L1314)),6)="cancel","Cancelled","Delivered")</f>
        <v>Delivered</v>
      </c>
      <c r="AH1314" s="10" t="n">
        <f aca="false">IF(ISNUMBER(SEARCH("/",B1314)),DATE(VALUE(RIGHT(B1314,4)),VALUE(MID(B1314,4,2)),VALUE(LEFT(B1314,2))),IF(MID(B1314,5,1)="-",DATE(VALUE(LEFT(B1314,4)),VALUE(MID(B1314,6,2)),VALUE(RIGHT(B1314,2))),DATE(VALUE(RIGHT(B1314,4)),MATCH(MID(B1314,4,3),{"Jan","Feb","Mar","Apr","May","Jun","Jul","Aug","Sep","Oct","Nov","Dec"},0),VALUE(LEFT(B1314,2)))))</f>
        <v>45900</v>
      </c>
    </row>
    <row r="1315" customFormat="false" ht="15" hidden="false" customHeight="false" outlineLevel="0" collapsed="false">
      <c r="A1315" s="7" t="s">
        <v>3611</v>
      </c>
      <c r="B1315" s="7" t="s">
        <v>791</v>
      </c>
      <c r="C1315" s="7" t="s">
        <v>2600</v>
      </c>
      <c r="D1315" s="7" t="s">
        <v>3612</v>
      </c>
      <c r="E1315" s="7" t="s">
        <v>138</v>
      </c>
      <c r="F1315" s="7" t="s">
        <v>110</v>
      </c>
      <c r="G1315" s="7" t="s">
        <v>139</v>
      </c>
      <c r="H1315" s="7" t="n">
        <v>2</v>
      </c>
      <c r="I1315" s="7" t="n">
        <v>185</v>
      </c>
      <c r="J1315" s="7" t="n">
        <v>50</v>
      </c>
      <c r="K1315" s="7" t="s">
        <v>379</v>
      </c>
      <c r="L1315" s="7" t="s">
        <v>194</v>
      </c>
      <c r="M1315" s="7" t="n">
        <v>52</v>
      </c>
      <c r="N1315" s="7" t="n">
        <v>4</v>
      </c>
      <c r="O1315" s="7" t="str">
        <f aca="false">A1315&amp;"|"&amp;B1315&amp;"|"&amp;C1315&amp;"|"&amp;D1315&amp;"|"&amp;E1315&amp;"|"&amp;F1315&amp;"|"&amp;G1315&amp;"|"&amp;H1315&amp;"|"&amp;I1315&amp;"|"&amp;J1315&amp;"|"&amp;K1315&amp;"|"&amp;L1315&amp;"|"&amp;M1315&amp;"|"&amp;N1315</f>
        <v>ORD12502|2025-11-10|12:27|C0275|Burger Barn|Delhi|Burgers|2|185|50|Credit card|Delivered|52|4</v>
      </c>
      <c r="P1315" s="7" t="str">
        <f aca="false">IF(COUNTIF($O$2:O1315,O1315)&gt;1,"DUP","OK")</f>
        <v>OK</v>
      </c>
      <c r="Q1315" s="7" t="n">
        <f aca="false">COUNTBLANK(A1315:N1315)</f>
        <v>0</v>
      </c>
      <c r="R1315" s="7" t="n">
        <f aca="false">IF(A1315="",0,COUNTIFS($A$2:$A$3058,A1315,$P$2:$P$3058,"OK"))</f>
        <v>1</v>
      </c>
      <c r="S1315" s="7" t="str">
        <f aca="false">IF(OR(A1315="",P1315="DUP",R1315&lt;2),"",IF(Q1315=_xlfn.MINIFS($Q$2:$Q$3058,$A$2:$A$3058,A1315,$P$2:$P$3058,"OK"),"KEEP","DROP"))</f>
        <v/>
      </c>
      <c r="T1315" s="9" t="n">
        <f aca="false">IF(A1315="",1,0)</f>
        <v>0</v>
      </c>
      <c r="U1315" s="9" t="n">
        <f aca="false">IF(D1315="",1,0)</f>
        <v>0</v>
      </c>
      <c r="V1315" s="9" t="n">
        <f aca="false">IF(E1315="",1,0)</f>
        <v>0</v>
      </c>
      <c r="W1315" s="9" t="n">
        <f aca="false">IF(OR(H1315&lt;1,H1315&gt;10),1,0)</f>
        <v>0</v>
      </c>
      <c r="X1315" s="9" t="n">
        <f aca="false">IF(OR(I1315&lt;=0,I1315&gt;1500),1,0)</f>
        <v>0</v>
      </c>
      <c r="Y1315" s="9" t="n">
        <f aca="false">IF(J1315&gt;H1315*I1315,1,0)</f>
        <v>0</v>
      </c>
      <c r="Z1315" s="9" t="n">
        <f aca="false">IF(AND(N1315&lt;&gt;"",OR(N1315&lt;1,N1315&gt;5)),1,0)</f>
        <v>0</v>
      </c>
      <c r="AA1315" s="9" t="n">
        <f aca="false">IF(AND(M1315&lt;&gt;"",OR(M1315&lt;5,M1315&gt;180)),1,0)</f>
        <v>0</v>
      </c>
      <c r="AB1315" s="7" t="str">
        <f aca="false">IF(P1315="DUP","Exact duplicate row",IF(T1315=1,"Missing Order ID",IF(S1315="DROP","Duplicate Order ID (less complete row)",IF(U1315=1,"Missing Customer ID",IF(V1315=1,"Missing Restaurant name",IF(W1315=1,"Invalid/outlier quantity",IF(X1315=1,"Invalid/outlier unit price",IF(Y1315=1,"Discount greater than order value",""))))))))</f>
        <v/>
      </c>
      <c r="AC1315" s="7" t="str">
        <f aca="false">IF(AB1315="","KEEP","DROP")</f>
        <v>KEEP</v>
      </c>
      <c r="AD1315" s="7" t="str">
        <f aca="false">IF(TRIM(F1315)="",IFERROR(INDEX(Map_Tables!$I$4:$I$37,MATCH(TRIM(E1315),Map_Tables!$G$4:$G$37,0)),""),IFERROR(INDEX(Map_Tables!$B$4:$B$18,MATCH(TRIM(F1315),Map_Tables!$A$4:$A$18,0)),"CHECK"))</f>
        <v>Delhi</v>
      </c>
      <c r="AE1315" s="7" t="str">
        <f aca="false">IF(TRIM(E1315)="","",IFERROR(INDEX(Map_Tables!$H$4:$H$37,MATCH(TRIM(E1315),Map_Tables!$G$4:$G$37,0)),"CHECK"))</f>
        <v>Burger Barn</v>
      </c>
      <c r="AF1315" s="7" t="str">
        <f aca="false">IF(TRIM(K1315)="","Unknown",IFERROR(INDEX(Map_Tables!$E$4:$E$15,MATCH(TRIM(K1315),Map_Tables!$D$4:$D$15,0)),"CHECK"))</f>
        <v>Credit Card</v>
      </c>
      <c r="AG1315" s="7" t="str">
        <f aca="false">IF(LEFT(LOWER(TRIM(L1315)),6)="cancel","Cancelled","Delivered")</f>
        <v>Delivered</v>
      </c>
      <c r="AH1315" s="10" t="n">
        <f aca="false">IF(ISNUMBER(SEARCH("/",B1315)),DATE(VALUE(RIGHT(B1315,4)),VALUE(MID(B1315,4,2)),VALUE(LEFT(B1315,2))),IF(MID(B1315,5,1)="-",DATE(VALUE(LEFT(B1315,4)),VALUE(MID(B1315,6,2)),VALUE(RIGHT(B1315,2))),DATE(VALUE(RIGHT(B1315,4)),MATCH(MID(B1315,4,3),{"Jan","Feb","Mar","Apr","May","Jun","Jul","Aug","Sep","Oct","Nov","Dec"},0),VALUE(LEFT(B1315,2)))))</f>
        <v>45971</v>
      </c>
    </row>
    <row r="1316" customFormat="false" ht="15" hidden="false" customHeight="false" outlineLevel="0" collapsed="false">
      <c r="A1316" s="7" t="s">
        <v>3613</v>
      </c>
      <c r="B1316" s="7" t="s">
        <v>3614</v>
      </c>
      <c r="C1316" s="7" t="s">
        <v>2393</v>
      </c>
      <c r="D1316" s="7" t="s">
        <v>3331</v>
      </c>
      <c r="E1316" s="7" t="s">
        <v>89</v>
      </c>
      <c r="F1316" s="7" t="s">
        <v>86</v>
      </c>
      <c r="G1316" s="7" t="s">
        <v>90</v>
      </c>
      <c r="H1316" s="7" t="n">
        <v>2</v>
      </c>
      <c r="I1316" s="7" t="n">
        <v>255</v>
      </c>
      <c r="J1316" s="7" t="n">
        <v>0</v>
      </c>
      <c r="K1316" s="7" t="s">
        <v>121</v>
      </c>
      <c r="L1316" s="7" t="s">
        <v>194</v>
      </c>
      <c r="M1316" s="7" t="n">
        <v>50</v>
      </c>
      <c r="N1316" s="7" t="n">
        <v>2</v>
      </c>
      <c r="O1316" s="7" t="str">
        <f aca="false">A1316&amp;"|"&amp;B1316&amp;"|"&amp;C1316&amp;"|"&amp;D1316&amp;"|"&amp;E1316&amp;"|"&amp;F1316&amp;"|"&amp;G1316&amp;"|"&amp;H1316&amp;"|"&amp;I1316&amp;"|"&amp;J1316&amp;"|"&amp;K1316&amp;"|"&amp;L1316&amp;"|"&amp;M1316&amp;"|"&amp;N1316</f>
        <v>ORD11433|05/07/2025|13:21|C0815|Spice Junction|Bengaluru|North Indian|2|255|0|Wallet|Delivered|50|2</v>
      </c>
      <c r="P1316" s="7" t="str">
        <f aca="false">IF(COUNTIF($O$2:O1316,O1316)&gt;1,"DUP","OK")</f>
        <v>OK</v>
      </c>
      <c r="Q1316" s="7" t="n">
        <f aca="false">COUNTBLANK(A1316:N1316)</f>
        <v>0</v>
      </c>
      <c r="R1316" s="7" t="n">
        <f aca="false">IF(A1316="",0,COUNTIFS($A$2:$A$3058,A1316,$P$2:$P$3058,"OK"))</f>
        <v>1</v>
      </c>
      <c r="S1316" s="7" t="str">
        <f aca="false">IF(OR(A1316="",P1316="DUP",R1316&lt;2),"",IF(Q1316=_xlfn.MINIFS($Q$2:$Q$3058,$A$2:$A$3058,A1316,$P$2:$P$3058,"OK"),"KEEP","DROP"))</f>
        <v/>
      </c>
      <c r="T1316" s="9" t="n">
        <f aca="false">IF(A1316="",1,0)</f>
        <v>0</v>
      </c>
      <c r="U1316" s="9" t="n">
        <f aca="false">IF(D1316="",1,0)</f>
        <v>0</v>
      </c>
      <c r="V1316" s="9" t="n">
        <f aca="false">IF(E1316="",1,0)</f>
        <v>0</v>
      </c>
      <c r="W1316" s="9" t="n">
        <f aca="false">IF(OR(H1316&lt;1,H1316&gt;10),1,0)</f>
        <v>0</v>
      </c>
      <c r="X1316" s="9" t="n">
        <f aca="false">IF(OR(I1316&lt;=0,I1316&gt;1500),1,0)</f>
        <v>0</v>
      </c>
      <c r="Y1316" s="9" t="n">
        <f aca="false">IF(J1316&gt;H1316*I1316,1,0)</f>
        <v>0</v>
      </c>
      <c r="Z1316" s="9" t="n">
        <f aca="false">IF(AND(N1316&lt;&gt;"",OR(N1316&lt;1,N1316&gt;5)),1,0)</f>
        <v>0</v>
      </c>
      <c r="AA1316" s="9" t="n">
        <f aca="false">IF(AND(M1316&lt;&gt;"",OR(M1316&lt;5,M1316&gt;180)),1,0)</f>
        <v>0</v>
      </c>
      <c r="AB1316" s="7" t="str">
        <f aca="false">IF(P1316="DUP","Exact duplicate row",IF(T1316=1,"Missing Order ID",IF(S1316="DROP","Duplicate Order ID (less complete row)",IF(U1316=1,"Missing Customer ID",IF(V1316=1,"Missing Restaurant name",IF(W1316=1,"Invalid/outlier quantity",IF(X1316=1,"Invalid/outlier unit price",IF(Y1316=1,"Discount greater than order value",""))))))))</f>
        <v/>
      </c>
      <c r="AC1316" s="7" t="str">
        <f aca="false">IF(AB1316="","KEEP","DROP")</f>
        <v>KEEP</v>
      </c>
      <c r="AD1316" s="7" t="str">
        <f aca="false">IF(TRIM(F1316)="",IFERROR(INDEX(Map_Tables!$I$4:$I$37,MATCH(TRIM(E1316),Map_Tables!$G$4:$G$37,0)),""),IFERROR(INDEX(Map_Tables!$B$4:$B$18,MATCH(TRIM(F1316),Map_Tables!$A$4:$A$18,0)),"CHECK"))</f>
        <v>Bengaluru</v>
      </c>
      <c r="AE1316" s="7" t="str">
        <f aca="false">IF(TRIM(E1316)="","",IFERROR(INDEX(Map_Tables!$H$4:$H$37,MATCH(TRIM(E1316),Map_Tables!$G$4:$G$37,0)),"CHECK"))</f>
        <v>Spice Junction</v>
      </c>
      <c r="AF1316" s="7" t="str">
        <f aca="false">IF(TRIM(K1316)="","Unknown",IFERROR(INDEX(Map_Tables!$E$4:$E$15,MATCH(TRIM(K1316),Map_Tables!$D$4:$D$15,0)),"CHECK"))</f>
        <v>Wallet</v>
      </c>
      <c r="AG1316" s="7" t="str">
        <f aca="false">IF(LEFT(LOWER(TRIM(L1316)),6)="cancel","Cancelled","Delivered")</f>
        <v>Delivered</v>
      </c>
      <c r="AH1316" s="10" t="n">
        <f aca="false">IF(ISNUMBER(SEARCH("/",B1316)),DATE(VALUE(RIGHT(B1316,4)),VALUE(MID(B1316,4,2)),VALUE(LEFT(B1316,2))),IF(MID(B1316,5,1)="-",DATE(VALUE(LEFT(B1316,4)),VALUE(MID(B1316,6,2)),VALUE(RIGHT(B1316,2))),DATE(VALUE(RIGHT(B1316,4)),MATCH(MID(B1316,4,3),{"Jan","Feb","Mar","Apr","May","Jun","Jul","Aug","Sep","Oct","Nov","Dec"},0),VALUE(LEFT(B1316,2)))))</f>
        <v>45843</v>
      </c>
    </row>
    <row r="1317" customFormat="false" ht="15" hidden="false" customHeight="false" outlineLevel="0" collapsed="false">
      <c r="A1317" s="7" t="s">
        <v>3615</v>
      </c>
      <c r="B1317" s="7" t="s">
        <v>3616</v>
      </c>
      <c r="C1317" s="7" t="s">
        <v>3617</v>
      </c>
      <c r="D1317" s="7" t="s">
        <v>3381</v>
      </c>
      <c r="E1317" s="7" t="s">
        <v>149</v>
      </c>
      <c r="F1317" s="7" t="s">
        <v>119</v>
      </c>
      <c r="G1317" s="7" t="s">
        <v>150</v>
      </c>
      <c r="H1317" s="7" t="n">
        <v>2</v>
      </c>
      <c r="I1317" s="7" t="n">
        <v>175</v>
      </c>
      <c r="J1317" s="7" t="n">
        <v>140</v>
      </c>
      <c r="K1317" s="7" t="s">
        <v>93</v>
      </c>
      <c r="L1317" s="7" t="s">
        <v>194</v>
      </c>
      <c r="M1317" s="7" t="n">
        <v>32</v>
      </c>
      <c r="N1317" s="7" t="n">
        <v>4</v>
      </c>
      <c r="O1317" s="7" t="str">
        <f aca="false">A1317&amp;"|"&amp;B1317&amp;"|"&amp;C1317&amp;"|"&amp;D1317&amp;"|"&amp;E1317&amp;"|"&amp;F1317&amp;"|"&amp;G1317&amp;"|"&amp;H1317&amp;"|"&amp;I1317&amp;"|"&amp;J1317&amp;"|"&amp;K1317&amp;"|"&amp;L1317&amp;"|"&amp;M1317&amp;"|"&amp;N1317</f>
        <v>ORD11282|13-Jun-2025|08:10|C0072|Sweet Tooth Studio|Hyderabad|Desserts|2|175|140|Credit Card|Delivered|32|4</v>
      </c>
      <c r="P1317" s="7" t="str">
        <f aca="false">IF(COUNTIF($O$2:O1317,O1317)&gt;1,"DUP","OK")</f>
        <v>OK</v>
      </c>
      <c r="Q1317" s="7" t="n">
        <f aca="false">COUNTBLANK(A1317:N1317)</f>
        <v>0</v>
      </c>
      <c r="R1317" s="7" t="n">
        <f aca="false">IF(A1317="",0,COUNTIFS($A$2:$A$3058,A1317,$P$2:$P$3058,"OK"))</f>
        <v>1</v>
      </c>
      <c r="S1317" s="7" t="str">
        <f aca="false">IF(OR(A1317="",P1317="DUP",R1317&lt;2),"",IF(Q1317=_xlfn.MINIFS($Q$2:$Q$3058,$A$2:$A$3058,A1317,$P$2:$P$3058,"OK"),"KEEP","DROP"))</f>
        <v/>
      </c>
      <c r="T1317" s="9" t="n">
        <f aca="false">IF(A1317="",1,0)</f>
        <v>0</v>
      </c>
      <c r="U1317" s="9" t="n">
        <f aca="false">IF(D1317="",1,0)</f>
        <v>0</v>
      </c>
      <c r="V1317" s="9" t="n">
        <f aca="false">IF(E1317="",1,0)</f>
        <v>0</v>
      </c>
      <c r="W1317" s="9" t="n">
        <f aca="false">IF(OR(H1317&lt;1,H1317&gt;10),1,0)</f>
        <v>0</v>
      </c>
      <c r="X1317" s="9" t="n">
        <f aca="false">IF(OR(I1317&lt;=0,I1317&gt;1500),1,0)</f>
        <v>0</v>
      </c>
      <c r="Y1317" s="9" t="n">
        <f aca="false">IF(J1317&gt;H1317*I1317,1,0)</f>
        <v>0</v>
      </c>
      <c r="Z1317" s="9" t="n">
        <f aca="false">IF(AND(N1317&lt;&gt;"",OR(N1317&lt;1,N1317&gt;5)),1,0)</f>
        <v>0</v>
      </c>
      <c r="AA1317" s="9" t="n">
        <f aca="false">IF(AND(M1317&lt;&gt;"",OR(M1317&lt;5,M1317&gt;180)),1,0)</f>
        <v>0</v>
      </c>
      <c r="AB1317" s="7" t="str">
        <f aca="false">IF(P1317="DUP","Exact duplicate row",IF(T1317=1,"Missing Order ID",IF(S1317="DROP","Duplicate Order ID (less complete row)",IF(U1317=1,"Missing Customer ID",IF(V1317=1,"Missing Restaurant name",IF(W1317=1,"Invalid/outlier quantity",IF(X1317=1,"Invalid/outlier unit price",IF(Y1317=1,"Discount greater than order value",""))))))))</f>
        <v/>
      </c>
      <c r="AC1317" s="7" t="str">
        <f aca="false">IF(AB1317="","KEEP","DROP")</f>
        <v>KEEP</v>
      </c>
      <c r="AD1317" s="7" t="str">
        <f aca="false">IF(TRIM(F1317)="",IFERROR(INDEX(Map_Tables!$I$4:$I$37,MATCH(TRIM(E1317),Map_Tables!$G$4:$G$37,0)),""),IFERROR(INDEX(Map_Tables!$B$4:$B$18,MATCH(TRIM(F1317),Map_Tables!$A$4:$A$18,0)),"CHECK"))</f>
        <v>Hyderabad</v>
      </c>
      <c r="AE1317" s="7" t="str">
        <f aca="false">IF(TRIM(E1317)="","",IFERROR(INDEX(Map_Tables!$H$4:$H$37,MATCH(TRIM(E1317),Map_Tables!$G$4:$G$37,0)),"CHECK"))</f>
        <v>Sweet Tooth Studio</v>
      </c>
      <c r="AF1317" s="7" t="str">
        <f aca="false">IF(TRIM(K1317)="","Unknown",IFERROR(INDEX(Map_Tables!$E$4:$E$15,MATCH(TRIM(K1317),Map_Tables!$D$4:$D$15,0)),"CHECK"))</f>
        <v>Credit Card</v>
      </c>
      <c r="AG1317" s="7" t="str">
        <f aca="false">IF(LEFT(LOWER(TRIM(L1317)),6)="cancel","Cancelled","Delivered")</f>
        <v>Delivered</v>
      </c>
      <c r="AH1317" s="10" t="n">
        <f aca="false">IF(ISNUMBER(SEARCH("/",B1317)),DATE(VALUE(RIGHT(B1317,4)),VALUE(MID(B1317,4,2)),VALUE(LEFT(B1317,2))),IF(MID(B1317,5,1)="-",DATE(VALUE(LEFT(B1317,4)),VALUE(MID(B1317,6,2)),VALUE(RIGHT(B1317,2))),DATE(VALUE(RIGHT(B1317,4)),MATCH(MID(B1317,4,3),{"Jan","Feb","Mar","Apr","May","Jun","Jul","Aug","Sep","Oct","Nov","Dec"},0),VALUE(LEFT(B1317,2)))))</f>
        <v>45821</v>
      </c>
    </row>
    <row r="1318" customFormat="false" ht="15" hidden="false" customHeight="false" outlineLevel="0" collapsed="false">
      <c r="A1318" s="7" t="s">
        <v>3618</v>
      </c>
      <c r="B1318" s="7" t="s">
        <v>3619</v>
      </c>
      <c r="C1318" s="7" t="s">
        <v>1809</v>
      </c>
      <c r="D1318" s="7" t="s">
        <v>922</v>
      </c>
      <c r="E1318" s="7" t="s">
        <v>1177</v>
      </c>
      <c r="F1318" s="7" t="s">
        <v>136</v>
      </c>
      <c r="G1318" s="7" t="s">
        <v>90</v>
      </c>
      <c r="H1318" s="7" t="n">
        <v>2</v>
      </c>
      <c r="I1318" s="7" t="n">
        <v>265</v>
      </c>
      <c r="J1318" s="7" t="n">
        <v>0</v>
      </c>
      <c r="K1318" s="7" t="s">
        <v>112</v>
      </c>
      <c r="L1318" s="7" t="s">
        <v>194</v>
      </c>
      <c r="M1318" s="7" t="n">
        <v>32</v>
      </c>
      <c r="N1318" s="7" t="n">
        <v>4</v>
      </c>
      <c r="O1318" s="7" t="str">
        <f aca="false">A1318&amp;"|"&amp;B1318&amp;"|"&amp;C1318&amp;"|"&amp;D1318&amp;"|"&amp;E1318&amp;"|"&amp;F1318&amp;"|"&amp;G1318&amp;"|"&amp;H1318&amp;"|"&amp;I1318&amp;"|"&amp;J1318&amp;"|"&amp;K1318&amp;"|"&amp;L1318&amp;"|"&amp;M1318&amp;"|"&amp;N1318</f>
        <v>ORD11601|2025-07-28|12:07|C0562|MARATHA THALI HOUSE|Pune|North Indian|2|265|0|Cash on Delivery|Delivered|32|4</v>
      </c>
      <c r="P1318" s="7" t="str">
        <f aca="false">IF(COUNTIF($O$2:O1318,O1318)&gt;1,"DUP","OK")</f>
        <v>OK</v>
      </c>
      <c r="Q1318" s="7" t="n">
        <f aca="false">COUNTBLANK(A1318:N1318)</f>
        <v>0</v>
      </c>
      <c r="R1318" s="7" t="n">
        <f aca="false">IF(A1318="",0,COUNTIFS($A$2:$A$3058,A1318,$P$2:$P$3058,"OK"))</f>
        <v>1</v>
      </c>
      <c r="S1318" s="7" t="str">
        <f aca="false">IF(OR(A1318="",P1318="DUP",R1318&lt;2),"",IF(Q1318=_xlfn.MINIFS($Q$2:$Q$3058,$A$2:$A$3058,A1318,$P$2:$P$3058,"OK"),"KEEP","DROP"))</f>
        <v/>
      </c>
      <c r="T1318" s="9" t="n">
        <f aca="false">IF(A1318="",1,0)</f>
        <v>0</v>
      </c>
      <c r="U1318" s="9" t="n">
        <f aca="false">IF(D1318="",1,0)</f>
        <v>0</v>
      </c>
      <c r="V1318" s="9" t="n">
        <f aca="false">IF(E1318="",1,0)</f>
        <v>0</v>
      </c>
      <c r="W1318" s="9" t="n">
        <f aca="false">IF(OR(H1318&lt;1,H1318&gt;10),1,0)</f>
        <v>0</v>
      </c>
      <c r="X1318" s="9" t="n">
        <f aca="false">IF(OR(I1318&lt;=0,I1318&gt;1500),1,0)</f>
        <v>0</v>
      </c>
      <c r="Y1318" s="9" t="n">
        <f aca="false">IF(J1318&gt;H1318*I1318,1,0)</f>
        <v>0</v>
      </c>
      <c r="Z1318" s="9" t="n">
        <f aca="false">IF(AND(N1318&lt;&gt;"",OR(N1318&lt;1,N1318&gt;5)),1,0)</f>
        <v>0</v>
      </c>
      <c r="AA1318" s="9" t="n">
        <f aca="false">IF(AND(M1318&lt;&gt;"",OR(M1318&lt;5,M1318&gt;180)),1,0)</f>
        <v>0</v>
      </c>
      <c r="AB1318" s="7" t="str">
        <f aca="false">IF(P1318="DUP","Exact duplicate row",IF(T1318=1,"Missing Order ID",IF(S1318="DROP","Duplicate Order ID (less complete row)",IF(U1318=1,"Missing Customer ID",IF(V1318=1,"Missing Restaurant name",IF(W1318=1,"Invalid/outlier quantity",IF(X1318=1,"Invalid/outlier unit price",IF(Y1318=1,"Discount greater than order value",""))))))))</f>
        <v/>
      </c>
      <c r="AC1318" s="7" t="str">
        <f aca="false">IF(AB1318="","KEEP","DROP")</f>
        <v>KEEP</v>
      </c>
      <c r="AD1318" s="7" t="str">
        <f aca="false">IF(TRIM(F1318)="",IFERROR(INDEX(Map_Tables!$I$4:$I$37,MATCH(TRIM(E1318),Map_Tables!$G$4:$G$37,0)),""),IFERROR(INDEX(Map_Tables!$B$4:$B$18,MATCH(TRIM(F1318),Map_Tables!$A$4:$A$18,0)),"CHECK"))</f>
        <v>Pune</v>
      </c>
      <c r="AE1318" s="7" t="str">
        <f aca="false">IF(TRIM(E1318)="","",IFERROR(INDEX(Map_Tables!$H$4:$H$37,MATCH(TRIM(E1318),Map_Tables!$G$4:$G$37,0)),"CHECK"))</f>
        <v>Maratha Thali House</v>
      </c>
      <c r="AF1318" s="7" t="str">
        <f aca="false">IF(TRIM(K1318)="","Unknown",IFERROR(INDEX(Map_Tables!$E$4:$E$15,MATCH(TRIM(K1318),Map_Tables!$D$4:$D$15,0)),"CHECK"))</f>
        <v>Cash on Delivery</v>
      </c>
      <c r="AG1318" s="7" t="str">
        <f aca="false">IF(LEFT(LOWER(TRIM(L1318)),6)="cancel","Cancelled","Delivered")</f>
        <v>Delivered</v>
      </c>
      <c r="AH1318" s="10" t="n">
        <f aca="false">IF(ISNUMBER(SEARCH("/",B1318)),DATE(VALUE(RIGHT(B1318,4)),VALUE(MID(B1318,4,2)),VALUE(LEFT(B1318,2))),IF(MID(B1318,5,1)="-",DATE(VALUE(LEFT(B1318,4)),VALUE(MID(B1318,6,2)),VALUE(RIGHT(B1318,2))),DATE(VALUE(RIGHT(B1318,4)),MATCH(MID(B1318,4,3),{"Jan","Feb","Mar","Apr","May","Jun","Jul","Aug","Sep","Oct","Nov","Dec"},0),VALUE(LEFT(B1318,2)))))</f>
        <v>45866</v>
      </c>
    </row>
    <row r="1319" customFormat="false" ht="15" hidden="false" customHeight="false" outlineLevel="0" collapsed="false">
      <c r="A1319" s="7" t="s">
        <v>3620</v>
      </c>
      <c r="B1319" s="7" t="s">
        <v>3621</v>
      </c>
      <c r="C1319" s="7" t="s">
        <v>478</v>
      </c>
      <c r="D1319" s="7" t="s">
        <v>3191</v>
      </c>
      <c r="E1319" s="7" t="s">
        <v>167</v>
      </c>
      <c r="F1319" s="7" t="s">
        <v>146</v>
      </c>
      <c r="G1319" s="7" t="s">
        <v>156</v>
      </c>
      <c r="H1319" s="7" t="n">
        <v>3</v>
      </c>
      <c r="I1319" s="7" t="n">
        <v>350</v>
      </c>
      <c r="J1319" s="7" t="n">
        <v>30</v>
      </c>
      <c r="K1319" s="7" t="s">
        <v>93</v>
      </c>
      <c r="L1319" s="7" t="s">
        <v>194</v>
      </c>
      <c r="M1319" s="7" t="n">
        <v>31</v>
      </c>
      <c r="N1319" s="7" t="n">
        <v>4</v>
      </c>
      <c r="O1319" s="7" t="str">
        <f aca="false">A1319&amp;"|"&amp;B1319&amp;"|"&amp;C1319&amp;"|"&amp;D1319&amp;"|"&amp;E1319&amp;"|"&amp;F1319&amp;"|"&amp;G1319&amp;"|"&amp;H1319&amp;"|"&amp;I1319&amp;"|"&amp;J1319&amp;"|"&amp;K1319&amp;"|"&amp;L1319&amp;"|"&amp;M1319&amp;"|"&amp;N1319</f>
        <v>ORD10208|28/01/2025|20:03|C0649|Fit Fuel Kitchen|Ahmedabad|Healthy Food|3|350|30|Credit Card|Delivered|31|4</v>
      </c>
      <c r="P1319" s="7" t="str">
        <f aca="false">IF(COUNTIF($O$2:O1319,O1319)&gt;1,"DUP","OK")</f>
        <v>OK</v>
      </c>
      <c r="Q1319" s="7" t="n">
        <f aca="false">COUNTBLANK(A1319:N1319)</f>
        <v>0</v>
      </c>
      <c r="R1319" s="7" t="n">
        <f aca="false">IF(A1319="",0,COUNTIFS($A$2:$A$3058,A1319,$P$2:$P$3058,"OK"))</f>
        <v>1</v>
      </c>
      <c r="S1319" s="7" t="str">
        <f aca="false">IF(OR(A1319="",P1319="DUP",R1319&lt;2),"",IF(Q1319=_xlfn.MINIFS($Q$2:$Q$3058,$A$2:$A$3058,A1319,$P$2:$P$3058,"OK"),"KEEP","DROP"))</f>
        <v/>
      </c>
      <c r="T1319" s="9" t="n">
        <f aca="false">IF(A1319="",1,0)</f>
        <v>0</v>
      </c>
      <c r="U1319" s="9" t="n">
        <f aca="false">IF(D1319="",1,0)</f>
        <v>0</v>
      </c>
      <c r="V1319" s="9" t="n">
        <f aca="false">IF(E1319="",1,0)</f>
        <v>0</v>
      </c>
      <c r="W1319" s="9" t="n">
        <f aca="false">IF(OR(H1319&lt;1,H1319&gt;10),1,0)</f>
        <v>0</v>
      </c>
      <c r="X1319" s="9" t="n">
        <f aca="false">IF(OR(I1319&lt;=0,I1319&gt;1500),1,0)</f>
        <v>0</v>
      </c>
      <c r="Y1319" s="9" t="n">
        <f aca="false">IF(J1319&gt;H1319*I1319,1,0)</f>
        <v>0</v>
      </c>
      <c r="Z1319" s="9" t="n">
        <f aca="false">IF(AND(N1319&lt;&gt;"",OR(N1319&lt;1,N1319&gt;5)),1,0)</f>
        <v>0</v>
      </c>
      <c r="AA1319" s="9" t="n">
        <f aca="false">IF(AND(M1319&lt;&gt;"",OR(M1319&lt;5,M1319&gt;180)),1,0)</f>
        <v>0</v>
      </c>
      <c r="AB1319" s="7" t="str">
        <f aca="false">IF(P1319="DUP","Exact duplicate row",IF(T1319=1,"Missing Order ID",IF(S1319="DROP","Duplicate Order ID (less complete row)",IF(U1319=1,"Missing Customer ID",IF(V1319=1,"Missing Restaurant name",IF(W1319=1,"Invalid/outlier quantity",IF(X1319=1,"Invalid/outlier unit price",IF(Y1319=1,"Discount greater than order value",""))))))))</f>
        <v/>
      </c>
      <c r="AC1319" s="7" t="str">
        <f aca="false">IF(AB1319="","KEEP","DROP")</f>
        <v>KEEP</v>
      </c>
      <c r="AD1319" s="7" t="str">
        <f aca="false">IF(TRIM(F1319)="",IFERROR(INDEX(Map_Tables!$I$4:$I$37,MATCH(TRIM(E1319),Map_Tables!$G$4:$G$37,0)),""),IFERROR(INDEX(Map_Tables!$B$4:$B$18,MATCH(TRIM(F1319),Map_Tables!$A$4:$A$18,0)),"CHECK"))</f>
        <v>Ahmedabad</v>
      </c>
      <c r="AE1319" s="7" t="str">
        <f aca="false">IF(TRIM(E1319)="","",IFERROR(INDEX(Map_Tables!$H$4:$H$37,MATCH(TRIM(E1319),Map_Tables!$G$4:$G$37,0)),"CHECK"))</f>
        <v>Fit Fuel Kitchen</v>
      </c>
      <c r="AF1319" s="7" t="str">
        <f aca="false">IF(TRIM(K1319)="","Unknown",IFERROR(INDEX(Map_Tables!$E$4:$E$15,MATCH(TRIM(K1319),Map_Tables!$D$4:$D$15,0)),"CHECK"))</f>
        <v>Credit Card</v>
      </c>
      <c r="AG1319" s="7" t="str">
        <f aca="false">IF(LEFT(LOWER(TRIM(L1319)),6)="cancel","Cancelled","Delivered")</f>
        <v>Delivered</v>
      </c>
      <c r="AH1319" s="10" t="n">
        <f aca="false">IF(ISNUMBER(SEARCH("/",B1319)),DATE(VALUE(RIGHT(B1319,4)),VALUE(MID(B1319,4,2)),VALUE(LEFT(B1319,2))),IF(MID(B1319,5,1)="-",DATE(VALUE(LEFT(B1319,4)),VALUE(MID(B1319,6,2)),VALUE(RIGHT(B1319,2))),DATE(VALUE(RIGHT(B1319,4)),MATCH(MID(B1319,4,3),{"Jan","Feb","Mar","Apr","May","Jun","Jul","Aug","Sep","Oct","Nov","Dec"},0),VALUE(LEFT(B1319,2)))))</f>
        <v>45685</v>
      </c>
    </row>
    <row r="1320" customFormat="false" ht="15" hidden="false" customHeight="false" outlineLevel="0" collapsed="false">
      <c r="A1320" s="7" t="s">
        <v>3622</v>
      </c>
      <c r="B1320" s="7" t="s">
        <v>754</v>
      </c>
      <c r="C1320" s="7" t="s">
        <v>981</v>
      </c>
      <c r="D1320" s="7" t="s">
        <v>1020</v>
      </c>
      <c r="E1320" s="7" t="s">
        <v>158</v>
      </c>
      <c r="F1320" s="7" t="s">
        <v>136</v>
      </c>
      <c r="G1320" s="7" t="s">
        <v>1003</v>
      </c>
      <c r="H1320" s="7" t="n">
        <v>3</v>
      </c>
      <c r="I1320" s="7" t="n">
        <v>210</v>
      </c>
      <c r="J1320" s="7" t="n">
        <v>150</v>
      </c>
      <c r="K1320" s="7" t="s">
        <v>88</v>
      </c>
      <c r="L1320" s="7" t="s">
        <v>194</v>
      </c>
      <c r="M1320" s="7" t="n">
        <v>28</v>
      </c>
      <c r="N1320" s="7" t="n">
        <v>5</v>
      </c>
      <c r="O1320" s="7" t="str">
        <f aca="false">A1320&amp;"|"&amp;B1320&amp;"|"&amp;C1320&amp;"|"&amp;D1320&amp;"|"&amp;E1320&amp;"|"&amp;F1320&amp;"|"&amp;G1320&amp;"|"&amp;H1320&amp;"|"&amp;I1320&amp;"|"&amp;J1320&amp;"|"&amp;K1320&amp;"|"&amp;L1320&amp;"|"&amp;M1320&amp;"|"&amp;N1320</f>
        <v>ORD12079|2025-09-25|11:52|C1422|Pune Burger Hub|Pune|BURGERS|3|210|150|UPI|Delivered|28|5</v>
      </c>
      <c r="P1320" s="7" t="str">
        <f aca="false">IF(COUNTIF($O$2:O1320,O1320)&gt;1,"DUP","OK")</f>
        <v>OK</v>
      </c>
      <c r="Q1320" s="7" t="n">
        <f aca="false">COUNTBLANK(A1320:N1320)</f>
        <v>0</v>
      </c>
      <c r="R1320" s="7" t="n">
        <f aca="false">IF(A1320="",0,COUNTIFS($A$2:$A$3058,A1320,$P$2:$P$3058,"OK"))</f>
        <v>1</v>
      </c>
      <c r="S1320" s="7" t="str">
        <f aca="false">IF(OR(A1320="",P1320="DUP",R1320&lt;2),"",IF(Q1320=_xlfn.MINIFS($Q$2:$Q$3058,$A$2:$A$3058,A1320,$P$2:$P$3058,"OK"),"KEEP","DROP"))</f>
        <v/>
      </c>
      <c r="T1320" s="9" t="n">
        <f aca="false">IF(A1320="",1,0)</f>
        <v>0</v>
      </c>
      <c r="U1320" s="9" t="n">
        <f aca="false">IF(D1320="",1,0)</f>
        <v>0</v>
      </c>
      <c r="V1320" s="9" t="n">
        <f aca="false">IF(E1320="",1,0)</f>
        <v>0</v>
      </c>
      <c r="W1320" s="9" t="n">
        <f aca="false">IF(OR(H1320&lt;1,H1320&gt;10),1,0)</f>
        <v>0</v>
      </c>
      <c r="X1320" s="9" t="n">
        <f aca="false">IF(OR(I1320&lt;=0,I1320&gt;1500),1,0)</f>
        <v>0</v>
      </c>
      <c r="Y1320" s="9" t="n">
        <f aca="false">IF(J1320&gt;H1320*I1320,1,0)</f>
        <v>0</v>
      </c>
      <c r="Z1320" s="9" t="n">
        <f aca="false">IF(AND(N1320&lt;&gt;"",OR(N1320&lt;1,N1320&gt;5)),1,0)</f>
        <v>0</v>
      </c>
      <c r="AA1320" s="9" t="n">
        <f aca="false">IF(AND(M1320&lt;&gt;"",OR(M1320&lt;5,M1320&gt;180)),1,0)</f>
        <v>0</v>
      </c>
      <c r="AB1320" s="7" t="str">
        <f aca="false">IF(P1320="DUP","Exact duplicate row",IF(T1320=1,"Missing Order ID",IF(S1320="DROP","Duplicate Order ID (less complete row)",IF(U1320=1,"Missing Customer ID",IF(V1320=1,"Missing Restaurant name",IF(W1320=1,"Invalid/outlier quantity",IF(X1320=1,"Invalid/outlier unit price",IF(Y1320=1,"Discount greater than order value",""))))))))</f>
        <v/>
      </c>
      <c r="AC1320" s="7" t="str">
        <f aca="false">IF(AB1320="","KEEP","DROP")</f>
        <v>KEEP</v>
      </c>
      <c r="AD1320" s="7" t="str">
        <f aca="false">IF(TRIM(F1320)="",IFERROR(INDEX(Map_Tables!$I$4:$I$37,MATCH(TRIM(E1320),Map_Tables!$G$4:$G$37,0)),""),IFERROR(INDEX(Map_Tables!$B$4:$B$18,MATCH(TRIM(F1320),Map_Tables!$A$4:$A$18,0)),"CHECK"))</f>
        <v>Pune</v>
      </c>
      <c r="AE1320" s="7" t="str">
        <f aca="false">IF(TRIM(E1320)="","",IFERROR(INDEX(Map_Tables!$H$4:$H$37,MATCH(TRIM(E1320),Map_Tables!$G$4:$G$37,0)),"CHECK"))</f>
        <v>Pune Burger Hub</v>
      </c>
      <c r="AF1320" s="7" t="str">
        <f aca="false">IF(TRIM(K1320)="","Unknown",IFERROR(INDEX(Map_Tables!$E$4:$E$15,MATCH(TRIM(K1320),Map_Tables!$D$4:$D$15,0)),"CHECK"))</f>
        <v>UPI</v>
      </c>
      <c r="AG1320" s="7" t="str">
        <f aca="false">IF(LEFT(LOWER(TRIM(L1320)),6)="cancel","Cancelled","Delivered")</f>
        <v>Delivered</v>
      </c>
      <c r="AH1320" s="10" t="n">
        <f aca="false">IF(ISNUMBER(SEARCH("/",B1320)),DATE(VALUE(RIGHT(B1320,4)),VALUE(MID(B1320,4,2)),VALUE(LEFT(B1320,2))),IF(MID(B1320,5,1)="-",DATE(VALUE(LEFT(B1320,4)),VALUE(MID(B1320,6,2)),VALUE(RIGHT(B1320,2))),DATE(VALUE(RIGHT(B1320,4)),MATCH(MID(B1320,4,3),{"Jan","Feb","Mar","Apr","May","Jun","Jul","Aug","Sep","Oct","Nov","Dec"},0),VALUE(LEFT(B1320,2)))))</f>
        <v>45925</v>
      </c>
    </row>
    <row r="1321" customFormat="false" ht="15" hidden="false" customHeight="false" outlineLevel="0" collapsed="false">
      <c r="A1321" s="7" t="s">
        <v>3623</v>
      </c>
      <c r="B1321" s="7" t="s">
        <v>1960</v>
      </c>
      <c r="C1321" s="7" t="s">
        <v>407</v>
      </c>
      <c r="D1321" s="7" t="s">
        <v>3624</v>
      </c>
      <c r="E1321" s="7" t="s">
        <v>160</v>
      </c>
      <c r="F1321" s="7" t="s">
        <v>136</v>
      </c>
      <c r="G1321" s="7" t="s">
        <v>150</v>
      </c>
      <c r="H1321" s="7" t="n">
        <v>1</v>
      </c>
      <c r="I1321" s="7" t="n">
        <v>200</v>
      </c>
      <c r="J1321" s="7" t="n">
        <v>50</v>
      </c>
      <c r="K1321" s="7" t="s">
        <v>112</v>
      </c>
      <c r="L1321" s="7" t="s">
        <v>238</v>
      </c>
      <c r="M1321" s="7"/>
      <c r="N1321" s="7"/>
      <c r="O1321" s="7" t="str">
        <f aca="false">A1321&amp;"|"&amp;B1321&amp;"|"&amp;C1321&amp;"|"&amp;D1321&amp;"|"&amp;E1321&amp;"|"&amp;F1321&amp;"|"&amp;G1321&amp;"|"&amp;H1321&amp;"|"&amp;I1321&amp;"|"&amp;J1321&amp;"|"&amp;K1321&amp;"|"&amp;L1321&amp;"|"&amp;M1321&amp;"|"&amp;N1321</f>
        <v>ORD12962|27/12/2025|22:42|C0831|Cake Walk|Pune|Desserts|1|200|50|Cash on Delivery|Cancelled||</v>
      </c>
      <c r="P1321" s="7" t="str">
        <f aca="false">IF(COUNTIF($O$2:O1321,O1321)&gt;1,"DUP","OK")</f>
        <v>OK</v>
      </c>
      <c r="Q1321" s="7" t="n">
        <f aca="false">COUNTBLANK(A1321:N1321)</f>
        <v>2</v>
      </c>
      <c r="R1321" s="7" t="n">
        <f aca="false">IF(A1321="",0,COUNTIFS($A$2:$A$3058,A1321,$P$2:$P$3058,"OK"))</f>
        <v>1</v>
      </c>
      <c r="S1321" s="7" t="str">
        <f aca="false">IF(OR(A1321="",P1321="DUP",R1321&lt;2),"",IF(Q1321=_xlfn.MINIFS($Q$2:$Q$3058,$A$2:$A$3058,A1321,$P$2:$P$3058,"OK"),"KEEP","DROP"))</f>
        <v/>
      </c>
      <c r="T1321" s="9" t="n">
        <f aca="false">IF(A1321="",1,0)</f>
        <v>0</v>
      </c>
      <c r="U1321" s="9" t="n">
        <f aca="false">IF(D1321="",1,0)</f>
        <v>0</v>
      </c>
      <c r="V1321" s="9" t="n">
        <f aca="false">IF(E1321="",1,0)</f>
        <v>0</v>
      </c>
      <c r="W1321" s="9" t="n">
        <f aca="false">IF(OR(H1321&lt;1,H1321&gt;10),1,0)</f>
        <v>0</v>
      </c>
      <c r="X1321" s="9" t="n">
        <f aca="false">IF(OR(I1321&lt;=0,I1321&gt;1500),1,0)</f>
        <v>0</v>
      </c>
      <c r="Y1321" s="9" t="n">
        <f aca="false">IF(J1321&gt;H1321*I1321,1,0)</f>
        <v>0</v>
      </c>
      <c r="Z1321" s="9" t="n">
        <f aca="false">IF(AND(N1321&lt;&gt;"",OR(N1321&lt;1,N1321&gt;5)),1,0)</f>
        <v>0</v>
      </c>
      <c r="AA1321" s="9" t="n">
        <f aca="false">IF(AND(M1321&lt;&gt;"",OR(M1321&lt;5,M1321&gt;180)),1,0)</f>
        <v>0</v>
      </c>
      <c r="AB1321" s="7" t="str">
        <f aca="false">IF(P1321="DUP","Exact duplicate row",IF(T1321=1,"Missing Order ID",IF(S1321="DROP","Duplicate Order ID (less complete row)",IF(U1321=1,"Missing Customer ID",IF(V1321=1,"Missing Restaurant name",IF(W1321=1,"Invalid/outlier quantity",IF(X1321=1,"Invalid/outlier unit price",IF(Y1321=1,"Discount greater than order value",""))))))))</f>
        <v/>
      </c>
      <c r="AC1321" s="7" t="str">
        <f aca="false">IF(AB1321="","KEEP","DROP")</f>
        <v>KEEP</v>
      </c>
      <c r="AD1321" s="7" t="str">
        <f aca="false">IF(TRIM(F1321)="",IFERROR(INDEX(Map_Tables!$I$4:$I$37,MATCH(TRIM(E1321),Map_Tables!$G$4:$G$37,0)),""),IFERROR(INDEX(Map_Tables!$B$4:$B$18,MATCH(TRIM(F1321),Map_Tables!$A$4:$A$18,0)),"CHECK"))</f>
        <v>Pune</v>
      </c>
      <c r="AE1321" s="7" t="str">
        <f aca="false">IF(TRIM(E1321)="","",IFERROR(INDEX(Map_Tables!$H$4:$H$37,MATCH(TRIM(E1321),Map_Tables!$G$4:$G$37,0)),"CHECK"))</f>
        <v>Cake Walk</v>
      </c>
      <c r="AF1321" s="7" t="str">
        <f aca="false">IF(TRIM(K1321)="","Unknown",IFERROR(INDEX(Map_Tables!$E$4:$E$15,MATCH(TRIM(K1321),Map_Tables!$D$4:$D$15,0)),"CHECK"))</f>
        <v>Cash on Delivery</v>
      </c>
      <c r="AG1321" s="7" t="str">
        <f aca="false">IF(LEFT(LOWER(TRIM(L1321)),6)="cancel","Cancelled","Delivered")</f>
        <v>Cancelled</v>
      </c>
      <c r="AH1321" s="10" t="n">
        <f aca="false">IF(ISNUMBER(SEARCH("/",B1321)),DATE(VALUE(RIGHT(B1321,4)),VALUE(MID(B1321,4,2)),VALUE(LEFT(B1321,2))),IF(MID(B1321,5,1)="-",DATE(VALUE(LEFT(B1321,4)),VALUE(MID(B1321,6,2)),VALUE(RIGHT(B1321,2))),DATE(VALUE(RIGHT(B1321,4)),MATCH(MID(B1321,4,3),{"Jan","Feb","Mar","Apr","May","Jun","Jul","Aug","Sep","Oct","Nov","Dec"},0),VALUE(LEFT(B1321,2)))))</f>
        <v>46018</v>
      </c>
    </row>
    <row r="1322" customFormat="false" ht="15" hidden="false" customHeight="false" outlineLevel="0" collapsed="false">
      <c r="A1322" s="7" t="s">
        <v>3625</v>
      </c>
      <c r="B1322" s="7" t="s">
        <v>2527</v>
      </c>
      <c r="C1322" s="7" t="s">
        <v>2076</v>
      </c>
      <c r="D1322" s="7" t="s">
        <v>3626</v>
      </c>
      <c r="E1322" s="7" t="s">
        <v>3627</v>
      </c>
      <c r="F1322" s="7" t="s">
        <v>146</v>
      </c>
      <c r="G1322" s="7" t="s">
        <v>123</v>
      </c>
      <c r="H1322" s="7" t="n">
        <v>3</v>
      </c>
      <c r="I1322" s="7" t="n">
        <v>255</v>
      </c>
      <c r="J1322" s="7" t="n">
        <v>125</v>
      </c>
      <c r="K1322" s="7" t="s">
        <v>133</v>
      </c>
      <c r="L1322" s="7" t="s">
        <v>194</v>
      </c>
      <c r="M1322" s="7" t="n">
        <v>31</v>
      </c>
      <c r="N1322" s="7" t="n">
        <v>4</v>
      </c>
      <c r="O1322" s="7" t="str">
        <f aca="false">A1322&amp;"|"&amp;B1322&amp;"|"&amp;C1322&amp;"|"&amp;D1322&amp;"|"&amp;E1322&amp;"|"&amp;F1322&amp;"|"&amp;G1322&amp;"|"&amp;H1322&amp;"|"&amp;I1322&amp;"|"&amp;J1322&amp;"|"&amp;K1322&amp;"|"&amp;L1322&amp;"|"&amp;M1322&amp;"|"&amp;N1322</f>
        <v>ORD11333|2025-06-21|19:11|C0368|cheesy slice|Ahmedabad|Pizza|3|255|125|Net Banking|Delivered|31|4</v>
      </c>
      <c r="P1322" s="7" t="str">
        <f aca="false">IF(COUNTIF($O$2:O1322,O1322)&gt;1,"DUP","OK")</f>
        <v>OK</v>
      </c>
      <c r="Q1322" s="7" t="n">
        <f aca="false">COUNTBLANK(A1322:N1322)</f>
        <v>0</v>
      </c>
      <c r="R1322" s="7" t="n">
        <f aca="false">IF(A1322="",0,COUNTIFS($A$2:$A$3058,A1322,$P$2:$P$3058,"OK"))</f>
        <v>1</v>
      </c>
      <c r="S1322" s="7" t="str">
        <f aca="false">IF(OR(A1322="",P1322="DUP",R1322&lt;2),"",IF(Q1322=_xlfn.MINIFS($Q$2:$Q$3058,$A$2:$A$3058,A1322,$P$2:$P$3058,"OK"),"KEEP","DROP"))</f>
        <v/>
      </c>
      <c r="T1322" s="9" t="n">
        <f aca="false">IF(A1322="",1,0)</f>
        <v>0</v>
      </c>
      <c r="U1322" s="9" t="n">
        <f aca="false">IF(D1322="",1,0)</f>
        <v>0</v>
      </c>
      <c r="V1322" s="9" t="n">
        <f aca="false">IF(E1322="",1,0)</f>
        <v>0</v>
      </c>
      <c r="W1322" s="9" t="n">
        <f aca="false">IF(OR(H1322&lt;1,H1322&gt;10),1,0)</f>
        <v>0</v>
      </c>
      <c r="X1322" s="9" t="n">
        <f aca="false">IF(OR(I1322&lt;=0,I1322&gt;1500),1,0)</f>
        <v>0</v>
      </c>
      <c r="Y1322" s="9" t="n">
        <f aca="false">IF(J1322&gt;H1322*I1322,1,0)</f>
        <v>0</v>
      </c>
      <c r="Z1322" s="9" t="n">
        <f aca="false">IF(AND(N1322&lt;&gt;"",OR(N1322&lt;1,N1322&gt;5)),1,0)</f>
        <v>0</v>
      </c>
      <c r="AA1322" s="9" t="n">
        <f aca="false">IF(AND(M1322&lt;&gt;"",OR(M1322&lt;5,M1322&gt;180)),1,0)</f>
        <v>0</v>
      </c>
      <c r="AB1322" s="7" t="str">
        <f aca="false">IF(P1322="DUP","Exact duplicate row",IF(T1322=1,"Missing Order ID",IF(S1322="DROP","Duplicate Order ID (less complete row)",IF(U1322=1,"Missing Customer ID",IF(V1322=1,"Missing Restaurant name",IF(W1322=1,"Invalid/outlier quantity",IF(X1322=1,"Invalid/outlier unit price",IF(Y1322=1,"Discount greater than order value",""))))))))</f>
        <v/>
      </c>
      <c r="AC1322" s="7" t="str">
        <f aca="false">IF(AB1322="","KEEP","DROP")</f>
        <v>KEEP</v>
      </c>
      <c r="AD1322" s="7" t="str">
        <f aca="false">IF(TRIM(F1322)="",IFERROR(INDEX(Map_Tables!$I$4:$I$37,MATCH(TRIM(E1322),Map_Tables!$G$4:$G$37,0)),""),IFERROR(INDEX(Map_Tables!$B$4:$B$18,MATCH(TRIM(F1322),Map_Tables!$A$4:$A$18,0)),"CHECK"))</f>
        <v>Ahmedabad</v>
      </c>
      <c r="AE1322" s="7" t="str">
        <f aca="false">IF(TRIM(E1322)="","",IFERROR(INDEX(Map_Tables!$H$4:$H$37,MATCH(TRIM(E1322),Map_Tables!$G$4:$G$37,0)),"CHECK"))</f>
        <v>Cheesy Slice</v>
      </c>
      <c r="AF1322" s="7" t="str">
        <f aca="false">IF(TRIM(K1322)="","Unknown",IFERROR(INDEX(Map_Tables!$E$4:$E$15,MATCH(TRIM(K1322),Map_Tables!$D$4:$D$15,0)),"CHECK"))</f>
        <v>Net Banking</v>
      </c>
      <c r="AG1322" s="7" t="str">
        <f aca="false">IF(LEFT(LOWER(TRIM(L1322)),6)="cancel","Cancelled","Delivered")</f>
        <v>Delivered</v>
      </c>
      <c r="AH1322" s="10" t="n">
        <f aca="false">IF(ISNUMBER(SEARCH("/",B1322)),DATE(VALUE(RIGHT(B1322,4)),VALUE(MID(B1322,4,2)),VALUE(LEFT(B1322,2))),IF(MID(B1322,5,1)="-",DATE(VALUE(LEFT(B1322,4)),VALUE(MID(B1322,6,2)),VALUE(RIGHT(B1322,2))),DATE(VALUE(RIGHT(B1322,4)),MATCH(MID(B1322,4,3),{"Jan","Feb","Mar","Apr","May","Jun","Jul","Aug","Sep","Oct","Nov","Dec"},0),VALUE(LEFT(B1322,2)))))</f>
        <v>45829</v>
      </c>
    </row>
    <row r="1323" customFormat="false" ht="15" hidden="false" customHeight="false" outlineLevel="0" collapsed="false">
      <c r="A1323" s="7" t="s">
        <v>3628</v>
      </c>
      <c r="B1323" s="7" t="s">
        <v>1532</v>
      </c>
      <c r="C1323" s="7" t="s">
        <v>1288</v>
      </c>
      <c r="D1323" s="7" t="s">
        <v>2426</v>
      </c>
      <c r="E1323" s="7" t="s">
        <v>149</v>
      </c>
      <c r="F1323" s="7" t="s">
        <v>119</v>
      </c>
      <c r="G1323" s="7" t="s">
        <v>150</v>
      </c>
      <c r="H1323" s="7" t="n">
        <v>2</v>
      </c>
      <c r="I1323" s="7" t="n">
        <v>140</v>
      </c>
      <c r="J1323" s="7" t="n">
        <v>0</v>
      </c>
      <c r="K1323" s="7" t="s">
        <v>88</v>
      </c>
      <c r="L1323" s="7" t="s">
        <v>194</v>
      </c>
      <c r="M1323" s="7" t="n">
        <v>42</v>
      </c>
      <c r="N1323" s="7" t="n">
        <v>5</v>
      </c>
      <c r="O1323" s="7" t="str">
        <f aca="false">A1323&amp;"|"&amp;B1323&amp;"|"&amp;C1323&amp;"|"&amp;D1323&amp;"|"&amp;E1323&amp;"|"&amp;F1323&amp;"|"&amp;G1323&amp;"|"&amp;H1323&amp;"|"&amp;I1323&amp;"|"&amp;J1323&amp;"|"&amp;K1323&amp;"|"&amp;L1323&amp;"|"&amp;M1323&amp;"|"&amp;N1323</f>
        <v>ORD10882|2025-04-21|20:54|C0220|Sweet Tooth Studio|Hyderabad|Desserts|2|140|0|UPI|Delivered|42|5</v>
      </c>
      <c r="P1323" s="7" t="str">
        <f aca="false">IF(COUNTIF($O$2:O1323,O1323)&gt;1,"DUP","OK")</f>
        <v>OK</v>
      </c>
      <c r="Q1323" s="7" t="n">
        <f aca="false">COUNTBLANK(A1323:N1323)</f>
        <v>0</v>
      </c>
      <c r="R1323" s="7" t="n">
        <f aca="false">IF(A1323="",0,COUNTIFS($A$2:$A$3058,A1323,$P$2:$P$3058,"OK"))</f>
        <v>1</v>
      </c>
      <c r="S1323" s="7" t="str">
        <f aca="false">IF(OR(A1323="",P1323="DUP",R1323&lt;2),"",IF(Q1323=_xlfn.MINIFS($Q$2:$Q$3058,$A$2:$A$3058,A1323,$P$2:$P$3058,"OK"),"KEEP","DROP"))</f>
        <v/>
      </c>
      <c r="T1323" s="9" t="n">
        <f aca="false">IF(A1323="",1,0)</f>
        <v>0</v>
      </c>
      <c r="U1323" s="9" t="n">
        <f aca="false">IF(D1323="",1,0)</f>
        <v>0</v>
      </c>
      <c r="V1323" s="9" t="n">
        <f aca="false">IF(E1323="",1,0)</f>
        <v>0</v>
      </c>
      <c r="W1323" s="9" t="n">
        <f aca="false">IF(OR(H1323&lt;1,H1323&gt;10),1,0)</f>
        <v>0</v>
      </c>
      <c r="X1323" s="9" t="n">
        <f aca="false">IF(OR(I1323&lt;=0,I1323&gt;1500),1,0)</f>
        <v>0</v>
      </c>
      <c r="Y1323" s="9" t="n">
        <f aca="false">IF(J1323&gt;H1323*I1323,1,0)</f>
        <v>0</v>
      </c>
      <c r="Z1323" s="9" t="n">
        <f aca="false">IF(AND(N1323&lt;&gt;"",OR(N1323&lt;1,N1323&gt;5)),1,0)</f>
        <v>0</v>
      </c>
      <c r="AA1323" s="9" t="n">
        <f aca="false">IF(AND(M1323&lt;&gt;"",OR(M1323&lt;5,M1323&gt;180)),1,0)</f>
        <v>0</v>
      </c>
      <c r="AB1323" s="7" t="str">
        <f aca="false">IF(P1323="DUP","Exact duplicate row",IF(T1323=1,"Missing Order ID",IF(S1323="DROP","Duplicate Order ID (less complete row)",IF(U1323=1,"Missing Customer ID",IF(V1323=1,"Missing Restaurant name",IF(W1323=1,"Invalid/outlier quantity",IF(X1323=1,"Invalid/outlier unit price",IF(Y1323=1,"Discount greater than order value",""))))))))</f>
        <v/>
      </c>
      <c r="AC1323" s="7" t="str">
        <f aca="false">IF(AB1323="","KEEP","DROP")</f>
        <v>KEEP</v>
      </c>
      <c r="AD1323" s="7" t="str">
        <f aca="false">IF(TRIM(F1323)="",IFERROR(INDEX(Map_Tables!$I$4:$I$37,MATCH(TRIM(E1323),Map_Tables!$G$4:$G$37,0)),""),IFERROR(INDEX(Map_Tables!$B$4:$B$18,MATCH(TRIM(F1323),Map_Tables!$A$4:$A$18,0)),"CHECK"))</f>
        <v>Hyderabad</v>
      </c>
      <c r="AE1323" s="7" t="str">
        <f aca="false">IF(TRIM(E1323)="","",IFERROR(INDEX(Map_Tables!$H$4:$H$37,MATCH(TRIM(E1323),Map_Tables!$G$4:$G$37,0)),"CHECK"))</f>
        <v>Sweet Tooth Studio</v>
      </c>
      <c r="AF1323" s="7" t="str">
        <f aca="false">IF(TRIM(K1323)="","Unknown",IFERROR(INDEX(Map_Tables!$E$4:$E$15,MATCH(TRIM(K1323),Map_Tables!$D$4:$D$15,0)),"CHECK"))</f>
        <v>UPI</v>
      </c>
      <c r="AG1323" s="7" t="str">
        <f aca="false">IF(LEFT(LOWER(TRIM(L1323)),6)="cancel","Cancelled","Delivered")</f>
        <v>Delivered</v>
      </c>
      <c r="AH1323" s="10" t="n">
        <f aca="false">IF(ISNUMBER(SEARCH("/",B1323)),DATE(VALUE(RIGHT(B1323,4)),VALUE(MID(B1323,4,2)),VALUE(LEFT(B1323,2))),IF(MID(B1323,5,1)="-",DATE(VALUE(LEFT(B1323,4)),VALUE(MID(B1323,6,2)),VALUE(RIGHT(B1323,2))),DATE(VALUE(RIGHT(B1323,4)),MATCH(MID(B1323,4,3),{"Jan","Feb","Mar","Apr","May","Jun","Jul","Aug","Sep","Oct","Nov","Dec"},0),VALUE(LEFT(B1323,2)))))</f>
        <v>45768</v>
      </c>
    </row>
    <row r="1324" customFormat="false" ht="15" hidden="false" customHeight="false" outlineLevel="0" collapsed="false">
      <c r="A1324" s="7" t="s">
        <v>3629</v>
      </c>
      <c r="B1324" s="7" t="s">
        <v>1354</v>
      </c>
      <c r="C1324" s="7" t="s">
        <v>1336</v>
      </c>
      <c r="D1324" s="7" t="s">
        <v>3630</v>
      </c>
      <c r="E1324" s="7" t="s">
        <v>151</v>
      </c>
      <c r="F1324" s="7" t="s">
        <v>128</v>
      </c>
      <c r="G1324" s="7" t="s">
        <v>95</v>
      </c>
      <c r="H1324" s="7" t="n">
        <v>1</v>
      </c>
      <c r="I1324" s="7" t="n">
        <v>155</v>
      </c>
      <c r="J1324" s="7" t="n">
        <v>0</v>
      </c>
      <c r="K1324" s="7" t="s">
        <v>112</v>
      </c>
      <c r="L1324" s="7" t="s">
        <v>194</v>
      </c>
      <c r="M1324" s="7" t="n">
        <v>32</v>
      </c>
      <c r="N1324" s="7"/>
      <c r="O1324" s="7" t="str">
        <f aca="false">A1324&amp;"|"&amp;B1324&amp;"|"&amp;C1324&amp;"|"&amp;D1324&amp;"|"&amp;E1324&amp;"|"&amp;F1324&amp;"|"&amp;G1324&amp;"|"&amp;H1324&amp;"|"&amp;I1324&amp;"|"&amp;J1324&amp;"|"&amp;K1324&amp;"|"&amp;L1324&amp;"|"&amp;M1324&amp;"|"&amp;N1324</f>
        <v>ORD10144|2025-01-19|19:17|C1297|Chettinad House|Chennai|South Indian|1|155|0|Cash on Delivery|Delivered|32|</v>
      </c>
      <c r="P1324" s="7" t="str">
        <f aca="false">IF(COUNTIF($O$2:O1324,O1324)&gt;1,"DUP","OK")</f>
        <v>OK</v>
      </c>
      <c r="Q1324" s="7" t="n">
        <f aca="false">COUNTBLANK(A1324:N1324)</f>
        <v>1</v>
      </c>
      <c r="R1324" s="7" t="n">
        <f aca="false">IF(A1324="",0,COUNTIFS($A$2:$A$3058,A1324,$P$2:$P$3058,"OK"))</f>
        <v>1</v>
      </c>
      <c r="S1324" s="7" t="str">
        <f aca="false">IF(OR(A1324="",P1324="DUP",R1324&lt;2),"",IF(Q1324=_xlfn.MINIFS($Q$2:$Q$3058,$A$2:$A$3058,A1324,$P$2:$P$3058,"OK"),"KEEP","DROP"))</f>
        <v/>
      </c>
      <c r="T1324" s="9" t="n">
        <f aca="false">IF(A1324="",1,0)</f>
        <v>0</v>
      </c>
      <c r="U1324" s="9" t="n">
        <f aca="false">IF(D1324="",1,0)</f>
        <v>0</v>
      </c>
      <c r="V1324" s="9" t="n">
        <f aca="false">IF(E1324="",1,0)</f>
        <v>0</v>
      </c>
      <c r="W1324" s="9" t="n">
        <f aca="false">IF(OR(H1324&lt;1,H1324&gt;10),1,0)</f>
        <v>0</v>
      </c>
      <c r="X1324" s="9" t="n">
        <f aca="false">IF(OR(I1324&lt;=0,I1324&gt;1500),1,0)</f>
        <v>0</v>
      </c>
      <c r="Y1324" s="9" t="n">
        <f aca="false">IF(J1324&gt;H1324*I1324,1,0)</f>
        <v>0</v>
      </c>
      <c r="Z1324" s="9" t="n">
        <f aca="false">IF(AND(N1324&lt;&gt;"",OR(N1324&lt;1,N1324&gt;5)),1,0)</f>
        <v>0</v>
      </c>
      <c r="AA1324" s="9" t="n">
        <f aca="false">IF(AND(M1324&lt;&gt;"",OR(M1324&lt;5,M1324&gt;180)),1,0)</f>
        <v>0</v>
      </c>
      <c r="AB1324" s="7" t="str">
        <f aca="false">IF(P1324="DUP","Exact duplicate row",IF(T1324=1,"Missing Order ID",IF(S1324="DROP","Duplicate Order ID (less complete row)",IF(U1324=1,"Missing Customer ID",IF(V1324=1,"Missing Restaurant name",IF(W1324=1,"Invalid/outlier quantity",IF(X1324=1,"Invalid/outlier unit price",IF(Y1324=1,"Discount greater than order value",""))))))))</f>
        <v/>
      </c>
      <c r="AC1324" s="7" t="str">
        <f aca="false">IF(AB1324="","KEEP","DROP")</f>
        <v>KEEP</v>
      </c>
      <c r="AD1324" s="7" t="str">
        <f aca="false">IF(TRIM(F1324)="",IFERROR(INDEX(Map_Tables!$I$4:$I$37,MATCH(TRIM(E1324),Map_Tables!$G$4:$G$37,0)),""),IFERROR(INDEX(Map_Tables!$B$4:$B$18,MATCH(TRIM(F1324),Map_Tables!$A$4:$A$18,0)),"CHECK"))</f>
        <v>Chennai</v>
      </c>
      <c r="AE1324" s="7" t="str">
        <f aca="false">IF(TRIM(E1324)="","",IFERROR(INDEX(Map_Tables!$H$4:$H$37,MATCH(TRIM(E1324),Map_Tables!$G$4:$G$37,0)),"CHECK"))</f>
        <v>Chettinad House</v>
      </c>
      <c r="AF1324" s="7" t="str">
        <f aca="false">IF(TRIM(K1324)="","Unknown",IFERROR(INDEX(Map_Tables!$E$4:$E$15,MATCH(TRIM(K1324),Map_Tables!$D$4:$D$15,0)),"CHECK"))</f>
        <v>Cash on Delivery</v>
      </c>
      <c r="AG1324" s="7" t="str">
        <f aca="false">IF(LEFT(LOWER(TRIM(L1324)),6)="cancel","Cancelled","Delivered")</f>
        <v>Delivered</v>
      </c>
      <c r="AH1324" s="10" t="n">
        <f aca="false">IF(ISNUMBER(SEARCH("/",B1324)),DATE(VALUE(RIGHT(B1324,4)),VALUE(MID(B1324,4,2)),VALUE(LEFT(B1324,2))),IF(MID(B1324,5,1)="-",DATE(VALUE(LEFT(B1324,4)),VALUE(MID(B1324,6,2)),VALUE(RIGHT(B1324,2))),DATE(VALUE(RIGHT(B1324,4)),MATCH(MID(B1324,4,3),{"Jan","Feb","Mar","Apr","May","Jun","Jul","Aug","Sep","Oct","Nov","Dec"},0),VALUE(LEFT(B1324,2)))))</f>
        <v>45676</v>
      </c>
    </row>
    <row r="1325" customFormat="false" ht="15" hidden="false" customHeight="false" outlineLevel="0" collapsed="false">
      <c r="A1325" s="7" t="s">
        <v>3631</v>
      </c>
      <c r="B1325" s="7" t="s">
        <v>1894</v>
      </c>
      <c r="C1325" s="7" t="s">
        <v>3632</v>
      </c>
      <c r="D1325" s="7" t="s">
        <v>1305</v>
      </c>
      <c r="E1325" s="7" t="s">
        <v>168</v>
      </c>
      <c r="F1325" s="7" t="s">
        <v>146</v>
      </c>
      <c r="G1325" s="7" t="s">
        <v>123</v>
      </c>
      <c r="H1325" s="7" t="n">
        <v>5</v>
      </c>
      <c r="I1325" s="7" t="n">
        <v>285</v>
      </c>
      <c r="J1325" s="7" t="n">
        <v>0</v>
      </c>
      <c r="K1325" s="7" t="s">
        <v>88</v>
      </c>
      <c r="L1325" s="7" t="s">
        <v>194</v>
      </c>
      <c r="M1325" s="7" t="n">
        <v>36</v>
      </c>
      <c r="N1325" s="7" t="n">
        <v>4</v>
      </c>
      <c r="O1325" s="7" t="str">
        <f aca="false">A1325&amp;"|"&amp;B1325&amp;"|"&amp;C1325&amp;"|"&amp;D1325&amp;"|"&amp;E1325&amp;"|"&amp;F1325&amp;"|"&amp;G1325&amp;"|"&amp;H1325&amp;"|"&amp;I1325&amp;"|"&amp;J1325&amp;"|"&amp;K1325&amp;"|"&amp;L1325&amp;"|"&amp;M1325&amp;"|"&amp;N1325</f>
        <v>ORD10250|2025-02-02|13:12|C1345|Cheesy Slice|Ahmedabad|Pizza|5|285|0|UPI|Delivered|36|4</v>
      </c>
      <c r="P1325" s="7" t="str">
        <f aca="false">IF(COUNTIF($O$2:O1325,O1325)&gt;1,"DUP","OK")</f>
        <v>OK</v>
      </c>
      <c r="Q1325" s="7" t="n">
        <f aca="false">COUNTBLANK(A1325:N1325)</f>
        <v>0</v>
      </c>
      <c r="R1325" s="7" t="n">
        <f aca="false">IF(A1325="",0,COUNTIFS($A$2:$A$3058,A1325,$P$2:$P$3058,"OK"))</f>
        <v>1</v>
      </c>
      <c r="S1325" s="7" t="str">
        <f aca="false">IF(OR(A1325="",P1325="DUP",R1325&lt;2),"",IF(Q1325=_xlfn.MINIFS($Q$2:$Q$3058,$A$2:$A$3058,A1325,$P$2:$P$3058,"OK"),"KEEP","DROP"))</f>
        <v/>
      </c>
      <c r="T1325" s="9" t="n">
        <f aca="false">IF(A1325="",1,0)</f>
        <v>0</v>
      </c>
      <c r="U1325" s="9" t="n">
        <f aca="false">IF(D1325="",1,0)</f>
        <v>0</v>
      </c>
      <c r="V1325" s="9" t="n">
        <f aca="false">IF(E1325="",1,0)</f>
        <v>0</v>
      </c>
      <c r="W1325" s="9" t="n">
        <f aca="false">IF(OR(H1325&lt;1,H1325&gt;10),1,0)</f>
        <v>0</v>
      </c>
      <c r="X1325" s="9" t="n">
        <f aca="false">IF(OR(I1325&lt;=0,I1325&gt;1500),1,0)</f>
        <v>0</v>
      </c>
      <c r="Y1325" s="9" t="n">
        <f aca="false">IF(J1325&gt;H1325*I1325,1,0)</f>
        <v>0</v>
      </c>
      <c r="Z1325" s="9" t="n">
        <f aca="false">IF(AND(N1325&lt;&gt;"",OR(N1325&lt;1,N1325&gt;5)),1,0)</f>
        <v>0</v>
      </c>
      <c r="AA1325" s="9" t="n">
        <f aca="false">IF(AND(M1325&lt;&gt;"",OR(M1325&lt;5,M1325&gt;180)),1,0)</f>
        <v>0</v>
      </c>
      <c r="AB1325" s="7" t="str">
        <f aca="false">IF(P1325="DUP","Exact duplicate row",IF(T1325=1,"Missing Order ID",IF(S1325="DROP","Duplicate Order ID (less complete row)",IF(U1325=1,"Missing Customer ID",IF(V1325=1,"Missing Restaurant name",IF(W1325=1,"Invalid/outlier quantity",IF(X1325=1,"Invalid/outlier unit price",IF(Y1325=1,"Discount greater than order value",""))))))))</f>
        <v/>
      </c>
      <c r="AC1325" s="7" t="str">
        <f aca="false">IF(AB1325="","KEEP","DROP")</f>
        <v>KEEP</v>
      </c>
      <c r="AD1325" s="7" t="str">
        <f aca="false">IF(TRIM(F1325)="",IFERROR(INDEX(Map_Tables!$I$4:$I$37,MATCH(TRIM(E1325),Map_Tables!$G$4:$G$37,0)),""),IFERROR(INDEX(Map_Tables!$B$4:$B$18,MATCH(TRIM(F1325),Map_Tables!$A$4:$A$18,0)),"CHECK"))</f>
        <v>Ahmedabad</v>
      </c>
      <c r="AE1325" s="7" t="str">
        <f aca="false">IF(TRIM(E1325)="","",IFERROR(INDEX(Map_Tables!$H$4:$H$37,MATCH(TRIM(E1325),Map_Tables!$G$4:$G$37,0)),"CHECK"))</f>
        <v>Cheesy Slice</v>
      </c>
      <c r="AF1325" s="7" t="str">
        <f aca="false">IF(TRIM(K1325)="","Unknown",IFERROR(INDEX(Map_Tables!$E$4:$E$15,MATCH(TRIM(K1325),Map_Tables!$D$4:$D$15,0)),"CHECK"))</f>
        <v>UPI</v>
      </c>
      <c r="AG1325" s="7" t="str">
        <f aca="false">IF(LEFT(LOWER(TRIM(L1325)),6)="cancel","Cancelled","Delivered")</f>
        <v>Delivered</v>
      </c>
      <c r="AH1325" s="10" t="n">
        <f aca="false">IF(ISNUMBER(SEARCH("/",B1325)),DATE(VALUE(RIGHT(B1325,4)),VALUE(MID(B1325,4,2)),VALUE(LEFT(B1325,2))),IF(MID(B1325,5,1)="-",DATE(VALUE(LEFT(B1325,4)),VALUE(MID(B1325,6,2)),VALUE(RIGHT(B1325,2))),DATE(VALUE(RIGHT(B1325,4)),MATCH(MID(B1325,4,3),{"Jan","Feb","Mar","Apr","May","Jun","Jul","Aug","Sep","Oct","Nov","Dec"},0),VALUE(LEFT(B1325,2)))))</f>
        <v>45690</v>
      </c>
    </row>
    <row r="1326" customFormat="false" ht="15" hidden="false" customHeight="false" outlineLevel="0" collapsed="false">
      <c r="A1326" s="7" t="s">
        <v>1922</v>
      </c>
      <c r="B1326" s="7" t="s">
        <v>1923</v>
      </c>
      <c r="C1326" s="7" t="s">
        <v>1101</v>
      </c>
      <c r="D1326" s="7" t="s">
        <v>1924</v>
      </c>
      <c r="E1326" s="7" t="s">
        <v>134</v>
      </c>
      <c r="F1326" s="7" t="s">
        <v>110</v>
      </c>
      <c r="G1326" s="7" t="s">
        <v>117</v>
      </c>
      <c r="H1326" s="7" t="n">
        <v>1</v>
      </c>
      <c r="I1326" s="7" t="n">
        <v>100</v>
      </c>
      <c r="J1326" s="7" t="n">
        <v>40</v>
      </c>
      <c r="K1326" s="7" t="s">
        <v>133</v>
      </c>
      <c r="L1326" s="7" t="s">
        <v>238</v>
      </c>
      <c r="M1326" s="7"/>
      <c r="N1326" s="7"/>
      <c r="O1326" s="7" t="str">
        <f aca="false">A1326&amp;"|"&amp;B1326&amp;"|"&amp;C1326&amp;"|"&amp;D1326&amp;"|"&amp;E1326&amp;"|"&amp;F1326&amp;"|"&amp;G1326&amp;"|"&amp;H1326&amp;"|"&amp;I1326&amp;"|"&amp;J1326&amp;"|"&amp;K1326&amp;"|"&amp;L1326&amp;"|"&amp;M1326&amp;"|"&amp;N1326</f>
        <v>ORD10302|2025-02-10|19:59|C1328|Chaat Corner|Delhi|Street Food|1|100|40|Net Banking|Cancelled||</v>
      </c>
      <c r="P1326" s="7" t="str">
        <f aca="false">IF(COUNTIF($O$2:O1326,O1326)&gt;1,"DUP","OK")</f>
        <v>DUP</v>
      </c>
      <c r="Q1326" s="7" t="n">
        <f aca="false">COUNTBLANK(A1326:N1326)</f>
        <v>2</v>
      </c>
      <c r="R1326" s="7" t="n">
        <f aca="false">IF(A1326="",0,COUNTIFS($A$2:$A$3058,A1326,$P$2:$P$3058,"OK"))</f>
        <v>1</v>
      </c>
      <c r="S1326" s="7" t="str">
        <f aca="false">IF(OR(A1326="",P1326="DUP",R1326&lt;2),"",IF(Q1326=_xlfn.MINIFS($Q$2:$Q$3058,$A$2:$A$3058,A1326,$P$2:$P$3058,"OK"),"KEEP","DROP"))</f>
        <v/>
      </c>
      <c r="T1326" s="9" t="n">
        <f aca="false">IF(A1326="",1,0)</f>
        <v>0</v>
      </c>
      <c r="U1326" s="9" t="n">
        <f aca="false">IF(D1326="",1,0)</f>
        <v>0</v>
      </c>
      <c r="V1326" s="9" t="n">
        <f aca="false">IF(E1326="",1,0)</f>
        <v>0</v>
      </c>
      <c r="W1326" s="9" t="n">
        <f aca="false">IF(OR(H1326&lt;1,H1326&gt;10),1,0)</f>
        <v>0</v>
      </c>
      <c r="X1326" s="9" t="n">
        <f aca="false">IF(OR(I1326&lt;=0,I1326&gt;1500),1,0)</f>
        <v>0</v>
      </c>
      <c r="Y1326" s="9" t="n">
        <f aca="false">IF(J1326&gt;H1326*I1326,1,0)</f>
        <v>0</v>
      </c>
      <c r="Z1326" s="9" t="n">
        <f aca="false">IF(AND(N1326&lt;&gt;"",OR(N1326&lt;1,N1326&gt;5)),1,0)</f>
        <v>0</v>
      </c>
      <c r="AA1326" s="9" t="n">
        <f aca="false">IF(AND(M1326&lt;&gt;"",OR(M1326&lt;5,M1326&gt;180)),1,0)</f>
        <v>0</v>
      </c>
      <c r="AB1326" s="7" t="str">
        <f aca="false">IF(P1326="DUP","Exact duplicate row",IF(T1326=1,"Missing Order ID",IF(S1326="DROP","Duplicate Order ID (less complete row)",IF(U1326=1,"Missing Customer ID",IF(V1326=1,"Missing Restaurant name",IF(W1326=1,"Invalid/outlier quantity",IF(X1326=1,"Invalid/outlier unit price",IF(Y1326=1,"Discount greater than order value",""))))))))</f>
        <v>Exact duplicate row</v>
      </c>
      <c r="AC1326" s="7" t="str">
        <f aca="false">IF(AB1326="","KEEP","DROP")</f>
        <v>DROP</v>
      </c>
      <c r="AD1326" s="7" t="str">
        <f aca="false">IF(TRIM(F1326)="",IFERROR(INDEX(Map_Tables!$I$4:$I$37,MATCH(TRIM(E1326),Map_Tables!$G$4:$G$37,0)),""),IFERROR(INDEX(Map_Tables!$B$4:$B$18,MATCH(TRIM(F1326),Map_Tables!$A$4:$A$18,0)),"CHECK"))</f>
        <v>Delhi</v>
      </c>
      <c r="AE1326" s="7" t="str">
        <f aca="false">IF(TRIM(E1326)="","",IFERROR(INDEX(Map_Tables!$H$4:$H$37,MATCH(TRIM(E1326),Map_Tables!$G$4:$G$37,0)),"CHECK"))</f>
        <v>Chaat Corner</v>
      </c>
      <c r="AF1326" s="7" t="str">
        <f aca="false">IF(TRIM(K1326)="","Unknown",IFERROR(INDEX(Map_Tables!$E$4:$E$15,MATCH(TRIM(K1326),Map_Tables!$D$4:$D$15,0)),"CHECK"))</f>
        <v>Net Banking</v>
      </c>
      <c r="AG1326" s="7" t="str">
        <f aca="false">IF(LEFT(LOWER(TRIM(L1326)),6)="cancel","Cancelled","Delivered")</f>
        <v>Cancelled</v>
      </c>
      <c r="AH1326" s="10" t="n">
        <f aca="false">IF(ISNUMBER(SEARCH("/",B1326)),DATE(VALUE(RIGHT(B1326,4)),VALUE(MID(B1326,4,2)),VALUE(LEFT(B1326,2))),IF(MID(B1326,5,1)="-",DATE(VALUE(LEFT(B1326,4)),VALUE(MID(B1326,6,2)),VALUE(RIGHT(B1326,2))),DATE(VALUE(RIGHT(B1326,4)),MATCH(MID(B1326,4,3),{"Jan","Feb","Mar","Apr","May","Jun","Jul","Aug","Sep","Oct","Nov","Dec"},0),VALUE(LEFT(B1326,2)))))</f>
        <v>45698</v>
      </c>
    </row>
    <row r="1327" customFormat="false" ht="15" hidden="false" customHeight="false" outlineLevel="0" collapsed="false">
      <c r="A1327" s="7" t="s">
        <v>3633</v>
      </c>
      <c r="B1327" s="7" t="s">
        <v>1650</v>
      </c>
      <c r="C1327" s="7" t="s">
        <v>1313</v>
      </c>
      <c r="D1327" s="7" t="s">
        <v>378</v>
      </c>
      <c r="E1327" s="7" t="s">
        <v>155</v>
      </c>
      <c r="F1327" s="7" t="s">
        <v>128</v>
      </c>
      <c r="G1327" s="7" t="s">
        <v>156</v>
      </c>
      <c r="H1327" s="7" t="n">
        <v>1</v>
      </c>
      <c r="I1327" s="7" t="n">
        <v>285</v>
      </c>
      <c r="J1327" s="7" t="n">
        <v>114</v>
      </c>
      <c r="K1327" s="7" t="s">
        <v>88</v>
      </c>
      <c r="L1327" s="7" t="s">
        <v>194</v>
      </c>
      <c r="M1327" s="7" t="n">
        <v>36</v>
      </c>
      <c r="N1327" s="7" t="n">
        <v>5</v>
      </c>
      <c r="O1327" s="7" t="str">
        <f aca="false">A1327&amp;"|"&amp;B1327&amp;"|"&amp;C1327&amp;"|"&amp;D1327&amp;"|"&amp;E1327&amp;"|"&amp;F1327&amp;"|"&amp;G1327&amp;"|"&amp;H1327&amp;"|"&amp;I1327&amp;"|"&amp;J1327&amp;"|"&amp;K1327&amp;"|"&amp;L1327&amp;"|"&amp;M1327&amp;"|"&amp;N1327</f>
        <v>ORD12960|2025-12-27|20:52|C0854|Green Bowl Kitchen|Chennai|Healthy Food|1|285|114|UPI|Delivered|36|5</v>
      </c>
      <c r="P1327" s="7" t="str">
        <f aca="false">IF(COUNTIF($O$2:O1327,O1327)&gt;1,"DUP","OK")</f>
        <v>OK</v>
      </c>
      <c r="Q1327" s="7" t="n">
        <f aca="false">COUNTBLANK(A1327:N1327)</f>
        <v>0</v>
      </c>
      <c r="R1327" s="7" t="n">
        <f aca="false">IF(A1327="",0,COUNTIFS($A$2:$A$3058,A1327,$P$2:$P$3058,"OK"))</f>
        <v>1</v>
      </c>
      <c r="S1327" s="7" t="str">
        <f aca="false">IF(OR(A1327="",P1327="DUP",R1327&lt;2),"",IF(Q1327=_xlfn.MINIFS($Q$2:$Q$3058,$A$2:$A$3058,A1327,$P$2:$P$3058,"OK"),"KEEP","DROP"))</f>
        <v/>
      </c>
      <c r="T1327" s="9" t="n">
        <f aca="false">IF(A1327="",1,0)</f>
        <v>0</v>
      </c>
      <c r="U1327" s="9" t="n">
        <f aca="false">IF(D1327="",1,0)</f>
        <v>0</v>
      </c>
      <c r="V1327" s="9" t="n">
        <f aca="false">IF(E1327="",1,0)</f>
        <v>0</v>
      </c>
      <c r="W1327" s="9" t="n">
        <f aca="false">IF(OR(H1327&lt;1,H1327&gt;10),1,0)</f>
        <v>0</v>
      </c>
      <c r="X1327" s="9" t="n">
        <f aca="false">IF(OR(I1327&lt;=0,I1327&gt;1500),1,0)</f>
        <v>0</v>
      </c>
      <c r="Y1327" s="9" t="n">
        <f aca="false">IF(J1327&gt;H1327*I1327,1,0)</f>
        <v>0</v>
      </c>
      <c r="Z1327" s="9" t="n">
        <f aca="false">IF(AND(N1327&lt;&gt;"",OR(N1327&lt;1,N1327&gt;5)),1,0)</f>
        <v>0</v>
      </c>
      <c r="AA1327" s="9" t="n">
        <f aca="false">IF(AND(M1327&lt;&gt;"",OR(M1327&lt;5,M1327&gt;180)),1,0)</f>
        <v>0</v>
      </c>
      <c r="AB1327" s="7" t="str">
        <f aca="false">IF(P1327="DUP","Exact duplicate row",IF(T1327=1,"Missing Order ID",IF(S1327="DROP","Duplicate Order ID (less complete row)",IF(U1327=1,"Missing Customer ID",IF(V1327=1,"Missing Restaurant name",IF(W1327=1,"Invalid/outlier quantity",IF(X1327=1,"Invalid/outlier unit price",IF(Y1327=1,"Discount greater than order value",""))))))))</f>
        <v/>
      </c>
      <c r="AC1327" s="7" t="str">
        <f aca="false">IF(AB1327="","KEEP","DROP")</f>
        <v>KEEP</v>
      </c>
      <c r="AD1327" s="7" t="str">
        <f aca="false">IF(TRIM(F1327)="",IFERROR(INDEX(Map_Tables!$I$4:$I$37,MATCH(TRIM(E1327),Map_Tables!$G$4:$G$37,0)),""),IFERROR(INDEX(Map_Tables!$B$4:$B$18,MATCH(TRIM(F1327),Map_Tables!$A$4:$A$18,0)),"CHECK"))</f>
        <v>Chennai</v>
      </c>
      <c r="AE1327" s="7" t="str">
        <f aca="false">IF(TRIM(E1327)="","",IFERROR(INDEX(Map_Tables!$H$4:$H$37,MATCH(TRIM(E1327),Map_Tables!$G$4:$G$37,0)),"CHECK"))</f>
        <v>Green Bowl Kitchen</v>
      </c>
      <c r="AF1327" s="7" t="str">
        <f aca="false">IF(TRIM(K1327)="","Unknown",IFERROR(INDEX(Map_Tables!$E$4:$E$15,MATCH(TRIM(K1327),Map_Tables!$D$4:$D$15,0)),"CHECK"))</f>
        <v>UPI</v>
      </c>
      <c r="AG1327" s="7" t="str">
        <f aca="false">IF(LEFT(LOWER(TRIM(L1327)),6)="cancel","Cancelled","Delivered")</f>
        <v>Delivered</v>
      </c>
      <c r="AH1327" s="10" t="n">
        <f aca="false">IF(ISNUMBER(SEARCH("/",B1327)),DATE(VALUE(RIGHT(B1327,4)),VALUE(MID(B1327,4,2)),VALUE(LEFT(B1327,2))),IF(MID(B1327,5,1)="-",DATE(VALUE(LEFT(B1327,4)),VALUE(MID(B1327,6,2)),VALUE(RIGHT(B1327,2))),DATE(VALUE(RIGHT(B1327,4)),MATCH(MID(B1327,4,3),{"Jan","Feb","Mar","Apr","May","Jun","Jul","Aug","Sep","Oct","Nov","Dec"},0),VALUE(LEFT(B1327,2)))))</f>
        <v>46018</v>
      </c>
    </row>
    <row r="1328" customFormat="false" ht="15" hidden="false" customHeight="false" outlineLevel="0" collapsed="false">
      <c r="A1328" s="7" t="s">
        <v>3634</v>
      </c>
      <c r="B1328" s="7" t="s">
        <v>1489</v>
      </c>
      <c r="C1328" s="7" t="s">
        <v>2439</v>
      </c>
      <c r="D1328" s="7" t="s">
        <v>3635</v>
      </c>
      <c r="E1328" s="7" t="s">
        <v>142</v>
      </c>
      <c r="F1328" s="7" t="s">
        <v>110</v>
      </c>
      <c r="G1328" s="7" t="s">
        <v>105</v>
      </c>
      <c r="H1328" s="7" t="n">
        <v>3</v>
      </c>
      <c r="I1328" s="7" t="n">
        <v>140</v>
      </c>
      <c r="J1328" s="7" t="n">
        <v>0</v>
      </c>
      <c r="K1328" s="7" t="s">
        <v>103</v>
      </c>
      <c r="L1328" s="7" t="s">
        <v>194</v>
      </c>
      <c r="M1328" s="7" t="n">
        <v>47</v>
      </c>
      <c r="N1328" s="7" t="n">
        <v>5</v>
      </c>
      <c r="O1328" s="7" t="str">
        <f aca="false">A1328&amp;"|"&amp;B1328&amp;"|"&amp;C1328&amp;"|"&amp;D1328&amp;"|"&amp;E1328&amp;"|"&amp;F1328&amp;"|"&amp;G1328&amp;"|"&amp;H1328&amp;"|"&amp;I1328&amp;"|"&amp;J1328&amp;"|"&amp;K1328&amp;"|"&amp;L1328&amp;"|"&amp;M1328&amp;"|"&amp;N1328</f>
        <v>ORD12007|2025-09-17|19:39|C0734|Momo Magic|Delhi|Chinese|3|140|0|Debit Card|Delivered|47|5</v>
      </c>
      <c r="P1328" s="7" t="str">
        <f aca="false">IF(COUNTIF($O$2:O1328,O1328)&gt;1,"DUP","OK")</f>
        <v>OK</v>
      </c>
      <c r="Q1328" s="7" t="n">
        <f aca="false">COUNTBLANK(A1328:N1328)</f>
        <v>0</v>
      </c>
      <c r="R1328" s="7" t="n">
        <f aca="false">IF(A1328="",0,COUNTIFS($A$2:$A$3058,A1328,$P$2:$P$3058,"OK"))</f>
        <v>1</v>
      </c>
      <c r="S1328" s="7" t="str">
        <f aca="false">IF(OR(A1328="",P1328="DUP",R1328&lt;2),"",IF(Q1328=_xlfn.MINIFS($Q$2:$Q$3058,$A$2:$A$3058,A1328,$P$2:$P$3058,"OK"),"KEEP","DROP"))</f>
        <v/>
      </c>
      <c r="T1328" s="9" t="n">
        <f aca="false">IF(A1328="",1,0)</f>
        <v>0</v>
      </c>
      <c r="U1328" s="9" t="n">
        <f aca="false">IF(D1328="",1,0)</f>
        <v>0</v>
      </c>
      <c r="V1328" s="9" t="n">
        <f aca="false">IF(E1328="",1,0)</f>
        <v>0</v>
      </c>
      <c r="W1328" s="9" t="n">
        <f aca="false">IF(OR(H1328&lt;1,H1328&gt;10),1,0)</f>
        <v>0</v>
      </c>
      <c r="X1328" s="9" t="n">
        <f aca="false">IF(OR(I1328&lt;=0,I1328&gt;1500),1,0)</f>
        <v>0</v>
      </c>
      <c r="Y1328" s="9" t="n">
        <f aca="false">IF(J1328&gt;H1328*I1328,1,0)</f>
        <v>0</v>
      </c>
      <c r="Z1328" s="9" t="n">
        <f aca="false">IF(AND(N1328&lt;&gt;"",OR(N1328&lt;1,N1328&gt;5)),1,0)</f>
        <v>0</v>
      </c>
      <c r="AA1328" s="9" t="n">
        <f aca="false">IF(AND(M1328&lt;&gt;"",OR(M1328&lt;5,M1328&gt;180)),1,0)</f>
        <v>0</v>
      </c>
      <c r="AB1328" s="7" t="str">
        <f aca="false">IF(P1328="DUP","Exact duplicate row",IF(T1328=1,"Missing Order ID",IF(S1328="DROP","Duplicate Order ID (less complete row)",IF(U1328=1,"Missing Customer ID",IF(V1328=1,"Missing Restaurant name",IF(W1328=1,"Invalid/outlier quantity",IF(X1328=1,"Invalid/outlier unit price",IF(Y1328=1,"Discount greater than order value",""))))))))</f>
        <v/>
      </c>
      <c r="AC1328" s="7" t="str">
        <f aca="false">IF(AB1328="","KEEP","DROP")</f>
        <v>KEEP</v>
      </c>
      <c r="AD1328" s="7" t="str">
        <f aca="false">IF(TRIM(F1328)="",IFERROR(INDEX(Map_Tables!$I$4:$I$37,MATCH(TRIM(E1328),Map_Tables!$G$4:$G$37,0)),""),IFERROR(INDEX(Map_Tables!$B$4:$B$18,MATCH(TRIM(F1328),Map_Tables!$A$4:$A$18,0)),"CHECK"))</f>
        <v>Delhi</v>
      </c>
      <c r="AE1328" s="7" t="str">
        <f aca="false">IF(TRIM(E1328)="","",IFERROR(INDEX(Map_Tables!$H$4:$H$37,MATCH(TRIM(E1328),Map_Tables!$G$4:$G$37,0)),"CHECK"))</f>
        <v>Momo Magic</v>
      </c>
      <c r="AF1328" s="7" t="str">
        <f aca="false">IF(TRIM(K1328)="","Unknown",IFERROR(INDEX(Map_Tables!$E$4:$E$15,MATCH(TRIM(K1328),Map_Tables!$D$4:$D$15,0)),"CHECK"))</f>
        <v>Debit Card</v>
      </c>
      <c r="AG1328" s="7" t="str">
        <f aca="false">IF(LEFT(LOWER(TRIM(L1328)),6)="cancel","Cancelled","Delivered")</f>
        <v>Delivered</v>
      </c>
      <c r="AH1328" s="10" t="n">
        <f aca="false">IF(ISNUMBER(SEARCH("/",B1328)),DATE(VALUE(RIGHT(B1328,4)),VALUE(MID(B1328,4,2)),VALUE(LEFT(B1328,2))),IF(MID(B1328,5,1)="-",DATE(VALUE(LEFT(B1328,4)),VALUE(MID(B1328,6,2)),VALUE(RIGHT(B1328,2))),DATE(VALUE(RIGHT(B1328,4)),MATCH(MID(B1328,4,3),{"Jan","Feb","Mar","Apr","May","Jun","Jul","Aug","Sep","Oct","Nov","Dec"},0),VALUE(LEFT(B1328,2)))))</f>
        <v>45917</v>
      </c>
    </row>
    <row r="1329" customFormat="false" ht="15" hidden="false" customHeight="false" outlineLevel="0" collapsed="false">
      <c r="A1329" s="7" t="s">
        <v>3636</v>
      </c>
      <c r="B1329" s="7" t="s">
        <v>3637</v>
      </c>
      <c r="C1329" s="7" t="s">
        <v>3638</v>
      </c>
      <c r="D1329" s="7" t="s">
        <v>3396</v>
      </c>
      <c r="E1329" s="7" t="s">
        <v>164</v>
      </c>
      <c r="F1329" s="7" t="s">
        <v>141</v>
      </c>
      <c r="G1329" s="7" t="s">
        <v>150</v>
      </c>
      <c r="H1329" s="7" t="n">
        <v>2</v>
      </c>
      <c r="I1329" s="7" t="n">
        <v>160</v>
      </c>
      <c r="J1329" s="7" t="n">
        <v>0</v>
      </c>
      <c r="K1329" s="7" t="s">
        <v>88</v>
      </c>
      <c r="L1329" s="7" t="s">
        <v>194</v>
      </c>
      <c r="M1329" s="7" t="n">
        <v>31</v>
      </c>
      <c r="N1329" s="7"/>
      <c r="O1329" s="7" t="str">
        <f aca="false">A1329&amp;"|"&amp;B1329&amp;"|"&amp;C1329&amp;"|"&amp;D1329&amp;"|"&amp;E1329&amp;"|"&amp;F1329&amp;"|"&amp;G1329&amp;"|"&amp;H1329&amp;"|"&amp;I1329&amp;"|"&amp;J1329&amp;"|"&amp;K1329&amp;"|"&amp;L1329&amp;"|"&amp;M1329&amp;"|"&amp;N1329</f>
        <v>ORD12883|2025-12-19|14:38|C0942|Mishti Mandir|Kolkata|Desserts|2|160|0|UPI|Delivered|31|</v>
      </c>
      <c r="P1329" s="7" t="str">
        <f aca="false">IF(COUNTIF($O$2:O1329,O1329)&gt;1,"DUP","OK")</f>
        <v>OK</v>
      </c>
      <c r="Q1329" s="7" t="n">
        <f aca="false">COUNTBLANK(A1329:N1329)</f>
        <v>1</v>
      </c>
      <c r="R1329" s="7" t="n">
        <f aca="false">IF(A1329="",0,COUNTIFS($A$2:$A$3058,A1329,$P$2:$P$3058,"OK"))</f>
        <v>1</v>
      </c>
      <c r="S1329" s="7" t="str">
        <f aca="false">IF(OR(A1329="",P1329="DUP",R1329&lt;2),"",IF(Q1329=_xlfn.MINIFS($Q$2:$Q$3058,$A$2:$A$3058,A1329,$P$2:$P$3058,"OK"),"KEEP","DROP"))</f>
        <v/>
      </c>
      <c r="T1329" s="9" t="n">
        <f aca="false">IF(A1329="",1,0)</f>
        <v>0</v>
      </c>
      <c r="U1329" s="9" t="n">
        <f aca="false">IF(D1329="",1,0)</f>
        <v>0</v>
      </c>
      <c r="V1329" s="9" t="n">
        <f aca="false">IF(E1329="",1,0)</f>
        <v>0</v>
      </c>
      <c r="W1329" s="9" t="n">
        <f aca="false">IF(OR(H1329&lt;1,H1329&gt;10),1,0)</f>
        <v>0</v>
      </c>
      <c r="X1329" s="9" t="n">
        <f aca="false">IF(OR(I1329&lt;=0,I1329&gt;1500),1,0)</f>
        <v>0</v>
      </c>
      <c r="Y1329" s="9" t="n">
        <f aca="false">IF(J1329&gt;H1329*I1329,1,0)</f>
        <v>0</v>
      </c>
      <c r="Z1329" s="9" t="n">
        <f aca="false">IF(AND(N1329&lt;&gt;"",OR(N1329&lt;1,N1329&gt;5)),1,0)</f>
        <v>0</v>
      </c>
      <c r="AA1329" s="9" t="n">
        <f aca="false">IF(AND(M1329&lt;&gt;"",OR(M1329&lt;5,M1329&gt;180)),1,0)</f>
        <v>0</v>
      </c>
      <c r="AB1329" s="7" t="str">
        <f aca="false">IF(P1329="DUP","Exact duplicate row",IF(T1329=1,"Missing Order ID",IF(S1329="DROP","Duplicate Order ID (less complete row)",IF(U1329=1,"Missing Customer ID",IF(V1329=1,"Missing Restaurant name",IF(W1329=1,"Invalid/outlier quantity",IF(X1329=1,"Invalid/outlier unit price",IF(Y1329=1,"Discount greater than order value",""))))))))</f>
        <v/>
      </c>
      <c r="AC1329" s="7" t="str">
        <f aca="false">IF(AB1329="","KEEP","DROP")</f>
        <v>KEEP</v>
      </c>
      <c r="AD1329" s="7" t="str">
        <f aca="false">IF(TRIM(F1329)="",IFERROR(INDEX(Map_Tables!$I$4:$I$37,MATCH(TRIM(E1329),Map_Tables!$G$4:$G$37,0)),""),IFERROR(INDEX(Map_Tables!$B$4:$B$18,MATCH(TRIM(F1329),Map_Tables!$A$4:$A$18,0)),"CHECK"))</f>
        <v>Kolkata</v>
      </c>
      <c r="AE1329" s="7" t="str">
        <f aca="false">IF(TRIM(E1329)="","",IFERROR(INDEX(Map_Tables!$H$4:$H$37,MATCH(TRIM(E1329),Map_Tables!$G$4:$G$37,0)),"CHECK"))</f>
        <v>Mishti Mandir</v>
      </c>
      <c r="AF1329" s="7" t="str">
        <f aca="false">IF(TRIM(K1329)="","Unknown",IFERROR(INDEX(Map_Tables!$E$4:$E$15,MATCH(TRIM(K1329),Map_Tables!$D$4:$D$15,0)),"CHECK"))</f>
        <v>UPI</v>
      </c>
      <c r="AG1329" s="7" t="str">
        <f aca="false">IF(LEFT(LOWER(TRIM(L1329)),6)="cancel","Cancelled","Delivered")</f>
        <v>Delivered</v>
      </c>
      <c r="AH1329" s="10" t="n">
        <f aca="false">IF(ISNUMBER(SEARCH("/",B1329)),DATE(VALUE(RIGHT(B1329,4)),VALUE(MID(B1329,4,2)),VALUE(LEFT(B1329,2))),IF(MID(B1329,5,1)="-",DATE(VALUE(LEFT(B1329,4)),VALUE(MID(B1329,6,2)),VALUE(RIGHT(B1329,2))),DATE(VALUE(RIGHT(B1329,4)),MATCH(MID(B1329,4,3),{"Jan","Feb","Mar","Apr","May","Jun","Jul","Aug","Sep","Oct","Nov","Dec"},0),VALUE(LEFT(B1329,2)))))</f>
        <v>46010</v>
      </c>
    </row>
    <row r="1330" customFormat="false" ht="15" hidden="false" customHeight="false" outlineLevel="0" collapsed="false">
      <c r="A1330" s="7" t="s">
        <v>3639</v>
      </c>
      <c r="B1330" s="7" t="s">
        <v>1171</v>
      </c>
      <c r="C1330" s="7" t="s">
        <v>2155</v>
      </c>
      <c r="D1330" s="7" t="s">
        <v>922</v>
      </c>
      <c r="E1330" s="7" t="s">
        <v>2620</v>
      </c>
      <c r="F1330" s="7" t="s">
        <v>110</v>
      </c>
      <c r="G1330" s="7" t="s">
        <v>105</v>
      </c>
      <c r="H1330" s="7" t="n">
        <v>2</v>
      </c>
      <c r="I1330" s="7" t="n">
        <v>170</v>
      </c>
      <c r="J1330" s="7" t="n">
        <v>20</v>
      </c>
      <c r="K1330" s="7" t="s">
        <v>88</v>
      </c>
      <c r="L1330" s="7" t="s">
        <v>194</v>
      </c>
      <c r="M1330" s="7" t="n">
        <v>41</v>
      </c>
      <c r="N1330" s="7" t="n">
        <v>4</v>
      </c>
      <c r="O1330" s="7" t="str">
        <f aca="false">A1330&amp;"|"&amp;B1330&amp;"|"&amp;C1330&amp;"|"&amp;D1330&amp;"|"&amp;E1330&amp;"|"&amp;F1330&amp;"|"&amp;G1330&amp;"|"&amp;H1330&amp;"|"&amp;I1330&amp;"|"&amp;J1330&amp;"|"&amp;K1330&amp;"|"&amp;L1330&amp;"|"&amp;M1330&amp;"|"&amp;N1330</f>
        <v>ORD12171|2025-10-04|12:10|C0562|momo magic|Delhi|Chinese|2|170|20|UPI|Delivered|41|4</v>
      </c>
      <c r="P1330" s="7" t="str">
        <f aca="false">IF(COUNTIF($O$2:O1330,O1330)&gt;1,"DUP","OK")</f>
        <v>OK</v>
      </c>
      <c r="Q1330" s="7" t="n">
        <f aca="false">COUNTBLANK(A1330:N1330)</f>
        <v>0</v>
      </c>
      <c r="R1330" s="7" t="n">
        <f aca="false">IF(A1330="",0,COUNTIFS($A$2:$A$3058,A1330,$P$2:$P$3058,"OK"))</f>
        <v>1</v>
      </c>
      <c r="S1330" s="7" t="str">
        <f aca="false">IF(OR(A1330="",P1330="DUP",R1330&lt;2),"",IF(Q1330=_xlfn.MINIFS($Q$2:$Q$3058,$A$2:$A$3058,A1330,$P$2:$P$3058,"OK"),"KEEP","DROP"))</f>
        <v/>
      </c>
      <c r="T1330" s="9" t="n">
        <f aca="false">IF(A1330="",1,0)</f>
        <v>0</v>
      </c>
      <c r="U1330" s="9" t="n">
        <f aca="false">IF(D1330="",1,0)</f>
        <v>0</v>
      </c>
      <c r="V1330" s="9" t="n">
        <f aca="false">IF(E1330="",1,0)</f>
        <v>0</v>
      </c>
      <c r="W1330" s="9" t="n">
        <f aca="false">IF(OR(H1330&lt;1,H1330&gt;10),1,0)</f>
        <v>0</v>
      </c>
      <c r="X1330" s="9" t="n">
        <f aca="false">IF(OR(I1330&lt;=0,I1330&gt;1500),1,0)</f>
        <v>0</v>
      </c>
      <c r="Y1330" s="9" t="n">
        <f aca="false">IF(J1330&gt;H1330*I1330,1,0)</f>
        <v>0</v>
      </c>
      <c r="Z1330" s="9" t="n">
        <f aca="false">IF(AND(N1330&lt;&gt;"",OR(N1330&lt;1,N1330&gt;5)),1,0)</f>
        <v>0</v>
      </c>
      <c r="AA1330" s="9" t="n">
        <f aca="false">IF(AND(M1330&lt;&gt;"",OR(M1330&lt;5,M1330&gt;180)),1,0)</f>
        <v>0</v>
      </c>
      <c r="AB1330" s="7" t="str">
        <f aca="false">IF(P1330="DUP","Exact duplicate row",IF(T1330=1,"Missing Order ID",IF(S1330="DROP","Duplicate Order ID (less complete row)",IF(U1330=1,"Missing Customer ID",IF(V1330=1,"Missing Restaurant name",IF(W1330=1,"Invalid/outlier quantity",IF(X1330=1,"Invalid/outlier unit price",IF(Y1330=1,"Discount greater than order value",""))))))))</f>
        <v/>
      </c>
      <c r="AC1330" s="7" t="str">
        <f aca="false">IF(AB1330="","KEEP","DROP")</f>
        <v>KEEP</v>
      </c>
      <c r="AD1330" s="7" t="str">
        <f aca="false">IF(TRIM(F1330)="",IFERROR(INDEX(Map_Tables!$I$4:$I$37,MATCH(TRIM(E1330),Map_Tables!$G$4:$G$37,0)),""),IFERROR(INDEX(Map_Tables!$B$4:$B$18,MATCH(TRIM(F1330),Map_Tables!$A$4:$A$18,0)),"CHECK"))</f>
        <v>Delhi</v>
      </c>
      <c r="AE1330" s="7" t="str">
        <f aca="false">IF(TRIM(E1330)="","",IFERROR(INDEX(Map_Tables!$H$4:$H$37,MATCH(TRIM(E1330),Map_Tables!$G$4:$G$37,0)),"CHECK"))</f>
        <v>Momo Magic</v>
      </c>
      <c r="AF1330" s="7" t="str">
        <f aca="false">IF(TRIM(K1330)="","Unknown",IFERROR(INDEX(Map_Tables!$E$4:$E$15,MATCH(TRIM(K1330),Map_Tables!$D$4:$D$15,0)),"CHECK"))</f>
        <v>UPI</v>
      </c>
      <c r="AG1330" s="7" t="str">
        <f aca="false">IF(LEFT(LOWER(TRIM(L1330)),6)="cancel","Cancelled","Delivered")</f>
        <v>Delivered</v>
      </c>
      <c r="AH1330" s="10" t="n">
        <f aca="false">IF(ISNUMBER(SEARCH("/",B1330)),DATE(VALUE(RIGHT(B1330,4)),VALUE(MID(B1330,4,2)),VALUE(LEFT(B1330,2))),IF(MID(B1330,5,1)="-",DATE(VALUE(LEFT(B1330,4)),VALUE(MID(B1330,6,2)),VALUE(RIGHT(B1330,2))),DATE(VALUE(RIGHT(B1330,4)),MATCH(MID(B1330,4,3),{"Jan","Feb","Mar","Apr","May","Jun","Jul","Aug","Sep","Oct","Nov","Dec"},0),VALUE(LEFT(B1330,2)))))</f>
        <v>45934</v>
      </c>
    </row>
    <row r="1331" customFormat="false" ht="15" hidden="false" customHeight="false" outlineLevel="0" collapsed="false">
      <c r="A1331" s="7" t="s">
        <v>3640</v>
      </c>
      <c r="B1331" s="7" t="s">
        <v>3597</v>
      </c>
      <c r="C1331" s="7" t="s">
        <v>2600</v>
      </c>
      <c r="D1331" s="7" t="s">
        <v>793</v>
      </c>
      <c r="E1331" s="7" t="s">
        <v>147</v>
      </c>
      <c r="F1331" s="7" t="s">
        <v>119</v>
      </c>
      <c r="G1331" s="7" t="s">
        <v>95</v>
      </c>
      <c r="H1331" s="7" t="n">
        <v>1</v>
      </c>
      <c r="I1331" s="7" t="n">
        <v>165</v>
      </c>
      <c r="J1331" s="7" t="n">
        <v>0</v>
      </c>
      <c r="K1331" s="7" t="s">
        <v>93</v>
      </c>
      <c r="L1331" s="7" t="s">
        <v>194</v>
      </c>
      <c r="M1331" s="7" t="n">
        <v>40</v>
      </c>
      <c r="N1331" s="7" t="n">
        <v>3</v>
      </c>
      <c r="O1331" s="7" t="str">
        <f aca="false">A1331&amp;"|"&amp;B1331&amp;"|"&amp;C1331&amp;"|"&amp;D1331&amp;"|"&amp;E1331&amp;"|"&amp;F1331&amp;"|"&amp;G1331&amp;"|"&amp;H1331&amp;"|"&amp;I1331&amp;"|"&amp;J1331&amp;"|"&amp;K1331&amp;"|"&amp;L1331&amp;"|"&amp;M1331&amp;"|"&amp;N1331</f>
        <v>ORD12080|25-Sep-2025|12:27|C1040|Andhra Meals Mess|Hyderabad|South Indian|1|165|0|Credit Card|Delivered|40|3</v>
      </c>
      <c r="P1331" s="7" t="str">
        <f aca="false">IF(COUNTIF($O$2:O1331,O1331)&gt;1,"DUP","OK")</f>
        <v>OK</v>
      </c>
      <c r="Q1331" s="7" t="n">
        <f aca="false">COUNTBLANK(A1331:N1331)</f>
        <v>0</v>
      </c>
      <c r="R1331" s="7" t="n">
        <f aca="false">IF(A1331="",0,COUNTIFS($A$2:$A$3058,A1331,$P$2:$P$3058,"OK"))</f>
        <v>1</v>
      </c>
      <c r="S1331" s="7" t="str">
        <f aca="false">IF(OR(A1331="",P1331="DUP",R1331&lt;2),"",IF(Q1331=_xlfn.MINIFS($Q$2:$Q$3058,$A$2:$A$3058,A1331,$P$2:$P$3058,"OK"),"KEEP","DROP"))</f>
        <v/>
      </c>
      <c r="T1331" s="9" t="n">
        <f aca="false">IF(A1331="",1,0)</f>
        <v>0</v>
      </c>
      <c r="U1331" s="9" t="n">
        <f aca="false">IF(D1331="",1,0)</f>
        <v>0</v>
      </c>
      <c r="V1331" s="9" t="n">
        <f aca="false">IF(E1331="",1,0)</f>
        <v>0</v>
      </c>
      <c r="W1331" s="9" t="n">
        <f aca="false">IF(OR(H1331&lt;1,H1331&gt;10),1,0)</f>
        <v>0</v>
      </c>
      <c r="X1331" s="9" t="n">
        <f aca="false">IF(OR(I1331&lt;=0,I1331&gt;1500),1,0)</f>
        <v>0</v>
      </c>
      <c r="Y1331" s="9" t="n">
        <f aca="false">IF(J1331&gt;H1331*I1331,1,0)</f>
        <v>0</v>
      </c>
      <c r="Z1331" s="9" t="n">
        <f aca="false">IF(AND(N1331&lt;&gt;"",OR(N1331&lt;1,N1331&gt;5)),1,0)</f>
        <v>0</v>
      </c>
      <c r="AA1331" s="9" t="n">
        <f aca="false">IF(AND(M1331&lt;&gt;"",OR(M1331&lt;5,M1331&gt;180)),1,0)</f>
        <v>0</v>
      </c>
      <c r="AB1331" s="7" t="str">
        <f aca="false">IF(P1331="DUP","Exact duplicate row",IF(T1331=1,"Missing Order ID",IF(S1331="DROP","Duplicate Order ID (less complete row)",IF(U1331=1,"Missing Customer ID",IF(V1331=1,"Missing Restaurant name",IF(W1331=1,"Invalid/outlier quantity",IF(X1331=1,"Invalid/outlier unit price",IF(Y1331=1,"Discount greater than order value",""))))))))</f>
        <v/>
      </c>
      <c r="AC1331" s="7" t="str">
        <f aca="false">IF(AB1331="","KEEP","DROP")</f>
        <v>KEEP</v>
      </c>
      <c r="AD1331" s="7" t="str">
        <f aca="false">IF(TRIM(F1331)="",IFERROR(INDEX(Map_Tables!$I$4:$I$37,MATCH(TRIM(E1331),Map_Tables!$G$4:$G$37,0)),""),IFERROR(INDEX(Map_Tables!$B$4:$B$18,MATCH(TRIM(F1331),Map_Tables!$A$4:$A$18,0)),"CHECK"))</f>
        <v>Hyderabad</v>
      </c>
      <c r="AE1331" s="7" t="str">
        <f aca="false">IF(TRIM(E1331)="","",IFERROR(INDEX(Map_Tables!$H$4:$H$37,MATCH(TRIM(E1331),Map_Tables!$G$4:$G$37,0)),"CHECK"))</f>
        <v>Andhra Meals Mess</v>
      </c>
      <c r="AF1331" s="7" t="str">
        <f aca="false">IF(TRIM(K1331)="","Unknown",IFERROR(INDEX(Map_Tables!$E$4:$E$15,MATCH(TRIM(K1331),Map_Tables!$D$4:$D$15,0)),"CHECK"))</f>
        <v>Credit Card</v>
      </c>
      <c r="AG1331" s="7" t="str">
        <f aca="false">IF(LEFT(LOWER(TRIM(L1331)),6)="cancel","Cancelled","Delivered")</f>
        <v>Delivered</v>
      </c>
      <c r="AH1331" s="10" t="n">
        <f aca="false">IF(ISNUMBER(SEARCH("/",B1331)),DATE(VALUE(RIGHT(B1331,4)),VALUE(MID(B1331,4,2)),VALUE(LEFT(B1331,2))),IF(MID(B1331,5,1)="-",DATE(VALUE(LEFT(B1331,4)),VALUE(MID(B1331,6,2)),VALUE(RIGHT(B1331,2))),DATE(VALUE(RIGHT(B1331,4)),MATCH(MID(B1331,4,3),{"Jan","Feb","Mar","Apr","May","Jun","Jul","Aug","Sep","Oct","Nov","Dec"},0),VALUE(LEFT(B1331,2)))))</f>
        <v>45925</v>
      </c>
    </row>
    <row r="1332" customFormat="false" ht="15" hidden="false" customHeight="false" outlineLevel="0" collapsed="false">
      <c r="A1332" s="7" t="s">
        <v>3641</v>
      </c>
      <c r="B1332" s="7" t="s">
        <v>795</v>
      </c>
      <c r="C1332" s="7" t="s">
        <v>1340</v>
      </c>
      <c r="D1332" s="7" t="s">
        <v>1621</v>
      </c>
      <c r="E1332" s="7" t="s">
        <v>116</v>
      </c>
      <c r="F1332" s="7" t="s">
        <v>1557</v>
      </c>
      <c r="G1332" s="7" t="s">
        <v>117</v>
      </c>
      <c r="H1332" s="7" t="n">
        <v>1</v>
      </c>
      <c r="I1332" s="7" t="n">
        <v>120</v>
      </c>
      <c r="J1332" s="7" t="n">
        <v>48</v>
      </c>
      <c r="K1332" s="7" t="s">
        <v>121</v>
      </c>
      <c r="L1332" s="7" t="s">
        <v>194</v>
      </c>
      <c r="M1332" s="7" t="n">
        <v>47</v>
      </c>
      <c r="N1332" s="7" t="n">
        <v>4</v>
      </c>
      <c r="O1332" s="7" t="str">
        <f aca="false">A1332&amp;"|"&amp;B1332&amp;"|"&amp;C1332&amp;"|"&amp;D1332&amp;"|"&amp;E1332&amp;"|"&amp;F1332&amp;"|"&amp;G1332&amp;"|"&amp;H1332&amp;"|"&amp;I1332&amp;"|"&amp;J1332&amp;"|"&amp;K1332&amp;"|"&amp;L1332&amp;"|"&amp;M1332&amp;"|"&amp;N1332</f>
        <v>ORD11488|2025-07-12|20:34|C0260|Pav Bhaji Point|Mumbai |Street Food|1|120|48|Wallet|Delivered|47|4</v>
      </c>
      <c r="P1332" s="7" t="str">
        <f aca="false">IF(COUNTIF($O$2:O1332,O1332)&gt;1,"DUP","OK")</f>
        <v>OK</v>
      </c>
      <c r="Q1332" s="7" t="n">
        <f aca="false">COUNTBLANK(A1332:N1332)</f>
        <v>0</v>
      </c>
      <c r="R1332" s="7" t="n">
        <f aca="false">IF(A1332="",0,COUNTIFS($A$2:$A$3058,A1332,$P$2:$P$3058,"OK"))</f>
        <v>1</v>
      </c>
      <c r="S1332" s="7" t="str">
        <f aca="false">IF(OR(A1332="",P1332="DUP",R1332&lt;2),"",IF(Q1332=_xlfn.MINIFS($Q$2:$Q$3058,$A$2:$A$3058,A1332,$P$2:$P$3058,"OK"),"KEEP","DROP"))</f>
        <v/>
      </c>
      <c r="T1332" s="9" t="n">
        <f aca="false">IF(A1332="",1,0)</f>
        <v>0</v>
      </c>
      <c r="U1332" s="9" t="n">
        <f aca="false">IF(D1332="",1,0)</f>
        <v>0</v>
      </c>
      <c r="V1332" s="9" t="n">
        <f aca="false">IF(E1332="",1,0)</f>
        <v>0</v>
      </c>
      <c r="W1332" s="9" t="n">
        <f aca="false">IF(OR(H1332&lt;1,H1332&gt;10),1,0)</f>
        <v>0</v>
      </c>
      <c r="X1332" s="9" t="n">
        <f aca="false">IF(OR(I1332&lt;=0,I1332&gt;1500),1,0)</f>
        <v>0</v>
      </c>
      <c r="Y1332" s="9" t="n">
        <f aca="false">IF(J1332&gt;H1332*I1332,1,0)</f>
        <v>0</v>
      </c>
      <c r="Z1332" s="9" t="n">
        <f aca="false">IF(AND(N1332&lt;&gt;"",OR(N1332&lt;1,N1332&gt;5)),1,0)</f>
        <v>0</v>
      </c>
      <c r="AA1332" s="9" t="n">
        <f aca="false">IF(AND(M1332&lt;&gt;"",OR(M1332&lt;5,M1332&gt;180)),1,0)</f>
        <v>0</v>
      </c>
      <c r="AB1332" s="7" t="str">
        <f aca="false">IF(P1332="DUP","Exact duplicate row",IF(T1332=1,"Missing Order ID",IF(S1332="DROP","Duplicate Order ID (less complete row)",IF(U1332=1,"Missing Customer ID",IF(V1332=1,"Missing Restaurant name",IF(W1332=1,"Invalid/outlier quantity",IF(X1332=1,"Invalid/outlier unit price",IF(Y1332=1,"Discount greater than order value",""))))))))</f>
        <v/>
      </c>
      <c r="AC1332" s="7" t="str">
        <f aca="false">IF(AB1332="","KEEP","DROP")</f>
        <v>KEEP</v>
      </c>
      <c r="AD1332" s="7" t="str">
        <f aca="false">IF(TRIM(F1332)="",IFERROR(INDEX(Map_Tables!$I$4:$I$37,MATCH(TRIM(E1332),Map_Tables!$G$4:$G$37,0)),""),IFERROR(INDEX(Map_Tables!$B$4:$B$18,MATCH(TRIM(F1332),Map_Tables!$A$4:$A$18,0)),"CHECK"))</f>
        <v>Mumbai</v>
      </c>
      <c r="AE1332" s="7" t="str">
        <f aca="false">IF(TRIM(E1332)="","",IFERROR(INDEX(Map_Tables!$H$4:$H$37,MATCH(TRIM(E1332),Map_Tables!$G$4:$G$37,0)),"CHECK"))</f>
        <v>Pav Bhaji Point</v>
      </c>
      <c r="AF1332" s="7" t="str">
        <f aca="false">IF(TRIM(K1332)="","Unknown",IFERROR(INDEX(Map_Tables!$E$4:$E$15,MATCH(TRIM(K1332),Map_Tables!$D$4:$D$15,0)),"CHECK"))</f>
        <v>Wallet</v>
      </c>
      <c r="AG1332" s="7" t="str">
        <f aca="false">IF(LEFT(LOWER(TRIM(L1332)),6)="cancel","Cancelled","Delivered")</f>
        <v>Delivered</v>
      </c>
      <c r="AH1332" s="10" t="n">
        <f aca="false">IF(ISNUMBER(SEARCH("/",B1332)),DATE(VALUE(RIGHT(B1332,4)),VALUE(MID(B1332,4,2)),VALUE(LEFT(B1332,2))),IF(MID(B1332,5,1)="-",DATE(VALUE(LEFT(B1332,4)),VALUE(MID(B1332,6,2)),VALUE(RIGHT(B1332,2))),DATE(VALUE(RIGHT(B1332,4)),MATCH(MID(B1332,4,3),{"Jan","Feb","Mar","Apr","May","Jun","Jul","Aug","Sep","Oct","Nov","Dec"},0),VALUE(LEFT(B1332,2)))))</f>
        <v>45850</v>
      </c>
    </row>
    <row r="1333" customFormat="false" ht="15" hidden="false" customHeight="false" outlineLevel="0" collapsed="false">
      <c r="A1333" s="7" t="s">
        <v>3642</v>
      </c>
      <c r="B1333" s="7" t="s">
        <v>2026</v>
      </c>
      <c r="C1333" s="7" t="s">
        <v>1263</v>
      </c>
      <c r="D1333" s="7" t="s">
        <v>3643</v>
      </c>
      <c r="E1333" s="7" t="s">
        <v>151</v>
      </c>
      <c r="F1333" s="7" t="s">
        <v>128</v>
      </c>
      <c r="G1333" s="7" t="s">
        <v>95</v>
      </c>
      <c r="H1333" s="7" t="n">
        <v>1</v>
      </c>
      <c r="I1333" s="7" t="n">
        <v>190</v>
      </c>
      <c r="J1333" s="7" t="n">
        <v>40</v>
      </c>
      <c r="K1333" s="7" t="s">
        <v>121</v>
      </c>
      <c r="L1333" s="7" t="s">
        <v>194</v>
      </c>
      <c r="M1333" s="7" t="n">
        <v>29</v>
      </c>
      <c r="N1333" s="7" t="n">
        <v>5</v>
      </c>
      <c r="O1333" s="7" t="str">
        <f aca="false">A1333&amp;"|"&amp;B1333&amp;"|"&amp;C1333&amp;"|"&amp;D1333&amp;"|"&amp;E1333&amp;"|"&amp;F1333&amp;"|"&amp;G1333&amp;"|"&amp;H1333&amp;"|"&amp;I1333&amp;"|"&amp;J1333&amp;"|"&amp;K1333&amp;"|"&amp;L1333&amp;"|"&amp;M1333&amp;"|"&amp;N1333</f>
        <v>ORD12700|2025-11-28|19:19|C1055|Chettinad House|Chennai|South Indian|1|190|40|Wallet|Delivered|29|5</v>
      </c>
      <c r="P1333" s="7" t="str">
        <f aca="false">IF(COUNTIF($O$2:O1333,O1333)&gt;1,"DUP","OK")</f>
        <v>OK</v>
      </c>
      <c r="Q1333" s="7" t="n">
        <f aca="false">COUNTBLANK(A1333:N1333)</f>
        <v>0</v>
      </c>
      <c r="R1333" s="7" t="n">
        <f aca="false">IF(A1333="",0,COUNTIFS($A$2:$A$3058,A1333,$P$2:$P$3058,"OK"))</f>
        <v>1</v>
      </c>
      <c r="S1333" s="7" t="str">
        <f aca="false">IF(OR(A1333="",P1333="DUP",R1333&lt;2),"",IF(Q1333=_xlfn.MINIFS($Q$2:$Q$3058,$A$2:$A$3058,A1333,$P$2:$P$3058,"OK"),"KEEP","DROP"))</f>
        <v/>
      </c>
      <c r="T1333" s="9" t="n">
        <f aca="false">IF(A1333="",1,0)</f>
        <v>0</v>
      </c>
      <c r="U1333" s="9" t="n">
        <f aca="false">IF(D1333="",1,0)</f>
        <v>0</v>
      </c>
      <c r="V1333" s="9" t="n">
        <f aca="false">IF(E1333="",1,0)</f>
        <v>0</v>
      </c>
      <c r="W1333" s="9" t="n">
        <f aca="false">IF(OR(H1333&lt;1,H1333&gt;10),1,0)</f>
        <v>0</v>
      </c>
      <c r="X1333" s="9" t="n">
        <f aca="false">IF(OR(I1333&lt;=0,I1333&gt;1500),1,0)</f>
        <v>0</v>
      </c>
      <c r="Y1333" s="9" t="n">
        <f aca="false">IF(J1333&gt;H1333*I1333,1,0)</f>
        <v>0</v>
      </c>
      <c r="Z1333" s="9" t="n">
        <f aca="false">IF(AND(N1333&lt;&gt;"",OR(N1333&lt;1,N1333&gt;5)),1,0)</f>
        <v>0</v>
      </c>
      <c r="AA1333" s="9" t="n">
        <f aca="false">IF(AND(M1333&lt;&gt;"",OR(M1333&lt;5,M1333&gt;180)),1,0)</f>
        <v>0</v>
      </c>
      <c r="AB1333" s="7" t="str">
        <f aca="false">IF(P1333="DUP","Exact duplicate row",IF(T1333=1,"Missing Order ID",IF(S1333="DROP","Duplicate Order ID (less complete row)",IF(U1333=1,"Missing Customer ID",IF(V1333=1,"Missing Restaurant name",IF(W1333=1,"Invalid/outlier quantity",IF(X1333=1,"Invalid/outlier unit price",IF(Y1333=1,"Discount greater than order value",""))))))))</f>
        <v/>
      </c>
      <c r="AC1333" s="7" t="str">
        <f aca="false">IF(AB1333="","KEEP","DROP")</f>
        <v>KEEP</v>
      </c>
      <c r="AD1333" s="7" t="str">
        <f aca="false">IF(TRIM(F1333)="",IFERROR(INDEX(Map_Tables!$I$4:$I$37,MATCH(TRIM(E1333),Map_Tables!$G$4:$G$37,0)),""),IFERROR(INDEX(Map_Tables!$B$4:$B$18,MATCH(TRIM(F1333),Map_Tables!$A$4:$A$18,0)),"CHECK"))</f>
        <v>Chennai</v>
      </c>
      <c r="AE1333" s="7" t="str">
        <f aca="false">IF(TRIM(E1333)="","",IFERROR(INDEX(Map_Tables!$H$4:$H$37,MATCH(TRIM(E1333),Map_Tables!$G$4:$G$37,0)),"CHECK"))</f>
        <v>Chettinad House</v>
      </c>
      <c r="AF1333" s="7" t="str">
        <f aca="false">IF(TRIM(K1333)="","Unknown",IFERROR(INDEX(Map_Tables!$E$4:$E$15,MATCH(TRIM(K1333),Map_Tables!$D$4:$D$15,0)),"CHECK"))</f>
        <v>Wallet</v>
      </c>
      <c r="AG1333" s="7" t="str">
        <f aca="false">IF(LEFT(LOWER(TRIM(L1333)),6)="cancel","Cancelled","Delivered")</f>
        <v>Delivered</v>
      </c>
      <c r="AH1333" s="10" t="n">
        <f aca="false">IF(ISNUMBER(SEARCH("/",B1333)),DATE(VALUE(RIGHT(B1333,4)),VALUE(MID(B1333,4,2)),VALUE(LEFT(B1333,2))),IF(MID(B1333,5,1)="-",DATE(VALUE(LEFT(B1333,4)),VALUE(MID(B1333,6,2)),VALUE(RIGHT(B1333,2))),DATE(VALUE(RIGHT(B1333,4)),MATCH(MID(B1333,4,3),{"Jan","Feb","Mar","Apr","May","Jun","Jul","Aug","Sep","Oct","Nov","Dec"},0),VALUE(LEFT(B1333,2)))))</f>
        <v>45989</v>
      </c>
    </row>
    <row r="1334" customFormat="false" ht="15" hidden="false" customHeight="false" outlineLevel="0" collapsed="false">
      <c r="A1334" s="7" t="s">
        <v>3644</v>
      </c>
      <c r="B1334" s="7" t="s">
        <v>2312</v>
      </c>
      <c r="C1334" s="7" t="s">
        <v>338</v>
      </c>
      <c r="D1334" s="7" t="s">
        <v>3645</v>
      </c>
      <c r="E1334" s="7" t="s">
        <v>138</v>
      </c>
      <c r="F1334" s="7" t="s">
        <v>110</v>
      </c>
      <c r="G1334" s="7" t="s">
        <v>139</v>
      </c>
      <c r="H1334" s="7" t="n">
        <v>1</v>
      </c>
      <c r="I1334" s="7" t="n">
        <v>175</v>
      </c>
      <c r="J1334" s="7" t="n">
        <v>0</v>
      </c>
      <c r="K1334" s="7" t="s">
        <v>88</v>
      </c>
      <c r="L1334" s="7" t="s">
        <v>194</v>
      </c>
      <c r="M1334" s="7" t="n">
        <v>40</v>
      </c>
      <c r="N1334" s="7" t="n">
        <v>3</v>
      </c>
      <c r="O1334" s="7" t="str">
        <f aca="false">A1334&amp;"|"&amp;B1334&amp;"|"&amp;C1334&amp;"|"&amp;D1334&amp;"|"&amp;E1334&amp;"|"&amp;F1334&amp;"|"&amp;G1334&amp;"|"&amp;H1334&amp;"|"&amp;I1334&amp;"|"&amp;J1334&amp;"|"&amp;K1334&amp;"|"&amp;L1334&amp;"|"&amp;M1334&amp;"|"&amp;N1334</f>
        <v>ORD12417|2025-11-01|09:42|C1002|Burger Barn|Delhi|Burgers|1|175|0|UPI|Delivered|40|3</v>
      </c>
      <c r="P1334" s="7" t="str">
        <f aca="false">IF(COUNTIF($O$2:O1334,O1334)&gt;1,"DUP","OK")</f>
        <v>OK</v>
      </c>
      <c r="Q1334" s="7" t="n">
        <f aca="false">COUNTBLANK(A1334:N1334)</f>
        <v>0</v>
      </c>
      <c r="R1334" s="7" t="n">
        <f aca="false">IF(A1334="",0,COUNTIFS($A$2:$A$3058,A1334,$P$2:$P$3058,"OK"))</f>
        <v>1</v>
      </c>
      <c r="S1334" s="7" t="str">
        <f aca="false">IF(OR(A1334="",P1334="DUP",R1334&lt;2),"",IF(Q1334=_xlfn.MINIFS($Q$2:$Q$3058,$A$2:$A$3058,A1334,$P$2:$P$3058,"OK"),"KEEP","DROP"))</f>
        <v/>
      </c>
      <c r="T1334" s="9" t="n">
        <f aca="false">IF(A1334="",1,0)</f>
        <v>0</v>
      </c>
      <c r="U1334" s="9" t="n">
        <f aca="false">IF(D1334="",1,0)</f>
        <v>0</v>
      </c>
      <c r="V1334" s="9" t="n">
        <f aca="false">IF(E1334="",1,0)</f>
        <v>0</v>
      </c>
      <c r="W1334" s="9" t="n">
        <f aca="false">IF(OR(H1334&lt;1,H1334&gt;10),1,0)</f>
        <v>0</v>
      </c>
      <c r="X1334" s="9" t="n">
        <f aca="false">IF(OR(I1334&lt;=0,I1334&gt;1500),1,0)</f>
        <v>0</v>
      </c>
      <c r="Y1334" s="9" t="n">
        <f aca="false">IF(J1334&gt;H1334*I1334,1,0)</f>
        <v>0</v>
      </c>
      <c r="Z1334" s="9" t="n">
        <f aca="false">IF(AND(N1334&lt;&gt;"",OR(N1334&lt;1,N1334&gt;5)),1,0)</f>
        <v>0</v>
      </c>
      <c r="AA1334" s="9" t="n">
        <f aca="false">IF(AND(M1334&lt;&gt;"",OR(M1334&lt;5,M1334&gt;180)),1,0)</f>
        <v>0</v>
      </c>
      <c r="AB1334" s="7" t="str">
        <f aca="false">IF(P1334="DUP","Exact duplicate row",IF(T1334=1,"Missing Order ID",IF(S1334="DROP","Duplicate Order ID (less complete row)",IF(U1334=1,"Missing Customer ID",IF(V1334=1,"Missing Restaurant name",IF(W1334=1,"Invalid/outlier quantity",IF(X1334=1,"Invalid/outlier unit price",IF(Y1334=1,"Discount greater than order value",""))))))))</f>
        <v/>
      </c>
      <c r="AC1334" s="7" t="str">
        <f aca="false">IF(AB1334="","KEEP","DROP")</f>
        <v>KEEP</v>
      </c>
      <c r="AD1334" s="7" t="str">
        <f aca="false">IF(TRIM(F1334)="",IFERROR(INDEX(Map_Tables!$I$4:$I$37,MATCH(TRIM(E1334),Map_Tables!$G$4:$G$37,0)),""),IFERROR(INDEX(Map_Tables!$B$4:$B$18,MATCH(TRIM(F1334),Map_Tables!$A$4:$A$18,0)),"CHECK"))</f>
        <v>Delhi</v>
      </c>
      <c r="AE1334" s="7" t="str">
        <f aca="false">IF(TRIM(E1334)="","",IFERROR(INDEX(Map_Tables!$H$4:$H$37,MATCH(TRIM(E1334),Map_Tables!$G$4:$G$37,0)),"CHECK"))</f>
        <v>Burger Barn</v>
      </c>
      <c r="AF1334" s="7" t="str">
        <f aca="false">IF(TRIM(K1334)="","Unknown",IFERROR(INDEX(Map_Tables!$E$4:$E$15,MATCH(TRIM(K1334),Map_Tables!$D$4:$D$15,0)),"CHECK"))</f>
        <v>UPI</v>
      </c>
      <c r="AG1334" s="7" t="str">
        <f aca="false">IF(LEFT(LOWER(TRIM(L1334)),6)="cancel","Cancelled","Delivered")</f>
        <v>Delivered</v>
      </c>
      <c r="AH1334" s="10" t="n">
        <f aca="false">IF(ISNUMBER(SEARCH("/",B1334)),DATE(VALUE(RIGHT(B1334,4)),VALUE(MID(B1334,4,2)),VALUE(LEFT(B1334,2))),IF(MID(B1334,5,1)="-",DATE(VALUE(LEFT(B1334,4)),VALUE(MID(B1334,6,2)),VALUE(RIGHT(B1334,2))),DATE(VALUE(RIGHT(B1334,4)),MATCH(MID(B1334,4,3),{"Jan","Feb","Mar","Apr","May","Jun","Jul","Aug","Sep","Oct","Nov","Dec"},0),VALUE(LEFT(B1334,2)))))</f>
        <v>45962</v>
      </c>
    </row>
    <row r="1335" customFormat="false" ht="15" hidden="false" customHeight="false" outlineLevel="0" collapsed="false">
      <c r="A1335" s="7" t="s">
        <v>3646</v>
      </c>
      <c r="B1335" s="7" t="s">
        <v>3647</v>
      </c>
      <c r="C1335" s="7" t="s">
        <v>1365</v>
      </c>
      <c r="D1335" s="7" t="s">
        <v>408</v>
      </c>
      <c r="E1335" s="7" t="s">
        <v>160</v>
      </c>
      <c r="F1335" s="7" t="s">
        <v>136</v>
      </c>
      <c r="G1335" s="7" t="s">
        <v>150</v>
      </c>
      <c r="H1335" s="7" t="n">
        <v>1</v>
      </c>
      <c r="I1335" s="7" t="n">
        <v>160</v>
      </c>
      <c r="J1335" s="7" t="n">
        <v>0</v>
      </c>
      <c r="K1335" s="7" t="s">
        <v>88</v>
      </c>
      <c r="L1335" s="7" t="s">
        <v>194</v>
      </c>
      <c r="M1335" s="7" t="n">
        <v>34</v>
      </c>
      <c r="N1335" s="7" t="n">
        <v>3</v>
      </c>
      <c r="O1335" s="7" t="str">
        <f aca="false">A1335&amp;"|"&amp;B1335&amp;"|"&amp;C1335&amp;"|"&amp;D1335&amp;"|"&amp;E1335&amp;"|"&amp;F1335&amp;"|"&amp;G1335&amp;"|"&amp;H1335&amp;"|"&amp;I1335&amp;"|"&amp;J1335&amp;"|"&amp;K1335&amp;"|"&amp;L1335&amp;"|"&amp;M1335&amp;"|"&amp;N1335</f>
        <v>ORD12615|19/11/2025|18:11|C0166|Cake Walk|Pune|Desserts|1|160|0|UPI|Delivered|34|3</v>
      </c>
      <c r="P1335" s="7" t="str">
        <f aca="false">IF(COUNTIF($O$2:O1335,O1335)&gt;1,"DUP","OK")</f>
        <v>OK</v>
      </c>
      <c r="Q1335" s="7" t="n">
        <f aca="false">COUNTBLANK(A1335:N1335)</f>
        <v>0</v>
      </c>
      <c r="R1335" s="7" t="n">
        <f aca="false">IF(A1335="",0,COUNTIFS($A$2:$A$3058,A1335,$P$2:$P$3058,"OK"))</f>
        <v>1</v>
      </c>
      <c r="S1335" s="7" t="str">
        <f aca="false">IF(OR(A1335="",P1335="DUP",R1335&lt;2),"",IF(Q1335=_xlfn.MINIFS($Q$2:$Q$3058,$A$2:$A$3058,A1335,$P$2:$P$3058,"OK"),"KEEP","DROP"))</f>
        <v/>
      </c>
      <c r="T1335" s="9" t="n">
        <f aca="false">IF(A1335="",1,0)</f>
        <v>0</v>
      </c>
      <c r="U1335" s="9" t="n">
        <f aca="false">IF(D1335="",1,0)</f>
        <v>0</v>
      </c>
      <c r="V1335" s="9" t="n">
        <f aca="false">IF(E1335="",1,0)</f>
        <v>0</v>
      </c>
      <c r="W1335" s="9" t="n">
        <f aca="false">IF(OR(H1335&lt;1,H1335&gt;10),1,0)</f>
        <v>0</v>
      </c>
      <c r="X1335" s="9" t="n">
        <f aca="false">IF(OR(I1335&lt;=0,I1335&gt;1500),1,0)</f>
        <v>0</v>
      </c>
      <c r="Y1335" s="9" t="n">
        <f aca="false">IF(J1335&gt;H1335*I1335,1,0)</f>
        <v>0</v>
      </c>
      <c r="Z1335" s="9" t="n">
        <f aca="false">IF(AND(N1335&lt;&gt;"",OR(N1335&lt;1,N1335&gt;5)),1,0)</f>
        <v>0</v>
      </c>
      <c r="AA1335" s="9" t="n">
        <f aca="false">IF(AND(M1335&lt;&gt;"",OR(M1335&lt;5,M1335&gt;180)),1,0)</f>
        <v>0</v>
      </c>
      <c r="AB1335" s="7" t="str">
        <f aca="false">IF(P1335="DUP","Exact duplicate row",IF(T1335=1,"Missing Order ID",IF(S1335="DROP","Duplicate Order ID (less complete row)",IF(U1335=1,"Missing Customer ID",IF(V1335=1,"Missing Restaurant name",IF(W1335=1,"Invalid/outlier quantity",IF(X1335=1,"Invalid/outlier unit price",IF(Y1335=1,"Discount greater than order value",""))))))))</f>
        <v/>
      </c>
      <c r="AC1335" s="7" t="str">
        <f aca="false">IF(AB1335="","KEEP","DROP")</f>
        <v>KEEP</v>
      </c>
      <c r="AD1335" s="7" t="str">
        <f aca="false">IF(TRIM(F1335)="",IFERROR(INDEX(Map_Tables!$I$4:$I$37,MATCH(TRIM(E1335),Map_Tables!$G$4:$G$37,0)),""),IFERROR(INDEX(Map_Tables!$B$4:$B$18,MATCH(TRIM(F1335),Map_Tables!$A$4:$A$18,0)),"CHECK"))</f>
        <v>Pune</v>
      </c>
      <c r="AE1335" s="7" t="str">
        <f aca="false">IF(TRIM(E1335)="","",IFERROR(INDEX(Map_Tables!$H$4:$H$37,MATCH(TRIM(E1335),Map_Tables!$G$4:$G$37,0)),"CHECK"))</f>
        <v>Cake Walk</v>
      </c>
      <c r="AF1335" s="7" t="str">
        <f aca="false">IF(TRIM(K1335)="","Unknown",IFERROR(INDEX(Map_Tables!$E$4:$E$15,MATCH(TRIM(K1335),Map_Tables!$D$4:$D$15,0)),"CHECK"))</f>
        <v>UPI</v>
      </c>
      <c r="AG1335" s="7" t="str">
        <f aca="false">IF(LEFT(LOWER(TRIM(L1335)),6)="cancel","Cancelled","Delivered")</f>
        <v>Delivered</v>
      </c>
      <c r="AH1335" s="10" t="n">
        <f aca="false">IF(ISNUMBER(SEARCH("/",B1335)),DATE(VALUE(RIGHT(B1335,4)),VALUE(MID(B1335,4,2)),VALUE(LEFT(B1335,2))),IF(MID(B1335,5,1)="-",DATE(VALUE(LEFT(B1335,4)),VALUE(MID(B1335,6,2)),VALUE(RIGHT(B1335,2))),DATE(VALUE(RIGHT(B1335,4)),MATCH(MID(B1335,4,3),{"Jan","Feb","Mar","Apr","May","Jun","Jul","Aug","Sep","Oct","Nov","Dec"},0),VALUE(LEFT(B1335,2)))))</f>
        <v>45980</v>
      </c>
    </row>
    <row r="1336" customFormat="false" ht="15" hidden="false" customHeight="false" outlineLevel="0" collapsed="false">
      <c r="A1336" s="7" t="s">
        <v>3648</v>
      </c>
      <c r="B1336" s="7" t="s">
        <v>1516</v>
      </c>
      <c r="C1336" s="7" t="s">
        <v>2048</v>
      </c>
      <c r="D1336" s="7" t="s">
        <v>2589</v>
      </c>
      <c r="E1336" s="7" t="s">
        <v>1637</v>
      </c>
      <c r="F1336" s="7" t="s">
        <v>86</v>
      </c>
      <c r="G1336" s="7" t="s">
        <v>99</v>
      </c>
      <c r="H1336" s="7" t="n">
        <v>1</v>
      </c>
      <c r="I1336" s="7" t="n">
        <v>210</v>
      </c>
      <c r="J1336" s="7" t="n">
        <v>0</v>
      </c>
      <c r="K1336" s="7" t="s">
        <v>88</v>
      </c>
      <c r="L1336" s="7" t="s">
        <v>194</v>
      </c>
      <c r="M1336" s="7" t="n">
        <v>35</v>
      </c>
      <c r="N1336" s="7" t="n">
        <v>4</v>
      </c>
      <c r="O1336" s="7" t="str">
        <f aca="false">A1336&amp;"|"&amp;B1336&amp;"|"&amp;C1336&amp;"|"&amp;D1336&amp;"|"&amp;E1336&amp;"|"&amp;F1336&amp;"|"&amp;G1336&amp;"|"&amp;H1336&amp;"|"&amp;I1336&amp;"|"&amp;J1336&amp;"|"&amp;K1336&amp;"|"&amp;L1336&amp;"|"&amp;M1336&amp;"|"&amp;N1336</f>
        <v>ORD11627|2025-07-31|12:58|C1119|Nawabi  Biryani House|Bengaluru|Biryani|1|210|0|UPI|Delivered|35|4</v>
      </c>
      <c r="P1336" s="7" t="str">
        <f aca="false">IF(COUNTIF($O$2:O1336,O1336)&gt;1,"DUP","OK")</f>
        <v>OK</v>
      </c>
      <c r="Q1336" s="7" t="n">
        <f aca="false">COUNTBLANK(A1336:N1336)</f>
        <v>0</v>
      </c>
      <c r="R1336" s="7" t="n">
        <f aca="false">IF(A1336="",0,COUNTIFS($A$2:$A$3058,A1336,$P$2:$P$3058,"OK"))</f>
        <v>1</v>
      </c>
      <c r="S1336" s="7" t="str">
        <f aca="false">IF(OR(A1336="",P1336="DUP",R1336&lt;2),"",IF(Q1336=_xlfn.MINIFS($Q$2:$Q$3058,$A$2:$A$3058,A1336,$P$2:$P$3058,"OK"),"KEEP","DROP"))</f>
        <v/>
      </c>
      <c r="T1336" s="9" t="n">
        <f aca="false">IF(A1336="",1,0)</f>
        <v>0</v>
      </c>
      <c r="U1336" s="9" t="n">
        <f aca="false">IF(D1336="",1,0)</f>
        <v>0</v>
      </c>
      <c r="V1336" s="9" t="n">
        <f aca="false">IF(E1336="",1,0)</f>
        <v>0</v>
      </c>
      <c r="W1336" s="9" t="n">
        <f aca="false">IF(OR(H1336&lt;1,H1336&gt;10),1,0)</f>
        <v>0</v>
      </c>
      <c r="X1336" s="9" t="n">
        <f aca="false">IF(OR(I1336&lt;=0,I1336&gt;1500),1,0)</f>
        <v>0</v>
      </c>
      <c r="Y1336" s="9" t="n">
        <f aca="false">IF(J1336&gt;H1336*I1336,1,0)</f>
        <v>0</v>
      </c>
      <c r="Z1336" s="9" t="n">
        <f aca="false">IF(AND(N1336&lt;&gt;"",OR(N1336&lt;1,N1336&gt;5)),1,0)</f>
        <v>0</v>
      </c>
      <c r="AA1336" s="9" t="n">
        <f aca="false">IF(AND(M1336&lt;&gt;"",OR(M1336&lt;5,M1336&gt;180)),1,0)</f>
        <v>0</v>
      </c>
      <c r="AB1336" s="7" t="str">
        <f aca="false">IF(P1336="DUP","Exact duplicate row",IF(T1336=1,"Missing Order ID",IF(S1336="DROP","Duplicate Order ID (less complete row)",IF(U1336=1,"Missing Customer ID",IF(V1336=1,"Missing Restaurant name",IF(W1336=1,"Invalid/outlier quantity",IF(X1336=1,"Invalid/outlier unit price",IF(Y1336=1,"Discount greater than order value",""))))))))</f>
        <v/>
      </c>
      <c r="AC1336" s="7" t="str">
        <f aca="false">IF(AB1336="","KEEP","DROP")</f>
        <v>KEEP</v>
      </c>
      <c r="AD1336" s="7" t="str">
        <f aca="false">IF(TRIM(F1336)="",IFERROR(INDEX(Map_Tables!$I$4:$I$37,MATCH(TRIM(E1336),Map_Tables!$G$4:$G$37,0)),""),IFERROR(INDEX(Map_Tables!$B$4:$B$18,MATCH(TRIM(F1336),Map_Tables!$A$4:$A$18,0)),"CHECK"))</f>
        <v>Bengaluru</v>
      </c>
      <c r="AE1336" s="7" t="str">
        <f aca="false">IF(TRIM(E1336)="","",IFERROR(INDEX(Map_Tables!$H$4:$H$37,MATCH(TRIM(E1336),Map_Tables!$G$4:$G$37,0)),"CHECK"))</f>
        <v>Nawabi Biryani House</v>
      </c>
      <c r="AF1336" s="7" t="str">
        <f aca="false">IF(TRIM(K1336)="","Unknown",IFERROR(INDEX(Map_Tables!$E$4:$E$15,MATCH(TRIM(K1336),Map_Tables!$D$4:$D$15,0)),"CHECK"))</f>
        <v>UPI</v>
      </c>
      <c r="AG1336" s="7" t="str">
        <f aca="false">IF(LEFT(LOWER(TRIM(L1336)),6)="cancel","Cancelled","Delivered")</f>
        <v>Delivered</v>
      </c>
      <c r="AH1336" s="10" t="n">
        <f aca="false">IF(ISNUMBER(SEARCH("/",B1336)),DATE(VALUE(RIGHT(B1336,4)),VALUE(MID(B1336,4,2)),VALUE(LEFT(B1336,2))),IF(MID(B1336,5,1)="-",DATE(VALUE(LEFT(B1336,4)),VALUE(MID(B1336,6,2)),VALUE(RIGHT(B1336,2))),DATE(VALUE(RIGHT(B1336,4)),MATCH(MID(B1336,4,3),{"Jan","Feb","Mar","Apr","May","Jun","Jul","Aug","Sep","Oct","Nov","Dec"},0),VALUE(LEFT(B1336,2)))))</f>
        <v>45869</v>
      </c>
    </row>
    <row r="1337" customFormat="false" ht="15" hidden="false" customHeight="false" outlineLevel="0" collapsed="false">
      <c r="A1337" s="7" t="s">
        <v>3649</v>
      </c>
      <c r="B1337" s="7" t="s">
        <v>2244</v>
      </c>
      <c r="C1337" s="7" t="s">
        <v>1545</v>
      </c>
      <c r="D1337" s="7" t="s">
        <v>1934</v>
      </c>
      <c r="E1337" s="7" t="s">
        <v>161</v>
      </c>
      <c r="F1337" s="7" t="s">
        <v>141</v>
      </c>
      <c r="G1337" s="7" t="s">
        <v>117</v>
      </c>
      <c r="H1337" s="7" t="n">
        <v>2</v>
      </c>
      <c r="I1337" s="7" t="n">
        <v>160</v>
      </c>
      <c r="J1337" s="7" t="n">
        <v>50</v>
      </c>
      <c r="K1337" s="7" t="s">
        <v>88</v>
      </c>
      <c r="L1337" s="7" t="s">
        <v>194</v>
      </c>
      <c r="M1337" s="7" t="n">
        <v>32</v>
      </c>
      <c r="N1337" s="7" t="n">
        <v>4</v>
      </c>
      <c r="O1337" s="7" t="str">
        <f aca="false">A1337&amp;"|"&amp;B1337&amp;"|"&amp;C1337&amp;"|"&amp;D1337&amp;"|"&amp;E1337&amp;"|"&amp;F1337&amp;"|"&amp;G1337&amp;"|"&amp;H1337&amp;"|"&amp;I1337&amp;"|"&amp;J1337&amp;"|"&amp;K1337&amp;"|"&amp;L1337&amp;"|"&amp;M1337&amp;"|"&amp;N1337</f>
        <v>ORD11129|2025-05-23|22:02|C0041|Bengal Bites|Kolkata|Street Food|2|160|50|UPI|Delivered|32|4</v>
      </c>
      <c r="P1337" s="7" t="str">
        <f aca="false">IF(COUNTIF($O$2:O1337,O1337)&gt;1,"DUP","OK")</f>
        <v>OK</v>
      </c>
      <c r="Q1337" s="7" t="n">
        <f aca="false">COUNTBLANK(A1337:N1337)</f>
        <v>0</v>
      </c>
      <c r="R1337" s="7" t="n">
        <f aca="false">IF(A1337="",0,COUNTIFS($A$2:$A$3058,A1337,$P$2:$P$3058,"OK"))</f>
        <v>1</v>
      </c>
      <c r="S1337" s="7" t="str">
        <f aca="false">IF(OR(A1337="",P1337="DUP",R1337&lt;2),"",IF(Q1337=_xlfn.MINIFS($Q$2:$Q$3058,$A$2:$A$3058,A1337,$P$2:$P$3058,"OK"),"KEEP","DROP"))</f>
        <v/>
      </c>
      <c r="T1337" s="9" t="n">
        <f aca="false">IF(A1337="",1,0)</f>
        <v>0</v>
      </c>
      <c r="U1337" s="9" t="n">
        <f aca="false">IF(D1337="",1,0)</f>
        <v>0</v>
      </c>
      <c r="V1337" s="9" t="n">
        <f aca="false">IF(E1337="",1,0)</f>
        <v>0</v>
      </c>
      <c r="W1337" s="9" t="n">
        <f aca="false">IF(OR(H1337&lt;1,H1337&gt;10),1,0)</f>
        <v>0</v>
      </c>
      <c r="X1337" s="9" t="n">
        <f aca="false">IF(OR(I1337&lt;=0,I1337&gt;1500),1,0)</f>
        <v>0</v>
      </c>
      <c r="Y1337" s="9" t="n">
        <f aca="false">IF(J1337&gt;H1337*I1337,1,0)</f>
        <v>0</v>
      </c>
      <c r="Z1337" s="9" t="n">
        <f aca="false">IF(AND(N1337&lt;&gt;"",OR(N1337&lt;1,N1337&gt;5)),1,0)</f>
        <v>0</v>
      </c>
      <c r="AA1337" s="9" t="n">
        <f aca="false">IF(AND(M1337&lt;&gt;"",OR(M1337&lt;5,M1337&gt;180)),1,0)</f>
        <v>0</v>
      </c>
      <c r="AB1337" s="7" t="str">
        <f aca="false">IF(P1337="DUP","Exact duplicate row",IF(T1337=1,"Missing Order ID",IF(S1337="DROP","Duplicate Order ID (less complete row)",IF(U1337=1,"Missing Customer ID",IF(V1337=1,"Missing Restaurant name",IF(W1337=1,"Invalid/outlier quantity",IF(X1337=1,"Invalid/outlier unit price",IF(Y1337=1,"Discount greater than order value",""))))))))</f>
        <v/>
      </c>
      <c r="AC1337" s="7" t="str">
        <f aca="false">IF(AB1337="","KEEP","DROP")</f>
        <v>KEEP</v>
      </c>
      <c r="AD1337" s="7" t="str">
        <f aca="false">IF(TRIM(F1337)="",IFERROR(INDEX(Map_Tables!$I$4:$I$37,MATCH(TRIM(E1337),Map_Tables!$G$4:$G$37,0)),""),IFERROR(INDEX(Map_Tables!$B$4:$B$18,MATCH(TRIM(F1337),Map_Tables!$A$4:$A$18,0)),"CHECK"))</f>
        <v>Kolkata</v>
      </c>
      <c r="AE1337" s="7" t="str">
        <f aca="false">IF(TRIM(E1337)="","",IFERROR(INDEX(Map_Tables!$H$4:$H$37,MATCH(TRIM(E1337),Map_Tables!$G$4:$G$37,0)),"CHECK"))</f>
        <v>Bengal Bites</v>
      </c>
      <c r="AF1337" s="7" t="str">
        <f aca="false">IF(TRIM(K1337)="","Unknown",IFERROR(INDEX(Map_Tables!$E$4:$E$15,MATCH(TRIM(K1337),Map_Tables!$D$4:$D$15,0)),"CHECK"))</f>
        <v>UPI</v>
      </c>
      <c r="AG1337" s="7" t="str">
        <f aca="false">IF(LEFT(LOWER(TRIM(L1337)),6)="cancel","Cancelled","Delivered")</f>
        <v>Delivered</v>
      </c>
      <c r="AH1337" s="10" t="n">
        <f aca="false">IF(ISNUMBER(SEARCH("/",B1337)),DATE(VALUE(RIGHT(B1337,4)),VALUE(MID(B1337,4,2)),VALUE(LEFT(B1337,2))),IF(MID(B1337,5,1)="-",DATE(VALUE(LEFT(B1337,4)),VALUE(MID(B1337,6,2)),VALUE(RIGHT(B1337,2))),DATE(VALUE(RIGHT(B1337,4)),MATCH(MID(B1337,4,3),{"Jan","Feb","Mar","Apr","May","Jun","Jul","Aug","Sep","Oct","Nov","Dec"},0),VALUE(LEFT(B1337,2)))))</f>
        <v>45800</v>
      </c>
    </row>
    <row r="1338" customFormat="false" ht="15" hidden="false" customHeight="false" outlineLevel="0" collapsed="false">
      <c r="A1338" s="7" t="s">
        <v>3650</v>
      </c>
      <c r="B1338" s="7" t="s">
        <v>537</v>
      </c>
      <c r="C1338" s="7" t="s">
        <v>1864</v>
      </c>
      <c r="D1338" s="7" t="s">
        <v>1782</v>
      </c>
      <c r="E1338" s="7" t="s">
        <v>126</v>
      </c>
      <c r="F1338" s="7" t="s">
        <v>1557</v>
      </c>
      <c r="G1338" s="7" t="s">
        <v>105</v>
      </c>
      <c r="H1338" s="7" t="n">
        <v>3</v>
      </c>
      <c r="I1338" s="7" t="n">
        <v>235</v>
      </c>
      <c r="J1338" s="7" t="n">
        <v>40</v>
      </c>
      <c r="K1338" s="7" t="s">
        <v>93</v>
      </c>
      <c r="L1338" s="7" t="s">
        <v>194</v>
      </c>
      <c r="M1338" s="7" t="n">
        <v>42</v>
      </c>
      <c r="N1338" s="7" t="n">
        <v>5</v>
      </c>
      <c r="O1338" s="7" t="str">
        <f aca="false">A1338&amp;"|"&amp;B1338&amp;"|"&amp;C1338&amp;"|"&amp;D1338&amp;"|"&amp;E1338&amp;"|"&amp;F1338&amp;"|"&amp;G1338&amp;"|"&amp;H1338&amp;"|"&amp;I1338&amp;"|"&amp;J1338&amp;"|"&amp;K1338&amp;"|"&amp;L1338&amp;"|"&amp;M1338&amp;"|"&amp;N1338</f>
        <v>ORD12036|2025-09-20|18:49|C0539|Dragon Express|Mumbai |Chinese|3|235|40|Credit Card|Delivered|42|5</v>
      </c>
      <c r="P1338" s="7" t="str">
        <f aca="false">IF(COUNTIF($O$2:O1338,O1338)&gt;1,"DUP","OK")</f>
        <v>OK</v>
      </c>
      <c r="Q1338" s="7" t="n">
        <f aca="false">COUNTBLANK(A1338:N1338)</f>
        <v>0</v>
      </c>
      <c r="R1338" s="7" t="n">
        <f aca="false">IF(A1338="",0,COUNTIFS($A$2:$A$3058,A1338,$P$2:$P$3058,"OK"))</f>
        <v>1</v>
      </c>
      <c r="S1338" s="7" t="str">
        <f aca="false">IF(OR(A1338="",P1338="DUP",R1338&lt;2),"",IF(Q1338=_xlfn.MINIFS($Q$2:$Q$3058,$A$2:$A$3058,A1338,$P$2:$P$3058,"OK"),"KEEP","DROP"))</f>
        <v/>
      </c>
      <c r="T1338" s="9" t="n">
        <f aca="false">IF(A1338="",1,0)</f>
        <v>0</v>
      </c>
      <c r="U1338" s="9" t="n">
        <f aca="false">IF(D1338="",1,0)</f>
        <v>0</v>
      </c>
      <c r="V1338" s="9" t="n">
        <f aca="false">IF(E1338="",1,0)</f>
        <v>0</v>
      </c>
      <c r="W1338" s="9" t="n">
        <f aca="false">IF(OR(H1338&lt;1,H1338&gt;10),1,0)</f>
        <v>0</v>
      </c>
      <c r="X1338" s="9" t="n">
        <f aca="false">IF(OR(I1338&lt;=0,I1338&gt;1500),1,0)</f>
        <v>0</v>
      </c>
      <c r="Y1338" s="9" t="n">
        <f aca="false">IF(J1338&gt;H1338*I1338,1,0)</f>
        <v>0</v>
      </c>
      <c r="Z1338" s="9" t="n">
        <f aca="false">IF(AND(N1338&lt;&gt;"",OR(N1338&lt;1,N1338&gt;5)),1,0)</f>
        <v>0</v>
      </c>
      <c r="AA1338" s="9" t="n">
        <f aca="false">IF(AND(M1338&lt;&gt;"",OR(M1338&lt;5,M1338&gt;180)),1,0)</f>
        <v>0</v>
      </c>
      <c r="AB1338" s="7" t="str">
        <f aca="false">IF(P1338="DUP","Exact duplicate row",IF(T1338=1,"Missing Order ID",IF(S1338="DROP","Duplicate Order ID (less complete row)",IF(U1338=1,"Missing Customer ID",IF(V1338=1,"Missing Restaurant name",IF(W1338=1,"Invalid/outlier quantity",IF(X1338=1,"Invalid/outlier unit price",IF(Y1338=1,"Discount greater than order value",""))))))))</f>
        <v/>
      </c>
      <c r="AC1338" s="7" t="str">
        <f aca="false">IF(AB1338="","KEEP","DROP")</f>
        <v>KEEP</v>
      </c>
      <c r="AD1338" s="7" t="str">
        <f aca="false">IF(TRIM(F1338)="",IFERROR(INDEX(Map_Tables!$I$4:$I$37,MATCH(TRIM(E1338),Map_Tables!$G$4:$G$37,0)),""),IFERROR(INDEX(Map_Tables!$B$4:$B$18,MATCH(TRIM(F1338),Map_Tables!$A$4:$A$18,0)),"CHECK"))</f>
        <v>Mumbai</v>
      </c>
      <c r="AE1338" s="7" t="str">
        <f aca="false">IF(TRIM(E1338)="","",IFERROR(INDEX(Map_Tables!$H$4:$H$37,MATCH(TRIM(E1338),Map_Tables!$G$4:$G$37,0)),"CHECK"))</f>
        <v>Dragon Express</v>
      </c>
      <c r="AF1338" s="7" t="str">
        <f aca="false">IF(TRIM(K1338)="","Unknown",IFERROR(INDEX(Map_Tables!$E$4:$E$15,MATCH(TRIM(K1338),Map_Tables!$D$4:$D$15,0)),"CHECK"))</f>
        <v>Credit Card</v>
      </c>
      <c r="AG1338" s="7" t="str">
        <f aca="false">IF(LEFT(LOWER(TRIM(L1338)),6)="cancel","Cancelled","Delivered")</f>
        <v>Delivered</v>
      </c>
      <c r="AH1338" s="10" t="n">
        <f aca="false">IF(ISNUMBER(SEARCH("/",B1338)),DATE(VALUE(RIGHT(B1338,4)),VALUE(MID(B1338,4,2)),VALUE(LEFT(B1338,2))),IF(MID(B1338,5,1)="-",DATE(VALUE(LEFT(B1338,4)),VALUE(MID(B1338,6,2)),VALUE(RIGHT(B1338,2))),DATE(VALUE(RIGHT(B1338,4)),MATCH(MID(B1338,4,3),{"Jan","Feb","Mar","Apr","May","Jun","Jul","Aug","Sep","Oct","Nov","Dec"},0),VALUE(LEFT(B1338,2)))))</f>
        <v>45920</v>
      </c>
    </row>
    <row r="1339" customFormat="false" ht="15" hidden="false" customHeight="false" outlineLevel="0" collapsed="false">
      <c r="A1339" s="7" t="s">
        <v>3651</v>
      </c>
      <c r="B1339" s="7" t="s">
        <v>3652</v>
      </c>
      <c r="C1339" s="7" t="s">
        <v>2027</v>
      </c>
      <c r="D1339" s="7" t="s">
        <v>2036</v>
      </c>
      <c r="E1339" s="7" t="s">
        <v>151</v>
      </c>
      <c r="F1339" s="7" t="s">
        <v>128</v>
      </c>
      <c r="G1339" s="7" t="s">
        <v>95</v>
      </c>
      <c r="H1339" s="7" t="n">
        <v>2</v>
      </c>
      <c r="I1339" s="7" t="n">
        <v>185</v>
      </c>
      <c r="J1339" s="7" t="n">
        <v>50</v>
      </c>
      <c r="K1339" s="7" t="s">
        <v>88</v>
      </c>
      <c r="L1339" s="7" t="s">
        <v>194</v>
      </c>
      <c r="M1339" s="7" t="n">
        <v>25</v>
      </c>
      <c r="N1339" s="7"/>
      <c r="O1339" s="7" t="str">
        <f aca="false">A1339&amp;"|"&amp;B1339&amp;"|"&amp;C1339&amp;"|"&amp;D1339&amp;"|"&amp;E1339&amp;"|"&amp;F1339&amp;"|"&amp;G1339&amp;"|"&amp;H1339&amp;"|"&amp;I1339&amp;"|"&amp;J1339&amp;"|"&amp;K1339&amp;"|"&amp;L1339&amp;"|"&amp;M1339&amp;"|"&amp;N1339</f>
        <v>ORD11352|23/06/2025|17:18|C0829|Chettinad House|Chennai|South Indian|2|185|50|UPI|Delivered|25|</v>
      </c>
      <c r="P1339" s="7" t="str">
        <f aca="false">IF(COUNTIF($O$2:O1339,O1339)&gt;1,"DUP","OK")</f>
        <v>OK</v>
      </c>
      <c r="Q1339" s="7" t="n">
        <f aca="false">COUNTBLANK(A1339:N1339)</f>
        <v>1</v>
      </c>
      <c r="R1339" s="7" t="n">
        <f aca="false">IF(A1339="",0,COUNTIFS($A$2:$A$3058,A1339,$P$2:$P$3058,"OK"))</f>
        <v>1</v>
      </c>
      <c r="S1339" s="7" t="str">
        <f aca="false">IF(OR(A1339="",P1339="DUP",R1339&lt;2),"",IF(Q1339=_xlfn.MINIFS($Q$2:$Q$3058,$A$2:$A$3058,A1339,$P$2:$P$3058,"OK"),"KEEP","DROP"))</f>
        <v/>
      </c>
      <c r="T1339" s="9" t="n">
        <f aca="false">IF(A1339="",1,0)</f>
        <v>0</v>
      </c>
      <c r="U1339" s="9" t="n">
        <f aca="false">IF(D1339="",1,0)</f>
        <v>0</v>
      </c>
      <c r="V1339" s="9" t="n">
        <f aca="false">IF(E1339="",1,0)</f>
        <v>0</v>
      </c>
      <c r="W1339" s="9" t="n">
        <f aca="false">IF(OR(H1339&lt;1,H1339&gt;10),1,0)</f>
        <v>0</v>
      </c>
      <c r="X1339" s="9" t="n">
        <f aca="false">IF(OR(I1339&lt;=0,I1339&gt;1500),1,0)</f>
        <v>0</v>
      </c>
      <c r="Y1339" s="9" t="n">
        <f aca="false">IF(J1339&gt;H1339*I1339,1,0)</f>
        <v>0</v>
      </c>
      <c r="Z1339" s="9" t="n">
        <f aca="false">IF(AND(N1339&lt;&gt;"",OR(N1339&lt;1,N1339&gt;5)),1,0)</f>
        <v>0</v>
      </c>
      <c r="AA1339" s="9" t="n">
        <f aca="false">IF(AND(M1339&lt;&gt;"",OR(M1339&lt;5,M1339&gt;180)),1,0)</f>
        <v>0</v>
      </c>
      <c r="AB1339" s="7" t="str">
        <f aca="false">IF(P1339="DUP","Exact duplicate row",IF(T1339=1,"Missing Order ID",IF(S1339="DROP","Duplicate Order ID (less complete row)",IF(U1339=1,"Missing Customer ID",IF(V1339=1,"Missing Restaurant name",IF(W1339=1,"Invalid/outlier quantity",IF(X1339=1,"Invalid/outlier unit price",IF(Y1339=1,"Discount greater than order value",""))))))))</f>
        <v/>
      </c>
      <c r="AC1339" s="7" t="str">
        <f aca="false">IF(AB1339="","KEEP","DROP")</f>
        <v>KEEP</v>
      </c>
      <c r="AD1339" s="7" t="str">
        <f aca="false">IF(TRIM(F1339)="",IFERROR(INDEX(Map_Tables!$I$4:$I$37,MATCH(TRIM(E1339),Map_Tables!$G$4:$G$37,0)),""),IFERROR(INDEX(Map_Tables!$B$4:$B$18,MATCH(TRIM(F1339),Map_Tables!$A$4:$A$18,0)),"CHECK"))</f>
        <v>Chennai</v>
      </c>
      <c r="AE1339" s="7" t="str">
        <f aca="false">IF(TRIM(E1339)="","",IFERROR(INDEX(Map_Tables!$H$4:$H$37,MATCH(TRIM(E1339),Map_Tables!$G$4:$G$37,0)),"CHECK"))</f>
        <v>Chettinad House</v>
      </c>
      <c r="AF1339" s="7" t="str">
        <f aca="false">IF(TRIM(K1339)="","Unknown",IFERROR(INDEX(Map_Tables!$E$4:$E$15,MATCH(TRIM(K1339),Map_Tables!$D$4:$D$15,0)),"CHECK"))</f>
        <v>UPI</v>
      </c>
      <c r="AG1339" s="7" t="str">
        <f aca="false">IF(LEFT(LOWER(TRIM(L1339)),6)="cancel","Cancelled","Delivered")</f>
        <v>Delivered</v>
      </c>
      <c r="AH1339" s="10" t="n">
        <f aca="false">IF(ISNUMBER(SEARCH("/",B1339)),DATE(VALUE(RIGHT(B1339,4)),VALUE(MID(B1339,4,2)),VALUE(LEFT(B1339,2))),IF(MID(B1339,5,1)="-",DATE(VALUE(LEFT(B1339,4)),VALUE(MID(B1339,6,2)),VALUE(RIGHT(B1339,2))),DATE(VALUE(RIGHT(B1339,4)),MATCH(MID(B1339,4,3),{"Jan","Feb","Mar","Apr","May","Jun","Jul","Aug","Sep","Oct","Nov","Dec"},0),VALUE(LEFT(B1339,2)))))</f>
        <v>45831</v>
      </c>
    </row>
    <row r="1340" customFormat="false" ht="15" hidden="false" customHeight="false" outlineLevel="0" collapsed="false">
      <c r="A1340" s="7" t="s">
        <v>1363</v>
      </c>
      <c r="B1340" s="7" t="s">
        <v>1364</v>
      </c>
      <c r="C1340" s="7" t="s">
        <v>1365</v>
      </c>
      <c r="D1340" s="7" t="s">
        <v>1366</v>
      </c>
      <c r="E1340" s="7" t="s">
        <v>89</v>
      </c>
      <c r="F1340" s="7" t="s">
        <v>86</v>
      </c>
      <c r="G1340" s="7" t="s">
        <v>90</v>
      </c>
      <c r="H1340" s="7" t="n">
        <v>2</v>
      </c>
      <c r="I1340" s="7" t="n">
        <v>225</v>
      </c>
      <c r="J1340" s="7" t="n">
        <v>0</v>
      </c>
      <c r="K1340" s="7" t="s">
        <v>88</v>
      </c>
      <c r="L1340" s="7" t="s">
        <v>194</v>
      </c>
      <c r="M1340" s="7" t="n">
        <v>43</v>
      </c>
      <c r="N1340" s="7" t="n">
        <v>4</v>
      </c>
      <c r="O1340" s="7" t="str">
        <f aca="false">A1340&amp;"|"&amp;B1340&amp;"|"&amp;C1340&amp;"|"&amp;D1340&amp;"|"&amp;E1340&amp;"|"&amp;F1340&amp;"|"&amp;G1340&amp;"|"&amp;H1340&amp;"|"&amp;I1340&amp;"|"&amp;J1340&amp;"|"&amp;K1340&amp;"|"&amp;L1340&amp;"|"&amp;M1340&amp;"|"&amp;N1340</f>
        <v>ORD10100|2025-01-13|18:11|C1112|Spice Junction|Bengaluru|North Indian|2|225|0|UPI|Delivered|43|4</v>
      </c>
      <c r="P1340" s="7" t="str">
        <f aca="false">IF(COUNTIF($O$2:O1340,O1340)&gt;1,"DUP","OK")</f>
        <v>DUP</v>
      </c>
      <c r="Q1340" s="7" t="n">
        <f aca="false">COUNTBLANK(A1340:N1340)</f>
        <v>0</v>
      </c>
      <c r="R1340" s="7" t="n">
        <f aca="false">IF(A1340="",0,COUNTIFS($A$2:$A$3058,A1340,$P$2:$P$3058,"OK"))</f>
        <v>1</v>
      </c>
      <c r="S1340" s="7" t="str">
        <f aca="false">IF(OR(A1340="",P1340="DUP",R1340&lt;2),"",IF(Q1340=_xlfn.MINIFS($Q$2:$Q$3058,$A$2:$A$3058,A1340,$P$2:$P$3058,"OK"),"KEEP","DROP"))</f>
        <v/>
      </c>
      <c r="T1340" s="9" t="n">
        <f aca="false">IF(A1340="",1,0)</f>
        <v>0</v>
      </c>
      <c r="U1340" s="9" t="n">
        <f aca="false">IF(D1340="",1,0)</f>
        <v>0</v>
      </c>
      <c r="V1340" s="9" t="n">
        <f aca="false">IF(E1340="",1,0)</f>
        <v>0</v>
      </c>
      <c r="W1340" s="9" t="n">
        <f aca="false">IF(OR(H1340&lt;1,H1340&gt;10),1,0)</f>
        <v>0</v>
      </c>
      <c r="X1340" s="9" t="n">
        <f aca="false">IF(OR(I1340&lt;=0,I1340&gt;1500),1,0)</f>
        <v>0</v>
      </c>
      <c r="Y1340" s="9" t="n">
        <f aca="false">IF(J1340&gt;H1340*I1340,1,0)</f>
        <v>0</v>
      </c>
      <c r="Z1340" s="9" t="n">
        <f aca="false">IF(AND(N1340&lt;&gt;"",OR(N1340&lt;1,N1340&gt;5)),1,0)</f>
        <v>0</v>
      </c>
      <c r="AA1340" s="9" t="n">
        <f aca="false">IF(AND(M1340&lt;&gt;"",OR(M1340&lt;5,M1340&gt;180)),1,0)</f>
        <v>0</v>
      </c>
      <c r="AB1340" s="7" t="str">
        <f aca="false">IF(P1340="DUP","Exact duplicate row",IF(T1340=1,"Missing Order ID",IF(S1340="DROP","Duplicate Order ID (less complete row)",IF(U1340=1,"Missing Customer ID",IF(V1340=1,"Missing Restaurant name",IF(W1340=1,"Invalid/outlier quantity",IF(X1340=1,"Invalid/outlier unit price",IF(Y1340=1,"Discount greater than order value",""))))))))</f>
        <v>Exact duplicate row</v>
      </c>
      <c r="AC1340" s="7" t="str">
        <f aca="false">IF(AB1340="","KEEP","DROP")</f>
        <v>DROP</v>
      </c>
      <c r="AD1340" s="7" t="str">
        <f aca="false">IF(TRIM(F1340)="",IFERROR(INDEX(Map_Tables!$I$4:$I$37,MATCH(TRIM(E1340),Map_Tables!$G$4:$G$37,0)),""),IFERROR(INDEX(Map_Tables!$B$4:$B$18,MATCH(TRIM(F1340),Map_Tables!$A$4:$A$18,0)),"CHECK"))</f>
        <v>Bengaluru</v>
      </c>
      <c r="AE1340" s="7" t="str">
        <f aca="false">IF(TRIM(E1340)="","",IFERROR(INDEX(Map_Tables!$H$4:$H$37,MATCH(TRIM(E1340),Map_Tables!$G$4:$G$37,0)),"CHECK"))</f>
        <v>Spice Junction</v>
      </c>
      <c r="AF1340" s="7" t="str">
        <f aca="false">IF(TRIM(K1340)="","Unknown",IFERROR(INDEX(Map_Tables!$E$4:$E$15,MATCH(TRIM(K1340),Map_Tables!$D$4:$D$15,0)),"CHECK"))</f>
        <v>UPI</v>
      </c>
      <c r="AG1340" s="7" t="str">
        <f aca="false">IF(LEFT(LOWER(TRIM(L1340)),6)="cancel","Cancelled","Delivered")</f>
        <v>Delivered</v>
      </c>
      <c r="AH1340" s="10" t="n">
        <f aca="false">IF(ISNUMBER(SEARCH("/",B1340)),DATE(VALUE(RIGHT(B1340,4)),VALUE(MID(B1340,4,2)),VALUE(LEFT(B1340,2))),IF(MID(B1340,5,1)="-",DATE(VALUE(LEFT(B1340,4)),VALUE(MID(B1340,6,2)),VALUE(RIGHT(B1340,2))),DATE(VALUE(RIGHT(B1340,4)),MATCH(MID(B1340,4,3),{"Jan","Feb","Mar","Apr","May","Jun","Jul","Aug","Sep","Oct","Nov","Dec"},0),VALUE(LEFT(B1340,2)))))</f>
        <v>45670</v>
      </c>
    </row>
    <row r="1341" customFormat="false" ht="15" hidden="false" customHeight="false" outlineLevel="0" collapsed="false">
      <c r="A1341" s="7" t="s">
        <v>3653</v>
      </c>
      <c r="B1341" s="7" t="s">
        <v>2320</v>
      </c>
      <c r="C1341" s="7" t="s">
        <v>969</v>
      </c>
      <c r="D1341" s="7" t="s">
        <v>3654</v>
      </c>
      <c r="E1341" s="7" t="s">
        <v>163</v>
      </c>
      <c r="F1341" s="7" t="s">
        <v>1793</v>
      </c>
      <c r="G1341" s="7" t="s">
        <v>99</v>
      </c>
      <c r="H1341" s="7" t="n">
        <v>2</v>
      </c>
      <c r="I1341" s="7" t="n">
        <v>265</v>
      </c>
      <c r="J1341" s="7" t="n">
        <v>40</v>
      </c>
      <c r="K1341" s="7" t="s">
        <v>88</v>
      </c>
      <c r="L1341" s="7" t="s">
        <v>194</v>
      </c>
      <c r="M1341" s="7" t="n">
        <v>39</v>
      </c>
      <c r="N1341" s="7" t="n">
        <v>5</v>
      </c>
      <c r="O1341" s="7" t="str">
        <f aca="false">A1341&amp;"|"&amp;B1341&amp;"|"&amp;C1341&amp;"|"&amp;D1341&amp;"|"&amp;E1341&amp;"|"&amp;F1341&amp;"|"&amp;G1341&amp;"|"&amp;H1341&amp;"|"&amp;I1341&amp;"|"&amp;J1341&amp;"|"&amp;K1341&amp;"|"&amp;L1341&amp;"|"&amp;M1341&amp;"|"&amp;N1341</f>
        <v>ORD11470|2025-07-10|13:49|C1203|Biryani Baadshah|Calcutta|Biryani|2|265|40|UPI|Delivered|39|5</v>
      </c>
      <c r="P1341" s="7" t="str">
        <f aca="false">IF(COUNTIF($O$2:O1341,O1341)&gt;1,"DUP","OK")</f>
        <v>OK</v>
      </c>
      <c r="Q1341" s="7" t="n">
        <f aca="false">COUNTBLANK(A1341:N1341)</f>
        <v>0</v>
      </c>
      <c r="R1341" s="7" t="n">
        <f aca="false">IF(A1341="",0,COUNTIFS($A$2:$A$3058,A1341,$P$2:$P$3058,"OK"))</f>
        <v>1</v>
      </c>
      <c r="S1341" s="7" t="str">
        <f aca="false">IF(OR(A1341="",P1341="DUP",R1341&lt;2),"",IF(Q1341=_xlfn.MINIFS($Q$2:$Q$3058,$A$2:$A$3058,A1341,$P$2:$P$3058,"OK"),"KEEP","DROP"))</f>
        <v/>
      </c>
      <c r="T1341" s="9" t="n">
        <f aca="false">IF(A1341="",1,0)</f>
        <v>0</v>
      </c>
      <c r="U1341" s="9" t="n">
        <f aca="false">IF(D1341="",1,0)</f>
        <v>0</v>
      </c>
      <c r="V1341" s="9" t="n">
        <f aca="false">IF(E1341="",1,0)</f>
        <v>0</v>
      </c>
      <c r="W1341" s="9" t="n">
        <f aca="false">IF(OR(H1341&lt;1,H1341&gt;10),1,0)</f>
        <v>0</v>
      </c>
      <c r="X1341" s="9" t="n">
        <f aca="false">IF(OR(I1341&lt;=0,I1341&gt;1500),1,0)</f>
        <v>0</v>
      </c>
      <c r="Y1341" s="9" t="n">
        <f aca="false">IF(J1341&gt;H1341*I1341,1,0)</f>
        <v>0</v>
      </c>
      <c r="Z1341" s="9" t="n">
        <f aca="false">IF(AND(N1341&lt;&gt;"",OR(N1341&lt;1,N1341&gt;5)),1,0)</f>
        <v>0</v>
      </c>
      <c r="AA1341" s="9" t="n">
        <f aca="false">IF(AND(M1341&lt;&gt;"",OR(M1341&lt;5,M1341&gt;180)),1,0)</f>
        <v>0</v>
      </c>
      <c r="AB1341" s="7" t="str">
        <f aca="false">IF(P1341="DUP","Exact duplicate row",IF(T1341=1,"Missing Order ID",IF(S1341="DROP","Duplicate Order ID (less complete row)",IF(U1341=1,"Missing Customer ID",IF(V1341=1,"Missing Restaurant name",IF(W1341=1,"Invalid/outlier quantity",IF(X1341=1,"Invalid/outlier unit price",IF(Y1341=1,"Discount greater than order value",""))))))))</f>
        <v/>
      </c>
      <c r="AC1341" s="7" t="str">
        <f aca="false">IF(AB1341="","KEEP","DROP")</f>
        <v>KEEP</v>
      </c>
      <c r="AD1341" s="7" t="str">
        <f aca="false">IF(TRIM(F1341)="",IFERROR(INDEX(Map_Tables!$I$4:$I$37,MATCH(TRIM(E1341),Map_Tables!$G$4:$G$37,0)),""),IFERROR(INDEX(Map_Tables!$B$4:$B$18,MATCH(TRIM(F1341),Map_Tables!$A$4:$A$18,0)),"CHECK"))</f>
        <v>Kolkata</v>
      </c>
      <c r="AE1341" s="7" t="str">
        <f aca="false">IF(TRIM(E1341)="","",IFERROR(INDEX(Map_Tables!$H$4:$H$37,MATCH(TRIM(E1341),Map_Tables!$G$4:$G$37,0)),"CHECK"))</f>
        <v>Biryani Baadshah</v>
      </c>
      <c r="AF1341" s="7" t="str">
        <f aca="false">IF(TRIM(K1341)="","Unknown",IFERROR(INDEX(Map_Tables!$E$4:$E$15,MATCH(TRIM(K1341),Map_Tables!$D$4:$D$15,0)),"CHECK"))</f>
        <v>UPI</v>
      </c>
      <c r="AG1341" s="7" t="str">
        <f aca="false">IF(LEFT(LOWER(TRIM(L1341)),6)="cancel","Cancelled","Delivered")</f>
        <v>Delivered</v>
      </c>
      <c r="AH1341" s="10" t="n">
        <f aca="false">IF(ISNUMBER(SEARCH("/",B1341)),DATE(VALUE(RIGHT(B1341,4)),VALUE(MID(B1341,4,2)),VALUE(LEFT(B1341,2))),IF(MID(B1341,5,1)="-",DATE(VALUE(LEFT(B1341,4)),VALUE(MID(B1341,6,2)),VALUE(RIGHT(B1341,2))),DATE(VALUE(RIGHT(B1341,4)),MATCH(MID(B1341,4,3),{"Jan","Feb","Mar","Apr","May","Jun","Jul","Aug","Sep","Oct","Nov","Dec"},0),VALUE(LEFT(B1341,2)))))</f>
        <v>45848</v>
      </c>
    </row>
    <row r="1342" customFormat="false" ht="15" hidden="false" customHeight="false" outlineLevel="0" collapsed="false">
      <c r="A1342" s="7" t="s">
        <v>3655</v>
      </c>
      <c r="B1342" s="7" t="s">
        <v>436</v>
      </c>
      <c r="C1342" s="7" t="s">
        <v>3656</v>
      </c>
      <c r="D1342" s="7" t="s">
        <v>3657</v>
      </c>
      <c r="E1342" s="7" t="s">
        <v>158</v>
      </c>
      <c r="F1342" s="7" t="s">
        <v>136</v>
      </c>
      <c r="G1342" s="7" t="s">
        <v>139</v>
      </c>
      <c r="H1342" s="7" t="n">
        <v>2</v>
      </c>
      <c r="I1342" s="7" t="n">
        <v>185</v>
      </c>
      <c r="J1342" s="7" t="n">
        <v>0</v>
      </c>
      <c r="K1342" s="7" t="s">
        <v>421</v>
      </c>
      <c r="L1342" s="7" t="s">
        <v>194</v>
      </c>
      <c r="M1342" s="7" t="n">
        <v>17</v>
      </c>
      <c r="N1342" s="7" t="n">
        <v>4</v>
      </c>
      <c r="O1342" s="7" t="str">
        <f aca="false">A1342&amp;"|"&amp;B1342&amp;"|"&amp;C1342&amp;"|"&amp;D1342&amp;"|"&amp;E1342&amp;"|"&amp;F1342&amp;"|"&amp;G1342&amp;"|"&amp;H1342&amp;"|"&amp;I1342&amp;"|"&amp;J1342&amp;"|"&amp;K1342&amp;"|"&amp;L1342&amp;"|"&amp;M1342&amp;"|"&amp;N1342</f>
        <v>ORD10084|2025-01-12|10:58|C1377|Pune Burger Hub|Pune|Burgers|2|185|0|UPI |Delivered|17|4</v>
      </c>
      <c r="P1342" s="7" t="str">
        <f aca="false">IF(COUNTIF($O$2:O1342,O1342)&gt;1,"DUP","OK")</f>
        <v>OK</v>
      </c>
      <c r="Q1342" s="7" t="n">
        <f aca="false">COUNTBLANK(A1342:N1342)</f>
        <v>0</v>
      </c>
      <c r="R1342" s="7" t="n">
        <f aca="false">IF(A1342="",0,COUNTIFS($A$2:$A$3058,A1342,$P$2:$P$3058,"OK"))</f>
        <v>1</v>
      </c>
      <c r="S1342" s="7" t="str">
        <f aca="false">IF(OR(A1342="",P1342="DUP",R1342&lt;2),"",IF(Q1342=_xlfn.MINIFS($Q$2:$Q$3058,$A$2:$A$3058,A1342,$P$2:$P$3058,"OK"),"KEEP","DROP"))</f>
        <v/>
      </c>
      <c r="T1342" s="9" t="n">
        <f aca="false">IF(A1342="",1,0)</f>
        <v>0</v>
      </c>
      <c r="U1342" s="9" t="n">
        <f aca="false">IF(D1342="",1,0)</f>
        <v>0</v>
      </c>
      <c r="V1342" s="9" t="n">
        <f aca="false">IF(E1342="",1,0)</f>
        <v>0</v>
      </c>
      <c r="W1342" s="9" t="n">
        <f aca="false">IF(OR(H1342&lt;1,H1342&gt;10),1,0)</f>
        <v>0</v>
      </c>
      <c r="X1342" s="9" t="n">
        <f aca="false">IF(OR(I1342&lt;=0,I1342&gt;1500),1,0)</f>
        <v>0</v>
      </c>
      <c r="Y1342" s="9" t="n">
        <f aca="false">IF(J1342&gt;H1342*I1342,1,0)</f>
        <v>0</v>
      </c>
      <c r="Z1342" s="9" t="n">
        <f aca="false">IF(AND(N1342&lt;&gt;"",OR(N1342&lt;1,N1342&gt;5)),1,0)</f>
        <v>0</v>
      </c>
      <c r="AA1342" s="9" t="n">
        <f aca="false">IF(AND(M1342&lt;&gt;"",OR(M1342&lt;5,M1342&gt;180)),1,0)</f>
        <v>0</v>
      </c>
      <c r="AB1342" s="7" t="str">
        <f aca="false">IF(P1342="DUP","Exact duplicate row",IF(T1342=1,"Missing Order ID",IF(S1342="DROP","Duplicate Order ID (less complete row)",IF(U1342=1,"Missing Customer ID",IF(V1342=1,"Missing Restaurant name",IF(W1342=1,"Invalid/outlier quantity",IF(X1342=1,"Invalid/outlier unit price",IF(Y1342=1,"Discount greater than order value",""))))))))</f>
        <v/>
      </c>
      <c r="AC1342" s="7" t="str">
        <f aca="false">IF(AB1342="","KEEP","DROP")</f>
        <v>KEEP</v>
      </c>
      <c r="AD1342" s="7" t="str">
        <f aca="false">IF(TRIM(F1342)="",IFERROR(INDEX(Map_Tables!$I$4:$I$37,MATCH(TRIM(E1342),Map_Tables!$G$4:$G$37,0)),""),IFERROR(INDEX(Map_Tables!$B$4:$B$18,MATCH(TRIM(F1342),Map_Tables!$A$4:$A$18,0)),"CHECK"))</f>
        <v>Pune</v>
      </c>
      <c r="AE1342" s="7" t="str">
        <f aca="false">IF(TRIM(E1342)="","",IFERROR(INDEX(Map_Tables!$H$4:$H$37,MATCH(TRIM(E1342),Map_Tables!$G$4:$G$37,0)),"CHECK"))</f>
        <v>Pune Burger Hub</v>
      </c>
      <c r="AF1342" s="7" t="str">
        <f aca="false">IF(TRIM(K1342)="","Unknown",IFERROR(INDEX(Map_Tables!$E$4:$E$15,MATCH(TRIM(K1342),Map_Tables!$D$4:$D$15,0)),"CHECK"))</f>
        <v>UPI</v>
      </c>
      <c r="AG1342" s="7" t="str">
        <f aca="false">IF(LEFT(LOWER(TRIM(L1342)),6)="cancel","Cancelled","Delivered")</f>
        <v>Delivered</v>
      </c>
      <c r="AH1342" s="10" t="n">
        <f aca="false">IF(ISNUMBER(SEARCH("/",B1342)),DATE(VALUE(RIGHT(B1342,4)),VALUE(MID(B1342,4,2)),VALUE(LEFT(B1342,2))),IF(MID(B1342,5,1)="-",DATE(VALUE(LEFT(B1342,4)),VALUE(MID(B1342,6,2)),VALUE(RIGHT(B1342,2))),DATE(VALUE(RIGHT(B1342,4)),MATCH(MID(B1342,4,3),{"Jan","Feb","Mar","Apr","May","Jun","Jul","Aug","Sep","Oct","Nov","Dec"},0),VALUE(LEFT(B1342,2)))))</f>
        <v>45669</v>
      </c>
    </row>
    <row r="1343" customFormat="false" ht="15" hidden="false" customHeight="false" outlineLevel="0" collapsed="false">
      <c r="A1343" s="7" t="s">
        <v>3658</v>
      </c>
      <c r="B1343" s="7" t="s">
        <v>700</v>
      </c>
      <c r="C1343" s="7" t="s">
        <v>1219</v>
      </c>
      <c r="D1343" s="7" t="s">
        <v>3659</v>
      </c>
      <c r="E1343" s="7" t="s">
        <v>126</v>
      </c>
      <c r="F1343" s="7" t="s">
        <v>101</v>
      </c>
      <c r="G1343" s="7" t="s">
        <v>105</v>
      </c>
      <c r="H1343" s="7" t="n">
        <v>1</v>
      </c>
      <c r="I1343" s="7" t="n">
        <v>255</v>
      </c>
      <c r="J1343" s="7" t="n">
        <v>0</v>
      </c>
      <c r="K1343" s="7" t="s">
        <v>92</v>
      </c>
      <c r="L1343" s="7" t="s">
        <v>194</v>
      </c>
      <c r="M1343" s="7" t="n">
        <v>46</v>
      </c>
      <c r="N1343" s="7" t="n">
        <v>4</v>
      </c>
      <c r="O1343" s="7" t="str">
        <f aca="false">A1343&amp;"|"&amp;B1343&amp;"|"&amp;C1343&amp;"|"&amp;D1343&amp;"|"&amp;E1343&amp;"|"&amp;F1343&amp;"|"&amp;G1343&amp;"|"&amp;H1343&amp;"|"&amp;I1343&amp;"|"&amp;J1343&amp;"|"&amp;K1343&amp;"|"&amp;L1343&amp;"|"&amp;M1343&amp;"|"&amp;N1343</f>
        <v>ORD10766|2025-04-07|17:07|C0951|Dragon Express|Mumbai|Chinese|1|255|0|credit card|Delivered|46|4</v>
      </c>
      <c r="P1343" s="7" t="str">
        <f aca="false">IF(COUNTIF($O$2:O1343,O1343)&gt;1,"DUP","OK")</f>
        <v>OK</v>
      </c>
      <c r="Q1343" s="7" t="n">
        <f aca="false">COUNTBLANK(A1343:N1343)</f>
        <v>0</v>
      </c>
      <c r="R1343" s="7" t="n">
        <f aca="false">IF(A1343="",0,COUNTIFS($A$2:$A$3058,A1343,$P$2:$P$3058,"OK"))</f>
        <v>1</v>
      </c>
      <c r="S1343" s="7" t="str">
        <f aca="false">IF(OR(A1343="",P1343="DUP",R1343&lt;2),"",IF(Q1343=_xlfn.MINIFS($Q$2:$Q$3058,$A$2:$A$3058,A1343,$P$2:$P$3058,"OK"),"KEEP","DROP"))</f>
        <v/>
      </c>
      <c r="T1343" s="9" t="n">
        <f aca="false">IF(A1343="",1,0)</f>
        <v>0</v>
      </c>
      <c r="U1343" s="9" t="n">
        <f aca="false">IF(D1343="",1,0)</f>
        <v>0</v>
      </c>
      <c r="V1343" s="9" t="n">
        <f aca="false">IF(E1343="",1,0)</f>
        <v>0</v>
      </c>
      <c r="W1343" s="9" t="n">
        <f aca="false">IF(OR(H1343&lt;1,H1343&gt;10),1,0)</f>
        <v>0</v>
      </c>
      <c r="X1343" s="9" t="n">
        <f aca="false">IF(OR(I1343&lt;=0,I1343&gt;1500),1,0)</f>
        <v>0</v>
      </c>
      <c r="Y1343" s="9" t="n">
        <f aca="false">IF(J1343&gt;H1343*I1343,1,0)</f>
        <v>0</v>
      </c>
      <c r="Z1343" s="9" t="n">
        <f aca="false">IF(AND(N1343&lt;&gt;"",OR(N1343&lt;1,N1343&gt;5)),1,0)</f>
        <v>0</v>
      </c>
      <c r="AA1343" s="9" t="n">
        <f aca="false">IF(AND(M1343&lt;&gt;"",OR(M1343&lt;5,M1343&gt;180)),1,0)</f>
        <v>0</v>
      </c>
      <c r="AB1343" s="7" t="str">
        <f aca="false">IF(P1343="DUP","Exact duplicate row",IF(T1343=1,"Missing Order ID",IF(S1343="DROP","Duplicate Order ID (less complete row)",IF(U1343=1,"Missing Customer ID",IF(V1343=1,"Missing Restaurant name",IF(W1343=1,"Invalid/outlier quantity",IF(X1343=1,"Invalid/outlier unit price",IF(Y1343=1,"Discount greater than order value",""))))))))</f>
        <v/>
      </c>
      <c r="AC1343" s="7" t="str">
        <f aca="false">IF(AB1343="","KEEP","DROP")</f>
        <v>KEEP</v>
      </c>
      <c r="AD1343" s="7" t="str">
        <f aca="false">IF(TRIM(F1343)="",IFERROR(INDEX(Map_Tables!$I$4:$I$37,MATCH(TRIM(E1343),Map_Tables!$G$4:$G$37,0)),""),IFERROR(INDEX(Map_Tables!$B$4:$B$18,MATCH(TRIM(F1343),Map_Tables!$A$4:$A$18,0)),"CHECK"))</f>
        <v>Mumbai</v>
      </c>
      <c r="AE1343" s="7" t="str">
        <f aca="false">IF(TRIM(E1343)="","",IFERROR(INDEX(Map_Tables!$H$4:$H$37,MATCH(TRIM(E1343),Map_Tables!$G$4:$G$37,0)),"CHECK"))</f>
        <v>Dragon Express</v>
      </c>
      <c r="AF1343" s="7" t="str">
        <f aca="false">IF(TRIM(K1343)="","Unknown",IFERROR(INDEX(Map_Tables!$E$4:$E$15,MATCH(TRIM(K1343),Map_Tables!$D$4:$D$15,0)),"CHECK"))</f>
        <v>Credit Card</v>
      </c>
      <c r="AG1343" s="7" t="str">
        <f aca="false">IF(LEFT(LOWER(TRIM(L1343)),6)="cancel","Cancelled","Delivered")</f>
        <v>Delivered</v>
      </c>
      <c r="AH1343" s="10" t="n">
        <f aca="false">IF(ISNUMBER(SEARCH("/",B1343)),DATE(VALUE(RIGHT(B1343,4)),VALUE(MID(B1343,4,2)),VALUE(LEFT(B1343,2))),IF(MID(B1343,5,1)="-",DATE(VALUE(LEFT(B1343,4)),VALUE(MID(B1343,6,2)),VALUE(RIGHT(B1343,2))),DATE(VALUE(RIGHT(B1343,4)),MATCH(MID(B1343,4,3),{"Jan","Feb","Mar","Apr","May","Jun","Jul","Aug","Sep","Oct","Nov","Dec"},0),VALUE(LEFT(B1343,2)))))</f>
        <v>45754</v>
      </c>
    </row>
    <row r="1344" customFormat="false" ht="15" hidden="false" customHeight="false" outlineLevel="0" collapsed="false">
      <c r="A1344" s="7" t="s">
        <v>3660</v>
      </c>
      <c r="B1344" s="7" t="s">
        <v>924</v>
      </c>
      <c r="C1344" s="7" t="s">
        <v>896</v>
      </c>
      <c r="D1344" s="7" t="s">
        <v>2043</v>
      </c>
      <c r="E1344" s="7" t="s">
        <v>116</v>
      </c>
      <c r="F1344" s="7" t="s">
        <v>101</v>
      </c>
      <c r="G1344" s="7" t="s">
        <v>117</v>
      </c>
      <c r="H1344" s="7" t="n">
        <v>1</v>
      </c>
      <c r="I1344" s="7" t="n">
        <v>160</v>
      </c>
      <c r="J1344" s="7" t="n">
        <v>64</v>
      </c>
      <c r="K1344" s="7" t="s">
        <v>92</v>
      </c>
      <c r="L1344" s="7" t="s">
        <v>194</v>
      </c>
      <c r="M1344" s="7" t="n">
        <v>38</v>
      </c>
      <c r="N1344" s="7" t="n">
        <v>3</v>
      </c>
      <c r="O1344" s="7" t="str">
        <f aca="false">A1344&amp;"|"&amp;B1344&amp;"|"&amp;C1344&amp;"|"&amp;D1344&amp;"|"&amp;E1344&amp;"|"&amp;F1344&amp;"|"&amp;G1344&amp;"|"&amp;H1344&amp;"|"&amp;I1344&amp;"|"&amp;J1344&amp;"|"&amp;K1344&amp;"|"&amp;L1344&amp;"|"&amp;M1344&amp;"|"&amp;N1344</f>
        <v>ORD10103|2025-01-14|12:15|C0605|Pav Bhaji Point|Mumbai|Street Food|1|160|64|credit card|Delivered|38|3</v>
      </c>
      <c r="P1344" s="7" t="str">
        <f aca="false">IF(COUNTIF($O$2:O1344,O1344)&gt;1,"DUP","OK")</f>
        <v>OK</v>
      </c>
      <c r="Q1344" s="7" t="n">
        <f aca="false">COUNTBLANK(A1344:N1344)</f>
        <v>0</v>
      </c>
      <c r="R1344" s="7" t="n">
        <f aca="false">IF(A1344="",0,COUNTIFS($A$2:$A$3058,A1344,$P$2:$P$3058,"OK"))</f>
        <v>1</v>
      </c>
      <c r="S1344" s="7" t="str">
        <f aca="false">IF(OR(A1344="",P1344="DUP",R1344&lt;2),"",IF(Q1344=_xlfn.MINIFS($Q$2:$Q$3058,$A$2:$A$3058,A1344,$P$2:$P$3058,"OK"),"KEEP","DROP"))</f>
        <v/>
      </c>
      <c r="T1344" s="9" t="n">
        <f aca="false">IF(A1344="",1,0)</f>
        <v>0</v>
      </c>
      <c r="U1344" s="9" t="n">
        <f aca="false">IF(D1344="",1,0)</f>
        <v>0</v>
      </c>
      <c r="V1344" s="9" t="n">
        <f aca="false">IF(E1344="",1,0)</f>
        <v>0</v>
      </c>
      <c r="W1344" s="9" t="n">
        <f aca="false">IF(OR(H1344&lt;1,H1344&gt;10),1,0)</f>
        <v>0</v>
      </c>
      <c r="X1344" s="9" t="n">
        <f aca="false">IF(OR(I1344&lt;=0,I1344&gt;1500),1,0)</f>
        <v>0</v>
      </c>
      <c r="Y1344" s="9" t="n">
        <f aca="false">IF(J1344&gt;H1344*I1344,1,0)</f>
        <v>0</v>
      </c>
      <c r="Z1344" s="9" t="n">
        <f aca="false">IF(AND(N1344&lt;&gt;"",OR(N1344&lt;1,N1344&gt;5)),1,0)</f>
        <v>0</v>
      </c>
      <c r="AA1344" s="9" t="n">
        <f aca="false">IF(AND(M1344&lt;&gt;"",OR(M1344&lt;5,M1344&gt;180)),1,0)</f>
        <v>0</v>
      </c>
      <c r="AB1344" s="7" t="str">
        <f aca="false">IF(P1344="DUP","Exact duplicate row",IF(T1344=1,"Missing Order ID",IF(S1344="DROP","Duplicate Order ID (less complete row)",IF(U1344=1,"Missing Customer ID",IF(V1344=1,"Missing Restaurant name",IF(W1344=1,"Invalid/outlier quantity",IF(X1344=1,"Invalid/outlier unit price",IF(Y1344=1,"Discount greater than order value",""))))))))</f>
        <v/>
      </c>
      <c r="AC1344" s="7" t="str">
        <f aca="false">IF(AB1344="","KEEP","DROP")</f>
        <v>KEEP</v>
      </c>
      <c r="AD1344" s="7" t="str">
        <f aca="false">IF(TRIM(F1344)="",IFERROR(INDEX(Map_Tables!$I$4:$I$37,MATCH(TRIM(E1344),Map_Tables!$G$4:$G$37,0)),""),IFERROR(INDEX(Map_Tables!$B$4:$B$18,MATCH(TRIM(F1344),Map_Tables!$A$4:$A$18,0)),"CHECK"))</f>
        <v>Mumbai</v>
      </c>
      <c r="AE1344" s="7" t="str">
        <f aca="false">IF(TRIM(E1344)="","",IFERROR(INDEX(Map_Tables!$H$4:$H$37,MATCH(TRIM(E1344),Map_Tables!$G$4:$G$37,0)),"CHECK"))</f>
        <v>Pav Bhaji Point</v>
      </c>
      <c r="AF1344" s="7" t="str">
        <f aca="false">IF(TRIM(K1344)="","Unknown",IFERROR(INDEX(Map_Tables!$E$4:$E$15,MATCH(TRIM(K1344),Map_Tables!$D$4:$D$15,0)),"CHECK"))</f>
        <v>Credit Card</v>
      </c>
      <c r="AG1344" s="7" t="str">
        <f aca="false">IF(LEFT(LOWER(TRIM(L1344)),6)="cancel","Cancelled","Delivered")</f>
        <v>Delivered</v>
      </c>
      <c r="AH1344" s="10" t="n">
        <f aca="false">IF(ISNUMBER(SEARCH("/",B1344)),DATE(VALUE(RIGHT(B1344,4)),VALUE(MID(B1344,4,2)),VALUE(LEFT(B1344,2))),IF(MID(B1344,5,1)="-",DATE(VALUE(LEFT(B1344,4)),VALUE(MID(B1344,6,2)),VALUE(RIGHT(B1344,2))),DATE(VALUE(RIGHT(B1344,4)),MATCH(MID(B1344,4,3),{"Jan","Feb","Mar","Apr","May","Jun","Jul","Aug","Sep","Oct","Nov","Dec"},0),VALUE(LEFT(B1344,2)))))</f>
        <v>45671</v>
      </c>
    </row>
    <row r="1345" customFormat="false" ht="15" hidden="false" customHeight="false" outlineLevel="0" collapsed="false">
      <c r="A1345" s="7" t="s">
        <v>3661</v>
      </c>
      <c r="B1345" s="7" t="s">
        <v>3662</v>
      </c>
      <c r="C1345" s="7" t="s">
        <v>1604</v>
      </c>
      <c r="D1345" s="7" t="s">
        <v>3663</v>
      </c>
      <c r="E1345" s="7" t="s">
        <v>164</v>
      </c>
      <c r="F1345" s="7" t="s">
        <v>141</v>
      </c>
      <c r="G1345" s="7" t="s">
        <v>150</v>
      </c>
      <c r="H1345" s="7" t="n">
        <v>3</v>
      </c>
      <c r="I1345" s="7" t="n">
        <v>125</v>
      </c>
      <c r="J1345" s="7" t="n">
        <v>0</v>
      </c>
      <c r="K1345" s="7" t="s">
        <v>88</v>
      </c>
      <c r="L1345" s="7" t="s">
        <v>194</v>
      </c>
      <c r="M1345" s="7" t="n">
        <v>38</v>
      </c>
      <c r="N1345" s="7" t="n">
        <v>3</v>
      </c>
      <c r="O1345" s="7" t="str">
        <f aca="false">A1345&amp;"|"&amp;B1345&amp;"|"&amp;C1345&amp;"|"&amp;D1345&amp;"|"&amp;E1345&amp;"|"&amp;F1345&amp;"|"&amp;G1345&amp;"|"&amp;H1345&amp;"|"&amp;I1345&amp;"|"&amp;J1345&amp;"|"&amp;K1345&amp;"|"&amp;L1345&amp;"|"&amp;M1345&amp;"|"&amp;N1345</f>
        <v>ORD10147|20/01/2025|08:47|C0156|Mishti Mandir|Kolkata|Desserts|3|125|0|UPI|Delivered|38|3</v>
      </c>
      <c r="P1345" s="7" t="str">
        <f aca="false">IF(COUNTIF($O$2:O1345,O1345)&gt;1,"DUP","OK")</f>
        <v>OK</v>
      </c>
      <c r="Q1345" s="7" t="n">
        <f aca="false">COUNTBLANK(A1345:N1345)</f>
        <v>0</v>
      </c>
      <c r="R1345" s="7" t="n">
        <f aca="false">IF(A1345="",0,COUNTIFS($A$2:$A$3058,A1345,$P$2:$P$3058,"OK"))</f>
        <v>1</v>
      </c>
      <c r="S1345" s="7" t="str">
        <f aca="false">IF(OR(A1345="",P1345="DUP",R1345&lt;2),"",IF(Q1345=_xlfn.MINIFS($Q$2:$Q$3058,$A$2:$A$3058,A1345,$P$2:$P$3058,"OK"),"KEEP","DROP"))</f>
        <v/>
      </c>
      <c r="T1345" s="9" t="n">
        <f aca="false">IF(A1345="",1,0)</f>
        <v>0</v>
      </c>
      <c r="U1345" s="9" t="n">
        <f aca="false">IF(D1345="",1,0)</f>
        <v>0</v>
      </c>
      <c r="V1345" s="9" t="n">
        <f aca="false">IF(E1345="",1,0)</f>
        <v>0</v>
      </c>
      <c r="W1345" s="9" t="n">
        <f aca="false">IF(OR(H1345&lt;1,H1345&gt;10),1,0)</f>
        <v>0</v>
      </c>
      <c r="X1345" s="9" t="n">
        <f aca="false">IF(OR(I1345&lt;=0,I1345&gt;1500),1,0)</f>
        <v>0</v>
      </c>
      <c r="Y1345" s="9" t="n">
        <f aca="false">IF(J1345&gt;H1345*I1345,1,0)</f>
        <v>0</v>
      </c>
      <c r="Z1345" s="9" t="n">
        <f aca="false">IF(AND(N1345&lt;&gt;"",OR(N1345&lt;1,N1345&gt;5)),1,0)</f>
        <v>0</v>
      </c>
      <c r="AA1345" s="9" t="n">
        <f aca="false">IF(AND(M1345&lt;&gt;"",OR(M1345&lt;5,M1345&gt;180)),1,0)</f>
        <v>0</v>
      </c>
      <c r="AB1345" s="7" t="str">
        <f aca="false">IF(P1345="DUP","Exact duplicate row",IF(T1345=1,"Missing Order ID",IF(S1345="DROP","Duplicate Order ID (less complete row)",IF(U1345=1,"Missing Customer ID",IF(V1345=1,"Missing Restaurant name",IF(W1345=1,"Invalid/outlier quantity",IF(X1345=1,"Invalid/outlier unit price",IF(Y1345=1,"Discount greater than order value",""))))))))</f>
        <v/>
      </c>
      <c r="AC1345" s="7" t="str">
        <f aca="false">IF(AB1345="","KEEP","DROP")</f>
        <v>KEEP</v>
      </c>
      <c r="AD1345" s="7" t="str">
        <f aca="false">IF(TRIM(F1345)="",IFERROR(INDEX(Map_Tables!$I$4:$I$37,MATCH(TRIM(E1345),Map_Tables!$G$4:$G$37,0)),""),IFERROR(INDEX(Map_Tables!$B$4:$B$18,MATCH(TRIM(F1345),Map_Tables!$A$4:$A$18,0)),"CHECK"))</f>
        <v>Kolkata</v>
      </c>
      <c r="AE1345" s="7" t="str">
        <f aca="false">IF(TRIM(E1345)="","",IFERROR(INDEX(Map_Tables!$H$4:$H$37,MATCH(TRIM(E1345),Map_Tables!$G$4:$G$37,0)),"CHECK"))</f>
        <v>Mishti Mandir</v>
      </c>
      <c r="AF1345" s="7" t="str">
        <f aca="false">IF(TRIM(K1345)="","Unknown",IFERROR(INDEX(Map_Tables!$E$4:$E$15,MATCH(TRIM(K1345),Map_Tables!$D$4:$D$15,0)),"CHECK"))</f>
        <v>UPI</v>
      </c>
      <c r="AG1345" s="7" t="str">
        <f aca="false">IF(LEFT(LOWER(TRIM(L1345)),6)="cancel","Cancelled","Delivered")</f>
        <v>Delivered</v>
      </c>
      <c r="AH1345" s="10" t="n">
        <f aca="false">IF(ISNUMBER(SEARCH("/",B1345)),DATE(VALUE(RIGHT(B1345,4)),VALUE(MID(B1345,4,2)),VALUE(LEFT(B1345,2))),IF(MID(B1345,5,1)="-",DATE(VALUE(LEFT(B1345,4)),VALUE(MID(B1345,6,2)),VALUE(RIGHT(B1345,2))),DATE(VALUE(RIGHT(B1345,4)),MATCH(MID(B1345,4,3),{"Jan","Feb","Mar","Apr","May","Jun","Jul","Aug","Sep","Oct","Nov","Dec"},0),VALUE(LEFT(B1345,2)))))</f>
        <v>45677</v>
      </c>
    </row>
    <row r="1346" customFormat="false" ht="15" hidden="false" customHeight="false" outlineLevel="0" collapsed="false">
      <c r="A1346" s="7" t="s">
        <v>3664</v>
      </c>
      <c r="B1346" s="7" t="s">
        <v>800</v>
      </c>
      <c r="C1346" s="7" t="s">
        <v>232</v>
      </c>
      <c r="D1346" s="7" t="s">
        <v>1229</v>
      </c>
      <c r="E1346" s="7" t="s">
        <v>949</v>
      </c>
      <c r="F1346" s="7" t="s">
        <v>110</v>
      </c>
      <c r="G1346" s="7" t="s">
        <v>90</v>
      </c>
      <c r="H1346" s="7" t="n">
        <v>3</v>
      </c>
      <c r="I1346" s="7" t="n">
        <v>190</v>
      </c>
      <c r="J1346" s="7" t="n">
        <v>0</v>
      </c>
      <c r="K1346" s="7" t="s">
        <v>88</v>
      </c>
      <c r="L1346" s="7" t="s">
        <v>194</v>
      </c>
      <c r="M1346" s="7" t="n">
        <v>38</v>
      </c>
      <c r="N1346" s="7" t="n">
        <v>4</v>
      </c>
      <c r="O1346" s="7" t="str">
        <f aca="false">A1346&amp;"|"&amp;B1346&amp;"|"&amp;C1346&amp;"|"&amp;D1346&amp;"|"&amp;E1346&amp;"|"&amp;F1346&amp;"|"&amp;G1346&amp;"|"&amp;H1346&amp;"|"&amp;I1346&amp;"|"&amp;J1346&amp;"|"&amp;K1346&amp;"|"&amp;L1346&amp;"|"&amp;M1346&amp;"|"&amp;N1346</f>
        <v>ORD11134|2025-05-24|21:09|C1324|Tandoor  Tales|Delhi|North Indian|3|190|0|UPI|Delivered|38|4</v>
      </c>
      <c r="P1346" s="7" t="str">
        <f aca="false">IF(COUNTIF($O$2:O1346,O1346)&gt;1,"DUP","OK")</f>
        <v>OK</v>
      </c>
      <c r="Q1346" s="7" t="n">
        <f aca="false">COUNTBLANK(A1346:N1346)</f>
        <v>0</v>
      </c>
      <c r="R1346" s="7" t="n">
        <f aca="false">IF(A1346="",0,COUNTIFS($A$2:$A$3058,A1346,$P$2:$P$3058,"OK"))</f>
        <v>1</v>
      </c>
      <c r="S1346" s="7" t="str">
        <f aca="false">IF(OR(A1346="",P1346="DUP",R1346&lt;2),"",IF(Q1346=_xlfn.MINIFS($Q$2:$Q$3058,$A$2:$A$3058,A1346,$P$2:$P$3058,"OK"),"KEEP","DROP"))</f>
        <v/>
      </c>
      <c r="T1346" s="9" t="n">
        <f aca="false">IF(A1346="",1,0)</f>
        <v>0</v>
      </c>
      <c r="U1346" s="9" t="n">
        <f aca="false">IF(D1346="",1,0)</f>
        <v>0</v>
      </c>
      <c r="V1346" s="9" t="n">
        <f aca="false">IF(E1346="",1,0)</f>
        <v>0</v>
      </c>
      <c r="W1346" s="9" t="n">
        <f aca="false">IF(OR(H1346&lt;1,H1346&gt;10),1,0)</f>
        <v>0</v>
      </c>
      <c r="X1346" s="9" t="n">
        <f aca="false">IF(OR(I1346&lt;=0,I1346&gt;1500),1,0)</f>
        <v>0</v>
      </c>
      <c r="Y1346" s="9" t="n">
        <f aca="false">IF(J1346&gt;H1346*I1346,1,0)</f>
        <v>0</v>
      </c>
      <c r="Z1346" s="9" t="n">
        <f aca="false">IF(AND(N1346&lt;&gt;"",OR(N1346&lt;1,N1346&gt;5)),1,0)</f>
        <v>0</v>
      </c>
      <c r="AA1346" s="9" t="n">
        <f aca="false">IF(AND(M1346&lt;&gt;"",OR(M1346&lt;5,M1346&gt;180)),1,0)</f>
        <v>0</v>
      </c>
      <c r="AB1346" s="7" t="str">
        <f aca="false">IF(P1346="DUP","Exact duplicate row",IF(T1346=1,"Missing Order ID",IF(S1346="DROP","Duplicate Order ID (less complete row)",IF(U1346=1,"Missing Customer ID",IF(V1346=1,"Missing Restaurant name",IF(W1346=1,"Invalid/outlier quantity",IF(X1346=1,"Invalid/outlier unit price",IF(Y1346=1,"Discount greater than order value",""))))))))</f>
        <v/>
      </c>
      <c r="AC1346" s="7" t="str">
        <f aca="false">IF(AB1346="","KEEP","DROP")</f>
        <v>KEEP</v>
      </c>
      <c r="AD1346" s="7" t="str">
        <f aca="false">IF(TRIM(F1346)="",IFERROR(INDEX(Map_Tables!$I$4:$I$37,MATCH(TRIM(E1346),Map_Tables!$G$4:$G$37,0)),""),IFERROR(INDEX(Map_Tables!$B$4:$B$18,MATCH(TRIM(F1346),Map_Tables!$A$4:$A$18,0)),"CHECK"))</f>
        <v>Delhi</v>
      </c>
      <c r="AE1346" s="7" t="str">
        <f aca="false">IF(TRIM(E1346)="","",IFERROR(INDEX(Map_Tables!$H$4:$H$37,MATCH(TRIM(E1346),Map_Tables!$G$4:$G$37,0)),"CHECK"))</f>
        <v>Tandoor Tales</v>
      </c>
      <c r="AF1346" s="7" t="str">
        <f aca="false">IF(TRIM(K1346)="","Unknown",IFERROR(INDEX(Map_Tables!$E$4:$E$15,MATCH(TRIM(K1346),Map_Tables!$D$4:$D$15,0)),"CHECK"))</f>
        <v>UPI</v>
      </c>
      <c r="AG1346" s="7" t="str">
        <f aca="false">IF(LEFT(LOWER(TRIM(L1346)),6)="cancel","Cancelled","Delivered")</f>
        <v>Delivered</v>
      </c>
      <c r="AH1346" s="10" t="n">
        <f aca="false">IF(ISNUMBER(SEARCH("/",B1346)),DATE(VALUE(RIGHT(B1346,4)),VALUE(MID(B1346,4,2)),VALUE(LEFT(B1346,2))),IF(MID(B1346,5,1)="-",DATE(VALUE(LEFT(B1346,4)),VALUE(MID(B1346,6,2)),VALUE(RIGHT(B1346,2))),DATE(VALUE(RIGHT(B1346,4)),MATCH(MID(B1346,4,3),{"Jan","Feb","Mar","Apr","May","Jun","Jul","Aug","Sep","Oct","Nov","Dec"},0),VALUE(LEFT(B1346,2)))))</f>
        <v>45801</v>
      </c>
    </row>
    <row r="1347" customFormat="false" ht="15" hidden="false" customHeight="false" outlineLevel="0" collapsed="false">
      <c r="A1347" s="7" t="s">
        <v>3665</v>
      </c>
      <c r="B1347" s="7" t="s">
        <v>2045</v>
      </c>
      <c r="C1347" s="7" t="s">
        <v>1798</v>
      </c>
      <c r="D1347" s="7" t="s">
        <v>2818</v>
      </c>
      <c r="E1347" s="7" t="s">
        <v>3666</v>
      </c>
      <c r="F1347" s="7" t="s">
        <v>101</v>
      </c>
      <c r="G1347" s="7" t="s">
        <v>123</v>
      </c>
      <c r="H1347" s="7" t="n">
        <v>1</v>
      </c>
      <c r="I1347" s="7" t="n">
        <v>295</v>
      </c>
      <c r="J1347" s="7" t="n">
        <v>0</v>
      </c>
      <c r="K1347" s="7" t="s">
        <v>88</v>
      </c>
      <c r="L1347" s="7" t="s">
        <v>194</v>
      </c>
      <c r="M1347" s="7" t="n">
        <v>47</v>
      </c>
      <c r="N1347" s="7" t="n">
        <v>3</v>
      </c>
      <c r="O1347" s="7" t="str">
        <f aca="false">A1347&amp;"|"&amp;B1347&amp;"|"&amp;C1347&amp;"|"&amp;D1347&amp;"|"&amp;E1347&amp;"|"&amp;F1347&amp;"|"&amp;G1347&amp;"|"&amp;H1347&amp;"|"&amp;I1347&amp;"|"&amp;J1347&amp;"|"&amp;K1347&amp;"|"&amp;L1347&amp;"|"&amp;M1347&amp;"|"&amp;N1347</f>
        <v>ORD12068|2025-09-24|12:49|C0620| Mumbai Pizza Co|Mumbai|Pizza|1|295|0|UPI|Delivered|47|3</v>
      </c>
      <c r="P1347" s="7" t="str">
        <f aca="false">IF(COUNTIF($O$2:O1347,O1347)&gt;1,"DUP","OK")</f>
        <v>OK</v>
      </c>
      <c r="Q1347" s="7" t="n">
        <f aca="false">COUNTBLANK(A1347:N1347)</f>
        <v>0</v>
      </c>
      <c r="R1347" s="7" t="n">
        <f aca="false">IF(A1347="",0,COUNTIFS($A$2:$A$3058,A1347,$P$2:$P$3058,"OK"))</f>
        <v>1</v>
      </c>
      <c r="S1347" s="7" t="str">
        <f aca="false">IF(OR(A1347="",P1347="DUP",R1347&lt;2),"",IF(Q1347=_xlfn.MINIFS($Q$2:$Q$3058,$A$2:$A$3058,A1347,$P$2:$P$3058,"OK"),"KEEP","DROP"))</f>
        <v/>
      </c>
      <c r="T1347" s="9" t="n">
        <f aca="false">IF(A1347="",1,0)</f>
        <v>0</v>
      </c>
      <c r="U1347" s="9" t="n">
        <f aca="false">IF(D1347="",1,0)</f>
        <v>0</v>
      </c>
      <c r="V1347" s="9" t="n">
        <f aca="false">IF(E1347="",1,0)</f>
        <v>0</v>
      </c>
      <c r="W1347" s="9" t="n">
        <f aca="false">IF(OR(H1347&lt;1,H1347&gt;10),1,0)</f>
        <v>0</v>
      </c>
      <c r="X1347" s="9" t="n">
        <f aca="false">IF(OR(I1347&lt;=0,I1347&gt;1500),1,0)</f>
        <v>0</v>
      </c>
      <c r="Y1347" s="9" t="n">
        <f aca="false">IF(J1347&gt;H1347*I1347,1,0)</f>
        <v>0</v>
      </c>
      <c r="Z1347" s="9" t="n">
        <f aca="false">IF(AND(N1347&lt;&gt;"",OR(N1347&lt;1,N1347&gt;5)),1,0)</f>
        <v>0</v>
      </c>
      <c r="AA1347" s="9" t="n">
        <f aca="false">IF(AND(M1347&lt;&gt;"",OR(M1347&lt;5,M1347&gt;180)),1,0)</f>
        <v>0</v>
      </c>
      <c r="AB1347" s="7" t="str">
        <f aca="false">IF(P1347="DUP","Exact duplicate row",IF(T1347=1,"Missing Order ID",IF(S1347="DROP","Duplicate Order ID (less complete row)",IF(U1347=1,"Missing Customer ID",IF(V1347=1,"Missing Restaurant name",IF(W1347=1,"Invalid/outlier quantity",IF(X1347=1,"Invalid/outlier unit price",IF(Y1347=1,"Discount greater than order value",""))))))))</f>
        <v/>
      </c>
      <c r="AC1347" s="7" t="str">
        <f aca="false">IF(AB1347="","KEEP","DROP")</f>
        <v>KEEP</v>
      </c>
      <c r="AD1347" s="7" t="str">
        <f aca="false">IF(TRIM(F1347)="",IFERROR(INDEX(Map_Tables!$I$4:$I$37,MATCH(TRIM(E1347),Map_Tables!$G$4:$G$37,0)),""),IFERROR(INDEX(Map_Tables!$B$4:$B$18,MATCH(TRIM(F1347),Map_Tables!$A$4:$A$18,0)),"CHECK"))</f>
        <v>Mumbai</v>
      </c>
      <c r="AE1347" s="7" t="str">
        <f aca="false">IF(TRIM(E1347)="","",IFERROR(INDEX(Map_Tables!$H$4:$H$37,MATCH(TRIM(E1347),Map_Tables!$G$4:$G$37,0)),"CHECK"))</f>
        <v>Mumbai Pizza Co</v>
      </c>
      <c r="AF1347" s="7" t="str">
        <f aca="false">IF(TRIM(K1347)="","Unknown",IFERROR(INDEX(Map_Tables!$E$4:$E$15,MATCH(TRIM(K1347),Map_Tables!$D$4:$D$15,0)),"CHECK"))</f>
        <v>UPI</v>
      </c>
      <c r="AG1347" s="7" t="str">
        <f aca="false">IF(LEFT(LOWER(TRIM(L1347)),6)="cancel","Cancelled","Delivered")</f>
        <v>Delivered</v>
      </c>
      <c r="AH1347" s="10" t="n">
        <f aca="false">IF(ISNUMBER(SEARCH("/",B1347)),DATE(VALUE(RIGHT(B1347,4)),VALUE(MID(B1347,4,2)),VALUE(LEFT(B1347,2))),IF(MID(B1347,5,1)="-",DATE(VALUE(LEFT(B1347,4)),VALUE(MID(B1347,6,2)),VALUE(RIGHT(B1347,2))),DATE(VALUE(RIGHT(B1347,4)),MATCH(MID(B1347,4,3),{"Jan","Feb","Mar","Apr","May","Jun","Jul","Aug","Sep","Oct","Nov","Dec"},0),VALUE(LEFT(B1347,2)))))</f>
        <v>45924</v>
      </c>
    </row>
    <row r="1348" customFormat="false" ht="15" hidden="false" customHeight="false" outlineLevel="0" collapsed="false">
      <c r="A1348" s="7" t="s">
        <v>3667</v>
      </c>
      <c r="B1348" s="7" t="s">
        <v>3668</v>
      </c>
      <c r="C1348" s="7" t="s">
        <v>3669</v>
      </c>
      <c r="D1348" s="7" t="s">
        <v>569</v>
      </c>
      <c r="E1348" s="7" t="s">
        <v>138</v>
      </c>
      <c r="F1348" s="7" t="s">
        <v>110</v>
      </c>
      <c r="G1348" s="7" t="s">
        <v>139</v>
      </c>
      <c r="H1348" s="7" t="n">
        <v>1</v>
      </c>
      <c r="I1348" s="7" t="n">
        <v>185</v>
      </c>
      <c r="J1348" s="7" t="n">
        <v>50</v>
      </c>
      <c r="K1348" s="7" t="s">
        <v>88</v>
      </c>
      <c r="L1348" s="7" t="s">
        <v>194</v>
      </c>
      <c r="M1348" s="7" t="n">
        <v>30</v>
      </c>
      <c r="N1348" s="7" t="n">
        <v>3</v>
      </c>
      <c r="O1348" s="7" t="str">
        <f aca="false">A1348&amp;"|"&amp;B1348&amp;"|"&amp;C1348&amp;"|"&amp;D1348&amp;"|"&amp;E1348&amp;"|"&amp;F1348&amp;"|"&amp;G1348&amp;"|"&amp;H1348&amp;"|"&amp;I1348&amp;"|"&amp;J1348&amp;"|"&amp;K1348&amp;"|"&amp;L1348&amp;"|"&amp;M1348&amp;"|"&amp;N1348</f>
        <v>ORD10395|22/02/2025|10:01|C0668|Burger Barn|Delhi|Burgers|1|185|50|UPI|Delivered|30|3</v>
      </c>
      <c r="P1348" s="7" t="str">
        <f aca="false">IF(COUNTIF($O$2:O1348,O1348)&gt;1,"DUP","OK")</f>
        <v>OK</v>
      </c>
      <c r="Q1348" s="7" t="n">
        <f aca="false">COUNTBLANK(A1348:N1348)</f>
        <v>0</v>
      </c>
      <c r="R1348" s="7" t="n">
        <f aca="false">IF(A1348="",0,COUNTIFS($A$2:$A$3058,A1348,$P$2:$P$3058,"OK"))</f>
        <v>1</v>
      </c>
      <c r="S1348" s="7" t="str">
        <f aca="false">IF(OR(A1348="",P1348="DUP",R1348&lt;2),"",IF(Q1348=_xlfn.MINIFS($Q$2:$Q$3058,$A$2:$A$3058,A1348,$P$2:$P$3058,"OK"),"KEEP","DROP"))</f>
        <v/>
      </c>
      <c r="T1348" s="9" t="n">
        <f aca="false">IF(A1348="",1,0)</f>
        <v>0</v>
      </c>
      <c r="U1348" s="9" t="n">
        <f aca="false">IF(D1348="",1,0)</f>
        <v>0</v>
      </c>
      <c r="V1348" s="9" t="n">
        <f aca="false">IF(E1348="",1,0)</f>
        <v>0</v>
      </c>
      <c r="W1348" s="9" t="n">
        <f aca="false">IF(OR(H1348&lt;1,H1348&gt;10),1,0)</f>
        <v>0</v>
      </c>
      <c r="X1348" s="9" t="n">
        <f aca="false">IF(OR(I1348&lt;=0,I1348&gt;1500),1,0)</f>
        <v>0</v>
      </c>
      <c r="Y1348" s="9" t="n">
        <f aca="false">IF(J1348&gt;H1348*I1348,1,0)</f>
        <v>0</v>
      </c>
      <c r="Z1348" s="9" t="n">
        <f aca="false">IF(AND(N1348&lt;&gt;"",OR(N1348&lt;1,N1348&gt;5)),1,0)</f>
        <v>0</v>
      </c>
      <c r="AA1348" s="9" t="n">
        <f aca="false">IF(AND(M1348&lt;&gt;"",OR(M1348&lt;5,M1348&gt;180)),1,0)</f>
        <v>0</v>
      </c>
      <c r="AB1348" s="7" t="str">
        <f aca="false">IF(P1348="DUP","Exact duplicate row",IF(T1348=1,"Missing Order ID",IF(S1348="DROP","Duplicate Order ID (less complete row)",IF(U1348=1,"Missing Customer ID",IF(V1348=1,"Missing Restaurant name",IF(W1348=1,"Invalid/outlier quantity",IF(X1348=1,"Invalid/outlier unit price",IF(Y1348=1,"Discount greater than order value",""))))))))</f>
        <v/>
      </c>
      <c r="AC1348" s="7" t="str">
        <f aca="false">IF(AB1348="","KEEP","DROP")</f>
        <v>KEEP</v>
      </c>
      <c r="AD1348" s="7" t="str">
        <f aca="false">IF(TRIM(F1348)="",IFERROR(INDEX(Map_Tables!$I$4:$I$37,MATCH(TRIM(E1348),Map_Tables!$G$4:$G$37,0)),""),IFERROR(INDEX(Map_Tables!$B$4:$B$18,MATCH(TRIM(F1348),Map_Tables!$A$4:$A$18,0)),"CHECK"))</f>
        <v>Delhi</v>
      </c>
      <c r="AE1348" s="7" t="str">
        <f aca="false">IF(TRIM(E1348)="","",IFERROR(INDEX(Map_Tables!$H$4:$H$37,MATCH(TRIM(E1348),Map_Tables!$G$4:$G$37,0)),"CHECK"))</f>
        <v>Burger Barn</v>
      </c>
      <c r="AF1348" s="7" t="str">
        <f aca="false">IF(TRIM(K1348)="","Unknown",IFERROR(INDEX(Map_Tables!$E$4:$E$15,MATCH(TRIM(K1348),Map_Tables!$D$4:$D$15,0)),"CHECK"))</f>
        <v>UPI</v>
      </c>
      <c r="AG1348" s="7" t="str">
        <f aca="false">IF(LEFT(LOWER(TRIM(L1348)),6)="cancel","Cancelled","Delivered")</f>
        <v>Delivered</v>
      </c>
      <c r="AH1348" s="10" t="n">
        <f aca="false">IF(ISNUMBER(SEARCH("/",B1348)),DATE(VALUE(RIGHT(B1348,4)),VALUE(MID(B1348,4,2)),VALUE(LEFT(B1348,2))),IF(MID(B1348,5,1)="-",DATE(VALUE(LEFT(B1348,4)),VALUE(MID(B1348,6,2)),VALUE(RIGHT(B1348,2))),DATE(VALUE(RIGHT(B1348,4)),MATCH(MID(B1348,4,3),{"Jan","Feb","Mar","Apr","May","Jun","Jul","Aug","Sep","Oct","Nov","Dec"},0),VALUE(LEFT(B1348,2)))))</f>
        <v>45710</v>
      </c>
    </row>
    <row r="1349" customFormat="false" ht="15" hidden="false" customHeight="false" outlineLevel="0" collapsed="false">
      <c r="A1349" s="7" t="s">
        <v>3670</v>
      </c>
      <c r="B1349" s="7" t="s">
        <v>1592</v>
      </c>
      <c r="C1349" s="7" t="s">
        <v>2770</v>
      </c>
      <c r="D1349" s="7" t="s">
        <v>3671</v>
      </c>
      <c r="E1349" s="7" t="s">
        <v>98</v>
      </c>
      <c r="F1349" s="7" t="s">
        <v>86</v>
      </c>
      <c r="G1349" s="7" t="s">
        <v>99</v>
      </c>
      <c r="H1349" s="7" t="n">
        <v>5</v>
      </c>
      <c r="I1349" s="7" t="n">
        <v>265</v>
      </c>
      <c r="J1349" s="7" t="n">
        <v>50</v>
      </c>
      <c r="K1349" s="7" t="s">
        <v>103</v>
      </c>
      <c r="L1349" s="7" t="s">
        <v>194</v>
      </c>
      <c r="M1349" s="7" t="n">
        <v>36</v>
      </c>
      <c r="N1349" s="7" t="n">
        <v>4</v>
      </c>
      <c r="O1349" s="7" t="str">
        <f aca="false">A1349&amp;"|"&amp;B1349&amp;"|"&amp;C1349&amp;"|"&amp;D1349&amp;"|"&amp;E1349&amp;"|"&amp;F1349&amp;"|"&amp;G1349&amp;"|"&amp;H1349&amp;"|"&amp;I1349&amp;"|"&amp;J1349&amp;"|"&amp;K1349&amp;"|"&amp;L1349&amp;"|"&amp;M1349&amp;"|"&amp;N1349</f>
        <v>ORD12325|2025-10-20|15:56|C1124|Nawabi Biryani House|Bengaluru|Biryani|5|265|50|Debit Card|Delivered|36|4</v>
      </c>
      <c r="P1349" s="7" t="str">
        <f aca="false">IF(COUNTIF($O$2:O1349,O1349)&gt;1,"DUP","OK")</f>
        <v>OK</v>
      </c>
      <c r="Q1349" s="7" t="n">
        <f aca="false">COUNTBLANK(A1349:N1349)</f>
        <v>0</v>
      </c>
      <c r="R1349" s="7" t="n">
        <f aca="false">IF(A1349="",0,COUNTIFS($A$2:$A$3058,A1349,$P$2:$P$3058,"OK"))</f>
        <v>1</v>
      </c>
      <c r="S1349" s="7" t="str">
        <f aca="false">IF(OR(A1349="",P1349="DUP",R1349&lt;2),"",IF(Q1349=_xlfn.MINIFS($Q$2:$Q$3058,$A$2:$A$3058,A1349,$P$2:$P$3058,"OK"),"KEEP","DROP"))</f>
        <v/>
      </c>
      <c r="T1349" s="9" t="n">
        <f aca="false">IF(A1349="",1,0)</f>
        <v>0</v>
      </c>
      <c r="U1349" s="9" t="n">
        <f aca="false">IF(D1349="",1,0)</f>
        <v>0</v>
      </c>
      <c r="V1349" s="9" t="n">
        <f aca="false">IF(E1349="",1,0)</f>
        <v>0</v>
      </c>
      <c r="W1349" s="9" t="n">
        <f aca="false">IF(OR(H1349&lt;1,H1349&gt;10),1,0)</f>
        <v>0</v>
      </c>
      <c r="X1349" s="9" t="n">
        <f aca="false">IF(OR(I1349&lt;=0,I1349&gt;1500),1,0)</f>
        <v>0</v>
      </c>
      <c r="Y1349" s="9" t="n">
        <f aca="false">IF(J1349&gt;H1349*I1349,1,0)</f>
        <v>0</v>
      </c>
      <c r="Z1349" s="9" t="n">
        <f aca="false">IF(AND(N1349&lt;&gt;"",OR(N1349&lt;1,N1349&gt;5)),1,0)</f>
        <v>0</v>
      </c>
      <c r="AA1349" s="9" t="n">
        <f aca="false">IF(AND(M1349&lt;&gt;"",OR(M1349&lt;5,M1349&gt;180)),1,0)</f>
        <v>0</v>
      </c>
      <c r="AB1349" s="7" t="str">
        <f aca="false">IF(P1349="DUP","Exact duplicate row",IF(T1349=1,"Missing Order ID",IF(S1349="DROP","Duplicate Order ID (less complete row)",IF(U1349=1,"Missing Customer ID",IF(V1349=1,"Missing Restaurant name",IF(W1349=1,"Invalid/outlier quantity",IF(X1349=1,"Invalid/outlier unit price",IF(Y1349=1,"Discount greater than order value",""))))))))</f>
        <v/>
      </c>
      <c r="AC1349" s="7" t="str">
        <f aca="false">IF(AB1349="","KEEP","DROP")</f>
        <v>KEEP</v>
      </c>
      <c r="AD1349" s="7" t="str">
        <f aca="false">IF(TRIM(F1349)="",IFERROR(INDEX(Map_Tables!$I$4:$I$37,MATCH(TRIM(E1349),Map_Tables!$G$4:$G$37,0)),""),IFERROR(INDEX(Map_Tables!$B$4:$B$18,MATCH(TRIM(F1349),Map_Tables!$A$4:$A$18,0)),"CHECK"))</f>
        <v>Bengaluru</v>
      </c>
      <c r="AE1349" s="7" t="str">
        <f aca="false">IF(TRIM(E1349)="","",IFERROR(INDEX(Map_Tables!$H$4:$H$37,MATCH(TRIM(E1349),Map_Tables!$G$4:$G$37,0)),"CHECK"))</f>
        <v>Nawabi Biryani House</v>
      </c>
      <c r="AF1349" s="7" t="str">
        <f aca="false">IF(TRIM(K1349)="","Unknown",IFERROR(INDEX(Map_Tables!$E$4:$E$15,MATCH(TRIM(K1349),Map_Tables!$D$4:$D$15,0)),"CHECK"))</f>
        <v>Debit Card</v>
      </c>
      <c r="AG1349" s="7" t="str">
        <f aca="false">IF(LEFT(LOWER(TRIM(L1349)),6)="cancel","Cancelled","Delivered")</f>
        <v>Delivered</v>
      </c>
      <c r="AH1349" s="10" t="n">
        <f aca="false">IF(ISNUMBER(SEARCH("/",B1349)),DATE(VALUE(RIGHT(B1349,4)),VALUE(MID(B1349,4,2)),VALUE(LEFT(B1349,2))),IF(MID(B1349,5,1)="-",DATE(VALUE(LEFT(B1349,4)),VALUE(MID(B1349,6,2)),VALUE(RIGHT(B1349,2))),DATE(VALUE(RIGHT(B1349,4)),MATCH(MID(B1349,4,3),{"Jan","Feb","Mar","Apr","May","Jun","Jul","Aug","Sep","Oct","Nov","Dec"},0),VALUE(LEFT(B1349,2)))))</f>
        <v>45950</v>
      </c>
    </row>
    <row r="1350" customFormat="false" ht="15" hidden="false" customHeight="false" outlineLevel="0" collapsed="false">
      <c r="A1350" s="7" t="s">
        <v>3672</v>
      </c>
      <c r="B1350" s="7" t="s">
        <v>1399</v>
      </c>
      <c r="C1350" s="7" t="s">
        <v>3673</v>
      </c>
      <c r="D1350" s="7" t="s">
        <v>3674</v>
      </c>
      <c r="E1350" s="7" t="s">
        <v>148</v>
      </c>
      <c r="F1350" s="7" t="s">
        <v>119</v>
      </c>
      <c r="G1350" s="7" t="s">
        <v>123</v>
      </c>
      <c r="H1350" s="7" t="n">
        <v>1</v>
      </c>
      <c r="I1350" s="7" t="n">
        <v>300</v>
      </c>
      <c r="J1350" s="7" t="n">
        <v>0</v>
      </c>
      <c r="K1350" s="7" t="s">
        <v>133</v>
      </c>
      <c r="L1350" s="7" t="s">
        <v>194</v>
      </c>
      <c r="M1350" s="7" t="n">
        <v>38</v>
      </c>
      <c r="N1350" s="7" t="n">
        <v>4</v>
      </c>
      <c r="O1350" s="7" t="str">
        <f aca="false">A1350&amp;"|"&amp;B1350&amp;"|"&amp;C1350&amp;"|"&amp;D1350&amp;"|"&amp;E1350&amp;"|"&amp;F1350&amp;"|"&amp;G1350&amp;"|"&amp;H1350&amp;"|"&amp;I1350&amp;"|"&amp;J1350&amp;"|"&amp;K1350&amp;"|"&amp;L1350&amp;"|"&amp;M1350&amp;"|"&amp;N1350</f>
        <v>ORD12874|2025-12-18|15:34|C0558|Pizza Palace|Hyderabad|Pizza|1|300|0|Net Banking|Delivered|38|4</v>
      </c>
      <c r="P1350" s="7" t="str">
        <f aca="false">IF(COUNTIF($O$2:O1350,O1350)&gt;1,"DUP","OK")</f>
        <v>OK</v>
      </c>
      <c r="Q1350" s="7" t="n">
        <f aca="false">COUNTBLANK(A1350:N1350)</f>
        <v>0</v>
      </c>
      <c r="R1350" s="7" t="n">
        <f aca="false">IF(A1350="",0,COUNTIFS($A$2:$A$3058,A1350,$P$2:$P$3058,"OK"))</f>
        <v>1</v>
      </c>
      <c r="S1350" s="7" t="str">
        <f aca="false">IF(OR(A1350="",P1350="DUP",R1350&lt;2),"",IF(Q1350=_xlfn.MINIFS($Q$2:$Q$3058,$A$2:$A$3058,A1350,$P$2:$P$3058,"OK"),"KEEP","DROP"))</f>
        <v/>
      </c>
      <c r="T1350" s="9" t="n">
        <f aca="false">IF(A1350="",1,0)</f>
        <v>0</v>
      </c>
      <c r="U1350" s="9" t="n">
        <f aca="false">IF(D1350="",1,0)</f>
        <v>0</v>
      </c>
      <c r="V1350" s="9" t="n">
        <f aca="false">IF(E1350="",1,0)</f>
        <v>0</v>
      </c>
      <c r="W1350" s="9" t="n">
        <f aca="false">IF(OR(H1350&lt;1,H1350&gt;10),1,0)</f>
        <v>0</v>
      </c>
      <c r="X1350" s="9" t="n">
        <f aca="false">IF(OR(I1350&lt;=0,I1350&gt;1500),1,0)</f>
        <v>0</v>
      </c>
      <c r="Y1350" s="9" t="n">
        <f aca="false">IF(J1350&gt;H1350*I1350,1,0)</f>
        <v>0</v>
      </c>
      <c r="Z1350" s="9" t="n">
        <f aca="false">IF(AND(N1350&lt;&gt;"",OR(N1350&lt;1,N1350&gt;5)),1,0)</f>
        <v>0</v>
      </c>
      <c r="AA1350" s="9" t="n">
        <f aca="false">IF(AND(M1350&lt;&gt;"",OR(M1350&lt;5,M1350&gt;180)),1,0)</f>
        <v>0</v>
      </c>
      <c r="AB1350" s="7" t="str">
        <f aca="false">IF(P1350="DUP","Exact duplicate row",IF(T1350=1,"Missing Order ID",IF(S1350="DROP","Duplicate Order ID (less complete row)",IF(U1350=1,"Missing Customer ID",IF(V1350=1,"Missing Restaurant name",IF(W1350=1,"Invalid/outlier quantity",IF(X1350=1,"Invalid/outlier unit price",IF(Y1350=1,"Discount greater than order value",""))))))))</f>
        <v/>
      </c>
      <c r="AC1350" s="7" t="str">
        <f aca="false">IF(AB1350="","KEEP","DROP")</f>
        <v>KEEP</v>
      </c>
      <c r="AD1350" s="7" t="str">
        <f aca="false">IF(TRIM(F1350)="",IFERROR(INDEX(Map_Tables!$I$4:$I$37,MATCH(TRIM(E1350),Map_Tables!$G$4:$G$37,0)),""),IFERROR(INDEX(Map_Tables!$B$4:$B$18,MATCH(TRIM(F1350),Map_Tables!$A$4:$A$18,0)),"CHECK"))</f>
        <v>Hyderabad</v>
      </c>
      <c r="AE1350" s="7" t="str">
        <f aca="false">IF(TRIM(E1350)="","",IFERROR(INDEX(Map_Tables!$H$4:$H$37,MATCH(TRIM(E1350),Map_Tables!$G$4:$G$37,0)),"CHECK"))</f>
        <v>Pizza Palace</v>
      </c>
      <c r="AF1350" s="7" t="str">
        <f aca="false">IF(TRIM(K1350)="","Unknown",IFERROR(INDEX(Map_Tables!$E$4:$E$15,MATCH(TRIM(K1350),Map_Tables!$D$4:$D$15,0)),"CHECK"))</f>
        <v>Net Banking</v>
      </c>
      <c r="AG1350" s="7" t="str">
        <f aca="false">IF(LEFT(LOWER(TRIM(L1350)),6)="cancel","Cancelled","Delivered")</f>
        <v>Delivered</v>
      </c>
      <c r="AH1350" s="10" t="n">
        <f aca="false">IF(ISNUMBER(SEARCH("/",B1350)),DATE(VALUE(RIGHT(B1350,4)),VALUE(MID(B1350,4,2)),VALUE(LEFT(B1350,2))),IF(MID(B1350,5,1)="-",DATE(VALUE(LEFT(B1350,4)),VALUE(MID(B1350,6,2)),VALUE(RIGHT(B1350,2))),DATE(VALUE(RIGHT(B1350,4)),MATCH(MID(B1350,4,3),{"Jan","Feb","Mar","Apr","May","Jun","Jul","Aug","Sep","Oct","Nov","Dec"},0),VALUE(LEFT(B1350,2)))))</f>
        <v>46009</v>
      </c>
    </row>
    <row r="1351" customFormat="false" ht="15" hidden="false" customHeight="false" outlineLevel="0" collapsed="false">
      <c r="A1351" s="7" t="s">
        <v>3675</v>
      </c>
      <c r="B1351" s="7" t="s">
        <v>968</v>
      </c>
      <c r="C1351" s="7" t="s">
        <v>3676</v>
      </c>
      <c r="D1351" s="7" t="s">
        <v>922</v>
      </c>
      <c r="E1351" s="7" t="s">
        <v>98</v>
      </c>
      <c r="F1351" s="7" t="s">
        <v>86</v>
      </c>
      <c r="G1351" s="7" t="s">
        <v>99</v>
      </c>
      <c r="H1351" s="7" t="n">
        <v>3</v>
      </c>
      <c r="I1351" s="7" t="n">
        <v>330</v>
      </c>
      <c r="J1351" s="7" t="n">
        <v>0</v>
      </c>
      <c r="K1351" s="7" t="s">
        <v>103</v>
      </c>
      <c r="L1351" s="7" t="s">
        <v>194</v>
      </c>
      <c r="M1351" s="7" t="n">
        <v>33</v>
      </c>
      <c r="N1351" s="7" t="n">
        <v>4</v>
      </c>
      <c r="O1351" s="7" t="str">
        <f aca="false">A1351&amp;"|"&amp;B1351&amp;"|"&amp;C1351&amp;"|"&amp;D1351&amp;"|"&amp;E1351&amp;"|"&amp;F1351&amp;"|"&amp;G1351&amp;"|"&amp;H1351&amp;"|"&amp;I1351&amp;"|"&amp;J1351&amp;"|"&amp;K1351&amp;"|"&amp;L1351&amp;"|"&amp;M1351&amp;"|"&amp;N1351</f>
        <v>ORD11222|2025-06-04|08:08|C0562|Nawabi Biryani House|Bengaluru|Biryani|3|330|0|Debit Card|Delivered|33|4</v>
      </c>
      <c r="P1351" s="7" t="str">
        <f aca="false">IF(COUNTIF($O$2:O1351,O1351)&gt;1,"DUP","OK")</f>
        <v>OK</v>
      </c>
      <c r="Q1351" s="7" t="n">
        <f aca="false">COUNTBLANK(A1351:N1351)</f>
        <v>0</v>
      </c>
      <c r="R1351" s="7" t="n">
        <f aca="false">IF(A1351="",0,COUNTIFS($A$2:$A$3058,A1351,$P$2:$P$3058,"OK"))</f>
        <v>1</v>
      </c>
      <c r="S1351" s="7" t="str">
        <f aca="false">IF(OR(A1351="",P1351="DUP",R1351&lt;2),"",IF(Q1351=_xlfn.MINIFS($Q$2:$Q$3058,$A$2:$A$3058,A1351,$P$2:$P$3058,"OK"),"KEEP","DROP"))</f>
        <v/>
      </c>
      <c r="T1351" s="9" t="n">
        <f aca="false">IF(A1351="",1,0)</f>
        <v>0</v>
      </c>
      <c r="U1351" s="9" t="n">
        <f aca="false">IF(D1351="",1,0)</f>
        <v>0</v>
      </c>
      <c r="V1351" s="9" t="n">
        <f aca="false">IF(E1351="",1,0)</f>
        <v>0</v>
      </c>
      <c r="W1351" s="9" t="n">
        <f aca="false">IF(OR(H1351&lt;1,H1351&gt;10),1,0)</f>
        <v>0</v>
      </c>
      <c r="X1351" s="9" t="n">
        <f aca="false">IF(OR(I1351&lt;=0,I1351&gt;1500),1,0)</f>
        <v>0</v>
      </c>
      <c r="Y1351" s="9" t="n">
        <f aca="false">IF(J1351&gt;H1351*I1351,1,0)</f>
        <v>0</v>
      </c>
      <c r="Z1351" s="9" t="n">
        <f aca="false">IF(AND(N1351&lt;&gt;"",OR(N1351&lt;1,N1351&gt;5)),1,0)</f>
        <v>0</v>
      </c>
      <c r="AA1351" s="9" t="n">
        <f aca="false">IF(AND(M1351&lt;&gt;"",OR(M1351&lt;5,M1351&gt;180)),1,0)</f>
        <v>0</v>
      </c>
      <c r="AB1351" s="7" t="str">
        <f aca="false">IF(P1351="DUP","Exact duplicate row",IF(T1351=1,"Missing Order ID",IF(S1351="DROP","Duplicate Order ID (less complete row)",IF(U1351=1,"Missing Customer ID",IF(V1351=1,"Missing Restaurant name",IF(W1351=1,"Invalid/outlier quantity",IF(X1351=1,"Invalid/outlier unit price",IF(Y1351=1,"Discount greater than order value",""))))))))</f>
        <v/>
      </c>
      <c r="AC1351" s="7" t="str">
        <f aca="false">IF(AB1351="","KEEP","DROP")</f>
        <v>KEEP</v>
      </c>
      <c r="AD1351" s="7" t="str">
        <f aca="false">IF(TRIM(F1351)="",IFERROR(INDEX(Map_Tables!$I$4:$I$37,MATCH(TRIM(E1351),Map_Tables!$G$4:$G$37,0)),""),IFERROR(INDEX(Map_Tables!$B$4:$B$18,MATCH(TRIM(F1351),Map_Tables!$A$4:$A$18,0)),"CHECK"))</f>
        <v>Bengaluru</v>
      </c>
      <c r="AE1351" s="7" t="str">
        <f aca="false">IF(TRIM(E1351)="","",IFERROR(INDEX(Map_Tables!$H$4:$H$37,MATCH(TRIM(E1351),Map_Tables!$G$4:$G$37,0)),"CHECK"))</f>
        <v>Nawabi Biryani House</v>
      </c>
      <c r="AF1351" s="7" t="str">
        <f aca="false">IF(TRIM(K1351)="","Unknown",IFERROR(INDEX(Map_Tables!$E$4:$E$15,MATCH(TRIM(K1351),Map_Tables!$D$4:$D$15,0)),"CHECK"))</f>
        <v>Debit Card</v>
      </c>
      <c r="AG1351" s="7" t="str">
        <f aca="false">IF(LEFT(LOWER(TRIM(L1351)),6)="cancel","Cancelled","Delivered")</f>
        <v>Delivered</v>
      </c>
      <c r="AH1351" s="10" t="n">
        <f aca="false">IF(ISNUMBER(SEARCH("/",B1351)),DATE(VALUE(RIGHT(B1351,4)),VALUE(MID(B1351,4,2)),VALUE(LEFT(B1351,2))),IF(MID(B1351,5,1)="-",DATE(VALUE(LEFT(B1351,4)),VALUE(MID(B1351,6,2)),VALUE(RIGHT(B1351,2))),DATE(VALUE(RIGHT(B1351,4)),MATCH(MID(B1351,4,3),{"Jan","Feb","Mar","Apr","May","Jun","Jul","Aug","Sep","Oct","Nov","Dec"},0),VALUE(LEFT(B1351,2)))))</f>
        <v>45812</v>
      </c>
    </row>
    <row r="1352" customFormat="false" ht="15" hidden="false" customHeight="false" outlineLevel="0" collapsed="false">
      <c r="A1352" s="7" t="s">
        <v>3677</v>
      </c>
      <c r="B1352" s="7" t="s">
        <v>500</v>
      </c>
      <c r="C1352" s="7" t="s">
        <v>2545</v>
      </c>
      <c r="D1352" s="7" t="s">
        <v>2077</v>
      </c>
      <c r="E1352" s="7" t="s">
        <v>157</v>
      </c>
      <c r="F1352" s="7" t="s">
        <v>136</v>
      </c>
      <c r="G1352" s="7" t="s">
        <v>117</v>
      </c>
      <c r="H1352" s="7" t="n">
        <v>2</v>
      </c>
      <c r="I1352" s="7" t="n">
        <v>110</v>
      </c>
      <c r="J1352" s="7" t="n">
        <v>30</v>
      </c>
      <c r="K1352" s="7" t="s">
        <v>93</v>
      </c>
      <c r="L1352" s="7" t="s">
        <v>194</v>
      </c>
      <c r="M1352" s="7" t="n">
        <v>30</v>
      </c>
      <c r="N1352" s="7" t="n">
        <v>4</v>
      </c>
      <c r="O1352" s="7" t="str">
        <f aca="false">A1352&amp;"|"&amp;B1352&amp;"|"&amp;C1352&amp;"|"&amp;D1352&amp;"|"&amp;E1352&amp;"|"&amp;F1352&amp;"|"&amp;G1352&amp;"|"&amp;H1352&amp;"|"&amp;I1352&amp;"|"&amp;J1352&amp;"|"&amp;K1352&amp;"|"&amp;L1352&amp;"|"&amp;M1352&amp;"|"&amp;N1352</f>
        <v>ORD11359|2025-06-24|17:11|C0006|Misal Mantra|Pune|Street Food|2|110|30|Credit Card|Delivered|30|4</v>
      </c>
      <c r="P1352" s="7" t="str">
        <f aca="false">IF(COUNTIF($O$2:O1352,O1352)&gt;1,"DUP","OK")</f>
        <v>OK</v>
      </c>
      <c r="Q1352" s="7" t="n">
        <f aca="false">COUNTBLANK(A1352:N1352)</f>
        <v>0</v>
      </c>
      <c r="R1352" s="7" t="n">
        <f aca="false">IF(A1352="",0,COUNTIFS($A$2:$A$3058,A1352,$P$2:$P$3058,"OK"))</f>
        <v>1</v>
      </c>
      <c r="S1352" s="7" t="str">
        <f aca="false">IF(OR(A1352="",P1352="DUP",R1352&lt;2),"",IF(Q1352=_xlfn.MINIFS($Q$2:$Q$3058,$A$2:$A$3058,A1352,$P$2:$P$3058,"OK"),"KEEP","DROP"))</f>
        <v/>
      </c>
      <c r="T1352" s="9" t="n">
        <f aca="false">IF(A1352="",1,0)</f>
        <v>0</v>
      </c>
      <c r="U1352" s="9" t="n">
        <f aca="false">IF(D1352="",1,0)</f>
        <v>0</v>
      </c>
      <c r="V1352" s="9" t="n">
        <f aca="false">IF(E1352="",1,0)</f>
        <v>0</v>
      </c>
      <c r="W1352" s="9" t="n">
        <f aca="false">IF(OR(H1352&lt;1,H1352&gt;10),1,0)</f>
        <v>0</v>
      </c>
      <c r="X1352" s="9" t="n">
        <f aca="false">IF(OR(I1352&lt;=0,I1352&gt;1500),1,0)</f>
        <v>0</v>
      </c>
      <c r="Y1352" s="9" t="n">
        <f aca="false">IF(J1352&gt;H1352*I1352,1,0)</f>
        <v>0</v>
      </c>
      <c r="Z1352" s="9" t="n">
        <f aca="false">IF(AND(N1352&lt;&gt;"",OR(N1352&lt;1,N1352&gt;5)),1,0)</f>
        <v>0</v>
      </c>
      <c r="AA1352" s="9" t="n">
        <f aca="false">IF(AND(M1352&lt;&gt;"",OR(M1352&lt;5,M1352&gt;180)),1,0)</f>
        <v>0</v>
      </c>
      <c r="AB1352" s="7" t="str">
        <f aca="false">IF(P1352="DUP","Exact duplicate row",IF(T1352=1,"Missing Order ID",IF(S1352="DROP","Duplicate Order ID (less complete row)",IF(U1352=1,"Missing Customer ID",IF(V1352=1,"Missing Restaurant name",IF(W1352=1,"Invalid/outlier quantity",IF(X1352=1,"Invalid/outlier unit price",IF(Y1352=1,"Discount greater than order value",""))))))))</f>
        <v/>
      </c>
      <c r="AC1352" s="7" t="str">
        <f aca="false">IF(AB1352="","KEEP","DROP")</f>
        <v>KEEP</v>
      </c>
      <c r="AD1352" s="7" t="str">
        <f aca="false">IF(TRIM(F1352)="",IFERROR(INDEX(Map_Tables!$I$4:$I$37,MATCH(TRIM(E1352),Map_Tables!$G$4:$G$37,0)),""),IFERROR(INDEX(Map_Tables!$B$4:$B$18,MATCH(TRIM(F1352),Map_Tables!$A$4:$A$18,0)),"CHECK"))</f>
        <v>Pune</v>
      </c>
      <c r="AE1352" s="7" t="str">
        <f aca="false">IF(TRIM(E1352)="","",IFERROR(INDEX(Map_Tables!$H$4:$H$37,MATCH(TRIM(E1352),Map_Tables!$G$4:$G$37,0)),"CHECK"))</f>
        <v>Misal Mantra</v>
      </c>
      <c r="AF1352" s="7" t="str">
        <f aca="false">IF(TRIM(K1352)="","Unknown",IFERROR(INDEX(Map_Tables!$E$4:$E$15,MATCH(TRIM(K1352),Map_Tables!$D$4:$D$15,0)),"CHECK"))</f>
        <v>Credit Card</v>
      </c>
      <c r="AG1352" s="7" t="str">
        <f aca="false">IF(LEFT(LOWER(TRIM(L1352)),6)="cancel","Cancelled","Delivered")</f>
        <v>Delivered</v>
      </c>
      <c r="AH1352" s="10" t="n">
        <f aca="false">IF(ISNUMBER(SEARCH("/",B1352)),DATE(VALUE(RIGHT(B1352,4)),VALUE(MID(B1352,4,2)),VALUE(LEFT(B1352,2))),IF(MID(B1352,5,1)="-",DATE(VALUE(LEFT(B1352,4)),VALUE(MID(B1352,6,2)),VALUE(RIGHT(B1352,2))),DATE(VALUE(RIGHT(B1352,4)),MATCH(MID(B1352,4,3),{"Jan","Feb","Mar","Apr","May","Jun","Jul","Aug","Sep","Oct","Nov","Dec"},0),VALUE(LEFT(B1352,2)))))</f>
        <v>45832</v>
      </c>
    </row>
    <row r="1353" customFormat="false" ht="15" hidden="false" customHeight="false" outlineLevel="0" collapsed="false">
      <c r="A1353" s="7" t="s">
        <v>3678</v>
      </c>
      <c r="B1353" s="7" t="s">
        <v>3067</v>
      </c>
      <c r="C1353" s="7" t="s">
        <v>1151</v>
      </c>
      <c r="D1353" s="7" t="s">
        <v>1735</v>
      </c>
      <c r="E1353" s="7" t="s">
        <v>122</v>
      </c>
      <c r="F1353" s="7" t="s">
        <v>100</v>
      </c>
      <c r="G1353" s="7" t="s">
        <v>123</v>
      </c>
      <c r="H1353" s="7" t="n">
        <v>4</v>
      </c>
      <c r="I1353" s="7" t="n">
        <v>380</v>
      </c>
      <c r="J1353" s="7" t="n">
        <v>100</v>
      </c>
      <c r="K1353" s="7" t="s">
        <v>103</v>
      </c>
      <c r="L1353" s="7" t="s">
        <v>194</v>
      </c>
      <c r="M1353" s="7" t="n">
        <v>61</v>
      </c>
      <c r="N1353" s="7" t="n">
        <v>3</v>
      </c>
      <c r="O1353" s="7" t="str">
        <f aca="false">A1353&amp;"|"&amp;B1353&amp;"|"&amp;C1353&amp;"|"&amp;D1353&amp;"|"&amp;E1353&amp;"|"&amp;F1353&amp;"|"&amp;G1353&amp;"|"&amp;H1353&amp;"|"&amp;I1353&amp;"|"&amp;J1353&amp;"|"&amp;K1353&amp;"|"&amp;L1353&amp;"|"&amp;M1353&amp;"|"&amp;N1353</f>
        <v>ORD11850|2025-08-29|14:03|C1251|Mumbai Pizza Co|mumbai|Pizza|4|380|100|Debit Card|Delivered|61|3</v>
      </c>
      <c r="P1353" s="7" t="str">
        <f aca="false">IF(COUNTIF($O$2:O1353,O1353)&gt;1,"DUP","OK")</f>
        <v>OK</v>
      </c>
      <c r="Q1353" s="7" t="n">
        <f aca="false">COUNTBLANK(A1353:N1353)</f>
        <v>0</v>
      </c>
      <c r="R1353" s="7" t="n">
        <f aca="false">IF(A1353="",0,COUNTIFS($A$2:$A$3058,A1353,$P$2:$P$3058,"OK"))</f>
        <v>1</v>
      </c>
      <c r="S1353" s="7" t="str">
        <f aca="false">IF(OR(A1353="",P1353="DUP",R1353&lt;2),"",IF(Q1353=_xlfn.MINIFS($Q$2:$Q$3058,$A$2:$A$3058,A1353,$P$2:$P$3058,"OK"),"KEEP","DROP"))</f>
        <v/>
      </c>
      <c r="T1353" s="9" t="n">
        <f aca="false">IF(A1353="",1,0)</f>
        <v>0</v>
      </c>
      <c r="U1353" s="9" t="n">
        <f aca="false">IF(D1353="",1,0)</f>
        <v>0</v>
      </c>
      <c r="V1353" s="9" t="n">
        <f aca="false">IF(E1353="",1,0)</f>
        <v>0</v>
      </c>
      <c r="W1353" s="9" t="n">
        <f aca="false">IF(OR(H1353&lt;1,H1353&gt;10),1,0)</f>
        <v>0</v>
      </c>
      <c r="X1353" s="9" t="n">
        <f aca="false">IF(OR(I1353&lt;=0,I1353&gt;1500),1,0)</f>
        <v>0</v>
      </c>
      <c r="Y1353" s="9" t="n">
        <f aca="false">IF(J1353&gt;H1353*I1353,1,0)</f>
        <v>0</v>
      </c>
      <c r="Z1353" s="9" t="n">
        <f aca="false">IF(AND(N1353&lt;&gt;"",OR(N1353&lt;1,N1353&gt;5)),1,0)</f>
        <v>0</v>
      </c>
      <c r="AA1353" s="9" t="n">
        <f aca="false">IF(AND(M1353&lt;&gt;"",OR(M1353&lt;5,M1353&gt;180)),1,0)</f>
        <v>0</v>
      </c>
      <c r="AB1353" s="7" t="str">
        <f aca="false">IF(P1353="DUP","Exact duplicate row",IF(T1353=1,"Missing Order ID",IF(S1353="DROP","Duplicate Order ID (less complete row)",IF(U1353=1,"Missing Customer ID",IF(V1353=1,"Missing Restaurant name",IF(W1353=1,"Invalid/outlier quantity",IF(X1353=1,"Invalid/outlier unit price",IF(Y1353=1,"Discount greater than order value",""))))))))</f>
        <v/>
      </c>
      <c r="AC1353" s="7" t="str">
        <f aca="false">IF(AB1353="","KEEP","DROP")</f>
        <v>KEEP</v>
      </c>
      <c r="AD1353" s="7" t="str">
        <f aca="false">IF(TRIM(F1353)="",IFERROR(INDEX(Map_Tables!$I$4:$I$37,MATCH(TRIM(E1353),Map_Tables!$G$4:$G$37,0)),""),IFERROR(INDEX(Map_Tables!$B$4:$B$18,MATCH(TRIM(F1353),Map_Tables!$A$4:$A$18,0)),"CHECK"))</f>
        <v>Mumbai</v>
      </c>
      <c r="AE1353" s="7" t="str">
        <f aca="false">IF(TRIM(E1353)="","",IFERROR(INDEX(Map_Tables!$H$4:$H$37,MATCH(TRIM(E1353),Map_Tables!$G$4:$G$37,0)),"CHECK"))</f>
        <v>Mumbai Pizza Co</v>
      </c>
      <c r="AF1353" s="7" t="str">
        <f aca="false">IF(TRIM(K1353)="","Unknown",IFERROR(INDEX(Map_Tables!$E$4:$E$15,MATCH(TRIM(K1353),Map_Tables!$D$4:$D$15,0)),"CHECK"))</f>
        <v>Debit Card</v>
      </c>
      <c r="AG1353" s="7" t="str">
        <f aca="false">IF(LEFT(LOWER(TRIM(L1353)),6)="cancel","Cancelled","Delivered")</f>
        <v>Delivered</v>
      </c>
      <c r="AH1353" s="10" t="n">
        <f aca="false">IF(ISNUMBER(SEARCH("/",B1353)),DATE(VALUE(RIGHT(B1353,4)),VALUE(MID(B1353,4,2)),VALUE(LEFT(B1353,2))),IF(MID(B1353,5,1)="-",DATE(VALUE(LEFT(B1353,4)),VALUE(MID(B1353,6,2)),VALUE(RIGHT(B1353,2))),DATE(VALUE(RIGHT(B1353,4)),MATCH(MID(B1353,4,3),{"Jan","Feb","Mar","Apr","May","Jun","Jul","Aug","Sep","Oct","Nov","Dec"},0),VALUE(LEFT(B1353,2)))))</f>
        <v>45898</v>
      </c>
    </row>
    <row r="1354" customFormat="false" ht="15" hidden="false" customHeight="false" outlineLevel="0" collapsed="false">
      <c r="A1354" s="7" t="s">
        <v>3679</v>
      </c>
      <c r="B1354" s="7" t="s">
        <v>341</v>
      </c>
      <c r="C1354" s="7" t="s">
        <v>1330</v>
      </c>
      <c r="D1354" s="7" t="s">
        <v>3680</v>
      </c>
      <c r="E1354" s="7" t="s">
        <v>160</v>
      </c>
      <c r="F1354" s="7" t="s">
        <v>136</v>
      </c>
      <c r="G1354" s="7" t="s">
        <v>150</v>
      </c>
      <c r="H1354" s="7" t="n">
        <v>2</v>
      </c>
      <c r="I1354" s="7" t="n">
        <v>140</v>
      </c>
      <c r="J1354" s="7" t="n">
        <v>0</v>
      </c>
      <c r="K1354" s="7" t="s">
        <v>103</v>
      </c>
      <c r="L1354" s="7" t="s">
        <v>194</v>
      </c>
      <c r="M1354" s="7" t="n">
        <v>40</v>
      </c>
      <c r="N1354" s="7" t="n">
        <v>3</v>
      </c>
      <c r="O1354" s="7" t="str">
        <f aca="false">A1354&amp;"|"&amp;B1354&amp;"|"&amp;C1354&amp;"|"&amp;D1354&amp;"|"&amp;E1354&amp;"|"&amp;F1354&amp;"|"&amp;G1354&amp;"|"&amp;H1354&amp;"|"&amp;I1354&amp;"|"&amp;J1354&amp;"|"&amp;K1354&amp;"|"&amp;L1354&amp;"|"&amp;M1354&amp;"|"&amp;N1354</f>
        <v>ORD10322|2025-02-12|13:03|C0218|Cake Walk|Pune|Desserts|2|140|0|Debit Card|Delivered|40|3</v>
      </c>
      <c r="P1354" s="7" t="str">
        <f aca="false">IF(COUNTIF($O$2:O1354,O1354)&gt;1,"DUP","OK")</f>
        <v>OK</v>
      </c>
      <c r="Q1354" s="7" t="n">
        <f aca="false">COUNTBLANK(A1354:N1354)</f>
        <v>0</v>
      </c>
      <c r="R1354" s="7" t="n">
        <f aca="false">IF(A1354="",0,COUNTIFS($A$2:$A$3058,A1354,$P$2:$P$3058,"OK"))</f>
        <v>1</v>
      </c>
      <c r="S1354" s="7" t="str">
        <f aca="false">IF(OR(A1354="",P1354="DUP",R1354&lt;2),"",IF(Q1354=_xlfn.MINIFS($Q$2:$Q$3058,$A$2:$A$3058,A1354,$P$2:$P$3058,"OK"),"KEEP","DROP"))</f>
        <v/>
      </c>
      <c r="T1354" s="9" t="n">
        <f aca="false">IF(A1354="",1,0)</f>
        <v>0</v>
      </c>
      <c r="U1354" s="9" t="n">
        <f aca="false">IF(D1354="",1,0)</f>
        <v>0</v>
      </c>
      <c r="V1354" s="9" t="n">
        <f aca="false">IF(E1354="",1,0)</f>
        <v>0</v>
      </c>
      <c r="W1354" s="9" t="n">
        <f aca="false">IF(OR(H1354&lt;1,H1354&gt;10),1,0)</f>
        <v>0</v>
      </c>
      <c r="X1354" s="9" t="n">
        <f aca="false">IF(OR(I1354&lt;=0,I1354&gt;1500),1,0)</f>
        <v>0</v>
      </c>
      <c r="Y1354" s="9" t="n">
        <f aca="false">IF(J1354&gt;H1354*I1354,1,0)</f>
        <v>0</v>
      </c>
      <c r="Z1354" s="9" t="n">
        <f aca="false">IF(AND(N1354&lt;&gt;"",OR(N1354&lt;1,N1354&gt;5)),1,0)</f>
        <v>0</v>
      </c>
      <c r="AA1354" s="9" t="n">
        <f aca="false">IF(AND(M1354&lt;&gt;"",OR(M1354&lt;5,M1354&gt;180)),1,0)</f>
        <v>0</v>
      </c>
      <c r="AB1354" s="7" t="str">
        <f aca="false">IF(P1354="DUP","Exact duplicate row",IF(T1354=1,"Missing Order ID",IF(S1354="DROP","Duplicate Order ID (less complete row)",IF(U1354=1,"Missing Customer ID",IF(V1354=1,"Missing Restaurant name",IF(W1354=1,"Invalid/outlier quantity",IF(X1354=1,"Invalid/outlier unit price",IF(Y1354=1,"Discount greater than order value",""))))))))</f>
        <v/>
      </c>
      <c r="AC1354" s="7" t="str">
        <f aca="false">IF(AB1354="","KEEP","DROP")</f>
        <v>KEEP</v>
      </c>
      <c r="AD1354" s="7" t="str">
        <f aca="false">IF(TRIM(F1354)="",IFERROR(INDEX(Map_Tables!$I$4:$I$37,MATCH(TRIM(E1354),Map_Tables!$G$4:$G$37,0)),""),IFERROR(INDEX(Map_Tables!$B$4:$B$18,MATCH(TRIM(F1354),Map_Tables!$A$4:$A$18,0)),"CHECK"))</f>
        <v>Pune</v>
      </c>
      <c r="AE1354" s="7" t="str">
        <f aca="false">IF(TRIM(E1354)="","",IFERROR(INDEX(Map_Tables!$H$4:$H$37,MATCH(TRIM(E1354),Map_Tables!$G$4:$G$37,0)),"CHECK"))</f>
        <v>Cake Walk</v>
      </c>
      <c r="AF1354" s="7" t="str">
        <f aca="false">IF(TRIM(K1354)="","Unknown",IFERROR(INDEX(Map_Tables!$E$4:$E$15,MATCH(TRIM(K1354),Map_Tables!$D$4:$D$15,0)),"CHECK"))</f>
        <v>Debit Card</v>
      </c>
      <c r="AG1354" s="7" t="str">
        <f aca="false">IF(LEFT(LOWER(TRIM(L1354)),6)="cancel","Cancelled","Delivered")</f>
        <v>Delivered</v>
      </c>
      <c r="AH1354" s="10" t="n">
        <f aca="false">IF(ISNUMBER(SEARCH("/",B1354)),DATE(VALUE(RIGHT(B1354,4)),VALUE(MID(B1354,4,2)),VALUE(LEFT(B1354,2))),IF(MID(B1354,5,1)="-",DATE(VALUE(LEFT(B1354,4)),VALUE(MID(B1354,6,2)),VALUE(RIGHT(B1354,2))),DATE(VALUE(RIGHT(B1354,4)),MATCH(MID(B1354,4,3),{"Jan","Feb","Mar","Apr","May","Jun","Jul","Aug","Sep","Oct","Nov","Dec"},0),VALUE(LEFT(B1354,2)))))</f>
        <v>45700</v>
      </c>
    </row>
    <row r="1355" customFormat="false" ht="15" hidden="false" customHeight="false" outlineLevel="0" collapsed="false">
      <c r="A1355" s="7" t="s">
        <v>3681</v>
      </c>
      <c r="B1355" s="7" t="s">
        <v>924</v>
      </c>
      <c r="C1355" s="7" t="s">
        <v>3682</v>
      </c>
      <c r="D1355" s="7" t="s">
        <v>1491</v>
      </c>
      <c r="E1355" s="7" t="s">
        <v>165</v>
      </c>
      <c r="F1355" s="7" t="s">
        <v>146</v>
      </c>
      <c r="G1355" s="7" t="s">
        <v>90</v>
      </c>
      <c r="H1355" s="7" t="n">
        <v>4</v>
      </c>
      <c r="I1355" s="7" t="n">
        <v>185</v>
      </c>
      <c r="J1355" s="7" t="n">
        <v>100</v>
      </c>
      <c r="K1355" s="7" t="s">
        <v>88</v>
      </c>
      <c r="L1355" s="7" t="s">
        <v>194</v>
      </c>
      <c r="M1355" s="7" t="n">
        <v>20</v>
      </c>
      <c r="N1355" s="7" t="n">
        <v>5</v>
      </c>
      <c r="O1355" s="7" t="str">
        <f aca="false">A1355&amp;"|"&amp;B1355&amp;"|"&amp;C1355&amp;"|"&amp;D1355&amp;"|"&amp;E1355&amp;"|"&amp;F1355&amp;"|"&amp;G1355&amp;"|"&amp;H1355&amp;"|"&amp;I1355&amp;"|"&amp;J1355&amp;"|"&amp;K1355&amp;"|"&amp;L1355&amp;"|"&amp;M1355&amp;"|"&amp;N1355</f>
        <v>ORD10112|2025-01-14|23:13|C0046|Gujarati Thali Ghar|Ahmedabad|North Indian|4|185|100|UPI|Delivered|20|5</v>
      </c>
      <c r="P1355" s="7" t="str">
        <f aca="false">IF(COUNTIF($O$2:O1355,O1355)&gt;1,"DUP","OK")</f>
        <v>OK</v>
      </c>
      <c r="Q1355" s="7" t="n">
        <f aca="false">COUNTBLANK(A1355:N1355)</f>
        <v>0</v>
      </c>
      <c r="R1355" s="7" t="n">
        <f aca="false">IF(A1355="",0,COUNTIFS($A$2:$A$3058,A1355,$P$2:$P$3058,"OK"))</f>
        <v>1</v>
      </c>
      <c r="S1355" s="7" t="str">
        <f aca="false">IF(OR(A1355="",P1355="DUP",R1355&lt;2),"",IF(Q1355=_xlfn.MINIFS($Q$2:$Q$3058,$A$2:$A$3058,A1355,$P$2:$P$3058,"OK"),"KEEP","DROP"))</f>
        <v/>
      </c>
      <c r="T1355" s="9" t="n">
        <f aca="false">IF(A1355="",1,0)</f>
        <v>0</v>
      </c>
      <c r="U1355" s="9" t="n">
        <f aca="false">IF(D1355="",1,0)</f>
        <v>0</v>
      </c>
      <c r="V1355" s="9" t="n">
        <f aca="false">IF(E1355="",1,0)</f>
        <v>0</v>
      </c>
      <c r="W1355" s="9" t="n">
        <f aca="false">IF(OR(H1355&lt;1,H1355&gt;10),1,0)</f>
        <v>0</v>
      </c>
      <c r="X1355" s="9" t="n">
        <f aca="false">IF(OR(I1355&lt;=0,I1355&gt;1500),1,0)</f>
        <v>0</v>
      </c>
      <c r="Y1355" s="9" t="n">
        <f aca="false">IF(J1355&gt;H1355*I1355,1,0)</f>
        <v>0</v>
      </c>
      <c r="Z1355" s="9" t="n">
        <f aca="false">IF(AND(N1355&lt;&gt;"",OR(N1355&lt;1,N1355&gt;5)),1,0)</f>
        <v>0</v>
      </c>
      <c r="AA1355" s="9" t="n">
        <f aca="false">IF(AND(M1355&lt;&gt;"",OR(M1355&lt;5,M1355&gt;180)),1,0)</f>
        <v>0</v>
      </c>
      <c r="AB1355" s="7" t="str">
        <f aca="false">IF(P1355="DUP","Exact duplicate row",IF(T1355=1,"Missing Order ID",IF(S1355="DROP","Duplicate Order ID (less complete row)",IF(U1355=1,"Missing Customer ID",IF(V1355=1,"Missing Restaurant name",IF(W1355=1,"Invalid/outlier quantity",IF(X1355=1,"Invalid/outlier unit price",IF(Y1355=1,"Discount greater than order value",""))))))))</f>
        <v/>
      </c>
      <c r="AC1355" s="7" t="str">
        <f aca="false">IF(AB1355="","KEEP","DROP")</f>
        <v>KEEP</v>
      </c>
      <c r="AD1355" s="7" t="str">
        <f aca="false">IF(TRIM(F1355)="",IFERROR(INDEX(Map_Tables!$I$4:$I$37,MATCH(TRIM(E1355),Map_Tables!$G$4:$G$37,0)),""),IFERROR(INDEX(Map_Tables!$B$4:$B$18,MATCH(TRIM(F1355),Map_Tables!$A$4:$A$18,0)),"CHECK"))</f>
        <v>Ahmedabad</v>
      </c>
      <c r="AE1355" s="7" t="str">
        <f aca="false">IF(TRIM(E1355)="","",IFERROR(INDEX(Map_Tables!$H$4:$H$37,MATCH(TRIM(E1355),Map_Tables!$G$4:$G$37,0)),"CHECK"))</f>
        <v>Gujarati Thali Ghar</v>
      </c>
      <c r="AF1355" s="7" t="str">
        <f aca="false">IF(TRIM(K1355)="","Unknown",IFERROR(INDEX(Map_Tables!$E$4:$E$15,MATCH(TRIM(K1355),Map_Tables!$D$4:$D$15,0)),"CHECK"))</f>
        <v>UPI</v>
      </c>
      <c r="AG1355" s="7" t="str">
        <f aca="false">IF(LEFT(LOWER(TRIM(L1355)),6)="cancel","Cancelled","Delivered")</f>
        <v>Delivered</v>
      </c>
      <c r="AH1355" s="10" t="n">
        <f aca="false">IF(ISNUMBER(SEARCH("/",B1355)),DATE(VALUE(RIGHT(B1355,4)),VALUE(MID(B1355,4,2)),VALUE(LEFT(B1355,2))),IF(MID(B1355,5,1)="-",DATE(VALUE(LEFT(B1355,4)),VALUE(MID(B1355,6,2)),VALUE(RIGHT(B1355,2))),DATE(VALUE(RIGHT(B1355,4)),MATCH(MID(B1355,4,3),{"Jan","Feb","Mar","Apr","May","Jun","Jul","Aug","Sep","Oct","Nov","Dec"},0),VALUE(LEFT(B1355,2)))))</f>
        <v>45671</v>
      </c>
    </row>
    <row r="1356" customFormat="false" ht="15" hidden="false" customHeight="false" outlineLevel="0" collapsed="false">
      <c r="A1356" s="7" t="s">
        <v>3683</v>
      </c>
      <c r="B1356" s="7" t="s">
        <v>1872</v>
      </c>
      <c r="C1356" s="7" t="s">
        <v>1957</v>
      </c>
      <c r="D1356" s="7" t="s">
        <v>3635</v>
      </c>
      <c r="E1356" s="7" t="s">
        <v>159</v>
      </c>
      <c r="F1356" s="7" t="s">
        <v>136</v>
      </c>
      <c r="G1356" s="7" t="s">
        <v>1391</v>
      </c>
      <c r="H1356" s="7" t="n">
        <v>4</v>
      </c>
      <c r="I1356" s="7" t="n">
        <v>235</v>
      </c>
      <c r="J1356" s="7" t="n">
        <v>0</v>
      </c>
      <c r="K1356" s="7" t="s">
        <v>121</v>
      </c>
      <c r="L1356" s="7" t="s">
        <v>238</v>
      </c>
      <c r="M1356" s="7"/>
      <c r="N1356" s="7"/>
      <c r="O1356" s="7" t="str">
        <f aca="false">A1356&amp;"|"&amp;B1356&amp;"|"&amp;C1356&amp;"|"&amp;D1356&amp;"|"&amp;E1356&amp;"|"&amp;F1356&amp;"|"&amp;G1356&amp;"|"&amp;H1356&amp;"|"&amp;I1356&amp;"|"&amp;J1356&amp;"|"&amp;K1356&amp;"|"&amp;L1356&amp;"|"&amp;M1356&amp;"|"&amp;N1356</f>
        <v>ORD10589|2025-03-16|13:29|C0734|Maratha Thali House|Pune|NORTH INDIAN|4|235|0|Wallet|Cancelled||</v>
      </c>
      <c r="P1356" s="7" t="str">
        <f aca="false">IF(COUNTIF($O$2:O1356,O1356)&gt;1,"DUP","OK")</f>
        <v>OK</v>
      </c>
      <c r="Q1356" s="7" t="n">
        <f aca="false">COUNTBLANK(A1356:N1356)</f>
        <v>2</v>
      </c>
      <c r="R1356" s="7" t="n">
        <f aca="false">IF(A1356="",0,COUNTIFS($A$2:$A$3058,A1356,$P$2:$P$3058,"OK"))</f>
        <v>1</v>
      </c>
      <c r="S1356" s="7" t="str">
        <f aca="false">IF(OR(A1356="",P1356="DUP",R1356&lt;2),"",IF(Q1356=_xlfn.MINIFS($Q$2:$Q$3058,$A$2:$A$3058,A1356,$P$2:$P$3058,"OK"),"KEEP","DROP"))</f>
        <v/>
      </c>
      <c r="T1356" s="9" t="n">
        <f aca="false">IF(A1356="",1,0)</f>
        <v>0</v>
      </c>
      <c r="U1356" s="9" t="n">
        <f aca="false">IF(D1356="",1,0)</f>
        <v>0</v>
      </c>
      <c r="V1356" s="9" t="n">
        <f aca="false">IF(E1356="",1,0)</f>
        <v>0</v>
      </c>
      <c r="W1356" s="9" t="n">
        <f aca="false">IF(OR(H1356&lt;1,H1356&gt;10),1,0)</f>
        <v>0</v>
      </c>
      <c r="X1356" s="9" t="n">
        <f aca="false">IF(OR(I1356&lt;=0,I1356&gt;1500),1,0)</f>
        <v>0</v>
      </c>
      <c r="Y1356" s="9" t="n">
        <f aca="false">IF(J1356&gt;H1356*I1356,1,0)</f>
        <v>0</v>
      </c>
      <c r="Z1356" s="9" t="n">
        <f aca="false">IF(AND(N1356&lt;&gt;"",OR(N1356&lt;1,N1356&gt;5)),1,0)</f>
        <v>0</v>
      </c>
      <c r="AA1356" s="9" t="n">
        <f aca="false">IF(AND(M1356&lt;&gt;"",OR(M1356&lt;5,M1356&gt;180)),1,0)</f>
        <v>0</v>
      </c>
      <c r="AB1356" s="7" t="str">
        <f aca="false">IF(P1356="DUP","Exact duplicate row",IF(T1356=1,"Missing Order ID",IF(S1356="DROP","Duplicate Order ID (less complete row)",IF(U1356=1,"Missing Customer ID",IF(V1356=1,"Missing Restaurant name",IF(W1356=1,"Invalid/outlier quantity",IF(X1356=1,"Invalid/outlier unit price",IF(Y1356=1,"Discount greater than order value",""))))))))</f>
        <v/>
      </c>
      <c r="AC1356" s="7" t="str">
        <f aca="false">IF(AB1356="","KEEP","DROP")</f>
        <v>KEEP</v>
      </c>
      <c r="AD1356" s="7" t="str">
        <f aca="false">IF(TRIM(F1356)="",IFERROR(INDEX(Map_Tables!$I$4:$I$37,MATCH(TRIM(E1356),Map_Tables!$G$4:$G$37,0)),""),IFERROR(INDEX(Map_Tables!$B$4:$B$18,MATCH(TRIM(F1356),Map_Tables!$A$4:$A$18,0)),"CHECK"))</f>
        <v>Pune</v>
      </c>
      <c r="AE1356" s="7" t="str">
        <f aca="false">IF(TRIM(E1356)="","",IFERROR(INDEX(Map_Tables!$H$4:$H$37,MATCH(TRIM(E1356),Map_Tables!$G$4:$G$37,0)),"CHECK"))</f>
        <v>Maratha Thali House</v>
      </c>
      <c r="AF1356" s="7" t="str">
        <f aca="false">IF(TRIM(K1356)="","Unknown",IFERROR(INDEX(Map_Tables!$E$4:$E$15,MATCH(TRIM(K1356),Map_Tables!$D$4:$D$15,0)),"CHECK"))</f>
        <v>Wallet</v>
      </c>
      <c r="AG1356" s="7" t="str">
        <f aca="false">IF(LEFT(LOWER(TRIM(L1356)),6)="cancel","Cancelled","Delivered")</f>
        <v>Cancelled</v>
      </c>
      <c r="AH1356" s="10" t="n">
        <f aca="false">IF(ISNUMBER(SEARCH("/",B1356)),DATE(VALUE(RIGHT(B1356,4)),VALUE(MID(B1356,4,2)),VALUE(LEFT(B1356,2))),IF(MID(B1356,5,1)="-",DATE(VALUE(LEFT(B1356,4)),VALUE(MID(B1356,6,2)),VALUE(RIGHT(B1356,2))),DATE(VALUE(RIGHT(B1356,4)),MATCH(MID(B1356,4,3),{"Jan","Feb","Mar","Apr","May","Jun","Jul","Aug","Sep","Oct","Nov","Dec"},0),VALUE(LEFT(B1356,2)))))</f>
        <v>45732</v>
      </c>
    </row>
    <row r="1357" customFormat="false" ht="15" hidden="false" customHeight="false" outlineLevel="0" collapsed="false">
      <c r="A1357" s="7" t="s">
        <v>3684</v>
      </c>
      <c r="B1357" s="7" t="s">
        <v>643</v>
      </c>
      <c r="C1357" s="7" t="s">
        <v>1562</v>
      </c>
      <c r="D1357" s="7" t="s">
        <v>3685</v>
      </c>
      <c r="E1357" s="7" t="s">
        <v>130</v>
      </c>
      <c r="F1357" s="7" t="s">
        <v>110</v>
      </c>
      <c r="G1357" s="7" t="s">
        <v>90</v>
      </c>
      <c r="H1357" s="7" t="n">
        <v>1</v>
      </c>
      <c r="I1357" s="7" t="n">
        <v>230</v>
      </c>
      <c r="J1357" s="7" t="n">
        <v>50</v>
      </c>
      <c r="K1357" s="7" t="s">
        <v>112</v>
      </c>
      <c r="L1357" s="7" t="s">
        <v>194</v>
      </c>
      <c r="M1357" s="7" t="n">
        <v>30</v>
      </c>
      <c r="N1357" s="7" t="n">
        <v>4</v>
      </c>
      <c r="O1357" s="7" t="str">
        <f aca="false">A1357&amp;"|"&amp;B1357&amp;"|"&amp;C1357&amp;"|"&amp;D1357&amp;"|"&amp;E1357&amp;"|"&amp;F1357&amp;"|"&amp;G1357&amp;"|"&amp;H1357&amp;"|"&amp;I1357&amp;"|"&amp;J1357&amp;"|"&amp;K1357&amp;"|"&amp;L1357&amp;"|"&amp;M1357&amp;"|"&amp;N1357</f>
        <v>ORD12869|2025-12-17|20:07|C0870|Tandoor Tales|Delhi|North Indian|1|230|50|Cash on Delivery|Delivered|30|4</v>
      </c>
      <c r="P1357" s="7" t="str">
        <f aca="false">IF(COUNTIF($O$2:O1357,O1357)&gt;1,"DUP","OK")</f>
        <v>OK</v>
      </c>
      <c r="Q1357" s="7" t="n">
        <f aca="false">COUNTBLANK(A1357:N1357)</f>
        <v>0</v>
      </c>
      <c r="R1357" s="7" t="n">
        <f aca="false">IF(A1357="",0,COUNTIFS($A$2:$A$3058,A1357,$P$2:$P$3058,"OK"))</f>
        <v>1</v>
      </c>
      <c r="S1357" s="7" t="str">
        <f aca="false">IF(OR(A1357="",P1357="DUP",R1357&lt;2),"",IF(Q1357=_xlfn.MINIFS($Q$2:$Q$3058,$A$2:$A$3058,A1357,$P$2:$P$3058,"OK"),"KEEP","DROP"))</f>
        <v/>
      </c>
      <c r="T1357" s="9" t="n">
        <f aca="false">IF(A1357="",1,0)</f>
        <v>0</v>
      </c>
      <c r="U1357" s="9" t="n">
        <f aca="false">IF(D1357="",1,0)</f>
        <v>0</v>
      </c>
      <c r="V1357" s="9" t="n">
        <f aca="false">IF(E1357="",1,0)</f>
        <v>0</v>
      </c>
      <c r="W1357" s="9" t="n">
        <f aca="false">IF(OR(H1357&lt;1,H1357&gt;10),1,0)</f>
        <v>0</v>
      </c>
      <c r="X1357" s="9" t="n">
        <f aca="false">IF(OR(I1357&lt;=0,I1357&gt;1500),1,0)</f>
        <v>0</v>
      </c>
      <c r="Y1357" s="9" t="n">
        <f aca="false">IF(J1357&gt;H1357*I1357,1,0)</f>
        <v>0</v>
      </c>
      <c r="Z1357" s="9" t="n">
        <f aca="false">IF(AND(N1357&lt;&gt;"",OR(N1357&lt;1,N1357&gt;5)),1,0)</f>
        <v>0</v>
      </c>
      <c r="AA1357" s="9" t="n">
        <f aca="false">IF(AND(M1357&lt;&gt;"",OR(M1357&lt;5,M1357&gt;180)),1,0)</f>
        <v>0</v>
      </c>
      <c r="AB1357" s="7" t="str">
        <f aca="false">IF(P1357="DUP","Exact duplicate row",IF(T1357=1,"Missing Order ID",IF(S1357="DROP","Duplicate Order ID (less complete row)",IF(U1357=1,"Missing Customer ID",IF(V1357=1,"Missing Restaurant name",IF(W1357=1,"Invalid/outlier quantity",IF(X1357=1,"Invalid/outlier unit price",IF(Y1357=1,"Discount greater than order value",""))))))))</f>
        <v/>
      </c>
      <c r="AC1357" s="7" t="str">
        <f aca="false">IF(AB1357="","KEEP","DROP")</f>
        <v>KEEP</v>
      </c>
      <c r="AD1357" s="7" t="str">
        <f aca="false">IF(TRIM(F1357)="",IFERROR(INDEX(Map_Tables!$I$4:$I$37,MATCH(TRIM(E1357),Map_Tables!$G$4:$G$37,0)),""),IFERROR(INDEX(Map_Tables!$B$4:$B$18,MATCH(TRIM(F1357),Map_Tables!$A$4:$A$18,0)),"CHECK"))</f>
        <v>Delhi</v>
      </c>
      <c r="AE1357" s="7" t="str">
        <f aca="false">IF(TRIM(E1357)="","",IFERROR(INDEX(Map_Tables!$H$4:$H$37,MATCH(TRIM(E1357),Map_Tables!$G$4:$G$37,0)),"CHECK"))</f>
        <v>Tandoor Tales</v>
      </c>
      <c r="AF1357" s="7" t="str">
        <f aca="false">IF(TRIM(K1357)="","Unknown",IFERROR(INDEX(Map_Tables!$E$4:$E$15,MATCH(TRIM(K1357),Map_Tables!$D$4:$D$15,0)),"CHECK"))</f>
        <v>Cash on Delivery</v>
      </c>
      <c r="AG1357" s="7" t="str">
        <f aca="false">IF(LEFT(LOWER(TRIM(L1357)),6)="cancel","Cancelled","Delivered")</f>
        <v>Delivered</v>
      </c>
      <c r="AH1357" s="10" t="n">
        <f aca="false">IF(ISNUMBER(SEARCH("/",B1357)),DATE(VALUE(RIGHT(B1357,4)),VALUE(MID(B1357,4,2)),VALUE(LEFT(B1357,2))),IF(MID(B1357,5,1)="-",DATE(VALUE(LEFT(B1357,4)),VALUE(MID(B1357,6,2)),VALUE(RIGHT(B1357,2))),DATE(VALUE(RIGHT(B1357,4)),MATCH(MID(B1357,4,3),{"Jan","Feb","Mar","Apr","May","Jun","Jul","Aug","Sep","Oct","Nov","Dec"},0),VALUE(LEFT(B1357,2)))))</f>
        <v>46008</v>
      </c>
    </row>
    <row r="1358" customFormat="false" ht="15" hidden="false" customHeight="false" outlineLevel="0" collapsed="false">
      <c r="A1358" s="7" t="s">
        <v>1863</v>
      </c>
      <c r="B1358" s="7" t="s">
        <v>1312</v>
      </c>
      <c r="C1358" s="7" t="s">
        <v>1864</v>
      </c>
      <c r="D1358" s="7" t="s">
        <v>1865</v>
      </c>
      <c r="E1358" s="7" t="s">
        <v>126</v>
      </c>
      <c r="F1358" s="7" t="s">
        <v>101</v>
      </c>
      <c r="G1358" s="7" t="s">
        <v>105</v>
      </c>
      <c r="H1358" s="7" t="n">
        <v>1</v>
      </c>
      <c r="I1358" s="7" t="n">
        <v>210</v>
      </c>
      <c r="J1358" s="7" t="n">
        <v>0</v>
      </c>
      <c r="K1358" s="7" t="s">
        <v>88</v>
      </c>
      <c r="L1358" s="7" t="s">
        <v>194</v>
      </c>
      <c r="M1358" s="7" t="n">
        <v>30</v>
      </c>
      <c r="N1358" s="7" t="n">
        <v>4</v>
      </c>
      <c r="O1358" s="7" t="str">
        <f aca="false">A1358&amp;"|"&amp;B1358&amp;"|"&amp;C1358&amp;"|"&amp;D1358&amp;"|"&amp;E1358&amp;"|"&amp;F1358&amp;"|"&amp;G1358&amp;"|"&amp;H1358&amp;"|"&amp;I1358&amp;"|"&amp;J1358&amp;"|"&amp;K1358&amp;"|"&amp;L1358&amp;"|"&amp;M1358&amp;"|"&amp;N1358</f>
        <v>ORD11099|2025-05-19|18:49|C0017|Dragon Express|Mumbai|Chinese|1|210|0|UPI|Delivered|30|4</v>
      </c>
      <c r="P1358" s="7" t="str">
        <f aca="false">IF(COUNTIF($O$2:O1358,O1358)&gt;1,"DUP","OK")</f>
        <v>DUP</v>
      </c>
      <c r="Q1358" s="7" t="n">
        <f aca="false">COUNTBLANK(A1358:N1358)</f>
        <v>0</v>
      </c>
      <c r="R1358" s="7" t="n">
        <f aca="false">IF(A1358="",0,COUNTIFS($A$2:$A$3058,A1358,$P$2:$P$3058,"OK"))</f>
        <v>1</v>
      </c>
      <c r="S1358" s="7" t="str">
        <f aca="false">IF(OR(A1358="",P1358="DUP",R1358&lt;2),"",IF(Q1358=_xlfn.MINIFS($Q$2:$Q$3058,$A$2:$A$3058,A1358,$P$2:$P$3058,"OK"),"KEEP","DROP"))</f>
        <v/>
      </c>
      <c r="T1358" s="9" t="n">
        <f aca="false">IF(A1358="",1,0)</f>
        <v>0</v>
      </c>
      <c r="U1358" s="9" t="n">
        <f aca="false">IF(D1358="",1,0)</f>
        <v>0</v>
      </c>
      <c r="V1358" s="9" t="n">
        <f aca="false">IF(E1358="",1,0)</f>
        <v>0</v>
      </c>
      <c r="W1358" s="9" t="n">
        <f aca="false">IF(OR(H1358&lt;1,H1358&gt;10),1,0)</f>
        <v>0</v>
      </c>
      <c r="X1358" s="9" t="n">
        <f aca="false">IF(OR(I1358&lt;=0,I1358&gt;1500),1,0)</f>
        <v>0</v>
      </c>
      <c r="Y1358" s="9" t="n">
        <f aca="false">IF(J1358&gt;H1358*I1358,1,0)</f>
        <v>0</v>
      </c>
      <c r="Z1358" s="9" t="n">
        <f aca="false">IF(AND(N1358&lt;&gt;"",OR(N1358&lt;1,N1358&gt;5)),1,0)</f>
        <v>0</v>
      </c>
      <c r="AA1358" s="9" t="n">
        <f aca="false">IF(AND(M1358&lt;&gt;"",OR(M1358&lt;5,M1358&gt;180)),1,0)</f>
        <v>0</v>
      </c>
      <c r="AB1358" s="7" t="str">
        <f aca="false">IF(P1358="DUP","Exact duplicate row",IF(T1358=1,"Missing Order ID",IF(S1358="DROP","Duplicate Order ID (less complete row)",IF(U1358=1,"Missing Customer ID",IF(V1358=1,"Missing Restaurant name",IF(W1358=1,"Invalid/outlier quantity",IF(X1358=1,"Invalid/outlier unit price",IF(Y1358=1,"Discount greater than order value",""))))))))</f>
        <v>Exact duplicate row</v>
      </c>
      <c r="AC1358" s="7" t="str">
        <f aca="false">IF(AB1358="","KEEP","DROP")</f>
        <v>DROP</v>
      </c>
      <c r="AD1358" s="7" t="str">
        <f aca="false">IF(TRIM(F1358)="",IFERROR(INDEX(Map_Tables!$I$4:$I$37,MATCH(TRIM(E1358),Map_Tables!$G$4:$G$37,0)),""),IFERROR(INDEX(Map_Tables!$B$4:$B$18,MATCH(TRIM(F1358),Map_Tables!$A$4:$A$18,0)),"CHECK"))</f>
        <v>Mumbai</v>
      </c>
      <c r="AE1358" s="7" t="str">
        <f aca="false">IF(TRIM(E1358)="","",IFERROR(INDEX(Map_Tables!$H$4:$H$37,MATCH(TRIM(E1358),Map_Tables!$G$4:$G$37,0)),"CHECK"))</f>
        <v>Dragon Express</v>
      </c>
      <c r="AF1358" s="7" t="str">
        <f aca="false">IF(TRIM(K1358)="","Unknown",IFERROR(INDEX(Map_Tables!$E$4:$E$15,MATCH(TRIM(K1358),Map_Tables!$D$4:$D$15,0)),"CHECK"))</f>
        <v>UPI</v>
      </c>
      <c r="AG1358" s="7" t="str">
        <f aca="false">IF(LEFT(LOWER(TRIM(L1358)),6)="cancel","Cancelled","Delivered")</f>
        <v>Delivered</v>
      </c>
      <c r="AH1358" s="10" t="n">
        <f aca="false">IF(ISNUMBER(SEARCH("/",B1358)),DATE(VALUE(RIGHT(B1358,4)),VALUE(MID(B1358,4,2)),VALUE(LEFT(B1358,2))),IF(MID(B1358,5,1)="-",DATE(VALUE(LEFT(B1358,4)),VALUE(MID(B1358,6,2)),VALUE(RIGHT(B1358,2))),DATE(VALUE(RIGHT(B1358,4)),MATCH(MID(B1358,4,3),{"Jan","Feb","Mar","Apr","May","Jun","Jul","Aug","Sep","Oct","Nov","Dec"},0),VALUE(LEFT(B1358,2)))))</f>
        <v>45796</v>
      </c>
    </row>
    <row r="1359" customFormat="false" ht="15" hidden="false" customHeight="false" outlineLevel="0" collapsed="false">
      <c r="A1359" s="7" t="s">
        <v>3686</v>
      </c>
      <c r="B1359" s="7" t="s">
        <v>719</v>
      </c>
      <c r="C1359" s="7" t="s">
        <v>1023</v>
      </c>
      <c r="D1359" s="7" t="s">
        <v>3687</v>
      </c>
      <c r="E1359" s="7" t="s">
        <v>147</v>
      </c>
      <c r="F1359" s="7" t="s">
        <v>119</v>
      </c>
      <c r="G1359" s="7" t="s">
        <v>95</v>
      </c>
      <c r="H1359" s="7" t="n">
        <v>5</v>
      </c>
      <c r="I1359" s="7" t="n">
        <v>170</v>
      </c>
      <c r="J1359" s="7" t="n">
        <v>0</v>
      </c>
      <c r="K1359" s="7" t="s">
        <v>103</v>
      </c>
      <c r="L1359" s="7" t="s">
        <v>194</v>
      </c>
      <c r="M1359" s="7" t="n">
        <v>34</v>
      </c>
      <c r="N1359" s="7" t="n">
        <v>4</v>
      </c>
      <c r="O1359" s="7" t="str">
        <f aca="false">A1359&amp;"|"&amp;B1359&amp;"|"&amp;C1359&amp;"|"&amp;D1359&amp;"|"&amp;E1359&amp;"|"&amp;F1359&amp;"|"&amp;G1359&amp;"|"&amp;H1359&amp;"|"&amp;I1359&amp;"|"&amp;J1359&amp;"|"&amp;K1359&amp;"|"&amp;L1359&amp;"|"&amp;M1359&amp;"|"&amp;N1359</f>
        <v>ORD12133|01/10/2025|10:39|C0912|Andhra Meals Mess|Hyderabad|South Indian|5|170|0|Debit Card|Delivered|34|4</v>
      </c>
      <c r="P1359" s="7" t="str">
        <f aca="false">IF(COUNTIF($O$2:O1359,O1359)&gt;1,"DUP","OK")</f>
        <v>OK</v>
      </c>
      <c r="Q1359" s="7" t="n">
        <f aca="false">COUNTBLANK(A1359:N1359)</f>
        <v>0</v>
      </c>
      <c r="R1359" s="7" t="n">
        <f aca="false">IF(A1359="",0,COUNTIFS($A$2:$A$3058,A1359,$P$2:$P$3058,"OK"))</f>
        <v>1</v>
      </c>
      <c r="S1359" s="7" t="str">
        <f aca="false">IF(OR(A1359="",P1359="DUP",R1359&lt;2),"",IF(Q1359=_xlfn.MINIFS($Q$2:$Q$3058,$A$2:$A$3058,A1359,$P$2:$P$3058,"OK"),"KEEP","DROP"))</f>
        <v/>
      </c>
      <c r="T1359" s="9" t="n">
        <f aca="false">IF(A1359="",1,0)</f>
        <v>0</v>
      </c>
      <c r="U1359" s="9" t="n">
        <f aca="false">IF(D1359="",1,0)</f>
        <v>0</v>
      </c>
      <c r="V1359" s="9" t="n">
        <f aca="false">IF(E1359="",1,0)</f>
        <v>0</v>
      </c>
      <c r="W1359" s="9" t="n">
        <f aca="false">IF(OR(H1359&lt;1,H1359&gt;10),1,0)</f>
        <v>0</v>
      </c>
      <c r="X1359" s="9" t="n">
        <f aca="false">IF(OR(I1359&lt;=0,I1359&gt;1500),1,0)</f>
        <v>0</v>
      </c>
      <c r="Y1359" s="9" t="n">
        <f aca="false">IF(J1359&gt;H1359*I1359,1,0)</f>
        <v>0</v>
      </c>
      <c r="Z1359" s="9" t="n">
        <f aca="false">IF(AND(N1359&lt;&gt;"",OR(N1359&lt;1,N1359&gt;5)),1,0)</f>
        <v>0</v>
      </c>
      <c r="AA1359" s="9" t="n">
        <f aca="false">IF(AND(M1359&lt;&gt;"",OR(M1359&lt;5,M1359&gt;180)),1,0)</f>
        <v>0</v>
      </c>
      <c r="AB1359" s="7" t="str">
        <f aca="false">IF(P1359="DUP","Exact duplicate row",IF(T1359=1,"Missing Order ID",IF(S1359="DROP","Duplicate Order ID (less complete row)",IF(U1359=1,"Missing Customer ID",IF(V1359=1,"Missing Restaurant name",IF(W1359=1,"Invalid/outlier quantity",IF(X1359=1,"Invalid/outlier unit price",IF(Y1359=1,"Discount greater than order value",""))))))))</f>
        <v/>
      </c>
      <c r="AC1359" s="7" t="str">
        <f aca="false">IF(AB1359="","KEEP","DROP")</f>
        <v>KEEP</v>
      </c>
      <c r="AD1359" s="7" t="str">
        <f aca="false">IF(TRIM(F1359)="",IFERROR(INDEX(Map_Tables!$I$4:$I$37,MATCH(TRIM(E1359),Map_Tables!$G$4:$G$37,0)),""),IFERROR(INDEX(Map_Tables!$B$4:$B$18,MATCH(TRIM(F1359),Map_Tables!$A$4:$A$18,0)),"CHECK"))</f>
        <v>Hyderabad</v>
      </c>
      <c r="AE1359" s="7" t="str">
        <f aca="false">IF(TRIM(E1359)="","",IFERROR(INDEX(Map_Tables!$H$4:$H$37,MATCH(TRIM(E1359),Map_Tables!$G$4:$G$37,0)),"CHECK"))</f>
        <v>Andhra Meals Mess</v>
      </c>
      <c r="AF1359" s="7" t="str">
        <f aca="false">IF(TRIM(K1359)="","Unknown",IFERROR(INDEX(Map_Tables!$E$4:$E$15,MATCH(TRIM(K1359),Map_Tables!$D$4:$D$15,0)),"CHECK"))</f>
        <v>Debit Card</v>
      </c>
      <c r="AG1359" s="7" t="str">
        <f aca="false">IF(LEFT(LOWER(TRIM(L1359)),6)="cancel","Cancelled","Delivered")</f>
        <v>Delivered</v>
      </c>
      <c r="AH1359" s="10" t="n">
        <f aca="false">IF(ISNUMBER(SEARCH("/",B1359)),DATE(VALUE(RIGHT(B1359,4)),VALUE(MID(B1359,4,2)),VALUE(LEFT(B1359,2))),IF(MID(B1359,5,1)="-",DATE(VALUE(LEFT(B1359,4)),VALUE(MID(B1359,6,2)),VALUE(RIGHT(B1359,2))),DATE(VALUE(RIGHT(B1359,4)),MATCH(MID(B1359,4,3),{"Jan","Feb","Mar","Apr","May","Jun","Jul","Aug","Sep","Oct","Nov","Dec"},0),VALUE(LEFT(B1359,2)))))</f>
        <v>45931</v>
      </c>
    </row>
    <row r="1360" customFormat="false" ht="15" hidden="false" customHeight="false" outlineLevel="0" collapsed="false">
      <c r="A1360" s="7" t="s">
        <v>3688</v>
      </c>
      <c r="B1360" s="7" t="s">
        <v>3689</v>
      </c>
      <c r="C1360" s="7" t="s">
        <v>3690</v>
      </c>
      <c r="D1360" s="7" t="s">
        <v>2744</v>
      </c>
      <c r="E1360" s="7" t="s">
        <v>142</v>
      </c>
      <c r="F1360" s="7" t="s">
        <v>110</v>
      </c>
      <c r="G1360" s="7" t="s">
        <v>531</v>
      </c>
      <c r="H1360" s="7" t="n">
        <v>2</v>
      </c>
      <c r="I1360" s="7" t="n">
        <v>170</v>
      </c>
      <c r="J1360" s="7" t="n">
        <v>0</v>
      </c>
      <c r="K1360" s="7" t="s">
        <v>93</v>
      </c>
      <c r="L1360" s="7" t="s">
        <v>194</v>
      </c>
      <c r="M1360" s="7" t="n">
        <v>45</v>
      </c>
      <c r="N1360" s="7" t="n">
        <v>3</v>
      </c>
      <c r="O1360" s="7" t="str">
        <f aca="false">A1360&amp;"|"&amp;B1360&amp;"|"&amp;C1360&amp;"|"&amp;D1360&amp;"|"&amp;E1360&amp;"|"&amp;F1360&amp;"|"&amp;G1360&amp;"|"&amp;H1360&amp;"|"&amp;I1360&amp;"|"&amp;J1360&amp;"|"&amp;K1360&amp;"|"&amp;L1360&amp;"|"&amp;M1360&amp;"|"&amp;N1360</f>
        <v>ORD10137|2025-01-18|13:32|C0219|Momo Magic|Delhi|CHINESE|2|170|0|Credit Card|Delivered|45|3</v>
      </c>
      <c r="P1360" s="7" t="str">
        <f aca="false">IF(COUNTIF($O$2:O1360,O1360)&gt;1,"DUP","OK")</f>
        <v>OK</v>
      </c>
      <c r="Q1360" s="7" t="n">
        <f aca="false">COUNTBLANK(A1360:N1360)</f>
        <v>0</v>
      </c>
      <c r="R1360" s="7" t="n">
        <f aca="false">IF(A1360="",0,COUNTIFS($A$2:$A$3058,A1360,$P$2:$P$3058,"OK"))</f>
        <v>1</v>
      </c>
      <c r="S1360" s="7" t="str">
        <f aca="false">IF(OR(A1360="",P1360="DUP",R1360&lt;2),"",IF(Q1360=_xlfn.MINIFS($Q$2:$Q$3058,$A$2:$A$3058,A1360,$P$2:$P$3058,"OK"),"KEEP","DROP"))</f>
        <v/>
      </c>
      <c r="T1360" s="9" t="n">
        <f aca="false">IF(A1360="",1,0)</f>
        <v>0</v>
      </c>
      <c r="U1360" s="9" t="n">
        <f aca="false">IF(D1360="",1,0)</f>
        <v>0</v>
      </c>
      <c r="V1360" s="9" t="n">
        <f aca="false">IF(E1360="",1,0)</f>
        <v>0</v>
      </c>
      <c r="W1360" s="9" t="n">
        <f aca="false">IF(OR(H1360&lt;1,H1360&gt;10),1,0)</f>
        <v>0</v>
      </c>
      <c r="X1360" s="9" t="n">
        <f aca="false">IF(OR(I1360&lt;=0,I1360&gt;1500),1,0)</f>
        <v>0</v>
      </c>
      <c r="Y1360" s="9" t="n">
        <f aca="false">IF(J1360&gt;H1360*I1360,1,0)</f>
        <v>0</v>
      </c>
      <c r="Z1360" s="9" t="n">
        <f aca="false">IF(AND(N1360&lt;&gt;"",OR(N1360&lt;1,N1360&gt;5)),1,0)</f>
        <v>0</v>
      </c>
      <c r="AA1360" s="9" t="n">
        <f aca="false">IF(AND(M1360&lt;&gt;"",OR(M1360&lt;5,M1360&gt;180)),1,0)</f>
        <v>0</v>
      </c>
      <c r="AB1360" s="7" t="str">
        <f aca="false">IF(P1360="DUP","Exact duplicate row",IF(T1360=1,"Missing Order ID",IF(S1360="DROP","Duplicate Order ID (less complete row)",IF(U1360=1,"Missing Customer ID",IF(V1360=1,"Missing Restaurant name",IF(W1360=1,"Invalid/outlier quantity",IF(X1360=1,"Invalid/outlier unit price",IF(Y1360=1,"Discount greater than order value",""))))))))</f>
        <v/>
      </c>
      <c r="AC1360" s="7" t="str">
        <f aca="false">IF(AB1360="","KEEP","DROP")</f>
        <v>KEEP</v>
      </c>
      <c r="AD1360" s="7" t="str">
        <f aca="false">IF(TRIM(F1360)="",IFERROR(INDEX(Map_Tables!$I$4:$I$37,MATCH(TRIM(E1360),Map_Tables!$G$4:$G$37,0)),""),IFERROR(INDEX(Map_Tables!$B$4:$B$18,MATCH(TRIM(F1360),Map_Tables!$A$4:$A$18,0)),"CHECK"))</f>
        <v>Delhi</v>
      </c>
      <c r="AE1360" s="7" t="str">
        <f aca="false">IF(TRIM(E1360)="","",IFERROR(INDEX(Map_Tables!$H$4:$H$37,MATCH(TRIM(E1360),Map_Tables!$G$4:$G$37,0)),"CHECK"))</f>
        <v>Momo Magic</v>
      </c>
      <c r="AF1360" s="7" t="str">
        <f aca="false">IF(TRIM(K1360)="","Unknown",IFERROR(INDEX(Map_Tables!$E$4:$E$15,MATCH(TRIM(K1360),Map_Tables!$D$4:$D$15,0)),"CHECK"))</f>
        <v>Credit Card</v>
      </c>
      <c r="AG1360" s="7" t="str">
        <f aca="false">IF(LEFT(LOWER(TRIM(L1360)),6)="cancel","Cancelled","Delivered")</f>
        <v>Delivered</v>
      </c>
      <c r="AH1360" s="10" t="n">
        <f aca="false">IF(ISNUMBER(SEARCH("/",B1360)),DATE(VALUE(RIGHT(B1360,4)),VALUE(MID(B1360,4,2)),VALUE(LEFT(B1360,2))),IF(MID(B1360,5,1)="-",DATE(VALUE(LEFT(B1360,4)),VALUE(MID(B1360,6,2)),VALUE(RIGHT(B1360,2))),DATE(VALUE(RIGHT(B1360,4)),MATCH(MID(B1360,4,3),{"Jan","Feb","Mar","Apr","May","Jun","Jul","Aug","Sep","Oct","Nov","Dec"},0),VALUE(LEFT(B1360,2)))))</f>
        <v>45675</v>
      </c>
    </row>
    <row r="1361" customFormat="false" ht="15" hidden="false" customHeight="false" outlineLevel="0" collapsed="false">
      <c r="A1361" s="7" t="s">
        <v>3691</v>
      </c>
      <c r="B1361" s="7" t="s">
        <v>2320</v>
      </c>
      <c r="C1361" s="7" t="s">
        <v>2696</v>
      </c>
      <c r="D1361" s="7" t="s">
        <v>3692</v>
      </c>
      <c r="E1361" s="7" t="s">
        <v>3154</v>
      </c>
      <c r="F1361" s="7" t="s">
        <v>119</v>
      </c>
      <c r="G1361" s="7" t="s">
        <v>99</v>
      </c>
      <c r="H1361" s="7" t="n">
        <v>2</v>
      </c>
      <c r="I1361" s="7" t="n">
        <v>290</v>
      </c>
      <c r="J1361" s="7" t="n">
        <v>0</v>
      </c>
      <c r="K1361" s="7" t="s">
        <v>93</v>
      </c>
      <c r="L1361" s="7" t="s">
        <v>238</v>
      </c>
      <c r="M1361" s="7"/>
      <c r="N1361" s="7"/>
      <c r="O1361" s="7" t="str">
        <f aca="false">A1361&amp;"|"&amp;B1361&amp;"|"&amp;C1361&amp;"|"&amp;D1361&amp;"|"&amp;E1361&amp;"|"&amp;F1361&amp;"|"&amp;G1361&amp;"|"&amp;H1361&amp;"|"&amp;I1361&amp;"|"&amp;J1361&amp;"|"&amp;K1361&amp;"|"&amp;L1361&amp;"|"&amp;M1361&amp;"|"&amp;N1361</f>
        <v>ORD11471|2025-07-10|19:05|C1200|Hyderabad  Dum Biryani|Hyderabad|Biryani|2|290|0|Credit Card|Cancelled||</v>
      </c>
      <c r="P1361" s="7" t="str">
        <f aca="false">IF(COUNTIF($O$2:O1361,O1361)&gt;1,"DUP","OK")</f>
        <v>OK</v>
      </c>
      <c r="Q1361" s="7" t="n">
        <f aca="false">COUNTBLANK(A1361:N1361)</f>
        <v>2</v>
      </c>
      <c r="R1361" s="7" t="n">
        <f aca="false">IF(A1361="",0,COUNTIFS($A$2:$A$3058,A1361,$P$2:$P$3058,"OK"))</f>
        <v>1</v>
      </c>
      <c r="S1361" s="7" t="str">
        <f aca="false">IF(OR(A1361="",P1361="DUP",R1361&lt;2),"",IF(Q1361=_xlfn.MINIFS($Q$2:$Q$3058,$A$2:$A$3058,A1361,$P$2:$P$3058,"OK"),"KEEP","DROP"))</f>
        <v/>
      </c>
      <c r="T1361" s="9" t="n">
        <f aca="false">IF(A1361="",1,0)</f>
        <v>0</v>
      </c>
      <c r="U1361" s="9" t="n">
        <f aca="false">IF(D1361="",1,0)</f>
        <v>0</v>
      </c>
      <c r="V1361" s="9" t="n">
        <f aca="false">IF(E1361="",1,0)</f>
        <v>0</v>
      </c>
      <c r="W1361" s="9" t="n">
        <f aca="false">IF(OR(H1361&lt;1,H1361&gt;10),1,0)</f>
        <v>0</v>
      </c>
      <c r="X1361" s="9" t="n">
        <f aca="false">IF(OR(I1361&lt;=0,I1361&gt;1500),1,0)</f>
        <v>0</v>
      </c>
      <c r="Y1361" s="9" t="n">
        <f aca="false">IF(J1361&gt;H1361*I1361,1,0)</f>
        <v>0</v>
      </c>
      <c r="Z1361" s="9" t="n">
        <f aca="false">IF(AND(N1361&lt;&gt;"",OR(N1361&lt;1,N1361&gt;5)),1,0)</f>
        <v>0</v>
      </c>
      <c r="AA1361" s="9" t="n">
        <f aca="false">IF(AND(M1361&lt;&gt;"",OR(M1361&lt;5,M1361&gt;180)),1,0)</f>
        <v>0</v>
      </c>
      <c r="AB1361" s="7" t="str">
        <f aca="false">IF(P1361="DUP","Exact duplicate row",IF(T1361=1,"Missing Order ID",IF(S1361="DROP","Duplicate Order ID (less complete row)",IF(U1361=1,"Missing Customer ID",IF(V1361=1,"Missing Restaurant name",IF(W1361=1,"Invalid/outlier quantity",IF(X1361=1,"Invalid/outlier unit price",IF(Y1361=1,"Discount greater than order value",""))))))))</f>
        <v/>
      </c>
      <c r="AC1361" s="7" t="str">
        <f aca="false">IF(AB1361="","KEEP","DROP")</f>
        <v>KEEP</v>
      </c>
      <c r="AD1361" s="7" t="str">
        <f aca="false">IF(TRIM(F1361)="",IFERROR(INDEX(Map_Tables!$I$4:$I$37,MATCH(TRIM(E1361),Map_Tables!$G$4:$G$37,0)),""),IFERROR(INDEX(Map_Tables!$B$4:$B$18,MATCH(TRIM(F1361),Map_Tables!$A$4:$A$18,0)),"CHECK"))</f>
        <v>Hyderabad</v>
      </c>
      <c r="AE1361" s="7" t="str">
        <f aca="false">IF(TRIM(E1361)="","",IFERROR(INDEX(Map_Tables!$H$4:$H$37,MATCH(TRIM(E1361),Map_Tables!$G$4:$G$37,0)),"CHECK"))</f>
        <v>Hyderabad Dum Biryani</v>
      </c>
      <c r="AF1361" s="7" t="str">
        <f aca="false">IF(TRIM(K1361)="","Unknown",IFERROR(INDEX(Map_Tables!$E$4:$E$15,MATCH(TRIM(K1361),Map_Tables!$D$4:$D$15,0)),"CHECK"))</f>
        <v>Credit Card</v>
      </c>
      <c r="AG1361" s="7" t="str">
        <f aca="false">IF(LEFT(LOWER(TRIM(L1361)),6)="cancel","Cancelled","Delivered")</f>
        <v>Cancelled</v>
      </c>
      <c r="AH1361" s="10" t="n">
        <f aca="false">IF(ISNUMBER(SEARCH("/",B1361)),DATE(VALUE(RIGHT(B1361,4)),VALUE(MID(B1361,4,2)),VALUE(LEFT(B1361,2))),IF(MID(B1361,5,1)="-",DATE(VALUE(LEFT(B1361,4)),VALUE(MID(B1361,6,2)),VALUE(RIGHT(B1361,2))),DATE(VALUE(RIGHT(B1361,4)),MATCH(MID(B1361,4,3),{"Jan","Feb","Mar","Apr","May","Jun","Jul","Aug","Sep","Oct","Nov","Dec"},0),VALUE(LEFT(B1361,2)))))</f>
        <v>45848</v>
      </c>
    </row>
    <row r="1362" customFormat="false" ht="15" hidden="false" customHeight="false" outlineLevel="0" collapsed="false">
      <c r="A1362" s="7" t="s">
        <v>3693</v>
      </c>
      <c r="B1362" s="7" t="s">
        <v>1938</v>
      </c>
      <c r="C1362" s="7" t="s">
        <v>1125</v>
      </c>
      <c r="D1362" s="7" t="s">
        <v>3139</v>
      </c>
      <c r="E1362" s="7" t="s">
        <v>116</v>
      </c>
      <c r="F1362" s="7" t="s">
        <v>498</v>
      </c>
      <c r="G1362" s="7" t="s">
        <v>117</v>
      </c>
      <c r="H1362" s="7" t="n">
        <v>1</v>
      </c>
      <c r="I1362" s="7" t="n">
        <v>135</v>
      </c>
      <c r="J1362" s="7" t="n">
        <v>54</v>
      </c>
      <c r="K1362" s="7" t="s">
        <v>88</v>
      </c>
      <c r="L1362" s="7" t="s">
        <v>194</v>
      </c>
      <c r="M1362" s="7" t="n">
        <v>36</v>
      </c>
      <c r="N1362" s="7" t="n">
        <v>4</v>
      </c>
      <c r="O1362" s="7" t="str">
        <f aca="false">A1362&amp;"|"&amp;B1362&amp;"|"&amp;C1362&amp;"|"&amp;D1362&amp;"|"&amp;E1362&amp;"|"&amp;F1362&amp;"|"&amp;G1362&amp;"|"&amp;H1362&amp;"|"&amp;I1362&amp;"|"&amp;J1362&amp;"|"&amp;K1362&amp;"|"&amp;L1362&amp;"|"&amp;M1362&amp;"|"&amp;N1362</f>
        <v>ORD10654|2025-03-24|11:49|C0993|Pav Bhaji Point|Bombay|Street Food|1|135|54|UPI|Delivered|36|4</v>
      </c>
      <c r="P1362" s="7" t="str">
        <f aca="false">IF(COUNTIF($O$2:O1362,O1362)&gt;1,"DUP","OK")</f>
        <v>OK</v>
      </c>
      <c r="Q1362" s="7" t="n">
        <f aca="false">COUNTBLANK(A1362:N1362)</f>
        <v>0</v>
      </c>
      <c r="R1362" s="7" t="n">
        <f aca="false">IF(A1362="",0,COUNTIFS($A$2:$A$3058,A1362,$P$2:$P$3058,"OK"))</f>
        <v>1</v>
      </c>
      <c r="S1362" s="7" t="str">
        <f aca="false">IF(OR(A1362="",P1362="DUP",R1362&lt;2),"",IF(Q1362=_xlfn.MINIFS($Q$2:$Q$3058,$A$2:$A$3058,A1362,$P$2:$P$3058,"OK"),"KEEP","DROP"))</f>
        <v/>
      </c>
      <c r="T1362" s="9" t="n">
        <f aca="false">IF(A1362="",1,0)</f>
        <v>0</v>
      </c>
      <c r="U1362" s="9" t="n">
        <f aca="false">IF(D1362="",1,0)</f>
        <v>0</v>
      </c>
      <c r="V1362" s="9" t="n">
        <f aca="false">IF(E1362="",1,0)</f>
        <v>0</v>
      </c>
      <c r="W1362" s="9" t="n">
        <f aca="false">IF(OR(H1362&lt;1,H1362&gt;10),1,0)</f>
        <v>0</v>
      </c>
      <c r="X1362" s="9" t="n">
        <f aca="false">IF(OR(I1362&lt;=0,I1362&gt;1500),1,0)</f>
        <v>0</v>
      </c>
      <c r="Y1362" s="9" t="n">
        <f aca="false">IF(J1362&gt;H1362*I1362,1,0)</f>
        <v>0</v>
      </c>
      <c r="Z1362" s="9" t="n">
        <f aca="false">IF(AND(N1362&lt;&gt;"",OR(N1362&lt;1,N1362&gt;5)),1,0)</f>
        <v>0</v>
      </c>
      <c r="AA1362" s="9" t="n">
        <f aca="false">IF(AND(M1362&lt;&gt;"",OR(M1362&lt;5,M1362&gt;180)),1,0)</f>
        <v>0</v>
      </c>
      <c r="AB1362" s="7" t="str">
        <f aca="false">IF(P1362="DUP","Exact duplicate row",IF(T1362=1,"Missing Order ID",IF(S1362="DROP","Duplicate Order ID (less complete row)",IF(U1362=1,"Missing Customer ID",IF(V1362=1,"Missing Restaurant name",IF(W1362=1,"Invalid/outlier quantity",IF(X1362=1,"Invalid/outlier unit price",IF(Y1362=1,"Discount greater than order value",""))))))))</f>
        <v/>
      </c>
      <c r="AC1362" s="7" t="str">
        <f aca="false">IF(AB1362="","KEEP","DROP")</f>
        <v>KEEP</v>
      </c>
      <c r="AD1362" s="7" t="str">
        <f aca="false">IF(TRIM(F1362)="",IFERROR(INDEX(Map_Tables!$I$4:$I$37,MATCH(TRIM(E1362),Map_Tables!$G$4:$G$37,0)),""),IFERROR(INDEX(Map_Tables!$B$4:$B$18,MATCH(TRIM(F1362),Map_Tables!$A$4:$A$18,0)),"CHECK"))</f>
        <v>Mumbai</v>
      </c>
      <c r="AE1362" s="7" t="str">
        <f aca="false">IF(TRIM(E1362)="","",IFERROR(INDEX(Map_Tables!$H$4:$H$37,MATCH(TRIM(E1362),Map_Tables!$G$4:$G$37,0)),"CHECK"))</f>
        <v>Pav Bhaji Point</v>
      </c>
      <c r="AF1362" s="7" t="str">
        <f aca="false">IF(TRIM(K1362)="","Unknown",IFERROR(INDEX(Map_Tables!$E$4:$E$15,MATCH(TRIM(K1362),Map_Tables!$D$4:$D$15,0)),"CHECK"))</f>
        <v>UPI</v>
      </c>
      <c r="AG1362" s="7" t="str">
        <f aca="false">IF(LEFT(LOWER(TRIM(L1362)),6)="cancel","Cancelled","Delivered")</f>
        <v>Delivered</v>
      </c>
      <c r="AH1362" s="10" t="n">
        <f aca="false">IF(ISNUMBER(SEARCH("/",B1362)),DATE(VALUE(RIGHT(B1362,4)),VALUE(MID(B1362,4,2)),VALUE(LEFT(B1362,2))),IF(MID(B1362,5,1)="-",DATE(VALUE(LEFT(B1362,4)),VALUE(MID(B1362,6,2)),VALUE(RIGHT(B1362,2))),DATE(VALUE(RIGHT(B1362,4)),MATCH(MID(B1362,4,3),{"Jan","Feb","Mar","Apr","May","Jun","Jul","Aug","Sep","Oct","Nov","Dec"},0),VALUE(LEFT(B1362,2)))))</f>
        <v>45740</v>
      </c>
    </row>
    <row r="1363" customFormat="false" ht="15" hidden="false" customHeight="false" outlineLevel="0" collapsed="false">
      <c r="A1363" s="7" t="s">
        <v>3694</v>
      </c>
      <c r="B1363" s="7" t="s">
        <v>3695</v>
      </c>
      <c r="C1363" s="7" t="s">
        <v>3605</v>
      </c>
      <c r="D1363" s="7" t="s">
        <v>3696</v>
      </c>
      <c r="E1363" s="7" t="s">
        <v>94</v>
      </c>
      <c r="F1363" s="7" t="s">
        <v>86</v>
      </c>
      <c r="G1363" s="7" t="s">
        <v>95</v>
      </c>
      <c r="H1363" s="7" t="n">
        <v>3</v>
      </c>
      <c r="I1363" s="7" t="n">
        <v>110</v>
      </c>
      <c r="J1363" s="7" t="n">
        <v>0</v>
      </c>
      <c r="K1363" s="7" t="s">
        <v>93</v>
      </c>
      <c r="L1363" s="7" t="s">
        <v>194</v>
      </c>
      <c r="M1363" s="7" t="n">
        <v>41</v>
      </c>
      <c r="N1363" s="7" t="n">
        <v>3</v>
      </c>
      <c r="O1363" s="7" t="str">
        <f aca="false">A1363&amp;"|"&amp;B1363&amp;"|"&amp;C1363&amp;"|"&amp;D1363&amp;"|"&amp;E1363&amp;"|"&amp;F1363&amp;"|"&amp;G1363&amp;"|"&amp;H1363&amp;"|"&amp;I1363&amp;"|"&amp;J1363&amp;"|"&amp;K1363&amp;"|"&amp;L1363&amp;"|"&amp;M1363&amp;"|"&amp;N1363</f>
        <v>ORD11946|2025-09-10|12:22|C0136|Dosa Darbar|Bengaluru|South Indian|3|110|0|Credit Card|Delivered|41|3</v>
      </c>
      <c r="P1363" s="7" t="str">
        <f aca="false">IF(COUNTIF($O$2:O1363,O1363)&gt;1,"DUP","OK")</f>
        <v>OK</v>
      </c>
      <c r="Q1363" s="7" t="n">
        <f aca="false">COUNTBLANK(A1363:N1363)</f>
        <v>0</v>
      </c>
      <c r="R1363" s="7" t="n">
        <f aca="false">IF(A1363="",0,COUNTIFS($A$2:$A$3058,A1363,$P$2:$P$3058,"OK"))</f>
        <v>1</v>
      </c>
      <c r="S1363" s="7" t="str">
        <f aca="false">IF(OR(A1363="",P1363="DUP",R1363&lt;2),"",IF(Q1363=_xlfn.MINIFS($Q$2:$Q$3058,$A$2:$A$3058,A1363,$P$2:$P$3058,"OK"),"KEEP","DROP"))</f>
        <v/>
      </c>
      <c r="T1363" s="9" t="n">
        <f aca="false">IF(A1363="",1,0)</f>
        <v>0</v>
      </c>
      <c r="U1363" s="9" t="n">
        <f aca="false">IF(D1363="",1,0)</f>
        <v>0</v>
      </c>
      <c r="V1363" s="9" t="n">
        <f aca="false">IF(E1363="",1,0)</f>
        <v>0</v>
      </c>
      <c r="W1363" s="9" t="n">
        <f aca="false">IF(OR(H1363&lt;1,H1363&gt;10),1,0)</f>
        <v>0</v>
      </c>
      <c r="X1363" s="9" t="n">
        <f aca="false">IF(OR(I1363&lt;=0,I1363&gt;1500),1,0)</f>
        <v>0</v>
      </c>
      <c r="Y1363" s="9" t="n">
        <f aca="false">IF(J1363&gt;H1363*I1363,1,0)</f>
        <v>0</v>
      </c>
      <c r="Z1363" s="9" t="n">
        <f aca="false">IF(AND(N1363&lt;&gt;"",OR(N1363&lt;1,N1363&gt;5)),1,0)</f>
        <v>0</v>
      </c>
      <c r="AA1363" s="9" t="n">
        <f aca="false">IF(AND(M1363&lt;&gt;"",OR(M1363&lt;5,M1363&gt;180)),1,0)</f>
        <v>0</v>
      </c>
      <c r="AB1363" s="7" t="str">
        <f aca="false">IF(P1363="DUP","Exact duplicate row",IF(T1363=1,"Missing Order ID",IF(S1363="DROP","Duplicate Order ID (less complete row)",IF(U1363=1,"Missing Customer ID",IF(V1363=1,"Missing Restaurant name",IF(W1363=1,"Invalid/outlier quantity",IF(X1363=1,"Invalid/outlier unit price",IF(Y1363=1,"Discount greater than order value",""))))))))</f>
        <v/>
      </c>
      <c r="AC1363" s="7" t="str">
        <f aca="false">IF(AB1363="","KEEP","DROP")</f>
        <v>KEEP</v>
      </c>
      <c r="AD1363" s="7" t="str">
        <f aca="false">IF(TRIM(F1363)="",IFERROR(INDEX(Map_Tables!$I$4:$I$37,MATCH(TRIM(E1363),Map_Tables!$G$4:$G$37,0)),""),IFERROR(INDEX(Map_Tables!$B$4:$B$18,MATCH(TRIM(F1363),Map_Tables!$A$4:$A$18,0)),"CHECK"))</f>
        <v>Bengaluru</v>
      </c>
      <c r="AE1363" s="7" t="str">
        <f aca="false">IF(TRIM(E1363)="","",IFERROR(INDEX(Map_Tables!$H$4:$H$37,MATCH(TRIM(E1363),Map_Tables!$G$4:$G$37,0)),"CHECK"))</f>
        <v>Dosa Darbar</v>
      </c>
      <c r="AF1363" s="7" t="str">
        <f aca="false">IF(TRIM(K1363)="","Unknown",IFERROR(INDEX(Map_Tables!$E$4:$E$15,MATCH(TRIM(K1363),Map_Tables!$D$4:$D$15,0)),"CHECK"))</f>
        <v>Credit Card</v>
      </c>
      <c r="AG1363" s="7" t="str">
        <f aca="false">IF(LEFT(LOWER(TRIM(L1363)),6)="cancel","Cancelled","Delivered")</f>
        <v>Delivered</v>
      </c>
      <c r="AH1363" s="10" t="n">
        <f aca="false">IF(ISNUMBER(SEARCH("/",B1363)),DATE(VALUE(RIGHT(B1363,4)),VALUE(MID(B1363,4,2)),VALUE(LEFT(B1363,2))),IF(MID(B1363,5,1)="-",DATE(VALUE(LEFT(B1363,4)),VALUE(MID(B1363,6,2)),VALUE(RIGHT(B1363,2))),DATE(VALUE(RIGHT(B1363,4)),MATCH(MID(B1363,4,3),{"Jan","Feb","Mar","Apr","May","Jun","Jul","Aug","Sep","Oct","Nov","Dec"},0),VALUE(LEFT(B1363,2)))))</f>
        <v>45910</v>
      </c>
    </row>
    <row r="1364" customFormat="false" ht="15" hidden="false" customHeight="false" outlineLevel="0" collapsed="false">
      <c r="A1364" s="7" t="s">
        <v>3697</v>
      </c>
      <c r="B1364" s="7" t="s">
        <v>943</v>
      </c>
      <c r="C1364" s="7" t="s">
        <v>856</v>
      </c>
      <c r="D1364" s="7" t="s">
        <v>936</v>
      </c>
      <c r="E1364" s="7" t="s">
        <v>94</v>
      </c>
      <c r="F1364" s="7" t="s">
        <v>86</v>
      </c>
      <c r="G1364" s="7" t="s">
        <v>95</v>
      </c>
      <c r="H1364" s="7" t="n">
        <v>3</v>
      </c>
      <c r="I1364" s="7" t="n">
        <v>95</v>
      </c>
      <c r="J1364" s="7" t="n">
        <v>40</v>
      </c>
      <c r="K1364" s="7" t="s">
        <v>229</v>
      </c>
      <c r="L1364" s="7" t="s">
        <v>194</v>
      </c>
      <c r="M1364" s="7" t="n">
        <v>46</v>
      </c>
      <c r="N1364" s="7" t="n">
        <v>4</v>
      </c>
      <c r="O1364" s="7" t="str">
        <f aca="false">A1364&amp;"|"&amp;B1364&amp;"|"&amp;C1364&amp;"|"&amp;D1364&amp;"|"&amp;E1364&amp;"|"&amp;F1364&amp;"|"&amp;G1364&amp;"|"&amp;H1364&amp;"|"&amp;I1364&amp;"|"&amp;J1364&amp;"|"&amp;K1364&amp;"|"&amp;L1364&amp;"|"&amp;M1364&amp;"|"&amp;N1364</f>
        <v>ORD12916|2025-12-22|21:04|C0601|Dosa Darbar|Bengaluru|South Indian|3|95|40|Upi|Delivered|46|4</v>
      </c>
      <c r="P1364" s="7" t="str">
        <f aca="false">IF(COUNTIF($O$2:O1364,O1364)&gt;1,"DUP","OK")</f>
        <v>OK</v>
      </c>
      <c r="Q1364" s="7" t="n">
        <f aca="false">COUNTBLANK(A1364:N1364)</f>
        <v>0</v>
      </c>
      <c r="R1364" s="7" t="n">
        <f aca="false">IF(A1364="",0,COUNTIFS($A$2:$A$3058,A1364,$P$2:$P$3058,"OK"))</f>
        <v>1</v>
      </c>
      <c r="S1364" s="7" t="str">
        <f aca="false">IF(OR(A1364="",P1364="DUP",R1364&lt;2),"",IF(Q1364=_xlfn.MINIFS($Q$2:$Q$3058,$A$2:$A$3058,A1364,$P$2:$P$3058,"OK"),"KEEP","DROP"))</f>
        <v/>
      </c>
      <c r="T1364" s="9" t="n">
        <f aca="false">IF(A1364="",1,0)</f>
        <v>0</v>
      </c>
      <c r="U1364" s="9" t="n">
        <f aca="false">IF(D1364="",1,0)</f>
        <v>0</v>
      </c>
      <c r="V1364" s="9" t="n">
        <f aca="false">IF(E1364="",1,0)</f>
        <v>0</v>
      </c>
      <c r="W1364" s="9" t="n">
        <f aca="false">IF(OR(H1364&lt;1,H1364&gt;10),1,0)</f>
        <v>0</v>
      </c>
      <c r="X1364" s="9" t="n">
        <f aca="false">IF(OR(I1364&lt;=0,I1364&gt;1500),1,0)</f>
        <v>0</v>
      </c>
      <c r="Y1364" s="9" t="n">
        <f aca="false">IF(J1364&gt;H1364*I1364,1,0)</f>
        <v>0</v>
      </c>
      <c r="Z1364" s="9" t="n">
        <f aca="false">IF(AND(N1364&lt;&gt;"",OR(N1364&lt;1,N1364&gt;5)),1,0)</f>
        <v>0</v>
      </c>
      <c r="AA1364" s="9" t="n">
        <f aca="false">IF(AND(M1364&lt;&gt;"",OR(M1364&lt;5,M1364&gt;180)),1,0)</f>
        <v>0</v>
      </c>
      <c r="AB1364" s="7" t="str">
        <f aca="false">IF(P1364="DUP","Exact duplicate row",IF(T1364=1,"Missing Order ID",IF(S1364="DROP","Duplicate Order ID (less complete row)",IF(U1364=1,"Missing Customer ID",IF(V1364=1,"Missing Restaurant name",IF(W1364=1,"Invalid/outlier quantity",IF(X1364=1,"Invalid/outlier unit price",IF(Y1364=1,"Discount greater than order value",""))))))))</f>
        <v/>
      </c>
      <c r="AC1364" s="7" t="str">
        <f aca="false">IF(AB1364="","KEEP","DROP")</f>
        <v>KEEP</v>
      </c>
      <c r="AD1364" s="7" t="str">
        <f aca="false">IF(TRIM(F1364)="",IFERROR(INDEX(Map_Tables!$I$4:$I$37,MATCH(TRIM(E1364),Map_Tables!$G$4:$G$37,0)),""),IFERROR(INDEX(Map_Tables!$B$4:$B$18,MATCH(TRIM(F1364),Map_Tables!$A$4:$A$18,0)),"CHECK"))</f>
        <v>Bengaluru</v>
      </c>
      <c r="AE1364" s="7" t="str">
        <f aca="false">IF(TRIM(E1364)="","",IFERROR(INDEX(Map_Tables!$H$4:$H$37,MATCH(TRIM(E1364),Map_Tables!$G$4:$G$37,0)),"CHECK"))</f>
        <v>Dosa Darbar</v>
      </c>
      <c r="AF1364" s="7" t="str">
        <f aca="false">IF(TRIM(K1364)="","Unknown",IFERROR(INDEX(Map_Tables!$E$4:$E$15,MATCH(TRIM(K1364),Map_Tables!$D$4:$D$15,0)),"CHECK"))</f>
        <v>UPI</v>
      </c>
      <c r="AG1364" s="7" t="str">
        <f aca="false">IF(LEFT(LOWER(TRIM(L1364)),6)="cancel","Cancelled","Delivered")</f>
        <v>Delivered</v>
      </c>
      <c r="AH1364" s="10" t="n">
        <f aca="false">IF(ISNUMBER(SEARCH("/",B1364)),DATE(VALUE(RIGHT(B1364,4)),VALUE(MID(B1364,4,2)),VALUE(LEFT(B1364,2))),IF(MID(B1364,5,1)="-",DATE(VALUE(LEFT(B1364,4)),VALUE(MID(B1364,6,2)),VALUE(RIGHT(B1364,2))),DATE(VALUE(RIGHT(B1364,4)),MATCH(MID(B1364,4,3),{"Jan","Feb","Mar","Apr","May","Jun","Jul","Aug","Sep","Oct","Nov","Dec"},0),VALUE(LEFT(B1364,2)))))</f>
        <v>46013</v>
      </c>
    </row>
    <row r="1365" customFormat="false" ht="15" hidden="false" customHeight="false" outlineLevel="0" collapsed="false">
      <c r="A1365" s="7" t="s">
        <v>3698</v>
      </c>
      <c r="B1365" s="7" t="s">
        <v>3233</v>
      </c>
      <c r="C1365" s="7" t="s">
        <v>1137</v>
      </c>
      <c r="D1365" s="7" t="s">
        <v>3250</v>
      </c>
      <c r="E1365" s="7" t="s">
        <v>130</v>
      </c>
      <c r="F1365" s="7" t="s">
        <v>110</v>
      </c>
      <c r="G1365" s="7" t="s">
        <v>90</v>
      </c>
      <c r="H1365" s="7" t="n">
        <v>2</v>
      </c>
      <c r="I1365" s="7" t="n">
        <v>275</v>
      </c>
      <c r="J1365" s="7" t="n">
        <v>0</v>
      </c>
      <c r="K1365" s="7" t="s">
        <v>93</v>
      </c>
      <c r="L1365" s="7" t="s">
        <v>194</v>
      </c>
      <c r="M1365" s="7" t="n">
        <v>38</v>
      </c>
      <c r="N1365" s="7" t="n">
        <v>5</v>
      </c>
      <c r="O1365" s="7" t="str">
        <f aca="false">A1365&amp;"|"&amp;B1365&amp;"|"&amp;C1365&amp;"|"&amp;D1365&amp;"|"&amp;E1365&amp;"|"&amp;F1365&amp;"|"&amp;G1365&amp;"|"&amp;H1365&amp;"|"&amp;I1365&amp;"|"&amp;J1365&amp;"|"&amp;K1365&amp;"|"&amp;L1365&amp;"|"&amp;M1365&amp;"|"&amp;N1365</f>
        <v>ORD11048|2025-05-12|18:04|C1213|Tandoor Tales|Delhi|North Indian|2|275|0|Credit Card|Delivered|38|5</v>
      </c>
      <c r="P1365" s="7" t="str">
        <f aca="false">IF(COUNTIF($O$2:O1365,O1365)&gt;1,"DUP","OK")</f>
        <v>OK</v>
      </c>
      <c r="Q1365" s="7" t="n">
        <f aca="false">COUNTBLANK(A1365:N1365)</f>
        <v>0</v>
      </c>
      <c r="R1365" s="7" t="n">
        <f aca="false">IF(A1365="",0,COUNTIFS($A$2:$A$3058,A1365,$P$2:$P$3058,"OK"))</f>
        <v>1</v>
      </c>
      <c r="S1365" s="7" t="str">
        <f aca="false">IF(OR(A1365="",P1365="DUP",R1365&lt;2),"",IF(Q1365=_xlfn.MINIFS($Q$2:$Q$3058,$A$2:$A$3058,A1365,$P$2:$P$3058,"OK"),"KEEP","DROP"))</f>
        <v/>
      </c>
      <c r="T1365" s="9" t="n">
        <f aca="false">IF(A1365="",1,0)</f>
        <v>0</v>
      </c>
      <c r="U1365" s="9" t="n">
        <f aca="false">IF(D1365="",1,0)</f>
        <v>0</v>
      </c>
      <c r="V1365" s="9" t="n">
        <f aca="false">IF(E1365="",1,0)</f>
        <v>0</v>
      </c>
      <c r="W1365" s="9" t="n">
        <f aca="false">IF(OR(H1365&lt;1,H1365&gt;10),1,0)</f>
        <v>0</v>
      </c>
      <c r="X1365" s="9" t="n">
        <f aca="false">IF(OR(I1365&lt;=0,I1365&gt;1500),1,0)</f>
        <v>0</v>
      </c>
      <c r="Y1365" s="9" t="n">
        <f aca="false">IF(J1365&gt;H1365*I1365,1,0)</f>
        <v>0</v>
      </c>
      <c r="Z1365" s="9" t="n">
        <f aca="false">IF(AND(N1365&lt;&gt;"",OR(N1365&lt;1,N1365&gt;5)),1,0)</f>
        <v>0</v>
      </c>
      <c r="AA1365" s="9" t="n">
        <f aca="false">IF(AND(M1365&lt;&gt;"",OR(M1365&lt;5,M1365&gt;180)),1,0)</f>
        <v>0</v>
      </c>
      <c r="AB1365" s="7" t="str">
        <f aca="false">IF(P1365="DUP","Exact duplicate row",IF(T1365=1,"Missing Order ID",IF(S1365="DROP","Duplicate Order ID (less complete row)",IF(U1365=1,"Missing Customer ID",IF(V1365=1,"Missing Restaurant name",IF(W1365=1,"Invalid/outlier quantity",IF(X1365=1,"Invalid/outlier unit price",IF(Y1365=1,"Discount greater than order value",""))))))))</f>
        <v/>
      </c>
      <c r="AC1365" s="7" t="str">
        <f aca="false">IF(AB1365="","KEEP","DROP")</f>
        <v>KEEP</v>
      </c>
      <c r="AD1365" s="7" t="str">
        <f aca="false">IF(TRIM(F1365)="",IFERROR(INDEX(Map_Tables!$I$4:$I$37,MATCH(TRIM(E1365),Map_Tables!$G$4:$G$37,0)),""),IFERROR(INDEX(Map_Tables!$B$4:$B$18,MATCH(TRIM(F1365),Map_Tables!$A$4:$A$18,0)),"CHECK"))</f>
        <v>Delhi</v>
      </c>
      <c r="AE1365" s="7" t="str">
        <f aca="false">IF(TRIM(E1365)="","",IFERROR(INDEX(Map_Tables!$H$4:$H$37,MATCH(TRIM(E1365),Map_Tables!$G$4:$G$37,0)),"CHECK"))</f>
        <v>Tandoor Tales</v>
      </c>
      <c r="AF1365" s="7" t="str">
        <f aca="false">IF(TRIM(K1365)="","Unknown",IFERROR(INDEX(Map_Tables!$E$4:$E$15,MATCH(TRIM(K1365),Map_Tables!$D$4:$D$15,0)),"CHECK"))</f>
        <v>Credit Card</v>
      </c>
      <c r="AG1365" s="7" t="str">
        <f aca="false">IF(LEFT(LOWER(TRIM(L1365)),6)="cancel","Cancelled","Delivered")</f>
        <v>Delivered</v>
      </c>
      <c r="AH1365" s="10" t="n">
        <f aca="false">IF(ISNUMBER(SEARCH("/",B1365)),DATE(VALUE(RIGHT(B1365,4)),VALUE(MID(B1365,4,2)),VALUE(LEFT(B1365,2))),IF(MID(B1365,5,1)="-",DATE(VALUE(LEFT(B1365,4)),VALUE(MID(B1365,6,2)),VALUE(RIGHT(B1365,2))),DATE(VALUE(RIGHT(B1365,4)),MATCH(MID(B1365,4,3),{"Jan","Feb","Mar","Apr","May","Jun","Jul","Aug","Sep","Oct","Nov","Dec"},0),VALUE(LEFT(B1365,2)))))</f>
        <v>45789</v>
      </c>
    </row>
    <row r="1366" customFormat="false" ht="15" hidden="false" customHeight="false" outlineLevel="0" collapsed="false">
      <c r="A1366" s="7" t="s">
        <v>3699</v>
      </c>
      <c r="B1366" s="7" t="s">
        <v>1171</v>
      </c>
      <c r="C1366" s="7" t="s">
        <v>3700</v>
      </c>
      <c r="D1366" s="7" t="s">
        <v>3396</v>
      </c>
      <c r="E1366" s="7" t="s">
        <v>148</v>
      </c>
      <c r="F1366" s="7" t="s">
        <v>119</v>
      </c>
      <c r="G1366" s="7" t="s">
        <v>123</v>
      </c>
      <c r="H1366" s="7" t="n">
        <v>2</v>
      </c>
      <c r="I1366" s="7" t="n">
        <v>345</v>
      </c>
      <c r="J1366" s="7" t="n">
        <v>100</v>
      </c>
      <c r="K1366" s="7" t="s">
        <v>421</v>
      </c>
      <c r="L1366" s="7" t="s">
        <v>194</v>
      </c>
      <c r="M1366" s="7" t="n">
        <v>35</v>
      </c>
      <c r="N1366" s="7" t="n">
        <v>3</v>
      </c>
      <c r="O1366" s="7" t="str">
        <f aca="false">A1366&amp;"|"&amp;B1366&amp;"|"&amp;C1366&amp;"|"&amp;D1366&amp;"|"&amp;E1366&amp;"|"&amp;F1366&amp;"|"&amp;G1366&amp;"|"&amp;H1366&amp;"|"&amp;I1366&amp;"|"&amp;J1366&amp;"|"&amp;K1366&amp;"|"&amp;L1366&amp;"|"&amp;M1366&amp;"|"&amp;N1366</f>
        <v>ORD12168|2025-10-04|08:03|C0942|Pizza Palace|Hyderabad|Pizza|2|345|100|UPI |Delivered|35|3</v>
      </c>
      <c r="P1366" s="7" t="str">
        <f aca="false">IF(COUNTIF($O$2:O1366,O1366)&gt;1,"DUP","OK")</f>
        <v>OK</v>
      </c>
      <c r="Q1366" s="7" t="n">
        <f aca="false">COUNTBLANK(A1366:N1366)</f>
        <v>0</v>
      </c>
      <c r="R1366" s="7" t="n">
        <f aca="false">IF(A1366="",0,COUNTIFS($A$2:$A$3058,A1366,$P$2:$P$3058,"OK"))</f>
        <v>1</v>
      </c>
      <c r="S1366" s="7" t="str">
        <f aca="false">IF(OR(A1366="",P1366="DUP",R1366&lt;2),"",IF(Q1366=_xlfn.MINIFS($Q$2:$Q$3058,$A$2:$A$3058,A1366,$P$2:$P$3058,"OK"),"KEEP","DROP"))</f>
        <v/>
      </c>
      <c r="T1366" s="9" t="n">
        <f aca="false">IF(A1366="",1,0)</f>
        <v>0</v>
      </c>
      <c r="U1366" s="9" t="n">
        <f aca="false">IF(D1366="",1,0)</f>
        <v>0</v>
      </c>
      <c r="V1366" s="9" t="n">
        <f aca="false">IF(E1366="",1,0)</f>
        <v>0</v>
      </c>
      <c r="W1366" s="9" t="n">
        <f aca="false">IF(OR(H1366&lt;1,H1366&gt;10),1,0)</f>
        <v>0</v>
      </c>
      <c r="X1366" s="9" t="n">
        <f aca="false">IF(OR(I1366&lt;=0,I1366&gt;1500),1,0)</f>
        <v>0</v>
      </c>
      <c r="Y1366" s="9" t="n">
        <f aca="false">IF(J1366&gt;H1366*I1366,1,0)</f>
        <v>0</v>
      </c>
      <c r="Z1366" s="9" t="n">
        <f aca="false">IF(AND(N1366&lt;&gt;"",OR(N1366&lt;1,N1366&gt;5)),1,0)</f>
        <v>0</v>
      </c>
      <c r="AA1366" s="9" t="n">
        <f aca="false">IF(AND(M1366&lt;&gt;"",OR(M1366&lt;5,M1366&gt;180)),1,0)</f>
        <v>0</v>
      </c>
      <c r="AB1366" s="7" t="str">
        <f aca="false">IF(P1366="DUP","Exact duplicate row",IF(T1366=1,"Missing Order ID",IF(S1366="DROP","Duplicate Order ID (less complete row)",IF(U1366=1,"Missing Customer ID",IF(V1366=1,"Missing Restaurant name",IF(W1366=1,"Invalid/outlier quantity",IF(X1366=1,"Invalid/outlier unit price",IF(Y1366=1,"Discount greater than order value",""))))))))</f>
        <v/>
      </c>
      <c r="AC1366" s="7" t="str">
        <f aca="false">IF(AB1366="","KEEP","DROP")</f>
        <v>KEEP</v>
      </c>
      <c r="AD1366" s="7" t="str">
        <f aca="false">IF(TRIM(F1366)="",IFERROR(INDEX(Map_Tables!$I$4:$I$37,MATCH(TRIM(E1366),Map_Tables!$G$4:$G$37,0)),""),IFERROR(INDEX(Map_Tables!$B$4:$B$18,MATCH(TRIM(F1366),Map_Tables!$A$4:$A$18,0)),"CHECK"))</f>
        <v>Hyderabad</v>
      </c>
      <c r="AE1366" s="7" t="str">
        <f aca="false">IF(TRIM(E1366)="","",IFERROR(INDEX(Map_Tables!$H$4:$H$37,MATCH(TRIM(E1366),Map_Tables!$G$4:$G$37,0)),"CHECK"))</f>
        <v>Pizza Palace</v>
      </c>
      <c r="AF1366" s="7" t="str">
        <f aca="false">IF(TRIM(K1366)="","Unknown",IFERROR(INDEX(Map_Tables!$E$4:$E$15,MATCH(TRIM(K1366),Map_Tables!$D$4:$D$15,0)),"CHECK"))</f>
        <v>UPI</v>
      </c>
      <c r="AG1366" s="7" t="str">
        <f aca="false">IF(LEFT(LOWER(TRIM(L1366)),6)="cancel","Cancelled","Delivered")</f>
        <v>Delivered</v>
      </c>
      <c r="AH1366" s="10" t="n">
        <f aca="false">IF(ISNUMBER(SEARCH("/",B1366)),DATE(VALUE(RIGHT(B1366,4)),VALUE(MID(B1366,4,2)),VALUE(LEFT(B1366,2))),IF(MID(B1366,5,1)="-",DATE(VALUE(LEFT(B1366,4)),VALUE(MID(B1366,6,2)),VALUE(RIGHT(B1366,2))),DATE(VALUE(RIGHT(B1366,4)),MATCH(MID(B1366,4,3),{"Jan","Feb","Mar","Apr","May","Jun","Jul","Aug","Sep","Oct","Nov","Dec"},0),VALUE(LEFT(B1366,2)))))</f>
        <v>45934</v>
      </c>
    </row>
    <row r="1367" customFormat="false" ht="15" hidden="false" customHeight="false" outlineLevel="0" collapsed="false">
      <c r="A1367" s="7" t="s">
        <v>3701</v>
      </c>
      <c r="B1367" s="7" t="s">
        <v>3702</v>
      </c>
      <c r="C1367" s="7" t="s">
        <v>2145</v>
      </c>
      <c r="D1367" s="7" t="s">
        <v>1856</v>
      </c>
      <c r="E1367" s="7" t="s">
        <v>122</v>
      </c>
      <c r="F1367" s="7" t="s">
        <v>101</v>
      </c>
      <c r="G1367" s="7" t="s">
        <v>123</v>
      </c>
      <c r="H1367" s="7" t="n">
        <v>2</v>
      </c>
      <c r="I1367" s="7" t="n">
        <v>460</v>
      </c>
      <c r="J1367" s="7" t="n">
        <v>0</v>
      </c>
      <c r="K1367" s="7" t="s">
        <v>112</v>
      </c>
      <c r="L1367" s="7" t="s">
        <v>194</v>
      </c>
      <c r="M1367" s="7" t="n">
        <v>51</v>
      </c>
      <c r="N1367" s="7" t="n">
        <v>4</v>
      </c>
      <c r="O1367" s="7" t="str">
        <f aca="false">A1367&amp;"|"&amp;B1367&amp;"|"&amp;C1367&amp;"|"&amp;D1367&amp;"|"&amp;E1367&amp;"|"&amp;F1367&amp;"|"&amp;G1367&amp;"|"&amp;H1367&amp;"|"&amp;I1367&amp;"|"&amp;J1367&amp;"|"&amp;K1367&amp;"|"&amp;L1367&amp;"|"&amp;M1367&amp;"|"&amp;N1367</f>
        <v>ORD10931|28/04/2025|13:28|C0266|Mumbai Pizza Co|Mumbai|Pizza|2|460|0|Cash on Delivery|Delivered|51|4</v>
      </c>
      <c r="P1367" s="7" t="str">
        <f aca="false">IF(COUNTIF($O$2:O1367,O1367)&gt;1,"DUP","OK")</f>
        <v>OK</v>
      </c>
      <c r="Q1367" s="7" t="n">
        <f aca="false">COUNTBLANK(A1367:N1367)</f>
        <v>0</v>
      </c>
      <c r="R1367" s="7" t="n">
        <f aca="false">IF(A1367="",0,COUNTIFS($A$2:$A$3058,A1367,$P$2:$P$3058,"OK"))</f>
        <v>1</v>
      </c>
      <c r="S1367" s="7" t="str">
        <f aca="false">IF(OR(A1367="",P1367="DUP",R1367&lt;2),"",IF(Q1367=_xlfn.MINIFS($Q$2:$Q$3058,$A$2:$A$3058,A1367,$P$2:$P$3058,"OK"),"KEEP","DROP"))</f>
        <v/>
      </c>
      <c r="T1367" s="9" t="n">
        <f aca="false">IF(A1367="",1,0)</f>
        <v>0</v>
      </c>
      <c r="U1367" s="9" t="n">
        <f aca="false">IF(D1367="",1,0)</f>
        <v>0</v>
      </c>
      <c r="V1367" s="9" t="n">
        <f aca="false">IF(E1367="",1,0)</f>
        <v>0</v>
      </c>
      <c r="W1367" s="9" t="n">
        <f aca="false">IF(OR(H1367&lt;1,H1367&gt;10),1,0)</f>
        <v>0</v>
      </c>
      <c r="X1367" s="9" t="n">
        <f aca="false">IF(OR(I1367&lt;=0,I1367&gt;1500),1,0)</f>
        <v>0</v>
      </c>
      <c r="Y1367" s="9" t="n">
        <f aca="false">IF(J1367&gt;H1367*I1367,1,0)</f>
        <v>0</v>
      </c>
      <c r="Z1367" s="9" t="n">
        <f aca="false">IF(AND(N1367&lt;&gt;"",OR(N1367&lt;1,N1367&gt;5)),1,0)</f>
        <v>0</v>
      </c>
      <c r="AA1367" s="9" t="n">
        <f aca="false">IF(AND(M1367&lt;&gt;"",OR(M1367&lt;5,M1367&gt;180)),1,0)</f>
        <v>0</v>
      </c>
      <c r="AB1367" s="7" t="str">
        <f aca="false">IF(P1367="DUP","Exact duplicate row",IF(T1367=1,"Missing Order ID",IF(S1367="DROP","Duplicate Order ID (less complete row)",IF(U1367=1,"Missing Customer ID",IF(V1367=1,"Missing Restaurant name",IF(W1367=1,"Invalid/outlier quantity",IF(X1367=1,"Invalid/outlier unit price",IF(Y1367=1,"Discount greater than order value",""))))))))</f>
        <v/>
      </c>
      <c r="AC1367" s="7" t="str">
        <f aca="false">IF(AB1367="","KEEP","DROP")</f>
        <v>KEEP</v>
      </c>
      <c r="AD1367" s="7" t="str">
        <f aca="false">IF(TRIM(F1367)="",IFERROR(INDEX(Map_Tables!$I$4:$I$37,MATCH(TRIM(E1367),Map_Tables!$G$4:$G$37,0)),""),IFERROR(INDEX(Map_Tables!$B$4:$B$18,MATCH(TRIM(F1367),Map_Tables!$A$4:$A$18,0)),"CHECK"))</f>
        <v>Mumbai</v>
      </c>
      <c r="AE1367" s="7" t="str">
        <f aca="false">IF(TRIM(E1367)="","",IFERROR(INDEX(Map_Tables!$H$4:$H$37,MATCH(TRIM(E1367),Map_Tables!$G$4:$G$37,0)),"CHECK"))</f>
        <v>Mumbai Pizza Co</v>
      </c>
      <c r="AF1367" s="7" t="str">
        <f aca="false">IF(TRIM(K1367)="","Unknown",IFERROR(INDEX(Map_Tables!$E$4:$E$15,MATCH(TRIM(K1367),Map_Tables!$D$4:$D$15,0)),"CHECK"))</f>
        <v>Cash on Delivery</v>
      </c>
      <c r="AG1367" s="7" t="str">
        <f aca="false">IF(LEFT(LOWER(TRIM(L1367)),6)="cancel","Cancelled","Delivered")</f>
        <v>Delivered</v>
      </c>
      <c r="AH1367" s="10" t="n">
        <f aca="false">IF(ISNUMBER(SEARCH("/",B1367)),DATE(VALUE(RIGHT(B1367,4)),VALUE(MID(B1367,4,2)),VALUE(LEFT(B1367,2))),IF(MID(B1367,5,1)="-",DATE(VALUE(LEFT(B1367,4)),VALUE(MID(B1367,6,2)),VALUE(RIGHT(B1367,2))),DATE(VALUE(RIGHT(B1367,4)),MATCH(MID(B1367,4,3),{"Jan","Feb","Mar","Apr","May","Jun","Jul","Aug","Sep","Oct","Nov","Dec"},0),VALUE(LEFT(B1367,2)))))</f>
        <v>45775</v>
      </c>
    </row>
    <row r="1368" customFormat="false" ht="15" hidden="false" customHeight="false" outlineLevel="0" collapsed="false">
      <c r="A1368" s="7" t="s">
        <v>3703</v>
      </c>
      <c r="B1368" s="7" t="s">
        <v>1823</v>
      </c>
      <c r="C1368" s="7" t="s">
        <v>1758</v>
      </c>
      <c r="D1368" s="7" t="s">
        <v>1856</v>
      </c>
      <c r="E1368" s="7" t="s">
        <v>144</v>
      </c>
      <c r="F1368" s="7" t="s">
        <v>312</v>
      </c>
      <c r="G1368" s="7" t="s">
        <v>99</v>
      </c>
      <c r="H1368" s="7" t="n">
        <v>1</v>
      </c>
      <c r="I1368" s="7" t="n">
        <v>270</v>
      </c>
      <c r="J1368" s="7" t="n">
        <v>40</v>
      </c>
      <c r="K1368" s="7" t="s">
        <v>121</v>
      </c>
      <c r="L1368" s="7" t="s">
        <v>194</v>
      </c>
      <c r="M1368" s="7" t="n">
        <v>34</v>
      </c>
      <c r="N1368" s="7" t="n">
        <v>2</v>
      </c>
      <c r="O1368" s="7" t="str">
        <f aca="false">A1368&amp;"|"&amp;B1368&amp;"|"&amp;C1368&amp;"|"&amp;D1368&amp;"|"&amp;E1368&amp;"|"&amp;F1368&amp;"|"&amp;G1368&amp;"|"&amp;H1368&amp;"|"&amp;I1368&amp;"|"&amp;J1368&amp;"|"&amp;K1368&amp;"|"&amp;L1368&amp;"|"&amp;M1368&amp;"|"&amp;N1368</f>
        <v>ORD10221|2025-01-30|20:10|C0266|Hyderabad Dum Biryani|Hyd|Biryani|1|270|40|Wallet|Delivered|34|2</v>
      </c>
      <c r="P1368" s="7" t="str">
        <f aca="false">IF(COUNTIF($O$2:O1368,O1368)&gt;1,"DUP","OK")</f>
        <v>OK</v>
      </c>
      <c r="Q1368" s="7" t="n">
        <f aca="false">COUNTBLANK(A1368:N1368)</f>
        <v>0</v>
      </c>
      <c r="R1368" s="7" t="n">
        <f aca="false">IF(A1368="",0,COUNTIFS($A$2:$A$3058,A1368,$P$2:$P$3058,"OK"))</f>
        <v>1</v>
      </c>
      <c r="S1368" s="7" t="str">
        <f aca="false">IF(OR(A1368="",P1368="DUP",R1368&lt;2),"",IF(Q1368=_xlfn.MINIFS($Q$2:$Q$3058,$A$2:$A$3058,A1368,$P$2:$P$3058,"OK"),"KEEP","DROP"))</f>
        <v/>
      </c>
      <c r="T1368" s="9" t="n">
        <f aca="false">IF(A1368="",1,0)</f>
        <v>0</v>
      </c>
      <c r="U1368" s="9" t="n">
        <f aca="false">IF(D1368="",1,0)</f>
        <v>0</v>
      </c>
      <c r="V1368" s="9" t="n">
        <f aca="false">IF(E1368="",1,0)</f>
        <v>0</v>
      </c>
      <c r="W1368" s="9" t="n">
        <f aca="false">IF(OR(H1368&lt;1,H1368&gt;10),1,0)</f>
        <v>0</v>
      </c>
      <c r="X1368" s="9" t="n">
        <f aca="false">IF(OR(I1368&lt;=0,I1368&gt;1500),1,0)</f>
        <v>0</v>
      </c>
      <c r="Y1368" s="9" t="n">
        <f aca="false">IF(J1368&gt;H1368*I1368,1,0)</f>
        <v>0</v>
      </c>
      <c r="Z1368" s="9" t="n">
        <f aca="false">IF(AND(N1368&lt;&gt;"",OR(N1368&lt;1,N1368&gt;5)),1,0)</f>
        <v>0</v>
      </c>
      <c r="AA1368" s="9" t="n">
        <f aca="false">IF(AND(M1368&lt;&gt;"",OR(M1368&lt;5,M1368&gt;180)),1,0)</f>
        <v>0</v>
      </c>
      <c r="AB1368" s="7" t="str">
        <f aca="false">IF(P1368="DUP","Exact duplicate row",IF(T1368=1,"Missing Order ID",IF(S1368="DROP","Duplicate Order ID (less complete row)",IF(U1368=1,"Missing Customer ID",IF(V1368=1,"Missing Restaurant name",IF(W1368=1,"Invalid/outlier quantity",IF(X1368=1,"Invalid/outlier unit price",IF(Y1368=1,"Discount greater than order value",""))))))))</f>
        <v/>
      </c>
      <c r="AC1368" s="7" t="str">
        <f aca="false">IF(AB1368="","KEEP","DROP")</f>
        <v>KEEP</v>
      </c>
      <c r="AD1368" s="7" t="str">
        <f aca="false">IF(TRIM(F1368)="",IFERROR(INDEX(Map_Tables!$I$4:$I$37,MATCH(TRIM(E1368),Map_Tables!$G$4:$G$37,0)),""),IFERROR(INDEX(Map_Tables!$B$4:$B$18,MATCH(TRIM(F1368),Map_Tables!$A$4:$A$18,0)),"CHECK"))</f>
        <v>Hyderabad</v>
      </c>
      <c r="AE1368" s="7" t="str">
        <f aca="false">IF(TRIM(E1368)="","",IFERROR(INDEX(Map_Tables!$H$4:$H$37,MATCH(TRIM(E1368),Map_Tables!$G$4:$G$37,0)),"CHECK"))</f>
        <v>Hyderabad Dum Biryani</v>
      </c>
      <c r="AF1368" s="7" t="str">
        <f aca="false">IF(TRIM(K1368)="","Unknown",IFERROR(INDEX(Map_Tables!$E$4:$E$15,MATCH(TRIM(K1368),Map_Tables!$D$4:$D$15,0)),"CHECK"))</f>
        <v>Wallet</v>
      </c>
      <c r="AG1368" s="7" t="str">
        <f aca="false">IF(LEFT(LOWER(TRIM(L1368)),6)="cancel","Cancelled","Delivered")</f>
        <v>Delivered</v>
      </c>
      <c r="AH1368" s="10" t="n">
        <f aca="false">IF(ISNUMBER(SEARCH("/",B1368)),DATE(VALUE(RIGHT(B1368,4)),VALUE(MID(B1368,4,2)),VALUE(LEFT(B1368,2))),IF(MID(B1368,5,1)="-",DATE(VALUE(LEFT(B1368,4)),VALUE(MID(B1368,6,2)),VALUE(RIGHT(B1368,2))),DATE(VALUE(RIGHT(B1368,4)),MATCH(MID(B1368,4,3),{"Jan","Feb","Mar","Apr","May","Jun","Jul","Aug","Sep","Oct","Nov","Dec"},0),VALUE(LEFT(B1368,2)))))</f>
        <v>45687</v>
      </c>
    </row>
    <row r="1369" customFormat="false" ht="15" hidden="false" customHeight="false" outlineLevel="0" collapsed="false">
      <c r="A1369" s="7" t="s">
        <v>3704</v>
      </c>
      <c r="B1369" s="7" t="s">
        <v>2535</v>
      </c>
      <c r="C1369" s="7" t="s">
        <v>3705</v>
      </c>
      <c r="D1369" s="7" t="s">
        <v>3706</v>
      </c>
      <c r="E1369" s="7" t="s">
        <v>89</v>
      </c>
      <c r="F1369" s="7" t="s">
        <v>729</v>
      </c>
      <c r="G1369" s="7" t="s">
        <v>90</v>
      </c>
      <c r="H1369" s="7" t="n">
        <v>2</v>
      </c>
      <c r="I1369" s="7" t="n">
        <v>245</v>
      </c>
      <c r="J1369" s="7" t="n">
        <v>0</v>
      </c>
      <c r="K1369" s="7" t="s">
        <v>103</v>
      </c>
      <c r="L1369" s="7" t="s">
        <v>238</v>
      </c>
      <c r="M1369" s="7"/>
      <c r="N1369" s="7"/>
      <c r="O1369" s="7" t="str">
        <f aca="false">A1369&amp;"|"&amp;B1369&amp;"|"&amp;C1369&amp;"|"&amp;D1369&amp;"|"&amp;E1369&amp;"|"&amp;F1369&amp;"|"&amp;G1369&amp;"|"&amp;H1369&amp;"|"&amp;I1369&amp;"|"&amp;J1369&amp;"|"&amp;K1369&amp;"|"&amp;L1369&amp;"|"&amp;M1369&amp;"|"&amp;N1369</f>
        <v>ORD10928|2025-04-27|22:05|C0386|Spice Junction|BENGALURU|North Indian|2|245|0|Debit Card|Cancelled||</v>
      </c>
      <c r="P1369" s="7" t="str">
        <f aca="false">IF(COUNTIF($O$2:O1369,O1369)&gt;1,"DUP","OK")</f>
        <v>OK</v>
      </c>
      <c r="Q1369" s="7" t="n">
        <f aca="false">COUNTBLANK(A1369:N1369)</f>
        <v>2</v>
      </c>
      <c r="R1369" s="7" t="n">
        <f aca="false">IF(A1369="",0,COUNTIFS($A$2:$A$3058,A1369,$P$2:$P$3058,"OK"))</f>
        <v>1</v>
      </c>
      <c r="S1369" s="7" t="str">
        <f aca="false">IF(OR(A1369="",P1369="DUP",R1369&lt;2),"",IF(Q1369=_xlfn.MINIFS($Q$2:$Q$3058,$A$2:$A$3058,A1369,$P$2:$P$3058,"OK"),"KEEP","DROP"))</f>
        <v/>
      </c>
      <c r="T1369" s="9" t="n">
        <f aca="false">IF(A1369="",1,0)</f>
        <v>0</v>
      </c>
      <c r="U1369" s="9" t="n">
        <f aca="false">IF(D1369="",1,0)</f>
        <v>0</v>
      </c>
      <c r="V1369" s="9" t="n">
        <f aca="false">IF(E1369="",1,0)</f>
        <v>0</v>
      </c>
      <c r="W1369" s="9" t="n">
        <f aca="false">IF(OR(H1369&lt;1,H1369&gt;10),1,0)</f>
        <v>0</v>
      </c>
      <c r="X1369" s="9" t="n">
        <f aca="false">IF(OR(I1369&lt;=0,I1369&gt;1500),1,0)</f>
        <v>0</v>
      </c>
      <c r="Y1369" s="9" t="n">
        <f aca="false">IF(J1369&gt;H1369*I1369,1,0)</f>
        <v>0</v>
      </c>
      <c r="Z1369" s="9" t="n">
        <f aca="false">IF(AND(N1369&lt;&gt;"",OR(N1369&lt;1,N1369&gt;5)),1,0)</f>
        <v>0</v>
      </c>
      <c r="AA1369" s="9" t="n">
        <f aca="false">IF(AND(M1369&lt;&gt;"",OR(M1369&lt;5,M1369&gt;180)),1,0)</f>
        <v>0</v>
      </c>
      <c r="AB1369" s="7" t="str">
        <f aca="false">IF(P1369="DUP","Exact duplicate row",IF(T1369=1,"Missing Order ID",IF(S1369="DROP","Duplicate Order ID (less complete row)",IF(U1369=1,"Missing Customer ID",IF(V1369=1,"Missing Restaurant name",IF(W1369=1,"Invalid/outlier quantity",IF(X1369=1,"Invalid/outlier unit price",IF(Y1369=1,"Discount greater than order value",""))))))))</f>
        <v/>
      </c>
      <c r="AC1369" s="7" t="str">
        <f aca="false">IF(AB1369="","KEEP","DROP")</f>
        <v>KEEP</v>
      </c>
      <c r="AD1369" s="7" t="str">
        <f aca="false">IF(TRIM(F1369)="",IFERROR(INDEX(Map_Tables!$I$4:$I$37,MATCH(TRIM(E1369),Map_Tables!$G$4:$G$37,0)),""),IFERROR(INDEX(Map_Tables!$B$4:$B$18,MATCH(TRIM(F1369),Map_Tables!$A$4:$A$18,0)),"CHECK"))</f>
        <v>Bengaluru</v>
      </c>
      <c r="AE1369" s="7" t="str">
        <f aca="false">IF(TRIM(E1369)="","",IFERROR(INDEX(Map_Tables!$H$4:$H$37,MATCH(TRIM(E1369),Map_Tables!$G$4:$G$37,0)),"CHECK"))</f>
        <v>Spice Junction</v>
      </c>
      <c r="AF1369" s="7" t="str">
        <f aca="false">IF(TRIM(K1369)="","Unknown",IFERROR(INDEX(Map_Tables!$E$4:$E$15,MATCH(TRIM(K1369),Map_Tables!$D$4:$D$15,0)),"CHECK"))</f>
        <v>Debit Card</v>
      </c>
      <c r="AG1369" s="7" t="str">
        <f aca="false">IF(LEFT(LOWER(TRIM(L1369)),6)="cancel","Cancelled","Delivered")</f>
        <v>Cancelled</v>
      </c>
      <c r="AH1369" s="10" t="n">
        <f aca="false">IF(ISNUMBER(SEARCH("/",B1369)),DATE(VALUE(RIGHT(B1369,4)),VALUE(MID(B1369,4,2)),VALUE(LEFT(B1369,2))),IF(MID(B1369,5,1)="-",DATE(VALUE(LEFT(B1369,4)),VALUE(MID(B1369,6,2)),VALUE(RIGHT(B1369,2))),DATE(VALUE(RIGHT(B1369,4)),MATCH(MID(B1369,4,3),{"Jan","Feb","Mar","Apr","May","Jun","Jul","Aug","Sep","Oct","Nov","Dec"},0),VALUE(LEFT(B1369,2)))))</f>
        <v>45774</v>
      </c>
    </row>
    <row r="1370" customFormat="false" ht="15" hidden="false" customHeight="false" outlineLevel="0" collapsed="false">
      <c r="A1370" s="7" t="s">
        <v>3707</v>
      </c>
      <c r="B1370" s="7" t="s">
        <v>615</v>
      </c>
      <c r="C1370" s="7" t="s">
        <v>2076</v>
      </c>
      <c r="D1370" s="7" t="s">
        <v>1347</v>
      </c>
      <c r="E1370" s="7" t="s">
        <v>159</v>
      </c>
      <c r="F1370" s="7" t="s">
        <v>135</v>
      </c>
      <c r="G1370" s="7" t="s">
        <v>90</v>
      </c>
      <c r="H1370" s="7" t="n">
        <v>3</v>
      </c>
      <c r="I1370" s="7" t="n">
        <v>235</v>
      </c>
      <c r="J1370" s="7" t="n">
        <v>40</v>
      </c>
      <c r="K1370" s="7" t="s">
        <v>112</v>
      </c>
      <c r="L1370" s="7" t="s">
        <v>194</v>
      </c>
      <c r="M1370" s="7" t="n">
        <v>33</v>
      </c>
      <c r="N1370" s="7"/>
      <c r="O1370" s="7" t="str">
        <f aca="false">A1370&amp;"|"&amp;B1370&amp;"|"&amp;C1370&amp;"|"&amp;D1370&amp;"|"&amp;E1370&amp;"|"&amp;F1370&amp;"|"&amp;G1370&amp;"|"&amp;H1370&amp;"|"&amp;I1370&amp;"|"&amp;J1370&amp;"|"&amp;K1370&amp;"|"&amp;L1370&amp;"|"&amp;M1370&amp;"|"&amp;N1370</f>
        <v>ORD11988|2025-09-14|19:11|C0590|Maratha Thali House|pune|North Indian|3|235|40|Cash on Delivery|Delivered|33|</v>
      </c>
      <c r="P1370" s="7" t="str">
        <f aca="false">IF(COUNTIF($O$2:O1370,O1370)&gt;1,"DUP","OK")</f>
        <v>OK</v>
      </c>
      <c r="Q1370" s="7" t="n">
        <f aca="false">COUNTBLANK(A1370:N1370)</f>
        <v>1</v>
      </c>
      <c r="R1370" s="7" t="n">
        <f aca="false">IF(A1370="",0,COUNTIFS($A$2:$A$3058,A1370,$P$2:$P$3058,"OK"))</f>
        <v>1</v>
      </c>
      <c r="S1370" s="7" t="str">
        <f aca="false">IF(OR(A1370="",P1370="DUP",R1370&lt;2),"",IF(Q1370=_xlfn.MINIFS($Q$2:$Q$3058,$A$2:$A$3058,A1370,$P$2:$P$3058,"OK"),"KEEP","DROP"))</f>
        <v/>
      </c>
      <c r="T1370" s="9" t="n">
        <f aca="false">IF(A1370="",1,0)</f>
        <v>0</v>
      </c>
      <c r="U1370" s="9" t="n">
        <f aca="false">IF(D1370="",1,0)</f>
        <v>0</v>
      </c>
      <c r="V1370" s="9" t="n">
        <f aca="false">IF(E1370="",1,0)</f>
        <v>0</v>
      </c>
      <c r="W1370" s="9" t="n">
        <f aca="false">IF(OR(H1370&lt;1,H1370&gt;10),1,0)</f>
        <v>0</v>
      </c>
      <c r="X1370" s="9" t="n">
        <f aca="false">IF(OR(I1370&lt;=0,I1370&gt;1500),1,0)</f>
        <v>0</v>
      </c>
      <c r="Y1370" s="9" t="n">
        <f aca="false">IF(J1370&gt;H1370*I1370,1,0)</f>
        <v>0</v>
      </c>
      <c r="Z1370" s="9" t="n">
        <f aca="false">IF(AND(N1370&lt;&gt;"",OR(N1370&lt;1,N1370&gt;5)),1,0)</f>
        <v>0</v>
      </c>
      <c r="AA1370" s="9" t="n">
        <f aca="false">IF(AND(M1370&lt;&gt;"",OR(M1370&lt;5,M1370&gt;180)),1,0)</f>
        <v>0</v>
      </c>
      <c r="AB1370" s="7" t="str">
        <f aca="false">IF(P1370="DUP","Exact duplicate row",IF(T1370=1,"Missing Order ID",IF(S1370="DROP","Duplicate Order ID (less complete row)",IF(U1370=1,"Missing Customer ID",IF(V1370=1,"Missing Restaurant name",IF(W1370=1,"Invalid/outlier quantity",IF(X1370=1,"Invalid/outlier unit price",IF(Y1370=1,"Discount greater than order value",""))))))))</f>
        <v/>
      </c>
      <c r="AC1370" s="7" t="str">
        <f aca="false">IF(AB1370="","KEEP","DROP")</f>
        <v>KEEP</v>
      </c>
      <c r="AD1370" s="7" t="str">
        <f aca="false">IF(TRIM(F1370)="",IFERROR(INDEX(Map_Tables!$I$4:$I$37,MATCH(TRIM(E1370),Map_Tables!$G$4:$G$37,0)),""),IFERROR(INDEX(Map_Tables!$B$4:$B$18,MATCH(TRIM(F1370),Map_Tables!$A$4:$A$18,0)),"CHECK"))</f>
        <v>Pune</v>
      </c>
      <c r="AE1370" s="7" t="str">
        <f aca="false">IF(TRIM(E1370)="","",IFERROR(INDEX(Map_Tables!$H$4:$H$37,MATCH(TRIM(E1370),Map_Tables!$G$4:$G$37,0)),"CHECK"))</f>
        <v>Maratha Thali House</v>
      </c>
      <c r="AF1370" s="7" t="str">
        <f aca="false">IF(TRIM(K1370)="","Unknown",IFERROR(INDEX(Map_Tables!$E$4:$E$15,MATCH(TRIM(K1370),Map_Tables!$D$4:$D$15,0)),"CHECK"))</f>
        <v>Cash on Delivery</v>
      </c>
      <c r="AG1370" s="7" t="str">
        <f aca="false">IF(LEFT(LOWER(TRIM(L1370)),6)="cancel","Cancelled","Delivered")</f>
        <v>Delivered</v>
      </c>
      <c r="AH1370" s="10" t="n">
        <f aca="false">IF(ISNUMBER(SEARCH("/",B1370)),DATE(VALUE(RIGHT(B1370,4)),VALUE(MID(B1370,4,2)),VALUE(LEFT(B1370,2))),IF(MID(B1370,5,1)="-",DATE(VALUE(LEFT(B1370,4)),VALUE(MID(B1370,6,2)),VALUE(RIGHT(B1370,2))),DATE(VALUE(RIGHT(B1370,4)),MATCH(MID(B1370,4,3),{"Jan","Feb","Mar","Apr","May","Jun","Jul","Aug","Sep","Oct","Nov","Dec"},0),VALUE(LEFT(B1370,2)))))</f>
        <v>45914</v>
      </c>
    </row>
    <row r="1371" customFormat="false" ht="15" hidden="false" customHeight="false" outlineLevel="0" collapsed="false">
      <c r="A1371" s="7" t="s">
        <v>3708</v>
      </c>
      <c r="B1371" s="7" t="s">
        <v>3695</v>
      </c>
      <c r="C1371" s="7" t="s">
        <v>3709</v>
      </c>
      <c r="D1371" s="7" t="s">
        <v>3710</v>
      </c>
      <c r="E1371" s="7" t="s">
        <v>94</v>
      </c>
      <c r="F1371" s="7" t="s">
        <v>86</v>
      </c>
      <c r="G1371" s="7" t="s">
        <v>95</v>
      </c>
      <c r="H1371" s="7" t="n">
        <v>5</v>
      </c>
      <c r="I1371" s="7" t="n">
        <v>155</v>
      </c>
      <c r="J1371" s="7" t="n">
        <v>50</v>
      </c>
      <c r="K1371" s="7" t="s">
        <v>87</v>
      </c>
      <c r="L1371" s="7" t="s">
        <v>194</v>
      </c>
      <c r="M1371" s="7" t="n">
        <v>37</v>
      </c>
      <c r="N1371" s="7" t="n">
        <v>4</v>
      </c>
      <c r="O1371" s="7" t="str">
        <f aca="false">A1371&amp;"|"&amp;B1371&amp;"|"&amp;C1371&amp;"|"&amp;D1371&amp;"|"&amp;E1371&amp;"|"&amp;F1371&amp;"|"&amp;G1371&amp;"|"&amp;H1371&amp;"|"&amp;I1371&amp;"|"&amp;J1371&amp;"|"&amp;K1371&amp;"|"&amp;L1371&amp;"|"&amp;M1371&amp;"|"&amp;N1371</f>
        <v>ORD11948|2025-09-10|13:35|C0003|Dosa Darbar|Bengaluru|South Indian|5|155|50|upi|Delivered|37|4</v>
      </c>
      <c r="P1371" s="7" t="str">
        <f aca="false">IF(COUNTIF($O$2:O1371,O1371)&gt;1,"DUP","OK")</f>
        <v>OK</v>
      </c>
      <c r="Q1371" s="7" t="n">
        <f aca="false">COUNTBLANK(A1371:N1371)</f>
        <v>0</v>
      </c>
      <c r="R1371" s="7" t="n">
        <f aca="false">IF(A1371="",0,COUNTIFS($A$2:$A$3058,A1371,$P$2:$P$3058,"OK"))</f>
        <v>1</v>
      </c>
      <c r="S1371" s="7" t="str">
        <f aca="false">IF(OR(A1371="",P1371="DUP",R1371&lt;2),"",IF(Q1371=_xlfn.MINIFS($Q$2:$Q$3058,$A$2:$A$3058,A1371,$P$2:$P$3058,"OK"),"KEEP","DROP"))</f>
        <v/>
      </c>
      <c r="T1371" s="9" t="n">
        <f aca="false">IF(A1371="",1,0)</f>
        <v>0</v>
      </c>
      <c r="U1371" s="9" t="n">
        <f aca="false">IF(D1371="",1,0)</f>
        <v>0</v>
      </c>
      <c r="V1371" s="9" t="n">
        <f aca="false">IF(E1371="",1,0)</f>
        <v>0</v>
      </c>
      <c r="W1371" s="9" t="n">
        <f aca="false">IF(OR(H1371&lt;1,H1371&gt;10),1,0)</f>
        <v>0</v>
      </c>
      <c r="X1371" s="9" t="n">
        <f aca="false">IF(OR(I1371&lt;=0,I1371&gt;1500),1,0)</f>
        <v>0</v>
      </c>
      <c r="Y1371" s="9" t="n">
        <f aca="false">IF(J1371&gt;H1371*I1371,1,0)</f>
        <v>0</v>
      </c>
      <c r="Z1371" s="9" t="n">
        <f aca="false">IF(AND(N1371&lt;&gt;"",OR(N1371&lt;1,N1371&gt;5)),1,0)</f>
        <v>0</v>
      </c>
      <c r="AA1371" s="9" t="n">
        <f aca="false">IF(AND(M1371&lt;&gt;"",OR(M1371&lt;5,M1371&gt;180)),1,0)</f>
        <v>0</v>
      </c>
      <c r="AB1371" s="7" t="str">
        <f aca="false">IF(P1371="DUP","Exact duplicate row",IF(T1371=1,"Missing Order ID",IF(S1371="DROP","Duplicate Order ID (less complete row)",IF(U1371=1,"Missing Customer ID",IF(V1371=1,"Missing Restaurant name",IF(W1371=1,"Invalid/outlier quantity",IF(X1371=1,"Invalid/outlier unit price",IF(Y1371=1,"Discount greater than order value",""))))))))</f>
        <v/>
      </c>
      <c r="AC1371" s="7" t="str">
        <f aca="false">IF(AB1371="","KEEP","DROP")</f>
        <v>KEEP</v>
      </c>
      <c r="AD1371" s="7" t="str">
        <f aca="false">IF(TRIM(F1371)="",IFERROR(INDEX(Map_Tables!$I$4:$I$37,MATCH(TRIM(E1371),Map_Tables!$G$4:$G$37,0)),""),IFERROR(INDEX(Map_Tables!$B$4:$B$18,MATCH(TRIM(F1371),Map_Tables!$A$4:$A$18,0)),"CHECK"))</f>
        <v>Bengaluru</v>
      </c>
      <c r="AE1371" s="7" t="str">
        <f aca="false">IF(TRIM(E1371)="","",IFERROR(INDEX(Map_Tables!$H$4:$H$37,MATCH(TRIM(E1371),Map_Tables!$G$4:$G$37,0)),"CHECK"))</f>
        <v>Dosa Darbar</v>
      </c>
      <c r="AF1371" s="7" t="str">
        <f aca="false">IF(TRIM(K1371)="","Unknown",IFERROR(INDEX(Map_Tables!$E$4:$E$15,MATCH(TRIM(K1371),Map_Tables!$D$4:$D$15,0)),"CHECK"))</f>
        <v>UPI</v>
      </c>
      <c r="AG1371" s="7" t="str">
        <f aca="false">IF(LEFT(LOWER(TRIM(L1371)),6)="cancel","Cancelled","Delivered")</f>
        <v>Delivered</v>
      </c>
      <c r="AH1371" s="10" t="n">
        <f aca="false">IF(ISNUMBER(SEARCH("/",B1371)),DATE(VALUE(RIGHT(B1371,4)),VALUE(MID(B1371,4,2)),VALUE(LEFT(B1371,2))),IF(MID(B1371,5,1)="-",DATE(VALUE(LEFT(B1371,4)),VALUE(MID(B1371,6,2)),VALUE(RIGHT(B1371,2))),DATE(VALUE(RIGHT(B1371,4)),MATCH(MID(B1371,4,3),{"Jan","Feb","Mar","Apr","May","Jun","Jul","Aug","Sep","Oct","Nov","Dec"},0),VALUE(LEFT(B1371,2)))))</f>
        <v>45910</v>
      </c>
    </row>
    <row r="1372" customFormat="false" ht="15" hidden="false" customHeight="false" outlineLevel="0" collapsed="false">
      <c r="A1372" s="7" t="s">
        <v>3711</v>
      </c>
      <c r="B1372" s="7" t="s">
        <v>576</v>
      </c>
      <c r="C1372" s="7" t="s">
        <v>749</v>
      </c>
      <c r="D1372" s="7" t="s">
        <v>3645</v>
      </c>
      <c r="E1372" s="7" t="s">
        <v>148</v>
      </c>
      <c r="F1372" s="7" t="s">
        <v>119</v>
      </c>
      <c r="G1372" s="7" t="s">
        <v>123</v>
      </c>
      <c r="H1372" s="7" t="n">
        <v>2</v>
      </c>
      <c r="I1372" s="7" t="n">
        <v>290</v>
      </c>
      <c r="J1372" s="7" t="n">
        <v>0</v>
      </c>
      <c r="K1372" s="7" t="s">
        <v>2596</v>
      </c>
      <c r="L1372" s="7" t="s">
        <v>194</v>
      </c>
      <c r="M1372" s="7" t="n">
        <v>30</v>
      </c>
      <c r="N1372" s="7" t="n">
        <v>5</v>
      </c>
      <c r="O1372" s="7" t="str">
        <f aca="false">A1372&amp;"|"&amp;B1372&amp;"|"&amp;C1372&amp;"|"&amp;D1372&amp;"|"&amp;E1372&amp;"|"&amp;F1372&amp;"|"&amp;G1372&amp;"|"&amp;H1372&amp;"|"&amp;I1372&amp;"|"&amp;J1372&amp;"|"&amp;K1372&amp;"|"&amp;L1372&amp;"|"&amp;M1372&amp;"|"&amp;N1372</f>
        <v>ORD12272|2025-10-15|11:16|C1002|Pizza Palace|Hyderabad|Pizza|2|290|0|COD|Delivered|30|5</v>
      </c>
      <c r="P1372" s="7" t="str">
        <f aca="false">IF(COUNTIF($O$2:O1372,O1372)&gt;1,"DUP","OK")</f>
        <v>OK</v>
      </c>
      <c r="Q1372" s="7" t="n">
        <f aca="false">COUNTBLANK(A1372:N1372)</f>
        <v>0</v>
      </c>
      <c r="R1372" s="7" t="n">
        <f aca="false">IF(A1372="",0,COUNTIFS($A$2:$A$3058,A1372,$P$2:$P$3058,"OK"))</f>
        <v>1</v>
      </c>
      <c r="S1372" s="7" t="str">
        <f aca="false">IF(OR(A1372="",P1372="DUP",R1372&lt;2),"",IF(Q1372=_xlfn.MINIFS($Q$2:$Q$3058,$A$2:$A$3058,A1372,$P$2:$P$3058,"OK"),"KEEP","DROP"))</f>
        <v/>
      </c>
      <c r="T1372" s="9" t="n">
        <f aca="false">IF(A1372="",1,0)</f>
        <v>0</v>
      </c>
      <c r="U1372" s="9" t="n">
        <f aca="false">IF(D1372="",1,0)</f>
        <v>0</v>
      </c>
      <c r="V1372" s="9" t="n">
        <f aca="false">IF(E1372="",1,0)</f>
        <v>0</v>
      </c>
      <c r="W1372" s="9" t="n">
        <f aca="false">IF(OR(H1372&lt;1,H1372&gt;10),1,0)</f>
        <v>0</v>
      </c>
      <c r="X1372" s="9" t="n">
        <f aca="false">IF(OR(I1372&lt;=0,I1372&gt;1500),1,0)</f>
        <v>0</v>
      </c>
      <c r="Y1372" s="9" t="n">
        <f aca="false">IF(J1372&gt;H1372*I1372,1,0)</f>
        <v>0</v>
      </c>
      <c r="Z1372" s="9" t="n">
        <f aca="false">IF(AND(N1372&lt;&gt;"",OR(N1372&lt;1,N1372&gt;5)),1,0)</f>
        <v>0</v>
      </c>
      <c r="AA1372" s="9" t="n">
        <f aca="false">IF(AND(M1372&lt;&gt;"",OR(M1372&lt;5,M1372&gt;180)),1,0)</f>
        <v>0</v>
      </c>
      <c r="AB1372" s="7" t="str">
        <f aca="false">IF(P1372="DUP","Exact duplicate row",IF(T1372=1,"Missing Order ID",IF(S1372="DROP","Duplicate Order ID (less complete row)",IF(U1372=1,"Missing Customer ID",IF(V1372=1,"Missing Restaurant name",IF(W1372=1,"Invalid/outlier quantity",IF(X1372=1,"Invalid/outlier unit price",IF(Y1372=1,"Discount greater than order value",""))))))))</f>
        <v/>
      </c>
      <c r="AC1372" s="7" t="str">
        <f aca="false">IF(AB1372="","KEEP","DROP")</f>
        <v>KEEP</v>
      </c>
      <c r="AD1372" s="7" t="str">
        <f aca="false">IF(TRIM(F1372)="",IFERROR(INDEX(Map_Tables!$I$4:$I$37,MATCH(TRIM(E1372),Map_Tables!$G$4:$G$37,0)),""),IFERROR(INDEX(Map_Tables!$B$4:$B$18,MATCH(TRIM(F1372),Map_Tables!$A$4:$A$18,0)),"CHECK"))</f>
        <v>Hyderabad</v>
      </c>
      <c r="AE1372" s="7" t="str">
        <f aca="false">IF(TRIM(E1372)="","",IFERROR(INDEX(Map_Tables!$H$4:$H$37,MATCH(TRIM(E1372),Map_Tables!$G$4:$G$37,0)),"CHECK"))</f>
        <v>Pizza Palace</v>
      </c>
      <c r="AF1372" s="7" t="str">
        <f aca="false">IF(TRIM(K1372)="","Unknown",IFERROR(INDEX(Map_Tables!$E$4:$E$15,MATCH(TRIM(K1372),Map_Tables!$D$4:$D$15,0)),"CHECK"))</f>
        <v>Cash on Delivery</v>
      </c>
      <c r="AG1372" s="7" t="str">
        <f aca="false">IF(LEFT(LOWER(TRIM(L1372)),6)="cancel","Cancelled","Delivered")</f>
        <v>Delivered</v>
      </c>
      <c r="AH1372" s="10" t="n">
        <f aca="false">IF(ISNUMBER(SEARCH("/",B1372)),DATE(VALUE(RIGHT(B1372,4)),VALUE(MID(B1372,4,2)),VALUE(LEFT(B1372,2))),IF(MID(B1372,5,1)="-",DATE(VALUE(LEFT(B1372,4)),VALUE(MID(B1372,6,2)),VALUE(RIGHT(B1372,2))),DATE(VALUE(RIGHT(B1372,4)),MATCH(MID(B1372,4,3),{"Jan","Feb","Mar","Apr","May","Jun","Jul","Aug","Sep","Oct","Nov","Dec"},0),VALUE(LEFT(B1372,2)))))</f>
        <v>45945</v>
      </c>
    </row>
    <row r="1373" customFormat="false" ht="15" hidden="false" customHeight="false" outlineLevel="0" collapsed="false">
      <c r="A1373" s="7" t="s">
        <v>3712</v>
      </c>
      <c r="B1373" s="7" t="s">
        <v>2026</v>
      </c>
      <c r="C1373" s="7" t="s">
        <v>3713</v>
      </c>
      <c r="D1373" s="7" t="s">
        <v>3714</v>
      </c>
      <c r="E1373" s="7" t="s">
        <v>2620</v>
      </c>
      <c r="F1373" s="7" t="s">
        <v>110</v>
      </c>
      <c r="G1373" s="7" t="s">
        <v>105</v>
      </c>
      <c r="H1373" s="7" t="n">
        <v>4</v>
      </c>
      <c r="I1373" s="7" t="n">
        <v>175</v>
      </c>
      <c r="J1373" s="7" t="n">
        <v>0</v>
      </c>
      <c r="K1373" s="7" t="s">
        <v>103</v>
      </c>
      <c r="L1373" s="7" t="s">
        <v>194</v>
      </c>
      <c r="M1373" s="7" t="n">
        <v>23</v>
      </c>
      <c r="N1373" s="7" t="n">
        <v>5</v>
      </c>
      <c r="O1373" s="7" t="str">
        <f aca="false">A1373&amp;"|"&amp;B1373&amp;"|"&amp;C1373&amp;"|"&amp;D1373&amp;"|"&amp;E1373&amp;"|"&amp;F1373&amp;"|"&amp;G1373&amp;"|"&amp;H1373&amp;"|"&amp;I1373&amp;"|"&amp;J1373&amp;"|"&amp;K1373&amp;"|"&amp;L1373&amp;"|"&amp;M1373&amp;"|"&amp;N1373</f>
        <v>ORD12694|2025-11-28|11:39|C1161|momo magic|Delhi|Chinese|4|175|0|Debit Card|Delivered|23|5</v>
      </c>
      <c r="P1373" s="7" t="str">
        <f aca="false">IF(COUNTIF($O$2:O1373,O1373)&gt;1,"DUP","OK")</f>
        <v>OK</v>
      </c>
      <c r="Q1373" s="7" t="n">
        <f aca="false">COUNTBLANK(A1373:N1373)</f>
        <v>0</v>
      </c>
      <c r="R1373" s="7" t="n">
        <f aca="false">IF(A1373="",0,COUNTIFS($A$2:$A$3058,A1373,$P$2:$P$3058,"OK"))</f>
        <v>1</v>
      </c>
      <c r="S1373" s="7" t="str">
        <f aca="false">IF(OR(A1373="",P1373="DUP",R1373&lt;2),"",IF(Q1373=_xlfn.MINIFS($Q$2:$Q$3058,$A$2:$A$3058,A1373,$P$2:$P$3058,"OK"),"KEEP","DROP"))</f>
        <v/>
      </c>
      <c r="T1373" s="9" t="n">
        <f aca="false">IF(A1373="",1,0)</f>
        <v>0</v>
      </c>
      <c r="U1373" s="9" t="n">
        <f aca="false">IF(D1373="",1,0)</f>
        <v>0</v>
      </c>
      <c r="V1373" s="9" t="n">
        <f aca="false">IF(E1373="",1,0)</f>
        <v>0</v>
      </c>
      <c r="W1373" s="9" t="n">
        <f aca="false">IF(OR(H1373&lt;1,H1373&gt;10),1,0)</f>
        <v>0</v>
      </c>
      <c r="X1373" s="9" t="n">
        <f aca="false">IF(OR(I1373&lt;=0,I1373&gt;1500),1,0)</f>
        <v>0</v>
      </c>
      <c r="Y1373" s="9" t="n">
        <f aca="false">IF(J1373&gt;H1373*I1373,1,0)</f>
        <v>0</v>
      </c>
      <c r="Z1373" s="9" t="n">
        <f aca="false">IF(AND(N1373&lt;&gt;"",OR(N1373&lt;1,N1373&gt;5)),1,0)</f>
        <v>0</v>
      </c>
      <c r="AA1373" s="9" t="n">
        <f aca="false">IF(AND(M1373&lt;&gt;"",OR(M1373&lt;5,M1373&gt;180)),1,0)</f>
        <v>0</v>
      </c>
      <c r="AB1373" s="7" t="str">
        <f aca="false">IF(P1373="DUP","Exact duplicate row",IF(T1373=1,"Missing Order ID",IF(S1373="DROP","Duplicate Order ID (less complete row)",IF(U1373=1,"Missing Customer ID",IF(V1373=1,"Missing Restaurant name",IF(W1373=1,"Invalid/outlier quantity",IF(X1373=1,"Invalid/outlier unit price",IF(Y1373=1,"Discount greater than order value",""))))))))</f>
        <v/>
      </c>
      <c r="AC1373" s="7" t="str">
        <f aca="false">IF(AB1373="","KEEP","DROP")</f>
        <v>KEEP</v>
      </c>
      <c r="AD1373" s="7" t="str">
        <f aca="false">IF(TRIM(F1373)="",IFERROR(INDEX(Map_Tables!$I$4:$I$37,MATCH(TRIM(E1373),Map_Tables!$G$4:$G$37,0)),""),IFERROR(INDEX(Map_Tables!$B$4:$B$18,MATCH(TRIM(F1373),Map_Tables!$A$4:$A$18,0)),"CHECK"))</f>
        <v>Delhi</v>
      </c>
      <c r="AE1373" s="7" t="str">
        <f aca="false">IF(TRIM(E1373)="","",IFERROR(INDEX(Map_Tables!$H$4:$H$37,MATCH(TRIM(E1373),Map_Tables!$G$4:$G$37,0)),"CHECK"))</f>
        <v>Momo Magic</v>
      </c>
      <c r="AF1373" s="7" t="str">
        <f aca="false">IF(TRIM(K1373)="","Unknown",IFERROR(INDEX(Map_Tables!$E$4:$E$15,MATCH(TRIM(K1373),Map_Tables!$D$4:$D$15,0)),"CHECK"))</f>
        <v>Debit Card</v>
      </c>
      <c r="AG1373" s="7" t="str">
        <f aca="false">IF(LEFT(LOWER(TRIM(L1373)),6)="cancel","Cancelled","Delivered")</f>
        <v>Delivered</v>
      </c>
      <c r="AH1373" s="10" t="n">
        <f aca="false">IF(ISNUMBER(SEARCH("/",B1373)),DATE(VALUE(RIGHT(B1373,4)),VALUE(MID(B1373,4,2)),VALUE(LEFT(B1373,2))),IF(MID(B1373,5,1)="-",DATE(VALUE(LEFT(B1373,4)),VALUE(MID(B1373,6,2)),VALUE(RIGHT(B1373,2))),DATE(VALUE(RIGHT(B1373,4)),MATCH(MID(B1373,4,3),{"Jan","Feb","Mar","Apr","May","Jun","Jul","Aug","Sep","Oct","Nov","Dec"},0),VALUE(LEFT(B1373,2)))))</f>
        <v>45989</v>
      </c>
    </row>
    <row r="1374" customFormat="false" ht="15" hidden="false" customHeight="false" outlineLevel="0" collapsed="false">
      <c r="A1374" s="7" t="s">
        <v>3715</v>
      </c>
      <c r="B1374" s="7" t="s">
        <v>1150</v>
      </c>
      <c r="C1374" s="7" t="s">
        <v>218</v>
      </c>
      <c r="D1374" s="7" t="s">
        <v>2276</v>
      </c>
      <c r="E1374" s="7" t="s">
        <v>104</v>
      </c>
      <c r="F1374" s="7" t="s">
        <v>86</v>
      </c>
      <c r="G1374" s="7" t="s">
        <v>105</v>
      </c>
      <c r="H1374" s="7" t="n">
        <v>3</v>
      </c>
      <c r="I1374" s="7" t="n">
        <v>200</v>
      </c>
      <c r="J1374" s="7" t="n">
        <v>50</v>
      </c>
      <c r="K1374" s="7" t="s">
        <v>88</v>
      </c>
      <c r="L1374" s="7" t="s">
        <v>194</v>
      </c>
      <c r="M1374" s="7" t="n">
        <v>39</v>
      </c>
      <c r="N1374" s="7" t="n">
        <v>4</v>
      </c>
      <c r="O1374" s="7" t="str">
        <f aca="false">A1374&amp;"|"&amp;B1374&amp;"|"&amp;C1374&amp;"|"&amp;D1374&amp;"|"&amp;E1374&amp;"|"&amp;F1374&amp;"|"&amp;G1374&amp;"|"&amp;H1374&amp;"|"&amp;I1374&amp;"|"&amp;J1374&amp;"|"&amp;K1374&amp;"|"&amp;L1374&amp;"|"&amp;M1374&amp;"|"&amp;N1374</f>
        <v>ORD10534|2025-03-10|12:48|C0987|Wok &amp; Roll|Bengaluru|Chinese|3|200|50|UPI|Delivered|39|4</v>
      </c>
      <c r="P1374" s="7" t="str">
        <f aca="false">IF(COUNTIF($O$2:O1374,O1374)&gt;1,"DUP","OK")</f>
        <v>OK</v>
      </c>
      <c r="Q1374" s="7" t="n">
        <f aca="false">COUNTBLANK(A1374:N1374)</f>
        <v>0</v>
      </c>
      <c r="R1374" s="7" t="n">
        <f aca="false">IF(A1374="",0,COUNTIFS($A$2:$A$3058,A1374,$P$2:$P$3058,"OK"))</f>
        <v>1</v>
      </c>
      <c r="S1374" s="7" t="str">
        <f aca="false">IF(OR(A1374="",P1374="DUP",R1374&lt;2),"",IF(Q1374=_xlfn.MINIFS($Q$2:$Q$3058,$A$2:$A$3058,A1374,$P$2:$P$3058,"OK"),"KEEP","DROP"))</f>
        <v/>
      </c>
      <c r="T1374" s="9" t="n">
        <f aca="false">IF(A1374="",1,0)</f>
        <v>0</v>
      </c>
      <c r="U1374" s="9" t="n">
        <f aca="false">IF(D1374="",1,0)</f>
        <v>0</v>
      </c>
      <c r="V1374" s="9" t="n">
        <f aca="false">IF(E1374="",1,0)</f>
        <v>0</v>
      </c>
      <c r="W1374" s="9" t="n">
        <f aca="false">IF(OR(H1374&lt;1,H1374&gt;10),1,0)</f>
        <v>0</v>
      </c>
      <c r="X1374" s="9" t="n">
        <f aca="false">IF(OR(I1374&lt;=0,I1374&gt;1500),1,0)</f>
        <v>0</v>
      </c>
      <c r="Y1374" s="9" t="n">
        <f aca="false">IF(J1374&gt;H1374*I1374,1,0)</f>
        <v>0</v>
      </c>
      <c r="Z1374" s="9" t="n">
        <f aca="false">IF(AND(N1374&lt;&gt;"",OR(N1374&lt;1,N1374&gt;5)),1,0)</f>
        <v>0</v>
      </c>
      <c r="AA1374" s="9" t="n">
        <f aca="false">IF(AND(M1374&lt;&gt;"",OR(M1374&lt;5,M1374&gt;180)),1,0)</f>
        <v>0</v>
      </c>
      <c r="AB1374" s="7" t="str">
        <f aca="false">IF(P1374="DUP","Exact duplicate row",IF(T1374=1,"Missing Order ID",IF(S1374="DROP","Duplicate Order ID (less complete row)",IF(U1374=1,"Missing Customer ID",IF(V1374=1,"Missing Restaurant name",IF(W1374=1,"Invalid/outlier quantity",IF(X1374=1,"Invalid/outlier unit price",IF(Y1374=1,"Discount greater than order value",""))))))))</f>
        <v/>
      </c>
      <c r="AC1374" s="7" t="str">
        <f aca="false">IF(AB1374="","KEEP","DROP")</f>
        <v>KEEP</v>
      </c>
      <c r="AD1374" s="7" t="str">
        <f aca="false">IF(TRIM(F1374)="",IFERROR(INDEX(Map_Tables!$I$4:$I$37,MATCH(TRIM(E1374),Map_Tables!$G$4:$G$37,0)),""),IFERROR(INDEX(Map_Tables!$B$4:$B$18,MATCH(TRIM(F1374),Map_Tables!$A$4:$A$18,0)),"CHECK"))</f>
        <v>Bengaluru</v>
      </c>
      <c r="AE1374" s="7" t="str">
        <f aca="false">IF(TRIM(E1374)="","",IFERROR(INDEX(Map_Tables!$H$4:$H$37,MATCH(TRIM(E1374),Map_Tables!$G$4:$G$37,0)),"CHECK"))</f>
        <v>Wok &amp; Roll</v>
      </c>
      <c r="AF1374" s="7" t="str">
        <f aca="false">IF(TRIM(K1374)="","Unknown",IFERROR(INDEX(Map_Tables!$E$4:$E$15,MATCH(TRIM(K1374),Map_Tables!$D$4:$D$15,0)),"CHECK"))</f>
        <v>UPI</v>
      </c>
      <c r="AG1374" s="7" t="str">
        <f aca="false">IF(LEFT(LOWER(TRIM(L1374)),6)="cancel","Cancelled","Delivered")</f>
        <v>Delivered</v>
      </c>
      <c r="AH1374" s="10" t="n">
        <f aca="false">IF(ISNUMBER(SEARCH("/",B1374)),DATE(VALUE(RIGHT(B1374,4)),VALUE(MID(B1374,4,2)),VALUE(LEFT(B1374,2))),IF(MID(B1374,5,1)="-",DATE(VALUE(LEFT(B1374,4)),VALUE(MID(B1374,6,2)),VALUE(RIGHT(B1374,2))),DATE(VALUE(RIGHT(B1374,4)),MATCH(MID(B1374,4,3),{"Jan","Feb","Mar","Apr","May","Jun","Jul","Aug","Sep","Oct","Nov","Dec"},0),VALUE(LEFT(B1374,2)))))</f>
        <v>45726</v>
      </c>
    </row>
    <row r="1375" customFormat="false" ht="15" hidden="false" customHeight="false" outlineLevel="0" collapsed="false">
      <c r="A1375" s="7" t="s">
        <v>3716</v>
      </c>
      <c r="B1375" s="7" t="s">
        <v>3637</v>
      </c>
      <c r="C1375" s="7" t="s">
        <v>1684</v>
      </c>
      <c r="D1375" s="7" t="s">
        <v>3237</v>
      </c>
      <c r="E1375" s="7" t="s">
        <v>1155</v>
      </c>
      <c r="F1375" s="7" t="s">
        <v>110</v>
      </c>
      <c r="G1375" s="7" t="s">
        <v>105</v>
      </c>
      <c r="H1375" s="7" t="n">
        <v>3</v>
      </c>
      <c r="I1375" s="7" t="n">
        <v>185</v>
      </c>
      <c r="J1375" s="7" t="n">
        <v>30</v>
      </c>
      <c r="K1375" s="7" t="s">
        <v>112</v>
      </c>
      <c r="L1375" s="7" t="s">
        <v>194</v>
      </c>
      <c r="M1375" s="7" t="n">
        <v>42</v>
      </c>
      <c r="N1375" s="7" t="n">
        <v>5</v>
      </c>
      <c r="O1375" s="7" t="str">
        <f aca="false">A1375&amp;"|"&amp;B1375&amp;"|"&amp;C1375&amp;"|"&amp;D1375&amp;"|"&amp;E1375&amp;"|"&amp;F1375&amp;"|"&amp;G1375&amp;"|"&amp;H1375&amp;"|"&amp;I1375&amp;"|"&amp;J1375&amp;"|"&amp;K1375&amp;"|"&amp;L1375&amp;"|"&amp;M1375&amp;"|"&amp;N1375</f>
        <v>ORD12879|2025-12-19|11:30|C1067| Momo Magic|Delhi|Chinese|3|185|30|Cash on Delivery|Delivered|42|5</v>
      </c>
      <c r="P1375" s="7" t="str">
        <f aca="false">IF(COUNTIF($O$2:O1375,O1375)&gt;1,"DUP","OK")</f>
        <v>OK</v>
      </c>
      <c r="Q1375" s="7" t="n">
        <f aca="false">COUNTBLANK(A1375:N1375)</f>
        <v>0</v>
      </c>
      <c r="R1375" s="7" t="n">
        <f aca="false">IF(A1375="",0,COUNTIFS($A$2:$A$3058,A1375,$P$2:$P$3058,"OK"))</f>
        <v>1</v>
      </c>
      <c r="S1375" s="7" t="str">
        <f aca="false">IF(OR(A1375="",P1375="DUP",R1375&lt;2),"",IF(Q1375=_xlfn.MINIFS($Q$2:$Q$3058,$A$2:$A$3058,A1375,$P$2:$P$3058,"OK"),"KEEP","DROP"))</f>
        <v/>
      </c>
      <c r="T1375" s="9" t="n">
        <f aca="false">IF(A1375="",1,0)</f>
        <v>0</v>
      </c>
      <c r="U1375" s="9" t="n">
        <f aca="false">IF(D1375="",1,0)</f>
        <v>0</v>
      </c>
      <c r="V1375" s="9" t="n">
        <f aca="false">IF(E1375="",1,0)</f>
        <v>0</v>
      </c>
      <c r="W1375" s="9" t="n">
        <f aca="false">IF(OR(H1375&lt;1,H1375&gt;10),1,0)</f>
        <v>0</v>
      </c>
      <c r="X1375" s="9" t="n">
        <f aca="false">IF(OR(I1375&lt;=0,I1375&gt;1500),1,0)</f>
        <v>0</v>
      </c>
      <c r="Y1375" s="9" t="n">
        <f aca="false">IF(J1375&gt;H1375*I1375,1,0)</f>
        <v>0</v>
      </c>
      <c r="Z1375" s="9" t="n">
        <f aca="false">IF(AND(N1375&lt;&gt;"",OR(N1375&lt;1,N1375&gt;5)),1,0)</f>
        <v>0</v>
      </c>
      <c r="AA1375" s="9" t="n">
        <f aca="false">IF(AND(M1375&lt;&gt;"",OR(M1375&lt;5,M1375&gt;180)),1,0)</f>
        <v>0</v>
      </c>
      <c r="AB1375" s="7" t="str">
        <f aca="false">IF(P1375="DUP","Exact duplicate row",IF(T1375=1,"Missing Order ID",IF(S1375="DROP","Duplicate Order ID (less complete row)",IF(U1375=1,"Missing Customer ID",IF(V1375=1,"Missing Restaurant name",IF(W1375=1,"Invalid/outlier quantity",IF(X1375=1,"Invalid/outlier unit price",IF(Y1375=1,"Discount greater than order value",""))))))))</f>
        <v/>
      </c>
      <c r="AC1375" s="7" t="str">
        <f aca="false">IF(AB1375="","KEEP","DROP")</f>
        <v>KEEP</v>
      </c>
      <c r="AD1375" s="7" t="str">
        <f aca="false">IF(TRIM(F1375)="",IFERROR(INDEX(Map_Tables!$I$4:$I$37,MATCH(TRIM(E1375),Map_Tables!$G$4:$G$37,0)),""),IFERROR(INDEX(Map_Tables!$B$4:$B$18,MATCH(TRIM(F1375),Map_Tables!$A$4:$A$18,0)),"CHECK"))</f>
        <v>Delhi</v>
      </c>
      <c r="AE1375" s="7" t="str">
        <f aca="false">IF(TRIM(E1375)="","",IFERROR(INDEX(Map_Tables!$H$4:$H$37,MATCH(TRIM(E1375),Map_Tables!$G$4:$G$37,0)),"CHECK"))</f>
        <v>Momo Magic</v>
      </c>
      <c r="AF1375" s="7" t="str">
        <f aca="false">IF(TRIM(K1375)="","Unknown",IFERROR(INDEX(Map_Tables!$E$4:$E$15,MATCH(TRIM(K1375),Map_Tables!$D$4:$D$15,0)),"CHECK"))</f>
        <v>Cash on Delivery</v>
      </c>
      <c r="AG1375" s="7" t="str">
        <f aca="false">IF(LEFT(LOWER(TRIM(L1375)),6)="cancel","Cancelled","Delivered")</f>
        <v>Delivered</v>
      </c>
      <c r="AH1375" s="10" t="n">
        <f aca="false">IF(ISNUMBER(SEARCH("/",B1375)),DATE(VALUE(RIGHT(B1375,4)),VALUE(MID(B1375,4,2)),VALUE(LEFT(B1375,2))),IF(MID(B1375,5,1)="-",DATE(VALUE(LEFT(B1375,4)),VALUE(MID(B1375,6,2)),VALUE(RIGHT(B1375,2))),DATE(VALUE(RIGHT(B1375,4)),MATCH(MID(B1375,4,3),{"Jan","Feb","Mar","Apr","May","Jun","Jul","Aug","Sep","Oct","Nov","Dec"},0),VALUE(LEFT(B1375,2)))))</f>
        <v>46010</v>
      </c>
    </row>
    <row r="1376" customFormat="false" ht="15" hidden="false" customHeight="false" outlineLevel="0" collapsed="false">
      <c r="A1376" s="7" t="s">
        <v>3717</v>
      </c>
      <c r="B1376" s="7" t="s">
        <v>723</v>
      </c>
      <c r="C1376" s="7" t="s">
        <v>1692</v>
      </c>
      <c r="D1376" s="7" t="s">
        <v>1815</v>
      </c>
      <c r="E1376" s="7" t="s">
        <v>160</v>
      </c>
      <c r="F1376" s="7" t="s">
        <v>136</v>
      </c>
      <c r="G1376" s="7" t="s">
        <v>150</v>
      </c>
      <c r="H1376" s="7" t="n">
        <v>1</v>
      </c>
      <c r="I1376" s="7" t="n">
        <v>175</v>
      </c>
      <c r="J1376" s="7" t="n">
        <v>50</v>
      </c>
      <c r="K1376" s="7" t="s">
        <v>88</v>
      </c>
      <c r="L1376" s="7" t="s">
        <v>194</v>
      </c>
      <c r="M1376" s="7" t="n">
        <v>33</v>
      </c>
      <c r="N1376" s="7" t="n">
        <v>5</v>
      </c>
      <c r="O1376" s="7" t="str">
        <f aca="false">A1376&amp;"|"&amp;B1376&amp;"|"&amp;C1376&amp;"|"&amp;D1376&amp;"|"&amp;E1376&amp;"|"&amp;F1376&amp;"|"&amp;G1376&amp;"|"&amp;H1376&amp;"|"&amp;I1376&amp;"|"&amp;J1376&amp;"|"&amp;K1376&amp;"|"&amp;L1376&amp;"|"&amp;M1376&amp;"|"&amp;N1376</f>
        <v>ORD10607|2025-03-18|12:03|C0231|Cake Walk|Pune|Desserts|1|175|50|UPI|Delivered|33|5</v>
      </c>
      <c r="P1376" s="7" t="str">
        <f aca="false">IF(COUNTIF($O$2:O1376,O1376)&gt;1,"DUP","OK")</f>
        <v>OK</v>
      </c>
      <c r="Q1376" s="7" t="n">
        <f aca="false">COUNTBLANK(A1376:N1376)</f>
        <v>0</v>
      </c>
      <c r="R1376" s="7" t="n">
        <f aca="false">IF(A1376="",0,COUNTIFS($A$2:$A$3058,A1376,$P$2:$P$3058,"OK"))</f>
        <v>1</v>
      </c>
      <c r="S1376" s="7" t="str">
        <f aca="false">IF(OR(A1376="",P1376="DUP",R1376&lt;2),"",IF(Q1376=_xlfn.MINIFS($Q$2:$Q$3058,$A$2:$A$3058,A1376,$P$2:$P$3058,"OK"),"KEEP","DROP"))</f>
        <v/>
      </c>
      <c r="T1376" s="9" t="n">
        <f aca="false">IF(A1376="",1,0)</f>
        <v>0</v>
      </c>
      <c r="U1376" s="9" t="n">
        <f aca="false">IF(D1376="",1,0)</f>
        <v>0</v>
      </c>
      <c r="V1376" s="9" t="n">
        <f aca="false">IF(E1376="",1,0)</f>
        <v>0</v>
      </c>
      <c r="W1376" s="9" t="n">
        <f aca="false">IF(OR(H1376&lt;1,H1376&gt;10),1,0)</f>
        <v>0</v>
      </c>
      <c r="X1376" s="9" t="n">
        <f aca="false">IF(OR(I1376&lt;=0,I1376&gt;1500),1,0)</f>
        <v>0</v>
      </c>
      <c r="Y1376" s="9" t="n">
        <f aca="false">IF(J1376&gt;H1376*I1376,1,0)</f>
        <v>0</v>
      </c>
      <c r="Z1376" s="9" t="n">
        <f aca="false">IF(AND(N1376&lt;&gt;"",OR(N1376&lt;1,N1376&gt;5)),1,0)</f>
        <v>0</v>
      </c>
      <c r="AA1376" s="9" t="n">
        <f aca="false">IF(AND(M1376&lt;&gt;"",OR(M1376&lt;5,M1376&gt;180)),1,0)</f>
        <v>0</v>
      </c>
      <c r="AB1376" s="7" t="str">
        <f aca="false">IF(P1376="DUP","Exact duplicate row",IF(T1376=1,"Missing Order ID",IF(S1376="DROP","Duplicate Order ID (less complete row)",IF(U1376=1,"Missing Customer ID",IF(V1376=1,"Missing Restaurant name",IF(W1376=1,"Invalid/outlier quantity",IF(X1376=1,"Invalid/outlier unit price",IF(Y1376=1,"Discount greater than order value",""))))))))</f>
        <v/>
      </c>
      <c r="AC1376" s="7" t="str">
        <f aca="false">IF(AB1376="","KEEP","DROP")</f>
        <v>KEEP</v>
      </c>
      <c r="AD1376" s="7" t="str">
        <f aca="false">IF(TRIM(F1376)="",IFERROR(INDEX(Map_Tables!$I$4:$I$37,MATCH(TRIM(E1376),Map_Tables!$G$4:$G$37,0)),""),IFERROR(INDEX(Map_Tables!$B$4:$B$18,MATCH(TRIM(F1376),Map_Tables!$A$4:$A$18,0)),"CHECK"))</f>
        <v>Pune</v>
      </c>
      <c r="AE1376" s="7" t="str">
        <f aca="false">IF(TRIM(E1376)="","",IFERROR(INDEX(Map_Tables!$H$4:$H$37,MATCH(TRIM(E1376),Map_Tables!$G$4:$G$37,0)),"CHECK"))</f>
        <v>Cake Walk</v>
      </c>
      <c r="AF1376" s="7" t="str">
        <f aca="false">IF(TRIM(K1376)="","Unknown",IFERROR(INDEX(Map_Tables!$E$4:$E$15,MATCH(TRIM(K1376),Map_Tables!$D$4:$D$15,0)),"CHECK"))</f>
        <v>UPI</v>
      </c>
      <c r="AG1376" s="7" t="str">
        <f aca="false">IF(LEFT(LOWER(TRIM(L1376)),6)="cancel","Cancelled","Delivered")</f>
        <v>Delivered</v>
      </c>
      <c r="AH1376" s="10" t="n">
        <f aca="false">IF(ISNUMBER(SEARCH("/",B1376)),DATE(VALUE(RIGHT(B1376,4)),VALUE(MID(B1376,4,2)),VALUE(LEFT(B1376,2))),IF(MID(B1376,5,1)="-",DATE(VALUE(LEFT(B1376,4)),VALUE(MID(B1376,6,2)),VALUE(RIGHT(B1376,2))),DATE(VALUE(RIGHT(B1376,4)),MATCH(MID(B1376,4,3),{"Jan","Feb","Mar","Apr","May","Jun","Jul","Aug","Sep","Oct","Nov","Dec"},0),VALUE(LEFT(B1376,2)))))</f>
        <v>45734</v>
      </c>
    </row>
    <row r="1377" customFormat="false" ht="15" hidden="false" customHeight="false" outlineLevel="0" collapsed="false">
      <c r="A1377" s="7" t="s">
        <v>3718</v>
      </c>
      <c r="B1377" s="7" t="s">
        <v>926</v>
      </c>
      <c r="C1377" s="7" t="s">
        <v>2565</v>
      </c>
      <c r="D1377" s="7" t="s">
        <v>3719</v>
      </c>
      <c r="E1377" s="7" t="s">
        <v>159</v>
      </c>
      <c r="F1377" s="7" t="s">
        <v>136</v>
      </c>
      <c r="G1377" s="7" t="s">
        <v>90</v>
      </c>
      <c r="H1377" s="7" t="n">
        <v>3</v>
      </c>
      <c r="I1377" s="7" t="n">
        <v>205</v>
      </c>
      <c r="J1377" s="7" t="n">
        <v>0</v>
      </c>
      <c r="K1377" s="7" t="s">
        <v>103</v>
      </c>
      <c r="L1377" s="7" t="s">
        <v>194</v>
      </c>
      <c r="M1377" s="7" t="n">
        <v>35</v>
      </c>
      <c r="N1377" s="7" t="n">
        <v>4</v>
      </c>
      <c r="O1377" s="7" t="str">
        <f aca="false">A1377&amp;"|"&amp;B1377&amp;"|"&amp;C1377&amp;"|"&amp;D1377&amp;"|"&amp;E1377&amp;"|"&amp;F1377&amp;"|"&amp;G1377&amp;"|"&amp;H1377&amp;"|"&amp;I1377&amp;"|"&amp;J1377&amp;"|"&amp;K1377&amp;"|"&amp;L1377&amp;"|"&amp;M1377&amp;"|"&amp;N1377</f>
        <v>ORD10075|2025-01-10|22:24|C0349|Maratha Thali House|Pune|North Indian|3|205|0|Debit Card|Delivered|35|4</v>
      </c>
      <c r="P1377" s="7" t="str">
        <f aca="false">IF(COUNTIF($O$2:O1377,O1377)&gt;1,"DUP","OK")</f>
        <v>OK</v>
      </c>
      <c r="Q1377" s="7" t="n">
        <f aca="false">COUNTBLANK(A1377:N1377)</f>
        <v>0</v>
      </c>
      <c r="R1377" s="7" t="n">
        <f aca="false">IF(A1377="",0,COUNTIFS($A$2:$A$3058,A1377,$P$2:$P$3058,"OK"))</f>
        <v>1</v>
      </c>
      <c r="S1377" s="7" t="str">
        <f aca="false">IF(OR(A1377="",P1377="DUP",R1377&lt;2),"",IF(Q1377=_xlfn.MINIFS($Q$2:$Q$3058,$A$2:$A$3058,A1377,$P$2:$P$3058,"OK"),"KEEP","DROP"))</f>
        <v/>
      </c>
      <c r="T1377" s="9" t="n">
        <f aca="false">IF(A1377="",1,0)</f>
        <v>0</v>
      </c>
      <c r="U1377" s="9" t="n">
        <f aca="false">IF(D1377="",1,0)</f>
        <v>0</v>
      </c>
      <c r="V1377" s="9" t="n">
        <f aca="false">IF(E1377="",1,0)</f>
        <v>0</v>
      </c>
      <c r="W1377" s="9" t="n">
        <f aca="false">IF(OR(H1377&lt;1,H1377&gt;10),1,0)</f>
        <v>0</v>
      </c>
      <c r="X1377" s="9" t="n">
        <f aca="false">IF(OR(I1377&lt;=0,I1377&gt;1500),1,0)</f>
        <v>0</v>
      </c>
      <c r="Y1377" s="9" t="n">
        <f aca="false">IF(J1377&gt;H1377*I1377,1,0)</f>
        <v>0</v>
      </c>
      <c r="Z1377" s="9" t="n">
        <f aca="false">IF(AND(N1377&lt;&gt;"",OR(N1377&lt;1,N1377&gt;5)),1,0)</f>
        <v>0</v>
      </c>
      <c r="AA1377" s="9" t="n">
        <f aca="false">IF(AND(M1377&lt;&gt;"",OR(M1377&lt;5,M1377&gt;180)),1,0)</f>
        <v>0</v>
      </c>
      <c r="AB1377" s="7" t="str">
        <f aca="false">IF(P1377="DUP","Exact duplicate row",IF(T1377=1,"Missing Order ID",IF(S1377="DROP","Duplicate Order ID (less complete row)",IF(U1377=1,"Missing Customer ID",IF(V1377=1,"Missing Restaurant name",IF(W1377=1,"Invalid/outlier quantity",IF(X1377=1,"Invalid/outlier unit price",IF(Y1377=1,"Discount greater than order value",""))))))))</f>
        <v/>
      </c>
      <c r="AC1377" s="7" t="str">
        <f aca="false">IF(AB1377="","KEEP","DROP")</f>
        <v>KEEP</v>
      </c>
      <c r="AD1377" s="7" t="str">
        <f aca="false">IF(TRIM(F1377)="",IFERROR(INDEX(Map_Tables!$I$4:$I$37,MATCH(TRIM(E1377),Map_Tables!$G$4:$G$37,0)),""),IFERROR(INDEX(Map_Tables!$B$4:$B$18,MATCH(TRIM(F1377),Map_Tables!$A$4:$A$18,0)),"CHECK"))</f>
        <v>Pune</v>
      </c>
      <c r="AE1377" s="7" t="str">
        <f aca="false">IF(TRIM(E1377)="","",IFERROR(INDEX(Map_Tables!$H$4:$H$37,MATCH(TRIM(E1377),Map_Tables!$G$4:$G$37,0)),"CHECK"))</f>
        <v>Maratha Thali House</v>
      </c>
      <c r="AF1377" s="7" t="str">
        <f aca="false">IF(TRIM(K1377)="","Unknown",IFERROR(INDEX(Map_Tables!$E$4:$E$15,MATCH(TRIM(K1377),Map_Tables!$D$4:$D$15,0)),"CHECK"))</f>
        <v>Debit Card</v>
      </c>
      <c r="AG1377" s="7" t="str">
        <f aca="false">IF(LEFT(LOWER(TRIM(L1377)),6)="cancel","Cancelled","Delivered")</f>
        <v>Delivered</v>
      </c>
      <c r="AH1377" s="10" t="n">
        <f aca="false">IF(ISNUMBER(SEARCH("/",B1377)),DATE(VALUE(RIGHT(B1377,4)),VALUE(MID(B1377,4,2)),VALUE(LEFT(B1377,2))),IF(MID(B1377,5,1)="-",DATE(VALUE(LEFT(B1377,4)),VALUE(MID(B1377,6,2)),VALUE(RIGHT(B1377,2))),DATE(VALUE(RIGHT(B1377,4)),MATCH(MID(B1377,4,3),{"Jan","Feb","Mar","Apr","May","Jun","Jul","Aug","Sep","Oct","Nov","Dec"},0),VALUE(LEFT(B1377,2)))))</f>
        <v>45667</v>
      </c>
    </row>
    <row r="1378" customFormat="false" ht="15" hidden="false" customHeight="false" outlineLevel="0" collapsed="false">
      <c r="A1378" s="7" t="s">
        <v>3720</v>
      </c>
      <c r="B1378" s="7" t="s">
        <v>633</v>
      </c>
      <c r="C1378" s="7" t="s">
        <v>1194</v>
      </c>
      <c r="D1378" s="7" t="s">
        <v>3721</v>
      </c>
      <c r="E1378" s="7" t="s">
        <v>126</v>
      </c>
      <c r="F1378" s="7" t="s">
        <v>101</v>
      </c>
      <c r="G1378" s="7" t="s">
        <v>105</v>
      </c>
      <c r="H1378" s="7" t="n">
        <v>2</v>
      </c>
      <c r="I1378" s="7" t="n">
        <v>185</v>
      </c>
      <c r="J1378" s="7" t="n">
        <v>0</v>
      </c>
      <c r="K1378" s="7" t="s">
        <v>88</v>
      </c>
      <c r="L1378" s="7" t="s">
        <v>238</v>
      </c>
      <c r="M1378" s="7"/>
      <c r="N1378" s="7"/>
      <c r="O1378" s="7" t="str">
        <f aca="false">A1378&amp;"|"&amp;B1378&amp;"|"&amp;C1378&amp;"|"&amp;D1378&amp;"|"&amp;E1378&amp;"|"&amp;F1378&amp;"|"&amp;G1378&amp;"|"&amp;H1378&amp;"|"&amp;I1378&amp;"|"&amp;J1378&amp;"|"&amp;K1378&amp;"|"&amp;L1378&amp;"|"&amp;M1378&amp;"|"&amp;N1378</f>
        <v>ORD11540|2025-07-19|18:44|C0581|Dragon Express|Mumbai|Chinese|2|185|0|UPI|Cancelled||</v>
      </c>
      <c r="P1378" s="7" t="str">
        <f aca="false">IF(COUNTIF($O$2:O1378,O1378)&gt;1,"DUP","OK")</f>
        <v>OK</v>
      </c>
      <c r="Q1378" s="7" t="n">
        <f aca="false">COUNTBLANK(A1378:N1378)</f>
        <v>2</v>
      </c>
      <c r="R1378" s="7" t="n">
        <f aca="false">IF(A1378="",0,COUNTIFS($A$2:$A$3058,A1378,$P$2:$P$3058,"OK"))</f>
        <v>1</v>
      </c>
      <c r="S1378" s="7" t="str">
        <f aca="false">IF(OR(A1378="",P1378="DUP",R1378&lt;2),"",IF(Q1378=_xlfn.MINIFS($Q$2:$Q$3058,$A$2:$A$3058,A1378,$P$2:$P$3058,"OK"),"KEEP","DROP"))</f>
        <v/>
      </c>
      <c r="T1378" s="9" t="n">
        <f aca="false">IF(A1378="",1,0)</f>
        <v>0</v>
      </c>
      <c r="U1378" s="9" t="n">
        <f aca="false">IF(D1378="",1,0)</f>
        <v>0</v>
      </c>
      <c r="V1378" s="9" t="n">
        <f aca="false">IF(E1378="",1,0)</f>
        <v>0</v>
      </c>
      <c r="W1378" s="9" t="n">
        <f aca="false">IF(OR(H1378&lt;1,H1378&gt;10),1,0)</f>
        <v>0</v>
      </c>
      <c r="X1378" s="9" t="n">
        <f aca="false">IF(OR(I1378&lt;=0,I1378&gt;1500),1,0)</f>
        <v>0</v>
      </c>
      <c r="Y1378" s="9" t="n">
        <f aca="false">IF(J1378&gt;H1378*I1378,1,0)</f>
        <v>0</v>
      </c>
      <c r="Z1378" s="9" t="n">
        <f aca="false">IF(AND(N1378&lt;&gt;"",OR(N1378&lt;1,N1378&gt;5)),1,0)</f>
        <v>0</v>
      </c>
      <c r="AA1378" s="9" t="n">
        <f aca="false">IF(AND(M1378&lt;&gt;"",OR(M1378&lt;5,M1378&gt;180)),1,0)</f>
        <v>0</v>
      </c>
      <c r="AB1378" s="7" t="str">
        <f aca="false">IF(P1378="DUP","Exact duplicate row",IF(T1378=1,"Missing Order ID",IF(S1378="DROP","Duplicate Order ID (less complete row)",IF(U1378=1,"Missing Customer ID",IF(V1378=1,"Missing Restaurant name",IF(W1378=1,"Invalid/outlier quantity",IF(X1378=1,"Invalid/outlier unit price",IF(Y1378=1,"Discount greater than order value",""))))))))</f>
        <v/>
      </c>
      <c r="AC1378" s="7" t="str">
        <f aca="false">IF(AB1378="","KEEP","DROP")</f>
        <v>KEEP</v>
      </c>
      <c r="AD1378" s="7" t="str">
        <f aca="false">IF(TRIM(F1378)="",IFERROR(INDEX(Map_Tables!$I$4:$I$37,MATCH(TRIM(E1378),Map_Tables!$G$4:$G$37,0)),""),IFERROR(INDEX(Map_Tables!$B$4:$B$18,MATCH(TRIM(F1378),Map_Tables!$A$4:$A$18,0)),"CHECK"))</f>
        <v>Mumbai</v>
      </c>
      <c r="AE1378" s="7" t="str">
        <f aca="false">IF(TRIM(E1378)="","",IFERROR(INDEX(Map_Tables!$H$4:$H$37,MATCH(TRIM(E1378),Map_Tables!$G$4:$G$37,0)),"CHECK"))</f>
        <v>Dragon Express</v>
      </c>
      <c r="AF1378" s="7" t="str">
        <f aca="false">IF(TRIM(K1378)="","Unknown",IFERROR(INDEX(Map_Tables!$E$4:$E$15,MATCH(TRIM(K1378),Map_Tables!$D$4:$D$15,0)),"CHECK"))</f>
        <v>UPI</v>
      </c>
      <c r="AG1378" s="7" t="str">
        <f aca="false">IF(LEFT(LOWER(TRIM(L1378)),6)="cancel","Cancelled","Delivered")</f>
        <v>Cancelled</v>
      </c>
      <c r="AH1378" s="10" t="n">
        <f aca="false">IF(ISNUMBER(SEARCH("/",B1378)),DATE(VALUE(RIGHT(B1378,4)),VALUE(MID(B1378,4,2)),VALUE(LEFT(B1378,2))),IF(MID(B1378,5,1)="-",DATE(VALUE(LEFT(B1378,4)),VALUE(MID(B1378,6,2)),VALUE(RIGHT(B1378,2))),DATE(VALUE(RIGHT(B1378,4)),MATCH(MID(B1378,4,3),{"Jan","Feb","Mar","Apr","May","Jun","Jul","Aug","Sep","Oct","Nov","Dec"},0),VALUE(LEFT(B1378,2)))))</f>
        <v>45857</v>
      </c>
    </row>
    <row r="1379" customFormat="false" ht="15" hidden="false" customHeight="false" outlineLevel="0" collapsed="false">
      <c r="A1379" s="7" t="s">
        <v>3722</v>
      </c>
      <c r="B1379" s="7" t="s">
        <v>3723</v>
      </c>
      <c r="C1379" s="7" t="s">
        <v>1168</v>
      </c>
      <c r="D1379" s="7" t="s">
        <v>897</v>
      </c>
      <c r="E1379" s="7" t="s">
        <v>113</v>
      </c>
      <c r="F1379" s="7" t="s">
        <v>101</v>
      </c>
      <c r="G1379" s="7" t="s">
        <v>90</v>
      </c>
      <c r="H1379" s="7" t="n">
        <v>3</v>
      </c>
      <c r="I1379" s="7" t="n">
        <v>220</v>
      </c>
      <c r="J1379" s="7" t="n">
        <v>150</v>
      </c>
      <c r="K1379" s="7" t="s">
        <v>88</v>
      </c>
      <c r="L1379" s="7" t="s">
        <v>194</v>
      </c>
      <c r="M1379" s="7" t="n">
        <v>34</v>
      </c>
      <c r="N1379" s="7" t="n">
        <v>4</v>
      </c>
      <c r="O1379" s="7" t="str">
        <f aca="false">A1379&amp;"|"&amp;B1379&amp;"|"&amp;C1379&amp;"|"&amp;D1379&amp;"|"&amp;E1379&amp;"|"&amp;F1379&amp;"|"&amp;G1379&amp;"|"&amp;H1379&amp;"|"&amp;I1379&amp;"|"&amp;J1379&amp;"|"&amp;K1379&amp;"|"&amp;L1379&amp;"|"&amp;M1379&amp;"|"&amp;N1379</f>
        <v>ORD12160|03/10/2025|18:56|C1366|Curry Leaf Kitchen|Mumbai|North Indian|3|220|150|UPI|Delivered|34|4</v>
      </c>
      <c r="P1379" s="7" t="str">
        <f aca="false">IF(COUNTIF($O$2:O1379,O1379)&gt;1,"DUP","OK")</f>
        <v>OK</v>
      </c>
      <c r="Q1379" s="7" t="n">
        <f aca="false">COUNTBLANK(A1379:N1379)</f>
        <v>0</v>
      </c>
      <c r="R1379" s="7" t="n">
        <f aca="false">IF(A1379="",0,COUNTIFS($A$2:$A$3058,A1379,$P$2:$P$3058,"OK"))</f>
        <v>1</v>
      </c>
      <c r="S1379" s="7" t="str">
        <f aca="false">IF(OR(A1379="",P1379="DUP",R1379&lt;2),"",IF(Q1379=_xlfn.MINIFS($Q$2:$Q$3058,$A$2:$A$3058,A1379,$P$2:$P$3058,"OK"),"KEEP","DROP"))</f>
        <v/>
      </c>
      <c r="T1379" s="9" t="n">
        <f aca="false">IF(A1379="",1,0)</f>
        <v>0</v>
      </c>
      <c r="U1379" s="9" t="n">
        <f aca="false">IF(D1379="",1,0)</f>
        <v>0</v>
      </c>
      <c r="V1379" s="9" t="n">
        <f aca="false">IF(E1379="",1,0)</f>
        <v>0</v>
      </c>
      <c r="W1379" s="9" t="n">
        <f aca="false">IF(OR(H1379&lt;1,H1379&gt;10),1,0)</f>
        <v>0</v>
      </c>
      <c r="X1379" s="9" t="n">
        <f aca="false">IF(OR(I1379&lt;=0,I1379&gt;1500),1,0)</f>
        <v>0</v>
      </c>
      <c r="Y1379" s="9" t="n">
        <f aca="false">IF(J1379&gt;H1379*I1379,1,0)</f>
        <v>0</v>
      </c>
      <c r="Z1379" s="9" t="n">
        <f aca="false">IF(AND(N1379&lt;&gt;"",OR(N1379&lt;1,N1379&gt;5)),1,0)</f>
        <v>0</v>
      </c>
      <c r="AA1379" s="9" t="n">
        <f aca="false">IF(AND(M1379&lt;&gt;"",OR(M1379&lt;5,M1379&gt;180)),1,0)</f>
        <v>0</v>
      </c>
      <c r="AB1379" s="7" t="str">
        <f aca="false">IF(P1379="DUP","Exact duplicate row",IF(T1379=1,"Missing Order ID",IF(S1379="DROP","Duplicate Order ID (less complete row)",IF(U1379=1,"Missing Customer ID",IF(V1379=1,"Missing Restaurant name",IF(W1379=1,"Invalid/outlier quantity",IF(X1379=1,"Invalid/outlier unit price",IF(Y1379=1,"Discount greater than order value",""))))))))</f>
        <v/>
      </c>
      <c r="AC1379" s="7" t="str">
        <f aca="false">IF(AB1379="","KEEP","DROP")</f>
        <v>KEEP</v>
      </c>
      <c r="AD1379" s="7" t="str">
        <f aca="false">IF(TRIM(F1379)="",IFERROR(INDEX(Map_Tables!$I$4:$I$37,MATCH(TRIM(E1379),Map_Tables!$G$4:$G$37,0)),""),IFERROR(INDEX(Map_Tables!$B$4:$B$18,MATCH(TRIM(F1379),Map_Tables!$A$4:$A$18,0)),"CHECK"))</f>
        <v>Mumbai</v>
      </c>
      <c r="AE1379" s="7" t="str">
        <f aca="false">IF(TRIM(E1379)="","",IFERROR(INDEX(Map_Tables!$H$4:$H$37,MATCH(TRIM(E1379),Map_Tables!$G$4:$G$37,0)),"CHECK"))</f>
        <v>Curry Leaf Kitchen</v>
      </c>
      <c r="AF1379" s="7" t="str">
        <f aca="false">IF(TRIM(K1379)="","Unknown",IFERROR(INDEX(Map_Tables!$E$4:$E$15,MATCH(TRIM(K1379),Map_Tables!$D$4:$D$15,0)),"CHECK"))</f>
        <v>UPI</v>
      </c>
      <c r="AG1379" s="7" t="str">
        <f aca="false">IF(LEFT(LOWER(TRIM(L1379)),6)="cancel","Cancelled","Delivered")</f>
        <v>Delivered</v>
      </c>
      <c r="AH1379" s="10" t="n">
        <f aca="false">IF(ISNUMBER(SEARCH("/",B1379)),DATE(VALUE(RIGHT(B1379,4)),VALUE(MID(B1379,4,2)),VALUE(LEFT(B1379,2))),IF(MID(B1379,5,1)="-",DATE(VALUE(LEFT(B1379,4)),VALUE(MID(B1379,6,2)),VALUE(RIGHT(B1379,2))),DATE(VALUE(RIGHT(B1379,4)),MATCH(MID(B1379,4,3),{"Jan","Feb","Mar","Apr","May","Jun","Jul","Aug","Sep","Oct","Nov","Dec"},0),VALUE(LEFT(B1379,2)))))</f>
        <v>45933</v>
      </c>
    </row>
    <row r="1380" customFormat="false" ht="15" hidden="false" customHeight="false" outlineLevel="0" collapsed="false">
      <c r="A1380" s="7" t="s">
        <v>3724</v>
      </c>
      <c r="B1380" s="7" t="s">
        <v>594</v>
      </c>
      <c r="C1380" s="7" t="s">
        <v>3725</v>
      </c>
      <c r="D1380" s="7" t="s">
        <v>1801</v>
      </c>
      <c r="E1380" s="7" t="s">
        <v>94</v>
      </c>
      <c r="F1380" s="7" t="s">
        <v>86</v>
      </c>
      <c r="G1380" s="7" t="s">
        <v>95</v>
      </c>
      <c r="H1380" s="7" t="n">
        <v>1</v>
      </c>
      <c r="I1380" s="7" t="n">
        <v>120</v>
      </c>
      <c r="J1380" s="7" t="n">
        <v>40</v>
      </c>
      <c r="K1380" s="7" t="s">
        <v>121</v>
      </c>
      <c r="L1380" s="7" t="s">
        <v>194</v>
      </c>
      <c r="M1380" s="7" t="n">
        <v>45</v>
      </c>
      <c r="N1380" s="7" t="n">
        <v>5</v>
      </c>
      <c r="O1380" s="7" t="str">
        <f aca="false">A1380&amp;"|"&amp;B1380&amp;"|"&amp;C1380&amp;"|"&amp;D1380&amp;"|"&amp;E1380&amp;"|"&amp;F1380&amp;"|"&amp;G1380&amp;"|"&amp;H1380&amp;"|"&amp;I1380&amp;"|"&amp;J1380&amp;"|"&amp;K1380&amp;"|"&amp;L1380&amp;"|"&amp;M1380&amp;"|"&amp;N1380</f>
        <v>ORD11323|2025-06-20|10:22|C0827|Dosa Darbar|Bengaluru|South Indian|1|120|40|Wallet|Delivered|45|5</v>
      </c>
      <c r="P1380" s="7" t="str">
        <f aca="false">IF(COUNTIF($O$2:O1380,O1380)&gt;1,"DUP","OK")</f>
        <v>OK</v>
      </c>
      <c r="Q1380" s="7" t="n">
        <f aca="false">COUNTBLANK(A1380:N1380)</f>
        <v>0</v>
      </c>
      <c r="R1380" s="7" t="n">
        <f aca="false">IF(A1380="",0,COUNTIFS($A$2:$A$3058,A1380,$P$2:$P$3058,"OK"))</f>
        <v>1</v>
      </c>
      <c r="S1380" s="7" t="str">
        <f aca="false">IF(OR(A1380="",P1380="DUP",R1380&lt;2),"",IF(Q1380=_xlfn.MINIFS($Q$2:$Q$3058,$A$2:$A$3058,A1380,$P$2:$P$3058,"OK"),"KEEP","DROP"))</f>
        <v/>
      </c>
      <c r="T1380" s="9" t="n">
        <f aca="false">IF(A1380="",1,0)</f>
        <v>0</v>
      </c>
      <c r="U1380" s="9" t="n">
        <f aca="false">IF(D1380="",1,0)</f>
        <v>0</v>
      </c>
      <c r="V1380" s="9" t="n">
        <f aca="false">IF(E1380="",1,0)</f>
        <v>0</v>
      </c>
      <c r="W1380" s="9" t="n">
        <f aca="false">IF(OR(H1380&lt;1,H1380&gt;10),1,0)</f>
        <v>0</v>
      </c>
      <c r="X1380" s="9" t="n">
        <f aca="false">IF(OR(I1380&lt;=0,I1380&gt;1500),1,0)</f>
        <v>0</v>
      </c>
      <c r="Y1380" s="9" t="n">
        <f aca="false">IF(J1380&gt;H1380*I1380,1,0)</f>
        <v>0</v>
      </c>
      <c r="Z1380" s="9" t="n">
        <f aca="false">IF(AND(N1380&lt;&gt;"",OR(N1380&lt;1,N1380&gt;5)),1,0)</f>
        <v>0</v>
      </c>
      <c r="AA1380" s="9" t="n">
        <f aca="false">IF(AND(M1380&lt;&gt;"",OR(M1380&lt;5,M1380&gt;180)),1,0)</f>
        <v>0</v>
      </c>
      <c r="AB1380" s="7" t="str">
        <f aca="false">IF(P1380="DUP","Exact duplicate row",IF(T1380=1,"Missing Order ID",IF(S1380="DROP","Duplicate Order ID (less complete row)",IF(U1380=1,"Missing Customer ID",IF(V1380=1,"Missing Restaurant name",IF(W1380=1,"Invalid/outlier quantity",IF(X1380=1,"Invalid/outlier unit price",IF(Y1380=1,"Discount greater than order value",""))))))))</f>
        <v/>
      </c>
      <c r="AC1380" s="7" t="str">
        <f aca="false">IF(AB1380="","KEEP","DROP")</f>
        <v>KEEP</v>
      </c>
      <c r="AD1380" s="7" t="str">
        <f aca="false">IF(TRIM(F1380)="",IFERROR(INDEX(Map_Tables!$I$4:$I$37,MATCH(TRIM(E1380),Map_Tables!$G$4:$G$37,0)),""),IFERROR(INDEX(Map_Tables!$B$4:$B$18,MATCH(TRIM(F1380),Map_Tables!$A$4:$A$18,0)),"CHECK"))</f>
        <v>Bengaluru</v>
      </c>
      <c r="AE1380" s="7" t="str">
        <f aca="false">IF(TRIM(E1380)="","",IFERROR(INDEX(Map_Tables!$H$4:$H$37,MATCH(TRIM(E1380),Map_Tables!$G$4:$G$37,0)),"CHECK"))</f>
        <v>Dosa Darbar</v>
      </c>
      <c r="AF1380" s="7" t="str">
        <f aca="false">IF(TRIM(K1380)="","Unknown",IFERROR(INDEX(Map_Tables!$E$4:$E$15,MATCH(TRIM(K1380),Map_Tables!$D$4:$D$15,0)),"CHECK"))</f>
        <v>Wallet</v>
      </c>
      <c r="AG1380" s="7" t="str">
        <f aca="false">IF(LEFT(LOWER(TRIM(L1380)),6)="cancel","Cancelled","Delivered")</f>
        <v>Delivered</v>
      </c>
      <c r="AH1380" s="10" t="n">
        <f aca="false">IF(ISNUMBER(SEARCH("/",B1380)),DATE(VALUE(RIGHT(B1380,4)),VALUE(MID(B1380,4,2)),VALUE(LEFT(B1380,2))),IF(MID(B1380,5,1)="-",DATE(VALUE(LEFT(B1380,4)),VALUE(MID(B1380,6,2)),VALUE(RIGHT(B1380,2))),DATE(VALUE(RIGHT(B1380,4)),MATCH(MID(B1380,4,3),{"Jan","Feb","Mar","Apr","May","Jun","Jul","Aug","Sep","Oct","Nov","Dec"},0),VALUE(LEFT(B1380,2)))))</f>
        <v>45828</v>
      </c>
    </row>
    <row r="1381" customFormat="false" ht="15" hidden="false" customHeight="false" outlineLevel="0" collapsed="false">
      <c r="A1381" s="7" t="s">
        <v>3726</v>
      </c>
      <c r="B1381" s="7" t="s">
        <v>326</v>
      </c>
      <c r="C1381" s="7" t="s">
        <v>2024</v>
      </c>
      <c r="D1381" s="7" t="s">
        <v>3364</v>
      </c>
      <c r="E1381" s="7" t="s">
        <v>113</v>
      </c>
      <c r="F1381" s="7" t="s">
        <v>101</v>
      </c>
      <c r="G1381" s="7" t="s">
        <v>90</v>
      </c>
      <c r="H1381" s="7" t="n">
        <v>1</v>
      </c>
      <c r="I1381" s="7" t="n">
        <v>250</v>
      </c>
      <c r="J1381" s="7" t="n">
        <v>30</v>
      </c>
      <c r="K1381" s="7" t="s">
        <v>421</v>
      </c>
      <c r="L1381" s="7" t="s">
        <v>238</v>
      </c>
      <c r="M1381" s="7"/>
      <c r="N1381" s="7"/>
      <c r="O1381" s="7" t="str">
        <f aca="false">A1381&amp;"|"&amp;B1381&amp;"|"&amp;C1381&amp;"|"&amp;D1381&amp;"|"&amp;E1381&amp;"|"&amp;F1381&amp;"|"&amp;G1381&amp;"|"&amp;H1381&amp;"|"&amp;I1381&amp;"|"&amp;J1381&amp;"|"&amp;K1381&amp;"|"&amp;L1381&amp;"|"&amp;M1381&amp;"|"&amp;N1381</f>
        <v>ORD12432|2025-11-02|17:19|C0499|Curry Leaf Kitchen|Mumbai|North Indian|1|250|30|UPI |Cancelled||</v>
      </c>
      <c r="P1381" s="7" t="str">
        <f aca="false">IF(COUNTIF($O$2:O1381,O1381)&gt;1,"DUP","OK")</f>
        <v>OK</v>
      </c>
      <c r="Q1381" s="7" t="n">
        <f aca="false">COUNTBLANK(A1381:N1381)</f>
        <v>2</v>
      </c>
      <c r="R1381" s="7" t="n">
        <f aca="false">IF(A1381="",0,COUNTIFS($A$2:$A$3058,A1381,$P$2:$P$3058,"OK"))</f>
        <v>1</v>
      </c>
      <c r="S1381" s="7" t="str">
        <f aca="false">IF(OR(A1381="",P1381="DUP",R1381&lt;2),"",IF(Q1381=_xlfn.MINIFS($Q$2:$Q$3058,$A$2:$A$3058,A1381,$P$2:$P$3058,"OK"),"KEEP","DROP"))</f>
        <v/>
      </c>
      <c r="T1381" s="9" t="n">
        <f aca="false">IF(A1381="",1,0)</f>
        <v>0</v>
      </c>
      <c r="U1381" s="9" t="n">
        <f aca="false">IF(D1381="",1,0)</f>
        <v>0</v>
      </c>
      <c r="V1381" s="9" t="n">
        <f aca="false">IF(E1381="",1,0)</f>
        <v>0</v>
      </c>
      <c r="W1381" s="9" t="n">
        <f aca="false">IF(OR(H1381&lt;1,H1381&gt;10),1,0)</f>
        <v>0</v>
      </c>
      <c r="X1381" s="9" t="n">
        <f aca="false">IF(OR(I1381&lt;=0,I1381&gt;1500),1,0)</f>
        <v>0</v>
      </c>
      <c r="Y1381" s="9" t="n">
        <f aca="false">IF(J1381&gt;H1381*I1381,1,0)</f>
        <v>0</v>
      </c>
      <c r="Z1381" s="9" t="n">
        <f aca="false">IF(AND(N1381&lt;&gt;"",OR(N1381&lt;1,N1381&gt;5)),1,0)</f>
        <v>0</v>
      </c>
      <c r="AA1381" s="9" t="n">
        <f aca="false">IF(AND(M1381&lt;&gt;"",OR(M1381&lt;5,M1381&gt;180)),1,0)</f>
        <v>0</v>
      </c>
      <c r="AB1381" s="7" t="str">
        <f aca="false">IF(P1381="DUP","Exact duplicate row",IF(T1381=1,"Missing Order ID",IF(S1381="DROP","Duplicate Order ID (less complete row)",IF(U1381=1,"Missing Customer ID",IF(V1381=1,"Missing Restaurant name",IF(W1381=1,"Invalid/outlier quantity",IF(X1381=1,"Invalid/outlier unit price",IF(Y1381=1,"Discount greater than order value",""))))))))</f>
        <v/>
      </c>
      <c r="AC1381" s="7" t="str">
        <f aca="false">IF(AB1381="","KEEP","DROP")</f>
        <v>KEEP</v>
      </c>
      <c r="AD1381" s="7" t="str">
        <f aca="false">IF(TRIM(F1381)="",IFERROR(INDEX(Map_Tables!$I$4:$I$37,MATCH(TRIM(E1381),Map_Tables!$G$4:$G$37,0)),""),IFERROR(INDEX(Map_Tables!$B$4:$B$18,MATCH(TRIM(F1381),Map_Tables!$A$4:$A$18,0)),"CHECK"))</f>
        <v>Mumbai</v>
      </c>
      <c r="AE1381" s="7" t="str">
        <f aca="false">IF(TRIM(E1381)="","",IFERROR(INDEX(Map_Tables!$H$4:$H$37,MATCH(TRIM(E1381),Map_Tables!$G$4:$G$37,0)),"CHECK"))</f>
        <v>Curry Leaf Kitchen</v>
      </c>
      <c r="AF1381" s="7" t="str">
        <f aca="false">IF(TRIM(K1381)="","Unknown",IFERROR(INDEX(Map_Tables!$E$4:$E$15,MATCH(TRIM(K1381),Map_Tables!$D$4:$D$15,0)),"CHECK"))</f>
        <v>UPI</v>
      </c>
      <c r="AG1381" s="7" t="str">
        <f aca="false">IF(LEFT(LOWER(TRIM(L1381)),6)="cancel","Cancelled","Delivered")</f>
        <v>Cancelled</v>
      </c>
      <c r="AH1381" s="10" t="n">
        <f aca="false">IF(ISNUMBER(SEARCH("/",B1381)),DATE(VALUE(RIGHT(B1381,4)),VALUE(MID(B1381,4,2)),VALUE(LEFT(B1381,2))),IF(MID(B1381,5,1)="-",DATE(VALUE(LEFT(B1381,4)),VALUE(MID(B1381,6,2)),VALUE(RIGHT(B1381,2))),DATE(VALUE(RIGHT(B1381,4)),MATCH(MID(B1381,4,3),{"Jan","Feb","Mar","Apr","May","Jun","Jul","Aug","Sep","Oct","Nov","Dec"},0),VALUE(LEFT(B1381,2)))))</f>
        <v>45963</v>
      </c>
    </row>
    <row r="1382" customFormat="false" ht="15" hidden="false" customHeight="false" outlineLevel="0" collapsed="false">
      <c r="A1382" s="7" t="s">
        <v>3727</v>
      </c>
      <c r="B1382" s="7" t="s">
        <v>2348</v>
      </c>
      <c r="C1382" s="7" t="s">
        <v>3728</v>
      </c>
      <c r="D1382" s="7" t="s">
        <v>3729</v>
      </c>
      <c r="E1382" s="7" t="s">
        <v>1843</v>
      </c>
      <c r="F1382" s="7" t="s">
        <v>110</v>
      </c>
      <c r="G1382" s="7" t="s">
        <v>90</v>
      </c>
      <c r="H1382" s="7" t="n">
        <v>1</v>
      </c>
      <c r="I1382" s="7" t="n">
        <v>310</v>
      </c>
      <c r="J1382" s="7" t="n">
        <v>100</v>
      </c>
      <c r="K1382" s="7" t="s">
        <v>112</v>
      </c>
      <c r="L1382" s="7" t="s">
        <v>238</v>
      </c>
      <c r="M1382" s="7"/>
      <c r="N1382" s="7"/>
      <c r="O1382" s="7" t="str">
        <f aca="false">A1382&amp;"|"&amp;B1382&amp;"|"&amp;C1382&amp;"|"&amp;D1382&amp;"|"&amp;E1382&amp;"|"&amp;F1382&amp;"|"&amp;G1382&amp;"|"&amp;H1382&amp;"|"&amp;I1382&amp;"|"&amp;J1382&amp;"|"&amp;K1382&amp;"|"&amp;L1382&amp;"|"&amp;M1382&amp;"|"&amp;N1382</f>
        <v>ORD10114|2025-01-15|13:57|C0633| Tandoor Tales|Delhi|North Indian|1|310|100|Cash on Delivery|Cancelled||</v>
      </c>
      <c r="P1382" s="7" t="str">
        <f aca="false">IF(COUNTIF($O$2:O1382,O1382)&gt;1,"DUP","OK")</f>
        <v>OK</v>
      </c>
      <c r="Q1382" s="7" t="n">
        <f aca="false">COUNTBLANK(A1382:N1382)</f>
        <v>2</v>
      </c>
      <c r="R1382" s="7" t="n">
        <f aca="false">IF(A1382="",0,COUNTIFS($A$2:$A$3058,A1382,$P$2:$P$3058,"OK"))</f>
        <v>1</v>
      </c>
      <c r="S1382" s="7" t="str">
        <f aca="false">IF(OR(A1382="",P1382="DUP",R1382&lt;2),"",IF(Q1382=_xlfn.MINIFS($Q$2:$Q$3058,$A$2:$A$3058,A1382,$P$2:$P$3058,"OK"),"KEEP","DROP"))</f>
        <v/>
      </c>
      <c r="T1382" s="9" t="n">
        <f aca="false">IF(A1382="",1,0)</f>
        <v>0</v>
      </c>
      <c r="U1382" s="9" t="n">
        <f aca="false">IF(D1382="",1,0)</f>
        <v>0</v>
      </c>
      <c r="V1382" s="9" t="n">
        <f aca="false">IF(E1382="",1,0)</f>
        <v>0</v>
      </c>
      <c r="W1382" s="9" t="n">
        <f aca="false">IF(OR(H1382&lt;1,H1382&gt;10),1,0)</f>
        <v>0</v>
      </c>
      <c r="X1382" s="9" t="n">
        <f aca="false">IF(OR(I1382&lt;=0,I1382&gt;1500),1,0)</f>
        <v>0</v>
      </c>
      <c r="Y1382" s="9" t="n">
        <f aca="false">IF(J1382&gt;H1382*I1382,1,0)</f>
        <v>0</v>
      </c>
      <c r="Z1382" s="9" t="n">
        <f aca="false">IF(AND(N1382&lt;&gt;"",OR(N1382&lt;1,N1382&gt;5)),1,0)</f>
        <v>0</v>
      </c>
      <c r="AA1382" s="9" t="n">
        <f aca="false">IF(AND(M1382&lt;&gt;"",OR(M1382&lt;5,M1382&gt;180)),1,0)</f>
        <v>0</v>
      </c>
      <c r="AB1382" s="7" t="str">
        <f aca="false">IF(P1382="DUP","Exact duplicate row",IF(T1382=1,"Missing Order ID",IF(S1382="DROP","Duplicate Order ID (less complete row)",IF(U1382=1,"Missing Customer ID",IF(V1382=1,"Missing Restaurant name",IF(W1382=1,"Invalid/outlier quantity",IF(X1382=1,"Invalid/outlier unit price",IF(Y1382=1,"Discount greater than order value",""))))))))</f>
        <v/>
      </c>
      <c r="AC1382" s="7" t="str">
        <f aca="false">IF(AB1382="","KEEP","DROP")</f>
        <v>KEEP</v>
      </c>
      <c r="AD1382" s="7" t="str">
        <f aca="false">IF(TRIM(F1382)="",IFERROR(INDEX(Map_Tables!$I$4:$I$37,MATCH(TRIM(E1382),Map_Tables!$G$4:$G$37,0)),""),IFERROR(INDEX(Map_Tables!$B$4:$B$18,MATCH(TRIM(F1382),Map_Tables!$A$4:$A$18,0)),"CHECK"))</f>
        <v>Delhi</v>
      </c>
      <c r="AE1382" s="7" t="str">
        <f aca="false">IF(TRIM(E1382)="","",IFERROR(INDEX(Map_Tables!$H$4:$H$37,MATCH(TRIM(E1382),Map_Tables!$G$4:$G$37,0)),"CHECK"))</f>
        <v>Tandoor Tales</v>
      </c>
      <c r="AF1382" s="7" t="str">
        <f aca="false">IF(TRIM(K1382)="","Unknown",IFERROR(INDEX(Map_Tables!$E$4:$E$15,MATCH(TRIM(K1382),Map_Tables!$D$4:$D$15,0)),"CHECK"))</f>
        <v>Cash on Delivery</v>
      </c>
      <c r="AG1382" s="7" t="str">
        <f aca="false">IF(LEFT(LOWER(TRIM(L1382)),6)="cancel","Cancelled","Delivered")</f>
        <v>Cancelled</v>
      </c>
      <c r="AH1382" s="10" t="n">
        <f aca="false">IF(ISNUMBER(SEARCH("/",B1382)),DATE(VALUE(RIGHT(B1382,4)),VALUE(MID(B1382,4,2)),VALUE(LEFT(B1382,2))),IF(MID(B1382,5,1)="-",DATE(VALUE(LEFT(B1382,4)),VALUE(MID(B1382,6,2)),VALUE(RIGHT(B1382,2))),DATE(VALUE(RIGHT(B1382,4)),MATCH(MID(B1382,4,3),{"Jan","Feb","Mar","Apr","May","Jun","Jul","Aug","Sep","Oct","Nov","Dec"},0),VALUE(LEFT(B1382,2)))))</f>
        <v>45672</v>
      </c>
    </row>
    <row r="1383" customFormat="false" ht="15" hidden="false" customHeight="false" outlineLevel="0" collapsed="false">
      <c r="A1383" s="7" t="s">
        <v>3730</v>
      </c>
      <c r="B1383" s="7" t="s">
        <v>2950</v>
      </c>
      <c r="C1383" s="7" t="s">
        <v>1961</v>
      </c>
      <c r="D1383" s="7" t="s">
        <v>1966</v>
      </c>
      <c r="E1383" s="7" t="s">
        <v>147</v>
      </c>
      <c r="F1383" s="7" t="s">
        <v>119</v>
      </c>
      <c r="G1383" s="7" t="s">
        <v>95</v>
      </c>
      <c r="H1383" s="7" t="n">
        <v>1</v>
      </c>
      <c r="I1383" s="7" t="n">
        <v>165</v>
      </c>
      <c r="J1383" s="7" t="n">
        <v>66</v>
      </c>
      <c r="K1383" s="7" t="s">
        <v>93</v>
      </c>
      <c r="L1383" s="7" t="s">
        <v>194</v>
      </c>
      <c r="M1383" s="7" t="n">
        <v>28</v>
      </c>
      <c r="N1383" s="7" t="n">
        <v>2</v>
      </c>
      <c r="O1383" s="7" t="str">
        <f aca="false">A1383&amp;"|"&amp;B1383&amp;"|"&amp;C1383&amp;"|"&amp;D1383&amp;"|"&amp;E1383&amp;"|"&amp;F1383&amp;"|"&amp;G1383&amp;"|"&amp;H1383&amp;"|"&amp;I1383&amp;"|"&amp;J1383&amp;"|"&amp;K1383&amp;"|"&amp;L1383&amp;"|"&amp;M1383&amp;"|"&amp;N1383</f>
        <v>ORD10987|05/05/2025|15:50|C1333|Andhra Meals Mess|Hyderabad|South Indian|1|165|66|Credit Card|Delivered|28|2</v>
      </c>
      <c r="P1383" s="7" t="str">
        <f aca="false">IF(COUNTIF($O$2:O1383,O1383)&gt;1,"DUP","OK")</f>
        <v>OK</v>
      </c>
      <c r="Q1383" s="7" t="n">
        <f aca="false">COUNTBLANK(A1383:N1383)</f>
        <v>0</v>
      </c>
      <c r="R1383" s="7" t="n">
        <f aca="false">IF(A1383="",0,COUNTIFS($A$2:$A$3058,A1383,$P$2:$P$3058,"OK"))</f>
        <v>1</v>
      </c>
      <c r="S1383" s="7" t="str">
        <f aca="false">IF(OR(A1383="",P1383="DUP",R1383&lt;2),"",IF(Q1383=_xlfn.MINIFS($Q$2:$Q$3058,$A$2:$A$3058,A1383,$P$2:$P$3058,"OK"),"KEEP","DROP"))</f>
        <v/>
      </c>
      <c r="T1383" s="9" t="n">
        <f aca="false">IF(A1383="",1,0)</f>
        <v>0</v>
      </c>
      <c r="U1383" s="9" t="n">
        <f aca="false">IF(D1383="",1,0)</f>
        <v>0</v>
      </c>
      <c r="V1383" s="9" t="n">
        <f aca="false">IF(E1383="",1,0)</f>
        <v>0</v>
      </c>
      <c r="W1383" s="9" t="n">
        <f aca="false">IF(OR(H1383&lt;1,H1383&gt;10),1,0)</f>
        <v>0</v>
      </c>
      <c r="X1383" s="9" t="n">
        <f aca="false">IF(OR(I1383&lt;=0,I1383&gt;1500),1,0)</f>
        <v>0</v>
      </c>
      <c r="Y1383" s="9" t="n">
        <f aca="false">IF(J1383&gt;H1383*I1383,1,0)</f>
        <v>0</v>
      </c>
      <c r="Z1383" s="9" t="n">
        <f aca="false">IF(AND(N1383&lt;&gt;"",OR(N1383&lt;1,N1383&gt;5)),1,0)</f>
        <v>0</v>
      </c>
      <c r="AA1383" s="9" t="n">
        <f aca="false">IF(AND(M1383&lt;&gt;"",OR(M1383&lt;5,M1383&gt;180)),1,0)</f>
        <v>0</v>
      </c>
      <c r="AB1383" s="7" t="str">
        <f aca="false">IF(P1383="DUP","Exact duplicate row",IF(T1383=1,"Missing Order ID",IF(S1383="DROP","Duplicate Order ID (less complete row)",IF(U1383=1,"Missing Customer ID",IF(V1383=1,"Missing Restaurant name",IF(W1383=1,"Invalid/outlier quantity",IF(X1383=1,"Invalid/outlier unit price",IF(Y1383=1,"Discount greater than order value",""))))))))</f>
        <v/>
      </c>
      <c r="AC1383" s="7" t="str">
        <f aca="false">IF(AB1383="","KEEP","DROP")</f>
        <v>KEEP</v>
      </c>
      <c r="AD1383" s="7" t="str">
        <f aca="false">IF(TRIM(F1383)="",IFERROR(INDEX(Map_Tables!$I$4:$I$37,MATCH(TRIM(E1383),Map_Tables!$G$4:$G$37,0)),""),IFERROR(INDEX(Map_Tables!$B$4:$B$18,MATCH(TRIM(F1383),Map_Tables!$A$4:$A$18,0)),"CHECK"))</f>
        <v>Hyderabad</v>
      </c>
      <c r="AE1383" s="7" t="str">
        <f aca="false">IF(TRIM(E1383)="","",IFERROR(INDEX(Map_Tables!$H$4:$H$37,MATCH(TRIM(E1383),Map_Tables!$G$4:$G$37,0)),"CHECK"))</f>
        <v>Andhra Meals Mess</v>
      </c>
      <c r="AF1383" s="7" t="str">
        <f aca="false">IF(TRIM(K1383)="","Unknown",IFERROR(INDEX(Map_Tables!$E$4:$E$15,MATCH(TRIM(K1383),Map_Tables!$D$4:$D$15,0)),"CHECK"))</f>
        <v>Credit Card</v>
      </c>
      <c r="AG1383" s="7" t="str">
        <f aca="false">IF(LEFT(LOWER(TRIM(L1383)),6)="cancel","Cancelled","Delivered")</f>
        <v>Delivered</v>
      </c>
      <c r="AH1383" s="10" t="n">
        <f aca="false">IF(ISNUMBER(SEARCH("/",B1383)),DATE(VALUE(RIGHT(B1383,4)),VALUE(MID(B1383,4,2)),VALUE(LEFT(B1383,2))),IF(MID(B1383,5,1)="-",DATE(VALUE(LEFT(B1383,4)),VALUE(MID(B1383,6,2)),VALUE(RIGHT(B1383,2))),DATE(VALUE(RIGHT(B1383,4)),MATCH(MID(B1383,4,3),{"Jan","Feb","Mar","Apr","May","Jun","Jul","Aug","Sep","Oct","Nov","Dec"},0),VALUE(LEFT(B1383,2)))))</f>
        <v>45782</v>
      </c>
    </row>
    <row r="1384" customFormat="false" ht="15" hidden="false" customHeight="false" outlineLevel="0" collapsed="false">
      <c r="A1384" s="7" t="s">
        <v>3731</v>
      </c>
      <c r="B1384" s="7" t="s">
        <v>803</v>
      </c>
      <c r="C1384" s="7" t="s">
        <v>1387</v>
      </c>
      <c r="D1384" s="7" t="s">
        <v>3732</v>
      </c>
      <c r="E1384" s="7" t="s">
        <v>149</v>
      </c>
      <c r="F1384" s="7" t="s">
        <v>119</v>
      </c>
      <c r="G1384" s="7" t="s">
        <v>150</v>
      </c>
      <c r="H1384" s="7" t="n">
        <v>1</v>
      </c>
      <c r="I1384" s="7" t="n">
        <v>180</v>
      </c>
      <c r="J1384" s="7" t="n">
        <v>72</v>
      </c>
      <c r="K1384" s="7" t="s">
        <v>103</v>
      </c>
      <c r="L1384" s="7" t="s">
        <v>194</v>
      </c>
      <c r="M1384" s="7" t="n">
        <v>38</v>
      </c>
      <c r="N1384" s="7"/>
      <c r="O1384" s="7" t="str">
        <f aca="false">A1384&amp;"|"&amp;B1384&amp;"|"&amp;C1384&amp;"|"&amp;D1384&amp;"|"&amp;E1384&amp;"|"&amp;F1384&amp;"|"&amp;G1384&amp;"|"&amp;H1384&amp;"|"&amp;I1384&amp;"|"&amp;J1384&amp;"|"&amp;K1384&amp;"|"&amp;L1384&amp;"|"&amp;M1384&amp;"|"&amp;N1384</f>
        <v>ORD11972|2025-09-12|20:59|C0991|Sweet Tooth Studio|Hyderabad|Desserts|1|180|72|Debit Card|Delivered|38|</v>
      </c>
      <c r="P1384" s="7" t="str">
        <f aca="false">IF(COUNTIF($O$2:O1384,O1384)&gt;1,"DUP","OK")</f>
        <v>OK</v>
      </c>
      <c r="Q1384" s="7" t="n">
        <f aca="false">COUNTBLANK(A1384:N1384)</f>
        <v>1</v>
      </c>
      <c r="R1384" s="7" t="n">
        <f aca="false">IF(A1384="",0,COUNTIFS($A$2:$A$3058,A1384,$P$2:$P$3058,"OK"))</f>
        <v>1</v>
      </c>
      <c r="S1384" s="7" t="str">
        <f aca="false">IF(OR(A1384="",P1384="DUP",R1384&lt;2),"",IF(Q1384=_xlfn.MINIFS($Q$2:$Q$3058,$A$2:$A$3058,A1384,$P$2:$P$3058,"OK"),"KEEP","DROP"))</f>
        <v/>
      </c>
      <c r="T1384" s="9" t="n">
        <f aca="false">IF(A1384="",1,0)</f>
        <v>0</v>
      </c>
      <c r="U1384" s="9" t="n">
        <f aca="false">IF(D1384="",1,0)</f>
        <v>0</v>
      </c>
      <c r="V1384" s="9" t="n">
        <f aca="false">IF(E1384="",1,0)</f>
        <v>0</v>
      </c>
      <c r="W1384" s="9" t="n">
        <f aca="false">IF(OR(H1384&lt;1,H1384&gt;10),1,0)</f>
        <v>0</v>
      </c>
      <c r="X1384" s="9" t="n">
        <f aca="false">IF(OR(I1384&lt;=0,I1384&gt;1500),1,0)</f>
        <v>0</v>
      </c>
      <c r="Y1384" s="9" t="n">
        <f aca="false">IF(J1384&gt;H1384*I1384,1,0)</f>
        <v>0</v>
      </c>
      <c r="Z1384" s="9" t="n">
        <f aca="false">IF(AND(N1384&lt;&gt;"",OR(N1384&lt;1,N1384&gt;5)),1,0)</f>
        <v>0</v>
      </c>
      <c r="AA1384" s="9" t="n">
        <f aca="false">IF(AND(M1384&lt;&gt;"",OR(M1384&lt;5,M1384&gt;180)),1,0)</f>
        <v>0</v>
      </c>
      <c r="AB1384" s="7" t="str">
        <f aca="false">IF(P1384="DUP","Exact duplicate row",IF(T1384=1,"Missing Order ID",IF(S1384="DROP","Duplicate Order ID (less complete row)",IF(U1384=1,"Missing Customer ID",IF(V1384=1,"Missing Restaurant name",IF(W1384=1,"Invalid/outlier quantity",IF(X1384=1,"Invalid/outlier unit price",IF(Y1384=1,"Discount greater than order value",""))))))))</f>
        <v/>
      </c>
      <c r="AC1384" s="7" t="str">
        <f aca="false">IF(AB1384="","KEEP","DROP")</f>
        <v>KEEP</v>
      </c>
      <c r="AD1384" s="7" t="str">
        <f aca="false">IF(TRIM(F1384)="",IFERROR(INDEX(Map_Tables!$I$4:$I$37,MATCH(TRIM(E1384),Map_Tables!$G$4:$G$37,0)),""),IFERROR(INDEX(Map_Tables!$B$4:$B$18,MATCH(TRIM(F1384),Map_Tables!$A$4:$A$18,0)),"CHECK"))</f>
        <v>Hyderabad</v>
      </c>
      <c r="AE1384" s="7" t="str">
        <f aca="false">IF(TRIM(E1384)="","",IFERROR(INDEX(Map_Tables!$H$4:$H$37,MATCH(TRIM(E1384),Map_Tables!$G$4:$G$37,0)),"CHECK"))</f>
        <v>Sweet Tooth Studio</v>
      </c>
      <c r="AF1384" s="7" t="str">
        <f aca="false">IF(TRIM(K1384)="","Unknown",IFERROR(INDEX(Map_Tables!$E$4:$E$15,MATCH(TRIM(K1384),Map_Tables!$D$4:$D$15,0)),"CHECK"))</f>
        <v>Debit Card</v>
      </c>
      <c r="AG1384" s="7" t="str">
        <f aca="false">IF(LEFT(LOWER(TRIM(L1384)),6)="cancel","Cancelled","Delivered")</f>
        <v>Delivered</v>
      </c>
      <c r="AH1384" s="10" t="n">
        <f aca="false">IF(ISNUMBER(SEARCH("/",B1384)),DATE(VALUE(RIGHT(B1384,4)),VALUE(MID(B1384,4,2)),VALUE(LEFT(B1384,2))),IF(MID(B1384,5,1)="-",DATE(VALUE(LEFT(B1384,4)),VALUE(MID(B1384,6,2)),VALUE(RIGHT(B1384,2))),DATE(VALUE(RIGHT(B1384,4)),MATCH(MID(B1384,4,3),{"Jan","Feb","Mar","Apr","May","Jun","Jul","Aug","Sep","Oct","Nov","Dec"},0),VALUE(LEFT(B1384,2)))))</f>
        <v>45912</v>
      </c>
    </row>
    <row r="1385" customFormat="false" ht="15" hidden="false" customHeight="false" outlineLevel="0" collapsed="false">
      <c r="A1385" s="7" t="s">
        <v>3733</v>
      </c>
      <c r="B1385" s="7" t="s">
        <v>943</v>
      </c>
      <c r="C1385" s="7" t="s">
        <v>893</v>
      </c>
      <c r="D1385" s="7" t="s">
        <v>1508</v>
      </c>
      <c r="E1385" s="7" t="s">
        <v>158</v>
      </c>
      <c r="F1385" s="7" t="s">
        <v>136</v>
      </c>
      <c r="G1385" s="7" t="s">
        <v>139</v>
      </c>
      <c r="H1385" s="7" t="n">
        <v>2</v>
      </c>
      <c r="I1385" s="7" t="n">
        <v>215</v>
      </c>
      <c r="J1385" s="7" t="n">
        <v>150</v>
      </c>
      <c r="K1385" s="7" t="s">
        <v>93</v>
      </c>
      <c r="L1385" s="7" t="s">
        <v>194</v>
      </c>
      <c r="M1385" s="7" t="n">
        <v>34</v>
      </c>
      <c r="N1385" s="7" t="n">
        <v>2</v>
      </c>
      <c r="O1385" s="7" t="str">
        <f aca="false">A1385&amp;"|"&amp;B1385&amp;"|"&amp;C1385&amp;"|"&amp;D1385&amp;"|"&amp;E1385&amp;"|"&amp;F1385&amp;"|"&amp;G1385&amp;"|"&amp;H1385&amp;"|"&amp;I1385&amp;"|"&amp;J1385&amp;"|"&amp;K1385&amp;"|"&amp;L1385&amp;"|"&amp;M1385&amp;"|"&amp;N1385</f>
        <v>ORD12917|2025-12-22|21:15|C0337|Pune Burger Hub|Pune|Burgers|2|215|150|Credit Card|Delivered|34|2</v>
      </c>
      <c r="P1385" s="7" t="str">
        <f aca="false">IF(COUNTIF($O$2:O1385,O1385)&gt;1,"DUP","OK")</f>
        <v>OK</v>
      </c>
      <c r="Q1385" s="7" t="n">
        <f aca="false">COUNTBLANK(A1385:N1385)</f>
        <v>0</v>
      </c>
      <c r="R1385" s="7" t="n">
        <f aca="false">IF(A1385="",0,COUNTIFS($A$2:$A$3058,A1385,$P$2:$P$3058,"OK"))</f>
        <v>1</v>
      </c>
      <c r="S1385" s="7" t="str">
        <f aca="false">IF(OR(A1385="",P1385="DUP",R1385&lt;2),"",IF(Q1385=_xlfn.MINIFS($Q$2:$Q$3058,$A$2:$A$3058,A1385,$P$2:$P$3058,"OK"),"KEEP","DROP"))</f>
        <v/>
      </c>
      <c r="T1385" s="9" t="n">
        <f aca="false">IF(A1385="",1,0)</f>
        <v>0</v>
      </c>
      <c r="U1385" s="9" t="n">
        <f aca="false">IF(D1385="",1,0)</f>
        <v>0</v>
      </c>
      <c r="V1385" s="9" t="n">
        <f aca="false">IF(E1385="",1,0)</f>
        <v>0</v>
      </c>
      <c r="W1385" s="9" t="n">
        <f aca="false">IF(OR(H1385&lt;1,H1385&gt;10),1,0)</f>
        <v>0</v>
      </c>
      <c r="X1385" s="9" t="n">
        <f aca="false">IF(OR(I1385&lt;=0,I1385&gt;1500),1,0)</f>
        <v>0</v>
      </c>
      <c r="Y1385" s="9" t="n">
        <f aca="false">IF(J1385&gt;H1385*I1385,1,0)</f>
        <v>0</v>
      </c>
      <c r="Z1385" s="9" t="n">
        <f aca="false">IF(AND(N1385&lt;&gt;"",OR(N1385&lt;1,N1385&gt;5)),1,0)</f>
        <v>0</v>
      </c>
      <c r="AA1385" s="9" t="n">
        <f aca="false">IF(AND(M1385&lt;&gt;"",OR(M1385&lt;5,M1385&gt;180)),1,0)</f>
        <v>0</v>
      </c>
      <c r="AB1385" s="7" t="str">
        <f aca="false">IF(P1385="DUP","Exact duplicate row",IF(T1385=1,"Missing Order ID",IF(S1385="DROP","Duplicate Order ID (less complete row)",IF(U1385=1,"Missing Customer ID",IF(V1385=1,"Missing Restaurant name",IF(W1385=1,"Invalid/outlier quantity",IF(X1385=1,"Invalid/outlier unit price",IF(Y1385=1,"Discount greater than order value",""))))))))</f>
        <v/>
      </c>
      <c r="AC1385" s="7" t="str">
        <f aca="false">IF(AB1385="","KEEP","DROP")</f>
        <v>KEEP</v>
      </c>
      <c r="AD1385" s="7" t="str">
        <f aca="false">IF(TRIM(F1385)="",IFERROR(INDEX(Map_Tables!$I$4:$I$37,MATCH(TRIM(E1385),Map_Tables!$G$4:$G$37,0)),""),IFERROR(INDEX(Map_Tables!$B$4:$B$18,MATCH(TRIM(F1385),Map_Tables!$A$4:$A$18,0)),"CHECK"))</f>
        <v>Pune</v>
      </c>
      <c r="AE1385" s="7" t="str">
        <f aca="false">IF(TRIM(E1385)="","",IFERROR(INDEX(Map_Tables!$H$4:$H$37,MATCH(TRIM(E1385),Map_Tables!$G$4:$G$37,0)),"CHECK"))</f>
        <v>Pune Burger Hub</v>
      </c>
      <c r="AF1385" s="7" t="str">
        <f aca="false">IF(TRIM(K1385)="","Unknown",IFERROR(INDEX(Map_Tables!$E$4:$E$15,MATCH(TRIM(K1385),Map_Tables!$D$4:$D$15,0)),"CHECK"))</f>
        <v>Credit Card</v>
      </c>
      <c r="AG1385" s="7" t="str">
        <f aca="false">IF(LEFT(LOWER(TRIM(L1385)),6)="cancel","Cancelled","Delivered")</f>
        <v>Delivered</v>
      </c>
      <c r="AH1385" s="10" t="n">
        <f aca="false">IF(ISNUMBER(SEARCH("/",B1385)),DATE(VALUE(RIGHT(B1385,4)),VALUE(MID(B1385,4,2)),VALUE(LEFT(B1385,2))),IF(MID(B1385,5,1)="-",DATE(VALUE(LEFT(B1385,4)),VALUE(MID(B1385,6,2)),VALUE(RIGHT(B1385,2))),DATE(VALUE(RIGHT(B1385,4)),MATCH(MID(B1385,4,3),{"Jan","Feb","Mar","Apr","May","Jun","Jul","Aug","Sep","Oct","Nov","Dec"},0),VALUE(LEFT(B1385,2)))))</f>
        <v>46013</v>
      </c>
    </row>
    <row r="1386" customFormat="false" ht="15" hidden="false" customHeight="false" outlineLevel="0" collapsed="false">
      <c r="A1386" s="7" t="s">
        <v>3734</v>
      </c>
      <c r="B1386" s="7" t="s">
        <v>1823</v>
      </c>
      <c r="C1386" s="7" t="s">
        <v>254</v>
      </c>
      <c r="D1386" s="7" t="s">
        <v>332</v>
      </c>
      <c r="E1386" s="7" t="s">
        <v>147</v>
      </c>
      <c r="F1386" s="7" t="s">
        <v>119</v>
      </c>
      <c r="G1386" s="7" t="s">
        <v>95</v>
      </c>
      <c r="H1386" s="7" t="n">
        <v>2</v>
      </c>
      <c r="I1386" s="7" t="n">
        <v>130</v>
      </c>
      <c r="J1386" s="7" t="n">
        <v>20</v>
      </c>
      <c r="K1386" s="7" t="s">
        <v>93</v>
      </c>
      <c r="L1386" s="7" t="s">
        <v>194</v>
      </c>
      <c r="M1386" s="7" t="n">
        <v>37</v>
      </c>
      <c r="N1386" s="7"/>
      <c r="O1386" s="7" t="str">
        <f aca="false">A1386&amp;"|"&amp;B1386&amp;"|"&amp;C1386&amp;"|"&amp;D1386&amp;"|"&amp;E1386&amp;"|"&amp;F1386&amp;"|"&amp;G1386&amp;"|"&amp;H1386&amp;"|"&amp;I1386&amp;"|"&amp;J1386&amp;"|"&amp;K1386&amp;"|"&amp;L1386&amp;"|"&amp;M1386&amp;"|"&amp;N1386</f>
        <v>ORD10223|2025-01-30|20:58|C1296|Andhra Meals Mess|Hyderabad|South Indian|2|130|20|Credit Card|Delivered|37|</v>
      </c>
      <c r="P1386" s="7" t="str">
        <f aca="false">IF(COUNTIF($O$2:O1386,O1386)&gt;1,"DUP","OK")</f>
        <v>OK</v>
      </c>
      <c r="Q1386" s="7" t="n">
        <f aca="false">COUNTBLANK(A1386:N1386)</f>
        <v>1</v>
      </c>
      <c r="R1386" s="7" t="n">
        <f aca="false">IF(A1386="",0,COUNTIFS($A$2:$A$3058,A1386,$P$2:$P$3058,"OK"))</f>
        <v>1</v>
      </c>
      <c r="S1386" s="7" t="str">
        <f aca="false">IF(OR(A1386="",P1386="DUP",R1386&lt;2),"",IF(Q1386=_xlfn.MINIFS($Q$2:$Q$3058,$A$2:$A$3058,A1386,$P$2:$P$3058,"OK"),"KEEP","DROP"))</f>
        <v/>
      </c>
      <c r="T1386" s="9" t="n">
        <f aca="false">IF(A1386="",1,0)</f>
        <v>0</v>
      </c>
      <c r="U1386" s="9" t="n">
        <f aca="false">IF(D1386="",1,0)</f>
        <v>0</v>
      </c>
      <c r="V1386" s="9" t="n">
        <f aca="false">IF(E1386="",1,0)</f>
        <v>0</v>
      </c>
      <c r="W1386" s="9" t="n">
        <f aca="false">IF(OR(H1386&lt;1,H1386&gt;10),1,0)</f>
        <v>0</v>
      </c>
      <c r="X1386" s="9" t="n">
        <f aca="false">IF(OR(I1386&lt;=0,I1386&gt;1500),1,0)</f>
        <v>0</v>
      </c>
      <c r="Y1386" s="9" t="n">
        <f aca="false">IF(J1386&gt;H1386*I1386,1,0)</f>
        <v>0</v>
      </c>
      <c r="Z1386" s="9" t="n">
        <f aca="false">IF(AND(N1386&lt;&gt;"",OR(N1386&lt;1,N1386&gt;5)),1,0)</f>
        <v>0</v>
      </c>
      <c r="AA1386" s="9" t="n">
        <f aca="false">IF(AND(M1386&lt;&gt;"",OR(M1386&lt;5,M1386&gt;180)),1,0)</f>
        <v>0</v>
      </c>
      <c r="AB1386" s="7" t="str">
        <f aca="false">IF(P1386="DUP","Exact duplicate row",IF(T1386=1,"Missing Order ID",IF(S1386="DROP","Duplicate Order ID (less complete row)",IF(U1386=1,"Missing Customer ID",IF(V1386=1,"Missing Restaurant name",IF(W1386=1,"Invalid/outlier quantity",IF(X1386=1,"Invalid/outlier unit price",IF(Y1386=1,"Discount greater than order value",""))))))))</f>
        <v/>
      </c>
      <c r="AC1386" s="7" t="str">
        <f aca="false">IF(AB1386="","KEEP","DROP")</f>
        <v>KEEP</v>
      </c>
      <c r="AD1386" s="7" t="str">
        <f aca="false">IF(TRIM(F1386)="",IFERROR(INDEX(Map_Tables!$I$4:$I$37,MATCH(TRIM(E1386),Map_Tables!$G$4:$G$37,0)),""),IFERROR(INDEX(Map_Tables!$B$4:$B$18,MATCH(TRIM(F1386),Map_Tables!$A$4:$A$18,0)),"CHECK"))</f>
        <v>Hyderabad</v>
      </c>
      <c r="AE1386" s="7" t="str">
        <f aca="false">IF(TRIM(E1386)="","",IFERROR(INDEX(Map_Tables!$H$4:$H$37,MATCH(TRIM(E1386),Map_Tables!$G$4:$G$37,0)),"CHECK"))</f>
        <v>Andhra Meals Mess</v>
      </c>
      <c r="AF1386" s="7" t="str">
        <f aca="false">IF(TRIM(K1386)="","Unknown",IFERROR(INDEX(Map_Tables!$E$4:$E$15,MATCH(TRIM(K1386),Map_Tables!$D$4:$D$15,0)),"CHECK"))</f>
        <v>Credit Card</v>
      </c>
      <c r="AG1386" s="7" t="str">
        <f aca="false">IF(LEFT(LOWER(TRIM(L1386)),6)="cancel","Cancelled","Delivered")</f>
        <v>Delivered</v>
      </c>
      <c r="AH1386" s="10" t="n">
        <f aca="false">IF(ISNUMBER(SEARCH("/",B1386)),DATE(VALUE(RIGHT(B1386,4)),VALUE(MID(B1386,4,2)),VALUE(LEFT(B1386,2))),IF(MID(B1386,5,1)="-",DATE(VALUE(LEFT(B1386,4)),VALUE(MID(B1386,6,2)),VALUE(RIGHT(B1386,2))),DATE(VALUE(RIGHT(B1386,4)),MATCH(MID(B1386,4,3),{"Jan","Feb","Mar","Apr","May","Jun","Jul","Aug","Sep","Oct","Nov","Dec"},0),VALUE(LEFT(B1386,2)))))</f>
        <v>45687</v>
      </c>
    </row>
    <row r="1387" customFormat="false" ht="15" hidden="false" customHeight="false" outlineLevel="0" collapsed="false">
      <c r="A1387" s="7" t="s">
        <v>3735</v>
      </c>
      <c r="B1387" s="7" t="s">
        <v>446</v>
      </c>
      <c r="C1387" s="7" t="s">
        <v>3736</v>
      </c>
      <c r="D1387" s="7" t="s">
        <v>3737</v>
      </c>
      <c r="E1387" s="7" t="s">
        <v>162</v>
      </c>
      <c r="F1387" s="7" t="s">
        <v>141</v>
      </c>
      <c r="G1387" s="7" t="s">
        <v>117</v>
      </c>
      <c r="H1387" s="7" t="n">
        <v>2</v>
      </c>
      <c r="I1387" s="7" t="n">
        <v>110</v>
      </c>
      <c r="J1387" s="7" t="n">
        <v>0</v>
      </c>
      <c r="K1387" s="7" t="s">
        <v>112</v>
      </c>
      <c r="L1387" s="7" t="s">
        <v>194</v>
      </c>
      <c r="M1387" s="7" t="n">
        <v>36</v>
      </c>
      <c r="N1387" s="7" t="n">
        <v>3</v>
      </c>
      <c r="O1387" s="7" t="str">
        <f aca="false">A1387&amp;"|"&amp;B1387&amp;"|"&amp;C1387&amp;"|"&amp;D1387&amp;"|"&amp;E1387&amp;"|"&amp;F1387&amp;"|"&amp;G1387&amp;"|"&amp;H1387&amp;"|"&amp;I1387&amp;"|"&amp;J1387&amp;"|"&amp;K1387&amp;"|"&amp;L1387&amp;"|"&amp;M1387&amp;"|"&amp;N1387</f>
        <v>ORD10519|2025-03-09|09:36|C0897|Kolkata Roll Centre|Kolkata|Street Food|2|110|0|Cash on Delivery|Delivered|36|3</v>
      </c>
      <c r="P1387" s="7" t="str">
        <f aca="false">IF(COUNTIF($O$2:O1387,O1387)&gt;1,"DUP","OK")</f>
        <v>OK</v>
      </c>
      <c r="Q1387" s="7" t="n">
        <f aca="false">COUNTBLANK(A1387:N1387)</f>
        <v>0</v>
      </c>
      <c r="R1387" s="7" t="n">
        <f aca="false">IF(A1387="",0,COUNTIFS($A$2:$A$3058,A1387,$P$2:$P$3058,"OK"))</f>
        <v>1</v>
      </c>
      <c r="S1387" s="7" t="str">
        <f aca="false">IF(OR(A1387="",P1387="DUP",R1387&lt;2),"",IF(Q1387=_xlfn.MINIFS($Q$2:$Q$3058,$A$2:$A$3058,A1387,$P$2:$P$3058,"OK"),"KEEP","DROP"))</f>
        <v/>
      </c>
      <c r="T1387" s="9" t="n">
        <f aca="false">IF(A1387="",1,0)</f>
        <v>0</v>
      </c>
      <c r="U1387" s="9" t="n">
        <f aca="false">IF(D1387="",1,0)</f>
        <v>0</v>
      </c>
      <c r="V1387" s="9" t="n">
        <f aca="false">IF(E1387="",1,0)</f>
        <v>0</v>
      </c>
      <c r="W1387" s="9" t="n">
        <f aca="false">IF(OR(H1387&lt;1,H1387&gt;10),1,0)</f>
        <v>0</v>
      </c>
      <c r="X1387" s="9" t="n">
        <f aca="false">IF(OR(I1387&lt;=0,I1387&gt;1500),1,0)</f>
        <v>0</v>
      </c>
      <c r="Y1387" s="9" t="n">
        <f aca="false">IF(J1387&gt;H1387*I1387,1,0)</f>
        <v>0</v>
      </c>
      <c r="Z1387" s="9" t="n">
        <f aca="false">IF(AND(N1387&lt;&gt;"",OR(N1387&lt;1,N1387&gt;5)),1,0)</f>
        <v>0</v>
      </c>
      <c r="AA1387" s="9" t="n">
        <f aca="false">IF(AND(M1387&lt;&gt;"",OR(M1387&lt;5,M1387&gt;180)),1,0)</f>
        <v>0</v>
      </c>
      <c r="AB1387" s="7" t="str">
        <f aca="false">IF(P1387="DUP","Exact duplicate row",IF(T1387=1,"Missing Order ID",IF(S1387="DROP","Duplicate Order ID (less complete row)",IF(U1387=1,"Missing Customer ID",IF(V1387=1,"Missing Restaurant name",IF(W1387=1,"Invalid/outlier quantity",IF(X1387=1,"Invalid/outlier unit price",IF(Y1387=1,"Discount greater than order value",""))))))))</f>
        <v/>
      </c>
      <c r="AC1387" s="7" t="str">
        <f aca="false">IF(AB1387="","KEEP","DROP")</f>
        <v>KEEP</v>
      </c>
      <c r="AD1387" s="7" t="str">
        <f aca="false">IF(TRIM(F1387)="",IFERROR(INDEX(Map_Tables!$I$4:$I$37,MATCH(TRIM(E1387),Map_Tables!$G$4:$G$37,0)),""),IFERROR(INDEX(Map_Tables!$B$4:$B$18,MATCH(TRIM(F1387),Map_Tables!$A$4:$A$18,0)),"CHECK"))</f>
        <v>Kolkata</v>
      </c>
      <c r="AE1387" s="7" t="str">
        <f aca="false">IF(TRIM(E1387)="","",IFERROR(INDEX(Map_Tables!$H$4:$H$37,MATCH(TRIM(E1387),Map_Tables!$G$4:$G$37,0)),"CHECK"))</f>
        <v>Kolkata Roll Centre</v>
      </c>
      <c r="AF1387" s="7" t="str">
        <f aca="false">IF(TRIM(K1387)="","Unknown",IFERROR(INDEX(Map_Tables!$E$4:$E$15,MATCH(TRIM(K1387),Map_Tables!$D$4:$D$15,0)),"CHECK"))</f>
        <v>Cash on Delivery</v>
      </c>
      <c r="AG1387" s="7" t="str">
        <f aca="false">IF(LEFT(LOWER(TRIM(L1387)),6)="cancel","Cancelled","Delivered")</f>
        <v>Delivered</v>
      </c>
      <c r="AH1387" s="10" t="n">
        <f aca="false">IF(ISNUMBER(SEARCH("/",B1387)),DATE(VALUE(RIGHT(B1387,4)),VALUE(MID(B1387,4,2)),VALUE(LEFT(B1387,2))),IF(MID(B1387,5,1)="-",DATE(VALUE(LEFT(B1387,4)),VALUE(MID(B1387,6,2)),VALUE(RIGHT(B1387,2))),DATE(VALUE(RIGHT(B1387,4)),MATCH(MID(B1387,4,3),{"Jan","Feb","Mar","Apr","May","Jun","Jul","Aug","Sep","Oct","Nov","Dec"},0),VALUE(LEFT(B1387,2)))))</f>
        <v>45725</v>
      </c>
    </row>
    <row r="1388" customFormat="false" ht="15" hidden="false" customHeight="false" outlineLevel="0" collapsed="false">
      <c r="A1388" s="7" t="s">
        <v>3738</v>
      </c>
      <c r="B1388" s="7" t="s">
        <v>3739</v>
      </c>
      <c r="C1388" s="7" t="s">
        <v>191</v>
      </c>
      <c r="D1388" s="7" t="s">
        <v>1020</v>
      </c>
      <c r="E1388" s="7" t="s">
        <v>161</v>
      </c>
      <c r="F1388" s="7" t="s">
        <v>141</v>
      </c>
      <c r="G1388" s="7" t="s">
        <v>117</v>
      </c>
      <c r="H1388" s="7" t="n">
        <v>4</v>
      </c>
      <c r="I1388" s="7" t="n">
        <v>110</v>
      </c>
      <c r="J1388" s="7" t="n">
        <v>20</v>
      </c>
      <c r="K1388" s="7" t="s">
        <v>121</v>
      </c>
      <c r="L1388" s="7" t="s">
        <v>194</v>
      </c>
      <c r="M1388" s="7" t="n">
        <v>46</v>
      </c>
      <c r="N1388" s="7" t="n">
        <v>4</v>
      </c>
      <c r="O1388" s="7" t="str">
        <f aca="false">A1388&amp;"|"&amp;B1388&amp;"|"&amp;C1388&amp;"|"&amp;D1388&amp;"|"&amp;E1388&amp;"|"&amp;F1388&amp;"|"&amp;G1388&amp;"|"&amp;H1388&amp;"|"&amp;I1388&amp;"|"&amp;J1388&amp;"|"&amp;K1388&amp;"|"&amp;L1388&amp;"|"&amp;M1388&amp;"|"&amp;N1388</f>
        <v>ORD11349|23-Jun-2025|12:57|C1422|Bengal Bites|Kolkata|Street Food|4|110|20|Wallet|Delivered|46|4</v>
      </c>
      <c r="P1388" s="7" t="str">
        <f aca="false">IF(COUNTIF($O$2:O1388,O1388)&gt;1,"DUP","OK")</f>
        <v>OK</v>
      </c>
      <c r="Q1388" s="7" t="n">
        <f aca="false">COUNTBLANK(A1388:N1388)</f>
        <v>0</v>
      </c>
      <c r="R1388" s="7" t="n">
        <f aca="false">IF(A1388="",0,COUNTIFS($A$2:$A$3058,A1388,$P$2:$P$3058,"OK"))</f>
        <v>1</v>
      </c>
      <c r="S1388" s="7" t="str">
        <f aca="false">IF(OR(A1388="",P1388="DUP",R1388&lt;2),"",IF(Q1388=_xlfn.MINIFS($Q$2:$Q$3058,$A$2:$A$3058,A1388,$P$2:$P$3058,"OK"),"KEEP","DROP"))</f>
        <v/>
      </c>
      <c r="T1388" s="9" t="n">
        <f aca="false">IF(A1388="",1,0)</f>
        <v>0</v>
      </c>
      <c r="U1388" s="9" t="n">
        <f aca="false">IF(D1388="",1,0)</f>
        <v>0</v>
      </c>
      <c r="V1388" s="9" t="n">
        <f aca="false">IF(E1388="",1,0)</f>
        <v>0</v>
      </c>
      <c r="W1388" s="9" t="n">
        <f aca="false">IF(OR(H1388&lt;1,H1388&gt;10),1,0)</f>
        <v>0</v>
      </c>
      <c r="X1388" s="9" t="n">
        <f aca="false">IF(OR(I1388&lt;=0,I1388&gt;1500),1,0)</f>
        <v>0</v>
      </c>
      <c r="Y1388" s="9" t="n">
        <f aca="false">IF(J1388&gt;H1388*I1388,1,0)</f>
        <v>0</v>
      </c>
      <c r="Z1388" s="9" t="n">
        <f aca="false">IF(AND(N1388&lt;&gt;"",OR(N1388&lt;1,N1388&gt;5)),1,0)</f>
        <v>0</v>
      </c>
      <c r="AA1388" s="9" t="n">
        <f aca="false">IF(AND(M1388&lt;&gt;"",OR(M1388&lt;5,M1388&gt;180)),1,0)</f>
        <v>0</v>
      </c>
      <c r="AB1388" s="7" t="str">
        <f aca="false">IF(P1388="DUP","Exact duplicate row",IF(T1388=1,"Missing Order ID",IF(S1388="DROP","Duplicate Order ID (less complete row)",IF(U1388=1,"Missing Customer ID",IF(V1388=1,"Missing Restaurant name",IF(W1388=1,"Invalid/outlier quantity",IF(X1388=1,"Invalid/outlier unit price",IF(Y1388=1,"Discount greater than order value",""))))))))</f>
        <v/>
      </c>
      <c r="AC1388" s="7" t="str">
        <f aca="false">IF(AB1388="","KEEP","DROP")</f>
        <v>KEEP</v>
      </c>
      <c r="AD1388" s="7" t="str">
        <f aca="false">IF(TRIM(F1388)="",IFERROR(INDEX(Map_Tables!$I$4:$I$37,MATCH(TRIM(E1388),Map_Tables!$G$4:$G$37,0)),""),IFERROR(INDEX(Map_Tables!$B$4:$B$18,MATCH(TRIM(F1388),Map_Tables!$A$4:$A$18,0)),"CHECK"))</f>
        <v>Kolkata</v>
      </c>
      <c r="AE1388" s="7" t="str">
        <f aca="false">IF(TRIM(E1388)="","",IFERROR(INDEX(Map_Tables!$H$4:$H$37,MATCH(TRIM(E1388),Map_Tables!$G$4:$G$37,0)),"CHECK"))</f>
        <v>Bengal Bites</v>
      </c>
      <c r="AF1388" s="7" t="str">
        <f aca="false">IF(TRIM(K1388)="","Unknown",IFERROR(INDEX(Map_Tables!$E$4:$E$15,MATCH(TRIM(K1388),Map_Tables!$D$4:$D$15,0)),"CHECK"))</f>
        <v>Wallet</v>
      </c>
      <c r="AG1388" s="7" t="str">
        <f aca="false">IF(LEFT(LOWER(TRIM(L1388)),6)="cancel","Cancelled","Delivered")</f>
        <v>Delivered</v>
      </c>
      <c r="AH1388" s="10" t="n">
        <f aca="false">IF(ISNUMBER(SEARCH("/",B1388)),DATE(VALUE(RIGHT(B1388,4)),VALUE(MID(B1388,4,2)),VALUE(LEFT(B1388,2))),IF(MID(B1388,5,1)="-",DATE(VALUE(LEFT(B1388,4)),VALUE(MID(B1388,6,2)),VALUE(RIGHT(B1388,2))),DATE(VALUE(RIGHT(B1388,4)),MATCH(MID(B1388,4,3),{"Jan","Feb","Mar","Apr","May","Jun","Jul","Aug","Sep","Oct","Nov","Dec"},0),VALUE(LEFT(B1388,2)))))</f>
        <v>45831</v>
      </c>
    </row>
    <row r="1389" customFormat="false" ht="15" hidden="false" customHeight="false" outlineLevel="0" collapsed="false">
      <c r="A1389" s="7" t="s">
        <v>3740</v>
      </c>
      <c r="B1389" s="7" t="s">
        <v>2090</v>
      </c>
      <c r="C1389" s="7" t="s">
        <v>2917</v>
      </c>
      <c r="D1389" s="7" t="s">
        <v>3454</v>
      </c>
      <c r="E1389" s="7" t="s">
        <v>130</v>
      </c>
      <c r="F1389" s="7" t="s">
        <v>110</v>
      </c>
      <c r="G1389" s="7" t="s">
        <v>90</v>
      </c>
      <c r="H1389" s="7" t="n">
        <v>1</v>
      </c>
      <c r="I1389" s="7" t="n">
        <v>235</v>
      </c>
      <c r="J1389" s="7" t="n">
        <v>0</v>
      </c>
      <c r="K1389" s="7" t="s">
        <v>88</v>
      </c>
      <c r="L1389" s="7" t="s">
        <v>194</v>
      </c>
      <c r="M1389" s="7" t="n">
        <v>60</v>
      </c>
      <c r="N1389" s="7" t="n">
        <v>5</v>
      </c>
      <c r="O1389" s="7" t="str">
        <f aca="false">A1389&amp;"|"&amp;B1389&amp;"|"&amp;C1389&amp;"|"&amp;D1389&amp;"|"&amp;E1389&amp;"|"&amp;F1389&amp;"|"&amp;G1389&amp;"|"&amp;H1389&amp;"|"&amp;I1389&amp;"|"&amp;J1389&amp;"|"&amp;K1389&amp;"|"&amp;L1389&amp;"|"&amp;M1389&amp;"|"&amp;N1389</f>
        <v>ORD11120|2025-05-22|21:45|C1486|Tandoor Tales|Delhi|North Indian|1|235|0|UPI|Delivered|60|5</v>
      </c>
      <c r="P1389" s="7" t="str">
        <f aca="false">IF(COUNTIF($O$2:O1389,O1389)&gt;1,"DUP","OK")</f>
        <v>OK</v>
      </c>
      <c r="Q1389" s="7" t="n">
        <f aca="false">COUNTBLANK(A1389:N1389)</f>
        <v>0</v>
      </c>
      <c r="R1389" s="7" t="n">
        <f aca="false">IF(A1389="",0,COUNTIFS($A$2:$A$3058,A1389,$P$2:$P$3058,"OK"))</f>
        <v>1</v>
      </c>
      <c r="S1389" s="7" t="str">
        <f aca="false">IF(OR(A1389="",P1389="DUP",R1389&lt;2),"",IF(Q1389=_xlfn.MINIFS($Q$2:$Q$3058,$A$2:$A$3058,A1389,$P$2:$P$3058,"OK"),"KEEP","DROP"))</f>
        <v/>
      </c>
      <c r="T1389" s="9" t="n">
        <f aca="false">IF(A1389="",1,0)</f>
        <v>0</v>
      </c>
      <c r="U1389" s="9" t="n">
        <f aca="false">IF(D1389="",1,0)</f>
        <v>0</v>
      </c>
      <c r="V1389" s="9" t="n">
        <f aca="false">IF(E1389="",1,0)</f>
        <v>0</v>
      </c>
      <c r="W1389" s="9" t="n">
        <f aca="false">IF(OR(H1389&lt;1,H1389&gt;10),1,0)</f>
        <v>0</v>
      </c>
      <c r="X1389" s="9" t="n">
        <f aca="false">IF(OR(I1389&lt;=0,I1389&gt;1500),1,0)</f>
        <v>0</v>
      </c>
      <c r="Y1389" s="9" t="n">
        <f aca="false">IF(J1389&gt;H1389*I1389,1,0)</f>
        <v>0</v>
      </c>
      <c r="Z1389" s="9" t="n">
        <f aca="false">IF(AND(N1389&lt;&gt;"",OR(N1389&lt;1,N1389&gt;5)),1,0)</f>
        <v>0</v>
      </c>
      <c r="AA1389" s="9" t="n">
        <f aca="false">IF(AND(M1389&lt;&gt;"",OR(M1389&lt;5,M1389&gt;180)),1,0)</f>
        <v>0</v>
      </c>
      <c r="AB1389" s="7" t="str">
        <f aca="false">IF(P1389="DUP","Exact duplicate row",IF(T1389=1,"Missing Order ID",IF(S1389="DROP","Duplicate Order ID (less complete row)",IF(U1389=1,"Missing Customer ID",IF(V1389=1,"Missing Restaurant name",IF(W1389=1,"Invalid/outlier quantity",IF(X1389=1,"Invalid/outlier unit price",IF(Y1389=1,"Discount greater than order value",""))))))))</f>
        <v/>
      </c>
      <c r="AC1389" s="7" t="str">
        <f aca="false">IF(AB1389="","KEEP","DROP")</f>
        <v>KEEP</v>
      </c>
      <c r="AD1389" s="7" t="str">
        <f aca="false">IF(TRIM(F1389)="",IFERROR(INDEX(Map_Tables!$I$4:$I$37,MATCH(TRIM(E1389),Map_Tables!$G$4:$G$37,0)),""),IFERROR(INDEX(Map_Tables!$B$4:$B$18,MATCH(TRIM(F1389),Map_Tables!$A$4:$A$18,0)),"CHECK"))</f>
        <v>Delhi</v>
      </c>
      <c r="AE1389" s="7" t="str">
        <f aca="false">IF(TRIM(E1389)="","",IFERROR(INDEX(Map_Tables!$H$4:$H$37,MATCH(TRIM(E1389),Map_Tables!$G$4:$G$37,0)),"CHECK"))</f>
        <v>Tandoor Tales</v>
      </c>
      <c r="AF1389" s="7" t="str">
        <f aca="false">IF(TRIM(K1389)="","Unknown",IFERROR(INDEX(Map_Tables!$E$4:$E$15,MATCH(TRIM(K1389),Map_Tables!$D$4:$D$15,0)),"CHECK"))</f>
        <v>UPI</v>
      </c>
      <c r="AG1389" s="7" t="str">
        <f aca="false">IF(LEFT(LOWER(TRIM(L1389)),6)="cancel","Cancelled","Delivered")</f>
        <v>Delivered</v>
      </c>
      <c r="AH1389" s="10" t="n">
        <f aca="false">IF(ISNUMBER(SEARCH("/",B1389)),DATE(VALUE(RIGHT(B1389,4)),VALUE(MID(B1389,4,2)),VALUE(LEFT(B1389,2))),IF(MID(B1389,5,1)="-",DATE(VALUE(LEFT(B1389,4)),VALUE(MID(B1389,6,2)),VALUE(RIGHT(B1389,2))),DATE(VALUE(RIGHT(B1389,4)),MATCH(MID(B1389,4,3),{"Jan","Feb","Mar","Apr","May","Jun","Jul","Aug","Sep","Oct","Nov","Dec"},0),VALUE(LEFT(B1389,2)))))</f>
        <v>45799</v>
      </c>
    </row>
    <row r="1390" customFormat="false" ht="15" hidden="false" customHeight="false" outlineLevel="0" collapsed="false">
      <c r="A1390" s="7" t="s">
        <v>3741</v>
      </c>
      <c r="B1390" s="7" t="s">
        <v>958</v>
      </c>
      <c r="C1390" s="7" t="s">
        <v>716</v>
      </c>
      <c r="D1390" s="7" t="s">
        <v>1420</v>
      </c>
      <c r="E1390" s="7" t="s">
        <v>104</v>
      </c>
      <c r="F1390" s="7" t="s">
        <v>86</v>
      </c>
      <c r="G1390" s="7" t="s">
        <v>105</v>
      </c>
      <c r="H1390" s="7" t="n">
        <v>3</v>
      </c>
      <c r="I1390" s="7" t="n">
        <v>220</v>
      </c>
      <c r="J1390" s="7" t="n">
        <v>40</v>
      </c>
      <c r="K1390" s="7" t="s">
        <v>88</v>
      </c>
      <c r="L1390" s="7" t="s">
        <v>194</v>
      </c>
      <c r="M1390" s="7" t="n">
        <v>55</v>
      </c>
      <c r="N1390" s="7" t="n">
        <v>3</v>
      </c>
      <c r="O1390" s="7" t="str">
        <f aca="false">A1390&amp;"|"&amp;B1390&amp;"|"&amp;C1390&amp;"|"&amp;D1390&amp;"|"&amp;E1390&amp;"|"&amp;F1390&amp;"|"&amp;G1390&amp;"|"&amp;H1390&amp;"|"&amp;I1390&amp;"|"&amp;J1390&amp;"|"&amp;K1390&amp;"|"&amp;L1390&amp;"|"&amp;M1390&amp;"|"&amp;N1390</f>
        <v>ORD10036|2025-01-05|22:30|C0306|Wok &amp; Roll|Bengaluru|Chinese|3|220|40|UPI|Delivered|55|3</v>
      </c>
      <c r="P1390" s="7" t="str">
        <f aca="false">IF(COUNTIF($O$2:O1390,O1390)&gt;1,"DUP","OK")</f>
        <v>OK</v>
      </c>
      <c r="Q1390" s="7" t="n">
        <f aca="false">COUNTBLANK(A1390:N1390)</f>
        <v>0</v>
      </c>
      <c r="R1390" s="7" t="n">
        <f aca="false">IF(A1390="",0,COUNTIFS($A$2:$A$3058,A1390,$P$2:$P$3058,"OK"))</f>
        <v>1</v>
      </c>
      <c r="S1390" s="7" t="str">
        <f aca="false">IF(OR(A1390="",P1390="DUP",R1390&lt;2),"",IF(Q1390=_xlfn.MINIFS($Q$2:$Q$3058,$A$2:$A$3058,A1390,$P$2:$P$3058,"OK"),"KEEP","DROP"))</f>
        <v/>
      </c>
      <c r="T1390" s="9" t="n">
        <f aca="false">IF(A1390="",1,0)</f>
        <v>0</v>
      </c>
      <c r="U1390" s="9" t="n">
        <f aca="false">IF(D1390="",1,0)</f>
        <v>0</v>
      </c>
      <c r="V1390" s="9" t="n">
        <f aca="false">IF(E1390="",1,0)</f>
        <v>0</v>
      </c>
      <c r="W1390" s="9" t="n">
        <f aca="false">IF(OR(H1390&lt;1,H1390&gt;10),1,0)</f>
        <v>0</v>
      </c>
      <c r="X1390" s="9" t="n">
        <f aca="false">IF(OR(I1390&lt;=0,I1390&gt;1500),1,0)</f>
        <v>0</v>
      </c>
      <c r="Y1390" s="9" t="n">
        <f aca="false">IF(J1390&gt;H1390*I1390,1,0)</f>
        <v>0</v>
      </c>
      <c r="Z1390" s="9" t="n">
        <f aca="false">IF(AND(N1390&lt;&gt;"",OR(N1390&lt;1,N1390&gt;5)),1,0)</f>
        <v>0</v>
      </c>
      <c r="AA1390" s="9" t="n">
        <f aca="false">IF(AND(M1390&lt;&gt;"",OR(M1390&lt;5,M1390&gt;180)),1,0)</f>
        <v>0</v>
      </c>
      <c r="AB1390" s="7" t="str">
        <f aca="false">IF(P1390="DUP","Exact duplicate row",IF(T1390=1,"Missing Order ID",IF(S1390="DROP","Duplicate Order ID (less complete row)",IF(U1390=1,"Missing Customer ID",IF(V1390=1,"Missing Restaurant name",IF(W1390=1,"Invalid/outlier quantity",IF(X1390=1,"Invalid/outlier unit price",IF(Y1390=1,"Discount greater than order value",""))))))))</f>
        <v/>
      </c>
      <c r="AC1390" s="7" t="str">
        <f aca="false">IF(AB1390="","KEEP","DROP")</f>
        <v>KEEP</v>
      </c>
      <c r="AD1390" s="7" t="str">
        <f aca="false">IF(TRIM(F1390)="",IFERROR(INDEX(Map_Tables!$I$4:$I$37,MATCH(TRIM(E1390),Map_Tables!$G$4:$G$37,0)),""),IFERROR(INDEX(Map_Tables!$B$4:$B$18,MATCH(TRIM(F1390),Map_Tables!$A$4:$A$18,0)),"CHECK"))</f>
        <v>Bengaluru</v>
      </c>
      <c r="AE1390" s="7" t="str">
        <f aca="false">IF(TRIM(E1390)="","",IFERROR(INDEX(Map_Tables!$H$4:$H$37,MATCH(TRIM(E1390),Map_Tables!$G$4:$G$37,0)),"CHECK"))</f>
        <v>Wok &amp; Roll</v>
      </c>
      <c r="AF1390" s="7" t="str">
        <f aca="false">IF(TRIM(K1390)="","Unknown",IFERROR(INDEX(Map_Tables!$E$4:$E$15,MATCH(TRIM(K1390),Map_Tables!$D$4:$D$15,0)),"CHECK"))</f>
        <v>UPI</v>
      </c>
      <c r="AG1390" s="7" t="str">
        <f aca="false">IF(LEFT(LOWER(TRIM(L1390)),6)="cancel","Cancelled","Delivered")</f>
        <v>Delivered</v>
      </c>
      <c r="AH1390" s="10" t="n">
        <f aca="false">IF(ISNUMBER(SEARCH("/",B1390)),DATE(VALUE(RIGHT(B1390,4)),VALUE(MID(B1390,4,2)),VALUE(LEFT(B1390,2))),IF(MID(B1390,5,1)="-",DATE(VALUE(LEFT(B1390,4)),VALUE(MID(B1390,6,2)),VALUE(RIGHT(B1390,2))),DATE(VALUE(RIGHT(B1390,4)),MATCH(MID(B1390,4,3),{"Jan","Feb","Mar","Apr","May","Jun","Jul","Aug","Sep","Oct","Nov","Dec"},0),VALUE(LEFT(B1390,2)))))</f>
        <v>45662</v>
      </c>
    </row>
    <row r="1391" customFormat="false" ht="15" hidden="false" customHeight="false" outlineLevel="0" collapsed="false">
      <c r="A1391" s="7" t="s">
        <v>3742</v>
      </c>
      <c r="B1391" s="7" t="s">
        <v>477</v>
      </c>
      <c r="C1391" s="7" t="s">
        <v>3743</v>
      </c>
      <c r="D1391" s="7" t="s">
        <v>3744</v>
      </c>
      <c r="E1391" s="7" t="s">
        <v>130</v>
      </c>
      <c r="F1391" s="7" t="s">
        <v>110</v>
      </c>
      <c r="G1391" s="7" t="s">
        <v>90</v>
      </c>
      <c r="H1391" s="7" t="n">
        <v>1</v>
      </c>
      <c r="I1391" s="7" t="n">
        <v>205</v>
      </c>
      <c r="J1391" s="7" t="n">
        <v>82</v>
      </c>
      <c r="K1391" s="7" t="s">
        <v>112</v>
      </c>
      <c r="L1391" s="7" t="s">
        <v>194</v>
      </c>
      <c r="M1391" s="7" t="n">
        <v>33</v>
      </c>
      <c r="N1391" s="7" t="n">
        <v>4</v>
      </c>
      <c r="O1391" s="7" t="str">
        <f aca="false">A1391&amp;"|"&amp;B1391&amp;"|"&amp;C1391&amp;"|"&amp;D1391&amp;"|"&amp;E1391&amp;"|"&amp;F1391&amp;"|"&amp;G1391&amp;"|"&amp;H1391&amp;"|"&amp;I1391&amp;"|"&amp;J1391&amp;"|"&amp;K1391&amp;"|"&amp;L1391&amp;"|"&amp;M1391&amp;"|"&amp;N1391</f>
        <v>ORD10831|2025-04-16|10:10|C0362|Tandoor Tales|Delhi|North Indian|1|205|82|Cash on Delivery|Delivered|33|4</v>
      </c>
      <c r="P1391" s="7" t="str">
        <f aca="false">IF(COUNTIF($O$2:O1391,O1391)&gt;1,"DUP","OK")</f>
        <v>OK</v>
      </c>
      <c r="Q1391" s="7" t="n">
        <f aca="false">COUNTBLANK(A1391:N1391)</f>
        <v>0</v>
      </c>
      <c r="R1391" s="7" t="n">
        <f aca="false">IF(A1391="",0,COUNTIFS($A$2:$A$3058,A1391,$P$2:$P$3058,"OK"))</f>
        <v>1</v>
      </c>
      <c r="S1391" s="7" t="str">
        <f aca="false">IF(OR(A1391="",P1391="DUP",R1391&lt;2),"",IF(Q1391=_xlfn.MINIFS($Q$2:$Q$3058,$A$2:$A$3058,A1391,$P$2:$P$3058,"OK"),"KEEP","DROP"))</f>
        <v/>
      </c>
      <c r="T1391" s="9" t="n">
        <f aca="false">IF(A1391="",1,0)</f>
        <v>0</v>
      </c>
      <c r="U1391" s="9" t="n">
        <f aca="false">IF(D1391="",1,0)</f>
        <v>0</v>
      </c>
      <c r="V1391" s="9" t="n">
        <f aca="false">IF(E1391="",1,0)</f>
        <v>0</v>
      </c>
      <c r="W1391" s="9" t="n">
        <f aca="false">IF(OR(H1391&lt;1,H1391&gt;10),1,0)</f>
        <v>0</v>
      </c>
      <c r="X1391" s="9" t="n">
        <f aca="false">IF(OR(I1391&lt;=0,I1391&gt;1500),1,0)</f>
        <v>0</v>
      </c>
      <c r="Y1391" s="9" t="n">
        <f aca="false">IF(J1391&gt;H1391*I1391,1,0)</f>
        <v>0</v>
      </c>
      <c r="Z1391" s="9" t="n">
        <f aca="false">IF(AND(N1391&lt;&gt;"",OR(N1391&lt;1,N1391&gt;5)),1,0)</f>
        <v>0</v>
      </c>
      <c r="AA1391" s="9" t="n">
        <f aca="false">IF(AND(M1391&lt;&gt;"",OR(M1391&lt;5,M1391&gt;180)),1,0)</f>
        <v>0</v>
      </c>
      <c r="AB1391" s="7" t="str">
        <f aca="false">IF(P1391="DUP","Exact duplicate row",IF(T1391=1,"Missing Order ID",IF(S1391="DROP","Duplicate Order ID (less complete row)",IF(U1391=1,"Missing Customer ID",IF(V1391=1,"Missing Restaurant name",IF(W1391=1,"Invalid/outlier quantity",IF(X1391=1,"Invalid/outlier unit price",IF(Y1391=1,"Discount greater than order value",""))))))))</f>
        <v/>
      </c>
      <c r="AC1391" s="7" t="str">
        <f aca="false">IF(AB1391="","KEEP","DROP")</f>
        <v>KEEP</v>
      </c>
      <c r="AD1391" s="7" t="str">
        <f aca="false">IF(TRIM(F1391)="",IFERROR(INDEX(Map_Tables!$I$4:$I$37,MATCH(TRIM(E1391),Map_Tables!$G$4:$G$37,0)),""),IFERROR(INDEX(Map_Tables!$B$4:$B$18,MATCH(TRIM(F1391),Map_Tables!$A$4:$A$18,0)),"CHECK"))</f>
        <v>Delhi</v>
      </c>
      <c r="AE1391" s="7" t="str">
        <f aca="false">IF(TRIM(E1391)="","",IFERROR(INDEX(Map_Tables!$H$4:$H$37,MATCH(TRIM(E1391),Map_Tables!$G$4:$G$37,0)),"CHECK"))</f>
        <v>Tandoor Tales</v>
      </c>
      <c r="AF1391" s="7" t="str">
        <f aca="false">IF(TRIM(K1391)="","Unknown",IFERROR(INDEX(Map_Tables!$E$4:$E$15,MATCH(TRIM(K1391),Map_Tables!$D$4:$D$15,0)),"CHECK"))</f>
        <v>Cash on Delivery</v>
      </c>
      <c r="AG1391" s="7" t="str">
        <f aca="false">IF(LEFT(LOWER(TRIM(L1391)),6)="cancel","Cancelled","Delivered")</f>
        <v>Delivered</v>
      </c>
      <c r="AH1391" s="10" t="n">
        <f aca="false">IF(ISNUMBER(SEARCH("/",B1391)),DATE(VALUE(RIGHT(B1391,4)),VALUE(MID(B1391,4,2)),VALUE(LEFT(B1391,2))),IF(MID(B1391,5,1)="-",DATE(VALUE(LEFT(B1391,4)),VALUE(MID(B1391,6,2)),VALUE(RIGHT(B1391,2))),DATE(VALUE(RIGHT(B1391,4)),MATCH(MID(B1391,4,3),{"Jan","Feb","Mar","Apr","May","Jun","Jul","Aug","Sep","Oct","Nov","Dec"},0),VALUE(LEFT(B1391,2)))))</f>
        <v>45763</v>
      </c>
    </row>
    <row r="1392" customFormat="false" ht="15" hidden="false" customHeight="false" outlineLevel="0" collapsed="false">
      <c r="A1392" s="7" t="s">
        <v>3745</v>
      </c>
      <c r="B1392" s="7" t="s">
        <v>1373</v>
      </c>
      <c r="C1392" s="7" t="s">
        <v>292</v>
      </c>
      <c r="D1392" s="7" t="s">
        <v>3746</v>
      </c>
      <c r="E1392" s="7" t="s">
        <v>142</v>
      </c>
      <c r="F1392" s="7" t="s">
        <v>109</v>
      </c>
      <c r="G1392" s="7" t="s">
        <v>105</v>
      </c>
      <c r="H1392" s="7" t="n">
        <v>1</v>
      </c>
      <c r="I1392" s="7" t="n">
        <v>120</v>
      </c>
      <c r="J1392" s="7" t="n">
        <v>0</v>
      </c>
      <c r="K1392" s="7" t="s">
        <v>133</v>
      </c>
      <c r="L1392" s="7" t="s">
        <v>194</v>
      </c>
      <c r="M1392" s="7" t="n">
        <v>33</v>
      </c>
      <c r="N1392" s="7" t="n">
        <v>5</v>
      </c>
      <c r="O1392" s="7" t="str">
        <f aca="false">A1392&amp;"|"&amp;B1392&amp;"|"&amp;C1392&amp;"|"&amp;D1392&amp;"|"&amp;E1392&amp;"|"&amp;F1392&amp;"|"&amp;G1392&amp;"|"&amp;H1392&amp;"|"&amp;I1392&amp;"|"&amp;J1392&amp;"|"&amp;K1392&amp;"|"&amp;L1392&amp;"|"&amp;M1392&amp;"|"&amp;N1392</f>
        <v>ORD11891|2025-09-03|18:02|C0698|Momo Magic|delhi|Chinese|1|120|0|Net Banking|Delivered|33|5</v>
      </c>
      <c r="P1392" s="7" t="str">
        <f aca="false">IF(COUNTIF($O$2:O1392,O1392)&gt;1,"DUP","OK")</f>
        <v>OK</v>
      </c>
      <c r="Q1392" s="7" t="n">
        <f aca="false">COUNTBLANK(A1392:N1392)</f>
        <v>0</v>
      </c>
      <c r="R1392" s="7" t="n">
        <f aca="false">IF(A1392="",0,COUNTIFS($A$2:$A$3058,A1392,$P$2:$P$3058,"OK"))</f>
        <v>1</v>
      </c>
      <c r="S1392" s="7" t="str">
        <f aca="false">IF(OR(A1392="",P1392="DUP",R1392&lt;2),"",IF(Q1392=_xlfn.MINIFS($Q$2:$Q$3058,$A$2:$A$3058,A1392,$P$2:$P$3058,"OK"),"KEEP","DROP"))</f>
        <v/>
      </c>
      <c r="T1392" s="9" t="n">
        <f aca="false">IF(A1392="",1,0)</f>
        <v>0</v>
      </c>
      <c r="U1392" s="9" t="n">
        <f aca="false">IF(D1392="",1,0)</f>
        <v>0</v>
      </c>
      <c r="V1392" s="9" t="n">
        <f aca="false">IF(E1392="",1,0)</f>
        <v>0</v>
      </c>
      <c r="W1392" s="9" t="n">
        <f aca="false">IF(OR(H1392&lt;1,H1392&gt;10),1,0)</f>
        <v>0</v>
      </c>
      <c r="X1392" s="9" t="n">
        <f aca="false">IF(OR(I1392&lt;=0,I1392&gt;1500),1,0)</f>
        <v>0</v>
      </c>
      <c r="Y1392" s="9" t="n">
        <f aca="false">IF(J1392&gt;H1392*I1392,1,0)</f>
        <v>0</v>
      </c>
      <c r="Z1392" s="9" t="n">
        <f aca="false">IF(AND(N1392&lt;&gt;"",OR(N1392&lt;1,N1392&gt;5)),1,0)</f>
        <v>0</v>
      </c>
      <c r="AA1392" s="9" t="n">
        <f aca="false">IF(AND(M1392&lt;&gt;"",OR(M1392&lt;5,M1392&gt;180)),1,0)</f>
        <v>0</v>
      </c>
      <c r="AB1392" s="7" t="str">
        <f aca="false">IF(P1392="DUP","Exact duplicate row",IF(T1392=1,"Missing Order ID",IF(S1392="DROP","Duplicate Order ID (less complete row)",IF(U1392=1,"Missing Customer ID",IF(V1392=1,"Missing Restaurant name",IF(W1392=1,"Invalid/outlier quantity",IF(X1392=1,"Invalid/outlier unit price",IF(Y1392=1,"Discount greater than order value",""))))))))</f>
        <v/>
      </c>
      <c r="AC1392" s="7" t="str">
        <f aca="false">IF(AB1392="","KEEP","DROP")</f>
        <v>KEEP</v>
      </c>
      <c r="AD1392" s="7" t="str">
        <f aca="false">IF(TRIM(F1392)="",IFERROR(INDEX(Map_Tables!$I$4:$I$37,MATCH(TRIM(E1392),Map_Tables!$G$4:$G$37,0)),""),IFERROR(INDEX(Map_Tables!$B$4:$B$18,MATCH(TRIM(F1392),Map_Tables!$A$4:$A$18,0)),"CHECK"))</f>
        <v>Delhi</v>
      </c>
      <c r="AE1392" s="7" t="str">
        <f aca="false">IF(TRIM(E1392)="","",IFERROR(INDEX(Map_Tables!$H$4:$H$37,MATCH(TRIM(E1392),Map_Tables!$G$4:$G$37,0)),"CHECK"))</f>
        <v>Momo Magic</v>
      </c>
      <c r="AF1392" s="7" t="str">
        <f aca="false">IF(TRIM(K1392)="","Unknown",IFERROR(INDEX(Map_Tables!$E$4:$E$15,MATCH(TRIM(K1392),Map_Tables!$D$4:$D$15,0)),"CHECK"))</f>
        <v>Net Banking</v>
      </c>
      <c r="AG1392" s="7" t="str">
        <f aca="false">IF(LEFT(LOWER(TRIM(L1392)),6)="cancel","Cancelled","Delivered")</f>
        <v>Delivered</v>
      </c>
      <c r="AH1392" s="10" t="n">
        <f aca="false">IF(ISNUMBER(SEARCH("/",B1392)),DATE(VALUE(RIGHT(B1392,4)),VALUE(MID(B1392,4,2)),VALUE(LEFT(B1392,2))),IF(MID(B1392,5,1)="-",DATE(VALUE(LEFT(B1392,4)),VALUE(MID(B1392,6,2)),VALUE(RIGHT(B1392,2))),DATE(VALUE(RIGHT(B1392,4)),MATCH(MID(B1392,4,3),{"Jan","Feb","Mar","Apr","May","Jun","Jul","Aug","Sep","Oct","Nov","Dec"},0),VALUE(LEFT(B1392,2)))))</f>
        <v>45903</v>
      </c>
    </row>
    <row r="1393" customFormat="false" ht="15" hidden="false" customHeight="false" outlineLevel="0" collapsed="false">
      <c r="A1393" s="7" t="s">
        <v>3747</v>
      </c>
      <c r="B1393" s="7" t="s">
        <v>330</v>
      </c>
      <c r="C1393" s="7" t="s">
        <v>2978</v>
      </c>
      <c r="D1393" s="7" t="s">
        <v>3748</v>
      </c>
      <c r="E1393" s="7" t="s">
        <v>126</v>
      </c>
      <c r="F1393" s="7" t="s">
        <v>101</v>
      </c>
      <c r="G1393" s="7" t="s">
        <v>105</v>
      </c>
      <c r="H1393" s="7" t="n">
        <v>2</v>
      </c>
      <c r="I1393" s="7" t="n">
        <v>205</v>
      </c>
      <c r="J1393" s="7" t="n">
        <v>0</v>
      </c>
      <c r="K1393" s="7" t="s">
        <v>88</v>
      </c>
      <c r="L1393" s="7" t="s">
        <v>194</v>
      </c>
      <c r="M1393" s="7" t="n">
        <v>41</v>
      </c>
      <c r="N1393" s="7"/>
      <c r="O1393" s="7" t="str">
        <f aca="false">A1393&amp;"|"&amp;B1393&amp;"|"&amp;C1393&amp;"|"&amp;D1393&amp;"|"&amp;E1393&amp;"|"&amp;F1393&amp;"|"&amp;G1393&amp;"|"&amp;H1393&amp;"|"&amp;I1393&amp;"|"&amp;J1393&amp;"|"&amp;K1393&amp;"|"&amp;L1393&amp;"|"&amp;M1393&amp;"|"&amp;N1393</f>
        <v>ORD12838|2025-12-13|17:45|C0441|Dragon Express|Mumbai|Chinese|2|205|0|UPI|Delivered|41|</v>
      </c>
      <c r="P1393" s="7" t="str">
        <f aca="false">IF(COUNTIF($O$2:O1393,O1393)&gt;1,"DUP","OK")</f>
        <v>OK</v>
      </c>
      <c r="Q1393" s="7" t="n">
        <f aca="false">COUNTBLANK(A1393:N1393)</f>
        <v>1</v>
      </c>
      <c r="R1393" s="7" t="n">
        <f aca="false">IF(A1393="",0,COUNTIFS($A$2:$A$3058,A1393,$P$2:$P$3058,"OK"))</f>
        <v>1</v>
      </c>
      <c r="S1393" s="7" t="str">
        <f aca="false">IF(OR(A1393="",P1393="DUP",R1393&lt;2),"",IF(Q1393=_xlfn.MINIFS($Q$2:$Q$3058,$A$2:$A$3058,A1393,$P$2:$P$3058,"OK"),"KEEP","DROP"))</f>
        <v/>
      </c>
      <c r="T1393" s="9" t="n">
        <f aca="false">IF(A1393="",1,0)</f>
        <v>0</v>
      </c>
      <c r="U1393" s="9" t="n">
        <f aca="false">IF(D1393="",1,0)</f>
        <v>0</v>
      </c>
      <c r="V1393" s="9" t="n">
        <f aca="false">IF(E1393="",1,0)</f>
        <v>0</v>
      </c>
      <c r="W1393" s="9" t="n">
        <f aca="false">IF(OR(H1393&lt;1,H1393&gt;10),1,0)</f>
        <v>0</v>
      </c>
      <c r="X1393" s="9" t="n">
        <f aca="false">IF(OR(I1393&lt;=0,I1393&gt;1500),1,0)</f>
        <v>0</v>
      </c>
      <c r="Y1393" s="9" t="n">
        <f aca="false">IF(J1393&gt;H1393*I1393,1,0)</f>
        <v>0</v>
      </c>
      <c r="Z1393" s="9" t="n">
        <f aca="false">IF(AND(N1393&lt;&gt;"",OR(N1393&lt;1,N1393&gt;5)),1,0)</f>
        <v>0</v>
      </c>
      <c r="AA1393" s="9" t="n">
        <f aca="false">IF(AND(M1393&lt;&gt;"",OR(M1393&lt;5,M1393&gt;180)),1,0)</f>
        <v>0</v>
      </c>
      <c r="AB1393" s="7" t="str">
        <f aca="false">IF(P1393="DUP","Exact duplicate row",IF(T1393=1,"Missing Order ID",IF(S1393="DROP","Duplicate Order ID (less complete row)",IF(U1393=1,"Missing Customer ID",IF(V1393=1,"Missing Restaurant name",IF(W1393=1,"Invalid/outlier quantity",IF(X1393=1,"Invalid/outlier unit price",IF(Y1393=1,"Discount greater than order value",""))))))))</f>
        <v/>
      </c>
      <c r="AC1393" s="7" t="str">
        <f aca="false">IF(AB1393="","KEEP","DROP")</f>
        <v>KEEP</v>
      </c>
      <c r="AD1393" s="7" t="str">
        <f aca="false">IF(TRIM(F1393)="",IFERROR(INDEX(Map_Tables!$I$4:$I$37,MATCH(TRIM(E1393),Map_Tables!$G$4:$G$37,0)),""),IFERROR(INDEX(Map_Tables!$B$4:$B$18,MATCH(TRIM(F1393),Map_Tables!$A$4:$A$18,0)),"CHECK"))</f>
        <v>Mumbai</v>
      </c>
      <c r="AE1393" s="7" t="str">
        <f aca="false">IF(TRIM(E1393)="","",IFERROR(INDEX(Map_Tables!$H$4:$H$37,MATCH(TRIM(E1393),Map_Tables!$G$4:$G$37,0)),"CHECK"))</f>
        <v>Dragon Express</v>
      </c>
      <c r="AF1393" s="7" t="str">
        <f aca="false">IF(TRIM(K1393)="","Unknown",IFERROR(INDEX(Map_Tables!$E$4:$E$15,MATCH(TRIM(K1393),Map_Tables!$D$4:$D$15,0)),"CHECK"))</f>
        <v>UPI</v>
      </c>
      <c r="AG1393" s="7" t="str">
        <f aca="false">IF(LEFT(LOWER(TRIM(L1393)),6)="cancel","Cancelled","Delivered")</f>
        <v>Delivered</v>
      </c>
      <c r="AH1393" s="10" t="n">
        <f aca="false">IF(ISNUMBER(SEARCH("/",B1393)),DATE(VALUE(RIGHT(B1393,4)),VALUE(MID(B1393,4,2)),VALUE(LEFT(B1393,2))),IF(MID(B1393,5,1)="-",DATE(VALUE(LEFT(B1393,4)),VALUE(MID(B1393,6,2)),VALUE(RIGHT(B1393,2))),DATE(VALUE(RIGHT(B1393,4)),MATCH(MID(B1393,4,3),{"Jan","Feb","Mar","Apr","May","Jun","Jul","Aug","Sep","Oct","Nov","Dec"},0),VALUE(LEFT(B1393,2)))))</f>
        <v>46004</v>
      </c>
    </row>
    <row r="1394" customFormat="false" ht="15" hidden="false" customHeight="false" outlineLevel="0" collapsed="false">
      <c r="A1394" s="7" t="s">
        <v>3749</v>
      </c>
      <c r="B1394" s="7" t="s">
        <v>3750</v>
      </c>
      <c r="C1394" s="7" t="s">
        <v>2083</v>
      </c>
      <c r="D1394" s="7" t="s">
        <v>3751</v>
      </c>
      <c r="E1394" s="7" t="s">
        <v>126</v>
      </c>
      <c r="F1394" s="7" t="s">
        <v>101</v>
      </c>
      <c r="G1394" s="7" t="s">
        <v>105</v>
      </c>
      <c r="H1394" s="7" t="n">
        <v>3</v>
      </c>
      <c r="I1394" s="7" t="n">
        <v>230</v>
      </c>
      <c r="J1394" s="7" t="n">
        <v>50</v>
      </c>
      <c r="K1394" s="7" t="s">
        <v>93</v>
      </c>
      <c r="L1394" s="7" t="s">
        <v>194</v>
      </c>
      <c r="M1394" s="7" t="n">
        <v>50</v>
      </c>
      <c r="N1394" s="7" t="n">
        <v>3</v>
      </c>
      <c r="O1394" s="7" t="str">
        <f aca="false">A1394&amp;"|"&amp;B1394&amp;"|"&amp;C1394&amp;"|"&amp;D1394&amp;"|"&amp;E1394&amp;"|"&amp;F1394&amp;"|"&amp;G1394&amp;"|"&amp;H1394&amp;"|"&amp;I1394&amp;"|"&amp;J1394&amp;"|"&amp;K1394&amp;"|"&amp;L1394&amp;"|"&amp;M1394&amp;"|"&amp;N1394</f>
        <v>ORD10348|15/02/2025|21:13|C0957|Dragon Express|Mumbai|Chinese|3|230|50|Credit Card|Delivered|50|3</v>
      </c>
      <c r="P1394" s="7" t="str">
        <f aca="false">IF(COUNTIF($O$2:O1394,O1394)&gt;1,"DUP","OK")</f>
        <v>OK</v>
      </c>
      <c r="Q1394" s="7" t="n">
        <f aca="false">COUNTBLANK(A1394:N1394)</f>
        <v>0</v>
      </c>
      <c r="R1394" s="7" t="n">
        <f aca="false">IF(A1394="",0,COUNTIFS($A$2:$A$3058,A1394,$P$2:$P$3058,"OK"))</f>
        <v>1</v>
      </c>
      <c r="S1394" s="7" t="str">
        <f aca="false">IF(OR(A1394="",P1394="DUP",R1394&lt;2),"",IF(Q1394=_xlfn.MINIFS($Q$2:$Q$3058,$A$2:$A$3058,A1394,$P$2:$P$3058,"OK"),"KEEP","DROP"))</f>
        <v/>
      </c>
      <c r="T1394" s="9" t="n">
        <f aca="false">IF(A1394="",1,0)</f>
        <v>0</v>
      </c>
      <c r="U1394" s="9" t="n">
        <f aca="false">IF(D1394="",1,0)</f>
        <v>0</v>
      </c>
      <c r="V1394" s="9" t="n">
        <f aca="false">IF(E1394="",1,0)</f>
        <v>0</v>
      </c>
      <c r="W1394" s="9" t="n">
        <f aca="false">IF(OR(H1394&lt;1,H1394&gt;10),1,0)</f>
        <v>0</v>
      </c>
      <c r="X1394" s="9" t="n">
        <f aca="false">IF(OR(I1394&lt;=0,I1394&gt;1500),1,0)</f>
        <v>0</v>
      </c>
      <c r="Y1394" s="9" t="n">
        <f aca="false">IF(J1394&gt;H1394*I1394,1,0)</f>
        <v>0</v>
      </c>
      <c r="Z1394" s="9" t="n">
        <f aca="false">IF(AND(N1394&lt;&gt;"",OR(N1394&lt;1,N1394&gt;5)),1,0)</f>
        <v>0</v>
      </c>
      <c r="AA1394" s="9" t="n">
        <f aca="false">IF(AND(M1394&lt;&gt;"",OR(M1394&lt;5,M1394&gt;180)),1,0)</f>
        <v>0</v>
      </c>
      <c r="AB1394" s="7" t="str">
        <f aca="false">IF(P1394="DUP","Exact duplicate row",IF(T1394=1,"Missing Order ID",IF(S1394="DROP","Duplicate Order ID (less complete row)",IF(U1394=1,"Missing Customer ID",IF(V1394=1,"Missing Restaurant name",IF(W1394=1,"Invalid/outlier quantity",IF(X1394=1,"Invalid/outlier unit price",IF(Y1394=1,"Discount greater than order value",""))))))))</f>
        <v/>
      </c>
      <c r="AC1394" s="7" t="str">
        <f aca="false">IF(AB1394="","KEEP","DROP")</f>
        <v>KEEP</v>
      </c>
      <c r="AD1394" s="7" t="str">
        <f aca="false">IF(TRIM(F1394)="",IFERROR(INDEX(Map_Tables!$I$4:$I$37,MATCH(TRIM(E1394),Map_Tables!$G$4:$G$37,0)),""),IFERROR(INDEX(Map_Tables!$B$4:$B$18,MATCH(TRIM(F1394),Map_Tables!$A$4:$A$18,0)),"CHECK"))</f>
        <v>Mumbai</v>
      </c>
      <c r="AE1394" s="7" t="str">
        <f aca="false">IF(TRIM(E1394)="","",IFERROR(INDEX(Map_Tables!$H$4:$H$37,MATCH(TRIM(E1394),Map_Tables!$G$4:$G$37,0)),"CHECK"))</f>
        <v>Dragon Express</v>
      </c>
      <c r="AF1394" s="7" t="str">
        <f aca="false">IF(TRIM(K1394)="","Unknown",IFERROR(INDEX(Map_Tables!$E$4:$E$15,MATCH(TRIM(K1394),Map_Tables!$D$4:$D$15,0)),"CHECK"))</f>
        <v>Credit Card</v>
      </c>
      <c r="AG1394" s="7" t="str">
        <f aca="false">IF(LEFT(LOWER(TRIM(L1394)),6)="cancel","Cancelled","Delivered")</f>
        <v>Delivered</v>
      </c>
      <c r="AH1394" s="10" t="n">
        <f aca="false">IF(ISNUMBER(SEARCH("/",B1394)),DATE(VALUE(RIGHT(B1394,4)),VALUE(MID(B1394,4,2)),VALUE(LEFT(B1394,2))),IF(MID(B1394,5,1)="-",DATE(VALUE(LEFT(B1394,4)),VALUE(MID(B1394,6,2)),VALUE(RIGHT(B1394,2))),DATE(VALUE(RIGHT(B1394,4)),MATCH(MID(B1394,4,3),{"Jan","Feb","Mar","Apr","May","Jun","Jul","Aug","Sep","Oct","Nov","Dec"},0),VALUE(LEFT(B1394,2)))))</f>
        <v>45703</v>
      </c>
    </row>
    <row r="1395" customFormat="false" ht="15" hidden="false" customHeight="false" outlineLevel="0" collapsed="false">
      <c r="A1395" s="7" t="s">
        <v>3752</v>
      </c>
      <c r="B1395" s="7" t="s">
        <v>3753</v>
      </c>
      <c r="C1395" s="7" t="s">
        <v>585</v>
      </c>
      <c r="D1395" s="7" t="s">
        <v>3473</v>
      </c>
      <c r="E1395" s="7" t="s">
        <v>147</v>
      </c>
      <c r="F1395" s="7" t="s">
        <v>118</v>
      </c>
      <c r="G1395" s="7" t="s">
        <v>95</v>
      </c>
      <c r="H1395" s="7" t="n">
        <v>1</v>
      </c>
      <c r="I1395" s="7" t="n">
        <v>155</v>
      </c>
      <c r="J1395" s="7" t="n">
        <v>40</v>
      </c>
      <c r="K1395" s="7" t="s">
        <v>103</v>
      </c>
      <c r="L1395" s="7" t="s">
        <v>194</v>
      </c>
      <c r="M1395" s="7" t="n">
        <v>27</v>
      </c>
      <c r="N1395" s="7" t="n">
        <v>5</v>
      </c>
      <c r="O1395" s="7" t="str">
        <f aca="false">A1395&amp;"|"&amp;B1395&amp;"|"&amp;C1395&amp;"|"&amp;D1395&amp;"|"&amp;E1395&amp;"|"&amp;F1395&amp;"|"&amp;G1395&amp;"|"&amp;H1395&amp;"|"&amp;I1395&amp;"|"&amp;J1395&amp;"|"&amp;K1395&amp;"|"&amp;L1395&amp;"|"&amp;M1395&amp;"|"&amp;N1395</f>
        <v>ORD10168|2025-01-22|21:34|C0749|Andhra Meals Mess|hyderabad|South Indian|1|155|40|Debit Card|Delivered|27|5</v>
      </c>
      <c r="P1395" s="7" t="str">
        <f aca="false">IF(COUNTIF($O$2:O1395,O1395)&gt;1,"DUP","OK")</f>
        <v>OK</v>
      </c>
      <c r="Q1395" s="7" t="n">
        <f aca="false">COUNTBLANK(A1395:N1395)</f>
        <v>0</v>
      </c>
      <c r="R1395" s="7" t="n">
        <f aca="false">IF(A1395="",0,COUNTIFS($A$2:$A$3058,A1395,$P$2:$P$3058,"OK"))</f>
        <v>1</v>
      </c>
      <c r="S1395" s="7" t="str">
        <f aca="false">IF(OR(A1395="",P1395="DUP",R1395&lt;2),"",IF(Q1395=_xlfn.MINIFS($Q$2:$Q$3058,$A$2:$A$3058,A1395,$P$2:$P$3058,"OK"),"KEEP","DROP"))</f>
        <v/>
      </c>
      <c r="T1395" s="9" t="n">
        <f aca="false">IF(A1395="",1,0)</f>
        <v>0</v>
      </c>
      <c r="U1395" s="9" t="n">
        <f aca="false">IF(D1395="",1,0)</f>
        <v>0</v>
      </c>
      <c r="V1395" s="9" t="n">
        <f aca="false">IF(E1395="",1,0)</f>
        <v>0</v>
      </c>
      <c r="W1395" s="9" t="n">
        <f aca="false">IF(OR(H1395&lt;1,H1395&gt;10),1,0)</f>
        <v>0</v>
      </c>
      <c r="X1395" s="9" t="n">
        <f aca="false">IF(OR(I1395&lt;=0,I1395&gt;1500),1,0)</f>
        <v>0</v>
      </c>
      <c r="Y1395" s="9" t="n">
        <f aca="false">IF(J1395&gt;H1395*I1395,1,0)</f>
        <v>0</v>
      </c>
      <c r="Z1395" s="9" t="n">
        <f aca="false">IF(AND(N1395&lt;&gt;"",OR(N1395&lt;1,N1395&gt;5)),1,0)</f>
        <v>0</v>
      </c>
      <c r="AA1395" s="9" t="n">
        <f aca="false">IF(AND(M1395&lt;&gt;"",OR(M1395&lt;5,M1395&gt;180)),1,0)</f>
        <v>0</v>
      </c>
      <c r="AB1395" s="7" t="str">
        <f aca="false">IF(P1395="DUP","Exact duplicate row",IF(T1395=1,"Missing Order ID",IF(S1395="DROP","Duplicate Order ID (less complete row)",IF(U1395=1,"Missing Customer ID",IF(V1395=1,"Missing Restaurant name",IF(W1395=1,"Invalid/outlier quantity",IF(X1395=1,"Invalid/outlier unit price",IF(Y1395=1,"Discount greater than order value",""))))))))</f>
        <v/>
      </c>
      <c r="AC1395" s="7" t="str">
        <f aca="false">IF(AB1395="","KEEP","DROP")</f>
        <v>KEEP</v>
      </c>
      <c r="AD1395" s="7" t="str">
        <f aca="false">IF(TRIM(F1395)="",IFERROR(INDEX(Map_Tables!$I$4:$I$37,MATCH(TRIM(E1395),Map_Tables!$G$4:$G$37,0)),""),IFERROR(INDEX(Map_Tables!$B$4:$B$18,MATCH(TRIM(F1395),Map_Tables!$A$4:$A$18,0)),"CHECK"))</f>
        <v>Hyderabad</v>
      </c>
      <c r="AE1395" s="7" t="str">
        <f aca="false">IF(TRIM(E1395)="","",IFERROR(INDEX(Map_Tables!$H$4:$H$37,MATCH(TRIM(E1395),Map_Tables!$G$4:$G$37,0)),"CHECK"))</f>
        <v>Andhra Meals Mess</v>
      </c>
      <c r="AF1395" s="7" t="str">
        <f aca="false">IF(TRIM(K1395)="","Unknown",IFERROR(INDEX(Map_Tables!$E$4:$E$15,MATCH(TRIM(K1395),Map_Tables!$D$4:$D$15,0)),"CHECK"))</f>
        <v>Debit Card</v>
      </c>
      <c r="AG1395" s="7" t="str">
        <f aca="false">IF(LEFT(LOWER(TRIM(L1395)),6)="cancel","Cancelled","Delivered")</f>
        <v>Delivered</v>
      </c>
      <c r="AH1395" s="10" t="n">
        <f aca="false">IF(ISNUMBER(SEARCH("/",B1395)),DATE(VALUE(RIGHT(B1395,4)),VALUE(MID(B1395,4,2)),VALUE(LEFT(B1395,2))),IF(MID(B1395,5,1)="-",DATE(VALUE(LEFT(B1395,4)),VALUE(MID(B1395,6,2)),VALUE(RIGHT(B1395,2))),DATE(VALUE(RIGHT(B1395,4)),MATCH(MID(B1395,4,3),{"Jan","Feb","Mar","Apr","May","Jun","Jul","Aug","Sep","Oct","Nov","Dec"},0),VALUE(LEFT(B1395,2)))))</f>
        <v>45679</v>
      </c>
    </row>
    <row r="1396" customFormat="false" ht="15" hidden="false" customHeight="false" outlineLevel="0" collapsed="false">
      <c r="A1396" s="7" t="s">
        <v>3754</v>
      </c>
      <c r="B1396" s="7" t="s">
        <v>3298</v>
      </c>
      <c r="C1396" s="7" t="s">
        <v>2048</v>
      </c>
      <c r="D1396" s="7" t="s">
        <v>2503</v>
      </c>
      <c r="E1396" s="7" t="s">
        <v>130</v>
      </c>
      <c r="F1396" s="7" t="s">
        <v>110</v>
      </c>
      <c r="G1396" s="7" t="s">
        <v>90</v>
      </c>
      <c r="H1396" s="7" t="n">
        <v>1</v>
      </c>
      <c r="I1396" s="7" t="n">
        <v>275</v>
      </c>
      <c r="J1396" s="7" t="n">
        <v>20</v>
      </c>
      <c r="K1396" s="7" t="s">
        <v>112</v>
      </c>
      <c r="L1396" s="7" t="s">
        <v>194</v>
      </c>
      <c r="M1396" s="7" t="n">
        <v>52</v>
      </c>
      <c r="N1396" s="7" t="n">
        <v>4</v>
      </c>
      <c r="O1396" s="7" t="str">
        <f aca="false">A1396&amp;"|"&amp;B1396&amp;"|"&amp;C1396&amp;"|"&amp;D1396&amp;"|"&amp;E1396&amp;"|"&amp;F1396&amp;"|"&amp;G1396&amp;"|"&amp;H1396&amp;"|"&amp;I1396&amp;"|"&amp;J1396&amp;"|"&amp;K1396&amp;"|"&amp;L1396&amp;"|"&amp;M1396&amp;"|"&amp;N1396</f>
        <v>ORD12636|22/11/2025|12:58|C0807|Tandoor Tales|Delhi|North Indian|1|275|20|Cash on Delivery|Delivered|52|4</v>
      </c>
      <c r="P1396" s="7" t="str">
        <f aca="false">IF(COUNTIF($O$2:O1396,O1396)&gt;1,"DUP","OK")</f>
        <v>OK</v>
      </c>
      <c r="Q1396" s="7" t="n">
        <f aca="false">COUNTBLANK(A1396:N1396)</f>
        <v>0</v>
      </c>
      <c r="R1396" s="7" t="n">
        <f aca="false">IF(A1396="",0,COUNTIFS($A$2:$A$3058,A1396,$P$2:$P$3058,"OK"))</f>
        <v>1</v>
      </c>
      <c r="S1396" s="7" t="str">
        <f aca="false">IF(OR(A1396="",P1396="DUP",R1396&lt;2),"",IF(Q1396=_xlfn.MINIFS($Q$2:$Q$3058,$A$2:$A$3058,A1396,$P$2:$P$3058,"OK"),"KEEP","DROP"))</f>
        <v/>
      </c>
      <c r="T1396" s="9" t="n">
        <f aca="false">IF(A1396="",1,0)</f>
        <v>0</v>
      </c>
      <c r="U1396" s="9" t="n">
        <f aca="false">IF(D1396="",1,0)</f>
        <v>0</v>
      </c>
      <c r="V1396" s="9" t="n">
        <f aca="false">IF(E1396="",1,0)</f>
        <v>0</v>
      </c>
      <c r="W1396" s="9" t="n">
        <f aca="false">IF(OR(H1396&lt;1,H1396&gt;10),1,0)</f>
        <v>0</v>
      </c>
      <c r="X1396" s="9" t="n">
        <f aca="false">IF(OR(I1396&lt;=0,I1396&gt;1500),1,0)</f>
        <v>0</v>
      </c>
      <c r="Y1396" s="9" t="n">
        <f aca="false">IF(J1396&gt;H1396*I1396,1,0)</f>
        <v>0</v>
      </c>
      <c r="Z1396" s="9" t="n">
        <f aca="false">IF(AND(N1396&lt;&gt;"",OR(N1396&lt;1,N1396&gt;5)),1,0)</f>
        <v>0</v>
      </c>
      <c r="AA1396" s="9" t="n">
        <f aca="false">IF(AND(M1396&lt;&gt;"",OR(M1396&lt;5,M1396&gt;180)),1,0)</f>
        <v>0</v>
      </c>
      <c r="AB1396" s="7" t="str">
        <f aca="false">IF(P1396="DUP","Exact duplicate row",IF(T1396=1,"Missing Order ID",IF(S1396="DROP","Duplicate Order ID (less complete row)",IF(U1396=1,"Missing Customer ID",IF(V1396=1,"Missing Restaurant name",IF(W1396=1,"Invalid/outlier quantity",IF(X1396=1,"Invalid/outlier unit price",IF(Y1396=1,"Discount greater than order value",""))))))))</f>
        <v/>
      </c>
      <c r="AC1396" s="7" t="str">
        <f aca="false">IF(AB1396="","KEEP","DROP")</f>
        <v>KEEP</v>
      </c>
      <c r="AD1396" s="7" t="str">
        <f aca="false">IF(TRIM(F1396)="",IFERROR(INDEX(Map_Tables!$I$4:$I$37,MATCH(TRIM(E1396),Map_Tables!$G$4:$G$37,0)),""),IFERROR(INDEX(Map_Tables!$B$4:$B$18,MATCH(TRIM(F1396),Map_Tables!$A$4:$A$18,0)),"CHECK"))</f>
        <v>Delhi</v>
      </c>
      <c r="AE1396" s="7" t="str">
        <f aca="false">IF(TRIM(E1396)="","",IFERROR(INDEX(Map_Tables!$H$4:$H$37,MATCH(TRIM(E1396),Map_Tables!$G$4:$G$37,0)),"CHECK"))</f>
        <v>Tandoor Tales</v>
      </c>
      <c r="AF1396" s="7" t="str">
        <f aca="false">IF(TRIM(K1396)="","Unknown",IFERROR(INDEX(Map_Tables!$E$4:$E$15,MATCH(TRIM(K1396),Map_Tables!$D$4:$D$15,0)),"CHECK"))</f>
        <v>Cash on Delivery</v>
      </c>
      <c r="AG1396" s="7" t="str">
        <f aca="false">IF(LEFT(LOWER(TRIM(L1396)),6)="cancel","Cancelled","Delivered")</f>
        <v>Delivered</v>
      </c>
      <c r="AH1396" s="10" t="n">
        <f aca="false">IF(ISNUMBER(SEARCH("/",B1396)),DATE(VALUE(RIGHT(B1396,4)),VALUE(MID(B1396,4,2)),VALUE(LEFT(B1396,2))),IF(MID(B1396,5,1)="-",DATE(VALUE(LEFT(B1396,4)),VALUE(MID(B1396,6,2)),VALUE(RIGHT(B1396,2))),DATE(VALUE(RIGHT(B1396,4)),MATCH(MID(B1396,4,3),{"Jan","Feb","Mar","Apr","May","Jun","Jul","Aug","Sep","Oct","Nov","Dec"},0),VALUE(LEFT(B1396,2)))))</f>
        <v>45983</v>
      </c>
    </row>
    <row r="1397" customFormat="false" ht="15" hidden="false" customHeight="false" outlineLevel="0" collapsed="false">
      <c r="A1397" s="7" t="s">
        <v>3755</v>
      </c>
      <c r="B1397" s="7" t="s">
        <v>2348</v>
      </c>
      <c r="C1397" s="7" t="s">
        <v>2369</v>
      </c>
      <c r="D1397" s="7" t="s">
        <v>1508</v>
      </c>
      <c r="E1397" s="7" t="s">
        <v>161</v>
      </c>
      <c r="F1397" s="7" t="s">
        <v>141</v>
      </c>
      <c r="G1397" s="7" t="s">
        <v>117</v>
      </c>
      <c r="H1397" s="7" t="n">
        <v>0</v>
      </c>
      <c r="I1397" s="7" t="n">
        <v>125</v>
      </c>
      <c r="J1397" s="7" t="n">
        <v>50</v>
      </c>
      <c r="K1397" s="7" t="s">
        <v>121</v>
      </c>
      <c r="L1397" s="7" t="s">
        <v>194</v>
      </c>
      <c r="M1397" s="7" t="n">
        <v>39</v>
      </c>
      <c r="N1397" s="7" t="n">
        <v>5</v>
      </c>
      <c r="O1397" s="7" t="str">
        <f aca="false">A1397&amp;"|"&amp;B1397&amp;"|"&amp;C1397&amp;"|"&amp;D1397&amp;"|"&amp;E1397&amp;"|"&amp;F1397&amp;"|"&amp;G1397&amp;"|"&amp;H1397&amp;"|"&amp;I1397&amp;"|"&amp;J1397&amp;"|"&amp;K1397&amp;"|"&amp;L1397&amp;"|"&amp;M1397&amp;"|"&amp;N1397</f>
        <v>ORD10117|2025-01-15|21:38|C0337|Bengal Bites|Kolkata|Street Food|0|125|50|Wallet|Delivered|39|5</v>
      </c>
      <c r="P1397" s="7" t="str">
        <f aca="false">IF(COUNTIF($O$2:O1397,O1397)&gt;1,"DUP","OK")</f>
        <v>OK</v>
      </c>
      <c r="Q1397" s="7" t="n">
        <f aca="false">COUNTBLANK(A1397:N1397)</f>
        <v>0</v>
      </c>
      <c r="R1397" s="7" t="n">
        <f aca="false">IF(A1397="",0,COUNTIFS($A$2:$A$3058,A1397,$P$2:$P$3058,"OK"))</f>
        <v>1</v>
      </c>
      <c r="S1397" s="7" t="str">
        <f aca="false">IF(OR(A1397="",P1397="DUP",R1397&lt;2),"",IF(Q1397=_xlfn.MINIFS($Q$2:$Q$3058,$A$2:$A$3058,A1397,$P$2:$P$3058,"OK"),"KEEP","DROP"))</f>
        <v/>
      </c>
      <c r="T1397" s="9" t="n">
        <f aca="false">IF(A1397="",1,0)</f>
        <v>0</v>
      </c>
      <c r="U1397" s="9" t="n">
        <f aca="false">IF(D1397="",1,0)</f>
        <v>0</v>
      </c>
      <c r="V1397" s="9" t="n">
        <f aca="false">IF(E1397="",1,0)</f>
        <v>0</v>
      </c>
      <c r="W1397" s="9" t="n">
        <f aca="false">IF(OR(H1397&lt;1,H1397&gt;10),1,0)</f>
        <v>1</v>
      </c>
      <c r="X1397" s="9" t="n">
        <f aca="false">IF(OR(I1397&lt;=0,I1397&gt;1500),1,0)</f>
        <v>0</v>
      </c>
      <c r="Y1397" s="9" t="n">
        <f aca="false">IF(J1397&gt;H1397*I1397,1,0)</f>
        <v>1</v>
      </c>
      <c r="Z1397" s="9" t="n">
        <f aca="false">IF(AND(N1397&lt;&gt;"",OR(N1397&lt;1,N1397&gt;5)),1,0)</f>
        <v>0</v>
      </c>
      <c r="AA1397" s="9" t="n">
        <f aca="false">IF(AND(M1397&lt;&gt;"",OR(M1397&lt;5,M1397&gt;180)),1,0)</f>
        <v>0</v>
      </c>
      <c r="AB1397" s="7" t="str">
        <f aca="false">IF(P1397="DUP","Exact duplicate row",IF(T1397=1,"Missing Order ID",IF(S1397="DROP","Duplicate Order ID (less complete row)",IF(U1397=1,"Missing Customer ID",IF(V1397=1,"Missing Restaurant name",IF(W1397=1,"Invalid/outlier quantity",IF(X1397=1,"Invalid/outlier unit price",IF(Y1397=1,"Discount greater than order value",""))))))))</f>
        <v>Invalid/outlier quantity</v>
      </c>
      <c r="AC1397" s="7" t="str">
        <f aca="false">IF(AB1397="","KEEP","DROP")</f>
        <v>DROP</v>
      </c>
      <c r="AD1397" s="7" t="str">
        <f aca="false">IF(TRIM(F1397)="",IFERROR(INDEX(Map_Tables!$I$4:$I$37,MATCH(TRIM(E1397),Map_Tables!$G$4:$G$37,0)),""),IFERROR(INDEX(Map_Tables!$B$4:$B$18,MATCH(TRIM(F1397),Map_Tables!$A$4:$A$18,0)),"CHECK"))</f>
        <v>Kolkata</v>
      </c>
      <c r="AE1397" s="7" t="str">
        <f aca="false">IF(TRIM(E1397)="","",IFERROR(INDEX(Map_Tables!$H$4:$H$37,MATCH(TRIM(E1397),Map_Tables!$G$4:$G$37,0)),"CHECK"))</f>
        <v>Bengal Bites</v>
      </c>
      <c r="AF1397" s="7" t="str">
        <f aca="false">IF(TRIM(K1397)="","Unknown",IFERROR(INDEX(Map_Tables!$E$4:$E$15,MATCH(TRIM(K1397),Map_Tables!$D$4:$D$15,0)),"CHECK"))</f>
        <v>Wallet</v>
      </c>
      <c r="AG1397" s="7" t="str">
        <f aca="false">IF(LEFT(LOWER(TRIM(L1397)),6)="cancel","Cancelled","Delivered")</f>
        <v>Delivered</v>
      </c>
      <c r="AH1397" s="10" t="n">
        <f aca="false">IF(ISNUMBER(SEARCH("/",B1397)),DATE(VALUE(RIGHT(B1397,4)),VALUE(MID(B1397,4,2)),VALUE(LEFT(B1397,2))),IF(MID(B1397,5,1)="-",DATE(VALUE(LEFT(B1397,4)),VALUE(MID(B1397,6,2)),VALUE(RIGHT(B1397,2))),DATE(VALUE(RIGHT(B1397,4)),MATCH(MID(B1397,4,3),{"Jan","Feb","Mar","Apr","May","Jun","Jul","Aug","Sep","Oct","Nov","Dec"},0),VALUE(LEFT(B1397,2)))))</f>
        <v>45672</v>
      </c>
    </row>
    <row r="1398" customFormat="false" ht="15" hidden="false" customHeight="false" outlineLevel="0" collapsed="false">
      <c r="A1398" s="7" t="s">
        <v>3756</v>
      </c>
      <c r="B1398" s="7" t="s">
        <v>3757</v>
      </c>
      <c r="C1398" s="7" t="s">
        <v>3758</v>
      </c>
      <c r="D1398" s="7" t="s">
        <v>3759</v>
      </c>
      <c r="E1398" s="7" t="s">
        <v>149</v>
      </c>
      <c r="F1398" s="7" t="s">
        <v>119</v>
      </c>
      <c r="G1398" s="7" t="s">
        <v>150</v>
      </c>
      <c r="H1398" s="7" t="n">
        <v>3</v>
      </c>
      <c r="I1398" s="7" t="n">
        <v>175</v>
      </c>
      <c r="J1398" s="7" t="n">
        <v>75</v>
      </c>
      <c r="K1398" s="7" t="s">
        <v>88</v>
      </c>
      <c r="L1398" s="7" t="s">
        <v>194</v>
      </c>
      <c r="M1398" s="7" t="n">
        <v>45</v>
      </c>
      <c r="N1398" s="7" t="n">
        <v>2</v>
      </c>
      <c r="O1398" s="7" t="str">
        <f aca="false">A1398&amp;"|"&amp;B1398&amp;"|"&amp;C1398&amp;"|"&amp;D1398&amp;"|"&amp;E1398&amp;"|"&amp;F1398&amp;"|"&amp;G1398&amp;"|"&amp;H1398&amp;"|"&amp;I1398&amp;"|"&amp;J1398&amp;"|"&amp;K1398&amp;"|"&amp;L1398&amp;"|"&amp;M1398&amp;"|"&amp;N1398</f>
        <v>ORD10531|10/03/2025|10:13|C0712|Sweet Tooth Studio|Hyderabad|Desserts|3|175|75|UPI|Delivered|45|2</v>
      </c>
      <c r="P1398" s="7" t="str">
        <f aca="false">IF(COUNTIF($O$2:O1398,O1398)&gt;1,"DUP","OK")</f>
        <v>OK</v>
      </c>
      <c r="Q1398" s="7" t="n">
        <f aca="false">COUNTBLANK(A1398:N1398)</f>
        <v>0</v>
      </c>
      <c r="R1398" s="7" t="n">
        <f aca="false">IF(A1398="",0,COUNTIFS($A$2:$A$3058,A1398,$P$2:$P$3058,"OK"))</f>
        <v>1</v>
      </c>
      <c r="S1398" s="7" t="str">
        <f aca="false">IF(OR(A1398="",P1398="DUP",R1398&lt;2),"",IF(Q1398=_xlfn.MINIFS($Q$2:$Q$3058,$A$2:$A$3058,A1398,$P$2:$P$3058,"OK"),"KEEP","DROP"))</f>
        <v/>
      </c>
      <c r="T1398" s="9" t="n">
        <f aca="false">IF(A1398="",1,0)</f>
        <v>0</v>
      </c>
      <c r="U1398" s="9" t="n">
        <f aca="false">IF(D1398="",1,0)</f>
        <v>0</v>
      </c>
      <c r="V1398" s="9" t="n">
        <f aca="false">IF(E1398="",1,0)</f>
        <v>0</v>
      </c>
      <c r="W1398" s="9" t="n">
        <f aca="false">IF(OR(H1398&lt;1,H1398&gt;10),1,0)</f>
        <v>0</v>
      </c>
      <c r="X1398" s="9" t="n">
        <f aca="false">IF(OR(I1398&lt;=0,I1398&gt;1500),1,0)</f>
        <v>0</v>
      </c>
      <c r="Y1398" s="9" t="n">
        <f aca="false">IF(J1398&gt;H1398*I1398,1,0)</f>
        <v>0</v>
      </c>
      <c r="Z1398" s="9" t="n">
        <f aca="false">IF(AND(N1398&lt;&gt;"",OR(N1398&lt;1,N1398&gt;5)),1,0)</f>
        <v>0</v>
      </c>
      <c r="AA1398" s="9" t="n">
        <f aca="false">IF(AND(M1398&lt;&gt;"",OR(M1398&lt;5,M1398&gt;180)),1,0)</f>
        <v>0</v>
      </c>
      <c r="AB1398" s="7" t="str">
        <f aca="false">IF(P1398="DUP","Exact duplicate row",IF(T1398=1,"Missing Order ID",IF(S1398="DROP","Duplicate Order ID (less complete row)",IF(U1398=1,"Missing Customer ID",IF(V1398=1,"Missing Restaurant name",IF(W1398=1,"Invalid/outlier quantity",IF(X1398=1,"Invalid/outlier unit price",IF(Y1398=1,"Discount greater than order value",""))))))))</f>
        <v/>
      </c>
      <c r="AC1398" s="7" t="str">
        <f aca="false">IF(AB1398="","KEEP","DROP")</f>
        <v>KEEP</v>
      </c>
      <c r="AD1398" s="7" t="str">
        <f aca="false">IF(TRIM(F1398)="",IFERROR(INDEX(Map_Tables!$I$4:$I$37,MATCH(TRIM(E1398),Map_Tables!$G$4:$G$37,0)),""),IFERROR(INDEX(Map_Tables!$B$4:$B$18,MATCH(TRIM(F1398),Map_Tables!$A$4:$A$18,0)),"CHECK"))</f>
        <v>Hyderabad</v>
      </c>
      <c r="AE1398" s="7" t="str">
        <f aca="false">IF(TRIM(E1398)="","",IFERROR(INDEX(Map_Tables!$H$4:$H$37,MATCH(TRIM(E1398),Map_Tables!$G$4:$G$37,0)),"CHECK"))</f>
        <v>Sweet Tooth Studio</v>
      </c>
      <c r="AF1398" s="7" t="str">
        <f aca="false">IF(TRIM(K1398)="","Unknown",IFERROR(INDEX(Map_Tables!$E$4:$E$15,MATCH(TRIM(K1398),Map_Tables!$D$4:$D$15,0)),"CHECK"))</f>
        <v>UPI</v>
      </c>
      <c r="AG1398" s="7" t="str">
        <f aca="false">IF(LEFT(LOWER(TRIM(L1398)),6)="cancel","Cancelled","Delivered")</f>
        <v>Delivered</v>
      </c>
      <c r="AH1398" s="10" t="n">
        <f aca="false">IF(ISNUMBER(SEARCH("/",B1398)),DATE(VALUE(RIGHT(B1398,4)),VALUE(MID(B1398,4,2)),VALUE(LEFT(B1398,2))),IF(MID(B1398,5,1)="-",DATE(VALUE(LEFT(B1398,4)),VALUE(MID(B1398,6,2)),VALUE(RIGHT(B1398,2))),DATE(VALUE(RIGHT(B1398,4)),MATCH(MID(B1398,4,3),{"Jan","Feb","Mar","Apr","May","Jun","Jul","Aug","Sep","Oct","Nov","Dec"},0),VALUE(LEFT(B1398,2)))))</f>
        <v>45726</v>
      </c>
    </row>
    <row r="1399" customFormat="false" ht="15" hidden="false" customHeight="false" outlineLevel="0" collapsed="false">
      <c r="A1399" s="7" t="s">
        <v>3760</v>
      </c>
      <c r="B1399" s="7" t="s">
        <v>1670</v>
      </c>
      <c r="C1399" s="7" t="s">
        <v>634</v>
      </c>
      <c r="D1399" s="7" t="s">
        <v>3761</v>
      </c>
      <c r="E1399" s="7" t="s">
        <v>148</v>
      </c>
      <c r="F1399" s="7" t="s">
        <v>119</v>
      </c>
      <c r="G1399" s="7" t="s">
        <v>123</v>
      </c>
      <c r="H1399" s="7" t="n">
        <v>4</v>
      </c>
      <c r="I1399" s="7" t="n">
        <v>350</v>
      </c>
      <c r="J1399" s="7" t="n">
        <v>30</v>
      </c>
      <c r="K1399" s="7" t="s">
        <v>421</v>
      </c>
      <c r="L1399" s="7" t="s">
        <v>194</v>
      </c>
      <c r="M1399" s="7" t="n">
        <v>26</v>
      </c>
      <c r="N1399" s="7" t="n">
        <v>5</v>
      </c>
      <c r="O1399" s="7" t="str">
        <f aca="false">A1399&amp;"|"&amp;B1399&amp;"|"&amp;C1399&amp;"|"&amp;D1399&amp;"|"&amp;E1399&amp;"|"&amp;F1399&amp;"|"&amp;G1399&amp;"|"&amp;H1399&amp;"|"&amp;I1399&amp;"|"&amp;J1399&amp;"|"&amp;K1399&amp;"|"&amp;L1399&amp;"|"&amp;M1399&amp;"|"&amp;N1399</f>
        <v>ORD11721|2025-08-14|12:59|C0448|Pizza Palace|Hyderabad|Pizza|4|350|30|UPI |Delivered|26|5</v>
      </c>
      <c r="P1399" s="7" t="str">
        <f aca="false">IF(COUNTIF($O$2:O1399,O1399)&gt;1,"DUP","OK")</f>
        <v>OK</v>
      </c>
      <c r="Q1399" s="7" t="n">
        <f aca="false">COUNTBLANK(A1399:N1399)</f>
        <v>0</v>
      </c>
      <c r="R1399" s="7" t="n">
        <f aca="false">IF(A1399="",0,COUNTIFS($A$2:$A$3058,A1399,$P$2:$P$3058,"OK"))</f>
        <v>1</v>
      </c>
      <c r="S1399" s="7" t="str">
        <f aca="false">IF(OR(A1399="",P1399="DUP",R1399&lt;2),"",IF(Q1399=_xlfn.MINIFS($Q$2:$Q$3058,$A$2:$A$3058,A1399,$P$2:$P$3058,"OK"),"KEEP","DROP"))</f>
        <v/>
      </c>
      <c r="T1399" s="9" t="n">
        <f aca="false">IF(A1399="",1,0)</f>
        <v>0</v>
      </c>
      <c r="U1399" s="9" t="n">
        <f aca="false">IF(D1399="",1,0)</f>
        <v>0</v>
      </c>
      <c r="V1399" s="9" t="n">
        <f aca="false">IF(E1399="",1,0)</f>
        <v>0</v>
      </c>
      <c r="W1399" s="9" t="n">
        <f aca="false">IF(OR(H1399&lt;1,H1399&gt;10),1,0)</f>
        <v>0</v>
      </c>
      <c r="X1399" s="9" t="n">
        <f aca="false">IF(OR(I1399&lt;=0,I1399&gt;1500),1,0)</f>
        <v>0</v>
      </c>
      <c r="Y1399" s="9" t="n">
        <f aca="false">IF(J1399&gt;H1399*I1399,1,0)</f>
        <v>0</v>
      </c>
      <c r="Z1399" s="9" t="n">
        <f aca="false">IF(AND(N1399&lt;&gt;"",OR(N1399&lt;1,N1399&gt;5)),1,0)</f>
        <v>0</v>
      </c>
      <c r="AA1399" s="9" t="n">
        <f aca="false">IF(AND(M1399&lt;&gt;"",OR(M1399&lt;5,M1399&gt;180)),1,0)</f>
        <v>0</v>
      </c>
      <c r="AB1399" s="7" t="str">
        <f aca="false">IF(P1399="DUP","Exact duplicate row",IF(T1399=1,"Missing Order ID",IF(S1399="DROP","Duplicate Order ID (less complete row)",IF(U1399=1,"Missing Customer ID",IF(V1399=1,"Missing Restaurant name",IF(W1399=1,"Invalid/outlier quantity",IF(X1399=1,"Invalid/outlier unit price",IF(Y1399=1,"Discount greater than order value",""))))))))</f>
        <v/>
      </c>
      <c r="AC1399" s="7" t="str">
        <f aca="false">IF(AB1399="","KEEP","DROP")</f>
        <v>KEEP</v>
      </c>
      <c r="AD1399" s="7" t="str">
        <f aca="false">IF(TRIM(F1399)="",IFERROR(INDEX(Map_Tables!$I$4:$I$37,MATCH(TRIM(E1399),Map_Tables!$G$4:$G$37,0)),""),IFERROR(INDEX(Map_Tables!$B$4:$B$18,MATCH(TRIM(F1399),Map_Tables!$A$4:$A$18,0)),"CHECK"))</f>
        <v>Hyderabad</v>
      </c>
      <c r="AE1399" s="7" t="str">
        <f aca="false">IF(TRIM(E1399)="","",IFERROR(INDEX(Map_Tables!$H$4:$H$37,MATCH(TRIM(E1399),Map_Tables!$G$4:$G$37,0)),"CHECK"))</f>
        <v>Pizza Palace</v>
      </c>
      <c r="AF1399" s="7" t="str">
        <f aca="false">IF(TRIM(K1399)="","Unknown",IFERROR(INDEX(Map_Tables!$E$4:$E$15,MATCH(TRIM(K1399),Map_Tables!$D$4:$D$15,0)),"CHECK"))</f>
        <v>UPI</v>
      </c>
      <c r="AG1399" s="7" t="str">
        <f aca="false">IF(LEFT(LOWER(TRIM(L1399)),6)="cancel","Cancelled","Delivered")</f>
        <v>Delivered</v>
      </c>
      <c r="AH1399" s="10" t="n">
        <f aca="false">IF(ISNUMBER(SEARCH("/",B1399)),DATE(VALUE(RIGHT(B1399,4)),VALUE(MID(B1399,4,2)),VALUE(LEFT(B1399,2))),IF(MID(B1399,5,1)="-",DATE(VALUE(LEFT(B1399,4)),VALUE(MID(B1399,6,2)),VALUE(RIGHT(B1399,2))),DATE(VALUE(RIGHT(B1399,4)),MATCH(MID(B1399,4,3),{"Jan","Feb","Mar","Apr","May","Jun","Jul","Aug","Sep","Oct","Nov","Dec"},0),VALUE(LEFT(B1399,2)))))</f>
        <v>45883</v>
      </c>
    </row>
    <row r="1400" customFormat="false" ht="15" hidden="false" customHeight="false" outlineLevel="0" collapsed="false">
      <c r="A1400" s="7" t="s">
        <v>3762</v>
      </c>
      <c r="B1400" s="7" t="s">
        <v>828</v>
      </c>
      <c r="C1400" s="7" t="s">
        <v>310</v>
      </c>
      <c r="D1400" s="7" t="s">
        <v>1944</v>
      </c>
      <c r="E1400" s="7" t="s">
        <v>155</v>
      </c>
      <c r="F1400" s="7" t="s">
        <v>128</v>
      </c>
      <c r="G1400" s="7" t="s">
        <v>156</v>
      </c>
      <c r="H1400" s="7" t="n">
        <v>1</v>
      </c>
      <c r="I1400" s="7" t="n">
        <v>265</v>
      </c>
      <c r="J1400" s="7" t="n">
        <v>0</v>
      </c>
      <c r="K1400" s="7" t="s">
        <v>103</v>
      </c>
      <c r="L1400" s="7" t="s">
        <v>194</v>
      </c>
      <c r="M1400" s="7" t="n">
        <v>28</v>
      </c>
      <c r="N1400" s="7" t="n">
        <v>3</v>
      </c>
      <c r="O1400" s="7" t="str">
        <f aca="false">A1400&amp;"|"&amp;B1400&amp;"|"&amp;C1400&amp;"|"&amp;D1400&amp;"|"&amp;E1400&amp;"|"&amp;F1400&amp;"|"&amp;G1400&amp;"|"&amp;H1400&amp;"|"&amp;I1400&amp;"|"&amp;J1400&amp;"|"&amp;K1400&amp;"|"&amp;L1400&amp;"|"&amp;M1400&amp;"|"&amp;N1400</f>
        <v>ORD12541|2025-11-13|19:09|C0949|Green Bowl Kitchen|Chennai|Healthy Food|1|265|0|Debit Card|Delivered|28|3</v>
      </c>
      <c r="P1400" s="7" t="str">
        <f aca="false">IF(COUNTIF($O$2:O1400,O1400)&gt;1,"DUP","OK")</f>
        <v>OK</v>
      </c>
      <c r="Q1400" s="7" t="n">
        <f aca="false">COUNTBLANK(A1400:N1400)</f>
        <v>0</v>
      </c>
      <c r="R1400" s="7" t="n">
        <f aca="false">IF(A1400="",0,COUNTIFS($A$2:$A$3058,A1400,$P$2:$P$3058,"OK"))</f>
        <v>1</v>
      </c>
      <c r="S1400" s="7" t="str">
        <f aca="false">IF(OR(A1400="",P1400="DUP",R1400&lt;2),"",IF(Q1400=_xlfn.MINIFS($Q$2:$Q$3058,$A$2:$A$3058,A1400,$P$2:$P$3058,"OK"),"KEEP","DROP"))</f>
        <v/>
      </c>
      <c r="T1400" s="9" t="n">
        <f aca="false">IF(A1400="",1,0)</f>
        <v>0</v>
      </c>
      <c r="U1400" s="9" t="n">
        <f aca="false">IF(D1400="",1,0)</f>
        <v>0</v>
      </c>
      <c r="V1400" s="9" t="n">
        <f aca="false">IF(E1400="",1,0)</f>
        <v>0</v>
      </c>
      <c r="W1400" s="9" t="n">
        <f aca="false">IF(OR(H1400&lt;1,H1400&gt;10),1,0)</f>
        <v>0</v>
      </c>
      <c r="X1400" s="9" t="n">
        <f aca="false">IF(OR(I1400&lt;=0,I1400&gt;1500),1,0)</f>
        <v>0</v>
      </c>
      <c r="Y1400" s="9" t="n">
        <f aca="false">IF(J1400&gt;H1400*I1400,1,0)</f>
        <v>0</v>
      </c>
      <c r="Z1400" s="9" t="n">
        <f aca="false">IF(AND(N1400&lt;&gt;"",OR(N1400&lt;1,N1400&gt;5)),1,0)</f>
        <v>0</v>
      </c>
      <c r="AA1400" s="9" t="n">
        <f aca="false">IF(AND(M1400&lt;&gt;"",OR(M1400&lt;5,M1400&gt;180)),1,0)</f>
        <v>0</v>
      </c>
      <c r="AB1400" s="7" t="str">
        <f aca="false">IF(P1400="DUP","Exact duplicate row",IF(T1400=1,"Missing Order ID",IF(S1400="DROP","Duplicate Order ID (less complete row)",IF(U1400=1,"Missing Customer ID",IF(V1400=1,"Missing Restaurant name",IF(W1400=1,"Invalid/outlier quantity",IF(X1400=1,"Invalid/outlier unit price",IF(Y1400=1,"Discount greater than order value",""))))))))</f>
        <v/>
      </c>
      <c r="AC1400" s="7" t="str">
        <f aca="false">IF(AB1400="","KEEP","DROP")</f>
        <v>KEEP</v>
      </c>
      <c r="AD1400" s="7" t="str">
        <f aca="false">IF(TRIM(F1400)="",IFERROR(INDEX(Map_Tables!$I$4:$I$37,MATCH(TRIM(E1400),Map_Tables!$G$4:$G$37,0)),""),IFERROR(INDEX(Map_Tables!$B$4:$B$18,MATCH(TRIM(F1400),Map_Tables!$A$4:$A$18,0)),"CHECK"))</f>
        <v>Chennai</v>
      </c>
      <c r="AE1400" s="7" t="str">
        <f aca="false">IF(TRIM(E1400)="","",IFERROR(INDEX(Map_Tables!$H$4:$H$37,MATCH(TRIM(E1400),Map_Tables!$G$4:$G$37,0)),"CHECK"))</f>
        <v>Green Bowl Kitchen</v>
      </c>
      <c r="AF1400" s="7" t="str">
        <f aca="false">IF(TRIM(K1400)="","Unknown",IFERROR(INDEX(Map_Tables!$E$4:$E$15,MATCH(TRIM(K1400),Map_Tables!$D$4:$D$15,0)),"CHECK"))</f>
        <v>Debit Card</v>
      </c>
      <c r="AG1400" s="7" t="str">
        <f aca="false">IF(LEFT(LOWER(TRIM(L1400)),6)="cancel","Cancelled","Delivered")</f>
        <v>Delivered</v>
      </c>
      <c r="AH1400" s="10" t="n">
        <f aca="false">IF(ISNUMBER(SEARCH("/",B1400)),DATE(VALUE(RIGHT(B1400,4)),VALUE(MID(B1400,4,2)),VALUE(LEFT(B1400,2))),IF(MID(B1400,5,1)="-",DATE(VALUE(LEFT(B1400,4)),VALUE(MID(B1400,6,2)),VALUE(RIGHT(B1400,2))),DATE(VALUE(RIGHT(B1400,4)),MATCH(MID(B1400,4,3),{"Jan","Feb","Mar","Apr","May","Jun","Jul","Aug","Sep","Oct","Nov","Dec"},0),VALUE(LEFT(B1400,2)))))</f>
        <v>45974</v>
      </c>
    </row>
    <row r="1401" customFormat="false" ht="15" hidden="false" customHeight="false" outlineLevel="0" collapsed="false">
      <c r="A1401" s="7" t="s">
        <v>3763</v>
      </c>
      <c r="B1401" s="7" t="s">
        <v>3764</v>
      </c>
      <c r="C1401" s="7" t="s">
        <v>3400</v>
      </c>
      <c r="D1401" s="7" t="s">
        <v>3765</v>
      </c>
      <c r="E1401" s="7" t="s">
        <v>142</v>
      </c>
      <c r="F1401" s="7" t="s">
        <v>110</v>
      </c>
      <c r="G1401" s="7" t="s">
        <v>105</v>
      </c>
      <c r="H1401" s="7" t="n">
        <v>2</v>
      </c>
      <c r="I1401" s="7" t="n">
        <v>145</v>
      </c>
      <c r="J1401" s="7" t="n">
        <v>0</v>
      </c>
      <c r="K1401" s="7" t="s">
        <v>93</v>
      </c>
      <c r="L1401" s="7" t="s">
        <v>194</v>
      </c>
      <c r="M1401" s="7" t="n">
        <v>36</v>
      </c>
      <c r="N1401" s="7" t="n">
        <v>3</v>
      </c>
      <c r="O1401" s="7" t="str">
        <f aca="false">A1401&amp;"|"&amp;B1401&amp;"|"&amp;C1401&amp;"|"&amp;D1401&amp;"|"&amp;E1401&amp;"|"&amp;F1401&amp;"|"&amp;G1401&amp;"|"&amp;H1401&amp;"|"&amp;I1401&amp;"|"&amp;J1401&amp;"|"&amp;K1401&amp;"|"&amp;L1401&amp;"|"&amp;M1401&amp;"|"&amp;N1401</f>
        <v>ORD10321|12-Feb-2025|12:56|C0637|Momo Magic|Delhi|Chinese|2|145|0|Credit Card|Delivered|36|3</v>
      </c>
      <c r="P1401" s="7" t="str">
        <f aca="false">IF(COUNTIF($O$2:O1401,O1401)&gt;1,"DUP","OK")</f>
        <v>OK</v>
      </c>
      <c r="Q1401" s="7" t="n">
        <f aca="false">COUNTBLANK(A1401:N1401)</f>
        <v>0</v>
      </c>
      <c r="R1401" s="7" t="n">
        <f aca="false">IF(A1401="",0,COUNTIFS($A$2:$A$3058,A1401,$P$2:$P$3058,"OK"))</f>
        <v>1</v>
      </c>
      <c r="S1401" s="7" t="str">
        <f aca="false">IF(OR(A1401="",P1401="DUP",R1401&lt;2),"",IF(Q1401=_xlfn.MINIFS($Q$2:$Q$3058,$A$2:$A$3058,A1401,$P$2:$P$3058,"OK"),"KEEP","DROP"))</f>
        <v/>
      </c>
      <c r="T1401" s="9" t="n">
        <f aca="false">IF(A1401="",1,0)</f>
        <v>0</v>
      </c>
      <c r="U1401" s="9" t="n">
        <f aca="false">IF(D1401="",1,0)</f>
        <v>0</v>
      </c>
      <c r="V1401" s="9" t="n">
        <f aca="false">IF(E1401="",1,0)</f>
        <v>0</v>
      </c>
      <c r="W1401" s="9" t="n">
        <f aca="false">IF(OR(H1401&lt;1,H1401&gt;10),1,0)</f>
        <v>0</v>
      </c>
      <c r="X1401" s="9" t="n">
        <f aca="false">IF(OR(I1401&lt;=0,I1401&gt;1500),1,0)</f>
        <v>0</v>
      </c>
      <c r="Y1401" s="9" t="n">
        <f aca="false">IF(J1401&gt;H1401*I1401,1,0)</f>
        <v>0</v>
      </c>
      <c r="Z1401" s="9" t="n">
        <f aca="false">IF(AND(N1401&lt;&gt;"",OR(N1401&lt;1,N1401&gt;5)),1,0)</f>
        <v>0</v>
      </c>
      <c r="AA1401" s="9" t="n">
        <f aca="false">IF(AND(M1401&lt;&gt;"",OR(M1401&lt;5,M1401&gt;180)),1,0)</f>
        <v>0</v>
      </c>
      <c r="AB1401" s="7" t="str">
        <f aca="false">IF(P1401="DUP","Exact duplicate row",IF(T1401=1,"Missing Order ID",IF(S1401="DROP","Duplicate Order ID (less complete row)",IF(U1401=1,"Missing Customer ID",IF(V1401=1,"Missing Restaurant name",IF(W1401=1,"Invalid/outlier quantity",IF(X1401=1,"Invalid/outlier unit price",IF(Y1401=1,"Discount greater than order value",""))))))))</f>
        <v/>
      </c>
      <c r="AC1401" s="7" t="str">
        <f aca="false">IF(AB1401="","KEEP","DROP")</f>
        <v>KEEP</v>
      </c>
      <c r="AD1401" s="7" t="str">
        <f aca="false">IF(TRIM(F1401)="",IFERROR(INDEX(Map_Tables!$I$4:$I$37,MATCH(TRIM(E1401),Map_Tables!$G$4:$G$37,0)),""),IFERROR(INDEX(Map_Tables!$B$4:$B$18,MATCH(TRIM(F1401),Map_Tables!$A$4:$A$18,0)),"CHECK"))</f>
        <v>Delhi</v>
      </c>
      <c r="AE1401" s="7" t="str">
        <f aca="false">IF(TRIM(E1401)="","",IFERROR(INDEX(Map_Tables!$H$4:$H$37,MATCH(TRIM(E1401),Map_Tables!$G$4:$G$37,0)),"CHECK"))</f>
        <v>Momo Magic</v>
      </c>
      <c r="AF1401" s="7" t="str">
        <f aca="false">IF(TRIM(K1401)="","Unknown",IFERROR(INDEX(Map_Tables!$E$4:$E$15,MATCH(TRIM(K1401),Map_Tables!$D$4:$D$15,0)),"CHECK"))</f>
        <v>Credit Card</v>
      </c>
      <c r="AG1401" s="7" t="str">
        <f aca="false">IF(LEFT(LOWER(TRIM(L1401)),6)="cancel","Cancelled","Delivered")</f>
        <v>Delivered</v>
      </c>
      <c r="AH1401" s="10" t="n">
        <f aca="false">IF(ISNUMBER(SEARCH("/",B1401)),DATE(VALUE(RIGHT(B1401,4)),VALUE(MID(B1401,4,2)),VALUE(LEFT(B1401,2))),IF(MID(B1401,5,1)="-",DATE(VALUE(LEFT(B1401,4)),VALUE(MID(B1401,6,2)),VALUE(RIGHT(B1401,2))),DATE(VALUE(RIGHT(B1401,4)),MATCH(MID(B1401,4,3),{"Jan","Feb","Mar","Apr","May","Jun","Jul","Aug","Sep","Oct","Nov","Dec"},0),VALUE(LEFT(B1401,2)))))</f>
        <v>45700</v>
      </c>
    </row>
    <row r="1402" customFormat="false" ht="15" hidden="false" customHeight="false" outlineLevel="0" collapsed="false">
      <c r="A1402" s="7" t="s">
        <v>3766</v>
      </c>
      <c r="B1402" s="7" t="s">
        <v>1458</v>
      </c>
      <c r="C1402" s="7" t="s">
        <v>3767</v>
      </c>
      <c r="D1402" s="7" t="s">
        <v>1513</v>
      </c>
      <c r="E1402" s="7" t="s">
        <v>144</v>
      </c>
      <c r="F1402" s="7" t="s">
        <v>119</v>
      </c>
      <c r="G1402" s="7" t="s">
        <v>99</v>
      </c>
      <c r="H1402" s="7" t="n">
        <v>2</v>
      </c>
      <c r="I1402" s="7" t="n">
        <v>340</v>
      </c>
      <c r="J1402" s="7" t="n">
        <v>125</v>
      </c>
      <c r="K1402" s="7" t="s">
        <v>93</v>
      </c>
      <c r="L1402" s="7" t="s">
        <v>194</v>
      </c>
      <c r="M1402" s="7" t="n">
        <v>39</v>
      </c>
      <c r="N1402" s="7" t="n">
        <v>5</v>
      </c>
      <c r="O1402" s="7" t="str">
        <f aca="false">A1402&amp;"|"&amp;B1402&amp;"|"&amp;C1402&amp;"|"&amp;D1402&amp;"|"&amp;E1402&amp;"|"&amp;F1402&amp;"|"&amp;G1402&amp;"|"&amp;H1402&amp;"|"&amp;I1402&amp;"|"&amp;J1402&amp;"|"&amp;K1402&amp;"|"&amp;L1402&amp;"|"&amp;M1402&amp;"|"&amp;N1402</f>
        <v>ORD11029|2025-05-10|15:23|C1027|Hyderabad Dum Biryani|Hyderabad|Biryani|2|340|125|Credit Card|Delivered|39|5</v>
      </c>
      <c r="P1402" s="7" t="str">
        <f aca="false">IF(COUNTIF($O$2:O1402,O1402)&gt;1,"DUP","OK")</f>
        <v>OK</v>
      </c>
      <c r="Q1402" s="7" t="n">
        <f aca="false">COUNTBLANK(A1402:N1402)</f>
        <v>0</v>
      </c>
      <c r="R1402" s="7" t="n">
        <f aca="false">IF(A1402="",0,COUNTIFS($A$2:$A$3058,A1402,$P$2:$P$3058,"OK"))</f>
        <v>1</v>
      </c>
      <c r="S1402" s="7" t="str">
        <f aca="false">IF(OR(A1402="",P1402="DUP",R1402&lt;2),"",IF(Q1402=_xlfn.MINIFS($Q$2:$Q$3058,$A$2:$A$3058,A1402,$P$2:$P$3058,"OK"),"KEEP","DROP"))</f>
        <v/>
      </c>
      <c r="T1402" s="9" t="n">
        <f aca="false">IF(A1402="",1,0)</f>
        <v>0</v>
      </c>
      <c r="U1402" s="9" t="n">
        <f aca="false">IF(D1402="",1,0)</f>
        <v>0</v>
      </c>
      <c r="V1402" s="9" t="n">
        <f aca="false">IF(E1402="",1,0)</f>
        <v>0</v>
      </c>
      <c r="W1402" s="9" t="n">
        <f aca="false">IF(OR(H1402&lt;1,H1402&gt;10),1,0)</f>
        <v>0</v>
      </c>
      <c r="X1402" s="9" t="n">
        <f aca="false">IF(OR(I1402&lt;=0,I1402&gt;1500),1,0)</f>
        <v>0</v>
      </c>
      <c r="Y1402" s="9" t="n">
        <f aca="false">IF(J1402&gt;H1402*I1402,1,0)</f>
        <v>0</v>
      </c>
      <c r="Z1402" s="9" t="n">
        <f aca="false">IF(AND(N1402&lt;&gt;"",OR(N1402&lt;1,N1402&gt;5)),1,0)</f>
        <v>0</v>
      </c>
      <c r="AA1402" s="9" t="n">
        <f aca="false">IF(AND(M1402&lt;&gt;"",OR(M1402&lt;5,M1402&gt;180)),1,0)</f>
        <v>0</v>
      </c>
      <c r="AB1402" s="7" t="str">
        <f aca="false">IF(P1402="DUP","Exact duplicate row",IF(T1402=1,"Missing Order ID",IF(S1402="DROP","Duplicate Order ID (less complete row)",IF(U1402=1,"Missing Customer ID",IF(V1402=1,"Missing Restaurant name",IF(W1402=1,"Invalid/outlier quantity",IF(X1402=1,"Invalid/outlier unit price",IF(Y1402=1,"Discount greater than order value",""))))))))</f>
        <v/>
      </c>
      <c r="AC1402" s="7" t="str">
        <f aca="false">IF(AB1402="","KEEP","DROP")</f>
        <v>KEEP</v>
      </c>
      <c r="AD1402" s="7" t="str">
        <f aca="false">IF(TRIM(F1402)="",IFERROR(INDEX(Map_Tables!$I$4:$I$37,MATCH(TRIM(E1402),Map_Tables!$G$4:$G$37,0)),""),IFERROR(INDEX(Map_Tables!$B$4:$B$18,MATCH(TRIM(F1402),Map_Tables!$A$4:$A$18,0)),"CHECK"))</f>
        <v>Hyderabad</v>
      </c>
      <c r="AE1402" s="7" t="str">
        <f aca="false">IF(TRIM(E1402)="","",IFERROR(INDEX(Map_Tables!$H$4:$H$37,MATCH(TRIM(E1402),Map_Tables!$G$4:$G$37,0)),"CHECK"))</f>
        <v>Hyderabad Dum Biryani</v>
      </c>
      <c r="AF1402" s="7" t="str">
        <f aca="false">IF(TRIM(K1402)="","Unknown",IFERROR(INDEX(Map_Tables!$E$4:$E$15,MATCH(TRIM(K1402),Map_Tables!$D$4:$D$15,0)),"CHECK"))</f>
        <v>Credit Card</v>
      </c>
      <c r="AG1402" s="7" t="str">
        <f aca="false">IF(LEFT(LOWER(TRIM(L1402)),6)="cancel","Cancelled","Delivered")</f>
        <v>Delivered</v>
      </c>
      <c r="AH1402" s="10" t="n">
        <f aca="false">IF(ISNUMBER(SEARCH("/",B1402)),DATE(VALUE(RIGHT(B1402,4)),VALUE(MID(B1402,4,2)),VALUE(LEFT(B1402,2))),IF(MID(B1402,5,1)="-",DATE(VALUE(LEFT(B1402,4)),VALUE(MID(B1402,6,2)),VALUE(RIGHT(B1402,2))),DATE(VALUE(RIGHT(B1402,4)),MATCH(MID(B1402,4,3),{"Jan","Feb","Mar","Apr","May","Jun","Jul","Aug","Sep","Oct","Nov","Dec"},0),VALUE(LEFT(B1402,2)))))</f>
        <v>45787</v>
      </c>
    </row>
    <row r="1403" customFormat="false" ht="15" hidden="false" customHeight="false" outlineLevel="0" collapsed="false">
      <c r="A1403" s="7"/>
      <c r="B1403" s="7" t="s">
        <v>1104</v>
      </c>
      <c r="C1403" s="7" t="s">
        <v>1101</v>
      </c>
      <c r="D1403" s="7" t="s">
        <v>2373</v>
      </c>
      <c r="E1403" s="7" t="s">
        <v>164</v>
      </c>
      <c r="F1403" s="7" t="s">
        <v>141</v>
      </c>
      <c r="G1403" s="7" t="s">
        <v>150</v>
      </c>
      <c r="H1403" s="7" t="n">
        <v>2</v>
      </c>
      <c r="I1403" s="7" t="n">
        <v>145</v>
      </c>
      <c r="J1403" s="7" t="n">
        <v>0</v>
      </c>
      <c r="K1403" s="7" t="s">
        <v>88</v>
      </c>
      <c r="L1403" s="7" t="s">
        <v>194</v>
      </c>
      <c r="M1403" s="7" t="n">
        <v>38</v>
      </c>
      <c r="N1403" s="7" t="n">
        <v>3</v>
      </c>
      <c r="O1403" s="7" t="str">
        <f aca="false">A1403&amp;"|"&amp;B1403&amp;"|"&amp;C1403&amp;"|"&amp;D1403&amp;"|"&amp;E1403&amp;"|"&amp;F1403&amp;"|"&amp;G1403&amp;"|"&amp;H1403&amp;"|"&amp;I1403&amp;"|"&amp;J1403&amp;"|"&amp;K1403&amp;"|"&amp;L1403&amp;"|"&amp;M1403&amp;"|"&amp;N1403</f>
        <v>|2025-03-04|19:59|C0039|Mishti Mandir|Kolkata|Desserts|2|145|0|UPI|Delivered|38|3</v>
      </c>
      <c r="P1403" s="7" t="str">
        <f aca="false">IF(COUNTIF($O$2:O1403,O1403)&gt;1,"DUP","OK")</f>
        <v>OK</v>
      </c>
      <c r="Q1403" s="7" t="n">
        <f aca="false">COUNTBLANK(A1403:N1403)</f>
        <v>1</v>
      </c>
      <c r="R1403" s="7" t="n">
        <f aca="false">IF(A1403="",0,COUNTIFS($A$2:$A$3058,A1403,$P$2:$P$3058,"OK"))</f>
        <v>0</v>
      </c>
      <c r="S1403" s="7" t="str">
        <f aca="false">IF(OR(A1403="",P1403="DUP",R1403&lt;2),"",IF(Q1403=_xlfn.MINIFS($Q$2:$Q$3058,$A$2:$A$3058,A1403,$P$2:$P$3058,"OK"),"KEEP","DROP"))</f>
        <v/>
      </c>
      <c r="T1403" s="9" t="n">
        <f aca="false">IF(A1403="",1,0)</f>
        <v>1</v>
      </c>
      <c r="U1403" s="9" t="n">
        <f aca="false">IF(D1403="",1,0)</f>
        <v>0</v>
      </c>
      <c r="V1403" s="9" t="n">
        <f aca="false">IF(E1403="",1,0)</f>
        <v>0</v>
      </c>
      <c r="W1403" s="9" t="n">
        <f aca="false">IF(OR(H1403&lt;1,H1403&gt;10),1,0)</f>
        <v>0</v>
      </c>
      <c r="X1403" s="9" t="n">
        <f aca="false">IF(OR(I1403&lt;=0,I1403&gt;1500),1,0)</f>
        <v>0</v>
      </c>
      <c r="Y1403" s="9" t="n">
        <f aca="false">IF(J1403&gt;H1403*I1403,1,0)</f>
        <v>0</v>
      </c>
      <c r="Z1403" s="9" t="n">
        <f aca="false">IF(AND(N1403&lt;&gt;"",OR(N1403&lt;1,N1403&gt;5)),1,0)</f>
        <v>0</v>
      </c>
      <c r="AA1403" s="9" t="n">
        <f aca="false">IF(AND(M1403&lt;&gt;"",OR(M1403&lt;5,M1403&gt;180)),1,0)</f>
        <v>0</v>
      </c>
      <c r="AB1403" s="7" t="str">
        <f aca="false">IF(P1403="DUP","Exact duplicate row",IF(T1403=1,"Missing Order ID",IF(S1403="DROP","Duplicate Order ID (less complete row)",IF(U1403=1,"Missing Customer ID",IF(V1403=1,"Missing Restaurant name",IF(W1403=1,"Invalid/outlier quantity",IF(X1403=1,"Invalid/outlier unit price",IF(Y1403=1,"Discount greater than order value",""))))))))</f>
        <v>Missing Order ID</v>
      </c>
      <c r="AC1403" s="7" t="str">
        <f aca="false">IF(AB1403="","KEEP","DROP")</f>
        <v>DROP</v>
      </c>
      <c r="AD1403" s="7" t="str">
        <f aca="false">IF(TRIM(F1403)="",IFERROR(INDEX(Map_Tables!$I$4:$I$37,MATCH(TRIM(E1403),Map_Tables!$G$4:$G$37,0)),""),IFERROR(INDEX(Map_Tables!$B$4:$B$18,MATCH(TRIM(F1403),Map_Tables!$A$4:$A$18,0)),"CHECK"))</f>
        <v>Kolkata</v>
      </c>
      <c r="AE1403" s="7" t="str">
        <f aca="false">IF(TRIM(E1403)="","",IFERROR(INDEX(Map_Tables!$H$4:$H$37,MATCH(TRIM(E1403),Map_Tables!$G$4:$G$37,0)),"CHECK"))</f>
        <v>Mishti Mandir</v>
      </c>
      <c r="AF1403" s="7" t="str">
        <f aca="false">IF(TRIM(K1403)="","Unknown",IFERROR(INDEX(Map_Tables!$E$4:$E$15,MATCH(TRIM(K1403),Map_Tables!$D$4:$D$15,0)),"CHECK"))</f>
        <v>UPI</v>
      </c>
      <c r="AG1403" s="7" t="str">
        <f aca="false">IF(LEFT(LOWER(TRIM(L1403)),6)="cancel","Cancelled","Delivered")</f>
        <v>Delivered</v>
      </c>
      <c r="AH1403" s="10" t="n">
        <f aca="false">IF(ISNUMBER(SEARCH("/",B1403)),DATE(VALUE(RIGHT(B1403,4)),VALUE(MID(B1403,4,2)),VALUE(LEFT(B1403,2))),IF(MID(B1403,5,1)="-",DATE(VALUE(LEFT(B1403,4)),VALUE(MID(B1403,6,2)),VALUE(RIGHT(B1403,2))),DATE(VALUE(RIGHT(B1403,4)),MATCH(MID(B1403,4,3),{"Jan","Feb","Mar","Apr","May","Jun","Jul","Aug","Sep","Oct","Nov","Dec"},0),VALUE(LEFT(B1403,2)))))</f>
        <v>45720</v>
      </c>
    </row>
    <row r="1404" customFormat="false" ht="15" hidden="false" customHeight="false" outlineLevel="0" collapsed="false">
      <c r="A1404" s="7" t="s">
        <v>3768</v>
      </c>
      <c r="B1404" s="7" t="s">
        <v>803</v>
      </c>
      <c r="C1404" s="7" t="s">
        <v>3769</v>
      </c>
      <c r="D1404" s="7" t="s">
        <v>3027</v>
      </c>
      <c r="E1404" s="7" t="s">
        <v>158</v>
      </c>
      <c r="F1404" s="7" t="s">
        <v>136</v>
      </c>
      <c r="G1404" s="7" t="s">
        <v>139</v>
      </c>
      <c r="H1404" s="7" t="n">
        <v>2</v>
      </c>
      <c r="I1404" s="7" t="n">
        <v>210</v>
      </c>
      <c r="J1404" s="7" t="n">
        <v>0</v>
      </c>
      <c r="K1404" s="7" t="s">
        <v>112</v>
      </c>
      <c r="L1404" s="7" t="s">
        <v>194</v>
      </c>
      <c r="M1404" s="7" t="n">
        <v>37</v>
      </c>
      <c r="N1404" s="7" t="n">
        <v>4</v>
      </c>
      <c r="O1404" s="7" t="str">
        <f aca="false">A1404&amp;"|"&amp;B1404&amp;"|"&amp;C1404&amp;"|"&amp;D1404&amp;"|"&amp;E1404&amp;"|"&amp;F1404&amp;"|"&amp;G1404&amp;"|"&amp;H1404&amp;"|"&amp;I1404&amp;"|"&amp;J1404&amp;"|"&amp;K1404&amp;"|"&amp;L1404&amp;"|"&amp;M1404&amp;"|"&amp;N1404</f>
        <v>ORD11964|2025-09-12|09:50|C0676|Pune Burger Hub|Pune|Burgers|2|210|0|Cash on Delivery|Delivered|37|4</v>
      </c>
      <c r="P1404" s="7" t="str">
        <f aca="false">IF(COUNTIF($O$2:O1404,O1404)&gt;1,"DUP","OK")</f>
        <v>OK</v>
      </c>
      <c r="Q1404" s="7" t="n">
        <f aca="false">COUNTBLANK(A1404:N1404)</f>
        <v>0</v>
      </c>
      <c r="R1404" s="7" t="n">
        <f aca="false">IF(A1404="",0,COUNTIFS($A$2:$A$3058,A1404,$P$2:$P$3058,"OK"))</f>
        <v>1</v>
      </c>
      <c r="S1404" s="7" t="str">
        <f aca="false">IF(OR(A1404="",P1404="DUP",R1404&lt;2),"",IF(Q1404=_xlfn.MINIFS($Q$2:$Q$3058,$A$2:$A$3058,A1404,$P$2:$P$3058,"OK"),"KEEP","DROP"))</f>
        <v/>
      </c>
      <c r="T1404" s="9" t="n">
        <f aca="false">IF(A1404="",1,0)</f>
        <v>0</v>
      </c>
      <c r="U1404" s="9" t="n">
        <f aca="false">IF(D1404="",1,0)</f>
        <v>0</v>
      </c>
      <c r="V1404" s="9" t="n">
        <f aca="false">IF(E1404="",1,0)</f>
        <v>0</v>
      </c>
      <c r="W1404" s="9" t="n">
        <f aca="false">IF(OR(H1404&lt;1,H1404&gt;10),1,0)</f>
        <v>0</v>
      </c>
      <c r="X1404" s="9" t="n">
        <f aca="false">IF(OR(I1404&lt;=0,I1404&gt;1500),1,0)</f>
        <v>0</v>
      </c>
      <c r="Y1404" s="9" t="n">
        <f aca="false">IF(J1404&gt;H1404*I1404,1,0)</f>
        <v>0</v>
      </c>
      <c r="Z1404" s="9" t="n">
        <f aca="false">IF(AND(N1404&lt;&gt;"",OR(N1404&lt;1,N1404&gt;5)),1,0)</f>
        <v>0</v>
      </c>
      <c r="AA1404" s="9" t="n">
        <f aca="false">IF(AND(M1404&lt;&gt;"",OR(M1404&lt;5,M1404&gt;180)),1,0)</f>
        <v>0</v>
      </c>
      <c r="AB1404" s="7" t="str">
        <f aca="false">IF(P1404="DUP","Exact duplicate row",IF(T1404=1,"Missing Order ID",IF(S1404="DROP","Duplicate Order ID (less complete row)",IF(U1404=1,"Missing Customer ID",IF(V1404=1,"Missing Restaurant name",IF(W1404=1,"Invalid/outlier quantity",IF(X1404=1,"Invalid/outlier unit price",IF(Y1404=1,"Discount greater than order value",""))))))))</f>
        <v/>
      </c>
      <c r="AC1404" s="7" t="str">
        <f aca="false">IF(AB1404="","KEEP","DROP")</f>
        <v>KEEP</v>
      </c>
      <c r="AD1404" s="7" t="str">
        <f aca="false">IF(TRIM(F1404)="",IFERROR(INDEX(Map_Tables!$I$4:$I$37,MATCH(TRIM(E1404),Map_Tables!$G$4:$G$37,0)),""),IFERROR(INDEX(Map_Tables!$B$4:$B$18,MATCH(TRIM(F1404),Map_Tables!$A$4:$A$18,0)),"CHECK"))</f>
        <v>Pune</v>
      </c>
      <c r="AE1404" s="7" t="str">
        <f aca="false">IF(TRIM(E1404)="","",IFERROR(INDEX(Map_Tables!$H$4:$H$37,MATCH(TRIM(E1404),Map_Tables!$G$4:$G$37,0)),"CHECK"))</f>
        <v>Pune Burger Hub</v>
      </c>
      <c r="AF1404" s="7" t="str">
        <f aca="false">IF(TRIM(K1404)="","Unknown",IFERROR(INDEX(Map_Tables!$E$4:$E$15,MATCH(TRIM(K1404),Map_Tables!$D$4:$D$15,0)),"CHECK"))</f>
        <v>Cash on Delivery</v>
      </c>
      <c r="AG1404" s="7" t="str">
        <f aca="false">IF(LEFT(LOWER(TRIM(L1404)),6)="cancel","Cancelled","Delivered")</f>
        <v>Delivered</v>
      </c>
      <c r="AH1404" s="10" t="n">
        <f aca="false">IF(ISNUMBER(SEARCH("/",B1404)),DATE(VALUE(RIGHT(B1404,4)),VALUE(MID(B1404,4,2)),VALUE(LEFT(B1404,2))),IF(MID(B1404,5,1)="-",DATE(VALUE(LEFT(B1404,4)),VALUE(MID(B1404,6,2)),VALUE(RIGHT(B1404,2))),DATE(VALUE(RIGHT(B1404,4)),MATCH(MID(B1404,4,3),{"Jan","Feb","Mar","Apr","May","Jun","Jul","Aug","Sep","Oct","Nov","Dec"},0),VALUE(LEFT(B1404,2)))))</f>
        <v>45912</v>
      </c>
    </row>
    <row r="1405" customFormat="false" ht="15" hidden="false" customHeight="false" outlineLevel="0" collapsed="false">
      <c r="A1405" s="7" t="s">
        <v>3770</v>
      </c>
      <c r="B1405" s="7" t="s">
        <v>2846</v>
      </c>
      <c r="C1405" s="7" t="s">
        <v>2296</v>
      </c>
      <c r="D1405" s="7" t="s">
        <v>250</v>
      </c>
      <c r="E1405" s="7" t="s">
        <v>151</v>
      </c>
      <c r="F1405" s="7" t="s">
        <v>128</v>
      </c>
      <c r="G1405" s="7" t="s">
        <v>95</v>
      </c>
      <c r="H1405" s="7" t="n">
        <v>2</v>
      </c>
      <c r="I1405" s="7" t="n">
        <v>-205</v>
      </c>
      <c r="J1405" s="7" t="n">
        <v>0</v>
      </c>
      <c r="K1405" s="7" t="s">
        <v>103</v>
      </c>
      <c r="L1405" s="7" t="s">
        <v>194</v>
      </c>
      <c r="M1405" s="7" t="n">
        <v>19</v>
      </c>
      <c r="N1405" s="7" t="n">
        <v>5</v>
      </c>
      <c r="O1405" s="7" t="str">
        <f aca="false">A1405&amp;"|"&amp;B1405&amp;"|"&amp;C1405&amp;"|"&amp;D1405&amp;"|"&amp;E1405&amp;"|"&amp;F1405&amp;"|"&amp;G1405&amp;"|"&amp;H1405&amp;"|"&amp;I1405&amp;"|"&amp;J1405&amp;"|"&amp;K1405&amp;"|"&amp;L1405&amp;"|"&amp;M1405&amp;"|"&amp;N1405</f>
        <v>ORD12236|2025-10-11|13:01|C0969|Chettinad House|Chennai|South Indian|2|-205|0|Debit Card|Delivered|19|5</v>
      </c>
      <c r="P1405" s="7" t="str">
        <f aca="false">IF(COUNTIF($O$2:O1405,O1405)&gt;1,"DUP","OK")</f>
        <v>OK</v>
      </c>
      <c r="Q1405" s="7" t="n">
        <f aca="false">COUNTBLANK(A1405:N1405)</f>
        <v>0</v>
      </c>
      <c r="R1405" s="7" t="n">
        <f aca="false">IF(A1405="",0,COUNTIFS($A$2:$A$3058,A1405,$P$2:$P$3058,"OK"))</f>
        <v>1</v>
      </c>
      <c r="S1405" s="7" t="str">
        <f aca="false">IF(OR(A1405="",P1405="DUP",R1405&lt;2),"",IF(Q1405=_xlfn.MINIFS($Q$2:$Q$3058,$A$2:$A$3058,A1405,$P$2:$P$3058,"OK"),"KEEP","DROP"))</f>
        <v/>
      </c>
      <c r="T1405" s="9" t="n">
        <f aca="false">IF(A1405="",1,0)</f>
        <v>0</v>
      </c>
      <c r="U1405" s="9" t="n">
        <f aca="false">IF(D1405="",1,0)</f>
        <v>0</v>
      </c>
      <c r="V1405" s="9" t="n">
        <f aca="false">IF(E1405="",1,0)</f>
        <v>0</v>
      </c>
      <c r="W1405" s="9" t="n">
        <f aca="false">IF(OR(H1405&lt;1,H1405&gt;10),1,0)</f>
        <v>0</v>
      </c>
      <c r="X1405" s="9" t="n">
        <f aca="false">IF(OR(I1405&lt;=0,I1405&gt;1500),1,0)</f>
        <v>1</v>
      </c>
      <c r="Y1405" s="9" t="n">
        <f aca="false">IF(J1405&gt;H1405*I1405,1,0)</f>
        <v>1</v>
      </c>
      <c r="Z1405" s="9" t="n">
        <f aca="false">IF(AND(N1405&lt;&gt;"",OR(N1405&lt;1,N1405&gt;5)),1,0)</f>
        <v>0</v>
      </c>
      <c r="AA1405" s="9" t="n">
        <f aca="false">IF(AND(M1405&lt;&gt;"",OR(M1405&lt;5,M1405&gt;180)),1,0)</f>
        <v>0</v>
      </c>
      <c r="AB1405" s="7" t="str">
        <f aca="false">IF(P1405="DUP","Exact duplicate row",IF(T1405=1,"Missing Order ID",IF(S1405="DROP","Duplicate Order ID (less complete row)",IF(U1405=1,"Missing Customer ID",IF(V1405=1,"Missing Restaurant name",IF(W1405=1,"Invalid/outlier quantity",IF(X1405=1,"Invalid/outlier unit price",IF(Y1405=1,"Discount greater than order value",""))))))))</f>
        <v>Invalid/outlier unit price</v>
      </c>
      <c r="AC1405" s="7" t="str">
        <f aca="false">IF(AB1405="","KEEP","DROP")</f>
        <v>DROP</v>
      </c>
      <c r="AD1405" s="7" t="str">
        <f aca="false">IF(TRIM(F1405)="",IFERROR(INDEX(Map_Tables!$I$4:$I$37,MATCH(TRIM(E1405),Map_Tables!$G$4:$G$37,0)),""),IFERROR(INDEX(Map_Tables!$B$4:$B$18,MATCH(TRIM(F1405),Map_Tables!$A$4:$A$18,0)),"CHECK"))</f>
        <v>Chennai</v>
      </c>
      <c r="AE1405" s="7" t="str">
        <f aca="false">IF(TRIM(E1405)="","",IFERROR(INDEX(Map_Tables!$H$4:$H$37,MATCH(TRIM(E1405),Map_Tables!$G$4:$G$37,0)),"CHECK"))</f>
        <v>Chettinad House</v>
      </c>
      <c r="AF1405" s="7" t="str">
        <f aca="false">IF(TRIM(K1405)="","Unknown",IFERROR(INDEX(Map_Tables!$E$4:$E$15,MATCH(TRIM(K1405),Map_Tables!$D$4:$D$15,0)),"CHECK"))</f>
        <v>Debit Card</v>
      </c>
      <c r="AG1405" s="7" t="str">
        <f aca="false">IF(LEFT(LOWER(TRIM(L1405)),6)="cancel","Cancelled","Delivered")</f>
        <v>Delivered</v>
      </c>
      <c r="AH1405" s="10" t="n">
        <f aca="false">IF(ISNUMBER(SEARCH("/",B1405)),DATE(VALUE(RIGHT(B1405,4)),VALUE(MID(B1405,4,2)),VALUE(LEFT(B1405,2))),IF(MID(B1405,5,1)="-",DATE(VALUE(LEFT(B1405,4)),VALUE(MID(B1405,6,2)),VALUE(RIGHT(B1405,2))),DATE(VALUE(RIGHT(B1405,4)),MATCH(MID(B1405,4,3),{"Jan","Feb","Mar","Apr","May","Jun","Jul","Aug","Sep","Oct","Nov","Dec"},0),VALUE(LEFT(B1405,2)))))</f>
        <v>45941</v>
      </c>
    </row>
    <row r="1406" customFormat="false" ht="15" hidden="false" customHeight="false" outlineLevel="0" collapsed="false">
      <c r="A1406" s="7" t="s">
        <v>3771</v>
      </c>
      <c r="B1406" s="7" t="s">
        <v>563</v>
      </c>
      <c r="C1406" s="7" t="s">
        <v>2699</v>
      </c>
      <c r="D1406" s="7" t="s">
        <v>658</v>
      </c>
      <c r="E1406" s="7" t="s">
        <v>98</v>
      </c>
      <c r="F1406" s="7" t="s">
        <v>86</v>
      </c>
      <c r="G1406" s="7" t="s">
        <v>3595</v>
      </c>
      <c r="H1406" s="7" t="n">
        <v>1</v>
      </c>
      <c r="I1406" s="7" t="n">
        <v>270</v>
      </c>
      <c r="J1406" s="7" t="n">
        <v>100</v>
      </c>
      <c r="K1406" s="7" t="s">
        <v>88</v>
      </c>
      <c r="L1406" s="7" t="s">
        <v>194</v>
      </c>
      <c r="M1406" s="7" t="n">
        <v>29</v>
      </c>
      <c r="N1406" s="7" t="n">
        <v>5</v>
      </c>
      <c r="O1406" s="7" t="str">
        <f aca="false">A1406&amp;"|"&amp;B1406&amp;"|"&amp;C1406&amp;"|"&amp;D1406&amp;"|"&amp;E1406&amp;"|"&amp;F1406&amp;"|"&amp;G1406&amp;"|"&amp;H1406&amp;"|"&amp;I1406&amp;"|"&amp;J1406&amp;"|"&amp;K1406&amp;"|"&amp;L1406&amp;"|"&amp;M1406&amp;"|"&amp;N1406</f>
        <v>ORD11781|2025-08-20|18:08|C0610|Nawabi Biryani House|Bengaluru|BIRYANI|1|270|100|UPI|Delivered|29|5</v>
      </c>
      <c r="P1406" s="7" t="str">
        <f aca="false">IF(COUNTIF($O$2:O1406,O1406)&gt;1,"DUP","OK")</f>
        <v>OK</v>
      </c>
      <c r="Q1406" s="7" t="n">
        <f aca="false">COUNTBLANK(A1406:N1406)</f>
        <v>0</v>
      </c>
      <c r="R1406" s="7" t="n">
        <f aca="false">IF(A1406="",0,COUNTIFS($A$2:$A$3058,A1406,$P$2:$P$3058,"OK"))</f>
        <v>1</v>
      </c>
      <c r="S1406" s="7" t="str">
        <f aca="false">IF(OR(A1406="",P1406="DUP",R1406&lt;2),"",IF(Q1406=_xlfn.MINIFS($Q$2:$Q$3058,$A$2:$A$3058,A1406,$P$2:$P$3058,"OK"),"KEEP","DROP"))</f>
        <v/>
      </c>
      <c r="T1406" s="9" t="n">
        <f aca="false">IF(A1406="",1,0)</f>
        <v>0</v>
      </c>
      <c r="U1406" s="9" t="n">
        <f aca="false">IF(D1406="",1,0)</f>
        <v>0</v>
      </c>
      <c r="V1406" s="9" t="n">
        <f aca="false">IF(E1406="",1,0)</f>
        <v>0</v>
      </c>
      <c r="W1406" s="9" t="n">
        <f aca="false">IF(OR(H1406&lt;1,H1406&gt;10),1,0)</f>
        <v>0</v>
      </c>
      <c r="X1406" s="9" t="n">
        <f aca="false">IF(OR(I1406&lt;=0,I1406&gt;1500),1,0)</f>
        <v>0</v>
      </c>
      <c r="Y1406" s="9" t="n">
        <f aca="false">IF(J1406&gt;H1406*I1406,1,0)</f>
        <v>0</v>
      </c>
      <c r="Z1406" s="9" t="n">
        <f aca="false">IF(AND(N1406&lt;&gt;"",OR(N1406&lt;1,N1406&gt;5)),1,0)</f>
        <v>0</v>
      </c>
      <c r="AA1406" s="9" t="n">
        <f aca="false">IF(AND(M1406&lt;&gt;"",OR(M1406&lt;5,M1406&gt;180)),1,0)</f>
        <v>0</v>
      </c>
      <c r="AB1406" s="7" t="str">
        <f aca="false">IF(P1406="DUP","Exact duplicate row",IF(T1406=1,"Missing Order ID",IF(S1406="DROP","Duplicate Order ID (less complete row)",IF(U1406=1,"Missing Customer ID",IF(V1406=1,"Missing Restaurant name",IF(W1406=1,"Invalid/outlier quantity",IF(X1406=1,"Invalid/outlier unit price",IF(Y1406=1,"Discount greater than order value",""))))))))</f>
        <v/>
      </c>
      <c r="AC1406" s="7" t="str">
        <f aca="false">IF(AB1406="","KEEP","DROP")</f>
        <v>KEEP</v>
      </c>
      <c r="AD1406" s="7" t="str">
        <f aca="false">IF(TRIM(F1406)="",IFERROR(INDEX(Map_Tables!$I$4:$I$37,MATCH(TRIM(E1406),Map_Tables!$G$4:$G$37,0)),""),IFERROR(INDEX(Map_Tables!$B$4:$B$18,MATCH(TRIM(F1406),Map_Tables!$A$4:$A$18,0)),"CHECK"))</f>
        <v>Bengaluru</v>
      </c>
      <c r="AE1406" s="7" t="str">
        <f aca="false">IF(TRIM(E1406)="","",IFERROR(INDEX(Map_Tables!$H$4:$H$37,MATCH(TRIM(E1406),Map_Tables!$G$4:$G$37,0)),"CHECK"))</f>
        <v>Nawabi Biryani House</v>
      </c>
      <c r="AF1406" s="7" t="str">
        <f aca="false">IF(TRIM(K1406)="","Unknown",IFERROR(INDEX(Map_Tables!$E$4:$E$15,MATCH(TRIM(K1406),Map_Tables!$D$4:$D$15,0)),"CHECK"))</f>
        <v>UPI</v>
      </c>
      <c r="AG1406" s="7" t="str">
        <f aca="false">IF(LEFT(LOWER(TRIM(L1406)),6)="cancel","Cancelled","Delivered")</f>
        <v>Delivered</v>
      </c>
      <c r="AH1406" s="10" t="n">
        <f aca="false">IF(ISNUMBER(SEARCH("/",B1406)),DATE(VALUE(RIGHT(B1406,4)),VALUE(MID(B1406,4,2)),VALUE(LEFT(B1406,2))),IF(MID(B1406,5,1)="-",DATE(VALUE(LEFT(B1406,4)),VALUE(MID(B1406,6,2)),VALUE(RIGHT(B1406,2))),DATE(VALUE(RIGHT(B1406,4)),MATCH(MID(B1406,4,3),{"Jan","Feb","Mar","Apr","May","Jun","Jul","Aug","Sep","Oct","Nov","Dec"},0),VALUE(LEFT(B1406,2)))))</f>
        <v>45889</v>
      </c>
    </row>
    <row r="1407" customFormat="false" ht="15" hidden="false" customHeight="false" outlineLevel="0" collapsed="false">
      <c r="A1407" s="7" t="s">
        <v>3772</v>
      </c>
      <c r="B1407" s="7" t="s">
        <v>3619</v>
      </c>
      <c r="C1407" s="7" t="s">
        <v>1379</v>
      </c>
      <c r="D1407" s="7" t="s">
        <v>2918</v>
      </c>
      <c r="E1407" s="7" t="s">
        <v>161</v>
      </c>
      <c r="F1407" s="7" t="s">
        <v>141</v>
      </c>
      <c r="G1407" s="7" t="s">
        <v>117</v>
      </c>
      <c r="H1407" s="7" t="n">
        <v>1</v>
      </c>
      <c r="I1407" s="7" t="n">
        <v>160</v>
      </c>
      <c r="J1407" s="7" t="n">
        <v>0</v>
      </c>
      <c r="K1407" s="7" t="s">
        <v>88</v>
      </c>
      <c r="L1407" s="7" t="s">
        <v>194</v>
      </c>
      <c r="M1407" s="7" t="n">
        <v>36</v>
      </c>
      <c r="N1407" s="7" t="n">
        <v>3</v>
      </c>
      <c r="O1407" s="7" t="str">
        <f aca="false">A1407&amp;"|"&amp;B1407&amp;"|"&amp;C1407&amp;"|"&amp;D1407&amp;"|"&amp;E1407&amp;"|"&amp;F1407&amp;"|"&amp;G1407&amp;"|"&amp;H1407&amp;"|"&amp;I1407&amp;"|"&amp;J1407&amp;"|"&amp;K1407&amp;"|"&amp;L1407&amp;"|"&amp;M1407&amp;"|"&amp;N1407</f>
        <v>ORD11603|2025-07-28|19:23|C0914|Bengal Bites|Kolkata|Street Food|1|160|0|UPI|Delivered|36|3</v>
      </c>
      <c r="P1407" s="7" t="str">
        <f aca="false">IF(COUNTIF($O$2:O1407,O1407)&gt;1,"DUP","OK")</f>
        <v>OK</v>
      </c>
      <c r="Q1407" s="7" t="n">
        <f aca="false">COUNTBLANK(A1407:N1407)</f>
        <v>0</v>
      </c>
      <c r="R1407" s="7" t="n">
        <f aca="false">IF(A1407="",0,COUNTIFS($A$2:$A$3058,A1407,$P$2:$P$3058,"OK"))</f>
        <v>1</v>
      </c>
      <c r="S1407" s="7" t="str">
        <f aca="false">IF(OR(A1407="",P1407="DUP",R1407&lt;2),"",IF(Q1407=_xlfn.MINIFS($Q$2:$Q$3058,$A$2:$A$3058,A1407,$P$2:$P$3058,"OK"),"KEEP","DROP"))</f>
        <v/>
      </c>
      <c r="T1407" s="9" t="n">
        <f aca="false">IF(A1407="",1,0)</f>
        <v>0</v>
      </c>
      <c r="U1407" s="9" t="n">
        <f aca="false">IF(D1407="",1,0)</f>
        <v>0</v>
      </c>
      <c r="V1407" s="9" t="n">
        <f aca="false">IF(E1407="",1,0)</f>
        <v>0</v>
      </c>
      <c r="W1407" s="9" t="n">
        <f aca="false">IF(OR(H1407&lt;1,H1407&gt;10),1,0)</f>
        <v>0</v>
      </c>
      <c r="X1407" s="9" t="n">
        <f aca="false">IF(OR(I1407&lt;=0,I1407&gt;1500),1,0)</f>
        <v>0</v>
      </c>
      <c r="Y1407" s="9" t="n">
        <f aca="false">IF(J1407&gt;H1407*I1407,1,0)</f>
        <v>0</v>
      </c>
      <c r="Z1407" s="9" t="n">
        <f aca="false">IF(AND(N1407&lt;&gt;"",OR(N1407&lt;1,N1407&gt;5)),1,0)</f>
        <v>0</v>
      </c>
      <c r="AA1407" s="9" t="n">
        <f aca="false">IF(AND(M1407&lt;&gt;"",OR(M1407&lt;5,M1407&gt;180)),1,0)</f>
        <v>0</v>
      </c>
      <c r="AB1407" s="7" t="str">
        <f aca="false">IF(P1407="DUP","Exact duplicate row",IF(T1407=1,"Missing Order ID",IF(S1407="DROP","Duplicate Order ID (less complete row)",IF(U1407=1,"Missing Customer ID",IF(V1407=1,"Missing Restaurant name",IF(W1407=1,"Invalid/outlier quantity",IF(X1407=1,"Invalid/outlier unit price",IF(Y1407=1,"Discount greater than order value",""))))))))</f>
        <v/>
      </c>
      <c r="AC1407" s="7" t="str">
        <f aca="false">IF(AB1407="","KEEP","DROP")</f>
        <v>KEEP</v>
      </c>
      <c r="AD1407" s="7" t="str">
        <f aca="false">IF(TRIM(F1407)="",IFERROR(INDEX(Map_Tables!$I$4:$I$37,MATCH(TRIM(E1407),Map_Tables!$G$4:$G$37,0)),""),IFERROR(INDEX(Map_Tables!$B$4:$B$18,MATCH(TRIM(F1407),Map_Tables!$A$4:$A$18,0)),"CHECK"))</f>
        <v>Kolkata</v>
      </c>
      <c r="AE1407" s="7" t="str">
        <f aca="false">IF(TRIM(E1407)="","",IFERROR(INDEX(Map_Tables!$H$4:$H$37,MATCH(TRIM(E1407),Map_Tables!$G$4:$G$37,0)),"CHECK"))</f>
        <v>Bengal Bites</v>
      </c>
      <c r="AF1407" s="7" t="str">
        <f aca="false">IF(TRIM(K1407)="","Unknown",IFERROR(INDEX(Map_Tables!$E$4:$E$15,MATCH(TRIM(K1407),Map_Tables!$D$4:$D$15,0)),"CHECK"))</f>
        <v>UPI</v>
      </c>
      <c r="AG1407" s="7" t="str">
        <f aca="false">IF(LEFT(LOWER(TRIM(L1407)),6)="cancel","Cancelled","Delivered")</f>
        <v>Delivered</v>
      </c>
      <c r="AH1407" s="10" t="n">
        <f aca="false">IF(ISNUMBER(SEARCH("/",B1407)),DATE(VALUE(RIGHT(B1407,4)),VALUE(MID(B1407,4,2)),VALUE(LEFT(B1407,2))),IF(MID(B1407,5,1)="-",DATE(VALUE(LEFT(B1407,4)),VALUE(MID(B1407,6,2)),VALUE(RIGHT(B1407,2))),DATE(VALUE(RIGHT(B1407,4)),MATCH(MID(B1407,4,3),{"Jan","Feb","Mar","Apr","May","Jun","Jul","Aug","Sep","Oct","Nov","Dec"},0),VALUE(LEFT(B1407,2)))))</f>
        <v>45866</v>
      </c>
    </row>
    <row r="1408" customFormat="false" ht="15" hidden="false" customHeight="false" outlineLevel="0" collapsed="false">
      <c r="A1408" s="7" t="s">
        <v>3773</v>
      </c>
      <c r="B1408" s="7" t="s">
        <v>2097</v>
      </c>
      <c r="C1408" s="7" t="s">
        <v>3774</v>
      </c>
      <c r="D1408" s="7" t="s">
        <v>2483</v>
      </c>
      <c r="E1408" s="7" t="s">
        <v>126</v>
      </c>
      <c r="F1408" s="7" t="s">
        <v>1557</v>
      </c>
      <c r="G1408" s="7" t="s">
        <v>105</v>
      </c>
      <c r="H1408" s="7" t="n">
        <v>2</v>
      </c>
      <c r="I1408" s="7" t="n">
        <v>205</v>
      </c>
      <c r="J1408" s="7" t="n">
        <v>0</v>
      </c>
      <c r="K1408" s="7" t="s">
        <v>121</v>
      </c>
      <c r="L1408" s="7" t="s">
        <v>194</v>
      </c>
      <c r="M1408" s="7" t="n">
        <v>38</v>
      </c>
      <c r="N1408" s="7" t="n">
        <v>5</v>
      </c>
      <c r="O1408" s="7" t="str">
        <f aca="false">A1408&amp;"|"&amp;B1408&amp;"|"&amp;C1408&amp;"|"&amp;D1408&amp;"|"&amp;E1408&amp;"|"&amp;F1408&amp;"|"&amp;G1408&amp;"|"&amp;H1408&amp;"|"&amp;I1408&amp;"|"&amp;J1408&amp;"|"&amp;K1408&amp;"|"&amp;L1408&amp;"|"&amp;M1408&amp;"|"&amp;N1408</f>
        <v>ORD12904|2025-12-21|12:52|C0360|Dragon Express|Mumbai |Chinese|2|205|0|Wallet|Delivered|38|5</v>
      </c>
      <c r="P1408" s="7" t="str">
        <f aca="false">IF(COUNTIF($O$2:O1408,O1408)&gt;1,"DUP","OK")</f>
        <v>OK</v>
      </c>
      <c r="Q1408" s="7" t="n">
        <f aca="false">COUNTBLANK(A1408:N1408)</f>
        <v>0</v>
      </c>
      <c r="R1408" s="7" t="n">
        <f aca="false">IF(A1408="",0,COUNTIFS($A$2:$A$3058,A1408,$P$2:$P$3058,"OK"))</f>
        <v>1</v>
      </c>
      <c r="S1408" s="7" t="str">
        <f aca="false">IF(OR(A1408="",P1408="DUP",R1408&lt;2),"",IF(Q1408=_xlfn.MINIFS($Q$2:$Q$3058,$A$2:$A$3058,A1408,$P$2:$P$3058,"OK"),"KEEP","DROP"))</f>
        <v/>
      </c>
      <c r="T1408" s="9" t="n">
        <f aca="false">IF(A1408="",1,0)</f>
        <v>0</v>
      </c>
      <c r="U1408" s="9" t="n">
        <f aca="false">IF(D1408="",1,0)</f>
        <v>0</v>
      </c>
      <c r="V1408" s="9" t="n">
        <f aca="false">IF(E1408="",1,0)</f>
        <v>0</v>
      </c>
      <c r="W1408" s="9" t="n">
        <f aca="false">IF(OR(H1408&lt;1,H1408&gt;10),1,0)</f>
        <v>0</v>
      </c>
      <c r="X1408" s="9" t="n">
        <f aca="false">IF(OR(I1408&lt;=0,I1408&gt;1500),1,0)</f>
        <v>0</v>
      </c>
      <c r="Y1408" s="9" t="n">
        <f aca="false">IF(J1408&gt;H1408*I1408,1,0)</f>
        <v>0</v>
      </c>
      <c r="Z1408" s="9" t="n">
        <f aca="false">IF(AND(N1408&lt;&gt;"",OR(N1408&lt;1,N1408&gt;5)),1,0)</f>
        <v>0</v>
      </c>
      <c r="AA1408" s="9" t="n">
        <f aca="false">IF(AND(M1408&lt;&gt;"",OR(M1408&lt;5,M1408&gt;180)),1,0)</f>
        <v>0</v>
      </c>
      <c r="AB1408" s="7" t="str">
        <f aca="false">IF(P1408="DUP","Exact duplicate row",IF(T1408=1,"Missing Order ID",IF(S1408="DROP","Duplicate Order ID (less complete row)",IF(U1408=1,"Missing Customer ID",IF(V1408=1,"Missing Restaurant name",IF(W1408=1,"Invalid/outlier quantity",IF(X1408=1,"Invalid/outlier unit price",IF(Y1408=1,"Discount greater than order value",""))))))))</f>
        <v/>
      </c>
      <c r="AC1408" s="7" t="str">
        <f aca="false">IF(AB1408="","KEEP","DROP")</f>
        <v>KEEP</v>
      </c>
      <c r="AD1408" s="7" t="str">
        <f aca="false">IF(TRIM(F1408)="",IFERROR(INDEX(Map_Tables!$I$4:$I$37,MATCH(TRIM(E1408),Map_Tables!$G$4:$G$37,0)),""),IFERROR(INDEX(Map_Tables!$B$4:$B$18,MATCH(TRIM(F1408),Map_Tables!$A$4:$A$18,0)),"CHECK"))</f>
        <v>Mumbai</v>
      </c>
      <c r="AE1408" s="7" t="str">
        <f aca="false">IF(TRIM(E1408)="","",IFERROR(INDEX(Map_Tables!$H$4:$H$37,MATCH(TRIM(E1408),Map_Tables!$G$4:$G$37,0)),"CHECK"))</f>
        <v>Dragon Express</v>
      </c>
      <c r="AF1408" s="7" t="str">
        <f aca="false">IF(TRIM(K1408)="","Unknown",IFERROR(INDEX(Map_Tables!$E$4:$E$15,MATCH(TRIM(K1408),Map_Tables!$D$4:$D$15,0)),"CHECK"))</f>
        <v>Wallet</v>
      </c>
      <c r="AG1408" s="7" t="str">
        <f aca="false">IF(LEFT(LOWER(TRIM(L1408)),6)="cancel","Cancelled","Delivered")</f>
        <v>Delivered</v>
      </c>
      <c r="AH1408" s="10" t="n">
        <f aca="false">IF(ISNUMBER(SEARCH("/",B1408)),DATE(VALUE(RIGHT(B1408,4)),VALUE(MID(B1408,4,2)),VALUE(LEFT(B1408,2))),IF(MID(B1408,5,1)="-",DATE(VALUE(LEFT(B1408,4)),VALUE(MID(B1408,6,2)),VALUE(RIGHT(B1408,2))),DATE(VALUE(RIGHT(B1408,4)),MATCH(MID(B1408,4,3),{"Jan","Feb","Mar","Apr","May","Jun","Jul","Aug","Sep","Oct","Nov","Dec"},0),VALUE(LEFT(B1408,2)))))</f>
        <v>46012</v>
      </c>
    </row>
    <row r="1409" customFormat="false" ht="15" hidden="false" customHeight="false" outlineLevel="0" collapsed="false">
      <c r="A1409" s="7" t="s">
        <v>3775</v>
      </c>
      <c r="B1409" s="7" t="s">
        <v>2415</v>
      </c>
      <c r="C1409" s="7" t="s">
        <v>2138</v>
      </c>
      <c r="D1409" s="7" t="s">
        <v>2411</v>
      </c>
      <c r="E1409" s="7" t="s">
        <v>104</v>
      </c>
      <c r="F1409" s="7" t="s">
        <v>86</v>
      </c>
      <c r="G1409" s="7" t="s">
        <v>105</v>
      </c>
      <c r="H1409" s="7" t="n">
        <v>2</v>
      </c>
      <c r="I1409" s="7" t="n">
        <v>210</v>
      </c>
      <c r="J1409" s="7" t="n">
        <v>0</v>
      </c>
      <c r="K1409" s="7" t="s">
        <v>93</v>
      </c>
      <c r="L1409" s="7" t="s">
        <v>194</v>
      </c>
      <c r="M1409" s="7" t="n">
        <v>38</v>
      </c>
      <c r="N1409" s="7" t="n">
        <v>3</v>
      </c>
      <c r="O1409" s="7" t="str">
        <f aca="false">A1409&amp;"|"&amp;B1409&amp;"|"&amp;C1409&amp;"|"&amp;D1409&amp;"|"&amp;E1409&amp;"|"&amp;F1409&amp;"|"&amp;G1409&amp;"|"&amp;H1409&amp;"|"&amp;I1409&amp;"|"&amp;J1409&amp;"|"&amp;K1409&amp;"|"&amp;L1409&amp;"|"&amp;M1409&amp;"|"&amp;N1409</f>
        <v>ORD12624|20/11/2025|12:55|C0477|Wok &amp; Roll|Bengaluru|Chinese|2|210|0|Credit Card|Delivered|38|3</v>
      </c>
      <c r="P1409" s="7" t="str">
        <f aca="false">IF(COUNTIF($O$2:O1409,O1409)&gt;1,"DUP","OK")</f>
        <v>OK</v>
      </c>
      <c r="Q1409" s="7" t="n">
        <f aca="false">COUNTBLANK(A1409:N1409)</f>
        <v>0</v>
      </c>
      <c r="R1409" s="7" t="n">
        <f aca="false">IF(A1409="",0,COUNTIFS($A$2:$A$3058,A1409,$P$2:$P$3058,"OK"))</f>
        <v>1</v>
      </c>
      <c r="S1409" s="7" t="str">
        <f aca="false">IF(OR(A1409="",P1409="DUP",R1409&lt;2),"",IF(Q1409=_xlfn.MINIFS($Q$2:$Q$3058,$A$2:$A$3058,A1409,$P$2:$P$3058,"OK"),"KEEP","DROP"))</f>
        <v/>
      </c>
      <c r="T1409" s="9" t="n">
        <f aca="false">IF(A1409="",1,0)</f>
        <v>0</v>
      </c>
      <c r="U1409" s="9" t="n">
        <f aca="false">IF(D1409="",1,0)</f>
        <v>0</v>
      </c>
      <c r="V1409" s="9" t="n">
        <f aca="false">IF(E1409="",1,0)</f>
        <v>0</v>
      </c>
      <c r="W1409" s="9" t="n">
        <f aca="false">IF(OR(H1409&lt;1,H1409&gt;10),1,0)</f>
        <v>0</v>
      </c>
      <c r="X1409" s="9" t="n">
        <f aca="false">IF(OR(I1409&lt;=0,I1409&gt;1500),1,0)</f>
        <v>0</v>
      </c>
      <c r="Y1409" s="9" t="n">
        <f aca="false">IF(J1409&gt;H1409*I1409,1,0)</f>
        <v>0</v>
      </c>
      <c r="Z1409" s="9" t="n">
        <f aca="false">IF(AND(N1409&lt;&gt;"",OR(N1409&lt;1,N1409&gt;5)),1,0)</f>
        <v>0</v>
      </c>
      <c r="AA1409" s="9" t="n">
        <f aca="false">IF(AND(M1409&lt;&gt;"",OR(M1409&lt;5,M1409&gt;180)),1,0)</f>
        <v>0</v>
      </c>
      <c r="AB1409" s="7" t="str">
        <f aca="false">IF(P1409="DUP","Exact duplicate row",IF(T1409=1,"Missing Order ID",IF(S1409="DROP","Duplicate Order ID (less complete row)",IF(U1409=1,"Missing Customer ID",IF(V1409=1,"Missing Restaurant name",IF(W1409=1,"Invalid/outlier quantity",IF(X1409=1,"Invalid/outlier unit price",IF(Y1409=1,"Discount greater than order value",""))))))))</f>
        <v/>
      </c>
      <c r="AC1409" s="7" t="str">
        <f aca="false">IF(AB1409="","KEEP","DROP")</f>
        <v>KEEP</v>
      </c>
      <c r="AD1409" s="7" t="str">
        <f aca="false">IF(TRIM(F1409)="",IFERROR(INDEX(Map_Tables!$I$4:$I$37,MATCH(TRIM(E1409),Map_Tables!$G$4:$G$37,0)),""),IFERROR(INDEX(Map_Tables!$B$4:$B$18,MATCH(TRIM(F1409),Map_Tables!$A$4:$A$18,0)),"CHECK"))</f>
        <v>Bengaluru</v>
      </c>
      <c r="AE1409" s="7" t="str">
        <f aca="false">IF(TRIM(E1409)="","",IFERROR(INDEX(Map_Tables!$H$4:$H$37,MATCH(TRIM(E1409),Map_Tables!$G$4:$G$37,0)),"CHECK"))</f>
        <v>Wok &amp; Roll</v>
      </c>
      <c r="AF1409" s="7" t="str">
        <f aca="false">IF(TRIM(K1409)="","Unknown",IFERROR(INDEX(Map_Tables!$E$4:$E$15,MATCH(TRIM(K1409),Map_Tables!$D$4:$D$15,0)),"CHECK"))</f>
        <v>Credit Card</v>
      </c>
      <c r="AG1409" s="7" t="str">
        <f aca="false">IF(LEFT(LOWER(TRIM(L1409)),6)="cancel","Cancelled","Delivered")</f>
        <v>Delivered</v>
      </c>
      <c r="AH1409" s="10" t="n">
        <f aca="false">IF(ISNUMBER(SEARCH("/",B1409)),DATE(VALUE(RIGHT(B1409,4)),VALUE(MID(B1409,4,2)),VALUE(LEFT(B1409,2))),IF(MID(B1409,5,1)="-",DATE(VALUE(LEFT(B1409,4)),VALUE(MID(B1409,6,2)),VALUE(RIGHT(B1409,2))),DATE(VALUE(RIGHT(B1409,4)),MATCH(MID(B1409,4,3),{"Jan","Feb","Mar","Apr","May","Jun","Jul","Aug","Sep","Oct","Nov","Dec"},0),VALUE(LEFT(B1409,2)))))</f>
        <v>45981</v>
      </c>
    </row>
    <row r="1410" customFormat="false" ht="15" hidden="false" customHeight="false" outlineLevel="0" collapsed="false">
      <c r="A1410" s="7" t="s">
        <v>3776</v>
      </c>
      <c r="B1410" s="7" t="s">
        <v>493</v>
      </c>
      <c r="C1410" s="7" t="s">
        <v>327</v>
      </c>
      <c r="D1410" s="7" t="s">
        <v>1825</v>
      </c>
      <c r="E1410" s="7" t="s">
        <v>89</v>
      </c>
      <c r="F1410" s="7" t="s">
        <v>729</v>
      </c>
      <c r="G1410" s="7" t="s">
        <v>90</v>
      </c>
      <c r="H1410" s="7" t="n">
        <v>3</v>
      </c>
      <c r="I1410" s="7" t="n">
        <v>185</v>
      </c>
      <c r="J1410" s="7" t="n">
        <v>150</v>
      </c>
      <c r="K1410" s="7" t="s">
        <v>93</v>
      </c>
      <c r="L1410" s="7" t="s">
        <v>194</v>
      </c>
      <c r="M1410" s="7" t="n">
        <v>33</v>
      </c>
      <c r="N1410" s="7" t="n">
        <v>5</v>
      </c>
      <c r="O1410" s="7" t="str">
        <f aca="false">A1410&amp;"|"&amp;B1410&amp;"|"&amp;C1410&amp;"|"&amp;D1410&amp;"|"&amp;E1410&amp;"|"&amp;F1410&amp;"|"&amp;G1410&amp;"|"&amp;H1410&amp;"|"&amp;I1410&amp;"|"&amp;J1410&amp;"|"&amp;K1410&amp;"|"&amp;L1410&amp;"|"&amp;M1410&amp;"|"&amp;N1410</f>
        <v>ORD10228|2025-01-31|19:10|C0308|Spice Junction|BENGALURU|North Indian|3|185|150|Credit Card|Delivered|33|5</v>
      </c>
      <c r="P1410" s="7" t="str">
        <f aca="false">IF(COUNTIF($O$2:O1410,O1410)&gt;1,"DUP","OK")</f>
        <v>OK</v>
      </c>
      <c r="Q1410" s="7" t="n">
        <f aca="false">COUNTBLANK(A1410:N1410)</f>
        <v>0</v>
      </c>
      <c r="R1410" s="7" t="n">
        <f aca="false">IF(A1410="",0,COUNTIFS($A$2:$A$3058,A1410,$P$2:$P$3058,"OK"))</f>
        <v>1</v>
      </c>
      <c r="S1410" s="7" t="str">
        <f aca="false">IF(OR(A1410="",P1410="DUP",R1410&lt;2),"",IF(Q1410=_xlfn.MINIFS($Q$2:$Q$3058,$A$2:$A$3058,A1410,$P$2:$P$3058,"OK"),"KEEP","DROP"))</f>
        <v/>
      </c>
      <c r="T1410" s="9" t="n">
        <f aca="false">IF(A1410="",1,0)</f>
        <v>0</v>
      </c>
      <c r="U1410" s="9" t="n">
        <f aca="false">IF(D1410="",1,0)</f>
        <v>0</v>
      </c>
      <c r="V1410" s="9" t="n">
        <f aca="false">IF(E1410="",1,0)</f>
        <v>0</v>
      </c>
      <c r="W1410" s="9" t="n">
        <f aca="false">IF(OR(H1410&lt;1,H1410&gt;10),1,0)</f>
        <v>0</v>
      </c>
      <c r="X1410" s="9" t="n">
        <f aca="false">IF(OR(I1410&lt;=0,I1410&gt;1500),1,0)</f>
        <v>0</v>
      </c>
      <c r="Y1410" s="9" t="n">
        <f aca="false">IF(J1410&gt;H1410*I1410,1,0)</f>
        <v>0</v>
      </c>
      <c r="Z1410" s="9" t="n">
        <f aca="false">IF(AND(N1410&lt;&gt;"",OR(N1410&lt;1,N1410&gt;5)),1,0)</f>
        <v>0</v>
      </c>
      <c r="AA1410" s="9" t="n">
        <f aca="false">IF(AND(M1410&lt;&gt;"",OR(M1410&lt;5,M1410&gt;180)),1,0)</f>
        <v>0</v>
      </c>
      <c r="AB1410" s="7" t="str">
        <f aca="false">IF(P1410="DUP","Exact duplicate row",IF(T1410=1,"Missing Order ID",IF(S1410="DROP","Duplicate Order ID (less complete row)",IF(U1410=1,"Missing Customer ID",IF(V1410=1,"Missing Restaurant name",IF(W1410=1,"Invalid/outlier quantity",IF(X1410=1,"Invalid/outlier unit price",IF(Y1410=1,"Discount greater than order value",""))))))))</f>
        <v/>
      </c>
      <c r="AC1410" s="7" t="str">
        <f aca="false">IF(AB1410="","KEEP","DROP")</f>
        <v>KEEP</v>
      </c>
      <c r="AD1410" s="7" t="str">
        <f aca="false">IF(TRIM(F1410)="",IFERROR(INDEX(Map_Tables!$I$4:$I$37,MATCH(TRIM(E1410),Map_Tables!$G$4:$G$37,0)),""),IFERROR(INDEX(Map_Tables!$B$4:$B$18,MATCH(TRIM(F1410),Map_Tables!$A$4:$A$18,0)),"CHECK"))</f>
        <v>Bengaluru</v>
      </c>
      <c r="AE1410" s="7" t="str">
        <f aca="false">IF(TRIM(E1410)="","",IFERROR(INDEX(Map_Tables!$H$4:$H$37,MATCH(TRIM(E1410),Map_Tables!$G$4:$G$37,0)),"CHECK"))</f>
        <v>Spice Junction</v>
      </c>
      <c r="AF1410" s="7" t="str">
        <f aca="false">IF(TRIM(K1410)="","Unknown",IFERROR(INDEX(Map_Tables!$E$4:$E$15,MATCH(TRIM(K1410),Map_Tables!$D$4:$D$15,0)),"CHECK"))</f>
        <v>Credit Card</v>
      </c>
      <c r="AG1410" s="7" t="str">
        <f aca="false">IF(LEFT(LOWER(TRIM(L1410)),6)="cancel","Cancelled","Delivered")</f>
        <v>Delivered</v>
      </c>
      <c r="AH1410" s="10" t="n">
        <f aca="false">IF(ISNUMBER(SEARCH("/",B1410)),DATE(VALUE(RIGHT(B1410,4)),VALUE(MID(B1410,4,2)),VALUE(LEFT(B1410,2))),IF(MID(B1410,5,1)="-",DATE(VALUE(LEFT(B1410,4)),VALUE(MID(B1410,6,2)),VALUE(RIGHT(B1410,2))),DATE(VALUE(RIGHT(B1410,4)),MATCH(MID(B1410,4,3),{"Jan","Feb","Mar","Apr","May","Jun","Jul","Aug","Sep","Oct","Nov","Dec"},0),VALUE(LEFT(B1410,2)))))</f>
        <v>45688</v>
      </c>
    </row>
    <row r="1411" customFormat="false" ht="15" hidden="false" customHeight="false" outlineLevel="0" collapsed="false">
      <c r="A1411" s="7" t="s">
        <v>3777</v>
      </c>
      <c r="B1411" s="7" t="s">
        <v>1883</v>
      </c>
      <c r="C1411" s="7" t="s">
        <v>846</v>
      </c>
      <c r="D1411" s="7" t="s">
        <v>2134</v>
      </c>
      <c r="E1411" s="7" t="s">
        <v>134</v>
      </c>
      <c r="F1411" s="7" t="s">
        <v>110</v>
      </c>
      <c r="G1411" s="7" t="s">
        <v>117</v>
      </c>
      <c r="H1411" s="7" t="n">
        <v>2</v>
      </c>
      <c r="I1411" s="7" t="n">
        <v>110</v>
      </c>
      <c r="J1411" s="7" t="n">
        <v>30</v>
      </c>
      <c r="K1411" s="7" t="s">
        <v>421</v>
      </c>
      <c r="L1411" s="7" t="s">
        <v>194</v>
      </c>
      <c r="M1411" s="7" t="n">
        <v>29</v>
      </c>
      <c r="N1411" s="7" t="n">
        <v>5</v>
      </c>
      <c r="O1411" s="7" t="str">
        <f aca="false">A1411&amp;"|"&amp;B1411&amp;"|"&amp;C1411&amp;"|"&amp;D1411&amp;"|"&amp;E1411&amp;"|"&amp;F1411&amp;"|"&amp;G1411&amp;"|"&amp;H1411&amp;"|"&amp;I1411&amp;"|"&amp;J1411&amp;"|"&amp;K1411&amp;"|"&amp;L1411&amp;"|"&amp;M1411&amp;"|"&amp;N1411</f>
        <v>ORD11645|2025-08-03|11:27|C1016|Chaat Corner|Delhi|Street Food|2|110|30|UPI |Delivered|29|5</v>
      </c>
      <c r="P1411" s="7" t="str">
        <f aca="false">IF(COUNTIF($O$2:O1411,O1411)&gt;1,"DUP","OK")</f>
        <v>OK</v>
      </c>
      <c r="Q1411" s="7" t="n">
        <f aca="false">COUNTBLANK(A1411:N1411)</f>
        <v>0</v>
      </c>
      <c r="R1411" s="7" t="n">
        <f aca="false">IF(A1411="",0,COUNTIFS($A$2:$A$3058,A1411,$P$2:$P$3058,"OK"))</f>
        <v>1</v>
      </c>
      <c r="S1411" s="7" t="str">
        <f aca="false">IF(OR(A1411="",P1411="DUP",R1411&lt;2),"",IF(Q1411=_xlfn.MINIFS($Q$2:$Q$3058,$A$2:$A$3058,A1411,$P$2:$P$3058,"OK"),"KEEP","DROP"))</f>
        <v/>
      </c>
      <c r="T1411" s="9" t="n">
        <f aca="false">IF(A1411="",1,0)</f>
        <v>0</v>
      </c>
      <c r="U1411" s="9" t="n">
        <f aca="false">IF(D1411="",1,0)</f>
        <v>0</v>
      </c>
      <c r="V1411" s="9" t="n">
        <f aca="false">IF(E1411="",1,0)</f>
        <v>0</v>
      </c>
      <c r="W1411" s="9" t="n">
        <f aca="false">IF(OR(H1411&lt;1,H1411&gt;10),1,0)</f>
        <v>0</v>
      </c>
      <c r="X1411" s="9" t="n">
        <f aca="false">IF(OR(I1411&lt;=0,I1411&gt;1500),1,0)</f>
        <v>0</v>
      </c>
      <c r="Y1411" s="9" t="n">
        <f aca="false">IF(J1411&gt;H1411*I1411,1,0)</f>
        <v>0</v>
      </c>
      <c r="Z1411" s="9" t="n">
        <f aca="false">IF(AND(N1411&lt;&gt;"",OR(N1411&lt;1,N1411&gt;5)),1,0)</f>
        <v>0</v>
      </c>
      <c r="AA1411" s="9" t="n">
        <f aca="false">IF(AND(M1411&lt;&gt;"",OR(M1411&lt;5,M1411&gt;180)),1,0)</f>
        <v>0</v>
      </c>
      <c r="AB1411" s="7" t="str">
        <f aca="false">IF(P1411="DUP","Exact duplicate row",IF(T1411=1,"Missing Order ID",IF(S1411="DROP","Duplicate Order ID (less complete row)",IF(U1411=1,"Missing Customer ID",IF(V1411=1,"Missing Restaurant name",IF(W1411=1,"Invalid/outlier quantity",IF(X1411=1,"Invalid/outlier unit price",IF(Y1411=1,"Discount greater than order value",""))))))))</f>
        <v/>
      </c>
      <c r="AC1411" s="7" t="str">
        <f aca="false">IF(AB1411="","KEEP","DROP")</f>
        <v>KEEP</v>
      </c>
      <c r="AD1411" s="7" t="str">
        <f aca="false">IF(TRIM(F1411)="",IFERROR(INDEX(Map_Tables!$I$4:$I$37,MATCH(TRIM(E1411),Map_Tables!$G$4:$G$37,0)),""),IFERROR(INDEX(Map_Tables!$B$4:$B$18,MATCH(TRIM(F1411),Map_Tables!$A$4:$A$18,0)),"CHECK"))</f>
        <v>Delhi</v>
      </c>
      <c r="AE1411" s="7" t="str">
        <f aca="false">IF(TRIM(E1411)="","",IFERROR(INDEX(Map_Tables!$H$4:$H$37,MATCH(TRIM(E1411),Map_Tables!$G$4:$G$37,0)),"CHECK"))</f>
        <v>Chaat Corner</v>
      </c>
      <c r="AF1411" s="7" t="str">
        <f aca="false">IF(TRIM(K1411)="","Unknown",IFERROR(INDEX(Map_Tables!$E$4:$E$15,MATCH(TRIM(K1411),Map_Tables!$D$4:$D$15,0)),"CHECK"))</f>
        <v>UPI</v>
      </c>
      <c r="AG1411" s="7" t="str">
        <f aca="false">IF(LEFT(LOWER(TRIM(L1411)),6)="cancel","Cancelled","Delivered")</f>
        <v>Delivered</v>
      </c>
      <c r="AH1411" s="10" t="n">
        <f aca="false">IF(ISNUMBER(SEARCH("/",B1411)),DATE(VALUE(RIGHT(B1411,4)),VALUE(MID(B1411,4,2)),VALUE(LEFT(B1411,2))),IF(MID(B1411,5,1)="-",DATE(VALUE(LEFT(B1411,4)),VALUE(MID(B1411,6,2)),VALUE(RIGHT(B1411,2))),DATE(VALUE(RIGHT(B1411,4)),MATCH(MID(B1411,4,3),{"Jan","Feb","Mar","Apr","May","Jun","Jul","Aug","Sep","Oct","Nov","Dec"},0),VALUE(LEFT(B1411,2)))))</f>
        <v>45872</v>
      </c>
    </row>
    <row r="1412" customFormat="false" ht="15" hidden="false" customHeight="false" outlineLevel="0" collapsed="false">
      <c r="A1412" s="7" t="s">
        <v>3778</v>
      </c>
      <c r="B1412" s="7" t="s">
        <v>1458</v>
      </c>
      <c r="C1412" s="7" t="s">
        <v>3415</v>
      </c>
      <c r="D1412" s="7" t="s">
        <v>3779</v>
      </c>
      <c r="E1412" s="7" t="s">
        <v>2294</v>
      </c>
      <c r="F1412" s="7" t="s">
        <v>110</v>
      </c>
      <c r="G1412" s="7" t="s">
        <v>139</v>
      </c>
      <c r="H1412" s="7" t="n">
        <v>4</v>
      </c>
      <c r="I1412" s="7" t="n">
        <v>175</v>
      </c>
      <c r="J1412" s="7" t="n">
        <v>0</v>
      </c>
      <c r="K1412" s="7" t="s">
        <v>93</v>
      </c>
      <c r="L1412" s="7" t="s">
        <v>194</v>
      </c>
      <c r="M1412" s="7" t="n">
        <v>41</v>
      </c>
      <c r="N1412" s="7" t="n">
        <v>2</v>
      </c>
      <c r="O1412" s="7" t="str">
        <f aca="false">A1412&amp;"|"&amp;B1412&amp;"|"&amp;C1412&amp;"|"&amp;D1412&amp;"|"&amp;E1412&amp;"|"&amp;F1412&amp;"|"&amp;G1412&amp;"|"&amp;H1412&amp;"|"&amp;I1412&amp;"|"&amp;J1412&amp;"|"&amp;K1412&amp;"|"&amp;L1412&amp;"|"&amp;M1412&amp;"|"&amp;N1412</f>
        <v>ORD11026|2025-05-10|12:39|C1159|burger barn|Delhi|Burgers|4|175|0|Credit Card|Delivered|41|2</v>
      </c>
      <c r="P1412" s="7" t="str">
        <f aca="false">IF(COUNTIF($O$2:O1412,O1412)&gt;1,"DUP","OK")</f>
        <v>OK</v>
      </c>
      <c r="Q1412" s="7" t="n">
        <f aca="false">COUNTBLANK(A1412:N1412)</f>
        <v>0</v>
      </c>
      <c r="R1412" s="7" t="n">
        <f aca="false">IF(A1412="",0,COUNTIFS($A$2:$A$3058,A1412,$P$2:$P$3058,"OK"))</f>
        <v>1</v>
      </c>
      <c r="S1412" s="7" t="str">
        <f aca="false">IF(OR(A1412="",P1412="DUP",R1412&lt;2),"",IF(Q1412=_xlfn.MINIFS($Q$2:$Q$3058,$A$2:$A$3058,A1412,$P$2:$P$3058,"OK"),"KEEP","DROP"))</f>
        <v/>
      </c>
      <c r="T1412" s="9" t="n">
        <f aca="false">IF(A1412="",1,0)</f>
        <v>0</v>
      </c>
      <c r="U1412" s="9" t="n">
        <f aca="false">IF(D1412="",1,0)</f>
        <v>0</v>
      </c>
      <c r="V1412" s="9" t="n">
        <f aca="false">IF(E1412="",1,0)</f>
        <v>0</v>
      </c>
      <c r="W1412" s="9" t="n">
        <f aca="false">IF(OR(H1412&lt;1,H1412&gt;10),1,0)</f>
        <v>0</v>
      </c>
      <c r="X1412" s="9" t="n">
        <f aca="false">IF(OR(I1412&lt;=0,I1412&gt;1500),1,0)</f>
        <v>0</v>
      </c>
      <c r="Y1412" s="9" t="n">
        <f aca="false">IF(J1412&gt;H1412*I1412,1,0)</f>
        <v>0</v>
      </c>
      <c r="Z1412" s="9" t="n">
        <f aca="false">IF(AND(N1412&lt;&gt;"",OR(N1412&lt;1,N1412&gt;5)),1,0)</f>
        <v>0</v>
      </c>
      <c r="AA1412" s="9" t="n">
        <f aca="false">IF(AND(M1412&lt;&gt;"",OR(M1412&lt;5,M1412&gt;180)),1,0)</f>
        <v>0</v>
      </c>
      <c r="AB1412" s="7" t="str">
        <f aca="false">IF(P1412="DUP","Exact duplicate row",IF(T1412=1,"Missing Order ID",IF(S1412="DROP","Duplicate Order ID (less complete row)",IF(U1412=1,"Missing Customer ID",IF(V1412=1,"Missing Restaurant name",IF(W1412=1,"Invalid/outlier quantity",IF(X1412=1,"Invalid/outlier unit price",IF(Y1412=1,"Discount greater than order value",""))))))))</f>
        <v/>
      </c>
      <c r="AC1412" s="7" t="str">
        <f aca="false">IF(AB1412="","KEEP","DROP")</f>
        <v>KEEP</v>
      </c>
      <c r="AD1412" s="7" t="str">
        <f aca="false">IF(TRIM(F1412)="",IFERROR(INDEX(Map_Tables!$I$4:$I$37,MATCH(TRIM(E1412),Map_Tables!$G$4:$G$37,0)),""),IFERROR(INDEX(Map_Tables!$B$4:$B$18,MATCH(TRIM(F1412),Map_Tables!$A$4:$A$18,0)),"CHECK"))</f>
        <v>Delhi</v>
      </c>
      <c r="AE1412" s="7" t="str">
        <f aca="false">IF(TRIM(E1412)="","",IFERROR(INDEX(Map_Tables!$H$4:$H$37,MATCH(TRIM(E1412),Map_Tables!$G$4:$G$37,0)),"CHECK"))</f>
        <v>Burger Barn</v>
      </c>
      <c r="AF1412" s="7" t="str">
        <f aca="false">IF(TRIM(K1412)="","Unknown",IFERROR(INDEX(Map_Tables!$E$4:$E$15,MATCH(TRIM(K1412),Map_Tables!$D$4:$D$15,0)),"CHECK"))</f>
        <v>Credit Card</v>
      </c>
      <c r="AG1412" s="7" t="str">
        <f aca="false">IF(LEFT(LOWER(TRIM(L1412)),6)="cancel","Cancelled","Delivered")</f>
        <v>Delivered</v>
      </c>
      <c r="AH1412" s="10" t="n">
        <f aca="false">IF(ISNUMBER(SEARCH("/",B1412)),DATE(VALUE(RIGHT(B1412,4)),VALUE(MID(B1412,4,2)),VALUE(LEFT(B1412,2))),IF(MID(B1412,5,1)="-",DATE(VALUE(LEFT(B1412,4)),VALUE(MID(B1412,6,2)),VALUE(RIGHT(B1412,2))),DATE(VALUE(RIGHT(B1412,4)),MATCH(MID(B1412,4,3),{"Jan","Feb","Mar","Apr","May","Jun","Jul","Aug","Sep","Oct","Nov","Dec"},0),VALUE(LEFT(B1412,2)))))</f>
        <v>45787</v>
      </c>
    </row>
    <row r="1413" customFormat="false" ht="15" hidden="false" customHeight="false" outlineLevel="0" collapsed="false">
      <c r="A1413" s="7" t="s">
        <v>3780</v>
      </c>
      <c r="B1413" s="7" t="s">
        <v>3637</v>
      </c>
      <c r="C1413" s="7" t="s">
        <v>3781</v>
      </c>
      <c r="D1413" s="7" t="s">
        <v>2117</v>
      </c>
      <c r="E1413" s="7" t="s">
        <v>130</v>
      </c>
      <c r="F1413" s="7" t="s">
        <v>110</v>
      </c>
      <c r="G1413" s="7" t="s">
        <v>90</v>
      </c>
      <c r="H1413" s="7" t="n">
        <v>2</v>
      </c>
      <c r="I1413" s="7" t="n">
        <v>250</v>
      </c>
      <c r="J1413" s="7" t="n">
        <v>100</v>
      </c>
      <c r="K1413" s="7" t="s">
        <v>88</v>
      </c>
      <c r="L1413" s="7" t="s">
        <v>194</v>
      </c>
      <c r="M1413" s="7" t="n">
        <v>28</v>
      </c>
      <c r="N1413" s="7" t="n">
        <v>5</v>
      </c>
      <c r="O1413" s="7" t="str">
        <f aca="false">A1413&amp;"|"&amp;B1413&amp;"|"&amp;C1413&amp;"|"&amp;D1413&amp;"|"&amp;E1413&amp;"|"&amp;F1413&amp;"|"&amp;G1413&amp;"|"&amp;H1413&amp;"|"&amp;I1413&amp;"|"&amp;J1413&amp;"|"&amp;K1413&amp;"|"&amp;L1413&amp;"|"&amp;M1413&amp;"|"&amp;N1413</f>
        <v>ORD12877|2025-12-19|08:28|C1391|Tandoor Tales|Delhi|North Indian|2|250|100|UPI|Delivered|28|5</v>
      </c>
      <c r="P1413" s="7" t="str">
        <f aca="false">IF(COUNTIF($O$2:O1413,O1413)&gt;1,"DUP","OK")</f>
        <v>OK</v>
      </c>
      <c r="Q1413" s="7" t="n">
        <f aca="false">COUNTBLANK(A1413:N1413)</f>
        <v>0</v>
      </c>
      <c r="R1413" s="7" t="n">
        <f aca="false">IF(A1413="",0,COUNTIFS($A$2:$A$3058,A1413,$P$2:$P$3058,"OK"))</f>
        <v>1</v>
      </c>
      <c r="S1413" s="7" t="str">
        <f aca="false">IF(OR(A1413="",P1413="DUP",R1413&lt;2),"",IF(Q1413=_xlfn.MINIFS($Q$2:$Q$3058,$A$2:$A$3058,A1413,$P$2:$P$3058,"OK"),"KEEP","DROP"))</f>
        <v/>
      </c>
      <c r="T1413" s="9" t="n">
        <f aca="false">IF(A1413="",1,0)</f>
        <v>0</v>
      </c>
      <c r="U1413" s="9" t="n">
        <f aca="false">IF(D1413="",1,0)</f>
        <v>0</v>
      </c>
      <c r="V1413" s="9" t="n">
        <f aca="false">IF(E1413="",1,0)</f>
        <v>0</v>
      </c>
      <c r="W1413" s="9" t="n">
        <f aca="false">IF(OR(H1413&lt;1,H1413&gt;10),1,0)</f>
        <v>0</v>
      </c>
      <c r="X1413" s="9" t="n">
        <f aca="false">IF(OR(I1413&lt;=0,I1413&gt;1500),1,0)</f>
        <v>0</v>
      </c>
      <c r="Y1413" s="9" t="n">
        <f aca="false">IF(J1413&gt;H1413*I1413,1,0)</f>
        <v>0</v>
      </c>
      <c r="Z1413" s="9" t="n">
        <f aca="false">IF(AND(N1413&lt;&gt;"",OR(N1413&lt;1,N1413&gt;5)),1,0)</f>
        <v>0</v>
      </c>
      <c r="AA1413" s="9" t="n">
        <f aca="false">IF(AND(M1413&lt;&gt;"",OR(M1413&lt;5,M1413&gt;180)),1,0)</f>
        <v>0</v>
      </c>
      <c r="AB1413" s="7" t="str">
        <f aca="false">IF(P1413="DUP","Exact duplicate row",IF(T1413=1,"Missing Order ID",IF(S1413="DROP","Duplicate Order ID (less complete row)",IF(U1413=1,"Missing Customer ID",IF(V1413=1,"Missing Restaurant name",IF(W1413=1,"Invalid/outlier quantity",IF(X1413=1,"Invalid/outlier unit price",IF(Y1413=1,"Discount greater than order value",""))))))))</f>
        <v/>
      </c>
      <c r="AC1413" s="7" t="str">
        <f aca="false">IF(AB1413="","KEEP","DROP")</f>
        <v>KEEP</v>
      </c>
      <c r="AD1413" s="7" t="str">
        <f aca="false">IF(TRIM(F1413)="",IFERROR(INDEX(Map_Tables!$I$4:$I$37,MATCH(TRIM(E1413),Map_Tables!$G$4:$G$37,0)),""),IFERROR(INDEX(Map_Tables!$B$4:$B$18,MATCH(TRIM(F1413),Map_Tables!$A$4:$A$18,0)),"CHECK"))</f>
        <v>Delhi</v>
      </c>
      <c r="AE1413" s="7" t="str">
        <f aca="false">IF(TRIM(E1413)="","",IFERROR(INDEX(Map_Tables!$H$4:$H$37,MATCH(TRIM(E1413),Map_Tables!$G$4:$G$37,0)),"CHECK"))</f>
        <v>Tandoor Tales</v>
      </c>
      <c r="AF1413" s="7" t="str">
        <f aca="false">IF(TRIM(K1413)="","Unknown",IFERROR(INDEX(Map_Tables!$E$4:$E$15,MATCH(TRIM(K1413),Map_Tables!$D$4:$D$15,0)),"CHECK"))</f>
        <v>UPI</v>
      </c>
      <c r="AG1413" s="7" t="str">
        <f aca="false">IF(LEFT(LOWER(TRIM(L1413)),6)="cancel","Cancelled","Delivered")</f>
        <v>Delivered</v>
      </c>
      <c r="AH1413" s="10" t="n">
        <f aca="false">IF(ISNUMBER(SEARCH("/",B1413)),DATE(VALUE(RIGHT(B1413,4)),VALUE(MID(B1413,4,2)),VALUE(LEFT(B1413,2))),IF(MID(B1413,5,1)="-",DATE(VALUE(LEFT(B1413,4)),VALUE(MID(B1413,6,2)),VALUE(RIGHT(B1413,2))),DATE(VALUE(RIGHT(B1413,4)),MATCH(MID(B1413,4,3),{"Jan","Feb","Mar","Apr","May","Jun","Jul","Aug","Sep","Oct","Nov","Dec"},0),VALUE(LEFT(B1413,2)))))</f>
        <v>46010</v>
      </c>
    </row>
    <row r="1414" customFormat="false" ht="15" hidden="false" customHeight="false" outlineLevel="0" collapsed="false">
      <c r="A1414" s="7" t="s">
        <v>3782</v>
      </c>
      <c r="B1414" s="7" t="s">
        <v>563</v>
      </c>
      <c r="C1414" s="7" t="s">
        <v>2901</v>
      </c>
      <c r="D1414" s="7" t="s">
        <v>2748</v>
      </c>
      <c r="E1414" s="7" t="s">
        <v>142</v>
      </c>
      <c r="F1414" s="7" t="s">
        <v>110</v>
      </c>
      <c r="G1414" s="7" t="s">
        <v>105</v>
      </c>
      <c r="H1414" s="7" t="n">
        <v>2</v>
      </c>
      <c r="I1414" s="7" t="n">
        <v>170</v>
      </c>
      <c r="J1414" s="7" t="n">
        <v>75</v>
      </c>
      <c r="K1414" s="7" t="s">
        <v>93</v>
      </c>
      <c r="L1414" s="7" t="s">
        <v>194</v>
      </c>
      <c r="M1414" s="7" t="n">
        <v>32</v>
      </c>
      <c r="N1414" s="7" t="n">
        <v>4</v>
      </c>
      <c r="O1414" s="7" t="str">
        <f aca="false">A1414&amp;"|"&amp;B1414&amp;"|"&amp;C1414&amp;"|"&amp;D1414&amp;"|"&amp;E1414&amp;"|"&amp;F1414&amp;"|"&amp;G1414&amp;"|"&amp;H1414&amp;"|"&amp;I1414&amp;"|"&amp;J1414&amp;"|"&amp;K1414&amp;"|"&amp;L1414&amp;"|"&amp;M1414&amp;"|"&amp;N1414</f>
        <v>ORD11772|2025-08-20|09:49|C0206|Momo Magic|Delhi|Chinese|2|170|75|Credit Card|Delivered|32|4</v>
      </c>
      <c r="P1414" s="7" t="str">
        <f aca="false">IF(COUNTIF($O$2:O1414,O1414)&gt;1,"DUP","OK")</f>
        <v>OK</v>
      </c>
      <c r="Q1414" s="7" t="n">
        <f aca="false">COUNTBLANK(A1414:N1414)</f>
        <v>0</v>
      </c>
      <c r="R1414" s="7" t="n">
        <f aca="false">IF(A1414="",0,COUNTIFS($A$2:$A$3058,A1414,$P$2:$P$3058,"OK"))</f>
        <v>1</v>
      </c>
      <c r="S1414" s="7" t="str">
        <f aca="false">IF(OR(A1414="",P1414="DUP",R1414&lt;2),"",IF(Q1414=_xlfn.MINIFS($Q$2:$Q$3058,$A$2:$A$3058,A1414,$P$2:$P$3058,"OK"),"KEEP","DROP"))</f>
        <v/>
      </c>
      <c r="T1414" s="9" t="n">
        <f aca="false">IF(A1414="",1,0)</f>
        <v>0</v>
      </c>
      <c r="U1414" s="9" t="n">
        <f aca="false">IF(D1414="",1,0)</f>
        <v>0</v>
      </c>
      <c r="V1414" s="9" t="n">
        <f aca="false">IF(E1414="",1,0)</f>
        <v>0</v>
      </c>
      <c r="W1414" s="9" t="n">
        <f aca="false">IF(OR(H1414&lt;1,H1414&gt;10),1,0)</f>
        <v>0</v>
      </c>
      <c r="X1414" s="9" t="n">
        <f aca="false">IF(OR(I1414&lt;=0,I1414&gt;1500),1,0)</f>
        <v>0</v>
      </c>
      <c r="Y1414" s="9" t="n">
        <f aca="false">IF(J1414&gt;H1414*I1414,1,0)</f>
        <v>0</v>
      </c>
      <c r="Z1414" s="9" t="n">
        <f aca="false">IF(AND(N1414&lt;&gt;"",OR(N1414&lt;1,N1414&gt;5)),1,0)</f>
        <v>0</v>
      </c>
      <c r="AA1414" s="9" t="n">
        <f aca="false">IF(AND(M1414&lt;&gt;"",OR(M1414&lt;5,M1414&gt;180)),1,0)</f>
        <v>0</v>
      </c>
      <c r="AB1414" s="7" t="str">
        <f aca="false">IF(P1414="DUP","Exact duplicate row",IF(T1414=1,"Missing Order ID",IF(S1414="DROP","Duplicate Order ID (less complete row)",IF(U1414=1,"Missing Customer ID",IF(V1414=1,"Missing Restaurant name",IF(W1414=1,"Invalid/outlier quantity",IF(X1414=1,"Invalid/outlier unit price",IF(Y1414=1,"Discount greater than order value",""))))))))</f>
        <v/>
      </c>
      <c r="AC1414" s="7" t="str">
        <f aca="false">IF(AB1414="","KEEP","DROP")</f>
        <v>KEEP</v>
      </c>
      <c r="AD1414" s="7" t="str">
        <f aca="false">IF(TRIM(F1414)="",IFERROR(INDEX(Map_Tables!$I$4:$I$37,MATCH(TRIM(E1414),Map_Tables!$G$4:$G$37,0)),""),IFERROR(INDEX(Map_Tables!$B$4:$B$18,MATCH(TRIM(F1414),Map_Tables!$A$4:$A$18,0)),"CHECK"))</f>
        <v>Delhi</v>
      </c>
      <c r="AE1414" s="7" t="str">
        <f aca="false">IF(TRIM(E1414)="","",IFERROR(INDEX(Map_Tables!$H$4:$H$37,MATCH(TRIM(E1414),Map_Tables!$G$4:$G$37,0)),"CHECK"))</f>
        <v>Momo Magic</v>
      </c>
      <c r="AF1414" s="7" t="str">
        <f aca="false">IF(TRIM(K1414)="","Unknown",IFERROR(INDEX(Map_Tables!$E$4:$E$15,MATCH(TRIM(K1414),Map_Tables!$D$4:$D$15,0)),"CHECK"))</f>
        <v>Credit Card</v>
      </c>
      <c r="AG1414" s="7" t="str">
        <f aca="false">IF(LEFT(LOWER(TRIM(L1414)),6)="cancel","Cancelled","Delivered")</f>
        <v>Delivered</v>
      </c>
      <c r="AH1414" s="10" t="n">
        <f aca="false">IF(ISNUMBER(SEARCH("/",B1414)),DATE(VALUE(RIGHT(B1414,4)),VALUE(MID(B1414,4,2)),VALUE(LEFT(B1414,2))),IF(MID(B1414,5,1)="-",DATE(VALUE(LEFT(B1414,4)),VALUE(MID(B1414,6,2)),VALUE(RIGHT(B1414,2))),DATE(VALUE(RIGHT(B1414,4)),MATCH(MID(B1414,4,3),{"Jan","Feb","Mar","Apr","May","Jun","Jul","Aug","Sep","Oct","Nov","Dec"},0),VALUE(LEFT(B1414,2)))))</f>
        <v>45889</v>
      </c>
    </row>
    <row r="1415" customFormat="false" ht="15" hidden="false" customHeight="false" outlineLevel="0" collapsed="false">
      <c r="A1415" s="7" t="s">
        <v>3783</v>
      </c>
      <c r="B1415" s="7" t="s">
        <v>1065</v>
      </c>
      <c r="C1415" s="7" t="s">
        <v>1340</v>
      </c>
      <c r="D1415" s="7" t="s">
        <v>3784</v>
      </c>
      <c r="E1415" s="7" t="s">
        <v>158</v>
      </c>
      <c r="F1415" s="7" t="s">
        <v>136</v>
      </c>
      <c r="G1415" s="7" t="s">
        <v>139</v>
      </c>
      <c r="H1415" s="7" t="n">
        <v>4</v>
      </c>
      <c r="I1415" s="7" t="n">
        <v>210</v>
      </c>
      <c r="J1415" s="7" t="n">
        <v>0</v>
      </c>
      <c r="K1415" s="7" t="s">
        <v>88</v>
      </c>
      <c r="L1415" s="7" t="s">
        <v>194</v>
      </c>
      <c r="M1415" s="7" t="n">
        <v>33</v>
      </c>
      <c r="N1415" s="7" t="n">
        <v>5</v>
      </c>
      <c r="O1415" s="7" t="str">
        <f aca="false">A1415&amp;"|"&amp;B1415&amp;"|"&amp;C1415&amp;"|"&amp;D1415&amp;"|"&amp;E1415&amp;"|"&amp;F1415&amp;"|"&amp;G1415&amp;"|"&amp;H1415&amp;"|"&amp;I1415&amp;"|"&amp;J1415&amp;"|"&amp;K1415&amp;"|"&amp;L1415&amp;"|"&amp;M1415&amp;"|"&amp;N1415</f>
        <v>ORD10082|2025-01-11|20:34|C1285|Pune Burger Hub|Pune|Burgers|4|210|0|UPI|Delivered|33|5</v>
      </c>
      <c r="P1415" s="7" t="str">
        <f aca="false">IF(COUNTIF($O$2:O1415,O1415)&gt;1,"DUP","OK")</f>
        <v>OK</v>
      </c>
      <c r="Q1415" s="7" t="n">
        <f aca="false">COUNTBLANK(A1415:N1415)</f>
        <v>0</v>
      </c>
      <c r="R1415" s="7" t="n">
        <f aca="false">IF(A1415="",0,COUNTIFS($A$2:$A$3058,A1415,$P$2:$P$3058,"OK"))</f>
        <v>1</v>
      </c>
      <c r="S1415" s="7" t="str">
        <f aca="false">IF(OR(A1415="",P1415="DUP",R1415&lt;2),"",IF(Q1415=_xlfn.MINIFS($Q$2:$Q$3058,$A$2:$A$3058,A1415,$P$2:$P$3058,"OK"),"KEEP","DROP"))</f>
        <v/>
      </c>
      <c r="T1415" s="9" t="n">
        <f aca="false">IF(A1415="",1,0)</f>
        <v>0</v>
      </c>
      <c r="U1415" s="9" t="n">
        <f aca="false">IF(D1415="",1,0)</f>
        <v>0</v>
      </c>
      <c r="V1415" s="9" t="n">
        <f aca="false">IF(E1415="",1,0)</f>
        <v>0</v>
      </c>
      <c r="W1415" s="9" t="n">
        <f aca="false">IF(OR(H1415&lt;1,H1415&gt;10),1,0)</f>
        <v>0</v>
      </c>
      <c r="X1415" s="9" t="n">
        <f aca="false">IF(OR(I1415&lt;=0,I1415&gt;1500),1,0)</f>
        <v>0</v>
      </c>
      <c r="Y1415" s="9" t="n">
        <f aca="false">IF(J1415&gt;H1415*I1415,1,0)</f>
        <v>0</v>
      </c>
      <c r="Z1415" s="9" t="n">
        <f aca="false">IF(AND(N1415&lt;&gt;"",OR(N1415&lt;1,N1415&gt;5)),1,0)</f>
        <v>0</v>
      </c>
      <c r="AA1415" s="9" t="n">
        <f aca="false">IF(AND(M1415&lt;&gt;"",OR(M1415&lt;5,M1415&gt;180)),1,0)</f>
        <v>0</v>
      </c>
      <c r="AB1415" s="7" t="str">
        <f aca="false">IF(P1415="DUP","Exact duplicate row",IF(T1415=1,"Missing Order ID",IF(S1415="DROP","Duplicate Order ID (less complete row)",IF(U1415=1,"Missing Customer ID",IF(V1415=1,"Missing Restaurant name",IF(W1415=1,"Invalid/outlier quantity",IF(X1415=1,"Invalid/outlier unit price",IF(Y1415=1,"Discount greater than order value",""))))))))</f>
        <v/>
      </c>
      <c r="AC1415" s="7" t="str">
        <f aca="false">IF(AB1415="","KEEP","DROP")</f>
        <v>KEEP</v>
      </c>
      <c r="AD1415" s="7" t="str">
        <f aca="false">IF(TRIM(F1415)="",IFERROR(INDEX(Map_Tables!$I$4:$I$37,MATCH(TRIM(E1415),Map_Tables!$G$4:$G$37,0)),""),IFERROR(INDEX(Map_Tables!$B$4:$B$18,MATCH(TRIM(F1415),Map_Tables!$A$4:$A$18,0)),"CHECK"))</f>
        <v>Pune</v>
      </c>
      <c r="AE1415" s="7" t="str">
        <f aca="false">IF(TRIM(E1415)="","",IFERROR(INDEX(Map_Tables!$H$4:$H$37,MATCH(TRIM(E1415),Map_Tables!$G$4:$G$37,0)),"CHECK"))</f>
        <v>Pune Burger Hub</v>
      </c>
      <c r="AF1415" s="7" t="str">
        <f aca="false">IF(TRIM(K1415)="","Unknown",IFERROR(INDEX(Map_Tables!$E$4:$E$15,MATCH(TRIM(K1415),Map_Tables!$D$4:$D$15,0)),"CHECK"))</f>
        <v>UPI</v>
      </c>
      <c r="AG1415" s="7" t="str">
        <f aca="false">IF(LEFT(LOWER(TRIM(L1415)),6)="cancel","Cancelled","Delivered")</f>
        <v>Delivered</v>
      </c>
      <c r="AH1415" s="10" t="n">
        <f aca="false">IF(ISNUMBER(SEARCH("/",B1415)),DATE(VALUE(RIGHT(B1415,4)),VALUE(MID(B1415,4,2)),VALUE(LEFT(B1415,2))),IF(MID(B1415,5,1)="-",DATE(VALUE(LEFT(B1415,4)),VALUE(MID(B1415,6,2)),VALUE(RIGHT(B1415,2))),DATE(VALUE(RIGHT(B1415,4)),MATCH(MID(B1415,4,3),{"Jan","Feb","Mar","Apr","May","Jun","Jul","Aug","Sep","Oct","Nov","Dec"},0),VALUE(LEFT(B1415,2)))))</f>
        <v>45668</v>
      </c>
    </row>
    <row r="1416" customFormat="false" ht="15" hidden="false" customHeight="false" outlineLevel="0" collapsed="false">
      <c r="A1416" s="7" t="s">
        <v>3785</v>
      </c>
      <c r="B1416" s="7" t="s">
        <v>451</v>
      </c>
      <c r="C1416" s="7" t="s">
        <v>1933</v>
      </c>
      <c r="D1416" s="7" t="s">
        <v>3786</v>
      </c>
      <c r="E1416" s="7" t="s">
        <v>98</v>
      </c>
      <c r="F1416" s="7" t="s">
        <v>86</v>
      </c>
      <c r="G1416" s="7" t="s">
        <v>99</v>
      </c>
      <c r="H1416" s="7" t="n">
        <v>1</v>
      </c>
      <c r="I1416" s="7" t="n">
        <v>270</v>
      </c>
      <c r="J1416" s="7" t="n">
        <v>50</v>
      </c>
      <c r="K1416" s="7" t="s">
        <v>103</v>
      </c>
      <c r="L1416" s="7" t="s">
        <v>194</v>
      </c>
      <c r="M1416" s="7" t="n">
        <v>29</v>
      </c>
      <c r="N1416" s="7" t="n">
        <v>5</v>
      </c>
      <c r="O1416" s="7" t="str">
        <f aca="false">A1416&amp;"|"&amp;B1416&amp;"|"&amp;C1416&amp;"|"&amp;D1416&amp;"|"&amp;E1416&amp;"|"&amp;F1416&amp;"|"&amp;G1416&amp;"|"&amp;H1416&amp;"|"&amp;I1416&amp;"|"&amp;J1416&amp;"|"&amp;K1416&amp;"|"&amp;L1416&amp;"|"&amp;M1416&amp;"|"&amp;N1416</f>
        <v>ORD11529|2025-07-17|21:02|C1227|Nawabi Biryani House|Bengaluru|Biryani|1|270|50|Debit Card|Delivered|29|5</v>
      </c>
      <c r="P1416" s="7" t="str">
        <f aca="false">IF(COUNTIF($O$2:O1416,O1416)&gt;1,"DUP","OK")</f>
        <v>OK</v>
      </c>
      <c r="Q1416" s="7" t="n">
        <f aca="false">COUNTBLANK(A1416:N1416)</f>
        <v>0</v>
      </c>
      <c r="R1416" s="7" t="n">
        <f aca="false">IF(A1416="",0,COUNTIFS($A$2:$A$3058,A1416,$P$2:$P$3058,"OK"))</f>
        <v>1</v>
      </c>
      <c r="S1416" s="7" t="str">
        <f aca="false">IF(OR(A1416="",P1416="DUP",R1416&lt;2),"",IF(Q1416=_xlfn.MINIFS($Q$2:$Q$3058,$A$2:$A$3058,A1416,$P$2:$P$3058,"OK"),"KEEP","DROP"))</f>
        <v/>
      </c>
      <c r="T1416" s="9" t="n">
        <f aca="false">IF(A1416="",1,0)</f>
        <v>0</v>
      </c>
      <c r="U1416" s="9" t="n">
        <f aca="false">IF(D1416="",1,0)</f>
        <v>0</v>
      </c>
      <c r="V1416" s="9" t="n">
        <f aca="false">IF(E1416="",1,0)</f>
        <v>0</v>
      </c>
      <c r="W1416" s="9" t="n">
        <f aca="false">IF(OR(H1416&lt;1,H1416&gt;10),1,0)</f>
        <v>0</v>
      </c>
      <c r="X1416" s="9" t="n">
        <f aca="false">IF(OR(I1416&lt;=0,I1416&gt;1500),1,0)</f>
        <v>0</v>
      </c>
      <c r="Y1416" s="9" t="n">
        <f aca="false">IF(J1416&gt;H1416*I1416,1,0)</f>
        <v>0</v>
      </c>
      <c r="Z1416" s="9" t="n">
        <f aca="false">IF(AND(N1416&lt;&gt;"",OR(N1416&lt;1,N1416&gt;5)),1,0)</f>
        <v>0</v>
      </c>
      <c r="AA1416" s="9" t="n">
        <f aca="false">IF(AND(M1416&lt;&gt;"",OR(M1416&lt;5,M1416&gt;180)),1,0)</f>
        <v>0</v>
      </c>
      <c r="AB1416" s="7" t="str">
        <f aca="false">IF(P1416="DUP","Exact duplicate row",IF(T1416=1,"Missing Order ID",IF(S1416="DROP","Duplicate Order ID (less complete row)",IF(U1416=1,"Missing Customer ID",IF(V1416=1,"Missing Restaurant name",IF(W1416=1,"Invalid/outlier quantity",IF(X1416=1,"Invalid/outlier unit price",IF(Y1416=1,"Discount greater than order value",""))))))))</f>
        <v/>
      </c>
      <c r="AC1416" s="7" t="str">
        <f aca="false">IF(AB1416="","KEEP","DROP")</f>
        <v>KEEP</v>
      </c>
      <c r="AD1416" s="7" t="str">
        <f aca="false">IF(TRIM(F1416)="",IFERROR(INDEX(Map_Tables!$I$4:$I$37,MATCH(TRIM(E1416),Map_Tables!$G$4:$G$37,0)),""),IFERROR(INDEX(Map_Tables!$B$4:$B$18,MATCH(TRIM(F1416),Map_Tables!$A$4:$A$18,0)),"CHECK"))</f>
        <v>Bengaluru</v>
      </c>
      <c r="AE1416" s="7" t="str">
        <f aca="false">IF(TRIM(E1416)="","",IFERROR(INDEX(Map_Tables!$H$4:$H$37,MATCH(TRIM(E1416),Map_Tables!$G$4:$G$37,0)),"CHECK"))</f>
        <v>Nawabi Biryani House</v>
      </c>
      <c r="AF1416" s="7" t="str">
        <f aca="false">IF(TRIM(K1416)="","Unknown",IFERROR(INDEX(Map_Tables!$E$4:$E$15,MATCH(TRIM(K1416),Map_Tables!$D$4:$D$15,0)),"CHECK"))</f>
        <v>Debit Card</v>
      </c>
      <c r="AG1416" s="7" t="str">
        <f aca="false">IF(LEFT(LOWER(TRIM(L1416)),6)="cancel","Cancelled","Delivered")</f>
        <v>Delivered</v>
      </c>
      <c r="AH1416" s="10" t="n">
        <f aca="false">IF(ISNUMBER(SEARCH("/",B1416)),DATE(VALUE(RIGHT(B1416,4)),VALUE(MID(B1416,4,2)),VALUE(LEFT(B1416,2))),IF(MID(B1416,5,1)="-",DATE(VALUE(LEFT(B1416,4)),VALUE(MID(B1416,6,2)),VALUE(RIGHT(B1416,2))),DATE(VALUE(RIGHT(B1416,4)),MATCH(MID(B1416,4,3),{"Jan","Feb","Mar","Apr","May","Jun","Jul","Aug","Sep","Oct","Nov","Dec"},0),VALUE(LEFT(B1416,2)))))</f>
        <v>45855</v>
      </c>
    </row>
    <row r="1417" customFormat="false" ht="15" hidden="false" customHeight="false" outlineLevel="0" collapsed="false">
      <c r="A1417" s="7" t="s">
        <v>3787</v>
      </c>
      <c r="B1417" s="7" t="s">
        <v>3788</v>
      </c>
      <c r="C1417" s="7" t="s">
        <v>3789</v>
      </c>
      <c r="D1417" s="7" t="s">
        <v>1668</v>
      </c>
      <c r="E1417" s="7" t="s">
        <v>144</v>
      </c>
      <c r="F1417" s="7" t="s">
        <v>119</v>
      </c>
      <c r="G1417" s="7" t="s">
        <v>99</v>
      </c>
      <c r="H1417" s="7" t="n">
        <v>1</v>
      </c>
      <c r="I1417" s="7" t="n">
        <v>280</v>
      </c>
      <c r="J1417" s="7" t="n">
        <v>0</v>
      </c>
      <c r="K1417" s="7" t="s">
        <v>112</v>
      </c>
      <c r="L1417" s="7" t="s">
        <v>194</v>
      </c>
      <c r="M1417" s="7" t="n">
        <v>35</v>
      </c>
      <c r="N1417" s="7" t="n">
        <v>5</v>
      </c>
      <c r="O1417" s="7" t="str">
        <f aca="false">A1417&amp;"|"&amp;B1417&amp;"|"&amp;C1417&amp;"|"&amp;D1417&amp;"|"&amp;E1417&amp;"|"&amp;F1417&amp;"|"&amp;G1417&amp;"|"&amp;H1417&amp;"|"&amp;I1417&amp;"|"&amp;J1417&amp;"|"&amp;K1417&amp;"|"&amp;L1417&amp;"|"&amp;M1417&amp;"|"&amp;N1417</f>
        <v>ORD11755|18/08/2025|16:28|C0221|Hyderabad Dum Biryani|Hyderabad|Biryani|1|280|0|Cash on Delivery|Delivered|35|5</v>
      </c>
      <c r="P1417" s="7" t="str">
        <f aca="false">IF(COUNTIF($O$2:O1417,O1417)&gt;1,"DUP","OK")</f>
        <v>OK</v>
      </c>
      <c r="Q1417" s="7" t="n">
        <f aca="false">COUNTBLANK(A1417:N1417)</f>
        <v>0</v>
      </c>
      <c r="R1417" s="7" t="n">
        <f aca="false">IF(A1417="",0,COUNTIFS($A$2:$A$3058,A1417,$P$2:$P$3058,"OK"))</f>
        <v>1</v>
      </c>
      <c r="S1417" s="7" t="str">
        <f aca="false">IF(OR(A1417="",P1417="DUP",R1417&lt;2),"",IF(Q1417=_xlfn.MINIFS($Q$2:$Q$3058,$A$2:$A$3058,A1417,$P$2:$P$3058,"OK"),"KEEP","DROP"))</f>
        <v/>
      </c>
      <c r="T1417" s="9" t="n">
        <f aca="false">IF(A1417="",1,0)</f>
        <v>0</v>
      </c>
      <c r="U1417" s="9" t="n">
        <f aca="false">IF(D1417="",1,0)</f>
        <v>0</v>
      </c>
      <c r="V1417" s="9" t="n">
        <f aca="false">IF(E1417="",1,0)</f>
        <v>0</v>
      </c>
      <c r="W1417" s="9" t="n">
        <f aca="false">IF(OR(H1417&lt;1,H1417&gt;10),1,0)</f>
        <v>0</v>
      </c>
      <c r="X1417" s="9" t="n">
        <f aca="false">IF(OR(I1417&lt;=0,I1417&gt;1500),1,0)</f>
        <v>0</v>
      </c>
      <c r="Y1417" s="9" t="n">
        <f aca="false">IF(J1417&gt;H1417*I1417,1,0)</f>
        <v>0</v>
      </c>
      <c r="Z1417" s="9" t="n">
        <f aca="false">IF(AND(N1417&lt;&gt;"",OR(N1417&lt;1,N1417&gt;5)),1,0)</f>
        <v>0</v>
      </c>
      <c r="AA1417" s="9" t="n">
        <f aca="false">IF(AND(M1417&lt;&gt;"",OR(M1417&lt;5,M1417&gt;180)),1,0)</f>
        <v>0</v>
      </c>
      <c r="AB1417" s="7" t="str">
        <f aca="false">IF(P1417="DUP","Exact duplicate row",IF(T1417=1,"Missing Order ID",IF(S1417="DROP","Duplicate Order ID (less complete row)",IF(U1417=1,"Missing Customer ID",IF(V1417=1,"Missing Restaurant name",IF(W1417=1,"Invalid/outlier quantity",IF(X1417=1,"Invalid/outlier unit price",IF(Y1417=1,"Discount greater than order value",""))))))))</f>
        <v/>
      </c>
      <c r="AC1417" s="7" t="str">
        <f aca="false">IF(AB1417="","KEEP","DROP")</f>
        <v>KEEP</v>
      </c>
      <c r="AD1417" s="7" t="str">
        <f aca="false">IF(TRIM(F1417)="",IFERROR(INDEX(Map_Tables!$I$4:$I$37,MATCH(TRIM(E1417),Map_Tables!$G$4:$G$37,0)),""),IFERROR(INDEX(Map_Tables!$B$4:$B$18,MATCH(TRIM(F1417),Map_Tables!$A$4:$A$18,0)),"CHECK"))</f>
        <v>Hyderabad</v>
      </c>
      <c r="AE1417" s="7" t="str">
        <f aca="false">IF(TRIM(E1417)="","",IFERROR(INDEX(Map_Tables!$H$4:$H$37,MATCH(TRIM(E1417),Map_Tables!$G$4:$G$37,0)),"CHECK"))</f>
        <v>Hyderabad Dum Biryani</v>
      </c>
      <c r="AF1417" s="7" t="str">
        <f aca="false">IF(TRIM(K1417)="","Unknown",IFERROR(INDEX(Map_Tables!$E$4:$E$15,MATCH(TRIM(K1417),Map_Tables!$D$4:$D$15,0)),"CHECK"))</f>
        <v>Cash on Delivery</v>
      </c>
      <c r="AG1417" s="7" t="str">
        <f aca="false">IF(LEFT(LOWER(TRIM(L1417)),6)="cancel","Cancelled","Delivered")</f>
        <v>Delivered</v>
      </c>
      <c r="AH1417" s="10" t="n">
        <f aca="false">IF(ISNUMBER(SEARCH("/",B1417)),DATE(VALUE(RIGHT(B1417,4)),VALUE(MID(B1417,4,2)),VALUE(LEFT(B1417,2))),IF(MID(B1417,5,1)="-",DATE(VALUE(LEFT(B1417,4)),VALUE(MID(B1417,6,2)),VALUE(RIGHT(B1417,2))),DATE(VALUE(RIGHT(B1417,4)),MATCH(MID(B1417,4,3),{"Jan","Feb","Mar","Apr","May","Jun","Jul","Aug","Sep","Oct","Nov","Dec"},0),VALUE(LEFT(B1417,2)))))</f>
        <v>45887</v>
      </c>
    </row>
    <row r="1418" customFormat="false" ht="15" hidden="false" customHeight="false" outlineLevel="0" collapsed="false">
      <c r="A1418" s="7" t="s">
        <v>3790</v>
      </c>
      <c r="B1418" s="7" t="s">
        <v>678</v>
      </c>
      <c r="C1418" s="7" t="s">
        <v>3791</v>
      </c>
      <c r="D1418" s="7" t="s">
        <v>3792</v>
      </c>
      <c r="E1418" s="7" t="s">
        <v>134</v>
      </c>
      <c r="F1418" s="7" t="s">
        <v>110</v>
      </c>
      <c r="G1418" s="7" t="s">
        <v>117</v>
      </c>
      <c r="H1418" s="7" t="n">
        <v>2</v>
      </c>
      <c r="I1418" s="7" t="n">
        <v>110</v>
      </c>
      <c r="J1418" s="7" t="n">
        <v>0</v>
      </c>
      <c r="K1418" s="7" t="s">
        <v>421</v>
      </c>
      <c r="L1418" s="7" t="s">
        <v>194</v>
      </c>
      <c r="M1418" s="7" t="n">
        <v>53</v>
      </c>
      <c r="N1418" s="7" t="n">
        <v>4</v>
      </c>
      <c r="O1418" s="7" t="str">
        <f aca="false">A1418&amp;"|"&amp;B1418&amp;"|"&amp;C1418&amp;"|"&amp;D1418&amp;"|"&amp;E1418&amp;"|"&amp;F1418&amp;"|"&amp;G1418&amp;"|"&amp;H1418&amp;"|"&amp;I1418&amp;"|"&amp;J1418&amp;"|"&amp;K1418&amp;"|"&amp;L1418&amp;"|"&amp;M1418&amp;"|"&amp;N1418</f>
        <v>ORD10669|2025-03-26|20:02|C0783|Chaat Corner|Delhi|Street Food|2|110|0|UPI |Delivered|53|4</v>
      </c>
      <c r="P1418" s="7" t="str">
        <f aca="false">IF(COUNTIF($O$2:O1418,O1418)&gt;1,"DUP","OK")</f>
        <v>OK</v>
      </c>
      <c r="Q1418" s="7" t="n">
        <f aca="false">COUNTBLANK(A1418:N1418)</f>
        <v>0</v>
      </c>
      <c r="R1418" s="7" t="n">
        <f aca="false">IF(A1418="",0,COUNTIFS($A$2:$A$3058,A1418,$P$2:$P$3058,"OK"))</f>
        <v>1</v>
      </c>
      <c r="S1418" s="7" t="str">
        <f aca="false">IF(OR(A1418="",P1418="DUP",R1418&lt;2),"",IF(Q1418=_xlfn.MINIFS($Q$2:$Q$3058,$A$2:$A$3058,A1418,$P$2:$P$3058,"OK"),"KEEP","DROP"))</f>
        <v/>
      </c>
      <c r="T1418" s="9" t="n">
        <f aca="false">IF(A1418="",1,0)</f>
        <v>0</v>
      </c>
      <c r="U1418" s="9" t="n">
        <f aca="false">IF(D1418="",1,0)</f>
        <v>0</v>
      </c>
      <c r="V1418" s="9" t="n">
        <f aca="false">IF(E1418="",1,0)</f>
        <v>0</v>
      </c>
      <c r="W1418" s="9" t="n">
        <f aca="false">IF(OR(H1418&lt;1,H1418&gt;10),1,0)</f>
        <v>0</v>
      </c>
      <c r="X1418" s="9" t="n">
        <f aca="false">IF(OR(I1418&lt;=0,I1418&gt;1500),1,0)</f>
        <v>0</v>
      </c>
      <c r="Y1418" s="9" t="n">
        <f aca="false">IF(J1418&gt;H1418*I1418,1,0)</f>
        <v>0</v>
      </c>
      <c r="Z1418" s="9" t="n">
        <f aca="false">IF(AND(N1418&lt;&gt;"",OR(N1418&lt;1,N1418&gt;5)),1,0)</f>
        <v>0</v>
      </c>
      <c r="AA1418" s="9" t="n">
        <f aca="false">IF(AND(M1418&lt;&gt;"",OR(M1418&lt;5,M1418&gt;180)),1,0)</f>
        <v>0</v>
      </c>
      <c r="AB1418" s="7" t="str">
        <f aca="false">IF(P1418="DUP","Exact duplicate row",IF(T1418=1,"Missing Order ID",IF(S1418="DROP","Duplicate Order ID (less complete row)",IF(U1418=1,"Missing Customer ID",IF(V1418=1,"Missing Restaurant name",IF(W1418=1,"Invalid/outlier quantity",IF(X1418=1,"Invalid/outlier unit price",IF(Y1418=1,"Discount greater than order value",""))))))))</f>
        <v/>
      </c>
      <c r="AC1418" s="7" t="str">
        <f aca="false">IF(AB1418="","KEEP","DROP")</f>
        <v>KEEP</v>
      </c>
      <c r="AD1418" s="7" t="str">
        <f aca="false">IF(TRIM(F1418)="",IFERROR(INDEX(Map_Tables!$I$4:$I$37,MATCH(TRIM(E1418),Map_Tables!$G$4:$G$37,0)),""),IFERROR(INDEX(Map_Tables!$B$4:$B$18,MATCH(TRIM(F1418),Map_Tables!$A$4:$A$18,0)),"CHECK"))</f>
        <v>Delhi</v>
      </c>
      <c r="AE1418" s="7" t="str">
        <f aca="false">IF(TRIM(E1418)="","",IFERROR(INDEX(Map_Tables!$H$4:$H$37,MATCH(TRIM(E1418),Map_Tables!$G$4:$G$37,0)),"CHECK"))</f>
        <v>Chaat Corner</v>
      </c>
      <c r="AF1418" s="7" t="str">
        <f aca="false">IF(TRIM(K1418)="","Unknown",IFERROR(INDEX(Map_Tables!$E$4:$E$15,MATCH(TRIM(K1418),Map_Tables!$D$4:$D$15,0)),"CHECK"))</f>
        <v>UPI</v>
      </c>
      <c r="AG1418" s="7" t="str">
        <f aca="false">IF(LEFT(LOWER(TRIM(L1418)),6)="cancel","Cancelled","Delivered")</f>
        <v>Delivered</v>
      </c>
      <c r="AH1418" s="10" t="n">
        <f aca="false">IF(ISNUMBER(SEARCH("/",B1418)),DATE(VALUE(RIGHT(B1418,4)),VALUE(MID(B1418,4,2)),VALUE(LEFT(B1418,2))),IF(MID(B1418,5,1)="-",DATE(VALUE(LEFT(B1418,4)),VALUE(MID(B1418,6,2)),VALUE(RIGHT(B1418,2))),DATE(VALUE(RIGHT(B1418,4)),MATCH(MID(B1418,4,3),{"Jan","Feb","Mar","Apr","May","Jun","Jul","Aug","Sep","Oct","Nov","Dec"},0),VALUE(LEFT(B1418,2)))))</f>
        <v>45742</v>
      </c>
    </row>
    <row r="1419" customFormat="false" ht="15" hidden="false" customHeight="false" outlineLevel="0" collapsed="false">
      <c r="A1419" s="7" t="s">
        <v>3793</v>
      </c>
      <c r="B1419" s="7" t="s">
        <v>1714</v>
      </c>
      <c r="C1419" s="7" t="s">
        <v>3794</v>
      </c>
      <c r="D1419" s="7" t="s">
        <v>219</v>
      </c>
      <c r="E1419" s="7" t="s">
        <v>89</v>
      </c>
      <c r="F1419" s="7" t="s">
        <v>86</v>
      </c>
      <c r="G1419" s="7" t="s">
        <v>90</v>
      </c>
      <c r="H1419" s="7" t="n">
        <v>1</v>
      </c>
      <c r="I1419" s="7" t="n">
        <v>270</v>
      </c>
      <c r="J1419" s="7" t="n">
        <v>100</v>
      </c>
      <c r="K1419" s="7" t="s">
        <v>421</v>
      </c>
      <c r="L1419" s="7" t="s">
        <v>194</v>
      </c>
      <c r="M1419" s="7" t="n">
        <v>44</v>
      </c>
      <c r="N1419" s="7" t="n">
        <v>3</v>
      </c>
      <c r="O1419" s="7" t="str">
        <f aca="false">A1419&amp;"|"&amp;B1419&amp;"|"&amp;C1419&amp;"|"&amp;D1419&amp;"|"&amp;E1419&amp;"|"&amp;F1419&amp;"|"&amp;G1419&amp;"|"&amp;H1419&amp;"|"&amp;I1419&amp;"|"&amp;J1419&amp;"|"&amp;K1419&amp;"|"&amp;L1419&amp;"|"&amp;M1419&amp;"|"&amp;N1419</f>
        <v>ORD10063|2025-01-09|19:13|C1006|Spice Junction|Bengaluru|North Indian|1|270|100|UPI |Delivered|44|3</v>
      </c>
      <c r="P1419" s="7" t="str">
        <f aca="false">IF(COUNTIF($O$2:O1419,O1419)&gt;1,"DUP","OK")</f>
        <v>OK</v>
      </c>
      <c r="Q1419" s="7" t="n">
        <f aca="false">COUNTBLANK(A1419:N1419)</f>
        <v>0</v>
      </c>
      <c r="R1419" s="7" t="n">
        <f aca="false">IF(A1419="",0,COUNTIFS($A$2:$A$3058,A1419,$P$2:$P$3058,"OK"))</f>
        <v>1</v>
      </c>
      <c r="S1419" s="7" t="str">
        <f aca="false">IF(OR(A1419="",P1419="DUP",R1419&lt;2),"",IF(Q1419=_xlfn.MINIFS($Q$2:$Q$3058,$A$2:$A$3058,A1419,$P$2:$P$3058,"OK"),"KEEP","DROP"))</f>
        <v/>
      </c>
      <c r="T1419" s="9" t="n">
        <f aca="false">IF(A1419="",1,0)</f>
        <v>0</v>
      </c>
      <c r="U1419" s="9" t="n">
        <f aca="false">IF(D1419="",1,0)</f>
        <v>0</v>
      </c>
      <c r="V1419" s="9" t="n">
        <f aca="false">IF(E1419="",1,0)</f>
        <v>0</v>
      </c>
      <c r="W1419" s="9" t="n">
        <f aca="false">IF(OR(H1419&lt;1,H1419&gt;10),1,0)</f>
        <v>0</v>
      </c>
      <c r="X1419" s="9" t="n">
        <f aca="false">IF(OR(I1419&lt;=0,I1419&gt;1500),1,0)</f>
        <v>0</v>
      </c>
      <c r="Y1419" s="9" t="n">
        <f aca="false">IF(J1419&gt;H1419*I1419,1,0)</f>
        <v>0</v>
      </c>
      <c r="Z1419" s="9" t="n">
        <f aca="false">IF(AND(N1419&lt;&gt;"",OR(N1419&lt;1,N1419&gt;5)),1,0)</f>
        <v>0</v>
      </c>
      <c r="AA1419" s="9" t="n">
        <f aca="false">IF(AND(M1419&lt;&gt;"",OR(M1419&lt;5,M1419&gt;180)),1,0)</f>
        <v>0</v>
      </c>
      <c r="AB1419" s="7" t="str">
        <f aca="false">IF(P1419="DUP","Exact duplicate row",IF(T1419=1,"Missing Order ID",IF(S1419="DROP","Duplicate Order ID (less complete row)",IF(U1419=1,"Missing Customer ID",IF(V1419=1,"Missing Restaurant name",IF(W1419=1,"Invalid/outlier quantity",IF(X1419=1,"Invalid/outlier unit price",IF(Y1419=1,"Discount greater than order value",""))))))))</f>
        <v/>
      </c>
      <c r="AC1419" s="7" t="str">
        <f aca="false">IF(AB1419="","KEEP","DROP")</f>
        <v>KEEP</v>
      </c>
      <c r="AD1419" s="7" t="str">
        <f aca="false">IF(TRIM(F1419)="",IFERROR(INDEX(Map_Tables!$I$4:$I$37,MATCH(TRIM(E1419),Map_Tables!$G$4:$G$37,0)),""),IFERROR(INDEX(Map_Tables!$B$4:$B$18,MATCH(TRIM(F1419),Map_Tables!$A$4:$A$18,0)),"CHECK"))</f>
        <v>Bengaluru</v>
      </c>
      <c r="AE1419" s="7" t="str">
        <f aca="false">IF(TRIM(E1419)="","",IFERROR(INDEX(Map_Tables!$H$4:$H$37,MATCH(TRIM(E1419),Map_Tables!$G$4:$G$37,0)),"CHECK"))</f>
        <v>Spice Junction</v>
      </c>
      <c r="AF1419" s="7" t="str">
        <f aca="false">IF(TRIM(K1419)="","Unknown",IFERROR(INDEX(Map_Tables!$E$4:$E$15,MATCH(TRIM(K1419),Map_Tables!$D$4:$D$15,0)),"CHECK"))</f>
        <v>UPI</v>
      </c>
      <c r="AG1419" s="7" t="str">
        <f aca="false">IF(LEFT(LOWER(TRIM(L1419)),6)="cancel","Cancelled","Delivered")</f>
        <v>Delivered</v>
      </c>
      <c r="AH1419" s="10" t="n">
        <f aca="false">IF(ISNUMBER(SEARCH("/",B1419)),DATE(VALUE(RIGHT(B1419,4)),VALUE(MID(B1419,4,2)),VALUE(LEFT(B1419,2))),IF(MID(B1419,5,1)="-",DATE(VALUE(LEFT(B1419,4)),VALUE(MID(B1419,6,2)),VALUE(RIGHT(B1419,2))),DATE(VALUE(RIGHT(B1419,4)),MATCH(MID(B1419,4,3),{"Jan","Feb","Mar","Apr","May","Jun","Jul","Aug","Sep","Oct","Nov","Dec"},0),VALUE(LEFT(B1419,2)))))</f>
        <v>45666</v>
      </c>
    </row>
    <row r="1420" customFormat="false" ht="15" hidden="false" customHeight="false" outlineLevel="0" collapsed="false">
      <c r="A1420" s="7" t="s">
        <v>3795</v>
      </c>
      <c r="B1420" s="7" t="s">
        <v>217</v>
      </c>
      <c r="C1420" s="7" t="s">
        <v>3160</v>
      </c>
      <c r="D1420" s="7" t="s">
        <v>3796</v>
      </c>
      <c r="E1420" s="7" t="s">
        <v>130</v>
      </c>
      <c r="F1420" s="7" t="s">
        <v>110</v>
      </c>
      <c r="G1420" s="7" t="s">
        <v>90</v>
      </c>
      <c r="H1420" s="7" t="n">
        <v>3</v>
      </c>
      <c r="I1420" s="7" t="n">
        <v>295</v>
      </c>
      <c r="J1420" s="7" t="n">
        <v>75</v>
      </c>
      <c r="K1420" s="7" t="s">
        <v>112</v>
      </c>
      <c r="L1420" s="7" t="s">
        <v>194</v>
      </c>
      <c r="M1420" s="7" t="n">
        <v>36</v>
      </c>
      <c r="N1420" s="7" t="n">
        <v>5</v>
      </c>
      <c r="O1420" s="7" t="str">
        <f aca="false">A1420&amp;"|"&amp;B1420&amp;"|"&amp;C1420&amp;"|"&amp;D1420&amp;"|"&amp;E1420&amp;"|"&amp;F1420&amp;"|"&amp;G1420&amp;"|"&amp;H1420&amp;"|"&amp;I1420&amp;"|"&amp;J1420&amp;"|"&amp;K1420&amp;"|"&amp;L1420&amp;"|"&amp;M1420&amp;"|"&amp;N1420</f>
        <v>ORD10850|2025-04-18|11:15|C0200|Tandoor Tales|Delhi|North Indian|3|295|75|Cash on Delivery|Delivered|36|5</v>
      </c>
      <c r="P1420" s="7" t="str">
        <f aca="false">IF(COUNTIF($O$2:O1420,O1420)&gt;1,"DUP","OK")</f>
        <v>OK</v>
      </c>
      <c r="Q1420" s="7" t="n">
        <f aca="false">COUNTBLANK(A1420:N1420)</f>
        <v>0</v>
      </c>
      <c r="R1420" s="7" t="n">
        <f aca="false">IF(A1420="",0,COUNTIFS($A$2:$A$3058,A1420,$P$2:$P$3058,"OK"))</f>
        <v>1</v>
      </c>
      <c r="S1420" s="7" t="str">
        <f aca="false">IF(OR(A1420="",P1420="DUP",R1420&lt;2),"",IF(Q1420=_xlfn.MINIFS($Q$2:$Q$3058,$A$2:$A$3058,A1420,$P$2:$P$3058,"OK"),"KEEP","DROP"))</f>
        <v/>
      </c>
      <c r="T1420" s="9" t="n">
        <f aca="false">IF(A1420="",1,0)</f>
        <v>0</v>
      </c>
      <c r="U1420" s="9" t="n">
        <f aca="false">IF(D1420="",1,0)</f>
        <v>0</v>
      </c>
      <c r="V1420" s="9" t="n">
        <f aca="false">IF(E1420="",1,0)</f>
        <v>0</v>
      </c>
      <c r="W1420" s="9" t="n">
        <f aca="false">IF(OR(H1420&lt;1,H1420&gt;10),1,0)</f>
        <v>0</v>
      </c>
      <c r="X1420" s="9" t="n">
        <f aca="false">IF(OR(I1420&lt;=0,I1420&gt;1500),1,0)</f>
        <v>0</v>
      </c>
      <c r="Y1420" s="9" t="n">
        <f aca="false">IF(J1420&gt;H1420*I1420,1,0)</f>
        <v>0</v>
      </c>
      <c r="Z1420" s="9" t="n">
        <f aca="false">IF(AND(N1420&lt;&gt;"",OR(N1420&lt;1,N1420&gt;5)),1,0)</f>
        <v>0</v>
      </c>
      <c r="AA1420" s="9" t="n">
        <f aca="false">IF(AND(M1420&lt;&gt;"",OR(M1420&lt;5,M1420&gt;180)),1,0)</f>
        <v>0</v>
      </c>
      <c r="AB1420" s="7" t="str">
        <f aca="false">IF(P1420="DUP","Exact duplicate row",IF(T1420=1,"Missing Order ID",IF(S1420="DROP","Duplicate Order ID (less complete row)",IF(U1420=1,"Missing Customer ID",IF(V1420=1,"Missing Restaurant name",IF(W1420=1,"Invalid/outlier quantity",IF(X1420=1,"Invalid/outlier unit price",IF(Y1420=1,"Discount greater than order value",""))))))))</f>
        <v/>
      </c>
      <c r="AC1420" s="7" t="str">
        <f aca="false">IF(AB1420="","KEEP","DROP")</f>
        <v>KEEP</v>
      </c>
      <c r="AD1420" s="7" t="str">
        <f aca="false">IF(TRIM(F1420)="",IFERROR(INDEX(Map_Tables!$I$4:$I$37,MATCH(TRIM(E1420),Map_Tables!$G$4:$G$37,0)),""),IFERROR(INDEX(Map_Tables!$B$4:$B$18,MATCH(TRIM(F1420),Map_Tables!$A$4:$A$18,0)),"CHECK"))</f>
        <v>Delhi</v>
      </c>
      <c r="AE1420" s="7" t="str">
        <f aca="false">IF(TRIM(E1420)="","",IFERROR(INDEX(Map_Tables!$H$4:$H$37,MATCH(TRIM(E1420),Map_Tables!$G$4:$G$37,0)),"CHECK"))</f>
        <v>Tandoor Tales</v>
      </c>
      <c r="AF1420" s="7" t="str">
        <f aca="false">IF(TRIM(K1420)="","Unknown",IFERROR(INDEX(Map_Tables!$E$4:$E$15,MATCH(TRIM(K1420),Map_Tables!$D$4:$D$15,0)),"CHECK"))</f>
        <v>Cash on Delivery</v>
      </c>
      <c r="AG1420" s="7" t="str">
        <f aca="false">IF(LEFT(LOWER(TRIM(L1420)),6)="cancel","Cancelled","Delivered")</f>
        <v>Delivered</v>
      </c>
      <c r="AH1420" s="10" t="n">
        <f aca="false">IF(ISNUMBER(SEARCH("/",B1420)),DATE(VALUE(RIGHT(B1420,4)),VALUE(MID(B1420,4,2)),VALUE(LEFT(B1420,2))),IF(MID(B1420,5,1)="-",DATE(VALUE(LEFT(B1420,4)),VALUE(MID(B1420,6,2)),VALUE(RIGHT(B1420,2))),DATE(VALUE(RIGHT(B1420,4)),MATCH(MID(B1420,4,3),{"Jan","Feb","Mar","Apr","May","Jun","Jul","Aug","Sep","Oct","Nov","Dec"},0),VALUE(LEFT(B1420,2)))))</f>
        <v>45765</v>
      </c>
    </row>
    <row r="1421" customFormat="false" ht="15" hidden="false" customHeight="false" outlineLevel="0" collapsed="false">
      <c r="A1421" s="7" t="s">
        <v>3797</v>
      </c>
      <c r="B1421" s="7" t="s">
        <v>1972</v>
      </c>
      <c r="C1421" s="7" t="s">
        <v>2743</v>
      </c>
      <c r="D1421" s="7" t="s">
        <v>3798</v>
      </c>
      <c r="E1421" s="7" t="s">
        <v>113</v>
      </c>
      <c r="F1421" s="7" t="s">
        <v>101</v>
      </c>
      <c r="G1421" s="7" t="s">
        <v>90</v>
      </c>
      <c r="H1421" s="7" t="n">
        <v>2</v>
      </c>
      <c r="I1421" s="7" t="n">
        <v>225</v>
      </c>
      <c r="J1421" s="7" t="n">
        <v>0</v>
      </c>
      <c r="K1421" s="7" t="s">
        <v>132</v>
      </c>
      <c r="L1421" s="7" t="s">
        <v>194</v>
      </c>
      <c r="M1421" s="7" t="n">
        <v>46</v>
      </c>
      <c r="N1421" s="7"/>
      <c r="O1421" s="7" t="str">
        <f aca="false">A1421&amp;"|"&amp;B1421&amp;"|"&amp;C1421&amp;"|"&amp;D1421&amp;"|"&amp;E1421&amp;"|"&amp;F1421&amp;"|"&amp;G1421&amp;"|"&amp;H1421&amp;"|"&amp;I1421&amp;"|"&amp;J1421&amp;"|"&amp;K1421&amp;"|"&amp;L1421&amp;"|"&amp;M1421&amp;"|"&amp;N1421</f>
        <v>ORD12647|2025-11-23|12:51|C0259|Curry Leaf Kitchen|Mumbai|North Indian|2|225|0|net banking|Delivered|46|</v>
      </c>
      <c r="P1421" s="7" t="str">
        <f aca="false">IF(COUNTIF($O$2:O1421,O1421)&gt;1,"DUP","OK")</f>
        <v>OK</v>
      </c>
      <c r="Q1421" s="7" t="n">
        <f aca="false">COUNTBLANK(A1421:N1421)</f>
        <v>1</v>
      </c>
      <c r="R1421" s="7" t="n">
        <f aca="false">IF(A1421="",0,COUNTIFS($A$2:$A$3058,A1421,$P$2:$P$3058,"OK"))</f>
        <v>1</v>
      </c>
      <c r="S1421" s="7" t="str">
        <f aca="false">IF(OR(A1421="",P1421="DUP",R1421&lt;2),"",IF(Q1421=_xlfn.MINIFS($Q$2:$Q$3058,$A$2:$A$3058,A1421,$P$2:$P$3058,"OK"),"KEEP","DROP"))</f>
        <v/>
      </c>
      <c r="T1421" s="9" t="n">
        <f aca="false">IF(A1421="",1,0)</f>
        <v>0</v>
      </c>
      <c r="U1421" s="9" t="n">
        <f aca="false">IF(D1421="",1,0)</f>
        <v>0</v>
      </c>
      <c r="V1421" s="9" t="n">
        <f aca="false">IF(E1421="",1,0)</f>
        <v>0</v>
      </c>
      <c r="W1421" s="9" t="n">
        <f aca="false">IF(OR(H1421&lt;1,H1421&gt;10),1,0)</f>
        <v>0</v>
      </c>
      <c r="X1421" s="9" t="n">
        <f aca="false">IF(OR(I1421&lt;=0,I1421&gt;1500),1,0)</f>
        <v>0</v>
      </c>
      <c r="Y1421" s="9" t="n">
        <f aca="false">IF(J1421&gt;H1421*I1421,1,0)</f>
        <v>0</v>
      </c>
      <c r="Z1421" s="9" t="n">
        <f aca="false">IF(AND(N1421&lt;&gt;"",OR(N1421&lt;1,N1421&gt;5)),1,0)</f>
        <v>0</v>
      </c>
      <c r="AA1421" s="9" t="n">
        <f aca="false">IF(AND(M1421&lt;&gt;"",OR(M1421&lt;5,M1421&gt;180)),1,0)</f>
        <v>0</v>
      </c>
      <c r="AB1421" s="7" t="str">
        <f aca="false">IF(P1421="DUP","Exact duplicate row",IF(T1421=1,"Missing Order ID",IF(S1421="DROP","Duplicate Order ID (less complete row)",IF(U1421=1,"Missing Customer ID",IF(V1421=1,"Missing Restaurant name",IF(W1421=1,"Invalid/outlier quantity",IF(X1421=1,"Invalid/outlier unit price",IF(Y1421=1,"Discount greater than order value",""))))))))</f>
        <v/>
      </c>
      <c r="AC1421" s="7" t="str">
        <f aca="false">IF(AB1421="","KEEP","DROP")</f>
        <v>KEEP</v>
      </c>
      <c r="AD1421" s="7" t="str">
        <f aca="false">IF(TRIM(F1421)="",IFERROR(INDEX(Map_Tables!$I$4:$I$37,MATCH(TRIM(E1421),Map_Tables!$G$4:$G$37,0)),""),IFERROR(INDEX(Map_Tables!$B$4:$B$18,MATCH(TRIM(F1421),Map_Tables!$A$4:$A$18,0)),"CHECK"))</f>
        <v>Mumbai</v>
      </c>
      <c r="AE1421" s="7" t="str">
        <f aca="false">IF(TRIM(E1421)="","",IFERROR(INDEX(Map_Tables!$H$4:$H$37,MATCH(TRIM(E1421),Map_Tables!$G$4:$G$37,0)),"CHECK"))</f>
        <v>Curry Leaf Kitchen</v>
      </c>
      <c r="AF1421" s="7" t="str">
        <f aca="false">IF(TRIM(K1421)="","Unknown",IFERROR(INDEX(Map_Tables!$E$4:$E$15,MATCH(TRIM(K1421),Map_Tables!$D$4:$D$15,0)),"CHECK"))</f>
        <v>Net Banking</v>
      </c>
      <c r="AG1421" s="7" t="str">
        <f aca="false">IF(LEFT(LOWER(TRIM(L1421)),6)="cancel","Cancelled","Delivered")</f>
        <v>Delivered</v>
      </c>
      <c r="AH1421" s="10" t="n">
        <f aca="false">IF(ISNUMBER(SEARCH("/",B1421)),DATE(VALUE(RIGHT(B1421,4)),VALUE(MID(B1421,4,2)),VALUE(LEFT(B1421,2))),IF(MID(B1421,5,1)="-",DATE(VALUE(LEFT(B1421,4)),VALUE(MID(B1421,6,2)),VALUE(RIGHT(B1421,2))),DATE(VALUE(RIGHT(B1421,4)),MATCH(MID(B1421,4,3),{"Jan","Feb","Mar","Apr","May","Jun","Jul","Aug","Sep","Oct","Nov","Dec"},0),VALUE(LEFT(B1421,2)))))</f>
        <v>45984</v>
      </c>
    </row>
    <row r="1422" customFormat="false" ht="15" hidden="false" customHeight="false" outlineLevel="0" collapsed="false">
      <c r="A1422" s="7" t="s">
        <v>3799</v>
      </c>
      <c r="B1422" s="7" t="s">
        <v>2795</v>
      </c>
      <c r="C1422" s="7" t="s">
        <v>914</v>
      </c>
      <c r="D1422" s="7" t="s">
        <v>908</v>
      </c>
      <c r="E1422" s="7" t="s">
        <v>167</v>
      </c>
      <c r="F1422" s="7" t="s">
        <v>146</v>
      </c>
      <c r="G1422" s="7" t="s">
        <v>156</v>
      </c>
      <c r="H1422" s="7" t="n">
        <v>5</v>
      </c>
      <c r="I1422" s="7" t="n">
        <v>205</v>
      </c>
      <c r="J1422" s="7" t="n">
        <v>0</v>
      </c>
      <c r="K1422" s="7" t="s">
        <v>93</v>
      </c>
      <c r="L1422" s="7" t="s">
        <v>194</v>
      </c>
      <c r="M1422" s="7" t="n">
        <v>43</v>
      </c>
      <c r="N1422" s="7" t="n">
        <v>3</v>
      </c>
      <c r="O1422" s="7" t="str">
        <f aca="false">A1422&amp;"|"&amp;B1422&amp;"|"&amp;C1422&amp;"|"&amp;D1422&amp;"|"&amp;E1422&amp;"|"&amp;F1422&amp;"|"&amp;G1422&amp;"|"&amp;H1422&amp;"|"&amp;I1422&amp;"|"&amp;J1422&amp;"|"&amp;K1422&amp;"|"&amp;L1422&amp;"|"&amp;M1422&amp;"|"&amp;N1422</f>
        <v>ORD12054|2025-09-22|20:15|C0417|Fit Fuel Kitchen|Ahmedabad|Healthy Food|5|205|0|Credit Card|Delivered|43|3</v>
      </c>
      <c r="P1422" s="7" t="str">
        <f aca="false">IF(COUNTIF($O$2:O1422,O1422)&gt;1,"DUP","OK")</f>
        <v>OK</v>
      </c>
      <c r="Q1422" s="7" t="n">
        <f aca="false">COUNTBLANK(A1422:N1422)</f>
        <v>0</v>
      </c>
      <c r="R1422" s="7" t="n">
        <f aca="false">IF(A1422="",0,COUNTIFS($A$2:$A$3058,A1422,$P$2:$P$3058,"OK"))</f>
        <v>1</v>
      </c>
      <c r="S1422" s="7" t="str">
        <f aca="false">IF(OR(A1422="",P1422="DUP",R1422&lt;2),"",IF(Q1422=_xlfn.MINIFS($Q$2:$Q$3058,$A$2:$A$3058,A1422,$P$2:$P$3058,"OK"),"KEEP","DROP"))</f>
        <v/>
      </c>
      <c r="T1422" s="9" t="n">
        <f aca="false">IF(A1422="",1,0)</f>
        <v>0</v>
      </c>
      <c r="U1422" s="9" t="n">
        <f aca="false">IF(D1422="",1,0)</f>
        <v>0</v>
      </c>
      <c r="V1422" s="9" t="n">
        <f aca="false">IF(E1422="",1,0)</f>
        <v>0</v>
      </c>
      <c r="W1422" s="9" t="n">
        <f aca="false">IF(OR(H1422&lt;1,H1422&gt;10),1,0)</f>
        <v>0</v>
      </c>
      <c r="X1422" s="9" t="n">
        <f aca="false">IF(OR(I1422&lt;=0,I1422&gt;1500),1,0)</f>
        <v>0</v>
      </c>
      <c r="Y1422" s="9" t="n">
        <f aca="false">IF(J1422&gt;H1422*I1422,1,0)</f>
        <v>0</v>
      </c>
      <c r="Z1422" s="9" t="n">
        <f aca="false">IF(AND(N1422&lt;&gt;"",OR(N1422&lt;1,N1422&gt;5)),1,0)</f>
        <v>0</v>
      </c>
      <c r="AA1422" s="9" t="n">
        <f aca="false">IF(AND(M1422&lt;&gt;"",OR(M1422&lt;5,M1422&gt;180)),1,0)</f>
        <v>0</v>
      </c>
      <c r="AB1422" s="7" t="str">
        <f aca="false">IF(P1422="DUP","Exact duplicate row",IF(T1422=1,"Missing Order ID",IF(S1422="DROP","Duplicate Order ID (less complete row)",IF(U1422=1,"Missing Customer ID",IF(V1422=1,"Missing Restaurant name",IF(W1422=1,"Invalid/outlier quantity",IF(X1422=1,"Invalid/outlier unit price",IF(Y1422=1,"Discount greater than order value",""))))))))</f>
        <v/>
      </c>
      <c r="AC1422" s="7" t="str">
        <f aca="false">IF(AB1422="","KEEP","DROP")</f>
        <v>KEEP</v>
      </c>
      <c r="AD1422" s="7" t="str">
        <f aca="false">IF(TRIM(F1422)="",IFERROR(INDEX(Map_Tables!$I$4:$I$37,MATCH(TRIM(E1422),Map_Tables!$G$4:$G$37,0)),""),IFERROR(INDEX(Map_Tables!$B$4:$B$18,MATCH(TRIM(F1422),Map_Tables!$A$4:$A$18,0)),"CHECK"))</f>
        <v>Ahmedabad</v>
      </c>
      <c r="AE1422" s="7" t="str">
        <f aca="false">IF(TRIM(E1422)="","",IFERROR(INDEX(Map_Tables!$H$4:$H$37,MATCH(TRIM(E1422),Map_Tables!$G$4:$G$37,0)),"CHECK"))</f>
        <v>Fit Fuel Kitchen</v>
      </c>
      <c r="AF1422" s="7" t="str">
        <f aca="false">IF(TRIM(K1422)="","Unknown",IFERROR(INDEX(Map_Tables!$E$4:$E$15,MATCH(TRIM(K1422),Map_Tables!$D$4:$D$15,0)),"CHECK"))</f>
        <v>Credit Card</v>
      </c>
      <c r="AG1422" s="7" t="str">
        <f aca="false">IF(LEFT(LOWER(TRIM(L1422)),6)="cancel","Cancelled","Delivered")</f>
        <v>Delivered</v>
      </c>
      <c r="AH1422" s="10" t="n">
        <f aca="false">IF(ISNUMBER(SEARCH("/",B1422)),DATE(VALUE(RIGHT(B1422,4)),VALUE(MID(B1422,4,2)),VALUE(LEFT(B1422,2))),IF(MID(B1422,5,1)="-",DATE(VALUE(LEFT(B1422,4)),VALUE(MID(B1422,6,2)),VALUE(RIGHT(B1422,2))),DATE(VALUE(RIGHT(B1422,4)),MATCH(MID(B1422,4,3),{"Jan","Feb","Mar","Apr","May","Jun","Jul","Aug","Sep","Oct","Nov","Dec"},0),VALUE(LEFT(B1422,2)))))</f>
        <v>45922</v>
      </c>
    </row>
    <row r="1423" customFormat="false" ht="15" hidden="false" customHeight="false" outlineLevel="0" collapsed="false">
      <c r="A1423" s="7" t="s">
        <v>3800</v>
      </c>
      <c r="B1423" s="7" t="s">
        <v>899</v>
      </c>
      <c r="C1423" s="7" t="s">
        <v>2508</v>
      </c>
      <c r="D1423" s="7" t="s">
        <v>2624</v>
      </c>
      <c r="E1423" s="7" t="s">
        <v>147</v>
      </c>
      <c r="F1423" s="7" t="s">
        <v>119</v>
      </c>
      <c r="G1423" s="7" t="s">
        <v>95</v>
      </c>
      <c r="H1423" s="7" t="n">
        <v>1</v>
      </c>
      <c r="I1423" s="7" t="n">
        <v>150</v>
      </c>
      <c r="J1423" s="7" t="n">
        <v>60</v>
      </c>
      <c r="K1423" s="7" t="s">
        <v>229</v>
      </c>
      <c r="L1423" s="7" t="s">
        <v>194</v>
      </c>
      <c r="M1423" s="7" t="n">
        <v>39</v>
      </c>
      <c r="N1423" s="7" t="n">
        <v>5</v>
      </c>
      <c r="O1423" s="7" t="str">
        <f aca="false">A1423&amp;"|"&amp;B1423&amp;"|"&amp;C1423&amp;"|"&amp;D1423&amp;"|"&amp;E1423&amp;"|"&amp;F1423&amp;"|"&amp;G1423&amp;"|"&amp;H1423&amp;"|"&amp;I1423&amp;"|"&amp;J1423&amp;"|"&amp;K1423&amp;"|"&amp;L1423&amp;"|"&amp;M1423&amp;"|"&amp;N1423</f>
        <v>ORD12361|2025-10-24|20:22|C0496|Andhra Meals Mess|Hyderabad|South Indian|1|150|60|Upi|Delivered|39|5</v>
      </c>
      <c r="P1423" s="7" t="str">
        <f aca="false">IF(COUNTIF($O$2:O1423,O1423)&gt;1,"DUP","OK")</f>
        <v>OK</v>
      </c>
      <c r="Q1423" s="7" t="n">
        <f aca="false">COUNTBLANK(A1423:N1423)</f>
        <v>0</v>
      </c>
      <c r="R1423" s="7" t="n">
        <f aca="false">IF(A1423="",0,COUNTIFS($A$2:$A$3058,A1423,$P$2:$P$3058,"OK"))</f>
        <v>1</v>
      </c>
      <c r="S1423" s="7" t="str">
        <f aca="false">IF(OR(A1423="",P1423="DUP",R1423&lt;2),"",IF(Q1423=_xlfn.MINIFS($Q$2:$Q$3058,$A$2:$A$3058,A1423,$P$2:$P$3058,"OK"),"KEEP","DROP"))</f>
        <v/>
      </c>
      <c r="T1423" s="9" t="n">
        <f aca="false">IF(A1423="",1,0)</f>
        <v>0</v>
      </c>
      <c r="U1423" s="9" t="n">
        <f aca="false">IF(D1423="",1,0)</f>
        <v>0</v>
      </c>
      <c r="V1423" s="9" t="n">
        <f aca="false">IF(E1423="",1,0)</f>
        <v>0</v>
      </c>
      <c r="W1423" s="9" t="n">
        <f aca="false">IF(OR(H1423&lt;1,H1423&gt;10),1,0)</f>
        <v>0</v>
      </c>
      <c r="X1423" s="9" t="n">
        <f aca="false">IF(OR(I1423&lt;=0,I1423&gt;1500),1,0)</f>
        <v>0</v>
      </c>
      <c r="Y1423" s="9" t="n">
        <f aca="false">IF(J1423&gt;H1423*I1423,1,0)</f>
        <v>0</v>
      </c>
      <c r="Z1423" s="9" t="n">
        <f aca="false">IF(AND(N1423&lt;&gt;"",OR(N1423&lt;1,N1423&gt;5)),1,0)</f>
        <v>0</v>
      </c>
      <c r="AA1423" s="9" t="n">
        <f aca="false">IF(AND(M1423&lt;&gt;"",OR(M1423&lt;5,M1423&gt;180)),1,0)</f>
        <v>0</v>
      </c>
      <c r="AB1423" s="7" t="str">
        <f aca="false">IF(P1423="DUP","Exact duplicate row",IF(T1423=1,"Missing Order ID",IF(S1423="DROP","Duplicate Order ID (less complete row)",IF(U1423=1,"Missing Customer ID",IF(V1423=1,"Missing Restaurant name",IF(W1423=1,"Invalid/outlier quantity",IF(X1423=1,"Invalid/outlier unit price",IF(Y1423=1,"Discount greater than order value",""))))))))</f>
        <v/>
      </c>
      <c r="AC1423" s="7" t="str">
        <f aca="false">IF(AB1423="","KEEP","DROP")</f>
        <v>KEEP</v>
      </c>
      <c r="AD1423" s="7" t="str">
        <f aca="false">IF(TRIM(F1423)="",IFERROR(INDEX(Map_Tables!$I$4:$I$37,MATCH(TRIM(E1423),Map_Tables!$G$4:$G$37,0)),""),IFERROR(INDEX(Map_Tables!$B$4:$B$18,MATCH(TRIM(F1423),Map_Tables!$A$4:$A$18,0)),"CHECK"))</f>
        <v>Hyderabad</v>
      </c>
      <c r="AE1423" s="7" t="str">
        <f aca="false">IF(TRIM(E1423)="","",IFERROR(INDEX(Map_Tables!$H$4:$H$37,MATCH(TRIM(E1423),Map_Tables!$G$4:$G$37,0)),"CHECK"))</f>
        <v>Andhra Meals Mess</v>
      </c>
      <c r="AF1423" s="7" t="str">
        <f aca="false">IF(TRIM(K1423)="","Unknown",IFERROR(INDEX(Map_Tables!$E$4:$E$15,MATCH(TRIM(K1423),Map_Tables!$D$4:$D$15,0)),"CHECK"))</f>
        <v>UPI</v>
      </c>
      <c r="AG1423" s="7" t="str">
        <f aca="false">IF(LEFT(LOWER(TRIM(L1423)),6)="cancel","Cancelled","Delivered")</f>
        <v>Delivered</v>
      </c>
      <c r="AH1423" s="10" t="n">
        <f aca="false">IF(ISNUMBER(SEARCH("/",B1423)),DATE(VALUE(RIGHT(B1423,4)),VALUE(MID(B1423,4,2)),VALUE(LEFT(B1423,2))),IF(MID(B1423,5,1)="-",DATE(VALUE(LEFT(B1423,4)),VALUE(MID(B1423,6,2)),VALUE(RIGHT(B1423,2))),DATE(VALUE(RIGHT(B1423,4)),MATCH(MID(B1423,4,3),{"Jan","Feb","Mar","Apr","May","Jun","Jul","Aug","Sep","Oct","Nov","Dec"},0),VALUE(LEFT(B1423,2)))))</f>
        <v>45954</v>
      </c>
    </row>
    <row r="1424" customFormat="false" ht="15" hidden="false" customHeight="false" outlineLevel="0" collapsed="false">
      <c r="A1424" s="7" t="s">
        <v>3801</v>
      </c>
      <c r="B1424" s="7" t="s">
        <v>3802</v>
      </c>
      <c r="C1424" s="7" t="s">
        <v>2024</v>
      </c>
      <c r="D1424" s="7" t="s">
        <v>613</v>
      </c>
      <c r="E1424" s="7" t="s">
        <v>98</v>
      </c>
      <c r="F1424" s="7" t="s">
        <v>86</v>
      </c>
      <c r="G1424" s="7" t="s">
        <v>99</v>
      </c>
      <c r="H1424" s="7" t="n">
        <v>3</v>
      </c>
      <c r="I1424" s="7" t="n">
        <v>230</v>
      </c>
      <c r="J1424" s="7" t="n">
        <v>20</v>
      </c>
      <c r="K1424" s="7" t="s">
        <v>93</v>
      </c>
      <c r="L1424" s="7" t="s">
        <v>194</v>
      </c>
      <c r="M1424" s="7" t="n">
        <v>46</v>
      </c>
      <c r="N1424" s="7" t="n">
        <v>3</v>
      </c>
      <c r="O1424" s="7" t="str">
        <f aca="false">A1424&amp;"|"&amp;B1424&amp;"|"&amp;C1424&amp;"|"&amp;D1424&amp;"|"&amp;E1424&amp;"|"&amp;F1424&amp;"|"&amp;G1424&amp;"|"&amp;H1424&amp;"|"&amp;I1424&amp;"|"&amp;J1424&amp;"|"&amp;K1424&amp;"|"&amp;L1424&amp;"|"&amp;M1424&amp;"|"&amp;N1424</f>
        <v>ORD10516|08/03/2025|17:19|C1433|Nawabi Biryani House|Bengaluru|Biryani|3|230|20|Credit Card|Delivered|46|3</v>
      </c>
      <c r="P1424" s="7" t="str">
        <f aca="false">IF(COUNTIF($O$2:O1424,O1424)&gt;1,"DUP","OK")</f>
        <v>OK</v>
      </c>
      <c r="Q1424" s="7" t="n">
        <f aca="false">COUNTBLANK(A1424:N1424)</f>
        <v>0</v>
      </c>
      <c r="R1424" s="7" t="n">
        <f aca="false">IF(A1424="",0,COUNTIFS($A$2:$A$3058,A1424,$P$2:$P$3058,"OK"))</f>
        <v>1</v>
      </c>
      <c r="S1424" s="7" t="str">
        <f aca="false">IF(OR(A1424="",P1424="DUP",R1424&lt;2),"",IF(Q1424=_xlfn.MINIFS($Q$2:$Q$3058,$A$2:$A$3058,A1424,$P$2:$P$3058,"OK"),"KEEP","DROP"))</f>
        <v/>
      </c>
      <c r="T1424" s="9" t="n">
        <f aca="false">IF(A1424="",1,0)</f>
        <v>0</v>
      </c>
      <c r="U1424" s="9" t="n">
        <f aca="false">IF(D1424="",1,0)</f>
        <v>0</v>
      </c>
      <c r="V1424" s="9" t="n">
        <f aca="false">IF(E1424="",1,0)</f>
        <v>0</v>
      </c>
      <c r="W1424" s="9" t="n">
        <f aca="false">IF(OR(H1424&lt;1,H1424&gt;10),1,0)</f>
        <v>0</v>
      </c>
      <c r="X1424" s="9" t="n">
        <f aca="false">IF(OR(I1424&lt;=0,I1424&gt;1500),1,0)</f>
        <v>0</v>
      </c>
      <c r="Y1424" s="9" t="n">
        <f aca="false">IF(J1424&gt;H1424*I1424,1,0)</f>
        <v>0</v>
      </c>
      <c r="Z1424" s="9" t="n">
        <f aca="false">IF(AND(N1424&lt;&gt;"",OR(N1424&lt;1,N1424&gt;5)),1,0)</f>
        <v>0</v>
      </c>
      <c r="AA1424" s="9" t="n">
        <f aca="false">IF(AND(M1424&lt;&gt;"",OR(M1424&lt;5,M1424&gt;180)),1,0)</f>
        <v>0</v>
      </c>
      <c r="AB1424" s="7" t="str">
        <f aca="false">IF(P1424="DUP","Exact duplicate row",IF(T1424=1,"Missing Order ID",IF(S1424="DROP","Duplicate Order ID (less complete row)",IF(U1424=1,"Missing Customer ID",IF(V1424=1,"Missing Restaurant name",IF(W1424=1,"Invalid/outlier quantity",IF(X1424=1,"Invalid/outlier unit price",IF(Y1424=1,"Discount greater than order value",""))))))))</f>
        <v/>
      </c>
      <c r="AC1424" s="7" t="str">
        <f aca="false">IF(AB1424="","KEEP","DROP")</f>
        <v>KEEP</v>
      </c>
      <c r="AD1424" s="7" t="str">
        <f aca="false">IF(TRIM(F1424)="",IFERROR(INDEX(Map_Tables!$I$4:$I$37,MATCH(TRIM(E1424),Map_Tables!$G$4:$G$37,0)),""),IFERROR(INDEX(Map_Tables!$B$4:$B$18,MATCH(TRIM(F1424),Map_Tables!$A$4:$A$18,0)),"CHECK"))</f>
        <v>Bengaluru</v>
      </c>
      <c r="AE1424" s="7" t="str">
        <f aca="false">IF(TRIM(E1424)="","",IFERROR(INDEX(Map_Tables!$H$4:$H$37,MATCH(TRIM(E1424),Map_Tables!$G$4:$G$37,0)),"CHECK"))</f>
        <v>Nawabi Biryani House</v>
      </c>
      <c r="AF1424" s="7" t="str">
        <f aca="false">IF(TRIM(K1424)="","Unknown",IFERROR(INDEX(Map_Tables!$E$4:$E$15,MATCH(TRIM(K1424),Map_Tables!$D$4:$D$15,0)),"CHECK"))</f>
        <v>Credit Card</v>
      </c>
      <c r="AG1424" s="7" t="str">
        <f aca="false">IF(LEFT(LOWER(TRIM(L1424)),6)="cancel","Cancelled","Delivered")</f>
        <v>Delivered</v>
      </c>
      <c r="AH1424" s="10" t="n">
        <f aca="false">IF(ISNUMBER(SEARCH("/",B1424)),DATE(VALUE(RIGHT(B1424,4)),VALUE(MID(B1424,4,2)),VALUE(LEFT(B1424,2))),IF(MID(B1424,5,1)="-",DATE(VALUE(LEFT(B1424,4)),VALUE(MID(B1424,6,2)),VALUE(RIGHT(B1424,2))),DATE(VALUE(RIGHT(B1424,4)),MATCH(MID(B1424,4,3),{"Jan","Feb","Mar","Apr","May","Jun","Jul","Aug","Sep","Oct","Nov","Dec"},0),VALUE(LEFT(B1424,2)))))</f>
        <v>45724</v>
      </c>
    </row>
    <row r="1425" customFormat="false" ht="15" hidden="false" customHeight="false" outlineLevel="0" collapsed="false">
      <c r="A1425" s="7" t="s">
        <v>3803</v>
      </c>
      <c r="B1425" s="7" t="s">
        <v>500</v>
      </c>
      <c r="C1425" s="7" t="s">
        <v>1604</v>
      </c>
      <c r="D1425" s="7" t="s">
        <v>3804</v>
      </c>
      <c r="E1425" s="7" t="s">
        <v>138</v>
      </c>
      <c r="F1425" s="7" t="s">
        <v>521</v>
      </c>
      <c r="G1425" s="7" t="s">
        <v>139</v>
      </c>
      <c r="H1425" s="7" t="n">
        <v>2</v>
      </c>
      <c r="I1425" s="7" t="n">
        <v>195</v>
      </c>
      <c r="J1425" s="7" t="n">
        <v>20</v>
      </c>
      <c r="K1425" s="7" t="s">
        <v>88</v>
      </c>
      <c r="L1425" s="7" t="s">
        <v>194</v>
      </c>
      <c r="M1425" s="7" t="n">
        <v>48</v>
      </c>
      <c r="N1425" s="7" t="n">
        <v>2</v>
      </c>
      <c r="O1425" s="7" t="str">
        <f aca="false">A1425&amp;"|"&amp;B1425&amp;"|"&amp;C1425&amp;"|"&amp;D1425&amp;"|"&amp;E1425&amp;"|"&amp;F1425&amp;"|"&amp;G1425&amp;"|"&amp;H1425&amp;"|"&amp;I1425&amp;"|"&amp;J1425&amp;"|"&amp;K1425&amp;"|"&amp;L1425&amp;"|"&amp;M1425&amp;"|"&amp;N1425</f>
        <v>ORD11355|2025-06-24|08:47|C0160|Burger Barn|DELHI|Burgers|2|195|20|UPI|Delivered|48|2</v>
      </c>
      <c r="P1425" s="7" t="str">
        <f aca="false">IF(COUNTIF($O$2:O1425,O1425)&gt;1,"DUP","OK")</f>
        <v>OK</v>
      </c>
      <c r="Q1425" s="7" t="n">
        <f aca="false">COUNTBLANK(A1425:N1425)</f>
        <v>0</v>
      </c>
      <c r="R1425" s="7" t="n">
        <f aca="false">IF(A1425="",0,COUNTIFS($A$2:$A$3058,A1425,$P$2:$P$3058,"OK"))</f>
        <v>1</v>
      </c>
      <c r="S1425" s="7" t="str">
        <f aca="false">IF(OR(A1425="",P1425="DUP",R1425&lt;2),"",IF(Q1425=_xlfn.MINIFS($Q$2:$Q$3058,$A$2:$A$3058,A1425,$P$2:$P$3058,"OK"),"KEEP","DROP"))</f>
        <v/>
      </c>
      <c r="T1425" s="9" t="n">
        <f aca="false">IF(A1425="",1,0)</f>
        <v>0</v>
      </c>
      <c r="U1425" s="9" t="n">
        <f aca="false">IF(D1425="",1,0)</f>
        <v>0</v>
      </c>
      <c r="V1425" s="9" t="n">
        <f aca="false">IF(E1425="",1,0)</f>
        <v>0</v>
      </c>
      <c r="W1425" s="9" t="n">
        <f aca="false">IF(OR(H1425&lt;1,H1425&gt;10),1,0)</f>
        <v>0</v>
      </c>
      <c r="X1425" s="9" t="n">
        <f aca="false">IF(OR(I1425&lt;=0,I1425&gt;1500),1,0)</f>
        <v>0</v>
      </c>
      <c r="Y1425" s="9" t="n">
        <f aca="false">IF(J1425&gt;H1425*I1425,1,0)</f>
        <v>0</v>
      </c>
      <c r="Z1425" s="9" t="n">
        <f aca="false">IF(AND(N1425&lt;&gt;"",OR(N1425&lt;1,N1425&gt;5)),1,0)</f>
        <v>0</v>
      </c>
      <c r="AA1425" s="9" t="n">
        <f aca="false">IF(AND(M1425&lt;&gt;"",OR(M1425&lt;5,M1425&gt;180)),1,0)</f>
        <v>0</v>
      </c>
      <c r="AB1425" s="7" t="str">
        <f aca="false">IF(P1425="DUP","Exact duplicate row",IF(T1425=1,"Missing Order ID",IF(S1425="DROP","Duplicate Order ID (less complete row)",IF(U1425=1,"Missing Customer ID",IF(V1425=1,"Missing Restaurant name",IF(W1425=1,"Invalid/outlier quantity",IF(X1425=1,"Invalid/outlier unit price",IF(Y1425=1,"Discount greater than order value",""))))))))</f>
        <v/>
      </c>
      <c r="AC1425" s="7" t="str">
        <f aca="false">IF(AB1425="","KEEP","DROP")</f>
        <v>KEEP</v>
      </c>
      <c r="AD1425" s="7" t="str">
        <f aca="false">IF(TRIM(F1425)="",IFERROR(INDEX(Map_Tables!$I$4:$I$37,MATCH(TRIM(E1425),Map_Tables!$G$4:$G$37,0)),""),IFERROR(INDEX(Map_Tables!$B$4:$B$18,MATCH(TRIM(F1425),Map_Tables!$A$4:$A$18,0)),"CHECK"))</f>
        <v>Delhi</v>
      </c>
      <c r="AE1425" s="7" t="str">
        <f aca="false">IF(TRIM(E1425)="","",IFERROR(INDEX(Map_Tables!$H$4:$H$37,MATCH(TRIM(E1425),Map_Tables!$G$4:$G$37,0)),"CHECK"))</f>
        <v>Burger Barn</v>
      </c>
      <c r="AF1425" s="7" t="str">
        <f aca="false">IF(TRIM(K1425)="","Unknown",IFERROR(INDEX(Map_Tables!$E$4:$E$15,MATCH(TRIM(K1425),Map_Tables!$D$4:$D$15,0)),"CHECK"))</f>
        <v>UPI</v>
      </c>
      <c r="AG1425" s="7" t="str">
        <f aca="false">IF(LEFT(LOWER(TRIM(L1425)),6)="cancel","Cancelled","Delivered")</f>
        <v>Delivered</v>
      </c>
      <c r="AH1425" s="10" t="n">
        <f aca="false">IF(ISNUMBER(SEARCH("/",B1425)),DATE(VALUE(RIGHT(B1425,4)),VALUE(MID(B1425,4,2)),VALUE(LEFT(B1425,2))),IF(MID(B1425,5,1)="-",DATE(VALUE(LEFT(B1425,4)),VALUE(MID(B1425,6,2)),VALUE(RIGHT(B1425,2))),DATE(VALUE(RIGHT(B1425,4)),MATCH(MID(B1425,4,3),{"Jan","Feb","Mar","Apr","May","Jun","Jul","Aug","Sep","Oct","Nov","Dec"},0),VALUE(LEFT(B1425,2)))))</f>
        <v>45832</v>
      </c>
    </row>
    <row r="1426" customFormat="false" ht="15" hidden="false" customHeight="false" outlineLevel="0" collapsed="false">
      <c r="A1426" s="7" t="s">
        <v>3805</v>
      </c>
      <c r="B1426" s="7" t="s">
        <v>3806</v>
      </c>
      <c r="C1426" s="7" t="s">
        <v>655</v>
      </c>
      <c r="D1426" s="7" t="s">
        <v>3807</v>
      </c>
      <c r="E1426" s="7" t="s">
        <v>157</v>
      </c>
      <c r="F1426" s="7" t="s">
        <v>136</v>
      </c>
      <c r="G1426" s="7" t="s">
        <v>117</v>
      </c>
      <c r="H1426" s="7" t="n">
        <v>2</v>
      </c>
      <c r="I1426" s="7" t="n">
        <v>125</v>
      </c>
      <c r="J1426" s="7" t="n">
        <v>0</v>
      </c>
      <c r="K1426" s="7" t="s">
        <v>88</v>
      </c>
      <c r="L1426" s="7" t="s">
        <v>194</v>
      </c>
      <c r="M1426" s="7" t="n">
        <v>30</v>
      </c>
      <c r="N1426" s="7"/>
      <c r="O1426" s="7" t="str">
        <f aca="false">A1426&amp;"|"&amp;B1426&amp;"|"&amp;C1426&amp;"|"&amp;D1426&amp;"|"&amp;E1426&amp;"|"&amp;F1426&amp;"|"&amp;G1426&amp;"|"&amp;H1426&amp;"|"&amp;I1426&amp;"|"&amp;J1426&amp;"|"&amp;K1426&amp;"|"&amp;L1426&amp;"|"&amp;M1426&amp;"|"&amp;N1426</f>
        <v>ORD10110|14/01/2025|19:22|C0216|Misal Mantra|Pune|Street Food|2|125|0|UPI|Delivered|30|</v>
      </c>
      <c r="P1426" s="7" t="str">
        <f aca="false">IF(COUNTIF($O$2:O1426,O1426)&gt;1,"DUP","OK")</f>
        <v>OK</v>
      </c>
      <c r="Q1426" s="7" t="n">
        <f aca="false">COUNTBLANK(A1426:N1426)</f>
        <v>1</v>
      </c>
      <c r="R1426" s="7" t="n">
        <f aca="false">IF(A1426="",0,COUNTIFS($A$2:$A$3058,A1426,$P$2:$P$3058,"OK"))</f>
        <v>1</v>
      </c>
      <c r="S1426" s="7" t="str">
        <f aca="false">IF(OR(A1426="",P1426="DUP",R1426&lt;2),"",IF(Q1426=_xlfn.MINIFS($Q$2:$Q$3058,$A$2:$A$3058,A1426,$P$2:$P$3058,"OK"),"KEEP","DROP"))</f>
        <v/>
      </c>
      <c r="T1426" s="9" t="n">
        <f aca="false">IF(A1426="",1,0)</f>
        <v>0</v>
      </c>
      <c r="U1426" s="9" t="n">
        <f aca="false">IF(D1426="",1,0)</f>
        <v>0</v>
      </c>
      <c r="V1426" s="9" t="n">
        <f aca="false">IF(E1426="",1,0)</f>
        <v>0</v>
      </c>
      <c r="W1426" s="9" t="n">
        <f aca="false">IF(OR(H1426&lt;1,H1426&gt;10),1,0)</f>
        <v>0</v>
      </c>
      <c r="X1426" s="9" t="n">
        <f aca="false">IF(OR(I1426&lt;=0,I1426&gt;1500),1,0)</f>
        <v>0</v>
      </c>
      <c r="Y1426" s="9" t="n">
        <f aca="false">IF(J1426&gt;H1426*I1426,1,0)</f>
        <v>0</v>
      </c>
      <c r="Z1426" s="9" t="n">
        <f aca="false">IF(AND(N1426&lt;&gt;"",OR(N1426&lt;1,N1426&gt;5)),1,0)</f>
        <v>0</v>
      </c>
      <c r="AA1426" s="9" t="n">
        <f aca="false">IF(AND(M1426&lt;&gt;"",OR(M1426&lt;5,M1426&gt;180)),1,0)</f>
        <v>0</v>
      </c>
      <c r="AB1426" s="7" t="str">
        <f aca="false">IF(P1426="DUP","Exact duplicate row",IF(T1426=1,"Missing Order ID",IF(S1426="DROP","Duplicate Order ID (less complete row)",IF(U1426=1,"Missing Customer ID",IF(V1426=1,"Missing Restaurant name",IF(W1426=1,"Invalid/outlier quantity",IF(X1426=1,"Invalid/outlier unit price",IF(Y1426=1,"Discount greater than order value",""))))))))</f>
        <v/>
      </c>
      <c r="AC1426" s="7" t="str">
        <f aca="false">IF(AB1426="","KEEP","DROP")</f>
        <v>KEEP</v>
      </c>
      <c r="AD1426" s="7" t="str">
        <f aca="false">IF(TRIM(F1426)="",IFERROR(INDEX(Map_Tables!$I$4:$I$37,MATCH(TRIM(E1426),Map_Tables!$G$4:$G$37,0)),""),IFERROR(INDEX(Map_Tables!$B$4:$B$18,MATCH(TRIM(F1426),Map_Tables!$A$4:$A$18,0)),"CHECK"))</f>
        <v>Pune</v>
      </c>
      <c r="AE1426" s="7" t="str">
        <f aca="false">IF(TRIM(E1426)="","",IFERROR(INDEX(Map_Tables!$H$4:$H$37,MATCH(TRIM(E1426),Map_Tables!$G$4:$G$37,0)),"CHECK"))</f>
        <v>Misal Mantra</v>
      </c>
      <c r="AF1426" s="7" t="str">
        <f aca="false">IF(TRIM(K1426)="","Unknown",IFERROR(INDEX(Map_Tables!$E$4:$E$15,MATCH(TRIM(K1426),Map_Tables!$D$4:$D$15,0)),"CHECK"))</f>
        <v>UPI</v>
      </c>
      <c r="AG1426" s="7" t="str">
        <f aca="false">IF(LEFT(LOWER(TRIM(L1426)),6)="cancel","Cancelled","Delivered")</f>
        <v>Delivered</v>
      </c>
      <c r="AH1426" s="10" t="n">
        <f aca="false">IF(ISNUMBER(SEARCH("/",B1426)),DATE(VALUE(RIGHT(B1426,4)),VALUE(MID(B1426,4,2)),VALUE(LEFT(B1426,2))),IF(MID(B1426,5,1)="-",DATE(VALUE(LEFT(B1426,4)),VALUE(MID(B1426,6,2)),VALUE(RIGHT(B1426,2))),DATE(VALUE(RIGHT(B1426,4)),MATCH(MID(B1426,4,3),{"Jan","Feb","Mar","Apr","May","Jun","Jul","Aug","Sep","Oct","Nov","Dec"},0),VALUE(LEFT(B1426,2)))))</f>
        <v>45671</v>
      </c>
    </row>
    <row r="1427" customFormat="false" ht="15" hidden="false" customHeight="false" outlineLevel="0" collapsed="false">
      <c r="A1427" s="7" t="s">
        <v>3808</v>
      </c>
      <c r="B1427" s="7" t="s">
        <v>3809</v>
      </c>
      <c r="C1427" s="7" t="s">
        <v>817</v>
      </c>
      <c r="D1427" s="7" t="s">
        <v>2763</v>
      </c>
      <c r="E1427" s="7" t="s">
        <v>130</v>
      </c>
      <c r="F1427" s="7" t="s">
        <v>110</v>
      </c>
      <c r="G1427" s="7" t="s">
        <v>90</v>
      </c>
      <c r="H1427" s="7" t="n">
        <v>2</v>
      </c>
      <c r="I1427" s="7" t="n">
        <v>270</v>
      </c>
      <c r="J1427" s="7" t="n">
        <v>0</v>
      </c>
      <c r="K1427" s="7" t="s">
        <v>88</v>
      </c>
      <c r="L1427" s="7" t="s">
        <v>194</v>
      </c>
      <c r="M1427" s="7" t="n">
        <v>55</v>
      </c>
      <c r="N1427" s="7"/>
      <c r="O1427" s="7" t="str">
        <f aca="false">A1427&amp;"|"&amp;B1427&amp;"|"&amp;C1427&amp;"|"&amp;D1427&amp;"|"&amp;E1427&amp;"|"&amp;F1427&amp;"|"&amp;G1427&amp;"|"&amp;H1427&amp;"|"&amp;I1427&amp;"|"&amp;J1427&amp;"|"&amp;K1427&amp;"|"&amp;L1427&amp;"|"&amp;M1427&amp;"|"&amp;N1427</f>
        <v>ORD12130|30/09/2025|20:53|C0690|Tandoor Tales|Delhi|North Indian|2|270|0|UPI|Delivered|55|</v>
      </c>
      <c r="P1427" s="7" t="str">
        <f aca="false">IF(COUNTIF($O$2:O1427,O1427)&gt;1,"DUP","OK")</f>
        <v>OK</v>
      </c>
      <c r="Q1427" s="7" t="n">
        <f aca="false">COUNTBLANK(A1427:N1427)</f>
        <v>1</v>
      </c>
      <c r="R1427" s="7" t="n">
        <f aca="false">IF(A1427="",0,COUNTIFS($A$2:$A$3058,A1427,$P$2:$P$3058,"OK"))</f>
        <v>1</v>
      </c>
      <c r="S1427" s="7" t="str">
        <f aca="false">IF(OR(A1427="",P1427="DUP",R1427&lt;2),"",IF(Q1427=_xlfn.MINIFS($Q$2:$Q$3058,$A$2:$A$3058,A1427,$P$2:$P$3058,"OK"),"KEEP","DROP"))</f>
        <v/>
      </c>
      <c r="T1427" s="9" t="n">
        <f aca="false">IF(A1427="",1,0)</f>
        <v>0</v>
      </c>
      <c r="U1427" s="9" t="n">
        <f aca="false">IF(D1427="",1,0)</f>
        <v>0</v>
      </c>
      <c r="V1427" s="9" t="n">
        <f aca="false">IF(E1427="",1,0)</f>
        <v>0</v>
      </c>
      <c r="W1427" s="9" t="n">
        <f aca="false">IF(OR(H1427&lt;1,H1427&gt;10),1,0)</f>
        <v>0</v>
      </c>
      <c r="X1427" s="9" t="n">
        <f aca="false">IF(OR(I1427&lt;=0,I1427&gt;1500),1,0)</f>
        <v>0</v>
      </c>
      <c r="Y1427" s="9" t="n">
        <f aca="false">IF(J1427&gt;H1427*I1427,1,0)</f>
        <v>0</v>
      </c>
      <c r="Z1427" s="9" t="n">
        <f aca="false">IF(AND(N1427&lt;&gt;"",OR(N1427&lt;1,N1427&gt;5)),1,0)</f>
        <v>0</v>
      </c>
      <c r="AA1427" s="9" t="n">
        <f aca="false">IF(AND(M1427&lt;&gt;"",OR(M1427&lt;5,M1427&gt;180)),1,0)</f>
        <v>0</v>
      </c>
      <c r="AB1427" s="7" t="str">
        <f aca="false">IF(P1427="DUP","Exact duplicate row",IF(T1427=1,"Missing Order ID",IF(S1427="DROP","Duplicate Order ID (less complete row)",IF(U1427=1,"Missing Customer ID",IF(V1427=1,"Missing Restaurant name",IF(W1427=1,"Invalid/outlier quantity",IF(X1427=1,"Invalid/outlier unit price",IF(Y1427=1,"Discount greater than order value",""))))))))</f>
        <v/>
      </c>
      <c r="AC1427" s="7" t="str">
        <f aca="false">IF(AB1427="","KEEP","DROP")</f>
        <v>KEEP</v>
      </c>
      <c r="AD1427" s="7" t="str">
        <f aca="false">IF(TRIM(F1427)="",IFERROR(INDEX(Map_Tables!$I$4:$I$37,MATCH(TRIM(E1427),Map_Tables!$G$4:$G$37,0)),""),IFERROR(INDEX(Map_Tables!$B$4:$B$18,MATCH(TRIM(F1427),Map_Tables!$A$4:$A$18,0)),"CHECK"))</f>
        <v>Delhi</v>
      </c>
      <c r="AE1427" s="7" t="str">
        <f aca="false">IF(TRIM(E1427)="","",IFERROR(INDEX(Map_Tables!$H$4:$H$37,MATCH(TRIM(E1427),Map_Tables!$G$4:$G$37,0)),"CHECK"))</f>
        <v>Tandoor Tales</v>
      </c>
      <c r="AF1427" s="7" t="str">
        <f aca="false">IF(TRIM(K1427)="","Unknown",IFERROR(INDEX(Map_Tables!$E$4:$E$15,MATCH(TRIM(K1427),Map_Tables!$D$4:$D$15,0)),"CHECK"))</f>
        <v>UPI</v>
      </c>
      <c r="AG1427" s="7" t="str">
        <f aca="false">IF(LEFT(LOWER(TRIM(L1427)),6)="cancel","Cancelled","Delivered")</f>
        <v>Delivered</v>
      </c>
      <c r="AH1427" s="10" t="n">
        <f aca="false">IF(ISNUMBER(SEARCH("/",B1427)),DATE(VALUE(RIGHT(B1427,4)),VALUE(MID(B1427,4,2)),VALUE(LEFT(B1427,2))),IF(MID(B1427,5,1)="-",DATE(VALUE(LEFT(B1427,4)),VALUE(MID(B1427,6,2)),VALUE(RIGHT(B1427,2))),DATE(VALUE(RIGHT(B1427,4)),MATCH(MID(B1427,4,3),{"Jan","Feb","Mar","Apr","May","Jun","Jul","Aug","Sep","Oct","Nov","Dec"},0),VALUE(LEFT(B1427,2)))))</f>
        <v>45930</v>
      </c>
    </row>
    <row r="1428" customFormat="false" ht="15" hidden="false" customHeight="false" outlineLevel="0" collapsed="false">
      <c r="A1428" s="7" t="s">
        <v>3810</v>
      </c>
      <c r="B1428" s="7" t="s">
        <v>782</v>
      </c>
      <c r="C1428" s="7" t="s">
        <v>2901</v>
      </c>
      <c r="D1428" s="7" t="s">
        <v>3811</v>
      </c>
      <c r="E1428" s="7" t="s">
        <v>152</v>
      </c>
      <c r="F1428" s="7" t="s">
        <v>128</v>
      </c>
      <c r="G1428" s="7" t="s">
        <v>95</v>
      </c>
      <c r="H1428" s="7" t="n">
        <v>4</v>
      </c>
      <c r="I1428" s="7" t="n">
        <v>100</v>
      </c>
      <c r="J1428" s="7" t="n">
        <v>30</v>
      </c>
      <c r="K1428" s="7" t="s">
        <v>88</v>
      </c>
      <c r="L1428" s="7" t="s">
        <v>194</v>
      </c>
      <c r="M1428" s="7" t="n">
        <v>30</v>
      </c>
      <c r="N1428" s="7" t="n">
        <v>4</v>
      </c>
      <c r="O1428" s="7" t="str">
        <f aca="false">A1428&amp;"|"&amp;B1428&amp;"|"&amp;C1428&amp;"|"&amp;D1428&amp;"|"&amp;E1428&amp;"|"&amp;F1428&amp;"|"&amp;G1428&amp;"|"&amp;H1428&amp;"|"&amp;I1428&amp;"|"&amp;J1428&amp;"|"&amp;K1428&amp;"|"&amp;L1428&amp;"|"&amp;M1428&amp;"|"&amp;N1428</f>
        <v>ORD10041|2025-01-07|09:49|C0664|Filter Coffee &amp; Tiffin|Chennai|South Indian|4|100|30|UPI|Delivered|30|4</v>
      </c>
      <c r="P1428" s="7" t="str">
        <f aca="false">IF(COUNTIF($O$2:O1428,O1428)&gt;1,"DUP","OK")</f>
        <v>OK</v>
      </c>
      <c r="Q1428" s="7" t="n">
        <f aca="false">COUNTBLANK(A1428:N1428)</f>
        <v>0</v>
      </c>
      <c r="R1428" s="7" t="n">
        <f aca="false">IF(A1428="",0,COUNTIFS($A$2:$A$3058,A1428,$P$2:$P$3058,"OK"))</f>
        <v>1</v>
      </c>
      <c r="S1428" s="7" t="str">
        <f aca="false">IF(OR(A1428="",P1428="DUP",R1428&lt;2),"",IF(Q1428=_xlfn.MINIFS($Q$2:$Q$3058,$A$2:$A$3058,A1428,$P$2:$P$3058,"OK"),"KEEP","DROP"))</f>
        <v/>
      </c>
      <c r="T1428" s="9" t="n">
        <f aca="false">IF(A1428="",1,0)</f>
        <v>0</v>
      </c>
      <c r="U1428" s="9" t="n">
        <f aca="false">IF(D1428="",1,0)</f>
        <v>0</v>
      </c>
      <c r="V1428" s="9" t="n">
        <f aca="false">IF(E1428="",1,0)</f>
        <v>0</v>
      </c>
      <c r="W1428" s="9" t="n">
        <f aca="false">IF(OR(H1428&lt;1,H1428&gt;10),1,0)</f>
        <v>0</v>
      </c>
      <c r="X1428" s="9" t="n">
        <f aca="false">IF(OR(I1428&lt;=0,I1428&gt;1500),1,0)</f>
        <v>0</v>
      </c>
      <c r="Y1428" s="9" t="n">
        <f aca="false">IF(J1428&gt;H1428*I1428,1,0)</f>
        <v>0</v>
      </c>
      <c r="Z1428" s="9" t="n">
        <f aca="false">IF(AND(N1428&lt;&gt;"",OR(N1428&lt;1,N1428&gt;5)),1,0)</f>
        <v>0</v>
      </c>
      <c r="AA1428" s="9" t="n">
        <f aca="false">IF(AND(M1428&lt;&gt;"",OR(M1428&lt;5,M1428&gt;180)),1,0)</f>
        <v>0</v>
      </c>
      <c r="AB1428" s="7" t="str">
        <f aca="false">IF(P1428="DUP","Exact duplicate row",IF(T1428=1,"Missing Order ID",IF(S1428="DROP","Duplicate Order ID (less complete row)",IF(U1428=1,"Missing Customer ID",IF(V1428=1,"Missing Restaurant name",IF(W1428=1,"Invalid/outlier quantity",IF(X1428=1,"Invalid/outlier unit price",IF(Y1428=1,"Discount greater than order value",""))))))))</f>
        <v/>
      </c>
      <c r="AC1428" s="7" t="str">
        <f aca="false">IF(AB1428="","KEEP","DROP")</f>
        <v>KEEP</v>
      </c>
      <c r="AD1428" s="7" t="str">
        <f aca="false">IF(TRIM(F1428)="",IFERROR(INDEX(Map_Tables!$I$4:$I$37,MATCH(TRIM(E1428),Map_Tables!$G$4:$G$37,0)),""),IFERROR(INDEX(Map_Tables!$B$4:$B$18,MATCH(TRIM(F1428),Map_Tables!$A$4:$A$18,0)),"CHECK"))</f>
        <v>Chennai</v>
      </c>
      <c r="AE1428" s="7" t="str">
        <f aca="false">IF(TRIM(E1428)="","",IFERROR(INDEX(Map_Tables!$H$4:$H$37,MATCH(TRIM(E1428),Map_Tables!$G$4:$G$37,0)),"CHECK"))</f>
        <v>Filter Coffee &amp; Tiffin</v>
      </c>
      <c r="AF1428" s="7" t="str">
        <f aca="false">IF(TRIM(K1428)="","Unknown",IFERROR(INDEX(Map_Tables!$E$4:$E$15,MATCH(TRIM(K1428),Map_Tables!$D$4:$D$15,0)),"CHECK"))</f>
        <v>UPI</v>
      </c>
      <c r="AG1428" s="7" t="str">
        <f aca="false">IF(LEFT(LOWER(TRIM(L1428)),6)="cancel","Cancelled","Delivered")</f>
        <v>Delivered</v>
      </c>
      <c r="AH1428" s="10" t="n">
        <f aca="false">IF(ISNUMBER(SEARCH("/",B1428)),DATE(VALUE(RIGHT(B1428,4)),VALUE(MID(B1428,4,2)),VALUE(LEFT(B1428,2))),IF(MID(B1428,5,1)="-",DATE(VALUE(LEFT(B1428,4)),VALUE(MID(B1428,6,2)),VALUE(RIGHT(B1428,2))),DATE(VALUE(RIGHT(B1428,4)),MATCH(MID(B1428,4,3),{"Jan","Feb","Mar","Apr","May","Jun","Jul","Aug","Sep","Oct","Nov","Dec"},0),VALUE(LEFT(B1428,2)))))</f>
        <v>45664</v>
      </c>
    </row>
    <row r="1429" customFormat="false" ht="15" hidden="false" customHeight="false" outlineLevel="0" collapsed="false">
      <c r="A1429" s="7" t="s">
        <v>3812</v>
      </c>
      <c r="B1429" s="7" t="s">
        <v>3813</v>
      </c>
      <c r="C1429" s="7" t="s">
        <v>1562</v>
      </c>
      <c r="D1429" s="7" t="s">
        <v>3814</v>
      </c>
      <c r="E1429" s="7" t="s">
        <v>130</v>
      </c>
      <c r="F1429" s="7" t="s">
        <v>110</v>
      </c>
      <c r="G1429" s="7" t="s">
        <v>90</v>
      </c>
      <c r="H1429" s="7" t="n">
        <v>1</v>
      </c>
      <c r="I1429" s="7" t="n">
        <v>225</v>
      </c>
      <c r="J1429" s="7" t="n">
        <v>0</v>
      </c>
      <c r="K1429" s="7" t="s">
        <v>88</v>
      </c>
      <c r="L1429" s="7" t="s">
        <v>238</v>
      </c>
      <c r="M1429" s="7"/>
      <c r="N1429" s="7"/>
      <c r="O1429" s="7" t="str">
        <f aca="false">A1429&amp;"|"&amp;B1429&amp;"|"&amp;C1429&amp;"|"&amp;D1429&amp;"|"&amp;E1429&amp;"|"&amp;F1429&amp;"|"&amp;G1429&amp;"|"&amp;H1429&amp;"|"&amp;I1429&amp;"|"&amp;J1429&amp;"|"&amp;K1429&amp;"|"&amp;L1429&amp;"|"&amp;M1429&amp;"|"&amp;N1429</f>
        <v>ORD12752|02/12/2025|20:07|C0575|Tandoor Tales|Delhi|North Indian|1|225|0|UPI|Cancelled||</v>
      </c>
      <c r="P1429" s="7" t="str">
        <f aca="false">IF(COUNTIF($O$2:O1429,O1429)&gt;1,"DUP","OK")</f>
        <v>OK</v>
      </c>
      <c r="Q1429" s="7" t="n">
        <f aca="false">COUNTBLANK(A1429:N1429)</f>
        <v>2</v>
      </c>
      <c r="R1429" s="7" t="n">
        <f aca="false">IF(A1429="",0,COUNTIFS($A$2:$A$3058,A1429,$P$2:$P$3058,"OK"))</f>
        <v>1</v>
      </c>
      <c r="S1429" s="7" t="str">
        <f aca="false">IF(OR(A1429="",P1429="DUP",R1429&lt;2),"",IF(Q1429=_xlfn.MINIFS($Q$2:$Q$3058,$A$2:$A$3058,A1429,$P$2:$P$3058,"OK"),"KEEP","DROP"))</f>
        <v/>
      </c>
      <c r="T1429" s="9" t="n">
        <f aca="false">IF(A1429="",1,0)</f>
        <v>0</v>
      </c>
      <c r="U1429" s="9" t="n">
        <f aca="false">IF(D1429="",1,0)</f>
        <v>0</v>
      </c>
      <c r="V1429" s="9" t="n">
        <f aca="false">IF(E1429="",1,0)</f>
        <v>0</v>
      </c>
      <c r="W1429" s="9" t="n">
        <f aca="false">IF(OR(H1429&lt;1,H1429&gt;10),1,0)</f>
        <v>0</v>
      </c>
      <c r="X1429" s="9" t="n">
        <f aca="false">IF(OR(I1429&lt;=0,I1429&gt;1500),1,0)</f>
        <v>0</v>
      </c>
      <c r="Y1429" s="9" t="n">
        <f aca="false">IF(J1429&gt;H1429*I1429,1,0)</f>
        <v>0</v>
      </c>
      <c r="Z1429" s="9" t="n">
        <f aca="false">IF(AND(N1429&lt;&gt;"",OR(N1429&lt;1,N1429&gt;5)),1,0)</f>
        <v>0</v>
      </c>
      <c r="AA1429" s="9" t="n">
        <f aca="false">IF(AND(M1429&lt;&gt;"",OR(M1429&lt;5,M1429&gt;180)),1,0)</f>
        <v>0</v>
      </c>
      <c r="AB1429" s="7" t="str">
        <f aca="false">IF(P1429="DUP","Exact duplicate row",IF(T1429=1,"Missing Order ID",IF(S1429="DROP","Duplicate Order ID (less complete row)",IF(U1429=1,"Missing Customer ID",IF(V1429=1,"Missing Restaurant name",IF(W1429=1,"Invalid/outlier quantity",IF(X1429=1,"Invalid/outlier unit price",IF(Y1429=1,"Discount greater than order value",""))))))))</f>
        <v/>
      </c>
      <c r="AC1429" s="7" t="str">
        <f aca="false">IF(AB1429="","KEEP","DROP")</f>
        <v>KEEP</v>
      </c>
      <c r="AD1429" s="7" t="str">
        <f aca="false">IF(TRIM(F1429)="",IFERROR(INDEX(Map_Tables!$I$4:$I$37,MATCH(TRIM(E1429),Map_Tables!$G$4:$G$37,0)),""),IFERROR(INDEX(Map_Tables!$B$4:$B$18,MATCH(TRIM(F1429),Map_Tables!$A$4:$A$18,0)),"CHECK"))</f>
        <v>Delhi</v>
      </c>
      <c r="AE1429" s="7" t="str">
        <f aca="false">IF(TRIM(E1429)="","",IFERROR(INDEX(Map_Tables!$H$4:$H$37,MATCH(TRIM(E1429),Map_Tables!$G$4:$G$37,0)),"CHECK"))</f>
        <v>Tandoor Tales</v>
      </c>
      <c r="AF1429" s="7" t="str">
        <f aca="false">IF(TRIM(K1429)="","Unknown",IFERROR(INDEX(Map_Tables!$E$4:$E$15,MATCH(TRIM(K1429),Map_Tables!$D$4:$D$15,0)),"CHECK"))</f>
        <v>UPI</v>
      </c>
      <c r="AG1429" s="7" t="str">
        <f aca="false">IF(LEFT(LOWER(TRIM(L1429)),6)="cancel","Cancelled","Delivered")</f>
        <v>Cancelled</v>
      </c>
      <c r="AH1429" s="10" t="n">
        <f aca="false">IF(ISNUMBER(SEARCH("/",B1429)),DATE(VALUE(RIGHT(B1429,4)),VALUE(MID(B1429,4,2)),VALUE(LEFT(B1429,2))),IF(MID(B1429,5,1)="-",DATE(VALUE(LEFT(B1429,4)),VALUE(MID(B1429,6,2)),VALUE(RIGHT(B1429,2))),DATE(VALUE(RIGHT(B1429,4)),MATCH(MID(B1429,4,3),{"Jan","Feb","Mar","Apr","May","Jun","Jul","Aug","Sep","Oct","Nov","Dec"},0),VALUE(LEFT(B1429,2)))))</f>
        <v>45993</v>
      </c>
    </row>
    <row r="1430" customFormat="false" ht="15" hidden="false" customHeight="false" outlineLevel="0" collapsed="false">
      <c r="A1430" s="7" t="s">
        <v>3815</v>
      </c>
      <c r="B1430" s="7" t="s">
        <v>1561</v>
      </c>
      <c r="C1430" s="7" t="s">
        <v>1684</v>
      </c>
      <c r="D1430" s="7" t="s">
        <v>3816</v>
      </c>
      <c r="E1430" s="7" t="s">
        <v>138</v>
      </c>
      <c r="F1430" s="7" t="s">
        <v>110</v>
      </c>
      <c r="G1430" s="7" t="s">
        <v>139</v>
      </c>
      <c r="H1430" s="7" t="n">
        <v>4</v>
      </c>
      <c r="I1430" s="7" t="n">
        <v>200</v>
      </c>
      <c r="J1430" s="7" t="n">
        <v>150</v>
      </c>
      <c r="K1430" s="7" t="s">
        <v>88</v>
      </c>
      <c r="L1430" s="7" t="s">
        <v>194</v>
      </c>
      <c r="M1430" s="7" t="n">
        <v>31</v>
      </c>
      <c r="N1430" s="7" t="n">
        <v>4</v>
      </c>
      <c r="O1430" s="7" t="str">
        <f aca="false">A1430&amp;"|"&amp;B1430&amp;"|"&amp;C1430&amp;"|"&amp;D1430&amp;"|"&amp;E1430&amp;"|"&amp;F1430&amp;"|"&amp;G1430&amp;"|"&amp;H1430&amp;"|"&amp;I1430&amp;"|"&amp;J1430&amp;"|"&amp;K1430&amp;"|"&amp;L1430&amp;"|"&amp;M1430&amp;"|"&amp;N1430</f>
        <v>ORD11727|2025-08-15|11:30|C1058|Burger Barn|Delhi|Burgers|4|200|150|UPI|Delivered|31|4</v>
      </c>
      <c r="P1430" s="7" t="str">
        <f aca="false">IF(COUNTIF($O$2:O1430,O1430)&gt;1,"DUP","OK")</f>
        <v>OK</v>
      </c>
      <c r="Q1430" s="7" t="n">
        <f aca="false">COUNTBLANK(A1430:N1430)</f>
        <v>0</v>
      </c>
      <c r="R1430" s="7" t="n">
        <f aca="false">IF(A1430="",0,COUNTIFS($A$2:$A$3058,A1430,$P$2:$P$3058,"OK"))</f>
        <v>1</v>
      </c>
      <c r="S1430" s="7" t="str">
        <f aca="false">IF(OR(A1430="",P1430="DUP",R1430&lt;2),"",IF(Q1430=_xlfn.MINIFS($Q$2:$Q$3058,$A$2:$A$3058,A1430,$P$2:$P$3058,"OK"),"KEEP","DROP"))</f>
        <v/>
      </c>
      <c r="T1430" s="9" t="n">
        <f aca="false">IF(A1430="",1,0)</f>
        <v>0</v>
      </c>
      <c r="U1430" s="9" t="n">
        <f aca="false">IF(D1430="",1,0)</f>
        <v>0</v>
      </c>
      <c r="V1430" s="9" t="n">
        <f aca="false">IF(E1430="",1,0)</f>
        <v>0</v>
      </c>
      <c r="W1430" s="9" t="n">
        <f aca="false">IF(OR(H1430&lt;1,H1430&gt;10),1,0)</f>
        <v>0</v>
      </c>
      <c r="X1430" s="9" t="n">
        <f aca="false">IF(OR(I1430&lt;=0,I1430&gt;1500),1,0)</f>
        <v>0</v>
      </c>
      <c r="Y1430" s="9" t="n">
        <f aca="false">IF(J1430&gt;H1430*I1430,1,0)</f>
        <v>0</v>
      </c>
      <c r="Z1430" s="9" t="n">
        <f aca="false">IF(AND(N1430&lt;&gt;"",OR(N1430&lt;1,N1430&gt;5)),1,0)</f>
        <v>0</v>
      </c>
      <c r="AA1430" s="9" t="n">
        <f aca="false">IF(AND(M1430&lt;&gt;"",OR(M1430&lt;5,M1430&gt;180)),1,0)</f>
        <v>0</v>
      </c>
      <c r="AB1430" s="7" t="str">
        <f aca="false">IF(P1430="DUP","Exact duplicate row",IF(T1430=1,"Missing Order ID",IF(S1430="DROP","Duplicate Order ID (less complete row)",IF(U1430=1,"Missing Customer ID",IF(V1430=1,"Missing Restaurant name",IF(W1430=1,"Invalid/outlier quantity",IF(X1430=1,"Invalid/outlier unit price",IF(Y1430=1,"Discount greater than order value",""))))))))</f>
        <v/>
      </c>
      <c r="AC1430" s="7" t="str">
        <f aca="false">IF(AB1430="","KEEP","DROP")</f>
        <v>KEEP</v>
      </c>
      <c r="AD1430" s="7" t="str">
        <f aca="false">IF(TRIM(F1430)="",IFERROR(INDEX(Map_Tables!$I$4:$I$37,MATCH(TRIM(E1430),Map_Tables!$G$4:$G$37,0)),""),IFERROR(INDEX(Map_Tables!$B$4:$B$18,MATCH(TRIM(F1430),Map_Tables!$A$4:$A$18,0)),"CHECK"))</f>
        <v>Delhi</v>
      </c>
      <c r="AE1430" s="7" t="str">
        <f aca="false">IF(TRIM(E1430)="","",IFERROR(INDEX(Map_Tables!$H$4:$H$37,MATCH(TRIM(E1430),Map_Tables!$G$4:$G$37,0)),"CHECK"))</f>
        <v>Burger Barn</v>
      </c>
      <c r="AF1430" s="7" t="str">
        <f aca="false">IF(TRIM(K1430)="","Unknown",IFERROR(INDEX(Map_Tables!$E$4:$E$15,MATCH(TRIM(K1430),Map_Tables!$D$4:$D$15,0)),"CHECK"))</f>
        <v>UPI</v>
      </c>
      <c r="AG1430" s="7" t="str">
        <f aca="false">IF(LEFT(LOWER(TRIM(L1430)),6)="cancel","Cancelled","Delivered")</f>
        <v>Delivered</v>
      </c>
      <c r="AH1430" s="10" t="n">
        <f aca="false">IF(ISNUMBER(SEARCH("/",B1430)),DATE(VALUE(RIGHT(B1430,4)),VALUE(MID(B1430,4,2)),VALUE(LEFT(B1430,2))),IF(MID(B1430,5,1)="-",DATE(VALUE(LEFT(B1430,4)),VALUE(MID(B1430,6,2)),VALUE(RIGHT(B1430,2))),DATE(VALUE(RIGHT(B1430,4)),MATCH(MID(B1430,4,3),{"Jan","Feb","Mar","Apr","May","Jun","Jul","Aug","Sep","Oct","Nov","Dec"},0),VALUE(LEFT(B1430,2)))))</f>
        <v>45884</v>
      </c>
    </row>
    <row r="1431" customFormat="false" ht="15" hidden="false" customHeight="false" outlineLevel="0" collapsed="false">
      <c r="A1431" s="7" t="s">
        <v>3817</v>
      </c>
      <c r="B1431" s="7" t="s">
        <v>3637</v>
      </c>
      <c r="C1431" s="7" t="s">
        <v>3448</v>
      </c>
      <c r="D1431" s="7" t="s">
        <v>3732</v>
      </c>
      <c r="E1431" s="7" t="s">
        <v>130</v>
      </c>
      <c r="F1431" s="7" t="s">
        <v>110</v>
      </c>
      <c r="G1431" s="7" t="s">
        <v>90</v>
      </c>
      <c r="H1431" s="7" t="n">
        <v>1</v>
      </c>
      <c r="I1431" s="7" t="n">
        <v>280</v>
      </c>
      <c r="J1431" s="7" t="n">
        <v>40</v>
      </c>
      <c r="K1431" s="7" t="s">
        <v>112</v>
      </c>
      <c r="L1431" s="7" t="s">
        <v>238</v>
      </c>
      <c r="M1431" s="7"/>
      <c r="N1431" s="7"/>
      <c r="O1431" s="7" t="str">
        <f aca="false">A1431&amp;"|"&amp;B1431&amp;"|"&amp;C1431&amp;"|"&amp;D1431&amp;"|"&amp;E1431&amp;"|"&amp;F1431&amp;"|"&amp;G1431&amp;"|"&amp;H1431&amp;"|"&amp;I1431&amp;"|"&amp;J1431&amp;"|"&amp;K1431&amp;"|"&amp;L1431&amp;"|"&amp;M1431&amp;"|"&amp;N1431</f>
        <v>ORD12884|2025-12-19|17:21|C0991|Tandoor Tales|Delhi|North Indian|1|280|40|Cash on Delivery|Cancelled||</v>
      </c>
      <c r="P1431" s="7" t="str">
        <f aca="false">IF(COUNTIF($O$2:O1431,O1431)&gt;1,"DUP","OK")</f>
        <v>OK</v>
      </c>
      <c r="Q1431" s="7" t="n">
        <f aca="false">COUNTBLANK(A1431:N1431)</f>
        <v>2</v>
      </c>
      <c r="R1431" s="7" t="n">
        <f aca="false">IF(A1431="",0,COUNTIFS($A$2:$A$3058,A1431,$P$2:$P$3058,"OK"))</f>
        <v>1</v>
      </c>
      <c r="S1431" s="7" t="str">
        <f aca="false">IF(OR(A1431="",P1431="DUP",R1431&lt;2),"",IF(Q1431=_xlfn.MINIFS($Q$2:$Q$3058,$A$2:$A$3058,A1431,$P$2:$P$3058,"OK"),"KEEP","DROP"))</f>
        <v/>
      </c>
      <c r="T1431" s="9" t="n">
        <f aca="false">IF(A1431="",1,0)</f>
        <v>0</v>
      </c>
      <c r="U1431" s="9" t="n">
        <f aca="false">IF(D1431="",1,0)</f>
        <v>0</v>
      </c>
      <c r="V1431" s="9" t="n">
        <f aca="false">IF(E1431="",1,0)</f>
        <v>0</v>
      </c>
      <c r="W1431" s="9" t="n">
        <f aca="false">IF(OR(H1431&lt;1,H1431&gt;10),1,0)</f>
        <v>0</v>
      </c>
      <c r="X1431" s="9" t="n">
        <f aca="false">IF(OR(I1431&lt;=0,I1431&gt;1500),1,0)</f>
        <v>0</v>
      </c>
      <c r="Y1431" s="9" t="n">
        <f aca="false">IF(J1431&gt;H1431*I1431,1,0)</f>
        <v>0</v>
      </c>
      <c r="Z1431" s="9" t="n">
        <f aca="false">IF(AND(N1431&lt;&gt;"",OR(N1431&lt;1,N1431&gt;5)),1,0)</f>
        <v>0</v>
      </c>
      <c r="AA1431" s="9" t="n">
        <f aca="false">IF(AND(M1431&lt;&gt;"",OR(M1431&lt;5,M1431&gt;180)),1,0)</f>
        <v>0</v>
      </c>
      <c r="AB1431" s="7" t="str">
        <f aca="false">IF(P1431="DUP","Exact duplicate row",IF(T1431=1,"Missing Order ID",IF(S1431="DROP","Duplicate Order ID (less complete row)",IF(U1431=1,"Missing Customer ID",IF(V1431=1,"Missing Restaurant name",IF(W1431=1,"Invalid/outlier quantity",IF(X1431=1,"Invalid/outlier unit price",IF(Y1431=1,"Discount greater than order value",""))))))))</f>
        <v/>
      </c>
      <c r="AC1431" s="7" t="str">
        <f aca="false">IF(AB1431="","KEEP","DROP")</f>
        <v>KEEP</v>
      </c>
      <c r="AD1431" s="7" t="str">
        <f aca="false">IF(TRIM(F1431)="",IFERROR(INDEX(Map_Tables!$I$4:$I$37,MATCH(TRIM(E1431),Map_Tables!$G$4:$G$37,0)),""),IFERROR(INDEX(Map_Tables!$B$4:$B$18,MATCH(TRIM(F1431),Map_Tables!$A$4:$A$18,0)),"CHECK"))</f>
        <v>Delhi</v>
      </c>
      <c r="AE1431" s="7" t="str">
        <f aca="false">IF(TRIM(E1431)="","",IFERROR(INDEX(Map_Tables!$H$4:$H$37,MATCH(TRIM(E1431),Map_Tables!$G$4:$G$37,0)),"CHECK"))</f>
        <v>Tandoor Tales</v>
      </c>
      <c r="AF1431" s="7" t="str">
        <f aca="false">IF(TRIM(K1431)="","Unknown",IFERROR(INDEX(Map_Tables!$E$4:$E$15,MATCH(TRIM(K1431),Map_Tables!$D$4:$D$15,0)),"CHECK"))</f>
        <v>Cash on Delivery</v>
      </c>
      <c r="AG1431" s="7" t="str">
        <f aca="false">IF(LEFT(LOWER(TRIM(L1431)),6)="cancel","Cancelled","Delivered")</f>
        <v>Cancelled</v>
      </c>
      <c r="AH1431" s="10" t="n">
        <f aca="false">IF(ISNUMBER(SEARCH("/",B1431)),DATE(VALUE(RIGHT(B1431,4)),VALUE(MID(B1431,4,2)),VALUE(LEFT(B1431,2))),IF(MID(B1431,5,1)="-",DATE(VALUE(LEFT(B1431,4)),VALUE(MID(B1431,6,2)),VALUE(RIGHT(B1431,2))),DATE(VALUE(RIGHT(B1431,4)),MATCH(MID(B1431,4,3),{"Jan","Feb","Mar","Apr","May","Jun","Jul","Aug","Sep","Oct","Nov","Dec"},0),VALUE(LEFT(B1431,2)))))</f>
        <v>46010</v>
      </c>
    </row>
    <row r="1432" customFormat="false" ht="15" hidden="false" customHeight="false" outlineLevel="0" collapsed="false">
      <c r="A1432" s="7" t="s">
        <v>3818</v>
      </c>
      <c r="B1432" s="7" t="s">
        <v>2244</v>
      </c>
      <c r="C1432" s="7" t="s">
        <v>2289</v>
      </c>
      <c r="D1432" s="7" t="s">
        <v>2382</v>
      </c>
      <c r="E1432" s="7" t="s">
        <v>130</v>
      </c>
      <c r="F1432" s="7" t="s">
        <v>110</v>
      </c>
      <c r="G1432" s="7" t="s">
        <v>90</v>
      </c>
      <c r="H1432" s="7" t="n">
        <v>3</v>
      </c>
      <c r="I1432" s="7" t="n">
        <v>280</v>
      </c>
      <c r="J1432" s="7" t="n">
        <v>0</v>
      </c>
      <c r="K1432" s="7" t="s">
        <v>112</v>
      </c>
      <c r="L1432" s="7" t="s">
        <v>194</v>
      </c>
      <c r="M1432" s="7" t="n">
        <v>31</v>
      </c>
      <c r="N1432" s="7" t="n">
        <v>3</v>
      </c>
      <c r="O1432" s="7" t="str">
        <f aca="false">A1432&amp;"|"&amp;B1432&amp;"|"&amp;C1432&amp;"|"&amp;D1432&amp;"|"&amp;E1432&amp;"|"&amp;F1432&amp;"|"&amp;G1432&amp;"|"&amp;H1432&amp;"|"&amp;I1432&amp;"|"&amp;J1432&amp;"|"&amp;K1432&amp;"|"&amp;L1432&amp;"|"&amp;M1432&amp;"|"&amp;N1432</f>
        <v>ORD11126|2025-05-23|17:38|C1434|Tandoor Tales|Delhi|North Indian|3|280|0|Cash on Delivery|Delivered|31|3</v>
      </c>
      <c r="P1432" s="7" t="str">
        <f aca="false">IF(COUNTIF($O$2:O1432,O1432)&gt;1,"DUP","OK")</f>
        <v>OK</v>
      </c>
      <c r="Q1432" s="7" t="n">
        <f aca="false">COUNTBLANK(A1432:N1432)</f>
        <v>0</v>
      </c>
      <c r="R1432" s="7" t="n">
        <f aca="false">IF(A1432="",0,COUNTIFS($A$2:$A$3058,A1432,$P$2:$P$3058,"OK"))</f>
        <v>1</v>
      </c>
      <c r="S1432" s="7" t="str">
        <f aca="false">IF(OR(A1432="",P1432="DUP",R1432&lt;2),"",IF(Q1432=_xlfn.MINIFS($Q$2:$Q$3058,$A$2:$A$3058,A1432,$P$2:$P$3058,"OK"),"KEEP","DROP"))</f>
        <v/>
      </c>
      <c r="T1432" s="9" t="n">
        <f aca="false">IF(A1432="",1,0)</f>
        <v>0</v>
      </c>
      <c r="U1432" s="9" t="n">
        <f aca="false">IF(D1432="",1,0)</f>
        <v>0</v>
      </c>
      <c r="V1432" s="9" t="n">
        <f aca="false">IF(E1432="",1,0)</f>
        <v>0</v>
      </c>
      <c r="W1432" s="9" t="n">
        <f aca="false">IF(OR(H1432&lt;1,H1432&gt;10),1,0)</f>
        <v>0</v>
      </c>
      <c r="X1432" s="9" t="n">
        <f aca="false">IF(OR(I1432&lt;=0,I1432&gt;1500),1,0)</f>
        <v>0</v>
      </c>
      <c r="Y1432" s="9" t="n">
        <f aca="false">IF(J1432&gt;H1432*I1432,1,0)</f>
        <v>0</v>
      </c>
      <c r="Z1432" s="9" t="n">
        <f aca="false">IF(AND(N1432&lt;&gt;"",OR(N1432&lt;1,N1432&gt;5)),1,0)</f>
        <v>0</v>
      </c>
      <c r="AA1432" s="9" t="n">
        <f aca="false">IF(AND(M1432&lt;&gt;"",OR(M1432&lt;5,M1432&gt;180)),1,0)</f>
        <v>0</v>
      </c>
      <c r="AB1432" s="7" t="str">
        <f aca="false">IF(P1432="DUP","Exact duplicate row",IF(T1432=1,"Missing Order ID",IF(S1432="DROP","Duplicate Order ID (less complete row)",IF(U1432=1,"Missing Customer ID",IF(V1432=1,"Missing Restaurant name",IF(W1432=1,"Invalid/outlier quantity",IF(X1432=1,"Invalid/outlier unit price",IF(Y1432=1,"Discount greater than order value",""))))))))</f>
        <v/>
      </c>
      <c r="AC1432" s="7" t="str">
        <f aca="false">IF(AB1432="","KEEP","DROP")</f>
        <v>KEEP</v>
      </c>
      <c r="AD1432" s="7" t="str">
        <f aca="false">IF(TRIM(F1432)="",IFERROR(INDEX(Map_Tables!$I$4:$I$37,MATCH(TRIM(E1432),Map_Tables!$G$4:$G$37,0)),""),IFERROR(INDEX(Map_Tables!$B$4:$B$18,MATCH(TRIM(F1432),Map_Tables!$A$4:$A$18,0)),"CHECK"))</f>
        <v>Delhi</v>
      </c>
      <c r="AE1432" s="7" t="str">
        <f aca="false">IF(TRIM(E1432)="","",IFERROR(INDEX(Map_Tables!$H$4:$H$37,MATCH(TRIM(E1432),Map_Tables!$G$4:$G$37,0)),"CHECK"))</f>
        <v>Tandoor Tales</v>
      </c>
      <c r="AF1432" s="7" t="str">
        <f aca="false">IF(TRIM(K1432)="","Unknown",IFERROR(INDEX(Map_Tables!$E$4:$E$15,MATCH(TRIM(K1432),Map_Tables!$D$4:$D$15,0)),"CHECK"))</f>
        <v>Cash on Delivery</v>
      </c>
      <c r="AG1432" s="7" t="str">
        <f aca="false">IF(LEFT(LOWER(TRIM(L1432)),6)="cancel","Cancelled","Delivered")</f>
        <v>Delivered</v>
      </c>
      <c r="AH1432" s="10" t="n">
        <f aca="false">IF(ISNUMBER(SEARCH("/",B1432)),DATE(VALUE(RIGHT(B1432,4)),VALUE(MID(B1432,4,2)),VALUE(LEFT(B1432,2))),IF(MID(B1432,5,1)="-",DATE(VALUE(LEFT(B1432,4)),VALUE(MID(B1432,6,2)),VALUE(RIGHT(B1432,2))),DATE(VALUE(RIGHT(B1432,4)),MATCH(MID(B1432,4,3),{"Jan","Feb","Mar","Apr","May","Jun","Jul","Aug","Sep","Oct","Nov","Dec"},0),VALUE(LEFT(B1432,2)))))</f>
        <v>45800</v>
      </c>
    </row>
    <row r="1433" customFormat="false" ht="15" hidden="false" customHeight="false" outlineLevel="0" collapsed="false">
      <c r="A1433" s="7" t="s">
        <v>3819</v>
      </c>
      <c r="B1433" s="7" t="s">
        <v>3117</v>
      </c>
      <c r="C1433" s="7" t="s">
        <v>236</v>
      </c>
      <c r="D1433" s="7" t="s">
        <v>3820</v>
      </c>
      <c r="E1433" s="7" t="s">
        <v>104</v>
      </c>
      <c r="F1433" s="7" t="s">
        <v>449</v>
      </c>
      <c r="G1433" s="7" t="s">
        <v>105</v>
      </c>
      <c r="H1433" s="7" t="n">
        <v>3</v>
      </c>
      <c r="I1433" s="7" t="n">
        <v>180</v>
      </c>
      <c r="J1433" s="7" t="n">
        <v>100</v>
      </c>
      <c r="K1433" s="7" t="s">
        <v>88</v>
      </c>
      <c r="L1433" s="7" t="s">
        <v>238</v>
      </c>
      <c r="M1433" s="7"/>
      <c r="N1433" s="7"/>
      <c r="O1433" s="7" t="str">
        <f aca="false">A1433&amp;"|"&amp;B1433&amp;"|"&amp;C1433&amp;"|"&amp;D1433&amp;"|"&amp;E1433&amp;"|"&amp;F1433&amp;"|"&amp;G1433&amp;"|"&amp;H1433&amp;"|"&amp;I1433&amp;"|"&amp;J1433&amp;"|"&amp;K1433&amp;"|"&amp;L1433&amp;"|"&amp;M1433&amp;"|"&amp;N1433</f>
        <v>ORD11089|2025-05-18|19:26|C0591|Wok &amp; Roll|BLR|Chinese|3|180|100|UPI|Cancelled||</v>
      </c>
      <c r="P1433" s="7" t="str">
        <f aca="false">IF(COUNTIF($O$2:O1433,O1433)&gt;1,"DUP","OK")</f>
        <v>OK</v>
      </c>
      <c r="Q1433" s="7" t="n">
        <f aca="false">COUNTBLANK(A1433:N1433)</f>
        <v>2</v>
      </c>
      <c r="R1433" s="7" t="n">
        <f aca="false">IF(A1433="",0,COUNTIFS($A$2:$A$3058,A1433,$P$2:$P$3058,"OK"))</f>
        <v>1</v>
      </c>
      <c r="S1433" s="7" t="str">
        <f aca="false">IF(OR(A1433="",P1433="DUP",R1433&lt;2),"",IF(Q1433=_xlfn.MINIFS($Q$2:$Q$3058,$A$2:$A$3058,A1433,$P$2:$P$3058,"OK"),"KEEP","DROP"))</f>
        <v/>
      </c>
      <c r="T1433" s="9" t="n">
        <f aca="false">IF(A1433="",1,0)</f>
        <v>0</v>
      </c>
      <c r="U1433" s="9" t="n">
        <f aca="false">IF(D1433="",1,0)</f>
        <v>0</v>
      </c>
      <c r="V1433" s="9" t="n">
        <f aca="false">IF(E1433="",1,0)</f>
        <v>0</v>
      </c>
      <c r="W1433" s="9" t="n">
        <f aca="false">IF(OR(H1433&lt;1,H1433&gt;10),1,0)</f>
        <v>0</v>
      </c>
      <c r="X1433" s="9" t="n">
        <f aca="false">IF(OR(I1433&lt;=0,I1433&gt;1500),1,0)</f>
        <v>0</v>
      </c>
      <c r="Y1433" s="9" t="n">
        <f aca="false">IF(J1433&gt;H1433*I1433,1,0)</f>
        <v>0</v>
      </c>
      <c r="Z1433" s="9" t="n">
        <f aca="false">IF(AND(N1433&lt;&gt;"",OR(N1433&lt;1,N1433&gt;5)),1,0)</f>
        <v>0</v>
      </c>
      <c r="AA1433" s="9" t="n">
        <f aca="false">IF(AND(M1433&lt;&gt;"",OR(M1433&lt;5,M1433&gt;180)),1,0)</f>
        <v>0</v>
      </c>
      <c r="AB1433" s="7" t="str">
        <f aca="false">IF(P1433="DUP","Exact duplicate row",IF(T1433=1,"Missing Order ID",IF(S1433="DROP","Duplicate Order ID (less complete row)",IF(U1433=1,"Missing Customer ID",IF(V1433=1,"Missing Restaurant name",IF(W1433=1,"Invalid/outlier quantity",IF(X1433=1,"Invalid/outlier unit price",IF(Y1433=1,"Discount greater than order value",""))))))))</f>
        <v/>
      </c>
      <c r="AC1433" s="7" t="str">
        <f aca="false">IF(AB1433="","KEEP","DROP")</f>
        <v>KEEP</v>
      </c>
      <c r="AD1433" s="7" t="str">
        <f aca="false">IF(TRIM(F1433)="",IFERROR(INDEX(Map_Tables!$I$4:$I$37,MATCH(TRIM(E1433),Map_Tables!$G$4:$G$37,0)),""),IFERROR(INDEX(Map_Tables!$B$4:$B$18,MATCH(TRIM(F1433),Map_Tables!$A$4:$A$18,0)),"CHECK"))</f>
        <v>Bengaluru</v>
      </c>
      <c r="AE1433" s="7" t="str">
        <f aca="false">IF(TRIM(E1433)="","",IFERROR(INDEX(Map_Tables!$H$4:$H$37,MATCH(TRIM(E1433),Map_Tables!$G$4:$G$37,0)),"CHECK"))</f>
        <v>Wok &amp; Roll</v>
      </c>
      <c r="AF1433" s="7" t="str">
        <f aca="false">IF(TRIM(K1433)="","Unknown",IFERROR(INDEX(Map_Tables!$E$4:$E$15,MATCH(TRIM(K1433),Map_Tables!$D$4:$D$15,0)),"CHECK"))</f>
        <v>UPI</v>
      </c>
      <c r="AG1433" s="7" t="str">
        <f aca="false">IF(LEFT(LOWER(TRIM(L1433)),6)="cancel","Cancelled","Delivered")</f>
        <v>Cancelled</v>
      </c>
      <c r="AH1433" s="10" t="n">
        <f aca="false">IF(ISNUMBER(SEARCH("/",B1433)),DATE(VALUE(RIGHT(B1433,4)),VALUE(MID(B1433,4,2)),VALUE(LEFT(B1433,2))),IF(MID(B1433,5,1)="-",DATE(VALUE(LEFT(B1433,4)),VALUE(MID(B1433,6,2)),VALUE(RIGHT(B1433,2))),DATE(VALUE(RIGHT(B1433,4)),MATCH(MID(B1433,4,3),{"Jan","Feb","Mar","Apr","May","Jun","Jul","Aug","Sep","Oct","Nov","Dec"},0),VALUE(LEFT(B1433,2)))))</f>
        <v>45795</v>
      </c>
    </row>
    <row r="1434" customFormat="false" ht="15" hidden="false" customHeight="false" outlineLevel="0" collapsed="false">
      <c r="A1434" s="7" t="s">
        <v>3821</v>
      </c>
      <c r="B1434" s="7" t="s">
        <v>1029</v>
      </c>
      <c r="C1434" s="7" t="s">
        <v>1379</v>
      </c>
      <c r="D1434" s="7" t="s">
        <v>3822</v>
      </c>
      <c r="E1434" s="7" t="s">
        <v>94</v>
      </c>
      <c r="F1434" s="7" t="s">
        <v>86</v>
      </c>
      <c r="G1434" s="7" t="s">
        <v>95</v>
      </c>
      <c r="H1434" s="7" t="n">
        <v>2</v>
      </c>
      <c r="I1434" s="7" t="n">
        <v>130</v>
      </c>
      <c r="J1434" s="7" t="n">
        <v>0</v>
      </c>
      <c r="K1434" s="7" t="s">
        <v>92</v>
      </c>
      <c r="L1434" s="7" t="s">
        <v>194</v>
      </c>
      <c r="M1434" s="7" t="n">
        <v>46</v>
      </c>
      <c r="N1434" s="7" t="n">
        <v>3</v>
      </c>
      <c r="O1434" s="7" t="str">
        <f aca="false">A1434&amp;"|"&amp;B1434&amp;"|"&amp;C1434&amp;"|"&amp;D1434&amp;"|"&amp;E1434&amp;"|"&amp;F1434&amp;"|"&amp;G1434&amp;"|"&amp;H1434&amp;"|"&amp;I1434&amp;"|"&amp;J1434&amp;"|"&amp;K1434&amp;"|"&amp;L1434&amp;"|"&amp;M1434&amp;"|"&amp;N1434</f>
        <v>ORD10312|2025-02-11|19:23|C1063|Dosa Darbar|Bengaluru|South Indian|2|130|0|credit card|Delivered|46|3</v>
      </c>
      <c r="P1434" s="7" t="str">
        <f aca="false">IF(COUNTIF($O$2:O1434,O1434)&gt;1,"DUP","OK")</f>
        <v>OK</v>
      </c>
      <c r="Q1434" s="7" t="n">
        <f aca="false">COUNTBLANK(A1434:N1434)</f>
        <v>0</v>
      </c>
      <c r="R1434" s="7" t="n">
        <f aca="false">IF(A1434="",0,COUNTIFS($A$2:$A$3058,A1434,$P$2:$P$3058,"OK"))</f>
        <v>1</v>
      </c>
      <c r="S1434" s="7" t="str">
        <f aca="false">IF(OR(A1434="",P1434="DUP",R1434&lt;2),"",IF(Q1434=_xlfn.MINIFS($Q$2:$Q$3058,$A$2:$A$3058,A1434,$P$2:$P$3058,"OK"),"KEEP","DROP"))</f>
        <v/>
      </c>
      <c r="T1434" s="9" t="n">
        <f aca="false">IF(A1434="",1,0)</f>
        <v>0</v>
      </c>
      <c r="U1434" s="9" t="n">
        <f aca="false">IF(D1434="",1,0)</f>
        <v>0</v>
      </c>
      <c r="V1434" s="9" t="n">
        <f aca="false">IF(E1434="",1,0)</f>
        <v>0</v>
      </c>
      <c r="W1434" s="9" t="n">
        <f aca="false">IF(OR(H1434&lt;1,H1434&gt;10),1,0)</f>
        <v>0</v>
      </c>
      <c r="X1434" s="9" t="n">
        <f aca="false">IF(OR(I1434&lt;=0,I1434&gt;1500),1,0)</f>
        <v>0</v>
      </c>
      <c r="Y1434" s="9" t="n">
        <f aca="false">IF(J1434&gt;H1434*I1434,1,0)</f>
        <v>0</v>
      </c>
      <c r="Z1434" s="9" t="n">
        <f aca="false">IF(AND(N1434&lt;&gt;"",OR(N1434&lt;1,N1434&gt;5)),1,0)</f>
        <v>0</v>
      </c>
      <c r="AA1434" s="9" t="n">
        <f aca="false">IF(AND(M1434&lt;&gt;"",OR(M1434&lt;5,M1434&gt;180)),1,0)</f>
        <v>0</v>
      </c>
      <c r="AB1434" s="7" t="str">
        <f aca="false">IF(P1434="DUP","Exact duplicate row",IF(T1434=1,"Missing Order ID",IF(S1434="DROP","Duplicate Order ID (less complete row)",IF(U1434=1,"Missing Customer ID",IF(V1434=1,"Missing Restaurant name",IF(W1434=1,"Invalid/outlier quantity",IF(X1434=1,"Invalid/outlier unit price",IF(Y1434=1,"Discount greater than order value",""))))))))</f>
        <v/>
      </c>
      <c r="AC1434" s="7" t="str">
        <f aca="false">IF(AB1434="","KEEP","DROP")</f>
        <v>KEEP</v>
      </c>
      <c r="AD1434" s="7" t="str">
        <f aca="false">IF(TRIM(F1434)="",IFERROR(INDEX(Map_Tables!$I$4:$I$37,MATCH(TRIM(E1434),Map_Tables!$G$4:$G$37,0)),""),IFERROR(INDEX(Map_Tables!$B$4:$B$18,MATCH(TRIM(F1434),Map_Tables!$A$4:$A$18,0)),"CHECK"))</f>
        <v>Bengaluru</v>
      </c>
      <c r="AE1434" s="7" t="str">
        <f aca="false">IF(TRIM(E1434)="","",IFERROR(INDEX(Map_Tables!$H$4:$H$37,MATCH(TRIM(E1434),Map_Tables!$G$4:$G$37,0)),"CHECK"))</f>
        <v>Dosa Darbar</v>
      </c>
      <c r="AF1434" s="7" t="str">
        <f aca="false">IF(TRIM(K1434)="","Unknown",IFERROR(INDEX(Map_Tables!$E$4:$E$15,MATCH(TRIM(K1434),Map_Tables!$D$4:$D$15,0)),"CHECK"))</f>
        <v>Credit Card</v>
      </c>
      <c r="AG1434" s="7" t="str">
        <f aca="false">IF(LEFT(LOWER(TRIM(L1434)),6)="cancel","Cancelled","Delivered")</f>
        <v>Delivered</v>
      </c>
      <c r="AH1434" s="10" t="n">
        <f aca="false">IF(ISNUMBER(SEARCH("/",B1434)),DATE(VALUE(RIGHT(B1434,4)),VALUE(MID(B1434,4,2)),VALUE(LEFT(B1434,2))),IF(MID(B1434,5,1)="-",DATE(VALUE(LEFT(B1434,4)),VALUE(MID(B1434,6,2)),VALUE(RIGHT(B1434,2))),DATE(VALUE(RIGHT(B1434,4)),MATCH(MID(B1434,4,3),{"Jan","Feb","Mar","Apr","May","Jun","Jul","Aug","Sep","Oct","Nov","Dec"},0),VALUE(LEFT(B1434,2)))))</f>
        <v>45699</v>
      </c>
    </row>
    <row r="1435" customFormat="false" ht="15" hidden="false" customHeight="false" outlineLevel="0" collapsed="false">
      <c r="A1435" s="7" t="s">
        <v>3823</v>
      </c>
      <c r="B1435" s="7" t="s">
        <v>3824</v>
      </c>
      <c r="C1435" s="7" t="s">
        <v>3825</v>
      </c>
      <c r="D1435" s="7" t="s">
        <v>3826</v>
      </c>
      <c r="E1435" s="7" t="s">
        <v>138</v>
      </c>
      <c r="F1435" s="7" t="s">
        <v>110</v>
      </c>
      <c r="G1435" s="7" t="s">
        <v>139</v>
      </c>
      <c r="H1435" s="7" t="n">
        <v>3</v>
      </c>
      <c r="I1435" s="7" t="n">
        <v>210</v>
      </c>
      <c r="J1435" s="7" t="n">
        <v>50</v>
      </c>
      <c r="K1435" s="7" t="s">
        <v>88</v>
      </c>
      <c r="L1435" s="7" t="s">
        <v>194</v>
      </c>
      <c r="M1435" s="7" t="n">
        <v>34</v>
      </c>
      <c r="N1435" s="7"/>
      <c r="O1435" s="7" t="str">
        <f aca="false">A1435&amp;"|"&amp;B1435&amp;"|"&amp;C1435&amp;"|"&amp;D1435&amp;"|"&amp;E1435&amp;"|"&amp;F1435&amp;"|"&amp;G1435&amp;"|"&amp;H1435&amp;"|"&amp;I1435&amp;"|"&amp;J1435&amp;"|"&amp;K1435&amp;"|"&amp;L1435&amp;"|"&amp;M1435&amp;"|"&amp;N1435</f>
        <v>ORD11623|31/07/2025|09:18|C1105|Burger Barn|Delhi|Burgers|3|210|50|UPI|Delivered|34|</v>
      </c>
      <c r="P1435" s="7" t="str">
        <f aca="false">IF(COUNTIF($O$2:O1435,O1435)&gt;1,"DUP","OK")</f>
        <v>OK</v>
      </c>
      <c r="Q1435" s="7" t="n">
        <f aca="false">COUNTBLANK(A1435:N1435)</f>
        <v>1</v>
      </c>
      <c r="R1435" s="7" t="n">
        <f aca="false">IF(A1435="",0,COUNTIFS($A$2:$A$3058,A1435,$P$2:$P$3058,"OK"))</f>
        <v>2</v>
      </c>
      <c r="S1435" s="7" t="str">
        <f aca="false">IF(OR(A1435="",P1435="DUP",R1435&lt;2),"",IF(Q1435=_xlfn.MINIFS($Q$2:$Q$3058,$A$2:$A$3058,A1435,$P$2:$P$3058,"OK"),"KEEP","DROP"))</f>
        <v>DROP</v>
      </c>
      <c r="T1435" s="9" t="n">
        <f aca="false">IF(A1435="",1,0)</f>
        <v>0</v>
      </c>
      <c r="U1435" s="9" t="n">
        <f aca="false">IF(D1435="",1,0)</f>
        <v>0</v>
      </c>
      <c r="V1435" s="9" t="n">
        <f aca="false">IF(E1435="",1,0)</f>
        <v>0</v>
      </c>
      <c r="W1435" s="9" t="n">
        <f aca="false">IF(OR(H1435&lt;1,H1435&gt;10),1,0)</f>
        <v>0</v>
      </c>
      <c r="X1435" s="9" t="n">
        <f aca="false">IF(OR(I1435&lt;=0,I1435&gt;1500),1,0)</f>
        <v>0</v>
      </c>
      <c r="Y1435" s="9" t="n">
        <f aca="false">IF(J1435&gt;H1435*I1435,1,0)</f>
        <v>0</v>
      </c>
      <c r="Z1435" s="9" t="n">
        <f aca="false">IF(AND(N1435&lt;&gt;"",OR(N1435&lt;1,N1435&gt;5)),1,0)</f>
        <v>0</v>
      </c>
      <c r="AA1435" s="9" t="n">
        <f aca="false">IF(AND(M1435&lt;&gt;"",OR(M1435&lt;5,M1435&gt;180)),1,0)</f>
        <v>0</v>
      </c>
      <c r="AB1435" s="7" t="str">
        <f aca="false">IF(P1435="DUP","Exact duplicate row",IF(T1435=1,"Missing Order ID",IF(S1435="DROP","Duplicate Order ID (less complete row)",IF(U1435=1,"Missing Customer ID",IF(V1435=1,"Missing Restaurant name",IF(W1435=1,"Invalid/outlier quantity",IF(X1435=1,"Invalid/outlier unit price",IF(Y1435=1,"Discount greater than order value",""))))))))</f>
        <v>Duplicate Order ID (less complete row)</v>
      </c>
      <c r="AC1435" s="7" t="str">
        <f aca="false">IF(AB1435="","KEEP","DROP")</f>
        <v>DROP</v>
      </c>
      <c r="AD1435" s="7" t="str">
        <f aca="false">IF(TRIM(F1435)="",IFERROR(INDEX(Map_Tables!$I$4:$I$37,MATCH(TRIM(E1435),Map_Tables!$G$4:$G$37,0)),""),IFERROR(INDEX(Map_Tables!$B$4:$B$18,MATCH(TRIM(F1435),Map_Tables!$A$4:$A$18,0)),"CHECK"))</f>
        <v>Delhi</v>
      </c>
      <c r="AE1435" s="7" t="str">
        <f aca="false">IF(TRIM(E1435)="","",IFERROR(INDEX(Map_Tables!$H$4:$H$37,MATCH(TRIM(E1435),Map_Tables!$G$4:$G$37,0)),"CHECK"))</f>
        <v>Burger Barn</v>
      </c>
      <c r="AF1435" s="7" t="str">
        <f aca="false">IF(TRIM(K1435)="","Unknown",IFERROR(INDEX(Map_Tables!$E$4:$E$15,MATCH(TRIM(K1435),Map_Tables!$D$4:$D$15,0)),"CHECK"))</f>
        <v>UPI</v>
      </c>
      <c r="AG1435" s="7" t="str">
        <f aca="false">IF(LEFT(LOWER(TRIM(L1435)),6)="cancel","Cancelled","Delivered")</f>
        <v>Delivered</v>
      </c>
      <c r="AH1435" s="10" t="n">
        <f aca="false">IF(ISNUMBER(SEARCH("/",B1435)),DATE(VALUE(RIGHT(B1435,4)),VALUE(MID(B1435,4,2)),VALUE(LEFT(B1435,2))),IF(MID(B1435,5,1)="-",DATE(VALUE(LEFT(B1435,4)),VALUE(MID(B1435,6,2)),VALUE(RIGHT(B1435,2))),DATE(VALUE(RIGHT(B1435,4)),MATCH(MID(B1435,4,3),{"Jan","Feb","Mar","Apr","May","Jun","Jul","Aug","Sep","Oct","Nov","Dec"},0),VALUE(LEFT(B1435,2)))))</f>
        <v>45869</v>
      </c>
    </row>
    <row r="1436" customFormat="false" ht="15" hidden="false" customHeight="false" outlineLevel="0" collapsed="false">
      <c r="A1436" s="7" t="s">
        <v>3827</v>
      </c>
      <c r="B1436" s="7" t="s">
        <v>2336</v>
      </c>
      <c r="C1436" s="7" t="s">
        <v>2785</v>
      </c>
      <c r="D1436" s="7" t="s">
        <v>3828</v>
      </c>
      <c r="E1436" s="7" t="s">
        <v>158</v>
      </c>
      <c r="F1436" s="7" t="s">
        <v>136</v>
      </c>
      <c r="G1436" s="7" t="s">
        <v>139</v>
      </c>
      <c r="H1436" s="7" t="n">
        <v>2</v>
      </c>
      <c r="I1436" s="7" t="n">
        <v>185</v>
      </c>
      <c r="J1436" s="7" t="n">
        <v>20</v>
      </c>
      <c r="K1436" s="7" t="s">
        <v>88</v>
      </c>
      <c r="L1436" s="7" t="s">
        <v>238</v>
      </c>
      <c r="M1436" s="7"/>
      <c r="N1436" s="7"/>
      <c r="O1436" s="7" t="str">
        <f aca="false">A1436&amp;"|"&amp;B1436&amp;"|"&amp;C1436&amp;"|"&amp;D1436&amp;"|"&amp;E1436&amp;"|"&amp;F1436&amp;"|"&amp;G1436&amp;"|"&amp;H1436&amp;"|"&amp;I1436&amp;"|"&amp;J1436&amp;"|"&amp;K1436&amp;"|"&amp;L1436&amp;"|"&amp;M1436&amp;"|"&amp;N1436</f>
        <v>ORD10020|2025-01-03|21:44|C1489|Pune Burger Hub|Pune|Burgers|2|185|20|UPI|Cancelled||</v>
      </c>
      <c r="P1436" s="7" t="str">
        <f aca="false">IF(COUNTIF($O$2:O1436,O1436)&gt;1,"DUP","OK")</f>
        <v>OK</v>
      </c>
      <c r="Q1436" s="7" t="n">
        <f aca="false">COUNTBLANK(A1436:N1436)</f>
        <v>2</v>
      </c>
      <c r="R1436" s="7" t="n">
        <f aca="false">IF(A1436="",0,COUNTIFS($A$2:$A$3058,A1436,$P$2:$P$3058,"OK"))</f>
        <v>1</v>
      </c>
      <c r="S1436" s="7" t="str">
        <f aca="false">IF(OR(A1436="",P1436="DUP",R1436&lt;2),"",IF(Q1436=_xlfn.MINIFS($Q$2:$Q$3058,$A$2:$A$3058,A1436,$P$2:$P$3058,"OK"),"KEEP","DROP"))</f>
        <v/>
      </c>
      <c r="T1436" s="9" t="n">
        <f aca="false">IF(A1436="",1,0)</f>
        <v>0</v>
      </c>
      <c r="U1436" s="9" t="n">
        <f aca="false">IF(D1436="",1,0)</f>
        <v>0</v>
      </c>
      <c r="V1436" s="9" t="n">
        <f aca="false">IF(E1436="",1,0)</f>
        <v>0</v>
      </c>
      <c r="W1436" s="9" t="n">
        <f aca="false">IF(OR(H1436&lt;1,H1436&gt;10),1,0)</f>
        <v>0</v>
      </c>
      <c r="X1436" s="9" t="n">
        <f aca="false">IF(OR(I1436&lt;=0,I1436&gt;1500),1,0)</f>
        <v>0</v>
      </c>
      <c r="Y1436" s="9" t="n">
        <f aca="false">IF(J1436&gt;H1436*I1436,1,0)</f>
        <v>0</v>
      </c>
      <c r="Z1436" s="9" t="n">
        <f aca="false">IF(AND(N1436&lt;&gt;"",OR(N1436&lt;1,N1436&gt;5)),1,0)</f>
        <v>0</v>
      </c>
      <c r="AA1436" s="9" t="n">
        <f aca="false">IF(AND(M1436&lt;&gt;"",OR(M1436&lt;5,M1436&gt;180)),1,0)</f>
        <v>0</v>
      </c>
      <c r="AB1436" s="7" t="str">
        <f aca="false">IF(P1436="DUP","Exact duplicate row",IF(T1436=1,"Missing Order ID",IF(S1436="DROP","Duplicate Order ID (less complete row)",IF(U1436=1,"Missing Customer ID",IF(V1436=1,"Missing Restaurant name",IF(W1436=1,"Invalid/outlier quantity",IF(X1436=1,"Invalid/outlier unit price",IF(Y1436=1,"Discount greater than order value",""))))))))</f>
        <v/>
      </c>
      <c r="AC1436" s="7" t="str">
        <f aca="false">IF(AB1436="","KEEP","DROP")</f>
        <v>KEEP</v>
      </c>
      <c r="AD1436" s="7" t="str">
        <f aca="false">IF(TRIM(F1436)="",IFERROR(INDEX(Map_Tables!$I$4:$I$37,MATCH(TRIM(E1436),Map_Tables!$G$4:$G$37,0)),""),IFERROR(INDEX(Map_Tables!$B$4:$B$18,MATCH(TRIM(F1436),Map_Tables!$A$4:$A$18,0)),"CHECK"))</f>
        <v>Pune</v>
      </c>
      <c r="AE1436" s="7" t="str">
        <f aca="false">IF(TRIM(E1436)="","",IFERROR(INDEX(Map_Tables!$H$4:$H$37,MATCH(TRIM(E1436),Map_Tables!$G$4:$G$37,0)),"CHECK"))</f>
        <v>Pune Burger Hub</v>
      </c>
      <c r="AF1436" s="7" t="str">
        <f aca="false">IF(TRIM(K1436)="","Unknown",IFERROR(INDEX(Map_Tables!$E$4:$E$15,MATCH(TRIM(K1436),Map_Tables!$D$4:$D$15,0)),"CHECK"))</f>
        <v>UPI</v>
      </c>
      <c r="AG1436" s="7" t="str">
        <f aca="false">IF(LEFT(LOWER(TRIM(L1436)),6)="cancel","Cancelled","Delivered")</f>
        <v>Cancelled</v>
      </c>
      <c r="AH1436" s="10" t="n">
        <f aca="false">IF(ISNUMBER(SEARCH("/",B1436)),DATE(VALUE(RIGHT(B1436,4)),VALUE(MID(B1436,4,2)),VALUE(LEFT(B1436,2))),IF(MID(B1436,5,1)="-",DATE(VALUE(LEFT(B1436,4)),VALUE(MID(B1436,6,2)),VALUE(RIGHT(B1436,2))),DATE(VALUE(RIGHT(B1436,4)),MATCH(MID(B1436,4,3),{"Jan","Feb","Mar","Apr","May","Jun","Jul","Aug","Sep","Oct","Nov","Dec"},0),VALUE(LEFT(B1436,2)))))</f>
        <v>45660</v>
      </c>
    </row>
    <row r="1437" customFormat="false" ht="15" hidden="false" customHeight="false" outlineLevel="0" collapsed="false">
      <c r="A1437" s="7" t="s">
        <v>3829</v>
      </c>
      <c r="B1437" s="7" t="s">
        <v>1351</v>
      </c>
      <c r="C1437" s="7" t="s">
        <v>3346</v>
      </c>
      <c r="D1437" s="7" t="s">
        <v>1705</v>
      </c>
      <c r="E1437" s="7" t="s">
        <v>126</v>
      </c>
      <c r="F1437" s="7" t="s">
        <v>498</v>
      </c>
      <c r="G1437" s="7" t="s">
        <v>105</v>
      </c>
      <c r="H1437" s="7" t="n">
        <v>2</v>
      </c>
      <c r="I1437" s="7" t="n">
        <v>205</v>
      </c>
      <c r="J1437" s="7" t="n">
        <v>0</v>
      </c>
      <c r="K1437" s="7" t="s">
        <v>88</v>
      </c>
      <c r="L1437" s="7" t="s">
        <v>194</v>
      </c>
      <c r="M1437" s="7" t="n">
        <v>48</v>
      </c>
      <c r="N1437" s="7" t="n">
        <v>2</v>
      </c>
      <c r="O1437" s="7" t="str">
        <f aca="false">A1437&amp;"|"&amp;B1437&amp;"|"&amp;C1437&amp;"|"&amp;D1437&amp;"|"&amp;E1437&amp;"|"&amp;F1437&amp;"|"&amp;G1437&amp;"|"&amp;H1437&amp;"|"&amp;I1437&amp;"|"&amp;J1437&amp;"|"&amp;K1437&amp;"|"&amp;L1437&amp;"|"&amp;M1437&amp;"|"&amp;N1437</f>
        <v>ORD11427|2025-07-04|21:33|C1181|Dragon Express|Bombay|Chinese|2|205|0|UPI|Delivered|48|2</v>
      </c>
      <c r="P1437" s="7" t="str">
        <f aca="false">IF(COUNTIF($O$2:O1437,O1437)&gt;1,"DUP","OK")</f>
        <v>OK</v>
      </c>
      <c r="Q1437" s="7" t="n">
        <f aca="false">COUNTBLANK(A1437:N1437)</f>
        <v>0</v>
      </c>
      <c r="R1437" s="7" t="n">
        <f aca="false">IF(A1437="",0,COUNTIFS($A$2:$A$3058,A1437,$P$2:$P$3058,"OK"))</f>
        <v>1</v>
      </c>
      <c r="S1437" s="7" t="str">
        <f aca="false">IF(OR(A1437="",P1437="DUP",R1437&lt;2),"",IF(Q1437=_xlfn.MINIFS($Q$2:$Q$3058,$A$2:$A$3058,A1437,$P$2:$P$3058,"OK"),"KEEP","DROP"))</f>
        <v/>
      </c>
      <c r="T1437" s="9" t="n">
        <f aca="false">IF(A1437="",1,0)</f>
        <v>0</v>
      </c>
      <c r="U1437" s="9" t="n">
        <f aca="false">IF(D1437="",1,0)</f>
        <v>0</v>
      </c>
      <c r="V1437" s="9" t="n">
        <f aca="false">IF(E1437="",1,0)</f>
        <v>0</v>
      </c>
      <c r="W1437" s="9" t="n">
        <f aca="false">IF(OR(H1437&lt;1,H1437&gt;10),1,0)</f>
        <v>0</v>
      </c>
      <c r="X1437" s="9" t="n">
        <f aca="false">IF(OR(I1437&lt;=0,I1437&gt;1500),1,0)</f>
        <v>0</v>
      </c>
      <c r="Y1437" s="9" t="n">
        <f aca="false">IF(J1437&gt;H1437*I1437,1,0)</f>
        <v>0</v>
      </c>
      <c r="Z1437" s="9" t="n">
        <f aca="false">IF(AND(N1437&lt;&gt;"",OR(N1437&lt;1,N1437&gt;5)),1,0)</f>
        <v>0</v>
      </c>
      <c r="AA1437" s="9" t="n">
        <f aca="false">IF(AND(M1437&lt;&gt;"",OR(M1437&lt;5,M1437&gt;180)),1,0)</f>
        <v>0</v>
      </c>
      <c r="AB1437" s="7" t="str">
        <f aca="false">IF(P1437="DUP","Exact duplicate row",IF(T1437=1,"Missing Order ID",IF(S1437="DROP","Duplicate Order ID (less complete row)",IF(U1437=1,"Missing Customer ID",IF(V1437=1,"Missing Restaurant name",IF(W1437=1,"Invalid/outlier quantity",IF(X1437=1,"Invalid/outlier unit price",IF(Y1437=1,"Discount greater than order value",""))))))))</f>
        <v/>
      </c>
      <c r="AC1437" s="7" t="str">
        <f aca="false">IF(AB1437="","KEEP","DROP")</f>
        <v>KEEP</v>
      </c>
      <c r="AD1437" s="7" t="str">
        <f aca="false">IF(TRIM(F1437)="",IFERROR(INDEX(Map_Tables!$I$4:$I$37,MATCH(TRIM(E1437),Map_Tables!$G$4:$G$37,0)),""),IFERROR(INDEX(Map_Tables!$B$4:$B$18,MATCH(TRIM(F1437),Map_Tables!$A$4:$A$18,0)),"CHECK"))</f>
        <v>Mumbai</v>
      </c>
      <c r="AE1437" s="7" t="str">
        <f aca="false">IF(TRIM(E1437)="","",IFERROR(INDEX(Map_Tables!$H$4:$H$37,MATCH(TRIM(E1437),Map_Tables!$G$4:$G$37,0)),"CHECK"))</f>
        <v>Dragon Express</v>
      </c>
      <c r="AF1437" s="7" t="str">
        <f aca="false">IF(TRIM(K1437)="","Unknown",IFERROR(INDEX(Map_Tables!$E$4:$E$15,MATCH(TRIM(K1437),Map_Tables!$D$4:$D$15,0)),"CHECK"))</f>
        <v>UPI</v>
      </c>
      <c r="AG1437" s="7" t="str">
        <f aca="false">IF(LEFT(LOWER(TRIM(L1437)),6)="cancel","Cancelled","Delivered")</f>
        <v>Delivered</v>
      </c>
      <c r="AH1437" s="10" t="n">
        <f aca="false">IF(ISNUMBER(SEARCH("/",B1437)),DATE(VALUE(RIGHT(B1437,4)),VALUE(MID(B1437,4,2)),VALUE(LEFT(B1437,2))),IF(MID(B1437,5,1)="-",DATE(VALUE(LEFT(B1437,4)),VALUE(MID(B1437,6,2)),VALUE(RIGHT(B1437,2))),DATE(VALUE(RIGHT(B1437,4)),MATCH(MID(B1437,4,3),{"Jan","Feb","Mar","Apr","May","Jun","Jul","Aug","Sep","Oct","Nov","Dec"},0),VALUE(LEFT(B1437,2)))))</f>
        <v>45842</v>
      </c>
    </row>
    <row r="1438" customFormat="false" ht="15" hidden="false" customHeight="false" outlineLevel="0" collapsed="false">
      <c r="A1438" s="7" t="s">
        <v>3830</v>
      </c>
      <c r="B1438" s="7" t="s">
        <v>3831</v>
      </c>
      <c r="C1438" s="7" t="s">
        <v>3832</v>
      </c>
      <c r="D1438" s="7" t="s">
        <v>3833</v>
      </c>
      <c r="E1438" s="7" t="s">
        <v>148</v>
      </c>
      <c r="F1438" s="7" t="s">
        <v>119</v>
      </c>
      <c r="G1438" s="7" t="s">
        <v>123</v>
      </c>
      <c r="H1438" s="7" t="n">
        <v>2</v>
      </c>
      <c r="I1438" s="7" t="n">
        <v>275</v>
      </c>
      <c r="J1438" s="7" t="n">
        <v>0</v>
      </c>
      <c r="K1438" s="7" t="s">
        <v>93</v>
      </c>
      <c r="L1438" s="7" t="s">
        <v>194</v>
      </c>
      <c r="M1438" s="7" t="n">
        <v>28</v>
      </c>
      <c r="N1438" s="7" t="n">
        <v>3</v>
      </c>
      <c r="O1438" s="7" t="str">
        <f aca="false">A1438&amp;"|"&amp;B1438&amp;"|"&amp;C1438&amp;"|"&amp;D1438&amp;"|"&amp;E1438&amp;"|"&amp;F1438&amp;"|"&amp;G1438&amp;"|"&amp;H1438&amp;"|"&amp;I1438&amp;"|"&amp;J1438&amp;"|"&amp;K1438&amp;"|"&amp;L1438&amp;"|"&amp;M1438&amp;"|"&amp;N1438</f>
        <v>ORD10358|17/02/2025|16:46|C0154|Pizza Palace|Hyderabad|Pizza|2|275|0|Credit Card|Delivered|28|3</v>
      </c>
      <c r="P1438" s="7" t="str">
        <f aca="false">IF(COUNTIF($O$2:O1438,O1438)&gt;1,"DUP","OK")</f>
        <v>OK</v>
      </c>
      <c r="Q1438" s="7" t="n">
        <f aca="false">COUNTBLANK(A1438:N1438)</f>
        <v>0</v>
      </c>
      <c r="R1438" s="7" t="n">
        <f aca="false">IF(A1438="",0,COUNTIFS($A$2:$A$3058,A1438,$P$2:$P$3058,"OK"))</f>
        <v>1</v>
      </c>
      <c r="S1438" s="7" t="str">
        <f aca="false">IF(OR(A1438="",P1438="DUP",R1438&lt;2),"",IF(Q1438=_xlfn.MINIFS($Q$2:$Q$3058,$A$2:$A$3058,A1438,$P$2:$P$3058,"OK"),"KEEP","DROP"))</f>
        <v/>
      </c>
      <c r="T1438" s="9" t="n">
        <f aca="false">IF(A1438="",1,0)</f>
        <v>0</v>
      </c>
      <c r="U1438" s="9" t="n">
        <f aca="false">IF(D1438="",1,0)</f>
        <v>0</v>
      </c>
      <c r="V1438" s="9" t="n">
        <f aca="false">IF(E1438="",1,0)</f>
        <v>0</v>
      </c>
      <c r="W1438" s="9" t="n">
        <f aca="false">IF(OR(H1438&lt;1,H1438&gt;10),1,0)</f>
        <v>0</v>
      </c>
      <c r="X1438" s="9" t="n">
        <f aca="false">IF(OR(I1438&lt;=0,I1438&gt;1500),1,0)</f>
        <v>0</v>
      </c>
      <c r="Y1438" s="9" t="n">
        <f aca="false">IF(J1438&gt;H1438*I1438,1,0)</f>
        <v>0</v>
      </c>
      <c r="Z1438" s="9" t="n">
        <f aca="false">IF(AND(N1438&lt;&gt;"",OR(N1438&lt;1,N1438&gt;5)),1,0)</f>
        <v>0</v>
      </c>
      <c r="AA1438" s="9" t="n">
        <f aca="false">IF(AND(M1438&lt;&gt;"",OR(M1438&lt;5,M1438&gt;180)),1,0)</f>
        <v>0</v>
      </c>
      <c r="AB1438" s="7" t="str">
        <f aca="false">IF(P1438="DUP","Exact duplicate row",IF(T1438=1,"Missing Order ID",IF(S1438="DROP","Duplicate Order ID (less complete row)",IF(U1438=1,"Missing Customer ID",IF(V1438=1,"Missing Restaurant name",IF(W1438=1,"Invalid/outlier quantity",IF(X1438=1,"Invalid/outlier unit price",IF(Y1438=1,"Discount greater than order value",""))))))))</f>
        <v/>
      </c>
      <c r="AC1438" s="7" t="str">
        <f aca="false">IF(AB1438="","KEEP","DROP")</f>
        <v>KEEP</v>
      </c>
      <c r="AD1438" s="7" t="str">
        <f aca="false">IF(TRIM(F1438)="",IFERROR(INDEX(Map_Tables!$I$4:$I$37,MATCH(TRIM(E1438),Map_Tables!$G$4:$G$37,0)),""),IFERROR(INDEX(Map_Tables!$B$4:$B$18,MATCH(TRIM(F1438),Map_Tables!$A$4:$A$18,0)),"CHECK"))</f>
        <v>Hyderabad</v>
      </c>
      <c r="AE1438" s="7" t="str">
        <f aca="false">IF(TRIM(E1438)="","",IFERROR(INDEX(Map_Tables!$H$4:$H$37,MATCH(TRIM(E1438),Map_Tables!$G$4:$G$37,0)),"CHECK"))</f>
        <v>Pizza Palace</v>
      </c>
      <c r="AF1438" s="7" t="str">
        <f aca="false">IF(TRIM(K1438)="","Unknown",IFERROR(INDEX(Map_Tables!$E$4:$E$15,MATCH(TRIM(K1438),Map_Tables!$D$4:$D$15,0)),"CHECK"))</f>
        <v>Credit Card</v>
      </c>
      <c r="AG1438" s="7" t="str">
        <f aca="false">IF(LEFT(LOWER(TRIM(L1438)),6)="cancel","Cancelled","Delivered")</f>
        <v>Delivered</v>
      </c>
      <c r="AH1438" s="10" t="n">
        <f aca="false">IF(ISNUMBER(SEARCH("/",B1438)),DATE(VALUE(RIGHT(B1438,4)),VALUE(MID(B1438,4,2)),VALUE(LEFT(B1438,2))),IF(MID(B1438,5,1)="-",DATE(VALUE(LEFT(B1438,4)),VALUE(MID(B1438,6,2)),VALUE(RIGHT(B1438,2))),DATE(VALUE(RIGHT(B1438,4)),MATCH(MID(B1438,4,3),{"Jan","Feb","Mar","Apr","May","Jun","Jul","Aug","Sep","Oct","Nov","Dec"},0),VALUE(LEFT(B1438,2)))))</f>
        <v>45705</v>
      </c>
    </row>
    <row r="1439" customFormat="false" ht="15" hidden="false" customHeight="false" outlineLevel="0" collapsed="false">
      <c r="A1439" s="7" t="s">
        <v>3834</v>
      </c>
      <c r="B1439" s="7" t="s">
        <v>257</v>
      </c>
      <c r="C1439" s="7" t="s">
        <v>335</v>
      </c>
      <c r="D1439" s="7" t="s">
        <v>3659</v>
      </c>
      <c r="E1439" s="7" t="s">
        <v>160</v>
      </c>
      <c r="F1439" s="7" t="s">
        <v>136</v>
      </c>
      <c r="G1439" s="7" t="s">
        <v>150</v>
      </c>
      <c r="H1439" s="7" t="n">
        <v>3</v>
      </c>
      <c r="I1439" s="7" t="n">
        <v>130</v>
      </c>
      <c r="J1439" s="7" t="n">
        <v>0</v>
      </c>
      <c r="K1439" s="7" t="s">
        <v>88</v>
      </c>
      <c r="L1439" s="7" t="s">
        <v>194</v>
      </c>
      <c r="M1439" s="7" t="n">
        <v>28</v>
      </c>
      <c r="N1439" s="7" t="n">
        <v>4</v>
      </c>
      <c r="O1439" s="7" t="str">
        <f aca="false">A1439&amp;"|"&amp;B1439&amp;"|"&amp;C1439&amp;"|"&amp;D1439&amp;"|"&amp;E1439&amp;"|"&amp;F1439&amp;"|"&amp;G1439&amp;"|"&amp;H1439&amp;"|"&amp;I1439&amp;"|"&amp;J1439&amp;"|"&amp;K1439&amp;"|"&amp;L1439&amp;"|"&amp;M1439&amp;"|"&amp;N1439</f>
        <v>ORD10361|2025-02-17|20:16|C0951|Cake Walk|Pune|Desserts|3|130|0|UPI|Delivered|28|4</v>
      </c>
      <c r="P1439" s="7" t="str">
        <f aca="false">IF(COUNTIF($O$2:O1439,O1439)&gt;1,"DUP","OK")</f>
        <v>OK</v>
      </c>
      <c r="Q1439" s="7" t="n">
        <f aca="false">COUNTBLANK(A1439:N1439)</f>
        <v>0</v>
      </c>
      <c r="R1439" s="7" t="n">
        <f aca="false">IF(A1439="",0,COUNTIFS($A$2:$A$3058,A1439,$P$2:$P$3058,"OK"))</f>
        <v>1</v>
      </c>
      <c r="S1439" s="7" t="str">
        <f aca="false">IF(OR(A1439="",P1439="DUP",R1439&lt;2),"",IF(Q1439=_xlfn.MINIFS($Q$2:$Q$3058,$A$2:$A$3058,A1439,$P$2:$P$3058,"OK"),"KEEP","DROP"))</f>
        <v/>
      </c>
      <c r="T1439" s="9" t="n">
        <f aca="false">IF(A1439="",1,0)</f>
        <v>0</v>
      </c>
      <c r="U1439" s="9" t="n">
        <f aca="false">IF(D1439="",1,0)</f>
        <v>0</v>
      </c>
      <c r="V1439" s="9" t="n">
        <f aca="false">IF(E1439="",1,0)</f>
        <v>0</v>
      </c>
      <c r="W1439" s="9" t="n">
        <f aca="false">IF(OR(H1439&lt;1,H1439&gt;10),1,0)</f>
        <v>0</v>
      </c>
      <c r="X1439" s="9" t="n">
        <f aca="false">IF(OR(I1439&lt;=0,I1439&gt;1500),1,0)</f>
        <v>0</v>
      </c>
      <c r="Y1439" s="9" t="n">
        <f aca="false">IF(J1439&gt;H1439*I1439,1,0)</f>
        <v>0</v>
      </c>
      <c r="Z1439" s="9" t="n">
        <f aca="false">IF(AND(N1439&lt;&gt;"",OR(N1439&lt;1,N1439&gt;5)),1,0)</f>
        <v>0</v>
      </c>
      <c r="AA1439" s="9" t="n">
        <f aca="false">IF(AND(M1439&lt;&gt;"",OR(M1439&lt;5,M1439&gt;180)),1,0)</f>
        <v>0</v>
      </c>
      <c r="AB1439" s="7" t="str">
        <f aca="false">IF(P1439="DUP","Exact duplicate row",IF(T1439=1,"Missing Order ID",IF(S1439="DROP","Duplicate Order ID (less complete row)",IF(U1439=1,"Missing Customer ID",IF(V1439=1,"Missing Restaurant name",IF(W1439=1,"Invalid/outlier quantity",IF(X1439=1,"Invalid/outlier unit price",IF(Y1439=1,"Discount greater than order value",""))))))))</f>
        <v/>
      </c>
      <c r="AC1439" s="7" t="str">
        <f aca="false">IF(AB1439="","KEEP","DROP")</f>
        <v>KEEP</v>
      </c>
      <c r="AD1439" s="7" t="str">
        <f aca="false">IF(TRIM(F1439)="",IFERROR(INDEX(Map_Tables!$I$4:$I$37,MATCH(TRIM(E1439),Map_Tables!$G$4:$G$37,0)),""),IFERROR(INDEX(Map_Tables!$B$4:$B$18,MATCH(TRIM(F1439),Map_Tables!$A$4:$A$18,0)),"CHECK"))</f>
        <v>Pune</v>
      </c>
      <c r="AE1439" s="7" t="str">
        <f aca="false">IF(TRIM(E1439)="","",IFERROR(INDEX(Map_Tables!$H$4:$H$37,MATCH(TRIM(E1439),Map_Tables!$G$4:$G$37,0)),"CHECK"))</f>
        <v>Cake Walk</v>
      </c>
      <c r="AF1439" s="7" t="str">
        <f aca="false">IF(TRIM(K1439)="","Unknown",IFERROR(INDEX(Map_Tables!$E$4:$E$15,MATCH(TRIM(K1439),Map_Tables!$D$4:$D$15,0)),"CHECK"))</f>
        <v>UPI</v>
      </c>
      <c r="AG1439" s="7" t="str">
        <f aca="false">IF(LEFT(LOWER(TRIM(L1439)),6)="cancel","Cancelled","Delivered")</f>
        <v>Delivered</v>
      </c>
      <c r="AH1439" s="10" t="n">
        <f aca="false">IF(ISNUMBER(SEARCH("/",B1439)),DATE(VALUE(RIGHT(B1439,4)),VALUE(MID(B1439,4,2)),VALUE(LEFT(B1439,2))),IF(MID(B1439,5,1)="-",DATE(VALUE(LEFT(B1439,4)),VALUE(MID(B1439,6,2)),VALUE(RIGHT(B1439,2))),DATE(VALUE(RIGHT(B1439,4)),MATCH(MID(B1439,4,3),{"Jan","Feb","Mar","Apr","May","Jun","Jul","Aug","Sep","Oct","Nov","Dec"},0),VALUE(LEFT(B1439,2)))))</f>
        <v>45705</v>
      </c>
    </row>
    <row r="1440" customFormat="false" ht="15" hidden="false" customHeight="false" outlineLevel="0" collapsed="false">
      <c r="A1440" s="7" t="s">
        <v>3835</v>
      </c>
      <c r="B1440" s="7" t="s">
        <v>3836</v>
      </c>
      <c r="C1440" s="7" t="s">
        <v>555</v>
      </c>
      <c r="D1440" s="7" t="s">
        <v>1272</v>
      </c>
      <c r="E1440" s="7" t="s">
        <v>113</v>
      </c>
      <c r="F1440" s="7" t="s">
        <v>101</v>
      </c>
      <c r="G1440" s="7" t="s">
        <v>90</v>
      </c>
      <c r="H1440" s="7" t="n">
        <v>1</v>
      </c>
      <c r="I1440" s="7" t="n">
        <v>280</v>
      </c>
      <c r="J1440" s="7" t="n">
        <v>0</v>
      </c>
      <c r="K1440" s="7" t="s">
        <v>88</v>
      </c>
      <c r="L1440" s="7" t="s">
        <v>194</v>
      </c>
      <c r="M1440" s="7" t="n">
        <v>38</v>
      </c>
      <c r="N1440" s="7" t="n">
        <v>3</v>
      </c>
      <c r="O1440" s="7" t="str">
        <f aca="false">A1440&amp;"|"&amp;B1440&amp;"|"&amp;C1440&amp;"|"&amp;D1440&amp;"|"&amp;E1440&amp;"|"&amp;F1440&amp;"|"&amp;G1440&amp;"|"&amp;H1440&amp;"|"&amp;I1440&amp;"|"&amp;J1440&amp;"|"&amp;K1440&amp;"|"&amp;L1440&amp;"|"&amp;M1440&amp;"|"&amp;N1440</f>
        <v>ORD12807|2025-12-09|18:12|C0717|Curry Leaf Kitchen|Mumbai|North Indian|1|280|0|UPI|Delivered|38|3</v>
      </c>
      <c r="P1440" s="7" t="str">
        <f aca="false">IF(COUNTIF($O$2:O1440,O1440)&gt;1,"DUP","OK")</f>
        <v>OK</v>
      </c>
      <c r="Q1440" s="7" t="n">
        <f aca="false">COUNTBLANK(A1440:N1440)</f>
        <v>0</v>
      </c>
      <c r="R1440" s="7" t="n">
        <f aca="false">IF(A1440="",0,COUNTIFS($A$2:$A$3058,A1440,$P$2:$P$3058,"OK"))</f>
        <v>1</v>
      </c>
      <c r="S1440" s="7" t="str">
        <f aca="false">IF(OR(A1440="",P1440="DUP",R1440&lt;2),"",IF(Q1440=_xlfn.MINIFS($Q$2:$Q$3058,$A$2:$A$3058,A1440,$P$2:$P$3058,"OK"),"KEEP","DROP"))</f>
        <v/>
      </c>
      <c r="T1440" s="9" t="n">
        <f aca="false">IF(A1440="",1,0)</f>
        <v>0</v>
      </c>
      <c r="U1440" s="9" t="n">
        <f aca="false">IF(D1440="",1,0)</f>
        <v>0</v>
      </c>
      <c r="V1440" s="9" t="n">
        <f aca="false">IF(E1440="",1,0)</f>
        <v>0</v>
      </c>
      <c r="W1440" s="9" t="n">
        <f aca="false">IF(OR(H1440&lt;1,H1440&gt;10),1,0)</f>
        <v>0</v>
      </c>
      <c r="X1440" s="9" t="n">
        <f aca="false">IF(OR(I1440&lt;=0,I1440&gt;1500),1,0)</f>
        <v>0</v>
      </c>
      <c r="Y1440" s="9" t="n">
        <f aca="false">IF(J1440&gt;H1440*I1440,1,0)</f>
        <v>0</v>
      </c>
      <c r="Z1440" s="9" t="n">
        <f aca="false">IF(AND(N1440&lt;&gt;"",OR(N1440&lt;1,N1440&gt;5)),1,0)</f>
        <v>0</v>
      </c>
      <c r="AA1440" s="9" t="n">
        <f aca="false">IF(AND(M1440&lt;&gt;"",OR(M1440&lt;5,M1440&gt;180)),1,0)</f>
        <v>0</v>
      </c>
      <c r="AB1440" s="7" t="str">
        <f aca="false">IF(P1440="DUP","Exact duplicate row",IF(T1440=1,"Missing Order ID",IF(S1440="DROP","Duplicate Order ID (less complete row)",IF(U1440=1,"Missing Customer ID",IF(V1440=1,"Missing Restaurant name",IF(W1440=1,"Invalid/outlier quantity",IF(X1440=1,"Invalid/outlier unit price",IF(Y1440=1,"Discount greater than order value",""))))))))</f>
        <v/>
      </c>
      <c r="AC1440" s="7" t="str">
        <f aca="false">IF(AB1440="","KEEP","DROP")</f>
        <v>KEEP</v>
      </c>
      <c r="AD1440" s="7" t="str">
        <f aca="false">IF(TRIM(F1440)="",IFERROR(INDEX(Map_Tables!$I$4:$I$37,MATCH(TRIM(E1440),Map_Tables!$G$4:$G$37,0)),""),IFERROR(INDEX(Map_Tables!$B$4:$B$18,MATCH(TRIM(F1440),Map_Tables!$A$4:$A$18,0)),"CHECK"))</f>
        <v>Mumbai</v>
      </c>
      <c r="AE1440" s="7" t="str">
        <f aca="false">IF(TRIM(E1440)="","",IFERROR(INDEX(Map_Tables!$H$4:$H$37,MATCH(TRIM(E1440),Map_Tables!$G$4:$G$37,0)),"CHECK"))</f>
        <v>Curry Leaf Kitchen</v>
      </c>
      <c r="AF1440" s="7" t="str">
        <f aca="false">IF(TRIM(K1440)="","Unknown",IFERROR(INDEX(Map_Tables!$E$4:$E$15,MATCH(TRIM(K1440),Map_Tables!$D$4:$D$15,0)),"CHECK"))</f>
        <v>UPI</v>
      </c>
      <c r="AG1440" s="7" t="str">
        <f aca="false">IF(LEFT(LOWER(TRIM(L1440)),6)="cancel","Cancelled","Delivered")</f>
        <v>Delivered</v>
      </c>
      <c r="AH1440" s="10" t="n">
        <f aca="false">IF(ISNUMBER(SEARCH("/",B1440)),DATE(VALUE(RIGHT(B1440,4)),VALUE(MID(B1440,4,2)),VALUE(LEFT(B1440,2))),IF(MID(B1440,5,1)="-",DATE(VALUE(LEFT(B1440,4)),VALUE(MID(B1440,6,2)),VALUE(RIGHT(B1440,2))),DATE(VALUE(RIGHT(B1440,4)),MATCH(MID(B1440,4,3),{"Jan","Feb","Mar","Apr","May","Jun","Jul","Aug","Sep","Oct","Nov","Dec"},0),VALUE(LEFT(B1440,2)))))</f>
        <v>46000</v>
      </c>
    </row>
    <row r="1441" customFormat="false" ht="15" hidden="false" customHeight="false" outlineLevel="0" collapsed="false">
      <c r="A1441" s="7" t="s">
        <v>3837</v>
      </c>
      <c r="B1441" s="7" t="s">
        <v>3838</v>
      </c>
      <c r="C1441" s="7" t="s">
        <v>508</v>
      </c>
      <c r="D1441" s="7" t="s">
        <v>2452</v>
      </c>
      <c r="E1441" s="7" t="s">
        <v>167</v>
      </c>
      <c r="F1441" s="7" t="s">
        <v>146</v>
      </c>
      <c r="G1441" s="7" t="s">
        <v>156</v>
      </c>
      <c r="H1441" s="7" t="n">
        <v>3</v>
      </c>
      <c r="I1441" s="7" t="n">
        <v>285</v>
      </c>
      <c r="J1441" s="7" t="n">
        <v>100</v>
      </c>
      <c r="K1441" s="7" t="s">
        <v>112</v>
      </c>
      <c r="L1441" s="7" t="s">
        <v>194</v>
      </c>
      <c r="M1441" s="7" t="n">
        <v>36</v>
      </c>
      <c r="N1441" s="7" t="n">
        <v>3</v>
      </c>
      <c r="O1441" s="7" t="str">
        <f aca="false">A1441&amp;"|"&amp;B1441&amp;"|"&amp;C1441&amp;"|"&amp;D1441&amp;"|"&amp;E1441&amp;"|"&amp;F1441&amp;"|"&amp;G1441&amp;"|"&amp;H1441&amp;"|"&amp;I1441&amp;"|"&amp;J1441&amp;"|"&amp;K1441&amp;"|"&amp;L1441&amp;"|"&amp;M1441&amp;"|"&amp;N1441</f>
        <v>ORD11542|20/07/2025|11:56|C0455|Fit Fuel Kitchen|Ahmedabad|Healthy Food|3|285|100|Cash on Delivery|Delivered|36|3</v>
      </c>
      <c r="P1441" s="7" t="str">
        <f aca="false">IF(COUNTIF($O$2:O1441,O1441)&gt;1,"DUP","OK")</f>
        <v>OK</v>
      </c>
      <c r="Q1441" s="7" t="n">
        <f aca="false">COUNTBLANK(A1441:N1441)</f>
        <v>0</v>
      </c>
      <c r="R1441" s="7" t="n">
        <f aca="false">IF(A1441="",0,COUNTIFS($A$2:$A$3058,A1441,$P$2:$P$3058,"OK"))</f>
        <v>1</v>
      </c>
      <c r="S1441" s="7" t="str">
        <f aca="false">IF(OR(A1441="",P1441="DUP",R1441&lt;2),"",IF(Q1441=_xlfn.MINIFS($Q$2:$Q$3058,$A$2:$A$3058,A1441,$P$2:$P$3058,"OK"),"KEEP","DROP"))</f>
        <v/>
      </c>
      <c r="T1441" s="9" t="n">
        <f aca="false">IF(A1441="",1,0)</f>
        <v>0</v>
      </c>
      <c r="U1441" s="9" t="n">
        <f aca="false">IF(D1441="",1,0)</f>
        <v>0</v>
      </c>
      <c r="V1441" s="9" t="n">
        <f aca="false">IF(E1441="",1,0)</f>
        <v>0</v>
      </c>
      <c r="W1441" s="9" t="n">
        <f aca="false">IF(OR(H1441&lt;1,H1441&gt;10),1,0)</f>
        <v>0</v>
      </c>
      <c r="X1441" s="9" t="n">
        <f aca="false">IF(OR(I1441&lt;=0,I1441&gt;1500),1,0)</f>
        <v>0</v>
      </c>
      <c r="Y1441" s="9" t="n">
        <f aca="false">IF(J1441&gt;H1441*I1441,1,0)</f>
        <v>0</v>
      </c>
      <c r="Z1441" s="9" t="n">
        <f aca="false">IF(AND(N1441&lt;&gt;"",OR(N1441&lt;1,N1441&gt;5)),1,0)</f>
        <v>0</v>
      </c>
      <c r="AA1441" s="9" t="n">
        <f aca="false">IF(AND(M1441&lt;&gt;"",OR(M1441&lt;5,M1441&gt;180)),1,0)</f>
        <v>0</v>
      </c>
      <c r="AB1441" s="7" t="str">
        <f aca="false">IF(P1441="DUP","Exact duplicate row",IF(T1441=1,"Missing Order ID",IF(S1441="DROP","Duplicate Order ID (less complete row)",IF(U1441=1,"Missing Customer ID",IF(V1441=1,"Missing Restaurant name",IF(W1441=1,"Invalid/outlier quantity",IF(X1441=1,"Invalid/outlier unit price",IF(Y1441=1,"Discount greater than order value",""))))))))</f>
        <v/>
      </c>
      <c r="AC1441" s="7" t="str">
        <f aca="false">IF(AB1441="","KEEP","DROP")</f>
        <v>KEEP</v>
      </c>
      <c r="AD1441" s="7" t="str">
        <f aca="false">IF(TRIM(F1441)="",IFERROR(INDEX(Map_Tables!$I$4:$I$37,MATCH(TRIM(E1441),Map_Tables!$G$4:$G$37,0)),""),IFERROR(INDEX(Map_Tables!$B$4:$B$18,MATCH(TRIM(F1441),Map_Tables!$A$4:$A$18,0)),"CHECK"))</f>
        <v>Ahmedabad</v>
      </c>
      <c r="AE1441" s="7" t="str">
        <f aca="false">IF(TRIM(E1441)="","",IFERROR(INDEX(Map_Tables!$H$4:$H$37,MATCH(TRIM(E1441),Map_Tables!$G$4:$G$37,0)),"CHECK"))</f>
        <v>Fit Fuel Kitchen</v>
      </c>
      <c r="AF1441" s="7" t="str">
        <f aca="false">IF(TRIM(K1441)="","Unknown",IFERROR(INDEX(Map_Tables!$E$4:$E$15,MATCH(TRIM(K1441),Map_Tables!$D$4:$D$15,0)),"CHECK"))</f>
        <v>Cash on Delivery</v>
      </c>
      <c r="AG1441" s="7" t="str">
        <f aca="false">IF(LEFT(LOWER(TRIM(L1441)),6)="cancel","Cancelled","Delivered")</f>
        <v>Delivered</v>
      </c>
      <c r="AH1441" s="10" t="n">
        <f aca="false">IF(ISNUMBER(SEARCH("/",B1441)),DATE(VALUE(RIGHT(B1441,4)),VALUE(MID(B1441,4,2)),VALUE(LEFT(B1441,2))),IF(MID(B1441,5,1)="-",DATE(VALUE(LEFT(B1441,4)),VALUE(MID(B1441,6,2)),VALUE(RIGHT(B1441,2))),DATE(VALUE(RIGHT(B1441,4)),MATCH(MID(B1441,4,3),{"Jan","Feb","Mar","Apr","May","Jun","Jul","Aug","Sep","Oct","Nov","Dec"},0),VALUE(LEFT(B1441,2)))))</f>
        <v>45858</v>
      </c>
    </row>
    <row r="1442" customFormat="false" ht="15" hidden="false" customHeight="false" outlineLevel="0" collapsed="false">
      <c r="A1442" s="7" t="s">
        <v>3839</v>
      </c>
      <c r="B1442" s="7" t="s">
        <v>704</v>
      </c>
      <c r="C1442" s="7" t="s">
        <v>1474</v>
      </c>
      <c r="D1442" s="7" t="s">
        <v>3840</v>
      </c>
      <c r="E1442" s="7" t="s">
        <v>142</v>
      </c>
      <c r="F1442" s="7" t="s">
        <v>110</v>
      </c>
      <c r="G1442" s="7" t="s">
        <v>105</v>
      </c>
      <c r="H1442" s="7" t="n">
        <v>1</v>
      </c>
      <c r="I1442" s="7" t="n">
        <v>145</v>
      </c>
      <c r="J1442" s="7" t="n">
        <v>0</v>
      </c>
      <c r="K1442" s="7" t="s">
        <v>88</v>
      </c>
      <c r="L1442" s="7" t="s">
        <v>194</v>
      </c>
      <c r="M1442" s="7" t="n">
        <v>37</v>
      </c>
      <c r="N1442" s="7" t="n">
        <v>3</v>
      </c>
      <c r="O1442" s="7" t="str">
        <f aca="false">A1442&amp;"|"&amp;B1442&amp;"|"&amp;C1442&amp;"|"&amp;D1442&amp;"|"&amp;E1442&amp;"|"&amp;F1442&amp;"|"&amp;G1442&amp;"|"&amp;H1442&amp;"|"&amp;I1442&amp;"|"&amp;J1442&amp;"|"&amp;K1442&amp;"|"&amp;L1442&amp;"|"&amp;M1442&amp;"|"&amp;N1442</f>
        <v>ORD10290|2025-02-08|19:37|C0521|Momo Magic|Delhi|Chinese|1|145|0|UPI|Delivered|37|3</v>
      </c>
      <c r="P1442" s="7" t="str">
        <f aca="false">IF(COUNTIF($O$2:O1442,O1442)&gt;1,"DUP","OK")</f>
        <v>OK</v>
      </c>
      <c r="Q1442" s="7" t="n">
        <f aca="false">COUNTBLANK(A1442:N1442)</f>
        <v>0</v>
      </c>
      <c r="R1442" s="7" t="n">
        <f aca="false">IF(A1442="",0,COUNTIFS($A$2:$A$3058,A1442,$P$2:$P$3058,"OK"))</f>
        <v>1</v>
      </c>
      <c r="S1442" s="7" t="str">
        <f aca="false">IF(OR(A1442="",P1442="DUP",R1442&lt;2),"",IF(Q1442=_xlfn.MINIFS($Q$2:$Q$3058,$A$2:$A$3058,A1442,$P$2:$P$3058,"OK"),"KEEP","DROP"))</f>
        <v/>
      </c>
      <c r="T1442" s="9" t="n">
        <f aca="false">IF(A1442="",1,0)</f>
        <v>0</v>
      </c>
      <c r="U1442" s="9" t="n">
        <f aca="false">IF(D1442="",1,0)</f>
        <v>0</v>
      </c>
      <c r="V1442" s="9" t="n">
        <f aca="false">IF(E1442="",1,0)</f>
        <v>0</v>
      </c>
      <c r="W1442" s="9" t="n">
        <f aca="false">IF(OR(H1442&lt;1,H1442&gt;10),1,0)</f>
        <v>0</v>
      </c>
      <c r="X1442" s="9" t="n">
        <f aca="false">IF(OR(I1442&lt;=0,I1442&gt;1500),1,0)</f>
        <v>0</v>
      </c>
      <c r="Y1442" s="9" t="n">
        <f aca="false">IF(J1442&gt;H1442*I1442,1,0)</f>
        <v>0</v>
      </c>
      <c r="Z1442" s="9" t="n">
        <f aca="false">IF(AND(N1442&lt;&gt;"",OR(N1442&lt;1,N1442&gt;5)),1,0)</f>
        <v>0</v>
      </c>
      <c r="AA1442" s="9" t="n">
        <f aca="false">IF(AND(M1442&lt;&gt;"",OR(M1442&lt;5,M1442&gt;180)),1,0)</f>
        <v>0</v>
      </c>
      <c r="AB1442" s="7" t="str">
        <f aca="false">IF(P1442="DUP","Exact duplicate row",IF(T1442=1,"Missing Order ID",IF(S1442="DROP","Duplicate Order ID (less complete row)",IF(U1442=1,"Missing Customer ID",IF(V1442=1,"Missing Restaurant name",IF(W1442=1,"Invalid/outlier quantity",IF(X1442=1,"Invalid/outlier unit price",IF(Y1442=1,"Discount greater than order value",""))))))))</f>
        <v/>
      </c>
      <c r="AC1442" s="7" t="str">
        <f aca="false">IF(AB1442="","KEEP","DROP")</f>
        <v>KEEP</v>
      </c>
      <c r="AD1442" s="7" t="str">
        <f aca="false">IF(TRIM(F1442)="",IFERROR(INDEX(Map_Tables!$I$4:$I$37,MATCH(TRIM(E1442),Map_Tables!$G$4:$G$37,0)),""),IFERROR(INDEX(Map_Tables!$B$4:$B$18,MATCH(TRIM(F1442),Map_Tables!$A$4:$A$18,0)),"CHECK"))</f>
        <v>Delhi</v>
      </c>
      <c r="AE1442" s="7" t="str">
        <f aca="false">IF(TRIM(E1442)="","",IFERROR(INDEX(Map_Tables!$H$4:$H$37,MATCH(TRIM(E1442),Map_Tables!$G$4:$G$37,0)),"CHECK"))</f>
        <v>Momo Magic</v>
      </c>
      <c r="AF1442" s="7" t="str">
        <f aca="false">IF(TRIM(K1442)="","Unknown",IFERROR(INDEX(Map_Tables!$E$4:$E$15,MATCH(TRIM(K1442),Map_Tables!$D$4:$D$15,0)),"CHECK"))</f>
        <v>UPI</v>
      </c>
      <c r="AG1442" s="7" t="str">
        <f aca="false">IF(LEFT(LOWER(TRIM(L1442)),6)="cancel","Cancelled","Delivered")</f>
        <v>Delivered</v>
      </c>
      <c r="AH1442" s="10" t="n">
        <f aca="false">IF(ISNUMBER(SEARCH("/",B1442)),DATE(VALUE(RIGHT(B1442,4)),VALUE(MID(B1442,4,2)),VALUE(LEFT(B1442,2))),IF(MID(B1442,5,1)="-",DATE(VALUE(LEFT(B1442,4)),VALUE(MID(B1442,6,2)),VALUE(RIGHT(B1442,2))),DATE(VALUE(RIGHT(B1442,4)),MATCH(MID(B1442,4,3),{"Jan","Feb","Mar","Apr","May","Jun","Jul","Aug","Sep","Oct","Nov","Dec"},0),VALUE(LEFT(B1442,2)))))</f>
        <v>45696</v>
      </c>
    </row>
    <row r="1443" customFormat="false" ht="15" hidden="false" customHeight="false" outlineLevel="0" collapsed="false">
      <c r="A1443" s="7" t="s">
        <v>3841</v>
      </c>
      <c r="B1443" s="7" t="s">
        <v>1345</v>
      </c>
      <c r="C1443" s="7" t="s">
        <v>1412</v>
      </c>
      <c r="D1443" s="7" t="s">
        <v>3842</v>
      </c>
      <c r="E1443" s="7" t="s">
        <v>147</v>
      </c>
      <c r="F1443" s="7" t="s">
        <v>119</v>
      </c>
      <c r="G1443" s="7" t="s">
        <v>95</v>
      </c>
      <c r="H1443" s="7" t="n">
        <v>2</v>
      </c>
      <c r="I1443" s="7" t="n">
        <v>175</v>
      </c>
      <c r="J1443" s="7" t="n">
        <v>0</v>
      </c>
      <c r="K1443" s="7" t="s">
        <v>526</v>
      </c>
      <c r="L1443" s="7" t="s">
        <v>194</v>
      </c>
      <c r="M1443" s="7" t="n">
        <v>32</v>
      </c>
      <c r="N1443" s="7"/>
      <c r="O1443" s="7" t="str">
        <f aca="false">A1443&amp;"|"&amp;B1443&amp;"|"&amp;C1443&amp;"|"&amp;D1443&amp;"|"&amp;E1443&amp;"|"&amp;F1443&amp;"|"&amp;G1443&amp;"|"&amp;H1443&amp;"|"&amp;I1443&amp;"|"&amp;J1443&amp;"|"&amp;K1443&amp;"|"&amp;L1443&amp;"|"&amp;M1443&amp;"|"&amp;N1443</f>
        <v>ORD10393|2025-02-21|22:25|C0438|Andhra Meals Mess|Hyderabad|South Indian|2|175|0|DC|Delivered|32|</v>
      </c>
      <c r="P1443" s="7" t="str">
        <f aca="false">IF(COUNTIF($O$2:O1443,O1443)&gt;1,"DUP","OK")</f>
        <v>OK</v>
      </c>
      <c r="Q1443" s="7" t="n">
        <f aca="false">COUNTBLANK(A1443:N1443)</f>
        <v>1</v>
      </c>
      <c r="R1443" s="7" t="n">
        <f aca="false">IF(A1443="",0,COUNTIFS($A$2:$A$3058,A1443,$P$2:$P$3058,"OK"))</f>
        <v>1</v>
      </c>
      <c r="S1443" s="7" t="str">
        <f aca="false">IF(OR(A1443="",P1443="DUP",R1443&lt;2),"",IF(Q1443=_xlfn.MINIFS($Q$2:$Q$3058,$A$2:$A$3058,A1443,$P$2:$P$3058,"OK"),"KEEP","DROP"))</f>
        <v/>
      </c>
      <c r="T1443" s="9" t="n">
        <f aca="false">IF(A1443="",1,0)</f>
        <v>0</v>
      </c>
      <c r="U1443" s="9" t="n">
        <f aca="false">IF(D1443="",1,0)</f>
        <v>0</v>
      </c>
      <c r="V1443" s="9" t="n">
        <f aca="false">IF(E1443="",1,0)</f>
        <v>0</v>
      </c>
      <c r="W1443" s="9" t="n">
        <f aca="false">IF(OR(H1443&lt;1,H1443&gt;10),1,0)</f>
        <v>0</v>
      </c>
      <c r="X1443" s="9" t="n">
        <f aca="false">IF(OR(I1443&lt;=0,I1443&gt;1500),1,0)</f>
        <v>0</v>
      </c>
      <c r="Y1443" s="9" t="n">
        <f aca="false">IF(J1443&gt;H1443*I1443,1,0)</f>
        <v>0</v>
      </c>
      <c r="Z1443" s="9" t="n">
        <f aca="false">IF(AND(N1443&lt;&gt;"",OR(N1443&lt;1,N1443&gt;5)),1,0)</f>
        <v>0</v>
      </c>
      <c r="AA1443" s="9" t="n">
        <f aca="false">IF(AND(M1443&lt;&gt;"",OR(M1443&lt;5,M1443&gt;180)),1,0)</f>
        <v>0</v>
      </c>
      <c r="AB1443" s="7" t="str">
        <f aca="false">IF(P1443="DUP","Exact duplicate row",IF(T1443=1,"Missing Order ID",IF(S1443="DROP","Duplicate Order ID (less complete row)",IF(U1443=1,"Missing Customer ID",IF(V1443=1,"Missing Restaurant name",IF(W1443=1,"Invalid/outlier quantity",IF(X1443=1,"Invalid/outlier unit price",IF(Y1443=1,"Discount greater than order value",""))))))))</f>
        <v/>
      </c>
      <c r="AC1443" s="7" t="str">
        <f aca="false">IF(AB1443="","KEEP","DROP")</f>
        <v>KEEP</v>
      </c>
      <c r="AD1443" s="7" t="str">
        <f aca="false">IF(TRIM(F1443)="",IFERROR(INDEX(Map_Tables!$I$4:$I$37,MATCH(TRIM(E1443),Map_Tables!$G$4:$G$37,0)),""),IFERROR(INDEX(Map_Tables!$B$4:$B$18,MATCH(TRIM(F1443),Map_Tables!$A$4:$A$18,0)),"CHECK"))</f>
        <v>Hyderabad</v>
      </c>
      <c r="AE1443" s="7" t="str">
        <f aca="false">IF(TRIM(E1443)="","",IFERROR(INDEX(Map_Tables!$H$4:$H$37,MATCH(TRIM(E1443),Map_Tables!$G$4:$G$37,0)),"CHECK"))</f>
        <v>Andhra Meals Mess</v>
      </c>
      <c r="AF1443" s="7" t="str">
        <f aca="false">IF(TRIM(K1443)="","Unknown",IFERROR(INDEX(Map_Tables!$E$4:$E$15,MATCH(TRIM(K1443),Map_Tables!$D$4:$D$15,0)),"CHECK"))</f>
        <v>Debit Card</v>
      </c>
      <c r="AG1443" s="7" t="str">
        <f aca="false">IF(LEFT(LOWER(TRIM(L1443)),6)="cancel","Cancelled","Delivered")</f>
        <v>Delivered</v>
      </c>
      <c r="AH1443" s="10" t="n">
        <f aca="false">IF(ISNUMBER(SEARCH("/",B1443)),DATE(VALUE(RIGHT(B1443,4)),VALUE(MID(B1443,4,2)),VALUE(LEFT(B1443,2))),IF(MID(B1443,5,1)="-",DATE(VALUE(LEFT(B1443,4)),VALUE(MID(B1443,6,2)),VALUE(RIGHT(B1443,2))),DATE(VALUE(RIGHT(B1443,4)),MATCH(MID(B1443,4,3),{"Jan","Feb","Mar","Apr","May","Jun","Jul","Aug","Sep","Oct","Nov","Dec"},0),VALUE(LEFT(B1443,2)))))</f>
        <v>45709</v>
      </c>
    </row>
    <row r="1444" customFormat="false" ht="15" hidden="false" customHeight="false" outlineLevel="0" collapsed="false">
      <c r="A1444" s="7" t="s">
        <v>3843</v>
      </c>
      <c r="B1444" s="7" t="s">
        <v>3844</v>
      </c>
      <c r="C1444" s="7" t="s">
        <v>2105</v>
      </c>
      <c r="D1444" s="7" t="s">
        <v>1119</v>
      </c>
      <c r="E1444" s="7" t="s">
        <v>94</v>
      </c>
      <c r="F1444" s="7" t="s">
        <v>86</v>
      </c>
      <c r="G1444" s="7" t="s">
        <v>95</v>
      </c>
      <c r="H1444" s="7" t="n">
        <v>1</v>
      </c>
      <c r="I1444" s="7" t="n">
        <v>110</v>
      </c>
      <c r="J1444" s="7" t="n">
        <v>44</v>
      </c>
      <c r="K1444" s="7" t="s">
        <v>133</v>
      </c>
      <c r="L1444" s="7" t="s">
        <v>194</v>
      </c>
      <c r="M1444" s="7" t="n">
        <v>42</v>
      </c>
      <c r="N1444" s="7" t="n">
        <v>4</v>
      </c>
      <c r="O1444" s="7" t="str">
        <f aca="false">A1444&amp;"|"&amp;B1444&amp;"|"&amp;C1444&amp;"|"&amp;D1444&amp;"|"&amp;E1444&amp;"|"&amp;F1444&amp;"|"&amp;G1444&amp;"|"&amp;H1444&amp;"|"&amp;I1444&amp;"|"&amp;J1444&amp;"|"&amp;K1444&amp;"|"&amp;L1444&amp;"|"&amp;M1444&amp;"|"&amp;N1444</f>
        <v>ORD11494|13/07/2025|12:12|C0682|Dosa Darbar|Bengaluru|South Indian|1|110|44|Net Banking|Delivered|42|4</v>
      </c>
      <c r="P1444" s="7" t="str">
        <f aca="false">IF(COUNTIF($O$2:O1444,O1444)&gt;1,"DUP","OK")</f>
        <v>OK</v>
      </c>
      <c r="Q1444" s="7" t="n">
        <f aca="false">COUNTBLANK(A1444:N1444)</f>
        <v>0</v>
      </c>
      <c r="R1444" s="7" t="n">
        <f aca="false">IF(A1444="",0,COUNTIFS($A$2:$A$3058,A1444,$P$2:$P$3058,"OK"))</f>
        <v>1</v>
      </c>
      <c r="S1444" s="7" t="str">
        <f aca="false">IF(OR(A1444="",P1444="DUP",R1444&lt;2),"",IF(Q1444=_xlfn.MINIFS($Q$2:$Q$3058,$A$2:$A$3058,A1444,$P$2:$P$3058,"OK"),"KEEP","DROP"))</f>
        <v/>
      </c>
      <c r="T1444" s="9" t="n">
        <f aca="false">IF(A1444="",1,0)</f>
        <v>0</v>
      </c>
      <c r="U1444" s="9" t="n">
        <f aca="false">IF(D1444="",1,0)</f>
        <v>0</v>
      </c>
      <c r="V1444" s="9" t="n">
        <f aca="false">IF(E1444="",1,0)</f>
        <v>0</v>
      </c>
      <c r="W1444" s="9" t="n">
        <f aca="false">IF(OR(H1444&lt;1,H1444&gt;10),1,0)</f>
        <v>0</v>
      </c>
      <c r="X1444" s="9" t="n">
        <f aca="false">IF(OR(I1444&lt;=0,I1444&gt;1500),1,0)</f>
        <v>0</v>
      </c>
      <c r="Y1444" s="9" t="n">
        <f aca="false">IF(J1444&gt;H1444*I1444,1,0)</f>
        <v>0</v>
      </c>
      <c r="Z1444" s="9" t="n">
        <f aca="false">IF(AND(N1444&lt;&gt;"",OR(N1444&lt;1,N1444&gt;5)),1,0)</f>
        <v>0</v>
      </c>
      <c r="AA1444" s="9" t="n">
        <f aca="false">IF(AND(M1444&lt;&gt;"",OR(M1444&lt;5,M1444&gt;180)),1,0)</f>
        <v>0</v>
      </c>
      <c r="AB1444" s="7" t="str">
        <f aca="false">IF(P1444="DUP","Exact duplicate row",IF(T1444=1,"Missing Order ID",IF(S1444="DROP","Duplicate Order ID (less complete row)",IF(U1444=1,"Missing Customer ID",IF(V1444=1,"Missing Restaurant name",IF(W1444=1,"Invalid/outlier quantity",IF(X1444=1,"Invalid/outlier unit price",IF(Y1444=1,"Discount greater than order value",""))))))))</f>
        <v/>
      </c>
      <c r="AC1444" s="7" t="str">
        <f aca="false">IF(AB1444="","KEEP","DROP")</f>
        <v>KEEP</v>
      </c>
      <c r="AD1444" s="7" t="str">
        <f aca="false">IF(TRIM(F1444)="",IFERROR(INDEX(Map_Tables!$I$4:$I$37,MATCH(TRIM(E1444),Map_Tables!$G$4:$G$37,0)),""),IFERROR(INDEX(Map_Tables!$B$4:$B$18,MATCH(TRIM(F1444),Map_Tables!$A$4:$A$18,0)),"CHECK"))</f>
        <v>Bengaluru</v>
      </c>
      <c r="AE1444" s="7" t="str">
        <f aca="false">IF(TRIM(E1444)="","",IFERROR(INDEX(Map_Tables!$H$4:$H$37,MATCH(TRIM(E1444),Map_Tables!$G$4:$G$37,0)),"CHECK"))</f>
        <v>Dosa Darbar</v>
      </c>
      <c r="AF1444" s="7" t="str">
        <f aca="false">IF(TRIM(K1444)="","Unknown",IFERROR(INDEX(Map_Tables!$E$4:$E$15,MATCH(TRIM(K1444),Map_Tables!$D$4:$D$15,0)),"CHECK"))</f>
        <v>Net Banking</v>
      </c>
      <c r="AG1444" s="7" t="str">
        <f aca="false">IF(LEFT(LOWER(TRIM(L1444)),6)="cancel","Cancelled","Delivered")</f>
        <v>Delivered</v>
      </c>
      <c r="AH1444" s="10" t="n">
        <f aca="false">IF(ISNUMBER(SEARCH("/",B1444)),DATE(VALUE(RIGHT(B1444,4)),VALUE(MID(B1444,4,2)),VALUE(LEFT(B1444,2))),IF(MID(B1444,5,1)="-",DATE(VALUE(LEFT(B1444,4)),VALUE(MID(B1444,6,2)),VALUE(RIGHT(B1444,2))),DATE(VALUE(RIGHT(B1444,4)),MATCH(MID(B1444,4,3),{"Jan","Feb","Mar","Apr","May","Jun","Jul","Aug","Sep","Oct","Nov","Dec"},0),VALUE(LEFT(B1444,2)))))</f>
        <v>45851</v>
      </c>
    </row>
    <row r="1445" customFormat="false" ht="15" hidden="false" customHeight="false" outlineLevel="0" collapsed="false">
      <c r="A1445" s="7" t="s">
        <v>3845</v>
      </c>
      <c r="B1445" s="7" t="s">
        <v>1561</v>
      </c>
      <c r="C1445" s="7" t="s">
        <v>686</v>
      </c>
      <c r="D1445" s="7" t="s">
        <v>1232</v>
      </c>
      <c r="E1445" s="7" t="s">
        <v>130</v>
      </c>
      <c r="F1445" s="7" t="s">
        <v>109</v>
      </c>
      <c r="G1445" s="7" t="s">
        <v>90</v>
      </c>
      <c r="H1445" s="7" t="n">
        <v>1</v>
      </c>
      <c r="I1445" s="7" t="n">
        <v>235</v>
      </c>
      <c r="J1445" s="7" t="n">
        <v>0</v>
      </c>
      <c r="K1445" s="7" t="s">
        <v>103</v>
      </c>
      <c r="L1445" s="7" t="s">
        <v>194</v>
      </c>
      <c r="M1445" s="7" t="n">
        <v>40</v>
      </c>
      <c r="N1445" s="7" t="n">
        <v>4</v>
      </c>
      <c r="O1445" s="7" t="str">
        <f aca="false">A1445&amp;"|"&amp;B1445&amp;"|"&amp;C1445&amp;"|"&amp;D1445&amp;"|"&amp;E1445&amp;"|"&amp;F1445&amp;"|"&amp;G1445&amp;"|"&amp;H1445&amp;"|"&amp;I1445&amp;"|"&amp;J1445&amp;"|"&amp;K1445&amp;"|"&amp;L1445&amp;"|"&amp;M1445&amp;"|"&amp;N1445</f>
        <v>ORD11731|2025-08-15|19:57|C0512|Tandoor Tales|delhi|North Indian|1|235|0|Debit Card|Delivered|40|4</v>
      </c>
      <c r="P1445" s="7" t="str">
        <f aca="false">IF(COUNTIF($O$2:O1445,O1445)&gt;1,"DUP","OK")</f>
        <v>OK</v>
      </c>
      <c r="Q1445" s="7" t="n">
        <f aca="false">COUNTBLANK(A1445:N1445)</f>
        <v>0</v>
      </c>
      <c r="R1445" s="7" t="n">
        <f aca="false">IF(A1445="",0,COUNTIFS($A$2:$A$3058,A1445,$P$2:$P$3058,"OK"))</f>
        <v>1</v>
      </c>
      <c r="S1445" s="7" t="str">
        <f aca="false">IF(OR(A1445="",P1445="DUP",R1445&lt;2),"",IF(Q1445=_xlfn.MINIFS($Q$2:$Q$3058,$A$2:$A$3058,A1445,$P$2:$P$3058,"OK"),"KEEP","DROP"))</f>
        <v/>
      </c>
      <c r="T1445" s="9" t="n">
        <f aca="false">IF(A1445="",1,0)</f>
        <v>0</v>
      </c>
      <c r="U1445" s="9" t="n">
        <f aca="false">IF(D1445="",1,0)</f>
        <v>0</v>
      </c>
      <c r="V1445" s="9" t="n">
        <f aca="false">IF(E1445="",1,0)</f>
        <v>0</v>
      </c>
      <c r="W1445" s="9" t="n">
        <f aca="false">IF(OR(H1445&lt;1,H1445&gt;10),1,0)</f>
        <v>0</v>
      </c>
      <c r="X1445" s="9" t="n">
        <f aca="false">IF(OR(I1445&lt;=0,I1445&gt;1500),1,0)</f>
        <v>0</v>
      </c>
      <c r="Y1445" s="9" t="n">
        <f aca="false">IF(J1445&gt;H1445*I1445,1,0)</f>
        <v>0</v>
      </c>
      <c r="Z1445" s="9" t="n">
        <f aca="false">IF(AND(N1445&lt;&gt;"",OR(N1445&lt;1,N1445&gt;5)),1,0)</f>
        <v>0</v>
      </c>
      <c r="AA1445" s="9" t="n">
        <f aca="false">IF(AND(M1445&lt;&gt;"",OR(M1445&lt;5,M1445&gt;180)),1,0)</f>
        <v>0</v>
      </c>
      <c r="AB1445" s="7" t="str">
        <f aca="false">IF(P1445="DUP","Exact duplicate row",IF(T1445=1,"Missing Order ID",IF(S1445="DROP","Duplicate Order ID (less complete row)",IF(U1445=1,"Missing Customer ID",IF(V1445=1,"Missing Restaurant name",IF(W1445=1,"Invalid/outlier quantity",IF(X1445=1,"Invalid/outlier unit price",IF(Y1445=1,"Discount greater than order value",""))))))))</f>
        <v/>
      </c>
      <c r="AC1445" s="7" t="str">
        <f aca="false">IF(AB1445="","KEEP","DROP")</f>
        <v>KEEP</v>
      </c>
      <c r="AD1445" s="7" t="str">
        <f aca="false">IF(TRIM(F1445)="",IFERROR(INDEX(Map_Tables!$I$4:$I$37,MATCH(TRIM(E1445),Map_Tables!$G$4:$G$37,0)),""),IFERROR(INDEX(Map_Tables!$B$4:$B$18,MATCH(TRIM(F1445),Map_Tables!$A$4:$A$18,0)),"CHECK"))</f>
        <v>Delhi</v>
      </c>
      <c r="AE1445" s="7" t="str">
        <f aca="false">IF(TRIM(E1445)="","",IFERROR(INDEX(Map_Tables!$H$4:$H$37,MATCH(TRIM(E1445),Map_Tables!$G$4:$G$37,0)),"CHECK"))</f>
        <v>Tandoor Tales</v>
      </c>
      <c r="AF1445" s="7" t="str">
        <f aca="false">IF(TRIM(K1445)="","Unknown",IFERROR(INDEX(Map_Tables!$E$4:$E$15,MATCH(TRIM(K1445),Map_Tables!$D$4:$D$15,0)),"CHECK"))</f>
        <v>Debit Card</v>
      </c>
      <c r="AG1445" s="7" t="str">
        <f aca="false">IF(LEFT(LOWER(TRIM(L1445)),6)="cancel","Cancelled","Delivered")</f>
        <v>Delivered</v>
      </c>
      <c r="AH1445" s="10" t="n">
        <f aca="false">IF(ISNUMBER(SEARCH("/",B1445)),DATE(VALUE(RIGHT(B1445,4)),VALUE(MID(B1445,4,2)),VALUE(LEFT(B1445,2))),IF(MID(B1445,5,1)="-",DATE(VALUE(LEFT(B1445,4)),VALUE(MID(B1445,6,2)),VALUE(RIGHT(B1445,2))),DATE(VALUE(RIGHT(B1445,4)),MATCH(MID(B1445,4,3),{"Jan","Feb","Mar","Apr","May","Jun","Jul","Aug","Sep","Oct","Nov","Dec"},0),VALUE(LEFT(B1445,2)))))</f>
        <v>45884</v>
      </c>
    </row>
    <row r="1446" customFormat="false" ht="15" hidden="false" customHeight="false" outlineLevel="0" collapsed="false">
      <c r="A1446" s="7" t="s">
        <v>3846</v>
      </c>
      <c r="B1446" s="7" t="s">
        <v>835</v>
      </c>
      <c r="C1446" s="7" t="s">
        <v>3767</v>
      </c>
      <c r="D1446" s="7" t="s">
        <v>3847</v>
      </c>
      <c r="E1446" s="7" t="s">
        <v>138</v>
      </c>
      <c r="F1446" s="7" t="s">
        <v>110</v>
      </c>
      <c r="G1446" s="7" t="s">
        <v>139</v>
      </c>
      <c r="H1446" s="7" t="n">
        <v>1</v>
      </c>
      <c r="I1446" s="7" t="n">
        <v>200</v>
      </c>
      <c r="J1446" s="7" t="n">
        <v>0</v>
      </c>
      <c r="K1446" s="7" t="s">
        <v>421</v>
      </c>
      <c r="L1446" s="7" t="s">
        <v>194</v>
      </c>
      <c r="M1446" s="7" t="n">
        <v>18</v>
      </c>
      <c r="N1446" s="7" t="n">
        <v>5</v>
      </c>
      <c r="O1446" s="7" t="str">
        <f aca="false">A1446&amp;"|"&amp;B1446&amp;"|"&amp;C1446&amp;"|"&amp;D1446&amp;"|"&amp;E1446&amp;"|"&amp;F1446&amp;"|"&amp;G1446&amp;"|"&amp;H1446&amp;"|"&amp;I1446&amp;"|"&amp;J1446&amp;"|"&amp;K1446&amp;"|"&amp;L1446&amp;"|"&amp;M1446&amp;"|"&amp;N1446</f>
        <v>ORD12967|2025-12-28|15:23|C0979|Burger Barn|Delhi|Burgers|1|200|0|UPI |Delivered|18|5</v>
      </c>
      <c r="P1446" s="7" t="str">
        <f aca="false">IF(COUNTIF($O$2:O1446,O1446)&gt;1,"DUP","OK")</f>
        <v>OK</v>
      </c>
      <c r="Q1446" s="7" t="n">
        <f aca="false">COUNTBLANK(A1446:N1446)</f>
        <v>0</v>
      </c>
      <c r="R1446" s="7" t="n">
        <f aca="false">IF(A1446="",0,COUNTIFS($A$2:$A$3058,A1446,$P$2:$P$3058,"OK"))</f>
        <v>1</v>
      </c>
      <c r="S1446" s="7" t="str">
        <f aca="false">IF(OR(A1446="",P1446="DUP",R1446&lt;2),"",IF(Q1446=_xlfn.MINIFS($Q$2:$Q$3058,$A$2:$A$3058,A1446,$P$2:$P$3058,"OK"),"KEEP","DROP"))</f>
        <v/>
      </c>
      <c r="T1446" s="9" t="n">
        <f aca="false">IF(A1446="",1,0)</f>
        <v>0</v>
      </c>
      <c r="U1446" s="9" t="n">
        <f aca="false">IF(D1446="",1,0)</f>
        <v>0</v>
      </c>
      <c r="V1446" s="9" t="n">
        <f aca="false">IF(E1446="",1,0)</f>
        <v>0</v>
      </c>
      <c r="W1446" s="9" t="n">
        <f aca="false">IF(OR(H1446&lt;1,H1446&gt;10),1,0)</f>
        <v>0</v>
      </c>
      <c r="X1446" s="9" t="n">
        <f aca="false">IF(OR(I1446&lt;=0,I1446&gt;1500),1,0)</f>
        <v>0</v>
      </c>
      <c r="Y1446" s="9" t="n">
        <f aca="false">IF(J1446&gt;H1446*I1446,1,0)</f>
        <v>0</v>
      </c>
      <c r="Z1446" s="9" t="n">
        <f aca="false">IF(AND(N1446&lt;&gt;"",OR(N1446&lt;1,N1446&gt;5)),1,0)</f>
        <v>0</v>
      </c>
      <c r="AA1446" s="9" t="n">
        <f aca="false">IF(AND(M1446&lt;&gt;"",OR(M1446&lt;5,M1446&gt;180)),1,0)</f>
        <v>0</v>
      </c>
      <c r="AB1446" s="7" t="str">
        <f aca="false">IF(P1446="DUP","Exact duplicate row",IF(T1446=1,"Missing Order ID",IF(S1446="DROP","Duplicate Order ID (less complete row)",IF(U1446=1,"Missing Customer ID",IF(V1446=1,"Missing Restaurant name",IF(W1446=1,"Invalid/outlier quantity",IF(X1446=1,"Invalid/outlier unit price",IF(Y1446=1,"Discount greater than order value",""))))))))</f>
        <v/>
      </c>
      <c r="AC1446" s="7" t="str">
        <f aca="false">IF(AB1446="","KEEP","DROP")</f>
        <v>KEEP</v>
      </c>
      <c r="AD1446" s="7" t="str">
        <f aca="false">IF(TRIM(F1446)="",IFERROR(INDEX(Map_Tables!$I$4:$I$37,MATCH(TRIM(E1446),Map_Tables!$G$4:$G$37,0)),""),IFERROR(INDEX(Map_Tables!$B$4:$B$18,MATCH(TRIM(F1446),Map_Tables!$A$4:$A$18,0)),"CHECK"))</f>
        <v>Delhi</v>
      </c>
      <c r="AE1446" s="7" t="str">
        <f aca="false">IF(TRIM(E1446)="","",IFERROR(INDEX(Map_Tables!$H$4:$H$37,MATCH(TRIM(E1446),Map_Tables!$G$4:$G$37,0)),"CHECK"))</f>
        <v>Burger Barn</v>
      </c>
      <c r="AF1446" s="7" t="str">
        <f aca="false">IF(TRIM(K1446)="","Unknown",IFERROR(INDEX(Map_Tables!$E$4:$E$15,MATCH(TRIM(K1446),Map_Tables!$D$4:$D$15,0)),"CHECK"))</f>
        <v>UPI</v>
      </c>
      <c r="AG1446" s="7" t="str">
        <f aca="false">IF(LEFT(LOWER(TRIM(L1446)),6)="cancel","Cancelled","Delivered")</f>
        <v>Delivered</v>
      </c>
      <c r="AH1446" s="10" t="n">
        <f aca="false">IF(ISNUMBER(SEARCH("/",B1446)),DATE(VALUE(RIGHT(B1446,4)),VALUE(MID(B1446,4,2)),VALUE(LEFT(B1446,2))),IF(MID(B1446,5,1)="-",DATE(VALUE(LEFT(B1446,4)),VALUE(MID(B1446,6,2)),VALUE(RIGHT(B1446,2))),DATE(VALUE(RIGHT(B1446,4)),MATCH(MID(B1446,4,3),{"Jan","Feb","Mar","Apr","May","Jun","Jul","Aug","Sep","Oct","Nov","Dec"},0),VALUE(LEFT(B1446,2)))))</f>
        <v>46019</v>
      </c>
    </row>
    <row r="1447" customFormat="false" ht="15" hidden="false" customHeight="false" outlineLevel="0" collapsed="false">
      <c r="A1447" s="7" t="s">
        <v>3848</v>
      </c>
      <c r="B1447" s="7" t="s">
        <v>1938</v>
      </c>
      <c r="C1447" s="7" t="s">
        <v>1211</v>
      </c>
      <c r="D1447" s="7" t="s">
        <v>2651</v>
      </c>
      <c r="E1447" s="7" t="s">
        <v>89</v>
      </c>
      <c r="F1447" s="7" t="s">
        <v>85</v>
      </c>
      <c r="G1447" s="7" t="s">
        <v>90</v>
      </c>
      <c r="H1447" s="7" t="n">
        <v>2</v>
      </c>
      <c r="I1447" s="7" t="n">
        <v>235</v>
      </c>
      <c r="J1447" s="7" t="n">
        <v>30</v>
      </c>
      <c r="K1447" s="7" t="s">
        <v>103</v>
      </c>
      <c r="L1447" s="7" t="s">
        <v>194</v>
      </c>
      <c r="M1447" s="7" t="n">
        <v>38</v>
      </c>
      <c r="N1447" s="7"/>
      <c r="O1447" s="7" t="str">
        <f aca="false">A1447&amp;"|"&amp;B1447&amp;"|"&amp;C1447&amp;"|"&amp;D1447&amp;"|"&amp;E1447&amp;"|"&amp;F1447&amp;"|"&amp;G1447&amp;"|"&amp;H1447&amp;"|"&amp;I1447&amp;"|"&amp;J1447&amp;"|"&amp;K1447&amp;"|"&amp;L1447&amp;"|"&amp;M1447&amp;"|"&amp;N1447</f>
        <v>ORD10658|2025-03-24|20:42|C0402|Spice Junction|bangalore|North Indian|2|235|30|Debit Card|Delivered|38|</v>
      </c>
      <c r="P1447" s="7" t="str">
        <f aca="false">IF(COUNTIF($O$2:O1447,O1447)&gt;1,"DUP","OK")</f>
        <v>OK</v>
      </c>
      <c r="Q1447" s="7" t="n">
        <f aca="false">COUNTBLANK(A1447:N1447)</f>
        <v>1</v>
      </c>
      <c r="R1447" s="7" t="n">
        <f aca="false">IF(A1447="",0,COUNTIFS($A$2:$A$3058,A1447,$P$2:$P$3058,"OK"))</f>
        <v>1</v>
      </c>
      <c r="S1447" s="7" t="str">
        <f aca="false">IF(OR(A1447="",P1447="DUP",R1447&lt;2),"",IF(Q1447=_xlfn.MINIFS($Q$2:$Q$3058,$A$2:$A$3058,A1447,$P$2:$P$3058,"OK"),"KEEP","DROP"))</f>
        <v/>
      </c>
      <c r="T1447" s="9" t="n">
        <f aca="false">IF(A1447="",1,0)</f>
        <v>0</v>
      </c>
      <c r="U1447" s="9" t="n">
        <f aca="false">IF(D1447="",1,0)</f>
        <v>0</v>
      </c>
      <c r="V1447" s="9" t="n">
        <f aca="false">IF(E1447="",1,0)</f>
        <v>0</v>
      </c>
      <c r="W1447" s="9" t="n">
        <f aca="false">IF(OR(H1447&lt;1,H1447&gt;10),1,0)</f>
        <v>0</v>
      </c>
      <c r="X1447" s="9" t="n">
        <f aca="false">IF(OR(I1447&lt;=0,I1447&gt;1500),1,0)</f>
        <v>0</v>
      </c>
      <c r="Y1447" s="9" t="n">
        <f aca="false">IF(J1447&gt;H1447*I1447,1,0)</f>
        <v>0</v>
      </c>
      <c r="Z1447" s="9" t="n">
        <f aca="false">IF(AND(N1447&lt;&gt;"",OR(N1447&lt;1,N1447&gt;5)),1,0)</f>
        <v>0</v>
      </c>
      <c r="AA1447" s="9" t="n">
        <f aca="false">IF(AND(M1447&lt;&gt;"",OR(M1447&lt;5,M1447&gt;180)),1,0)</f>
        <v>0</v>
      </c>
      <c r="AB1447" s="7" t="str">
        <f aca="false">IF(P1447="DUP","Exact duplicate row",IF(T1447=1,"Missing Order ID",IF(S1447="DROP","Duplicate Order ID (less complete row)",IF(U1447=1,"Missing Customer ID",IF(V1447=1,"Missing Restaurant name",IF(W1447=1,"Invalid/outlier quantity",IF(X1447=1,"Invalid/outlier unit price",IF(Y1447=1,"Discount greater than order value",""))))))))</f>
        <v/>
      </c>
      <c r="AC1447" s="7" t="str">
        <f aca="false">IF(AB1447="","KEEP","DROP")</f>
        <v>KEEP</v>
      </c>
      <c r="AD1447" s="7" t="str">
        <f aca="false">IF(TRIM(F1447)="",IFERROR(INDEX(Map_Tables!$I$4:$I$37,MATCH(TRIM(E1447),Map_Tables!$G$4:$G$37,0)),""),IFERROR(INDEX(Map_Tables!$B$4:$B$18,MATCH(TRIM(F1447),Map_Tables!$A$4:$A$18,0)),"CHECK"))</f>
        <v>Bengaluru</v>
      </c>
      <c r="AE1447" s="7" t="str">
        <f aca="false">IF(TRIM(E1447)="","",IFERROR(INDEX(Map_Tables!$H$4:$H$37,MATCH(TRIM(E1447),Map_Tables!$G$4:$G$37,0)),"CHECK"))</f>
        <v>Spice Junction</v>
      </c>
      <c r="AF1447" s="7" t="str">
        <f aca="false">IF(TRIM(K1447)="","Unknown",IFERROR(INDEX(Map_Tables!$E$4:$E$15,MATCH(TRIM(K1447),Map_Tables!$D$4:$D$15,0)),"CHECK"))</f>
        <v>Debit Card</v>
      </c>
      <c r="AG1447" s="7" t="str">
        <f aca="false">IF(LEFT(LOWER(TRIM(L1447)),6)="cancel","Cancelled","Delivered")</f>
        <v>Delivered</v>
      </c>
      <c r="AH1447" s="10" t="n">
        <f aca="false">IF(ISNUMBER(SEARCH("/",B1447)),DATE(VALUE(RIGHT(B1447,4)),VALUE(MID(B1447,4,2)),VALUE(LEFT(B1447,2))),IF(MID(B1447,5,1)="-",DATE(VALUE(LEFT(B1447,4)),VALUE(MID(B1447,6,2)),VALUE(RIGHT(B1447,2))),DATE(VALUE(RIGHT(B1447,4)),MATCH(MID(B1447,4,3),{"Jan","Feb","Mar","Apr","May","Jun","Jul","Aug","Sep","Oct","Nov","Dec"},0),VALUE(LEFT(B1447,2)))))</f>
        <v>45740</v>
      </c>
    </row>
    <row r="1448" customFormat="false" ht="15" hidden="false" customHeight="false" outlineLevel="0" collapsed="false">
      <c r="A1448" s="7" t="s">
        <v>3849</v>
      </c>
      <c r="B1448" s="7" t="s">
        <v>2492</v>
      </c>
      <c r="C1448" s="7" t="s">
        <v>3029</v>
      </c>
      <c r="D1448" s="7" t="s">
        <v>1115</v>
      </c>
      <c r="E1448" s="7" t="s">
        <v>122</v>
      </c>
      <c r="F1448" s="7" t="s">
        <v>101</v>
      </c>
      <c r="G1448" s="7" t="s">
        <v>123</v>
      </c>
      <c r="H1448" s="7" t="n">
        <v>1</v>
      </c>
      <c r="I1448" s="7" t="n">
        <v>375</v>
      </c>
      <c r="J1448" s="7" t="n">
        <v>0</v>
      </c>
      <c r="K1448" s="7" t="s">
        <v>103</v>
      </c>
      <c r="L1448" s="7" t="s">
        <v>194</v>
      </c>
      <c r="M1448" s="7" t="n">
        <v>35</v>
      </c>
      <c r="N1448" s="7" t="n">
        <v>3</v>
      </c>
      <c r="O1448" s="7" t="str">
        <f aca="false">A1448&amp;"|"&amp;B1448&amp;"|"&amp;C1448&amp;"|"&amp;D1448&amp;"|"&amp;E1448&amp;"|"&amp;F1448&amp;"|"&amp;G1448&amp;"|"&amp;H1448&amp;"|"&amp;I1448&amp;"|"&amp;J1448&amp;"|"&amp;K1448&amp;"|"&amp;L1448&amp;"|"&amp;M1448&amp;"|"&amp;N1448</f>
        <v>ORD11247|2025-06-08|18:07|C0935|Mumbai Pizza Co|Mumbai|Pizza|1|375|0|Debit Card|Delivered|35|3</v>
      </c>
      <c r="P1448" s="7" t="str">
        <f aca="false">IF(COUNTIF($O$2:O1448,O1448)&gt;1,"DUP","OK")</f>
        <v>OK</v>
      </c>
      <c r="Q1448" s="7" t="n">
        <f aca="false">COUNTBLANK(A1448:N1448)</f>
        <v>0</v>
      </c>
      <c r="R1448" s="7" t="n">
        <f aca="false">IF(A1448="",0,COUNTIFS($A$2:$A$3058,A1448,$P$2:$P$3058,"OK"))</f>
        <v>1</v>
      </c>
      <c r="S1448" s="7" t="str">
        <f aca="false">IF(OR(A1448="",P1448="DUP",R1448&lt;2),"",IF(Q1448=_xlfn.MINIFS($Q$2:$Q$3058,$A$2:$A$3058,A1448,$P$2:$P$3058,"OK"),"KEEP","DROP"))</f>
        <v/>
      </c>
      <c r="T1448" s="9" t="n">
        <f aca="false">IF(A1448="",1,0)</f>
        <v>0</v>
      </c>
      <c r="U1448" s="9" t="n">
        <f aca="false">IF(D1448="",1,0)</f>
        <v>0</v>
      </c>
      <c r="V1448" s="9" t="n">
        <f aca="false">IF(E1448="",1,0)</f>
        <v>0</v>
      </c>
      <c r="W1448" s="9" t="n">
        <f aca="false">IF(OR(H1448&lt;1,H1448&gt;10),1,0)</f>
        <v>0</v>
      </c>
      <c r="X1448" s="9" t="n">
        <f aca="false">IF(OR(I1448&lt;=0,I1448&gt;1500),1,0)</f>
        <v>0</v>
      </c>
      <c r="Y1448" s="9" t="n">
        <f aca="false">IF(J1448&gt;H1448*I1448,1,0)</f>
        <v>0</v>
      </c>
      <c r="Z1448" s="9" t="n">
        <f aca="false">IF(AND(N1448&lt;&gt;"",OR(N1448&lt;1,N1448&gt;5)),1,0)</f>
        <v>0</v>
      </c>
      <c r="AA1448" s="9" t="n">
        <f aca="false">IF(AND(M1448&lt;&gt;"",OR(M1448&lt;5,M1448&gt;180)),1,0)</f>
        <v>0</v>
      </c>
      <c r="AB1448" s="7" t="str">
        <f aca="false">IF(P1448="DUP","Exact duplicate row",IF(T1448=1,"Missing Order ID",IF(S1448="DROP","Duplicate Order ID (less complete row)",IF(U1448=1,"Missing Customer ID",IF(V1448=1,"Missing Restaurant name",IF(W1448=1,"Invalid/outlier quantity",IF(X1448=1,"Invalid/outlier unit price",IF(Y1448=1,"Discount greater than order value",""))))))))</f>
        <v/>
      </c>
      <c r="AC1448" s="7" t="str">
        <f aca="false">IF(AB1448="","KEEP","DROP")</f>
        <v>KEEP</v>
      </c>
      <c r="AD1448" s="7" t="str">
        <f aca="false">IF(TRIM(F1448)="",IFERROR(INDEX(Map_Tables!$I$4:$I$37,MATCH(TRIM(E1448),Map_Tables!$G$4:$G$37,0)),""),IFERROR(INDEX(Map_Tables!$B$4:$B$18,MATCH(TRIM(F1448),Map_Tables!$A$4:$A$18,0)),"CHECK"))</f>
        <v>Mumbai</v>
      </c>
      <c r="AE1448" s="7" t="str">
        <f aca="false">IF(TRIM(E1448)="","",IFERROR(INDEX(Map_Tables!$H$4:$H$37,MATCH(TRIM(E1448),Map_Tables!$G$4:$G$37,0)),"CHECK"))</f>
        <v>Mumbai Pizza Co</v>
      </c>
      <c r="AF1448" s="7" t="str">
        <f aca="false">IF(TRIM(K1448)="","Unknown",IFERROR(INDEX(Map_Tables!$E$4:$E$15,MATCH(TRIM(K1448),Map_Tables!$D$4:$D$15,0)),"CHECK"))</f>
        <v>Debit Card</v>
      </c>
      <c r="AG1448" s="7" t="str">
        <f aca="false">IF(LEFT(LOWER(TRIM(L1448)),6)="cancel","Cancelled","Delivered")</f>
        <v>Delivered</v>
      </c>
      <c r="AH1448" s="10" t="n">
        <f aca="false">IF(ISNUMBER(SEARCH("/",B1448)),DATE(VALUE(RIGHT(B1448,4)),VALUE(MID(B1448,4,2)),VALUE(LEFT(B1448,2))),IF(MID(B1448,5,1)="-",DATE(VALUE(LEFT(B1448,4)),VALUE(MID(B1448,6,2)),VALUE(RIGHT(B1448,2))),DATE(VALUE(RIGHT(B1448,4)),MATCH(MID(B1448,4,3),{"Jan","Feb","Mar","Apr","May","Jun","Jul","Aug","Sep","Oct","Nov","Dec"},0),VALUE(LEFT(B1448,2)))))</f>
        <v>45816</v>
      </c>
    </row>
    <row r="1449" customFormat="false" ht="15" hidden="false" customHeight="false" outlineLevel="0" collapsed="false">
      <c r="A1449" s="7" t="s">
        <v>3850</v>
      </c>
      <c r="B1449" s="7" t="s">
        <v>3851</v>
      </c>
      <c r="C1449" s="7" t="s">
        <v>3852</v>
      </c>
      <c r="D1449" s="7" t="s">
        <v>2134</v>
      </c>
      <c r="E1449" s="7" t="s">
        <v>98</v>
      </c>
      <c r="F1449" s="7" t="s">
        <v>86</v>
      </c>
      <c r="G1449" s="7" t="s">
        <v>99</v>
      </c>
      <c r="H1449" s="7" t="n">
        <v>1</v>
      </c>
      <c r="I1449" s="7" t="n">
        <v>340</v>
      </c>
      <c r="J1449" s="7" t="n">
        <v>40</v>
      </c>
      <c r="K1449" s="7" t="s">
        <v>121</v>
      </c>
      <c r="L1449" s="7" t="s">
        <v>194</v>
      </c>
      <c r="M1449" s="7" t="n">
        <v>27</v>
      </c>
      <c r="N1449" s="7" t="n">
        <v>5</v>
      </c>
      <c r="O1449" s="7" t="str">
        <f aca="false">A1449&amp;"|"&amp;B1449&amp;"|"&amp;C1449&amp;"|"&amp;D1449&amp;"|"&amp;E1449&amp;"|"&amp;F1449&amp;"|"&amp;G1449&amp;"|"&amp;H1449&amp;"|"&amp;I1449&amp;"|"&amp;J1449&amp;"|"&amp;K1449&amp;"|"&amp;L1449&amp;"|"&amp;M1449&amp;"|"&amp;N1449</f>
        <v>ORD12806|09-Dec-2025|15:43|C1016|Nawabi Biryani House|Bengaluru|Biryani|1|340|40|Wallet|Delivered|27|5</v>
      </c>
      <c r="P1449" s="7" t="str">
        <f aca="false">IF(COUNTIF($O$2:O1449,O1449)&gt;1,"DUP","OK")</f>
        <v>OK</v>
      </c>
      <c r="Q1449" s="7" t="n">
        <f aca="false">COUNTBLANK(A1449:N1449)</f>
        <v>0</v>
      </c>
      <c r="R1449" s="7" t="n">
        <f aca="false">IF(A1449="",0,COUNTIFS($A$2:$A$3058,A1449,$P$2:$P$3058,"OK"))</f>
        <v>1</v>
      </c>
      <c r="S1449" s="7" t="str">
        <f aca="false">IF(OR(A1449="",P1449="DUP",R1449&lt;2),"",IF(Q1449=_xlfn.MINIFS($Q$2:$Q$3058,$A$2:$A$3058,A1449,$P$2:$P$3058,"OK"),"KEEP","DROP"))</f>
        <v/>
      </c>
      <c r="T1449" s="9" t="n">
        <f aca="false">IF(A1449="",1,0)</f>
        <v>0</v>
      </c>
      <c r="U1449" s="9" t="n">
        <f aca="false">IF(D1449="",1,0)</f>
        <v>0</v>
      </c>
      <c r="V1449" s="9" t="n">
        <f aca="false">IF(E1449="",1,0)</f>
        <v>0</v>
      </c>
      <c r="W1449" s="9" t="n">
        <f aca="false">IF(OR(H1449&lt;1,H1449&gt;10),1,0)</f>
        <v>0</v>
      </c>
      <c r="X1449" s="9" t="n">
        <f aca="false">IF(OR(I1449&lt;=0,I1449&gt;1500),1,0)</f>
        <v>0</v>
      </c>
      <c r="Y1449" s="9" t="n">
        <f aca="false">IF(J1449&gt;H1449*I1449,1,0)</f>
        <v>0</v>
      </c>
      <c r="Z1449" s="9" t="n">
        <f aca="false">IF(AND(N1449&lt;&gt;"",OR(N1449&lt;1,N1449&gt;5)),1,0)</f>
        <v>0</v>
      </c>
      <c r="AA1449" s="9" t="n">
        <f aca="false">IF(AND(M1449&lt;&gt;"",OR(M1449&lt;5,M1449&gt;180)),1,0)</f>
        <v>0</v>
      </c>
      <c r="AB1449" s="7" t="str">
        <f aca="false">IF(P1449="DUP","Exact duplicate row",IF(T1449=1,"Missing Order ID",IF(S1449="DROP","Duplicate Order ID (less complete row)",IF(U1449=1,"Missing Customer ID",IF(V1449=1,"Missing Restaurant name",IF(W1449=1,"Invalid/outlier quantity",IF(X1449=1,"Invalid/outlier unit price",IF(Y1449=1,"Discount greater than order value",""))))))))</f>
        <v/>
      </c>
      <c r="AC1449" s="7" t="str">
        <f aca="false">IF(AB1449="","KEEP","DROP")</f>
        <v>KEEP</v>
      </c>
      <c r="AD1449" s="7" t="str">
        <f aca="false">IF(TRIM(F1449)="",IFERROR(INDEX(Map_Tables!$I$4:$I$37,MATCH(TRIM(E1449),Map_Tables!$G$4:$G$37,0)),""),IFERROR(INDEX(Map_Tables!$B$4:$B$18,MATCH(TRIM(F1449),Map_Tables!$A$4:$A$18,0)),"CHECK"))</f>
        <v>Bengaluru</v>
      </c>
      <c r="AE1449" s="7" t="str">
        <f aca="false">IF(TRIM(E1449)="","",IFERROR(INDEX(Map_Tables!$H$4:$H$37,MATCH(TRIM(E1449),Map_Tables!$G$4:$G$37,0)),"CHECK"))</f>
        <v>Nawabi Biryani House</v>
      </c>
      <c r="AF1449" s="7" t="str">
        <f aca="false">IF(TRIM(K1449)="","Unknown",IFERROR(INDEX(Map_Tables!$E$4:$E$15,MATCH(TRIM(K1449),Map_Tables!$D$4:$D$15,0)),"CHECK"))</f>
        <v>Wallet</v>
      </c>
      <c r="AG1449" s="7" t="str">
        <f aca="false">IF(LEFT(LOWER(TRIM(L1449)),6)="cancel","Cancelled","Delivered")</f>
        <v>Delivered</v>
      </c>
      <c r="AH1449" s="10" t="n">
        <f aca="false">IF(ISNUMBER(SEARCH("/",B1449)),DATE(VALUE(RIGHT(B1449,4)),VALUE(MID(B1449,4,2)),VALUE(LEFT(B1449,2))),IF(MID(B1449,5,1)="-",DATE(VALUE(LEFT(B1449,4)),VALUE(MID(B1449,6,2)),VALUE(RIGHT(B1449,2))),DATE(VALUE(RIGHT(B1449,4)),MATCH(MID(B1449,4,3),{"Jan","Feb","Mar","Apr","May","Jun","Jul","Aug","Sep","Oct","Nov","Dec"},0),VALUE(LEFT(B1449,2)))))</f>
        <v>46000</v>
      </c>
    </row>
    <row r="1450" customFormat="false" ht="15" hidden="false" customHeight="false" outlineLevel="0" collapsed="false">
      <c r="A1450" s="7" t="s">
        <v>3853</v>
      </c>
      <c r="B1450" s="7" t="s">
        <v>2026</v>
      </c>
      <c r="C1450" s="7" t="s">
        <v>284</v>
      </c>
      <c r="D1450" s="7" t="s">
        <v>2951</v>
      </c>
      <c r="E1450" s="7" t="s">
        <v>148</v>
      </c>
      <c r="F1450" s="7" t="s">
        <v>119</v>
      </c>
      <c r="G1450" s="7" t="s">
        <v>123</v>
      </c>
      <c r="H1450" s="7" t="n">
        <v>1</v>
      </c>
      <c r="I1450" s="7" t="n">
        <v>330</v>
      </c>
      <c r="J1450" s="7" t="n">
        <v>30</v>
      </c>
      <c r="K1450" s="7" t="s">
        <v>88</v>
      </c>
      <c r="L1450" s="7" t="s">
        <v>1265</v>
      </c>
      <c r="M1450" s="7" t="n">
        <v>32</v>
      </c>
      <c r="N1450" s="7" t="n">
        <v>3</v>
      </c>
      <c r="O1450" s="7" t="str">
        <f aca="false">A1450&amp;"|"&amp;B1450&amp;"|"&amp;C1450&amp;"|"&amp;D1450&amp;"|"&amp;E1450&amp;"|"&amp;F1450&amp;"|"&amp;G1450&amp;"|"&amp;H1450&amp;"|"&amp;I1450&amp;"|"&amp;J1450&amp;"|"&amp;K1450&amp;"|"&amp;L1450&amp;"|"&amp;M1450&amp;"|"&amp;N1450</f>
        <v>ORD12695|2025-11-28|11:51|C0596|Pizza Palace|Hyderabad|Pizza|1|330|30|UPI|delivered|32|3</v>
      </c>
      <c r="P1450" s="7" t="str">
        <f aca="false">IF(COUNTIF($O$2:O1450,O1450)&gt;1,"DUP","OK")</f>
        <v>OK</v>
      </c>
      <c r="Q1450" s="7" t="n">
        <f aca="false">COUNTBLANK(A1450:N1450)</f>
        <v>0</v>
      </c>
      <c r="R1450" s="7" t="n">
        <f aca="false">IF(A1450="",0,COUNTIFS($A$2:$A$3058,A1450,$P$2:$P$3058,"OK"))</f>
        <v>1</v>
      </c>
      <c r="S1450" s="7" t="str">
        <f aca="false">IF(OR(A1450="",P1450="DUP",R1450&lt;2),"",IF(Q1450=_xlfn.MINIFS($Q$2:$Q$3058,$A$2:$A$3058,A1450,$P$2:$P$3058,"OK"),"KEEP","DROP"))</f>
        <v/>
      </c>
      <c r="T1450" s="9" t="n">
        <f aca="false">IF(A1450="",1,0)</f>
        <v>0</v>
      </c>
      <c r="U1450" s="9" t="n">
        <f aca="false">IF(D1450="",1,0)</f>
        <v>0</v>
      </c>
      <c r="V1450" s="9" t="n">
        <f aca="false">IF(E1450="",1,0)</f>
        <v>0</v>
      </c>
      <c r="W1450" s="9" t="n">
        <f aca="false">IF(OR(H1450&lt;1,H1450&gt;10),1,0)</f>
        <v>0</v>
      </c>
      <c r="X1450" s="9" t="n">
        <f aca="false">IF(OR(I1450&lt;=0,I1450&gt;1500),1,0)</f>
        <v>0</v>
      </c>
      <c r="Y1450" s="9" t="n">
        <f aca="false">IF(J1450&gt;H1450*I1450,1,0)</f>
        <v>0</v>
      </c>
      <c r="Z1450" s="9" t="n">
        <f aca="false">IF(AND(N1450&lt;&gt;"",OR(N1450&lt;1,N1450&gt;5)),1,0)</f>
        <v>0</v>
      </c>
      <c r="AA1450" s="9" t="n">
        <f aca="false">IF(AND(M1450&lt;&gt;"",OR(M1450&lt;5,M1450&gt;180)),1,0)</f>
        <v>0</v>
      </c>
      <c r="AB1450" s="7" t="str">
        <f aca="false">IF(P1450="DUP","Exact duplicate row",IF(T1450=1,"Missing Order ID",IF(S1450="DROP","Duplicate Order ID (less complete row)",IF(U1450=1,"Missing Customer ID",IF(V1450=1,"Missing Restaurant name",IF(W1450=1,"Invalid/outlier quantity",IF(X1450=1,"Invalid/outlier unit price",IF(Y1450=1,"Discount greater than order value",""))))))))</f>
        <v/>
      </c>
      <c r="AC1450" s="7" t="str">
        <f aca="false">IF(AB1450="","KEEP","DROP")</f>
        <v>KEEP</v>
      </c>
      <c r="AD1450" s="7" t="str">
        <f aca="false">IF(TRIM(F1450)="",IFERROR(INDEX(Map_Tables!$I$4:$I$37,MATCH(TRIM(E1450),Map_Tables!$G$4:$G$37,0)),""),IFERROR(INDEX(Map_Tables!$B$4:$B$18,MATCH(TRIM(F1450),Map_Tables!$A$4:$A$18,0)),"CHECK"))</f>
        <v>Hyderabad</v>
      </c>
      <c r="AE1450" s="7" t="str">
        <f aca="false">IF(TRIM(E1450)="","",IFERROR(INDEX(Map_Tables!$H$4:$H$37,MATCH(TRIM(E1450),Map_Tables!$G$4:$G$37,0)),"CHECK"))</f>
        <v>Pizza Palace</v>
      </c>
      <c r="AF1450" s="7" t="str">
        <f aca="false">IF(TRIM(K1450)="","Unknown",IFERROR(INDEX(Map_Tables!$E$4:$E$15,MATCH(TRIM(K1450),Map_Tables!$D$4:$D$15,0)),"CHECK"))</f>
        <v>UPI</v>
      </c>
      <c r="AG1450" s="7" t="str">
        <f aca="false">IF(LEFT(LOWER(TRIM(L1450)),6)="cancel","Cancelled","Delivered")</f>
        <v>Delivered</v>
      </c>
      <c r="AH1450" s="10" t="n">
        <f aca="false">IF(ISNUMBER(SEARCH("/",B1450)),DATE(VALUE(RIGHT(B1450,4)),VALUE(MID(B1450,4,2)),VALUE(LEFT(B1450,2))),IF(MID(B1450,5,1)="-",DATE(VALUE(LEFT(B1450,4)),VALUE(MID(B1450,6,2)),VALUE(RIGHT(B1450,2))),DATE(VALUE(RIGHT(B1450,4)),MATCH(MID(B1450,4,3),{"Jan","Feb","Mar","Apr","May","Jun","Jul","Aug","Sep","Oct","Nov","Dec"},0),VALUE(LEFT(B1450,2)))))</f>
        <v>45989</v>
      </c>
    </row>
    <row r="1451" customFormat="false" ht="15" hidden="false" customHeight="false" outlineLevel="0" collapsed="false">
      <c r="A1451" s="7" t="s">
        <v>3854</v>
      </c>
      <c r="B1451" s="7" t="s">
        <v>3294</v>
      </c>
      <c r="C1451" s="7" t="s">
        <v>1325</v>
      </c>
      <c r="D1451" s="7" t="s">
        <v>1729</v>
      </c>
      <c r="E1451" s="7" t="s">
        <v>158</v>
      </c>
      <c r="F1451" s="7" t="s">
        <v>136</v>
      </c>
      <c r="G1451" s="7" t="s">
        <v>139</v>
      </c>
      <c r="H1451" s="7" t="n">
        <v>4</v>
      </c>
      <c r="I1451" s="7" t="n">
        <v>195</v>
      </c>
      <c r="J1451" s="7" t="n">
        <v>125</v>
      </c>
      <c r="K1451" s="7" t="s">
        <v>92</v>
      </c>
      <c r="L1451" s="7" t="s">
        <v>194</v>
      </c>
      <c r="M1451" s="7" t="n">
        <v>30</v>
      </c>
      <c r="N1451" s="7" t="n">
        <v>3</v>
      </c>
      <c r="O1451" s="7" t="str">
        <f aca="false">A1451&amp;"|"&amp;B1451&amp;"|"&amp;C1451&amp;"|"&amp;D1451&amp;"|"&amp;E1451&amp;"|"&amp;F1451&amp;"|"&amp;G1451&amp;"|"&amp;H1451&amp;"|"&amp;I1451&amp;"|"&amp;J1451&amp;"|"&amp;K1451&amp;"|"&amp;L1451&amp;"|"&amp;M1451&amp;"|"&amp;N1451</f>
        <v>ORD11927|2025-09-07|16:26|C0435|Pune Burger Hub|Pune|Burgers|4|195|125|credit card|Delivered|30|3</v>
      </c>
      <c r="P1451" s="7" t="str">
        <f aca="false">IF(COUNTIF($O$2:O1451,O1451)&gt;1,"DUP","OK")</f>
        <v>OK</v>
      </c>
      <c r="Q1451" s="7" t="n">
        <f aca="false">COUNTBLANK(A1451:N1451)</f>
        <v>0</v>
      </c>
      <c r="R1451" s="7" t="n">
        <f aca="false">IF(A1451="",0,COUNTIFS($A$2:$A$3058,A1451,$P$2:$P$3058,"OK"))</f>
        <v>1</v>
      </c>
      <c r="S1451" s="7" t="str">
        <f aca="false">IF(OR(A1451="",P1451="DUP",R1451&lt;2),"",IF(Q1451=_xlfn.MINIFS($Q$2:$Q$3058,$A$2:$A$3058,A1451,$P$2:$P$3058,"OK"),"KEEP","DROP"))</f>
        <v/>
      </c>
      <c r="T1451" s="9" t="n">
        <f aca="false">IF(A1451="",1,0)</f>
        <v>0</v>
      </c>
      <c r="U1451" s="9" t="n">
        <f aca="false">IF(D1451="",1,0)</f>
        <v>0</v>
      </c>
      <c r="V1451" s="9" t="n">
        <f aca="false">IF(E1451="",1,0)</f>
        <v>0</v>
      </c>
      <c r="W1451" s="9" t="n">
        <f aca="false">IF(OR(H1451&lt;1,H1451&gt;10),1,0)</f>
        <v>0</v>
      </c>
      <c r="X1451" s="9" t="n">
        <f aca="false">IF(OR(I1451&lt;=0,I1451&gt;1500),1,0)</f>
        <v>0</v>
      </c>
      <c r="Y1451" s="9" t="n">
        <f aca="false">IF(J1451&gt;H1451*I1451,1,0)</f>
        <v>0</v>
      </c>
      <c r="Z1451" s="9" t="n">
        <f aca="false">IF(AND(N1451&lt;&gt;"",OR(N1451&lt;1,N1451&gt;5)),1,0)</f>
        <v>0</v>
      </c>
      <c r="AA1451" s="9" t="n">
        <f aca="false">IF(AND(M1451&lt;&gt;"",OR(M1451&lt;5,M1451&gt;180)),1,0)</f>
        <v>0</v>
      </c>
      <c r="AB1451" s="7" t="str">
        <f aca="false">IF(P1451="DUP","Exact duplicate row",IF(T1451=1,"Missing Order ID",IF(S1451="DROP","Duplicate Order ID (less complete row)",IF(U1451=1,"Missing Customer ID",IF(V1451=1,"Missing Restaurant name",IF(W1451=1,"Invalid/outlier quantity",IF(X1451=1,"Invalid/outlier unit price",IF(Y1451=1,"Discount greater than order value",""))))))))</f>
        <v/>
      </c>
      <c r="AC1451" s="7" t="str">
        <f aca="false">IF(AB1451="","KEEP","DROP")</f>
        <v>KEEP</v>
      </c>
      <c r="AD1451" s="7" t="str">
        <f aca="false">IF(TRIM(F1451)="",IFERROR(INDEX(Map_Tables!$I$4:$I$37,MATCH(TRIM(E1451),Map_Tables!$G$4:$G$37,0)),""),IFERROR(INDEX(Map_Tables!$B$4:$B$18,MATCH(TRIM(F1451),Map_Tables!$A$4:$A$18,0)),"CHECK"))</f>
        <v>Pune</v>
      </c>
      <c r="AE1451" s="7" t="str">
        <f aca="false">IF(TRIM(E1451)="","",IFERROR(INDEX(Map_Tables!$H$4:$H$37,MATCH(TRIM(E1451),Map_Tables!$G$4:$G$37,0)),"CHECK"))</f>
        <v>Pune Burger Hub</v>
      </c>
      <c r="AF1451" s="7" t="str">
        <f aca="false">IF(TRIM(K1451)="","Unknown",IFERROR(INDEX(Map_Tables!$E$4:$E$15,MATCH(TRIM(K1451),Map_Tables!$D$4:$D$15,0)),"CHECK"))</f>
        <v>Credit Card</v>
      </c>
      <c r="AG1451" s="7" t="str">
        <f aca="false">IF(LEFT(LOWER(TRIM(L1451)),6)="cancel","Cancelled","Delivered")</f>
        <v>Delivered</v>
      </c>
      <c r="AH1451" s="10" t="n">
        <f aca="false">IF(ISNUMBER(SEARCH("/",B1451)),DATE(VALUE(RIGHT(B1451,4)),VALUE(MID(B1451,4,2)),VALUE(LEFT(B1451,2))),IF(MID(B1451,5,1)="-",DATE(VALUE(LEFT(B1451,4)),VALUE(MID(B1451,6,2)),VALUE(RIGHT(B1451,2))),DATE(VALUE(RIGHT(B1451,4)),MATCH(MID(B1451,4,3),{"Jan","Feb","Mar","Apr","May","Jun","Jul","Aug","Sep","Oct","Nov","Dec"},0),VALUE(LEFT(B1451,2)))))</f>
        <v>45907</v>
      </c>
    </row>
    <row r="1452" customFormat="false" ht="15" hidden="false" customHeight="false" outlineLevel="0" collapsed="false">
      <c r="A1452" s="7" t="s">
        <v>3855</v>
      </c>
      <c r="B1452" s="7" t="s">
        <v>1614</v>
      </c>
      <c r="C1452" s="7" t="s">
        <v>1610</v>
      </c>
      <c r="D1452" s="7" t="s">
        <v>3654</v>
      </c>
      <c r="E1452" s="7" t="s">
        <v>126</v>
      </c>
      <c r="F1452" s="7" t="s">
        <v>101</v>
      </c>
      <c r="G1452" s="7" t="s">
        <v>105</v>
      </c>
      <c r="H1452" s="7" t="n">
        <v>1</v>
      </c>
      <c r="I1452" s="7" t="n">
        <v>190</v>
      </c>
      <c r="J1452" s="7" t="n">
        <v>50</v>
      </c>
      <c r="K1452" s="7" t="s">
        <v>121</v>
      </c>
      <c r="L1452" s="7" t="s">
        <v>194</v>
      </c>
      <c r="M1452" s="7" t="n">
        <v>50</v>
      </c>
      <c r="N1452" s="7" t="n">
        <v>5</v>
      </c>
      <c r="O1452" s="7" t="str">
        <f aca="false">A1452&amp;"|"&amp;B1452&amp;"|"&amp;C1452&amp;"|"&amp;D1452&amp;"|"&amp;E1452&amp;"|"&amp;F1452&amp;"|"&amp;G1452&amp;"|"&amp;H1452&amp;"|"&amp;I1452&amp;"|"&amp;J1452&amp;"|"&amp;K1452&amp;"|"&amp;L1452&amp;"|"&amp;M1452&amp;"|"&amp;N1452</f>
        <v>ORD11565|2025-07-23|22:10|C1203|Dragon Express|Mumbai|Chinese|1|190|50|Wallet|Delivered|50|5</v>
      </c>
      <c r="P1452" s="7" t="str">
        <f aca="false">IF(COUNTIF($O$2:O1452,O1452)&gt;1,"DUP","OK")</f>
        <v>OK</v>
      </c>
      <c r="Q1452" s="7" t="n">
        <f aca="false">COUNTBLANK(A1452:N1452)</f>
        <v>0</v>
      </c>
      <c r="R1452" s="7" t="n">
        <f aca="false">IF(A1452="",0,COUNTIFS($A$2:$A$3058,A1452,$P$2:$P$3058,"OK"))</f>
        <v>1</v>
      </c>
      <c r="S1452" s="7" t="str">
        <f aca="false">IF(OR(A1452="",P1452="DUP",R1452&lt;2),"",IF(Q1452=_xlfn.MINIFS($Q$2:$Q$3058,$A$2:$A$3058,A1452,$P$2:$P$3058,"OK"),"KEEP","DROP"))</f>
        <v/>
      </c>
      <c r="T1452" s="9" t="n">
        <f aca="false">IF(A1452="",1,0)</f>
        <v>0</v>
      </c>
      <c r="U1452" s="9" t="n">
        <f aca="false">IF(D1452="",1,0)</f>
        <v>0</v>
      </c>
      <c r="V1452" s="9" t="n">
        <f aca="false">IF(E1452="",1,0)</f>
        <v>0</v>
      </c>
      <c r="W1452" s="9" t="n">
        <f aca="false">IF(OR(H1452&lt;1,H1452&gt;10),1,0)</f>
        <v>0</v>
      </c>
      <c r="X1452" s="9" t="n">
        <f aca="false">IF(OR(I1452&lt;=0,I1452&gt;1500),1,0)</f>
        <v>0</v>
      </c>
      <c r="Y1452" s="9" t="n">
        <f aca="false">IF(J1452&gt;H1452*I1452,1,0)</f>
        <v>0</v>
      </c>
      <c r="Z1452" s="9" t="n">
        <f aca="false">IF(AND(N1452&lt;&gt;"",OR(N1452&lt;1,N1452&gt;5)),1,0)</f>
        <v>0</v>
      </c>
      <c r="AA1452" s="9" t="n">
        <f aca="false">IF(AND(M1452&lt;&gt;"",OR(M1452&lt;5,M1452&gt;180)),1,0)</f>
        <v>0</v>
      </c>
      <c r="AB1452" s="7" t="str">
        <f aca="false">IF(P1452="DUP","Exact duplicate row",IF(T1452=1,"Missing Order ID",IF(S1452="DROP","Duplicate Order ID (less complete row)",IF(U1452=1,"Missing Customer ID",IF(V1452=1,"Missing Restaurant name",IF(W1452=1,"Invalid/outlier quantity",IF(X1452=1,"Invalid/outlier unit price",IF(Y1452=1,"Discount greater than order value",""))))))))</f>
        <v/>
      </c>
      <c r="AC1452" s="7" t="str">
        <f aca="false">IF(AB1452="","KEEP","DROP")</f>
        <v>KEEP</v>
      </c>
      <c r="AD1452" s="7" t="str">
        <f aca="false">IF(TRIM(F1452)="",IFERROR(INDEX(Map_Tables!$I$4:$I$37,MATCH(TRIM(E1452),Map_Tables!$G$4:$G$37,0)),""),IFERROR(INDEX(Map_Tables!$B$4:$B$18,MATCH(TRIM(F1452),Map_Tables!$A$4:$A$18,0)),"CHECK"))</f>
        <v>Mumbai</v>
      </c>
      <c r="AE1452" s="7" t="str">
        <f aca="false">IF(TRIM(E1452)="","",IFERROR(INDEX(Map_Tables!$H$4:$H$37,MATCH(TRIM(E1452),Map_Tables!$G$4:$G$37,0)),"CHECK"))</f>
        <v>Dragon Express</v>
      </c>
      <c r="AF1452" s="7" t="str">
        <f aca="false">IF(TRIM(K1452)="","Unknown",IFERROR(INDEX(Map_Tables!$E$4:$E$15,MATCH(TRIM(K1452),Map_Tables!$D$4:$D$15,0)),"CHECK"))</f>
        <v>Wallet</v>
      </c>
      <c r="AG1452" s="7" t="str">
        <f aca="false">IF(LEFT(LOWER(TRIM(L1452)),6)="cancel","Cancelled","Delivered")</f>
        <v>Delivered</v>
      </c>
      <c r="AH1452" s="10" t="n">
        <f aca="false">IF(ISNUMBER(SEARCH("/",B1452)),DATE(VALUE(RIGHT(B1452,4)),VALUE(MID(B1452,4,2)),VALUE(LEFT(B1452,2))),IF(MID(B1452,5,1)="-",DATE(VALUE(LEFT(B1452,4)),VALUE(MID(B1452,6,2)),VALUE(RIGHT(B1452,2))),DATE(VALUE(RIGHT(B1452,4)),MATCH(MID(B1452,4,3),{"Jan","Feb","Mar","Apr","May","Jun","Jul","Aug","Sep","Oct","Nov","Dec"},0),VALUE(LEFT(B1452,2)))))</f>
        <v>45861</v>
      </c>
    </row>
    <row r="1453" customFormat="false" ht="15" hidden="false" customHeight="false" outlineLevel="0" collapsed="false">
      <c r="A1453" s="7" t="s">
        <v>3856</v>
      </c>
      <c r="B1453" s="7" t="s">
        <v>2231</v>
      </c>
      <c r="C1453" s="7" t="s">
        <v>1396</v>
      </c>
      <c r="D1453" s="7" t="s">
        <v>3857</v>
      </c>
      <c r="E1453" s="7" t="s">
        <v>165</v>
      </c>
      <c r="F1453" s="7" t="s">
        <v>146</v>
      </c>
      <c r="G1453" s="7" t="s">
        <v>90</v>
      </c>
      <c r="H1453" s="7" t="n">
        <v>1</v>
      </c>
      <c r="I1453" s="7" t="n">
        <v>225</v>
      </c>
      <c r="J1453" s="7" t="n">
        <v>0</v>
      </c>
      <c r="K1453" s="7" t="s">
        <v>103</v>
      </c>
      <c r="L1453" s="7" t="s">
        <v>194</v>
      </c>
      <c r="M1453" s="7" t="n">
        <v>32</v>
      </c>
      <c r="N1453" s="7" t="n">
        <v>3</v>
      </c>
      <c r="O1453" s="7" t="str">
        <f aca="false">A1453&amp;"|"&amp;B1453&amp;"|"&amp;C1453&amp;"|"&amp;D1453&amp;"|"&amp;E1453&amp;"|"&amp;F1453&amp;"|"&amp;G1453&amp;"|"&amp;H1453&amp;"|"&amp;I1453&amp;"|"&amp;J1453&amp;"|"&amp;K1453&amp;"|"&amp;L1453&amp;"|"&amp;M1453&amp;"|"&amp;N1453</f>
        <v>ORD12338|2025-10-22|14:06|C0974|Gujarati Thali Ghar|Ahmedabad|North Indian|1|225|0|Debit Card|Delivered|32|3</v>
      </c>
      <c r="P1453" s="7" t="str">
        <f aca="false">IF(COUNTIF($O$2:O1453,O1453)&gt;1,"DUP","OK")</f>
        <v>OK</v>
      </c>
      <c r="Q1453" s="7" t="n">
        <f aca="false">COUNTBLANK(A1453:N1453)</f>
        <v>0</v>
      </c>
      <c r="R1453" s="7" t="n">
        <f aca="false">IF(A1453="",0,COUNTIFS($A$2:$A$3058,A1453,$P$2:$P$3058,"OK"))</f>
        <v>1</v>
      </c>
      <c r="S1453" s="7" t="str">
        <f aca="false">IF(OR(A1453="",P1453="DUP",R1453&lt;2),"",IF(Q1453=_xlfn.MINIFS($Q$2:$Q$3058,$A$2:$A$3058,A1453,$P$2:$P$3058,"OK"),"KEEP","DROP"))</f>
        <v/>
      </c>
      <c r="T1453" s="9" t="n">
        <f aca="false">IF(A1453="",1,0)</f>
        <v>0</v>
      </c>
      <c r="U1453" s="9" t="n">
        <f aca="false">IF(D1453="",1,0)</f>
        <v>0</v>
      </c>
      <c r="V1453" s="9" t="n">
        <f aca="false">IF(E1453="",1,0)</f>
        <v>0</v>
      </c>
      <c r="W1453" s="9" t="n">
        <f aca="false">IF(OR(H1453&lt;1,H1453&gt;10),1,0)</f>
        <v>0</v>
      </c>
      <c r="X1453" s="9" t="n">
        <f aca="false">IF(OR(I1453&lt;=0,I1453&gt;1500),1,0)</f>
        <v>0</v>
      </c>
      <c r="Y1453" s="9" t="n">
        <f aca="false">IF(J1453&gt;H1453*I1453,1,0)</f>
        <v>0</v>
      </c>
      <c r="Z1453" s="9" t="n">
        <f aca="false">IF(AND(N1453&lt;&gt;"",OR(N1453&lt;1,N1453&gt;5)),1,0)</f>
        <v>0</v>
      </c>
      <c r="AA1453" s="9" t="n">
        <f aca="false">IF(AND(M1453&lt;&gt;"",OR(M1453&lt;5,M1453&gt;180)),1,0)</f>
        <v>0</v>
      </c>
      <c r="AB1453" s="7" t="str">
        <f aca="false">IF(P1453="DUP","Exact duplicate row",IF(T1453=1,"Missing Order ID",IF(S1453="DROP","Duplicate Order ID (less complete row)",IF(U1453=1,"Missing Customer ID",IF(V1453=1,"Missing Restaurant name",IF(W1453=1,"Invalid/outlier quantity",IF(X1453=1,"Invalid/outlier unit price",IF(Y1453=1,"Discount greater than order value",""))))))))</f>
        <v/>
      </c>
      <c r="AC1453" s="7" t="str">
        <f aca="false">IF(AB1453="","KEEP","DROP")</f>
        <v>KEEP</v>
      </c>
      <c r="AD1453" s="7" t="str">
        <f aca="false">IF(TRIM(F1453)="",IFERROR(INDEX(Map_Tables!$I$4:$I$37,MATCH(TRIM(E1453),Map_Tables!$G$4:$G$37,0)),""),IFERROR(INDEX(Map_Tables!$B$4:$B$18,MATCH(TRIM(F1453),Map_Tables!$A$4:$A$18,0)),"CHECK"))</f>
        <v>Ahmedabad</v>
      </c>
      <c r="AE1453" s="7" t="str">
        <f aca="false">IF(TRIM(E1453)="","",IFERROR(INDEX(Map_Tables!$H$4:$H$37,MATCH(TRIM(E1453),Map_Tables!$G$4:$G$37,0)),"CHECK"))</f>
        <v>Gujarati Thali Ghar</v>
      </c>
      <c r="AF1453" s="7" t="str">
        <f aca="false">IF(TRIM(K1453)="","Unknown",IFERROR(INDEX(Map_Tables!$E$4:$E$15,MATCH(TRIM(K1453),Map_Tables!$D$4:$D$15,0)),"CHECK"))</f>
        <v>Debit Card</v>
      </c>
      <c r="AG1453" s="7" t="str">
        <f aca="false">IF(LEFT(LOWER(TRIM(L1453)),6)="cancel","Cancelled","Delivered")</f>
        <v>Delivered</v>
      </c>
      <c r="AH1453" s="10" t="n">
        <f aca="false">IF(ISNUMBER(SEARCH("/",B1453)),DATE(VALUE(RIGHT(B1453,4)),VALUE(MID(B1453,4,2)),VALUE(LEFT(B1453,2))),IF(MID(B1453,5,1)="-",DATE(VALUE(LEFT(B1453,4)),VALUE(MID(B1453,6,2)),VALUE(RIGHT(B1453,2))),DATE(VALUE(RIGHT(B1453,4)),MATCH(MID(B1453,4,3),{"Jan","Feb","Mar","Apr","May","Jun","Jul","Aug","Sep","Oct","Nov","Dec"},0),VALUE(LEFT(B1453,2)))))</f>
        <v>45952</v>
      </c>
    </row>
    <row r="1454" customFormat="false" ht="15" hidden="false" customHeight="false" outlineLevel="0" collapsed="false">
      <c r="A1454" s="7" t="s">
        <v>3858</v>
      </c>
      <c r="B1454" s="7" t="s">
        <v>1351</v>
      </c>
      <c r="C1454" s="7" t="s">
        <v>327</v>
      </c>
      <c r="D1454" s="7" t="s">
        <v>3859</v>
      </c>
      <c r="E1454" s="7" t="s">
        <v>104</v>
      </c>
      <c r="F1454" s="7" t="s">
        <v>928</v>
      </c>
      <c r="G1454" s="7" t="s">
        <v>105</v>
      </c>
      <c r="H1454" s="7" t="n">
        <v>1</v>
      </c>
      <c r="I1454" s="7" t="n">
        <v>200</v>
      </c>
      <c r="J1454" s="7" t="n">
        <v>0</v>
      </c>
      <c r="K1454" s="7" t="s">
        <v>88</v>
      </c>
      <c r="L1454" s="7" t="s">
        <v>238</v>
      </c>
      <c r="M1454" s="7"/>
      <c r="N1454" s="7"/>
      <c r="O1454" s="7" t="str">
        <f aca="false">A1454&amp;"|"&amp;B1454&amp;"|"&amp;C1454&amp;"|"&amp;D1454&amp;"|"&amp;E1454&amp;"|"&amp;F1454&amp;"|"&amp;G1454&amp;"|"&amp;H1454&amp;"|"&amp;I1454&amp;"|"&amp;J1454&amp;"|"&amp;K1454&amp;"|"&amp;L1454&amp;"|"&amp;M1454&amp;"|"&amp;N1454</f>
        <v>ORD11422|2025-07-04|19:10|C1282|Wok &amp; Roll|Bangalore|Chinese|1|200|0|UPI|Cancelled||</v>
      </c>
      <c r="P1454" s="7" t="str">
        <f aca="false">IF(COUNTIF($O$2:O1454,O1454)&gt;1,"DUP","OK")</f>
        <v>OK</v>
      </c>
      <c r="Q1454" s="7" t="n">
        <f aca="false">COUNTBLANK(A1454:N1454)</f>
        <v>2</v>
      </c>
      <c r="R1454" s="7" t="n">
        <f aca="false">IF(A1454="",0,COUNTIFS($A$2:$A$3058,A1454,$P$2:$P$3058,"OK"))</f>
        <v>1</v>
      </c>
      <c r="S1454" s="7" t="str">
        <f aca="false">IF(OR(A1454="",P1454="DUP",R1454&lt;2),"",IF(Q1454=_xlfn.MINIFS($Q$2:$Q$3058,$A$2:$A$3058,A1454,$P$2:$P$3058,"OK"),"KEEP","DROP"))</f>
        <v/>
      </c>
      <c r="T1454" s="9" t="n">
        <f aca="false">IF(A1454="",1,0)</f>
        <v>0</v>
      </c>
      <c r="U1454" s="9" t="n">
        <f aca="false">IF(D1454="",1,0)</f>
        <v>0</v>
      </c>
      <c r="V1454" s="9" t="n">
        <f aca="false">IF(E1454="",1,0)</f>
        <v>0</v>
      </c>
      <c r="W1454" s="9" t="n">
        <f aca="false">IF(OR(H1454&lt;1,H1454&gt;10),1,0)</f>
        <v>0</v>
      </c>
      <c r="X1454" s="9" t="n">
        <f aca="false">IF(OR(I1454&lt;=0,I1454&gt;1500),1,0)</f>
        <v>0</v>
      </c>
      <c r="Y1454" s="9" t="n">
        <f aca="false">IF(J1454&gt;H1454*I1454,1,0)</f>
        <v>0</v>
      </c>
      <c r="Z1454" s="9" t="n">
        <f aca="false">IF(AND(N1454&lt;&gt;"",OR(N1454&lt;1,N1454&gt;5)),1,0)</f>
        <v>0</v>
      </c>
      <c r="AA1454" s="9" t="n">
        <f aca="false">IF(AND(M1454&lt;&gt;"",OR(M1454&lt;5,M1454&gt;180)),1,0)</f>
        <v>0</v>
      </c>
      <c r="AB1454" s="7" t="str">
        <f aca="false">IF(P1454="DUP","Exact duplicate row",IF(T1454=1,"Missing Order ID",IF(S1454="DROP","Duplicate Order ID (less complete row)",IF(U1454=1,"Missing Customer ID",IF(V1454=1,"Missing Restaurant name",IF(W1454=1,"Invalid/outlier quantity",IF(X1454=1,"Invalid/outlier unit price",IF(Y1454=1,"Discount greater than order value",""))))))))</f>
        <v/>
      </c>
      <c r="AC1454" s="7" t="str">
        <f aca="false">IF(AB1454="","KEEP","DROP")</f>
        <v>KEEP</v>
      </c>
      <c r="AD1454" s="7" t="str">
        <f aca="false">IF(TRIM(F1454)="",IFERROR(INDEX(Map_Tables!$I$4:$I$37,MATCH(TRIM(E1454),Map_Tables!$G$4:$G$37,0)),""),IFERROR(INDEX(Map_Tables!$B$4:$B$18,MATCH(TRIM(F1454),Map_Tables!$A$4:$A$18,0)),"CHECK"))</f>
        <v>Bengaluru</v>
      </c>
      <c r="AE1454" s="7" t="str">
        <f aca="false">IF(TRIM(E1454)="","",IFERROR(INDEX(Map_Tables!$H$4:$H$37,MATCH(TRIM(E1454),Map_Tables!$G$4:$G$37,0)),"CHECK"))</f>
        <v>Wok &amp; Roll</v>
      </c>
      <c r="AF1454" s="7" t="str">
        <f aca="false">IF(TRIM(K1454)="","Unknown",IFERROR(INDEX(Map_Tables!$E$4:$E$15,MATCH(TRIM(K1454),Map_Tables!$D$4:$D$15,0)),"CHECK"))</f>
        <v>UPI</v>
      </c>
      <c r="AG1454" s="7" t="str">
        <f aca="false">IF(LEFT(LOWER(TRIM(L1454)),6)="cancel","Cancelled","Delivered")</f>
        <v>Cancelled</v>
      </c>
      <c r="AH1454" s="10" t="n">
        <f aca="false">IF(ISNUMBER(SEARCH("/",B1454)),DATE(VALUE(RIGHT(B1454,4)),VALUE(MID(B1454,4,2)),VALUE(LEFT(B1454,2))),IF(MID(B1454,5,1)="-",DATE(VALUE(LEFT(B1454,4)),VALUE(MID(B1454,6,2)),VALUE(RIGHT(B1454,2))),DATE(VALUE(RIGHT(B1454,4)),MATCH(MID(B1454,4,3),{"Jan","Feb","Mar","Apr","May","Jun","Jul","Aug","Sep","Oct","Nov","Dec"},0),VALUE(LEFT(B1454,2)))))</f>
        <v>45842</v>
      </c>
    </row>
    <row r="1455" customFormat="false" ht="15" hidden="false" customHeight="false" outlineLevel="0" collapsed="false">
      <c r="A1455" s="7" t="s">
        <v>3860</v>
      </c>
      <c r="B1455" s="7" t="s">
        <v>3861</v>
      </c>
      <c r="C1455" s="7" t="s">
        <v>3862</v>
      </c>
      <c r="D1455" s="7" t="s">
        <v>728</v>
      </c>
      <c r="E1455" s="7" t="s">
        <v>104</v>
      </c>
      <c r="F1455" s="7" t="s">
        <v>86</v>
      </c>
      <c r="G1455" s="7" t="s">
        <v>105</v>
      </c>
      <c r="H1455" s="7" t="n">
        <v>2</v>
      </c>
      <c r="I1455" s="7" t="n">
        <v>210</v>
      </c>
      <c r="J1455" s="7" t="n">
        <v>0</v>
      </c>
      <c r="K1455" s="7" t="s">
        <v>121</v>
      </c>
      <c r="L1455" s="7" t="s">
        <v>194</v>
      </c>
      <c r="M1455" s="7" t="n">
        <v>34</v>
      </c>
      <c r="N1455" s="7" t="n">
        <v>3</v>
      </c>
      <c r="O1455" s="7" t="str">
        <f aca="false">A1455&amp;"|"&amp;B1455&amp;"|"&amp;C1455&amp;"|"&amp;D1455&amp;"|"&amp;E1455&amp;"|"&amp;F1455&amp;"|"&amp;G1455&amp;"|"&amp;H1455&amp;"|"&amp;I1455&amp;"|"&amp;J1455&amp;"|"&amp;K1455&amp;"|"&amp;L1455&amp;"|"&amp;M1455&amp;"|"&amp;N1455</f>
        <v>ORD12219|09-Oct-2025|15:25|C1293|Wok &amp; Roll|Bengaluru|Chinese|2|210|0|Wallet|Delivered|34|3</v>
      </c>
      <c r="P1455" s="7" t="str">
        <f aca="false">IF(COUNTIF($O$2:O1455,O1455)&gt;1,"DUP","OK")</f>
        <v>OK</v>
      </c>
      <c r="Q1455" s="7" t="n">
        <f aca="false">COUNTBLANK(A1455:N1455)</f>
        <v>0</v>
      </c>
      <c r="R1455" s="7" t="n">
        <f aca="false">IF(A1455="",0,COUNTIFS($A$2:$A$3058,A1455,$P$2:$P$3058,"OK"))</f>
        <v>1</v>
      </c>
      <c r="S1455" s="7" t="str">
        <f aca="false">IF(OR(A1455="",P1455="DUP",R1455&lt;2),"",IF(Q1455=_xlfn.MINIFS($Q$2:$Q$3058,$A$2:$A$3058,A1455,$P$2:$P$3058,"OK"),"KEEP","DROP"))</f>
        <v/>
      </c>
      <c r="T1455" s="9" t="n">
        <f aca="false">IF(A1455="",1,0)</f>
        <v>0</v>
      </c>
      <c r="U1455" s="9" t="n">
        <f aca="false">IF(D1455="",1,0)</f>
        <v>0</v>
      </c>
      <c r="V1455" s="9" t="n">
        <f aca="false">IF(E1455="",1,0)</f>
        <v>0</v>
      </c>
      <c r="W1455" s="9" t="n">
        <f aca="false">IF(OR(H1455&lt;1,H1455&gt;10),1,0)</f>
        <v>0</v>
      </c>
      <c r="X1455" s="9" t="n">
        <f aca="false">IF(OR(I1455&lt;=0,I1455&gt;1500),1,0)</f>
        <v>0</v>
      </c>
      <c r="Y1455" s="9" t="n">
        <f aca="false">IF(J1455&gt;H1455*I1455,1,0)</f>
        <v>0</v>
      </c>
      <c r="Z1455" s="9" t="n">
        <f aca="false">IF(AND(N1455&lt;&gt;"",OR(N1455&lt;1,N1455&gt;5)),1,0)</f>
        <v>0</v>
      </c>
      <c r="AA1455" s="9" t="n">
        <f aca="false">IF(AND(M1455&lt;&gt;"",OR(M1455&lt;5,M1455&gt;180)),1,0)</f>
        <v>0</v>
      </c>
      <c r="AB1455" s="7" t="str">
        <f aca="false">IF(P1455="DUP","Exact duplicate row",IF(T1455=1,"Missing Order ID",IF(S1455="DROP","Duplicate Order ID (less complete row)",IF(U1455=1,"Missing Customer ID",IF(V1455=1,"Missing Restaurant name",IF(W1455=1,"Invalid/outlier quantity",IF(X1455=1,"Invalid/outlier unit price",IF(Y1455=1,"Discount greater than order value",""))))))))</f>
        <v/>
      </c>
      <c r="AC1455" s="7" t="str">
        <f aca="false">IF(AB1455="","KEEP","DROP")</f>
        <v>KEEP</v>
      </c>
      <c r="AD1455" s="7" t="str">
        <f aca="false">IF(TRIM(F1455)="",IFERROR(INDEX(Map_Tables!$I$4:$I$37,MATCH(TRIM(E1455),Map_Tables!$G$4:$G$37,0)),""),IFERROR(INDEX(Map_Tables!$B$4:$B$18,MATCH(TRIM(F1455),Map_Tables!$A$4:$A$18,0)),"CHECK"))</f>
        <v>Bengaluru</v>
      </c>
      <c r="AE1455" s="7" t="str">
        <f aca="false">IF(TRIM(E1455)="","",IFERROR(INDEX(Map_Tables!$H$4:$H$37,MATCH(TRIM(E1455),Map_Tables!$G$4:$G$37,0)),"CHECK"))</f>
        <v>Wok &amp; Roll</v>
      </c>
      <c r="AF1455" s="7" t="str">
        <f aca="false">IF(TRIM(K1455)="","Unknown",IFERROR(INDEX(Map_Tables!$E$4:$E$15,MATCH(TRIM(K1455),Map_Tables!$D$4:$D$15,0)),"CHECK"))</f>
        <v>Wallet</v>
      </c>
      <c r="AG1455" s="7" t="str">
        <f aca="false">IF(LEFT(LOWER(TRIM(L1455)),6)="cancel","Cancelled","Delivered")</f>
        <v>Delivered</v>
      </c>
      <c r="AH1455" s="10" t="n">
        <f aca="false">IF(ISNUMBER(SEARCH("/",B1455)),DATE(VALUE(RIGHT(B1455,4)),VALUE(MID(B1455,4,2)),VALUE(LEFT(B1455,2))),IF(MID(B1455,5,1)="-",DATE(VALUE(LEFT(B1455,4)),VALUE(MID(B1455,6,2)),VALUE(RIGHT(B1455,2))),DATE(VALUE(RIGHT(B1455,4)),MATCH(MID(B1455,4,3),{"Jan","Feb","Mar","Apr","May","Jun","Jul","Aug","Sep","Oct","Nov","Dec"},0),VALUE(LEFT(B1455,2)))))</f>
        <v>45939</v>
      </c>
    </row>
    <row r="1456" customFormat="false" ht="15" hidden="false" customHeight="false" outlineLevel="0" collapsed="false">
      <c r="A1456" s="7" t="s">
        <v>3863</v>
      </c>
      <c r="B1456" s="7" t="s">
        <v>692</v>
      </c>
      <c r="C1456" s="7" t="s">
        <v>3864</v>
      </c>
      <c r="D1456" s="7" t="s">
        <v>607</v>
      </c>
      <c r="E1456" s="7" t="s">
        <v>138</v>
      </c>
      <c r="F1456" s="7" t="s">
        <v>110</v>
      </c>
      <c r="G1456" s="7" t="s">
        <v>139</v>
      </c>
      <c r="H1456" s="7" t="n">
        <v>1</v>
      </c>
      <c r="I1456" s="7" t="n">
        <v>180</v>
      </c>
      <c r="J1456" s="7" t="n">
        <v>0</v>
      </c>
      <c r="K1456" s="7" t="s">
        <v>88</v>
      </c>
      <c r="L1456" s="7" t="s">
        <v>194</v>
      </c>
      <c r="M1456" s="7" t="n">
        <v>40</v>
      </c>
      <c r="N1456" s="7" t="n">
        <v>4</v>
      </c>
      <c r="O1456" s="7" t="str">
        <f aca="false">A1456&amp;"|"&amp;B1456&amp;"|"&amp;C1456&amp;"|"&amp;D1456&amp;"|"&amp;E1456&amp;"|"&amp;F1456&amp;"|"&amp;G1456&amp;"|"&amp;H1456&amp;"|"&amp;I1456&amp;"|"&amp;J1456&amp;"|"&amp;K1456&amp;"|"&amp;L1456&amp;"|"&amp;M1456&amp;"|"&amp;N1456</f>
        <v>ORD12911|21-Dec-2025|23:37|C0745|Burger Barn|Delhi|Burgers|1|180|0|UPI|Delivered|40|4</v>
      </c>
      <c r="P1456" s="7" t="str">
        <f aca="false">IF(COUNTIF($O$2:O1456,O1456)&gt;1,"DUP","OK")</f>
        <v>OK</v>
      </c>
      <c r="Q1456" s="7" t="n">
        <f aca="false">COUNTBLANK(A1456:N1456)</f>
        <v>0</v>
      </c>
      <c r="R1456" s="7" t="n">
        <f aca="false">IF(A1456="",0,COUNTIFS($A$2:$A$3058,A1456,$P$2:$P$3058,"OK"))</f>
        <v>1</v>
      </c>
      <c r="S1456" s="7" t="str">
        <f aca="false">IF(OR(A1456="",P1456="DUP",R1456&lt;2),"",IF(Q1456=_xlfn.MINIFS($Q$2:$Q$3058,$A$2:$A$3058,A1456,$P$2:$P$3058,"OK"),"KEEP","DROP"))</f>
        <v/>
      </c>
      <c r="T1456" s="9" t="n">
        <f aca="false">IF(A1456="",1,0)</f>
        <v>0</v>
      </c>
      <c r="U1456" s="9" t="n">
        <f aca="false">IF(D1456="",1,0)</f>
        <v>0</v>
      </c>
      <c r="V1456" s="9" t="n">
        <f aca="false">IF(E1456="",1,0)</f>
        <v>0</v>
      </c>
      <c r="W1456" s="9" t="n">
        <f aca="false">IF(OR(H1456&lt;1,H1456&gt;10),1,0)</f>
        <v>0</v>
      </c>
      <c r="X1456" s="9" t="n">
        <f aca="false">IF(OR(I1456&lt;=0,I1456&gt;1500),1,0)</f>
        <v>0</v>
      </c>
      <c r="Y1456" s="9" t="n">
        <f aca="false">IF(J1456&gt;H1456*I1456,1,0)</f>
        <v>0</v>
      </c>
      <c r="Z1456" s="9" t="n">
        <f aca="false">IF(AND(N1456&lt;&gt;"",OR(N1456&lt;1,N1456&gt;5)),1,0)</f>
        <v>0</v>
      </c>
      <c r="AA1456" s="9" t="n">
        <f aca="false">IF(AND(M1456&lt;&gt;"",OR(M1456&lt;5,M1456&gt;180)),1,0)</f>
        <v>0</v>
      </c>
      <c r="AB1456" s="7" t="str">
        <f aca="false">IF(P1456="DUP","Exact duplicate row",IF(T1456=1,"Missing Order ID",IF(S1456="DROP","Duplicate Order ID (less complete row)",IF(U1456=1,"Missing Customer ID",IF(V1456=1,"Missing Restaurant name",IF(W1456=1,"Invalid/outlier quantity",IF(X1456=1,"Invalid/outlier unit price",IF(Y1456=1,"Discount greater than order value",""))))))))</f>
        <v/>
      </c>
      <c r="AC1456" s="7" t="str">
        <f aca="false">IF(AB1456="","KEEP","DROP")</f>
        <v>KEEP</v>
      </c>
      <c r="AD1456" s="7" t="str">
        <f aca="false">IF(TRIM(F1456)="",IFERROR(INDEX(Map_Tables!$I$4:$I$37,MATCH(TRIM(E1456),Map_Tables!$G$4:$G$37,0)),""),IFERROR(INDEX(Map_Tables!$B$4:$B$18,MATCH(TRIM(F1456),Map_Tables!$A$4:$A$18,0)),"CHECK"))</f>
        <v>Delhi</v>
      </c>
      <c r="AE1456" s="7" t="str">
        <f aca="false">IF(TRIM(E1456)="","",IFERROR(INDEX(Map_Tables!$H$4:$H$37,MATCH(TRIM(E1456),Map_Tables!$G$4:$G$37,0)),"CHECK"))</f>
        <v>Burger Barn</v>
      </c>
      <c r="AF1456" s="7" t="str">
        <f aca="false">IF(TRIM(K1456)="","Unknown",IFERROR(INDEX(Map_Tables!$E$4:$E$15,MATCH(TRIM(K1456),Map_Tables!$D$4:$D$15,0)),"CHECK"))</f>
        <v>UPI</v>
      </c>
      <c r="AG1456" s="7" t="str">
        <f aca="false">IF(LEFT(LOWER(TRIM(L1456)),6)="cancel","Cancelled","Delivered")</f>
        <v>Delivered</v>
      </c>
      <c r="AH1456" s="10" t="n">
        <f aca="false">IF(ISNUMBER(SEARCH("/",B1456)),DATE(VALUE(RIGHT(B1456,4)),VALUE(MID(B1456,4,2)),VALUE(LEFT(B1456,2))),IF(MID(B1456,5,1)="-",DATE(VALUE(LEFT(B1456,4)),VALUE(MID(B1456,6,2)),VALUE(RIGHT(B1456,2))),DATE(VALUE(RIGHT(B1456,4)),MATCH(MID(B1456,4,3),{"Jan","Feb","Mar","Apr","May","Jun","Jul","Aug","Sep","Oct","Nov","Dec"},0),VALUE(LEFT(B1456,2)))))</f>
        <v>46012</v>
      </c>
    </row>
    <row r="1457" customFormat="false" ht="15" hidden="false" customHeight="false" outlineLevel="0" collapsed="false">
      <c r="A1457" s="7" t="s">
        <v>3865</v>
      </c>
      <c r="B1457" s="7" t="s">
        <v>3113</v>
      </c>
      <c r="C1457" s="7" t="s">
        <v>407</v>
      </c>
      <c r="D1457" s="7" t="s">
        <v>2622</v>
      </c>
      <c r="E1457" s="7" t="s">
        <v>98</v>
      </c>
      <c r="F1457" s="7" t="s">
        <v>86</v>
      </c>
      <c r="G1457" s="7" t="s">
        <v>99</v>
      </c>
      <c r="H1457" s="7" t="n">
        <v>1</v>
      </c>
      <c r="I1457" s="7" t="n">
        <v>240</v>
      </c>
      <c r="J1457" s="7" t="n">
        <v>0</v>
      </c>
      <c r="K1457" s="7" t="s">
        <v>112</v>
      </c>
      <c r="L1457" s="7" t="s">
        <v>194</v>
      </c>
      <c r="M1457" s="7" t="n">
        <v>49</v>
      </c>
      <c r="N1457" s="7" t="n">
        <v>5</v>
      </c>
      <c r="O1457" s="7" t="str">
        <f aca="false">A1457&amp;"|"&amp;B1457&amp;"|"&amp;C1457&amp;"|"&amp;D1457&amp;"|"&amp;E1457&amp;"|"&amp;F1457&amp;"|"&amp;G1457&amp;"|"&amp;H1457&amp;"|"&amp;I1457&amp;"|"&amp;J1457&amp;"|"&amp;K1457&amp;"|"&amp;L1457&amp;"|"&amp;M1457&amp;"|"&amp;N1457</f>
        <v>ORD10371|2025-02-18|22:42|C0876|Nawabi Biryani House|Bengaluru|Biryani|1|240|0|Cash on Delivery|Delivered|49|5</v>
      </c>
      <c r="P1457" s="7" t="str">
        <f aca="false">IF(COUNTIF($O$2:O1457,O1457)&gt;1,"DUP","OK")</f>
        <v>OK</v>
      </c>
      <c r="Q1457" s="7" t="n">
        <f aca="false">COUNTBLANK(A1457:N1457)</f>
        <v>0</v>
      </c>
      <c r="R1457" s="7" t="n">
        <f aca="false">IF(A1457="",0,COUNTIFS($A$2:$A$3058,A1457,$P$2:$P$3058,"OK"))</f>
        <v>1</v>
      </c>
      <c r="S1457" s="7" t="str">
        <f aca="false">IF(OR(A1457="",P1457="DUP",R1457&lt;2),"",IF(Q1457=_xlfn.MINIFS($Q$2:$Q$3058,$A$2:$A$3058,A1457,$P$2:$P$3058,"OK"),"KEEP","DROP"))</f>
        <v/>
      </c>
      <c r="T1457" s="9" t="n">
        <f aca="false">IF(A1457="",1,0)</f>
        <v>0</v>
      </c>
      <c r="U1457" s="9" t="n">
        <f aca="false">IF(D1457="",1,0)</f>
        <v>0</v>
      </c>
      <c r="V1457" s="9" t="n">
        <f aca="false">IF(E1457="",1,0)</f>
        <v>0</v>
      </c>
      <c r="W1457" s="9" t="n">
        <f aca="false">IF(OR(H1457&lt;1,H1457&gt;10),1,0)</f>
        <v>0</v>
      </c>
      <c r="X1457" s="9" t="n">
        <f aca="false">IF(OR(I1457&lt;=0,I1457&gt;1500),1,0)</f>
        <v>0</v>
      </c>
      <c r="Y1457" s="9" t="n">
        <f aca="false">IF(J1457&gt;H1457*I1457,1,0)</f>
        <v>0</v>
      </c>
      <c r="Z1457" s="9" t="n">
        <f aca="false">IF(AND(N1457&lt;&gt;"",OR(N1457&lt;1,N1457&gt;5)),1,0)</f>
        <v>0</v>
      </c>
      <c r="AA1457" s="9" t="n">
        <f aca="false">IF(AND(M1457&lt;&gt;"",OR(M1457&lt;5,M1457&gt;180)),1,0)</f>
        <v>0</v>
      </c>
      <c r="AB1457" s="7" t="str">
        <f aca="false">IF(P1457="DUP","Exact duplicate row",IF(T1457=1,"Missing Order ID",IF(S1457="DROP","Duplicate Order ID (less complete row)",IF(U1457=1,"Missing Customer ID",IF(V1457=1,"Missing Restaurant name",IF(W1457=1,"Invalid/outlier quantity",IF(X1457=1,"Invalid/outlier unit price",IF(Y1457=1,"Discount greater than order value",""))))))))</f>
        <v/>
      </c>
      <c r="AC1457" s="7" t="str">
        <f aca="false">IF(AB1457="","KEEP","DROP")</f>
        <v>KEEP</v>
      </c>
      <c r="AD1457" s="7" t="str">
        <f aca="false">IF(TRIM(F1457)="",IFERROR(INDEX(Map_Tables!$I$4:$I$37,MATCH(TRIM(E1457),Map_Tables!$G$4:$G$37,0)),""),IFERROR(INDEX(Map_Tables!$B$4:$B$18,MATCH(TRIM(F1457),Map_Tables!$A$4:$A$18,0)),"CHECK"))</f>
        <v>Bengaluru</v>
      </c>
      <c r="AE1457" s="7" t="str">
        <f aca="false">IF(TRIM(E1457)="","",IFERROR(INDEX(Map_Tables!$H$4:$H$37,MATCH(TRIM(E1457),Map_Tables!$G$4:$G$37,0)),"CHECK"))</f>
        <v>Nawabi Biryani House</v>
      </c>
      <c r="AF1457" s="7" t="str">
        <f aca="false">IF(TRIM(K1457)="","Unknown",IFERROR(INDEX(Map_Tables!$E$4:$E$15,MATCH(TRIM(K1457),Map_Tables!$D$4:$D$15,0)),"CHECK"))</f>
        <v>Cash on Delivery</v>
      </c>
      <c r="AG1457" s="7" t="str">
        <f aca="false">IF(LEFT(LOWER(TRIM(L1457)),6)="cancel","Cancelled","Delivered")</f>
        <v>Delivered</v>
      </c>
      <c r="AH1457" s="10" t="n">
        <f aca="false">IF(ISNUMBER(SEARCH("/",B1457)),DATE(VALUE(RIGHT(B1457,4)),VALUE(MID(B1457,4,2)),VALUE(LEFT(B1457,2))),IF(MID(B1457,5,1)="-",DATE(VALUE(LEFT(B1457,4)),VALUE(MID(B1457,6,2)),VALUE(RIGHT(B1457,2))),DATE(VALUE(RIGHT(B1457,4)),MATCH(MID(B1457,4,3),{"Jan","Feb","Mar","Apr","May","Jun","Jul","Aug","Sep","Oct","Nov","Dec"},0),VALUE(LEFT(B1457,2)))))</f>
        <v>45706</v>
      </c>
    </row>
    <row r="1458" customFormat="false" ht="15" hidden="false" customHeight="false" outlineLevel="0" collapsed="false">
      <c r="A1458" s="7" t="s">
        <v>3866</v>
      </c>
      <c r="B1458" s="7" t="s">
        <v>226</v>
      </c>
      <c r="C1458" s="7" t="s">
        <v>732</v>
      </c>
      <c r="D1458" s="7" t="s">
        <v>652</v>
      </c>
      <c r="E1458" s="7" t="s">
        <v>126</v>
      </c>
      <c r="F1458" s="7" t="s">
        <v>101</v>
      </c>
      <c r="G1458" s="7" t="s">
        <v>105</v>
      </c>
      <c r="H1458" s="7" t="n">
        <v>2</v>
      </c>
      <c r="I1458" s="7" t="n">
        <v>240</v>
      </c>
      <c r="J1458" s="7" t="n">
        <v>125</v>
      </c>
      <c r="K1458" s="7" t="s">
        <v>112</v>
      </c>
      <c r="L1458" s="7" t="s">
        <v>194</v>
      </c>
      <c r="M1458" s="7" t="n">
        <v>45</v>
      </c>
      <c r="N1458" s="7" t="n">
        <v>5</v>
      </c>
      <c r="O1458" s="7" t="str">
        <f aca="false">A1458&amp;"|"&amp;B1458&amp;"|"&amp;C1458&amp;"|"&amp;D1458&amp;"|"&amp;E1458&amp;"|"&amp;F1458&amp;"|"&amp;G1458&amp;"|"&amp;H1458&amp;"|"&amp;I1458&amp;"|"&amp;J1458&amp;"|"&amp;K1458&amp;"|"&amp;L1458&amp;"|"&amp;M1458&amp;"|"&amp;N1458</f>
        <v>ORD11998|2025-09-16|19:07|C1467|Dragon Express|Mumbai|Chinese|2|240|125|Cash on Delivery|Delivered|45|5</v>
      </c>
      <c r="P1458" s="7" t="str">
        <f aca="false">IF(COUNTIF($O$2:O1458,O1458)&gt;1,"DUP","OK")</f>
        <v>OK</v>
      </c>
      <c r="Q1458" s="7" t="n">
        <f aca="false">COUNTBLANK(A1458:N1458)</f>
        <v>0</v>
      </c>
      <c r="R1458" s="7" t="n">
        <f aca="false">IF(A1458="",0,COUNTIFS($A$2:$A$3058,A1458,$P$2:$P$3058,"OK"))</f>
        <v>1</v>
      </c>
      <c r="S1458" s="7" t="str">
        <f aca="false">IF(OR(A1458="",P1458="DUP",R1458&lt;2),"",IF(Q1458=_xlfn.MINIFS($Q$2:$Q$3058,$A$2:$A$3058,A1458,$P$2:$P$3058,"OK"),"KEEP","DROP"))</f>
        <v/>
      </c>
      <c r="T1458" s="9" t="n">
        <f aca="false">IF(A1458="",1,0)</f>
        <v>0</v>
      </c>
      <c r="U1458" s="9" t="n">
        <f aca="false">IF(D1458="",1,0)</f>
        <v>0</v>
      </c>
      <c r="V1458" s="9" t="n">
        <f aca="false">IF(E1458="",1,0)</f>
        <v>0</v>
      </c>
      <c r="W1458" s="9" t="n">
        <f aca="false">IF(OR(H1458&lt;1,H1458&gt;10),1,0)</f>
        <v>0</v>
      </c>
      <c r="X1458" s="9" t="n">
        <f aca="false">IF(OR(I1458&lt;=0,I1458&gt;1500),1,0)</f>
        <v>0</v>
      </c>
      <c r="Y1458" s="9" t="n">
        <f aca="false">IF(J1458&gt;H1458*I1458,1,0)</f>
        <v>0</v>
      </c>
      <c r="Z1458" s="9" t="n">
        <f aca="false">IF(AND(N1458&lt;&gt;"",OR(N1458&lt;1,N1458&gt;5)),1,0)</f>
        <v>0</v>
      </c>
      <c r="AA1458" s="9" t="n">
        <f aca="false">IF(AND(M1458&lt;&gt;"",OR(M1458&lt;5,M1458&gt;180)),1,0)</f>
        <v>0</v>
      </c>
      <c r="AB1458" s="7" t="str">
        <f aca="false">IF(P1458="DUP","Exact duplicate row",IF(T1458=1,"Missing Order ID",IF(S1458="DROP","Duplicate Order ID (less complete row)",IF(U1458=1,"Missing Customer ID",IF(V1458=1,"Missing Restaurant name",IF(W1458=1,"Invalid/outlier quantity",IF(X1458=1,"Invalid/outlier unit price",IF(Y1458=1,"Discount greater than order value",""))))))))</f>
        <v/>
      </c>
      <c r="AC1458" s="7" t="str">
        <f aca="false">IF(AB1458="","KEEP","DROP")</f>
        <v>KEEP</v>
      </c>
      <c r="AD1458" s="7" t="str">
        <f aca="false">IF(TRIM(F1458)="",IFERROR(INDEX(Map_Tables!$I$4:$I$37,MATCH(TRIM(E1458),Map_Tables!$G$4:$G$37,0)),""),IFERROR(INDEX(Map_Tables!$B$4:$B$18,MATCH(TRIM(F1458),Map_Tables!$A$4:$A$18,0)),"CHECK"))</f>
        <v>Mumbai</v>
      </c>
      <c r="AE1458" s="7" t="str">
        <f aca="false">IF(TRIM(E1458)="","",IFERROR(INDEX(Map_Tables!$H$4:$H$37,MATCH(TRIM(E1458),Map_Tables!$G$4:$G$37,0)),"CHECK"))</f>
        <v>Dragon Express</v>
      </c>
      <c r="AF1458" s="7" t="str">
        <f aca="false">IF(TRIM(K1458)="","Unknown",IFERROR(INDEX(Map_Tables!$E$4:$E$15,MATCH(TRIM(K1458),Map_Tables!$D$4:$D$15,0)),"CHECK"))</f>
        <v>Cash on Delivery</v>
      </c>
      <c r="AG1458" s="7" t="str">
        <f aca="false">IF(LEFT(LOWER(TRIM(L1458)),6)="cancel","Cancelled","Delivered")</f>
        <v>Delivered</v>
      </c>
      <c r="AH1458" s="10" t="n">
        <f aca="false">IF(ISNUMBER(SEARCH("/",B1458)),DATE(VALUE(RIGHT(B1458,4)),VALUE(MID(B1458,4,2)),VALUE(LEFT(B1458,2))),IF(MID(B1458,5,1)="-",DATE(VALUE(LEFT(B1458,4)),VALUE(MID(B1458,6,2)),VALUE(RIGHT(B1458,2))),DATE(VALUE(RIGHT(B1458,4)),MATCH(MID(B1458,4,3),{"Jan","Feb","Mar","Apr","May","Jun","Jul","Aug","Sep","Oct","Nov","Dec"},0),VALUE(LEFT(B1458,2)))))</f>
        <v>45916</v>
      </c>
    </row>
    <row r="1459" customFormat="false" ht="15" hidden="false" customHeight="false" outlineLevel="0" collapsed="false">
      <c r="A1459" s="7" t="s">
        <v>3867</v>
      </c>
      <c r="B1459" s="7" t="s">
        <v>1029</v>
      </c>
      <c r="C1459" s="7" t="s">
        <v>1133</v>
      </c>
      <c r="D1459" s="7" t="s">
        <v>3868</v>
      </c>
      <c r="E1459" s="7" t="s">
        <v>159</v>
      </c>
      <c r="F1459" s="7" t="s">
        <v>136</v>
      </c>
      <c r="G1459" s="7" t="s">
        <v>1391</v>
      </c>
      <c r="H1459" s="7" t="n">
        <v>2</v>
      </c>
      <c r="I1459" s="7" t="n">
        <v>250</v>
      </c>
      <c r="J1459" s="7" t="n">
        <v>0</v>
      </c>
      <c r="K1459" s="7" t="s">
        <v>112</v>
      </c>
      <c r="L1459" s="7" t="s">
        <v>194</v>
      </c>
      <c r="M1459" s="7" t="n">
        <v>33</v>
      </c>
      <c r="N1459" s="7"/>
      <c r="O1459" s="7" t="str">
        <f aca="false">A1459&amp;"|"&amp;B1459&amp;"|"&amp;C1459&amp;"|"&amp;D1459&amp;"|"&amp;E1459&amp;"|"&amp;F1459&amp;"|"&amp;G1459&amp;"|"&amp;H1459&amp;"|"&amp;I1459&amp;"|"&amp;J1459&amp;"|"&amp;K1459&amp;"|"&amp;L1459&amp;"|"&amp;M1459&amp;"|"&amp;N1459</f>
        <v>ORD10314|2025-02-11|20:44|C0132|Maratha Thali House|Pune|NORTH INDIAN|2|250|0|Cash on Delivery|Delivered|33|</v>
      </c>
      <c r="P1459" s="7" t="str">
        <f aca="false">IF(COUNTIF($O$2:O1459,O1459)&gt;1,"DUP","OK")</f>
        <v>OK</v>
      </c>
      <c r="Q1459" s="7" t="n">
        <f aca="false">COUNTBLANK(A1459:N1459)</f>
        <v>1</v>
      </c>
      <c r="R1459" s="7" t="n">
        <f aca="false">IF(A1459="",0,COUNTIFS($A$2:$A$3058,A1459,$P$2:$P$3058,"OK"))</f>
        <v>1</v>
      </c>
      <c r="S1459" s="7" t="str">
        <f aca="false">IF(OR(A1459="",P1459="DUP",R1459&lt;2),"",IF(Q1459=_xlfn.MINIFS($Q$2:$Q$3058,$A$2:$A$3058,A1459,$P$2:$P$3058,"OK"),"KEEP","DROP"))</f>
        <v/>
      </c>
      <c r="T1459" s="9" t="n">
        <f aca="false">IF(A1459="",1,0)</f>
        <v>0</v>
      </c>
      <c r="U1459" s="9" t="n">
        <f aca="false">IF(D1459="",1,0)</f>
        <v>0</v>
      </c>
      <c r="V1459" s="9" t="n">
        <f aca="false">IF(E1459="",1,0)</f>
        <v>0</v>
      </c>
      <c r="W1459" s="9" t="n">
        <f aca="false">IF(OR(H1459&lt;1,H1459&gt;10),1,0)</f>
        <v>0</v>
      </c>
      <c r="X1459" s="9" t="n">
        <f aca="false">IF(OR(I1459&lt;=0,I1459&gt;1500),1,0)</f>
        <v>0</v>
      </c>
      <c r="Y1459" s="9" t="n">
        <f aca="false">IF(J1459&gt;H1459*I1459,1,0)</f>
        <v>0</v>
      </c>
      <c r="Z1459" s="9" t="n">
        <f aca="false">IF(AND(N1459&lt;&gt;"",OR(N1459&lt;1,N1459&gt;5)),1,0)</f>
        <v>0</v>
      </c>
      <c r="AA1459" s="9" t="n">
        <f aca="false">IF(AND(M1459&lt;&gt;"",OR(M1459&lt;5,M1459&gt;180)),1,0)</f>
        <v>0</v>
      </c>
      <c r="AB1459" s="7" t="str">
        <f aca="false">IF(P1459="DUP","Exact duplicate row",IF(T1459=1,"Missing Order ID",IF(S1459="DROP","Duplicate Order ID (less complete row)",IF(U1459=1,"Missing Customer ID",IF(V1459=1,"Missing Restaurant name",IF(W1459=1,"Invalid/outlier quantity",IF(X1459=1,"Invalid/outlier unit price",IF(Y1459=1,"Discount greater than order value",""))))))))</f>
        <v/>
      </c>
      <c r="AC1459" s="7" t="str">
        <f aca="false">IF(AB1459="","KEEP","DROP")</f>
        <v>KEEP</v>
      </c>
      <c r="AD1459" s="7" t="str">
        <f aca="false">IF(TRIM(F1459)="",IFERROR(INDEX(Map_Tables!$I$4:$I$37,MATCH(TRIM(E1459),Map_Tables!$G$4:$G$37,0)),""),IFERROR(INDEX(Map_Tables!$B$4:$B$18,MATCH(TRIM(F1459),Map_Tables!$A$4:$A$18,0)),"CHECK"))</f>
        <v>Pune</v>
      </c>
      <c r="AE1459" s="7" t="str">
        <f aca="false">IF(TRIM(E1459)="","",IFERROR(INDEX(Map_Tables!$H$4:$H$37,MATCH(TRIM(E1459),Map_Tables!$G$4:$G$37,0)),"CHECK"))</f>
        <v>Maratha Thali House</v>
      </c>
      <c r="AF1459" s="7" t="str">
        <f aca="false">IF(TRIM(K1459)="","Unknown",IFERROR(INDEX(Map_Tables!$E$4:$E$15,MATCH(TRIM(K1459),Map_Tables!$D$4:$D$15,0)),"CHECK"))</f>
        <v>Cash on Delivery</v>
      </c>
      <c r="AG1459" s="7" t="str">
        <f aca="false">IF(LEFT(LOWER(TRIM(L1459)),6)="cancel","Cancelled","Delivered")</f>
        <v>Delivered</v>
      </c>
      <c r="AH1459" s="10" t="n">
        <f aca="false">IF(ISNUMBER(SEARCH("/",B1459)),DATE(VALUE(RIGHT(B1459,4)),VALUE(MID(B1459,4,2)),VALUE(LEFT(B1459,2))),IF(MID(B1459,5,1)="-",DATE(VALUE(LEFT(B1459,4)),VALUE(MID(B1459,6,2)),VALUE(RIGHT(B1459,2))),DATE(VALUE(RIGHT(B1459,4)),MATCH(MID(B1459,4,3),{"Jan","Feb","Mar","Apr","May","Jun","Jul","Aug","Sep","Oct","Nov","Dec"},0),VALUE(LEFT(B1459,2)))))</f>
        <v>45699</v>
      </c>
    </row>
    <row r="1460" customFormat="false" ht="15" hidden="false" customHeight="false" outlineLevel="0" collapsed="false">
      <c r="A1460" s="7" t="s">
        <v>3869</v>
      </c>
      <c r="B1460" s="7" t="s">
        <v>671</v>
      </c>
      <c r="C1460" s="7" t="s">
        <v>3870</v>
      </c>
      <c r="D1460" s="7" t="s">
        <v>3871</v>
      </c>
      <c r="E1460" s="7" t="s">
        <v>142</v>
      </c>
      <c r="F1460" s="7" t="s">
        <v>110</v>
      </c>
      <c r="G1460" s="7" t="s">
        <v>105</v>
      </c>
      <c r="H1460" s="7" t="n">
        <v>1</v>
      </c>
      <c r="I1460" s="7" t="n">
        <v>175</v>
      </c>
      <c r="J1460" s="7" t="n">
        <v>70</v>
      </c>
      <c r="K1460" s="7" t="s">
        <v>421</v>
      </c>
      <c r="L1460" s="7" t="s">
        <v>194</v>
      </c>
      <c r="M1460" s="7" t="n">
        <v>48</v>
      </c>
      <c r="N1460" s="7" t="n">
        <v>3</v>
      </c>
      <c r="O1460" s="7" t="str">
        <f aca="false">A1460&amp;"|"&amp;B1460&amp;"|"&amp;C1460&amp;"|"&amp;D1460&amp;"|"&amp;E1460&amp;"|"&amp;F1460&amp;"|"&amp;G1460&amp;"|"&amp;H1460&amp;"|"&amp;I1460&amp;"|"&amp;J1460&amp;"|"&amp;K1460&amp;"|"&amp;L1460&amp;"|"&amp;M1460&amp;"|"&amp;N1460</f>
        <v>ORD12564|2025-11-14|22:23|C0550|Momo Magic|Delhi|Chinese|1|175|70|UPI |Delivered|48|3</v>
      </c>
      <c r="P1460" s="7" t="str">
        <f aca="false">IF(COUNTIF($O$2:O1460,O1460)&gt;1,"DUP","OK")</f>
        <v>OK</v>
      </c>
      <c r="Q1460" s="7" t="n">
        <f aca="false">COUNTBLANK(A1460:N1460)</f>
        <v>0</v>
      </c>
      <c r="R1460" s="7" t="n">
        <f aca="false">IF(A1460="",0,COUNTIFS($A$2:$A$3058,A1460,$P$2:$P$3058,"OK"))</f>
        <v>1</v>
      </c>
      <c r="S1460" s="7" t="str">
        <f aca="false">IF(OR(A1460="",P1460="DUP",R1460&lt;2),"",IF(Q1460=_xlfn.MINIFS($Q$2:$Q$3058,$A$2:$A$3058,A1460,$P$2:$P$3058,"OK"),"KEEP","DROP"))</f>
        <v/>
      </c>
      <c r="T1460" s="9" t="n">
        <f aca="false">IF(A1460="",1,0)</f>
        <v>0</v>
      </c>
      <c r="U1460" s="9" t="n">
        <f aca="false">IF(D1460="",1,0)</f>
        <v>0</v>
      </c>
      <c r="V1460" s="9" t="n">
        <f aca="false">IF(E1460="",1,0)</f>
        <v>0</v>
      </c>
      <c r="W1460" s="9" t="n">
        <f aca="false">IF(OR(H1460&lt;1,H1460&gt;10),1,0)</f>
        <v>0</v>
      </c>
      <c r="X1460" s="9" t="n">
        <f aca="false">IF(OR(I1460&lt;=0,I1460&gt;1500),1,0)</f>
        <v>0</v>
      </c>
      <c r="Y1460" s="9" t="n">
        <f aca="false">IF(J1460&gt;H1460*I1460,1,0)</f>
        <v>0</v>
      </c>
      <c r="Z1460" s="9" t="n">
        <f aca="false">IF(AND(N1460&lt;&gt;"",OR(N1460&lt;1,N1460&gt;5)),1,0)</f>
        <v>0</v>
      </c>
      <c r="AA1460" s="9" t="n">
        <f aca="false">IF(AND(M1460&lt;&gt;"",OR(M1460&lt;5,M1460&gt;180)),1,0)</f>
        <v>0</v>
      </c>
      <c r="AB1460" s="7" t="str">
        <f aca="false">IF(P1460="DUP","Exact duplicate row",IF(T1460=1,"Missing Order ID",IF(S1460="DROP","Duplicate Order ID (less complete row)",IF(U1460=1,"Missing Customer ID",IF(V1460=1,"Missing Restaurant name",IF(W1460=1,"Invalid/outlier quantity",IF(X1460=1,"Invalid/outlier unit price",IF(Y1460=1,"Discount greater than order value",""))))))))</f>
        <v/>
      </c>
      <c r="AC1460" s="7" t="str">
        <f aca="false">IF(AB1460="","KEEP","DROP")</f>
        <v>KEEP</v>
      </c>
      <c r="AD1460" s="7" t="str">
        <f aca="false">IF(TRIM(F1460)="",IFERROR(INDEX(Map_Tables!$I$4:$I$37,MATCH(TRIM(E1460),Map_Tables!$G$4:$G$37,0)),""),IFERROR(INDEX(Map_Tables!$B$4:$B$18,MATCH(TRIM(F1460),Map_Tables!$A$4:$A$18,0)),"CHECK"))</f>
        <v>Delhi</v>
      </c>
      <c r="AE1460" s="7" t="str">
        <f aca="false">IF(TRIM(E1460)="","",IFERROR(INDEX(Map_Tables!$H$4:$H$37,MATCH(TRIM(E1460),Map_Tables!$G$4:$G$37,0)),"CHECK"))</f>
        <v>Momo Magic</v>
      </c>
      <c r="AF1460" s="7" t="str">
        <f aca="false">IF(TRIM(K1460)="","Unknown",IFERROR(INDEX(Map_Tables!$E$4:$E$15,MATCH(TRIM(K1460),Map_Tables!$D$4:$D$15,0)),"CHECK"))</f>
        <v>UPI</v>
      </c>
      <c r="AG1460" s="7" t="str">
        <f aca="false">IF(LEFT(LOWER(TRIM(L1460)),6)="cancel","Cancelled","Delivered")</f>
        <v>Delivered</v>
      </c>
      <c r="AH1460" s="10" t="n">
        <f aca="false">IF(ISNUMBER(SEARCH("/",B1460)),DATE(VALUE(RIGHT(B1460,4)),VALUE(MID(B1460,4,2)),VALUE(LEFT(B1460,2))),IF(MID(B1460,5,1)="-",DATE(VALUE(LEFT(B1460,4)),VALUE(MID(B1460,6,2)),VALUE(RIGHT(B1460,2))),DATE(VALUE(RIGHT(B1460,4)),MATCH(MID(B1460,4,3),{"Jan","Feb","Mar","Apr","May","Jun","Jul","Aug","Sep","Oct","Nov","Dec"},0),VALUE(LEFT(B1460,2)))))</f>
        <v>45975</v>
      </c>
    </row>
    <row r="1461" customFormat="false" ht="15" hidden="false" customHeight="false" outlineLevel="0" collapsed="false">
      <c r="A1461" s="7" t="s">
        <v>3872</v>
      </c>
      <c r="B1461" s="7" t="s">
        <v>503</v>
      </c>
      <c r="C1461" s="7" t="s">
        <v>1036</v>
      </c>
      <c r="D1461" s="7" t="s">
        <v>3502</v>
      </c>
      <c r="E1461" s="7" t="s">
        <v>98</v>
      </c>
      <c r="F1461" s="7" t="s">
        <v>729</v>
      </c>
      <c r="G1461" s="7" t="s">
        <v>99</v>
      </c>
      <c r="H1461" s="7" t="n">
        <v>1</v>
      </c>
      <c r="I1461" s="7" t="n">
        <v>295</v>
      </c>
      <c r="J1461" s="7" t="n">
        <v>0</v>
      </c>
      <c r="K1461" s="7" t="s">
        <v>88</v>
      </c>
      <c r="L1461" s="7" t="s">
        <v>194</v>
      </c>
      <c r="M1461" s="7" t="n">
        <v>29</v>
      </c>
      <c r="N1461" s="7" t="n">
        <v>5</v>
      </c>
      <c r="O1461" s="7" t="str">
        <f aca="false">A1461&amp;"|"&amp;B1461&amp;"|"&amp;C1461&amp;"|"&amp;D1461&amp;"|"&amp;E1461&amp;"|"&amp;F1461&amp;"|"&amp;G1461&amp;"|"&amp;H1461&amp;"|"&amp;I1461&amp;"|"&amp;J1461&amp;"|"&amp;K1461&amp;"|"&amp;L1461&amp;"|"&amp;M1461&amp;"|"&amp;N1461</f>
        <v>ORD11551|2025-07-21|15:54|C0888|Nawabi Biryani House|BENGALURU|Biryani|1|295|0|UPI|Delivered|29|5</v>
      </c>
      <c r="P1461" s="7" t="str">
        <f aca="false">IF(COUNTIF($O$2:O1461,O1461)&gt;1,"DUP","OK")</f>
        <v>OK</v>
      </c>
      <c r="Q1461" s="7" t="n">
        <f aca="false">COUNTBLANK(A1461:N1461)</f>
        <v>0</v>
      </c>
      <c r="R1461" s="7" t="n">
        <f aca="false">IF(A1461="",0,COUNTIFS($A$2:$A$3058,A1461,$P$2:$P$3058,"OK"))</f>
        <v>1</v>
      </c>
      <c r="S1461" s="7" t="str">
        <f aca="false">IF(OR(A1461="",P1461="DUP",R1461&lt;2),"",IF(Q1461=_xlfn.MINIFS($Q$2:$Q$3058,$A$2:$A$3058,A1461,$P$2:$P$3058,"OK"),"KEEP","DROP"))</f>
        <v/>
      </c>
      <c r="T1461" s="9" t="n">
        <f aca="false">IF(A1461="",1,0)</f>
        <v>0</v>
      </c>
      <c r="U1461" s="9" t="n">
        <f aca="false">IF(D1461="",1,0)</f>
        <v>0</v>
      </c>
      <c r="V1461" s="9" t="n">
        <f aca="false">IF(E1461="",1,0)</f>
        <v>0</v>
      </c>
      <c r="W1461" s="9" t="n">
        <f aca="false">IF(OR(H1461&lt;1,H1461&gt;10),1,0)</f>
        <v>0</v>
      </c>
      <c r="X1461" s="9" t="n">
        <f aca="false">IF(OR(I1461&lt;=0,I1461&gt;1500),1,0)</f>
        <v>0</v>
      </c>
      <c r="Y1461" s="9" t="n">
        <f aca="false">IF(J1461&gt;H1461*I1461,1,0)</f>
        <v>0</v>
      </c>
      <c r="Z1461" s="9" t="n">
        <f aca="false">IF(AND(N1461&lt;&gt;"",OR(N1461&lt;1,N1461&gt;5)),1,0)</f>
        <v>0</v>
      </c>
      <c r="AA1461" s="9" t="n">
        <f aca="false">IF(AND(M1461&lt;&gt;"",OR(M1461&lt;5,M1461&gt;180)),1,0)</f>
        <v>0</v>
      </c>
      <c r="AB1461" s="7" t="str">
        <f aca="false">IF(P1461="DUP","Exact duplicate row",IF(T1461=1,"Missing Order ID",IF(S1461="DROP","Duplicate Order ID (less complete row)",IF(U1461=1,"Missing Customer ID",IF(V1461=1,"Missing Restaurant name",IF(W1461=1,"Invalid/outlier quantity",IF(X1461=1,"Invalid/outlier unit price",IF(Y1461=1,"Discount greater than order value",""))))))))</f>
        <v/>
      </c>
      <c r="AC1461" s="7" t="str">
        <f aca="false">IF(AB1461="","KEEP","DROP")</f>
        <v>KEEP</v>
      </c>
      <c r="AD1461" s="7" t="str">
        <f aca="false">IF(TRIM(F1461)="",IFERROR(INDEX(Map_Tables!$I$4:$I$37,MATCH(TRIM(E1461),Map_Tables!$G$4:$G$37,0)),""),IFERROR(INDEX(Map_Tables!$B$4:$B$18,MATCH(TRIM(F1461),Map_Tables!$A$4:$A$18,0)),"CHECK"))</f>
        <v>Bengaluru</v>
      </c>
      <c r="AE1461" s="7" t="str">
        <f aca="false">IF(TRIM(E1461)="","",IFERROR(INDEX(Map_Tables!$H$4:$H$37,MATCH(TRIM(E1461),Map_Tables!$G$4:$G$37,0)),"CHECK"))</f>
        <v>Nawabi Biryani House</v>
      </c>
      <c r="AF1461" s="7" t="str">
        <f aca="false">IF(TRIM(K1461)="","Unknown",IFERROR(INDEX(Map_Tables!$E$4:$E$15,MATCH(TRIM(K1461),Map_Tables!$D$4:$D$15,0)),"CHECK"))</f>
        <v>UPI</v>
      </c>
      <c r="AG1461" s="7" t="str">
        <f aca="false">IF(LEFT(LOWER(TRIM(L1461)),6)="cancel","Cancelled","Delivered")</f>
        <v>Delivered</v>
      </c>
      <c r="AH1461" s="10" t="n">
        <f aca="false">IF(ISNUMBER(SEARCH("/",B1461)),DATE(VALUE(RIGHT(B1461,4)),VALUE(MID(B1461,4,2)),VALUE(LEFT(B1461,2))),IF(MID(B1461,5,1)="-",DATE(VALUE(LEFT(B1461,4)),VALUE(MID(B1461,6,2)),VALUE(RIGHT(B1461,2))),DATE(VALUE(RIGHT(B1461,4)),MATCH(MID(B1461,4,3),{"Jan","Feb","Mar","Apr","May","Jun","Jul","Aug","Sep","Oct","Nov","Dec"},0),VALUE(LEFT(B1461,2)))))</f>
        <v>45859</v>
      </c>
    </row>
    <row r="1462" customFormat="false" ht="15" hidden="false" customHeight="false" outlineLevel="0" collapsed="false">
      <c r="A1462" s="7" t="s">
        <v>3873</v>
      </c>
      <c r="B1462" s="7" t="s">
        <v>1872</v>
      </c>
      <c r="C1462" s="7" t="s">
        <v>1387</v>
      </c>
      <c r="D1462" s="7" t="s">
        <v>3874</v>
      </c>
      <c r="E1462" s="7" t="s">
        <v>113</v>
      </c>
      <c r="F1462" s="7" t="s">
        <v>101</v>
      </c>
      <c r="G1462" s="7" t="s">
        <v>90</v>
      </c>
      <c r="H1462" s="7" t="n">
        <v>2</v>
      </c>
      <c r="I1462" s="7" t="n">
        <v>220</v>
      </c>
      <c r="J1462" s="7" t="n">
        <v>0</v>
      </c>
      <c r="K1462" s="7" t="s">
        <v>87</v>
      </c>
      <c r="L1462" s="7" t="s">
        <v>194</v>
      </c>
      <c r="M1462" s="7" t="n">
        <v>32</v>
      </c>
      <c r="N1462" s="7" t="n">
        <v>5</v>
      </c>
      <c r="O1462" s="7" t="str">
        <f aca="false">A1462&amp;"|"&amp;B1462&amp;"|"&amp;C1462&amp;"|"&amp;D1462&amp;"|"&amp;E1462&amp;"|"&amp;F1462&amp;"|"&amp;G1462&amp;"|"&amp;H1462&amp;"|"&amp;I1462&amp;"|"&amp;J1462&amp;"|"&amp;K1462&amp;"|"&amp;L1462&amp;"|"&amp;M1462&amp;"|"&amp;N1462</f>
        <v>ORD10594|2025-03-16|20:59|C1401|Curry Leaf Kitchen|Mumbai|North Indian|2|220|0|upi|Delivered|32|5</v>
      </c>
      <c r="P1462" s="7" t="str">
        <f aca="false">IF(COUNTIF($O$2:O1462,O1462)&gt;1,"DUP","OK")</f>
        <v>OK</v>
      </c>
      <c r="Q1462" s="7" t="n">
        <f aca="false">COUNTBLANK(A1462:N1462)</f>
        <v>0</v>
      </c>
      <c r="R1462" s="7" t="n">
        <f aca="false">IF(A1462="",0,COUNTIFS($A$2:$A$3058,A1462,$P$2:$P$3058,"OK"))</f>
        <v>1</v>
      </c>
      <c r="S1462" s="7" t="str">
        <f aca="false">IF(OR(A1462="",P1462="DUP",R1462&lt;2),"",IF(Q1462=_xlfn.MINIFS($Q$2:$Q$3058,$A$2:$A$3058,A1462,$P$2:$P$3058,"OK"),"KEEP","DROP"))</f>
        <v/>
      </c>
      <c r="T1462" s="9" t="n">
        <f aca="false">IF(A1462="",1,0)</f>
        <v>0</v>
      </c>
      <c r="U1462" s="9" t="n">
        <f aca="false">IF(D1462="",1,0)</f>
        <v>0</v>
      </c>
      <c r="V1462" s="9" t="n">
        <f aca="false">IF(E1462="",1,0)</f>
        <v>0</v>
      </c>
      <c r="W1462" s="9" t="n">
        <f aca="false">IF(OR(H1462&lt;1,H1462&gt;10),1,0)</f>
        <v>0</v>
      </c>
      <c r="X1462" s="9" t="n">
        <f aca="false">IF(OR(I1462&lt;=0,I1462&gt;1500),1,0)</f>
        <v>0</v>
      </c>
      <c r="Y1462" s="9" t="n">
        <f aca="false">IF(J1462&gt;H1462*I1462,1,0)</f>
        <v>0</v>
      </c>
      <c r="Z1462" s="9" t="n">
        <f aca="false">IF(AND(N1462&lt;&gt;"",OR(N1462&lt;1,N1462&gt;5)),1,0)</f>
        <v>0</v>
      </c>
      <c r="AA1462" s="9" t="n">
        <f aca="false">IF(AND(M1462&lt;&gt;"",OR(M1462&lt;5,M1462&gt;180)),1,0)</f>
        <v>0</v>
      </c>
      <c r="AB1462" s="7" t="str">
        <f aca="false">IF(P1462="DUP","Exact duplicate row",IF(T1462=1,"Missing Order ID",IF(S1462="DROP","Duplicate Order ID (less complete row)",IF(U1462=1,"Missing Customer ID",IF(V1462=1,"Missing Restaurant name",IF(W1462=1,"Invalid/outlier quantity",IF(X1462=1,"Invalid/outlier unit price",IF(Y1462=1,"Discount greater than order value",""))))))))</f>
        <v/>
      </c>
      <c r="AC1462" s="7" t="str">
        <f aca="false">IF(AB1462="","KEEP","DROP")</f>
        <v>KEEP</v>
      </c>
      <c r="AD1462" s="7" t="str">
        <f aca="false">IF(TRIM(F1462)="",IFERROR(INDEX(Map_Tables!$I$4:$I$37,MATCH(TRIM(E1462),Map_Tables!$G$4:$G$37,0)),""),IFERROR(INDEX(Map_Tables!$B$4:$B$18,MATCH(TRIM(F1462),Map_Tables!$A$4:$A$18,0)),"CHECK"))</f>
        <v>Mumbai</v>
      </c>
      <c r="AE1462" s="7" t="str">
        <f aca="false">IF(TRIM(E1462)="","",IFERROR(INDEX(Map_Tables!$H$4:$H$37,MATCH(TRIM(E1462),Map_Tables!$G$4:$G$37,0)),"CHECK"))</f>
        <v>Curry Leaf Kitchen</v>
      </c>
      <c r="AF1462" s="7" t="str">
        <f aca="false">IF(TRIM(K1462)="","Unknown",IFERROR(INDEX(Map_Tables!$E$4:$E$15,MATCH(TRIM(K1462),Map_Tables!$D$4:$D$15,0)),"CHECK"))</f>
        <v>UPI</v>
      </c>
      <c r="AG1462" s="7" t="str">
        <f aca="false">IF(LEFT(LOWER(TRIM(L1462)),6)="cancel","Cancelled","Delivered")</f>
        <v>Delivered</v>
      </c>
      <c r="AH1462" s="10" t="n">
        <f aca="false">IF(ISNUMBER(SEARCH("/",B1462)),DATE(VALUE(RIGHT(B1462,4)),VALUE(MID(B1462,4,2)),VALUE(LEFT(B1462,2))),IF(MID(B1462,5,1)="-",DATE(VALUE(LEFT(B1462,4)),VALUE(MID(B1462,6,2)),VALUE(RIGHT(B1462,2))),DATE(VALUE(RIGHT(B1462,4)),MATCH(MID(B1462,4,3),{"Jan","Feb","Mar","Apr","May","Jun","Jul","Aug","Sep","Oct","Nov","Dec"},0),VALUE(LEFT(B1462,2)))))</f>
        <v>45732</v>
      </c>
    </row>
    <row r="1463" customFormat="false" ht="15" hidden="false" customHeight="false" outlineLevel="0" collapsed="false">
      <c r="A1463" s="7" t="s">
        <v>3875</v>
      </c>
      <c r="B1463" s="7" t="s">
        <v>2461</v>
      </c>
      <c r="C1463" s="7" t="s">
        <v>443</v>
      </c>
      <c r="D1463" s="7" t="s">
        <v>3876</v>
      </c>
      <c r="E1463" s="7" t="s">
        <v>98</v>
      </c>
      <c r="F1463" s="7" t="s">
        <v>86</v>
      </c>
      <c r="G1463" s="7" t="s">
        <v>99</v>
      </c>
      <c r="H1463" s="7" t="n">
        <v>2</v>
      </c>
      <c r="I1463" s="7" t="n">
        <v>300</v>
      </c>
      <c r="J1463" s="7" t="n">
        <v>0</v>
      </c>
      <c r="K1463" s="7" t="s">
        <v>121</v>
      </c>
      <c r="L1463" s="7" t="s">
        <v>194</v>
      </c>
      <c r="M1463" s="7" t="n">
        <v>-12</v>
      </c>
      <c r="N1463" s="7" t="n">
        <v>5</v>
      </c>
      <c r="O1463" s="7" t="str">
        <f aca="false">A1463&amp;"|"&amp;B1463&amp;"|"&amp;C1463&amp;"|"&amp;D1463&amp;"|"&amp;E1463&amp;"|"&amp;F1463&amp;"|"&amp;G1463&amp;"|"&amp;H1463&amp;"|"&amp;I1463&amp;"|"&amp;J1463&amp;"|"&amp;K1463&amp;"|"&amp;L1463&amp;"|"&amp;M1463&amp;"|"&amp;N1463</f>
        <v>ORD10971|2025-05-02|22:51|C0836|Nawabi Biryani House|Bengaluru|Biryani|2|300|0|Wallet|Delivered|-12|5</v>
      </c>
      <c r="P1463" s="7" t="str">
        <f aca="false">IF(COUNTIF($O$2:O1463,O1463)&gt;1,"DUP","OK")</f>
        <v>OK</v>
      </c>
      <c r="Q1463" s="7" t="n">
        <f aca="false">COUNTBLANK(A1463:N1463)</f>
        <v>0</v>
      </c>
      <c r="R1463" s="7" t="n">
        <f aca="false">IF(A1463="",0,COUNTIFS($A$2:$A$3058,A1463,$P$2:$P$3058,"OK"))</f>
        <v>1</v>
      </c>
      <c r="S1463" s="7" t="str">
        <f aca="false">IF(OR(A1463="",P1463="DUP",R1463&lt;2),"",IF(Q1463=_xlfn.MINIFS($Q$2:$Q$3058,$A$2:$A$3058,A1463,$P$2:$P$3058,"OK"),"KEEP","DROP"))</f>
        <v/>
      </c>
      <c r="T1463" s="9" t="n">
        <f aca="false">IF(A1463="",1,0)</f>
        <v>0</v>
      </c>
      <c r="U1463" s="9" t="n">
        <f aca="false">IF(D1463="",1,0)</f>
        <v>0</v>
      </c>
      <c r="V1463" s="9" t="n">
        <f aca="false">IF(E1463="",1,0)</f>
        <v>0</v>
      </c>
      <c r="W1463" s="9" t="n">
        <f aca="false">IF(OR(H1463&lt;1,H1463&gt;10),1,0)</f>
        <v>0</v>
      </c>
      <c r="X1463" s="9" t="n">
        <f aca="false">IF(OR(I1463&lt;=0,I1463&gt;1500),1,0)</f>
        <v>0</v>
      </c>
      <c r="Y1463" s="9" t="n">
        <f aca="false">IF(J1463&gt;H1463*I1463,1,0)</f>
        <v>0</v>
      </c>
      <c r="Z1463" s="9" t="n">
        <f aca="false">IF(AND(N1463&lt;&gt;"",OR(N1463&lt;1,N1463&gt;5)),1,0)</f>
        <v>0</v>
      </c>
      <c r="AA1463" s="9" t="n">
        <f aca="false">IF(AND(M1463&lt;&gt;"",OR(M1463&lt;5,M1463&gt;180)),1,0)</f>
        <v>1</v>
      </c>
      <c r="AB1463" s="7" t="str">
        <f aca="false">IF(P1463="DUP","Exact duplicate row",IF(T1463=1,"Missing Order ID",IF(S1463="DROP","Duplicate Order ID (less complete row)",IF(U1463=1,"Missing Customer ID",IF(V1463=1,"Missing Restaurant name",IF(W1463=1,"Invalid/outlier quantity",IF(X1463=1,"Invalid/outlier unit price",IF(Y1463=1,"Discount greater than order value",""))))))))</f>
        <v/>
      </c>
      <c r="AC1463" s="7" t="str">
        <f aca="false">IF(AB1463="","KEEP","DROP")</f>
        <v>KEEP</v>
      </c>
      <c r="AD1463" s="7" t="str">
        <f aca="false">IF(TRIM(F1463)="",IFERROR(INDEX(Map_Tables!$I$4:$I$37,MATCH(TRIM(E1463),Map_Tables!$G$4:$G$37,0)),""),IFERROR(INDEX(Map_Tables!$B$4:$B$18,MATCH(TRIM(F1463),Map_Tables!$A$4:$A$18,0)),"CHECK"))</f>
        <v>Bengaluru</v>
      </c>
      <c r="AE1463" s="7" t="str">
        <f aca="false">IF(TRIM(E1463)="","",IFERROR(INDEX(Map_Tables!$H$4:$H$37,MATCH(TRIM(E1463),Map_Tables!$G$4:$G$37,0)),"CHECK"))</f>
        <v>Nawabi Biryani House</v>
      </c>
      <c r="AF1463" s="7" t="str">
        <f aca="false">IF(TRIM(K1463)="","Unknown",IFERROR(INDEX(Map_Tables!$E$4:$E$15,MATCH(TRIM(K1463),Map_Tables!$D$4:$D$15,0)),"CHECK"))</f>
        <v>Wallet</v>
      </c>
      <c r="AG1463" s="7" t="str">
        <f aca="false">IF(LEFT(LOWER(TRIM(L1463)),6)="cancel","Cancelled","Delivered")</f>
        <v>Delivered</v>
      </c>
      <c r="AH1463" s="10" t="n">
        <f aca="false">IF(ISNUMBER(SEARCH("/",B1463)),DATE(VALUE(RIGHT(B1463,4)),VALUE(MID(B1463,4,2)),VALUE(LEFT(B1463,2))),IF(MID(B1463,5,1)="-",DATE(VALUE(LEFT(B1463,4)),VALUE(MID(B1463,6,2)),VALUE(RIGHT(B1463,2))),DATE(VALUE(RIGHT(B1463,4)),MATCH(MID(B1463,4,3),{"Jan","Feb","Mar","Apr","May","Jun","Jul","Aug","Sep","Oct","Nov","Dec"},0),VALUE(LEFT(B1463,2)))))</f>
        <v>45779</v>
      </c>
    </row>
    <row r="1464" customFormat="false" ht="15" hidden="false" customHeight="false" outlineLevel="0" collapsed="false">
      <c r="A1464" s="7" t="s">
        <v>3877</v>
      </c>
      <c r="B1464" s="7" t="s">
        <v>381</v>
      </c>
      <c r="C1464" s="7" t="s">
        <v>3758</v>
      </c>
      <c r="D1464" s="7" t="s">
        <v>3127</v>
      </c>
      <c r="E1464" s="7" t="s">
        <v>89</v>
      </c>
      <c r="F1464" s="7" t="s">
        <v>86</v>
      </c>
      <c r="G1464" s="7" t="s">
        <v>90</v>
      </c>
      <c r="H1464" s="7" t="n">
        <v>1</v>
      </c>
      <c r="I1464" s="7" t="n">
        <v>225</v>
      </c>
      <c r="J1464" s="7" t="n">
        <v>0</v>
      </c>
      <c r="K1464" s="7" t="s">
        <v>298</v>
      </c>
      <c r="L1464" s="7" t="s">
        <v>194</v>
      </c>
      <c r="M1464" s="7" t="n">
        <v>37</v>
      </c>
      <c r="N1464" s="7" t="n">
        <v>3</v>
      </c>
      <c r="O1464" s="7" t="str">
        <f aca="false">A1464&amp;"|"&amp;B1464&amp;"|"&amp;C1464&amp;"|"&amp;D1464&amp;"|"&amp;E1464&amp;"|"&amp;F1464&amp;"|"&amp;G1464&amp;"|"&amp;H1464&amp;"|"&amp;I1464&amp;"|"&amp;J1464&amp;"|"&amp;K1464&amp;"|"&amp;L1464&amp;"|"&amp;M1464&amp;"|"&amp;N1464</f>
        <v>ORD10203|2025-01-28|10:13|C1459|Spice Junction|Bengaluru|North Indian|1|225|0|Cash On Delivery|Delivered|37|3</v>
      </c>
      <c r="P1464" s="7" t="str">
        <f aca="false">IF(COUNTIF($O$2:O1464,O1464)&gt;1,"DUP","OK")</f>
        <v>OK</v>
      </c>
      <c r="Q1464" s="7" t="n">
        <f aca="false">COUNTBLANK(A1464:N1464)</f>
        <v>0</v>
      </c>
      <c r="R1464" s="7" t="n">
        <f aca="false">IF(A1464="",0,COUNTIFS($A$2:$A$3058,A1464,$P$2:$P$3058,"OK"))</f>
        <v>1</v>
      </c>
      <c r="S1464" s="7" t="str">
        <f aca="false">IF(OR(A1464="",P1464="DUP",R1464&lt;2),"",IF(Q1464=_xlfn.MINIFS($Q$2:$Q$3058,$A$2:$A$3058,A1464,$P$2:$P$3058,"OK"),"KEEP","DROP"))</f>
        <v/>
      </c>
      <c r="T1464" s="9" t="n">
        <f aca="false">IF(A1464="",1,0)</f>
        <v>0</v>
      </c>
      <c r="U1464" s="9" t="n">
        <f aca="false">IF(D1464="",1,0)</f>
        <v>0</v>
      </c>
      <c r="V1464" s="9" t="n">
        <f aca="false">IF(E1464="",1,0)</f>
        <v>0</v>
      </c>
      <c r="W1464" s="9" t="n">
        <f aca="false">IF(OR(H1464&lt;1,H1464&gt;10),1,0)</f>
        <v>0</v>
      </c>
      <c r="X1464" s="9" t="n">
        <f aca="false">IF(OR(I1464&lt;=0,I1464&gt;1500),1,0)</f>
        <v>0</v>
      </c>
      <c r="Y1464" s="9" t="n">
        <f aca="false">IF(J1464&gt;H1464*I1464,1,0)</f>
        <v>0</v>
      </c>
      <c r="Z1464" s="9" t="n">
        <f aca="false">IF(AND(N1464&lt;&gt;"",OR(N1464&lt;1,N1464&gt;5)),1,0)</f>
        <v>0</v>
      </c>
      <c r="AA1464" s="9" t="n">
        <f aca="false">IF(AND(M1464&lt;&gt;"",OR(M1464&lt;5,M1464&gt;180)),1,0)</f>
        <v>0</v>
      </c>
      <c r="AB1464" s="7" t="str">
        <f aca="false">IF(P1464="DUP","Exact duplicate row",IF(T1464=1,"Missing Order ID",IF(S1464="DROP","Duplicate Order ID (less complete row)",IF(U1464=1,"Missing Customer ID",IF(V1464=1,"Missing Restaurant name",IF(W1464=1,"Invalid/outlier quantity",IF(X1464=1,"Invalid/outlier unit price",IF(Y1464=1,"Discount greater than order value",""))))))))</f>
        <v/>
      </c>
      <c r="AC1464" s="7" t="str">
        <f aca="false">IF(AB1464="","KEEP","DROP")</f>
        <v>KEEP</v>
      </c>
      <c r="AD1464" s="7" t="str">
        <f aca="false">IF(TRIM(F1464)="",IFERROR(INDEX(Map_Tables!$I$4:$I$37,MATCH(TRIM(E1464),Map_Tables!$G$4:$G$37,0)),""),IFERROR(INDEX(Map_Tables!$B$4:$B$18,MATCH(TRIM(F1464),Map_Tables!$A$4:$A$18,0)),"CHECK"))</f>
        <v>Bengaluru</v>
      </c>
      <c r="AE1464" s="7" t="str">
        <f aca="false">IF(TRIM(E1464)="","",IFERROR(INDEX(Map_Tables!$H$4:$H$37,MATCH(TRIM(E1464),Map_Tables!$G$4:$G$37,0)),"CHECK"))</f>
        <v>Spice Junction</v>
      </c>
      <c r="AF1464" s="7" t="str">
        <f aca="false">IF(TRIM(K1464)="","Unknown",IFERROR(INDEX(Map_Tables!$E$4:$E$15,MATCH(TRIM(K1464),Map_Tables!$D$4:$D$15,0)),"CHECK"))</f>
        <v>Cash on Delivery</v>
      </c>
      <c r="AG1464" s="7" t="str">
        <f aca="false">IF(LEFT(LOWER(TRIM(L1464)),6)="cancel","Cancelled","Delivered")</f>
        <v>Delivered</v>
      </c>
      <c r="AH1464" s="10" t="n">
        <f aca="false">IF(ISNUMBER(SEARCH("/",B1464)),DATE(VALUE(RIGHT(B1464,4)),VALUE(MID(B1464,4,2)),VALUE(LEFT(B1464,2))),IF(MID(B1464,5,1)="-",DATE(VALUE(LEFT(B1464,4)),VALUE(MID(B1464,6,2)),VALUE(RIGHT(B1464,2))),DATE(VALUE(RIGHT(B1464,4)),MATCH(MID(B1464,4,3),{"Jan","Feb","Mar","Apr","May","Jun","Jul","Aug","Sep","Oct","Nov","Dec"},0),VALUE(LEFT(B1464,2)))))</f>
        <v>45685</v>
      </c>
    </row>
    <row r="1465" customFormat="false" ht="15" hidden="false" customHeight="false" outlineLevel="0" collapsed="false">
      <c r="A1465" s="7" t="s">
        <v>3878</v>
      </c>
      <c r="B1465" s="7" t="s">
        <v>1096</v>
      </c>
      <c r="C1465" s="7" t="s">
        <v>2042</v>
      </c>
      <c r="D1465" s="7" t="s">
        <v>1435</v>
      </c>
      <c r="E1465" s="7" t="s">
        <v>149</v>
      </c>
      <c r="F1465" s="7" t="s">
        <v>119</v>
      </c>
      <c r="G1465" s="7" t="s">
        <v>150</v>
      </c>
      <c r="H1465" s="7" t="n">
        <v>2</v>
      </c>
      <c r="I1465" s="7" t="n">
        <v>150</v>
      </c>
      <c r="J1465" s="7" t="n">
        <v>0</v>
      </c>
      <c r="K1465" s="7" t="s">
        <v>88</v>
      </c>
      <c r="L1465" s="7" t="s">
        <v>194</v>
      </c>
      <c r="M1465" s="7" t="n">
        <v>53</v>
      </c>
      <c r="N1465" s="7" t="n">
        <v>4</v>
      </c>
      <c r="O1465" s="7" t="str">
        <f aca="false">A1465&amp;"|"&amp;B1465&amp;"|"&amp;C1465&amp;"|"&amp;D1465&amp;"|"&amp;E1465&amp;"|"&amp;F1465&amp;"|"&amp;G1465&amp;"|"&amp;H1465&amp;"|"&amp;I1465&amp;"|"&amp;J1465&amp;"|"&amp;K1465&amp;"|"&amp;L1465&amp;"|"&amp;M1465&amp;"|"&amp;N1465</f>
        <v>ORD12373|2025-10-26|17:22|C0137|Sweet Tooth Studio|Hyderabad|Desserts|2|150|0|UPI|Delivered|53|4</v>
      </c>
      <c r="P1465" s="7" t="str">
        <f aca="false">IF(COUNTIF($O$2:O1465,O1465)&gt;1,"DUP","OK")</f>
        <v>OK</v>
      </c>
      <c r="Q1465" s="7" t="n">
        <f aca="false">COUNTBLANK(A1465:N1465)</f>
        <v>0</v>
      </c>
      <c r="R1465" s="7" t="n">
        <f aca="false">IF(A1465="",0,COUNTIFS($A$2:$A$3058,A1465,$P$2:$P$3058,"OK"))</f>
        <v>1</v>
      </c>
      <c r="S1465" s="7" t="str">
        <f aca="false">IF(OR(A1465="",P1465="DUP",R1465&lt;2),"",IF(Q1465=_xlfn.MINIFS($Q$2:$Q$3058,$A$2:$A$3058,A1465,$P$2:$P$3058,"OK"),"KEEP","DROP"))</f>
        <v/>
      </c>
      <c r="T1465" s="9" t="n">
        <f aca="false">IF(A1465="",1,0)</f>
        <v>0</v>
      </c>
      <c r="U1465" s="9" t="n">
        <f aca="false">IF(D1465="",1,0)</f>
        <v>0</v>
      </c>
      <c r="V1465" s="9" t="n">
        <f aca="false">IF(E1465="",1,0)</f>
        <v>0</v>
      </c>
      <c r="W1465" s="9" t="n">
        <f aca="false">IF(OR(H1465&lt;1,H1465&gt;10),1,0)</f>
        <v>0</v>
      </c>
      <c r="X1465" s="9" t="n">
        <f aca="false">IF(OR(I1465&lt;=0,I1465&gt;1500),1,0)</f>
        <v>0</v>
      </c>
      <c r="Y1465" s="9" t="n">
        <f aca="false">IF(J1465&gt;H1465*I1465,1,0)</f>
        <v>0</v>
      </c>
      <c r="Z1465" s="9" t="n">
        <f aca="false">IF(AND(N1465&lt;&gt;"",OR(N1465&lt;1,N1465&gt;5)),1,0)</f>
        <v>0</v>
      </c>
      <c r="AA1465" s="9" t="n">
        <f aca="false">IF(AND(M1465&lt;&gt;"",OR(M1465&lt;5,M1465&gt;180)),1,0)</f>
        <v>0</v>
      </c>
      <c r="AB1465" s="7" t="str">
        <f aca="false">IF(P1465="DUP","Exact duplicate row",IF(T1465=1,"Missing Order ID",IF(S1465="DROP","Duplicate Order ID (less complete row)",IF(U1465=1,"Missing Customer ID",IF(V1465=1,"Missing Restaurant name",IF(W1465=1,"Invalid/outlier quantity",IF(X1465=1,"Invalid/outlier unit price",IF(Y1465=1,"Discount greater than order value",""))))))))</f>
        <v/>
      </c>
      <c r="AC1465" s="7" t="str">
        <f aca="false">IF(AB1465="","KEEP","DROP")</f>
        <v>KEEP</v>
      </c>
      <c r="AD1465" s="7" t="str">
        <f aca="false">IF(TRIM(F1465)="",IFERROR(INDEX(Map_Tables!$I$4:$I$37,MATCH(TRIM(E1465),Map_Tables!$G$4:$G$37,0)),""),IFERROR(INDEX(Map_Tables!$B$4:$B$18,MATCH(TRIM(F1465),Map_Tables!$A$4:$A$18,0)),"CHECK"))</f>
        <v>Hyderabad</v>
      </c>
      <c r="AE1465" s="7" t="str">
        <f aca="false">IF(TRIM(E1465)="","",IFERROR(INDEX(Map_Tables!$H$4:$H$37,MATCH(TRIM(E1465),Map_Tables!$G$4:$G$37,0)),"CHECK"))</f>
        <v>Sweet Tooth Studio</v>
      </c>
      <c r="AF1465" s="7" t="str">
        <f aca="false">IF(TRIM(K1465)="","Unknown",IFERROR(INDEX(Map_Tables!$E$4:$E$15,MATCH(TRIM(K1465),Map_Tables!$D$4:$D$15,0)),"CHECK"))</f>
        <v>UPI</v>
      </c>
      <c r="AG1465" s="7" t="str">
        <f aca="false">IF(LEFT(LOWER(TRIM(L1465)),6)="cancel","Cancelled","Delivered")</f>
        <v>Delivered</v>
      </c>
      <c r="AH1465" s="10" t="n">
        <f aca="false">IF(ISNUMBER(SEARCH("/",B1465)),DATE(VALUE(RIGHT(B1465,4)),VALUE(MID(B1465,4,2)),VALUE(LEFT(B1465,2))),IF(MID(B1465,5,1)="-",DATE(VALUE(LEFT(B1465,4)),VALUE(MID(B1465,6,2)),VALUE(RIGHT(B1465,2))),DATE(VALUE(RIGHT(B1465,4)),MATCH(MID(B1465,4,3),{"Jan","Feb","Mar","Apr","May","Jun","Jul","Aug","Sep","Oct","Nov","Dec"},0),VALUE(LEFT(B1465,2)))))</f>
        <v>45956</v>
      </c>
    </row>
    <row r="1466" customFormat="false" ht="15" hidden="false" customHeight="false" outlineLevel="0" collapsed="false">
      <c r="A1466" s="7" t="s">
        <v>3879</v>
      </c>
      <c r="B1466" s="7" t="s">
        <v>2303</v>
      </c>
      <c r="C1466" s="7" t="s">
        <v>1495</v>
      </c>
      <c r="D1466" s="7" t="s">
        <v>922</v>
      </c>
      <c r="E1466" s="7" t="s">
        <v>154</v>
      </c>
      <c r="F1466" s="7" t="s">
        <v>128</v>
      </c>
      <c r="G1466" s="7" t="s">
        <v>99</v>
      </c>
      <c r="H1466" s="7" t="n">
        <v>3</v>
      </c>
      <c r="I1466" s="7" t="n">
        <v>245</v>
      </c>
      <c r="J1466" s="7" t="n">
        <v>30</v>
      </c>
      <c r="K1466" s="7" t="s">
        <v>93</v>
      </c>
      <c r="L1466" s="7" t="s">
        <v>194</v>
      </c>
      <c r="M1466" s="7" t="n">
        <v>480</v>
      </c>
      <c r="N1466" s="7" t="n">
        <v>5</v>
      </c>
      <c r="O1466" s="7" t="str">
        <f aca="false">A1466&amp;"|"&amp;B1466&amp;"|"&amp;C1466&amp;"|"&amp;D1466&amp;"|"&amp;E1466&amp;"|"&amp;F1466&amp;"|"&amp;G1466&amp;"|"&amp;H1466&amp;"|"&amp;I1466&amp;"|"&amp;J1466&amp;"|"&amp;K1466&amp;"|"&amp;L1466&amp;"|"&amp;M1466&amp;"|"&amp;N1466</f>
        <v>ORD12301|2025-10-17|21:51|C0562|Madras Biryani Co|Chennai|Biryani|3|245|30|Credit Card|Delivered|480|5</v>
      </c>
      <c r="P1466" s="7" t="str">
        <f aca="false">IF(COUNTIF($O$2:O1466,O1466)&gt;1,"DUP","OK")</f>
        <v>OK</v>
      </c>
      <c r="Q1466" s="7" t="n">
        <f aca="false">COUNTBLANK(A1466:N1466)</f>
        <v>0</v>
      </c>
      <c r="R1466" s="7" t="n">
        <f aca="false">IF(A1466="",0,COUNTIFS($A$2:$A$3058,A1466,$P$2:$P$3058,"OK"))</f>
        <v>1</v>
      </c>
      <c r="S1466" s="7" t="str">
        <f aca="false">IF(OR(A1466="",P1466="DUP",R1466&lt;2),"",IF(Q1466=_xlfn.MINIFS($Q$2:$Q$3058,$A$2:$A$3058,A1466,$P$2:$P$3058,"OK"),"KEEP","DROP"))</f>
        <v/>
      </c>
      <c r="T1466" s="9" t="n">
        <f aca="false">IF(A1466="",1,0)</f>
        <v>0</v>
      </c>
      <c r="U1466" s="9" t="n">
        <f aca="false">IF(D1466="",1,0)</f>
        <v>0</v>
      </c>
      <c r="V1466" s="9" t="n">
        <f aca="false">IF(E1466="",1,0)</f>
        <v>0</v>
      </c>
      <c r="W1466" s="9" t="n">
        <f aca="false">IF(OR(H1466&lt;1,H1466&gt;10),1,0)</f>
        <v>0</v>
      </c>
      <c r="X1466" s="9" t="n">
        <f aca="false">IF(OR(I1466&lt;=0,I1466&gt;1500),1,0)</f>
        <v>0</v>
      </c>
      <c r="Y1466" s="9" t="n">
        <f aca="false">IF(J1466&gt;H1466*I1466,1,0)</f>
        <v>0</v>
      </c>
      <c r="Z1466" s="9" t="n">
        <f aca="false">IF(AND(N1466&lt;&gt;"",OR(N1466&lt;1,N1466&gt;5)),1,0)</f>
        <v>0</v>
      </c>
      <c r="AA1466" s="9" t="n">
        <f aca="false">IF(AND(M1466&lt;&gt;"",OR(M1466&lt;5,M1466&gt;180)),1,0)</f>
        <v>1</v>
      </c>
      <c r="AB1466" s="7" t="str">
        <f aca="false">IF(P1466="DUP","Exact duplicate row",IF(T1466=1,"Missing Order ID",IF(S1466="DROP","Duplicate Order ID (less complete row)",IF(U1466=1,"Missing Customer ID",IF(V1466=1,"Missing Restaurant name",IF(W1466=1,"Invalid/outlier quantity",IF(X1466=1,"Invalid/outlier unit price",IF(Y1466=1,"Discount greater than order value",""))))))))</f>
        <v/>
      </c>
      <c r="AC1466" s="7" t="str">
        <f aca="false">IF(AB1466="","KEEP","DROP")</f>
        <v>KEEP</v>
      </c>
      <c r="AD1466" s="7" t="str">
        <f aca="false">IF(TRIM(F1466)="",IFERROR(INDEX(Map_Tables!$I$4:$I$37,MATCH(TRIM(E1466),Map_Tables!$G$4:$G$37,0)),""),IFERROR(INDEX(Map_Tables!$B$4:$B$18,MATCH(TRIM(F1466),Map_Tables!$A$4:$A$18,0)),"CHECK"))</f>
        <v>Chennai</v>
      </c>
      <c r="AE1466" s="7" t="str">
        <f aca="false">IF(TRIM(E1466)="","",IFERROR(INDEX(Map_Tables!$H$4:$H$37,MATCH(TRIM(E1466),Map_Tables!$G$4:$G$37,0)),"CHECK"))</f>
        <v>Madras Biryani Co</v>
      </c>
      <c r="AF1466" s="7" t="str">
        <f aca="false">IF(TRIM(K1466)="","Unknown",IFERROR(INDEX(Map_Tables!$E$4:$E$15,MATCH(TRIM(K1466),Map_Tables!$D$4:$D$15,0)),"CHECK"))</f>
        <v>Credit Card</v>
      </c>
      <c r="AG1466" s="7" t="str">
        <f aca="false">IF(LEFT(LOWER(TRIM(L1466)),6)="cancel","Cancelled","Delivered")</f>
        <v>Delivered</v>
      </c>
      <c r="AH1466" s="10" t="n">
        <f aca="false">IF(ISNUMBER(SEARCH("/",B1466)),DATE(VALUE(RIGHT(B1466,4)),VALUE(MID(B1466,4,2)),VALUE(LEFT(B1466,2))),IF(MID(B1466,5,1)="-",DATE(VALUE(LEFT(B1466,4)),VALUE(MID(B1466,6,2)),VALUE(RIGHT(B1466,2))),DATE(VALUE(RIGHT(B1466,4)),MATCH(MID(B1466,4,3),{"Jan","Feb","Mar","Apr","May","Jun","Jul","Aug","Sep","Oct","Nov","Dec"},0),VALUE(LEFT(B1466,2)))))</f>
        <v>45947</v>
      </c>
    </row>
    <row r="1467" customFormat="false" ht="15" hidden="false" customHeight="false" outlineLevel="0" collapsed="false">
      <c r="A1467" s="7" t="s">
        <v>3880</v>
      </c>
      <c r="B1467" s="7" t="s">
        <v>1512</v>
      </c>
      <c r="C1467" s="7" t="s">
        <v>683</v>
      </c>
      <c r="D1467" s="7" t="s">
        <v>3828</v>
      </c>
      <c r="E1467" s="7" t="s">
        <v>126</v>
      </c>
      <c r="F1467" s="7" t="s">
        <v>101</v>
      </c>
      <c r="G1467" s="7" t="s">
        <v>105</v>
      </c>
      <c r="H1467" s="7" t="n">
        <v>1</v>
      </c>
      <c r="I1467" s="7" t="n">
        <v>155</v>
      </c>
      <c r="J1467" s="7" t="n">
        <v>0</v>
      </c>
      <c r="K1467" s="7" t="s">
        <v>88</v>
      </c>
      <c r="L1467" s="7" t="s">
        <v>194</v>
      </c>
      <c r="M1467" s="7" t="n">
        <v>29</v>
      </c>
      <c r="N1467" s="7" t="n">
        <v>4</v>
      </c>
      <c r="O1467" s="7" t="str">
        <f aca="false">A1467&amp;"|"&amp;B1467&amp;"|"&amp;C1467&amp;"|"&amp;D1467&amp;"|"&amp;E1467&amp;"|"&amp;F1467&amp;"|"&amp;G1467&amp;"|"&amp;H1467&amp;"|"&amp;I1467&amp;"|"&amp;J1467&amp;"|"&amp;K1467&amp;"|"&amp;L1467&amp;"|"&amp;M1467&amp;"|"&amp;N1467</f>
        <v>ORD12768|2025-12-04|10:57|C1489|Dragon Express|Mumbai|Chinese|1|155|0|UPI|Delivered|29|4</v>
      </c>
      <c r="P1467" s="7" t="str">
        <f aca="false">IF(COUNTIF($O$2:O1467,O1467)&gt;1,"DUP","OK")</f>
        <v>OK</v>
      </c>
      <c r="Q1467" s="7" t="n">
        <f aca="false">COUNTBLANK(A1467:N1467)</f>
        <v>0</v>
      </c>
      <c r="R1467" s="7" t="n">
        <f aca="false">IF(A1467="",0,COUNTIFS($A$2:$A$3058,A1467,$P$2:$P$3058,"OK"))</f>
        <v>1</v>
      </c>
      <c r="S1467" s="7" t="str">
        <f aca="false">IF(OR(A1467="",P1467="DUP",R1467&lt;2),"",IF(Q1467=_xlfn.MINIFS($Q$2:$Q$3058,$A$2:$A$3058,A1467,$P$2:$P$3058,"OK"),"KEEP","DROP"))</f>
        <v/>
      </c>
      <c r="T1467" s="9" t="n">
        <f aca="false">IF(A1467="",1,0)</f>
        <v>0</v>
      </c>
      <c r="U1467" s="9" t="n">
        <f aca="false">IF(D1467="",1,0)</f>
        <v>0</v>
      </c>
      <c r="V1467" s="9" t="n">
        <f aca="false">IF(E1467="",1,0)</f>
        <v>0</v>
      </c>
      <c r="W1467" s="9" t="n">
        <f aca="false">IF(OR(H1467&lt;1,H1467&gt;10),1,0)</f>
        <v>0</v>
      </c>
      <c r="X1467" s="9" t="n">
        <f aca="false">IF(OR(I1467&lt;=0,I1467&gt;1500),1,0)</f>
        <v>0</v>
      </c>
      <c r="Y1467" s="9" t="n">
        <f aca="false">IF(J1467&gt;H1467*I1467,1,0)</f>
        <v>0</v>
      </c>
      <c r="Z1467" s="9" t="n">
        <f aca="false">IF(AND(N1467&lt;&gt;"",OR(N1467&lt;1,N1467&gt;5)),1,0)</f>
        <v>0</v>
      </c>
      <c r="AA1467" s="9" t="n">
        <f aca="false">IF(AND(M1467&lt;&gt;"",OR(M1467&lt;5,M1467&gt;180)),1,0)</f>
        <v>0</v>
      </c>
      <c r="AB1467" s="7" t="str">
        <f aca="false">IF(P1467="DUP","Exact duplicate row",IF(T1467=1,"Missing Order ID",IF(S1467="DROP","Duplicate Order ID (less complete row)",IF(U1467=1,"Missing Customer ID",IF(V1467=1,"Missing Restaurant name",IF(W1467=1,"Invalid/outlier quantity",IF(X1467=1,"Invalid/outlier unit price",IF(Y1467=1,"Discount greater than order value",""))))))))</f>
        <v/>
      </c>
      <c r="AC1467" s="7" t="str">
        <f aca="false">IF(AB1467="","KEEP","DROP")</f>
        <v>KEEP</v>
      </c>
      <c r="AD1467" s="7" t="str">
        <f aca="false">IF(TRIM(F1467)="",IFERROR(INDEX(Map_Tables!$I$4:$I$37,MATCH(TRIM(E1467),Map_Tables!$G$4:$G$37,0)),""),IFERROR(INDEX(Map_Tables!$B$4:$B$18,MATCH(TRIM(F1467),Map_Tables!$A$4:$A$18,0)),"CHECK"))</f>
        <v>Mumbai</v>
      </c>
      <c r="AE1467" s="7" t="str">
        <f aca="false">IF(TRIM(E1467)="","",IFERROR(INDEX(Map_Tables!$H$4:$H$37,MATCH(TRIM(E1467),Map_Tables!$G$4:$G$37,0)),"CHECK"))</f>
        <v>Dragon Express</v>
      </c>
      <c r="AF1467" s="7" t="str">
        <f aca="false">IF(TRIM(K1467)="","Unknown",IFERROR(INDEX(Map_Tables!$E$4:$E$15,MATCH(TRIM(K1467),Map_Tables!$D$4:$D$15,0)),"CHECK"))</f>
        <v>UPI</v>
      </c>
      <c r="AG1467" s="7" t="str">
        <f aca="false">IF(LEFT(LOWER(TRIM(L1467)),6)="cancel","Cancelled","Delivered")</f>
        <v>Delivered</v>
      </c>
      <c r="AH1467" s="10" t="n">
        <f aca="false">IF(ISNUMBER(SEARCH("/",B1467)),DATE(VALUE(RIGHT(B1467,4)),VALUE(MID(B1467,4,2)),VALUE(LEFT(B1467,2))),IF(MID(B1467,5,1)="-",DATE(VALUE(LEFT(B1467,4)),VALUE(MID(B1467,6,2)),VALUE(RIGHT(B1467,2))),DATE(VALUE(RIGHT(B1467,4)),MATCH(MID(B1467,4,3),{"Jan","Feb","Mar","Apr","May","Jun","Jul","Aug","Sep","Oct","Nov","Dec"},0),VALUE(LEFT(B1467,2)))))</f>
        <v>45995</v>
      </c>
    </row>
    <row r="1468" customFormat="false" ht="15" hidden="false" customHeight="false" outlineLevel="0" collapsed="false">
      <c r="A1468" s="7" t="s">
        <v>3881</v>
      </c>
      <c r="B1468" s="7" t="s">
        <v>2324</v>
      </c>
      <c r="C1468" s="7" t="s">
        <v>2260</v>
      </c>
      <c r="D1468" s="7" t="s">
        <v>1075</v>
      </c>
      <c r="E1468" s="7" t="s">
        <v>94</v>
      </c>
      <c r="F1468" s="7" t="s">
        <v>785</v>
      </c>
      <c r="G1468" s="7" t="s">
        <v>95</v>
      </c>
      <c r="H1468" s="7" t="n">
        <v>3</v>
      </c>
      <c r="I1468" s="7" t="n">
        <v>120</v>
      </c>
      <c r="J1468" s="7" t="n">
        <v>30</v>
      </c>
      <c r="K1468" s="7" t="s">
        <v>93</v>
      </c>
      <c r="L1468" s="7" t="s">
        <v>194</v>
      </c>
      <c r="M1468" s="7" t="n">
        <v>51</v>
      </c>
      <c r="N1468" s="7" t="n">
        <v>4</v>
      </c>
      <c r="O1468" s="7" t="str">
        <f aca="false">A1468&amp;"|"&amp;B1468&amp;"|"&amp;C1468&amp;"|"&amp;D1468&amp;"|"&amp;E1468&amp;"|"&amp;F1468&amp;"|"&amp;G1468&amp;"|"&amp;H1468&amp;"|"&amp;I1468&amp;"|"&amp;J1468&amp;"|"&amp;K1468&amp;"|"&amp;L1468&amp;"|"&amp;M1468&amp;"|"&amp;N1468</f>
        <v>ORD12196|2025-10-06|20:30|C1097|Dosa Darbar|Bengaluru |South Indian|3|120|30|Credit Card|Delivered|51|4</v>
      </c>
      <c r="P1468" s="7" t="str">
        <f aca="false">IF(COUNTIF($O$2:O1468,O1468)&gt;1,"DUP","OK")</f>
        <v>OK</v>
      </c>
      <c r="Q1468" s="7" t="n">
        <f aca="false">COUNTBLANK(A1468:N1468)</f>
        <v>0</v>
      </c>
      <c r="R1468" s="7" t="n">
        <f aca="false">IF(A1468="",0,COUNTIFS($A$2:$A$3058,A1468,$P$2:$P$3058,"OK"))</f>
        <v>1</v>
      </c>
      <c r="S1468" s="7" t="str">
        <f aca="false">IF(OR(A1468="",P1468="DUP",R1468&lt;2),"",IF(Q1468=_xlfn.MINIFS($Q$2:$Q$3058,$A$2:$A$3058,A1468,$P$2:$P$3058,"OK"),"KEEP","DROP"))</f>
        <v/>
      </c>
      <c r="T1468" s="9" t="n">
        <f aca="false">IF(A1468="",1,0)</f>
        <v>0</v>
      </c>
      <c r="U1468" s="9" t="n">
        <f aca="false">IF(D1468="",1,0)</f>
        <v>0</v>
      </c>
      <c r="V1468" s="9" t="n">
        <f aca="false">IF(E1468="",1,0)</f>
        <v>0</v>
      </c>
      <c r="W1468" s="9" t="n">
        <f aca="false">IF(OR(H1468&lt;1,H1468&gt;10),1,0)</f>
        <v>0</v>
      </c>
      <c r="X1468" s="9" t="n">
        <f aca="false">IF(OR(I1468&lt;=0,I1468&gt;1500),1,0)</f>
        <v>0</v>
      </c>
      <c r="Y1468" s="9" t="n">
        <f aca="false">IF(J1468&gt;H1468*I1468,1,0)</f>
        <v>0</v>
      </c>
      <c r="Z1468" s="9" t="n">
        <f aca="false">IF(AND(N1468&lt;&gt;"",OR(N1468&lt;1,N1468&gt;5)),1,0)</f>
        <v>0</v>
      </c>
      <c r="AA1468" s="9" t="n">
        <f aca="false">IF(AND(M1468&lt;&gt;"",OR(M1468&lt;5,M1468&gt;180)),1,0)</f>
        <v>0</v>
      </c>
      <c r="AB1468" s="7" t="str">
        <f aca="false">IF(P1468="DUP","Exact duplicate row",IF(T1468=1,"Missing Order ID",IF(S1468="DROP","Duplicate Order ID (less complete row)",IF(U1468=1,"Missing Customer ID",IF(V1468=1,"Missing Restaurant name",IF(W1468=1,"Invalid/outlier quantity",IF(X1468=1,"Invalid/outlier unit price",IF(Y1468=1,"Discount greater than order value",""))))))))</f>
        <v/>
      </c>
      <c r="AC1468" s="7" t="str">
        <f aca="false">IF(AB1468="","KEEP","DROP")</f>
        <v>KEEP</v>
      </c>
      <c r="AD1468" s="7" t="str">
        <f aca="false">IF(TRIM(F1468)="",IFERROR(INDEX(Map_Tables!$I$4:$I$37,MATCH(TRIM(E1468),Map_Tables!$G$4:$G$37,0)),""),IFERROR(INDEX(Map_Tables!$B$4:$B$18,MATCH(TRIM(F1468),Map_Tables!$A$4:$A$18,0)),"CHECK"))</f>
        <v>Bengaluru</v>
      </c>
      <c r="AE1468" s="7" t="str">
        <f aca="false">IF(TRIM(E1468)="","",IFERROR(INDEX(Map_Tables!$H$4:$H$37,MATCH(TRIM(E1468),Map_Tables!$G$4:$G$37,0)),"CHECK"))</f>
        <v>Dosa Darbar</v>
      </c>
      <c r="AF1468" s="7" t="str">
        <f aca="false">IF(TRIM(K1468)="","Unknown",IFERROR(INDEX(Map_Tables!$E$4:$E$15,MATCH(TRIM(K1468),Map_Tables!$D$4:$D$15,0)),"CHECK"))</f>
        <v>Credit Card</v>
      </c>
      <c r="AG1468" s="7" t="str">
        <f aca="false">IF(LEFT(LOWER(TRIM(L1468)),6)="cancel","Cancelled","Delivered")</f>
        <v>Delivered</v>
      </c>
      <c r="AH1468" s="10" t="n">
        <f aca="false">IF(ISNUMBER(SEARCH("/",B1468)),DATE(VALUE(RIGHT(B1468,4)),VALUE(MID(B1468,4,2)),VALUE(LEFT(B1468,2))),IF(MID(B1468,5,1)="-",DATE(VALUE(LEFT(B1468,4)),VALUE(MID(B1468,6,2)),VALUE(RIGHT(B1468,2))),DATE(VALUE(RIGHT(B1468,4)),MATCH(MID(B1468,4,3),{"Jan","Feb","Mar","Apr","May","Jun","Jul","Aug","Sep","Oct","Nov","Dec"},0),VALUE(LEFT(B1468,2)))))</f>
        <v>45936</v>
      </c>
    </row>
    <row r="1469" customFormat="false" ht="15" hidden="false" customHeight="false" outlineLevel="0" collapsed="false">
      <c r="A1469" s="7" t="s">
        <v>3882</v>
      </c>
      <c r="B1469" s="7" t="s">
        <v>1535</v>
      </c>
      <c r="C1469" s="7" t="s">
        <v>3378</v>
      </c>
      <c r="D1469" s="7" t="s">
        <v>1397</v>
      </c>
      <c r="E1469" s="7" t="s">
        <v>159</v>
      </c>
      <c r="F1469" s="7" t="s">
        <v>136</v>
      </c>
      <c r="G1469" s="7" t="s">
        <v>90</v>
      </c>
      <c r="H1469" s="7" t="n">
        <v>1</v>
      </c>
      <c r="I1469" s="7" t="n">
        <v>250</v>
      </c>
      <c r="J1469" s="7" t="n">
        <v>0</v>
      </c>
      <c r="K1469" s="7" t="s">
        <v>93</v>
      </c>
      <c r="L1469" s="7" t="s">
        <v>194</v>
      </c>
      <c r="M1469" s="7" t="n">
        <v>35</v>
      </c>
      <c r="N1469" s="7"/>
      <c r="O1469" s="7" t="str">
        <f aca="false">A1469&amp;"|"&amp;B1469&amp;"|"&amp;C1469&amp;"|"&amp;D1469&amp;"|"&amp;E1469&amp;"|"&amp;F1469&amp;"|"&amp;G1469&amp;"|"&amp;H1469&amp;"|"&amp;I1469&amp;"|"&amp;J1469&amp;"|"&amp;K1469&amp;"|"&amp;L1469&amp;"|"&amp;M1469&amp;"|"&amp;N1469</f>
        <v>ORD12014|2025-09-18|13:41|C1301|Maratha Thali House|Pune|North Indian|1|250|0|Credit Card|Delivered|35|</v>
      </c>
      <c r="P1469" s="7" t="str">
        <f aca="false">IF(COUNTIF($O$2:O1469,O1469)&gt;1,"DUP","OK")</f>
        <v>OK</v>
      </c>
      <c r="Q1469" s="7" t="n">
        <f aca="false">COUNTBLANK(A1469:N1469)</f>
        <v>1</v>
      </c>
      <c r="R1469" s="7" t="n">
        <f aca="false">IF(A1469="",0,COUNTIFS($A$2:$A$3058,A1469,$P$2:$P$3058,"OK"))</f>
        <v>1</v>
      </c>
      <c r="S1469" s="7" t="str">
        <f aca="false">IF(OR(A1469="",P1469="DUP",R1469&lt;2),"",IF(Q1469=_xlfn.MINIFS($Q$2:$Q$3058,$A$2:$A$3058,A1469,$P$2:$P$3058,"OK"),"KEEP","DROP"))</f>
        <v/>
      </c>
      <c r="T1469" s="9" t="n">
        <f aca="false">IF(A1469="",1,0)</f>
        <v>0</v>
      </c>
      <c r="U1469" s="9" t="n">
        <f aca="false">IF(D1469="",1,0)</f>
        <v>0</v>
      </c>
      <c r="V1469" s="9" t="n">
        <f aca="false">IF(E1469="",1,0)</f>
        <v>0</v>
      </c>
      <c r="W1469" s="9" t="n">
        <f aca="false">IF(OR(H1469&lt;1,H1469&gt;10),1,0)</f>
        <v>0</v>
      </c>
      <c r="X1469" s="9" t="n">
        <f aca="false">IF(OR(I1469&lt;=0,I1469&gt;1500),1,0)</f>
        <v>0</v>
      </c>
      <c r="Y1469" s="9" t="n">
        <f aca="false">IF(J1469&gt;H1469*I1469,1,0)</f>
        <v>0</v>
      </c>
      <c r="Z1469" s="9" t="n">
        <f aca="false">IF(AND(N1469&lt;&gt;"",OR(N1469&lt;1,N1469&gt;5)),1,0)</f>
        <v>0</v>
      </c>
      <c r="AA1469" s="9" t="n">
        <f aca="false">IF(AND(M1469&lt;&gt;"",OR(M1469&lt;5,M1469&gt;180)),1,0)</f>
        <v>0</v>
      </c>
      <c r="AB1469" s="7" t="str">
        <f aca="false">IF(P1469="DUP","Exact duplicate row",IF(T1469=1,"Missing Order ID",IF(S1469="DROP","Duplicate Order ID (less complete row)",IF(U1469=1,"Missing Customer ID",IF(V1469=1,"Missing Restaurant name",IF(W1469=1,"Invalid/outlier quantity",IF(X1469=1,"Invalid/outlier unit price",IF(Y1469=1,"Discount greater than order value",""))))))))</f>
        <v/>
      </c>
      <c r="AC1469" s="7" t="str">
        <f aca="false">IF(AB1469="","KEEP","DROP")</f>
        <v>KEEP</v>
      </c>
      <c r="AD1469" s="7" t="str">
        <f aca="false">IF(TRIM(F1469)="",IFERROR(INDEX(Map_Tables!$I$4:$I$37,MATCH(TRIM(E1469),Map_Tables!$G$4:$G$37,0)),""),IFERROR(INDEX(Map_Tables!$B$4:$B$18,MATCH(TRIM(F1469),Map_Tables!$A$4:$A$18,0)),"CHECK"))</f>
        <v>Pune</v>
      </c>
      <c r="AE1469" s="7" t="str">
        <f aca="false">IF(TRIM(E1469)="","",IFERROR(INDEX(Map_Tables!$H$4:$H$37,MATCH(TRIM(E1469),Map_Tables!$G$4:$G$37,0)),"CHECK"))</f>
        <v>Maratha Thali House</v>
      </c>
      <c r="AF1469" s="7" t="str">
        <f aca="false">IF(TRIM(K1469)="","Unknown",IFERROR(INDEX(Map_Tables!$E$4:$E$15,MATCH(TRIM(K1469),Map_Tables!$D$4:$D$15,0)),"CHECK"))</f>
        <v>Credit Card</v>
      </c>
      <c r="AG1469" s="7" t="str">
        <f aca="false">IF(LEFT(LOWER(TRIM(L1469)),6)="cancel","Cancelled","Delivered")</f>
        <v>Delivered</v>
      </c>
      <c r="AH1469" s="10" t="n">
        <f aca="false">IF(ISNUMBER(SEARCH("/",B1469)),DATE(VALUE(RIGHT(B1469,4)),VALUE(MID(B1469,4,2)),VALUE(LEFT(B1469,2))),IF(MID(B1469,5,1)="-",DATE(VALUE(LEFT(B1469,4)),VALUE(MID(B1469,6,2)),VALUE(RIGHT(B1469,2))),DATE(VALUE(RIGHT(B1469,4)),MATCH(MID(B1469,4,3),{"Jan","Feb","Mar","Apr","May","Jun","Jul","Aug","Sep","Oct","Nov","Dec"},0),VALUE(LEFT(B1469,2)))))</f>
        <v>45918</v>
      </c>
    </row>
    <row r="1470" customFormat="false" ht="15" hidden="false" customHeight="false" outlineLevel="0" collapsed="false">
      <c r="A1470" s="7" t="s">
        <v>3883</v>
      </c>
      <c r="B1470" s="7" t="s">
        <v>838</v>
      </c>
      <c r="C1470" s="7" t="s">
        <v>3038</v>
      </c>
      <c r="D1470" s="7" t="s">
        <v>1536</v>
      </c>
      <c r="E1470" s="7" t="s">
        <v>159</v>
      </c>
      <c r="F1470" s="7" t="s">
        <v>135</v>
      </c>
      <c r="G1470" s="7" t="s">
        <v>90</v>
      </c>
      <c r="H1470" s="7" t="n">
        <v>3</v>
      </c>
      <c r="I1470" s="7" t="n">
        <v>265</v>
      </c>
      <c r="J1470" s="7" t="n">
        <v>0</v>
      </c>
      <c r="K1470" s="7" t="s">
        <v>88</v>
      </c>
      <c r="L1470" s="7" t="s">
        <v>194</v>
      </c>
      <c r="M1470" s="7" t="n">
        <v>46</v>
      </c>
      <c r="N1470" s="7" t="n">
        <v>3</v>
      </c>
      <c r="O1470" s="7" t="str">
        <f aca="false">A1470&amp;"|"&amp;B1470&amp;"|"&amp;C1470&amp;"|"&amp;D1470&amp;"|"&amp;E1470&amp;"|"&amp;F1470&amp;"|"&amp;G1470&amp;"|"&amp;H1470&amp;"|"&amp;I1470&amp;"|"&amp;J1470&amp;"|"&amp;K1470&amp;"|"&amp;L1470&amp;"|"&amp;M1470&amp;"|"&amp;N1470</f>
        <v>ORD10439|2025-02-28|19:15|C1132|Maratha Thali House|pune|North Indian|3|265|0|UPI|Delivered|46|3</v>
      </c>
      <c r="P1470" s="7" t="str">
        <f aca="false">IF(COUNTIF($O$2:O1470,O1470)&gt;1,"DUP","OK")</f>
        <v>OK</v>
      </c>
      <c r="Q1470" s="7" t="n">
        <f aca="false">COUNTBLANK(A1470:N1470)</f>
        <v>0</v>
      </c>
      <c r="R1470" s="7" t="n">
        <f aca="false">IF(A1470="",0,COUNTIFS($A$2:$A$3058,A1470,$P$2:$P$3058,"OK"))</f>
        <v>1</v>
      </c>
      <c r="S1470" s="7" t="str">
        <f aca="false">IF(OR(A1470="",P1470="DUP",R1470&lt;2),"",IF(Q1470=_xlfn.MINIFS($Q$2:$Q$3058,$A$2:$A$3058,A1470,$P$2:$P$3058,"OK"),"KEEP","DROP"))</f>
        <v/>
      </c>
      <c r="T1470" s="9" t="n">
        <f aca="false">IF(A1470="",1,0)</f>
        <v>0</v>
      </c>
      <c r="U1470" s="9" t="n">
        <f aca="false">IF(D1470="",1,0)</f>
        <v>0</v>
      </c>
      <c r="V1470" s="9" t="n">
        <f aca="false">IF(E1470="",1,0)</f>
        <v>0</v>
      </c>
      <c r="W1470" s="9" t="n">
        <f aca="false">IF(OR(H1470&lt;1,H1470&gt;10),1,0)</f>
        <v>0</v>
      </c>
      <c r="X1470" s="9" t="n">
        <f aca="false">IF(OR(I1470&lt;=0,I1470&gt;1500),1,0)</f>
        <v>0</v>
      </c>
      <c r="Y1470" s="9" t="n">
        <f aca="false">IF(J1470&gt;H1470*I1470,1,0)</f>
        <v>0</v>
      </c>
      <c r="Z1470" s="9" t="n">
        <f aca="false">IF(AND(N1470&lt;&gt;"",OR(N1470&lt;1,N1470&gt;5)),1,0)</f>
        <v>0</v>
      </c>
      <c r="AA1470" s="9" t="n">
        <f aca="false">IF(AND(M1470&lt;&gt;"",OR(M1470&lt;5,M1470&gt;180)),1,0)</f>
        <v>0</v>
      </c>
      <c r="AB1470" s="7" t="str">
        <f aca="false">IF(P1470="DUP","Exact duplicate row",IF(T1470=1,"Missing Order ID",IF(S1470="DROP","Duplicate Order ID (less complete row)",IF(U1470=1,"Missing Customer ID",IF(V1470=1,"Missing Restaurant name",IF(W1470=1,"Invalid/outlier quantity",IF(X1470=1,"Invalid/outlier unit price",IF(Y1470=1,"Discount greater than order value",""))))))))</f>
        <v/>
      </c>
      <c r="AC1470" s="7" t="str">
        <f aca="false">IF(AB1470="","KEEP","DROP")</f>
        <v>KEEP</v>
      </c>
      <c r="AD1470" s="7" t="str">
        <f aca="false">IF(TRIM(F1470)="",IFERROR(INDEX(Map_Tables!$I$4:$I$37,MATCH(TRIM(E1470),Map_Tables!$G$4:$G$37,0)),""),IFERROR(INDEX(Map_Tables!$B$4:$B$18,MATCH(TRIM(F1470),Map_Tables!$A$4:$A$18,0)),"CHECK"))</f>
        <v>Pune</v>
      </c>
      <c r="AE1470" s="7" t="str">
        <f aca="false">IF(TRIM(E1470)="","",IFERROR(INDEX(Map_Tables!$H$4:$H$37,MATCH(TRIM(E1470),Map_Tables!$G$4:$G$37,0)),"CHECK"))</f>
        <v>Maratha Thali House</v>
      </c>
      <c r="AF1470" s="7" t="str">
        <f aca="false">IF(TRIM(K1470)="","Unknown",IFERROR(INDEX(Map_Tables!$E$4:$E$15,MATCH(TRIM(K1470),Map_Tables!$D$4:$D$15,0)),"CHECK"))</f>
        <v>UPI</v>
      </c>
      <c r="AG1470" s="7" t="str">
        <f aca="false">IF(LEFT(LOWER(TRIM(L1470)),6)="cancel","Cancelled","Delivered")</f>
        <v>Delivered</v>
      </c>
      <c r="AH1470" s="10" t="n">
        <f aca="false">IF(ISNUMBER(SEARCH("/",B1470)),DATE(VALUE(RIGHT(B1470,4)),VALUE(MID(B1470,4,2)),VALUE(LEFT(B1470,2))),IF(MID(B1470,5,1)="-",DATE(VALUE(LEFT(B1470,4)),VALUE(MID(B1470,6,2)),VALUE(RIGHT(B1470,2))),DATE(VALUE(RIGHT(B1470,4)),MATCH(MID(B1470,4,3),{"Jan","Feb","Mar","Apr","May","Jun","Jul","Aug","Sep","Oct","Nov","Dec"},0),VALUE(LEFT(B1470,2)))))</f>
        <v>45716</v>
      </c>
    </row>
    <row r="1471" customFormat="false" ht="15" hidden="false" customHeight="false" outlineLevel="0" collapsed="false">
      <c r="A1471" s="7" t="s">
        <v>3884</v>
      </c>
      <c r="B1471" s="7" t="s">
        <v>341</v>
      </c>
      <c r="C1471" s="7" t="s">
        <v>788</v>
      </c>
      <c r="D1471" s="7" t="s">
        <v>3885</v>
      </c>
      <c r="E1471" s="7" t="s">
        <v>122</v>
      </c>
      <c r="F1471" s="7" t="s">
        <v>100</v>
      </c>
      <c r="G1471" s="7" t="s">
        <v>123</v>
      </c>
      <c r="H1471" s="7" t="n">
        <v>2</v>
      </c>
      <c r="I1471" s="7" t="n">
        <v>305</v>
      </c>
      <c r="J1471" s="7" t="n">
        <v>0</v>
      </c>
      <c r="K1471" s="7" t="s">
        <v>88</v>
      </c>
      <c r="L1471" s="7" t="s">
        <v>194</v>
      </c>
      <c r="M1471" s="7" t="n">
        <v>39</v>
      </c>
      <c r="N1471" s="7" t="n">
        <v>3</v>
      </c>
      <c r="O1471" s="7" t="str">
        <f aca="false">A1471&amp;"|"&amp;B1471&amp;"|"&amp;C1471&amp;"|"&amp;D1471&amp;"|"&amp;E1471&amp;"|"&amp;F1471&amp;"|"&amp;G1471&amp;"|"&amp;H1471&amp;"|"&amp;I1471&amp;"|"&amp;J1471&amp;"|"&amp;K1471&amp;"|"&amp;L1471&amp;"|"&amp;M1471&amp;"|"&amp;N1471</f>
        <v>ORD10327|2025-02-12|19:35|C0019|Mumbai Pizza Co|mumbai|Pizza|2|305|0|UPI|Delivered|39|3</v>
      </c>
      <c r="P1471" s="7" t="str">
        <f aca="false">IF(COUNTIF($O$2:O1471,O1471)&gt;1,"DUP","OK")</f>
        <v>OK</v>
      </c>
      <c r="Q1471" s="7" t="n">
        <f aca="false">COUNTBLANK(A1471:N1471)</f>
        <v>0</v>
      </c>
      <c r="R1471" s="7" t="n">
        <f aca="false">IF(A1471="",0,COUNTIFS($A$2:$A$3058,A1471,$P$2:$P$3058,"OK"))</f>
        <v>1</v>
      </c>
      <c r="S1471" s="7" t="str">
        <f aca="false">IF(OR(A1471="",P1471="DUP",R1471&lt;2),"",IF(Q1471=_xlfn.MINIFS($Q$2:$Q$3058,$A$2:$A$3058,A1471,$P$2:$P$3058,"OK"),"KEEP","DROP"))</f>
        <v/>
      </c>
      <c r="T1471" s="9" t="n">
        <f aca="false">IF(A1471="",1,0)</f>
        <v>0</v>
      </c>
      <c r="U1471" s="9" t="n">
        <f aca="false">IF(D1471="",1,0)</f>
        <v>0</v>
      </c>
      <c r="V1471" s="9" t="n">
        <f aca="false">IF(E1471="",1,0)</f>
        <v>0</v>
      </c>
      <c r="W1471" s="9" t="n">
        <f aca="false">IF(OR(H1471&lt;1,H1471&gt;10),1,0)</f>
        <v>0</v>
      </c>
      <c r="X1471" s="9" t="n">
        <f aca="false">IF(OR(I1471&lt;=0,I1471&gt;1500),1,0)</f>
        <v>0</v>
      </c>
      <c r="Y1471" s="9" t="n">
        <f aca="false">IF(J1471&gt;H1471*I1471,1,0)</f>
        <v>0</v>
      </c>
      <c r="Z1471" s="9" t="n">
        <f aca="false">IF(AND(N1471&lt;&gt;"",OR(N1471&lt;1,N1471&gt;5)),1,0)</f>
        <v>0</v>
      </c>
      <c r="AA1471" s="9" t="n">
        <f aca="false">IF(AND(M1471&lt;&gt;"",OR(M1471&lt;5,M1471&gt;180)),1,0)</f>
        <v>0</v>
      </c>
      <c r="AB1471" s="7" t="str">
        <f aca="false">IF(P1471="DUP","Exact duplicate row",IF(T1471=1,"Missing Order ID",IF(S1471="DROP","Duplicate Order ID (less complete row)",IF(U1471=1,"Missing Customer ID",IF(V1471=1,"Missing Restaurant name",IF(W1471=1,"Invalid/outlier quantity",IF(X1471=1,"Invalid/outlier unit price",IF(Y1471=1,"Discount greater than order value",""))))))))</f>
        <v/>
      </c>
      <c r="AC1471" s="7" t="str">
        <f aca="false">IF(AB1471="","KEEP","DROP")</f>
        <v>KEEP</v>
      </c>
      <c r="AD1471" s="7" t="str">
        <f aca="false">IF(TRIM(F1471)="",IFERROR(INDEX(Map_Tables!$I$4:$I$37,MATCH(TRIM(E1471),Map_Tables!$G$4:$G$37,0)),""),IFERROR(INDEX(Map_Tables!$B$4:$B$18,MATCH(TRIM(F1471),Map_Tables!$A$4:$A$18,0)),"CHECK"))</f>
        <v>Mumbai</v>
      </c>
      <c r="AE1471" s="7" t="str">
        <f aca="false">IF(TRIM(E1471)="","",IFERROR(INDEX(Map_Tables!$H$4:$H$37,MATCH(TRIM(E1471),Map_Tables!$G$4:$G$37,0)),"CHECK"))</f>
        <v>Mumbai Pizza Co</v>
      </c>
      <c r="AF1471" s="7" t="str">
        <f aca="false">IF(TRIM(K1471)="","Unknown",IFERROR(INDEX(Map_Tables!$E$4:$E$15,MATCH(TRIM(K1471),Map_Tables!$D$4:$D$15,0)),"CHECK"))</f>
        <v>UPI</v>
      </c>
      <c r="AG1471" s="7" t="str">
        <f aca="false">IF(LEFT(LOWER(TRIM(L1471)),6)="cancel","Cancelled","Delivered")</f>
        <v>Delivered</v>
      </c>
      <c r="AH1471" s="10" t="n">
        <f aca="false">IF(ISNUMBER(SEARCH("/",B1471)),DATE(VALUE(RIGHT(B1471,4)),VALUE(MID(B1471,4,2)),VALUE(LEFT(B1471,2))),IF(MID(B1471,5,1)="-",DATE(VALUE(LEFT(B1471,4)),VALUE(MID(B1471,6,2)),VALUE(RIGHT(B1471,2))),DATE(VALUE(RIGHT(B1471,4)),MATCH(MID(B1471,4,3),{"Jan","Feb","Mar","Apr","May","Jun","Jul","Aug","Sep","Oct","Nov","Dec"},0),VALUE(LEFT(B1471,2)))))</f>
        <v>45700</v>
      </c>
    </row>
    <row r="1472" customFormat="false" ht="15" hidden="false" customHeight="false" outlineLevel="0" collapsed="false">
      <c r="A1472" s="7" t="s">
        <v>3886</v>
      </c>
      <c r="B1472" s="7" t="s">
        <v>3887</v>
      </c>
      <c r="C1472" s="7" t="s">
        <v>3080</v>
      </c>
      <c r="D1472" s="7" t="s">
        <v>1435</v>
      </c>
      <c r="E1472" s="7" t="s">
        <v>122</v>
      </c>
      <c r="F1472" s="7" t="s">
        <v>101</v>
      </c>
      <c r="G1472" s="7" t="s">
        <v>123</v>
      </c>
      <c r="H1472" s="7" t="n">
        <v>5</v>
      </c>
      <c r="I1472" s="7" t="n">
        <v>335</v>
      </c>
      <c r="J1472" s="7" t="n">
        <v>0</v>
      </c>
      <c r="K1472" s="7" t="s">
        <v>112</v>
      </c>
      <c r="L1472" s="7" t="s">
        <v>194</v>
      </c>
      <c r="M1472" s="7" t="n">
        <v>40</v>
      </c>
      <c r="N1472" s="7" t="n">
        <v>5</v>
      </c>
      <c r="O1472" s="7" t="str">
        <f aca="false">A1472&amp;"|"&amp;B1472&amp;"|"&amp;C1472&amp;"|"&amp;D1472&amp;"|"&amp;E1472&amp;"|"&amp;F1472&amp;"|"&amp;G1472&amp;"|"&amp;H1472&amp;"|"&amp;I1472&amp;"|"&amp;J1472&amp;"|"&amp;K1472&amp;"|"&amp;L1472&amp;"|"&amp;M1472&amp;"|"&amp;N1472</f>
        <v>ORD11159|27/05/2025|23:51|C0137|Mumbai Pizza Co|Mumbai|Pizza|5|335|0|Cash on Delivery|Delivered|40|5</v>
      </c>
      <c r="P1472" s="7" t="str">
        <f aca="false">IF(COUNTIF($O$2:O1472,O1472)&gt;1,"DUP","OK")</f>
        <v>OK</v>
      </c>
      <c r="Q1472" s="7" t="n">
        <f aca="false">COUNTBLANK(A1472:N1472)</f>
        <v>0</v>
      </c>
      <c r="R1472" s="7" t="n">
        <f aca="false">IF(A1472="",0,COUNTIFS($A$2:$A$3058,A1472,$P$2:$P$3058,"OK"))</f>
        <v>1</v>
      </c>
      <c r="S1472" s="7" t="str">
        <f aca="false">IF(OR(A1472="",P1472="DUP",R1472&lt;2),"",IF(Q1472=_xlfn.MINIFS($Q$2:$Q$3058,$A$2:$A$3058,A1472,$P$2:$P$3058,"OK"),"KEEP","DROP"))</f>
        <v/>
      </c>
      <c r="T1472" s="9" t="n">
        <f aca="false">IF(A1472="",1,0)</f>
        <v>0</v>
      </c>
      <c r="U1472" s="9" t="n">
        <f aca="false">IF(D1472="",1,0)</f>
        <v>0</v>
      </c>
      <c r="V1472" s="9" t="n">
        <f aca="false">IF(E1472="",1,0)</f>
        <v>0</v>
      </c>
      <c r="W1472" s="9" t="n">
        <f aca="false">IF(OR(H1472&lt;1,H1472&gt;10),1,0)</f>
        <v>0</v>
      </c>
      <c r="X1472" s="9" t="n">
        <f aca="false">IF(OR(I1472&lt;=0,I1472&gt;1500),1,0)</f>
        <v>0</v>
      </c>
      <c r="Y1472" s="9" t="n">
        <f aca="false">IF(J1472&gt;H1472*I1472,1,0)</f>
        <v>0</v>
      </c>
      <c r="Z1472" s="9" t="n">
        <f aca="false">IF(AND(N1472&lt;&gt;"",OR(N1472&lt;1,N1472&gt;5)),1,0)</f>
        <v>0</v>
      </c>
      <c r="AA1472" s="9" t="n">
        <f aca="false">IF(AND(M1472&lt;&gt;"",OR(M1472&lt;5,M1472&gt;180)),1,0)</f>
        <v>0</v>
      </c>
      <c r="AB1472" s="7" t="str">
        <f aca="false">IF(P1472="DUP","Exact duplicate row",IF(T1472=1,"Missing Order ID",IF(S1472="DROP","Duplicate Order ID (less complete row)",IF(U1472=1,"Missing Customer ID",IF(V1472=1,"Missing Restaurant name",IF(W1472=1,"Invalid/outlier quantity",IF(X1472=1,"Invalid/outlier unit price",IF(Y1472=1,"Discount greater than order value",""))))))))</f>
        <v/>
      </c>
      <c r="AC1472" s="7" t="str">
        <f aca="false">IF(AB1472="","KEEP","DROP")</f>
        <v>KEEP</v>
      </c>
      <c r="AD1472" s="7" t="str">
        <f aca="false">IF(TRIM(F1472)="",IFERROR(INDEX(Map_Tables!$I$4:$I$37,MATCH(TRIM(E1472),Map_Tables!$G$4:$G$37,0)),""),IFERROR(INDEX(Map_Tables!$B$4:$B$18,MATCH(TRIM(F1472),Map_Tables!$A$4:$A$18,0)),"CHECK"))</f>
        <v>Mumbai</v>
      </c>
      <c r="AE1472" s="7" t="str">
        <f aca="false">IF(TRIM(E1472)="","",IFERROR(INDEX(Map_Tables!$H$4:$H$37,MATCH(TRIM(E1472),Map_Tables!$G$4:$G$37,0)),"CHECK"))</f>
        <v>Mumbai Pizza Co</v>
      </c>
      <c r="AF1472" s="7" t="str">
        <f aca="false">IF(TRIM(K1472)="","Unknown",IFERROR(INDEX(Map_Tables!$E$4:$E$15,MATCH(TRIM(K1472),Map_Tables!$D$4:$D$15,0)),"CHECK"))</f>
        <v>Cash on Delivery</v>
      </c>
      <c r="AG1472" s="7" t="str">
        <f aca="false">IF(LEFT(LOWER(TRIM(L1472)),6)="cancel","Cancelled","Delivered")</f>
        <v>Delivered</v>
      </c>
      <c r="AH1472" s="10" t="n">
        <f aca="false">IF(ISNUMBER(SEARCH("/",B1472)),DATE(VALUE(RIGHT(B1472,4)),VALUE(MID(B1472,4,2)),VALUE(LEFT(B1472,2))),IF(MID(B1472,5,1)="-",DATE(VALUE(LEFT(B1472,4)),VALUE(MID(B1472,6,2)),VALUE(RIGHT(B1472,2))),DATE(VALUE(RIGHT(B1472,4)),MATCH(MID(B1472,4,3),{"Jan","Feb","Mar","Apr","May","Jun","Jul","Aug","Sep","Oct","Nov","Dec"},0),VALUE(LEFT(B1472,2)))))</f>
        <v>45804</v>
      </c>
    </row>
    <row r="1473" customFormat="false" ht="15" hidden="false" customHeight="false" outlineLevel="0" collapsed="false">
      <c r="A1473" s="7" t="s">
        <v>3888</v>
      </c>
      <c r="B1473" s="7" t="s">
        <v>2324</v>
      </c>
      <c r="C1473" s="7" t="s">
        <v>577</v>
      </c>
      <c r="D1473" s="7" t="s">
        <v>3889</v>
      </c>
      <c r="E1473" s="7" t="s">
        <v>113</v>
      </c>
      <c r="F1473" s="7" t="s">
        <v>101</v>
      </c>
      <c r="G1473" s="7" t="s">
        <v>90</v>
      </c>
      <c r="H1473" s="7" t="n">
        <v>3</v>
      </c>
      <c r="I1473" s="7" t="n">
        <v>245</v>
      </c>
      <c r="J1473" s="7" t="n">
        <v>100</v>
      </c>
      <c r="K1473" s="7" t="s">
        <v>102</v>
      </c>
      <c r="L1473" s="7" t="s">
        <v>194</v>
      </c>
      <c r="M1473" s="7" t="n">
        <v>41</v>
      </c>
      <c r="N1473" s="7" t="n">
        <v>3</v>
      </c>
      <c r="O1473" s="7" t="str">
        <f aca="false">A1473&amp;"|"&amp;B1473&amp;"|"&amp;C1473&amp;"|"&amp;D1473&amp;"|"&amp;E1473&amp;"|"&amp;F1473&amp;"|"&amp;G1473&amp;"|"&amp;H1473&amp;"|"&amp;I1473&amp;"|"&amp;J1473&amp;"|"&amp;K1473&amp;"|"&amp;L1473&amp;"|"&amp;M1473&amp;"|"&amp;N1473</f>
        <v>ORD12189|2025-10-06|12:20|C1274|Curry Leaf Kitchen|Mumbai|North Indian|3|245|100|debit card|Delivered|41|3</v>
      </c>
      <c r="P1473" s="7" t="str">
        <f aca="false">IF(COUNTIF($O$2:O1473,O1473)&gt;1,"DUP","OK")</f>
        <v>OK</v>
      </c>
      <c r="Q1473" s="7" t="n">
        <f aca="false">COUNTBLANK(A1473:N1473)</f>
        <v>0</v>
      </c>
      <c r="R1473" s="7" t="n">
        <f aca="false">IF(A1473="",0,COUNTIFS($A$2:$A$3058,A1473,$P$2:$P$3058,"OK"))</f>
        <v>1</v>
      </c>
      <c r="S1473" s="7" t="str">
        <f aca="false">IF(OR(A1473="",P1473="DUP",R1473&lt;2),"",IF(Q1473=_xlfn.MINIFS($Q$2:$Q$3058,$A$2:$A$3058,A1473,$P$2:$P$3058,"OK"),"KEEP","DROP"))</f>
        <v/>
      </c>
      <c r="T1473" s="9" t="n">
        <f aca="false">IF(A1473="",1,0)</f>
        <v>0</v>
      </c>
      <c r="U1473" s="9" t="n">
        <f aca="false">IF(D1473="",1,0)</f>
        <v>0</v>
      </c>
      <c r="V1473" s="9" t="n">
        <f aca="false">IF(E1473="",1,0)</f>
        <v>0</v>
      </c>
      <c r="W1473" s="9" t="n">
        <f aca="false">IF(OR(H1473&lt;1,H1473&gt;10),1,0)</f>
        <v>0</v>
      </c>
      <c r="X1473" s="9" t="n">
        <f aca="false">IF(OR(I1473&lt;=0,I1473&gt;1500),1,0)</f>
        <v>0</v>
      </c>
      <c r="Y1473" s="9" t="n">
        <f aca="false">IF(J1473&gt;H1473*I1473,1,0)</f>
        <v>0</v>
      </c>
      <c r="Z1473" s="9" t="n">
        <f aca="false">IF(AND(N1473&lt;&gt;"",OR(N1473&lt;1,N1473&gt;5)),1,0)</f>
        <v>0</v>
      </c>
      <c r="AA1473" s="9" t="n">
        <f aca="false">IF(AND(M1473&lt;&gt;"",OR(M1473&lt;5,M1473&gt;180)),1,0)</f>
        <v>0</v>
      </c>
      <c r="AB1473" s="7" t="str">
        <f aca="false">IF(P1473="DUP","Exact duplicate row",IF(T1473=1,"Missing Order ID",IF(S1473="DROP","Duplicate Order ID (less complete row)",IF(U1473=1,"Missing Customer ID",IF(V1473=1,"Missing Restaurant name",IF(W1473=1,"Invalid/outlier quantity",IF(X1473=1,"Invalid/outlier unit price",IF(Y1473=1,"Discount greater than order value",""))))))))</f>
        <v/>
      </c>
      <c r="AC1473" s="7" t="str">
        <f aca="false">IF(AB1473="","KEEP","DROP")</f>
        <v>KEEP</v>
      </c>
      <c r="AD1473" s="7" t="str">
        <f aca="false">IF(TRIM(F1473)="",IFERROR(INDEX(Map_Tables!$I$4:$I$37,MATCH(TRIM(E1473),Map_Tables!$G$4:$G$37,0)),""),IFERROR(INDEX(Map_Tables!$B$4:$B$18,MATCH(TRIM(F1473),Map_Tables!$A$4:$A$18,0)),"CHECK"))</f>
        <v>Mumbai</v>
      </c>
      <c r="AE1473" s="7" t="str">
        <f aca="false">IF(TRIM(E1473)="","",IFERROR(INDEX(Map_Tables!$H$4:$H$37,MATCH(TRIM(E1473),Map_Tables!$G$4:$G$37,0)),"CHECK"))</f>
        <v>Curry Leaf Kitchen</v>
      </c>
      <c r="AF1473" s="7" t="str">
        <f aca="false">IF(TRIM(K1473)="","Unknown",IFERROR(INDEX(Map_Tables!$E$4:$E$15,MATCH(TRIM(K1473),Map_Tables!$D$4:$D$15,0)),"CHECK"))</f>
        <v>Debit Card</v>
      </c>
      <c r="AG1473" s="7" t="str">
        <f aca="false">IF(LEFT(LOWER(TRIM(L1473)),6)="cancel","Cancelled","Delivered")</f>
        <v>Delivered</v>
      </c>
      <c r="AH1473" s="10" t="n">
        <f aca="false">IF(ISNUMBER(SEARCH("/",B1473)),DATE(VALUE(RIGHT(B1473,4)),VALUE(MID(B1473,4,2)),VALUE(LEFT(B1473,2))),IF(MID(B1473,5,1)="-",DATE(VALUE(LEFT(B1473,4)),VALUE(MID(B1473,6,2)),VALUE(RIGHT(B1473,2))),DATE(VALUE(RIGHT(B1473,4)),MATCH(MID(B1473,4,3),{"Jan","Feb","Mar","Apr","May","Jun","Jul","Aug","Sep","Oct","Nov","Dec"},0),VALUE(LEFT(B1473,2)))))</f>
        <v>45936</v>
      </c>
    </row>
    <row r="1474" customFormat="false" ht="15" hidden="false" customHeight="false" outlineLevel="0" collapsed="false">
      <c r="A1474" s="7" t="s">
        <v>3890</v>
      </c>
      <c r="B1474" s="7" t="s">
        <v>3891</v>
      </c>
      <c r="C1474" s="7" t="s">
        <v>672</v>
      </c>
      <c r="D1474" s="7" t="s">
        <v>3892</v>
      </c>
      <c r="E1474" s="7" t="s">
        <v>130</v>
      </c>
      <c r="F1474" s="7" t="s">
        <v>110</v>
      </c>
      <c r="G1474" s="7" t="s">
        <v>90</v>
      </c>
      <c r="H1474" s="7" t="n">
        <v>4</v>
      </c>
      <c r="I1474" s="7" t="n">
        <v>230</v>
      </c>
      <c r="J1474" s="7" t="n">
        <v>100</v>
      </c>
      <c r="K1474" s="7" t="s">
        <v>88</v>
      </c>
      <c r="L1474" s="7" t="s">
        <v>194</v>
      </c>
      <c r="M1474" s="7" t="n">
        <v>38</v>
      </c>
      <c r="N1474" s="7" t="n">
        <v>5</v>
      </c>
      <c r="O1474" s="7" t="str">
        <f aca="false">A1474&amp;"|"&amp;B1474&amp;"|"&amp;C1474&amp;"|"&amp;D1474&amp;"|"&amp;E1474&amp;"|"&amp;F1474&amp;"|"&amp;G1474&amp;"|"&amp;H1474&amp;"|"&amp;I1474&amp;"|"&amp;J1474&amp;"|"&amp;K1474&amp;"|"&amp;L1474&amp;"|"&amp;M1474&amp;"|"&amp;N1474</f>
        <v>ORD10388|21-Feb-2025|10:47|C1072|Tandoor Tales|Delhi|North Indian|4|230|100|UPI|Delivered|38|5</v>
      </c>
      <c r="P1474" s="7" t="str">
        <f aca="false">IF(COUNTIF($O$2:O1474,O1474)&gt;1,"DUP","OK")</f>
        <v>OK</v>
      </c>
      <c r="Q1474" s="7" t="n">
        <f aca="false">COUNTBLANK(A1474:N1474)</f>
        <v>0</v>
      </c>
      <c r="R1474" s="7" t="n">
        <f aca="false">IF(A1474="",0,COUNTIFS($A$2:$A$3058,A1474,$P$2:$P$3058,"OK"))</f>
        <v>1</v>
      </c>
      <c r="S1474" s="7" t="str">
        <f aca="false">IF(OR(A1474="",P1474="DUP",R1474&lt;2),"",IF(Q1474=_xlfn.MINIFS($Q$2:$Q$3058,$A$2:$A$3058,A1474,$P$2:$P$3058,"OK"),"KEEP","DROP"))</f>
        <v/>
      </c>
      <c r="T1474" s="9" t="n">
        <f aca="false">IF(A1474="",1,0)</f>
        <v>0</v>
      </c>
      <c r="U1474" s="9" t="n">
        <f aca="false">IF(D1474="",1,0)</f>
        <v>0</v>
      </c>
      <c r="V1474" s="9" t="n">
        <f aca="false">IF(E1474="",1,0)</f>
        <v>0</v>
      </c>
      <c r="W1474" s="9" t="n">
        <f aca="false">IF(OR(H1474&lt;1,H1474&gt;10),1,0)</f>
        <v>0</v>
      </c>
      <c r="X1474" s="9" t="n">
        <f aca="false">IF(OR(I1474&lt;=0,I1474&gt;1500),1,0)</f>
        <v>0</v>
      </c>
      <c r="Y1474" s="9" t="n">
        <f aca="false">IF(J1474&gt;H1474*I1474,1,0)</f>
        <v>0</v>
      </c>
      <c r="Z1474" s="9" t="n">
        <f aca="false">IF(AND(N1474&lt;&gt;"",OR(N1474&lt;1,N1474&gt;5)),1,0)</f>
        <v>0</v>
      </c>
      <c r="AA1474" s="9" t="n">
        <f aca="false">IF(AND(M1474&lt;&gt;"",OR(M1474&lt;5,M1474&gt;180)),1,0)</f>
        <v>0</v>
      </c>
      <c r="AB1474" s="7" t="str">
        <f aca="false">IF(P1474="DUP","Exact duplicate row",IF(T1474=1,"Missing Order ID",IF(S1474="DROP","Duplicate Order ID (less complete row)",IF(U1474=1,"Missing Customer ID",IF(V1474=1,"Missing Restaurant name",IF(W1474=1,"Invalid/outlier quantity",IF(X1474=1,"Invalid/outlier unit price",IF(Y1474=1,"Discount greater than order value",""))))))))</f>
        <v/>
      </c>
      <c r="AC1474" s="7" t="str">
        <f aca="false">IF(AB1474="","KEEP","DROP")</f>
        <v>KEEP</v>
      </c>
      <c r="AD1474" s="7" t="str">
        <f aca="false">IF(TRIM(F1474)="",IFERROR(INDEX(Map_Tables!$I$4:$I$37,MATCH(TRIM(E1474),Map_Tables!$G$4:$G$37,0)),""),IFERROR(INDEX(Map_Tables!$B$4:$B$18,MATCH(TRIM(F1474),Map_Tables!$A$4:$A$18,0)),"CHECK"))</f>
        <v>Delhi</v>
      </c>
      <c r="AE1474" s="7" t="str">
        <f aca="false">IF(TRIM(E1474)="","",IFERROR(INDEX(Map_Tables!$H$4:$H$37,MATCH(TRIM(E1474),Map_Tables!$G$4:$G$37,0)),"CHECK"))</f>
        <v>Tandoor Tales</v>
      </c>
      <c r="AF1474" s="7" t="str">
        <f aca="false">IF(TRIM(K1474)="","Unknown",IFERROR(INDEX(Map_Tables!$E$4:$E$15,MATCH(TRIM(K1474),Map_Tables!$D$4:$D$15,0)),"CHECK"))</f>
        <v>UPI</v>
      </c>
      <c r="AG1474" s="7" t="str">
        <f aca="false">IF(LEFT(LOWER(TRIM(L1474)),6)="cancel","Cancelled","Delivered")</f>
        <v>Delivered</v>
      </c>
      <c r="AH1474" s="10" t="n">
        <f aca="false">IF(ISNUMBER(SEARCH("/",B1474)),DATE(VALUE(RIGHT(B1474,4)),VALUE(MID(B1474,4,2)),VALUE(LEFT(B1474,2))),IF(MID(B1474,5,1)="-",DATE(VALUE(LEFT(B1474,4)),VALUE(MID(B1474,6,2)),VALUE(RIGHT(B1474,2))),DATE(VALUE(RIGHT(B1474,4)),MATCH(MID(B1474,4,3),{"Jan","Feb","Mar","Apr","May","Jun","Jul","Aug","Sep","Oct","Nov","Dec"},0),VALUE(LEFT(B1474,2)))))</f>
        <v>45709</v>
      </c>
    </row>
    <row r="1475" customFormat="false" ht="15" hidden="false" customHeight="false" outlineLevel="0" collapsed="false">
      <c r="A1475" s="7" t="s">
        <v>3893</v>
      </c>
      <c r="B1475" s="7" t="s">
        <v>3894</v>
      </c>
      <c r="C1475" s="7" t="s">
        <v>3895</v>
      </c>
      <c r="D1475" s="7" t="s">
        <v>1031</v>
      </c>
      <c r="E1475" s="7" t="s">
        <v>161</v>
      </c>
      <c r="F1475" s="7" t="s">
        <v>141</v>
      </c>
      <c r="G1475" s="7" t="s">
        <v>117</v>
      </c>
      <c r="H1475" s="7" t="n">
        <v>3</v>
      </c>
      <c r="I1475" s="7" t="n">
        <v>145</v>
      </c>
      <c r="J1475" s="7" t="n">
        <v>0</v>
      </c>
      <c r="K1475" s="7" t="s">
        <v>121</v>
      </c>
      <c r="L1475" s="7" t="s">
        <v>194</v>
      </c>
      <c r="M1475" s="7" t="n">
        <v>38</v>
      </c>
      <c r="N1475" s="7" t="n">
        <v>5</v>
      </c>
      <c r="O1475" s="7" t="str">
        <f aca="false">A1475&amp;"|"&amp;B1475&amp;"|"&amp;C1475&amp;"|"&amp;D1475&amp;"|"&amp;E1475&amp;"|"&amp;F1475&amp;"|"&amp;G1475&amp;"|"&amp;H1475&amp;"|"&amp;I1475&amp;"|"&amp;J1475&amp;"|"&amp;K1475&amp;"|"&amp;L1475&amp;"|"&amp;M1475&amp;"|"&amp;N1475</f>
        <v>ORD11042|11-May-2025|23:30|C0002|Bengal Bites|Kolkata|Street Food|3|145|0|Wallet|Delivered|38|5</v>
      </c>
      <c r="P1475" s="7" t="str">
        <f aca="false">IF(COUNTIF($O$2:O1475,O1475)&gt;1,"DUP","OK")</f>
        <v>OK</v>
      </c>
      <c r="Q1475" s="7" t="n">
        <f aca="false">COUNTBLANK(A1475:N1475)</f>
        <v>0</v>
      </c>
      <c r="R1475" s="7" t="n">
        <f aca="false">IF(A1475="",0,COUNTIFS($A$2:$A$3058,A1475,$P$2:$P$3058,"OK"))</f>
        <v>1</v>
      </c>
      <c r="S1475" s="7" t="str">
        <f aca="false">IF(OR(A1475="",P1475="DUP",R1475&lt;2),"",IF(Q1475=_xlfn.MINIFS($Q$2:$Q$3058,$A$2:$A$3058,A1475,$P$2:$P$3058,"OK"),"KEEP","DROP"))</f>
        <v/>
      </c>
      <c r="T1475" s="9" t="n">
        <f aca="false">IF(A1475="",1,0)</f>
        <v>0</v>
      </c>
      <c r="U1475" s="9" t="n">
        <f aca="false">IF(D1475="",1,0)</f>
        <v>0</v>
      </c>
      <c r="V1475" s="9" t="n">
        <f aca="false">IF(E1475="",1,0)</f>
        <v>0</v>
      </c>
      <c r="W1475" s="9" t="n">
        <f aca="false">IF(OR(H1475&lt;1,H1475&gt;10),1,0)</f>
        <v>0</v>
      </c>
      <c r="X1475" s="9" t="n">
        <f aca="false">IF(OR(I1475&lt;=0,I1475&gt;1500),1,0)</f>
        <v>0</v>
      </c>
      <c r="Y1475" s="9" t="n">
        <f aca="false">IF(J1475&gt;H1475*I1475,1,0)</f>
        <v>0</v>
      </c>
      <c r="Z1475" s="9" t="n">
        <f aca="false">IF(AND(N1475&lt;&gt;"",OR(N1475&lt;1,N1475&gt;5)),1,0)</f>
        <v>0</v>
      </c>
      <c r="AA1475" s="9" t="n">
        <f aca="false">IF(AND(M1475&lt;&gt;"",OR(M1475&lt;5,M1475&gt;180)),1,0)</f>
        <v>0</v>
      </c>
      <c r="AB1475" s="7" t="str">
        <f aca="false">IF(P1475="DUP","Exact duplicate row",IF(T1475=1,"Missing Order ID",IF(S1475="DROP","Duplicate Order ID (less complete row)",IF(U1475=1,"Missing Customer ID",IF(V1475=1,"Missing Restaurant name",IF(W1475=1,"Invalid/outlier quantity",IF(X1475=1,"Invalid/outlier unit price",IF(Y1475=1,"Discount greater than order value",""))))))))</f>
        <v/>
      </c>
      <c r="AC1475" s="7" t="str">
        <f aca="false">IF(AB1475="","KEEP","DROP")</f>
        <v>KEEP</v>
      </c>
      <c r="AD1475" s="7" t="str">
        <f aca="false">IF(TRIM(F1475)="",IFERROR(INDEX(Map_Tables!$I$4:$I$37,MATCH(TRIM(E1475),Map_Tables!$G$4:$G$37,0)),""),IFERROR(INDEX(Map_Tables!$B$4:$B$18,MATCH(TRIM(F1475),Map_Tables!$A$4:$A$18,0)),"CHECK"))</f>
        <v>Kolkata</v>
      </c>
      <c r="AE1475" s="7" t="str">
        <f aca="false">IF(TRIM(E1475)="","",IFERROR(INDEX(Map_Tables!$H$4:$H$37,MATCH(TRIM(E1475),Map_Tables!$G$4:$G$37,0)),"CHECK"))</f>
        <v>Bengal Bites</v>
      </c>
      <c r="AF1475" s="7" t="str">
        <f aca="false">IF(TRIM(K1475)="","Unknown",IFERROR(INDEX(Map_Tables!$E$4:$E$15,MATCH(TRIM(K1475),Map_Tables!$D$4:$D$15,0)),"CHECK"))</f>
        <v>Wallet</v>
      </c>
      <c r="AG1475" s="7" t="str">
        <f aca="false">IF(LEFT(LOWER(TRIM(L1475)),6)="cancel","Cancelled","Delivered")</f>
        <v>Delivered</v>
      </c>
      <c r="AH1475" s="10" t="n">
        <f aca="false">IF(ISNUMBER(SEARCH("/",B1475)),DATE(VALUE(RIGHT(B1475,4)),VALUE(MID(B1475,4,2)),VALUE(LEFT(B1475,2))),IF(MID(B1475,5,1)="-",DATE(VALUE(LEFT(B1475,4)),VALUE(MID(B1475,6,2)),VALUE(RIGHT(B1475,2))),DATE(VALUE(RIGHT(B1475,4)),MATCH(MID(B1475,4,3),{"Jan","Feb","Mar","Apr","May","Jun","Jul","Aug","Sep","Oct","Nov","Dec"},0),VALUE(LEFT(B1475,2)))))</f>
        <v>45788</v>
      </c>
    </row>
    <row r="1476" customFormat="false" ht="15" hidden="false" customHeight="false" outlineLevel="0" collapsed="false">
      <c r="A1476" s="7" t="s">
        <v>3896</v>
      </c>
      <c r="B1476" s="7" t="s">
        <v>696</v>
      </c>
      <c r="C1476" s="7" t="s">
        <v>1407</v>
      </c>
      <c r="D1476" s="7" t="s">
        <v>3384</v>
      </c>
      <c r="E1476" s="7" t="s">
        <v>104</v>
      </c>
      <c r="F1476" s="7" t="s">
        <v>86</v>
      </c>
      <c r="G1476" s="7" t="s">
        <v>105</v>
      </c>
      <c r="H1476" s="7" t="n">
        <v>4</v>
      </c>
      <c r="I1476" s="7" t="n">
        <v>190</v>
      </c>
      <c r="J1476" s="7" t="n">
        <v>75</v>
      </c>
      <c r="K1476" s="7" t="s">
        <v>87</v>
      </c>
      <c r="L1476" s="7" t="s">
        <v>194</v>
      </c>
      <c r="M1476" s="7" t="n">
        <v>47</v>
      </c>
      <c r="N1476" s="7" t="n">
        <v>5</v>
      </c>
      <c r="O1476" s="7" t="str">
        <f aca="false">A1476&amp;"|"&amp;B1476&amp;"|"&amp;C1476&amp;"|"&amp;D1476&amp;"|"&amp;E1476&amp;"|"&amp;F1476&amp;"|"&amp;G1476&amp;"|"&amp;H1476&amp;"|"&amp;I1476&amp;"|"&amp;J1476&amp;"|"&amp;K1476&amp;"|"&amp;L1476&amp;"|"&amp;M1476&amp;"|"&amp;N1476</f>
        <v>ORD11788|2025-08-21|18:21|C0076|Wok &amp; Roll|Bengaluru|Chinese|4|190|75|upi|Delivered|47|5</v>
      </c>
      <c r="P1476" s="7" t="str">
        <f aca="false">IF(COUNTIF($O$2:O1476,O1476)&gt;1,"DUP","OK")</f>
        <v>OK</v>
      </c>
      <c r="Q1476" s="7" t="n">
        <f aca="false">COUNTBLANK(A1476:N1476)</f>
        <v>0</v>
      </c>
      <c r="R1476" s="7" t="n">
        <f aca="false">IF(A1476="",0,COUNTIFS($A$2:$A$3058,A1476,$P$2:$P$3058,"OK"))</f>
        <v>1</v>
      </c>
      <c r="S1476" s="7" t="str">
        <f aca="false">IF(OR(A1476="",P1476="DUP",R1476&lt;2),"",IF(Q1476=_xlfn.MINIFS($Q$2:$Q$3058,$A$2:$A$3058,A1476,$P$2:$P$3058,"OK"),"KEEP","DROP"))</f>
        <v/>
      </c>
      <c r="T1476" s="9" t="n">
        <f aca="false">IF(A1476="",1,0)</f>
        <v>0</v>
      </c>
      <c r="U1476" s="9" t="n">
        <f aca="false">IF(D1476="",1,0)</f>
        <v>0</v>
      </c>
      <c r="V1476" s="9" t="n">
        <f aca="false">IF(E1476="",1,0)</f>
        <v>0</v>
      </c>
      <c r="W1476" s="9" t="n">
        <f aca="false">IF(OR(H1476&lt;1,H1476&gt;10),1,0)</f>
        <v>0</v>
      </c>
      <c r="X1476" s="9" t="n">
        <f aca="false">IF(OR(I1476&lt;=0,I1476&gt;1500),1,0)</f>
        <v>0</v>
      </c>
      <c r="Y1476" s="9" t="n">
        <f aca="false">IF(J1476&gt;H1476*I1476,1,0)</f>
        <v>0</v>
      </c>
      <c r="Z1476" s="9" t="n">
        <f aca="false">IF(AND(N1476&lt;&gt;"",OR(N1476&lt;1,N1476&gt;5)),1,0)</f>
        <v>0</v>
      </c>
      <c r="AA1476" s="9" t="n">
        <f aca="false">IF(AND(M1476&lt;&gt;"",OR(M1476&lt;5,M1476&gt;180)),1,0)</f>
        <v>0</v>
      </c>
      <c r="AB1476" s="7" t="str">
        <f aca="false">IF(P1476="DUP","Exact duplicate row",IF(T1476=1,"Missing Order ID",IF(S1476="DROP","Duplicate Order ID (less complete row)",IF(U1476=1,"Missing Customer ID",IF(V1476=1,"Missing Restaurant name",IF(W1476=1,"Invalid/outlier quantity",IF(X1476=1,"Invalid/outlier unit price",IF(Y1476=1,"Discount greater than order value",""))))))))</f>
        <v/>
      </c>
      <c r="AC1476" s="7" t="str">
        <f aca="false">IF(AB1476="","KEEP","DROP")</f>
        <v>KEEP</v>
      </c>
      <c r="AD1476" s="7" t="str">
        <f aca="false">IF(TRIM(F1476)="",IFERROR(INDEX(Map_Tables!$I$4:$I$37,MATCH(TRIM(E1476),Map_Tables!$G$4:$G$37,0)),""),IFERROR(INDEX(Map_Tables!$B$4:$B$18,MATCH(TRIM(F1476),Map_Tables!$A$4:$A$18,0)),"CHECK"))</f>
        <v>Bengaluru</v>
      </c>
      <c r="AE1476" s="7" t="str">
        <f aca="false">IF(TRIM(E1476)="","",IFERROR(INDEX(Map_Tables!$H$4:$H$37,MATCH(TRIM(E1476),Map_Tables!$G$4:$G$37,0)),"CHECK"))</f>
        <v>Wok &amp; Roll</v>
      </c>
      <c r="AF1476" s="7" t="str">
        <f aca="false">IF(TRIM(K1476)="","Unknown",IFERROR(INDEX(Map_Tables!$E$4:$E$15,MATCH(TRIM(K1476),Map_Tables!$D$4:$D$15,0)),"CHECK"))</f>
        <v>UPI</v>
      </c>
      <c r="AG1476" s="7" t="str">
        <f aca="false">IF(LEFT(LOWER(TRIM(L1476)),6)="cancel","Cancelled","Delivered")</f>
        <v>Delivered</v>
      </c>
      <c r="AH1476" s="10" t="n">
        <f aca="false">IF(ISNUMBER(SEARCH("/",B1476)),DATE(VALUE(RIGHT(B1476,4)),VALUE(MID(B1476,4,2)),VALUE(LEFT(B1476,2))),IF(MID(B1476,5,1)="-",DATE(VALUE(LEFT(B1476,4)),VALUE(MID(B1476,6,2)),VALUE(RIGHT(B1476,2))),DATE(VALUE(RIGHT(B1476,4)),MATCH(MID(B1476,4,3),{"Jan","Feb","Mar","Apr","May","Jun","Jul","Aug","Sep","Oct","Nov","Dec"},0),VALUE(LEFT(B1476,2)))))</f>
        <v>45890</v>
      </c>
    </row>
    <row r="1477" customFormat="false" ht="15" hidden="false" customHeight="false" outlineLevel="0" collapsed="false">
      <c r="A1477" s="7" t="s">
        <v>3897</v>
      </c>
      <c r="B1477" s="7" t="s">
        <v>3898</v>
      </c>
      <c r="C1477" s="7" t="s">
        <v>1830</v>
      </c>
      <c r="D1477" s="7" t="s">
        <v>843</v>
      </c>
      <c r="E1477" s="7" t="s">
        <v>142</v>
      </c>
      <c r="F1477" s="7" t="s">
        <v>110</v>
      </c>
      <c r="G1477" s="7" t="s">
        <v>105</v>
      </c>
      <c r="H1477" s="7" t="n">
        <v>1</v>
      </c>
      <c r="I1477" s="7" t="n">
        <v>170</v>
      </c>
      <c r="J1477" s="7" t="n">
        <v>0</v>
      </c>
      <c r="K1477" s="7" t="s">
        <v>88</v>
      </c>
      <c r="L1477" s="7" t="s">
        <v>194</v>
      </c>
      <c r="M1477" s="7" t="n">
        <v>33</v>
      </c>
      <c r="N1477" s="7" t="n">
        <v>5</v>
      </c>
      <c r="O1477" s="7" t="str">
        <f aca="false">A1477&amp;"|"&amp;B1477&amp;"|"&amp;C1477&amp;"|"&amp;D1477&amp;"|"&amp;E1477&amp;"|"&amp;F1477&amp;"|"&amp;G1477&amp;"|"&amp;H1477&amp;"|"&amp;I1477&amp;"|"&amp;J1477&amp;"|"&amp;K1477&amp;"|"&amp;L1477&amp;"|"&amp;M1477&amp;"|"&amp;N1477</f>
        <v>ORD11188|31/05/2025|18:27|C0923|Momo Magic|Delhi|Chinese|1|170|0|UPI|Delivered|33|5</v>
      </c>
      <c r="P1477" s="7" t="str">
        <f aca="false">IF(COUNTIF($O$2:O1477,O1477)&gt;1,"DUP","OK")</f>
        <v>OK</v>
      </c>
      <c r="Q1477" s="7" t="n">
        <f aca="false">COUNTBLANK(A1477:N1477)</f>
        <v>0</v>
      </c>
      <c r="R1477" s="7" t="n">
        <f aca="false">IF(A1477="",0,COUNTIFS($A$2:$A$3058,A1477,$P$2:$P$3058,"OK"))</f>
        <v>1</v>
      </c>
      <c r="S1477" s="7" t="str">
        <f aca="false">IF(OR(A1477="",P1477="DUP",R1477&lt;2),"",IF(Q1477=_xlfn.MINIFS($Q$2:$Q$3058,$A$2:$A$3058,A1477,$P$2:$P$3058,"OK"),"KEEP","DROP"))</f>
        <v/>
      </c>
      <c r="T1477" s="9" t="n">
        <f aca="false">IF(A1477="",1,0)</f>
        <v>0</v>
      </c>
      <c r="U1477" s="9" t="n">
        <f aca="false">IF(D1477="",1,0)</f>
        <v>0</v>
      </c>
      <c r="V1477" s="9" t="n">
        <f aca="false">IF(E1477="",1,0)</f>
        <v>0</v>
      </c>
      <c r="W1477" s="9" t="n">
        <f aca="false">IF(OR(H1477&lt;1,H1477&gt;10),1,0)</f>
        <v>0</v>
      </c>
      <c r="X1477" s="9" t="n">
        <f aca="false">IF(OR(I1477&lt;=0,I1477&gt;1500),1,0)</f>
        <v>0</v>
      </c>
      <c r="Y1477" s="9" t="n">
        <f aca="false">IF(J1477&gt;H1477*I1477,1,0)</f>
        <v>0</v>
      </c>
      <c r="Z1477" s="9" t="n">
        <f aca="false">IF(AND(N1477&lt;&gt;"",OR(N1477&lt;1,N1477&gt;5)),1,0)</f>
        <v>0</v>
      </c>
      <c r="AA1477" s="9" t="n">
        <f aca="false">IF(AND(M1477&lt;&gt;"",OR(M1477&lt;5,M1477&gt;180)),1,0)</f>
        <v>0</v>
      </c>
      <c r="AB1477" s="7" t="str">
        <f aca="false">IF(P1477="DUP","Exact duplicate row",IF(T1477=1,"Missing Order ID",IF(S1477="DROP","Duplicate Order ID (less complete row)",IF(U1477=1,"Missing Customer ID",IF(V1477=1,"Missing Restaurant name",IF(W1477=1,"Invalid/outlier quantity",IF(X1477=1,"Invalid/outlier unit price",IF(Y1477=1,"Discount greater than order value",""))))))))</f>
        <v/>
      </c>
      <c r="AC1477" s="7" t="str">
        <f aca="false">IF(AB1477="","KEEP","DROP")</f>
        <v>KEEP</v>
      </c>
      <c r="AD1477" s="7" t="str">
        <f aca="false">IF(TRIM(F1477)="",IFERROR(INDEX(Map_Tables!$I$4:$I$37,MATCH(TRIM(E1477),Map_Tables!$G$4:$G$37,0)),""),IFERROR(INDEX(Map_Tables!$B$4:$B$18,MATCH(TRIM(F1477),Map_Tables!$A$4:$A$18,0)),"CHECK"))</f>
        <v>Delhi</v>
      </c>
      <c r="AE1477" s="7" t="str">
        <f aca="false">IF(TRIM(E1477)="","",IFERROR(INDEX(Map_Tables!$H$4:$H$37,MATCH(TRIM(E1477),Map_Tables!$G$4:$G$37,0)),"CHECK"))</f>
        <v>Momo Magic</v>
      </c>
      <c r="AF1477" s="7" t="str">
        <f aca="false">IF(TRIM(K1477)="","Unknown",IFERROR(INDEX(Map_Tables!$E$4:$E$15,MATCH(TRIM(K1477),Map_Tables!$D$4:$D$15,0)),"CHECK"))</f>
        <v>UPI</v>
      </c>
      <c r="AG1477" s="7" t="str">
        <f aca="false">IF(LEFT(LOWER(TRIM(L1477)),6)="cancel","Cancelled","Delivered")</f>
        <v>Delivered</v>
      </c>
      <c r="AH1477" s="10" t="n">
        <f aca="false">IF(ISNUMBER(SEARCH("/",B1477)),DATE(VALUE(RIGHT(B1477,4)),VALUE(MID(B1477,4,2)),VALUE(LEFT(B1477,2))),IF(MID(B1477,5,1)="-",DATE(VALUE(LEFT(B1477,4)),VALUE(MID(B1477,6,2)),VALUE(RIGHT(B1477,2))),DATE(VALUE(RIGHT(B1477,4)),MATCH(MID(B1477,4,3),{"Jan","Feb","Mar","Apr","May","Jun","Jul","Aug","Sep","Oct","Nov","Dec"},0),VALUE(LEFT(B1477,2)))))</f>
        <v>45808</v>
      </c>
    </row>
    <row r="1478" customFormat="false" ht="15" hidden="false" customHeight="false" outlineLevel="0" collapsed="false">
      <c r="A1478" s="7" t="s">
        <v>3899</v>
      </c>
      <c r="B1478" s="7" t="s">
        <v>410</v>
      </c>
      <c r="C1478" s="7" t="s">
        <v>3705</v>
      </c>
      <c r="D1478" s="7" t="s">
        <v>1981</v>
      </c>
      <c r="E1478" s="7" t="s">
        <v>2131</v>
      </c>
      <c r="F1478" s="7" t="s">
        <v>101</v>
      </c>
      <c r="G1478" s="7" t="s">
        <v>123</v>
      </c>
      <c r="H1478" s="7" t="n">
        <v>2</v>
      </c>
      <c r="I1478" s="7" t="n">
        <v>330</v>
      </c>
      <c r="J1478" s="7" t="n">
        <v>0</v>
      </c>
      <c r="K1478" s="7" t="s">
        <v>121</v>
      </c>
      <c r="L1478" s="7" t="s">
        <v>194</v>
      </c>
      <c r="M1478" s="7" t="n">
        <v>54</v>
      </c>
      <c r="N1478" s="7" t="n">
        <v>4</v>
      </c>
      <c r="O1478" s="7" t="str">
        <f aca="false">A1478&amp;"|"&amp;B1478&amp;"|"&amp;C1478&amp;"|"&amp;D1478&amp;"|"&amp;E1478&amp;"|"&amp;F1478&amp;"|"&amp;G1478&amp;"|"&amp;H1478&amp;"|"&amp;I1478&amp;"|"&amp;J1478&amp;"|"&amp;K1478&amp;"|"&amp;L1478&amp;"|"&amp;M1478&amp;"|"&amp;N1478</f>
        <v>ORD10282|2025-02-07|22:05|C0607|Mumbai  Pizza Co|Mumbai|Pizza|2|330|0|Wallet|Delivered|54|4</v>
      </c>
      <c r="P1478" s="7" t="str">
        <f aca="false">IF(COUNTIF($O$2:O1478,O1478)&gt;1,"DUP","OK")</f>
        <v>OK</v>
      </c>
      <c r="Q1478" s="7" t="n">
        <f aca="false">COUNTBLANK(A1478:N1478)</f>
        <v>0</v>
      </c>
      <c r="R1478" s="7" t="n">
        <f aca="false">IF(A1478="",0,COUNTIFS($A$2:$A$3058,A1478,$P$2:$P$3058,"OK"))</f>
        <v>1</v>
      </c>
      <c r="S1478" s="7" t="str">
        <f aca="false">IF(OR(A1478="",P1478="DUP",R1478&lt;2),"",IF(Q1478=_xlfn.MINIFS($Q$2:$Q$3058,$A$2:$A$3058,A1478,$P$2:$P$3058,"OK"),"KEEP","DROP"))</f>
        <v/>
      </c>
      <c r="T1478" s="9" t="n">
        <f aca="false">IF(A1478="",1,0)</f>
        <v>0</v>
      </c>
      <c r="U1478" s="9" t="n">
        <f aca="false">IF(D1478="",1,0)</f>
        <v>0</v>
      </c>
      <c r="V1478" s="9" t="n">
        <f aca="false">IF(E1478="",1,0)</f>
        <v>0</v>
      </c>
      <c r="W1478" s="9" t="n">
        <f aca="false">IF(OR(H1478&lt;1,H1478&gt;10),1,0)</f>
        <v>0</v>
      </c>
      <c r="X1478" s="9" t="n">
        <f aca="false">IF(OR(I1478&lt;=0,I1478&gt;1500),1,0)</f>
        <v>0</v>
      </c>
      <c r="Y1478" s="9" t="n">
        <f aca="false">IF(J1478&gt;H1478*I1478,1,0)</f>
        <v>0</v>
      </c>
      <c r="Z1478" s="9" t="n">
        <f aca="false">IF(AND(N1478&lt;&gt;"",OR(N1478&lt;1,N1478&gt;5)),1,0)</f>
        <v>0</v>
      </c>
      <c r="AA1478" s="9" t="n">
        <f aca="false">IF(AND(M1478&lt;&gt;"",OR(M1478&lt;5,M1478&gt;180)),1,0)</f>
        <v>0</v>
      </c>
      <c r="AB1478" s="7" t="str">
        <f aca="false">IF(P1478="DUP","Exact duplicate row",IF(T1478=1,"Missing Order ID",IF(S1478="DROP","Duplicate Order ID (less complete row)",IF(U1478=1,"Missing Customer ID",IF(V1478=1,"Missing Restaurant name",IF(W1478=1,"Invalid/outlier quantity",IF(X1478=1,"Invalid/outlier unit price",IF(Y1478=1,"Discount greater than order value",""))))))))</f>
        <v/>
      </c>
      <c r="AC1478" s="7" t="str">
        <f aca="false">IF(AB1478="","KEEP","DROP")</f>
        <v>KEEP</v>
      </c>
      <c r="AD1478" s="7" t="str">
        <f aca="false">IF(TRIM(F1478)="",IFERROR(INDEX(Map_Tables!$I$4:$I$37,MATCH(TRIM(E1478),Map_Tables!$G$4:$G$37,0)),""),IFERROR(INDEX(Map_Tables!$B$4:$B$18,MATCH(TRIM(F1478),Map_Tables!$A$4:$A$18,0)),"CHECK"))</f>
        <v>Mumbai</v>
      </c>
      <c r="AE1478" s="7" t="str">
        <f aca="false">IF(TRIM(E1478)="","",IFERROR(INDEX(Map_Tables!$H$4:$H$37,MATCH(TRIM(E1478),Map_Tables!$G$4:$G$37,0)),"CHECK"))</f>
        <v>Mumbai Pizza Co</v>
      </c>
      <c r="AF1478" s="7" t="str">
        <f aca="false">IF(TRIM(K1478)="","Unknown",IFERROR(INDEX(Map_Tables!$E$4:$E$15,MATCH(TRIM(K1478),Map_Tables!$D$4:$D$15,0)),"CHECK"))</f>
        <v>Wallet</v>
      </c>
      <c r="AG1478" s="7" t="str">
        <f aca="false">IF(LEFT(LOWER(TRIM(L1478)),6)="cancel","Cancelled","Delivered")</f>
        <v>Delivered</v>
      </c>
      <c r="AH1478" s="10" t="n">
        <f aca="false">IF(ISNUMBER(SEARCH("/",B1478)),DATE(VALUE(RIGHT(B1478,4)),VALUE(MID(B1478,4,2)),VALUE(LEFT(B1478,2))),IF(MID(B1478,5,1)="-",DATE(VALUE(LEFT(B1478,4)),VALUE(MID(B1478,6,2)),VALUE(RIGHT(B1478,2))),DATE(VALUE(RIGHT(B1478,4)),MATCH(MID(B1478,4,3),{"Jan","Feb","Mar","Apr","May","Jun","Jul","Aug","Sep","Oct","Nov","Dec"},0),VALUE(LEFT(B1478,2)))))</f>
        <v>45695</v>
      </c>
    </row>
    <row r="1479" customFormat="false" ht="15" hidden="false" customHeight="false" outlineLevel="0" collapsed="false">
      <c r="A1479" s="7" t="s">
        <v>3900</v>
      </c>
      <c r="B1479" s="7" t="s">
        <v>2428</v>
      </c>
      <c r="C1479" s="7" t="s">
        <v>1664</v>
      </c>
      <c r="D1479" s="7" t="s">
        <v>374</v>
      </c>
      <c r="E1479" s="7" t="s">
        <v>154</v>
      </c>
      <c r="F1479" s="7" t="s">
        <v>128</v>
      </c>
      <c r="G1479" s="7" t="s">
        <v>1199</v>
      </c>
      <c r="H1479" s="7" t="n">
        <v>5</v>
      </c>
      <c r="I1479" s="7" t="n">
        <v>285</v>
      </c>
      <c r="J1479" s="7" t="n">
        <v>75</v>
      </c>
      <c r="K1479" s="7" t="s">
        <v>88</v>
      </c>
      <c r="L1479" s="7" t="s">
        <v>194</v>
      </c>
      <c r="M1479" s="7" t="n">
        <v>18</v>
      </c>
      <c r="N1479" s="7" t="n">
        <v>5</v>
      </c>
      <c r="O1479" s="7" t="str">
        <f aca="false">A1479&amp;"|"&amp;B1479&amp;"|"&amp;C1479&amp;"|"&amp;D1479&amp;"|"&amp;E1479&amp;"|"&amp;F1479&amp;"|"&amp;G1479&amp;"|"&amp;H1479&amp;"|"&amp;I1479&amp;"|"&amp;J1479&amp;"|"&amp;K1479&amp;"|"&amp;L1479&amp;"|"&amp;M1479&amp;"|"&amp;N1479</f>
        <v>ORD11633|2025-08-01|18:35|C0254|Madras Biryani Co|Chennai|biryani|5|285|75|UPI|Delivered|18|5</v>
      </c>
      <c r="P1479" s="7" t="str">
        <f aca="false">IF(COUNTIF($O$2:O1479,O1479)&gt;1,"DUP","OK")</f>
        <v>OK</v>
      </c>
      <c r="Q1479" s="7" t="n">
        <f aca="false">COUNTBLANK(A1479:N1479)</f>
        <v>0</v>
      </c>
      <c r="R1479" s="7" t="n">
        <f aca="false">IF(A1479="",0,COUNTIFS($A$2:$A$3058,A1479,$P$2:$P$3058,"OK"))</f>
        <v>1</v>
      </c>
      <c r="S1479" s="7" t="str">
        <f aca="false">IF(OR(A1479="",P1479="DUP",R1479&lt;2),"",IF(Q1479=_xlfn.MINIFS($Q$2:$Q$3058,$A$2:$A$3058,A1479,$P$2:$P$3058,"OK"),"KEEP","DROP"))</f>
        <v/>
      </c>
      <c r="T1479" s="9" t="n">
        <f aca="false">IF(A1479="",1,0)</f>
        <v>0</v>
      </c>
      <c r="U1479" s="9" t="n">
        <f aca="false">IF(D1479="",1,0)</f>
        <v>0</v>
      </c>
      <c r="V1479" s="9" t="n">
        <f aca="false">IF(E1479="",1,0)</f>
        <v>0</v>
      </c>
      <c r="W1479" s="9" t="n">
        <f aca="false">IF(OR(H1479&lt;1,H1479&gt;10),1,0)</f>
        <v>0</v>
      </c>
      <c r="X1479" s="9" t="n">
        <f aca="false">IF(OR(I1479&lt;=0,I1479&gt;1500),1,0)</f>
        <v>0</v>
      </c>
      <c r="Y1479" s="9" t="n">
        <f aca="false">IF(J1479&gt;H1479*I1479,1,0)</f>
        <v>0</v>
      </c>
      <c r="Z1479" s="9" t="n">
        <f aca="false">IF(AND(N1479&lt;&gt;"",OR(N1479&lt;1,N1479&gt;5)),1,0)</f>
        <v>0</v>
      </c>
      <c r="AA1479" s="9" t="n">
        <f aca="false">IF(AND(M1479&lt;&gt;"",OR(M1479&lt;5,M1479&gt;180)),1,0)</f>
        <v>0</v>
      </c>
      <c r="AB1479" s="7" t="str">
        <f aca="false">IF(P1479="DUP","Exact duplicate row",IF(T1479=1,"Missing Order ID",IF(S1479="DROP","Duplicate Order ID (less complete row)",IF(U1479=1,"Missing Customer ID",IF(V1479=1,"Missing Restaurant name",IF(W1479=1,"Invalid/outlier quantity",IF(X1479=1,"Invalid/outlier unit price",IF(Y1479=1,"Discount greater than order value",""))))))))</f>
        <v/>
      </c>
      <c r="AC1479" s="7" t="str">
        <f aca="false">IF(AB1479="","KEEP","DROP")</f>
        <v>KEEP</v>
      </c>
      <c r="AD1479" s="7" t="str">
        <f aca="false">IF(TRIM(F1479)="",IFERROR(INDEX(Map_Tables!$I$4:$I$37,MATCH(TRIM(E1479),Map_Tables!$G$4:$G$37,0)),""),IFERROR(INDEX(Map_Tables!$B$4:$B$18,MATCH(TRIM(F1479),Map_Tables!$A$4:$A$18,0)),"CHECK"))</f>
        <v>Chennai</v>
      </c>
      <c r="AE1479" s="7" t="str">
        <f aca="false">IF(TRIM(E1479)="","",IFERROR(INDEX(Map_Tables!$H$4:$H$37,MATCH(TRIM(E1479),Map_Tables!$G$4:$G$37,0)),"CHECK"))</f>
        <v>Madras Biryani Co</v>
      </c>
      <c r="AF1479" s="7" t="str">
        <f aca="false">IF(TRIM(K1479)="","Unknown",IFERROR(INDEX(Map_Tables!$E$4:$E$15,MATCH(TRIM(K1479),Map_Tables!$D$4:$D$15,0)),"CHECK"))</f>
        <v>UPI</v>
      </c>
      <c r="AG1479" s="7" t="str">
        <f aca="false">IF(LEFT(LOWER(TRIM(L1479)),6)="cancel","Cancelled","Delivered")</f>
        <v>Delivered</v>
      </c>
      <c r="AH1479" s="10" t="n">
        <f aca="false">IF(ISNUMBER(SEARCH("/",B1479)),DATE(VALUE(RIGHT(B1479,4)),VALUE(MID(B1479,4,2)),VALUE(LEFT(B1479,2))),IF(MID(B1479,5,1)="-",DATE(VALUE(LEFT(B1479,4)),VALUE(MID(B1479,6,2)),VALUE(RIGHT(B1479,2))),DATE(VALUE(RIGHT(B1479,4)),MATCH(MID(B1479,4,3),{"Jan","Feb","Mar","Apr","May","Jun","Jul","Aug","Sep","Oct","Nov","Dec"},0),VALUE(LEFT(B1479,2)))))</f>
        <v>45870</v>
      </c>
    </row>
    <row r="1480" customFormat="false" ht="15" hidden="false" customHeight="false" outlineLevel="0" collapsed="false">
      <c r="A1480" s="7" t="s">
        <v>3077</v>
      </c>
      <c r="B1480" s="7" t="s">
        <v>3078</v>
      </c>
      <c r="C1480" s="7" t="s">
        <v>577</v>
      </c>
      <c r="D1480" s="7" t="s">
        <v>1012</v>
      </c>
      <c r="E1480" s="7" t="s">
        <v>134</v>
      </c>
      <c r="F1480" s="7" t="s">
        <v>110</v>
      </c>
      <c r="G1480" s="7" t="s">
        <v>117</v>
      </c>
      <c r="H1480" s="7" t="n">
        <v>1</v>
      </c>
      <c r="I1480" s="7" t="n">
        <v>105</v>
      </c>
      <c r="J1480" s="7" t="n">
        <v>42</v>
      </c>
      <c r="K1480" s="7" t="s">
        <v>112</v>
      </c>
      <c r="L1480" s="7" t="s">
        <v>194</v>
      </c>
      <c r="M1480" s="7" t="n">
        <v>33</v>
      </c>
      <c r="N1480" s="7" t="n">
        <v>3</v>
      </c>
      <c r="O1480" s="7" t="str">
        <f aca="false">A1480&amp;"|"&amp;B1480&amp;"|"&amp;C1480&amp;"|"&amp;D1480&amp;"|"&amp;E1480&amp;"|"&amp;F1480&amp;"|"&amp;G1480&amp;"|"&amp;H1480&amp;"|"&amp;I1480&amp;"|"&amp;J1480&amp;"|"&amp;K1480&amp;"|"&amp;L1480&amp;"|"&amp;M1480&amp;"|"&amp;N1480</f>
        <v>ORD10352|16-Feb-2025|12:20|C0920|Chaat Corner|Delhi|Street Food|1|105|42|Cash on Delivery|Delivered|33|3</v>
      </c>
      <c r="P1480" s="7" t="str">
        <f aca="false">IF(COUNTIF($O$2:O1480,O1480)&gt;1,"DUP","OK")</f>
        <v>DUP</v>
      </c>
      <c r="Q1480" s="7" t="n">
        <f aca="false">COUNTBLANK(A1480:N1480)</f>
        <v>0</v>
      </c>
      <c r="R1480" s="7" t="n">
        <f aca="false">IF(A1480="",0,COUNTIFS($A$2:$A$3058,A1480,$P$2:$P$3058,"OK"))</f>
        <v>1</v>
      </c>
      <c r="S1480" s="7" t="str">
        <f aca="false">IF(OR(A1480="",P1480="DUP",R1480&lt;2),"",IF(Q1480=_xlfn.MINIFS($Q$2:$Q$3058,$A$2:$A$3058,A1480,$P$2:$P$3058,"OK"),"KEEP","DROP"))</f>
        <v/>
      </c>
      <c r="T1480" s="9" t="n">
        <f aca="false">IF(A1480="",1,0)</f>
        <v>0</v>
      </c>
      <c r="U1480" s="9" t="n">
        <f aca="false">IF(D1480="",1,0)</f>
        <v>0</v>
      </c>
      <c r="V1480" s="9" t="n">
        <f aca="false">IF(E1480="",1,0)</f>
        <v>0</v>
      </c>
      <c r="W1480" s="9" t="n">
        <f aca="false">IF(OR(H1480&lt;1,H1480&gt;10),1,0)</f>
        <v>0</v>
      </c>
      <c r="X1480" s="9" t="n">
        <f aca="false">IF(OR(I1480&lt;=0,I1480&gt;1500),1,0)</f>
        <v>0</v>
      </c>
      <c r="Y1480" s="9" t="n">
        <f aca="false">IF(J1480&gt;H1480*I1480,1,0)</f>
        <v>0</v>
      </c>
      <c r="Z1480" s="9" t="n">
        <f aca="false">IF(AND(N1480&lt;&gt;"",OR(N1480&lt;1,N1480&gt;5)),1,0)</f>
        <v>0</v>
      </c>
      <c r="AA1480" s="9" t="n">
        <f aca="false">IF(AND(M1480&lt;&gt;"",OR(M1480&lt;5,M1480&gt;180)),1,0)</f>
        <v>0</v>
      </c>
      <c r="AB1480" s="7" t="str">
        <f aca="false">IF(P1480="DUP","Exact duplicate row",IF(T1480=1,"Missing Order ID",IF(S1480="DROP","Duplicate Order ID (less complete row)",IF(U1480=1,"Missing Customer ID",IF(V1480=1,"Missing Restaurant name",IF(W1480=1,"Invalid/outlier quantity",IF(X1480=1,"Invalid/outlier unit price",IF(Y1480=1,"Discount greater than order value",""))))))))</f>
        <v>Exact duplicate row</v>
      </c>
      <c r="AC1480" s="7" t="str">
        <f aca="false">IF(AB1480="","KEEP","DROP")</f>
        <v>DROP</v>
      </c>
      <c r="AD1480" s="7" t="str">
        <f aca="false">IF(TRIM(F1480)="",IFERROR(INDEX(Map_Tables!$I$4:$I$37,MATCH(TRIM(E1480),Map_Tables!$G$4:$G$37,0)),""),IFERROR(INDEX(Map_Tables!$B$4:$B$18,MATCH(TRIM(F1480),Map_Tables!$A$4:$A$18,0)),"CHECK"))</f>
        <v>Delhi</v>
      </c>
      <c r="AE1480" s="7" t="str">
        <f aca="false">IF(TRIM(E1480)="","",IFERROR(INDEX(Map_Tables!$H$4:$H$37,MATCH(TRIM(E1480),Map_Tables!$G$4:$G$37,0)),"CHECK"))</f>
        <v>Chaat Corner</v>
      </c>
      <c r="AF1480" s="7" t="str">
        <f aca="false">IF(TRIM(K1480)="","Unknown",IFERROR(INDEX(Map_Tables!$E$4:$E$15,MATCH(TRIM(K1480),Map_Tables!$D$4:$D$15,0)),"CHECK"))</f>
        <v>Cash on Delivery</v>
      </c>
      <c r="AG1480" s="7" t="str">
        <f aca="false">IF(LEFT(LOWER(TRIM(L1480)),6)="cancel","Cancelled","Delivered")</f>
        <v>Delivered</v>
      </c>
      <c r="AH1480" s="10" t="n">
        <f aca="false">IF(ISNUMBER(SEARCH("/",B1480)),DATE(VALUE(RIGHT(B1480,4)),VALUE(MID(B1480,4,2)),VALUE(LEFT(B1480,2))),IF(MID(B1480,5,1)="-",DATE(VALUE(LEFT(B1480,4)),VALUE(MID(B1480,6,2)),VALUE(RIGHT(B1480,2))),DATE(VALUE(RIGHT(B1480,4)),MATCH(MID(B1480,4,3),{"Jan","Feb","Mar","Apr","May","Jun","Jul","Aug","Sep","Oct","Nov","Dec"},0),VALUE(LEFT(B1480,2)))))</f>
        <v>45704</v>
      </c>
    </row>
    <row r="1481" customFormat="false" ht="15" hidden="false" customHeight="false" outlineLevel="0" collapsed="false">
      <c r="A1481" s="7" t="s">
        <v>3901</v>
      </c>
      <c r="B1481" s="7" t="s">
        <v>500</v>
      </c>
      <c r="C1481" s="7" t="s">
        <v>486</v>
      </c>
      <c r="D1481" s="7" t="s">
        <v>857</v>
      </c>
      <c r="E1481" s="7" t="s">
        <v>148</v>
      </c>
      <c r="F1481" s="7" t="s">
        <v>119</v>
      </c>
      <c r="G1481" s="7" t="s">
        <v>123</v>
      </c>
      <c r="H1481" s="7" t="n">
        <v>1</v>
      </c>
      <c r="I1481" s="7" t="n">
        <v>315</v>
      </c>
      <c r="J1481" s="7" t="n">
        <v>0</v>
      </c>
      <c r="K1481" s="7" t="s">
        <v>87</v>
      </c>
      <c r="L1481" s="7" t="s">
        <v>194</v>
      </c>
      <c r="M1481" s="7" t="n">
        <v>39</v>
      </c>
      <c r="N1481" s="7" t="n">
        <v>5</v>
      </c>
      <c r="O1481" s="7" t="str">
        <f aca="false">A1481&amp;"|"&amp;B1481&amp;"|"&amp;C1481&amp;"|"&amp;D1481&amp;"|"&amp;E1481&amp;"|"&amp;F1481&amp;"|"&amp;G1481&amp;"|"&amp;H1481&amp;"|"&amp;I1481&amp;"|"&amp;J1481&amp;"|"&amp;K1481&amp;"|"&amp;L1481&amp;"|"&amp;M1481&amp;"|"&amp;N1481</f>
        <v>ORD11356|2025-06-24|12:46|C0802|Pizza Palace|Hyderabad|Pizza|1|315|0|upi|Delivered|39|5</v>
      </c>
      <c r="P1481" s="7" t="str">
        <f aca="false">IF(COUNTIF($O$2:O1481,O1481)&gt;1,"DUP","OK")</f>
        <v>OK</v>
      </c>
      <c r="Q1481" s="7" t="n">
        <f aca="false">COUNTBLANK(A1481:N1481)</f>
        <v>0</v>
      </c>
      <c r="R1481" s="7" t="n">
        <f aca="false">IF(A1481="",0,COUNTIFS($A$2:$A$3058,A1481,$P$2:$P$3058,"OK"))</f>
        <v>1</v>
      </c>
      <c r="S1481" s="7" t="str">
        <f aca="false">IF(OR(A1481="",P1481="DUP",R1481&lt;2),"",IF(Q1481=_xlfn.MINIFS($Q$2:$Q$3058,$A$2:$A$3058,A1481,$P$2:$P$3058,"OK"),"KEEP","DROP"))</f>
        <v/>
      </c>
      <c r="T1481" s="9" t="n">
        <f aca="false">IF(A1481="",1,0)</f>
        <v>0</v>
      </c>
      <c r="U1481" s="9" t="n">
        <f aca="false">IF(D1481="",1,0)</f>
        <v>0</v>
      </c>
      <c r="V1481" s="9" t="n">
        <f aca="false">IF(E1481="",1,0)</f>
        <v>0</v>
      </c>
      <c r="W1481" s="9" t="n">
        <f aca="false">IF(OR(H1481&lt;1,H1481&gt;10),1,0)</f>
        <v>0</v>
      </c>
      <c r="X1481" s="9" t="n">
        <f aca="false">IF(OR(I1481&lt;=0,I1481&gt;1500),1,0)</f>
        <v>0</v>
      </c>
      <c r="Y1481" s="9" t="n">
        <f aca="false">IF(J1481&gt;H1481*I1481,1,0)</f>
        <v>0</v>
      </c>
      <c r="Z1481" s="9" t="n">
        <f aca="false">IF(AND(N1481&lt;&gt;"",OR(N1481&lt;1,N1481&gt;5)),1,0)</f>
        <v>0</v>
      </c>
      <c r="AA1481" s="9" t="n">
        <f aca="false">IF(AND(M1481&lt;&gt;"",OR(M1481&lt;5,M1481&gt;180)),1,0)</f>
        <v>0</v>
      </c>
      <c r="AB1481" s="7" t="str">
        <f aca="false">IF(P1481="DUP","Exact duplicate row",IF(T1481=1,"Missing Order ID",IF(S1481="DROP","Duplicate Order ID (less complete row)",IF(U1481=1,"Missing Customer ID",IF(V1481=1,"Missing Restaurant name",IF(W1481=1,"Invalid/outlier quantity",IF(X1481=1,"Invalid/outlier unit price",IF(Y1481=1,"Discount greater than order value",""))))))))</f>
        <v/>
      </c>
      <c r="AC1481" s="7" t="str">
        <f aca="false">IF(AB1481="","KEEP","DROP")</f>
        <v>KEEP</v>
      </c>
      <c r="AD1481" s="7" t="str">
        <f aca="false">IF(TRIM(F1481)="",IFERROR(INDEX(Map_Tables!$I$4:$I$37,MATCH(TRIM(E1481),Map_Tables!$G$4:$G$37,0)),""),IFERROR(INDEX(Map_Tables!$B$4:$B$18,MATCH(TRIM(F1481),Map_Tables!$A$4:$A$18,0)),"CHECK"))</f>
        <v>Hyderabad</v>
      </c>
      <c r="AE1481" s="7" t="str">
        <f aca="false">IF(TRIM(E1481)="","",IFERROR(INDEX(Map_Tables!$H$4:$H$37,MATCH(TRIM(E1481),Map_Tables!$G$4:$G$37,0)),"CHECK"))</f>
        <v>Pizza Palace</v>
      </c>
      <c r="AF1481" s="7" t="str">
        <f aca="false">IF(TRIM(K1481)="","Unknown",IFERROR(INDEX(Map_Tables!$E$4:$E$15,MATCH(TRIM(K1481),Map_Tables!$D$4:$D$15,0)),"CHECK"))</f>
        <v>UPI</v>
      </c>
      <c r="AG1481" s="7" t="str">
        <f aca="false">IF(LEFT(LOWER(TRIM(L1481)),6)="cancel","Cancelled","Delivered")</f>
        <v>Delivered</v>
      </c>
      <c r="AH1481" s="10" t="n">
        <f aca="false">IF(ISNUMBER(SEARCH("/",B1481)),DATE(VALUE(RIGHT(B1481,4)),VALUE(MID(B1481,4,2)),VALUE(LEFT(B1481,2))),IF(MID(B1481,5,1)="-",DATE(VALUE(LEFT(B1481,4)),VALUE(MID(B1481,6,2)),VALUE(RIGHT(B1481,2))),DATE(VALUE(RIGHT(B1481,4)),MATCH(MID(B1481,4,3),{"Jan","Feb","Mar","Apr","May","Jun","Jul","Aug","Sep","Oct","Nov","Dec"},0),VALUE(LEFT(B1481,2)))))</f>
        <v>45832</v>
      </c>
    </row>
    <row r="1482" customFormat="false" ht="15" hidden="false" customHeight="false" outlineLevel="0" collapsed="false">
      <c r="A1482" s="7" t="s">
        <v>3902</v>
      </c>
      <c r="B1482" s="7" t="s">
        <v>2873</v>
      </c>
      <c r="C1482" s="7" t="s">
        <v>403</v>
      </c>
      <c r="D1482" s="7" t="s">
        <v>2142</v>
      </c>
      <c r="E1482" s="7" t="s">
        <v>113</v>
      </c>
      <c r="F1482" s="7" t="s">
        <v>101</v>
      </c>
      <c r="G1482" s="7" t="s">
        <v>90</v>
      </c>
      <c r="H1482" s="7" t="n">
        <v>3</v>
      </c>
      <c r="I1482" s="7" t="n">
        <v>220</v>
      </c>
      <c r="J1482" s="7" t="n">
        <v>0</v>
      </c>
      <c r="K1482" s="7" t="s">
        <v>103</v>
      </c>
      <c r="L1482" s="7" t="s">
        <v>194</v>
      </c>
      <c r="M1482" s="7" t="n">
        <v>43</v>
      </c>
      <c r="N1482" s="7" t="n">
        <v>2</v>
      </c>
      <c r="O1482" s="7" t="str">
        <f aca="false">A1482&amp;"|"&amp;B1482&amp;"|"&amp;C1482&amp;"|"&amp;D1482&amp;"|"&amp;E1482&amp;"|"&amp;F1482&amp;"|"&amp;G1482&amp;"|"&amp;H1482&amp;"|"&amp;I1482&amp;"|"&amp;J1482&amp;"|"&amp;K1482&amp;"|"&amp;L1482&amp;"|"&amp;M1482&amp;"|"&amp;N1482</f>
        <v>ORD10043|07/01/2025|11:13|C0943|Curry Leaf Kitchen|Mumbai|North Indian|3|220|0|Debit Card|Delivered|43|2</v>
      </c>
      <c r="P1482" s="7" t="str">
        <f aca="false">IF(COUNTIF($O$2:O1482,O1482)&gt;1,"DUP","OK")</f>
        <v>OK</v>
      </c>
      <c r="Q1482" s="7" t="n">
        <f aca="false">COUNTBLANK(A1482:N1482)</f>
        <v>0</v>
      </c>
      <c r="R1482" s="7" t="n">
        <f aca="false">IF(A1482="",0,COUNTIFS($A$2:$A$3058,A1482,$P$2:$P$3058,"OK"))</f>
        <v>1</v>
      </c>
      <c r="S1482" s="7" t="str">
        <f aca="false">IF(OR(A1482="",P1482="DUP",R1482&lt;2),"",IF(Q1482=_xlfn.MINIFS($Q$2:$Q$3058,$A$2:$A$3058,A1482,$P$2:$P$3058,"OK"),"KEEP","DROP"))</f>
        <v/>
      </c>
      <c r="T1482" s="9" t="n">
        <f aca="false">IF(A1482="",1,0)</f>
        <v>0</v>
      </c>
      <c r="U1482" s="9" t="n">
        <f aca="false">IF(D1482="",1,0)</f>
        <v>0</v>
      </c>
      <c r="V1482" s="9" t="n">
        <f aca="false">IF(E1482="",1,0)</f>
        <v>0</v>
      </c>
      <c r="W1482" s="9" t="n">
        <f aca="false">IF(OR(H1482&lt;1,H1482&gt;10),1,0)</f>
        <v>0</v>
      </c>
      <c r="X1482" s="9" t="n">
        <f aca="false">IF(OR(I1482&lt;=0,I1482&gt;1500),1,0)</f>
        <v>0</v>
      </c>
      <c r="Y1482" s="9" t="n">
        <f aca="false">IF(J1482&gt;H1482*I1482,1,0)</f>
        <v>0</v>
      </c>
      <c r="Z1482" s="9" t="n">
        <f aca="false">IF(AND(N1482&lt;&gt;"",OR(N1482&lt;1,N1482&gt;5)),1,0)</f>
        <v>0</v>
      </c>
      <c r="AA1482" s="9" t="n">
        <f aca="false">IF(AND(M1482&lt;&gt;"",OR(M1482&lt;5,M1482&gt;180)),1,0)</f>
        <v>0</v>
      </c>
      <c r="AB1482" s="7" t="str">
        <f aca="false">IF(P1482="DUP","Exact duplicate row",IF(T1482=1,"Missing Order ID",IF(S1482="DROP","Duplicate Order ID (less complete row)",IF(U1482=1,"Missing Customer ID",IF(V1482=1,"Missing Restaurant name",IF(W1482=1,"Invalid/outlier quantity",IF(X1482=1,"Invalid/outlier unit price",IF(Y1482=1,"Discount greater than order value",""))))))))</f>
        <v/>
      </c>
      <c r="AC1482" s="7" t="str">
        <f aca="false">IF(AB1482="","KEEP","DROP")</f>
        <v>KEEP</v>
      </c>
      <c r="AD1482" s="7" t="str">
        <f aca="false">IF(TRIM(F1482)="",IFERROR(INDEX(Map_Tables!$I$4:$I$37,MATCH(TRIM(E1482),Map_Tables!$G$4:$G$37,0)),""),IFERROR(INDEX(Map_Tables!$B$4:$B$18,MATCH(TRIM(F1482),Map_Tables!$A$4:$A$18,0)),"CHECK"))</f>
        <v>Mumbai</v>
      </c>
      <c r="AE1482" s="7" t="str">
        <f aca="false">IF(TRIM(E1482)="","",IFERROR(INDEX(Map_Tables!$H$4:$H$37,MATCH(TRIM(E1482),Map_Tables!$G$4:$G$37,0)),"CHECK"))</f>
        <v>Curry Leaf Kitchen</v>
      </c>
      <c r="AF1482" s="7" t="str">
        <f aca="false">IF(TRIM(K1482)="","Unknown",IFERROR(INDEX(Map_Tables!$E$4:$E$15,MATCH(TRIM(K1482),Map_Tables!$D$4:$D$15,0)),"CHECK"))</f>
        <v>Debit Card</v>
      </c>
      <c r="AG1482" s="7" t="str">
        <f aca="false">IF(LEFT(LOWER(TRIM(L1482)),6)="cancel","Cancelled","Delivered")</f>
        <v>Delivered</v>
      </c>
      <c r="AH1482" s="10" t="n">
        <f aca="false">IF(ISNUMBER(SEARCH("/",B1482)),DATE(VALUE(RIGHT(B1482,4)),VALUE(MID(B1482,4,2)),VALUE(LEFT(B1482,2))),IF(MID(B1482,5,1)="-",DATE(VALUE(LEFT(B1482,4)),VALUE(MID(B1482,6,2)),VALUE(RIGHT(B1482,2))),DATE(VALUE(RIGHT(B1482,4)),MATCH(MID(B1482,4,3),{"Jan","Feb","Mar","Apr","May","Jun","Jul","Aug","Sep","Oct","Nov","Dec"},0),VALUE(LEFT(B1482,2)))))</f>
        <v>45664</v>
      </c>
    </row>
    <row r="1483" customFormat="false" ht="15" hidden="false" customHeight="false" outlineLevel="0" collapsed="false">
      <c r="A1483" s="7" t="s">
        <v>3903</v>
      </c>
      <c r="B1483" s="7" t="s">
        <v>1528</v>
      </c>
      <c r="C1483" s="7" t="s">
        <v>3904</v>
      </c>
      <c r="D1483" s="7" t="s">
        <v>3905</v>
      </c>
      <c r="E1483" s="7" t="s">
        <v>3906</v>
      </c>
      <c r="F1483" s="7" t="s">
        <v>136</v>
      </c>
      <c r="G1483" s="7" t="s">
        <v>117</v>
      </c>
      <c r="H1483" s="7" t="n">
        <v>2</v>
      </c>
      <c r="I1483" s="7" t="n">
        <v>105</v>
      </c>
      <c r="J1483" s="7" t="n">
        <v>0</v>
      </c>
      <c r="K1483" s="7" t="s">
        <v>93</v>
      </c>
      <c r="L1483" s="7" t="s">
        <v>194</v>
      </c>
      <c r="M1483" s="7" t="n">
        <v>32</v>
      </c>
      <c r="N1483" s="7" t="n">
        <v>5</v>
      </c>
      <c r="O1483" s="7" t="str">
        <f aca="false">A1483&amp;"|"&amp;B1483&amp;"|"&amp;C1483&amp;"|"&amp;D1483&amp;"|"&amp;E1483&amp;"|"&amp;F1483&amp;"|"&amp;G1483&amp;"|"&amp;H1483&amp;"|"&amp;I1483&amp;"|"&amp;J1483&amp;"|"&amp;K1483&amp;"|"&amp;L1483&amp;"|"&amp;M1483&amp;"|"&amp;N1483</f>
        <v>ORD12464|2025-11-05|21:14|C0124|misal mantra|Pune|Street Food|2|105|0|Credit Card|Delivered|32|5</v>
      </c>
      <c r="P1483" s="7" t="str">
        <f aca="false">IF(COUNTIF($O$2:O1483,O1483)&gt;1,"DUP","OK")</f>
        <v>OK</v>
      </c>
      <c r="Q1483" s="7" t="n">
        <f aca="false">COUNTBLANK(A1483:N1483)</f>
        <v>0</v>
      </c>
      <c r="R1483" s="7" t="n">
        <f aca="false">IF(A1483="",0,COUNTIFS($A$2:$A$3058,A1483,$P$2:$P$3058,"OK"))</f>
        <v>1</v>
      </c>
      <c r="S1483" s="7" t="str">
        <f aca="false">IF(OR(A1483="",P1483="DUP",R1483&lt;2),"",IF(Q1483=_xlfn.MINIFS($Q$2:$Q$3058,$A$2:$A$3058,A1483,$P$2:$P$3058,"OK"),"KEEP","DROP"))</f>
        <v/>
      </c>
      <c r="T1483" s="9" t="n">
        <f aca="false">IF(A1483="",1,0)</f>
        <v>0</v>
      </c>
      <c r="U1483" s="9" t="n">
        <f aca="false">IF(D1483="",1,0)</f>
        <v>0</v>
      </c>
      <c r="V1483" s="9" t="n">
        <f aca="false">IF(E1483="",1,0)</f>
        <v>0</v>
      </c>
      <c r="W1483" s="9" t="n">
        <f aca="false">IF(OR(H1483&lt;1,H1483&gt;10),1,0)</f>
        <v>0</v>
      </c>
      <c r="X1483" s="9" t="n">
        <f aca="false">IF(OR(I1483&lt;=0,I1483&gt;1500),1,0)</f>
        <v>0</v>
      </c>
      <c r="Y1483" s="9" t="n">
        <f aca="false">IF(J1483&gt;H1483*I1483,1,0)</f>
        <v>0</v>
      </c>
      <c r="Z1483" s="9" t="n">
        <f aca="false">IF(AND(N1483&lt;&gt;"",OR(N1483&lt;1,N1483&gt;5)),1,0)</f>
        <v>0</v>
      </c>
      <c r="AA1483" s="9" t="n">
        <f aca="false">IF(AND(M1483&lt;&gt;"",OR(M1483&lt;5,M1483&gt;180)),1,0)</f>
        <v>0</v>
      </c>
      <c r="AB1483" s="7" t="str">
        <f aca="false">IF(P1483="DUP","Exact duplicate row",IF(T1483=1,"Missing Order ID",IF(S1483="DROP","Duplicate Order ID (less complete row)",IF(U1483=1,"Missing Customer ID",IF(V1483=1,"Missing Restaurant name",IF(W1483=1,"Invalid/outlier quantity",IF(X1483=1,"Invalid/outlier unit price",IF(Y1483=1,"Discount greater than order value",""))))))))</f>
        <v/>
      </c>
      <c r="AC1483" s="7" t="str">
        <f aca="false">IF(AB1483="","KEEP","DROP")</f>
        <v>KEEP</v>
      </c>
      <c r="AD1483" s="7" t="str">
        <f aca="false">IF(TRIM(F1483)="",IFERROR(INDEX(Map_Tables!$I$4:$I$37,MATCH(TRIM(E1483),Map_Tables!$G$4:$G$37,0)),""),IFERROR(INDEX(Map_Tables!$B$4:$B$18,MATCH(TRIM(F1483),Map_Tables!$A$4:$A$18,0)),"CHECK"))</f>
        <v>Pune</v>
      </c>
      <c r="AE1483" s="7" t="str">
        <f aca="false">IF(TRIM(E1483)="","",IFERROR(INDEX(Map_Tables!$H$4:$H$37,MATCH(TRIM(E1483),Map_Tables!$G$4:$G$37,0)),"CHECK"))</f>
        <v>Misal Mantra</v>
      </c>
      <c r="AF1483" s="7" t="str">
        <f aca="false">IF(TRIM(K1483)="","Unknown",IFERROR(INDEX(Map_Tables!$E$4:$E$15,MATCH(TRIM(K1483),Map_Tables!$D$4:$D$15,0)),"CHECK"))</f>
        <v>Credit Card</v>
      </c>
      <c r="AG1483" s="7" t="str">
        <f aca="false">IF(LEFT(LOWER(TRIM(L1483)),6)="cancel","Cancelled","Delivered")</f>
        <v>Delivered</v>
      </c>
      <c r="AH1483" s="10" t="n">
        <f aca="false">IF(ISNUMBER(SEARCH("/",B1483)),DATE(VALUE(RIGHT(B1483,4)),VALUE(MID(B1483,4,2)),VALUE(LEFT(B1483,2))),IF(MID(B1483,5,1)="-",DATE(VALUE(LEFT(B1483,4)),VALUE(MID(B1483,6,2)),VALUE(RIGHT(B1483,2))),DATE(VALUE(RIGHT(B1483,4)),MATCH(MID(B1483,4,3),{"Jan","Feb","Mar","Apr","May","Jun","Jul","Aug","Sep","Oct","Nov","Dec"},0),VALUE(LEFT(B1483,2)))))</f>
        <v>45966</v>
      </c>
    </row>
    <row r="1484" customFormat="false" ht="15" hidden="false" customHeight="false" outlineLevel="0" collapsed="false">
      <c r="A1484" s="7" t="s">
        <v>3907</v>
      </c>
      <c r="B1484" s="7" t="s">
        <v>1364</v>
      </c>
      <c r="C1484" s="7" t="s">
        <v>1817</v>
      </c>
      <c r="D1484" s="7" t="s">
        <v>3908</v>
      </c>
      <c r="E1484" s="7" t="s">
        <v>811</v>
      </c>
      <c r="F1484" s="7" t="s">
        <v>101</v>
      </c>
      <c r="G1484" s="7" t="s">
        <v>105</v>
      </c>
      <c r="H1484" s="7" t="n">
        <v>2</v>
      </c>
      <c r="I1484" s="7" t="n">
        <v>185</v>
      </c>
      <c r="J1484" s="7" t="n">
        <v>40</v>
      </c>
      <c r="K1484" s="7" t="s">
        <v>103</v>
      </c>
      <c r="L1484" s="7" t="s">
        <v>194</v>
      </c>
      <c r="M1484" s="7" t="n">
        <v>37</v>
      </c>
      <c r="N1484" s="7" t="n">
        <v>4</v>
      </c>
      <c r="O1484" s="7" t="str">
        <f aca="false">A1484&amp;"|"&amp;B1484&amp;"|"&amp;C1484&amp;"|"&amp;D1484&amp;"|"&amp;E1484&amp;"|"&amp;F1484&amp;"|"&amp;G1484&amp;"|"&amp;H1484&amp;"|"&amp;I1484&amp;"|"&amp;J1484&amp;"|"&amp;K1484&amp;"|"&amp;L1484&amp;"|"&amp;M1484&amp;"|"&amp;N1484</f>
        <v>ORD10102|2025-01-13|20:47|C0363|Dragon Express |Mumbai|Chinese|2|185|40|Debit Card|Delivered|37|4</v>
      </c>
      <c r="P1484" s="7" t="str">
        <f aca="false">IF(COUNTIF($O$2:O1484,O1484)&gt;1,"DUP","OK")</f>
        <v>OK</v>
      </c>
      <c r="Q1484" s="7" t="n">
        <f aca="false">COUNTBLANK(A1484:N1484)</f>
        <v>0</v>
      </c>
      <c r="R1484" s="7" t="n">
        <f aca="false">IF(A1484="",0,COUNTIFS($A$2:$A$3058,A1484,$P$2:$P$3058,"OK"))</f>
        <v>1</v>
      </c>
      <c r="S1484" s="7" t="str">
        <f aca="false">IF(OR(A1484="",P1484="DUP",R1484&lt;2),"",IF(Q1484=_xlfn.MINIFS($Q$2:$Q$3058,$A$2:$A$3058,A1484,$P$2:$P$3058,"OK"),"KEEP","DROP"))</f>
        <v/>
      </c>
      <c r="T1484" s="9" t="n">
        <f aca="false">IF(A1484="",1,0)</f>
        <v>0</v>
      </c>
      <c r="U1484" s="9" t="n">
        <f aca="false">IF(D1484="",1,0)</f>
        <v>0</v>
      </c>
      <c r="V1484" s="9" t="n">
        <f aca="false">IF(E1484="",1,0)</f>
        <v>0</v>
      </c>
      <c r="W1484" s="9" t="n">
        <f aca="false">IF(OR(H1484&lt;1,H1484&gt;10),1,0)</f>
        <v>0</v>
      </c>
      <c r="X1484" s="9" t="n">
        <f aca="false">IF(OR(I1484&lt;=0,I1484&gt;1500),1,0)</f>
        <v>0</v>
      </c>
      <c r="Y1484" s="9" t="n">
        <f aca="false">IF(J1484&gt;H1484*I1484,1,0)</f>
        <v>0</v>
      </c>
      <c r="Z1484" s="9" t="n">
        <f aca="false">IF(AND(N1484&lt;&gt;"",OR(N1484&lt;1,N1484&gt;5)),1,0)</f>
        <v>0</v>
      </c>
      <c r="AA1484" s="9" t="n">
        <f aca="false">IF(AND(M1484&lt;&gt;"",OR(M1484&lt;5,M1484&gt;180)),1,0)</f>
        <v>0</v>
      </c>
      <c r="AB1484" s="7" t="str">
        <f aca="false">IF(P1484="DUP","Exact duplicate row",IF(T1484=1,"Missing Order ID",IF(S1484="DROP","Duplicate Order ID (less complete row)",IF(U1484=1,"Missing Customer ID",IF(V1484=1,"Missing Restaurant name",IF(W1484=1,"Invalid/outlier quantity",IF(X1484=1,"Invalid/outlier unit price",IF(Y1484=1,"Discount greater than order value",""))))))))</f>
        <v/>
      </c>
      <c r="AC1484" s="7" t="str">
        <f aca="false">IF(AB1484="","KEEP","DROP")</f>
        <v>KEEP</v>
      </c>
      <c r="AD1484" s="7" t="str">
        <f aca="false">IF(TRIM(F1484)="",IFERROR(INDEX(Map_Tables!$I$4:$I$37,MATCH(TRIM(E1484),Map_Tables!$G$4:$G$37,0)),""),IFERROR(INDEX(Map_Tables!$B$4:$B$18,MATCH(TRIM(F1484),Map_Tables!$A$4:$A$18,0)),"CHECK"))</f>
        <v>Mumbai</v>
      </c>
      <c r="AE1484" s="7" t="str">
        <f aca="false">IF(TRIM(E1484)="","",IFERROR(INDEX(Map_Tables!$H$4:$H$37,MATCH(TRIM(E1484),Map_Tables!$G$4:$G$37,0)),"CHECK"))</f>
        <v>Dragon Express</v>
      </c>
      <c r="AF1484" s="7" t="str">
        <f aca="false">IF(TRIM(K1484)="","Unknown",IFERROR(INDEX(Map_Tables!$E$4:$E$15,MATCH(TRIM(K1484),Map_Tables!$D$4:$D$15,0)),"CHECK"))</f>
        <v>Debit Card</v>
      </c>
      <c r="AG1484" s="7" t="str">
        <f aca="false">IF(LEFT(LOWER(TRIM(L1484)),6)="cancel","Cancelled","Delivered")</f>
        <v>Delivered</v>
      </c>
      <c r="AH1484" s="10" t="n">
        <f aca="false">IF(ISNUMBER(SEARCH("/",B1484)),DATE(VALUE(RIGHT(B1484,4)),VALUE(MID(B1484,4,2)),VALUE(LEFT(B1484,2))),IF(MID(B1484,5,1)="-",DATE(VALUE(LEFT(B1484,4)),VALUE(MID(B1484,6,2)),VALUE(RIGHT(B1484,2))),DATE(VALUE(RIGHT(B1484,4)),MATCH(MID(B1484,4,3),{"Jan","Feb","Mar","Apr","May","Jun","Jul","Aug","Sep","Oct","Nov","Dec"},0),VALUE(LEFT(B1484,2)))))</f>
        <v>45670</v>
      </c>
    </row>
    <row r="1485" customFormat="false" ht="15" hidden="false" customHeight="false" outlineLevel="0" collapsed="false">
      <c r="A1485" s="7" t="s">
        <v>3909</v>
      </c>
      <c r="B1485" s="7" t="s">
        <v>231</v>
      </c>
      <c r="C1485" s="7" t="s">
        <v>2076</v>
      </c>
      <c r="D1485" s="7" t="s">
        <v>467</v>
      </c>
      <c r="E1485" s="7" t="s">
        <v>134</v>
      </c>
      <c r="F1485" s="7" t="s">
        <v>110</v>
      </c>
      <c r="G1485" s="7" t="s">
        <v>117</v>
      </c>
      <c r="H1485" s="7" t="n">
        <v>1</v>
      </c>
      <c r="I1485" s="7" t="n">
        <v>120</v>
      </c>
      <c r="J1485" s="7" t="n">
        <v>0</v>
      </c>
      <c r="K1485" s="7" t="s">
        <v>93</v>
      </c>
      <c r="L1485" s="7" t="s">
        <v>3910</v>
      </c>
      <c r="M1485" s="7"/>
      <c r="N1485" s="7"/>
      <c r="O1485" s="7" t="str">
        <f aca="false">A1485&amp;"|"&amp;B1485&amp;"|"&amp;C1485&amp;"|"&amp;D1485&amp;"|"&amp;E1485&amp;"|"&amp;F1485&amp;"|"&amp;G1485&amp;"|"&amp;H1485&amp;"|"&amp;I1485&amp;"|"&amp;J1485&amp;"|"&amp;K1485&amp;"|"&amp;L1485&amp;"|"&amp;M1485&amp;"|"&amp;N1485</f>
        <v>ORD12721|2025-11-30|19:11|C0021|Chaat Corner|Delhi|Street Food|1|120|0|Credit Card|cancelled||</v>
      </c>
      <c r="P1485" s="7" t="str">
        <f aca="false">IF(COUNTIF($O$2:O1485,O1485)&gt;1,"DUP","OK")</f>
        <v>OK</v>
      </c>
      <c r="Q1485" s="7" t="n">
        <f aca="false">COUNTBLANK(A1485:N1485)</f>
        <v>2</v>
      </c>
      <c r="R1485" s="7" t="n">
        <f aca="false">IF(A1485="",0,COUNTIFS($A$2:$A$3058,A1485,$P$2:$P$3058,"OK"))</f>
        <v>1</v>
      </c>
      <c r="S1485" s="7" t="str">
        <f aca="false">IF(OR(A1485="",P1485="DUP",R1485&lt;2),"",IF(Q1485=_xlfn.MINIFS($Q$2:$Q$3058,$A$2:$A$3058,A1485,$P$2:$P$3058,"OK"),"KEEP","DROP"))</f>
        <v/>
      </c>
      <c r="T1485" s="9" t="n">
        <f aca="false">IF(A1485="",1,0)</f>
        <v>0</v>
      </c>
      <c r="U1485" s="9" t="n">
        <f aca="false">IF(D1485="",1,0)</f>
        <v>0</v>
      </c>
      <c r="V1485" s="9" t="n">
        <f aca="false">IF(E1485="",1,0)</f>
        <v>0</v>
      </c>
      <c r="W1485" s="9" t="n">
        <f aca="false">IF(OR(H1485&lt;1,H1485&gt;10),1,0)</f>
        <v>0</v>
      </c>
      <c r="X1485" s="9" t="n">
        <f aca="false">IF(OR(I1485&lt;=0,I1485&gt;1500),1,0)</f>
        <v>0</v>
      </c>
      <c r="Y1485" s="9" t="n">
        <f aca="false">IF(J1485&gt;H1485*I1485,1,0)</f>
        <v>0</v>
      </c>
      <c r="Z1485" s="9" t="n">
        <f aca="false">IF(AND(N1485&lt;&gt;"",OR(N1485&lt;1,N1485&gt;5)),1,0)</f>
        <v>0</v>
      </c>
      <c r="AA1485" s="9" t="n">
        <f aca="false">IF(AND(M1485&lt;&gt;"",OR(M1485&lt;5,M1485&gt;180)),1,0)</f>
        <v>0</v>
      </c>
      <c r="AB1485" s="7" t="str">
        <f aca="false">IF(P1485="DUP","Exact duplicate row",IF(T1485=1,"Missing Order ID",IF(S1485="DROP","Duplicate Order ID (less complete row)",IF(U1485=1,"Missing Customer ID",IF(V1485=1,"Missing Restaurant name",IF(W1485=1,"Invalid/outlier quantity",IF(X1485=1,"Invalid/outlier unit price",IF(Y1485=1,"Discount greater than order value",""))))))))</f>
        <v/>
      </c>
      <c r="AC1485" s="7" t="str">
        <f aca="false">IF(AB1485="","KEEP","DROP")</f>
        <v>KEEP</v>
      </c>
      <c r="AD1485" s="7" t="str">
        <f aca="false">IF(TRIM(F1485)="",IFERROR(INDEX(Map_Tables!$I$4:$I$37,MATCH(TRIM(E1485),Map_Tables!$G$4:$G$37,0)),""),IFERROR(INDEX(Map_Tables!$B$4:$B$18,MATCH(TRIM(F1485),Map_Tables!$A$4:$A$18,0)),"CHECK"))</f>
        <v>Delhi</v>
      </c>
      <c r="AE1485" s="7" t="str">
        <f aca="false">IF(TRIM(E1485)="","",IFERROR(INDEX(Map_Tables!$H$4:$H$37,MATCH(TRIM(E1485),Map_Tables!$G$4:$G$37,0)),"CHECK"))</f>
        <v>Chaat Corner</v>
      </c>
      <c r="AF1485" s="7" t="str">
        <f aca="false">IF(TRIM(K1485)="","Unknown",IFERROR(INDEX(Map_Tables!$E$4:$E$15,MATCH(TRIM(K1485),Map_Tables!$D$4:$D$15,0)),"CHECK"))</f>
        <v>Credit Card</v>
      </c>
      <c r="AG1485" s="7" t="str">
        <f aca="false">IF(LEFT(LOWER(TRIM(L1485)),6)="cancel","Cancelled","Delivered")</f>
        <v>Cancelled</v>
      </c>
      <c r="AH1485" s="10" t="n">
        <f aca="false">IF(ISNUMBER(SEARCH("/",B1485)),DATE(VALUE(RIGHT(B1485,4)),VALUE(MID(B1485,4,2)),VALUE(LEFT(B1485,2))),IF(MID(B1485,5,1)="-",DATE(VALUE(LEFT(B1485,4)),VALUE(MID(B1485,6,2)),VALUE(RIGHT(B1485,2))),DATE(VALUE(RIGHT(B1485,4)),MATCH(MID(B1485,4,3),{"Jan","Feb","Mar","Apr","May","Jun","Jul","Aug","Sep","Oct","Nov","Dec"},0),VALUE(LEFT(B1485,2)))))</f>
        <v>45991</v>
      </c>
    </row>
    <row r="1486" customFormat="false" ht="15" hidden="false" customHeight="false" outlineLevel="0" collapsed="false">
      <c r="A1486" s="7" t="s">
        <v>3911</v>
      </c>
      <c r="B1486" s="7" t="s">
        <v>1603</v>
      </c>
      <c r="C1486" s="7" t="s">
        <v>369</v>
      </c>
      <c r="D1486" s="7" t="s">
        <v>3912</v>
      </c>
      <c r="E1486" s="7" t="s">
        <v>1862</v>
      </c>
      <c r="F1486" s="7" t="s">
        <v>86</v>
      </c>
      <c r="G1486" s="7" t="s">
        <v>90</v>
      </c>
      <c r="H1486" s="7" t="n">
        <v>1</v>
      </c>
      <c r="I1486" s="7" t="n">
        <v>245</v>
      </c>
      <c r="J1486" s="7" t="n">
        <v>0</v>
      </c>
      <c r="K1486" s="7" t="s">
        <v>88</v>
      </c>
      <c r="L1486" s="7" t="s">
        <v>194</v>
      </c>
      <c r="M1486" s="7" t="n">
        <v>45</v>
      </c>
      <c r="N1486" s="7" t="n">
        <v>4</v>
      </c>
      <c r="O1486" s="7" t="str">
        <f aca="false">A1486&amp;"|"&amp;B1486&amp;"|"&amp;C1486&amp;"|"&amp;D1486&amp;"|"&amp;E1486&amp;"|"&amp;F1486&amp;"|"&amp;G1486&amp;"|"&amp;H1486&amp;"|"&amp;I1486&amp;"|"&amp;J1486&amp;"|"&amp;K1486&amp;"|"&amp;L1486&amp;"|"&amp;M1486&amp;"|"&amp;N1486</f>
        <v>ORD12988|2025-12-30|19:29|C0929|Spice Junction |Bengaluru|North Indian|1|245|0|UPI|Delivered|45|4</v>
      </c>
      <c r="P1486" s="7" t="str">
        <f aca="false">IF(COUNTIF($O$2:O1486,O1486)&gt;1,"DUP","OK")</f>
        <v>OK</v>
      </c>
      <c r="Q1486" s="7" t="n">
        <f aca="false">COUNTBLANK(A1486:N1486)</f>
        <v>0</v>
      </c>
      <c r="R1486" s="7" t="n">
        <f aca="false">IF(A1486="",0,COUNTIFS($A$2:$A$3058,A1486,$P$2:$P$3058,"OK"))</f>
        <v>1</v>
      </c>
      <c r="S1486" s="7" t="str">
        <f aca="false">IF(OR(A1486="",P1486="DUP",R1486&lt;2),"",IF(Q1486=_xlfn.MINIFS($Q$2:$Q$3058,$A$2:$A$3058,A1486,$P$2:$P$3058,"OK"),"KEEP","DROP"))</f>
        <v/>
      </c>
      <c r="T1486" s="9" t="n">
        <f aca="false">IF(A1486="",1,0)</f>
        <v>0</v>
      </c>
      <c r="U1486" s="9" t="n">
        <f aca="false">IF(D1486="",1,0)</f>
        <v>0</v>
      </c>
      <c r="V1486" s="9" t="n">
        <f aca="false">IF(E1486="",1,0)</f>
        <v>0</v>
      </c>
      <c r="W1486" s="9" t="n">
        <f aca="false">IF(OR(H1486&lt;1,H1486&gt;10),1,0)</f>
        <v>0</v>
      </c>
      <c r="X1486" s="9" t="n">
        <f aca="false">IF(OR(I1486&lt;=0,I1486&gt;1500),1,0)</f>
        <v>0</v>
      </c>
      <c r="Y1486" s="9" t="n">
        <f aca="false">IF(J1486&gt;H1486*I1486,1,0)</f>
        <v>0</v>
      </c>
      <c r="Z1486" s="9" t="n">
        <f aca="false">IF(AND(N1486&lt;&gt;"",OR(N1486&lt;1,N1486&gt;5)),1,0)</f>
        <v>0</v>
      </c>
      <c r="AA1486" s="9" t="n">
        <f aca="false">IF(AND(M1486&lt;&gt;"",OR(M1486&lt;5,M1486&gt;180)),1,0)</f>
        <v>0</v>
      </c>
      <c r="AB1486" s="7" t="str">
        <f aca="false">IF(P1486="DUP","Exact duplicate row",IF(T1486=1,"Missing Order ID",IF(S1486="DROP","Duplicate Order ID (less complete row)",IF(U1486=1,"Missing Customer ID",IF(V1486=1,"Missing Restaurant name",IF(W1486=1,"Invalid/outlier quantity",IF(X1486=1,"Invalid/outlier unit price",IF(Y1486=1,"Discount greater than order value",""))))))))</f>
        <v/>
      </c>
      <c r="AC1486" s="7" t="str">
        <f aca="false">IF(AB1486="","KEEP","DROP")</f>
        <v>KEEP</v>
      </c>
      <c r="AD1486" s="7" t="str">
        <f aca="false">IF(TRIM(F1486)="",IFERROR(INDEX(Map_Tables!$I$4:$I$37,MATCH(TRIM(E1486),Map_Tables!$G$4:$G$37,0)),""),IFERROR(INDEX(Map_Tables!$B$4:$B$18,MATCH(TRIM(F1486),Map_Tables!$A$4:$A$18,0)),"CHECK"))</f>
        <v>Bengaluru</v>
      </c>
      <c r="AE1486" s="7" t="str">
        <f aca="false">IF(TRIM(E1486)="","",IFERROR(INDEX(Map_Tables!$H$4:$H$37,MATCH(TRIM(E1486),Map_Tables!$G$4:$G$37,0)),"CHECK"))</f>
        <v>Spice Junction</v>
      </c>
      <c r="AF1486" s="7" t="str">
        <f aca="false">IF(TRIM(K1486)="","Unknown",IFERROR(INDEX(Map_Tables!$E$4:$E$15,MATCH(TRIM(K1486),Map_Tables!$D$4:$D$15,0)),"CHECK"))</f>
        <v>UPI</v>
      </c>
      <c r="AG1486" s="7" t="str">
        <f aca="false">IF(LEFT(LOWER(TRIM(L1486)),6)="cancel","Cancelled","Delivered")</f>
        <v>Delivered</v>
      </c>
      <c r="AH1486" s="10" t="n">
        <f aca="false">IF(ISNUMBER(SEARCH("/",B1486)),DATE(VALUE(RIGHT(B1486,4)),VALUE(MID(B1486,4,2)),VALUE(LEFT(B1486,2))),IF(MID(B1486,5,1)="-",DATE(VALUE(LEFT(B1486,4)),VALUE(MID(B1486,6,2)),VALUE(RIGHT(B1486,2))),DATE(VALUE(RIGHT(B1486,4)),MATCH(MID(B1486,4,3),{"Jan","Feb","Mar","Apr","May","Jun","Jul","Aug","Sep","Oct","Nov","Dec"},0),VALUE(LEFT(B1486,2)))))</f>
        <v>46021</v>
      </c>
    </row>
    <row r="1487" customFormat="false" ht="15" hidden="false" customHeight="false" outlineLevel="0" collapsed="false">
      <c r="A1487" s="7" t="s">
        <v>3913</v>
      </c>
      <c r="B1487" s="7" t="s">
        <v>1292</v>
      </c>
      <c r="C1487" s="7" t="s">
        <v>2921</v>
      </c>
      <c r="D1487" s="7" t="s">
        <v>3626</v>
      </c>
      <c r="E1487" s="7" t="s">
        <v>159</v>
      </c>
      <c r="F1487" s="7" t="s">
        <v>136</v>
      </c>
      <c r="G1487" s="7" t="s">
        <v>90</v>
      </c>
      <c r="H1487" s="7" t="n">
        <v>5</v>
      </c>
      <c r="I1487" s="7" t="n">
        <v>240</v>
      </c>
      <c r="J1487" s="7" t="n">
        <v>0</v>
      </c>
      <c r="K1487" s="7" t="s">
        <v>88</v>
      </c>
      <c r="L1487" s="7" t="s">
        <v>194</v>
      </c>
      <c r="M1487" s="7" t="n">
        <v>33</v>
      </c>
      <c r="N1487" s="7"/>
      <c r="O1487" s="7" t="str">
        <f aca="false">A1487&amp;"|"&amp;B1487&amp;"|"&amp;C1487&amp;"|"&amp;D1487&amp;"|"&amp;E1487&amp;"|"&amp;F1487&amp;"|"&amp;G1487&amp;"|"&amp;H1487&amp;"|"&amp;I1487&amp;"|"&amp;J1487&amp;"|"&amp;K1487&amp;"|"&amp;L1487&amp;"|"&amp;M1487&amp;"|"&amp;N1487</f>
        <v>ORD10447|2025-03-01|12:44|C0368|Maratha Thali House|Pune|North Indian|5|240|0|UPI|Delivered|33|</v>
      </c>
      <c r="P1487" s="7" t="str">
        <f aca="false">IF(COUNTIF($O$2:O1487,O1487)&gt;1,"DUP","OK")</f>
        <v>OK</v>
      </c>
      <c r="Q1487" s="7" t="n">
        <f aca="false">COUNTBLANK(A1487:N1487)</f>
        <v>1</v>
      </c>
      <c r="R1487" s="7" t="n">
        <f aca="false">IF(A1487="",0,COUNTIFS($A$2:$A$3058,A1487,$P$2:$P$3058,"OK"))</f>
        <v>1</v>
      </c>
      <c r="S1487" s="7" t="str">
        <f aca="false">IF(OR(A1487="",P1487="DUP",R1487&lt;2),"",IF(Q1487=_xlfn.MINIFS($Q$2:$Q$3058,$A$2:$A$3058,A1487,$P$2:$P$3058,"OK"),"KEEP","DROP"))</f>
        <v/>
      </c>
      <c r="T1487" s="9" t="n">
        <f aca="false">IF(A1487="",1,0)</f>
        <v>0</v>
      </c>
      <c r="U1487" s="9" t="n">
        <f aca="false">IF(D1487="",1,0)</f>
        <v>0</v>
      </c>
      <c r="V1487" s="9" t="n">
        <f aca="false">IF(E1487="",1,0)</f>
        <v>0</v>
      </c>
      <c r="W1487" s="9" t="n">
        <f aca="false">IF(OR(H1487&lt;1,H1487&gt;10),1,0)</f>
        <v>0</v>
      </c>
      <c r="X1487" s="9" t="n">
        <f aca="false">IF(OR(I1487&lt;=0,I1487&gt;1500),1,0)</f>
        <v>0</v>
      </c>
      <c r="Y1487" s="9" t="n">
        <f aca="false">IF(J1487&gt;H1487*I1487,1,0)</f>
        <v>0</v>
      </c>
      <c r="Z1487" s="9" t="n">
        <f aca="false">IF(AND(N1487&lt;&gt;"",OR(N1487&lt;1,N1487&gt;5)),1,0)</f>
        <v>0</v>
      </c>
      <c r="AA1487" s="9" t="n">
        <f aca="false">IF(AND(M1487&lt;&gt;"",OR(M1487&lt;5,M1487&gt;180)),1,0)</f>
        <v>0</v>
      </c>
      <c r="AB1487" s="7" t="str">
        <f aca="false">IF(P1487="DUP","Exact duplicate row",IF(T1487=1,"Missing Order ID",IF(S1487="DROP","Duplicate Order ID (less complete row)",IF(U1487=1,"Missing Customer ID",IF(V1487=1,"Missing Restaurant name",IF(W1487=1,"Invalid/outlier quantity",IF(X1487=1,"Invalid/outlier unit price",IF(Y1487=1,"Discount greater than order value",""))))))))</f>
        <v/>
      </c>
      <c r="AC1487" s="7" t="str">
        <f aca="false">IF(AB1487="","KEEP","DROP")</f>
        <v>KEEP</v>
      </c>
      <c r="AD1487" s="7" t="str">
        <f aca="false">IF(TRIM(F1487)="",IFERROR(INDEX(Map_Tables!$I$4:$I$37,MATCH(TRIM(E1487),Map_Tables!$G$4:$G$37,0)),""),IFERROR(INDEX(Map_Tables!$B$4:$B$18,MATCH(TRIM(F1487),Map_Tables!$A$4:$A$18,0)),"CHECK"))</f>
        <v>Pune</v>
      </c>
      <c r="AE1487" s="7" t="str">
        <f aca="false">IF(TRIM(E1487)="","",IFERROR(INDEX(Map_Tables!$H$4:$H$37,MATCH(TRIM(E1487),Map_Tables!$G$4:$G$37,0)),"CHECK"))</f>
        <v>Maratha Thali House</v>
      </c>
      <c r="AF1487" s="7" t="str">
        <f aca="false">IF(TRIM(K1487)="","Unknown",IFERROR(INDEX(Map_Tables!$E$4:$E$15,MATCH(TRIM(K1487),Map_Tables!$D$4:$D$15,0)),"CHECK"))</f>
        <v>UPI</v>
      </c>
      <c r="AG1487" s="7" t="str">
        <f aca="false">IF(LEFT(LOWER(TRIM(L1487)),6)="cancel","Cancelled","Delivered")</f>
        <v>Delivered</v>
      </c>
      <c r="AH1487" s="10" t="n">
        <f aca="false">IF(ISNUMBER(SEARCH("/",B1487)),DATE(VALUE(RIGHT(B1487,4)),VALUE(MID(B1487,4,2)),VALUE(LEFT(B1487,2))),IF(MID(B1487,5,1)="-",DATE(VALUE(LEFT(B1487,4)),VALUE(MID(B1487,6,2)),VALUE(RIGHT(B1487,2))),DATE(VALUE(RIGHT(B1487,4)),MATCH(MID(B1487,4,3),{"Jan","Feb","Mar","Apr","May","Jun","Jul","Aug","Sep","Oct","Nov","Dec"},0),VALUE(LEFT(B1487,2)))))</f>
        <v>45717</v>
      </c>
    </row>
    <row r="1488" customFormat="false" ht="15" hidden="false" customHeight="false" outlineLevel="0" collapsed="false">
      <c r="A1488" s="7" t="s">
        <v>3914</v>
      </c>
      <c r="B1488" s="7" t="s">
        <v>696</v>
      </c>
      <c r="C1488" s="7" t="s">
        <v>2410</v>
      </c>
      <c r="D1488" s="7" t="s">
        <v>2885</v>
      </c>
      <c r="E1488" s="7" t="s">
        <v>160</v>
      </c>
      <c r="F1488" s="7" t="s">
        <v>136</v>
      </c>
      <c r="G1488" s="7" t="s">
        <v>150</v>
      </c>
      <c r="H1488" s="7" t="n">
        <v>3</v>
      </c>
      <c r="I1488" s="7" t="n">
        <v>210</v>
      </c>
      <c r="J1488" s="7" t="n">
        <v>0</v>
      </c>
      <c r="K1488" s="7" t="s">
        <v>112</v>
      </c>
      <c r="L1488" s="7" t="s">
        <v>194</v>
      </c>
      <c r="M1488" s="7" t="n">
        <v>36</v>
      </c>
      <c r="N1488" s="7" t="n">
        <v>5</v>
      </c>
      <c r="O1488" s="7" t="str">
        <f aca="false">A1488&amp;"|"&amp;B1488&amp;"|"&amp;C1488&amp;"|"&amp;D1488&amp;"|"&amp;E1488&amp;"|"&amp;F1488&amp;"|"&amp;G1488&amp;"|"&amp;H1488&amp;"|"&amp;I1488&amp;"|"&amp;J1488&amp;"|"&amp;K1488&amp;"|"&amp;L1488&amp;"|"&amp;M1488&amp;"|"&amp;N1488</f>
        <v>ORD11786|2025-08-21|12:50|C0367|Cake Walk|Pune|Desserts|3|210|0|Cash on Delivery|Delivered|36|5</v>
      </c>
      <c r="P1488" s="7" t="str">
        <f aca="false">IF(COUNTIF($O$2:O1488,O1488)&gt;1,"DUP","OK")</f>
        <v>OK</v>
      </c>
      <c r="Q1488" s="7" t="n">
        <f aca="false">COUNTBLANK(A1488:N1488)</f>
        <v>0</v>
      </c>
      <c r="R1488" s="7" t="n">
        <f aca="false">IF(A1488="",0,COUNTIFS($A$2:$A$3058,A1488,$P$2:$P$3058,"OK"))</f>
        <v>1</v>
      </c>
      <c r="S1488" s="7" t="str">
        <f aca="false">IF(OR(A1488="",P1488="DUP",R1488&lt;2),"",IF(Q1488=_xlfn.MINIFS($Q$2:$Q$3058,$A$2:$A$3058,A1488,$P$2:$P$3058,"OK"),"KEEP","DROP"))</f>
        <v/>
      </c>
      <c r="T1488" s="9" t="n">
        <f aca="false">IF(A1488="",1,0)</f>
        <v>0</v>
      </c>
      <c r="U1488" s="9" t="n">
        <f aca="false">IF(D1488="",1,0)</f>
        <v>0</v>
      </c>
      <c r="V1488" s="9" t="n">
        <f aca="false">IF(E1488="",1,0)</f>
        <v>0</v>
      </c>
      <c r="W1488" s="9" t="n">
        <f aca="false">IF(OR(H1488&lt;1,H1488&gt;10),1,0)</f>
        <v>0</v>
      </c>
      <c r="X1488" s="9" t="n">
        <f aca="false">IF(OR(I1488&lt;=0,I1488&gt;1500),1,0)</f>
        <v>0</v>
      </c>
      <c r="Y1488" s="9" t="n">
        <f aca="false">IF(J1488&gt;H1488*I1488,1,0)</f>
        <v>0</v>
      </c>
      <c r="Z1488" s="9" t="n">
        <f aca="false">IF(AND(N1488&lt;&gt;"",OR(N1488&lt;1,N1488&gt;5)),1,0)</f>
        <v>0</v>
      </c>
      <c r="AA1488" s="9" t="n">
        <f aca="false">IF(AND(M1488&lt;&gt;"",OR(M1488&lt;5,M1488&gt;180)),1,0)</f>
        <v>0</v>
      </c>
      <c r="AB1488" s="7" t="str">
        <f aca="false">IF(P1488="DUP","Exact duplicate row",IF(T1488=1,"Missing Order ID",IF(S1488="DROP","Duplicate Order ID (less complete row)",IF(U1488=1,"Missing Customer ID",IF(V1488=1,"Missing Restaurant name",IF(W1488=1,"Invalid/outlier quantity",IF(X1488=1,"Invalid/outlier unit price",IF(Y1488=1,"Discount greater than order value",""))))))))</f>
        <v/>
      </c>
      <c r="AC1488" s="7" t="str">
        <f aca="false">IF(AB1488="","KEEP","DROP")</f>
        <v>KEEP</v>
      </c>
      <c r="AD1488" s="7" t="str">
        <f aca="false">IF(TRIM(F1488)="",IFERROR(INDEX(Map_Tables!$I$4:$I$37,MATCH(TRIM(E1488),Map_Tables!$G$4:$G$37,0)),""),IFERROR(INDEX(Map_Tables!$B$4:$B$18,MATCH(TRIM(F1488),Map_Tables!$A$4:$A$18,0)),"CHECK"))</f>
        <v>Pune</v>
      </c>
      <c r="AE1488" s="7" t="str">
        <f aca="false">IF(TRIM(E1488)="","",IFERROR(INDEX(Map_Tables!$H$4:$H$37,MATCH(TRIM(E1488),Map_Tables!$G$4:$G$37,0)),"CHECK"))</f>
        <v>Cake Walk</v>
      </c>
      <c r="AF1488" s="7" t="str">
        <f aca="false">IF(TRIM(K1488)="","Unknown",IFERROR(INDEX(Map_Tables!$E$4:$E$15,MATCH(TRIM(K1488),Map_Tables!$D$4:$D$15,0)),"CHECK"))</f>
        <v>Cash on Delivery</v>
      </c>
      <c r="AG1488" s="7" t="str">
        <f aca="false">IF(LEFT(LOWER(TRIM(L1488)),6)="cancel","Cancelled","Delivered")</f>
        <v>Delivered</v>
      </c>
      <c r="AH1488" s="10" t="n">
        <f aca="false">IF(ISNUMBER(SEARCH("/",B1488)),DATE(VALUE(RIGHT(B1488,4)),VALUE(MID(B1488,4,2)),VALUE(LEFT(B1488,2))),IF(MID(B1488,5,1)="-",DATE(VALUE(LEFT(B1488,4)),VALUE(MID(B1488,6,2)),VALUE(RIGHT(B1488,2))),DATE(VALUE(RIGHT(B1488,4)),MATCH(MID(B1488,4,3),{"Jan","Feb","Mar","Apr","May","Jun","Jul","Aug","Sep","Oct","Nov","Dec"},0),VALUE(LEFT(B1488,2)))))</f>
        <v>45890</v>
      </c>
    </row>
    <row r="1489" customFormat="false" ht="15" hidden="false" customHeight="false" outlineLevel="0" collapsed="false">
      <c r="A1489" s="7" t="s">
        <v>3915</v>
      </c>
      <c r="B1489" s="7" t="s">
        <v>715</v>
      </c>
      <c r="C1489" s="7" t="s">
        <v>209</v>
      </c>
      <c r="D1489" s="7" t="s">
        <v>3205</v>
      </c>
      <c r="E1489" s="7" t="s">
        <v>94</v>
      </c>
      <c r="F1489" s="7" t="s">
        <v>86</v>
      </c>
      <c r="G1489" s="7" t="s">
        <v>95</v>
      </c>
      <c r="H1489" s="7" t="n">
        <v>1</v>
      </c>
      <c r="I1489" s="7" t="n">
        <v>115</v>
      </c>
      <c r="J1489" s="7" t="n">
        <v>0</v>
      </c>
      <c r="K1489" s="7" t="s">
        <v>88</v>
      </c>
      <c r="L1489" s="7" t="s">
        <v>194</v>
      </c>
      <c r="M1489" s="7" t="n">
        <v>39</v>
      </c>
      <c r="N1489" s="7" t="n">
        <v>4</v>
      </c>
      <c r="O1489" s="7" t="str">
        <f aca="false">A1489&amp;"|"&amp;B1489&amp;"|"&amp;C1489&amp;"|"&amp;D1489&amp;"|"&amp;E1489&amp;"|"&amp;F1489&amp;"|"&amp;G1489&amp;"|"&amp;H1489&amp;"|"&amp;I1489&amp;"|"&amp;J1489&amp;"|"&amp;K1489&amp;"|"&amp;L1489&amp;"|"&amp;M1489&amp;"|"&amp;N1489</f>
        <v>ORD11274|2025-06-11|21:40|C0416|Dosa Darbar|Bengaluru|South Indian|1|115|0|UPI|Delivered|39|4</v>
      </c>
      <c r="P1489" s="7" t="str">
        <f aca="false">IF(COUNTIF($O$2:O1489,O1489)&gt;1,"DUP","OK")</f>
        <v>OK</v>
      </c>
      <c r="Q1489" s="7" t="n">
        <f aca="false">COUNTBLANK(A1489:N1489)</f>
        <v>0</v>
      </c>
      <c r="R1489" s="7" t="n">
        <f aca="false">IF(A1489="",0,COUNTIFS($A$2:$A$3058,A1489,$P$2:$P$3058,"OK"))</f>
        <v>1</v>
      </c>
      <c r="S1489" s="7" t="str">
        <f aca="false">IF(OR(A1489="",P1489="DUP",R1489&lt;2),"",IF(Q1489=_xlfn.MINIFS($Q$2:$Q$3058,$A$2:$A$3058,A1489,$P$2:$P$3058,"OK"),"KEEP","DROP"))</f>
        <v/>
      </c>
      <c r="T1489" s="9" t="n">
        <f aca="false">IF(A1489="",1,0)</f>
        <v>0</v>
      </c>
      <c r="U1489" s="9" t="n">
        <f aca="false">IF(D1489="",1,0)</f>
        <v>0</v>
      </c>
      <c r="V1489" s="9" t="n">
        <f aca="false">IF(E1489="",1,0)</f>
        <v>0</v>
      </c>
      <c r="W1489" s="9" t="n">
        <f aca="false">IF(OR(H1489&lt;1,H1489&gt;10),1,0)</f>
        <v>0</v>
      </c>
      <c r="X1489" s="9" t="n">
        <f aca="false">IF(OR(I1489&lt;=0,I1489&gt;1500),1,0)</f>
        <v>0</v>
      </c>
      <c r="Y1489" s="9" t="n">
        <f aca="false">IF(J1489&gt;H1489*I1489,1,0)</f>
        <v>0</v>
      </c>
      <c r="Z1489" s="9" t="n">
        <f aca="false">IF(AND(N1489&lt;&gt;"",OR(N1489&lt;1,N1489&gt;5)),1,0)</f>
        <v>0</v>
      </c>
      <c r="AA1489" s="9" t="n">
        <f aca="false">IF(AND(M1489&lt;&gt;"",OR(M1489&lt;5,M1489&gt;180)),1,0)</f>
        <v>0</v>
      </c>
      <c r="AB1489" s="7" t="str">
        <f aca="false">IF(P1489="DUP","Exact duplicate row",IF(T1489=1,"Missing Order ID",IF(S1489="DROP","Duplicate Order ID (less complete row)",IF(U1489=1,"Missing Customer ID",IF(V1489=1,"Missing Restaurant name",IF(W1489=1,"Invalid/outlier quantity",IF(X1489=1,"Invalid/outlier unit price",IF(Y1489=1,"Discount greater than order value",""))))))))</f>
        <v/>
      </c>
      <c r="AC1489" s="7" t="str">
        <f aca="false">IF(AB1489="","KEEP","DROP")</f>
        <v>KEEP</v>
      </c>
      <c r="AD1489" s="7" t="str">
        <f aca="false">IF(TRIM(F1489)="",IFERROR(INDEX(Map_Tables!$I$4:$I$37,MATCH(TRIM(E1489),Map_Tables!$G$4:$G$37,0)),""),IFERROR(INDEX(Map_Tables!$B$4:$B$18,MATCH(TRIM(F1489),Map_Tables!$A$4:$A$18,0)),"CHECK"))</f>
        <v>Bengaluru</v>
      </c>
      <c r="AE1489" s="7" t="str">
        <f aca="false">IF(TRIM(E1489)="","",IFERROR(INDEX(Map_Tables!$H$4:$H$37,MATCH(TRIM(E1489),Map_Tables!$G$4:$G$37,0)),"CHECK"))</f>
        <v>Dosa Darbar</v>
      </c>
      <c r="AF1489" s="7" t="str">
        <f aca="false">IF(TRIM(K1489)="","Unknown",IFERROR(INDEX(Map_Tables!$E$4:$E$15,MATCH(TRIM(K1489),Map_Tables!$D$4:$D$15,0)),"CHECK"))</f>
        <v>UPI</v>
      </c>
      <c r="AG1489" s="7" t="str">
        <f aca="false">IF(LEFT(LOWER(TRIM(L1489)),6)="cancel","Cancelled","Delivered")</f>
        <v>Delivered</v>
      </c>
      <c r="AH1489" s="10" t="n">
        <f aca="false">IF(ISNUMBER(SEARCH("/",B1489)),DATE(VALUE(RIGHT(B1489,4)),VALUE(MID(B1489,4,2)),VALUE(LEFT(B1489,2))),IF(MID(B1489,5,1)="-",DATE(VALUE(LEFT(B1489,4)),VALUE(MID(B1489,6,2)),VALUE(RIGHT(B1489,2))),DATE(VALUE(RIGHT(B1489,4)),MATCH(MID(B1489,4,3),{"Jan","Feb","Mar","Apr","May","Jun","Jul","Aug","Sep","Oct","Nov","Dec"},0),VALUE(LEFT(B1489,2)))))</f>
        <v>45819</v>
      </c>
    </row>
    <row r="1490" customFormat="false" ht="15" hidden="false" customHeight="false" outlineLevel="0" collapsed="false">
      <c r="A1490" s="7" t="s">
        <v>3916</v>
      </c>
      <c r="B1490" s="7" t="s">
        <v>3689</v>
      </c>
      <c r="C1490" s="7" t="s">
        <v>2108</v>
      </c>
      <c r="D1490" s="7" t="s">
        <v>3359</v>
      </c>
      <c r="E1490" s="7" t="s">
        <v>94</v>
      </c>
      <c r="F1490" s="7" t="s">
        <v>86</v>
      </c>
      <c r="G1490" s="7" t="s">
        <v>95</v>
      </c>
      <c r="H1490" s="7" t="n">
        <v>2</v>
      </c>
      <c r="I1490" s="7" t="n">
        <v>100</v>
      </c>
      <c r="J1490" s="7" t="n">
        <v>80</v>
      </c>
      <c r="K1490" s="7" t="s">
        <v>103</v>
      </c>
      <c r="L1490" s="7" t="s">
        <v>238</v>
      </c>
      <c r="M1490" s="7"/>
      <c r="N1490" s="7"/>
      <c r="O1490" s="7" t="str">
        <f aca="false">A1490&amp;"|"&amp;B1490&amp;"|"&amp;C1490&amp;"|"&amp;D1490&amp;"|"&amp;E1490&amp;"|"&amp;F1490&amp;"|"&amp;G1490&amp;"|"&amp;H1490&amp;"|"&amp;I1490&amp;"|"&amp;J1490&amp;"|"&amp;K1490&amp;"|"&amp;L1490&amp;"|"&amp;M1490&amp;"|"&amp;N1490</f>
        <v>ORD10135|2025-01-18|11:35|C0056|Dosa Darbar|Bengaluru|South Indian|2|100|80|Debit Card|Cancelled||</v>
      </c>
      <c r="P1490" s="7" t="str">
        <f aca="false">IF(COUNTIF($O$2:O1490,O1490)&gt;1,"DUP","OK")</f>
        <v>OK</v>
      </c>
      <c r="Q1490" s="7" t="n">
        <f aca="false">COUNTBLANK(A1490:N1490)</f>
        <v>2</v>
      </c>
      <c r="R1490" s="7" t="n">
        <f aca="false">IF(A1490="",0,COUNTIFS($A$2:$A$3058,A1490,$P$2:$P$3058,"OK"))</f>
        <v>1</v>
      </c>
      <c r="S1490" s="7" t="str">
        <f aca="false">IF(OR(A1490="",P1490="DUP",R1490&lt;2),"",IF(Q1490=_xlfn.MINIFS($Q$2:$Q$3058,$A$2:$A$3058,A1490,$P$2:$P$3058,"OK"),"KEEP","DROP"))</f>
        <v/>
      </c>
      <c r="T1490" s="9" t="n">
        <f aca="false">IF(A1490="",1,0)</f>
        <v>0</v>
      </c>
      <c r="U1490" s="9" t="n">
        <f aca="false">IF(D1490="",1,0)</f>
        <v>0</v>
      </c>
      <c r="V1490" s="9" t="n">
        <f aca="false">IF(E1490="",1,0)</f>
        <v>0</v>
      </c>
      <c r="W1490" s="9" t="n">
        <f aca="false">IF(OR(H1490&lt;1,H1490&gt;10),1,0)</f>
        <v>0</v>
      </c>
      <c r="X1490" s="9" t="n">
        <f aca="false">IF(OR(I1490&lt;=0,I1490&gt;1500),1,0)</f>
        <v>0</v>
      </c>
      <c r="Y1490" s="9" t="n">
        <f aca="false">IF(J1490&gt;H1490*I1490,1,0)</f>
        <v>0</v>
      </c>
      <c r="Z1490" s="9" t="n">
        <f aca="false">IF(AND(N1490&lt;&gt;"",OR(N1490&lt;1,N1490&gt;5)),1,0)</f>
        <v>0</v>
      </c>
      <c r="AA1490" s="9" t="n">
        <f aca="false">IF(AND(M1490&lt;&gt;"",OR(M1490&lt;5,M1490&gt;180)),1,0)</f>
        <v>0</v>
      </c>
      <c r="AB1490" s="7" t="str">
        <f aca="false">IF(P1490="DUP","Exact duplicate row",IF(T1490=1,"Missing Order ID",IF(S1490="DROP","Duplicate Order ID (less complete row)",IF(U1490=1,"Missing Customer ID",IF(V1490=1,"Missing Restaurant name",IF(W1490=1,"Invalid/outlier quantity",IF(X1490=1,"Invalid/outlier unit price",IF(Y1490=1,"Discount greater than order value",""))))))))</f>
        <v/>
      </c>
      <c r="AC1490" s="7" t="str">
        <f aca="false">IF(AB1490="","KEEP","DROP")</f>
        <v>KEEP</v>
      </c>
      <c r="AD1490" s="7" t="str">
        <f aca="false">IF(TRIM(F1490)="",IFERROR(INDEX(Map_Tables!$I$4:$I$37,MATCH(TRIM(E1490),Map_Tables!$G$4:$G$37,0)),""),IFERROR(INDEX(Map_Tables!$B$4:$B$18,MATCH(TRIM(F1490),Map_Tables!$A$4:$A$18,0)),"CHECK"))</f>
        <v>Bengaluru</v>
      </c>
      <c r="AE1490" s="7" t="str">
        <f aca="false">IF(TRIM(E1490)="","",IFERROR(INDEX(Map_Tables!$H$4:$H$37,MATCH(TRIM(E1490),Map_Tables!$G$4:$G$37,0)),"CHECK"))</f>
        <v>Dosa Darbar</v>
      </c>
      <c r="AF1490" s="7" t="str">
        <f aca="false">IF(TRIM(K1490)="","Unknown",IFERROR(INDEX(Map_Tables!$E$4:$E$15,MATCH(TRIM(K1490),Map_Tables!$D$4:$D$15,0)),"CHECK"))</f>
        <v>Debit Card</v>
      </c>
      <c r="AG1490" s="7" t="str">
        <f aca="false">IF(LEFT(LOWER(TRIM(L1490)),6)="cancel","Cancelled","Delivered")</f>
        <v>Cancelled</v>
      </c>
      <c r="AH1490" s="10" t="n">
        <f aca="false">IF(ISNUMBER(SEARCH("/",B1490)),DATE(VALUE(RIGHT(B1490,4)),VALUE(MID(B1490,4,2)),VALUE(LEFT(B1490,2))),IF(MID(B1490,5,1)="-",DATE(VALUE(LEFT(B1490,4)),VALUE(MID(B1490,6,2)),VALUE(RIGHT(B1490,2))),DATE(VALUE(RIGHT(B1490,4)),MATCH(MID(B1490,4,3),{"Jan","Feb","Mar","Apr","May","Jun","Jul","Aug","Sep","Oct","Nov","Dec"},0),VALUE(LEFT(B1490,2)))))</f>
        <v>45675</v>
      </c>
    </row>
    <row r="1491" customFormat="false" ht="15" hidden="false" customHeight="false" outlineLevel="0" collapsed="false">
      <c r="A1491" s="7" t="s">
        <v>3917</v>
      </c>
      <c r="B1491" s="7" t="s">
        <v>271</v>
      </c>
      <c r="C1491" s="7" t="s">
        <v>3918</v>
      </c>
      <c r="D1491" s="7" t="s">
        <v>1840</v>
      </c>
      <c r="E1491" s="7" t="s">
        <v>3919</v>
      </c>
      <c r="F1491" s="7" t="s">
        <v>136</v>
      </c>
      <c r="G1491" s="7" t="s">
        <v>117</v>
      </c>
      <c r="H1491" s="7" t="n">
        <v>1</v>
      </c>
      <c r="I1491" s="7" t="n">
        <v>125</v>
      </c>
      <c r="J1491" s="7" t="n">
        <v>20</v>
      </c>
      <c r="K1491" s="7" t="s">
        <v>88</v>
      </c>
      <c r="L1491" s="7" t="s">
        <v>194</v>
      </c>
      <c r="M1491" s="7" t="n">
        <v>32</v>
      </c>
      <c r="N1491" s="7" t="n">
        <v>3</v>
      </c>
      <c r="O1491" s="7" t="str">
        <f aca="false">A1491&amp;"|"&amp;B1491&amp;"|"&amp;C1491&amp;"|"&amp;D1491&amp;"|"&amp;E1491&amp;"|"&amp;F1491&amp;"|"&amp;G1491&amp;"|"&amp;H1491&amp;"|"&amp;I1491&amp;"|"&amp;J1491&amp;"|"&amp;K1491&amp;"|"&amp;L1491&amp;"|"&amp;M1491&amp;"|"&amp;N1491</f>
        <v>ORD10575|2025-03-15|10:07|C0835|Misal Mantra |Pune|Street Food|1|125|20|UPI|Delivered|32|3</v>
      </c>
      <c r="P1491" s="7" t="str">
        <f aca="false">IF(COUNTIF($O$2:O1491,O1491)&gt;1,"DUP","OK")</f>
        <v>OK</v>
      </c>
      <c r="Q1491" s="7" t="n">
        <f aca="false">COUNTBLANK(A1491:N1491)</f>
        <v>0</v>
      </c>
      <c r="R1491" s="7" t="n">
        <f aca="false">IF(A1491="",0,COUNTIFS($A$2:$A$3058,A1491,$P$2:$P$3058,"OK"))</f>
        <v>1</v>
      </c>
      <c r="S1491" s="7" t="str">
        <f aca="false">IF(OR(A1491="",P1491="DUP",R1491&lt;2),"",IF(Q1491=_xlfn.MINIFS($Q$2:$Q$3058,$A$2:$A$3058,A1491,$P$2:$P$3058,"OK"),"KEEP","DROP"))</f>
        <v/>
      </c>
      <c r="T1491" s="9" t="n">
        <f aca="false">IF(A1491="",1,0)</f>
        <v>0</v>
      </c>
      <c r="U1491" s="9" t="n">
        <f aca="false">IF(D1491="",1,0)</f>
        <v>0</v>
      </c>
      <c r="V1491" s="9" t="n">
        <f aca="false">IF(E1491="",1,0)</f>
        <v>0</v>
      </c>
      <c r="W1491" s="9" t="n">
        <f aca="false">IF(OR(H1491&lt;1,H1491&gt;10),1,0)</f>
        <v>0</v>
      </c>
      <c r="X1491" s="9" t="n">
        <f aca="false">IF(OR(I1491&lt;=0,I1491&gt;1500),1,0)</f>
        <v>0</v>
      </c>
      <c r="Y1491" s="9" t="n">
        <f aca="false">IF(J1491&gt;H1491*I1491,1,0)</f>
        <v>0</v>
      </c>
      <c r="Z1491" s="9" t="n">
        <f aca="false">IF(AND(N1491&lt;&gt;"",OR(N1491&lt;1,N1491&gt;5)),1,0)</f>
        <v>0</v>
      </c>
      <c r="AA1491" s="9" t="n">
        <f aca="false">IF(AND(M1491&lt;&gt;"",OR(M1491&lt;5,M1491&gt;180)),1,0)</f>
        <v>0</v>
      </c>
      <c r="AB1491" s="7" t="str">
        <f aca="false">IF(P1491="DUP","Exact duplicate row",IF(T1491=1,"Missing Order ID",IF(S1491="DROP","Duplicate Order ID (less complete row)",IF(U1491=1,"Missing Customer ID",IF(V1491=1,"Missing Restaurant name",IF(W1491=1,"Invalid/outlier quantity",IF(X1491=1,"Invalid/outlier unit price",IF(Y1491=1,"Discount greater than order value",""))))))))</f>
        <v/>
      </c>
      <c r="AC1491" s="7" t="str">
        <f aca="false">IF(AB1491="","KEEP","DROP")</f>
        <v>KEEP</v>
      </c>
      <c r="AD1491" s="7" t="str">
        <f aca="false">IF(TRIM(F1491)="",IFERROR(INDEX(Map_Tables!$I$4:$I$37,MATCH(TRIM(E1491),Map_Tables!$G$4:$G$37,0)),""),IFERROR(INDEX(Map_Tables!$B$4:$B$18,MATCH(TRIM(F1491),Map_Tables!$A$4:$A$18,0)),"CHECK"))</f>
        <v>Pune</v>
      </c>
      <c r="AE1491" s="7" t="str">
        <f aca="false">IF(TRIM(E1491)="","",IFERROR(INDEX(Map_Tables!$H$4:$H$37,MATCH(TRIM(E1491),Map_Tables!$G$4:$G$37,0)),"CHECK"))</f>
        <v>Misal Mantra</v>
      </c>
      <c r="AF1491" s="7" t="str">
        <f aca="false">IF(TRIM(K1491)="","Unknown",IFERROR(INDEX(Map_Tables!$E$4:$E$15,MATCH(TRIM(K1491),Map_Tables!$D$4:$D$15,0)),"CHECK"))</f>
        <v>UPI</v>
      </c>
      <c r="AG1491" s="7" t="str">
        <f aca="false">IF(LEFT(LOWER(TRIM(L1491)),6)="cancel","Cancelled","Delivered")</f>
        <v>Delivered</v>
      </c>
      <c r="AH1491" s="10" t="n">
        <f aca="false">IF(ISNUMBER(SEARCH("/",B1491)),DATE(VALUE(RIGHT(B1491,4)),VALUE(MID(B1491,4,2)),VALUE(LEFT(B1491,2))),IF(MID(B1491,5,1)="-",DATE(VALUE(LEFT(B1491,4)),VALUE(MID(B1491,6,2)),VALUE(RIGHT(B1491,2))),DATE(VALUE(RIGHT(B1491,4)),MATCH(MID(B1491,4,3),{"Jan","Feb","Mar","Apr","May","Jun","Jul","Aug","Sep","Oct","Nov","Dec"},0),VALUE(LEFT(B1491,2)))))</f>
        <v>45731</v>
      </c>
    </row>
    <row r="1492" customFormat="false" ht="15" hidden="false" customHeight="false" outlineLevel="0" collapsed="false">
      <c r="A1492" s="7" t="s">
        <v>3920</v>
      </c>
      <c r="B1492" s="7" t="s">
        <v>938</v>
      </c>
      <c r="C1492" s="7" t="s">
        <v>3921</v>
      </c>
      <c r="D1492" s="7" t="s">
        <v>3922</v>
      </c>
      <c r="E1492" s="7" t="s">
        <v>122</v>
      </c>
      <c r="F1492" s="7" t="s">
        <v>215</v>
      </c>
      <c r="G1492" s="7" t="s">
        <v>123</v>
      </c>
      <c r="H1492" s="7" t="n">
        <v>3</v>
      </c>
      <c r="I1492" s="7" t="n">
        <v>410</v>
      </c>
      <c r="J1492" s="7" t="n">
        <v>150</v>
      </c>
      <c r="K1492" s="7" t="s">
        <v>112</v>
      </c>
      <c r="L1492" s="7" t="s">
        <v>194</v>
      </c>
      <c r="M1492" s="7" t="n">
        <v>33</v>
      </c>
      <c r="N1492" s="7" t="n">
        <v>4</v>
      </c>
      <c r="O1492" s="7" t="str">
        <f aca="false">A1492&amp;"|"&amp;B1492&amp;"|"&amp;C1492&amp;"|"&amp;D1492&amp;"|"&amp;E1492&amp;"|"&amp;F1492&amp;"|"&amp;G1492&amp;"|"&amp;H1492&amp;"|"&amp;I1492&amp;"|"&amp;J1492&amp;"|"&amp;K1492&amp;"|"&amp;L1492&amp;"|"&amp;M1492&amp;"|"&amp;N1492</f>
        <v>ORD10877|2025-04-20|23:48|C0485|Mumbai Pizza Co|MUMBAI|Pizza|3|410|150|Cash on Delivery|Delivered|33|4</v>
      </c>
      <c r="P1492" s="7" t="str">
        <f aca="false">IF(COUNTIF($O$2:O1492,O1492)&gt;1,"DUP","OK")</f>
        <v>OK</v>
      </c>
      <c r="Q1492" s="7" t="n">
        <f aca="false">COUNTBLANK(A1492:N1492)</f>
        <v>0</v>
      </c>
      <c r="R1492" s="7" t="n">
        <f aca="false">IF(A1492="",0,COUNTIFS($A$2:$A$3058,A1492,$P$2:$P$3058,"OK"))</f>
        <v>1</v>
      </c>
      <c r="S1492" s="7" t="str">
        <f aca="false">IF(OR(A1492="",P1492="DUP",R1492&lt;2),"",IF(Q1492=_xlfn.MINIFS($Q$2:$Q$3058,$A$2:$A$3058,A1492,$P$2:$P$3058,"OK"),"KEEP","DROP"))</f>
        <v/>
      </c>
      <c r="T1492" s="9" t="n">
        <f aca="false">IF(A1492="",1,0)</f>
        <v>0</v>
      </c>
      <c r="U1492" s="9" t="n">
        <f aca="false">IF(D1492="",1,0)</f>
        <v>0</v>
      </c>
      <c r="V1492" s="9" t="n">
        <f aca="false">IF(E1492="",1,0)</f>
        <v>0</v>
      </c>
      <c r="W1492" s="9" t="n">
        <f aca="false">IF(OR(H1492&lt;1,H1492&gt;10),1,0)</f>
        <v>0</v>
      </c>
      <c r="X1492" s="9" t="n">
        <f aca="false">IF(OR(I1492&lt;=0,I1492&gt;1500),1,0)</f>
        <v>0</v>
      </c>
      <c r="Y1492" s="9" t="n">
        <f aca="false">IF(J1492&gt;H1492*I1492,1,0)</f>
        <v>0</v>
      </c>
      <c r="Z1492" s="9" t="n">
        <f aca="false">IF(AND(N1492&lt;&gt;"",OR(N1492&lt;1,N1492&gt;5)),1,0)</f>
        <v>0</v>
      </c>
      <c r="AA1492" s="9" t="n">
        <f aca="false">IF(AND(M1492&lt;&gt;"",OR(M1492&lt;5,M1492&gt;180)),1,0)</f>
        <v>0</v>
      </c>
      <c r="AB1492" s="7" t="str">
        <f aca="false">IF(P1492="DUP","Exact duplicate row",IF(T1492=1,"Missing Order ID",IF(S1492="DROP","Duplicate Order ID (less complete row)",IF(U1492=1,"Missing Customer ID",IF(V1492=1,"Missing Restaurant name",IF(W1492=1,"Invalid/outlier quantity",IF(X1492=1,"Invalid/outlier unit price",IF(Y1492=1,"Discount greater than order value",""))))))))</f>
        <v/>
      </c>
      <c r="AC1492" s="7" t="str">
        <f aca="false">IF(AB1492="","KEEP","DROP")</f>
        <v>KEEP</v>
      </c>
      <c r="AD1492" s="7" t="str">
        <f aca="false">IF(TRIM(F1492)="",IFERROR(INDEX(Map_Tables!$I$4:$I$37,MATCH(TRIM(E1492),Map_Tables!$G$4:$G$37,0)),""),IFERROR(INDEX(Map_Tables!$B$4:$B$18,MATCH(TRIM(F1492),Map_Tables!$A$4:$A$18,0)),"CHECK"))</f>
        <v>Mumbai</v>
      </c>
      <c r="AE1492" s="7" t="str">
        <f aca="false">IF(TRIM(E1492)="","",IFERROR(INDEX(Map_Tables!$H$4:$H$37,MATCH(TRIM(E1492),Map_Tables!$G$4:$G$37,0)),"CHECK"))</f>
        <v>Mumbai Pizza Co</v>
      </c>
      <c r="AF1492" s="7" t="str">
        <f aca="false">IF(TRIM(K1492)="","Unknown",IFERROR(INDEX(Map_Tables!$E$4:$E$15,MATCH(TRIM(K1492),Map_Tables!$D$4:$D$15,0)),"CHECK"))</f>
        <v>Cash on Delivery</v>
      </c>
      <c r="AG1492" s="7" t="str">
        <f aca="false">IF(LEFT(LOWER(TRIM(L1492)),6)="cancel","Cancelled","Delivered")</f>
        <v>Delivered</v>
      </c>
      <c r="AH1492" s="10" t="n">
        <f aca="false">IF(ISNUMBER(SEARCH("/",B1492)),DATE(VALUE(RIGHT(B1492,4)),VALUE(MID(B1492,4,2)),VALUE(LEFT(B1492,2))),IF(MID(B1492,5,1)="-",DATE(VALUE(LEFT(B1492,4)),VALUE(MID(B1492,6,2)),VALUE(RIGHT(B1492,2))),DATE(VALUE(RIGHT(B1492,4)),MATCH(MID(B1492,4,3),{"Jan","Feb","Mar","Apr","May","Jun","Jul","Aug","Sep","Oct","Nov","Dec"},0),VALUE(LEFT(B1492,2)))))</f>
        <v>45767</v>
      </c>
    </row>
    <row r="1493" customFormat="false" ht="15" hidden="false" customHeight="false" outlineLevel="0" collapsed="false">
      <c r="A1493" s="7" t="s">
        <v>3923</v>
      </c>
      <c r="B1493" s="7" t="s">
        <v>1489</v>
      </c>
      <c r="C1493" s="7" t="s">
        <v>306</v>
      </c>
      <c r="D1493" s="7" t="s">
        <v>2483</v>
      </c>
      <c r="E1493" s="7" t="s">
        <v>142</v>
      </c>
      <c r="F1493" s="7" t="s">
        <v>109</v>
      </c>
      <c r="G1493" s="7" t="s">
        <v>105</v>
      </c>
      <c r="H1493" s="7" t="n">
        <v>2</v>
      </c>
      <c r="I1493" s="7" t="n">
        <v>160</v>
      </c>
      <c r="J1493" s="7" t="n">
        <v>50</v>
      </c>
      <c r="K1493" s="7" t="s">
        <v>88</v>
      </c>
      <c r="L1493" s="7" t="s">
        <v>194</v>
      </c>
      <c r="M1493" s="7" t="n">
        <v>48</v>
      </c>
      <c r="N1493" s="7" t="n">
        <v>5</v>
      </c>
      <c r="O1493" s="7" t="str">
        <f aca="false">A1493&amp;"|"&amp;B1493&amp;"|"&amp;C1493&amp;"|"&amp;D1493&amp;"|"&amp;E1493&amp;"|"&amp;F1493&amp;"|"&amp;G1493&amp;"|"&amp;H1493&amp;"|"&amp;I1493&amp;"|"&amp;J1493&amp;"|"&amp;K1493&amp;"|"&amp;L1493&amp;"|"&amp;M1493&amp;"|"&amp;N1493</f>
        <v>ORD12009|2025-09-17|20:06|C0360|Momo Magic|delhi|Chinese|2|160|50|UPI|Delivered|48|5</v>
      </c>
      <c r="P1493" s="7" t="str">
        <f aca="false">IF(COUNTIF($O$2:O1493,O1493)&gt;1,"DUP","OK")</f>
        <v>OK</v>
      </c>
      <c r="Q1493" s="7" t="n">
        <f aca="false">COUNTBLANK(A1493:N1493)</f>
        <v>0</v>
      </c>
      <c r="R1493" s="7" t="n">
        <f aca="false">IF(A1493="",0,COUNTIFS($A$2:$A$3058,A1493,$P$2:$P$3058,"OK"))</f>
        <v>1</v>
      </c>
      <c r="S1493" s="7" t="str">
        <f aca="false">IF(OR(A1493="",P1493="DUP",R1493&lt;2),"",IF(Q1493=_xlfn.MINIFS($Q$2:$Q$3058,$A$2:$A$3058,A1493,$P$2:$P$3058,"OK"),"KEEP","DROP"))</f>
        <v/>
      </c>
      <c r="T1493" s="9" t="n">
        <f aca="false">IF(A1493="",1,0)</f>
        <v>0</v>
      </c>
      <c r="U1493" s="9" t="n">
        <f aca="false">IF(D1493="",1,0)</f>
        <v>0</v>
      </c>
      <c r="V1493" s="9" t="n">
        <f aca="false">IF(E1493="",1,0)</f>
        <v>0</v>
      </c>
      <c r="W1493" s="9" t="n">
        <f aca="false">IF(OR(H1493&lt;1,H1493&gt;10),1,0)</f>
        <v>0</v>
      </c>
      <c r="X1493" s="9" t="n">
        <f aca="false">IF(OR(I1493&lt;=0,I1493&gt;1500),1,0)</f>
        <v>0</v>
      </c>
      <c r="Y1493" s="9" t="n">
        <f aca="false">IF(J1493&gt;H1493*I1493,1,0)</f>
        <v>0</v>
      </c>
      <c r="Z1493" s="9" t="n">
        <f aca="false">IF(AND(N1493&lt;&gt;"",OR(N1493&lt;1,N1493&gt;5)),1,0)</f>
        <v>0</v>
      </c>
      <c r="AA1493" s="9" t="n">
        <f aca="false">IF(AND(M1493&lt;&gt;"",OR(M1493&lt;5,M1493&gt;180)),1,0)</f>
        <v>0</v>
      </c>
      <c r="AB1493" s="7" t="str">
        <f aca="false">IF(P1493="DUP","Exact duplicate row",IF(T1493=1,"Missing Order ID",IF(S1493="DROP","Duplicate Order ID (less complete row)",IF(U1493=1,"Missing Customer ID",IF(V1493=1,"Missing Restaurant name",IF(W1493=1,"Invalid/outlier quantity",IF(X1493=1,"Invalid/outlier unit price",IF(Y1493=1,"Discount greater than order value",""))))))))</f>
        <v/>
      </c>
      <c r="AC1493" s="7" t="str">
        <f aca="false">IF(AB1493="","KEEP","DROP")</f>
        <v>KEEP</v>
      </c>
      <c r="AD1493" s="7" t="str">
        <f aca="false">IF(TRIM(F1493)="",IFERROR(INDEX(Map_Tables!$I$4:$I$37,MATCH(TRIM(E1493),Map_Tables!$G$4:$G$37,0)),""),IFERROR(INDEX(Map_Tables!$B$4:$B$18,MATCH(TRIM(F1493),Map_Tables!$A$4:$A$18,0)),"CHECK"))</f>
        <v>Delhi</v>
      </c>
      <c r="AE1493" s="7" t="str">
        <f aca="false">IF(TRIM(E1493)="","",IFERROR(INDEX(Map_Tables!$H$4:$H$37,MATCH(TRIM(E1493),Map_Tables!$G$4:$G$37,0)),"CHECK"))</f>
        <v>Momo Magic</v>
      </c>
      <c r="AF1493" s="7" t="str">
        <f aca="false">IF(TRIM(K1493)="","Unknown",IFERROR(INDEX(Map_Tables!$E$4:$E$15,MATCH(TRIM(K1493),Map_Tables!$D$4:$D$15,0)),"CHECK"))</f>
        <v>UPI</v>
      </c>
      <c r="AG1493" s="7" t="str">
        <f aca="false">IF(LEFT(LOWER(TRIM(L1493)),6)="cancel","Cancelled","Delivered")</f>
        <v>Delivered</v>
      </c>
      <c r="AH1493" s="10" t="n">
        <f aca="false">IF(ISNUMBER(SEARCH("/",B1493)),DATE(VALUE(RIGHT(B1493,4)),VALUE(MID(B1493,4,2)),VALUE(LEFT(B1493,2))),IF(MID(B1493,5,1)="-",DATE(VALUE(LEFT(B1493,4)),VALUE(MID(B1493,6,2)),VALUE(RIGHT(B1493,2))),DATE(VALUE(RIGHT(B1493,4)),MATCH(MID(B1493,4,3),{"Jan","Feb","Mar","Apr","May","Jun","Jul","Aug","Sep","Oct","Nov","Dec"},0),VALUE(LEFT(B1493,2)))))</f>
        <v>45917</v>
      </c>
    </row>
    <row r="1494" customFormat="false" ht="15" hidden="false" customHeight="false" outlineLevel="0" collapsed="false">
      <c r="A1494" s="7" t="s">
        <v>3924</v>
      </c>
      <c r="B1494" s="7" t="s">
        <v>217</v>
      </c>
      <c r="C1494" s="7" t="s">
        <v>2093</v>
      </c>
      <c r="D1494" s="7" t="s">
        <v>3925</v>
      </c>
      <c r="E1494" s="7" t="s">
        <v>148</v>
      </c>
      <c r="F1494" s="7" t="s">
        <v>119</v>
      </c>
      <c r="G1494" s="7" t="s">
        <v>123</v>
      </c>
      <c r="H1494" s="7" t="n">
        <v>1</v>
      </c>
      <c r="I1494" s="7" t="n">
        <v>340</v>
      </c>
      <c r="J1494" s="7" t="n">
        <v>0</v>
      </c>
      <c r="K1494" s="7" t="s">
        <v>112</v>
      </c>
      <c r="L1494" s="7" t="s">
        <v>194</v>
      </c>
      <c r="M1494" s="7" t="n">
        <v>32</v>
      </c>
      <c r="N1494" s="7" t="n">
        <v>5</v>
      </c>
      <c r="O1494" s="7" t="str">
        <f aca="false">A1494&amp;"|"&amp;B1494&amp;"|"&amp;C1494&amp;"|"&amp;D1494&amp;"|"&amp;E1494&amp;"|"&amp;F1494&amp;"|"&amp;G1494&amp;"|"&amp;H1494&amp;"|"&amp;I1494&amp;"|"&amp;J1494&amp;"|"&amp;K1494&amp;"|"&amp;L1494&amp;"|"&amp;M1494&amp;"|"&amp;N1494</f>
        <v>ORD10857|2025-04-18|18:52|C1194|Pizza Palace|Hyderabad|Pizza|1|340|0|Cash on Delivery|Delivered|32|5</v>
      </c>
      <c r="P1494" s="7" t="str">
        <f aca="false">IF(COUNTIF($O$2:O1494,O1494)&gt;1,"DUP","OK")</f>
        <v>OK</v>
      </c>
      <c r="Q1494" s="7" t="n">
        <f aca="false">COUNTBLANK(A1494:N1494)</f>
        <v>0</v>
      </c>
      <c r="R1494" s="7" t="n">
        <f aca="false">IF(A1494="",0,COUNTIFS($A$2:$A$3058,A1494,$P$2:$P$3058,"OK"))</f>
        <v>1</v>
      </c>
      <c r="S1494" s="7" t="str">
        <f aca="false">IF(OR(A1494="",P1494="DUP",R1494&lt;2),"",IF(Q1494=_xlfn.MINIFS($Q$2:$Q$3058,$A$2:$A$3058,A1494,$P$2:$P$3058,"OK"),"KEEP","DROP"))</f>
        <v/>
      </c>
      <c r="T1494" s="9" t="n">
        <f aca="false">IF(A1494="",1,0)</f>
        <v>0</v>
      </c>
      <c r="U1494" s="9" t="n">
        <f aca="false">IF(D1494="",1,0)</f>
        <v>0</v>
      </c>
      <c r="V1494" s="9" t="n">
        <f aca="false">IF(E1494="",1,0)</f>
        <v>0</v>
      </c>
      <c r="W1494" s="9" t="n">
        <f aca="false">IF(OR(H1494&lt;1,H1494&gt;10),1,0)</f>
        <v>0</v>
      </c>
      <c r="X1494" s="9" t="n">
        <f aca="false">IF(OR(I1494&lt;=0,I1494&gt;1500),1,0)</f>
        <v>0</v>
      </c>
      <c r="Y1494" s="9" t="n">
        <f aca="false">IF(J1494&gt;H1494*I1494,1,0)</f>
        <v>0</v>
      </c>
      <c r="Z1494" s="9" t="n">
        <f aca="false">IF(AND(N1494&lt;&gt;"",OR(N1494&lt;1,N1494&gt;5)),1,0)</f>
        <v>0</v>
      </c>
      <c r="AA1494" s="9" t="n">
        <f aca="false">IF(AND(M1494&lt;&gt;"",OR(M1494&lt;5,M1494&gt;180)),1,0)</f>
        <v>0</v>
      </c>
      <c r="AB1494" s="7" t="str">
        <f aca="false">IF(P1494="DUP","Exact duplicate row",IF(T1494=1,"Missing Order ID",IF(S1494="DROP","Duplicate Order ID (less complete row)",IF(U1494=1,"Missing Customer ID",IF(V1494=1,"Missing Restaurant name",IF(W1494=1,"Invalid/outlier quantity",IF(X1494=1,"Invalid/outlier unit price",IF(Y1494=1,"Discount greater than order value",""))))))))</f>
        <v/>
      </c>
      <c r="AC1494" s="7" t="str">
        <f aca="false">IF(AB1494="","KEEP","DROP")</f>
        <v>KEEP</v>
      </c>
      <c r="AD1494" s="7" t="str">
        <f aca="false">IF(TRIM(F1494)="",IFERROR(INDEX(Map_Tables!$I$4:$I$37,MATCH(TRIM(E1494),Map_Tables!$G$4:$G$37,0)),""),IFERROR(INDEX(Map_Tables!$B$4:$B$18,MATCH(TRIM(F1494),Map_Tables!$A$4:$A$18,0)),"CHECK"))</f>
        <v>Hyderabad</v>
      </c>
      <c r="AE1494" s="7" t="str">
        <f aca="false">IF(TRIM(E1494)="","",IFERROR(INDEX(Map_Tables!$H$4:$H$37,MATCH(TRIM(E1494),Map_Tables!$G$4:$G$37,0)),"CHECK"))</f>
        <v>Pizza Palace</v>
      </c>
      <c r="AF1494" s="7" t="str">
        <f aca="false">IF(TRIM(K1494)="","Unknown",IFERROR(INDEX(Map_Tables!$E$4:$E$15,MATCH(TRIM(K1494),Map_Tables!$D$4:$D$15,0)),"CHECK"))</f>
        <v>Cash on Delivery</v>
      </c>
      <c r="AG1494" s="7" t="str">
        <f aca="false">IF(LEFT(LOWER(TRIM(L1494)),6)="cancel","Cancelled","Delivered")</f>
        <v>Delivered</v>
      </c>
      <c r="AH1494" s="10" t="n">
        <f aca="false">IF(ISNUMBER(SEARCH("/",B1494)),DATE(VALUE(RIGHT(B1494,4)),VALUE(MID(B1494,4,2)),VALUE(LEFT(B1494,2))),IF(MID(B1494,5,1)="-",DATE(VALUE(LEFT(B1494,4)),VALUE(MID(B1494,6,2)),VALUE(RIGHT(B1494,2))),DATE(VALUE(RIGHT(B1494,4)),MATCH(MID(B1494,4,3),{"Jan","Feb","Mar","Apr","May","Jun","Jul","Aug","Sep","Oct","Nov","Dec"},0),VALUE(LEFT(B1494,2)))))</f>
        <v>45765</v>
      </c>
    </row>
    <row r="1495" customFormat="false" ht="15" hidden="false" customHeight="false" outlineLevel="0" collapsed="false">
      <c r="A1495" s="7" t="s">
        <v>3926</v>
      </c>
      <c r="B1495" s="7" t="s">
        <v>1773</v>
      </c>
      <c r="C1495" s="7" t="s">
        <v>3415</v>
      </c>
      <c r="D1495" s="7" t="s">
        <v>2139</v>
      </c>
      <c r="E1495" s="7" t="s">
        <v>144</v>
      </c>
      <c r="F1495" s="7" t="s">
        <v>119</v>
      </c>
      <c r="G1495" s="7" t="s">
        <v>99</v>
      </c>
      <c r="H1495" s="7" t="n">
        <v>3</v>
      </c>
      <c r="I1495" s="7" t="n">
        <v>295</v>
      </c>
      <c r="J1495" s="7" t="n">
        <v>0</v>
      </c>
      <c r="K1495" s="7" t="s">
        <v>133</v>
      </c>
      <c r="L1495" s="7" t="s">
        <v>194</v>
      </c>
      <c r="M1495" s="7" t="n">
        <v>45</v>
      </c>
      <c r="N1495" s="7" t="n">
        <v>4</v>
      </c>
      <c r="O1495" s="7" t="str">
        <f aca="false">A1495&amp;"|"&amp;B1495&amp;"|"&amp;C1495&amp;"|"&amp;D1495&amp;"|"&amp;E1495&amp;"|"&amp;F1495&amp;"|"&amp;G1495&amp;"|"&amp;H1495&amp;"|"&amp;I1495&amp;"|"&amp;J1495&amp;"|"&amp;K1495&amp;"|"&amp;L1495&amp;"|"&amp;M1495&amp;"|"&amp;N1495</f>
        <v>ORD10129|2025-01-17|12:39|C0675|Hyderabad Dum Biryani|Hyderabad|Biryani|3|295|0|Net Banking|Delivered|45|4</v>
      </c>
      <c r="P1495" s="7" t="str">
        <f aca="false">IF(COUNTIF($O$2:O1495,O1495)&gt;1,"DUP","OK")</f>
        <v>OK</v>
      </c>
      <c r="Q1495" s="7" t="n">
        <f aca="false">COUNTBLANK(A1495:N1495)</f>
        <v>0</v>
      </c>
      <c r="R1495" s="7" t="n">
        <f aca="false">IF(A1495="",0,COUNTIFS($A$2:$A$3058,A1495,$P$2:$P$3058,"OK"))</f>
        <v>1</v>
      </c>
      <c r="S1495" s="7" t="str">
        <f aca="false">IF(OR(A1495="",P1495="DUP",R1495&lt;2),"",IF(Q1495=_xlfn.MINIFS($Q$2:$Q$3058,$A$2:$A$3058,A1495,$P$2:$P$3058,"OK"),"KEEP","DROP"))</f>
        <v/>
      </c>
      <c r="T1495" s="9" t="n">
        <f aca="false">IF(A1495="",1,0)</f>
        <v>0</v>
      </c>
      <c r="U1495" s="9" t="n">
        <f aca="false">IF(D1495="",1,0)</f>
        <v>0</v>
      </c>
      <c r="V1495" s="9" t="n">
        <f aca="false">IF(E1495="",1,0)</f>
        <v>0</v>
      </c>
      <c r="W1495" s="9" t="n">
        <f aca="false">IF(OR(H1495&lt;1,H1495&gt;10),1,0)</f>
        <v>0</v>
      </c>
      <c r="X1495" s="9" t="n">
        <f aca="false">IF(OR(I1495&lt;=0,I1495&gt;1500),1,0)</f>
        <v>0</v>
      </c>
      <c r="Y1495" s="9" t="n">
        <f aca="false">IF(J1495&gt;H1495*I1495,1,0)</f>
        <v>0</v>
      </c>
      <c r="Z1495" s="9" t="n">
        <f aca="false">IF(AND(N1495&lt;&gt;"",OR(N1495&lt;1,N1495&gt;5)),1,0)</f>
        <v>0</v>
      </c>
      <c r="AA1495" s="9" t="n">
        <f aca="false">IF(AND(M1495&lt;&gt;"",OR(M1495&lt;5,M1495&gt;180)),1,0)</f>
        <v>0</v>
      </c>
      <c r="AB1495" s="7" t="str">
        <f aca="false">IF(P1495="DUP","Exact duplicate row",IF(T1495=1,"Missing Order ID",IF(S1495="DROP","Duplicate Order ID (less complete row)",IF(U1495=1,"Missing Customer ID",IF(V1495=1,"Missing Restaurant name",IF(W1495=1,"Invalid/outlier quantity",IF(X1495=1,"Invalid/outlier unit price",IF(Y1495=1,"Discount greater than order value",""))))))))</f>
        <v/>
      </c>
      <c r="AC1495" s="7" t="str">
        <f aca="false">IF(AB1495="","KEEP","DROP")</f>
        <v>KEEP</v>
      </c>
      <c r="AD1495" s="7" t="str">
        <f aca="false">IF(TRIM(F1495)="",IFERROR(INDEX(Map_Tables!$I$4:$I$37,MATCH(TRIM(E1495),Map_Tables!$G$4:$G$37,0)),""),IFERROR(INDEX(Map_Tables!$B$4:$B$18,MATCH(TRIM(F1495),Map_Tables!$A$4:$A$18,0)),"CHECK"))</f>
        <v>Hyderabad</v>
      </c>
      <c r="AE1495" s="7" t="str">
        <f aca="false">IF(TRIM(E1495)="","",IFERROR(INDEX(Map_Tables!$H$4:$H$37,MATCH(TRIM(E1495),Map_Tables!$G$4:$G$37,0)),"CHECK"))</f>
        <v>Hyderabad Dum Biryani</v>
      </c>
      <c r="AF1495" s="7" t="str">
        <f aca="false">IF(TRIM(K1495)="","Unknown",IFERROR(INDEX(Map_Tables!$E$4:$E$15,MATCH(TRIM(K1495),Map_Tables!$D$4:$D$15,0)),"CHECK"))</f>
        <v>Net Banking</v>
      </c>
      <c r="AG1495" s="7" t="str">
        <f aca="false">IF(LEFT(LOWER(TRIM(L1495)),6)="cancel","Cancelled","Delivered")</f>
        <v>Delivered</v>
      </c>
      <c r="AH1495" s="10" t="n">
        <f aca="false">IF(ISNUMBER(SEARCH("/",B1495)),DATE(VALUE(RIGHT(B1495,4)),VALUE(MID(B1495,4,2)),VALUE(LEFT(B1495,2))),IF(MID(B1495,5,1)="-",DATE(VALUE(LEFT(B1495,4)),VALUE(MID(B1495,6,2)),VALUE(RIGHT(B1495,2))),DATE(VALUE(RIGHT(B1495,4)),MATCH(MID(B1495,4,3),{"Jan","Feb","Mar","Apr","May","Jun","Jul","Aug","Sep","Oct","Nov","Dec"},0),VALUE(LEFT(B1495,2)))))</f>
        <v>45674</v>
      </c>
    </row>
    <row r="1496" customFormat="false" ht="15" hidden="false" customHeight="false" outlineLevel="0" collapsed="false">
      <c r="A1496" s="7" t="s">
        <v>3927</v>
      </c>
      <c r="B1496" s="7" t="s">
        <v>318</v>
      </c>
      <c r="C1496" s="7" t="s">
        <v>2402</v>
      </c>
      <c r="D1496" s="7" t="s">
        <v>860</v>
      </c>
      <c r="E1496" s="7" t="s">
        <v>163</v>
      </c>
      <c r="F1496" s="7" t="s">
        <v>141</v>
      </c>
      <c r="G1496" s="7" t="s">
        <v>99</v>
      </c>
      <c r="H1496" s="7" t="n">
        <v>1</v>
      </c>
      <c r="I1496" s="7" t="n">
        <v>310</v>
      </c>
      <c r="J1496" s="7" t="n">
        <v>0</v>
      </c>
      <c r="K1496" s="7" t="s">
        <v>120</v>
      </c>
      <c r="L1496" s="7" t="s">
        <v>194</v>
      </c>
      <c r="M1496" s="7" t="n">
        <v>40</v>
      </c>
      <c r="N1496" s="7" t="n">
        <v>2</v>
      </c>
      <c r="O1496" s="7" t="str">
        <f aca="false">A1496&amp;"|"&amp;B1496&amp;"|"&amp;C1496&amp;"|"&amp;D1496&amp;"|"&amp;E1496&amp;"|"&amp;F1496&amp;"|"&amp;G1496&amp;"|"&amp;H1496&amp;"|"&amp;I1496&amp;"|"&amp;J1496&amp;"|"&amp;K1496&amp;"|"&amp;L1496&amp;"|"&amp;M1496&amp;"|"&amp;N1496</f>
        <v>ORD10748|2025-04-05|19:55|C1476|Biryani Baadshah|Kolkata|Biryani|1|310|0|wallet|Delivered|40|2</v>
      </c>
      <c r="P1496" s="7" t="str">
        <f aca="false">IF(COUNTIF($O$2:O1496,O1496)&gt;1,"DUP","OK")</f>
        <v>OK</v>
      </c>
      <c r="Q1496" s="7" t="n">
        <f aca="false">COUNTBLANK(A1496:N1496)</f>
        <v>0</v>
      </c>
      <c r="R1496" s="7" t="n">
        <f aca="false">IF(A1496="",0,COUNTIFS($A$2:$A$3058,A1496,$P$2:$P$3058,"OK"))</f>
        <v>1</v>
      </c>
      <c r="S1496" s="7" t="str">
        <f aca="false">IF(OR(A1496="",P1496="DUP",R1496&lt;2),"",IF(Q1496=_xlfn.MINIFS($Q$2:$Q$3058,$A$2:$A$3058,A1496,$P$2:$P$3058,"OK"),"KEEP","DROP"))</f>
        <v/>
      </c>
      <c r="T1496" s="9" t="n">
        <f aca="false">IF(A1496="",1,0)</f>
        <v>0</v>
      </c>
      <c r="U1496" s="9" t="n">
        <f aca="false">IF(D1496="",1,0)</f>
        <v>0</v>
      </c>
      <c r="V1496" s="9" t="n">
        <f aca="false">IF(E1496="",1,0)</f>
        <v>0</v>
      </c>
      <c r="W1496" s="9" t="n">
        <f aca="false">IF(OR(H1496&lt;1,H1496&gt;10),1,0)</f>
        <v>0</v>
      </c>
      <c r="X1496" s="9" t="n">
        <f aca="false">IF(OR(I1496&lt;=0,I1496&gt;1500),1,0)</f>
        <v>0</v>
      </c>
      <c r="Y1496" s="9" t="n">
        <f aca="false">IF(J1496&gt;H1496*I1496,1,0)</f>
        <v>0</v>
      </c>
      <c r="Z1496" s="9" t="n">
        <f aca="false">IF(AND(N1496&lt;&gt;"",OR(N1496&lt;1,N1496&gt;5)),1,0)</f>
        <v>0</v>
      </c>
      <c r="AA1496" s="9" t="n">
        <f aca="false">IF(AND(M1496&lt;&gt;"",OR(M1496&lt;5,M1496&gt;180)),1,0)</f>
        <v>0</v>
      </c>
      <c r="AB1496" s="7" t="str">
        <f aca="false">IF(P1496="DUP","Exact duplicate row",IF(T1496=1,"Missing Order ID",IF(S1496="DROP","Duplicate Order ID (less complete row)",IF(U1496=1,"Missing Customer ID",IF(V1496=1,"Missing Restaurant name",IF(W1496=1,"Invalid/outlier quantity",IF(X1496=1,"Invalid/outlier unit price",IF(Y1496=1,"Discount greater than order value",""))))))))</f>
        <v/>
      </c>
      <c r="AC1496" s="7" t="str">
        <f aca="false">IF(AB1496="","KEEP","DROP")</f>
        <v>KEEP</v>
      </c>
      <c r="AD1496" s="7" t="str">
        <f aca="false">IF(TRIM(F1496)="",IFERROR(INDEX(Map_Tables!$I$4:$I$37,MATCH(TRIM(E1496),Map_Tables!$G$4:$G$37,0)),""),IFERROR(INDEX(Map_Tables!$B$4:$B$18,MATCH(TRIM(F1496),Map_Tables!$A$4:$A$18,0)),"CHECK"))</f>
        <v>Kolkata</v>
      </c>
      <c r="AE1496" s="7" t="str">
        <f aca="false">IF(TRIM(E1496)="","",IFERROR(INDEX(Map_Tables!$H$4:$H$37,MATCH(TRIM(E1496),Map_Tables!$G$4:$G$37,0)),"CHECK"))</f>
        <v>Biryani Baadshah</v>
      </c>
      <c r="AF1496" s="7" t="str">
        <f aca="false">IF(TRIM(K1496)="","Unknown",IFERROR(INDEX(Map_Tables!$E$4:$E$15,MATCH(TRIM(K1496),Map_Tables!$D$4:$D$15,0)),"CHECK"))</f>
        <v>Wallet</v>
      </c>
      <c r="AG1496" s="7" t="str">
        <f aca="false">IF(LEFT(LOWER(TRIM(L1496)),6)="cancel","Cancelled","Delivered")</f>
        <v>Delivered</v>
      </c>
      <c r="AH1496" s="10" t="n">
        <f aca="false">IF(ISNUMBER(SEARCH("/",B1496)),DATE(VALUE(RIGHT(B1496,4)),VALUE(MID(B1496,4,2)),VALUE(LEFT(B1496,2))),IF(MID(B1496,5,1)="-",DATE(VALUE(LEFT(B1496,4)),VALUE(MID(B1496,6,2)),VALUE(RIGHT(B1496,2))),DATE(VALUE(RIGHT(B1496,4)),MATCH(MID(B1496,4,3),{"Jan","Feb","Mar","Apr","May","Jun","Jul","Aug","Sep","Oct","Nov","Dec"},0),VALUE(LEFT(B1496,2)))))</f>
        <v>45752</v>
      </c>
    </row>
    <row r="1497" customFormat="false" ht="15" hidden="false" customHeight="false" outlineLevel="0" collapsed="false">
      <c r="A1497" s="7" t="s">
        <v>3928</v>
      </c>
      <c r="B1497" s="7" t="s">
        <v>1238</v>
      </c>
      <c r="C1497" s="7" t="s">
        <v>1501</v>
      </c>
      <c r="D1497" s="7" t="s">
        <v>2174</v>
      </c>
      <c r="E1497" s="7" t="s">
        <v>126</v>
      </c>
      <c r="F1497" s="7" t="s">
        <v>101</v>
      </c>
      <c r="G1497" s="7" t="s">
        <v>105</v>
      </c>
      <c r="H1497" s="7" t="n">
        <v>1</v>
      </c>
      <c r="I1497" s="7" t="n">
        <v>235</v>
      </c>
      <c r="J1497" s="7" t="n">
        <v>40</v>
      </c>
      <c r="K1497" s="7" t="s">
        <v>88</v>
      </c>
      <c r="L1497" s="7" t="s">
        <v>194</v>
      </c>
      <c r="M1497" s="7" t="n">
        <v>50</v>
      </c>
      <c r="N1497" s="7" t="n">
        <v>5</v>
      </c>
      <c r="O1497" s="7" t="str">
        <f aca="false">A1497&amp;"|"&amp;B1497&amp;"|"&amp;C1497&amp;"|"&amp;D1497&amp;"|"&amp;E1497&amp;"|"&amp;F1497&amp;"|"&amp;G1497&amp;"|"&amp;H1497&amp;"|"&amp;I1497&amp;"|"&amp;J1497&amp;"|"&amp;K1497&amp;"|"&amp;L1497&amp;"|"&amp;M1497&amp;"|"&amp;N1497</f>
        <v>ORD10573|2025-03-14|20:40|C0505|Dragon Express|Mumbai|Chinese|1|235|40|UPI|Delivered|50|5</v>
      </c>
      <c r="P1497" s="7" t="str">
        <f aca="false">IF(COUNTIF($O$2:O1497,O1497)&gt;1,"DUP","OK")</f>
        <v>OK</v>
      </c>
      <c r="Q1497" s="7" t="n">
        <f aca="false">COUNTBLANK(A1497:N1497)</f>
        <v>0</v>
      </c>
      <c r="R1497" s="7" t="n">
        <f aca="false">IF(A1497="",0,COUNTIFS($A$2:$A$3058,A1497,$P$2:$P$3058,"OK"))</f>
        <v>1</v>
      </c>
      <c r="S1497" s="7" t="str">
        <f aca="false">IF(OR(A1497="",P1497="DUP",R1497&lt;2),"",IF(Q1497=_xlfn.MINIFS($Q$2:$Q$3058,$A$2:$A$3058,A1497,$P$2:$P$3058,"OK"),"KEEP","DROP"))</f>
        <v/>
      </c>
      <c r="T1497" s="9" t="n">
        <f aca="false">IF(A1497="",1,0)</f>
        <v>0</v>
      </c>
      <c r="U1497" s="9" t="n">
        <f aca="false">IF(D1497="",1,0)</f>
        <v>0</v>
      </c>
      <c r="V1497" s="9" t="n">
        <f aca="false">IF(E1497="",1,0)</f>
        <v>0</v>
      </c>
      <c r="W1497" s="9" t="n">
        <f aca="false">IF(OR(H1497&lt;1,H1497&gt;10),1,0)</f>
        <v>0</v>
      </c>
      <c r="X1497" s="9" t="n">
        <f aca="false">IF(OR(I1497&lt;=0,I1497&gt;1500),1,0)</f>
        <v>0</v>
      </c>
      <c r="Y1497" s="9" t="n">
        <f aca="false">IF(J1497&gt;H1497*I1497,1,0)</f>
        <v>0</v>
      </c>
      <c r="Z1497" s="9" t="n">
        <f aca="false">IF(AND(N1497&lt;&gt;"",OR(N1497&lt;1,N1497&gt;5)),1,0)</f>
        <v>0</v>
      </c>
      <c r="AA1497" s="9" t="n">
        <f aca="false">IF(AND(M1497&lt;&gt;"",OR(M1497&lt;5,M1497&gt;180)),1,0)</f>
        <v>0</v>
      </c>
      <c r="AB1497" s="7" t="str">
        <f aca="false">IF(P1497="DUP","Exact duplicate row",IF(T1497=1,"Missing Order ID",IF(S1497="DROP","Duplicate Order ID (less complete row)",IF(U1497=1,"Missing Customer ID",IF(V1497=1,"Missing Restaurant name",IF(W1497=1,"Invalid/outlier quantity",IF(X1497=1,"Invalid/outlier unit price",IF(Y1497=1,"Discount greater than order value",""))))))))</f>
        <v/>
      </c>
      <c r="AC1497" s="7" t="str">
        <f aca="false">IF(AB1497="","KEEP","DROP")</f>
        <v>KEEP</v>
      </c>
      <c r="AD1497" s="7" t="str">
        <f aca="false">IF(TRIM(F1497)="",IFERROR(INDEX(Map_Tables!$I$4:$I$37,MATCH(TRIM(E1497),Map_Tables!$G$4:$G$37,0)),""),IFERROR(INDEX(Map_Tables!$B$4:$B$18,MATCH(TRIM(F1497),Map_Tables!$A$4:$A$18,0)),"CHECK"))</f>
        <v>Mumbai</v>
      </c>
      <c r="AE1497" s="7" t="str">
        <f aca="false">IF(TRIM(E1497)="","",IFERROR(INDEX(Map_Tables!$H$4:$H$37,MATCH(TRIM(E1497),Map_Tables!$G$4:$G$37,0)),"CHECK"))</f>
        <v>Dragon Express</v>
      </c>
      <c r="AF1497" s="7" t="str">
        <f aca="false">IF(TRIM(K1497)="","Unknown",IFERROR(INDEX(Map_Tables!$E$4:$E$15,MATCH(TRIM(K1497),Map_Tables!$D$4:$D$15,0)),"CHECK"))</f>
        <v>UPI</v>
      </c>
      <c r="AG1497" s="7" t="str">
        <f aca="false">IF(LEFT(LOWER(TRIM(L1497)),6)="cancel","Cancelled","Delivered")</f>
        <v>Delivered</v>
      </c>
      <c r="AH1497" s="10" t="n">
        <f aca="false">IF(ISNUMBER(SEARCH("/",B1497)),DATE(VALUE(RIGHT(B1497,4)),VALUE(MID(B1497,4,2)),VALUE(LEFT(B1497,2))),IF(MID(B1497,5,1)="-",DATE(VALUE(LEFT(B1497,4)),VALUE(MID(B1497,6,2)),VALUE(RIGHT(B1497,2))),DATE(VALUE(RIGHT(B1497,4)),MATCH(MID(B1497,4,3),{"Jan","Feb","Mar","Apr","May","Jun","Jul","Aug","Sep","Oct","Nov","Dec"},0),VALUE(LEFT(B1497,2)))))</f>
        <v>45730</v>
      </c>
    </row>
    <row r="1498" customFormat="false" ht="15" hidden="false" customHeight="false" outlineLevel="0" collapsed="false">
      <c r="A1498" s="7" t="s">
        <v>3929</v>
      </c>
      <c r="B1498" s="7" t="s">
        <v>892</v>
      </c>
      <c r="C1498" s="7" t="s">
        <v>1087</v>
      </c>
      <c r="D1498" s="7" t="s">
        <v>569</v>
      </c>
      <c r="E1498" s="7" t="s">
        <v>144</v>
      </c>
      <c r="F1498" s="7" t="s">
        <v>2488</v>
      </c>
      <c r="G1498" s="7" t="s">
        <v>99</v>
      </c>
      <c r="H1498" s="7" t="n">
        <v>4</v>
      </c>
      <c r="I1498" s="7" t="n">
        <v>325</v>
      </c>
      <c r="J1498" s="7" t="n">
        <v>20</v>
      </c>
      <c r="K1498" s="7" t="s">
        <v>93</v>
      </c>
      <c r="L1498" s="7" t="s">
        <v>238</v>
      </c>
      <c r="M1498" s="7"/>
      <c r="N1498" s="7"/>
      <c r="O1498" s="7" t="str">
        <f aca="false">A1498&amp;"|"&amp;B1498&amp;"|"&amp;C1498&amp;"|"&amp;D1498&amp;"|"&amp;E1498&amp;"|"&amp;F1498&amp;"|"&amp;G1498&amp;"|"&amp;H1498&amp;"|"&amp;I1498&amp;"|"&amp;J1498&amp;"|"&amp;K1498&amp;"|"&amp;L1498&amp;"|"&amp;M1498&amp;"|"&amp;N1498</f>
        <v>ORD12533|2025-11-12|19:47|C0668|Hyderabad Dum Biryani|HYDERABAD|Biryani|4|325|20|Credit Card|Cancelled||</v>
      </c>
      <c r="P1498" s="7" t="str">
        <f aca="false">IF(COUNTIF($O$2:O1498,O1498)&gt;1,"DUP","OK")</f>
        <v>OK</v>
      </c>
      <c r="Q1498" s="7" t="n">
        <f aca="false">COUNTBLANK(A1498:N1498)</f>
        <v>2</v>
      </c>
      <c r="R1498" s="7" t="n">
        <f aca="false">IF(A1498="",0,COUNTIFS($A$2:$A$3058,A1498,$P$2:$P$3058,"OK"))</f>
        <v>1</v>
      </c>
      <c r="S1498" s="7" t="str">
        <f aca="false">IF(OR(A1498="",P1498="DUP",R1498&lt;2),"",IF(Q1498=_xlfn.MINIFS($Q$2:$Q$3058,$A$2:$A$3058,A1498,$P$2:$P$3058,"OK"),"KEEP","DROP"))</f>
        <v/>
      </c>
      <c r="T1498" s="9" t="n">
        <f aca="false">IF(A1498="",1,0)</f>
        <v>0</v>
      </c>
      <c r="U1498" s="9" t="n">
        <f aca="false">IF(D1498="",1,0)</f>
        <v>0</v>
      </c>
      <c r="V1498" s="9" t="n">
        <f aca="false">IF(E1498="",1,0)</f>
        <v>0</v>
      </c>
      <c r="W1498" s="9" t="n">
        <f aca="false">IF(OR(H1498&lt;1,H1498&gt;10),1,0)</f>
        <v>0</v>
      </c>
      <c r="X1498" s="9" t="n">
        <f aca="false">IF(OR(I1498&lt;=0,I1498&gt;1500),1,0)</f>
        <v>0</v>
      </c>
      <c r="Y1498" s="9" t="n">
        <f aca="false">IF(J1498&gt;H1498*I1498,1,0)</f>
        <v>0</v>
      </c>
      <c r="Z1498" s="9" t="n">
        <f aca="false">IF(AND(N1498&lt;&gt;"",OR(N1498&lt;1,N1498&gt;5)),1,0)</f>
        <v>0</v>
      </c>
      <c r="AA1498" s="9" t="n">
        <f aca="false">IF(AND(M1498&lt;&gt;"",OR(M1498&lt;5,M1498&gt;180)),1,0)</f>
        <v>0</v>
      </c>
      <c r="AB1498" s="7" t="str">
        <f aca="false">IF(P1498="DUP","Exact duplicate row",IF(T1498=1,"Missing Order ID",IF(S1498="DROP","Duplicate Order ID (less complete row)",IF(U1498=1,"Missing Customer ID",IF(V1498=1,"Missing Restaurant name",IF(W1498=1,"Invalid/outlier quantity",IF(X1498=1,"Invalid/outlier unit price",IF(Y1498=1,"Discount greater than order value",""))))))))</f>
        <v/>
      </c>
      <c r="AC1498" s="7" t="str">
        <f aca="false">IF(AB1498="","KEEP","DROP")</f>
        <v>KEEP</v>
      </c>
      <c r="AD1498" s="7" t="str">
        <f aca="false">IF(TRIM(F1498)="",IFERROR(INDEX(Map_Tables!$I$4:$I$37,MATCH(TRIM(E1498),Map_Tables!$G$4:$G$37,0)),""),IFERROR(INDEX(Map_Tables!$B$4:$B$18,MATCH(TRIM(F1498),Map_Tables!$A$4:$A$18,0)),"CHECK"))</f>
        <v>Hyderabad</v>
      </c>
      <c r="AE1498" s="7" t="str">
        <f aca="false">IF(TRIM(E1498)="","",IFERROR(INDEX(Map_Tables!$H$4:$H$37,MATCH(TRIM(E1498),Map_Tables!$G$4:$G$37,0)),"CHECK"))</f>
        <v>Hyderabad Dum Biryani</v>
      </c>
      <c r="AF1498" s="7" t="str">
        <f aca="false">IF(TRIM(K1498)="","Unknown",IFERROR(INDEX(Map_Tables!$E$4:$E$15,MATCH(TRIM(K1498),Map_Tables!$D$4:$D$15,0)),"CHECK"))</f>
        <v>Credit Card</v>
      </c>
      <c r="AG1498" s="7" t="str">
        <f aca="false">IF(LEFT(LOWER(TRIM(L1498)),6)="cancel","Cancelled","Delivered")</f>
        <v>Cancelled</v>
      </c>
      <c r="AH1498" s="10" t="n">
        <f aca="false">IF(ISNUMBER(SEARCH("/",B1498)),DATE(VALUE(RIGHT(B1498,4)),VALUE(MID(B1498,4,2)),VALUE(LEFT(B1498,2))),IF(MID(B1498,5,1)="-",DATE(VALUE(LEFT(B1498,4)),VALUE(MID(B1498,6,2)),VALUE(RIGHT(B1498,2))),DATE(VALUE(RIGHT(B1498,4)),MATCH(MID(B1498,4,3),{"Jan","Feb","Mar","Apr","May","Jun","Jul","Aug","Sep","Oct","Nov","Dec"},0),VALUE(LEFT(B1498,2)))))</f>
        <v>45973</v>
      </c>
    </row>
    <row r="1499" customFormat="false" ht="15" hidden="false" customHeight="false" outlineLevel="0" collapsed="false">
      <c r="A1499" s="7" t="s">
        <v>3930</v>
      </c>
      <c r="B1499" s="7" t="s">
        <v>212</v>
      </c>
      <c r="C1499" s="7" t="s">
        <v>3083</v>
      </c>
      <c r="D1499" s="7" t="s">
        <v>2664</v>
      </c>
      <c r="E1499" s="7" t="s">
        <v>89</v>
      </c>
      <c r="F1499" s="7" t="s">
        <v>86</v>
      </c>
      <c r="G1499" s="7" t="s">
        <v>90</v>
      </c>
      <c r="H1499" s="7" t="n">
        <v>1</v>
      </c>
      <c r="I1499" s="7" t="n">
        <v>245</v>
      </c>
      <c r="J1499" s="7" t="n">
        <v>0</v>
      </c>
      <c r="K1499" s="7" t="s">
        <v>88</v>
      </c>
      <c r="L1499" s="7" t="s">
        <v>194</v>
      </c>
      <c r="M1499" s="7" t="n">
        <v>26</v>
      </c>
      <c r="N1499" s="7" t="n">
        <v>5</v>
      </c>
      <c r="O1499" s="7" t="str">
        <f aca="false">A1499&amp;"|"&amp;B1499&amp;"|"&amp;C1499&amp;"|"&amp;D1499&amp;"|"&amp;E1499&amp;"|"&amp;F1499&amp;"|"&amp;G1499&amp;"|"&amp;H1499&amp;"|"&amp;I1499&amp;"|"&amp;J1499&amp;"|"&amp;K1499&amp;"|"&amp;L1499&amp;"|"&amp;M1499&amp;"|"&amp;N1499</f>
        <v>ORD12733|2025-12-01|18:15|C0971|Spice Junction|Bengaluru|North Indian|1|245|0|UPI|Delivered|26|5</v>
      </c>
      <c r="P1499" s="7" t="str">
        <f aca="false">IF(COUNTIF($O$2:O1499,O1499)&gt;1,"DUP","OK")</f>
        <v>OK</v>
      </c>
      <c r="Q1499" s="7" t="n">
        <f aca="false">COUNTBLANK(A1499:N1499)</f>
        <v>0</v>
      </c>
      <c r="R1499" s="7" t="n">
        <f aca="false">IF(A1499="",0,COUNTIFS($A$2:$A$3058,A1499,$P$2:$P$3058,"OK"))</f>
        <v>1</v>
      </c>
      <c r="S1499" s="7" t="str">
        <f aca="false">IF(OR(A1499="",P1499="DUP",R1499&lt;2),"",IF(Q1499=_xlfn.MINIFS($Q$2:$Q$3058,$A$2:$A$3058,A1499,$P$2:$P$3058,"OK"),"KEEP","DROP"))</f>
        <v/>
      </c>
      <c r="T1499" s="9" t="n">
        <f aca="false">IF(A1499="",1,0)</f>
        <v>0</v>
      </c>
      <c r="U1499" s="9" t="n">
        <f aca="false">IF(D1499="",1,0)</f>
        <v>0</v>
      </c>
      <c r="V1499" s="9" t="n">
        <f aca="false">IF(E1499="",1,0)</f>
        <v>0</v>
      </c>
      <c r="W1499" s="9" t="n">
        <f aca="false">IF(OR(H1499&lt;1,H1499&gt;10),1,0)</f>
        <v>0</v>
      </c>
      <c r="X1499" s="9" t="n">
        <f aca="false">IF(OR(I1499&lt;=0,I1499&gt;1500),1,0)</f>
        <v>0</v>
      </c>
      <c r="Y1499" s="9" t="n">
        <f aca="false">IF(J1499&gt;H1499*I1499,1,0)</f>
        <v>0</v>
      </c>
      <c r="Z1499" s="9" t="n">
        <f aca="false">IF(AND(N1499&lt;&gt;"",OR(N1499&lt;1,N1499&gt;5)),1,0)</f>
        <v>0</v>
      </c>
      <c r="AA1499" s="9" t="n">
        <f aca="false">IF(AND(M1499&lt;&gt;"",OR(M1499&lt;5,M1499&gt;180)),1,0)</f>
        <v>0</v>
      </c>
      <c r="AB1499" s="7" t="str">
        <f aca="false">IF(P1499="DUP","Exact duplicate row",IF(T1499=1,"Missing Order ID",IF(S1499="DROP","Duplicate Order ID (less complete row)",IF(U1499=1,"Missing Customer ID",IF(V1499=1,"Missing Restaurant name",IF(W1499=1,"Invalid/outlier quantity",IF(X1499=1,"Invalid/outlier unit price",IF(Y1499=1,"Discount greater than order value",""))))))))</f>
        <v/>
      </c>
      <c r="AC1499" s="7" t="str">
        <f aca="false">IF(AB1499="","KEEP","DROP")</f>
        <v>KEEP</v>
      </c>
      <c r="AD1499" s="7" t="str">
        <f aca="false">IF(TRIM(F1499)="",IFERROR(INDEX(Map_Tables!$I$4:$I$37,MATCH(TRIM(E1499),Map_Tables!$G$4:$G$37,0)),""),IFERROR(INDEX(Map_Tables!$B$4:$B$18,MATCH(TRIM(F1499),Map_Tables!$A$4:$A$18,0)),"CHECK"))</f>
        <v>Bengaluru</v>
      </c>
      <c r="AE1499" s="7" t="str">
        <f aca="false">IF(TRIM(E1499)="","",IFERROR(INDEX(Map_Tables!$H$4:$H$37,MATCH(TRIM(E1499),Map_Tables!$G$4:$G$37,0)),"CHECK"))</f>
        <v>Spice Junction</v>
      </c>
      <c r="AF1499" s="7" t="str">
        <f aca="false">IF(TRIM(K1499)="","Unknown",IFERROR(INDEX(Map_Tables!$E$4:$E$15,MATCH(TRIM(K1499),Map_Tables!$D$4:$D$15,0)),"CHECK"))</f>
        <v>UPI</v>
      </c>
      <c r="AG1499" s="7" t="str">
        <f aca="false">IF(LEFT(LOWER(TRIM(L1499)),6)="cancel","Cancelled","Delivered")</f>
        <v>Delivered</v>
      </c>
      <c r="AH1499" s="10" t="n">
        <f aca="false">IF(ISNUMBER(SEARCH("/",B1499)),DATE(VALUE(RIGHT(B1499,4)),VALUE(MID(B1499,4,2)),VALUE(LEFT(B1499,2))),IF(MID(B1499,5,1)="-",DATE(VALUE(LEFT(B1499,4)),VALUE(MID(B1499,6,2)),VALUE(RIGHT(B1499,2))),DATE(VALUE(RIGHT(B1499,4)),MATCH(MID(B1499,4,3),{"Jan","Feb","Mar","Apr","May","Jun","Jul","Aug","Sep","Oct","Nov","Dec"},0),VALUE(LEFT(B1499,2)))))</f>
        <v>45992</v>
      </c>
    </row>
    <row r="1500" customFormat="false" ht="15" hidden="false" customHeight="false" outlineLevel="0" collapsed="false">
      <c r="A1500" s="7" t="s">
        <v>3931</v>
      </c>
      <c r="B1500" s="7" t="s">
        <v>938</v>
      </c>
      <c r="C1500" s="7" t="s">
        <v>2917</v>
      </c>
      <c r="D1500" s="7" t="s">
        <v>833</v>
      </c>
      <c r="E1500" s="7" t="s">
        <v>94</v>
      </c>
      <c r="F1500" s="7" t="s">
        <v>86</v>
      </c>
      <c r="G1500" s="7" t="s">
        <v>95</v>
      </c>
      <c r="H1500" s="7" t="n">
        <v>4</v>
      </c>
      <c r="I1500" s="7" t="n">
        <v>145</v>
      </c>
      <c r="J1500" s="7" t="n">
        <v>150</v>
      </c>
      <c r="K1500" s="7" t="s">
        <v>2596</v>
      </c>
      <c r="L1500" s="7" t="s">
        <v>194</v>
      </c>
      <c r="M1500" s="7" t="n">
        <v>42</v>
      </c>
      <c r="N1500" s="7" t="n">
        <v>5</v>
      </c>
      <c r="O1500" s="7" t="str">
        <f aca="false">A1500&amp;"|"&amp;B1500&amp;"|"&amp;C1500&amp;"|"&amp;D1500&amp;"|"&amp;E1500&amp;"|"&amp;F1500&amp;"|"&amp;G1500&amp;"|"&amp;H1500&amp;"|"&amp;I1500&amp;"|"&amp;J1500&amp;"|"&amp;K1500&amp;"|"&amp;L1500&amp;"|"&amp;M1500&amp;"|"&amp;N1500</f>
        <v>ORD10876|2025-04-20|21:45|C0406|Dosa Darbar|Bengaluru|South Indian|4|145|150|COD|Delivered|42|5</v>
      </c>
      <c r="P1500" s="7" t="str">
        <f aca="false">IF(COUNTIF($O$2:O1500,O1500)&gt;1,"DUP","OK")</f>
        <v>OK</v>
      </c>
      <c r="Q1500" s="7" t="n">
        <f aca="false">COUNTBLANK(A1500:N1500)</f>
        <v>0</v>
      </c>
      <c r="R1500" s="7" t="n">
        <f aca="false">IF(A1500="",0,COUNTIFS($A$2:$A$3058,A1500,$P$2:$P$3058,"OK"))</f>
        <v>1</v>
      </c>
      <c r="S1500" s="7" t="str">
        <f aca="false">IF(OR(A1500="",P1500="DUP",R1500&lt;2),"",IF(Q1500=_xlfn.MINIFS($Q$2:$Q$3058,$A$2:$A$3058,A1500,$P$2:$P$3058,"OK"),"KEEP","DROP"))</f>
        <v/>
      </c>
      <c r="T1500" s="9" t="n">
        <f aca="false">IF(A1500="",1,0)</f>
        <v>0</v>
      </c>
      <c r="U1500" s="9" t="n">
        <f aca="false">IF(D1500="",1,0)</f>
        <v>0</v>
      </c>
      <c r="V1500" s="9" t="n">
        <f aca="false">IF(E1500="",1,0)</f>
        <v>0</v>
      </c>
      <c r="W1500" s="9" t="n">
        <f aca="false">IF(OR(H1500&lt;1,H1500&gt;10),1,0)</f>
        <v>0</v>
      </c>
      <c r="X1500" s="9" t="n">
        <f aca="false">IF(OR(I1500&lt;=0,I1500&gt;1500),1,0)</f>
        <v>0</v>
      </c>
      <c r="Y1500" s="9" t="n">
        <f aca="false">IF(J1500&gt;H1500*I1500,1,0)</f>
        <v>0</v>
      </c>
      <c r="Z1500" s="9" t="n">
        <f aca="false">IF(AND(N1500&lt;&gt;"",OR(N1500&lt;1,N1500&gt;5)),1,0)</f>
        <v>0</v>
      </c>
      <c r="AA1500" s="9" t="n">
        <f aca="false">IF(AND(M1500&lt;&gt;"",OR(M1500&lt;5,M1500&gt;180)),1,0)</f>
        <v>0</v>
      </c>
      <c r="AB1500" s="7" t="str">
        <f aca="false">IF(P1500="DUP","Exact duplicate row",IF(T1500=1,"Missing Order ID",IF(S1500="DROP","Duplicate Order ID (less complete row)",IF(U1500=1,"Missing Customer ID",IF(V1500=1,"Missing Restaurant name",IF(W1500=1,"Invalid/outlier quantity",IF(X1500=1,"Invalid/outlier unit price",IF(Y1500=1,"Discount greater than order value",""))))))))</f>
        <v/>
      </c>
      <c r="AC1500" s="7" t="str">
        <f aca="false">IF(AB1500="","KEEP","DROP")</f>
        <v>KEEP</v>
      </c>
      <c r="AD1500" s="7" t="str">
        <f aca="false">IF(TRIM(F1500)="",IFERROR(INDEX(Map_Tables!$I$4:$I$37,MATCH(TRIM(E1500),Map_Tables!$G$4:$G$37,0)),""),IFERROR(INDEX(Map_Tables!$B$4:$B$18,MATCH(TRIM(F1500),Map_Tables!$A$4:$A$18,0)),"CHECK"))</f>
        <v>Bengaluru</v>
      </c>
      <c r="AE1500" s="7" t="str">
        <f aca="false">IF(TRIM(E1500)="","",IFERROR(INDEX(Map_Tables!$H$4:$H$37,MATCH(TRIM(E1500),Map_Tables!$G$4:$G$37,0)),"CHECK"))</f>
        <v>Dosa Darbar</v>
      </c>
      <c r="AF1500" s="7" t="str">
        <f aca="false">IF(TRIM(K1500)="","Unknown",IFERROR(INDEX(Map_Tables!$E$4:$E$15,MATCH(TRIM(K1500),Map_Tables!$D$4:$D$15,0)),"CHECK"))</f>
        <v>Cash on Delivery</v>
      </c>
      <c r="AG1500" s="7" t="str">
        <f aca="false">IF(LEFT(LOWER(TRIM(L1500)),6)="cancel","Cancelled","Delivered")</f>
        <v>Delivered</v>
      </c>
      <c r="AH1500" s="10" t="n">
        <f aca="false">IF(ISNUMBER(SEARCH("/",B1500)),DATE(VALUE(RIGHT(B1500,4)),VALUE(MID(B1500,4,2)),VALUE(LEFT(B1500,2))),IF(MID(B1500,5,1)="-",DATE(VALUE(LEFT(B1500,4)),VALUE(MID(B1500,6,2)),VALUE(RIGHT(B1500,2))),DATE(VALUE(RIGHT(B1500,4)),MATCH(MID(B1500,4,3),{"Jan","Feb","Mar","Apr","May","Jun","Jul","Aug","Sep","Oct","Nov","Dec"},0),VALUE(LEFT(B1500,2)))))</f>
        <v>45767</v>
      </c>
    </row>
    <row r="1501" customFormat="false" ht="15" hidden="false" customHeight="false" outlineLevel="0" collapsed="false">
      <c r="A1501" s="7" t="s">
        <v>3932</v>
      </c>
      <c r="B1501" s="7" t="s">
        <v>924</v>
      </c>
      <c r="C1501" s="7" t="s">
        <v>2278</v>
      </c>
      <c r="D1501" s="7" t="s">
        <v>2361</v>
      </c>
      <c r="E1501" s="7" t="s">
        <v>138</v>
      </c>
      <c r="F1501" s="7" t="s">
        <v>110</v>
      </c>
      <c r="G1501" s="7" t="s">
        <v>139</v>
      </c>
      <c r="H1501" s="7" t="n">
        <v>3</v>
      </c>
      <c r="I1501" s="7" t="n">
        <v>200</v>
      </c>
      <c r="J1501" s="7" t="n">
        <v>125</v>
      </c>
      <c r="K1501" s="7" t="s">
        <v>103</v>
      </c>
      <c r="L1501" s="7" t="s">
        <v>194</v>
      </c>
      <c r="M1501" s="7" t="n">
        <v>50</v>
      </c>
      <c r="N1501" s="7" t="n">
        <v>4</v>
      </c>
      <c r="O1501" s="7" t="str">
        <f aca="false">A1501&amp;"|"&amp;B1501&amp;"|"&amp;C1501&amp;"|"&amp;D1501&amp;"|"&amp;E1501&amp;"|"&amp;F1501&amp;"|"&amp;G1501&amp;"|"&amp;H1501&amp;"|"&amp;I1501&amp;"|"&amp;J1501&amp;"|"&amp;K1501&amp;"|"&amp;L1501&amp;"|"&amp;M1501&amp;"|"&amp;N1501</f>
        <v>ORD10104|2025-01-14|18:10|C1026|Burger Barn|Delhi|Burgers|3|200|125|Debit Card|Delivered|50|4</v>
      </c>
      <c r="P1501" s="7" t="str">
        <f aca="false">IF(COUNTIF($O$2:O1501,O1501)&gt;1,"DUP","OK")</f>
        <v>OK</v>
      </c>
      <c r="Q1501" s="7" t="n">
        <f aca="false">COUNTBLANK(A1501:N1501)</f>
        <v>0</v>
      </c>
      <c r="R1501" s="7" t="n">
        <f aca="false">IF(A1501="",0,COUNTIFS($A$2:$A$3058,A1501,$P$2:$P$3058,"OK"))</f>
        <v>1</v>
      </c>
      <c r="S1501" s="7" t="str">
        <f aca="false">IF(OR(A1501="",P1501="DUP",R1501&lt;2),"",IF(Q1501=_xlfn.MINIFS($Q$2:$Q$3058,$A$2:$A$3058,A1501,$P$2:$P$3058,"OK"),"KEEP","DROP"))</f>
        <v/>
      </c>
      <c r="T1501" s="9" t="n">
        <f aca="false">IF(A1501="",1,0)</f>
        <v>0</v>
      </c>
      <c r="U1501" s="9" t="n">
        <f aca="false">IF(D1501="",1,0)</f>
        <v>0</v>
      </c>
      <c r="V1501" s="9" t="n">
        <f aca="false">IF(E1501="",1,0)</f>
        <v>0</v>
      </c>
      <c r="W1501" s="9" t="n">
        <f aca="false">IF(OR(H1501&lt;1,H1501&gt;10),1,0)</f>
        <v>0</v>
      </c>
      <c r="X1501" s="9" t="n">
        <f aca="false">IF(OR(I1501&lt;=0,I1501&gt;1500),1,0)</f>
        <v>0</v>
      </c>
      <c r="Y1501" s="9" t="n">
        <f aca="false">IF(J1501&gt;H1501*I1501,1,0)</f>
        <v>0</v>
      </c>
      <c r="Z1501" s="9" t="n">
        <f aca="false">IF(AND(N1501&lt;&gt;"",OR(N1501&lt;1,N1501&gt;5)),1,0)</f>
        <v>0</v>
      </c>
      <c r="AA1501" s="9" t="n">
        <f aca="false">IF(AND(M1501&lt;&gt;"",OR(M1501&lt;5,M1501&gt;180)),1,0)</f>
        <v>0</v>
      </c>
      <c r="AB1501" s="7" t="str">
        <f aca="false">IF(P1501="DUP","Exact duplicate row",IF(T1501=1,"Missing Order ID",IF(S1501="DROP","Duplicate Order ID (less complete row)",IF(U1501=1,"Missing Customer ID",IF(V1501=1,"Missing Restaurant name",IF(W1501=1,"Invalid/outlier quantity",IF(X1501=1,"Invalid/outlier unit price",IF(Y1501=1,"Discount greater than order value",""))))))))</f>
        <v/>
      </c>
      <c r="AC1501" s="7" t="str">
        <f aca="false">IF(AB1501="","KEEP","DROP")</f>
        <v>KEEP</v>
      </c>
      <c r="AD1501" s="7" t="str">
        <f aca="false">IF(TRIM(F1501)="",IFERROR(INDEX(Map_Tables!$I$4:$I$37,MATCH(TRIM(E1501),Map_Tables!$G$4:$G$37,0)),""),IFERROR(INDEX(Map_Tables!$B$4:$B$18,MATCH(TRIM(F1501),Map_Tables!$A$4:$A$18,0)),"CHECK"))</f>
        <v>Delhi</v>
      </c>
      <c r="AE1501" s="7" t="str">
        <f aca="false">IF(TRIM(E1501)="","",IFERROR(INDEX(Map_Tables!$H$4:$H$37,MATCH(TRIM(E1501),Map_Tables!$G$4:$G$37,0)),"CHECK"))</f>
        <v>Burger Barn</v>
      </c>
      <c r="AF1501" s="7" t="str">
        <f aca="false">IF(TRIM(K1501)="","Unknown",IFERROR(INDEX(Map_Tables!$E$4:$E$15,MATCH(TRIM(K1501),Map_Tables!$D$4:$D$15,0)),"CHECK"))</f>
        <v>Debit Card</v>
      </c>
      <c r="AG1501" s="7" t="str">
        <f aca="false">IF(LEFT(LOWER(TRIM(L1501)),6)="cancel","Cancelled","Delivered")</f>
        <v>Delivered</v>
      </c>
      <c r="AH1501" s="10" t="n">
        <f aca="false">IF(ISNUMBER(SEARCH("/",B1501)),DATE(VALUE(RIGHT(B1501,4)),VALUE(MID(B1501,4,2)),VALUE(LEFT(B1501,2))),IF(MID(B1501,5,1)="-",DATE(VALUE(LEFT(B1501,4)),VALUE(MID(B1501,6,2)),VALUE(RIGHT(B1501,2))),DATE(VALUE(RIGHT(B1501,4)),MATCH(MID(B1501,4,3),{"Jan","Feb","Mar","Apr","May","Jun","Jul","Aug","Sep","Oct","Nov","Dec"},0),VALUE(LEFT(B1501,2)))))</f>
        <v>45671</v>
      </c>
    </row>
    <row r="1502" customFormat="false" ht="15" hidden="false" customHeight="false" outlineLevel="0" collapsed="false">
      <c r="A1502" s="7" t="s">
        <v>3933</v>
      </c>
      <c r="B1502" s="7" t="s">
        <v>1171</v>
      </c>
      <c r="C1502" s="7" t="s">
        <v>306</v>
      </c>
      <c r="D1502" s="7" t="s">
        <v>1216</v>
      </c>
      <c r="E1502" s="7" t="s">
        <v>113</v>
      </c>
      <c r="F1502" s="7" t="s">
        <v>101</v>
      </c>
      <c r="G1502" s="7" t="s">
        <v>90</v>
      </c>
      <c r="H1502" s="7" t="n">
        <v>1</v>
      </c>
      <c r="I1502" s="7" t="n">
        <v>280</v>
      </c>
      <c r="J1502" s="7" t="n">
        <v>0</v>
      </c>
      <c r="K1502" s="7" t="s">
        <v>102</v>
      </c>
      <c r="L1502" s="7" t="s">
        <v>194</v>
      </c>
      <c r="M1502" s="7" t="n">
        <v>45</v>
      </c>
      <c r="N1502" s="7" t="n">
        <v>4</v>
      </c>
      <c r="O1502" s="7" t="str">
        <f aca="false">A1502&amp;"|"&amp;B1502&amp;"|"&amp;C1502&amp;"|"&amp;D1502&amp;"|"&amp;E1502&amp;"|"&amp;F1502&amp;"|"&amp;G1502&amp;"|"&amp;H1502&amp;"|"&amp;I1502&amp;"|"&amp;J1502&amp;"|"&amp;K1502&amp;"|"&amp;L1502&amp;"|"&amp;M1502&amp;"|"&amp;N1502</f>
        <v>ORD12177|2025-10-04|20:06|C0460|Curry Leaf Kitchen|Mumbai|North Indian|1|280|0|debit card|Delivered|45|4</v>
      </c>
      <c r="P1502" s="7" t="str">
        <f aca="false">IF(COUNTIF($O$2:O1502,O1502)&gt;1,"DUP","OK")</f>
        <v>OK</v>
      </c>
      <c r="Q1502" s="7" t="n">
        <f aca="false">COUNTBLANK(A1502:N1502)</f>
        <v>0</v>
      </c>
      <c r="R1502" s="7" t="n">
        <f aca="false">IF(A1502="",0,COUNTIFS($A$2:$A$3058,A1502,$P$2:$P$3058,"OK"))</f>
        <v>1</v>
      </c>
      <c r="S1502" s="7" t="str">
        <f aca="false">IF(OR(A1502="",P1502="DUP",R1502&lt;2),"",IF(Q1502=_xlfn.MINIFS($Q$2:$Q$3058,$A$2:$A$3058,A1502,$P$2:$P$3058,"OK"),"KEEP","DROP"))</f>
        <v/>
      </c>
      <c r="T1502" s="9" t="n">
        <f aca="false">IF(A1502="",1,0)</f>
        <v>0</v>
      </c>
      <c r="U1502" s="9" t="n">
        <f aca="false">IF(D1502="",1,0)</f>
        <v>0</v>
      </c>
      <c r="V1502" s="9" t="n">
        <f aca="false">IF(E1502="",1,0)</f>
        <v>0</v>
      </c>
      <c r="W1502" s="9" t="n">
        <f aca="false">IF(OR(H1502&lt;1,H1502&gt;10),1,0)</f>
        <v>0</v>
      </c>
      <c r="X1502" s="9" t="n">
        <f aca="false">IF(OR(I1502&lt;=0,I1502&gt;1500),1,0)</f>
        <v>0</v>
      </c>
      <c r="Y1502" s="9" t="n">
        <f aca="false">IF(J1502&gt;H1502*I1502,1,0)</f>
        <v>0</v>
      </c>
      <c r="Z1502" s="9" t="n">
        <f aca="false">IF(AND(N1502&lt;&gt;"",OR(N1502&lt;1,N1502&gt;5)),1,0)</f>
        <v>0</v>
      </c>
      <c r="AA1502" s="9" t="n">
        <f aca="false">IF(AND(M1502&lt;&gt;"",OR(M1502&lt;5,M1502&gt;180)),1,0)</f>
        <v>0</v>
      </c>
      <c r="AB1502" s="7" t="str">
        <f aca="false">IF(P1502="DUP","Exact duplicate row",IF(T1502=1,"Missing Order ID",IF(S1502="DROP","Duplicate Order ID (less complete row)",IF(U1502=1,"Missing Customer ID",IF(V1502=1,"Missing Restaurant name",IF(W1502=1,"Invalid/outlier quantity",IF(X1502=1,"Invalid/outlier unit price",IF(Y1502=1,"Discount greater than order value",""))))))))</f>
        <v/>
      </c>
      <c r="AC1502" s="7" t="str">
        <f aca="false">IF(AB1502="","KEEP","DROP")</f>
        <v>KEEP</v>
      </c>
      <c r="AD1502" s="7" t="str">
        <f aca="false">IF(TRIM(F1502)="",IFERROR(INDEX(Map_Tables!$I$4:$I$37,MATCH(TRIM(E1502),Map_Tables!$G$4:$G$37,0)),""),IFERROR(INDEX(Map_Tables!$B$4:$B$18,MATCH(TRIM(F1502),Map_Tables!$A$4:$A$18,0)),"CHECK"))</f>
        <v>Mumbai</v>
      </c>
      <c r="AE1502" s="7" t="str">
        <f aca="false">IF(TRIM(E1502)="","",IFERROR(INDEX(Map_Tables!$H$4:$H$37,MATCH(TRIM(E1502),Map_Tables!$G$4:$G$37,0)),"CHECK"))</f>
        <v>Curry Leaf Kitchen</v>
      </c>
      <c r="AF1502" s="7" t="str">
        <f aca="false">IF(TRIM(K1502)="","Unknown",IFERROR(INDEX(Map_Tables!$E$4:$E$15,MATCH(TRIM(K1502),Map_Tables!$D$4:$D$15,0)),"CHECK"))</f>
        <v>Debit Card</v>
      </c>
      <c r="AG1502" s="7" t="str">
        <f aca="false">IF(LEFT(LOWER(TRIM(L1502)),6)="cancel","Cancelled","Delivered")</f>
        <v>Delivered</v>
      </c>
      <c r="AH1502" s="10" t="n">
        <f aca="false">IF(ISNUMBER(SEARCH("/",B1502)),DATE(VALUE(RIGHT(B1502,4)),VALUE(MID(B1502,4,2)),VALUE(LEFT(B1502,2))),IF(MID(B1502,5,1)="-",DATE(VALUE(LEFT(B1502,4)),VALUE(MID(B1502,6,2)),VALUE(RIGHT(B1502,2))),DATE(VALUE(RIGHT(B1502,4)),MATCH(MID(B1502,4,3),{"Jan","Feb","Mar","Apr","May","Jun","Jul","Aug","Sep","Oct","Nov","Dec"},0),VALUE(LEFT(B1502,2)))))</f>
        <v>45934</v>
      </c>
    </row>
    <row r="1503" customFormat="false" ht="15" hidden="false" customHeight="false" outlineLevel="0" collapsed="false">
      <c r="A1503" s="7" t="s">
        <v>3934</v>
      </c>
      <c r="B1503" s="7" t="s">
        <v>3935</v>
      </c>
      <c r="C1503" s="7" t="s">
        <v>1008</v>
      </c>
      <c r="D1503" s="7" t="s">
        <v>3635</v>
      </c>
      <c r="E1503" s="7" t="s">
        <v>149</v>
      </c>
      <c r="F1503" s="7" t="s">
        <v>119</v>
      </c>
      <c r="G1503" s="7" t="s">
        <v>150</v>
      </c>
      <c r="H1503" s="7" t="n">
        <v>1</v>
      </c>
      <c r="I1503" s="7" t="n">
        <v>195</v>
      </c>
      <c r="J1503" s="7" t="n">
        <v>0</v>
      </c>
      <c r="K1503" s="7" t="s">
        <v>88</v>
      </c>
      <c r="L1503" s="7" t="s">
        <v>194</v>
      </c>
      <c r="M1503" s="7" t="n">
        <v>33</v>
      </c>
      <c r="N1503" s="7" t="n">
        <v>4</v>
      </c>
      <c r="O1503" s="7" t="str">
        <f aca="false">A1503&amp;"|"&amp;B1503&amp;"|"&amp;C1503&amp;"|"&amp;D1503&amp;"|"&amp;E1503&amp;"|"&amp;F1503&amp;"|"&amp;G1503&amp;"|"&amp;H1503&amp;"|"&amp;I1503&amp;"|"&amp;J1503&amp;"|"&amp;K1503&amp;"|"&amp;L1503&amp;"|"&amp;M1503&amp;"|"&amp;N1503</f>
        <v>ORD10411|24/02/2025|17:54|C0734|Sweet Tooth Studio|Hyderabad|Desserts|1|195|0|UPI|Delivered|33|4</v>
      </c>
      <c r="P1503" s="7" t="str">
        <f aca="false">IF(COUNTIF($O$2:O1503,O1503)&gt;1,"DUP","OK")</f>
        <v>OK</v>
      </c>
      <c r="Q1503" s="7" t="n">
        <f aca="false">COUNTBLANK(A1503:N1503)</f>
        <v>0</v>
      </c>
      <c r="R1503" s="7" t="n">
        <f aca="false">IF(A1503="",0,COUNTIFS($A$2:$A$3058,A1503,$P$2:$P$3058,"OK"))</f>
        <v>1</v>
      </c>
      <c r="S1503" s="7" t="str">
        <f aca="false">IF(OR(A1503="",P1503="DUP",R1503&lt;2),"",IF(Q1503=_xlfn.MINIFS($Q$2:$Q$3058,$A$2:$A$3058,A1503,$P$2:$P$3058,"OK"),"KEEP","DROP"))</f>
        <v/>
      </c>
      <c r="T1503" s="9" t="n">
        <f aca="false">IF(A1503="",1,0)</f>
        <v>0</v>
      </c>
      <c r="U1503" s="9" t="n">
        <f aca="false">IF(D1503="",1,0)</f>
        <v>0</v>
      </c>
      <c r="V1503" s="9" t="n">
        <f aca="false">IF(E1503="",1,0)</f>
        <v>0</v>
      </c>
      <c r="W1503" s="9" t="n">
        <f aca="false">IF(OR(H1503&lt;1,H1503&gt;10),1,0)</f>
        <v>0</v>
      </c>
      <c r="X1503" s="9" t="n">
        <f aca="false">IF(OR(I1503&lt;=0,I1503&gt;1500),1,0)</f>
        <v>0</v>
      </c>
      <c r="Y1503" s="9" t="n">
        <f aca="false">IF(J1503&gt;H1503*I1503,1,0)</f>
        <v>0</v>
      </c>
      <c r="Z1503" s="9" t="n">
        <f aca="false">IF(AND(N1503&lt;&gt;"",OR(N1503&lt;1,N1503&gt;5)),1,0)</f>
        <v>0</v>
      </c>
      <c r="AA1503" s="9" t="n">
        <f aca="false">IF(AND(M1503&lt;&gt;"",OR(M1503&lt;5,M1503&gt;180)),1,0)</f>
        <v>0</v>
      </c>
      <c r="AB1503" s="7" t="str">
        <f aca="false">IF(P1503="DUP","Exact duplicate row",IF(T1503=1,"Missing Order ID",IF(S1503="DROP","Duplicate Order ID (less complete row)",IF(U1503=1,"Missing Customer ID",IF(V1503=1,"Missing Restaurant name",IF(W1503=1,"Invalid/outlier quantity",IF(X1503=1,"Invalid/outlier unit price",IF(Y1503=1,"Discount greater than order value",""))))))))</f>
        <v/>
      </c>
      <c r="AC1503" s="7" t="str">
        <f aca="false">IF(AB1503="","KEEP","DROP")</f>
        <v>KEEP</v>
      </c>
      <c r="AD1503" s="7" t="str">
        <f aca="false">IF(TRIM(F1503)="",IFERROR(INDEX(Map_Tables!$I$4:$I$37,MATCH(TRIM(E1503),Map_Tables!$G$4:$G$37,0)),""),IFERROR(INDEX(Map_Tables!$B$4:$B$18,MATCH(TRIM(F1503),Map_Tables!$A$4:$A$18,0)),"CHECK"))</f>
        <v>Hyderabad</v>
      </c>
      <c r="AE1503" s="7" t="str">
        <f aca="false">IF(TRIM(E1503)="","",IFERROR(INDEX(Map_Tables!$H$4:$H$37,MATCH(TRIM(E1503),Map_Tables!$G$4:$G$37,0)),"CHECK"))</f>
        <v>Sweet Tooth Studio</v>
      </c>
      <c r="AF1503" s="7" t="str">
        <f aca="false">IF(TRIM(K1503)="","Unknown",IFERROR(INDEX(Map_Tables!$E$4:$E$15,MATCH(TRIM(K1503),Map_Tables!$D$4:$D$15,0)),"CHECK"))</f>
        <v>UPI</v>
      </c>
      <c r="AG1503" s="7" t="str">
        <f aca="false">IF(LEFT(LOWER(TRIM(L1503)),6)="cancel","Cancelled","Delivered")</f>
        <v>Delivered</v>
      </c>
      <c r="AH1503" s="10" t="n">
        <f aca="false">IF(ISNUMBER(SEARCH("/",B1503)),DATE(VALUE(RIGHT(B1503,4)),VALUE(MID(B1503,4,2)),VALUE(LEFT(B1503,2))),IF(MID(B1503,5,1)="-",DATE(VALUE(LEFT(B1503,4)),VALUE(MID(B1503,6,2)),VALUE(RIGHT(B1503,2))),DATE(VALUE(RIGHT(B1503,4)),MATCH(MID(B1503,4,3),{"Jan","Feb","Mar","Apr","May","Jun","Jul","Aug","Sep","Oct","Nov","Dec"},0),VALUE(LEFT(B1503,2)))))</f>
        <v>45712</v>
      </c>
    </row>
    <row r="1504" customFormat="false" ht="15" hidden="false" customHeight="false" outlineLevel="0" collapsed="false">
      <c r="A1504" s="7" t="s">
        <v>3936</v>
      </c>
      <c r="B1504" s="7" t="s">
        <v>3937</v>
      </c>
      <c r="C1504" s="7" t="s">
        <v>668</v>
      </c>
      <c r="D1504" s="7" t="s">
        <v>2188</v>
      </c>
      <c r="E1504" s="7" t="s">
        <v>168</v>
      </c>
      <c r="F1504" s="7" t="s">
        <v>146</v>
      </c>
      <c r="G1504" s="7" t="s">
        <v>123</v>
      </c>
      <c r="H1504" s="7" t="n">
        <v>3</v>
      </c>
      <c r="I1504" s="7" t="n">
        <v>250</v>
      </c>
      <c r="J1504" s="7" t="n">
        <v>50</v>
      </c>
      <c r="K1504" s="7" t="s">
        <v>133</v>
      </c>
      <c r="L1504" s="7" t="s">
        <v>194</v>
      </c>
      <c r="M1504" s="7" t="n">
        <v>33</v>
      </c>
      <c r="N1504" s="7" t="n">
        <v>3</v>
      </c>
      <c r="O1504" s="7" t="str">
        <f aca="false">A1504&amp;"|"&amp;B1504&amp;"|"&amp;C1504&amp;"|"&amp;D1504&amp;"|"&amp;E1504&amp;"|"&amp;F1504&amp;"|"&amp;G1504&amp;"|"&amp;H1504&amp;"|"&amp;I1504&amp;"|"&amp;J1504&amp;"|"&amp;K1504&amp;"|"&amp;L1504&amp;"|"&amp;M1504&amp;"|"&amp;N1504</f>
        <v>ORD12051|22/09/2025|13:33|C0323|Cheesy Slice|Ahmedabad|Pizza|3|250|50|Net Banking|Delivered|33|3</v>
      </c>
      <c r="P1504" s="7" t="str">
        <f aca="false">IF(COUNTIF($O$2:O1504,O1504)&gt;1,"DUP","OK")</f>
        <v>OK</v>
      </c>
      <c r="Q1504" s="7" t="n">
        <f aca="false">COUNTBLANK(A1504:N1504)</f>
        <v>0</v>
      </c>
      <c r="R1504" s="7" t="n">
        <f aca="false">IF(A1504="",0,COUNTIFS($A$2:$A$3058,A1504,$P$2:$P$3058,"OK"))</f>
        <v>1</v>
      </c>
      <c r="S1504" s="7" t="str">
        <f aca="false">IF(OR(A1504="",P1504="DUP",R1504&lt;2),"",IF(Q1504=_xlfn.MINIFS($Q$2:$Q$3058,$A$2:$A$3058,A1504,$P$2:$P$3058,"OK"),"KEEP","DROP"))</f>
        <v/>
      </c>
      <c r="T1504" s="9" t="n">
        <f aca="false">IF(A1504="",1,0)</f>
        <v>0</v>
      </c>
      <c r="U1504" s="9" t="n">
        <f aca="false">IF(D1504="",1,0)</f>
        <v>0</v>
      </c>
      <c r="V1504" s="9" t="n">
        <f aca="false">IF(E1504="",1,0)</f>
        <v>0</v>
      </c>
      <c r="W1504" s="9" t="n">
        <f aca="false">IF(OR(H1504&lt;1,H1504&gt;10),1,0)</f>
        <v>0</v>
      </c>
      <c r="X1504" s="9" t="n">
        <f aca="false">IF(OR(I1504&lt;=0,I1504&gt;1500),1,0)</f>
        <v>0</v>
      </c>
      <c r="Y1504" s="9" t="n">
        <f aca="false">IF(J1504&gt;H1504*I1504,1,0)</f>
        <v>0</v>
      </c>
      <c r="Z1504" s="9" t="n">
        <f aca="false">IF(AND(N1504&lt;&gt;"",OR(N1504&lt;1,N1504&gt;5)),1,0)</f>
        <v>0</v>
      </c>
      <c r="AA1504" s="9" t="n">
        <f aca="false">IF(AND(M1504&lt;&gt;"",OR(M1504&lt;5,M1504&gt;180)),1,0)</f>
        <v>0</v>
      </c>
      <c r="AB1504" s="7" t="str">
        <f aca="false">IF(P1504="DUP","Exact duplicate row",IF(T1504=1,"Missing Order ID",IF(S1504="DROP","Duplicate Order ID (less complete row)",IF(U1504=1,"Missing Customer ID",IF(V1504=1,"Missing Restaurant name",IF(W1504=1,"Invalid/outlier quantity",IF(X1504=1,"Invalid/outlier unit price",IF(Y1504=1,"Discount greater than order value",""))))))))</f>
        <v/>
      </c>
      <c r="AC1504" s="7" t="str">
        <f aca="false">IF(AB1504="","KEEP","DROP")</f>
        <v>KEEP</v>
      </c>
      <c r="AD1504" s="7" t="str">
        <f aca="false">IF(TRIM(F1504)="",IFERROR(INDEX(Map_Tables!$I$4:$I$37,MATCH(TRIM(E1504),Map_Tables!$G$4:$G$37,0)),""),IFERROR(INDEX(Map_Tables!$B$4:$B$18,MATCH(TRIM(F1504),Map_Tables!$A$4:$A$18,0)),"CHECK"))</f>
        <v>Ahmedabad</v>
      </c>
      <c r="AE1504" s="7" t="str">
        <f aca="false">IF(TRIM(E1504)="","",IFERROR(INDEX(Map_Tables!$H$4:$H$37,MATCH(TRIM(E1504),Map_Tables!$G$4:$G$37,0)),"CHECK"))</f>
        <v>Cheesy Slice</v>
      </c>
      <c r="AF1504" s="7" t="str">
        <f aca="false">IF(TRIM(K1504)="","Unknown",IFERROR(INDEX(Map_Tables!$E$4:$E$15,MATCH(TRIM(K1504),Map_Tables!$D$4:$D$15,0)),"CHECK"))</f>
        <v>Net Banking</v>
      </c>
      <c r="AG1504" s="7" t="str">
        <f aca="false">IF(LEFT(LOWER(TRIM(L1504)),6)="cancel","Cancelled","Delivered")</f>
        <v>Delivered</v>
      </c>
      <c r="AH1504" s="10" t="n">
        <f aca="false">IF(ISNUMBER(SEARCH("/",B1504)),DATE(VALUE(RIGHT(B1504,4)),VALUE(MID(B1504,4,2)),VALUE(LEFT(B1504,2))),IF(MID(B1504,5,1)="-",DATE(VALUE(LEFT(B1504,4)),VALUE(MID(B1504,6,2)),VALUE(RIGHT(B1504,2))),DATE(VALUE(RIGHT(B1504,4)),MATCH(MID(B1504,4,3),{"Jan","Feb","Mar","Apr","May","Jun","Jul","Aug","Sep","Oct","Nov","Dec"},0),VALUE(LEFT(B1504,2)))))</f>
        <v>45922</v>
      </c>
    </row>
    <row r="1505" customFormat="false" ht="15" hidden="false" customHeight="false" outlineLevel="0" collapsed="false">
      <c r="A1505" s="7" t="s">
        <v>3938</v>
      </c>
      <c r="B1505" s="7" t="s">
        <v>1329</v>
      </c>
      <c r="C1505" s="7" t="s">
        <v>2138</v>
      </c>
      <c r="D1505" s="7" t="s">
        <v>3939</v>
      </c>
      <c r="E1505" s="7" t="s">
        <v>98</v>
      </c>
      <c r="F1505" s="7" t="s">
        <v>86</v>
      </c>
      <c r="G1505" s="7" t="s">
        <v>99</v>
      </c>
      <c r="H1505" s="7" t="n">
        <v>2</v>
      </c>
      <c r="I1505" s="7" t="n">
        <v>310</v>
      </c>
      <c r="J1505" s="7" t="n">
        <v>150</v>
      </c>
      <c r="K1505" s="7" t="s">
        <v>93</v>
      </c>
      <c r="L1505" s="7" t="s">
        <v>194</v>
      </c>
      <c r="M1505" s="7" t="n">
        <v>42</v>
      </c>
      <c r="N1505" s="7" t="n">
        <v>4</v>
      </c>
      <c r="O1505" s="7" t="str">
        <f aca="false">A1505&amp;"|"&amp;B1505&amp;"|"&amp;C1505&amp;"|"&amp;D1505&amp;"|"&amp;E1505&amp;"|"&amp;F1505&amp;"|"&amp;G1505&amp;"|"&amp;H1505&amp;"|"&amp;I1505&amp;"|"&amp;J1505&amp;"|"&amp;K1505&amp;"|"&amp;L1505&amp;"|"&amp;M1505&amp;"|"&amp;N1505</f>
        <v>ORD11179|2025-05-30|12:55|C1129|Nawabi Biryani House|Bengaluru|Biryani|2|310|150|Credit Card|Delivered|42|4</v>
      </c>
      <c r="P1505" s="7" t="str">
        <f aca="false">IF(COUNTIF($O$2:O1505,O1505)&gt;1,"DUP","OK")</f>
        <v>OK</v>
      </c>
      <c r="Q1505" s="7" t="n">
        <f aca="false">COUNTBLANK(A1505:N1505)</f>
        <v>0</v>
      </c>
      <c r="R1505" s="7" t="n">
        <f aca="false">IF(A1505="",0,COUNTIFS($A$2:$A$3058,A1505,$P$2:$P$3058,"OK"))</f>
        <v>1</v>
      </c>
      <c r="S1505" s="7" t="str">
        <f aca="false">IF(OR(A1505="",P1505="DUP",R1505&lt;2),"",IF(Q1505=_xlfn.MINIFS($Q$2:$Q$3058,$A$2:$A$3058,A1505,$P$2:$P$3058,"OK"),"KEEP","DROP"))</f>
        <v/>
      </c>
      <c r="T1505" s="9" t="n">
        <f aca="false">IF(A1505="",1,0)</f>
        <v>0</v>
      </c>
      <c r="U1505" s="9" t="n">
        <f aca="false">IF(D1505="",1,0)</f>
        <v>0</v>
      </c>
      <c r="V1505" s="9" t="n">
        <f aca="false">IF(E1505="",1,0)</f>
        <v>0</v>
      </c>
      <c r="W1505" s="9" t="n">
        <f aca="false">IF(OR(H1505&lt;1,H1505&gt;10),1,0)</f>
        <v>0</v>
      </c>
      <c r="X1505" s="9" t="n">
        <f aca="false">IF(OR(I1505&lt;=0,I1505&gt;1500),1,0)</f>
        <v>0</v>
      </c>
      <c r="Y1505" s="9" t="n">
        <f aca="false">IF(J1505&gt;H1505*I1505,1,0)</f>
        <v>0</v>
      </c>
      <c r="Z1505" s="9" t="n">
        <f aca="false">IF(AND(N1505&lt;&gt;"",OR(N1505&lt;1,N1505&gt;5)),1,0)</f>
        <v>0</v>
      </c>
      <c r="AA1505" s="9" t="n">
        <f aca="false">IF(AND(M1505&lt;&gt;"",OR(M1505&lt;5,M1505&gt;180)),1,0)</f>
        <v>0</v>
      </c>
      <c r="AB1505" s="7" t="str">
        <f aca="false">IF(P1505="DUP","Exact duplicate row",IF(T1505=1,"Missing Order ID",IF(S1505="DROP","Duplicate Order ID (less complete row)",IF(U1505=1,"Missing Customer ID",IF(V1505=1,"Missing Restaurant name",IF(W1505=1,"Invalid/outlier quantity",IF(X1505=1,"Invalid/outlier unit price",IF(Y1505=1,"Discount greater than order value",""))))))))</f>
        <v/>
      </c>
      <c r="AC1505" s="7" t="str">
        <f aca="false">IF(AB1505="","KEEP","DROP")</f>
        <v>KEEP</v>
      </c>
      <c r="AD1505" s="7" t="str">
        <f aca="false">IF(TRIM(F1505)="",IFERROR(INDEX(Map_Tables!$I$4:$I$37,MATCH(TRIM(E1505),Map_Tables!$G$4:$G$37,0)),""),IFERROR(INDEX(Map_Tables!$B$4:$B$18,MATCH(TRIM(F1505),Map_Tables!$A$4:$A$18,0)),"CHECK"))</f>
        <v>Bengaluru</v>
      </c>
      <c r="AE1505" s="7" t="str">
        <f aca="false">IF(TRIM(E1505)="","",IFERROR(INDEX(Map_Tables!$H$4:$H$37,MATCH(TRIM(E1505),Map_Tables!$G$4:$G$37,0)),"CHECK"))</f>
        <v>Nawabi Biryani House</v>
      </c>
      <c r="AF1505" s="7" t="str">
        <f aca="false">IF(TRIM(K1505)="","Unknown",IFERROR(INDEX(Map_Tables!$E$4:$E$15,MATCH(TRIM(K1505),Map_Tables!$D$4:$D$15,0)),"CHECK"))</f>
        <v>Credit Card</v>
      </c>
      <c r="AG1505" s="7" t="str">
        <f aca="false">IF(LEFT(LOWER(TRIM(L1505)),6)="cancel","Cancelled","Delivered")</f>
        <v>Delivered</v>
      </c>
      <c r="AH1505" s="10" t="n">
        <f aca="false">IF(ISNUMBER(SEARCH("/",B1505)),DATE(VALUE(RIGHT(B1505,4)),VALUE(MID(B1505,4,2)),VALUE(LEFT(B1505,2))),IF(MID(B1505,5,1)="-",DATE(VALUE(LEFT(B1505,4)),VALUE(MID(B1505,6,2)),VALUE(RIGHT(B1505,2))),DATE(VALUE(RIGHT(B1505,4)),MATCH(MID(B1505,4,3),{"Jan","Feb","Mar","Apr","May","Jun","Jul","Aug","Sep","Oct","Nov","Dec"},0),VALUE(LEFT(B1505,2)))))</f>
        <v>45807</v>
      </c>
    </row>
    <row r="1506" customFormat="false" ht="15" hidden="false" customHeight="false" outlineLevel="0" collapsed="false">
      <c r="A1506" s="7" t="s">
        <v>3940</v>
      </c>
      <c r="B1506" s="7" t="s">
        <v>3941</v>
      </c>
      <c r="C1506" s="7" t="s">
        <v>3415</v>
      </c>
      <c r="D1506" s="7" t="s">
        <v>2589</v>
      </c>
      <c r="E1506" s="7" t="s">
        <v>147</v>
      </c>
      <c r="F1506" s="7" t="s">
        <v>119</v>
      </c>
      <c r="G1506" s="7" t="s">
        <v>95</v>
      </c>
      <c r="H1506" s="7" t="n">
        <v>2</v>
      </c>
      <c r="I1506" s="7" t="n">
        <v>140</v>
      </c>
      <c r="J1506" s="7" t="n">
        <v>0</v>
      </c>
      <c r="K1506" s="7" t="s">
        <v>88</v>
      </c>
      <c r="L1506" s="7" t="s">
        <v>194</v>
      </c>
      <c r="M1506" s="7" t="n">
        <v>38</v>
      </c>
      <c r="N1506" s="7" t="n">
        <v>4</v>
      </c>
      <c r="O1506" s="7" t="str">
        <f aca="false">A1506&amp;"|"&amp;B1506&amp;"|"&amp;C1506&amp;"|"&amp;D1506&amp;"|"&amp;E1506&amp;"|"&amp;F1506&amp;"|"&amp;G1506&amp;"|"&amp;H1506&amp;"|"&amp;I1506&amp;"|"&amp;J1506&amp;"|"&amp;K1506&amp;"|"&amp;L1506&amp;"|"&amp;M1506&amp;"|"&amp;N1506</f>
        <v>ORD11854|30/08/2025|12:39|C1119|Andhra Meals Mess|Hyderabad|South Indian|2|140|0|UPI|Delivered|38|4</v>
      </c>
      <c r="P1506" s="7" t="str">
        <f aca="false">IF(COUNTIF($O$2:O1506,O1506)&gt;1,"DUP","OK")</f>
        <v>OK</v>
      </c>
      <c r="Q1506" s="7" t="n">
        <f aca="false">COUNTBLANK(A1506:N1506)</f>
        <v>0</v>
      </c>
      <c r="R1506" s="7" t="n">
        <f aca="false">IF(A1506="",0,COUNTIFS($A$2:$A$3058,A1506,$P$2:$P$3058,"OK"))</f>
        <v>1</v>
      </c>
      <c r="S1506" s="7" t="str">
        <f aca="false">IF(OR(A1506="",P1506="DUP",R1506&lt;2),"",IF(Q1506=_xlfn.MINIFS($Q$2:$Q$3058,$A$2:$A$3058,A1506,$P$2:$P$3058,"OK"),"KEEP","DROP"))</f>
        <v/>
      </c>
      <c r="T1506" s="9" t="n">
        <f aca="false">IF(A1506="",1,0)</f>
        <v>0</v>
      </c>
      <c r="U1506" s="9" t="n">
        <f aca="false">IF(D1506="",1,0)</f>
        <v>0</v>
      </c>
      <c r="V1506" s="9" t="n">
        <f aca="false">IF(E1506="",1,0)</f>
        <v>0</v>
      </c>
      <c r="W1506" s="9" t="n">
        <f aca="false">IF(OR(H1506&lt;1,H1506&gt;10),1,0)</f>
        <v>0</v>
      </c>
      <c r="X1506" s="9" t="n">
        <f aca="false">IF(OR(I1506&lt;=0,I1506&gt;1500),1,0)</f>
        <v>0</v>
      </c>
      <c r="Y1506" s="9" t="n">
        <f aca="false">IF(J1506&gt;H1506*I1506,1,0)</f>
        <v>0</v>
      </c>
      <c r="Z1506" s="9" t="n">
        <f aca="false">IF(AND(N1506&lt;&gt;"",OR(N1506&lt;1,N1506&gt;5)),1,0)</f>
        <v>0</v>
      </c>
      <c r="AA1506" s="9" t="n">
        <f aca="false">IF(AND(M1506&lt;&gt;"",OR(M1506&lt;5,M1506&gt;180)),1,0)</f>
        <v>0</v>
      </c>
      <c r="AB1506" s="7" t="str">
        <f aca="false">IF(P1506="DUP","Exact duplicate row",IF(T1506=1,"Missing Order ID",IF(S1506="DROP","Duplicate Order ID (less complete row)",IF(U1506=1,"Missing Customer ID",IF(V1506=1,"Missing Restaurant name",IF(W1506=1,"Invalid/outlier quantity",IF(X1506=1,"Invalid/outlier unit price",IF(Y1506=1,"Discount greater than order value",""))))))))</f>
        <v/>
      </c>
      <c r="AC1506" s="7" t="str">
        <f aca="false">IF(AB1506="","KEEP","DROP")</f>
        <v>KEEP</v>
      </c>
      <c r="AD1506" s="7" t="str">
        <f aca="false">IF(TRIM(F1506)="",IFERROR(INDEX(Map_Tables!$I$4:$I$37,MATCH(TRIM(E1506),Map_Tables!$G$4:$G$37,0)),""),IFERROR(INDEX(Map_Tables!$B$4:$B$18,MATCH(TRIM(F1506),Map_Tables!$A$4:$A$18,0)),"CHECK"))</f>
        <v>Hyderabad</v>
      </c>
      <c r="AE1506" s="7" t="str">
        <f aca="false">IF(TRIM(E1506)="","",IFERROR(INDEX(Map_Tables!$H$4:$H$37,MATCH(TRIM(E1506),Map_Tables!$G$4:$G$37,0)),"CHECK"))</f>
        <v>Andhra Meals Mess</v>
      </c>
      <c r="AF1506" s="7" t="str">
        <f aca="false">IF(TRIM(K1506)="","Unknown",IFERROR(INDEX(Map_Tables!$E$4:$E$15,MATCH(TRIM(K1506),Map_Tables!$D$4:$D$15,0)),"CHECK"))</f>
        <v>UPI</v>
      </c>
      <c r="AG1506" s="7" t="str">
        <f aca="false">IF(LEFT(LOWER(TRIM(L1506)),6)="cancel","Cancelled","Delivered")</f>
        <v>Delivered</v>
      </c>
      <c r="AH1506" s="10" t="n">
        <f aca="false">IF(ISNUMBER(SEARCH("/",B1506)),DATE(VALUE(RIGHT(B1506,4)),VALUE(MID(B1506,4,2)),VALUE(LEFT(B1506,2))),IF(MID(B1506,5,1)="-",DATE(VALUE(LEFT(B1506,4)),VALUE(MID(B1506,6,2)),VALUE(RIGHT(B1506,2))),DATE(VALUE(RIGHT(B1506,4)),MATCH(MID(B1506,4,3),{"Jan","Feb","Mar","Apr","May","Jun","Jul","Aug","Sep","Oct","Nov","Dec"},0),VALUE(LEFT(B1506,2)))))</f>
        <v>45899</v>
      </c>
    </row>
    <row r="1507" customFormat="false" ht="15" hidden="false" customHeight="false" outlineLevel="0" collapsed="false">
      <c r="A1507" s="7" t="s">
        <v>3942</v>
      </c>
      <c r="B1507" s="7" t="s">
        <v>3943</v>
      </c>
      <c r="C1507" s="7" t="s">
        <v>3944</v>
      </c>
      <c r="D1507" s="7" t="s">
        <v>2549</v>
      </c>
      <c r="E1507" s="7" t="s">
        <v>104</v>
      </c>
      <c r="F1507" s="7" t="s">
        <v>86</v>
      </c>
      <c r="G1507" s="7" t="s">
        <v>105</v>
      </c>
      <c r="H1507" s="7" t="n">
        <v>1</v>
      </c>
      <c r="I1507" s="7" t="n">
        <v>220</v>
      </c>
      <c r="J1507" s="7" t="n">
        <v>0</v>
      </c>
      <c r="K1507" s="7" t="s">
        <v>88</v>
      </c>
      <c r="L1507" s="7" t="s">
        <v>194</v>
      </c>
      <c r="M1507" s="7" t="n">
        <v>36</v>
      </c>
      <c r="N1507" s="7" t="n">
        <v>5</v>
      </c>
      <c r="O1507" s="7" t="str">
        <f aca="false">A1507&amp;"|"&amp;B1507&amp;"|"&amp;C1507&amp;"|"&amp;D1507&amp;"|"&amp;E1507&amp;"|"&amp;F1507&amp;"|"&amp;G1507&amp;"|"&amp;H1507&amp;"|"&amp;I1507&amp;"|"&amp;J1507&amp;"|"&amp;K1507&amp;"|"&amp;L1507&amp;"|"&amp;M1507&amp;"|"&amp;N1507</f>
        <v>ORD10605|18/03/2025|10:17|C0733|Wok &amp; Roll|Bengaluru|Chinese|1|220|0|UPI|Delivered|36|5</v>
      </c>
      <c r="P1507" s="7" t="str">
        <f aca="false">IF(COUNTIF($O$2:O1507,O1507)&gt;1,"DUP","OK")</f>
        <v>OK</v>
      </c>
      <c r="Q1507" s="7" t="n">
        <f aca="false">COUNTBLANK(A1507:N1507)</f>
        <v>0</v>
      </c>
      <c r="R1507" s="7" t="n">
        <f aca="false">IF(A1507="",0,COUNTIFS($A$2:$A$3058,A1507,$P$2:$P$3058,"OK"))</f>
        <v>1</v>
      </c>
      <c r="S1507" s="7" t="str">
        <f aca="false">IF(OR(A1507="",P1507="DUP",R1507&lt;2),"",IF(Q1507=_xlfn.MINIFS($Q$2:$Q$3058,$A$2:$A$3058,A1507,$P$2:$P$3058,"OK"),"KEEP","DROP"))</f>
        <v/>
      </c>
      <c r="T1507" s="9" t="n">
        <f aca="false">IF(A1507="",1,0)</f>
        <v>0</v>
      </c>
      <c r="U1507" s="9" t="n">
        <f aca="false">IF(D1507="",1,0)</f>
        <v>0</v>
      </c>
      <c r="V1507" s="9" t="n">
        <f aca="false">IF(E1507="",1,0)</f>
        <v>0</v>
      </c>
      <c r="W1507" s="9" t="n">
        <f aca="false">IF(OR(H1507&lt;1,H1507&gt;10),1,0)</f>
        <v>0</v>
      </c>
      <c r="X1507" s="9" t="n">
        <f aca="false">IF(OR(I1507&lt;=0,I1507&gt;1500),1,0)</f>
        <v>0</v>
      </c>
      <c r="Y1507" s="9" t="n">
        <f aca="false">IF(J1507&gt;H1507*I1507,1,0)</f>
        <v>0</v>
      </c>
      <c r="Z1507" s="9" t="n">
        <f aca="false">IF(AND(N1507&lt;&gt;"",OR(N1507&lt;1,N1507&gt;5)),1,0)</f>
        <v>0</v>
      </c>
      <c r="AA1507" s="9" t="n">
        <f aca="false">IF(AND(M1507&lt;&gt;"",OR(M1507&lt;5,M1507&gt;180)),1,0)</f>
        <v>0</v>
      </c>
      <c r="AB1507" s="7" t="str">
        <f aca="false">IF(P1507="DUP","Exact duplicate row",IF(T1507=1,"Missing Order ID",IF(S1507="DROP","Duplicate Order ID (less complete row)",IF(U1507=1,"Missing Customer ID",IF(V1507=1,"Missing Restaurant name",IF(W1507=1,"Invalid/outlier quantity",IF(X1507=1,"Invalid/outlier unit price",IF(Y1507=1,"Discount greater than order value",""))))))))</f>
        <v/>
      </c>
      <c r="AC1507" s="7" t="str">
        <f aca="false">IF(AB1507="","KEEP","DROP")</f>
        <v>KEEP</v>
      </c>
      <c r="AD1507" s="7" t="str">
        <f aca="false">IF(TRIM(F1507)="",IFERROR(INDEX(Map_Tables!$I$4:$I$37,MATCH(TRIM(E1507),Map_Tables!$G$4:$G$37,0)),""),IFERROR(INDEX(Map_Tables!$B$4:$B$18,MATCH(TRIM(F1507),Map_Tables!$A$4:$A$18,0)),"CHECK"))</f>
        <v>Bengaluru</v>
      </c>
      <c r="AE1507" s="7" t="str">
        <f aca="false">IF(TRIM(E1507)="","",IFERROR(INDEX(Map_Tables!$H$4:$H$37,MATCH(TRIM(E1507),Map_Tables!$G$4:$G$37,0)),"CHECK"))</f>
        <v>Wok &amp; Roll</v>
      </c>
      <c r="AF1507" s="7" t="str">
        <f aca="false">IF(TRIM(K1507)="","Unknown",IFERROR(INDEX(Map_Tables!$E$4:$E$15,MATCH(TRIM(K1507),Map_Tables!$D$4:$D$15,0)),"CHECK"))</f>
        <v>UPI</v>
      </c>
      <c r="AG1507" s="7" t="str">
        <f aca="false">IF(LEFT(LOWER(TRIM(L1507)),6)="cancel","Cancelled","Delivered")</f>
        <v>Delivered</v>
      </c>
      <c r="AH1507" s="10" t="n">
        <f aca="false">IF(ISNUMBER(SEARCH("/",B1507)),DATE(VALUE(RIGHT(B1507,4)),VALUE(MID(B1507,4,2)),VALUE(LEFT(B1507,2))),IF(MID(B1507,5,1)="-",DATE(VALUE(LEFT(B1507,4)),VALUE(MID(B1507,6,2)),VALUE(RIGHT(B1507,2))),DATE(VALUE(RIGHT(B1507,4)),MATCH(MID(B1507,4,3),{"Jan","Feb","Mar","Apr","May","Jun","Jul","Aug","Sep","Oct","Nov","Dec"},0),VALUE(LEFT(B1507,2)))))</f>
        <v>45734</v>
      </c>
    </row>
    <row r="1508" customFormat="false" ht="15" hidden="false" customHeight="false" outlineLevel="0" collapsed="false">
      <c r="A1508" s="7" t="s">
        <v>3945</v>
      </c>
      <c r="B1508" s="7" t="s">
        <v>2097</v>
      </c>
      <c r="C1508" s="7" t="s">
        <v>3946</v>
      </c>
      <c r="D1508" s="7" t="s">
        <v>2630</v>
      </c>
      <c r="E1508" s="7" t="s">
        <v>164</v>
      </c>
      <c r="F1508" s="7" t="s">
        <v>141</v>
      </c>
      <c r="G1508" s="7" t="s">
        <v>150</v>
      </c>
      <c r="H1508" s="7" t="n">
        <v>1</v>
      </c>
      <c r="I1508" s="7" t="n">
        <v>125</v>
      </c>
      <c r="J1508" s="7" t="n">
        <v>50</v>
      </c>
      <c r="K1508" s="7" t="s">
        <v>526</v>
      </c>
      <c r="L1508" s="7" t="s">
        <v>194</v>
      </c>
      <c r="M1508" s="7" t="n">
        <v>36</v>
      </c>
      <c r="N1508" s="7" t="n">
        <v>4</v>
      </c>
      <c r="O1508" s="7" t="str">
        <f aca="false">A1508&amp;"|"&amp;B1508&amp;"|"&amp;C1508&amp;"|"&amp;D1508&amp;"|"&amp;E1508&amp;"|"&amp;F1508&amp;"|"&amp;G1508&amp;"|"&amp;H1508&amp;"|"&amp;I1508&amp;"|"&amp;J1508&amp;"|"&amp;K1508&amp;"|"&amp;L1508&amp;"|"&amp;M1508&amp;"|"&amp;N1508</f>
        <v>ORD12910|2025-12-21|21:39|C1164|Mishti Mandir|Kolkata|Desserts|1|125|50|DC|Delivered|36|4</v>
      </c>
      <c r="P1508" s="7" t="str">
        <f aca="false">IF(COUNTIF($O$2:O1508,O1508)&gt;1,"DUP","OK")</f>
        <v>OK</v>
      </c>
      <c r="Q1508" s="7" t="n">
        <f aca="false">COUNTBLANK(A1508:N1508)</f>
        <v>0</v>
      </c>
      <c r="R1508" s="7" t="n">
        <f aca="false">IF(A1508="",0,COUNTIFS($A$2:$A$3058,A1508,$P$2:$P$3058,"OK"))</f>
        <v>1</v>
      </c>
      <c r="S1508" s="7" t="str">
        <f aca="false">IF(OR(A1508="",P1508="DUP",R1508&lt;2),"",IF(Q1508=_xlfn.MINIFS($Q$2:$Q$3058,$A$2:$A$3058,A1508,$P$2:$P$3058,"OK"),"KEEP","DROP"))</f>
        <v/>
      </c>
      <c r="T1508" s="9" t="n">
        <f aca="false">IF(A1508="",1,0)</f>
        <v>0</v>
      </c>
      <c r="U1508" s="9" t="n">
        <f aca="false">IF(D1508="",1,0)</f>
        <v>0</v>
      </c>
      <c r="V1508" s="9" t="n">
        <f aca="false">IF(E1508="",1,0)</f>
        <v>0</v>
      </c>
      <c r="W1508" s="9" t="n">
        <f aca="false">IF(OR(H1508&lt;1,H1508&gt;10),1,0)</f>
        <v>0</v>
      </c>
      <c r="X1508" s="9" t="n">
        <f aca="false">IF(OR(I1508&lt;=0,I1508&gt;1500),1,0)</f>
        <v>0</v>
      </c>
      <c r="Y1508" s="9" t="n">
        <f aca="false">IF(J1508&gt;H1508*I1508,1,0)</f>
        <v>0</v>
      </c>
      <c r="Z1508" s="9" t="n">
        <f aca="false">IF(AND(N1508&lt;&gt;"",OR(N1508&lt;1,N1508&gt;5)),1,0)</f>
        <v>0</v>
      </c>
      <c r="AA1508" s="9" t="n">
        <f aca="false">IF(AND(M1508&lt;&gt;"",OR(M1508&lt;5,M1508&gt;180)),1,0)</f>
        <v>0</v>
      </c>
      <c r="AB1508" s="7" t="str">
        <f aca="false">IF(P1508="DUP","Exact duplicate row",IF(T1508=1,"Missing Order ID",IF(S1508="DROP","Duplicate Order ID (less complete row)",IF(U1508=1,"Missing Customer ID",IF(V1508=1,"Missing Restaurant name",IF(W1508=1,"Invalid/outlier quantity",IF(X1508=1,"Invalid/outlier unit price",IF(Y1508=1,"Discount greater than order value",""))))))))</f>
        <v/>
      </c>
      <c r="AC1508" s="7" t="str">
        <f aca="false">IF(AB1508="","KEEP","DROP")</f>
        <v>KEEP</v>
      </c>
      <c r="AD1508" s="7" t="str">
        <f aca="false">IF(TRIM(F1508)="",IFERROR(INDEX(Map_Tables!$I$4:$I$37,MATCH(TRIM(E1508),Map_Tables!$G$4:$G$37,0)),""),IFERROR(INDEX(Map_Tables!$B$4:$B$18,MATCH(TRIM(F1508),Map_Tables!$A$4:$A$18,0)),"CHECK"))</f>
        <v>Kolkata</v>
      </c>
      <c r="AE1508" s="7" t="str">
        <f aca="false">IF(TRIM(E1508)="","",IFERROR(INDEX(Map_Tables!$H$4:$H$37,MATCH(TRIM(E1508),Map_Tables!$G$4:$G$37,0)),"CHECK"))</f>
        <v>Mishti Mandir</v>
      </c>
      <c r="AF1508" s="7" t="str">
        <f aca="false">IF(TRIM(K1508)="","Unknown",IFERROR(INDEX(Map_Tables!$E$4:$E$15,MATCH(TRIM(K1508),Map_Tables!$D$4:$D$15,0)),"CHECK"))</f>
        <v>Debit Card</v>
      </c>
      <c r="AG1508" s="7" t="str">
        <f aca="false">IF(LEFT(LOWER(TRIM(L1508)),6)="cancel","Cancelled","Delivered")</f>
        <v>Delivered</v>
      </c>
      <c r="AH1508" s="10" t="n">
        <f aca="false">IF(ISNUMBER(SEARCH("/",B1508)),DATE(VALUE(RIGHT(B1508,4)),VALUE(MID(B1508,4,2)),VALUE(LEFT(B1508,2))),IF(MID(B1508,5,1)="-",DATE(VALUE(LEFT(B1508,4)),VALUE(MID(B1508,6,2)),VALUE(RIGHT(B1508,2))),DATE(VALUE(RIGHT(B1508,4)),MATCH(MID(B1508,4,3),{"Jan","Feb","Mar","Apr","May","Jun","Jul","Aug","Sep","Oct","Nov","Dec"},0),VALUE(LEFT(B1508,2)))))</f>
        <v>46012</v>
      </c>
    </row>
    <row r="1509" customFormat="false" ht="15" hidden="false" customHeight="false" outlineLevel="0" collapsed="false">
      <c r="A1509" s="7" t="s">
        <v>3947</v>
      </c>
      <c r="B1509" s="7" t="s">
        <v>558</v>
      </c>
      <c r="C1509" s="7" t="s">
        <v>2592</v>
      </c>
      <c r="D1509" s="7" t="s">
        <v>3042</v>
      </c>
      <c r="E1509" s="7" t="s">
        <v>164</v>
      </c>
      <c r="F1509" s="7" t="s">
        <v>141</v>
      </c>
      <c r="G1509" s="7" t="s">
        <v>150</v>
      </c>
      <c r="H1509" s="7" t="n">
        <v>5</v>
      </c>
      <c r="I1509" s="7" t="n">
        <v>125</v>
      </c>
      <c r="J1509" s="7" t="n">
        <v>30</v>
      </c>
      <c r="K1509" s="7" t="s">
        <v>102</v>
      </c>
      <c r="L1509" s="7" t="s">
        <v>194</v>
      </c>
      <c r="M1509" s="7" t="n">
        <v>34</v>
      </c>
      <c r="N1509" s="7" t="n">
        <v>4</v>
      </c>
      <c r="O1509" s="7" t="str">
        <f aca="false">A1509&amp;"|"&amp;B1509&amp;"|"&amp;C1509&amp;"|"&amp;D1509&amp;"|"&amp;E1509&amp;"|"&amp;F1509&amp;"|"&amp;G1509&amp;"|"&amp;H1509&amp;"|"&amp;I1509&amp;"|"&amp;J1509&amp;"|"&amp;K1509&amp;"|"&amp;L1509&amp;"|"&amp;M1509&amp;"|"&amp;N1509</f>
        <v>ORD12408|2025-10-31|11:03|C0262|Mishti Mandir|Kolkata|Desserts|5|125|30|debit card|Delivered|34|4</v>
      </c>
      <c r="P1509" s="7" t="str">
        <f aca="false">IF(COUNTIF($O$2:O1509,O1509)&gt;1,"DUP","OK")</f>
        <v>OK</v>
      </c>
      <c r="Q1509" s="7" t="n">
        <f aca="false">COUNTBLANK(A1509:N1509)</f>
        <v>0</v>
      </c>
      <c r="R1509" s="7" t="n">
        <f aca="false">IF(A1509="",0,COUNTIFS($A$2:$A$3058,A1509,$P$2:$P$3058,"OK"))</f>
        <v>1</v>
      </c>
      <c r="S1509" s="7" t="str">
        <f aca="false">IF(OR(A1509="",P1509="DUP",R1509&lt;2),"",IF(Q1509=_xlfn.MINIFS($Q$2:$Q$3058,$A$2:$A$3058,A1509,$P$2:$P$3058,"OK"),"KEEP","DROP"))</f>
        <v/>
      </c>
      <c r="T1509" s="9" t="n">
        <f aca="false">IF(A1509="",1,0)</f>
        <v>0</v>
      </c>
      <c r="U1509" s="9" t="n">
        <f aca="false">IF(D1509="",1,0)</f>
        <v>0</v>
      </c>
      <c r="V1509" s="9" t="n">
        <f aca="false">IF(E1509="",1,0)</f>
        <v>0</v>
      </c>
      <c r="W1509" s="9" t="n">
        <f aca="false">IF(OR(H1509&lt;1,H1509&gt;10),1,0)</f>
        <v>0</v>
      </c>
      <c r="X1509" s="9" t="n">
        <f aca="false">IF(OR(I1509&lt;=0,I1509&gt;1500),1,0)</f>
        <v>0</v>
      </c>
      <c r="Y1509" s="9" t="n">
        <f aca="false">IF(J1509&gt;H1509*I1509,1,0)</f>
        <v>0</v>
      </c>
      <c r="Z1509" s="9" t="n">
        <f aca="false">IF(AND(N1509&lt;&gt;"",OR(N1509&lt;1,N1509&gt;5)),1,0)</f>
        <v>0</v>
      </c>
      <c r="AA1509" s="9" t="n">
        <f aca="false">IF(AND(M1509&lt;&gt;"",OR(M1509&lt;5,M1509&gt;180)),1,0)</f>
        <v>0</v>
      </c>
      <c r="AB1509" s="7" t="str">
        <f aca="false">IF(P1509="DUP","Exact duplicate row",IF(T1509=1,"Missing Order ID",IF(S1509="DROP","Duplicate Order ID (less complete row)",IF(U1509=1,"Missing Customer ID",IF(V1509=1,"Missing Restaurant name",IF(W1509=1,"Invalid/outlier quantity",IF(X1509=1,"Invalid/outlier unit price",IF(Y1509=1,"Discount greater than order value",""))))))))</f>
        <v/>
      </c>
      <c r="AC1509" s="7" t="str">
        <f aca="false">IF(AB1509="","KEEP","DROP")</f>
        <v>KEEP</v>
      </c>
      <c r="AD1509" s="7" t="str">
        <f aca="false">IF(TRIM(F1509)="",IFERROR(INDEX(Map_Tables!$I$4:$I$37,MATCH(TRIM(E1509),Map_Tables!$G$4:$G$37,0)),""),IFERROR(INDEX(Map_Tables!$B$4:$B$18,MATCH(TRIM(F1509),Map_Tables!$A$4:$A$18,0)),"CHECK"))</f>
        <v>Kolkata</v>
      </c>
      <c r="AE1509" s="7" t="str">
        <f aca="false">IF(TRIM(E1509)="","",IFERROR(INDEX(Map_Tables!$H$4:$H$37,MATCH(TRIM(E1509),Map_Tables!$G$4:$G$37,0)),"CHECK"))</f>
        <v>Mishti Mandir</v>
      </c>
      <c r="AF1509" s="7" t="str">
        <f aca="false">IF(TRIM(K1509)="","Unknown",IFERROR(INDEX(Map_Tables!$E$4:$E$15,MATCH(TRIM(K1509),Map_Tables!$D$4:$D$15,0)),"CHECK"))</f>
        <v>Debit Card</v>
      </c>
      <c r="AG1509" s="7" t="str">
        <f aca="false">IF(LEFT(LOWER(TRIM(L1509)),6)="cancel","Cancelled","Delivered")</f>
        <v>Delivered</v>
      </c>
      <c r="AH1509" s="10" t="n">
        <f aca="false">IF(ISNUMBER(SEARCH("/",B1509)),DATE(VALUE(RIGHT(B1509,4)),VALUE(MID(B1509,4,2)),VALUE(LEFT(B1509,2))),IF(MID(B1509,5,1)="-",DATE(VALUE(LEFT(B1509,4)),VALUE(MID(B1509,6,2)),VALUE(RIGHT(B1509,2))),DATE(VALUE(RIGHT(B1509,4)),MATCH(MID(B1509,4,3),{"Jan","Feb","Mar","Apr","May","Jun","Jul","Aug","Sep","Oct","Nov","Dec"},0),VALUE(LEFT(B1509,2)))))</f>
        <v>45961</v>
      </c>
    </row>
    <row r="1510" customFormat="false" ht="15" hidden="false" customHeight="false" outlineLevel="0" collapsed="false">
      <c r="A1510" s="7" t="s">
        <v>3948</v>
      </c>
      <c r="B1510" s="7" t="s">
        <v>398</v>
      </c>
      <c r="C1510" s="7" t="s">
        <v>3600</v>
      </c>
      <c r="D1510" s="7" t="s">
        <v>3949</v>
      </c>
      <c r="E1510" s="7" t="s">
        <v>104</v>
      </c>
      <c r="F1510" s="7" t="s">
        <v>86</v>
      </c>
      <c r="G1510" s="7" t="s">
        <v>105</v>
      </c>
      <c r="H1510" s="7" t="n">
        <v>3</v>
      </c>
      <c r="I1510" s="7" t="n">
        <v>170</v>
      </c>
      <c r="J1510" s="7" t="n">
        <v>50</v>
      </c>
      <c r="K1510" s="7" t="s">
        <v>88</v>
      </c>
      <c r="L1510" s="7" t="s">
        <v>194</v>
      </c>
      <c r="M1510" s="7" t="n">
        <v>31</v>
      </c>
      <c r="N1510" s="7" t="n">
        <v>4</v>
      </c>
      <c r="O1510" s="7" t="str">
        <f aca="false">A1510&amp;"|"&amp;B1510&amp;"|"&amp;C1510&amp;"|"&amp;D1510&amp;"|"&amp;E1510&amp;"|"&amp;F1510&amp;"|"&amp;G1510&amp;"|"&amp;H1510&amp;"|"&amp;I1510&amp;"|"&amp;J1510&amp;"|"&amp;K1510&amp;"|"&amp;L1510&amp;"|"&amp;M1510&amp;"|"&amp;N1510</f>
        <v>ORD12410|31/10/2025|12:04|C0994|Wok &amp; Roll|Bengaluru|Chinese|3|170|50|UPI|Delivered|31|4</v>
      </c>
      <c r="P1510" s="7" t="str">
        <f aca="false">IF(COUNTIF($O$2:O1510,O1510)&gt;1,"DUP","OK")</f>
        <v>OK</v>
      </c>
      <c r="Q1510" s="7" t="n">
        <f aca="false">COUNTBLANK(A1510:N1510)</f>
        <v>0</v>
      </c>
      <c r="R1510" s="7" t="n">
        <f aca="false">IF(A1510="",0,COUNTIFS($A$2:$A$3058,A1510,$P$2:$P$3058,"OK"))</f>
        <v>1</v>
      </c>
      <c r="S1510" s="7" t="str">
        <f aca="false">IF(OR(A1510="",P1510="DUP",R1510&lt;2),"",IF(Q1510=_xlfn.MINIFS($Q$2:$Q$3058,$A$2:$A$3058,A1510,$P$2:$P$3058,"OK"),"KEEP","DROP"))</f>
        <v/>
      </c>
      <c r="T1510" s="9" t="n">
        <f aca="false">IF(A1510="",1,0)</f>
        <v>0</v>
      </c>
      <c r="U1510" s="9" t="n">
        <f aca="false">IF(D1510="",1,0)</f>
        <v>0</v>
      </c>
      <c r="V1510" s="9" t="n">
        <f aca="false">IF(E1510="",1,0)</f>
        <v>0</v>
      </c>
      <c r="W1510" s="9" t="n">
        <f aca="false">IF(OR(H1510&lt;1,H1510&gt;10),1,0)</f>
        <v>0</v>
      </c>
      <c r="X1510" s="9" t="n">
        <f aca="false">IF(OR(I1510&lt;=0,I1510&gt;1500),1,0)</f>
        <v>0</v>
      </c>
      <c r="Y1510" s="9" t="n">
        <f aca="false">IF(J1510&gt;H1510*I1510,1,0)</f>
        <v>0</v>
      </c>
      <c r="Z1510" s="9" t="n">
        <f aca="false">IF(AND(N1510&lt;&gt;"",OR(N1510&lt;1,N1510&gt;5)),1,0)</f>
        <v>0</v>
      </c>
      <c r="AA1510" s="9" t="n">
        <f aca="false">IF(AND(M1510&lt;&gt;"",OR(M1510&lt;5,M1510&gt;180)),1,0)</f>
        <v>0</v>
      </c>
      <c r="AB1510" s="7" t="str">
        <f aca="false">IF(P1510="DUP","Exact duplicate row",IF(T1510=1,"Missing Order ID",IF(S1510="DROP","Duplicate Order ID (less complete row)",IF(U1510=1,"Missing Customer ID",IF(V1510=1,"Missing Restaurant name",IF(W1510=1,"Invalid/outlier quantity",IF(X1510=1,"Invalid/outlier unit price",IF(Y1510=1,"Discount greater than order value",""))))))))</f>
        <v/>
      </c>
      <c r="AC1510" s="7" t="str">
        <f aca="false">IF(AB1510="","KEEP","DROP")</f>
        <v>KEEP</v>
      </c>
      <c r="AD1510" s="7" t="str">
        <f aca="false">IF(TRIM(F1510)="",IFERROR(INDEX(Map_Tables!$I$4:$I$37,MATCH(TRIM(E1510),Map_Tables!$G$4:$G$37,0)),""),IFERROR(INDEX(Map_Tables!$B$4:$B$18,MATCH(TRIM(F1510),Map_Tables!$A$4:$A$18,0)),"CHECK"))</f>
        <v>Bengaluru</v>
      </c>
      <c r="AE1510" s="7" t="str">
        <f aca="false">IF(TRIM(E1510)="","",IFERROR(INDEX(Map_Tables!$H$4:$H$37,MATCH(TRIM(E1510),Map_Tables!$G$4:$G$37,0)),"CHECK"))</f>
        <v>Wok &amp; Roll</v>
      </c>
      <c r="AF1510" s="7" t="str">
        <f aca="false">IF(TRIM(K1510)="","Unknown",IFERROR(INDEX(Map_Tables!$E$4:$E$15,MATCH(TRIM(K1510),Map_Tables!$D$4:$D$15,0)),"CHECK"))</f>
        <v>UPI</v>
      </c>
      <c r="AG1510" s="7" t="str">
        <f aca="false">IF(LEFT(LOWER(TRIM(L1510)),6)="cancel","Cancelled","Delivered")</f>
        <v>Delivered</v>
      </c>
      <c r="AH1510" s="10" t="n">
        <f aca="false">IF(ISNUMBER(SEARCH("/",B1510)),DATE(VALUE(RIGHT(B1510,4)),VALUE(MID(B1510,4,2)),VALUE(LEFT(B1510,2))),IF(MID(B1510,5,1)="-",DATE(VALUE(LEFT(B1510,4)),VALUE(MID(B1510,6,2)),VALUE(RIGHT(B1510,2))),DATE(VALUE(RIGHT(B1510,4)),MATCH(MID(B1510,4,3),{"Jan","Feb","Mar","Apr","May","Jun","Jul","Aug","Sep","Oct","Nov","Dec"},0),VALUE(LEFT(B1510,2)))))</f>
        <v>45961</v>
      </c>
    </row>
    <row r="1511" customFormat="false" ht="15" hidden="false" customHeight="false" outlineLevel="0" collapsed="false">
      <c r="A1511" s="7" t="s">
        <v>3950</v>
      </c>
      <c r="B1511" s="7" t="s">
        <v>1144</v>
      </c>
      <c r="C1511" s="7" t="s">
        <v>3728</v>
      </c>
      <c r="D1511" s="7" t="s">
        <v>3150</v>
      </c>
      <c r="E1511" s="7" t="s">
        <v>159</v>
      </c>
      <c r="F1511" s="7" t="s">
        <v>136</v>
      </c>
      <c r="G1511" s="7" t="s">
        <v>90</v>
      </c>
      <c r="H1511" s="7" t="n">
        <v>2</v>
      </c>
      <c r="I1511" s="7" t="n">
        <v>190</v>
      </c>
      <c r="J1511" s="7" t="n">
        <v>40</v>
      </c>
      <c r="K1511" s="7" t="s">
        <v>121</v>
      </c>
      <c r="L1511" s="7" t="s">
        <v>194</v>
      </c>
      <c r="M1511" s="7" t="n">
        <v>31</v>
      </c>
      <c r="N1511" s="7" t="n">
        <v>2</v>
      </c>
      <c r="O1511" s="7" t="str">
        <f aca="false">A1511&amp;"|"&amp;B1511&amp;"|"&amp;C1511&amp;"|"&amp;D1511&amp;"|"&amp;E1511&amp;"|"&amp;F1511&amp;"|"&amp;G1511&amp;"|"&amp;H1511&amp;"|"&amp;I1511&amp;"|"&amp;J1511&amp;"|"&amp;K1511&amp;"|"&amp;L1511&amp;"|"&amp;M1511&amp;"|"&amp;N1511</f>
        <v>ORD11434|2025-07-05|13:57|C0911|Maratha Thali House|Pune|North Indian|2|190|40|Wallet|Delivered|31|2</v>
      </c>
      <c r="P1511" s="7" t="str">
        <f aca="false">IF(COUNTIF($O$2:O1511,O1511)&gt;1,"DUP","OK")</f>
        <v>OK</v>
      </c>
      <c r="Q1511" s="7" t="n">
        <f aca="false">COUNTBLANK(A1511:N1511)</f>
        <v>0</v>
      </c>
      <c r="R1511" s="7" t="n">
        <f aca="false">IF(A1511="",0,COUNTIFS($A$2:$A$3058,A1511,$P$2:$P$3058,"OK"))</f>
        <v>1</v>
      </c>
      <c r="S1511" s="7" t="str">
        <f aca="false">IF(OR(A1511="",P1511="DUP",R1511&lt;2),"",IF(Q1511=_xlfn.MINIFS($Q$2:$Q$3058,$A$2:$A$3058,A1511,$P$2:$P$3058,"OK"),"KEEP","DROP"))</f>
        <v/>
      </c>
      <c r="T1511" s="9" t="n">
        <f aca="false">IF(A1511="",1,0)</f>
        <v>0</v>
      </c>
      <c r="U1511" s="9" t="n">
        <f aca="false">IF(D1511="",1,0)</f>
        <v>0</v>
      </c>
      <c r="V1511" s="9" t="n">
        <f aca="false">IF(E1511="",1,0)</f>
        <v>0</v>
      </c>
      <c r="W1511" s="9" t="n">
        <f aca="false">IF(OR(H1511&lt;1,H1511&gt;10),1,0)</f>
        <v>0</v>
      </c>
      <c r="X1511" s="9" t="n">
        <f aca="false">IF(OR(I1511&lt;=0,I1511&gt;1500),1,0)</f>
        <v>0</v>
      </c>
      <c r="Y1511" s="9" t="n">
        <f aca="false">IF(J1511&gt;H1511*I1511,1,0)</f>
        <v>0</v>
      </c>
      <c r="Z1511" s="9" t="n">
        <f aca="false">IF(AND(N1511&lt;&gt;"",OR(N1511&lt;1,N1511&gt;5)),1,0)</f>
        <v>0</v>
      </c>
      <c r="AA1511" s="9" t="n">
        <f aca="false">IF(AND(M1511&lt;&gt;"",OR(M1511&lt;5,M1511&gt;180)),1,0)</f>
        <v>0</v>
      </c>
      <c r="AB1511" s="7" t="str">
        <f aca="false">IF(P1511="DUP","Exact duplicate row",IF(T1511=1,"Missing Order ID",IF(S1511="DROP","Duplicate Order ID (less complete row)",IF(U1511=1,"Missing Customer ID",IF(V1511=1,"Missing Restaurant name",IF(W1511=1,"Invalid/outlier quantity",IF(X1511=1,"Invalid/outlier unit price",IF(Y1511=1,"Discount greater than order value",""))))))))</f>
        <v/>
      </c>
      <c r="AC1511" s="7" t="str">
        <f aca="false">IF(AB1511="","KEEP","DROP")</f>
        <v>KEEP</v>
      </c>
      <c r="AD1511" s="7" t="str">
        <f aca="false">IF(TRIM(F1511)="",IFERROR(INDEX(Map_Tables!$I$4:$I$37,MATCH(TRIM(E1511),Map_Tables!$G$4:$G$37,0)),""),IFERROR(INDEX(Map_Tables!$B$4:$B$18,MATCH(TRIM(F1511),Map_Tables!$A$4:$A$18,0)),"CHECK"))</f>
        <v>Pune</v>
      </c>
      <c r="AE1511" s="7" t="str">
        <f aca="false">IF(TRIM(E1511)="","",IFERROR(INDEX(Map_Tables!$H$4:$H$37,MATCH(TRIM(E1511),Map_Tables!$G$4:$G$37,0)),"CHECK"))</f>
        <v>Maratha Thali House</v>
      </c>
      <c r="AF1511" s="7" t="str">
        <f aca="false">IF(TRIM(K1511)="","Unknown",IFERROR(INDEX(Map_Tables!$E$4:$E$15,MATCH(TRIM(K1511),Map_Tables!$D$4:$D$15,0)),"CHECK"))</f>
        <v>Wallet</v>
      </c>
      <c r="AG1511" s="7" t="str">
        <f aca="false">IF(LEFT(LOWER(TRIM(L1511)),6)="cancel","Cancelled","Delivered")</f>
        <v>Delivered</v>
      </c>
      <c r="AH1511" s="10" t="n">
        <f aca="false">IF(ISNUMBER(SEARCH("/",B1511)),DATE(VALUE(RIGHT(B1511,4)),VALUE(MID(B1511,4,2)),VALUE(LEFT(B1511,2))),IF(MID(B1511,5,1)="-",DATE(VALUE(LEFT(B1511,4)),VALUE(MID(B1511,6,2)),VALUE(RIGHT(B1511,2))),DATE(VALUE(RIGHT(B1511,4)),MATCH(MID(B1511,4,3),{"Jan","Feb","Mar","Apr","May","Jun","Jul","Aug","Sep","Oct","Nov","Dec"},0),VALUE(LEFT(B1511,2)))))</f>
        <v>45843</v>
      </c>
    </row>
    <row r="1512" customFormat="false" ht="15" hidden="false" customHeight="false" outlineLevel="0" collapsed="false">
      <c r="A1512" s="7" t="s">
        <v>3951</v>
      </c>
      <c r="B1512" s="7" t="s">
        <v>3070</v>
      </c>
      <c r="C1512" s="7" t="s">
        <v>3952</v>
      </c>
      <c r="D1512" s="7" t="s">
        <v>332</v>
      </c>
      <c r="E1512" s="7" t="s">
        <v>1098</v>
      </c>
      <c r="F1512" s="7" t="s">
        <v>86</v>
      </c>
      <c r="G1512" s="7" t="s">
        <v>90</v>
      </c>
      <c r="H1512" s="7" t="n">
        <v>4</v>
      </c>
      <c r="I1512" s="7" t="n">
        <v>210</v>
      </c>
      <c r="J1512" s="7" t="n">
        <v>0</v>
      </c>
      <c r="K1512" s="7" t="s">
        <v>88</v>
      </c>
      <c r="L1512" s="7" t="s">
        <v>194</v>
      </c>
      <c r="M1512" s="7" t="n">
        <v>31</v>
      </c>
      <c r="N1512" s="7" t="n">
        <v>4</v>
      </c>
      <c r="O1512" s="7" t="str">
        <f aca="false">A1512&amp;"|"&amp;B1512&amp;"|"&amp;C1512&amp;"|"&amp;D1512&amp;"|"&amp;E1512&amp;"|"&amp;F1512&amp;"|"&amp;G1512&amp;"|"&amp;H1512&amp;"|"&amp;I1512&amp;"|"&amp;J1512&amp;"|"&amp;K1512&amp;"|"&amp;L1512&amp;"|"&amp;M1512&amp;"|"&amp;N1512</f>
        <v>ORD10385|2025-02-20|15:45|C1296|SPICE JUNCTION|Bengaluru|North Indian|4|210|0|UPI|Delivered|31|4</v>
      </c>
      <c r="P1512" s="7" t="str">
        <f aca="false">IF(COUNTIF($O$2:O1512,O1512)&gt;1,"DUP","OK")</f>
        <v>OK</v>
      </c>
      <c r="Q1512" s="7" t="n">
        <f aca="false">COUNTBLANK(A1512:N1512)</f>
        <v>0</v>
      </c>
      <c r="R1512" s="7" t="n">
        <f aca="false">IF(A1512="",0,COUNTIFS($A$2:$A$3058,A1512,$P$2:$P$3058,"OK"))</f>
        <v>1</v>
      </c>
      <c r="S1512" s="7" t="str">
        <f aca="false">IF(OR(A1512="",P1512="DUP",R1512&lt;2),"",IF(Q1512=_xlfn.MINIFS($Q$2:$Q$3058,$A$2:$A$3058,A1512,$P$2:$P$3058,"OK"),"KEEP","DROP"))</f>
        <v/>
      </c>
      <c r="T1512" s="9" t="n">
        <f aca="false">IF(A1512="",1,0)</f>
        <v>0</v>
      </c>
      <c r="U1512" s="9" t="n">
        <f aca="false">IF(D1512="",1,0)</f>
        <v>0</v>
      </c>
      <c r="V1512" s="9" t="n">
        <f aca="false">IF(E1512="",1,0)</f>
        <v>0</v>
      </c>
      <c r="W1512" s="9" t="n">
        <f aca="false">IF(OR(H1512&lt;1,H1512&gt;10),1,0)</f>
        <v>0</v>
      </c>
      <c r="X1512" s="9" t="n">
        <f aca="false">IF(OR(I1512&lt;=0,I1512&gt;1500),1,0)</f>
        <v>0</v>
      </c>
      <c r="Y1512" s="9" t="n">
        <f aca="false">IF(J1512&gt;H1512*I1512,1,0)</f>
        <v>0</v>
      </c>
      <c r="Z1512" s="9" t="n">
        <f aca="false">IF(AND(N1512&lt;&gt;"",OR(N1512&lt;1,N1512&gt;5)),1,0)</f>
        <v>0</v>
      </c>
      <c r="AA1512" s="9" t="n">
        <f aca="false">IF(AND(M1512&lt;&gt;"",OR(M1512&lt;5,M1512&gt;180)),1,0)</f>
        <v>0</v>
      </c>
      <c r="AB1512" s="7" t="str">
        <f aca="false">IF(P1512="DUP","Exact duplicate row",IF(T1512=1,"Missing Order ID",IF(S1512="DROP","Duplicate Order ID (less complete row)",IF(U1512=1,"Missing Customer ID",IF(V1512=1,"Missing Restaurant name",IF(W1512=1,"Invalid/outlier quantity",IF(X1512=1,"Invalid/outlier unit price",IF(Y1512=1,"Discount greater than order value",""))))))))</f>
        <v/>
      </c>
      <c r="AC1512" s="7" t="str">
        <f aca="false">IF(AB1512="","KEEP","DROP")</f>
        <v>KEEP</v>
      </c>
      <c r="AD1512" s="7" t="str">
        <f aca="false">IF(TRIM(F1512)="",IFERROR(INDEX(Map_Tables!$I$4:$I$37,MATCH(TRIM(E1512),Map_Tables!$G$4:$G$37,0)),""),IFERROR(INDEX(Map_Tables!$B$4:$B$18,MATCH(TRIM(F1512),Map_Tables!$A$4:$A$18,0)),"CHECK"))</f>
        <v>Bengaluru</v>
      </c>
      <c r="AE1512" s="7" t="str">
        <f aca="false">IF(TRIM(E1512)="","",IFERROR(INDEX(Map_Tables!$H$4:$H$37,MATCH(TRIM(E1512),Map_Tables!$G$4:$G$37,0)),"CHECK"))</f>
        <v>Spice Junction</v>
      </c>
      <c r="AF1512" s="7" t="str">
        <f aca="false">IF(TRIM(K1512)="","Unknown",IFERROR(INDEX(Map_Tables!$E$4:$E$15,MATCH(TRIM(K1512),Map_Tables!$D$4:$D$15,0)),"CHECK"))</f>
        <v>UPI</v>
      </c>
      <c r="AG1512" s="7" t="str">
        <f aca="false">IF(LEFT(LOWER(TRIM(L1512)),6)="cancel","Cancelled","Delivered")</f>
        <v>Delivered</v>
      </c>
      <c r="AH1512" s="10" t="n">
        <f aca="false">IF(ISNUMBER(SEARCH("/",B1512)),DATE(VALUE(RIGHT(B1512,4)),VALUE(MID(B1512,4,2)),VALUE(LEFT(B1512,2))),IF(MID(B1512,5,1)="-",DATE(VALUE(LEFT(B1512,4)),VALUE(MID(B1512,6,2)),VALUE(RIGHT(B1512,2))),DATE(VALUE(RIGHT(B1512,4)),MATCH(MID(B1512,4,3),{"Jan","Feb","Mar","Apr","May","Jun","Jul","Aug","Sep","Oct","Nov","Dec"},0),VALUE(LEFT(B1512,2)))))</f>
        <v>45708</v>
      </c>
    </row>
    <row r="1513" customFormat="false" ht="15" hidden="false" customHeight="false" outlineLevel="0" collapsed="false">
      <c r="A1513" s="7" t="s">
        <v>3953</v>
      </c>
      <c r="B1513" s="7" t="s">
        <v>584</v>
      </c>
      <c r="C1513" s="7" t="s">
        <v>1737</v>
      </c>
      <c r="D1513" s="7" t="s">
        <v>2117</v>
      </c>
      <c r="E1513" s="7" t="s">
        <v>3954</v>
      </c>
      <c r="F1513" s="7" t="s">
        <v>128</v>
      </c>
      <c r="G1513" s="7" t="s">
        <v>95</v>
      </c>
      <c r="H1513" s="7" t="n">
        <v>1</v>
      </c>
      <c r="I1513" s="7" t="n">
        <v>100</v>
      </c>
      <c r="J1513" s="7" t="n">
        <v>0</v>
      </c>
      <c r="K1513" s="7" t="s">
        <v>112</v>
      </c>
      <c r="L1513" s="7" t="s">
        <v>194</v>
      </c>
      <c r="M1513" s="7" t="n">
        <v>38</v>
      </c>
      <c r="N1513" s="7" t="n">
        <v>4</v>
      </c>
      <c r="O1513" s="7" t="str">
        <f aca="false">A1513&amp;"|"&amp;B1513&amp;"|"&amp;C1513&amp;"|"&amp;D1513&amp;"|"&amp;E1513&amp;"|"&amp;F1513&amp;"|"&amp;G1513&amp;"|"&amp;H1513&amp;"|"&amp;I1513&amp;"|"&amp;J1513&amp;"|"&amp;K1513&amp;"|"&amp;L1513&amp;"|"&amp;M1513&amp;"|"&amp;N1513</f>
        <v>ORD11919|2025-09-06|19:27|C1391|filter coffee &amp; tiffin|Chennai|South Indian|1|100|0|Cash on Delivery|Delivered|38|4</v>
      </c>
      <c r="P1513" s="7" t="str">
        <f aca="false">IF(COUNTIF($O$2:O1513,O1513)&gt;1,"DUP","OK")</f>
        <v>OK</v>
      </c>
      <c r="Q1513" s="7" t="n">
        <f aca="false">COUNTBLANK(A1513:N1513)</f>
        <v>0</v>
      </c>
      <c r="R1513" s="7" t="n">
        <f aca="false">IF(A1513="",0,COUNTIFS($A$2:$A$3058,A1513,$P$2:$P$3058,"OK"))</f>
        <v>1</v>
      </c>
      <c r="S1513" s="7" t="str">
        <f aca="false">IF(OR(A1513="",P1513="DUP",R1513&lt;2),"",IF(Q1513=_xlfn.MINIFS($Q$2:$Q$3058,$A$2:$A$3058,A1513,$P$2:$P$3058,"OK"),"KEEP","DROP"))</f>
        <v/>
      </c>
      <c r="T1513" s="9" t="n">
        <f aca="false">IF(A1513="",1,0)</f>
        <v>0</v>
      </c>
      <c r="U1513" s="9" t="n">
        <f aca="false">IF(D1513="",1,0)</f>
        <v>0</v>
      </c>
      <c r="V1513" s="9" t="n">
        <f aca="false">IF(E1513="",1,0)</f>
        <v>0</v>
      </c>
      <c r="W1513" s="9" t="n">
        <f aca="false">IF(OR(H1513&lt;1,H1513&gt;10),1,0)</f>
        <v>0</v>
      </c>
      <c r="X1513" s="9" t="n">
        <f aca="false">IF(OR(I1513&lt;=0,I1513&gt;1500),1,0)</f>
        <v>0</v>
      </c>
      <c r="Y1513" s="9" t="n">
        <f aca="false">IF(J1513&gt;H1513*I1513,1,0)</f>
        <v>0</v>
      </c>
      <c r="Z1513" s="9" t="n">
        <f aca="false">IF(AND(N1513&lt;&gt;"",OR(N1513&lt;1,N1513&gt;5)),1,0)</f>
        <v>0</v>
      </c>
      <c r="AA1513" s="9" t="n">
        <f aca="false">IF(AND(M1513&lt;&gt;"",OR(M1513&lt;5,M1513&gt;180)),1,0)</f>
        <v>0</v>
      </c>
      <c r="AB1513" s="7" t="str">
        <f aca="false">IF(P1513="DUP","Exact duplicate row",IF(T1513=1,"Missing Order ID",IF(S1513="DROP","Duplicate Order ID (less complete row)",IF(U1513=1,"Missing Customer ID",IF(V1513=1,"Missing Restaurant name",IF(W1513=1,"Invalid/outlier quantity",IF(X1513=1,"Invalid/outlier unit price",IF(Y1513=1,"Discount greater than order value",""))))))))</f>
        <v/>
      </c>
      <c r="AC1513" s="7" t="str">
        <f aca="false">IF(AB1513="","KEEP","DROP")</f>
        <v>KEEP</v>
      </c>
      <c r="AD1513" s="7" t="str">
        <f aca="false">IF(TRIM(F1513)="",IFERROR(INDEX(Map_Tables!$I$4:$I$37,MATCH(TRIM(E1513),Map_Tables!$G$4:$G$37,0)),""),IFERROR(INDEX(Map_Tables!$B$4:$B$18,MATCH(TRIM(F1513),Map_Tables!$A$4:$A$18,0)),"CHECK"))</f>
        <v>Chennai</v>
      </c>
      <c r="AE1513" s="7" t="str">
        <f aca="false">IF(TRIM(E1513)="","",IFERROR(INDEX(Map_Tables!$H$4:$H$37,MATCH(TRIM(E1513),Map_Tables!$G$4:$G$37,0)),"CHECK"))</f>
        <v>Filter Coffee &amp; Tiffin</v>
      </c>
      <c r="AF1513" s="7" t="str">
        <f aca="false">IF(TRIM(K1513)="","Unknown",IFERROR(INDEX(Map_Tables!$E$4:$E$15,MATCH(TRIM(K1513),Map_Tables!$D$4:$D$15,0)),"CHECK"))</f>
        <v>Cash on Delivery</v>
      </c>
      <c r="AG1513" s="7" t="str">
        <f aca="false">IF(LEFT(LOWER(TRIM(L1513)),6)="cancel","Cancelled","Delivered")</f>
        <v>Delivered</v>
      </c>
      <c r="AH1513" s="10" t="n">
        <f aca="false">IF(ISNUMBER(SEARCH("/",B1513)),DATE(VALUE(RIGHT(B1513,4)),VALUE(MID(B1513,4,2)),VALUE(LEFT(B1513,2))),IF(MID(B1513,5,1)="-",DATE(VALUE(LEFT(B1513,4)),VALUE(MID(B1513,6,2)),VALUE(RIGHT(B1513,2))),DATE(VALUE(RIGHT(B1513,4)),MATCH(MID(B1513,4,3),{"Jan","Feb","Mar","Apr","May","Jun","Jul","Aug","Sep","Oct","Nov","Dec"},0),VALUE(LEFT(B1513,2)))))</f>
        <v>45906</v>
      </c>
    </row>
    <row r="1514" customFormat="false" ht="15" hidden="false" customHeight="false" outlineLevel="0" collapsed="false">
      <c r="A1514" s="7" t="s">
        <v>3955</v>
      </c>
      <c r="B1514" s="7" t="s">
        <v>1714</v>
      </c>
      <c r="C1514" s="7" t="s">
        <v>2252</v>
      </c>
      <c r="D1514" s="7" t="s">
        <v>3956</v>
      </c>
      <c r="E1514" s="7" t="s">
        <v>122</v>
      </c>
      <c r="F1514" s="7" t="s">
        <v>101</v>
      </c>
      <c r="G1514" s="7" t="s">
        <v>123</v>
      </c>
      <c r="H1514" s="7" t="n">
        <v>2</v>
      </c>
      <c r="I1514" s="7" t="n">
        <v>325</v>
      </c>
      <c r="J1514" s="7" t="n">
        <v>0</v>
      </c>
      <c r="K1514" s="7" t="s">
        <v>103</v>
      </c>
      <c r="L1514" s="7" t="s">
        <v>194</v>
      </c>
      <c r="M1514" s="7" t="n">
        <v>39</v>
      </c>
      <c r="N1514" s="7" t="n">
        <v>5</v>
      </c>
      <c r="O1514" s="7" t="str">
        <f aca="false">A1514&amp;"|"&amp;B1514&amp;"|"&amp;C1514&amp;"|"&amp;D1514&amp;"|"&amp;E1514&amp;"|"&amp;F1514&amp;"|"&amp;G1514&amp;"|"&amp;H1514&amp;"|"&amp;I1514&amp;"|"&amp;J1514&amp;"|"&amp;K1514&amp;"|"&amp;L1514&amp;"|"&amp;M1514&amp;"|"&amp;N1514</f>
        <v>ORD10057|2025-01-09|11:36|C0761|Mumbai Pizza Co|Mumbai|Pizza|2|325|0|Debit Card|Delivered|39|5</v>
      </c>
      <c r="P1514" s="7" t="str">
        <f aca="false">IF(COUNTIF($O$2:O1514,O1514)&gt;1,"DUP","OK")</f>
        <v>OK</v>
      </c>
      <c r="Q1514" s="7" t="n">
        <f aca="false">COUNTBLANK(A1514:N1514)</f>
        <v>0</v>
      </c>
      <c r="R1514" s="7" t="n">
        <f aca="false">IF(A1514="",0,COUNTIFS($A$2:$A$3058,A1514,$P$2:$P$3058,"OK"))</f>
        <v>1</v>
      </c>
      <c r="S1514" s="7" t="str">
        <f aca="false">IF(OR(A1514="",P1514="DUP",R1514&lt;2),"",IF(Q1514=_xlfn.MINIFS($Q$2:$Q$3058,$A$2:$A$3058,A1514,$P$2:$P$3058,"OK"),"KEEP","DROP"))</f>
        <v/>
      </c>
      <c r="T1514" s="9" t="n">
        <f aca="false">IF(A1514="",1,0)</f>
        <v>0</v>
      </c>
      <c r="U1514" s="9" t="n">
        <f aca="false">IF(D1514="",1,0)</f>
        <v>0</v>
      </c>
      <c r="V1514" s="9" t="n">
        <f aca="false">IF(E1514="",1,0)</f>
        <v>0</v>
      </c>
      <c r="W1514" s="9" t="n">
        <f aca="false">IF(OR(H1514&lt;1,H1514&gt;10),1,0)</f>
        <v>0</v>
      </c>
      <c r="X1514" s="9" t="n">
        <f aca="false">IF(OR(I1514&lt;=0,I1514&gt;1500),1,0)</f>
        <v>0</v>
      </c>
      <c r="Y1514" s="9" t="n">
        <f aca="false">IF(J1514&gt;H1514*I1514,1,0)</f>
        <v>0</v>
      </c>
      <c r="Z1514" s="9" t="n">
        <f aca="false">IF(AND(N1514&lt;&gt;"",OR(N1514&lt;1,N1514&gt;5)),1,0)</f>
        <v>0</v>
      </c>
      <c r="AA1514" s="9" t="n">
        <f aca="false">IF(AND(M1514&lt;&gt;"",OR(M1514&lt;5,M1514&gt;180)),1,0)</f>
        <v>0</v>
      </c>
      <c r="AB1514" s="7" t="str">
        <f aca="false">IF(P1514="DUP","Exact duplicate row",IF(T1514=1,"Missing Order ID",IF(S1514="DROP","Duplicate Order ID (less complete row)",IF(U1514=1,"Missing Customer ID",IF(V1514=1,"Missing Restaurant name",IF(W1514=1,"Invalid/outlier quantity",IF(X1514=1,"Invalid/outlier unit price",IF(Y1514=1,"Discount greater than order value",""))))))))</f>
        <v/>
      </c>
      <c r="AC1514" s="7" t="str">
        <f aca="false">IF(AB1514="","KEEP","DROP")</f>
        <v>KEEP</v>
      </c>
      <c r="AD1514" s="7" t="str">
        <f aca="false">IF(TRIM(F1514)="",IFERROR(INDEX(Map_Tables!$I$4:$I$37,MATCH(TRIM(E1514),Map_Tables!$G$4:$G$37,0)),""),IFERROR(INDEX(Map_Tables!$B$4:$B$18,MATCH(TRIM(F1514),Map_Tables!$A$4:$A$18,0)),"CHECK"))</f>
        <v>Mumbai</v>
      </c>
      <c r="AE1514" s="7" t="str">
        <f aca="false">IF(TRIM(E1514)="","",IFERROR(INDEX(Map_Tables!$H$4:$H$37,MATCH(TRIM(E1514),Map_Tables!$G$4:$G$37,0)),"CHECK"))</f>
        <v>Mumbai Pizza Co</v>
      </c>
      <c r="AF1514" s="7" t="str">
        <f aca="false">IF(TRIM(K1514)="","Unknown",IFERROR(INDEX(Map_Tables!$E$4:$E$15,MATCH(TRIM(K1514),Map_Tables!$D$4:$D$15,0)),"CHECK"))</f>
        <v>Debit Card</v>
      </c>
      <c r="AG1514" s="7" t="str">
        <f aca="false">IF(LEFT(LOWER(TRIM(L1514)),6)="cancel","Cancelled","Delivered")</f>
        <v>Delivered</v>
      </c>
      <c r="AH1514" s="10" t="n">
        <f aca="false">IF(ISNUMBER(SEARCH("/",B1514)),DATE(VALUE(RIGHT(B1514,4)),VALUE(MID(B1514,4,2)),VALUE(LEFT(B1514,2))),IF(MID(B1514,5,1)="-",DATE(VALUE(LEFT(B1514,4)),VALUE(MID(B1514,6,2)),VALUE(RIGHT(B1514,2))),DATE(VALUE(RIGHT(B1514,4)),MATCH(MID(B1514,4,3),{"Jan","Feb","Mar","Apr","May","Jun","Jul","Aug","Sep","Oct","Nov","Dec"},0),VALUE(LEFT(B1514,2)))))</f>
        <v>45666</v>
      </c>
    </row>
    <row r="1515" customFormat="false" ht="15" hidden="false" customHeight="false" outlineLevel="0" collapsed="false">
      <c r="A1515" s="7" t="s">
        <v>3957</v>
      </c>
      <c r="B1515" s="7" t="s">
        <v>3958</v>
      </c>
      <c r="C1515" s="7" t="s">
        <v>1062</v>
      </c>
      <c r="D1515" s="7" t="s">
        <v>2012</v>
      </c>
      <c r="E1515" s="7" t="s">
        <v>3959</v>
      </c>
      <c r="F1515" s="7" t="s">
        <v>136</v>
      </c>
      <c r="G1515" s="7" t="s">
        <v>150</v>
      </c>
      <c r="H1515" s="7" t="n">
        <v>4</v>
      </c>
      <c r="I1515" s="7" t="n">
        <v>165</v>
      </c>
      <c r="J1515" s="7" t="n">
        <v>0</v>
      </c>
      <c r="K1515" s="7" t="s">
        <v>112</v>
      </c>
      <c r="L1515" s="7" t="s">
        <v>194</v>
      </c>
      <c r="M1515" s="7" t="n">
        <v>32</v>
      </c>
      <c r="N1515" s="7" t="n">
        <v>5</v>
      </c>
      <c r="O1515" s="7" t="str">
        <f aca="false">A1515&amp;"|"&amp;B1515&amp;"|"&amp;C1515&amp;"|"&amp;D1515&amp;"|"&amp;E1515&amp;"|"&amp;F1515&amp;"|"&amp;G1515&amp;"|"&amp;H1515&amp;"|"&amp;I1515&amp;"|"&amp;J1515&amp;"|"&amp;K1515&amp;"|"&amp;L1515&amp;"|"&amp;M1515&amp;"|"&amp;N1515</f>
        <v>ORD10712|2025-03-31|21:10|C0599|Cake Walk |Pune|Desserts|4|165|0|Cash on Delivery|Delivered|32|5</v>
      </c>
      <c r="P1515" s="7" t="str">
        <f aca="false">IF(COUNTIF($O$2:O1515,O1515)&gt;1,"DUP","OK")</f>
        <v>OK</v>
      </c>
      <c r="Q1515" s="7" t="n">
        <f aca="false">COUNTBLANK(A1515:N1515)</f>
        <v>0</v>
      </c>
      <c r="R1515" s="7" t="n">
        <f aca="false">IF(A1515="",0,COUNTIFS($A$2:$A$3058,A1515,$P$2:$P$3058,"OK"))</f>
        <v>1</v>
      </c>
      <c r="S1515" s="7" t="str">
        <f aca="false">IF(OR(A1515="",P1515="DUP",R1515&lt;2),"",IF(Q1515=_xlfn.MINIFS($Q$2:$Q$3058,$A$2:$A$3058,A1515,$P$2:$P$3058,"OK"),"KEEP","DROP"))</f>
        <v/>
      </c>
      <c r="T1515" s="9" t="n">
        <f aca="false">IF(A1515="",1,0)</f>
        <v>0</v>
      </c>
      <c r="U1515" s="9" t="n">
        <f aca="false">IF(D1515="",1,0)</f>
        <v>0</v>
      </c>
      <c r="V1515" s="9" t="n">
        <f aca="false">IF(E1515="",1,0)</f>
        <v>0</v>
      </c>
      <c r="W1515" s="9" t="n">
        <f aca="false">IF(OR(H1515&lt;1,H1515&gt;10),1,0)</f>
        <v>0</v>
      </c>
      <c r="X1515" s="9" t="n">
        <f aca="false">IF(OR(I1515&lt;=0,I1515&gt;1500),1,0)</f>
        <v>0</v>
      </c>
      <c r="Y1515" s="9" t="n">
        <f aca="false">IF(J1515&gt;H1515*I1515,1,0)</f>
        <v>0</v>
      </c>
      <c r="Z1515" s="9" t="n">
        <f aca="false">IF(AND(N1515&lt;&gt;"",OR(N1515&lt;1,N1515&gt;5)),1,0)</f>
        <v>0</v>
      </c>
      <c r="AA1515" s="9" t="n">
        <f aca="false">IF(AND(M1515&lt;&gt;"",OR(M1515&lt;5,M1515&gt;180)),1,0)</f>
        <v>0</v>
      </c>
      <c r="AB1515" s="7" t="str">
        <f aca="false">IF(P1515="DUP","Exact duplicate row",IF(T1515=1,"Missing Order ID",IF(S1515="DROP","Duplicate Order ID (less complete row)",IF(U1515=1,"Missing Customer ID",IF(V1515=1,"Missing Restaurant name",IF(W1515=1,"Invalid/outlier quantity",IF(X1515=1,"Invalid/outlier unit price",IF(Y1515=1,"Discount greater than order value",""))))))))</f>
        <v/>
      </c>
      <c r="AC1515" s="7" t="str">
        <f aca="false">IF(AB1515="","KEEP","DROP")</f>
        <v>KEEP</v>
      </c>
      <c r="AD1515" s="7" t="str">
        <f aca="false">IF(TRIM(F1515)="",IFERROR(INDEX(Map_Tables!$I$4:$I$37,MATCH(TRIM(E1515),Map_Tables!$G$4:$G$37,0)),""),IFERROR(INDEX(Map_Tables!$B$4:$B$18,MATCH(TRIM(F1515),Map_Tables!$A$4:$A$18,0)),"CHECK"))</f>
        <v>Pune</v>
      </c>
      <c r="AE1515" s="7" t="str">
        <f aca="false">IF(TRIM(E1515)="","",IFERROR(INDEX(Map_Tables!$H$4:$H$37,MATCH(TRIM(E1515),Map_Tables!$G$4:$G$37,0)),"CHECK"))</f>
        <v>Cake Walk</v>
      </c>
      <c r="AF1515" s="7" t="str">
        <f aca="false">IF(TRIM(K1515)="","Unknown",IFERROR(INDEX(Map_Tables!$E$4:$E$15,MATCH(TRIM(K1515),Map_Tables!$D$4:$D$15,0)),"CHECK"))</f>
        <v>Cash on Delivery</v>
      </c>
      <c r="AG1515" s="7" t="str">
        <f aca="false">IF(LEFT(LOWER(TRIM(L1515)),6)="cancel","Cancelled","Delivered")</f>
        <v>Delivered</v>
      </c>
      <c r="AH1515" s="10" t="n">
        <f aca="false">IF(ISNUMBER(SEARCH("/",B1515)),DATE(VALUE(RIGHT(B1515,4)),VALUE(MID(B1515,4,2)),VALUE(LEFT(B1515,2))),IF(MID(B1515,5,1)="-",DATE(VALUE(LEFT(B1515,4)),VALUE(MID(B1515,6,2)),VALUE(RIGHT(B1515,2))),DATE(VALUE(RIGHT(B1515,4)),MATCH(MID(B1515,4,3),{"Jan","Feb","Mar","Apr","May","Jun","Jul","Aug","Sep","Oct","Nov","Dec"},0),VALUE(LEFT(B1515,2)))))</f>
        <v>45747</v>
      </c>
    </row>
    <row r="1516" customFormat="false" ht="15" hidden="false" customHeight="false" outlineLevel="0" collapsed="false">
      <c r="A1516" s="7" t="s">
        <v>3960</v>
      </c>
      <c r="B1516" s="7" t="s">
        <v>341</v>
      </c>
      <c r="C1516" s="7" t="s">
        <v>622</v>
      </c>
      <c r="D1516" s="7" t="s">
        <v>3961</v>
      </c>
      <c r="E1516" s="7" t="s">
        <v>89</v>
      </c>
      <c r="F1516" s="7" t="s">
        <v>86</v>
      </c>
      <c r="G1516" s="7" t="s">
        <v>90</v>
      </c>
      <c r="H1516" s="7" t="n">
        <v>3</v>
      </c>
      <c r="I1516" s="7" t="n">
        <v>235</v>
      </c>
      <c r="J1516" s="7" t="n">
        <v>0</v>
      </c>
      <c r="K1516" s="7" t="s">
        <v>88</v>
      </c>
      <c r="L1516" s="7" t="s">
        <v>194</v>
      </c>
      <c r="M1516" s="7" t="n">
        <v>36</v>
      </c>
      <c r="N1516" s="7" t="n">
        <v>5</v>
      </c>
      <c r="O1516" s="7" t="str">
        <f aca="false">A1516&amp;"|"&amp;B1516&amp;"|"&amp;C1516&amp;"|"&amp;D1516&amp;"|"&amp;E1516&amp;"|"&amp;F1516&amp;"|"&amp;G1516&amp;"|"&amp;H1516&amp;"|"&amp;I1516&amp;"|"&amp;J1516&amp;"|"&amp;K1516&amp;"|"&amp;L1516&amp;"|"&amp;M1516&amp;"|"&amp;N1516</f>
        <v>ORD10325|2025-02-12|19:04|C1414|Spice Junction|Bengaluru|North Indian|3|235|0|UPI|Delivered|36|5</v>
      </c>
      <c r="P1516" s="7" t="str">
        <f aca="false">IF(COUNTIF($O$2:O1516,O1516)&gt;1,"DUP","OK")</f>
        <v>OK</v>
      </c>
      <c r="Q1516" s="7" t="n">
        <f aca="false">COUNTBLANK(A1516:N1516)</f>
        <v>0</v>
      </c>
      <c r="R1516" s="7" t="n">
        <f aca="false">IF(A1516="",0,COUNTIFS($A$2:$A$3058,A1516,$P$2:$P$3058,"OK"))</f>
        <v>1</v>
      </c>
      <c r="S1516" s="7" t="str">
        <f aca="false">IF(OR(A1516="",P1516="DUP",R1516&lt;2),"",IF(Q1516=_xlfn.MINIFS($Q$2:$Q$3058,$A$2:$A$3058,A1516,$P$2:$P$3058,"OK"),"KEEP","DROP"))</f>
        <v/>
      </c>
      <c r="T1516" s="9" t="n">
        <f aca="false">IF(A1516="",1,0)</f>
        <v>0</v>
      </c>
      <c r="U1516" s="9" t="n">
        <f aca="false">IF(D1516="",1,0)</f>
        <v>0</v>
      </c>
      <c r="V1516" s="9" t="n">
        <f aca="false">IF(E1516="",1,0)</f>
        <v>0</v>
      </c>
      <c r="W1516" s="9" t="n">
        <f aca="false">IF(OR(H1516&lt;1,H1516&gt;10),1,0)</f>
        <v>0</v>
      </c>
      <c r="X1516" s="9" t="n">
        <f aca="false">IF(OR(I1516&lt;=0,I1516&gt;1500),1,0)</f>
        <v>0</v>
      </c>
      <c r="Y1516" s="9" t="n">
        <f aca="false">IF(J1516&gt;H1516*I1516,1,0)</f>
        <v>0</v>
      </c>
      <c r="Z1516" s="9" t="n">
        <f aca="false">IF(AND(N1516&lt;&gt;"",OR(N1516&lt;1,N1516&gt;5)),1,0)</f>
        <v>0</v>
      </c>
      <c r="AA1516" s="9" t="n">
        <f aca="false">IF(AND(M1516&lt;&gt;"",OR(M1516&lt;5,M1516&gt;180)),1,0)</f>
        <v>0</v>
      </c>
      <c r="AB1516" s="7" t="str">
        <f aca="false">IF(P1516="DUP","Exact duplicate row",IF(T1516=1,"Missing Order ID",IF(S1516="DROP","Duplicate Order ID (less complete row)",IF(U1516=1,"Missing Customer ID",IF(V1516=1,"Missing Restaurant name",IF(W1516=1,"Invalid/outlier quantity",IF(X1516=1,"Invalid/outlier unit price",IF(Y1516=1,"Discount greater than order value",""))))))))</f>
        <v/>
      </c>
      <c r="AC1516" s="7" t="str">
        <f aca="false">IF(AB1516="","KEEP","DROP")</f>
        <v>KEEP</v>
      </c>
      <c r="AD1516" s="7" t="str">
        <f aca="false">IF(TRIM(F1516)="",IFERROR(INDEX(Map_Tables!$I$4:$I$37,MATCH(TRIM(E1516),Map_Tables!$G$4:$G$37,0)),""),IFERROR(INDEX(Map_Tables!$B$4:$B$18,MATCH(TRIM(F1516),Map_Tables!$A$4:$A$18,0)),"CHECK"))</f>
        <v>Bengaluru</v>
      </c>
      <c r="AE1516" s="7" t="str">
        <f aca="false">IF(TRIM(E1516)="","",IFERROR(INDEX(Map_Tables!$H$4:$H$37,MATCH(TRIM(E1516),Map_Tables!$G$4:$G$37,0)),"CHECK"))</f>
        <v>Spice Junction</v>
      </c>
      <c r="AF1516" s="7" t="str">
        <f aca="false">IF(TRIM(K1516)="","Unknown",IFERROR(INDEX(Map_Tables!$E$4:$E$15,MATCH(TRIM(K1516),Map_Tables!$D$4:$D$15,0)),"CHECK"))</f>
        <v>UPI</v>
      </c>
      <c r="AG1516" s="7" t="str">
        <f aca="false">IF(LEFT(LOWER(TRIM(L1516)),6)="cancel","Cancelled","Delivered")</f>
        <v>Delivered</v>
      </c>
      <c r="AH1516" s="10" t="n">
        <f aca="false">IF(ISNUMBER(SEARCH("/",B1516)),DATE(VALUE(RIGHT(B1516,4)),VALUE(MID(B1516,4,2)),VALUE(LEFT(B1516,2))),IF(MID(B1516,5,1)="-",DATE(VALUE(LEFT(B1516,4)),VALUE(MID(B1516,6,2)),VALUE(RIGHT(B1516,2))),DATE(VALUE(RIGHT(B1516,4)),MATCH(MID(B1516,4,3),{"Jan","Feb","Mar","Apr","May","Jun","Jul","Aug","Sep","Oct","Nov","Dec"},0),VALUE(LEFT(B1516,2)))))</f>
        <v>45700</v>
      </c>
    </row>
    <row r="1517" customFormat="false" ht="15" hidden="false" customHeight="false" outlineLevel="0" collapsed="false">
      <c r="A1517" s="7" t="s">
        <v>3962</v>
      </c>
      <c r="B1517" s="7" t="s">
        <v>1065</v>
      </c>
      <c r="C1517" s="7" t="s">
        <v>3963</v>
      </c>
      <c r="D1517" s="7" t="s">
        <v>3134</v>
      </c>
      <c r="E1517" s="7" t="s">
        <v>159</v>
      </c>
      <c r="F1517" s="7" t="s">
        <v>1226</v>
      </c>
      <c r="G1517" s="7" t="s">
        <v>90</v>
      </c>
      <c r="H1517" s="7" t="n">
        <v>1</v>
      </c>
      <c r="I1517" s="7" t="n">
        <v>270</v>
      </c>
      <c r="J1517" s="7" t="n">
        <v>0</v>
      </c>
      <c r="K1517" s="7" t="s">
        <v>88</v>
      </c>
      <c r="L1517" s="7" t="s">
        <v>238</v>
      </c>
      <c r="M1517" s="7"/>
      <c r="N1517" s="7"/>
      <c r="O1517" s="7" t="str">
        <f aca="false">A1517&amp;"|"&amp;B1517&amp;"|"&amp;C1517&amp;"|"&amp;D1517&amp;"|"&amp;E1517&amp;"|"&amp;F1517&amp;"|"&amp;G1517&amp;"|"&amp;H1517&amp;"|"&amp;I1517&amp;"|"&amp;J1517&amp;"|"&amp;K1517&amp;"|"&amp;L1517&amp;"|"&amp;M1517&amp;"|"&amp;N1517</f>
        <v>ORD10079|2025-01-11|12:23|C1222|Maratha Thali House|Pune |North Indian|1|270|0|UPI|Cancelled||</v>
      </c>
      <c r="P1517" s="7" t="str">
        <f aca="false">IF(COUNTIF($O$2:O1517,O1517)&gt;1,"DUP","OK")</f>
        <v>OK</v>
      </c>
      <c r="Q1517" s="7" t="n">
        <f aca="false">COUNTBLANK(A1517:N1517)</f>
        <v>2</v>
      </c>
      <c r="R1517" s="7" t="n">
        <f aca="false">IF(A1517="",0,COUNTIFS($A$2:$A$3058,A1517,$P$2:$P$3058,"OK"))</f>
        <v>1</v>
      </c>
      <c r="S1517" s="7" t="str">
        <f aca="false">IF(OR(A1517="",P1517="DUP",R1517&lt;2),"",IF(Q1517=_xlfn.MINIFS($Q$2:$Q$3058,$A$2:$A$3058,A1517,$P$2:$P$3058,"OK"),"KEEP","DROP"))</f>
        <v/>
      </c>
      <c r="T1517" s="9" t="n">
        <f aca="false">IF(A1517="",1,0)</f>
        <v>0</v>
      </c>
      <c r="U1517" s="9" t="n">
        <f aca="false">IF(D1517="",1,0)</f>
        <v>0</v>
      </c>
      <c r="V1517" s="9" t="n">
        <f aca="false">IF(E1517="",1,0)</f>
        <v>0</v>
      </c>
      <c r="W1517" s="9" t="n">
        <f aca="false">IF(OR(H1517&lt;1,H1517&gt;10),1,0)</f>
        <v>0</v>
      </c>
      <c r="X1517" s="9" t="n">
        <f aca="false">IF(OR(I1517&lt;=0,I1517&gt;1500),1,0)</f>
        <v>0</v>
      </c>
      <c r="Y1517" s="9" t="n">
        <f aca="false">IF(J1517&gt;H1517*I1517,1,0)</f>
        <v>0</v>
      </c>
      <c r="Z1517" s="9" t="n">
        <f aca="false">IF(AND(N1517&lt;&gt;"",OR(N1517&lt;1,N1517&gt;5)),1,0)</f>
        <v>0</v>
      </c>
      <c r="AA1517" s="9" t="n">
        <f aca="false">IF(AND(M1517&lt;&gt;"",OR(M1517&lt;5,M1517&gt;180)),1,0)</f>
        <v>0</v>
      </c>
      <c r="AB1517" s="7" t="str">
        <f aca="false">IF(P1517="DUP","Exact duplicate row",IF(T1517=1,"Missing Order ID",IF(S1517="DROP","Duplicate Order ID (less complete row)",IF(U1517=1,"Missing Customer ID",IF(V1517=1,"Missing Restaurant name",IF(W1517=1,"Invalid/outlier quantity",IF(X1517=1,"Invalid/outlier unit price",IF(Y1517=1,"Discount greater than order value",""))))))))</f>
        <v/>
      </c>
      <c r="AC1517" s="7" t="str">
        <f aca="false">IF(AB1517="","KEEP","DROP")</f>
        <v>KEEP</v>
      </c>
      <c r="AD1517" s="7" t="str">
        <f aca="false">IF(TRIM(F1517)="",IFERROR(INDEX(Map_Tables!$I$4:$I$37,MATCH(TRIM(E1517),Map_Tables!$G$4:$G$37,0)),""),IFERROR(INDEX(Map_Tables!$B$4:$B$18,MATCH(TRIM(F1517),Map_Tables!$A$4:$A$18,0)),"CHECK"))</f>
        <v>Pune</v>
      </c>
      <c r="AE1517" s="7" t="str">
        <f aca="false">IF(TRIM(E1517)="","",IFERROR(INDEX(Map_Tables!$H$4:$H$37,MATCH(TRIM(E1517),Map_Tables!$G$4:$G$37,0)),"CHECK"))</f>
        <v>Maratha Thali House</v>
      </c>
      <c r="AF1517" s="7" t="str">
        <f aca="false">IF(TRIM(K1517)="","Unknown",IFERROR(INDEX(Map_Tables!$E$4:$E$15,MATCH(TRIM(K1517),Map_Tables!$D$4:$D$15,0)),"CHECK"))</f>
        <v>UPI</v>
      </c>
      <c r="AG1517" s="7" t="str">
        <f aca="false">IF(LEFT(LOWER(TRIM(L1517)),6)="cancel","Cancelled","Delivered")</f>
        <v>Cancelled</v>
      </c>
      <c r="AH1517" s="10" t="n">
        <f aca="false">IF(ISNUMBER(SEARCH("/",B1517)),DATE(VALUE(RIGHT(B1517,4)),VALUE(MID(B1517,4,2)),VALUE(LEFT(B1517,2))),IF(MID(B1517,5,1)="-",DATE(VALUE(LEFT(B1517,4)),VALUE(MID(B1517,6,2)),VALUE(RIGHT(B1517,2))),DATE(VALUE(RIGHT(B1517,4)),MATCH(MID(B1517,4,3),{"Jan","Feb","Mar","Apr","May","Jun","Jul","Aug","Sep","Oct","Nov","Dec"},0),VALUE(LEFT(B1517,2)))))</f>
        <v>45668</v>
      </c>
    </row>
    <row r="1518" customFormat="false" ht="15" hidden="false" customHeight="false" outlineLevel="0" collapsed="false">
      <c r="A1518" s="7" t="s">
        <v>3964</v>
      </c>
      <c r="B1518" s="7" t="s">
        <v>1150</v>
      </c>
      <c r="C1518" s="7" t="s">
        <v>2439</v>
      </c>
      <c r="D1518" s="7" t="s">
        <v>810</v>
      </c>
      <c r="E1518" s="7" t="s">
        <v>3397</v>
      </c>
      <c r="F1518" s="7" t="s">
        <v>101</v>
      </c>
      <c r="G1518" s="7" t="s">
        <v>90</v>
      </c>
      <c r="H1518" s="7" t="n">
        <v>1</v>
      </c>
      <c r="I1518" s="7" t="n">
        <v>245</v>
      </c>
      <c r="J1518" s="7" t="n">
        <v>0</v>
      </c>
      <c r="K1518" s="7" t="s">
        <v>93</v>
      </c>
      <c r="L1518" s="7" t="s">
        <v>194</v>
      </c>
      <c r="M1518" s="7" t="n">
        <v>32</v>
      </c>
      <c r="N1518" s="7" t="n">
        <v>4</v>
      </c>
      <c r="O1518" s="7" t="str">
        <f aca="false">A1518&amp;"|"&amp;B1518&amp;"|"&amp;C1518&amp;"|"&amp;D1518&amp;"|"&amp;E1518&amp;"|"&amp;F1518&amp;"|"&amp;G1518&amp;"|"&amp;H1518&amp;"|"&amp;I1518&amp;"|"&amp;J1518&amp;"|"&amp;K1518&amp;"|"&amp;L1518&amp;"|"&amp;M1518&amp;"|"&amp;N1518</f>
        <v>ORD10541|2025-03-10|19:39|C0647|CURRY LEAF KITCHEN|Mumbai|North Indian|1|245|0|Credit Card|Delivered|32|4</v>
      </c>
      <c r="P1518" s="7" t="str">
        <f aca="false">IF(COUNTIF($O$2:O1518,O1518)&gt;1,"DUP","OK")</f>
        <v>OK</v>
      </c>
      <c r="Q1518" s="7" t="n">
        <f aca="false">COUNTBLANK(A1518:N1518)</f>
        <v>0</v>
      </c>
      <c r="R1518" s="7" t="n">
        <f aca="false">IF(A1518="",0,COUNTIFS($A$2:$A$3058,A1518,$P$2:$P$3058,"OK"))</f>
        <v>1</v>
      </c>
      <c r="S1518" s="7" t="str">
        <f aca="false">IF(OR(A1518="",P1518="DUP",R1518&lt;2),"",IF(Q1518=_xlfn.MINIFS($Q$2:$Q$3058,$A$2:$A$3058,A1518,$P$2:$P$3058,"OK"),"KEEP","DROP"))</f>
        <v/>
      </c>
      <c r="T1518" s="9" t="n">
        <f aca="false">IF(A1518="",1,0)</f>
        <v>0</v>
      </c>
      <c r="U1518" s="9" t="n">
        <f aca="false">IF(D1518="",1,0)</f>
        <v>0</v>
      </c>
      <c r="V1518" s="9" t="n">
        <f aca="false">IF(E1518="",1,0)</f>
        <v>0</v>
      </c>
      <c r="W1518" s="9" t="n">
        <f aca="false">IF(OR(H1518&lt;1,H1518&gt;10),1,0)</f>
        <v>0</v>
      </c>
      <c r="X1518" s="9" t="n">
        <f aca="false">IF(OR(I1518&lt;=0,I1518&gt;1500),1,0)</f>
        <v>0</v>
      </c>
      <c r="Y1518" s="9" t="n">
        <f aca="false">IF(J1518&gt;H1518*I1518,1,0)</f>
        <v>0</v>
      </c>
      <c r="Z1518" s="9" t="n">
        <f aca="false">IF(AND(N1518&lt;&gt;"",OR(N1518&lt;1,N1518&gt;5)),1,0)</f>
        <v>0</v>
      </c>
      <c r="AA1518" s="9" t="n">
        <f aca="false">IF(AND(M1518&lt;&gt;"",OR(M1518&lt;5,M1518&gt;180)),1,0)</f>
        <v>0</v>
      </c>
      <c r="AB1518" s="7" t="str">
        <f aca="false">IF(P1518="DUP","Exact duplicate row",IF(T1518=1,"Missing Order ID",IF(S1518="DROP","Duplicate Order ID (less complete row)",IF(U1518=1,"Missing Customer ID",IF(V1518=1,"Missing Restaurant name",IF(W1518=1,"Invalid/outlier quantity",IF(X1518=1,"Invalid/outlier unit price",IF(Y1518=1,"Discount greater than order value",""))))))))</f>
        <v/>
      </c>
      <c r="AC1518" s="7" t="str">
        <f aca="false">IF(AB1518="","KEEP","DROP")</f>
        <v>KEEP</v>
      </c>
      <c r="AD1518" s="7" t="str">
        <f aca="false">IF(TRIM(F1518)="",IFERROR(INDEX(Map_Tables!$I$4:$I$37,MATCH(TRIM(E1518),Map_Tables!$G$4:$G$37,0)),""),IFERROR(INDEX(Map_Tables!$B$4:$B$18,MATCH(TRIM(F1518),Map_Tables!$A$4:$A$18,0)),"CHECK"))</f>
        <v>Mumbai</v>
      </c>
      <c r="AE1518" s="7" t="str">
        <f aca="false">IF(TRIM(E1518)="","",IFERROR(INDEX(Map_Tables!$H$4:$H$37,MATCH(TRIM(E1518),Map_Tables!$G$4:$G$37,0)),"CHECK"))</f>
        <v>Curry Leaf Kitchen</v>
      </c>
      <c r="AF1518" s="7" t="str">
        <f aca="false">IF(TRIM(K1518)="","Unknown",IFERROR(INDEX(Map_Tables!$E$4:$E$15,MATCH(TRIM(K1518),Map_Tables!$D$4:$D$15,0)),"CHECK"))</f>
        <v>Credit Card</v>
      </c>
      <c r="AG1518" s="7" t="str">
        <f aca="false">IF(LEFT(LOWER(TRIM(L1518)),6)="cancel","Cancelled","Delivered")</f>
        <v>Delivered</v>
      </c>
      <c r="AH1518" s="10" t="n">
        <f aca="false">IF(ISNUMBER(SEARCH("/",B1518)),DATE(VALUE(RIGHT(B1518,4)),VALUE(MID(B1518,4,2)),VALUE(LEFT(B1518,2))),IF(MID(B1518,5,1)="-",DATE(VALUE(LEFT(B1518,4)),VALUE(MID(B1518,6,2)),VALUE(RIGHT(B1518,2))),DATE(VALUE(RIGHT(B1518,4)),MATCH(MID(B1518,4,3),{"Jan","Feb","Mar","Apr","May","Jun","Jul","Aug","Sep","Oct","Nov","Dec"},0),VALUE(LEFT(B1518,2)))))</f>
        <v>45726</v>
      </c>
    </row>
    <row r="1519" customFormat="false" ht="15" hidden="false" customHeight="false" outlineLevel="0" collapsed="false">
      <c r="A1519" s="7" t="s">
        <v>3965</v>
      </c>
      <c r="B1519" s="7" t="s">
        <v>257</v>
      </c>
      <c r="C1519" s="7" t="s">
        <v>2610</v>
      </c>
      <c r="D1519" s="7" t="s">
        <v>3428</v>
      </c>
      <c r="E1519" s="7" t="s">
        <v>89</v>
      </c>
      <c r="F1519" s="7" t="s">
        <v>86</v>
      </c>
      <c r="G1519" s="7" t="s">
        <v>90</v>
      </c>
      <c r="H1519" s="7" t="n">
        <v>1</v>
      </c>
      <c r="I1519" s="7" t="n">
        <v>240</v>
      </c>
      <c r="J1519" s="7" t="n">
        <v>0</v>
      </c>
      <c r="K1519" s="7" t="s">
        <v>121</v>
      </c>
      <c r="L1519" s="7" t="s">
        <v>194</v>
      </c>
      <c r="M1519" s="7" t="n">
        <v>38</v>
      </c>
      <c r="N1519" s="7" t="n">
        <v>4</v>
      </c>
      <c r="O1519" s="7" t="str">
        <f aca="false">A1519&amp;"|"&amp;B1519&amp;"|"&amp;C1519&amp;"|"&amp;D1519&amp;"|"&amp;E1519&amp;"|"&amp;F1519&amp;"|"&amp;G1519&amp;"|"&amp;H1519&amp;"|"&amp;I1519&amp;"|"&amp;J1519&amp;"|"&amp;K1519&amp;"|"&amp;L1519&amp;"|"&amp;M1519&amp;"|"&amp;N1519</f>
        <v>ORD10356|2025-02-17|10:28|C1156|Spice Junction|Bengaluru|North Indian|1|240|0|Wallet|Delivered|38|4</v>
      </c>
      <c r="P1519" s="7" t="str">
        <f aca="false">IF(COUNTIF($O$2:O1519,O1519)&gt;1,"DUP","OK")</f>
        <v>OK</v>
      </c>
      <c r="Q1519" s="7" t="n">
        <f aca="false">COUNTBLANK(A1519:N1519)</f>
        <v>0</v>
      </c>
      <c r="R1519" s="7" t="n">
        <f aca="false">IF(A1519="",0,COUNTIFS($A$2:$A$3058,A1519,$P$2:$P$3058,"OK"))</f>
        <v>1</v>
      </c>
      <c r="S1519" s="7" t="str">
        <f aca="false">IF(OR(A1519="",P1519="DUP",R1519&lt;2),"",IF(Q1519=_xlfn.MINIFS($Q$2:$Q$3058,$A$2:$A$3058,A1519,$P$2:$P$3058,"OK"),"KEEP","DROP"))</f>
        <v/>
      </c>
      <c r="T1519" s="9" t="n">
        <f aca="false">IF(A1519="",1,0)</f>
        <v>0</v>
      </c>
      <c r="U1519" s="9" t="n">
        <f aca="false">IF(D1519="",1,0)</f>
        <v>0</v>
      </c>
      <c r="V1519" s="9" t="n">
        <f aca="false">IF(E1519="",1,0)</f>
        <v>0</v>
      </c>
      <c r="W1519" s="9" t="n">
        <f aca="false">IF(OR(H1519&lt;1,H1519&gt;10),1,0)</f>
        <v>0</v>
      </c>
      <c r="X1519" s="9" t="n">
        <f aca="false">IF(OR(I1519&lt;=0,I1519&gt;1500),1,0)</f>
        <v>0</v>
      </c>
      <c r="Y1519" s="9" t="n">
        <f aca="false">IF(J1519&gt;H1519*I1519,1,0)</f>
        <v>0</v>
      </c>
      <c r="Z1519" s="9" t="n">
        <f aca="false">IF(AND(N1519&lt;&gt;"",OR(N1519&lt;1,N1519&gt;5)),1,0)</f>
        <v>0</v>
      </c>
      <c r="AA1519" s="9" t="n">
        <f aca="false">IF(AND(M1519&lt;&gt;"",OR(M1519&lt;5,M1519&gt;180)),1,0)</f>
        <v>0</v>
      </c>
      <c r="AB1519" s="7" t="str">
        <f aca="false">IF(P1519="DUP","Exact duplicate row",IF(T1519=1,"Missing Order ID",IF(S1519="DROP","Duplicate Order ID (less complete row)",IF(U1519=1,"Missing Customer ID",IF(V1519=1,"Missing Restaurant name",IF(W1519=1,"Invalid/outlier quantity",IF(X1519=1,"Invalid/outlier unit price",IF(Y1519=1,"Discount greater than order value",""))))))))</f>
        <v/>
      </c>
      <c r="AC1519" s="7" t="str">
        <f aca="false">IF(AB1519="","KEEP","DROP")</f>
        <v>KEEP</v>
      </c>
      <c r="AD1519" s="7" t="str">
        <f aca="false">IF(TRIM(F1519)="",IFERROR(INDEX(Map_Tables!$I$4:$I$37,MATCH(TRIM(E1519),Map_Tables!$G$4:$G$37,0)),""),IFERROR(INDEX(Map_Tables!$B$4:$B$18,MATCH(TRIM(F1519),Map_Tables!$A$4:$A$18,0)),"CHECK"))</f>
        <v>Bengaluru</v>
      </c>
      <c r="AE1519" s="7" t="str">
        <f aca="false">IF(TRIM(E1519)="","",IFERROR(INDEX(Map_Tables!$H$4:$H$37,MATCH(TRIM(E1519),Map_Tables!$G$4:$G$37,0)),"CHECK"))</f>
        <v>Spice Junction</v>
      </c>
      <c r="AF1519" s="7" t="str">
        <f aca="false">IF(TRIM(K1519)="","Unknown",IFERROR(INDEX(Map_Tables!$E$4:$E$15,MATCH(TRIM(K1519),Map_Tables!$D$4:$D$15,0)),"CHECK"))</f>
        <v>Wallet</v>
      </c>
      <c r="AG1519" s="7" t="str">
        <f aca="false">IF(LEFT(LOWER(TRIM(L1519)),6)="cancel","Cancelled","Delivered")</f>
        <v>Delivered</v>
      </c>
      <c r="AH1519" s="10" t="n">
        <f aca="false">IF(ISNUMBER(SEARCH("/",B1519)),DATE(VALUE(RIGHT(B1519,4)),VALUE(MID(B1519,4,2)),VALUE(LEFT(B1519,2))),IF(MID(B1519,5,1)="-",DATE(VALUE(LEFT(B1519,4)),VALUE(MID(B1519,6,2)),VALUE(RIGHT(B1519,2))),DATE(VALUE(RIGHT(B1519,4)),MATCH(MID(B1519,4,3),{"Jan","Feb","Mar","Apr","May","Jun","Jul","Aug","Sep","Oct","Nov","Dec"},0),VALUE(LEFT(B1519,2)))))</f>
        <v>45705</v>
      </c>
    </row>
    <row r="1520" customFormat="false" ht="15" hidden="false" customHeight="false" outlineLevel="0" collapsed="false">
      <c r="A1520" s="7" t="s">
        <v>3966</v>
      </c>
      <c r="B1520" s="7" t="s">
        <v>1970</v>
      </c>
      <c r="C1520" s="7" t="s">
        <v>2856</v>
      </c>
      <c r="D1520" s="7" t="s">
        <v>1944</v>
      </c>
      <c r="E1520" s="7" t="s">
        <v>160</v>
      </c>
      <c r="F1520" s="7" t="s">
        <v>136</v>
      </c>
      <c r="G1520" s="7" t="s">
        <v>150</v>
      </c>
      <c r="H1520" s="7" t="n">
        <v>3</v>
      </c>
      <c r="I1520" s="7" t="n">
        <v>185</v>
      </c>
      <c r="J1520" s="7" t="n">
        <v>0</v>
      </c>
      <c r="K1520" s="7" t="s">
        <v>121</v>
      </c>
      <c r="L1520" s="7" t="s">
        <v>194</v>
      </c>
      <c r="M1520" s="7" t="n">
        <v>35</v>
      </c>
      <c r="N1520" s="7" t="n">
        <v>4</v>
      </c>
      <c r="O1520" s="7" t="str">
        <f aca="false">A1520&amp;"|"&amp;B1520&amp;"|"&amp;C1520&amp;"|"&amp;D1520&amp;"|"&amp;E1520&amp;"|"&amp;F1520&amp;"|"&amp;G1520&amp;"|"&amp;H1520&amp;"|"&amp;I1520&amp;"|"&amp;J1520&amp;"|"&amp;K1520&amp;"|"&amp;L1520&amp;"|"&amp;M1520&amp;"|"&amp;N1520</f>
        <v>ORD12143|2025-10-01|21:48|C0949|Cake Walk|Pune|Desserts|3|185|0|Wallet|Delivered|35|4</v>
      </c>
      <c r="P1520" s="7" t="str">
        <f aca="false">IF(COUNTIF($O$2:O1520,O1520)&gt;1,"DUP","OK")</f>
        <v>OK</v>
      </c>
      <c r="Q1520" s="7" t="n">
        <f aca="false">COUNTBLANK(A1520:N1520)</f>
        <v>0</v>
      </c>
      <c r="R1520" s="7" t="n">
        <f aca="false">IF(A1520="",0,COUNTIFS($A$2:$A$3058,A1520,$P$2:$P$3058,"OK"))</f>
        <v>1</v>
      </c>
      <c r="S1520" s="7" t="str">
        <f aca="false">IF(OR(A1520="",P1520="DUP",R1520&lt;2),"",IF(Q1520=_xlfn.MINIFS($Q$2:$Q$3058,$A$2:$A$3058,A1520,$P$2:$P$3058,"OK"),"KEEP","DROP"))</f>
        <v/>
      </c>
      <c r="T1520" s="9" t="n">
        <f aca="false">IF(A1520="",1,0)</f>
        <v>0</v>
      </c>
      <c r="U1520" s="9" t="n">
        <f aca="false">IF(D1520="",1,0)</f>
        <v>0</v>
      </c>
      <c r="V1520" s="9" t="n">
        <f aca="false">IF(E1520="",1,0)</f>
        <v>0</v>
      </c>
      <c r="W1520" s="9" t="n">
        <f aca="false">IF(OR(H1520&lt;1,H1520&gt;10),1,0)</f>
        <v>0</v>
      </c>
      <c r="X1520" s="9" t="n">
        <f aca="false">IF(OR(I1520&lt;=0,I1520&gt;1500),1,0)</f>
        <v>0</v>
      </c>
      <c r="Y1520" s="9" t="n">
        <f aca="false">IF(J1520&gt;H1520*I1520,1,0)</f>
        <v>0</v>
      </c>
      <c r="Z1520" s="9" t="n">
        <f aca="false">IF(AND(N1520&lt;&gt;"",OR(N1520&lt;1,N1520&gt;5)),1,0)</f>
        <v>0</v>
      </c>
      <c r="AA1520" s="9" t="n">
        <f aca="false">IF(AND(M1520&lt;&gt;"",OR(M1520&lt;5,M1520&gt;180)),1,0)</f>
        <v>0</v>
      </c>
      <c r="AB1520" s="7" t="str">
        <f aca="false">IF(P1520="DUP","Exact duplicate row",IF(T1520=1,"Missing Order ID",IF(S1520="DROP","Duplicate Order ID (less complete row)",IF(U1520=1,"Missing Customer ID",IF(V1520=1,"Missing Restaurant name",IF(W1520=1,"Invalid/outlier quantity",IF(X1520=1,"Invalid/outlier unit price",IF(Y1520=1,"Discount greater than order value",""))))))))</f>
        <v/>
      </c>
      <c r="AC1520" s="7" t="str">
        <f aca="false">IF(AB1520="","KEEP","DROP")</f>
        <v>KEEP</v>
      </c>
      <c r="AD1520" s="7" t="str">
        <f aca="false">IF(TRIM(F1520)="",IFERROR(INDEX(Map_Tables!$I$4:$I$37,MATCH(TRIM(E1520),Map_Tables!$G$4:$G$37,0)),""),IFERROR(INDEX(Map_Tables!$B$4:$B$18,MATCH(TRIM(F1520),Map_Tables!$A$4:$A$18,0)),"CHECK"))</f>
        <v>Pune</v>
      </c>
      <c r="AE1520" s="7" t="str">
        <f aca="false">IF(TRIM(E1520)="","",IFERROR(INDEX(Map_Tables!$H$4:$H$37,MATCH(TRIM(E1520),Map_Tables!$G$4:$G$37,0)),"CHECK"))</f>
        <v>Cake Walk</v>
      </c>
      <c r="AF1520" s="7" t="str">
        <f aca="false">IF(TRIM(K1520)="","Unknown",IFERROR(INDEX(Map_Tables!$E$4:$E$15,MATCH(TRIM(K1520),Map_Tables!$D$4:$D$15,0)),"CHECK"))</f>
        <v>Wallet</v>
      </c>
      <c r="AG1520" s="7" t="str">
        <f aca="false">IF(LEFT(LOWER(TRIM(L1520)),6)="cancel","Cancelled","Delivered")</f>
        <v>Delivered</v>
      </c>
      <c r="AH1520" s="10" t="n">
        <f aca="false">IF(ISNUMBER(SEARCH("/",B1520)),DATE(VALUE(RIGHT(B1520,4)),VALUE(MID(B1520,4,2)),VALUE(LEFT(B1520,2))),IF(MID(B1520,5,1)="-",DATE(VALUE(LEFT(B1520,4)),VALUE(MID(B1520,6,2)),VALUE(RIGHT(B1520,2))),DATE(VALUE(RIGHT(B1520,4)),MATCH(MID(B1520,4,3),{"Jan","Feb","Mar","Apr","May","Jun","Jul","Aug","Sep","Oct","Nov","Dec"},0),VALUE(LEFT(B1520,2)))))</f>
        <v>45931</v>
      </c>
    </row>
    <row r="1521" customFormat="false" ht="15" hidden="false" customHeight="false" outlineLevel="0" collapsed="false">
      <c r="A1521" s="7" t="s">
        <v>3967</v>
      </c>
      <c r="B1521" s="7" t="s">
        <v>257</v>
      </c>
      <c r="C1521" s="7" t="s">
        <v>1708</v>
      </c>
      <c r="D1521" s="7" t="s">
        <v>3968</v>
      </c>
      <c r="E1521" s="7" t="s">
        <v>138</v>
      </c>
      <c r="F1521" s="7" t="s">
        <v>110</v>
      </c>
      <c r="G1521" s="7" t="s">
        <v>139</v>
      </c>
      <c r="H1521" s="7" t="n">
        <v>3</v>
      </c>
      <c r="I1521" s="7" t="n">
        <v>245</v>
      </c>
      <c r="J1521" s="7" t="n">
        <v>150</v>
      </c>
      <c r="K1521" s="7" t="s">
        <v>88</v>
      </c>
      <c r="L1521" s="7" t="s">
        <v>194</v>
      </c>
      <c r="M1521" s="7" t="n">
        <v>46</v>
      </c>
      <c r="N1521" s="7" t="n">
        <v>2</v>
      </c>
      <c r="O1521" s="7" t="str">
        <f aca="false">A1521&amp;"|"&amp;B1521&amp;"|"&amp;C1521&amp;"|"&amp;D1521&amp;"|"&amp;E1521&amp;"|"&amp;F1521&amp;"|"&amp;G1521&amp;"|"&amp;H1521&amp;"|"&amp;I1521&amp;"|"&amp;J1521&amp;"|"&amp;K1521&amp;"|"&amp;L1521&amp;"|"&amp;M1521&amp;"|"&amp;N1521</f>
        <v>ORD10360|2025-02-17|17:47|C0615|Burger Barn|Delhi|Burgers|3|245|150|UPI|Delivered|46|2</v>
      </c>
      <c r="P1521" s="7" t="str">
        <f aca="false">IF(COUNTIF($O$2:O1521,O1521)&gt;1,"DUP","OK")</f>
        <v>OK</v>
      </c>
      <c r="Q1521" s="7" t="n">
        <f aca="false">COUNTBLANK(A1521:N1521)</f>
        <v>0</v>
      </c>
      <c r="R1521" s="7" t="n">
        <f aca="false">IF(A1521="",0,COUNTIFS($A$2:$A$3058,A1521,$P$2:$P$3058,"OK"))</f>
        <v>1</v>
      </c>
      <c r="S1521" s="7" t="str">
        <f aca="false">IF(OR(A1521="",P1521="DUP",R1521&lt;2),"",IF(Q1521=_xlfn.MINIFS($Q$2:$Q$3058,$A$2:$A$3058,A1521,$P$2:$P$3058,"OK"),"KEEP","DROP"))</f>
        <v/>
      </c>
      <c r="T1521" s="9" t="n">
        <f aca="false">IF(A1521="",1,0)</f>
        <v>0</v>
      </c>
      <c r="U1521" s="9" t="n">
        <f aca="false">IF(D1521="",1,0)</f>
        <v>0</v>
      </c>
      <c r="V1521" s="9" t="n">
        <f aca="false">IF(E1521="",1,0)</f>
        <v>0</v>
      </c>
      <c r="W1521" s="9" t="n">
        <f aca="false">IF(OR(H1521&lt;1,H1521&gt;10),1,0)</f>
        <v>0</v>
      </c>
      <c r="X1521" s="9" t="n">
        <f aca="false">IF(OR(I1521&lt;=0,I1521&gt;1500),1,0)</f>
        <v>0</v>
      </c>
      <c r="Y1521" s="9" t="n">
        <f aca="false">IF(J1521&gt;H1521*I1521,1,0)</f>
        <v>0</v>
      </c>
      <c r="Z1521" s="9" t="n">
        <f aca="false">IF(AND(N1521&lt;&gt;"",OR(N1521&lt;1,N1521&gt;5)),1,0)</f>
        <v>0</v>
      </c>
      <c r="AA1521" s="9" t="n">
        <f aca="false">IF(AND(M1521&lt;&gt;"",OR(M1521&lt;5,M1521&gt;180)),1,0)</f>
        <v>0</v>
      </c>
      <c r="AB1521" s="7" t="str">
        <f aca="false">IF(P1521="DUP","Exact duplicate row",IF(T1521=1,"Missing Order ID",IF(S1521="DROP","Duplicate Order ID (less complete row)",IF(U1521=1,"Missing Customer ID",IF(V1521=1,"Missing Restaurant name",IF(W1521=1,"Invalid/outlier quantity",IF(X1521=1,"Invalid/outlier unit price",IF(Y1521=1,"Discount greater than order value",""))))))))</f>
        <v/>
      </c>
      <c r="AC1521" s="7" t="str">
        <f aca="false">IF(AB1521="","KEEP","DROP")</f>
        <v>KEEP</v>
      </c>
      <c r="AD1521" s="7" t="str">
        <f aca="false">IF(TRIM(F1521)="",IFERROR(INDEX(Map_Tables!$I$4:$I$37,MATCH(TRIM(E1521),Map_Tables!$G$4:$G$37,0)),""),IFERROR(INDEX(Map_Tables!$B$4:$B$18,MATCH(TRIM(F1521),Map_Tables!$A$4:$A$18,0)),"CHECK"))</f>
        <v>Delhi</v>
      </c>
      <c r="AE1521" s="7" t="str">
        <f aca="false">IF(TRIM(E1521)="","",IFERROR(INDEX(Map_Tables!$H$4:$H$37,MATCH(TRIM(E1521),Map_Tables!$G$4:$G$37,0)),"CHECK"))</f>
        <v>Burger Barn</v>
      </c>
      <c r="AF1521" s="7" t="str">
        <f aca="false">IF(TRIM(K1521)="","Unknown",IFERROR(INDEX(Map_Tables!$E$4:$E$15,MATCH(TRIM(K1521),Map_Tables!$D$4:$D$15,0)),"CHECK"))</f>
        <v>UPI</v>
      </c>
      <c r="AG1521" s="7" t="str">
        <f aca="false">IF(LEFT(LOWER(TRIM(L1521)),6)="cancel","Cancelled","Delivered")</f>
        <v>Delivered</v>
      </c>
      <c r="AH1521" s="10" t="n">
        <f aca="false">IF(ISNUMBER(SEARCH("/",B1521)),DATE(VALUE(RIGHT(B1521,4)),VALUE(MID(B1521,4,2)),VALUE(LEFT(B1521,2))),IF(MID(B1521,5,1)="-",DATE(VALUE(LEFT(B1521,4)),VALUE(MID(B1521,6,2)),VALUE(RIGHT(B1521,2))),DATE(VALUE(RIGHT(B1521,4)),MATCH(MID(B1521,4,3),{"Jan","Feb","Mar","Apr","May","Jun","Jul","Aug","Sep","Oct","Nov","Dec"},0),VALUE(LEFT(B1521,2)))))</f>
        <v>45705</v>
      </c>
    </row>
    <row r="1522" customFormat="false" ht="15" hidden="false" customHeight="false" outlineLevel="0" collapsed="false">
      <c r="A1522" s="7" t="s">
        <v>3969</v>
      </c>
      <c r="B1522" s="7" t="s">
        <v>3970</v>
      </c>
      <c r="C1522" s="7" t="s">
        <v>3163</v>
      </c>
      <c r="D1522" s="7" t="s">
        <v>3971</v>
      </c>
      <c r="E1522" s="7" t="s">
        <v>165</v>
      </c>
      <c r="F1522" s="7" t="s">
        <v>146</v>
      </c>
      <c r="G1522" s="7" t="s">
        <v>90</v>
      </c>
      <c r="H1522" s="7" t="n">
        <v>1</v>
      </c>
      <c r="I1522" s="7" t="n">
        <v>210</v>
      </c>
      <c r="J1522" s="7" t="n">
        <v>0</v>
      </c>
      <c r="K1522" s="7" t="s">
        <v>133</v>
      </c>
      <c r="L1522" s="7" t="s">
        <v>194</v>
      </c>
      <c r="M1522" s="7" t="n">
        <v>28</v>
      </c>
      <c r="N1522" s="7" t="n">
        <v>4</v>
      </c>
      <c r="O1522" s="7" t="str">
        <f aca="false">A1522&amp;"|"&amp;B1522&amp;"|"&amp;C1522&amp;"|"&amp;D1522&amp;"|"&amp;E1522&amp;"|"&amp;F1522&amp;"|"&amp;G1522&amp;"|"&amp;H1522&amp;"|"&amp;I1522&amp;"|"&amp;J1522&amp;"|"&amp;K1522&amp;"|"&amp;L1522&amp;"|"&amp;M1522&amp;"|"&amp;N1522</f>
        <v>ORD11019|09/05/2025|19:28|C0101|Gujarati Thali Ghar|Ahmedabad|North Indian|1|210|0|Net Banking|Delivered|28|4</v>
      </c>
      <c r="P1522" s="7" t="str">
        <f aca="false">IF(COUNTIF($O$2:O1522,O1522)&gt;1,"DUP","OK")</f>
        <v>OK</v>
      </c>
      <c r="Q1522" s="7" t="n">
        <f aca="false">COUNTBLANK(A1522:N1522)</f>
        <v>0</v>
      </c>
      <c r="R1522" s="7" t="n">
        <f aca="false">IF(A1522="",0,COUNTIFS($A$2:$A$3058,A1522,$P$2:$P$3058,"OK"))</f>
        <v>1</v>
      </c>
      <c r="S1522" s="7" t="str">
        <f aca="false">IF(OR(A1522="",P1522="DUP",R1522&lt;2),"",IF(Q1522=_xlfn.MINIFS($Q$2:$Q$3058,$A$2:$A$3058,A1522,$P$2:$P$3058,"OK"),"KEEP","DROP"))</f>
        <v/>
      </c>
      <c r="T1522" s="9" t="n">
        <f aca="false">IF(A1522="",1,0)</f>
        <v>0</v>
      </c>
      <c r="U1522" s="9" t="n">
        <f aca="false">IF(D1522="",1,0)</f>
        <v>0</v>
      </c>
      <c r="V1522" s="9" t="n">
        <f aca="false">IF(E1522="",1,0)</f>
        <v>0</v>
      </c>
      <c r="W1522" s="9" t="n">
        <f aca="false">IF(OR(H1522&lt;1,H1522&gt;10),1,0)</f>
        <v>0</v>
      </c>
      <c r="X1522" s="9" t="n">
        <f aca="false">IF(OR(I1522&lt;=0,I1522&gt;1500),1,0)</f>
        <v>0</v>
      </c>
      <c r="Y1522" s="9" t="n">
        <f aca="false">IF(J1522&gt;H1522*I1522,1,0)</f>
        <v>0</v>
      </c>
      <c r="Z1522" s="9" t="n">
        <f aca="false">IF(AND(N1522&lt;&gt;"",OR(N1522&lt;1,N1522&gt;5)),1,0)</f>
        <v>0</v>
      </c>
      <c r="AA1522" s="9" t="n">
        <f aca="false">IF(AND(M1522&lt;&gt;"",OR(M1522&lt;5,M1522&gt;180)),1,0)</f>
        <v>0</v>
      </c>
      <c r="AB1522" s="7" t="str">
        <f aca="false">IF(P1522="DUP","Exact duplicate row",IF(T1522=1,"Missing Order ID",IF(S1522="DROP","Duplicate Order ID (less complete row)",IF(U1522=1,"Missing Customer ID",IF(V1522=1,"Missing Restaurant name",IF(W1522=1,"Invalid/outlier quantity",IF(X1522=1,"Invalid/outlier unit price",IF(Y1522=1,"Discount greater than order value",""))))))))</f>
        <v/>
      </c>
      <c r="AC1522" s="7" t="str">
        <f aca="false">IF(AB1522="","KEEP","DROP")</f>
        <v>KEEP</v>
      </c>
      <c r="AD1522" s="7" t="str">
        <f aca="false">IF(TRIM(F1522)="",IFERROR(INDEX(Map_Tables!$I$4:$I$37,MATCH(TRIM(E1522),Map_Tables!$G$4:$G$37,0)),""),IFERROR(INDEX(Map_Tables!$B$4:$B$18,MATCH(TRIM(F1522),Map_Tables!$A$4:$A$18,0)),"CHECK"))</f>
        <v>Ahmedabad</v>
      </c>
      <c r="AE1522" s="7" t="str">
        <f aca="false">IF(TRIM(E1522)="","",IFERROR(INDEX(Map_Tables!$H$4:$H$37,MATCH(TRIM(E1522),Map_Tables!$G$4:$G$37,0)),"CHECK"))</f>
        <v>Gujarati Thali Ghar</v>
      </c>
      <c r="AF1522" s="7" t="str">
        <f aca="false">IF(TRIM(K1522)="","Unknown",IFERROR(INDEX(Map_Tables!$E$4:$E$15,MATCH(TRIM(K1522),Map_Tables!$D$4:$D$15,0)),"CHECK"))</f>
        <v>Net Banking</v>
      </c>
      <c r="AG1522" s="7" t="str">
        <f aca="false">IF(LEFT(LOWER(TRIM(L1522)),6)="cancel","Cancelled","Delivered")</f>
        <v>Delivered</v>
      </c>
      <c r="AH1522" s="10" t="n">
        <f aca="false">IF(ISNUMBER(SEARCH("/",B1522)),DATE(VALUE(RIGHT(B1522,4)),VALUE(MID(B1522,4,2)),VALUE(LEFT(B1522,2))),IF(MID(B1522,5,1)="-",DATE(VALUE(LEFT(B1522,4)),VALUE(MID(B1522,6,2)),VALUE(RIGHT(B1522,2))),DATE(VALUE(RIGHT(B1522,4)),MATCH(MID(B1522,4,3),{"Jan","Feb","Mar","Apr","May","Jun","Jul","Aug","Sep","Oct","Nov","Dec"},0),VALUE(LEFT(B1522,2)))))</f>
        <v>45786</v>
      </c>
    </row>
    <row r="1523" customFormat="false" ht="15" hidden="false" customHeight="false" outlineLevel="0" collapsed="false">
      <c r="A1523" s="7" t="s">
        <v>3972</v>
      </c>
      <c r="B1523" s="7" t="s">
        <v>196</v>
      </c>
      <c r="C1523" s="7" t="s">
        <v>1809</v>
      </c>
      <c r="D1523" s="7" t="s">
        <v>548</v>
      </c>
      <c r="E1523" s="7" t="s">
        <v>149</v>
      </c>
      <c r="F1523" s="7" t="s">
        <v>119</v>
      </c>
      <c r="G1523" s="7" t="s">
        <v>150</v>
      </c>
      <c r="H1523" s="7" t="n">
        <v>3</v>
      </c>
      <c r="I1523" s="7" t="n">
        <v>165</v>
      </c>
      <c r="J1523" s="7" t="n">
        <v>0</v>
      </c>
      <c r="K1523" s="7" t="s">
        <v>112</v>
      </c>
      <c r="L1523" s="7" t="s">
        <v>238</v>
      </c>
      <c r="M1523" s="7"/>
      <c r="N1523" s="7"/>
      <c r="O1523" s="7" t="str">
        <f aca="false">A1523&amp;"|"&amp;B1523&amp;"|"&amp;C1523&amp;"|"&amp;D1523&amp;"|"&amp;E1523&amp;"|"&amp;F1523&amp;"|"&amp;G1523&amp;"|"&amp;H1523&amp;"|"&amp;I1523&amp;"|"&amp;J1523&amp;"|"&amp;K1523&amp;"|"&amp;L1523&amp;"|"&amp;M1523&amp;"|"&amp;N1523</f>
        <v>ORD12659|2025-11-24|12:07|C0901|Sweet Tooth Studio|Hyderabad|Desserts|3|165|0|Cash on Delivery|Cancelled||</v>
      </c>
      <c r="P1523" s="7" t="str">
        <f aca="false">IF(COUNTIF($O$2:O1523,O1523)&gt;1,"DUP","OK")</f>
        <v>OK</v>
      </c>
      <c r="Q1523" s="7" t="n">
        <f aca="false">COUNTBLANK(A1523:N1523)</f>
        <v>2</v>
      </c>
      <c r="R1523" s="7" t="n">
        <f aca="false">IF(A1523="",0,COUNTIFS($A$2:$A$3058,A1523,$P$2:$P$3058,"OK"))</f>
        <v>1</v>
      </c>
      <c r="S1523" s="7" t="str">
        <f aca="false">IF(OR(A1523="",P1523="DUP",R1523&lt;2),"",IF(Q1523=_xlfn.MINIFS($Q$2:$Q$3058,$A$2:$A$3058,A1523,$P$2:$P$3058,"OK"),"KEEP","DROP"))</f>
        <v/>
      </c>
      <c r="T1523" s="9" t="n">
        <f aca="false">IF(A1523="",1,0)</f>
        <v>0</v>
      </c>
      <c r="U1523" s="9" t="n">
        <f aca="false">IF(D1523="",1,0)</f>
        <v>0</v>
      </c>
      <c r="V1523" s="9" t="n">
        <f aca="false">IF(E1523="",1,0)</f>
        <v>0</v>
      </c>
      <c r="W1523" s="9" t="n">
        <f aca="false">IF(OR(H1523&lt;1,H1523&gt;10),1,0)</f>
        <v>0</v>
      </c>
      <c r="X1523" s="9" t="n">
        <f aca="false">IF(OR(I1523&lt;=0,I1523&gt;1500),1,0)</f>
        <v>0</v>
      </c>
      <c r="Y1523" s="9" t="n">
        <f aca="false">IF(J1523&gt;H1523*I1523,1,0)</f>
        <v>0</v>
      </c>
      <c r="Z1523" s="9" t="n">
        <f aca="false">IF(AND(N1523&lt;&gt;"",OR(N1523&lt;1,N1523&gt;5)),1,0)</f>
        <v>0</v>
      </c>
      <c r="AA1523" s="9" t="n">
        <f aca="false">IF(AND(M1523&lt;&gt;"",OR(M1523&lt;5,M1523&gt;180)),1,0)</f>
        <v>0</v>
      </c>
      <c r="AB1523" s="7" t="str">
        <f aca="false">IF(P1523="DUP","Exact duplicate row",IF(T1523=1,"Missing Order ID",IF(S1523="DROP","Duplicate Order ID (less complete row)",IF(U1523=1,"Missing Customer ID",IF(V1523=1,"Missing Restaurant name",IF(W1523=1,"Invalid/outlier quantity",IF(X1523=1,"Invalid/outlier unit price",IF(Y1523=1,"Discount greater than order value",""))))))))</f>
        <v/>
      </c>
      <c r="AC1523" s="7" t="str">
        <f aca="false">IF(AB1523="","KEEP","DROP")</f>
        <v>KEEP</v>
      </c>
      <c r="AD1523" s="7" t="str">
        <f aca="false">IF(TRIM(F1523)="",IFERROR(INDEX(Map_Tables!$I$4:$I$37,MATCH(TRIM(E1523),Map_Tables!$G$4:$G$37,0)),""),IFERROR(INDEX(Map_Tables!$B$4:$B$18,MATCH(TRIM(F1523),Map_Tables!$A$4:$A$18,0)),"CHECK"))</f>
        <v>Hyderabad</v>
      </c>
      <c r="AE1523" s="7" t="str">
        <f aca="false">IF(TRIM(E1523)="","",IFERROR(INDEX(Map_Tables!$H$4:$H$37,MATCH(TRIM(E1523),Map_Tables!$G$4:$G$37,0)),"CHECK"))</f>
        <v>Sweet Tooth Studio</v>
      </c>
      <c r="AF1523" s="7" t="str">
        <f aca="false">IF(TRIM(K1523)="","Unknown",IFERROR(INDEX(Map_Tables!$E$4:$E$15,MATCH(TRIM(K1523),Map_Tables!$D$4:$D$15,0)),"CHECK"))</f>
        <v>Cash on Delivery</v>
      </c>
      <c r="AG1523" s="7" t="str">
        <f aca="false">IF(LEFT(LOWER(TRIM(L1523)),6)="cancel","Cancelled","Delivered")</f>
        <v>Cancelled</v>
      </c>
      <c r="AH1523" s="10" t="n">
        <f aca="false">IF(ISNUMBER(SEARCH("/",B1523)),DATE(VALUE(RIGHT(B1523,4)),VALUE(MID(B1523,4,2)),VALUE(LEFT(B1523,2))),IF(MID(B1523,5,1)="-",DATE(VALUE(LEFT(B1523,4)),VALUE(MID(B1523,6,2)),VALUE(RIGHT(B1523,2))),DATE(VALUE(RIGHT(B1523,4)),MATCH(MID(B1523,4,3),{"Jan","Feb","Mar","Apr","May","Jun","Jul","Aug","Sep","Oct","Nov","Dec"},0),VALUE(LEFT(B1523,2)))))</f>
        <v>45985</v>
      </c>
    </row>
    <row r="1524" customFormat="false" ht="15" hidden="false" customHeight="false" outlineLevel="0" collapsed="false">
      <c r="A1524" s="7" t="s">
        <v>3973</v>
      </c>
      <c r="B1524" s="7" t="s">
        <v>2124</v>
      </c>
      <c r="C1524" s="7" t="s">
        <v>1873</v>
      </c>
      <c r="D1524" s="7" t="s">
        <v>3974</v>
      </c>
      <c r="E1524" s="7" t="s">
        <v>113</v>
      </c>
      <c r="F1524" s="7" t="s">
        <v>101</v>
      </c>
      <c r="G1524" s="7" t="s">
        <v>90</v>
      </c>
      <c r="H1524" s="7" t="n">
        <v>2</v>
      </c>
      <c r="I1524" s="7" t="n">
        <v>260</v>
      </c>
      <c r="J1524" s="7" t="n">
        <v>20</v>
      </c>
      <c r="K1524" s="7" t="s">
        <v>93</v>
      </c>
      <c r="L1524" s="7" t="s">
        <v>194</v>
      </c>
      <c r="M1524" s="7" t="n">
        <v>41</v>
      </c>
      <c r="N1524" s="7" t="n">
        <v>4</v>
      </c>
      <c r="O1524" s="7" t="str">
        <f aca="false">A1524&amp;"|"&amp;B1524&amp;"|"&amp;C1524&amp;"|"&amp;D1524&amp;"|"&amp;E1524&amp;"|"&amp;F1524&amp;"|"&amp;G1524&amp;"|"&amp;H1524&amp;"|"&amp;I1524&amp;"|"&amp;J1524&amp;"|"&amp;K1524&amp;"|"&amp;L1524&amp;"|"&amp;M1524&amp;"|"&amp;N1524</f>
        <v>ORD13000|2025-12-31|20:29|C1038|Curry Leaf Kitchen|Mumbai|North Indian|2|260|20|Credit Card|Delivered|41|4</v>
      </c>
      <c r="P1524" s="7" t="str">
        <f aca="false">IF(COUNTIF($O$2:O1524,O1524)&gt;1,"DUP","OK")</f>
        <v>OK</v>
      </c>
      <c r="Q1524" s="7" t="n">
        <f aca="false">COUNTBLANK(A1524:N1524)</f>
        <v>0</v>
      </c>
      <c r="R1524" s="7" t="n">
        <f aca="false">IF(A1524="",0,COUNTIFS($A$2:$A$3058,A1524,$P$2:$P$3058,"OK"))</f>
        <v>1</v>
      </c>
      <c r="S1524" s="7" t="str">
        <f aca="false">IF(OR(A1524="",P1524="DUP",R1524&lt;2),"",IF(Q1524=_xlfn.MINIFS($Q$2:$Q$3058,$A$2:$A$3058,A1524,$P$2:$P$3058,"OK"),"KEEP","DROP"))</f>
        <v/>
      </c>
      <c r="T1524" s="9" t="n">
        <f aca="false">IF(A1524="",1,0)</f>
        <v>0</v>
      </c>
      <c r="U1524" s="9" t="n">
        <f aca="false">IF(D1524="",1,0)</f>
        <v>0</v>
      </c>
      <c r="V1524" s="9" t="n">
        <f aca="false">IF(E1524="",1,0)</f>
        <v>0</v>
      </c>
      <c r="W1524" s="9" t="n">
        <f aca="false">IF(OR(H1524&lt;1,H1524&gt;10),1,0)</f>
        <v>0</v>
      </c>
      <c r="X1524" s="9" t="n">
        <f aca="false">IF(OR(I1524&lt;=0,I1524&gt;1500),1,0)</f>
        <v>0</v>
      </c>
      <c r="Y1524" s="9" t="n">
        <f aca="false">IF(J1524&gt;H1524*I1524,1,0)</f>
        <v>0</v>
      </c>
      <c r="Z1524" s="9" t="n">
        <f aca="false">IF(AND(N1524&lt;&gt;"",OR(N1524&lt;1,N1524&gt;5)),1,0)</f>
        <v>0</v>
      </c>
      <c r="AA1524" s="9" t="n">
        <f aca="false">IF(AND(M1524&lt;&gt;"",OR(M1524&lt;5,M1524&gt;180)),1,0)</f>
        <v>0</v>
      </c>
      <c r="AB1524" s="7" t="str">
        <f aca="false">IF(P1524="DUP","Exact duplicate row",IF(T1524=1,"Missing Order ID",IF(S1524="DROP","Duplicate Order ID (less complete row)",IF(U1524=1,"Missing Customer ID",IF(V1524=1,"Missing Restaurant name",IF(W1524=1,"Invalid/outlier quantity",IF(X1524=1,"Invalid/outlier unit price",IF(Y1524=1,"Discount greater than order value",""))))))))</f>
        <v/>
      </c>
      <c r="AC1524" s="7" t="str">
        <f aca="false">IF(AB1524="","KEEP","DROP")</f>
        <v>KEEP</v>
      </c>
      <c r="AD1524" s="7" t="str">
        <f aca="false">IF(TRIM(F1524)="",IFERROR(INDEX(Map_Tables!$I$4:$I$37,MATCH(TRIM(E1524),Map_Tables!$G$4:$G$37,0)),""),IFERROR(INDEX(Map_Tables!$B$4:$B$18,MATCH(TRIM(F1524),Map_Tables!$A$4:$A$18,0)),"CHECK"))</f>
        <v>Mumbai</v>
      </c>
      <c r="AE1524" s="7" t="str">
        <f aca="false">IF(TRIM(E1524)="","",IFERROR(INDEX(Map_Tables!$H$4:$H$37,MATCH(TRIM(E1524),Map_Tables!$G$4:$G$37,0)),"CHECK"))</f>
        <v>Curry Leaf Kitchen</v>
      </c>
      <c r="AF1524" s="7" t="str">
        <f aca="false">IF(TRIM(K1524)="","Unknown",IFERROR(INDEX(Map_Tables!$E$4:$E$15,MATCH(TRIM(K1524),Map_Tables!$D$4:$D$15,0)),"CHECK"))</f>
        <v>Credit Card</v>
      </c>
      <c r="AG1524" s="7" t="str">
        <f aca="false">IF(LEFT(LOWER(TRIM(L1524)),6)="cancel","Cancelled","Delivered")</f>
        <v>Delivered</v>
      </c>
      <c r="AH1524" s="10" t="n">
        <f aca="false">IF(ISNUMBER(SEARCH("/",B1524)),DATE(VALUE(RIGHT(B1524,4)),VALUE(MID(B1524,4,2)),VALUE(LEFT(B1524,2))),IF(MID(B1524,5,1)="-",DATE(VALUE(LEFT(B1524,4)),VALUE(MID(B1524,6,2)),VALUE(RIGHT(B1524,2))),DATE(VALUE(RIGHT(B1524,4)),MATCH(MID(B1524,4,3),{"Jan","Feb","Mar","Apr","May","Jun","Jul","Aug","Sep","Oct","Nov","Dec"},0),VALUE(LEFT(B1524,2)))))</f>
        <v>46022</v>
      </c>
    </row>
    <row r="1525" customFormat="false" ht="15" hidden="false" customHeight="false" outlineLevel="0" collapsed="false">
      <c r="A1525" s="7" t="s">
        <v>3975</v>
      </c>
      <c r="B1525" s="7" t="s">
        <v>3976</v>
      </c>
      <c r="C1525" s="7" t="s">
        <v>2860</v>
      </c>
      <c r="D1525" s="7" t="s">
        <v>3977</v>
      </c>
      <c r="E1525" s="7" t="s">
        <v>122</v>
      </c>
      <c r="F1525" s="7" t="s">
        <v>101</v>
      </c>
      <c r="G1525" s="7" t="s">
        <v>123</v>
      </c>
      <c r="H1525" s="7" t="n">
        <v>2</v>
      </c>
      <c r="I1525" s="7" t="n">
        <v>320</v>
      </c>
      <c r="J1525" s="7" t="n">
        <v>0</v>
      </c>
      <c r="K1525" s="7" t="s">
        <v>93</v>
      </c>
      <c r="L1525" s="7" t="s">
        <v>194</v>
      </c>
      <c r="M1525" s="7" t="n">
        <v>47</v>
      </c>
      <c r="N1525" s="7" t="n">
        <v>4</v>
      </c>
      <c r="O1525" s="7" t="str">
        <f aca="false">A1525&amp;"|"&amp;B1525&amp;"|"&amp;C1525&amp;"|"&amp;D1525&amp;"|"&amp;E1525&amp;"|"&amp;F1525&amp;"|"&amp;G1525&amp;"|"&amp;H1525&amp;"|"&amp;I1525&amp;"|"&amp;J1525&amp;"|"&amp;K1525&amp;"|"&amp;L1525&amp;"|"&amp;M1525&amp;"|"&amp;N1525</f>
        <v>ORD10916|25/04/2025|17:39|C0947|Mumbai Pizza Co|Mumbai|Pizza|2|320|0|Credit Card|Delivered|47|4</v>
      </c>
      <c r="P1525" s="7" t="str">
        <f aca="false">IF(COUNTIF($O$2:O1525,O1525)&gt;1,"DUP","OK")</f>
        <v>OK</v>
      </c>
      <c r="Q1525" s="7" t="n">
        <f aca="false">COUNTBLANK(A1525:N1525)</f>
        <v>0</v>
      </c>
      <c r="R1525" s="7" t="n">
        <f aca="false">IF(A1525="",0,COUNTIFS($A$2:$A$3058,A1525,$P$2:$P$3058,"OK"))</f>
        <v>1</v>
      </c>
      <c r="S1525" s="7" t="str">
        <f aca="false">IF(OR(A1525="",P1525="DUP",R1525&lt;2),"",IF(Q1525=_xlfn.MINIFS($Q$2:$Q$3058,$A$2:$A$3058,A1525,$P$2:$P$3058,"OK"),"KEEP","DROP"))</f>
        <v/>
      </c>
      <c r="T1525" s="9" t="n">
        <f aca="false">IF(A1525="",1,0)</f>
        <v>0</v>
      </c>
      <c r="U1525" s="9" t="n">
        <f aca="false">IF(D1525="",1,0)</f>
        <v>0</v>
      </c>
      <c r="V1525" s="9" t="n">
        <f aca="false">IF(E1525="",1,0)</f>
        <v>0</v>
      </c>
      <c r="W1525" s="9" t="n">
        <f aca="false">IF(OR(H1525&lt;1,H1525&gt;10),1,0)</f>
        <v>0</v>
      </c>
      <c r="X1525" s="9" t="n">
        <f aca="false">IF(OR(I1525&lt;=0,I1525&gt;1500),1,0)</f>
        <v>0</v>
      </c>
      <c r="Y1525" s="9" t="n">
        <f aca="false">IF(J1525&gt;H1525*I1525,1,0)</f>
        <v>0</v>
      </c>
      <c r="Z1525" s="9" t="n">
        <f aca="false">IF(AND(N1525&lt;&gt;"",OR(N1525&lt;1,N1525&gt;5)),1,0)</f>
        <v>0</v>
      </c>
      <c r="AA1525" s="9" t="n">
        <f aca="false">IF(AND(M1525&lt;&gt;"",OR(M1525&lt;5,M1525&gt;180)),1,0)</f>
        <v>0</v>
      </c>
      <c r="AB1525" s="7" t="str">
        <f aca="false">IF(P1525="DUP","Exact duplicate row",IF(T1525=1,"Missing Order ID",IF(S1525="DROP","Duplicate Order ID (less complete row)",IF(U1525=1,"Missing Customer ID",IF(V1525=1,"Missing Restaurant name",IF(W1525=1,"Invalid/outlier quantity",IF(X1525=1,"Invalid/outlier unit price",IF(Y1525=1,"Discount greater than order value",""))))))))</f>
        <v/>
      </c>
      <c r="AC1525" s="7" t="str">
        <f aca="false">IF(AB1525="","KEEP","DROP")</f>
        <v>KEEP</v>
      </c>
      <c r="AD1525" s="7" t="str">
        <f aca="false">IF(TRIM(F1525)="",IFERROR(INDEX(Map_Tables!$I$4:$I$37,MATCH(TRIM(E1525),Map_Tables!$G$4:$G$37,0)),""),IFERROR(INDEX(Map_Tables!$B$4:$B$18,MATCH(TRIM(F1525),Map_Tables!$A$4:$A$18,0)),"CHECK"))</f>
        <v>Mumbai</v>
      </c>
      <c r="AE1525" s="7" t="str">
        <f aca="false">IF(TRIM(E1525)="","",IFERROR(INDEX(Map_Tables!$H$4:$H$37,MATCH(TRIM(E1525),Map_Tables!$G$4:$G$37,0)),"CHECK"))</f>
        <v>Mumbai Pizza Co</v>
      </c>
      <c r="AF1525" s="7" t="str">
        <f aca="false">IF(TRIM(K1525)="","Unknown",IFERROR(INDEX(Map_Tables!$E$4:$E$15,MATCH(TRIM(K1525),Map_Tables!$D$4:$D$15,0)),"CHECK"))</f>
        <v>Credit Card</v>
      </c>
      <c r="AG1525" s="7" t="str">
        <f aca="false">IF(LEFT(LOWER(TRIM(L1525)),6)="cancel","Cancelled","Delivered")</f>
        <v>Delivered</v>
      </c>
      <c r="AH1525" s="10" t="n">
        <f aca="false">IF(ISNUMBER(SEARCH("/",B1525)),DATE(VALUE(RIGHT(B1525,4)),VALUE(MID(B1525,4,2)),VALUE(LEFT(B1525,2))),IF(MID(B1525,5,1)="-",DATE(VALUE(LEFT(B1525,4)),VALUE(MID(B1525,6,2)),VALUE(RIGHT(B1525,2))),DATE(VALUE(RIGHT(B1525,4)),MATCH(MID(B1525,4,3),{"Jan","Feb","Mar","Apr","May","Jun","Jul","Aug","Sep","Oct","Nov","Dec"},0),VALUE(LEFT(B1525,2)))))</f>
        <v>45772</v>
      </c>
    </row>
    <row r="1526" customFormat="false" ht="15" hidden="false" customHeight="false" outlineLevel="0" collapsed="false">
      <c r="A1526" s="7" t="s">
        <v>3978</v>
      </c>
      <c r="B1526" s="7" t="s">
        <v>1029</v>
      </c>
      <c r="C1526" s="7" t="s">
        <v>3979</v>
      </c>
      <c r="D1526" s="7" t="s">
        <v>416</v>
      </c>
      <c r="E1526" s="7" t="s">
        <v>155</v>
      </c>
      <c r="F1526" s="7" t="s">
        <v>128</v>
      </c>
      <c r="G1526" s="7" t="s">
        <v>156</v>
      </c>
      <c r="H1526" s="7" t="n">
        <v>4</v>
      </c>
      <c r="I1526" s="7" t="n">
        <v>285</v>
      </c>
      <c r="J1526" s="7" t="n">
        <v>20</v>
      </c>
      <c r="K1526" s="7" t="s">
        <v>93</v>
      </c>
      <c r="L1526" s="7" t="s">
        <v>194</v>
      </c>
      <c r="M1526" s="7" t="n">
        <v>35</v>
      </c>
      <c r="N1526" s="7" t="n">
        <v>4</v>
      </c>
      <c r="O1526" s="7" t="str">
        <f aca="false">A1526&amp;"|"&amp;B1526&amp;"|"&amp;C1526&amp;"|"&amp;D1526&amp;"|"&amp;E1526&amp;"|"&amp;F1526&amp;"|"&amp;G1526&amp;"|"&amp;H1526&amp;"|"&amp;I1526&amp;"|"&amp;J1526&amp;"|"&amp;K1526&amp;"|"&amp;L1526&amp;"|"&amp;M1526&amp;"|"&amp;N1526</f>
        <v>ORD10308|2025-02-11|10:49|C0410|Green Bowl Kitchen|Chennai|Healthy Food|4|285|20|Credit Card|Delivered|35|4</v>
      </c>
      <c r="P1526" s="7" t="str">
        <f aca="false">IF(COUNTIF($O$2:O1526,O1526)&gt;1,"DUP","OK")</f>
        <v>OK</v>
      </c>
      <c r="Q1526" s="7" t="n">
        <f aca="false">COUNTBLANK(A1526:N1526)</f>
        <v>0</v>
      </c>
      <c r="R1526" s="7" t="n">
        <f aca="false">IF(A1526="",0,COUNTIFS($A$2:$A$3058,A1526,$P$2:$P$3058,"OK"))</f>
        <v>1</v>
      </c>
      <c r="S1526" s="7" t="str">
        <f aca="false">IF(OR(A1526="",P1526="DUP",R1526&lt;2),"",IF(Q1526=_xlfn.MINIFS($Q$2:$Q$3058,$A$2:$A$3058,A1526,$P$2:$P$3058,"OK"),"KEEP","DROP"))</f>
        <v/>
      </c>
      <c r="T1526" s="9" t="n">
        <f aca="false">IF(A1526="",1,0)</f>
        <v>0</v>
      </c>
      <c r="U1526" s="9" t="n">
        <f aca="false">IF(D1526="",1,0)</f>
        <v>0</v>
      </c>
      <c r="V1526" s="9" t="n">
        <f aca="false">IF(E1526="",1,0)</f>
        <v>0</v>
      </c>
      <c r="W1526" s="9" t="n">
        <f aca="false">IF(OR(H1526&lt;1,H1526&gt;10),1,0)</f>
        <v>0</v>
      </c>
      <c r="X1526" s="9" t="n">
        <f aca="false">IF(OR(I1526&lt;=0,I1526&gt;1500),1,0)</f>
        <v>0</v>
      </c>
      <c r="Y1526" s="9" t="n">
        <f aca="false">IF(J1526&gt;H1526*I1526,1,0)</f>
        <v>0</v>
      </c>
      <c r="Z1526" s="9" t="n">
        <f aca="false">IF(AND(N1526&lt;&gt;"",OR(N1526&lt;1,N1526&gt;5)),1,0)</f>
        <v>0</v>
      </c>
      <c r="AA1526" s="9" t="n">
        <f aca="false">IF(AND(M1526&lt;&gt;"",OR(M1526&lt;5,M1526&gt;180)),1,0)</f>
        <v>0</v>
      </c>
      <c r="AB1526" s="7" t="str">
        <f aca="false">IF(P1526="DUP","Exact duplicate row",IF(T1526=1,"Missing Order ID",IF(S1526="DROP","Duplicate Order ID (less complete row)",IF(U1526=1,"Missing Customer ID",IF(V1526=1,"Missing Restaurant name",IF(W1526=1,"Invalid/outlier quantity",IF(X1526=1,"Invalid/outlier unit price",IF(Y1526=1,"Discount greater than order value",""))))))))</f>
        <v/>
      </c>
      <c r="AC1526" s="7" t="str">
        <f aca="false">IF(AB1526="","KEEP","DROP")</f>
        <v>KEEP</v>
      </c>
      <c r="AD1526" s="7" t="str">
        <f aca="false">IF(TRIM(F1526)="",IFERROR(INDEX(Map_Tables!$I$4:$I$37,MATCH(TRIM(E1526),Map_Tables!$G$4:$G$37,0)),""),IFERROR(INDEX(Map_Tables!$B$4:$B$18,MATCH(TRIM(F1526),Map_Tables!$A$4:$A$18,0)),"CHECK"))</f>
        <v>Chennai</v>
      </c>
      <c r="AE1526" s="7" t="str">
        <f aca="false">IF(TRIM(E1526)="","",IFERROR(INDEX(Map_Tables!$H$4:$H$37,MATCH(TRIM(E1526),Map_Tables!$G$4:$G$37,0)),"CHECK"))</f>
        <v>Green Bowl Kitchen</v>
      </c>
      <c r="AF1526" s="7" t="str">
        <f aca="false">IF(TRIM(K1526)="","Unknown",IFERROR(INDEX(Map_Tables!$E$4:$E$15,MATCH(TRIM(K1526),Map_Tables!$D$4:$D$15,0)),"CHECK"))</f>
        <v>Credit Card</v>
      </c>
      <c r="AG1526" s="7" t="str">
        <f aca="false">IF(LEFT(LOWER(TRIM(L1526)),6)="cancel","Cancelled","Delivered")</f>
        <v>Delivered</v>
      </c>
      <c r="AH1526" s="10" t="n">
        <f aca="false">IF(ISNUMBER(SEARCH("/",B1526)),DATE(VALUE(RIGHT(B1526,4)),VALUE(MID(B1526,4,2)),VALUE(LEFT(B1526,2))),IF(MID(B1526,5,1)="-",DATE(VALUE(LEFT(B1526,4)),VALUE(MID(B1526,6,2)),VALUE(RIGHT(B1526,2))),DATE(VALUE(RIGHT(B1526,4)),MATCH(MID(B1526,4,3),{"Jan","Feb","Mar","Apr","May","Jun","Jul","Aug","Sep","Oct","Nov","Dec"},0),VALUE(LEFT(B1526,2)))))</f>
        <v>45699</v>
      </c>
    </row>
    <row r="1527" customFormat="false" ht="15" hidden="false" customHeight="false" outlineLevel="0" collapsed="false">
      <c r="A1527" s="7" t="s">
        <v>3980</v>
      </c>
      <c r="B1527" s="7" t="s">
        <v>364</v>
      </c>
      <c r="C1527" s="7" t="s">
        <v>2882</v>
      </c>
      <c r="D1527" s="7" t="s">
        <v>2622</v>
      </c>
      <c r="E1527" s="7" t="s">
        <v>154</v>
      </c>
      <c r="F1527" s="7" t="s">
        <v>127</v>
      </c>
      <c r="G1527" s="7" t="s">
        <v>99</v>
      </c>
      <c r="H1527" s="7" t="n">
        <v>2</v>
      </c>
      <c r="I1527" s="7" t="n">
        <v>325</v>
      </c>
      <c r="J1527" s="7" t="n">
        <v>75</v>
      </c>
      <c r="K1527" s="7" t="s">
        <v>112</v>
      </c>
      <c r="L1527" s="7" t="s">
        <v>194</v>
      </c>
      <c r="M1527" s="7" t="n">
        <v>40</v>
      </c>
      <c r="N1527" s="7" t="n">
        <v>3</v>
      </c>
      <c r="O1527" s="7" t="str">
        <f aca="false">A1527&amp;"|"&amp;B1527&amp;"|"&amp;C1527&amp;"|"&amp;D1527&amp;"|"&amp;E1527&amp;"|"&amp;F1527&amp;"|"&amp;G1527&amp;"|"&amp;H1527&amp;"|"&amp;I1527&amp;"|"&amp;J1527&amp;"|"&amp;K1527&amp;"|"&amp;L1527&amp;"|"&amp;M1527&amp;"|"&amp;N1527</f>
        <v>ORD11414|2025-07-03|14:45|C0876|Madras Biryani Co|chennai|Biryani|2|325|75|Cash on Delivery|Delivered|40|3</v>
      </c>
      <c r="P1527" s="7" t="str">
        <f aca="false">IF(COUNTIF($O$2:O1527,O1527)&gt;1,"DUP","OK")</f>
        <v>OK</v>
      </c>
      <c r="Q1527" s="7" t="n">
        <f aca="false">COUNTBLANK(A1527:N1527)</f>
        <v>0</v>
      </c>
      <c r="R1527" s="7" t="n">
        <f aca="false">IF(A1527="",0,COUNTIFS($A$2:$A$3058,A1527,$P$2:$P$3058,"OK"))</f>
        <v>1</v>
      </c>
      <c r="S1527" s="7" t="str">
        <f aca="false">IF(OR(A1527="",P1527="DUP",R1527&lt;2),"",IF(Q1527=_xlfn.MINIFS($Q$2:$Q$3058,$A$2:$A$3058,A1527,$P$2:$P$3058,"OK"),"KEEP","DROP"))</f>
        <v/>
      </c>
      <c r="T1527" s="9" t="n">
        <f aca="false">IF(A1527="",1,0)</f>
        <v>0</v>
      </c>
      <c r="U1527" s="9" t="n">
        <f aca="false">IF(D1527="",1,0)</f>
        <v>0</v>
      </c>
      <c r="V1527" s="9" t="n">
        <f aca="false">IF(E1527="",1,0)</f>
        <v>0</v>
      </c>
      <c r="W1527" s="9" t="n">
        <f aca="false">IF(OR(H1527&lt;1,H1527&gt;10),1,0)</f>
        <v>0</v>
      </c>
      <c r="X1527" s="9" t="n">
        <f aca="false">IF(OR(I1527&lt;=0,I1527&gt;1500),1,0)</f>
        <v>0</v>
      </c>
      <c r="Y1527" s="9" t="n">
        <f aca="false">IF(J1527&gt;H1527*I1527,1,0)</f>
        <v>0</v>
      </c>
      <c r="Z1527" s="9" t="n">
        <f aca="false">IF(AND(N1527&lt;&gt;"",OR(N1527&lt;1,N1527&gt;5)),1,0)</f>
        <v>0</v>
      </c>
      <c r="AA1527" s="9" t="n">
        <f aca="false">IF(AND(M1527&lt;&gt;"",OR(M1527&lt;5,M1527&gt;180)),1,0)</f>
        <v>0</v>
      </c>
      <c r="AB1527" s="7" t="str">
        <f aca="false">IF(P1527="DUP","Exact duplicate row",IF(T1527=1,"Missing Order ID",IF(S1527="DROP","Duplicate Order ID (less complete row)",IF(U1527=1,"Missing Customer ID",IF(V1527=1,"Missing Restaurant name",IF(W1527=1,"Invalid/outlier quantity",IF(X1527=1,"Invalid/outlier unit price",IF(Y1527=1,"Discount greater than order value",""))))))))</f>
        <v/>
      </c>
      <c r="AC1527" s="7" t="str">
        <f aca="false">IF(AB1527="","KEEP","DROP")</f>
        <v>KEEP</v>
      </c>
      <c r="AD1527" s="7" t="str">
        <f aca="false">IF(TRIM(F1527)="",IFERROR(INDEX(Map_Tables!$I$4:$I$37,MATCH(TRIM(E1527),Map_Tables!$G$4:$G$37,0)),""),IFERROR(INDEX(Map_Tables!$B$4:$B$18,MATCH(TRIM(F1527),Map_Tables!$A$4:$A$18,0)),"CHECK"))</f>
        <v>Chennai</v>
      </c>
      <c r="AE1527" s="7" t="str">
        <f aca="false">IF(TRIM(E1527)="","",IFERROR(INDEX(Map_Tables!$H$4:$H$37,MATCH(TRIM(E1527),Map_Tables!$G$4:$G$37,0)),"CHECK"))</f>
        <v>Madras Biryani Co</v>
      </c>
      <c r="AF1527" s="7" t="str">
        <f aca="false">IF(TRIM(K1527)="","Unknown",IFERROR(INDEX(Map_Tables!$E$4:$E$15,MATCH(TRIM(K1527),Map_Tables!$D$4:$D$15,0)),"CHECK"))</f>
        <v>Cash on Delivery</v>
      </c>
      <c r="AG1527" s="7" t="str">
        <f aca="false">IF(LEFT(LOWER(TRIM(L1527)),6)="cancel","Cancelled","Delivered")</f>
        <v>Delivered</v>
      </c>
      <c r="AH1527" s="10" t="n">
        <f aca="false">IF(ISNUMBER(SEARCH("/",B1527)),DATE(VALUE(RIGHT(B1527,4)),VALUE(MID(B1527,4,2)),VALUE(LEFT(B1527,2))),IF(MID(B1527,5,1)="-",DATE(VALUE(LEFT(B1527,4)),VALUE(MID(B1527,6,2)),VALUE(RIGHT(B1527,2))),DATE(VALUE(RIGHT(B1527,4)),MATCH(MID(B1527,4,3),{"Jan","Feb","Mar","Apr","May","Jun","Jul","Aug","Sep","Oct","Nov","Dec"},0),VALUE(LEFT(B1527,2)))))</f>
        <v>45841</v>
      </c>
    </row>
    <row r="1528" customFormat="false" ht="15" hidden="false" customHeight="false" outlineLevel="0" collapsed="false">
      <c r="A1528" s="7" t="s">
        <v>3981</v>
      </c>
      <c r="B1528" s="7" t="s">
        <v>3386</v>
      </c>
      <c r="C1528" s="7" t="s">
        <v>2260</v>
      </c>
      <c r="D1528" s="7" t="s">
        <v>2664</v>
      </c>
      <c r="E1528" s="7" t="s">
        <v>89</v>
      </c>
      <c r="F1528" s="7" t="s">
        <v>86</v>
      </c>
      <c r="G1528" s="7" t="s">
        <v>90</v>
      </c>
      <c r="H1528" s="7" t="n">
        <v>2</v>
      </c>
      <c r="I1528" s="7" t="n">
        <v>220</v>
      </c>
      <c r="J1528" s="7" t="n">
        <v>0</v>
      </c>
      <c r="K1528" s="7" t="s">
        <v>379</v>
      </c>
      <c r="L1528" s="7" t="s">
        <v>194</v>
      </c>
      <c r="M1528" s="7" t="n">
        <v>46</v>
      </c>
      <c r="N1528" s="7" t="n">
        <v>2</v>
      </c>
      <c r="O1528" s="7" t="str">
        <f aca="false">A1528&amp;"|"&amp;B1528&amp;"|"&amp;C1528&amp;"|"&amp;D1528&amp;"|"&amp;E1528&amp;"|"&amp;F1528&amp;"|"&amp;G1528&amp;"|"&amp;H1528&amp;"|"&amp;I1528&amp;"|"&amp;J1528&amp;"|"&amp;K1528&amp;"|"&amp;L1528&amp;"|"&amp;M1528&amp;"|"&amp;N1528</f>
        <v>ORD10814|2025-04-13|20:30|C0971|Spice Junction|Bengaluru|North Indian|2|220|0|Credit card|Delivered|46|2</v>
      </c>
      <c r="P1528" s="7" t="str">
        <f aca="false">IF(COUNTIF($O$2:O1528,O1528)&gt;1,"DUP","OK")</f>
        <v>OK</v>
      </c>
      <c r="Q1528" s="7" t="n">
        <f aca="false">COUNTBLANK(A1528:N1528)</f>
        <v>0</v>
      </c>
      <c r="R1528" s="7" t="n">
        <f aca="false">IF(A1528="",0,COUNTIFS($A$2:$A$3058,A1528,$P$2:$P$3058,"OK"))</f>
        <v>1</v>
      </c>
      <c r="S1528" s="7" t="str">
        <f aca="false">IF(OR(A1528="",P1528="DUP",R1528&lt;2),"",IF(Q1528=_xlfn.MINIFS($Q$2:$Q$3058,$A$2:$A$3058,A1528,$P$2:$P$3058,"OK"),"KEEP","DROP"))</f>
        <v/>
      </c>
      <c r="T1528" s="9" t="n">
        <f aca="false">IF(A1528="",1,0)</f>
        <v>0</v>
      </c>
      <c r="U1528" s="9" t="n">
        <f aca="false">IF(D1528="",1,0)</f>
        <v>0</v>
      </c>
      <c r="V1528" s="9" t="n">
        <f aca="false">IF(E1528="",1,0)</f>
        <v>0</v>
      </c>
      <c r="W1528" s="9" t="n">
        <f aca="false">IF(OR(H1528&lt;1,H1528&gt;10),1,0)</f>
        <v>0</v>
      </c>
      <c r="X1528" s="9" t="n">
        <f aca="false">IF(OR(I1528&lt;=0,I1528&gt;1500),1,0)</f>
        <v>0</v>
      </c>
      <c r="Y1528" s="9" t="n">
        <f aca="false">IF(J1528&gt;H1528*I1528,1,0)</f>
        <v>0</v>
      </c>
      <c r="Z1528" s="9" t="n">
        <f aca="false">IF(AND(N1528&lt;&gt;"",OR(N1528&lt;1,N1528&gt;5)),1,0)</f>
        <v>0</v>
      </c>
      <c r="AA1528" s="9" t="n">
        <f aca="false">IF(AND(M1528&lt;&gt;"",OR(M1528&lt;5,M1528&gt;180)),1,0)</f>
        <v>0</v>
      </c>
      <c r="AB1528" s="7" t="str">
        <f aca="false">IF(P1528="DUP","Exact duplicate row",IF(T1528=1,"Missing Order ID",IF(S1528="DROP","Duplicate Order ID (less complete row)",IF(U1528=1,"Missing Customer ID",IF(V1528=1,"Missing Restaurant name",IF(W1528=1,"Invalid/outlier quantity",IF(X1528=1,"Invalid/outlier unit price",IF(Y1528=1,"Discount greater than order value",""))))))))</f>
        <v/>
      </c>
      <c r="AC1528" s="7" t="str">
        <f aca="false">IF(AB1528="","KEEP","DROP")</f>
        <v>KEEP</v>
      </c>
      <c r="AD1528" s="7" t="str">
        <f aca="false">IF(TRIM(F1528)="",IFERROR(INDEX(Map_Tables!$I$4:$I$37,MATCH(TRIM(E1528),Map_Tables!$G$4:$G$37,0)),""),IFERROR(INDEX(Map_Tables!$B$4:$B$18,MATCH(TRIM(F1528),Map_Tables!$A$4:$A$18,0)),"CHECK"))</f>
        <v>Bengaluru</v>
      </c>
      <c r="AE1528" s="7" t="str">
        <f aca="false">IF(TRIM(E1528)="","",IFERROR(INDEX(Map_Tables!$H$4:$H$37,MATCH(TRIM(E1528),Map_Tables!$G$4:$G$37,0)),"CHECK"))</f>
        <v>Spice Junction</v>
      </c>
      <c r="AF1528" s="7" t="str">
        <f aca="false">IF(TRIM(K1528)="","Unknown",IFERROR(INDEX(Map_Tables!$E$4:$E$15,MATCH(TRIM(K1528),Map_Tables!$D$4:$D$15,0)),"CHECK"))</f>
        <v>Credit Card</v>
      </c>
      <c r="AG1528" s="7" t="str">
        <f aca="false">IF(LEFT(LOWER(TRIM(L1528)),6)="cancel","Cancelled","Delivered")</f>
        <v>Delivered</v>
      </c>
      <c r="AH1528" s="10" t="n">
        <f aca="false">IF(ISNUMBER(SEARCH("/",B1528)),DATE(VALUE(RIGHT(B1528,4)),VALUE(MID(B1528,4,2)),VALUE(LEFT(B1528,2))),IF(MID(B1528,5,1)="-",DATE(VALUE(LEFT(B1528,4)),VALUE(MID(B1528,6,2)),VALUE(RIGHT(B1528,2))),DATE(VALUE(RIGHT(B1528,4)),MATCH(MID(B1528,4,3),{"Jan","Feb","Mar","Apr","May","Jun","Jul","Aug","Sep","Oct","Nov","Dec"},0),VALUE(LEFT(B1528,2)))))</f>
        <v>45760</v>
      </c>
    </row>
    <row r="1529" customFormat="false" ht="15" hidden="false" customHeight="false" outlineLevel="0" collapsed="false">
      <c r="A1529" s="7" t="s">
        <v>3982</v>
      </c>
      <c r="B1529" s="7" t="s">
        <v>782</v>
      </c>
      <c r="C1529" s="7" t="s">
        <v>1140</v>
      </c>
      <c r="D1529" s="7" t="s">
        <v>565</v>
      </c>
      <c r="E1529" s="7" t="s">
        <v>154</v>
      </c>
      <c r="F1529" s="7" t="s">
        <v>128</v>
      </c>
      <c r="G1529" s="7" t="s">
        <v>99</v>
      </c>
      <c r="H1529" s="7" t="n">
        <v>1</v>
      </c>
      <c r="I1529" s="7" t="n">
        <v>265</v>
      </c>
      <c r="J1529" s="7" t="n">
        <v>30</v>
      </c>
      <c r="K1529" s="7" t="s">
        <v>93</v>
      </c>
      <c r="L1529" s="7" t="s">
        <v>194</v>
      </c>
      <c r="M1529" s="7" t="n">
        <v>22</v>
      </c>
      <c r="N1529" s="7" t="n">
        <v>3</v>
      </c>
      <c r="O1529" s="7" t="str">
        <f aca="false">A1529&amp;"|"&amp;B1529&amp;"|"&amp;C1529&amp;"|"&amp;D1529&amp;"|"&amp;E1529&amp;"|"&amp;F1529&amp;"|"&amp;G1529&amp;"|"&amp;H1529&amp;"|"&amp;I1529&amp;"|"&amp;J1529&amp;"|"&amp;K1529&amp;"|"&amp;L1529&amp;"|"&amp;M1529&amp;"|"&amp;N1529</f>
        <v>ORD10042|2025-01-07|11:04|C1051|Madras Biryani Co|Chennai|Biryani|1|265|30|Credit Card|Delivered|22|3</v>
      </c>
      <c r="P1529" s="7" t="str">
        <f aca="false">IF(COUNTIF($O$2:O1529,O1529)&gt;1,"DUP","OK")</f>
        <v>OK</v>
      </c>
      <c r="Q1529" s="7" t="n">
        <f aca="false">COUNTBLANK(A1529:N1529)</f>
        <v>0</v>
      </c>
      <c r="R1529" s="7" t="n">
        <f aca="false">IF(A1529="",0,COUNTIFS($A$2:$A$3058,A1529,$P$2:$P$3058,"OK"))</f>
        <v>1</v>
      </c>
      <c r="S1529" s="7" t="str">
        <f aca="false">IF(OR(A1529="",P1529="DUP",R1529&lt;2),"",IF(Q1529=_xlfn.MINIFS($Q$2:$Q$3058,$A$2:$A$3058,A1529,$P$2:$P$3058,"OK"),"KEEP","DROP"))</f>
        <v/>
      </c>
      <c r="T1529" s="9" t="n">
        <f aca="false">IF(A1529="",1,0)</f>
        <v>0</v>
      </c>
      <c r="U1529" s="9" t="n">
        <f aca="false">IF(D1529="",1,0)</f>
        <v>0</v>
      </c>
      <c r="V1529" s="9" t="n">
        <f aca="false">IF(E1529="",1,0)</f>
        <v>0</v>
      </c>
      <c r="W1529" s="9" t="n">
        <f aca="false">IF(OR(H1529&lt;1,H1529&gt;10),1,0)</f>
        <v>0</v>
      </c>
      <c r="X1529" s="9" t="n">
        <f aca="false">IF(OR(I1529&lt;=0,I1529&gt;1500),1,0)</f>
        <v>0</v>
      </c>
      <c r="Y1529" s="9" t="n">
        <f aca="false">IF(J1529&gt;H1529*I1529,1,0)</f>
        <v>0</v>
      </c>
      <c r="Z1529" s="9" t="n">
        <f aca="false">IF(AND(N1529&lt;&gt;"",OR(N1529&lt;1,N1529&gt;5)),1,0)</f>
        <v>0</v>
      </c>
      <c r="AA1529" s="9" t="n">
        <f aca="false">IF(AND(M1529&lt;&gt;"",OR(M1529&lt;5,M1529&gt;180)),1,0)</f>
        <v>0</v>
      </c>
      <c r="AB1529" s="7" t="str">
        <f aca="false">IF(P1529="DUP","Exact duplicate row",IF(T1529=1,"Missing Order ID",IF(S1529="DROP","Duplicate Order ID (less complete row)",IF(U1529=1,"Missing Customer ID",IF(V1529=1,"Missing Restaurant name",IF(W1529=1,"Invalid/outlier quantity",IF(X1529=1,"Invalid/outlier unit price",IF(Y1529=1,"Discount greater than order value",""))))))))</f>
        <v/>
      </c>
      <c r="AC1529" s="7" t="str">
        <f aca="false">IF(AB1529="","KEEP","DROP")</f>
        <v>KEEP</v>
      </c>
      <c r="AD1529" s="7" t="str">
        <f aca="false">IF(TRIM(F1529)="",IFERROR(INDEX(Map_Tables!$I$4:$I$37,MATCH(TRIM(E1529),Map_Tables!$G$4:$G$37,0)),""),IFERROR(INDEX(Map_Tables!$B$4:$B$18,MATCH(TRIM(F1529),Map_Tables!$A$4:$A$18,0)),"CHECK"))</f>
        <v>Chennai</v>
      </c>
      <c r="AE1529" s="7" t="str">
        <f aca="false">IF(TRIM(E1529)="","",IFERROR(INDEX(Map_Tables!$H$4:$H$37,MATCH(TRIM(E1529),Map_Tables!$G$4:$G$37,0)),"CHECK"))</f>
        <v>Madras Biryani Co</v>
      </c>
      <c r="AF1529" s="7" t="str">
        <f aca="false">IF(TRIM(K1529)="","Unknown",IFERROR(INDEX(Map_Tables!$E$4:$E$15,MATCH(TRIM(K1529),Map_Tables!$D$4:$D$15,0)),"CHECK"))</f>
        <v>Credit Card</v>
      </c>
      <c r="AG1529" s="7" t="str">
        <f aca="false">IF(LEFT(LOWER(TRIM(L1529)),6)="cancel","Cancelled","Delivered")</f>
        <v>Delivered</v>
      </c>
      <c r="AH1529" s="10" t="n">
        <f aca="false">IF(ISNUMBER(SEARCH("/",B1529)),DATE(VALUE(RIGHT(B1529,4)),VALUE(MID(B1529,4,2)),VALUE(LEFT(B1529,2))),IF(MID(B1529,5,1)="-",DATE(VALUE(LEFT(B1529,4)),VALUE(MID(B1529,6,2)),VALUE(RIGHT(B1529,2))),DATE(VALUE(RIGHT(B1529,4)),MATCH(MID(B1529,4,3),{"Jan","Feb","Mar","Apr","May","Jun","Jul","Aug","Sep","Oct","Nov","Dec"},0),VALUE(LEFT(B1529,2)))))</f>
        <v>45664</v>
      </c>
    </row>
    <row r="1530" customFormat="false" ht="15" hidden="false" customHeight="false" outlineLevel="0" collapsed="false">
      <c r="A1530" s="7" t="s">
        <v>3983</v>
      </c>
      <c r="B1530" s="7" t="s">
        <v>1183</v>
      </c>
      <c r="C1530" s="7" t="s">
        <v>3209</v>
      </c>
      <c r="D1530" s="7" t="s">
        <v>3984</v>
      </c>
      <c r="E1530" s="7" t="s">
        <v>161</v>
      </c>
      <c r="F1530" s="7" t="s">
        <v>140</v>
      </c>
      <c r="G1530" s="7" t="s">
        <v>117</v>
      </c>
      <c r="H1530" s="7" t="n">
        <v>4</v>
      </c>
      <c r="I1530" s="7" t="n">
        <v>150</v>
      </c>
      <c r="J1530" s="7" t="n">
        <v>30</v>
      </c>
      <c r="K1530" s="7" t="s">
        <v>93</v>
      </c>
      <c r="L1530" s="7" t="s">
        <v>194</v>
      </c>
      <c r="M1530" s="7" t="n">
        <v>48</v>
      </c>
      <c r="N1530" s="7" t="n">
        <v>3</v>
      </c>
      <c r="O1530" s="7" t="str">
        <f aca="false">A1530&amp;"|"&amp;B1530&amp;"|"&amp;C1530&amp;"|"&amp;D1530&amp;"|"&amp;E1530&amp;"|"&amp;F1530&amp;"|"&amp;G1530&amp;"|"&amp;H1530&amp;"|"&amp;I1530&amp;"|"&amp;J1530&amp;"|"&amp;K1530&amp;"|"&amp;L1530&amp;"|"&amp;M1530&amp;"|"&amp;N1530</f>
        <v>ORD11587|2025-07-26|20:08|C1247|Bengal Bites|kolkata|Street Food|4|150|30|Credit Card|Delivered|48|3</v>
      </c>
      <c r="P1530" s="7" t="str">
        <f aca="false">IF(COUNTIF($O$2:O1530,O1530)&gt;1,"DUP","OK")</f>
        <v>OK</v>
      </c>
      <c r="Q1530" s="7" t="n">
        <f aca="false">COUNTBLANK(A1530:N1530)</f>
        <v>0</v>
      </c>
      <c r="R1530" s="7" t="n">
        <f aca="false">IF(A1530="",0,COUNTIFS($A$2:$A$3058,A1530,$P$2:$P$3058,"OK"))</f>
        <v>1</v>
      </c>
      <c r="S1530" s="7" t="str">
        <f aca="false">IF(OR(A1530="",P1530="DUP",R1530&lt;2),"",IF(Q1530=_xlfn.MINIFS($Q$2:$Q$3058,$A$2:$A$3058,A1530,$P$2:$P$3058,"OK"),"KEEP","DROP"))</f>
        <v/>
      </c>
      <c r="T1530" s="9" t="n">
        <f aca="false">IF(A1530="",1,0)</f>
        <v>0</v>
      </c>
      <c r="U1530" s="9" t="n">
        <f aca="false">IF(D1530="",1,0)</f>
        <v>0</v>
      </c>
      <c r="V1530" s="9" t="n">
        <f aca="false">IF(E1530="",1,0)</f>
        <v>0</v>
      </c>
      <c r="W1530" s="9" t="n">
        <f aca="false">IF(OR(H1530&lt;1,H1530&gt;10),1,0)</f>
        <v>0</v>
      </c>
      <c r="X1530" s="9" t="n">
        <f aca="false">IF(OR(I1530&lt;=0,I1530&gt;1500),1,0)</f>
        <v>0</v>
      </c>
      <c r="Y1530" s="9" t="n">
        <f aca="false">IF(J1530&gt;H1530*I1530,1,0)</f>
        <v>0</v>
      </c>
      <c r="Z1530" s="9" t="n">
        <f aca="false">IF(AND(N1530&lt;&gt;"",OR(N1530&lt;1,N1530&gt;5)),1,0)</f>
        <v>0</v>
      </c>
      <c r="AA1530" s="9" t="n">
        <f aca="false">IF(AND(M1530&lt;&gt;"",OR(M1530&lt;5,M1530&gt;180)),1,0)</f>
        <v>0</v>
      </c>
      <c r="AB1530" s="7" t="str">
        <f aca="false">IF(P1530="DUP","Exact duplicate row",IF(T1530=1,"Missing Order ID",IF(S1530="DROP","Duplicate Order ID (less complete row)",IF(U1530=1,"Missing Customer ID",IF(V1530=1,"Missing Restaurant name",IF(W1530=1,"Invalid/outlier quantity",IF(X1530=1,"Invalid/outlier unit price",IF(Y1530=1,"Discount greater than order value",""))))))))</f>
        <v/>
      </c>
      <c r="AC1530" s="7" t="str">
        <f aca="false">IF(AB1530="","KEEP","DROP")</f>
        <v>KEEP</v>
      </c>
      <c r="AD1530" s="7" t="str">
        <f aca="false">IF(TRIM(F1530)="",IFERROR(INDEX(Map_Tables!$I$4:$I$37,MATCH(TRIM(E1530),Map_Tables!$G$4:$G$37,0)),""),IFERROR(INDEX(Map_Tables!$B$4:$B$18,MATCH(TRIM(F1530),Map_Tables!$A$4:$A$18,0)),"CHECK"))</f>
        <v>Kolkata</v>
      </c>
      <c r="AE1530" s="7" t="str">
        <f aca="false">IF(TRIM(E1530)="","",IFERROR(INDEX(Map_Tables!$H$4:$H$37,MATCH(TRIM(E1530),Map_Tables!$G$4:$G$37,0)),"CHECK"))</f>
        <v>Bengal Bites</v>
      </c>
      <c r="AF1530" s="7" t="str">
        <f aca="false">IF(TRIM(K1530)="","Unknown",IFERROR(INDEX(Map_Tables!$E$4:$E$15,MATCH(TRIM(K1530),Map_Tables!$D$4:$D$15,0)),"CHECK"))</f>
        <v>Credit Card</v>
      </c>
      <c r="AG1530" s="7" t="str">
        <f aca="false">IF(LEFT(LOWER(TRIM(L1530)),6)="cancel","Cancelled","Delivered")</f>
        <v>Delivered</v>
      </c>
      <c r="AH1530" s="10" t="n">
        <f aca="false">IF(ISNUMBER(SEARCH("/",B1530)),DATE(VALUE(RIGHT(B1530,4)),VALUE(MID(B1530,4,2)),VALUE(LEFT(B1530,2))),IF(MID(B1530,5,1)="-",DATE(VALUE(LEFT(B1530,4)),VALUE(MID(B1530,6,2)),VALUE(RIGHT(B1530,2))),DATE(VALUE(RIGHT(B1530,4)),MATCH(MID(B1530,4,3),{"Jan","Feb","Mar","Apr","May","Jun","Jul","Aug","Sep","Oct","Nov","Dec"},0),VALUE(LEFT(B1530,2)))))</f>
        <v>45864</v>
      </c>
    </row>
    <row r="1531" customFormat="false" ht="15" hidden="false" customHeight="false" outlineLevel="0" collapsed="false">
      <c r="A1531" s="7" t="s">
        <v>3985</v>
      </c>
      <c r="B1531" s="7" t="s">
        <v>3986</v>
      </c>
      <c r="C1531" s="7" t="s">
        <v>2456</v>
      </c>
      <c r="D1531" s="7" t="s">
        <v>908</v>
      </c>
      <c r="E1531" s="7" t="s">
        <v>94</v>
      </c>
      <c r="F1531" s="7" t="s">
        <v>86</v>
      </c>
      <c r="G1531" s="7" t="s">
        <v>95</v>
      </c>
      <c r="H1531" s="7" t="n">
        <v>3</v>
      </c>
      <c r="I1531" s="7" t="n">
        <v>135</v>
      </c>
      <c r="J1531" s="7" t="n">
        <v>30</v>
      </c>
      <c r="K1531" s="7" t="s">
        <v>92</v>
      </c>
      <c r="L1531" s="7" t="s">
        <v>194</v>
      </c>
      <c r="M1531" s="7" t="n">
        <v>36</v>
      </c>
      <c r="N1531" s="7"/>
      <c r="O1531" s="7" t="str">
        <f aca="false">A1531&amp;"|"&amp;B1531&amp;"|"&amp;C1531&amp;"|"&amp;D1531&amp;"|"&amp;E1531&amp;"|"&amp;F1531&amp;"|"&amp;G1531&amp;"|"&amp;H1531&amp;"|"&amp;I1531&amp;"|"&amp;J1531&amp;"|"&amp;K1531&amp;"|"&amp;L1531&amp;"|"&amp;M1531&amp;"|"&amp;N1531</f>
        <v>ORD11406|2025-07-02|13:04|C0417|Dosa Darbar|Bengaluru|South Indian|3|135|30|credit card|Delivered|36|</v>
      </c>
      <c r="P1531" s="7" t="str">
        <f aca="false">IF(COUNTIF($O$2:O1531,O1531)&gt;1,"DUP","OK")</f>
        <v>OK</v>
      </c>
      <c r="Q1531" s="7" t="n">
        <f aca="false">COUNTBLANK(A1531:N1531)</f>
        <v>1</v>
      </c>
      <c r="R1531" s="7" t="n">
        <f aca="false">IF(A1531="",0,COUNTIFS($A$2:$A$3058,A1531,$P$2:$P$3058,"OK"))</f>
        <v>1</v>
      </c>
      <c r="S1531" s="7" t="str">
        <f aca="false">IF(OR(A1531="",P1531="DUP",R1531&lt;2),"",IF(Q1531=_xlfn.MINIFS($Q$2:$Q$3058,$A$2:$A$3058,A1531,$P$2:$P$3058,"OK"),"KEEP","DROP"))</f>
        <v/>
      </c>
      <c r="T1531" s="9" t="n">
        <f aca="false">IF(A1531="",1,0)</f>
        <v>0</v>
      </c>
      <c r="U1531" s="9" t="n">
        <f aca="false">IF(D1531="",1,0)</f>
        <v>0</v>
      </c>
      <c r="V1531" s="9" t="n">
        <f aca="false">IF(E1531="",1,0)</f>
        <v>0</v>
      </c>
      <c r="W1531" s="9" t="n">
        <f aca="false">IF(OR(H1531&lt;1,H1531&gt;10),1,0)</f>
        <v>0</v>
      </c>
      <c r="X1531" s="9" t="n">
        <f aca="false">IF(OR(I1531&lt;=0,I1531&gt;1500),1,0)</f>
        <v>0</v>
      </c>
      <c r="Y1531" s="9" t="n">
        <f aca="false">IF(J1531&gt;H1531*I1531,1,0)</f>
        <v>0</v>
      </c>
      <c r="Z1531" s="9" t="n">
        <f aca="false">IF(AND(N1531&lt;&gt;"",OR(N1531&lt;1,N1531&gt;5)),1,0)</f>
        <v>0</v>
      </c>
      <c r="AA1531" s="9" t="n">
        <f aca="false">IF(AND(M1531&lt;&gt;"",OR(M1531&lt;5,M1531&gt;180)),1,0)</f>
        <v>0</v>
      </c>
      <c r="AB1531" s="7" t="str">
        <f aca="false">IF(P1531="DUP","Exact duplicate row",IF(T1531=1,"Missing Order ID",IF(S1531="DROP","Duplicate Order ID (less complete row)",IF(U1531=1,"Missing Customer ID",IF(V1531=1,"Missing Restaurant name",IF(W1531=1,"Invalid/outlier quantity",IF(X1531=1,"Invalid/outlier unit price",IF(Y1531=1,"Discount greater than order value",""))))))))</f>
        <v/>
      </c>
      <c r="AC1531" s="7" t="str">
        <f aca="false">IF(AB1531="","KEEP","DROP")</f>
        <v>KEEP</v>
      </c>
      <c r="AD1531" s="7" t="str">
        <f aca="false">IF(TRIM(F1531)="",IFERROR(INDEX(Map_Tables!$I$4:$I$37,MATCH(TRIM(E1531),Map_Tables!$G$4:$G$37,0)),""),IFERROR(INDEX(Map_Tables!$B$4:$B$18,MATCH(TRIM(F1531),Map_Tables!$A$4:$A$18,0)),"CHECK"))</f>
        <v>Bengaluru</v>
      </c>
      <c r="AE1531" s="7" t="str">
        <f aca="false">IF(TRIM(E1531)="","",IFERROR(INDEX(Map_Tables!$H$4:$H$37,MATCH(TRIM(E1531),Map_Tables!$G$4:$G$37,0)),"CHECK"))</f>
        <v>Dosa Darbar</v>
      </c>
      <c r="AF1531" s="7" t="str">
        <f aca="false">IF(TRIM(K1531)="","Unknown",IFERROR(INDEX(Map_Tables!$E$4:$E$15,MATCH(TRIM(K1531),Map_Tables!$D$4:$D$15,0)),"CHECK"))</f>
        <v>Credit Card</v>
      </c>
      <c r="AG1531" s="7" t="str">
        <f aca="false">IF(LEFT(LOWER(TRIM(L1531)),6)="cancel","Cancelled","Delivered")</f>
        <v>Delivered</v>
      </c>
      <c r="AH1531" s="10" t="n">
        <f aca="false">IF(ISNUMBER(SEARCH("/",B1531)),DATE(VALUE(RIGHT(B1531,4)),VALUE(MID(B1531,4,2)),VALUE(LEFT(B1531,2))),IF(MID(B1531,5,1)="-",DATE(VALUE(LEFT(B1531,4)),VALUE(MID(B1531,6,2)),VALUE(RIGHT(B1531,2))),DATE(VALUE(RIGHT(B1531,4)),MATCH(MID(B1531,4,3),{"Jan","Feb","Mar","Apr","May","Jun","Jul","Aug","Sep","Oct","Nov","Dec"},0),VALUE(LEFT(B1531,2)))))</f>
        <v>45840</v>
      </c>
    </row>
    <row r="1532" customFormat="false" ht="15" hidden="false" customHeight="false" outlineLevel="0" collapsed="false">
      <c r="A1532" s="7" t="s">
        <v>2650</v>
      </c>
      <c r="B1532" s="7" t="s">
        <v>984</v>
      </c>
      <c r="C1532" s="7" t="s">
        <v>1478</v>
      </c>
      <c r="D1532" s="7" t="s">
        <v>2651</v>
      </c>
      <c r="E1532" s="7" t="s">
        <v>144</v>
      </c>
      <c r="F1532" s="7" t="s">
        <v>119</v>
      </c>
      <c r="G1532" s="7" t="s">
        <v>99</v>
      </c>
      <c r="H1532" s="7" t="n">
        <v>1</v>
      </c>
      <c r="I1532" s="7" t="n">
        <v>285</v>
      </c>
      <c r="J1532" s="7" t="n">
        <v>0</v>
      </c>
      <c r="K1532" s="7" t="s">
        <v>1739</v>
      </c>
      <c r="L1532" s="7" t="s">
        <v>194</v>
      </c>
      <c r="M1532" s="7" t="n">
        <v>35</v>
      </c>
      <c r="N1532" s="7" t="n">
        <v>4</v>
      </c>
      <c r="O1532" s="7" t="str">
        <f aca="false">A1532&amp;"|"&amp;B1532&amp;"|"&amp;C1532&amp;"|"&amp;D1532&amp;"|"&amp;E1532&amp;"|"&amp;F1532&amp;"|"&amp;G1532&amp;"|"&amp;H1532&amp;"|"&amp;I1532&amp;"|"&amp;J1532&amp;"|"&amp;K1532&amp;"|"&amp;L1532&amp;"|"&amp;M1532&amp;"|"&amp;N1532</f>
        <v>ORD10616|2025-03-19|13:16|C0402|Hyderabad Dum Biryani|Hyderabad|Biryani|1|285|0|CC|Delivered|35|4</v>
      </c>
      <c r="P1532" s="7" t="str">
        <f aca="false">IF(COUNTIF($O$2:O1532,O1532)&gt;1,"DUP","OK")</f>
        <v>OK</v>
      </c>
      <c r="Q1532" s="7" t="n">
        <f aca="false">COUNTBLANK(A1532:N1532)</f>
        <v>0</v>
      </c>
      <c r="R1532" s="7" t="n">
        <f aca="false">IF(A1532="",0,COUNTIFS($A$2:$A$3058,A1532,$P$2:$P$3058,"OK"))</f>
        <v>2</v>
      </c>
      <c r="S1532" s="7" t="str">
        <f aca="false">IF(OR(A1532="",P1532="DUP",R1532&lt;2),"",IF(Q1532=_xlfn.MINIFS($Q$2:$Q$3058,$A$2:$A$3058,A1532,$P$2:$P$3058,"OK"),"KEEP","DROP"))</f>
        <v>KEEP</v>
      </c>
      <c r="T1532" s="9" t="n">
        <f aca="false">IF(A1532="",1,0)</f>
        <v>0</v>
      </c>
      <c r="U1532" s="9" t="n">
        <f aca="false">IF(D1532="",1,0)</f>
        <v>0</v>
      </c>
      <c r="V1532" s="9" t="n">
        <f aca="false">IF(E1532="",1,0)</f>
        <v>0</v>
      </c>
      <c r="W1532" s="9" t="n">
        <f aca="false">IF(OR(H1532&lt;1,H1532&gt;10),1,0)</f>
        <v>0</v>
      </c>
      <c r="X1532" s="9" t="n">
        <f aca="false">IF(OR(I1532&lt;=0,I1532&gt;1500),1,0)</f>
        <v>0</v>
      </c>
      <c r="Y1532" s="9" t="n">
        <f aca="false">IF(J1532&gt;H1532*I1532,1,0)</f>
        <v>0</v>
      </c>
      <c r="Z1532" s="9" t="n">
        <f aca="false">IF(AND(N1532&lt;&gt;"",OR(N1532&lt;1,N1532&gt;5)),1,0)</f>
        <v>0</v>
      </c>
      <c r="AA1532" s="9" t="n">
        <f aca="false">IF(AND(M1532&lt;&gt;"",OR(M1532&lt;5,M1532&gt;180)),1,0)</f>
        <v>0</v>
      </c>
      <c r="AB1532" s="7" t="str">
        <f aca="false">IF(P1532="DUP","Exact duplicate row",IF(T1532=1,"Missing Order ID",IF(S1532="DROP","Duplicate Order ID (less complete row)",IF(U1532=1,"Missing Customer ID",IF(V1532=1,"Missing Restaurant name",IF(W1532=1,"Invalid/outlier quantity",IF(X1532=1,"Invalid/outlier unit price",IF(Y1532=1,"Discount greater than order value",""))))))))</f>
        <v/>
      </c>
      <c r="AC1532" s="7" t="str">
        <f aca="false">IF(AB1532="","KEEP","DROP")</f>
        <v>KEEP</v>
      </c>
      <c r="AD1532" s="7" t="str">
        <f aca="false">IF(TRIM(F1532)="",IFERROR(INDEX(Map_Tables!$I$4:$I$37,MATCH(TRIM(E1532),Map_Tables!$G$4:$G$37,0)),""),IFERROR(INDEX(Map_Tables!$B$4:$B$18,MATCH(TRIM(F1532),Map_Tables!$A$4:$A$18,0)),"CHECK"))</f>
        <v>Hyderabad</v>
      </c>
      <c r="AE1532" s="7" t="str">
        <f aca="false">IF(TRIM(E1532)="","",IFERROR(INDEX(Map_Tables!$H$4:$H$37,MATCH(TRIM(E1532),Map_Tables!$G$4:$G$37,0)),"CHECK"))</f>
        <v>Hyderabad Dum Biryani</v>
      </c>
      <c r="AF1532" s="7" t="str">
        <f aca="false">IF(TRIM(K1532)="","Unknown",IFERROR(INDEX(Map_Tables!$E$4:$E$15,MATCH(TRIM(K1532),Map_Tables!$D$4:$D$15,0)),"CHECK"))</f>
        <v>Credit Card</v>
      </c>
      <c r="AG1532" s="7" t="str">
        <f aca="false">IF(LEFT(LOWER(TRIM(L1532)),6)="cancel","Cancelled","Delivered")</f>
        <v>Delivered</v>
      </c>
      <c r="AH1532" s="10" t="n">
        <f aca="false">IF(ISNUMBER(SEARCH("/",B1532)),DATE(VALUE(RIGHT(B1532,4)),VALUE(MID(B1532,4,2)),VALUE(LEFT(B1532,2))),IF(MID(B1532,5,1)="-",DATE(VALUE(LEFT(B1532,4)),VALUE(MID(B1532,6,2)),VALUE(RIGHT(B1532,2))),DATE(VALUE(RIGHT(B1532,4)),MATCH(MID(B1532,4,3),{"Jan","Feb","Mar","Apr","May","Jun","Jul","Aug","Sep","Oct","Nov","Dec"},0),VALUE(LEFT(B1532,2)))))</f>
        <v>45735</v>
      </c>
    </row>
    <row r="1533" customFormat="false" ht="15" hidden="false" customHeight="false" outlineLevel="0" collapsed="false">
      <c r="A1533" s="7" t="s">
        <v>3987</v>
      </c>
      <c r="B1533" s="7" t="s">
        <v>1532</v>
      </c>
      <c r="C1533" s="7" t="s">
        <v>944</v>
      </c>
      <c r="D1533" s="7" t="s">
        <v>1115</v>
      </c>
      <c r="E1533" s="7" t="s">
        <v>130</v>
      </c>
      <c r="F1533" s="7" t="s">
        <v>109</v>
      </c>
      <c r="G1533" s="7" t="s">
        <v>90</v>
      </c>
      <c r="H1533" s="7" t="n">
        <v>2</v>
      </c>
      <c r="I1533" s="7" t="n">
        <v>280</v>
      </c>
      <c r="J1533" s="7" t="n">
        <v>30</v>
      </c>
      <c r="K1533" s="7" t="s">
        <v>112</v>
      </c>
      <c r="L1533" s="7" t="s">
        <v>238</v>
      </c>
      <c r="M1533" s="7"/>
      <c r="N1533" s="7"/>
      <c r="O1533" s="7" t="str">
        <f aca="false">A1533&amp;"|"&amp;B1533&amp;"|"&amp;C1533&amp;"|"&amp;D1533&amp;"|"&amp;E1533&amp;"|"&amp;F1533&amp;"|"&amp;G1533&amp;"|"&amp;H1533&amp;"|"&amp;I1533&amp;"|"&amp;J1533&amp;"|"&amp;K1533&amp;"|"&amp;L1533&amp;"|"&amp;M1533&amp;"|"&amp;N1533</f>
        <v>ORD10883|2025-04-21|21:57|C0935|Tandoor Tales|delhi|North Indian|2|280|30|Cash on Delivery|Cancelled||</v>
      </c>
      <c r="P1533" s="7" t="str">
        <f aca="false">IF(COUNTIF($O$2:O1533,O1533)&gt;1,"DUP","OK")</f>
        <v>OK</v>
      </c>
      <c r="Q1533" s="7" t="n">
        <f aca="false">COUNTBLANK(A1533:N1533)</f>
        <v>2</v>
      </c>
      <c r="R1533" s="7" t="n">
        <f aca="false">IF(A1533="",0,COUNTIFS($A$2:$A$3058,A1533,$P$2:$P$3058,"OK"))</f>
        <v>1</v>
      </c>
      <c r="S1533" s="7" t="str">
        <f aca="false">IF(OR(A1533="",P1533="DUP",R1533&lt;2),"",IF(Q1533=_xlfn.MINIFS($Q$2:$Q$3058,$A$2:$A$3058,A1533,$P$2:$P$3058,"OK"),"KEEP","DROP"))</f>
        <v/>
      </c>
      <c r="T1533" s="9" t="n">
        <f aca="false">IF(A1533="",1,0)</f>
        <v>0</v>
      </c>
      <c r="U1533" s="9" t="n">
        <f aca="false">IF(D1533="",1,0)</f>
        <v>0</v>
      </c>
      <c r="V1533" s="9" t="n">
        <f aca="false">IF(E1533="",1,0)</f>
        <v>0</v>
      </c>
      <c r="W1533" s="9" t="n">
        <f aca="false">IF(OR(H1533&lt;1,H1533&gt;10),1,0)</f>
        <v>0</v>
      </c>
      <c r="X1533" s="9" t="n">
        <f aca="false">IF(OR(I1533&lt;=0,I1533&gt;1500),1,0)</f>
        <v>0</v>
      </c>
      <c r="Y1533" s="9" t="n">
        <f aca="false">IF(J1533&gt;H1533*I1533,1,0)</f>
        <v>0</v>
      </c>
      <c r="Z1533" s="9" t="n">
        <f aca="false">IF(AND(N1533&lt;&gt;"",OR(N1533&lt;1,N1533&gt;5)),1,0)</f>
        <v>0</v>
      </c>
      <c r="AA1533" s="9" t="n">
        <f aca="false">IF(AND(M1533&lt;&gt;"",OR(M1533&lt;5,M1533&gt;180)),1,0)</f>
        <v>0</v>
      </c>
      <c r="AB1533" s="7" t="str">
        <f aca="false">IF(P1533="DUP","Exact duplicate row",IF(T1533=1,"Missing Order ID",IF(S1533="DROP","Duplicate Order ID (less complete row)",IF(U1533=1,"Missing Customer ID",IF(V1533=1,"Missing Restaurant name",IF(W1533=1,"Invalid/outlier quantity",IF(X1533=1,"Invalid/outlier unit price",IF(Y1533=1,"Discount greater than order value",""))))))))</f>
        <v/>
      </c>
      <c r="AC1533" s="7" t="str">
        <f aca="false">IF(AB1533="","KEEP","DROP")</f>
        <v>KEEP</v>
      </c>
      <c r="AD1533" s="7" t="str">
        <f aca="false">IF(TRIM(F1533)="",IFERROR(INDEX(Map_Tables!$I$4:$I$37,MATCH(TRIM(E1533),Map_Tables!$G$4:$G$37,0)),""),IFERROR(INDEX(Map_Tables!$B$4:$B$18,MATCH(TRIM(F1533),Map_Tables!$A$4:$A$18,0)),"CHECK"))</f>
        <v>Delhi</v>
      </c>
      <c r="AE1533" s="7" t="str">
        <f aca="false">IF(TRIM(E1533)="","",IFERROR(INDEX(Map_Tables!$H$4:$H$37,MATCH(TRIM(E1533),Map_Tables!$G$4:$G$37,0)),"CHECK"))</f>
        <v>Tandoor Tales</v>
      </c>
      <c r="AF1533" s="7" t="str">
        <f aca="false">IF(TRIM(K1533)="","Unknown",IFERROR(INDEX(Map_Tables!$E$4:$E$15,MATCH(TRIM(K1533),Map_Tables!$D$4:$D$15,0)),"CHECK"))</f>
        <v>Cash on Delivery</v>
      </c>
      <c r="AG1533" s="7" t="str">
        <f aca="false">IF(LEFT(LOWER(TRIM(L1533)),6)="cancel","Cancelled","Delivered")</f>
        <v>Cancelled</v>
      </c>
      <c r="AH1533" s="10" t="n">
        <f aca="false">IF(ISNUMBER(SEARCH("/",B1533)),DATE(VALUE(RIGHT(B1533,4)),VALUE(MID(B1533,4,2)),VALUE(LEFT(B1533,2))),IF(MID(B1533,5,1)="-",DATE(VALUE(LEFT(B1533,4)),VALUE(MID(B1533,6,2)),VALUE(RIGHT(B1533,2))),DATE(VALUE(RIGHT(B1533,4)),MATCH(MID(B1533,4,3),{"Jan","Feb","Mar","Apr","May","Jun","Jul","Aug","Sep","Oct","Nov","Dec"},0),VALUE(LEFT(B1533,2)))))</f>
        <v>45768</v>
      </c>
    </row>
    <row r="1534" customFormat="false" ht="15" hidden="false" customHeight="false" outlineLevel="0" collapsed="false">
      <c r="A1534" s="7" t="s">
        <v>3988</v>
      </c>
      <c r="B1534" s="7" t="s">
        <v>350</v>
      </c>
      <c r="C1534" s="7" t="s">
        <v>2289</v>
      </c>
      <c r="D1534" s="7" t="s">
        <v>2382</v>
      </c>
      <c r="E1534" s="7" t="s">
        <v>2135</v>
      </c>
      <c r="F1534" s="7" t="s">
        <v>128</v>
      </c>
      <c r="G1534" s="7" t="s">
        <v>99</v>
      </c>
      <c r="H1534" s="7" t="n">
        <v>2</v>
      </c>
      <c r="I1534" s="7" t="n">
        <v>245</v>
      </c>
      <c r="J1534" s="7" t="n">
        <v>0</v>
      </c>
      <c r="K1534" s="7" t="s">
        <v>93</v>
      </c>
      <c r="L1534" s="7" t="s">
        <v>194</v>
      </c>
      <c r="M1534" s="7" t="n">
        <v>42</v>
      </c>
      <c r="N1534" s="7" t="n">
        <v>2</v>
      </c>
      <c r="O1534" s="7" t="str">
        <f aca="false">A1534&amp;"|"&amp;B1534&amp;"|"&amp;C1534&amp;"|"&amp;D1534&amp;"|"&amp;E1534&amp;"|"&amp;F1534&amp;"|"&amp;G1534&amp;"|"&amp;H1534&amp;"|"&amp;I1534&amp;"|"&amp;J1534&amp;"|"&amp;K1534&amp;"|"&amp;L1534&amp;"|"&amp;M1534&amp;"|"&amp;N1534</f>
        <v>ORD10699|2025-03-29|17:38|C1434|madras biryani co|Chennai|Biryani|2|245|0|Credit Card|Delivered|42|2</v>
      </c>
      <c r="P1534" s="7" t="str">
        <f aca="false">IF(COUNTIF($O$2:O1534,O1534)&gt;1,"DUP","OK")</f>
        <v>OK</v>
      </c>
      <c r="Q1534" s="7" t="n">
        <f aca="false">COUNTBLANK(A1534:N1534)</f>
        <v>0</v>
      </c>
      <c r="R1534" s="7" t="n">
        <f aca="false">IF(A1534="",0,COUNTIFS($A$2:$A$3058,A1534,$P$2:$P$3058,"OK"))</f>
        <v>1</v>
      </c>
      <c r="S1534" s="7" t="str">
        <f aca="false">IF(OR(A1534="",P1534="DUP",R1534&lt;2),"",IF(Q1534=_xlfn.MINIFS($Q$2:$Q$3058,$A$2:$A$3058,A1534,$P$2:$P$3058,"OK"),"KEEP","DROP"))</f>
        <v/>
      </c>
      <c r="T1534" s="9" t="n">
        <f aca="false">IF(A1534="",1,0)</f>
        <v>0</v>
      </c>
      <c r="U1534" s="9" t="n">
        <f aca="false">IF(D1534="",1,0)</f>
        <v>0</v>
      </c>
      <c r="V1534" s="9" t="n">
        <f aca="false">IF(E1534="",1,0)</f>
        <v>0</v>
      </c>
      <c r="W1534" s="9" t="n">
        <f aca="false">IF(OR(H1534&lt;1,H1534&gt;10),1,0)</f>
        <v>0</v>
      </c>
      <c r="X1534" s="9" t="n">
        <f aca="false">IF(OR(I1534&lt;=0,I1534&gt;1500),1,0)</f>
        <v>0</v>
      </c>
      <c r="Y1534" s="9" t="n">
        <f aca="false">IF(J1534&gt;H1534*I1534,1,0)</f>
        <v>0</v>
      </c>
      <c r="Z1534" s="9" t="n">
        <f aca="false">IF(AND(N1534&lt;&gt;"",OR(N1534&lt;1,N1534&gt;5)),1,0)</f>
        <v>0</v>
      </c>
      <c r="AA1534" s="9" t="n">
        <f aca="false">IF(AND(M1534&lt;&gt;"",OR(M1534&lt;5,M1534&gt;180)),1,0)</f>
        <v>0</v>
      </c>
      <c r="AB1534" s="7" t="str">
        <f aca="false">IF(P1534="DUP","Exact duplicate row",IF(T1534=1,"Missing Order ID",IF(S1534="DROP","Duplicate Order ID (less complete row)",IF(U1534=1,"Missing Customer ID",IF(V1534=1,"Missing Restaurant name",IF(W1534=1,"Invalid/outlier quantity",IF(X1534=1,"Invalid/outlier unit price",IF(Y1534=1,"Discount greater than order value",""))))))))</f>
        <v/>
      </c>
      <c r="AC1534" s="7" t="str">
        <f aca="false">IF(AB1534="","KEEP","DROP")</f>
        <v>KEEP</v>
      </c>
      <c r="AD1534" s="7" t="str">
        <f aca="false">IF(TRIM(F1534)="",IFERROR(INDEX(Map_Tables!$I$4:$I$37,MATCH(TRIM(E1534),Map_Tables!$G$4:$G$37,0)),""),IFERROR(INDEX(Map_Tables!$B$4:$B$18,MATCH(TRIM(F1534),Map_Tables!$A$4:$A$18,0)),"CHECK"))</f>
        <v>Chennai</v>
      </c>
      <c r="AE1534" s="7" t="str">
        <f aca="false">IF(TRIM(E1534)="","",IFERROR(INDEX(Map_Tables!$H$4:$H$37,MATCH(TRIM(E1534),Map_Tables!$G$4:$G$37,0)),"CHECK"))</f>
        <v>Madras Biryani Co</v>
      </c>
      <c r="AF1534" s="7" t="str">
        <f aca="false">IF(TRIM(K1534)="","Unknown",IFERROR(INDEX(Map_Tables!$E$4:$E$15,MATCH(TRIM(K1534),Map_Tables!$D$4:$D$15,0)),"CHECK"))</f>
        <v>Credit Card</v>
      </c>
      <c r="AG1534" s="7" t="str">
        <f aca="false">IF(LEFT(LOWER(TRIM(L1534)),6)="cancel","Cancelled","Delivered")</f>
        <v>Delivered</v>
      </c>
      <c r="AH1534" s="10" t="n">
        <f aca="false">IF(ISNUMBER(SEARCH("/",B1534)),DATE(VALUE(RIGHT(B1534,4)),VALUE(MID(B1534,4,2)),VALUE(LEFT(B1534,2))),IF(MID(B1534,5,1)="-",DATE(VALUE(LEFT(B1534,4)),VALUE(MID(B1534,6,2)),VALUE(RIGHT(B1534,2))),DATE(VALUE(RIGHT(B1534,4)),MATCH(MID(B1534,4,3),{"Jan","Feb","Mar","Apr","May","Jun","Jul","Aug","Sep","Oct","Nov","Dec"},0),VALUE(LEFT(B1534,2)))))</f>
        <v>45745</v>
      </c>
    </row>
    <row r="1535" customFormat="false" ht="15" hidden="false" customHeight="false" outlineLevel="0" collapsed="false">
      <c r="A1535" s="7" t="s">
        <v>3989</v>
      </c>
      <c r="B1535" s="7" t="s">
        <v>671</v>
      </c>
      <c r="C1535" s="7" t="s">
        <v>2767</v>
      </c>
      <c r="D1535" s="7" t="s">
        <v>3990</v>
      </c>
      <c r="E1535" s="7"/>
      <c r="F1535" s="7" t="s">
        <v>110</v>
      </c>
      <c r="G1535" s="7" t="s">
        <v>117</v>
      </c>
      <c r="H1535" s="7" t="n">
        <v>1</v>
      </c>
      <c r="I1535" s="7" t="n">
        <v>110</v>
      </c>
      <c r="J1535" s="7" t="n">
        <v>44</v>
      </c>
      <c r="K1535" s="7" t="s">
        <v>88</v>
      </c>
      <c r="L1535" s="7" t="s">
        <v>194</v>
      </c>
      <c r="M1535" s="7" t="n">
        <v>38</v>
      </c>
      <c r="N1535" s="7" t="n">
        <v>5</v>
      </c>
      <c r="O1535" s="7" t="str">
        <f aca="false">A1535&amp;"|"&amp;B1535&amp;"|"&amp;C1535&amp;"|"&amp;D1535&amp;"|"&amp;E1535&amp;"|"&amp;F1535&amp;"|"&amp;G1535&amp;"|"&amp;H1535&amp;"|"&amp;I1535&amp;"|"&amp;J1535&amp;"|"&amp;K1535&amp;"|"&amp;L1535&amp;"|"&amp;M1535&amp;"|"&amp;N1535</f>
        <v>ORD12559|2025-11-14|19:33|C1197||Delhi|Street Food|1|110|44|UPI|Delivered|38|5</v>
      </c>
      <c r="P1535" s="7" t="str">
        <f aca="false">IF(COUNTIF($O$2:O1535,O1535)&gt;1,"DUP","OK")</f>
        <v>OK</v>
      </c>
      <c r="Q1535" s="7" t="n">
        <f aca="false">COUNTBLANK(A1535:N1535)</f>
        <v>1</v>
      </c>
      <c r="R1535" s="7" t="n">
        <f aca="false">IF(A1535="",0,COUNTIFS($A$2:$A$3058,A1535,$P$2:$P$3058,"OK"))</f>
        <v>1</v>
      </c>
      <c r="S1535" s="7" t="str">
        <f aca="false">IF(OR(A1535="",P1535="DUP",R1535&lt;2),"",IF(Q1535=_xlfn.MINIFS($Q$2:$Q$3058,$A$2:$A$3058,A1535,$P$2:$P$3058,"OK"),"KEEP","DROP"))</f>
        <v/>
      </c>
      <c r="T1535" s="9" t="n">
        <f aca="false">IF(A1535="",1,0)</f>
        <v>0</v>
      </c>
      <c r="U1535" s="9" t="n">
        <f aca="false">IF(D1535="",1,0)</f>
        <v>0</v>
      </c>
      <c r="V1535" s="9" t="n">
        <f aca="false">IF(E1535="",1,0)</f>
        <v>1</v>
      </c>
      <c r="W1535" s="9" t="n">
        <f aca="false">IF(OR(H1535&lt;1,H1535&gt;10),1,0)</f>
        <v>0</v>
      </c>
      <c r="X1535" s="9" t="n">
        <f aca="false">IF(OR(I1535&lt;=0,I1535&gt;1500),1,0)</f>
        <v>0</v>
      </c>
      <c r="Y1535" s="9" t="n">
        <f aca="false">IF(J1535&gt;H1535*I1535,1,0)</f>
        <v>0</v>
      </c>
      <c r="Z1535" s="9" t="n">
        <f aca="false">IF(AND(N1535&lt;&gt;"",OR(N1535&lt;1,N1535&gt;5)),1,0)</f>
        <v>0</v>
      </c>
      <c r="AA1535" s="9" t="n">
        <f aca="false">IF(AND(M1535&lt;&gt;"",OR(M1535&lt;5,M1535&gt;180)),1,0)</f>
        <v>0</v>
      </c>
      <c r="AB1535" s="7" t="str">
        <f aca="false">IF(P1535="DUP","Exact duplicate row",IF(T1535=1,"Missing Order ID",IF(S1535="DROP","Duplicate Order ID (less complete row)",IF(U1535=1,"Missing Customer ID",IF(V1535=1,"Missing Restaurant name",IF(W1535=1,"Invalid/outlier quantity",IF(X1535=1,"Invalid/outlier unit price",IF(Y1535=1,"Discount greater than order value",""))))))))</f>
        <v>Missing Restaurant name</v>
      </c>
      <c r="AC1535" s="7" t="str">
        <f aca="false">IF(AB1535="","KEEP","DROP")</f>
        <v>DROP</v>
      </c>
      <c r="AD1535" s="7" t="str">
        <f aca="false">IF(TRIM(F1535)="",IFERROR(INDEX(Map_Tables!$I$4:$I$37,MATCH(TRIM(E1535),Map_Tables!$G$4:$G$37,0)),""),IFERROR(INDEX(Map_Tables!$B$4:$B$18,MATCH(TRIM(F1535),Map_Tables!$A$4:$A$18,0)),"CHECK"))</f>
        <v>Delhi</v>
      </c>
      <c r="AE1535" s="7" t="str">
        <f aca="false">IF(TRIM(E1535)="","",IFERROR(INDEX(Map_Tables!$H$4:$H$37,MATCH(TRIM(E1535),Map_Tables!$G$4:$G$37,0)),"CHECK"))</f>
        <v/>
      </c>
      <c r="AF1535" s="7" t="str">
        <f aca="false">IF(TRIM(K1535)="","Unknown",IFERROR(INDEX(Map_Tables!$E$4:$E$15,MATCH(TRIM(K1535),Map_Tables!$D$4:$D$15,0)),"CHECK"))</f>
        <v>UPI</v>
      </c>
      <c r="AG1535" s="7" t="str">
        <f aca="false">IF(LEFT(LOWER(TRIM(L1535)),6)="cancel","Cancelled","Delivered")</f>
        <v>Delivered</v>
      </c>
      <c r="AH1535" s="10" t="n">
        <f aca="false">IF(ISNUMBER(SEARCH("/",B1535)),DATE(VALUE(RIGHT(B1535,4)),VALUE(MID(B1535,4,2)),VALUE(LEFT(B1535,2))),IF(MID(B1535,5,1)="-",DATE(VALUE(LEFT(B1535,4)),VALUE(MID(B1535,6,2)),VALUE(RIGHT(B1535,2))),DATE(VALUE(RIGHT(B1535,4)),MATCH(MID(B1535,4,3),{"Jan","Feb","Mar","Apr","May","Jun","Jul","Aug","Sep","Oct","Nov","Dec"},0),VALUE(LEFT(B1535,2)))))</f>
        <v>45975</v>
      </c>
    </row>
    <row r="1536" customFormat="false" ht="15" hidden="false" customHeight="false" outlineLevel="0" collapsed="false">
      <c r="A1536" s="7" t="s">
        <v>3991</v>
      </c>
      <c r="B1536" s="7" t="s">
        <v>1218</v>
      </c>
      <c r="C1536" s="7" t="s">
        <v>391</v>
      </c>
      <c r="D1536" s="7" t="s">
        <v>3992</v>
      </c>
      <c r="E1536" s="7" t="s">
        <v>3993</v>
      </c>
      <c r="F1536" s="7" t="s">
        <v>101</v>
      </c>
      <c r="G1536" s="7" t="s">
        <v>117</v>
      </c>
      <c r="H1536" s="7" t="n">
        <v>1</v>
      </c>
      <c r="I1536" s="7" t="n">
        <v>145</v>
      </c>
      <c r="J1536" s="7" t="n">
        <v>0</v>
      </c>
      <c r="K1536" s="7" t="s">
        <v>88</v>
      </c>
      <c r="L1536" s="7" t="s">
        <v>194</v>
      </c>
      <c r="M1536" s="7" t="n">
        <v>58</v>
      </c>
      <c r="N1536" s="7" t="n">
        <v>4</v>
      </c>
      <c r="O1536" s="7" t="str">
        <f aca="false">A1536&amp;"|"&amp;B1536&amp;"|"&amp;C1536&amp;"|"&amp;D1536&amp;"|"&amp;E1536&amp;"|"&amp;F1536&amp;"|"&amp;G1536&amp;"|"&amp;H1536&amp;"|"&amp;I1536&amp;"|"&amp;J1536&amp;"|"&amp;K1536&amp;"|"&amp;L1536&amp;"|"&amp;M1536&amp;"|"&amp;N1536</f>
        <v>ORD10004|2025-01-01|19:50|C0089|PAV BHAJI POINT|Mumbai|Street Food|1|145|0|UPI|Delivered|58|4</v>
      </c>
      <c r="P1536" s="7" t="str">
        <f aca="false">IF(COUNTIF($O$2:O1536,O1536)&gt;1,"DUP","OK")</f>
        <v>OK</v>
      </c>
      <c r="Q1536" s="7" t="n">
        <f aca="false">COUNTBLANK(A1536:N1536)</f>
        <v>0</v>
      </c>
      <c r="R1536" s="7" t="n">
        <f aca="false">IF(A1536="",0,COUNTIFS($A$2:$A$3058,A1536,$P$2:$P$3058,"OK"))</f>
        <v>1</v>
      </c>
      <c r="S1536" s="7" t="str">
        <f aca="false">IF(OR(A1536="",P1536="DUP",R1536&lt;2),"",IF(Q1536=_xlfn.MINIFS($Q$2:$Q$3058,$A$2:$A$3058,A1536,$P$2:$P$3058,"OK"),"KEEP","DROP"))</f>
        <v/>
      </c>
      <c r="T1536" s="9" t="n">
        <f aca="false">IF(A1536="",1,0)</f>
        <v>0</v>
      </c>
      <c r="U1536" s="9" t="n">
        <f aca="false">IF(D1536="",1,0)</f>
        <v>0</v>
      </c>
      <c r="V1536" s="9" t="n">
        <f aca="false">IF(E1536="",1,0)</f>
        <v>0</v>
      </c>
      <c r="W1536" s="9" t="n">
        <f aca="false">IF(OR(H1536&lt;1,H1536&gt;10),1,0)</f>
        <v>0</v>
      </c>
      <c r="X1536" s="9" t="n">
        <f aca="false">IF(OR(I1536&lt;=0,I1536&gt;1500),1,0)</f>
        <v>0</v>
      </c>
      <c r="Y1536" s="9" t="n">
        <f aca="false">IF(J1536&gt;H1536*I1536,1,0)</f>
        <v>0</v>
      </c>
      <c r="Z1536" s="9" t="n">
        <f aca="false">IF(AND(N1536&lt;&gt;"",OR(N1536&lt;1,N1536&gt;5)),1,0)</f>
        <v>0</v>
      </c>
      <c r="AA1536" s="9" t="n">
        <f aca="false">IF(AND(M1536&lt;&gt;"",OR(M1536&lt;5,M1536&gt;180)),1,0)</f>
        <v>0</v>
      </c>
      <c r="AB1536" s="7" t="str">
        <f aca="false">IF(P1536="DUP","Exact duplicate row",IF(T1536=1,"Missing Order ID",IF(S1536="DROP","Duplicate Order ID (less complete row)",IF(U1536=1,"Missing Customer ID",IF(V1536=1,"Missing Restaurant name",IF(W1536=1,"Invalid/outlier quantity",IF(X1536=1,"Invalid/outlier unit price",IF(Y1536=1,"Discount greater than order value",""))))))))</f>
        <v/>
      </c>
      <c r="AC1536" s="7" t="str">
        <f aca="false">IF(AB1536="","KEEP","DROP")</f>
        <v>KEEP</v>
      </c>
      <c r="AD1536" s="7" t="str">
        <f aca="false">IF(TRIM(F1536)="",IFERROR(INDEX(Map_Tables!$I$4:$I$37,MATCH(TRIM(E1536),Map_Tables!$G$4:$G$37,0)),""),IFERROR(INDEX(Map_Tables!$B$4:$B$18,MATCH(TRIM(F1536),Map_Tables!$A$4:$A$18,0)),"CHECK"))</f>
        <v>Mumbai</v>
      </c>
      <c r="AE1536" s="7" t="str">
        <f aca="false">IF(TRIM(E1536)="","",IFERROR(INDEX(Map_Tables!$H$4:$H$37,MATCH(TRIM(E1536),Map_Tables!$G$4:$G$37,0)),"CHECK"))</f>
        <v>Pav Bhaji Point</v>
      </c>
      <c r="AF1536" s="7" t="str">
        <f aca="false">IF(TRIM(K1536)="","Unknown",IFERROR(INDEX(Map_Tables!$E$4:$E$15,MATCH(TRIM(K1536),Map_Tables!$D$4:$D$15,0)),"CHECK"))</f>
        <v>UPI</v>
      </c>
      <c r="AG1536" s="7" t="str">
        <f aca="false">IF(LEFT(LOWER(TRIM(L1536)),6)="cancel","Cancelled","Delivered")</f>
        <v>Delivered</v>
      </c>
      <c r="AH1536" s="10" t="n">
        <f aca="false">IF(ISNUMBER(SEARCH("/",B1536)),DATE(VALUE(RIGHT(B1536,4)),VALUE(MID(B1536,4,2)),VALUE(LEFT(B1536,2))),IF(MID(B1536,5,1)="-",DATE(VALUE(LEFT(B1536,4)),VALUE(MID(B1536,6,2)),VALUE(RIGHT(B1536,2))),DATE(VALUE(RIGHT(B1536,4)),MATCH(MID(B1536,4,3),{"Jan","Feb","Mar","Apr","May","Jun","Jul","Aug","Sep","Oct","Nov","Dec"},0),VALUE(LEFT(B1536,2)))))</f>
        <v>45658</v>
      </c>
    </row>
    <row r="1537" customFormat="false" ht="15" hidden="false" customHeight="false" outlineLevel="0" collapsed="false">
      <c r="A1537" s="7" t="s">
        <v>3994</v>
      </c>
      <c r="B1537" s="7" t="s">
        <v>3995</v>
      </c>
      <c r="C1537" s="7" t="s">
        <v>976</v>
      </c>
      <c r="D1537" s="7" t="s">
        <v>3996</v>
      </c>
      <c r="E1537" s="7" t="s">
        <v>98</v>
      </c>
      <c r="F1537" s="7" t="s">
        <v>86</v>
      </c>
      <c r="G1537" s="7" t="s">
        <v>99</v>
      </c>
      <c r="H1537" s="7" t="n">
        <v>2</v>
      </c>
      <c r="I1537" s="7" t="n">
        <v>275</v>
      </c>
      <c r="J1537" s="7" t="n">
        <v>30</v>
      </c>
      <c r="K1537" s="7" t="s">
        <v>88</v>
      </c>
      <c r="L1537" s="7" t="s">
        <v>194</v>
      </c>
      <c r="M1537" s="7" t="n">
        <v>40</v>
      </c>
      <c r="N1537" s="7" t="n">
        <v>4</v>
      </c>
      <c r="O1537" s="7" t="str">
        <f aca="false">A1537&amp;"|"&amp;B1537&amp;"|"&amp;C1537&amp;"|"&amp;D1537&amp;"|"&amp;E1537&amp;"|"&amp;F1537&amp;"|"&amp;G1537&amp;"|"&amp;H1537&amp;"|"&amp;I1537&amp;"|"&amp;J1537&amp;"|"&amp;K1537&amp;"|"&amp;L1537&amp;"|"&amp;M1537&amp;"|"&amp;N1537</f>
        <v>ORD10216|29/01/2025|20:20|C1321|Nawabi Biryani House|Bengaluru|Biryani|2|275|30|UPI|Delivered|40|4</v>
      </c>
      <c r="P1537" s="7" t="str">
        <f aca="false">IF(COUNTIF($O$2:O1537,O1537)&gt;1,"DUP","OK")</f>
        <v>OK</v>
      </c>
      <c r="Q1537" s="7" t="n">
        <f aca="false">COUNTBLANK(A1537:N1537)</f>
        <v>0</v>
      </c>
      <c r="R1537" s="7" t="n">
        <f aca="false">IF(A1537="",0,COUNTIFS($A$2:$A$3058,A1537,$P$2:$P$3058,"OK"))</f>
        <v>1</v>
      </c>
      <c r="S1537" s="7" t="str">
        <f aca="false">IF(OR(A1537="",P1537="DUP",R1537&lt;2),"",IF(Q1537=_xlfn.MINIFS($Q$2:$Q$3058,$A$2:$A$3058,A1537,$P$2:$P$3058,"OK"),"KEEP","DROP"))</f>
        <v/>
      </c>
      <c r="T1537" s="9" t="n">
        <f aca="false">IF(A1537="",1,0)</f>
        <v>0</v>
      </c>
      <c r="U1537" s="9" t="n">
        <f aca="false">IF(D1537="",1,0)</f>
        <v>0</v>
      </c>
      <c r="V1537" s="9" t="n">
        <f aca="false">IF(E1537="",1,0)</f>
        <v>0</v>
      </c>
      <c r="W1537" s="9" t="n">
        <f aca="false">IF(OR(H1537&lt;1,H1537&gt;10),1,0)</f>
        <v>0</v>
      </c>
      <c r="X1537" s="9" t="n">
        <f aca="false">IF(OR(I1537&lt;=0,I1537&gt;1500),1,0)</f>
        <v>0</v>
      </c>
      <c r="Y1537" s="9" t="n">
        <f aca="false">IF(J1537&gt;H1537*I1537,1,0)</f>
        <v>0</v>
      </c>
      <c r="Z1537" s="9" t="n">
        <f aca="false">IF(AND(N1537&lt;&gt;"",OR(N1537&lt;1,N1537&gt;5)),1,0)</f>
        <v>0</v>
      </c>
      <c r="AA1537" s="9" t="n">
        <f aca="false">IF(AND(M1537&lt;&gt;"",OR(M1537&lt;5,M1537&gt;180)),1,0)</f>
        <v>0</v>
      </c>
      <c r="AB1537" s="7" t="str">
        <f aca="false">IF(P1537="DUP","Exact duplicate row",IF(T1537=1,"Missing Order ID",IF(S1537="DROP","Duplicate Order ID (less complete row)",IF(U1537=1,"Missing Customer ID",IF(V1537=1,"Missing Restaurant name",IF(W1537=1,"Invalid/outlier quantity",IF(X1537=1,"Invalid/outlier unit price",IF(Y1537=1,"Discount greater than order value",""))))))))</f>
        <v/>
      </c>
      <c r="AC1537" s="7" t="str">
        <f aca="false">IF(AB1537="","KEEP","DROP")</f>
        <v>KEEP</v>
      </c>
      <c r="AD1537" s="7" t="str">
        <f aca="false">IF(TRIM(F1537)="",IFERROR(INDEX(Map_Tables!$I$4:$I$37,MATCH(TRIM(E1537),Map_Tables!$G$4:$G$37,0)),""),IFERROR(INDEX(Map_Tables!$B$4:$B$18,MATCH(TRIM(F1537),Map_Tables!$A$4:$A$18,0)),"CHECK"))</f>
        <v>Bengaluru</v>
      </c>
      <c r="AE1537" s="7" t="str">
        <f aca="false">IF(TRIM(E1537)="","",IFERROR(INDEX(Map_Tables!$H$4:$H$37,MATCH(TRIM(E1537),Map_Tables!$G$4:$G$37,0)),"CHECK"))</f>
        <v>Nawabi Biryani House</v>
      </c>
      <c r="AF1537" s="7" t="str">
        <f aca="false">IF(TRIM(K1537)="","Unknown",IFERROR(INDEX(Map_Tables!$E$4:$E$15,MATCH(TRIM(K1537),Map_Tables!$D$4:$D$15,0)),"CHECK"))</f>
        <v>UPI</v>
      </c>
      <c r="AG1537" s="7" t="str">
        <f aca="false">IF(LEFT(LOWER(TRIM(L1537)),6)="cancel","Cancelled","Delivered")</f>
        <v>Delivered</v>
      </c>
      <c r="AH1537" s="10" t="n">
        <f aca="false">IF(ISNUMBER(SEARCH("/",B1537)),DATE(VALUE(RIGHT(B1537,4)),VALUE(MID(B1537,4,2)),VALUE(LEFT(B1537,2))),IF(MID(B1537,5,1)="-",DATE(VALUE(LEFT(B1537,4)),VALUE(MID(B1537,6,2)),VALUE(RIGHT(B1537,2))),DATE(VALUE(RIGHT(B1537,4)),MATCH(MID(B1537,4,3),{"Jan","Feb","Mar","Apr","May","Jun","Jul","Aug","Sep","Oct","Nov","Dec"},0),VALUE(LEFT(B1537,2)))))</f>
        <v>45686</v>
      </c>
    </row>
    <row r="1538" customFormat="false" ht="15" hidden="false" customHeight="false" outlineLevel="0" collapsed="false">
      <c r="A1538" s="7" t="s">
        <v>3997</v>
      </c>
      <c r="B1538" s="7" t="s">
        <v>2713</v>
      </c>
      <c r="C1538" s="7" t="s">
        <v>3450</v>
      </c>
      <c r="D1538" s="7" t="s">
        <v>3998</v>
      </c>
      <c r="E1538" s="7" t="s">
        <v>151</v>
      </c>
      <c r="F1538" s="7" t="s">
        <v>128</v>
      </c>
      <c r="G1538" s="7" t="s">
        <v>95</v>
      </c>
      <c r="H1538" s="7" t="n">
        <v>3</v>
      </c>
      <c r="I1538" s="7" t="n">
        <v>185</v>
      </c>
      <c r="J1538" s="7" t="n">
        <v>0</v>
      </c>
      <c r="K1538" s="7" t="s">
        <v>112</v>
      </c>
      <c r="L1538" s="7" t="s">
        <v>238</v>
      </c>
      <c r="M1538" s="7"/>
      <c r="N1538" s="7"/>
      <c r="O1538" s="7" t="str">
        <f aca="false">A1538&amp;"|"&amp;B1538&amp;"|"&amp;C1538&amp;"|"&amp;D1538&amp;"|"&amp;E1538&amp;"|"&amp;F1538&amp;"|"&amp;G1538&amp;"|"&amp;H1538&amp;"|"&amp;I1538&amp;"|"&amp;J1538&amp;"|"&amp;K1538&amp;"|"&amp;L1538&amp;"|"&amp;M1538&amp;"|"&amp;N1538</f>
        <v>ORD10977|2025-05-04|09:38|C0398|Chettinad House|Chennai|South Indian|3|185|0|Cash on Delivery|Cancelled||</v>
      </c>
      <c r="P1538" s="7" t="str">
        <f aca="false">IF(COUNTIF($O$2:O1538,O1538)&gt;1,"DUP","OK")</f>
        <v>OK</v>
      </c>
      <c r="Q1538" s="7" t="n">
        <f aca="false">COUNTBLANK(A1538:N1538)</f>
        <v>2</v>
      </c>
      <c r="R1538" s="7" t="n">
        <f aca="false">IF(A1538="",0,COUNTIFS($A$2:$A$3058,A1538,$P$2:$P$3058,"OK"))</f>
        <v>1</v>
      </c>
      <c r="S1538" s="7" t="str">
        <f aca="false">IF(OR(A1538="",P1538="DUP",R1538&lt;2),"",IF(Q1538=_xlfn.MINIFS($Q$2:$Q$3058,$A$2:$A$3058,A1538,$P$2:$P$3058,"OK"),"KEEP","DROP"))</f>
        <v/>
      </c>
      <c r="T1538" s="9" t="n">
        <f aca="false">IF(A1538="",1,0)</f>
        <v>0</v>
      </c>
      <c r="U1538" s="9" t="n">
        <f aca="false">IF(D1538="",1,0)</f>
        <v>0</v>
      </c>
      <c r="V1538" s="9" t="n">
        <f aca="false">IF(E1538="",1,0)</f>
        <v>0</v>
      </c>
      <c r="W1538" s="9" t="n">
        <f aca="false">IF(OR(H1538&lt;1,H1538&gt;10),1,0)</f>
        <v>0</v>
      </c>
      <c r="X1538" s="9" t="n">
        <f aca="false">IF(OR(I1538&lt;=0,I1538&gt;1500),1,0)</f>
        <v>0</v>
      </c>
      <c r="Y1538" s="9" t="n">
        <f aca="false">IF(J1538&gt;H1538*I1538,1,0)</f>
        <v>0</v>
      </c>
      <c r="Z1538" s="9" t="n">
        <f aca="false">IF(AND(N1538&lt;&gt;"",OR(N1538&lt;1,N1538&gt;5)),1,0)</f>
        <v>0</v>
      </c>
      <c r="AA1538" s="9" t="n">
        <f aca="false">IF(AND(M1538&lt;&gt;"",OR(M1538&lt;5,M1538&gt;180)),1,0)</f>
        <v>0</v>
      </c>
      <c r="AB1538" s="7" t="str">
        <f aca="false">IF(P1538="DUP","Exact duplicate row",IF(T1538=1,"Missing Order ID",IF(S1538="DROP","Duplicate Order ID (less complete row)",IF(U1538=1,"Missing Customer ID",IF(V1538=1,"Missing Restaurant name",IF(W1538=1,"Invalid/outlier quantity",IF(X1538=1,"Invalid/outlier unit price",IF(Y1538=1,"Discount greater than order value",""))))))))</f>
        <v/>
      </c>
      <c r="AC1538" s="7" t="str">
        <f aca="false">IF(AB1538="","KEEP","DROP")</f>
        <v>KEEP</v>
      </c>
      <c r="AD1538" s="7" t="str">
        <f aca="false">IF(TRIM(F1538)="",IFERROR(INDEX(Map_Tables!$I$4:$I$37,MATCH(TRIM(E1538),Map_Tables!$G$4:$G$37,0)),""),IFERROR(INDEX(Map_Tables!$B$4:$B$18,MATCH(TRIM(F1538),Map_Tables!$A$4:$A$18,0)),"CHECK"))</f>
        <v>Chennai</v>
      </c>
      <c r="AE1538" s="7" t="str">
        <f aca="false">IF(TRIM(E1538)="","",IFERROR(INDEX(Map_Tables!$H$4:$H$37,MATCH(TRIM(E1538),Map_Tables!$G$4:$G$37,0)),"CHECK"))</f>
        <v>Chettinad House</v>
      </c>
      <c r="AF1538" s="7" t="str">
        <f aca="false">IF(TRIM(K1538)="","Unknown",IFERROR(INDEX(Map_Tables!$E$4:$E$15,MATCH(TRIM(K1538),Map_Tables!$D$4:$D$15,0)),"CHECK"))</f>
        <v>Cash on Delivery</v>
      </c>
      <c r="AG1538" s="7" t="str">
        <f aca="false">IF(LEFT(LOWER(TRIM(L1538)),6)="cancel","Cancelled","Delivered")</f>
        <v>Cancelled</v>
      </c>
      <c r="AH1538" s="10" t="n">
        <f aca="false">IF(ISNUMBER(SEARCH("/",B1538)),DATE(VALUE(RIGHT(B1538,4)),VALUE(MID(B1538,4,2)),VALUE(LEFT(B1538,2))),IF(MID(B1538,5,1)="-",DATE(VALUE(LEFT(B1538,4)),VALUE(MID(B1538,6,2)),VALUE(RIGHT(B1538,2))),DATE(VALUE(RIGHT(B1538,4)),MATCH(MID(B1538,4,3),{"Jan","Feb","Mar","Apr","May","Jun","Jul","Aug","Sep","Oct","Nov","Dec"},0),VALUE(LEFT(B1538,2)))))</f>
        <v>45781</v>
      </c>
    </row>
    <row r="1539" customFormat="false" ht="15" hidden="false" customHeight="false" outlineLevel="0" collapsed="false">
      <c r="A1539" s="7" t="s">
        <v>3999</v>
      </c>
      <c r="B1539" s="7" t="s">
        <v>1364</v>
      </c>
      <c r="C1539" s="7" t="s">
        <v>2341</v>
      </c>
      <c r="D1539" s="7" t="s">
        <v>4000</v>
      </c>
      <c r="E1539" s="7" t="s">
        <v>94</v>
      </c>
      <c r="F1539" s="7" t="s">
        <v>86</v>
      </c>
      <c r="G1539" s="7" t="s">
        <v>95</v>
      </c>
      <c r="H1539" s="7" t="n">
        <v>1</v>
      </c>
      <c r="I1539" s="7" t="n">
        <v>125</v>
      </c>
      <c r="J1539" s="7" t="n">
        <v>40</v>
      </c>
      <c r="K1539" s="7" t="s">
        <v>88</v>
      </c>
      <c r="L1539" s="7" t="s">
        <v>194</v>
      </c>
      <c r="M1539" s="7" t="n">
        <v>44</v>
      </c>
      <c r="N1539" s="7" t="n">
        <v>2</v>
      </c>
      <c r="O1539" s="7" t="str">
        <f aca="false">A1539&amp;"|"&amp;B1539&amp;"|"&amp;C1539&amp;"|"&amp;D1539&amp;"|"&amp;E1539&amp;"|"&amp;F1539&amp;"|"&amp;G1539&amp;"|"&amp;H1539&amp;"|"&amp;I1539&amp;"|"&amp;J1539&amp;"|"&amp;K1539&amp;"|"&amp;L1539&amp;"|"&amp;M1539&amp;"|"&amp;N1539</f>
        <v>ORD10099|2025-01-13|15:51|C0008|Dosa Darbar|Bengaluru|South Indian|1|125|40|UPI|Delivered|44|2</v>
      </c>
      <c r="P1539" s="7" t="str">
        <f aca="false">IF(COUNTIF($O$2:O1539,O1539)&gt;1,"DUP","OK")</f>
        <v>OK</v>
      </c>
      <c r="Q1539" s="7" t="n">
        <f aca="false">COUNTBLANK(A1539:N1539)</f>
        <v>0</v>
      </c>
      <c r="R1539" s="7" t="n">
        <f aca="false">IF(A1539="",0,COUNTIFS($A$2:$A$3058,A1539,$P$2:$P$3058,"OK"))</f>
        <v>1</v>
      </c>
      <c r="S1539" s="7" t="str">
        <f aca="false">IF(OR(A1539="",P1539="DUP",R1539&lt;2),"",IF(Q1539=_xlfn.MINIFS($Q$2:$Q$3058,$A$2:$A$3058,A1539,$P$2:$P$3058,"OK"),"KEEP","DROP"))</f>
        <v/>
      </c>
      <c r="T1539" s="9" t="n">
        <f aca="false">IF(A1539="",1,0)</f>
        <v>0</v>
      </c>
      <c r="U1539" s="9" t="n">
        <f aca="false">IF(D1539="",1,0)</f>
        <v>0</v>
      </c>
      <c r="V1539" s="9" t="n">
        <f aca="false">IF(E1539="",1,0)</f>
        <v>0</v>
      </c>
      <c r="W1539" s="9" t="n">
        <f aca="false">IF(OR(H1539&lt;1,H1539&gt;10),1,0)</f>
        <v>0</v>
      </c>
      <c r="X1539" s="9" t="n">
        <f aca="false">IF(OR(I1539&lt;=0,I1539&gt;1500),1,0)</f>
        <v>0</v>
      </c>
      <c r="Y1539" s="9" t="n">
        <f aca="false">IF(J1539&gt;H1539*I1539,1,0)</f>
        <v>0</v>
      </c>
      <c r="Z1539" s="9" t="n">
        <f aca="false">IF(AND(N1539&lt;&gt;"",OR(N1539&lt;1,N1539&gt;5)),1,0)</f>
        <v>0</v>
      </c>
      <c r="AA1539" s="9" t="n">
        <f aca="false">IF(AND(M1539&lt;&gt;"",OR(M1539&lt;5,M1539&gt;180)),1,0)</f>
        <v>0</v>
      </c>
      <c r="AB1539" s="7" t="str">
        <f aca="false">IF(P1539="DUP","Exact duplicate row",IF(T1539=1,"Missing Order ID",IF(S1539="DROP","Duplicate Order ID (less complete row)",IF(U1539=1,"Missing Customer ID",IF(V1539=1,"Missing Restaurant name",IF(W1539=1,"Invalid/outlier quantity",IF(X1539=1,"Invalid/outlier unit price",IF(Y1539=1,"Discount greater than order value",""))))))))</f>
        <v/>
      </c>
      <c r="AC1539" s="7" t="str">
        <f aca="false">IF(AB1539="","KEEP","DROP")</f>
        <v>KEEP</v>
      </c>
      <c r="AD1539" s="7" t="str">
        <f aca="false">IF(TRIM(F1539)="",IFERROR(INDEX(Map_Tables!$I$4:$I$37,MATCH(TRIM(E1539),Map_Tables!$G$4:$G$37,0)),""),IFERROR(INDEX(Map_Tables!$B$4:$B$18,MATCH(TRIM(F1539),Map_Tables!$A$4:$A$18,0)),"CHECK"))</f>
        <v>Bengaluru</v>
      </c>
      <c r="AE1539" s="7" t="str">
        <f aca="false">IF(TRIM(E1539)="","",IFERROR(INDEX(Map_Tables!$H$4:$H$37,MATCH(TRIM(E1539),Map_Tables!$G$4:$G$37,0)),"CHECK"))</f>
        <v>Dosa Darbar</v>
      </c>
      <c r="AF1539" s="7" t="str">
        <f aca="false">IF(TRIM(K1539)="","Unknown",IFERROR(INDEX(Map_Tables!$E$4:$E$15,MATCH(TRIM(K1539),Map_Tables!$D$4:$D$15,0)),"CHECK"))</f>
        <v>UPI</v>
      </c>
      <c r="AG1539" s="7" t="str">
        <f aca="false">IF(LEFT(LOWER(TRIM(L1539)),6)="cancel","Cancelled","Delivered")</f>
        <v>Delivered</v>
      </c>
      <c r="AH1539" s="10" t="n">
        <f aca="false">IF(ISNUMBER(SEARCH("/",B1539)),DATE(VALUE(RIGHT(B1539,4)),VALUE(MID(B1539,4,2)),VALUE(LEFT(B1539,2))),IF(MID(B1539,5,1)="-",DATE(VALUE(LEFT(B1539,4)),VALUE(MID(B1539,6,2)),VALUE(RIGHT(B1539,2))),DATE(VALUE(RIGHT(B1539,4)),MATCH(MID(B1539,4,3),{"Jan","Feb","Mar","Apr","May","Jun","Jul","Aug","Sep","Oct","Nov","Dec"},0),VALUE(LEFT(B1539,2)))))</f>
        <v>45670</v>
      </c>
    </row>
    <row r="1540" customFormat="false" ht="15" hidden="false" customHeight="false" outlineLevel="0" collapsed="false">
      <c r="A1540" s="7" t="s">
        <v>4001</v>
      </c>
      <c r="B1540" s="7" t="s">
        <v>1603</v>
      </c>
      <c r="C1540" s="7" t="s">
        <v>1545</v>
      </c>
      <c r="D1540" s="7" t="s">
        <v>456</v>
      </c>
      <c r="E1540" s="7" t="s">
        <v>147</v>
      </c>
      <c r="F1540" s="7" t="s">
        <v>119</v>
      </c>
      <c r="G1540" s="7" t="s">
        <v>95</v>
      </c>
      <c r="H1540" s="7" t="n">
        <v>3</v>
      </c>
      <c r="I1540" s="7" t="n">
        <v>170</v>
      </c>
      <c r="J1540" s="7" t="n">
        <v>0</v>
      </c>
      <c r="K1540" s="7" t="s">
        <v>379</v>
      </c>
      <c r="L1540" s="7" t="s">
        <v>194</v>
      </c>
      <c r="M1540" s="7" t="n">
        <v>39</v>
      </c>
      <c r="N1540" s="7" t="n">
        <v>4</v>
      </c>
      <c r="O1540" s="7" t="str">
        <f aca="false">A1540&amp;"|"&amp;B1540&amp;"|"&amp;C1540&amp;"|"&amp;D1540&amp;"|"&amp;E1540&amp;"|"&amp;F1540&amp;"|"&amp;G1540&amp;"|"&amp;H1540&amp;"|"&amp;I1540&amp;"|"&amp;J1540&amp;"|"&amp;K1540&amp;"|"&amp;L1540&amp;"|"&amp;M1540&amp;"|"&amp;N1540</f>
        <v>ORD12991|2025-12-30|22:02|C0750|Andhra Meals Mess|Hyderabad|South Indian|3|170|0|Credit card|Delivered|39|4</v>
      </c>
      <c r="P1540" s="7" t="str">
        <f aca="false">IF(COUNTIF($O$2:O1540,O1540)&gt;1,"DUP","OK")</f>
        <v>OK</v>
      </c>
      <c r="Q1540" s="7" t="n">
        <f aca="false">COUNTBLANK(A1540:N1540)</f>
        <v>0</v>
      </c>
      <c r="R1540" s="7" t="n">
        <f aca="false">IF(A1540="",0,COUNTIFS($A$2:$A$3058,A1540,$P$2:$P$3058,"OK"))</f>
        <v>1</v>
      </c>
      <c r="S1540" s="7" t="str">
        <f aca="false">IF(OR(A1540="",P1540="DUP",R1540&lt;2),"",IF(Q1540=_xlfn.MINIFS($Q$2:$Q$3058,$A$2:$A$3058,A1540,$P$2:$P$3058,"OK"),"KEEP","DROP"))</f>
        <v/>
      </c>
      <c r="T1540" s="9" t="n">
        <f aca="false">IF(A1540="",1,0)</f>
        <v>0</v>
      </c>
      <c r="U1540" s="9" t="n">
        <f aca="false">IF(D1540="",1,0)</f>
        <v>0</v>
      </c>
      <c r="V1540" s="9" t="n">
        <f aca="false">IF(E1540="",1,0)</f>
        <v>0</v>
      </c>
      <c r="W1540" s="9" t="n">
        <f aca="false">IF(OR(H1540&lt;1,H1540&gt;10),1,0)</f>
        <v>0</v>
      </c>
      <c r="X1540" s="9" t="n">
        <f aca="false">IF(OR(I1540&lt;=0,I1540&gt;1500),1,0)</f>
        <v>0</v>
      </c>
      <c r="Y1540" s="9" t="n">
        <f aca="false">IF(J1540&gt;H1540*I1540,1,0)</f>
        <v>0</v>
      </c>
      <c r="Z1540" s="9" t="n">
        <f aca="false">IF(AND(N1540&lt;&gt;"",OR(N1540&lt;1,N1540&gt;5)),1,0)</f>
        <v>0</v>
      </c>
      <c r="AA1540" s="9" t="n">
        <f aca="false">IF(AND(M1540&lt;&gt;"",OR(M1540&lt;5,M1540&gt;180)),1,0)</f>
        <v>0</v>
      </c>
      <c r="AB1540" s="7" t="str">
        <f aca="false">IF(P1540="DUP","Exact duplicate row",IF(T1540=1,"Missing Order ID",IF(S1540="DROP","Duplicate Order ID (less complete row)",IF(U1540=1,"Missing Customer ID",IF(V1540=1,"Missing Restaurant name",IF(W1540=1,"Invalid/outlier quantity",IF(X1540=1,"Invalid/outlier unit price",IF(Y1540=1,"Discount greater than order value",""))))))))</f>
        <v/>
      </c>
      <c r="AC1540" s="7" t="str">
        <f aca="false">IF(AB1540="","KEEP","DROP")</f>
        <v>KEEP</v>
      </c>
      <c r="AD1540" s="7" t="str">
        <f aca="false">IF(TRIM(F1540)="",IFERROR(INDEX(Map_Tables!$I$4:$I$37,MATCH(TRIM(E1540),Map_Tables!$G$4:$G$37,0)),""),IFERROR(INDEX(Map_Tables!$B$4:$B$18,MATCH(TRIM(F1540),Map_Tables!$A$4:$A$18,0)),"CHECK"))</f>
        <v>Hyderabad</v>
      </c>
      <c r="AE1540" s="7" t="str">
        <f aca="false">IF(TRIM(E1540)="","",IFERROR(INDEX(Map_Tables!$H$4:$H$37,MATCH(TRIM(E1540),Map_Tables!$G$4:$G$37,0)),"CHECK"))</f>
        <v>Andhra Meals Mess</v>
      </c>
      <c r="AF1540" s="7" t="str">
        <f aca="false">IF(TRIM(K1540)="","Unknown",IFERROR(INDEX(Map_Tables!$E$4:$E$15,MATCH(TRIM(K1540),Map_Tables!$D$4:$D$15,0)),"CHECK"))</f>
        <v>Credit Card</v>
      </c>
      <c r="AG1540" s="7" t="str">
        <f aca="false">IF(LEFT(LOWER(TRIM(L1540)),6)="cancel","Cancelled","Delivered")</f>
        <v>Delivered</v>
      </c>
      <c r="AH1540" s="10" t="n">
        <f aca="false">IF(ISNUMBER(SEARCH("/",B1540)),DATE(VALUE(RIGHT(B1540,4)),VALUE(MID(B1540,4,2)),VALUE(LEFT(B1540,2))),IF(MID(B1540,5,1)="-",DATE(VALUE(LEFT(B1540,4)),VALUE(MID(B1540,6,2)),VALUE(RIGHT(B1540,2))),DATE(VALUE(RIGHT(B1540,4)),MATCH(MID(B1540,4,3),{"Jan","Feb","Mar","Apr","May","Jun","Jul","Aug","Sep","Oct","Nov","Dec"},0),VALUE(LEFT(B1540,2)))))</f>
        <v>46021</v>
      </c>
    </row>
    <row r="1541" customFormat="false" ht="15" hidden="false" customHeight="false" outlineLevel="0" collapsed="false">
      <c r="A1541" s="7" t="s">
        <v>4002</v>
      </c>
      <c r="B1541" s="7" t="s">
        <v>4003</v>
      </c>
      <c r="C1541" s="7" t="s">
        <v>4004</v>
      </c>
      <c r="D1541" s="7" t="s">
        <v>1801</v>
      </c>
      <c r="E1541" s="7" t="s">
        <v>154</v>
      </c>
      <c r="F1541" s="7" t="s">
        <v>128</v>
      </c>
      <c r="G1541" s="7" t="s">
        <v>99</v>
      </c>
      <c r="H1541" s="7" t="n">
        <v>5</v>
      </c>
      <c r="I1541" s="7" t="n">
        <v>280</v>
      </c>
      <c r="J1541" s="7" t="n">
        <v>150</v>
      </c>
      <c r="K1541" s="7" t="s">
        <v>93</v>
      </c>
      <c r="L1541" s="7" t="s">
        <v>238</v>
      </c>
      <c r="M1541" s="7"/>
      <c r="N1541" s="7"/>
      <c r="O1541" s="7" t="str">
        <f aca="false">A1541&amp;"|"&amp;B1541&amp;"|"&amp;C1541&amp;"|"&amp;D1541&amp;"|"&amp;E1541&amp;"|"&amp;F1541&amp;"|"&amp;G1541&amp;"|"&amp;H1541&amp;"|"&amp;I1541&amp;"|"&amp;J1541&amp;"|"&amp;K1541&amp;"|"&amp;L1541&amp;"|"&amp;M1541&amp;"|"&amp;N1541</f>
        <v>ORD11602|28-Jul-2025|14:19|C0827|Madras Biryani Co|Chennai|Biryani|5|280|150|Credit Card|Cancelled||</v>
      </c>
      <c r="P1541" s="7" t="str">
        <f aca="false">IF(COUNTIF($O$2:O1541,O1541)&gt;1,"DUP","OK")</f>
        <v>OK</v>
      </c>
      <c r="Q1541" s="7" t="n">
        <f aca="false">COUNTBLANK(A1541:N1541)</f>
        <v>2</v>
      </c>
      <c r="R1541" s="7" t="n">
        <f aca="false">IF(A1541="",0,COUNTIFS($A$2:$A$3058,A1541,$P$2:$P$3058,"OK"))</f>
        <v>1</v>
      </c>
      <c r="S1541" s="7" t="str">
        <f aca="false">IF(OR(A1541="",P1541="DUP",R1541&lt;2),"",IF(Q1541=_xlfn.MINIFS($Q$2:$Q$3058,$A$2:$A$3058,A1541,$P$2:$P$3058,"OK"),"KEEP","DROP"))</f>
        <v/>
      </c>
      <c r="T1541" s="9" t="n">
        <f aca="false">IF(A1541="",1,0)</f>
        <v>0</v>
      </c>
      <c r="U1541" s="9" t="n">
        <f aca="false">IF(D1541="",1,0)</f>
        <v>0</v>
      </c>
      <c r="V1541" s="9" t="n">
        <f aca="false">IF(E1541="",1,0)</f>
        <v>0</v>
      </c>
      <c r="W1541" s="9" t="n">
        <f aca="false">IF(OR(H1541&lt;1,H1541&gt;10),1,0)</f>
        <v>0</v>
      </c>
      <c r="X1541" s="9" t="n">
        <f aca="false">IF(OR(I1541&lt;=0,I1541&gt;1500),1,0)</f>
        <v>0</v>
      </c>
      <c r="Y1541" s="9" t="n">
        <f aca="false">IF(J1541&gt;H1541*I1541,1,0)</f>
        <v>0</v>
      </c>
      <c r="Z1541" s="9" t="n">
        <f aca="false">IF(AND(N1541&lt;&gt;"",OR(N1541&lt;1,N1541&gt;5)),1,0)</f>
        <v>0</v>
      </c>
      <c r="AA1541" s="9" t="n">
        <f aca="false">IF(AND(M1541&lt;&gt;"",OR(M1541&lt;5,M1541&gt;180)),1,0)</f>
        <v>0</v>
      </c>
      <c r="AB1541" s="7" t="str">
        <f aca="false">IF(P1541="DUP","Exact duplicate row",IF(T1541=1,"Missing Order ID",IF(S1541="DROP","Duplicate Order ID (less complete row)",IF(U1541=1,"Missing Customer ID",IF(V1541=1,"Missing Restaurant name",IF(W1541=1,"Invalid/outlier quantity",IF(X1541=1,"Invalid/outlier unit price",IF(Y1541=1,"Discount greater than order value",""))))))))</f>
        <v/>
      </c>
      <c r="AC1541" s="7" t="str">
        <f aca="false">IF(AB1541="","KEEP","DROP")</f>
        <v>KEEP</v>
      </c>
      <c r="AD1541" s="7" t="str">
        <f aca="false">IF(TRIM(F1541)="",IFERROR(INDEX(Map_Tables!$I$4:$I$37,MATCH(TRIM(E1541),Map_Tables!$G$4:$G$37,0)),""),IFERROR(INDEX(Map_Tables!$B$4:$B$18,MATCH(TRIM(F1541),Map_Tables!$A$4:$A$18,0)),"CHECK"))</f>
        <v>Chennai</v>
      </c>
      <c r="AE1541" s="7" t="str">
        <f aca="false">IF(TRIM(E1541)="","",IFERROR(INDEX(Map_Tables!$H$4:$H$37,MATCH(TRIM(E1541),Map_Tables!$G$4:$G$37,0)),"CHECK"))</f>
        <v>Madras Biryani Co</v>
      </c>
      <c r="AF1541" s="7" t="str">
        <f aca="false">IF(TRIM(K1541)="","Unknown",IFERROR(INDEX(Map_Tables!$E$4:$E$15,MATCH(TRIM(K1541),Map_Tables!$D$4:$D$15,0)),"CHECK"))</f>
        <v>Credit Card</v>
      </c>
      <c r="AG1541" s="7" t="str">
        <f aca="false">IF(LEFT(LOWER(TRIM(L1541)),6)="cancel","Cancelled","Delivered")</f>
        <v>Cancelled</v>
      </c>
      <c r="AH1541" s="10" t="n">
        <f aca="false">IF(ISNUMBER(SEARCH("/",B1541)),DATE(VALUE(RIGHT(B1541,4)),VALUE(MID(B1541,4,2)),VALUE(LEFT(B1541,2))),IF(MID(B1541,5,1)="-",DATE(VALUE(LEFT(B1541,4)),VALUE(MID(B1541,6,2)),VALUE(RIGHT(B1541,2))),DATE(VALUE(RIGHT(B1541,4)),MATCH(MID(B1541,4,3),{"Jan","Feb","Mar","Apr","May","Jun","Jul","Aug","Sep","Oct","Nov","Dec"},0),VALUE(LEFT(B1541,2)))))</f>
        <v>45866</v>
      </c>
    </row>
    <row r="1542" customFormat="false" ht="15" hidden="false" customHeight="false" outlineLevel="0" collapsed="false">
      <c r="A1542" s="7" t="s">
        <v>4005</v>
      </c>
      <c r="B1542" s="7" t="s">
        <v>231</v>
      </c>
      <c r="C1542" s="7" t="s">
        <v>2205</v>
      </c>
      <c r="D1542" s="7" t="s">
        <v>408</v>
      </c>
      <c r="E1542" s="7" t="s">
        <v>2131</v>
      </c>
      <c r="F1542" s="7" t="s">
        <v>101</v>
      </c>
      <c r="G1542" s="7" t="s">
        <v>123</v>
      </c>
      <c r="H1542" s="7" t="n">
        <v>1</v>
      </c>
      <c r="I1542" s="7" t="n">
        <v>315</v>
      </c>
      <c r="J1542" s="7" t="n">
        <v>0</v>
      </c>
      <c r="K1542" s="7" t="s">
        <v>112</v>
      </c>
      <c r="L1542" s="7" t="s">
        <v>194</v>
      </c>
      <c r="M1542" s="7" t="n">
        <v>49</v>
      </c>
      <c r="N1542" s="7" t="n">
        <v>4</v>
      </c>
      <c r="O1542" s="7" t="str">
        <f aca="false">A1542&amp;"|"&amp;B1542&amp;"|"&amp;C1542&amp;"|"&amp;D1542&amp;"|"&amp;E1542&amp;"|"&amp;F1542&amp;"|"&amp;G1542&amp;"|"&amp;H1542&amp;"|"&amp;I1542&amp;"|"&amp;J1542&amp;"|"&amp;K1542&amp;"|"&amp;L1542&amp;"|"&amp;M1542&amp;"|"&amp;N1542</f>
        <v>ORD12720|2025-11-30|19:08|C0166|Mumbai  Pizza Co|Mumbai|Pizza|1|315|0|Cash on Delivery|Delivered|49|4</v>
      </c>
      <c r="P1542" s="7" t="str">
        <f aca="false">IF(COUNTIF($O$2:O1542,O1542)&gt;1,"DUP","OK")</f>
        <v>OK</v>
      </c>
      <c r="Q1542" s="7" t="n">
        <f aca="false">COUNTBLANK(A1542:N1542)</f>
        <v>0</v>
      </c>
      <c r="R1542" s="7" t="n">
        <f aca="false">IF(A1542="",0,COUNTIFS($A$2:$A$3058,A1542,$P$2:$P$3058,"OK"))</f>
        <v>1</v>
      </c>
      <c r="S1542" s="7" t="str">
        <f aca="false">IF(OR(A1542="",P1542="DUP",R1542&lt;2),"",IF(Q1542=_xlfn.MINIFS($Q$2:$Q$3058,$A$2:$A$3058,A1542,$P$2:$P$3058,"OK"),"KEEP","DROP"))</f>
        <v/>
      </c>
      <c r="T1542" s="9" t="n">
        <f aca="false">IF(A1542="",1,0)</f>
        <v>0</v>
      </c>
      <c r="U1542" s="9" t="n">
        <f aca="false">IF(D1542="",1,0)</f>
        <v>0</v>
      </c>
      <c r="V1542" s="9" t="n">
        <f aca="false">IF(E1542="",1,0)</f>
        <v>0</v>
      </c>
      <c r="W1542" s="9" t="n">
        <f aca="false">IF(OR(H1542&lt;1,H1542&gt;10),1,0)</f>
        <v>0</v>
      </c>
      <c r="X1542" s="9" t="n">
        <f aca="false">IF(OR(I1542&lt;=0,I1542&gt;1500),1,0)</f>
        <v>0</v>
      </c>
      <c r="Y1542" s="9" t="n">
        <f aca="false">IF(J1542&gt;H1542*I1542,1,0)</f>
        <v>0</v>
      </c>
      <c r="Z1542" s="9" t="n">
        <f aca="false">IF(AND(N1542&lt;&gt;"",OR(N1542&lt;1,N1542&gt;5)),1,0)</f>
        <v>0</v>
      </c>
      <c r="AA1542" s="9" t="n">
        <f aca="false">IF(AND(M1542&lt;&gt;"",OR(M1542&lt;5,M1542&gt;180)),1,0)</f>
        <v>0</v>
      </c>
      <c r="AB1542" s="7" t="str">
        <f aca="false">IF(P1542="DUP","Exact duplicate row",IF(T1542=1,"Missing Order ID",IF(S1542="DROP","Duplicate Order ID (less complete row)",IF(U1542=1,"Missing Customer ID",IF(V1542=1,"Missing Restaurant name",IF(W1542=1,"Invalid/outlier quantity",IF(X1542=1,"Invalid/outlier unit price",IF(Y1542=1,"Discount greater than order value",""))))))))</f>
        <v/>
      </c>
      <c r="AC1542" s="7" t="str">
        <f aca="false">IF(AB1542="","KEEP","DROP")</f>
        <v>KEEP</v>
      </c>
      <c r="AD1542" s="7" t="str">
        <f aca="false">IF(TRIM(F1542)="",IFERROR(INDEX(Map_Tables!$I$4:$I$37,MATCH(TRIM(E1542),Map_Tables!$G$4:$G$37,0)),""),IFERROR(INDEX(Map_Tables!$B$4:$B$18,MATCH(TRIM(F1542),Map_Tables!$A$4:$A$18,0)),"CHECK"))</f>
        <v>Mumbai</v>
      </c>
      <c r="AE1542" s="7" t="str">
        <f aca="false">IF(TRIM(E1542)="","",IFERROR(INDEX(Map_Tables!$H$4:$H$37,MATCH(TRIM(E1542),Map_Tables!$G$4:$G$37,0)),"CHECK"))</f>
        <v>Mumbai Pizza Co</v>
      </c>
      <c r="AF1542" s="7" t="str">
        <f aca="false">IF(TRIM(K1542)="","Unknown",IFERROR(INDEX(Map_Tables!$E$4:$E$15,MATCH(TRIM(K1542),Map_Tables!$D$4:$D$15,0)),"CHECK"))</f>
        <v>Cash on Delivery</v>
      </c>
      <c r="AG1542" s="7" t="str">
        <f aca="false">IF(LEFT(LOWER(TRIM(L1542)),6)="cancel","Cancelled","Delivered")</f>
        <v>Delivered</v>
      </c>
      <c r="AH1542" s="10" t="n">
        <f aca="false">IF(ISNUMBER(SEARCH("/",B1542)),DATE(VALUE(RIGHT(B1542,4)),VALUE(MID(B1542,4,2)),VALUE(LEFT(B1542,2))),IF(MID(B1542,5,1)="-",DATE(VALUE(LEFT(B1542,4)),VALUE(MID(B1542,6,2)),VALUE(RIGHT(B1542,2))),DATE(VALUE(RIGHT(B1542,4)),MATCH(MID(B1542,4,3),{"Jan","Feb","Mar","Apr","May","Jun","Jul","Aug","Sep","Oct","Nov","Dec"},0),VALUE(LEFT(B1542,2)))))</f>
        <v>45991</v>
      </c>
    </row>
    <row r="1543" customFormat="false" ht="15" hidden="false" customHeight="false" outlineLevel="0" collapsed="false">
      <c r="A1543" s="7" t="s">
        <v>4006</v>
      </c>
      <c r="B1543" s="7" t="s">
        <v>1214</v>
      </c>
      <c r="C1543" s="7" t="s">
        <v>4007</v>
      </c>
      <c r="D1543" s="7" t="s">
        <v>4008</v>
      </c>
      <c r="E1543" s="7" t="s">
        <v>94</v>
      </c>
      <c r="F1543" s="7" t="s">
        <v>86</v>
      </c>
      <c r="G1543" s="7" t="s">
        <v>95</v>
      </c>
      <c r="H1543" s="7" t="n">
        <v>2</v>
      </c>
      <c r="I1543" s="7" t="n">
        <v>115</v>
      </c>
      <c r="J1543" s="7" t="n">
        <v>50</v>
      </c>
      <c r="K1543" s="7" t="s">
        <v>88</v>
      </c>
      <c r="L1543" s="7" t="s">
        <v>194</v>
      </c>
      <c r="M1543" s="7" t="n">
        <v>55</v>
      </c>
      <c r="N1543" s="7" t="n">
        <v>4</v>
      </c>
      <c r="O1543" s="7" t="str">
        <f aca="false">A1543&amp;"|"&amp;B1543&amp;"|"&amp;C1543&amp;"|"&amp;D1543&amp;"|"&amp;E1543&amp;"|"&amp;F1543&amp;"|"&amp;G1543&amp;"|"&amp;H1543&amp;"|"&amp;I1543&amp;"|"&amp;J1543&amp;"|"&amp;K1543&amp;"|"&amp;L1543&amp;"|"&amp;M1543&amp;"|"&amp;N1543</f>
        <v>ORD11371|2025-06-26|01:28|C1263|Dosa Darbar|Bengaluru|South Indian|2|115|50|UPI|Delivered|55|4</v>
      </c>
      <c r="P1543" s="7" t="str">
        <f aca="false">IF(COUNTIF($O$2:O1543,O1543)&gt;1,"DUP","OK")</f>
        <v>OK</v>
      </c>
      <c r="Q1543" s="7" t="n">
        <f aca="false">COUNTBLANK(A1543:N1543)</f>
        <v>0</v>
      </c>
      <c r="R1543" s="7" t="n">
        <f aca="false">IF(A1543="",0,COUNTIFS($A$2:$A$3058,A1543,$P$2:$P$3058,"OK"))</f>
        <v>1</v>
      </c>
      <c r="S1543" s="7" t="str">
        <f aca="false">IF(OR(A1543="",P1543="DUP",R1543&lt;2),"",IF(Q1543=_xlfn.MINIFS($Q$2:$Q$3058,$A$2:$A$3058,A1543,$P$2:$P$3058,"OK"),"KEEP","DROP"))</f>
        <v/>
      </c>
      <c r="T1543" s="9" t="n">
        <f aca="false">IF(A1543="",1,0)</f>
        <v>0</v>
      </c>
      <c r="U1543" s="9" t="n">
        <f aca="false">IF(D1543="",1,0)</f>
        <v>0</v>
      </c>
      <c r="V1543" s="9" t="n">
        <f aca="false">IF(E1543="",1,0)</f>
        <v>0</v>
      </c>
      <c r="W1543" s="9" t="n">
        <f aca="false">IF(OR(H1543&lt;1,H1543&gt;10),1,0)</f>
        <v>0</v>
      </c>
      <c r="X1543" s="9" t="n">
        <f aca="false">IF(OR(I1543&lt;=0,I1543&gt;1500),1,0)</f>
        <v>0</v>
      </c>
      <c r="Y1543" s="9" t="n">
        <f aca="false">IF(J1543&gt;H1543*I1543,1,0)</f>
        <v>0</v>
      </c>
      <c r="Z1543" s="9" t="n">
        <f aca="false">IF(AND(N1543&lt;&gt;"",OR(N1543&lt;1,N1543&gt;5)),1,0)</f>
        <v>0</v>
      </c>
      <c r="AA1543" s="9" t="n">
        <f aca="false">IF(AND(M1543&lt;&gt;"",OR(M1543&lt;5,M1543&gt;180)),1,0)</f>
        <v>0</v>
      </c>
      <c r="AB1543" s="7" t="str">
        <f aca="false">IF(P1543="DUP","Exact duplicate row",IF(T1543=1,"Missing Order ID",IF(S1543="DROP","Duplicate Order ID (less complete row)",IF(U1543=1,"Missing Customer ID",IF(V1543=1,"Missing Restaurant name",IF(W1543=1,"Invalid/outlier quantity",IF(X1543=1,"Invalid/outlier unit price",IF(Y1543=1,"Discount greater than order value",""))))))))</f>
        <v/>
      </c>
      <c r="AC1543" s="7" t="str">
        <f aca="false">IF(AB1543="","KEEP","DROP")</f>
        <v>KEEP</v>
      </c>
      <c r="AD1543" s="7" t="str">
        <f aca="false">IF(TRIM(F1543)="",IFERROR(INDEX(Map_Tables!$I$4:$I$37,MATCH(TRIM(E1543),Map_Tables!$G$4:$G$37,0)),""),IFERROR(INDEX(Map_Tables!$B$4:$B$18,MATCH(TRIM(F1543),Map_Tables!$A$4:$A$18,0)),"CHECK"))</f>
        <v>Bengaluru</v>
      </c>
      <c r="AE1543" s="7" t="str">
        <f aca="false">IF(TRIM(E1543)="","",IFERROR(INDEX(Map_Tables!$H$4:$H$37,MATCH(TRIM(E1543),Map_Tables!$G$4:$G$37,0)),"CHECK"))</f>
        <v>Dosa Darbar</v>
      </c>
      <c r="AF1543" s="7" t="str">
        <f aca="false">IF(TRIM(K1543)="","Unknown",IFERROR(INDEX(Map_Tables!$E$4:$E$15,MATCH(TRIM(K1543),Map_Tables!$D$4:$D$15,0)),"CHECK"))</f>
        <v>UPI</v>
      </c>
      <c r="AG1543" s="7" t="str">
        <f aca="false">IF(LEFT(LOWER(TRIM(L1543)),6)="cancel","Cancelled","Delivered")</f>
        <v>Delivered</v>
      </c>
      <c r="AH1543" s="10" t="n">
        <f aca="false">IF(ISNUMBER(SEARCH("/",B1543)),DATE(VALUE(RIGHT(B1543,4)),VALUE(MID(B1543,4,2)),VALUE(LEFT(B1543,2))),IF(MID(B1543,5,1)="-",DATE(VALUE(LEFT(B1543,4)),VALUE(MID(B1543,6,2)),VALUE(RIGHT(B1543,2))),DATE(VALUE(RIGHT(B1543,4)),MATCH(MID(B1543,4,3),{"Jan","Feb","Mar","Apr","May","Jun","Jul","Aug","Sep","Oct","Nov","Dec"},0),VALUE(LEFT(B1543,2)))))</f>
        <v>45834</v>
      </c>
    </row>
    <row r="1544" customFormat="false" ht="15" hidden="false" customHeight="false" outlineLevel="0" collapsed="false">
      <c r="A1544" s="7" t="s">
        <v>4009</v>
      </c>
      <c r="B1544" s="7" t="s">
        <v>4010</v>
      </c>
      <c r="C1544" s="7" t="s">
        <v>4011</v>
      </c>
      <c r="D1544" s="7" t="s">
        <v>4012</v>
      </c>
      <c r="E1544" s="7" t="s">
        <v>163</v>
      </c>
      <c r="F1544" s="7" t="s">
        <v>141</v>
      </c>
      <c r="G1544" s="7" t="s">
        <v>99</v>
      </c>
      <c r="H1544" s="7" t="n">
        <v>3</v>
      </c>
      <c r="I1544" s="7" t="n">
        <v>255</v>
      </c>
      <c r="J1544" s="7" t="n">
        <v>0</v>
      </c>
      <c r="K1544" s="7" t="s">
        <v>103</v>
      </c>
      <c r="L1544" s="7" t="s">
        <v>194</v>
      </c>
      <c r="M1544" s="7" t="n">
        <v>38</v>
      </c>
      <c r="N1544" s="7" t="n">
        <v>5</v>
      </c>
      <c r="O1544" s="7" t="str">
        <f aca="false">A1544&amp;"|"&amp;B1544&amp;"|"&amp;C1544&amp;"|"&amp;D1544&amp;"|"&amp;E1544&amp;"|"&amp;F1544&amp;"|"&amp;G1544&amp;"|"&amp;H1544&amp;"|"&amp;I1544&amp;"|"&amp;J1544&amp;"|"&amp;K1544&amp;"|"&amp;L1544&amp;"|"&amp;M1544&amp;"|"&amp;N1544</f>
        <v>ORD12609|19-Nov-2025|01:04|C1276|Biryani Baadshah|Kolkata|Biryani|3|255|0|Debit Card|Delivered|38|5</v>
      </c>
      <c r="P1544" s="7" t="str">
        <f aca="false">IF(COUNTIF($O$2:O1544,O1544)&gt;1,"DUP","OK")</f>
        <v>OK</v>
      </c>
      <c r="Q1544" s="7" t="n">
        <f aca="false">COUNTBLANK(A1544:N1544)</f>
        <v>0</v>
      </c>
      <c r="R1544" s="7" t="n">
        <f aca="false">IF(A1544="",0,COUNTIFS($A$2:$A$3058,A1544,$P$2:$P$3058,"OK"))</f>
        <v>1</v>
      </c>
      <c r="S1544" s="7" t="str">
        <f aca="false">IF(OR(A1544="",P1544="DUP",R1544&lt;2),"",IF(Q1544=_xlfn.MINIFS($Q$2:$Q$3058,$A$2:$A$3058,A1544,$P$2:$P$3058,"OK"),"KEEP","DROP"))</f>
        <v/>
      </c>
      <c r="T1544" s="9" t="n">
        <f aca="false">IF(A1544="",1,0)</f>
        <v>0</v>
      </c>
      <c r="U1544" s="9" t="n">
        <f aca="false">IF(D1544="",1,0)</f>
        <v>0</v>
      </c>
      <c r="V1544" s="9" t="n">
        <f aca="false">IF(E1544="",1,0)</f>
        <v>0</v>
      </c>
      <c r="W1544" s="9" t="n">
        <f aca="false">IF(OR(H1544&lt;1,H1544&gt;10),1,0)</f>
        <v>0</v>
      </c>
      <c r="X1544" s="9" t="n">
        <f aca="false">IF(OR(I1544&lt;=0,I1544&gt;1500),1,0)</f>
        <v>0</v>
      </c>
      <c r="Y1544" s="9" t="n">
        <f aca="false">IF(J1544&gt;H1544*I1544,1,0)</f>
        <v>0</v>
      </c>
      <c r="Z1544" s="9" t="n">
        <f aca="false">IF(AND(N1544&lt;&gt;"",OR(N1544&lt;1,N1544&gt;5)),1,0)</f>
        <v>0</v>
      </c>
      <c r="AA1544" s="9" t="n">
        <f aca="false">IF(AND(M1544&lt;&gt;"",OR(M1544&lt;5,M1544&gt;180)),1,0)</f>
        <v>0</v>
      </c>
      <c r="AB1544" s="7" t="str">
        <f aca="false">IF(P1544="DUP","Exact duplicate row",IF(T1544=1,"Missing Order ID",IF(S1544="DROP","Duplicate Order ID (less complete row)",IF(U1544=1,"Missing Customer ID",IF(V1544=1,"Missing Restaurant name",IF(W1544=1,"Invalid/outlier quantity",IF(X1544=1,"Invalid/outlier unit price",IF(Y1544=1,"Discount greater than order value",""))))))))</f>
        <v/>
      </c>
      <c r="AC1544" s="7" t="str">
        <f aca="false">IF(AB1544="","KEEP","DROP")</f>
        <v>KEEP</v>
      </c>
      <c r="AD1544" s="7" t="str">
        <f aca="false">IF(TRIM(F1544)="",IFERROR(INDEX(Map_Tables!$I$4:$I$37,MATCH(TRIM(E1544),Map_Tables!$G$4:$G$37,0)),""),IFERROR(INDEX(Map_Tables!$B$4:$B$18,MATCH(TRIM(F1544),Map_Tables!$A$4:$A$18,0)),"CHECK"))</f>
        <v>Kolkata</v>
      </c>
      <c r="AE1544" s="7" t="str">
        <f aca="false">IF(TRIM(E1544)="","",IFERROR(INDEX(Map_Tables!$H$4:$H$37,MATCH(TRIM(E1544),Map_Tables!$G$4:$G$37,0)),"CHECK"))</f>
        <v>Biryani Baadshah</v>
      </c>
      <c r="AF1544" s="7" t="str">
        <f aca="false">IF(TRIM(K1544)="","Unknown",IFERROR(INDEX(Map_Tables!$E$4:$E$15,MATCH(TRIM(K1544),Map_Tables!$D$4:$D$15,0)),"CHECK"))</f>
        <v>Debit Card</v>
      </c>
      <c r="AG1544" s="7" t="str">
        <f aca="false">IF(LEFT(LOWER(TRIM(L1544)),6)="cancel","Cancelled","Delivered")</f>
        <v>Delivered</v>
      </c>
      <c r="AH1544" s="10" t="n">
        <f aca="false">IF(ISNUMBER(SEARCH("/",B1544)),DATE(VALUE(RIGHT(B1544,4)),VALUE(MID(B1544,4,2)),VALUE(LEFT(B1544,2))),IF(MID(B1544,5,1)="-",DATE(VALUE(LEFT(B1544,4)),VALUE(MID(B1544,6,2)),VALUE(RIGHT(B1544,2))),DATE(VALUE(RIGHT(B1544,4)),MATCH(MID(B1544,4,3),{"Jan","Feb","Mar","Apr","May","Jun","Jul","Aug","Sep","Oct","Nov","Dec"},0),VALUE(LEFT(B1544,2)))))</f>
        <v>45980</v>
      </c>
    </row>
    <row r="1545" customFormat="false" ht="15" hidden="false" customHeight="false" outlineLevel="0" collapsed="false">
      <c r="A1545" s="7" t="s">
        <v>4013</v>
      </c>
      <c r="B1545" s="7" t="s">
        <v>892</v>
      </c>
      <c r="C1545" s="7" t="s">
        <v>3013</v>
      </c>
      <c r="D1545" s="7" t="s">
        <v>2021</v>
      </c>
      <c r="E1545" s="7" t="s">
        <v>126</v>
      </c>
      <c r="F1545" s="7" t="s">
        <v>101</v>
      </c>
      <c r="G1545" s="7" t="s">
        <v>105</v>
      </c>
      <c r="H1545" s="7" t="n">
        <v>2</v>
      </c>
      <c r="I1545" s="7" t="n">
        <v>225</v>
      </c>
      <c r="J1545" s="7" t="n">
        <v>100</v>
      </c>
      <c r="K1545" s="7" t="s">
        <v>121</v>
      </c>
      <c r="L1545" s="7" t="s">
        <v>194</v>
      </c>
      <c r="M1545" s="7" t="n">
        <v>44</v>
      </c>
      <c r="N1545" s="7" t="n">
        <v>3</v>
      </c>
      <c r="O1545" s="7" t="str">
        <f aca="false">A1545&amp;"|"&amp;B1545&amp;"|"&amp;C1545&amp;"|"&amp;D1545&amp;"|"&amp;E1545&amp;"|"&amp;F1545&amp;"|"&amp;G1545&amp;"|"&amp;H1545&amp;"|"&amp;I1545&amp;"|"&amp;J1545&amp;"|"&amp;K1545&amp;"|"&amp;L1545&amp;"|"&amp;M1545&amp;"|"&amp;N1545</f>
        <v>ORD12521|2025-11-12|11:18|C0828|Dragon Express|Mumbai|Chinese|2|225|100|Wallet|Delivered|44|3</v>
      </c>
      <c r="P1545" s="7" t="str">
        <f aca="false">IF(COUNTIF($O$2:O1545,O1545)&gt;1,"DUP","OK")</f>
        <v>OK</v>
      </c>
      <c r="Q1545" s="7" t="n">
        <f aca="false">COUNTBLANK(A1545:N1545)</f>
        <v>0</v>
      </c>
      <c r="R1545" s="7" t="n">
        <f aca="false">IF(A1545="",0,COUNTIFS($A$2:$A$3058,A1545,$P$2:$P$3058,"OK"))</f>
        <v>1</v>
      </c>
      <c r="S1545" s="7" t="str">
        <f aca="false">IF(OR(A1545="",P1545="DUP",R1545&lt;2),"",IF(Q1545=_xlfn.MINIFS($Q$2:$Q$3058,$A$2:$A$3058,A1545,$P$2:$P$3058,"OK"),"KEEP","DROP"))</f>
        <v/>
      </c>
      <c r="T1545" s="9" t="n">
        <f aca="false">IF(A1545="",1,0)</f>
        <v>0</v>
      </c>
      <c r="U1545" s="9" t="n">
        <f aca="false">IF(D1545="",1,0)</f>
        <v>0</v>
      </c>
      <c r="V1545" s="9" t="n">
        <f aca="false">IF(E1545="",1,0)</f>
        <v>0</v>
      </c>
      <c r="W1545" s="9" t="n">
        <f aca="false">IF(OR(H1545&lt;1,H1545&gt;10),1,0)</f>
        <v>0</v>
      </c>
      <c r="X1545" s="9" t="n">
        <f aca="false">IF(OR(I1545&lt;=0,I1545&gt;1500),1,0)</f>
        <v>0</v>
      </c>
      <c r="Y1545" s="9" t="n">
        <f aca="false">IF(J1545&gt;H1545*I1545,1,0)</f>
        <v>0</v>
      </c>
      <c r="Z1545" s="9" t="n">
        <f aca="false">IF(AND(N1545&lt;&gt;"",OR(N1545&lt;1,N1545&gt;5)),1,0)</f>
        <v>0</v>
      </c>
      <c r="AA1545" s="9" t="n">
        <f aca="false">IF(AND(M1545&lt;&gt;"",OR(M1545&lt;5,M1545&gt;180)),1,0)</f>
        <v>0</v>
      </c>
      <c r="AB1545" s="7" t="str">
        <f aca="false">IF(P1545="DUP","Exact duplicate row",IF(T1545=1,"Missing Order ID",IF(S1545="DROP","Duplicate Order ID (less complete row)",IF(U1545=1,"Missing Customer ID",IF(V1545=1,"Missing Restaurant name",IF(W1545=1,"Invalid/outlier quantity",IF(X1545=1,"Invalid/outlier unit price",IF(Y1545=1,"Discount greater than order value",""))))))))</f>
        <v/>
      </c>
      <c r="AC1545" s="7" t="str">
        <f aca="false">IF(AB1545="","KEEP","DROP")</f>
        <v>KEEP</v>
      </c>
      <c r="AD1545" s="7" t="str">
        <f aca="false">IF(TRIM(F1545)="",IFERROR(INDEX(Map_Tables!$I$4:$I$37,MATCH(TRIM(E1545),Map_Tables!$G$4:$G$37,0)),""),IFERROR(INDEX(Map_Tables!$B$4:$B$18,MATCH(TRIM(F1545),Map_Tables!$A$4:$A$18,0)),"CHECK"))</f>
        <v>Mumbai</v>
      </c>
      <c r="AE1545" s="7" t="str">
        <f aca="false">IF(TRIM(E1545)="","",IFERROR(INDEX(Map_Tables!$H$4:$H$37,MATCH(TRIM(E1545),Map_Tables!$G$4:$G$37,0)),"CHECK"))</f>
        <v>Dragon Express</v>
      </c>
      <c r="AF1545" s="7" t="str">
        <f aca="false">IF(TRIM(K1545)="","Unknown",IFERROR(INDEX(Map_Tables!$E$4:$E$15,MATCH(TRIM(K1545),Map_Tables!$D$4:$D$15,0)),"CHECK"))</f>
        <v>Wallet</v>
      </c>
      <c r="AG1545" s="7" t="str">
        <f aca="false">IF(LEFT(LOWER(TRIM(L1545)),6)="cancel","Cancelled","Delivered")</f>
        <v>Delivered</v>
      </c>
      <c r="AH1545" s="10" t="n">
        <f aca="false">IF(ISNUMBER(SEARCH("/",B1545)),DATE(VALUE(RIGHT(B1545,4)),VALUE(MID(B1545,4,2)),VALUE(LEFT(B1545,2))),IF(MID(B1545,5,1)="-",DATE(VALUE(LEFT(B1545,4)),VALUE(MID(B1545,6,2)),VALUE(RIGHT(B1545,2))),DATE(VALUE(RIGHT(B1545,4)),MATCH(MID(B1545,4,3),{"Jan","Feb","Mar","Apr","May","Jun","Jul","Aug","Sep","Oct","Nov","Dec"},0),VALUE(LEFT(B1545,2)))))</f>
        <v>45973</v>
      </c>
    </row>
    <row r="1546" customFormat="false" ht="15" hidden="false" customHeight="false" outlineLevel="0" collapsed="false">
      <c r="A1546" s="7" t="s">
        <v>4014</v>
      </c>
      <c r="B1546" s="7" t="s">
        <v>3898</v>
      </c>
      <c r="C1546" s="7" t="s">
        <v>258</v>
      </c>
      <c r="D1546" s="7" t="s">
        <v>2153</v>
      </c>
      <c r="E1546" s="7" t="s">
        <v>89</v>
      </c>
      <c r="F1546" s="7" t="s">
        <v>86</v>
      </c>
      <c r="G1546" s="7" t="s">
        <v>90</v>
      </c>
      <c r="H1546" s="7" t="n">
        <v>3</v>
      </c>
      <c r="I1546" s="7" t="n">
        <v>230</v>
      </c>
      <c r="J1546" s="7" t="n">
        <v>20</v>
      </c>
      <c r="K1546" s="7" t="s">
        <v>88</v>
      </c>
      <c r="L1546" s="7" t="s">
        <v>194</v>
      </c>
      <c r="M1546" s="7" t="n">
        <v>30</v>
      </c>
      <c r="N1546" s="7" t="n">
        <v>4</v>
      </c>
      <c r="O1546" s="7" t="str">
        <f aca="false">A1546&amp;"|"&amp;B1546&amp;"|"&amp;C1546&amp;"|"&amp;D1546&amp;"|"&amp;E1546&amp;"|"&amp;F1546&amp;"|"&amp;G1546&amp;"|"&amp;H1546&amp;"|"&amp;I1546&amp;"|"&amp;J1546&amp;"|"&amp;K1546&amp;"|"&amp;L1546&amp;"|"&amp;M1546&amp;"|"&amp;N1546</f>
        <v>ORD11192|31/05/2025|20:24|C0192|Spice Junction|Bengaluru|North Indian|3|230|20|UPI|Delivered|30|4</v>
      </c>
      <c r="P1546" s="7" t="str">
        <f aca="false">IF(COUNTIF($O$2:O1546,O1546)&gt;1,"DUP","OK")</f>
        <v>OK</v>
      </c>
      <c r="Q1546" s="7" t="n">
        <f aca="false">COUNTBLANK(A1546:N1546)</f>
        <v>0</v>
      </c>
      <c r="R1546" s="7" t="n">
        <f aca="false">IF(A1546="",0,COUNTIFS($A$2:$A$3058,A1546,$P$2:$P$3058,"OK"))</f>
        <v>1</v>
      </c>
      <c r="S1546" s="7" t="str">
        <f aca="false">IF(OR(A1546="",P1546="DUP",R1546&lt;2),"",IF(Q1546=_xlfn.MINIFS($Q$2:$Q$3058,$A$2:$A$3058,A1546,$P$2:$P$3058,"OK"),"KEEP","DROP"))</f>
        <v/>
      </c>
      <c r="T1546" s="9" t="n">
        <f aca="false">IF(A1546="",1,0)</f>
        <v>0</v>
      </c>
      <c r="U1546" s="9" t="n">
        <f aca="false">IF(D1546="",1,0)</f>
        <v>0</v>
      </c>
      <c r="V1546" s="9" t="n">
        <f aca="false">IF(E1546="",1,0)</f>
        <v>0</v>
      </c>
      <c r="W1546" s="9" t="n">
        <f aca="false">IF(OR(H1546&lt;1,H1546&gt;10),1,0)</f>
        <v>0</v>
      </c>
      <c r="X1546" s="9" t="n">
        <f aca="false">IF(OR(I1546&lt;=0,I1546&gt;1500),1,0)</f>
        <v>0</v>
      </c>
      <c r="Y1546" s="9" t="n">
        <f aca="false">IF(J1546&gt;H1546*I1546,1,0)</f>
        <v>0</v>
      </c>
      <c r="Z1546" s="9" t="n">
        <f aca="false">IF(AND(N1546&lt;&gt;"",OR(N1546&lt;1,N1546&gt;5)),1,0)</f>
        <v>0</v>
      </c>
      <c r="AA1546" s="9" t="n">
        <f aca="false">IF(AND(M1546&lt;&gt;"",OR(M1546&lt;5,M1546&gt;180)),1,0)</f>
        <v>0</v>
      </c>
      <c r="AB1546" s="7" t="str">
        <f aca="false">IF(P1546="DUP","Exact duplicate row",IF(T1546=1,"Missing Order ID",IF(S1546="DROP","Duplicate Order ID (less complete row)",IF(U1546=1,"Missing Customer ID",IF(V1546=1,"Missing Restaurant name",IF(W1546=1,"Invalid/outlier quantity",IF(X1546=1,"Invalid/outlier unit price",IF(Y1546=1,"Discount greater than order value",""))))))))</f>
        <v/>
      </c>
      <c r="AC1546" s="7" t="str">
        <f aca="false">IF(AB1546="","KEEP","DROP")</f>
        <v>KEEP</v>
      </c>
      <c r="AD1546" s="7" t="str">
        <f aca="false">IF(TRIM(F1546)="",IFERROR(INDEX(Map_Tables!$I$4:$I$37,MATCH(TRIM(E1546),Map_Tables!$G$4:$G$37,0)),""),IFERROR(INDEX(Map_Tables!$B$4:$B$18,MATCH(TRIM(F1546),Map_Tables!$A$4:$A$18,0)),"CHECK"))</f>
        <v>Bengaluru</v>
      </c>
      <c r="AE1546" s="7" t="str">
        <f aca="false">IF(TRIM(E1546)="","",IFERROR(INDEX(Map_Tables!$H$4:$H$37,MATCH(TRIM(E1546),Map_Tables!$G$4:$G$37,0)),"CHECK"))</f>
        <v>Spice Junction</v>
      </c>
      <c r="AF1546" s="7" t="str">
        <f aca="false">IF(TRIM(K1546)="","Unknown",IFERROR(INDEX(Map_Tables!$E$4:$E$15,MATCH(TRIM(K1546),Map_Tables!$D$4:$D$15,0)),"CHECK"))</f>
        <v>UPI</v>
      </c>
      <c r="AG1546" s="7" t="str">
        <f aca="false">IF(LEFT(LOWER(TRIM(L1546)),6)="cancel","Cancelled","Delivered")</f>
        <v>Delivered</v>
      </c>
      <c r="AH1546" s="10" t="n">
        <f aca="false">IF(ISNUMBER(SEARCH("/",B1546)),DATE(VALUE(RIGHT(B1546,4)),VALUE(MID(B1546,4,2)),VALUE(LEFT(B1546,2))),IF(MID(B1546,5,1)="-",DATE(VALUE(LEFT(B1546,4)),VALUE(MID(B1546,6,2)),VALUE(RIGHT(B1546,2))),DATE(VALUE(RIGHT(B1546,4)),MATCH(MID(B1546,4,3),{"Jan","Feb","Mar","Apr","May","Jun","Jul","Aug","Sep","Oct","Nov","Dec"},0),VALUE(LEFT(B1546,2)))))</f>
        <v>45808</v>
      </c>
    </row>
    <row r="1547" customFormat="false" ht="15" hidden="false" customHeight="false" outlineLevel="0" collapsed="false">
      <c r="A1547" s="7" t="s">
        <v>4015</v>
      </c>
      <c r="B1547" s="7" t="s">
        <v>612</v>
      </c>
      <c r="C1547" s="7" t="s">
        <v>4016</v>
      </c>
      <c r="D1547" s="7" t="s">
        <v>530</v>
      </c>
      <c r="E1547" s="7" t="s">
        <v>98</v>
      </c>
      <c r="F1547" s="7" t="s">
        <v>86</v>
      </c>
      <c r="G1547" s="7" t="s">
        <v>3595</v>
      </c>
      <c r="H1547" s="7" t="n">
        <v>3</v>
      </c>
      <c r="I1547" s="7" t="n">
        <v>275</v>
      </c>
      <c r="J1547" s="7" t="n">
        <v>50</v>
      </c>
      <c r="K1547" s="7" t="s">
        <v>133</v>
      </c>
      <c r="L1547" s="7" t="s">
        <v>238</v>
      </c>
      <c r="M1547" s="7"/>
      <c r="N1547" s="7"/>
      <c r="O1547" s="7" t="str">
        <f aca="false">A1547&amp;"|"&amp;B1547&amp;"|"&amp;C1547&amp;"|"&amp;D1547&amp;"|"&amp;E1547&amp;"|"&amp;F1547&amp;"|"&amp;G1547&amp;"|"&amp;H1547&amp;"|"&amp;I1547&amp;"|"&amp;J1547&amp;"|"&amp;K1547&amp;"|"&amp;L1547&amp;"|"&amp;M1547&amp;"|"&amp;N1547</f>
        <v>ORD11704|2025-08-12|14:04|C0383|Nawabi Biryani House|Bengaluru|BIRYANI|3|275|50|Net Banking|Cancelled||</v>
      </c>
      <c r="P1547" s="7" t="str">
        <f aca="false">IF(COUNTIF($O$2:O1547,O1547)&gt;1,"DUP","OK")</f>
        <v>OK</v>
      </c>
      <c r="Q1547" s="7" t="n">
        <f aca="false">COUNTBLANK(A1547:N1547)</f>
        <v>2</v>
      </c>
      <c r="R1547" s="7" t="n">
        <f aca="false">IF(A1547="",0,COUNTIFS($A$2:$A$3058,A1547,$P$2:$P$3058,"OK"))</f>
        <v>1</v>
      </c>
      <c r="S1547" s="7" t="str">
        <f aca="false">IF(OR(A1547="",P1547="DUP",R1547&lt;2),"",IF(Q1547=_xlfn.MINIFS($Q$2:$Q$3058,$A$2:$A$3058,A1547,$P$2:$P$3058,"OK"),"KEEP","DROP"))</f>
        <v/>
      </c>
      <c r="T1547" s="9" t="n">
        <f aca="false">IF(A1547="",1,0)</f>
        <v>0</v>
      </c>
      <c r="U1547" s="9" t="n">
        <f aca="false">IF(D1547="",1,0)</f>
        <v>0</v>
      </c>
      <c r="V1547" s="9" t="n">
        <f aca="false">IF(E1547="",1,0)</f>
        <v>0</v>
      </c>
      <c r="W1547" s="9" t="n">
        <f aca="false">IF(OR(H1547&lt;1,H1547&gt;10),1,0)</f>
        <v>0</v>
      </c>
      <c r="X1547" s="9" t="n">
        <f aca="false">IF(OR(I1547&lt;=0,I1547&gt;1500),1,0)</f>
        <v>0</v>
      </c>
      <c r="Y1547" s="9" t="n">
        <f aca="false">IF(J1547&gt;H1547*I1547,1,0)</f>
        <v>0</v>
      </c>
      <c r="Z1547" s="9" t="n">
        <f aca="false">IF(AND(N1547&lt;&gt;"",OR(N1547&lt;1,N1547&gt;5)),1,0)</f>
        <v>0</v>
      </c>
      <c r="AA1547" s="9" t="n">
        <f aca="false">IF(AND(M1547&lt;&gt;"",OR(M1547&lt;5,M1547&gt;180)),1,0)</f>
        <v>0</v>
      </c>
      <c r="AB1547" s="7" t="str">
        <f aca="false">IF(P1547="DUP","Exact duplicate row",IF(T1547=1,"Missing Order ID",IF(S1547="DROP","Duplicate Order ID (less complete row)",IF(U1547=1,"Missing Customer ID",IF(V1547=1,"Missing Restaurant name",IF(W1547=1,"Invalid/outlier quantity",IF(X1547=1,"Invalid/outlier unit price",IF(Y1547=1,"Discount greater than order value",""))))))))</f>
        <v/>
      </c>
      <c r="AC1547" s="7" t="str">
        <f aca="false">IF(AB1547="","KEEP","DROP")</f>
        <v>KEEP</v>
      </c>
      <c r="AD1547" s="7" t="str">
        <f aca="false">IF(TRIM(F1547)="",IFERROR(INDEX(Map_Tables!$I$4:$I$37,MATCH(TRIM(E1547),Map_Tables!$G$4:$G$37,0)),""),IFERROR(INDEX(Map_Tables!$B$4:$B$18,MATCH(TRIM(F1547),Map_Tables!$A$4:$A$18,0)),"CHECK"))</f>
        <v>Bengaluru</v>
      </c>
      <c r="AE1547" s="7" t="str">
        <f aca="false">IF(TRIM(E1547)="","",IFERROR(INDEX(Map_Tables!$H$4:$H$37,MATCH(TRIM(E1547),Map_Tables!$G$4:$G$37,0)),"CHECK"))</f>
        <v>Nawabi Biryani House</v>
      </c>
      <c r="AF1547" s="7" t="str">
        <f aca="false">IF(TRIM(K1547)="","Unknown",IFERROR(INDEX(Map_Tables!$E$4:$E$15,MATCH(TRIM(K1547),Map_Tables!$D$4:$D$15,0)),"CHECK"))</f>
        <v>Net Banking</v>
      </c>
      <c r="AG1547" s="7" t="str">
        <f aca="false">IF(LEFT(LOWER(TRIM(L1547)),6)="cancel","Cancelled","Delivered")</f>
        <v>Cancelled</v>
      </c>
      <c r="AH1547" s="10" t="n">
        <f aca="false">IF(ISNUMBER(SEARCH("/",B1547)),DATE(VALUE(RIGHT(B1547,4)),VALUE(MID(B1547,4,2)),VALUE(LEFT(B1547,2))),IF(MID(B1547,5,1)="-",DATE(VALUE(LEFT(B1547,4)),VALUE(MID(B1547,6,2)),VALUE(RIGHT(B1547,2))),DATE(VALUE(RIGHT(B1547,4)),MATCH(MID(B1547,4,3),{"Jan","Feb","Mar","Apr","May","Jun","Jul","Aug","Sep","Oct","Nov","Dec"},0),VALUE(LEFT(B1547,2)))))</f>
        <v>45881</v>
      </c>
    </row>
    <row r="1548" customFormat="false" ht="15" hidden="false" customHeight="false" outlineLevel="0" collapsed="false">
      <c r="A1548" s="7" t="s">
        <v>4017</v>
      </c>
      <c r="B1548" s="7" t="s">
        <v>523</v>
      </c>
      <c r="C1548" s="7" t="s">
        <v>825</v>
      </c>
      <c r="D1548" s="7" t="s">
        <v>645</v>
      </c>
      <c r="E1548" s="7" t="s">
        <v>98</v>
      </c>
      <c r="F1548" s="7" t="s">
        <v>86</v>
      </c>
      <c r="G1548" s="7" t="s">
        <v>99</v>
      </c>
      <c r="H1548" s="7" t="n">
        <v>4</v>
      </c>
      <c r="I1548" s="7" t="n">
        <v>240</v>
      </c>
      <c r="J1548" s="7" t="n">
        <v>150</v>
      </c>
      <c r="K1548" s="7" t="s">
        <v>88</v>
      </c>
      <c r="L1548" s="7" t="s">
        <v>194</v>
      </c>
      <c r="M1548" s="7" t="n">
        <v>42</v>
      </c>
      <c r="N1548" s="7" t="n">
        <v>3</v>
      </c>
      <c r="O1548" s="7" t="str">
        <f aca="false">A1548&amp;"|"&amp;B1548&amp;"|"&amp;C1548&amp;"|"&amp;D1548&amp;"|"&amp;E1548&amp;"|"&amp;F1548&amp;"|"&amp;G1548&amp;"|"&amp;H1548&amp;"|"&amp;I1548&amp;"|"&amp;J1548&amp;"|"&amp;K1548&amp;"|"&amp;L1548&amp;"|"&amp;M1548&amp;"|"&amp;N1548</f>
        <v>ORD11832|2025-08-27|15:36|C1199|Nawabi Biryani House|Bengaluru|Biryani|4|240|150|UPI|Delivered|42|3</v>
      </c>
      <c r="P1548" s="7" t="str">
        <f aca="false">IF(COUNTIF($O$2:O1548,O1548)&gt;1,"DUP","OK")</f>
        <v>OK</v>
      </c>
      <c r="Q1548" s="7" t="n">
        <f aca="false">COUNTBLANK(A1548:N1548)</f>
        <v>0</v>
      </c>
      <c r="R1548" s="7" t="n">
        <f aca="false">IF(A1548="",0,COUNTIFS($A$2:$A$3058,A1548,$P$2:$P$3058,"OK"))</f>
        <v>1</v>
      </c>
      <c r="S1548" s="7" t="str">
        <f aca="false">IF(OR(A1548="",P1548="DUP",R1548&lt;2),"",IF(Q1548=_xlfn.MINIFS($Q$2:$Q$3058,$A$2:$A$3058,A1548,$P$2:$P$3058,"OK"),"KEEP","DROP"))</f>
        <v/>
      </c>
      <c r="T1548" s="9" t="n">
        <f aca="false">IF(A1548="",1,0)</f>
        <v>0</v>
      </c>
      <c r="U1548" s="9" t="n">
        <f aca="false">IF(D1548="",1,0)</f>
        <v>0</v>
      </c>
      <c r="V1548" s="9" t="n">
        <f aca="false">IF(E1548="",1,0)</f>
        <v>0</v>
      </c>
      <c r="W1548" s="9" t="n">
        <f aca="false">IF(OR(H1548&lt;1,H1548&gt;10),1,0)</f>
        <v>0</v>
      </c>
      <c r="X1548" s="9" t="n">
        <f aca="false">IF(OR(I1548&lt;=0,I1548&gt;1500),1,0)</f>
        <v>0</v>
      </c>
      <c r="Y1548" s="9" t="n">
        <f aca="false">IF(J1548&gt;H1548*I1548,1,0)</f>
        <v>0</v>
      </c>
      <c r="Z1548" s="9" t="n">
        <f aca="false">IF(AND(N1548&lt;&gt;"",OR(N1548&lt;1,N1548&gt;5)),1,0)</f>
        <v>0</v>
      </c>
      <c r="AA1548" s="9" t="n">
        <f aca="false">IF(AND(M1548&lt;&gt;"",OR(M1548&lt;5,M1548&gt;180)),1,0)</f>
        <v>0</v>
      </c>
      <c r="AB1548" s="7" t="str">
        <f aca="false">IF(P1548="DUP","Exact duplicate row",IF(T1548=1,"Missing Order ID",IF(S1548="DROP","Duplicate Order ID (less complete row)",IF(U1548=1,"Missing Customer ID",IF(V1548=1,"Missing Restaurant name",IF(W1548=1,"Invalid/outlier quantity",IF(X1548=1,"Invalid/outlier unit price",IF(Y1548=1,"Discount greater than order value",""))))))))</f>
        <v/>
      </c>
      <c r="AC1548" s="7" t="str">
        <f aca="false">IF(AB1548="","KEEP","DROP")</f>
        <v>KEEP</v>
      </c>
      <c r="AD1548" s="7" t="str">
        <f aca="false">IF(TRIM(F1548)="",IFERROR(INDEX(Map_Tables!$I$4:$I$37,MATCH(TRIM(E1548),Map_Tables!$G$4:$G$37,0)),""),IFERROR(INDEX(Map_Tables!$B$4:$B$18,MATCH(TRIM(F1548),Map_Tables!$A$4:$A$18,0)),"CHECK"))</f>
        <v>Bengaluru</v>
      </c>
      <c r="AE1548" s="7" t="str">
        <f aca="false">IF(TRIM(E1548)="","",IFERROR(INDEX(Map_Tables!$H$4:$H$37,MATCH(TRIM(E1548),Map_Tables!$G$4:$G$37,0)),"CHECK"))</f>
        <v>Nawabi Biryani House</v>
      </c>
      <c r="AF1548" s="7" t="str">
        <f aca="false">IF(TRIM(K1548)="","Unknown",IFERROR(INDEX(Map_Tables!$E$4:$E$15,MATCH(TRIM(K1548),Map_Tables!$D$4:$D$15,0)),"CHECK"))</f>
        <v>UPI</v>
      </c>
      <c r="AG1548" s="7" t="str">
        <f aca="false">IF(LEFT(LOWER(TRIM(L1548)),6)="cancel","Cancelled","Delivered")</f>
        <v>Delivered</v>
      </c>
      <c r="AH1548" s="10" t="n">
        <f aca="false">IF(ISNUMBER(SEARCH("/",B1548)),DATE(VALUE(RIGHT(B1548,4)),VALUE(MID(B1548,4,2)),VALUE(LEFT(B1548,2))),IF(MID(B1548,5,1)="-",DATE(VALUE(LEFT(B1548,4)),VALUE(MID(B1548,6,2)),VALUE(RIGHT(B1548,2))),DATE(VALUE(RIGHT(B1548,4)),MATCH(MID(B1548,4,3),{"Jan","Feb","Mar","Apr","May","Jun","Jul","Aug","Sep","Oct","Nov","Dec"},0),VALUE(LEFT(B1548,2)))))</f>
        <v>45896</v>
      </c>
    </row>
    <row r="1549" customFormat="false" ht="15" hidden="false" customHeight="false" outlineLevel="0" collapsed="false">
      <c r="A1549" s="7" t="s">
        <v>4018</v>
      </c>
      <c r="B1549" s="7" t="s">
        <v>1316</v>
      </c>
      <c r="C1549" s="7" t="s">
        <v>331</v>
      </c>
      <c r="D1549" s="7" t="s">
        <v>1051</v>
      </c>
      <c r="E1549" s="7" t="s">
        <v>113</v>
      </c>
      <c r="F1549" s="7" t="s">
        <v>215</v>
      </c>
      <c r="G1549" s="7" t="s">
        <v>90</v>
      </c>
      <c r="H1549" s="7" t="n">
        <v>1</v>
      </c>
      <c r="I1549" s="7" t="n">
        <v>220</v>
      </c>
      <c r="J1549" s="7" t="n">
        <v>40</v>
      </c>
      <c r="K1549" s="7" t="s">
        <v>121</v>
      </c>
      <c r="L1549" s="7" t="s">
        <v>194</v>
      </c>
      <c r="M1549" s="7" t="n">
        <v>47</v>
      </c>
      <c r="N1549" s="7" t="n">
        <v>4</v>
      </c>
      <c r="O1549" s="7" t="str">
        <f aca="false">A1549&amp;"|"&amp;B1549&amp;"|"&amp;C1549&amp;"|"&amp;D1549&amp;"|"&amp;E1549&amp;"|"&amp;F1549&amp;"|"&amp;G1549&amp;"|"&amp;H1549&amp;"|"&amp;I1549&amp;"|"&amp;J1549&amp;"|"&amp;K1549&amp;"|"&amp;L1549&amp;"|"&amp;M1549&amp;"|"&amp;N1549</f>
        <v>ORD11517|2025-07-15|22:04|C1499|Curry Leaf Kitchen|MUMBAI|North Indian|1|220|40|Wallet|Delivered|47|4</v>
      </c>
      <c r="P1549" s="7" t="str">
        <f aca="false">IF(COUNTIF($O$2:O1549,O1549)&gt;1,"DUP","OK")</f>
        <v>OK</v>
      </c>
      <c r="Q1549" s="7" t="n">
        <f aca="false">COUNTBLANK(A1549:N1549)</f>
        <v>0</v>
      </c>
      <c r="R1549" s="7" t="n">
        <f aca="false">IF(A1549="",0,COUNTIFS($A$2:$A$3058,A1549,$P$2:$P$3058,"OK"))</f>
        <v>1</v>
      </c>
      <c r="S1549" s="7" t="str">
        <f aca="false">IF(OR(A1549="",P1549="DUP",R1549&lt;2),"",IF(Q1549=_xlfn.MINIFS($Q$2:$Q$3058,$A$2:$A$3058,A1549,$P$2:$P$3058,"OK"),"KEEP","DROP"))</f>
        <v/>
      </c>
      <c r="T1549" s="9" t="n">
        <f aca="false">IF(A1549="",1,0)</f>
        <v>0</v>
      </c>
      <c r="U1549" s="9" t="n">
        <f aca="false">IF(D1549="",1,0)</f>
        <v>0</v>
      </c>
      <c r="V1549" s="9" t="n">
        <f aca="false">IF(E1549="",1,0)</f>
        <v>0</v>
      </c>
      <c r="W1549" s="9" t="n">
        <f aca="false">IF(OR(H1549&lt;1,H1549&gt;10),1,0)</f>
        <v>0</v>
      </c>
      <c r="X1549" s="9" t="n">
        <f aca="false">IF(OR(I1549&lt;=0,I1549&gt;1500),1,0)</f>
        <v>0</v>
      </c>
      <c r="Y1549" s="9" t="n">
        <f aca="false">IF(J1549&gt;H1549*I1549,1,0)</f>
        <v>0</v>
      </c>
      <c r="Z1549" s="9" t="n">
        <f aca="false">IF(AND(N1549&lt;&gt;"",OR(N1549&lt;1,N1549&gt;5)),1,0)</f>
        <v>0</v>
      </c>
      <c r="AA1549" s="9" t="n">
        <f aca="false">IF(AND(M1549&lt;&gt;"",OR(M1549&lt;5,M1549&gt;180)),1,0)</f>
        <v>0</v>
      </c>
      <c r="AB1549" s="7" t="str">
        <f aca="false">IF(P1549="DUP","Exact duplicate row",IF(T1549=1,"Missing Order ID",IF(S1549="DROP","Duplicate Order ID (less complete row)",IF(U1549=1,"Missing Customer ID",IF(V1549=1,"Missing Restaurant name",IF(W1549=1,"Invalid/outlier quantity",IF(X1549=1,"Invalid/outlier unit price",IF(Y1549=1,"Discount greater than order value",""))))))))</f>
        <v/>
      </c>
      <c r="AC1549" s="7" t="str">
        <f aca="false">IF(AB1549="","KEEP","DROP")</f>
        <v>KEEP</v>
      </c>
      <c r="AD1549" s="7" t="str">
        <f aca="false">IF(TRIM(F1549)="",IFERROR(INDEX(Map_Tables!$I$4:$I$37,MATCH(TRIM(E1549),Map_Tables!$G$4:$G$37,0)),""),IFERROR(INDEX(Map_Tables!$B$4:$B$18,MATCH(TRIM(F1549),Map_Tables!$A$4:$A$18,0)),"CHECK"))</f>
        <v>Mumbai</v>
      </c>
      <c r="AE1549" s="7" t="str">
        <f aca="false">IF(TRIM(E1549)="","",IFERROR(INDEX(Map_Tables!$H$4:$H$37,MATCH(TRIM(E1549),Map_Tables!$G$4:$G$37,0)),"CHECK"))</f>
        <v>Curry Leaf Kitchen</v>
      </c>
      <c r="AF1549" s="7" t="str">
        <f aca="false">IF(TRIM(K1549)="","Unknown",IFERROR(INDEX(Map_Tables!$E$4:$E$15,MATCH(TRIM(K1549),Map_Tables!$D$4:$D$15,0)),"CHECK"))</f>
        <v>Wallet</v>
      </c>
      <c r="AG1549" s="7" t="str">
        <f aca="false">IF(LEFT(LOWER(TRIM(L1549)),6)="cancel","Cancelled","Delivered")</f>
        <v>Delivered</v>
      </c>
      <c r="AH1549" s="10" t="n">
        <f aca="false">IF(ISNUMBER(SEARCH("/",B1549)),DATE(VALUE(RIGHT(B1549,4)),VALUE(MID(B1549,4,2)),VALUE(LEFT(B1549,2))),IF(MID(B1549,5,1)="-",DATE(VALUE(LEFT(B1549,4)),VALUE(MID(B1549,6,2)),VALUE(RIGHT(B1549,2))),DATE(VALUE(RIGHT(B1549,4)),MATCH(MID(B1549,4,3),{"Jan","Feb","Mar","Apr","May","Jun","Jul","Aug","Sep","Oct","Nov","Dec"},0),VALUE(LEFT(B1549,2)))))</f>
        <v>45853</v>
      </c>
    </row>
    <row r="1550" customFormat="false" ht="15" hidden="false" customHeight="false" outlineLevel="0" collapsed="false">
      <c r="A1550" s="7" t="s">
        <v>4019</v>
      </c>
      <c r="B1550" s="7" t="s">
        <v>350</v>
      </c>
      <c r="C1550" s="7" t="s">
        <v>391</v>
      </c>
      <c r="D1550" s="7" t="s">
        <v>4020</v>
      </c>
      <c r="E1550" s="7" t="s">
        <v>151</v>
      </c>
      <c r="F1550" s="7" t="s">
        <v>128</v>
      </c>
      <c r="G1550" s="7" t="s">
        <v>95</v>
      </c>
      <c r="H1550" s="7" t="n">
        <v>1</v>
      </c>
      <c r="I1550" s="7" t="n">
        <v>155</v>
      </c>
      <c r="J1550" s="7" t="n">
        <v>0</v>
      </c>
      <c r="K1550" s="7" t="s">
        <v>115</v>
      </c>
      <c r="L1550" s="7" t="s">
        <v>194</v>
      </c>
      <c r="M1550" s="7" t="n">
        <v>49</v>
      </c>
      <c r="N1550" s="7" t="n">
        <v>4</v>
      </c>
      <c r="O1550" s="7" t="str">
        <f aca="false">A1550&amp;"|"&amp;B1550&amp;"|"&amp;C1550&amp;"|"&amp;D1550&amp;"|"&amp;E1550&amp;"|"&amp;F1550&amp;"|"&amp;G1550&amp;"|"&amp;H1550&amp;"|"&amp;I1550&amp;"|"&amp;J1550&amp;"|"&amp;K1550&amp;"|"&amp;L1550&amp;"|"&amp;M1550&amp;"|"&amp;N1550</f>
        <v>ORD10701|2025-03-29|19:50|C0655|Chettinad House|Chennai|South Indian|1|155|0|cash on delivery|Delivered|49|4</v>
      </c>
      <c r="P1550" s="7" t="str">
        <f aca="false">IF(COUNTIF($O$2:O1550,O1550)&gt;1,"DUP","OK")</f>
        <v>OK</v>
      </c>
      <c r="Q1550" s="7" t="n">
        <f aca="false">COUNTBLANK(A1550:N1550)</f>
        <v>0</v>
      </c>
      <c r="R1550" s="7" t="n">
        <f aca="false">IF(A1550="",0,COUNTIFS($A$2:$A$3058,A1550,$P$2:$P$3058,"OK"))</f>
        <v>1</v>
      </c>
      <c r="S1550" s="7" t="str">
        <f aca="false">IF(OR(A1550="",P1550="DUP",R1550&lt;2),"",IF(Q1550=_xlfn.MINIFS($Q$2:$Q$3058,$A$2:$A$3058,A1550,$P$2:$P$3058,"OK"),"KEEP","DROP"))</f>
        <v/>
      </c>
      <c r="T1550" s="9" t="n">
        <f aca="false">IF(A1550="",1,0)</f>
        <v>0</v>
      </c>
      <c r="U1550" s="9" t="n">
        <f aca="false">IF(D1550="",1,0)</f>
        <v>0</v>
      </c>
      <c r="V1550" s="9" t="n">
        <f aca="false">IF(E1550="",1,0)</f>
        <v>0</v>
      </c>
      <c r="W1550" s="9" t="n">
        <f aca="false">IF(OR(H1550&lt;1,H1550&gt;10),1,0)</f>
        <v>0</v>
      </c>
      <c r="X1550" s="9" t="n">
        <f aca="false">IF(OR(I1550&lt;=0,I1550&gt;1500),1,0)</f>
        <v>0</v>
      </c>
      <c r="Y1550" s="9" t="n">
        <f aca="false">IF(J1550&gt;H1550*I1550,1,0)</f>
        <v>0</v>
      </c>
      <c r="Z1550" s="9" t="n">
        <f aca="false">IF(AND(N1550&lt;&gt;"",OR(N1550&lt;1,N1550&gt;5)),1,0)</f>
        <v>0</v>
      </c>
      <c r="AA1550" s="9" t="n">
        <f aca="false">IF(AND(M1550&lt;&gt;"",OR(M1550&lt;5,M1550&gt;180)),1,0)</f>
        <v>0</v>
      </c>
      <c r="AB1550" s="7" t="str">
        <f aca="false">IF(P1550="DUP","Exact duplicate row",IF(T1550=1,"Missing Order ID",IF(S1550="DROP","Duplicate Order ID (less complete row)",IF(U1550=1,"Missing Customer ID",IF(V1550=1,"Missing Restaurant name",IF(W1550=1,"Invalid/outlier quantity",IF(X1550=1,"Invalid/outlier unit price",IF(Y1550=1,"Discount greater than order value",""))))))))</f>
        <v/>
      </c>
      <c r="AC1550" s="7" t="str">
        <f aca="false">IF(AB1550="","KEEP","DROP")</f>
        <v>KEEP</v>
      </c>
      <c r="AD1550" s="7" t="str">
        <f aca="false">IF(TRIM(F1550)="",IFERROR(INDEX(Map_Tables!$I$4:$I$37,MATCH(TRIM(E1550),Map_Tables!$G$4:$G$37,0)),""),IFERROR(INDEX(Map_Tables!$B$4:$B$18,MATCH(TRIM(F1550),Map_Tables!$A$4:$A$18,0)),"CHECK"))</f>
        <v>Chennai</v>
      </c>
      <c r="AE1550" s="7" t="str">
        <f aca="false">IF(TRIM(E1550)="","",IFERROR(INDEX(Map_Tables!$H$4:$H$37,MATCH(TRIM(E1550),Map_Tables!$G$4:$G$37,0)),"CHECK"))</f>
        <v>Chettinad House</v>
      </c>
      <c r="AF1550" s="7" t="str">
        <f aca="false">IF(TRIM(K1550)="","Unknown",IFERROR(INDEX(Map_Tables!$E$4:$E$15,MATCH(TRIM(K1550),Map_Tables!$D$4:$D$15,0)),"CHECK"))</f>
        <v>Cash on Delivery</v>
      </c>
      <c r="AG1550" s="7" t="str">
        <f aca="false">IF(LEFT(LOWER(TRIM(L1550)),6)="cancel","Cancelled","Delivered")</f>
        <v>Delivered</v>
      </c>
      <c r="AH1550" s="10" t="n">
        <f aca="false">IF(ISNUMBER(SEARCH("/",B1550)),DATE(VALUE(RIGHT(B1550,4)),VALUE(MID(B1550,4,2)),VALUE(LEFT(B1550,2))),IF(MID(B1550,5,1)="-",DATE(VALUE(LEFT(B1550,4)),VALUE(MID(B1550,6,2)),VALUE(RIGHT(B1550,2))),DATE(VALUE(RIGHT(B1550,4)),MATCH(MID(B1550,4,3),{"Jan","Feb","Mar","Apr","May","Jun","Jul","Aug","Sep","Oct","Nov","Dec"},0),VALUE(LEFT(B1550,2)))))</f>
        <v>45745</v>
      </c>
    </row>
    <row r="1551" customFormat="false" ht="15" hidden="false" customHeight="false" outlineLevel="0" collapsed="false">
      <c r="A1551" s="7" t="s">
        <v>4021</v>
      </c>
      <c r="B1551" s="7" t="s">
        <v>248</v>
      </c>
      <c r="C1551" s="7" t="s">
        <v>1734</v>
      </c>
      <c r="D1551" s="7" t="s">
        <v>4022</v>
      </c>
      <c r="E1551" s="7" t="s">
        <v>142</v>
      </c>
      <c r="F1551" s="7" t="s">
        <v>110</v>
      </c>
      <c r="G1551" s="7" t="s">
        <v>105</v>
      </c>
      <c r="H1551" s="7" t="n">
        <v>3</v>
      </c>
      <c r="I1551" s="7" t="n">
        <v>140</v>
      </c>
      <c r="J1551" s="7" t="n">
        <v>0</v>
      </c>
      <c r="K1551" s="7" t="s">
        <v>121</v>
      </c>
      <c r="L1551" s="7" t="s">
        <v>238</v>
      </c>
      <c r="M1551" s="7"/>
      <c r="N1551" s="7"/>
      <c r="O1551" s="7" t="str">
        <f aca="false">A1551&amp;"|"&amp;B1551&amp;"|"&amp;C1551&amp;"|"&amp;D1551&amp;"|"&amp;E1551&amp;"|"&amp;F1551&amp;"|"&amp;G1551&amp;"|"&amp;H1551&amp;"|"&amp;I1551&amp;"|"&amp;J1551&amp;"|"&amp;K1551&amp;"|"&amp;L1551&amp;"|"&amp;M1551&amp;"|"&amp;N1551</f>
        <v>ORD10456|2025-03-02|17:16|C0533|Momo Magic|Delhi|Chinese|3|140|0|Wallet|Cancelled||</v>
      </c>
      <c r="P1551" s="7" t="str">
        <f aca="false">IF(COUNTIF($O$2:O1551,O1551)&gt;1,"DUP","OK")</f>
        <v>OK</v>
      </c>
      <c r="Q1551" s="7" t="n">
        <f aca="false">COUNTBLANK(A1551:N1551)</f>
        <v>2</v>
      </c>
      <c r="R1551" s="7" t="n">
        <f aca="false">IF(A1551="",0,COUNTIFS($A$2:$A$3058,A1551,$P$2:$P$3058,"OK"))</f>
        <v>1</v>
      </c>
      <c r="S1551" s="7" t="str">
        <f aca="false">IF(OR(A1551="",P1551="DUP",R1551&lt;2),"",IF(Q1551=_xlfn.MINIFS($Q$2:$Q$3058,$A$2:$A$3058,A1551,$P$2:$P$3058,"OK"),"KEEP","DROP"))</f>
        <v/>
      </c>
      <c r="T1551" s="9" t="n">
        <f aca="false">IF(A1551="",1,0)</f>
        <v>0</v>
      </c>
      <c r="U1551" s="9" t="n">
        <f aca="false">IF(D1551="",1,0)</f>
        <v>0</v>
      </c>
      <c r="V1551" s="9" t="n">
        <f aca="false">IF(E1551="",1,0)</f>
        <v>0</v>
      </c>
      <c r="W1551" s="9" t="n">
        <f aca="false">IF(OR(H1551&lt;1,H1551&gt;10),1,0)</f>
        <v>0</v>
      </c>
      <c r="X1551" s="9" t="n">
        <f aca="false">IF(OR(I1551&lt;=0,I1551&gt;1500),1,0)</f>
        <v>0</v>
      </c>
      <c r="Y1551" s="9" t="n">
        <f aca="false">IF(J1551&gt;H1551*I1551,1,0)</f>
        <v>0</v>
      </c>
      <c r="Z1551" s="9" t="n">
        <f aca="false">IF(AND(N1551&lt;&gt;"",OR(N1551&lt;1,N1551&gt;5)),1,0)</f>
        <v>0</v>
      </c>
      <c r="AA1551" s="9" t="n">
        <f aca="false">IF(AND(M1551&lt;&gt;"",OR(M1551&lt;5,M1551&gt;180)),1,0)</f>
        <v>0</v>
      </c>
      <c r="AB1551" s="7" t="str">
        <f aca="false">IF(P1551="DUP","Exact duplicate row",IF(T1551=1,"Missing Order ID",IF(S1551="DROP","Duplicate Order ID (less complete row)",IF(U1551=1,"Missing Customer ID",IF(V1551=1,"Missing Restaurant name",IF(W1551=1,"Invalid/outlier quantity",IF(X1551=1,"Invalid/outlier unit price",IF(Y1551=1,"Discount greater than order value",""))))))))</f>
        <v/>
      </c>
      <c r="AC1551" s="7" t="str">
        <f aca="false">IF(AB1551="","KEEP","DROP")</f>
        <v>KEEP</v>
      </c>
      <c r="AD1551" s="7" t="str">
        <f aca="false">IF(TRIM(F1551)="",IFERROR(INDEX(Map_Tables!$I$4:$I$37,MATCH(TRIM(E1551),Map_Tables!$G$4:$G$37,0)),""),IFERROR(INDEX(Map_Tables!$B$4:$B$18,MATCH(TRIM(F1551),Map_Tables!$A$4:$A$18,0)),"CHECK"))</f>
        <v>Delhi</v>
      </c>
      <c r="AE1551" s="7" t="str">
        <f aca="false">IF(TRIM(E1551)="","",IFERROR(INDEX(Map_Tables!$H$4:$H$37,MATCH(TRIM(E1551),Map_Tables!$G$4:$G$37,0)),"CHECK"))</f>
        <v>Momo Magic</v>
      </c>
      <c r="AF1551" s="7" t="str">
        <f aca="false">IF(TRIM(K1551)="","Unknown",IFERROR(INDEX(Map_Tables!$E$4:$E$15,MATCH(TRIM(K1551),Map_Tables!$D$4:$D$15,0)),"CHECK"))</f>
        <v>Wallet</v>
      </c>
      <c r="AG1551" s="7" t="str">
        <f aca="false">IF(LEFT(LOWER(TRIM(L1551)),6)="cancel","Cancelled","Delivered")</f>
        <v>Cancelled</v>
      </c>
      <c r="AH1551" s="10" t="n">
        <f aca="false">IF(ISNUMBER(SEARCH("/",B1551)),DATE(VALUE(RIGHT(B1551,4)),VALUE(MID(B1551,4,2)),VALUE(LEFT(B1551,2))),IF(MID(B1551,5,1)="-",DATE(VALUE(LEFT(B1551,4)),VALUE(MID(B1551,6,2)),VALUE(RIGHT(B1551,2))),DATE(VALUE(RIGHT(B1551,4)),MATCH(MID(B1551,4,3),{"Jan","Feb","Mar","Apr","May","Jun","Jul","Aug","Sep","Oct","Nov","Dec"},0),VALUE(LEFT(B1551,2)))))</f>
        <v>45718</v>
      </c>
    </row>
    <row r="1552" customFormat="false" ht="15" hidden="false" customHeight="false" outlineLevel="0" collapsed="false">
      <c r="A1552" s="7" t="s">
        <v>4023</v>
      </c>
      <c r="B1552" s="7" t="s">
        <v>558</v>
      </c>
      <c r="C1552" s="7" t="s">
        <v>4024</v>
      </c>
      <c r="D1552" s="7" t="s">
        <v>1815</v>
      </c>
      <c r="E1552" s="7" t="s">
        <v>138</v>
      </c>
      <c r="F1552" s="7" t="s">
        <v>110</v>
      </c>
      <c r="G1552" s="7" t="s">
        <v>139</v>
      </c>
      <c r="H1552" s="7" t="n">
        <v>3</v>
      </c>
      <c r="I1552" s="7" t="n">
        <v>190</v>
      </c>
      <c r="J1552" s="7" t="n">
        <v>0</v>
      </c>
      <c r="K1552" s="7" t="s">
        <v>88</v>
      </c>
      <c r="L1552" s="7" t="s">
        <v>238</v>
      </c>
      <c r="M1552" s="7"/>
      <c r="N1552" s="7"/>
      <c r="O1552" s="7" t="str">
        <f aca="false">A1552&amp;"|"&amp;B1552&amp;"|"&amp;C1552&amp;"|"&amp;D1552&amp;"|"&amp;E1552&amp;"|"&amp;F1552&amp;"|"&amp;G1552&amp;"|"&amp;H1552&amp;"|"&amp;I1552&amp;"|"&amp;J1552&amp;"|"&amp;K1552&amp;"|"&amp;L1552&amp;"|"&amp;M1552&amp;"|"&amp;N1552</f>
        <v>ORD12412|2025-10-31|16:15|C0231|Burger Barn|Delhi|Burgers|3|190|0|UPI|Cancelled||</v>
      </c>
      <c r="P1552" s="7" t="str">
        <f aca="false">IF(COUNTIF($O$2:O1552,O1552)&gt;1,"DUP","OK")</f>
        <v>OK</v>
      </c>
      <c r="Q1552" s="7" t="n">
        <f aca="false">COUNTBLANK(A1552:N1552)</f>
        <v>2</v>
      </c>
      <c r="R1552" s="7" t="n">
        <f aca="false">IF(A1552="",0,COUNTIFS($A$2:$A$3058,A1552,$P$2:$P$3058,"OK"))</f>
        <v>1</v>
      </c>
      <c r="S1552" s="7" t="str">
        <f aca="false">IF(OR(A1552="",P1552="DUP",R1552&lt;2),"",IF(Q1552=_xlfn.MINIFS($Q$2:$Q$3058,$A$2:$A$3058,A1552,$P$2:$P$3058,"OK"),"KEEP","DROP"))</f>
        <v/>
      </c>
      <c r="T1552" s="9" t="n">
        <f aca="false">IF(A1552="",1,0)</f>
        <v>0</v>
      </c>
      <c r="U1552" s="9" t="n">
        <f aca="false">IF(D1552="",1,0)</f>
        <v>0</v>
      </c>
      <c r="V1552" s="9" t="n">
        <f aca="false">IF(E1552="",1,0)</f>
        <v>0</v>
      </c>
      <c r="W1552" s="9" t="n">
        <f aca="false">IF(OR(H1552&lt;1,H1552&gt;10),1,0)</f>
        <v>0</v>
      </c>
      <c r="X1552" s="9" t="n">
        <f aca="false">IF(OR(I1552&lt;=0,I1552&gt;1500),1,0)</f>
        <v>0</v>
      </c>
      <c r="Y1552" s="9" t="n">
        <f aca="false">IF(J1552&gt;H1552*I1552,1,0)</f>
        <v>0</v>
      </c>
      <c r="Z1552" s="9" t="n">
        <f aca="false">IF(AND(N1552&lt;&gt;"",OR(N1552&lt;1,N1552&gt;5)),1,0)</f>
        <v>0</v>
      </c>
      <c r="AA1552" s="9" t="n">
        <f aca="false">IF(AND(M1552&lt;&gt;"",OR(M1552&lt;5,M1552&gt;180)),1,0)</f>
        <v>0</v>
      </c>
      <c r="AB1552" s="7" t="str">
        <f aca="false">IF(P1552="DUP","Exact duplicate row",IF(T1552=1,"Missing Order ID",IF(S1552="DROP","Duplicate Order ID (less complete row)",IF(U1552=1,"Missing Customer ID",IF(V1552=1,"Missing Restaurant name",IF(W1552=1,"Invalid/outlier quantity",IF(X1552=1,"Invalid/outlier unit price",IF(Y1552=1,"Discount greater than order value",""))))))))</f>
        <v/>
      </c>
      <c r="AC1552" s="7" t="str">
        <f aca="false">IF(AB1552="","KEEP","DROP")</f>
        <v>KEEP</v>
      </c>
      <c r="AD1552" s="7" t="str">
        <f aca="false">IF(TRIM(F1552)="",IFERROR(INDEX(Map_Tables!$I$4:$I$37,MATCH(TRIM(E1552),Map_Tables!$G$4:$G$37,0)),""),IFERROR(INDEX(Map_Tables!$B$4:$B$18,MATCH(TRIM(F1552),Map_Tables!$A$4:$A$18,0)),"CHECK"))</f>
        <v>Delhi</v>
      </c>
      <c r="AE1552" s="7" t="str">
        <f aca="false">IF(TRIM(E1552)="","",IFERROR(INDEX(Map_Tables!$H$4:$H$37,MATCH(TRIM(E1552),Map_Tables!$G$4:$G$37,0)),"CHECK"))</f>
        <v>Burger Barn</v>
      </c>
      <c r="AF1552" s="7" t="str">
        <f aca="false">IF(TRIM(K1552)="","Unknown",IFERROR(INDEX(Map_Tables!$E$4:$E$15,MATCH(TRIM(K1552),Map_Tables!$D$4:$D$15,0)),"CHECK"))</f>
        <v>UPI</v>
      </c>
      <c r="AG1552" s="7" t="str">
        <f aca="false">IF(LEFT(LOWER(TRIM(L1552)),6)="cancel","Cancelled","Delivered")</f>
        <v>Cancelled</v>
      </c>
      <c r="AH1552" s="10" t="n">
        <f aca="false">IF(ISNUMBER(SEARCH("/",B1552)),DATE(VALUE(RIGHT(B1552,4)),VALUE(MID(B1552,4,2)),VALUE(LEFT(B1552,2))),IF(MID(B1552,5,1)="-",DATE(VALUE(LEFT(B1552,4)),VALUE(MID(B1552,6,2)),VALUE(RIGHT(B1552,2))),DATE(VALUE(RIGHT(B1552,4)),MATCH(MID(B1552,4,3),{"Jan","Feb","Mar","Apr","May","Jun","Jul","Aug","Sep","Oct","Nov","Dec"},0),VALUE(LEFT(B1552,2)))))</f>
        <v>45961</v>
      </c>
    </row>
    <row r="1553" customFormat="false" ht="15" hidden="false" customHeight="false" outlineLevel="0" collapsed="false">
      <c r="A1553" s="7" t="s">
        <v>4025</v>
      </c>
      <c r="B1553" s="7" t="s">
        <v>1548</v>
      </c>
      <c r="C1553" s="7" t="s">
        <v>4026</v>
      </c>
      <c r="D1553" s="7" t="s">
        <v>1705</v>
      </c>
      <c r="E1553" s="7" t="s">
        <v>94</v>
      </c>
      <c r="F1553" s="7" t="s">
        <v>86</v>
      </c>
      <c r="G1553" s="7" t="s">
        <v>95</v>
      </c>
      <c r="H1553" s="7" t="n">
        <v>3</v>
      </c>
      <c r="I1553" s="7" t="n">
        <v>120</v>
      </c>
      <c r="J1553" s="7" t="n">
        <v>0</v>
      </c>
      <c r="K1553" s="7" t="s">
        <v>88</v>
      </c>
      <c r="L1553" s="7" t="s">
        <v>194</v>
      </c>
      <c r="M1553" s="7" t="n">
        <v>41</v>
      </c>
      <c r="N1553" s="7" t="n">
        <v>3</v>
      </c>
      <c r="O1553" s="7" t="str">
        <f aca="false">A1553&amp;"|"&amp;B1553&amp;"|"&amp;C1553&amp;"|"&amp;D1553&amp;"|"&amp;E1553&amp;"|"&amp;F1553&amp;"|"&amp;G1553&amp;"|"&amp;H1553&amp;"|"&amp;I1553&amp;"|"&amp;J1553&amp;"|"&amp;K1553&amp;"|"&amp;L1553&amp;"|"&amp;M1553&amp;"|"&amp;N1553</f>
        <v>ORD12261|2025-10-13|21:29|C1181|Dosa Darbar|Bengaluru|South Indian|3|120|0|UPI|Delivered|41|3</v>
      </c>
      <c r="P1553" s="7" t="str">
        <f aca="false">IF(COUNTIF($O$2:O1553,O1553)&gt;1,"DUP","OK")</f>
        <v>OK</v>
      </c>
      <c r="Q1553" s="7" t="n">
        <f aca="false">COUNTBLANK(A1553:N1553)</f>
        <v>0</v>
      </c>
      <c r="R1553" s="7" t="n">
        <f aca="false">IF(A1553="",0,COUNTIFS($A$2:$A$3058,A1553,$P$2:$P$3058,"OK"))</f>
        <v>1</v>
      </c>
      <c r="S1553" s="7" t="str">
        <f aca="false">IF(OR(A1553="",P1553="DUP",R1553&lt;2),"",IF(Q1553=_xlfn.MINIFS($Q$2:$Q$3058,$A$2:$A$3058,A1553,$P$2:$P$3058,"OK"),"KEEP","DROP"))</f>
        <v/>
      </c>
      <c r="T1553" s="9" t="n">
        <f aca="false">IF(A1553="",1,0)</f>
        <v>0</v>
      </c>
      <c r="U1553" s="9" t="n">
        <f aca="false">IF(D1553="",1,0)</f>
        <v>0</v>
      </c>
      <c r="V1553" s="9" t="n">
        <f aca="false">IF(E1553="",1,0)</f>
        <v>0</v>
      </c>
      <c r="W1553" s="9" t="n">
        <f aca="false">IF(OR(H1553&lt;1,H1553&gt;10),1,0)</f>
        <v>0</v>
      </c>
      <c r="X1553" s="9" t="n">
        <f aca="false">IF(OR(I1553&lt;=0,I1553&gt;1500),1,0)</f>
        <v>0</v>
      </c>
      <c r="Y1553" s="9" t="n">
        <f aca="false">IF(J1553&gt;H1553*I1553,1,0)</f>
        <v>0</v>
      </c>
      <c r="Z1553" s="9" t="n">
        <f aca="false">IF(AND(N1553&lt;&gt;"",OR(N1553&lt;1,N1553&gt;5)),1,0)</f>
        <v>0</v>
      </c>
      <c r="AA1553" s="9" t="n">
        <f aca="false">IF(AND(M1553&lt;&gt;"",OR(M1553&lt;5,M1553&gt;180)),1,0)</f>
        <v>0</v>
      </c>
      <c r="AB1553" s="7" t="str">
        <f aca="false">IF(P1553="DUP","Exact duplicate row",IF(T1553=1,"Missing Order ID",IF(S1553="DROP","Duplicate Order ID (less complete row)",IF(U1553=1,"Missing Customer ID",IF(V1553=1,"Missing Restaurant name",IF(W1553=1,"Invalid/outlier quantity",IF(X1553=1,"Invalid/outlier unit price",IF(Y1553=1,"Discount greater than order value",""))))))))</f>
        <v/>
      </c>
      <c r="AC1553" s="7" t="str">
        <f aca="false">IF(AB1553="","KEEP","DROP")</f>
        <v>KEEP</v>
      </c>
      <c r="AD1553" s="7" t="str">
        <f aca="false">IF(TRIM(F1553)="",IFERROR(INDEX(Map_Tables!$I$4:$I$37,MATCH(TRIM(E1553),Map_Tables!$G$4:$G$37,0)),""),IFERROR(INDEX(Map_Tables!$B$4:$B$18,MATCH(TRIM(F1553),Map_Tables!$A$4:$A$18,0)),"CHECK"))</f>
        <v>Bengaluru</v>
      </c>
      <c r="AE1553" s="7" t="str">
        <f aca="false">IF(TRIM(E1553)="","",IFERROR(INDEX(Map_Tables!$H$4:$H$37,MATCH(TRIM(E1553),Map_Tables!$G$4:$G$37,0)),"CHECK"))</f>
        <v>Dosa Darbar</v>
      </c>
      <c r="AF1553" s="7" t="str">
        <f aca="false">IF(TRIM(K1553)="","Unknown",IFERROR(INDEX(Map_Tables!$E$4:$E$15,MATCH(TRIM(K1553),Map_Tables!$D$4:$D$15,0)),"CHECK"))</f>
        <v>UPI</v>
      </c>
      <c r="AG1553" s="7" t="str">
        <f aca="false">IF(LEFT(LOWER(TRIM(L1553)),6)="cancel","Cancelled","Delivered")</f>
        <v>Delivered</v>
      </c>
      <c r="AH1553" s="10" t="n">
        <f aca="false">IF(ISNUMBER(SEARCH("/",B1553)),DATE(VALUE(RIGHT(B1553,4)),VALUE(MID(B1553,4,2)),VALUE(LEFT(B1553,2))),IF(MID(B1553,5,1)="-",DATE(VALUE(LEFT(B1553,4)),VALUE(MID(B1553,6,2)),VALUE(RIGHT(B1553,2))),DATE(VALUE(RIGHT(B1553,4)),MATCH(MID(B1553,4,3),{"Jan","Feb","Mar","Apr","May","Jun","Jul","Aug","Sep","Oct","Nov","Dec"},0),VALUE(LEFT(B1553,2)))))</f>
        <v>45943</v>
      </c>
    </row>
    <row r="1554" customFormat="false" ht="15" hidden="false" customHeight="false" outlineLevel="0" collapsed="false">
      <c r="A1554" s="7" t="s">
        <v>4027</v>
      </c>
      <c r="B1554" s="7" t="s">
        <v>4028</v>
      </c>
      <c r="C1554" s="7" t="s">
        <v>2921</v>
      </c>
      <c r="D1554" s="7" t="s">
        <v>3198</v>
      </c>
      <c r="E1554" s="7" t="s">
        <v>149</v>
      </c>
      <c r="F1554" s="7" t="s">
        <v>119</v>
      </c>
      <c r="G1554" s="7" t="s">
        <v>150</v>
      </c>
      <c r="H1554" s="7" t="n">
        <v>5</v>
      </c>
      <c r="I1554" s="7" t="n">
        <v>155</v>
      </c>
      <c r="J1554" s="7" t="n">
        <v>0</v>
      </c>
      <c r="K1554" s="7" t="s">
        <v>112</v>
      </c>
      <c r="L1554" s="7" t="s">
        <v>194</v>
      </c>
      <c r="M1554" s="7" t="n">
        <v>38</v>
      </c>
      <c r="N1554" s="7" t="n">
        <v>2</v>
      </c>
      <c r="O1554" s="7" t="str">
        <f aca="false">A1554&amp;"|"&amp;B1554&amp;"|"&amp;C1554&amp;"|"&amp;D1554&amp;"|"&amp;E1554&amp;"|"&amp;F1554&amp;"|"&amp;G1554&amp;"|"&amp;H1554&amp;"|"&amp;I1554&amp;"|"&amp;J1554&amp;"|"&amp;K1554&amp;"|"&amp;L1554&amp;"|"&amp;M1554&amp;"|"&amp;N1554</f>
        <v>ORD10522|09-Mar-2025|12:44|C0243|Sweet Tooth Studio|Hyderabad|Desserts|5|155|0|Cash on Delivery|Delivered|38|2</v>
      </c>
      <c r="P1554" s="7" t="str">
        <f aca="false">IF(COUNTIF($O$2:O1554,O1554)&gt;1,"DUP","OK")</f>
        <v>OK</v>
      </c>
      <c r="Q1554" s="7" t="n">
        <f aca="false">COUNTBLANK(A1554:N1554)</f>
        <v>0</v>
      </c>
      <c r="R1554" s="7" t="n">
        <f aca="false">IF(A1554="",0,COUNTIFS($A$2:$A$3058,A1554,$P$2:$P$3058,"OK"))</f>
        <v>1</v>
      </c>
      <c r="S1554" s="7" t="str">
        <f aca="false">IF(OR(A1554="",P1554="DUP",R1554&lt;2),"",IF(Q1554=_xlfn.MINIFS($Q$2:$Q$3058,$A$2:$A$3058,A1554,$P$2:$P$3058,"OK"),"KEEP","DROP"))</f>
        <v/>
      </c>
      <c r="T1554" s="9" t="n">
        <f aca="false">IF(A1554="",1,0)</f>
        <v>0</v>
      </c>
      <c r="U1554" s="9" t="n">
        <f aca="false">IF(D1554="",1,0)</f>
        <v>0</v>
      </c>
      <c r="V1554" s="9" t="n">
        <f aca="false">IF(E1554="",1,0)</f>
        <v>0</v>
      </c>
      <c r="W1554" s="9" t="n">
        <f aca="false">IF(OR(H1554&lt;1,H1554&gt;10),1,0)</f>
        <v>0</v>
      </c>
      <c r="X1554" s="9" t="n">
        <f aca="false">IF(OR(I1554&lt;=0,I1554&gt;1500),1,0)</f>
        <v>0</v>
      </c>
      <c r="Y1554" s="9" t="n">
        <f aca="false">IF(J1554&gt;H1554*I1554,1,0)</f>
        <v>0</v>
      </c>
      <c r="Z1554" s="9" t="n">
        <f aca="false">IF(AND(N1554&lt;&gt;"",OR(N1554&lt;1,N1554&gt;5)),1,0)</f>
        <v>0</v>
      </c>
      <c r="AA1554" s="9" t="n">
        <f aca="false">IF(AND(M1554&lt;&gt;"",OR(M1554&lt;5,M1554&gt;180)),1,0)</f>
        <v>0</v>
      </c>
      <c r="AB1554" s="7" t="str">
        <f aca="false">IF(P1554="DUP","Exact duplicate row",IF(T1554=1,"Missing Order ID",IF(S1554="DROP","Duplicate Order ID (less complete row)",IF(U1554=1,"Missing Customer ID",IF(V1554=1,"Missing Restaurant name",IF(W1554=1,"Invalid/outlier quantity",IF(X1554=1,"Invalid/outlier unit price",IF(Y1554=1,"Discount greater than order value",""))))))))</f>
        <v/>
      </c>
      <c r="AC1554" s="7" t="str">
        <f aca="false">IF(AB1554="","KEEP","DROP")</f>
        <v>KEEP</v>
      </c>
      <c r="AD1554" s="7" t="str">
        <f aca="false">IF(TRIM(F1554)="",IFERROR(INDEX(Map_Tables!$I$4:$I$37,MATCH(TRIM(E1554),Map_Tables!$G$4:$G$37,0)),""),IFERROR(INDEX(Map_Tables!$B$4:$B$18,MATCH(TRIM(F1554),Map_Tables!$A$4:$A$18,0)),"CHECK"))</f>
        <v>Hyderabad</v>
      </c>
      <c r="AE1554" s="7" t="str">
        <f aca="false">IF(TRIM(E1554)="","",IFERROR(INDEX(Map_Tables!$H$4:$H$37,MATCH(TRIM(E1554),Map_Tables!$G$4:$G$37,0)),"CHECK"))</f>
        <v>Sweet Tooth Studio</v>
      </c>
      <c r="AF1554" s="7" t="str">
        <f aca="false">IF(TRIM(K1554)="","Unknown",IFERROR(INDEX(Map_Tables!$E$4:$E$15,MATCH(TRIM(K1554),Map_Tables!$D$4:$D$15,0)),"CHECK"))</f>
        <v>Cash on Delivery</v>
      </c>
      <c r="AG1554" s="7" t="str">
        <f aca="false">IF(LEFT(LOWER(TRIM(L1554)),6)="cancel","Cancelled","Delivered")</f>
        <v>Delivered</v>
      </c>
      <c r="AH1554" s="10" t="n">
        <f aca="false">IF(ISNUMBER(SEARCH("/",B1554)),DATE(VALUE(RIGHT(B1554,4)),VALUE(MID(B1554,4,2)),VALUE(LEFT(B1554,2))),IF(MID(B1554,5,1)="-",DATE(VALUE(LEFT(B1554,4)),VALUE(MID(B1554,6,2)),VALUE(RIGHT(B1554,2))),DATE(VALUE(RIGHT(B1554,4)),MATCH(MID(B1554,4,3),{"Jan","Feb","Mar","Apr","May","Jun","Jul","Aug","Sep","Oct","Nov","Dec"},0),VALUE(LEFT(B1554,2)))))</f>
        <v>45725</v>
      </c>
    </row>
    <row r="1555" customFormat="false" ht="15" hidden="false" customHeight="false" outlineLevel="0" collapsed="false">
      <c r="A1555" s="7" t="s">
        <v>4029</v>
      </c>
      <c r="B1555" s="7" t="s">
        <v>1297</v>
      </c>
      <c r="C1555" s="7" t="s">
        <v>3825</v>
      </c>
      <c r="D1555" s="7" t="s">
        <v>2639</v>
      </c>
      <c r="E1555" s="7" t="s">
        <v>113</v>
      </c>
      <c r="F1555" s="7" t="s">
        <v>101</v>
      </c>
      <c r="G1555" s="7" t="s">
        <v>90</v>
      </c>
      <c r="H1555" s="7" t="n">
        <v>1</v>
      </c>
      <c r="I1555" s="7" t="n">
        <v>260</v>
      </c>
      <c r="J1555" s="7" t="n">
        <v>0</v>
      </c>
      <c r="K1555" s="7" t="s">
        <v>298</v>
      </c>
      <c r="L1555" s="7" t="s">
        <v>194</v>
      </c>
      <c r="M1555" s="7" t="n">
        <v>41</v>
      </c>
      <c r="N1555" s="7" t="n">
        <v>3</v>
      </c>
      <c r="O1555" s="7" t="str">
        <f aca="false">A1555&amp;"|"&amp;B1555&amp;"|"&amp;C1555&amp;"|"&amp;D1555&amp;"|"&amp;E1555&amp;"|"&amp;F1555&amp;"|"&amp;G1555&amp;"|"&amp;H1555&amp;"|"&amp;I1555&amp;"|"&amp;J1555&amp;"|"&amp;K1555&amp;"|"&amp;L1555&amp;"|"&amp;M1555&amp;"|"&amp;N1555</f>
        <v>ORD11261|2025-06-10|09:18|C0408|Curry Leaf Kitchen|Mumbai|North Indian|1|260|0|Cash On Delivery|Delivered|41|3</v>
      </c>
      <c r="P1555" s="7" t="str">
        <f aca="false">IF(COUNTIF($O$2:O1555,O1555)&gt;1,"DUP","OK")</f>
        <v>OK</v>
      </c>
      <c r="Q1555" s="7" t="n">
        <f aca="false">COUNTBLANK(A1555:N1555)</f>
        <v>0</v>
      </c>
      <c r="R1555" s="7" t="n">
        <f aca="false">IF(A1555="",0,COUNTIFS($A$2:$A$3058,A1555,$P$2:$P$3058,"OK"))</f>
        <v>1</v>
      </c>
      <c r="S1555" s="7" t="str">
        <f aca="false">IF(OR(A1555="",P1555="DUP",R1555&lt;2),"",IF(Q1555=_xlfn.MINIFS($Q$2:$Q$3058,$A$2:$A$3058,A1555,$P$2:$P$3058,"OK"),"KEEP","DROP"))</f>
        <v/>
      </c>
      <c r="T1555" s="9" t="n">
        <f aca="false">IF(A1555="",1,0)</f>
        <v>0</v>
      </c>
      <c r="U1555" s="9" t="n">
        <f aca="false">IF(D1555="",1,0)</f>
        <v>0</v>
      </c>
      <c r="V1555" s="9" t="n">
        <f aca="false">IF(E1555="",1,0)</f>
        <v>0</v>
      </c>
      <c r="W1555" s="9" t="n">
        <f aca="false">IF(OR(H1555&lt;1,H1555&gt;10),1,0)</f>
        <v>0</v>
      </c>
      <c r="X1555" s="9" t="n">
        <f aca="false">IF(OR(I1555&lt;=0,I1555&gt;1500),1,0)</f>
        <v>0</v>
      </c>
      <c r="Y1555" s="9" t="n">
        <f aca="false">IF(J1555&gt;H1555*I1555,1,0)</f>
        <v>0</v>
      </c>
      <c r="Z1555" s="9" t="n">
        <f aca="false">IF(AND(N1555&lt;&gt;"",OR(N1555&lt;1,N1555&gt;5)),1,0)</f>
        <v>0</v>
      </c>
      <c r="AA1555" s="9" t="n">
        <f aca="false">IF(AND(M1555&lt;&gt;"",OR(M1555&lt;5,M1555&gt;180)),1,0)</f>
        <v>0</v>
      </c>
      <c r="AB1555" s="7" t="str">
        <f aca="false">IF(P1555="DUP","Exact duplicate row",IF(T1555=1,"Missing Order ID",IF(S1555="DROP","Duplicate Order ID (less complete row)",IF(U1555=1,"Missing Customer ID",IF(V1555=1,"Missing Restaurant name",IF(W1555=1,"Invalid/outlier quantity",IF(X1555=1,"Invalid/outlier unit price",IF(Y1555=1,"Discount greater than order value",""))))))))</f>
        <v/>
      </c>
      <c r="AC1555" s="7" t="str">
        <f aca="false">IF(AB1555="","KEEP","DROP")</f>
        <v>KEEP</v>
      </c>
      <c r="AD1555" s="7" t="str">
        <f aca="false">IF(TRIM(F1555)="",IFERROR(INDEX(Map_Tables!$I$4:$I$37,MATCH(TRIM(E1555),Map_Tables!$G$4:$G$37,0)),""),IFERROR(INDEX(Map_Tables!$B$4:$B$18,MATCH(TRIM(F1555),Map_Tables!$A$4:$A$18,0)),"CHECK"))</f>
        <v>Mumbai</v>
      </c>
      <c r="AE1555" s="7" t="str">
        <f aca="false">IF(TRIM(E1555)="","",IFERROR(INDEX(Map_Tables!$H$4:$H$37,MATCH(TRIM(E1555),Map_Tables!$G$4:$G$37,0)),"CHECK"))</f>
        <v>Curry Leaf Kitchen</v>
      </c>
      <c r="AF1555" s="7" t="str">
        <f aca="false">IF(TRIM(K1555)="","Unknown",IFERROR(INDEX(Map_Tables!$E$4:$E$15,MATCH(TRIM(K1555),Map_Tables!$D$4:$D$15,0)),"CHECK"))</f>
        <v>Cash on Delivery</v>
      </c>
      <c r="AG1555" s="7" t="str">
        <f aca="false">IF(LEFT(LOWER(TRIM(L1555)),6)="cancel","Cancelled","Delivered")</f>
        <v>Delivered</v>
      </c>
      <c r="AH1555" s="10" t="n">
        <f aca="false">IF(ISNUMBER(SEARCH("/",B1555)),DATE(VALUE(RIGHT(B1555,4)),VALUE(MID(B1555,4,2)),VALUE(LEFT(B1555,2))),IF(MID(B1555,5,1)="-",DATE(VALUE(LEFT(B1555,4)),VALUE(MID(B1555,6,2)),VALUE(RIGHT(B1555,2))),DATE(VALUE(RIGHT(B1555,4)),MATCH(MID(B1555,4,3),{"Jan","Feb","Mar","Apr","May","Jun","Jul","Aug","Sep","Oct","Nov","Dec"},0),VALUE(LEFT(B1555,2)))))</f>
        <v>45818</v>
      </c>
    </row>
    <row r="1556" customFormat="false" ht="15" hidden="false" customHeight="false" outlineLevel="0" collapsed="false">
      <c r="A1556" s="7" t="s">
        <v>4030</v>
      </c>
      <c r="B1556" s="7" t="s">
        <v>803</v>
      </c>
      <c r="C1556" s="7" t="s">
        <v>2369</v>
      </c>
      <c r="D1556" s="7" t="s">
        <v>1016</v>
      </c>
      <c r="E1556" s="7" t="s">
        <v>144</v>
      </c>
      <c r="F1556" s="7" t="s">
        <v>119</v>
      </c>
      <c r="G1556" s="7" t="s">
        <v>99</v>
      </c>
      <c r="H1556" s="7" t="n">
        <v>1</v>
      </c>
      <c r="I1556" s="7" t="n">
        <v>275</v>
      </c>
      <c r="J1556" s="7" t="n">
        <v>50</v>
      </c>
      <c r="K1556" s="7" t="s">
        <v>115</v>
      </c>
      <c r="L1556" s="7" t="s">
        <v>194</v>
      </c>
      <c r="M1556" s="7" t="n">
        <v>39</v>
      </c>
      <c r="N1556" s="7" t="n">
        <v>4</v>
      </c>
      <c r="O1556" s="7" t="str">
        <f aca="false">A1556&amp;"|"&amp;B1556&amp;"|"&amp;C1556&amp;"|"&amp;D1556&amp;"|"&amp;E1556&amp;"|"&amp;F1556&amp;"|"&amp;G1556&amp;"|"&amp;H1556&amp;"|"&amp;I1556&amp;"|"&amp;J1556&amp;"|"&amp;K1556&amp;"|"&amp;L1556&amp;"|"&amp;M1556&amp;"|"&amp;N1556</f>
        <v>ORD11973|2025-09-12|21:38|C0945|Hyderabad Dum Biryani|Hyderabad|Biryani|1|275|50|cash on delivery|Delivered|39|4</v>
      </c>
      <c r="P1556" s="7" t="str">
        <f aca="false">IF(COUNTIF($O$2:O1556,O1556)&gt;1,"DUP","OK")</f>
        <v>OK</v>
      </c>
      <c r="Q1556" s="7" t="n">
        <f aca="false">COUNTBLANK(A1556:N1556)</f>
        <v>0</v>
      </c>
      <c r="R1556" s="7" t="n">
        <f aca="false">IF(A1556="",0,COUNTIFS($A$2:$A$3058,A1556,$P$2:$P$3058,"OK"))</f>
        <v>1</v>
      </c>
      <c r="S1556" s="7" t="str">
        <f aca="false">IF(OR(A1556="",P1556="DUP",R1556&lt;2),"",IF(Q1556=_xlfn.MINIFS($Q$2:$Q$3058,$A$2:$A$3058,A1556,$P$2:$P$3058,"OK"),"KEEP","DROP"))</f>
        <v/>
      </c>
      <c r="T1556" s="9" t="n">
        <f aca="false">IF(A1556="",1,0)</f>
        <v>0</v>
      </c>
      <c r="U1556" s="9" t="n">
        <f aca="false">IF(D1556="",1,0)</f>
        <v>0</v>
      </c>
      <c r="V1556" s="9" t="n">
        <f aca="false">IF(E1556="",1,0)</f>
        <v>0</v>
      </c>
      <c r="W1556" s="9" t="n">
        <f aca="false">IF(OR(H1556&lt;1,H1556&gt;10),1,0)</f>
        <v>0</v>
      </c>
      <c r="X1556" s="9" t="n">
        <f aca="false">IF(OR(I1556&lt;=0,I1556&gt;1500),1,0)</f>
        <v>0</v>
      </c>
      <c r="Y1556" s="9" t="n">
        <f aca="false">IF(J1556&gt;H1556*I1556,1,0)</f>
        <v>0</v>
      </c>
      <c r="Z1556" s="9" t="n">
        <f aca="false">IF(AND(N1556&lt;&gt;"",OR(N1556&lt;1,N1556&gt;5)),1,0)</f>
        <v>0</v>
      </c>
      <c r="AA1556" s="9" t="n">
        <f aca="false">IF(AND(M1556&lt;&gt;"",OR(M1556&lt;5,M1556&gt;180)),1,0)</f>
        <v>0</v>
      </c>
      <c r="AB1556" s="7" t="str">
        <f aca="false">IF(P1556="DUP","Exact duplicate row",IF(T1556=1,"Missing Order ID",IF(S1556="DROP","Duplicate Order ID (less complete row)",IF(U1556=1,"Missing Customer ID",IF(V1556=1,"Missing Restaurant name",IF(W1556=1,"Invalid/outlier quantity",IF(X1556=1,"Invalid/outlier unit price",IF(Y1556=1,"Discount greater than order value",""))))))))</f>
        <v/>
      </c>
      <c r="AC1556" s="7" t="str">
        <f aca="false">IF(AB1556="","KEEP","DROP")</f>
        <v>KEEP</v>
      </c>
      <c r="AD1556" s="7" t="str">
        <f aca="false">IF(TRIM(F1556)="",IFERROR(INDEX(Map_Tables!$I$4:$I$37,MATCH(TRIM(E1556),Map_Tables!$G$4:$G$37,0)),""),IFERROR(INDEX(Map_Tables!$B$4:$B$18,MATCH(TRIM(F1556),Map_Tables!$A$4:$A$18,0)),"CHECK"))</f>
        <v>Hyderabad</v>
      </c>
      <c r="AE1556" s="7" t="str">
        <f aca="false">IF(TRIM(E1556)="","",IFERROR(INDEX(Map_Tables!$H$4:$H$37,MATCH(TRIM(E1556),Map_Tables!$G$4:$G$37,0)),"CHECK"))</f>
        <v>Hyderabad Dum Biryani</v>
      </c>
      <c r="AF1556" s="7" t="str">
        <f aca="false">IF(TRIM(K1556)="","Unknown",IFERROR(INDEX(Map_Tables!$E$4:$E$15,MATCH(TRIM(K1556),Map_Tables!$D$4:$D$15,0)),"CHECK"))</f>
        <v>Cash on Delivery</v>
      </c>
      <c r="AG1556" s="7" t="str">
        <f aca="false">IF(LEFT(LOWER(TRIM(L1556)),6)="cancel","Cancelled","Delivered")</f>
        <v>Delivered</v>
      </c>
      <c r="AH1556" s="10" t="n">
        <f aca="false">IF(ISNUMBER(SEARCH("/",B1556)),DATE(VALUE(RIGHT(B1556,4)),VALUE(MID(B1556,4,2)),VALUE(LEFT(B1556,2))),IF(MID(B1556,5,1)="-",DATE(VALUE(LEFT(B1556,4)),VALUE(MID(B1556,6,2)),VALUE(RIGHT(B1556,2))),DATE(VALUE(RIGHT(B1556,4)),MATCH(MID(B1556,4,3),{"Jan","Feb","Mar","Apr","May","Jun","Jul","Aug","Sep","Oct","Nov","Dec"},0),VALUE(LEFT(B1556,2)))))</f>
        <v>45912</v>
      </c>
    </row>
    <row r="1557" customFormat="false" ht="15" hidden="false" customHeight="false" outlineLevel="0" collapsed="false">
      <c r="A1557" s="7" t="s">
        <v>4031</v>
      </c>
      <c r="B1557" s="7" t="s">
        <v>2548</v>
      </c>
      <c r="C1557" s="7" t="s">
        <v>2714</v>
      </c>
      <c r="D1557" s="7" t="s">
        <v>2220</v>
      </c>
      <c r="E1557" s="7" t="s">
        <v>154</v>
      </c>
      <c r="F1557" s="7" t="s">
        <v>128</v>
      </c>
      <c r="G1557" s="7" t="s">
        <v>99</v>
      </c>
      <c r="H1557" s="7" t="n">
        <v>2</v>
      </c>
      <c r="I1557" s="7" t="n">
        <v>240</v>
      </c>
      <c r="J1557" s="7" t="n">
        <v>0</v>
      </c>
      <c r="K1557" s="7" t="s">
        <v>88</v>
      </c>
      <c r="L1557" s="7" t="s">
        <v>194</v>
      </c>
      <c r="M1557" s="7" t="n">
        <v>33</v>
      </c>
      <c r="N1557" s="7" t="n">
        <v>3</v>
      </c>
      <c r="O1557" s="7" t="str">
        <f aca="false">A1557&amp;"|"&amp;B1557&amp;"|"&amp;C1557&amp;"|"&amp;D1557&amp;"|"&amp;E1557&amp;"|"&amp;F1557&amp;"|"&amp;G1557&amp;"|"&amp;H1557&amp;"|"&amp;I1557&amp;"|"&amp;J1557&amp;"|"&amp;K1557&amp;"|"&amp;L1557&amp;"|"&amp;M1557&amp;"|"&amp;N1557</f>
        <v>ORD11038|2025-05-11|13:18|C0878|Madras Biryani Co|Chennai|Biryani|2|240|0|UPI|Delivered|33|3</v>
      </c>
      <c r="P1557" s="7" t="str">
        <f aca="false">IF(COUNTIF($O$2:O1557,O1557)&gt;1,"DUP","OK")</f>
        <v>OK</v>
      </c>
      <c r="Q1557" s="7" t="n">
        <f aca="false">COUNTBLANK(A1557:N1557)</f>
        <v>0</v>
      </c>
      <c r="R1557" s="7" t="n">
        <f aca="false">IF(A1557="",0,COUNTIFS($A$2:$A$3058,A1557,$P$2:$P$3058,"OK"))</f>
        <v>1</v>
      </c>
      <c r="S1557" s="7" t="str">
        <f aca="false">IF(OR(A1557="",P1557="DUP",R1557&lt;2),"",IF(Q1557=_xlfn.MINIFS($Q$2:$Q$3058,$A$2:$A$3058,A1557,$P$2:$P$3058,"OK"),"KEEP","DROP"))</f>
        <v/>
      </c>
      <c r="T1557" s="9" t="n">
        <f aca="false">IF(A1557="",1,0)</f>
        <v>0</v>
      </c>
      <c r="U1557" s="9" t="n">
        <f aca="false">IF(D1557="",1,0)</f>
        <v>0</v>
      </c>
      <c r="V1557" s="9" t="n">
        <f aca="false">IF(E1557="",1,0)</f>
        <v>0</v>
      </c>
      <c r="W1557" s="9" t="n">
        <f aca="false">IF(OR(H1557&lt;1,H1557&gt;10),1,0)</f>
        <v>0</v>
      </c>
      <c r="X1557" s="9" t="n">
        <f aca="false">IF(OR(I1557&lt;=0,I1557&gt;1500),1,0)</f>
        <v>0</v>
      </c>
      <c r="Y1557" s="9" t="n">
        <f aca="false">IF(J1557&gt;H1557*I1557,1,0)</f>
        <v>0</v>
      </c>
      <c r="Z1557" s="9" t="n">
        <f aca="false">IF(AND(N1557&lt;&gt;"",OR(N1557&lt;1,N1557&gt;5)),1,0)</f>
        <v>0</v>
      </c>
      <c r="AA1557" s="9" t="n">
        <f aca="false">IF(AND(M1557&lt;&gt;"",OR(M1557&lt;5,M1557&gt;180)),1,0)</f>
        <v>0</v>
      </c>
      <c r="AB1557" s="7" t="str">
        <f aca="false">IF(P1557="DUP","Exact duplicate row",IF(T1557=1,"Missing Order ID",IF(S1557="DROP","Duplicate Order ID (less complete row)",IF(U1557=1,"Missing Customer ID",IF(V1557=1,"Missing Restaurant name",IF(W1557=1,"Invalid/outlier quantity",IF(X1557=1,"Invalid/outlier unit price",IF(Y1557=1,"Discount greater than order value",""))))))))</f>
        <v/>
      </c>
      <c r="AC1557" s="7" t="str">
        <f aca="false">IF(AB1557="","KEEP","DROP")</f>
        <v>KEEP</v>
      </c>
      <c r="AD1557" s="7" t="str">
        <f aca="false">IF(TRIM(F1557)="",IFERROR(INDEX(Map_Tables!$I$4:$I$37,MATCH(TRIM(E1557),Map_Tables!$G$4:$G$37,0)),""),IFERROR(INDEX(Map_Tables!$B$4:$B$18,MATCH(TRIM(F1557),Map_Tables!$A$4:$A$18,0)),"CHECK"))</f>
        <v>Chennai</v>
      </c>
      <c r="AE1557" s="7" t="str">
        <f aca="false">IF(TRIM(E1557)="","",IFERROR(INDEX(Map_Tables!$H$4:$H$37,MATCH(TRIM(E1557),Map_Tables!$G$4:$G$37,0)),"CHECK"))</f>
        <v>Madras Biryani Co</v>
      </c>
      <c r="AF1557" s="7" t="str">
        <f aca="false">IF(TRIM(K1557)="","Unknown",IFERROR(INDEX(Map_Tables!$E$4:$E$15,MATCH(TRIM(K1557),Map_Tables!$D$4:$D$15,0)),"CHECK"))</f>
        <v>UPI</v>
      </c>
      <c r="AG1557" s="7" t="str">
        <f aca="false">IF(LEFT(LOWER(TRIM(L1557)),6)="cancel","Cancelled","Delivered")</f>
        <v>Delivered</v>
      </c>
      <c r="AH1557" s="10" t="n">
        <f aca="false">IF(ISNUMBER(SEARCH("/",B1557)),DATE(VALUE(RIGHT(B1557,4)),VALUE(MID(B1557,4,2)),VALUE(LEFT(B1557,2))),IF(MID(B1557,5,1)="-",DATE(VALUE(LEFT(B1557,4)),VALUE(MID(B1557,6,2)),VALUE(RIGHT(B1557,2))),DATE(VALUE(RIGHT(B1557,4)),MATCH(MID(B1557,4,3),{"Jan","Feb","Mar","Apr","May","Jun","Jul","Aug","Sep","Oct","Nov","Dec"},0),VALUE(LEFT(B1557,2)))))</f>
        <v>45788</v>
      </c>
    </row>
    <row r="1558" customFormat="false" ht="15" hidden="false" customHeight="false" outlineLevel="0" collapsed="false">
      <c r="A1558" s="7" t="s">
        <v>4032</v>
      </c>
      <c r="B1558" s="7" t="s">
        <v>1345</v>
      </c>
      <c r="C1558" s="7" t="s">
        <v>3005</v>
      </c>
      <c r="D1558" s="7" t="s">
        <v>4033</v>
      </c>
      <c r="E1558" s="7" t="s">
        <v>113</v>
      </c>
      <c r="F1558" s="7" t="s">
        <v>215</v>
      </c>
      <c r="G1558" s="7" t="s">
        <v>90</v>
      </c>
      <c r="H1558" s="7" t="n">
        <v>2</v>
      </c>
      <c r="I1558" s="7" t="n">
        <v>285</v>
      </c>
      <c r="J1558" s="7" t="n">
        <v>40</v>
      </c>
      <c r="K1558" s="7" t="s">
        <v>88</v>
      </c>
      <c r="L1558" s="7" t="s">
        <v>194</v>
      </c>
      <c r="M1558" s="7" t="n">
        <v>40</v>
      </c>
      <c r="N1558" s="7" t="n">
        <v>5</v>
      </c>
      <c r="O1558" s="7" t="str">
        <f aca="false">A1558&amp;"|"&amp;B1558&amp;"|"&amp;C1558&amp;"|"&amp;D1558&amp;"|"&amp;E1558&amp;"|"&amp;F1558&amp;"|"&amp;G1558&amp;"|"&amp;H1558&amp;"|"&amp;I1558&amp;"|"&amp;J1558&amp;"|"&amp;K1558&amp;"|"&amp;L1558&amp;"|"&amp;M1558&amp;"|"&amp;N1558</f>
        <v>ORD10390|2025-02-21|18:19|C1111|Curry Leaf Kitchen|MUMBAI|North Indian|2|285|40|UPI|Delivered|40|5</v>
      </c>
      <c r="P1558" s="7" t="str">
        <f aca="false">IF(COUNTIF($O$2:O1558,O1558)&gt;1,"DUP","OK")</f>
        <v>OK</v>
      </c>
      <c r="Q1558" s="7" t="n">
        <f aca="false">COUNTBLANK(A1558:N1558)</f>
        <v>0</v>
      </c>
      <c r="R1558" s="7" t="n">
        <f aca="false">IF(A1558="",0,COUNTIFS($A$2:$A$3058,A1558,$P$2:$P$3058,"OK"))</f>
        <v>1</v>
      </c>
      <c r="S1558" s="7" t="str">
        <f aca="false">IF(OR(A1558="",P1558="DUP",R1558&lt;2),"",IF(Q1558=_xlfn.MINIFS($Q$2:$Q$3058,$A$2:$A$3058,A1558,$P$2:$P$3058,"OK"),"KEEP","DROP"))</f>
        <v/>
      </c>
      <c r="T1558" s="9" t="n">
        <f aca="false">IF(A1558="",1,0)</f>
        <v>0</v>
      </c>
      <c r="U1558" s="9" t="n">
        <f aca="false">IF(D1558="",1,0)</f>
        <v>0</v>
      </c>
      <c r="V1558" s="9" t="n">
        <f aca="false">IF(E1558="",1,0)</f>
        <v>0</v>
      </c>
      <c r="W1558" s="9" t="n">
        <f aca="false">IF(OR(H1558&lt;1,H1558&gt;10),1,0)</f>
        <v>0</v>
      </c>
      <c r="X1558" s="9" t="n">
        <f aca="false">IF(OR(I1558&lt;=0,I1558&gt;1500),1,0)</f>
        <v>0</v>
      </c>
      <c r="Y1558" s="9" t="n">
        <f aca="false">IF(J1558&gt;H1558*I1558,1,0)</f>
        <v>0</v>
      </c>
      <c r="Z1558" s="9" t="n">
        <f aca="false">IF(AND(N1558&lt;&gt;"",OR(N1558&lt;1,N1558&gt;5)),1,0)</f>
        <v>0</v>
      </c>
      <c r="AA1558" s="9" t="n">
        <f aca="false">IF(AND(M1558&lt;&gt;"",OR(M1558&lt;5,M1558&gt;180)),1,0)</f>
        <v>0</v>
      </c>
      <c r="AB1558" s="7" t="str">
        <f aca="false">IF(P1558="DUP","Exact duplicate row",IF(T1558=1,"Missing Order ID",IF(S1558="DROP","Duplicate Order ID (less complete row)",IF(U1558=1,"Missing Customer ID",IF(V1558=1,"Missing Restaurant name",IF(W1558=1,"Invalid/outlier quantity",IF(X1558=1,"Invalid/outlier unit price",IF(Y1558=1,"Discount greater than order value",""))))))))</f>
        <v/>
      </c>
      <c r="AC1558" s="7" t="str">
        <f aca="false">IF(AB1558="","KEEP","DROP")</f>
        <v>KEEP</v>
      </c>
      <c r="AD1558" s="7" t="str">
        <f aca="false">IF(TRIM(F1558)="",IFERROR(INDEX(Map_Tables!$I$4:$I$37,MATCH(TRIM(E1558),Map_Tables!$G$4:$G$37,0)),""),IFERROR(INDEX(Map_Tables!$B$4:$B$18,MATCH(TRIM(F1558),Map_Tables!$A$4:$A$18,0)),"CHECK"))</f>
        <v>Mumbai</v>
      </c>
      <c r="AE1558" s="7" t="str">
        <f aca="false">IF(TRIM(E1558)="","",IFERROR(INDEX(Map_Tables!$H$4:$H$37,MATCH(TRIM(E1558),Map_Tables!$G$4:$G$37,0)),"CHECK"))</f>
        <v>Curry Leaf Kitchen</v>
      </c>
      <c r="AF1558" s="7" t="str">
        <f aca="false">IF(TRIM(K1558)="","Unknown",IFERROR(INDEX(Map_Tables!$E$4:$E$15,MATCH(TRIM(K1558),Map_Tables!$D$4:$D$15,0)),"CHECK"))</f>
        <v>UPI</v>
      </c>
      <c r="AG1558" s="7" t="str">
        <f aca="false">IF(LEFT(LOWER(TRIM(L1558)),6)="cancel","Cancelled","Delivered")</f>
        <v>Delivered</v>
      </c>
      <c r="AH1558" s="10" t="n">
        <f aca="false">IF(ISNUMBER(SEARCH("/",B1558)),DATE(VALUE(RIGHT(B1558,4)),VALUE(MID(B1558,4,2)),VALUE(LEFT(B1558,2))),IF(MID(B1558,5,1)="-",DATE(VALUE(LEFT(B1558,4)),VALUE(MID(B1558,6,2)),VALUE(RIGHT(B1558,2))),DATE(VALUE(RIGHT(B1558,4)),MATCH(MID(B1558,4,3),{"Jan","Feb","Mar","Apr","May","Jun","Jul","Aug","Sep","Oct","Nov","Dec"},0),VALUE(LEFT(B1558,2)))))</f>
        <v>45709</v>
      </c>
    </row>
    <row r="1559" customFormat="false" ht="15" hidden="false" customHeight="false" outlineLevel="0" collapsed="false">
      <c r="A1559" s="7" t="s">
        <v>4034</v>
      </c>
      <c r="B1559" s="7" t="s">
        <v>1752</v>
      </c>
      <c r="C1559" s="7" t="s">
        <v>716</v>
      </c>
      <c r="D1559" s="7" t="s">
        <v>2697</v>
      </c>
      <c r="E1559" s="7" t="s">
        <v>144</v>
      </c>
      <c r="F1559" s="7" t="s">
        <v>119</v>
      </c>
      <c r="G1559" s="7" t="s">
        <v>1199</v>
      </c>
      <c r="H1559" s="7" t="n">
        <v>1</v>
      </c>
      <c r="I1559" s="7" t="n">
        <v>340</v>
      </c>
      <c r="J1559" s="7" t="n">
        <v>20</v>
      </c>
      <c r="K1559" s="7" t="s">
        <v>88</v>
      </c>
      <c r="L1559" s="7" t="s">
        <v>194</v>
      </c>
      <c r="M1559" s="7" t="n">
        <v>46</v>
      </c>
      <c r="N1559" s="7" t="n">
        <v>5</v>
      </c>
      <c r="O1559" s="7" t="str">
        <f aca="false">A1559&amp;"|"&amp;B1559&amp;"|"&amp;C1559&amp;"|"&amp;D1559&amp;"|"&amp;E1559&amp;"|"&amp;F1559&amp;"|"&amp;G1559&amp;"|"&amp;H1559&amp;"|"&amp;I1559&amp;"|"&amp;J1559&amp;"|"&amp;K1559&amp;"|"&amp;L1559&amp;"|"&amp;M1559&amp;"|"&amp;N1559</f>
        <v>ORD10952|2025-04-30|22:30|C0626|Hyderabad Dum Biryani|Hyderabad|biryani|1|340|20|UPI|Delivered|46|5</v>
      </c>
      <c r="P1559" s="7" t="str">
        <f aca="false">IF(COUNTIF($O$2:O1559,O1559)&gt;1,"DUP","OK")</f>
        <v>OK</v>
      </c>
      <c r="Q1559" s="7" t="n">
        <f aca="false">COUNTBLANK(A1559:N1559)</f>
        <v>0</v>
      </c>
      <c r="R1559" s="7" t="n">
        <f aca="false">IF(A1559="",0,COUNTIFS($A$2:$A$3058,A1559,$P$2:$P$3058,"OK"))</f>
        <v>1</v>
      </c>
      <c r="S1559" s="7" t="str">
        <f aca="false">IF(OR(A1559="",P1559="DUP",R1559&lt;2),"",IF(Q1559=_xlfn.MINIFS($Q$2:$Q$3058,$A$2:$A$3058,A1559,$P$2:$P$3058,"OK"),"KEEP","DROP"))</f>
        <v/>
      </c>
      <c r="T1559" s="9" t="n">
        <f aca="false">IF(A1559="",1,0)</f>
        <v>0</v>
      </c>
      <c r="U1559" s="9" t="n">
        <f aca="false">IF(D1559="",1,0)</f>
        <v>0</v>
      </c>
      <c r="V1559" s="9" t="n">
        <f aca="false">IF(E1559="",1,0)</f>
        <v>0</v>
      </c>
      <c r="W1559" s="9" t="n">
        <f aca="false">IF(OR(H1559&lt;1,H1559&gt;10),1,0)</f>
        <v>0</v>
      </c>
      <c r="X1559" s="9" t="n">
        <f aca="false">IF(OR(I1559&lt;=0,I1559&gt;1500),1,0)</f>
        <v>0</v>
      </c>
      <c r="Y1559" s="9" t="n">
        <f aca="false">IF(J1559&gt;H1559*I1559,1,0)</f>
        <v>0</v>
      </c>
      <c r="Z1559" s="9" t="n">
        <f aca="false">IF(AND(N1559&lt;&gt;"",OR(N1559&lt;1,N1559&gt;5)),1,0)</f>
        <v>0</v>
      </c>
      <c r="AA1559" s="9" t="n">
        <f aca="false">IF(AND(M1559&lt;&gt;"",OR(M1559&lt;5,M1559&gt;180)),1,0)</f>
        <v>0</v>
      </c>
      <c r="AB1559" s="7" t="str">
        <f aca="false">IF(P1559="DUP","Exact duplicate row",IF(T1559=1,"Missing Order ID",IF(S1559="DROP","Duplicate Order ID (less complete row)",IF(U1559=1,"Missing Customer ID",IF(V1559=1,"Missing Restaurant name",IF(W1559=1,"Invalid/outlier quantity",IF(X1559=1,"Invalid/outlier unit price",IF(Y1559=1,"Discount greater than order value",""))))))))</f>
        <v/>
      </c>
      <c r="AC1559" s="7" t="str">
        <f aca="false">IF(AB1559="","KEEP","DROP")</f>
        <v>KEEP</v>
      </c>
      <c r="AD1559" s="7" t="str">
        <f aca="false">IF(TRIM(F1559)="",IFERROR(INDEX(Map_Tables!$I$4:$I$37,MATCH(TRIM(E1559),Map_Tables!$G$4:$G$37,0)),""),IFERROR(INDEX(Map_Tables!$B$4:$B$18,MATCH(TRIM(F1559),Map_Tables!$A$4:$A$18,0)),"CHECK"))</f>
        <v>Hyderabad</v>
      </c>
      <c r="AE1559" s="7" t="str">
        <f aca="false">IF(TRIM(E1559)="","",IFERROR(INDEX(Map_Tables!$H$4:$H$37,MATCH(TRIM(E1559),Map_Tables!$G$4:$G$37,0)),"CHECK"))</f>
        <v>Hyderabad Dum Biryani</v>
      </c>
      <c r="AF1559" s="7" t="str">
        <f aca="false">IF(TRIM(K1559)="","Unknown",IFERROR(INDEX(Map_Tables!$E$4:$E$15,MATCH(TRIM(K1559),Map_Tables!$D$4:$D$15,0)),"CHECK"))</f>
        <v>UPI</v>
      </c>
      <c r="AG1559" s="7" t="str">
        <f aca="false">IF(LEFT(LOWER(TRIM(L1559)),6)="cancel","Cancelled","Delivered")</f>
        <v>Delivered</v>
      </c>
      <c r="AH1559" s="10" t="n">
        <f aca="false">IF(ISNUMBER(SEARCH("/",B1559)),DATE(VALUE(RIGHT(B1559,4)),VALUE(MID(B1559,4,2)),VALUE(LEFT(B1559,2))),IF(MID(B1559,5,1)="-",DATE(VALUE(LEFT(B1559,4)),VALUE(MID(B1559,6,2)),VALUE(RIGHT(B1559,2))),DATE(VALUE(RIGHT(B1559,4)),MATCH(MID(B1559,4,3),{"Jan","Feb","Mar","Apr","May","Jun","Jul","Aug","Sep","Oct","Nov","Dec"},0),VALUE(LEFT(B1559,2)))))</f>
        <v>45777</v>
      </c>
    </row>
    <row r="1560" customFormat="false" ht="15" hidden="false" customHeight="false" outlineLevel="0" collapsed="false">
      <c r="A1560" s="7" t="s">
        <v>4035</v>
      </c>
      <c r="B1560" s="7" t="s">
        <v>432</v>
      </c>
      <c r="C1560" s="7" t="s">
        <v>817</v>
      </c>
      <c r="D1560" s="7" t="s">
        <v>4036</v>
      </c>
      <c r="E1560" s="7" t="s">
        <v>126</v>
      </c>
      <c r="F1560" s="7" t="s">
        <v>101</v>
      </c>
      <c r="G1560" s="7" t="s">
        <v>4037</v>
      </c>
      <c r="H1560" s="7" t="n">
        <v>4</v>
      </c>
      <c r="I1560" s="7" t="n">
        <v>245</v>
      </c>
      <c r="J1560" s="7" t="n">
        <v>0</v>
      </c>
      <c r="K1560" s="7" t="s">
        <v>112</v>
      </c>
      <c r="L1560" s="7" t="s">
        <v>194</v>
      </c>
      <c r="M1560" s="7" t="n">
        <v>45</v>
      </c>
      <c r="N1560" s="7" t="n">
        <v>5</v>
      </c>
      <c r="O1560" s="7" t="str">
        <f aca="false">A1560&amp;"|"&amp;B1560&amp;"|"&amp;C1560&amp;"|"&amp;D1560&amp;"|"&amp;E1560&amp;"|"&amp;F1560&amp;"|"&amp;G1560&amp;"|"&amp;H1560&amp;"|"&amp;I1560&amp;"|"&amp;J1560&amp;"|"&amp;K1560&amp;"|"&amp;L1560&amp;"|"&amp;M1560&amp;"|"&amp;N1560</f>
        <v>ORD11810|2025-08-24|20:53|C1464|Dragon Express|Mumbai|chinese|4|245|0|Cash on Delivery|Delivered|45|5</v>
      </c>
      <c r="P1560" s="7" t="str">
        <f aca="false">IF(COUNTIF($O$2:O1560,O1560)&gt;1,"DUP","OK")</f>
        <v>OK</v>
      </c>
      <c r="Q1560" s="7" t="n">
        <f aca="false">COUNTBLANK(A1560:N1560)</f>
        <v>0</v>
      </c>
      <c r="R1560" s="7" t="n">
        <f aca="false">IF(A1560="",0,COUNTIFS($A$2:$A$3058,A1560,$P$2:$P$3058,"OK"))</f>
        <v>1</v>
      </c>
      <c r="S1560" s="7" t="str">
        <f aca="false">IF(OR(A1560="",P1560="DUP",R1560&lt;2),"",IF(Q1560=_xlfn.MINIFS($Q$2:$Q$3058,$A$2:$A$3058,A1560,$P$2:$P$3058,"OK"),"KEEP","DROP"))</f>
        <v/>
      </c>
      <c r="T1560" s="9" t="n">
        <f aca="false">IF(A1560="",1,0)</f>
        <v>0</v>
      </c>
      <c r="U1560" s="9" t="n">
        <f aca="false">IF(D1560="",1,0)</f>
        <v>0</v>
      </c>
      <c r="V1560" s="9" t="n">
        <f aca="false">IF(E1560="",1,0)</f>
        <v>0</v>
      </c>
      <c r="W1560" s="9" t="n">
        <f aca="false">IF(OR(H1560&lt;1,H1560&gt;10),1,0)</f>
        <v>0</v>
      </c>
      <c r="X1560" s="9" t="n">
        <f aca="false">IF(OR(I1560&lt;=0,I1560&gt;1500),1,0)</f>
        <v>0</v>
      </c>
      <c r="Y1560" s="9" t="n">
        <f aca="false">IF(J1560&gt;H1560*I1560,1,0)</f>
        <v>0</v>
      </c>
      <c r="Z1560" s="9" t="n">
        <f aca="false">IF(AND(N1560&lt;&gt;"",OR(N1560&lt;1,N1560&gt;5)),1,0)</f>
        <v>0</v>
      </c>
      <c r="AA1560" s="9" t="n">
        <f aca="false">IF(AND(M1560&lt;&gt;"",OR(M1560&lt;5,M1560&gt;180)),1,0)</f>
        <v>0</v>
      </c>
      <c r="AB1560" s="7" t="str">
        <f aca="false">IF(P1560="DUP","Exact duplicate row",IF(T1560=1,"Missing Order ID",IF(S1560="DROP","Duplicate Order ID (less complete row)",IF(U1560=1,"Missing Customer ID",IF(V1560=1,"Missing Restaurant name",IF(W1560=1,"Invalid/outlier quantity",IF(X1560=1,"Invalid/outlier unit price",IF(Y1560=1,"Discount greater than order value",""))))))))</f>
        <v/>
      </c>
      <c r="AC1560" s="7" t="str">
        <f aca="false">IF(AB1560="","KEEP","DROP")</f>
        <v>KEEP</v>
      </c>
      <c r="AD1560" s="7" t="str">
        <f aca="false">IF(TRIM(F1560)="",IFERROR(INDEX(Map_Tables!$I$4:$I$37,MATCH(TRIM(E1560),Map_Tables!$G$4:$G$37,0)),""),IFERROR(INDEX(Map_Tables!$B$4:$B$18,MATCH(TRIM(F1560),Map_Tables!$A$4:$A$18,0)),"CHECK"))</f>
        <v>Mumbai</v>
      </c>
      <c r="AE1560" s="7" t="str">
        <f aca="false">IF(TRIM(E1560)="","",IFERROR(INDEX(Map_Tables!$H$4:$H$37,MATCH(TRIM(E1560),Map_Tables!$G$4:$G$37,0)),"CHECK"))</f>
        <v>Dragon Express</v>
      </c>
      <c r="AF1560" s="7" t="str">
        <f aca="false">IF(TRIM(K1560)="","Unknown",IFERROR(INDEX(Map_Tables!$E$4:$E$15,MATCH(TRIM(K1560),Map_Tables!$D$4:$D$15,0)),"CHECK"))</f>
        <v>Cash on Delivery</v>
      </c>
      <c r="AG1560" s="7" t="str">
        <f aca="false">IF(LEFT(LOWER(TRIM(L1560)),6)="cancel","Cancelled","Delivered")</f>
        <v>Delivered</v>
      </c>
      <c r="AH1560" s="10" t="n">
        <f aca="false">IF(ISNUMBER(SEARCH("/",B1560)),DATE(VALUE(RIGHT(B1560,4)),VALUE(MID(B1560,4,2)),VALUE(LEFT(B1560,2))),IF(MID(B1560,5,1)="-",DATE(VALUE(LEFT(B1560,4)),VALUE(MID(B1560,6,2)),VALUE(RIGHT(B1560,2))),DATE(VALUE(RIGHT(B1560,4)),MATCH(MID(B1560,4,3),{"Jan","Feb","Mar","Apr","May","Jun","Jul","Aug","Sep","Oct","Nov","Dec"},0),VALUE(LEFT(B1560,2)))))</f>
        <v>45893</v>
      </c>
    </row>
    <row r="1561" customFormat="false" ht="15" hidden="false" customHeight="false" outlineLevel="0" collapsed="false">
      <c r="A1561" s="7" t="s">
        <v>4038</v>
      </c>
      <c r="B1561" s="7" t="s">
        <v>2450</v>
      </c>
      <c r="C1561" s="7" t="s">
        <v>4039</v>
      </c>
      <c r="D1561" s="7" t="s">
        <v>3822</v>
      </c>
      <c r="E1561" s="7" t="s">
        <v>122</v>
      </c>
      <c r="F1561" s="7" t="s">
        <v>101</v>
      </c>
      <c r="G1561" s="7" t="s">
        <v>123</v>
      </c>
      <c r="H1561" s="7" t="n">
        <v>40</v>
      </c>
      <c r="I1561" s="7" t="n">
        <v>425</v>
      </c>
      <c r="J1561" s="7" t="n">
        <v>0</v>
      </c>
      <c r="K1561" s="7" t="s">
        <v>112</v>
      </c>
      <c r="L1561" s="7" t="s">
        <v>194</v>
      </c>
      <c r="M1561" s="7" t="n">
        <v>40</v>
      </c>
      <c r="N1561" s="7" t="n">
        <v>3</v>
      </c>
      <c r="O1561" s="7" t="str">
        <f aca="false">A1561&amp;"|"&amp;B1561&amp;"|"&amp;C1561&amp;"|"&amp;D1561&amp;"|"&amp;E1561&amp;"|"&amp;F1561&amp;"|"&amp;G1561&amp;"|"&amp;H1561&amp;"|"&amp;I1561&amp;"|"&amp;J1561&amp;"|"&amp;K1561&amp;"|"&amp;L1561&amp;"|"&amp;M1561&amp;"|"&amp;N1561</f>
        <v>ORD10412|2025-02-24|18:39|C1063|Mumbai Pizza Co|Mumbai|Pizza|40|425|0|Cash on Delivery|Delivered|40|3</v>
      </c>
      <c r="P1561" s="7" t="str">
        <f aca="false">IF(COUNTIF($O$2:O1561,O1561)&gt;1,"DUP","OK")</f>
        <v>OK</v>
      </c>
      <c r="Q1561" s="7" t="n">
        <f aca="false">COUNTBLANK(A1561:N1561)</f>
        <v>0</v>
      </c>
      <c r="R1561" s="7" t="n">
        <f aca="false">IF(A1561="",0,COUNTIFS($A$2:$A$3058,A1561,$P$2:$P$3058,"OK"))</f>
        <v>1</v>
      </c>
      <c r="S1561" s="7" t="str">
        <f aca="false">IF(OR(A1561="",P1561="DUP",R1561&lt;2),"",IF(Q1561=_xlfn.MINIFS($Q$2:$Q$3058,$A$2:$A$3058,A1561,$P$2:$P$3058,"OK"),"KEEP","DROP"))</f>
        <v/>
      </c>
      <c r="T1561" s="9" t="n">
        <f aca="false">IF(A1561="",1,0)</f>
        <v>0</v>
      </c>
      <c r="U1561" s="9" t="n">
        <f aca="false">IF(D1561="",1,0)</f>
        <v>0</v>
      </c>
      <c r="V1561" s="9" t="n">
        <f aca="false">IF(E1561="",1,0)</f>
        <v>0</v>
      </c>
      <c r="W1561" s="9" t="n">
        <f aca="false">IF(OR(H1561&lt;1,H1561&gt;10),1,0)</f>
        <v>1</v>
      </c>
      <c r="X1561" s="9" t="n">
        <f aca="false">IF(OR(I1561&lt;=0,I1561&gt;1500),1,0)</f>
        <v>0</v>
      </c>
      <c r="Y1561" s="9" t="n">
        <f aca="false">IF(J1561&gt;H1561*I1561,1,0)</f>
        <v>0</v>
      </c>
      <c r="Z1561" s="9" t="n">
        <f aca="false">IF(AND(N1561&lt;&gt;"",OR(N1561&lt;1,N1561&gt;5)),1,0)</f>
        <v>0</v>
      </c>
      <c r="AA1561" s="9" t="n">
        <f aca="false">IF(AND(M1561&lt;&gt;"",OR(M1561&lt;5,M1561&gt;180)),1,0)</f>
        <v>0</v>
      </c>
      <c r="AB1561" s="7" t="str">
        <f aca="false">IF(P1561="DUP","Exact duplicate row",IF(T1561=1,"Missing Order ID",IF(S1561="DROP","Duplicate Order ID (less complete row)",IF(U1561=1,"Missing Customer ID",IF(V1561=1,"Missing Restaurant name",IF(W1561=1,"Invalid/outlier quantity",IF(X1561=1,"Invalid/outlier unit price",IF(Y1561=1,"Discount greater than order value",""))))))))</f>
        <v>Invalid/outlier quantity</v>
      </c>
      <c r="AC1561" s="7" t="str">
        <f aca="false">IF(AB1561="","KEEP","DROP")</f>
        <v>DROP</v>
      </c>
      <c r="AD1561" s="7" t="str">
        <f aca="false">IF(TRIM(F1561)="",IFERROR(INDEX(Map_Tables!$I$4:$I$37,MATCH(TRIM(E1561),Map_Tables!$G$4:$G$37,0)),""),IFERROR(INDEX(Map_Tables!$B$4:$B$18,MATCH(TRIM(F1561),Map_Tables!$A$4:$A$18,0)),"CHECK"))</f>
        <v>Mumbai</v>
      </c>
      <c r="AE1561" s="7" t="str">
        <f aca="false">IF(TRIM(E1561)="","",IFERROR(INDEX(Map_Tables!$H$4:$H$37,MATCH(TRIM(E1561),Map_Tables!$G$4:$G$37,0)),"CHECK"))</f>
        <v>Mumbai Pizza Co</v>
      </c>
      <c r="AF1561" s="7" t="str">
        <f aca="false">IF(TRIM(K1561)="","Unknown",IFERROR(INDEX(Map_Tables!$E$4:$E$15,MATCH(TRIM(K1561),Map_Tables!$D$4:$D$15,0)),"CHECK"))</f>
        <v>Cash on Delivery</v>
      </c>
      <c r="AG1561" s="7" t="str">
        <f aca="false">IF(LEFT(LOWER(TRIM(L1561)),6)="cancel","Cancelled","Delivered")</f>
        <v>Delivered</v>
      </c>
      <c r="AH1561" s="10" t="n">
        <f aca="false">IF(ISNUMBER(SEARCH("/",B1561)),DATE(VALUE(RIGHT(B1561,4)),VALUE(MID(B1561,4,2)),VALUE(LEFT(B1561,2))),IF(MID(B1561,5,1)="-",DATE(VALUE(LEFT(B1561,4)),VALUE(MID(B1561,6,2)),VALUE(RIGHT(B1561,2))),DATE(VALUE(RIGHT(B1561,4)),MATCH(MID(B1561,4,3),{"Jan","Feb","Mar","Apr","May","Jun","Jul","Aug","Sep","Oct","Nov","Dec"},0),VALUE(LEFT(B1561,2)))))</f>
        <v>45712</v>
      </c>
    </row>
    <row r="1562" customFormat="false" ht="15" hidden="false" customHeight="false" outlineLevel="0" collapsed="false">
      <c r="A1562" s="7" t="s">
        <v>4040</v>
      </c>
      <c r="B1562" s="7" t="s">
        <v>4041</v>
      </c>
      <c r="C1562" s="7" t="s">
        <v>1640</v>
      </c>
      <c r="D1562" s="7" t="s">
        <v>2589</v>
      </c>
      <c r="E1562" s="7" t="s">
        <v>134</v>
      </c>
      <c r="F1562" s="7" t="s">
        <v>110</v>
      </c>
      <c r="G1562" s="7" t="s">
        <v>117</v>
      </c>
      <c r="H1562" s="7" t="n">
        <v>1</v>
      </c>
      <c r="I1562" s="7" t="n">
        <v>100</v>
      </c>
      <c r="J1562" s="7" t="n">
        <v>0</v>
      </c>
      <c r="K1562" s="7" t="s">
        <v>112</v>
      </c>
      <c r="L1562" s="7" t="s">
        <v>194</v>
      </c>
      <c r="M1562" s="7" t="n">
        <v>45</v>
      </c>
      <c r="N1562" s="7" t="n">
        <v>4</v>
      </c>
      <c r="O1562" s="7" t="str">
        <f aca="false">A1562&amp;"|"&amp;B1562&amp;"|"&amp;C1562&amp;"|"&amp;D1562&amp;"|"&amp;E1562&amp;"|"&amp;F1562&amp;"|"&amp;G1562&amp;"|"&amp;H1562&amp;"|"&amp;I1562&amp;"|"&amp;J1562&amp;"|"&amp;K1562&amp;"|"&amp;L1562&amp;"|"&amp;M1562&amp;"|"&amp;N1562</f>
        <v>ORD12784|06/12/2025|19:52|C1119|Chaat Corner|Delhi|Street Food|1|100|0|Cash on Delivery|Delivered|45|4</v>
      </c>
      <c r="P1562" s="7" t="str">
        <f aca="false">IF(COUNTIF($O$2:O1562,O1562)&gt;1,"DUP","OK")</f>
        <v>OK</v>
      </c>
      <c r="Q1562" s="7" t="n">
        <f aca="false">COUNTBLANK(A1562:N1562)</f>
        <v>0</v>
      </c>
      <c r="R1562" s="7" t="n">
        <f aca="false">IF(A1562="",0,COUNTIFS($A$2:$A$3058,A1562,$P$2:$P$3058,"OK"))</f>
        <v>1</v>
      </c>
      <c r="S1562" s="7" t="str">
        <f aca="false">IF(OR(A1562="",P1562="DUP",R1562&lt;2),"",IF(Q1562=_xlfn.MINIFS($Q$2:$Q$3058,$A$2:$A$3058,A1562,$P$2:$P$3058,"OK"),"KEEP","DROP"))</f>
        <v/>
      </c>
      <c r="T1562" s="9" t="n">
        <f aca="false">IF(A1562="",1,0)</f>
        <v>0</v>
      </c>
      <c r="U1562" s="9" t="n">
        <f aca="false">IF(D1562="",1,0)</f>
        <v>0</v>
      </c>
      <c r="V1562" s="9" t="n">
        <f aca="false">IF(E1562="",1,0)</f>
        <v>0</v>
      </c>
      <c r="W1562" s="9" t="n">
        <f aca="false">IF(OR(H1562&lt;1,H1562&gt;10),1,0)</f>
        <v>0</v>
      </c>
      <c r="X1562" s="9" t="n">
        <f aca="false">IF(OR(I1562&lt;=0,I1562&gt;1500),1,0)</f>
        <v>0</v>
      </c>
      <c r="Y1562" s="9" t="n">
        <f aca="false">IF(J1562&gt;H1562*I1562,1,0)</f>
        <v>0</v>
      </c>
      <c r="Z1562" s="9" t="n">
        <f aca="false">IF(AND(N1562&lt;&gt;"",OR(N1562&lt;1,N1562&gt;5)),1,0)</f>
        <v>0</v>
      </c>
      <c r="AA1562" s="9" t="n">
        <f aca="false">IF(AND(M1562&lt;&gt;"",OR(M1562&lt;5,M1562&gt;180)),1,0)</f>
        <v>0</v>
      </c>
      <c r="AB1562" s="7" t="str">
        <f aca="false">IF(P1562="DUP","Exact duplicate row",IF(T1562=1,"Missing Order ID",IF(S1562="DROP","Duplicate Order ID (less complete row)",IF(U1562=1,"Missing Customer ID",IF(V1562=1,"Missing Restaurant name",IF(W1562=1,"Invalid/outlier quantity",IF(X1562=1,"Invalid/outlier unit price",IF(Y1562=1,"Discount greater than order value",""))))))))</f>
        <v/>
      </c>
      <c r="AC1562" s="7" t="str">
        <f aca="false">IF(AB1562="","KEEP","DROP")</f>
        <v>KEEP</v>
      </c>
      <c r="AD1562" s="7" t="str">
        <f aca="false">IF(TRIM(F1562)="",IFERROR(INDEX(Map_Tables!$I$4:$I$37,MATCH(TRIM(E1562),Map_Tables!$G$4:$G$37,0)),""),IFERROR(INDEX(Map_Tables!$B$4:$B$18,MATCH(TRIM(F1562),Map_Tables!$A$4:$A$18,0)),"CHECK"))</f>
        <v>Delhi</v>
      </c>
      <c r="AE1562" s="7" t="str">
        <f aca="false">IF(TRIM(E1562)="","",IFERROR(INDEX(Map_Tables!$H$4:$H$37,MATCH(TRIM(E1562),Map_Tables!$G$4:$G$37,0)),"CHECK"))</f>
        <v>Chaat Corner</v>
      </c>
      <c r="AF1562" s="7" t="str">
        <f aca="false">IF(TRIM(K1562)="","Unknown",IFERROR(INDEX(Map_Tables!$E$4:$E$15,MATCH(TRIM(K1562),Map_Tables!$D$4:$D$15,0)),"CHECK"))</f>
        <v>Cash on Delivery</v>
      </c>
      <c r="AG1562" s="7" t="str">
        <f aca="false">IF(LEFT(LOWER(TRIM(L1562)),6)="cancel","Cancelled","Delivered")</f>
        <v>Delivered</v>
      </c>
      <c r="AH1562" s="10" t="n">
        <f aca="false">IF(ISNUMBER(SEARCH("/",B1562)),DATE(VALUE(RIGHT(B1562,4)),VALUE(MID(B1562,4,2)),VALUE(LEFT(B1562,2))),IF(MID(B1562,5,1)="-",DATE(VALUE(LEFT(B1562,4)),VALUE(MID(B1562,6,2)),VALUE(RIGHT(B1562,2))),DATE(VALUE(RIGHT(B1562,4)),MATCH(MID(B1562,4,3),{"Jan","Feb","Mar","Apr","May","Jun","Jul","Aug","Sep","Oct","Nov","Dec"},0),VALUE(LEFT(B1562,2)))))</f>
        <v>45997</v>
      </c>
    </row>
    <row r="1563" customFormat="false" ht="15" hidden="false" customHeight="false" outlineLevel="0" collapsed="false">
      <c r="A1563" s="7" t="s">
        <v>4042</v>
      </c>
      <c r="B1563" s="7" t="s">
        <v>1972</v>
      </c>
      <c r="C1563" s="7" t="s">
        <v>2946</v>
      </c>
      <c r="D1563" s="7" t="s">
        <v>970</v>
      </c>
      <c r="E1563" s="7" t="s">
        <v>89</v>
      </c>
      <c r="F1563" s="7" t="s">
        <v>86</v>
      </c>
      <c r="G1563" s="7" t="s">
        <v>90</v>
      </c>
      <c r="H1563" s="7" t="n">
        <v>2</v>
      </c>
      <c r="I1563" s="7" t="n">
        <v>270</v>
      </c>
      <c r="J1563" s="7" t="n">
        <v>0</v>
      </c>
      <c r="K1563" s="7" t="s">
        <v>87</v>
      </c>
      <c r="L1563" s="7" t="s">
        <v>194</v>
      </c>
      <c r="M1563" s="7" t="n">
        <v>46</v>
      </c>
      <c r="N1563" s="7"/>
      <c r="O1563" s="7" t="str">
        <f aca="false">A1563&amp;"|"&amp;B1563&amp;"|"&amp;C1563&amp;"|"&amp;D1563&amp;"|"&amp;E1563&amp;"|"&amp;F1563&amp;"|"&amp;G1563&amp;"|"&amp;H1563&amp;"|"&amp;I1563&amp;"|"&amp;J1563&amp;"|"&amp;K1563&amp;"|"&amp;L1563&amp;"|"&amp;M1563&amp;"|"&amp;N1563</f>
        <v>ORD12644|2025-11-23|10:41|C1236|Spice Junction|Bengaluru|North Indian|2|270|0|upi|Delivered|46|</v>
      </c>
      <c r="P1563" s="7" t="str">
        <f aca="false">IF(COUNTIF($O$2:O1563,O1563)&gt;1,"DUP","OK")</f>
        <v>OK</v>
      </c>
      <c r="Q1563" s="7" t="n">
        <f aca="false">COUNTBLANK(A1563:N1563)</f>
        <v>1</v>
      </c>
      <c r="R1563" s="7" t="n">
        <f aca="false">IF(A1563="",0,COUNTIFS($A$2:$A$3058,A1563,$P$2:$P$3058,"OK"))</f>
        <v>1</v>
      </c>
      <c r="S1563" s="7" t="str">
        <f aca="false">IF(OR(A1563="",P1563="DUP",R1563&lt;2),"",IF(Q1563=_xlfn.MINIFS($Q$2:$Q$3058,$A$2:$A$3058,A1563,$P$2:$P$3058,"OK"),"KEEP","DROP"))</f>
        <v/>
      </c>
      <c r="T1563" s="9" t="n">
        <f aca="false">IF(A1563="",1,0)</f>
        <v>0</v>
      </c>
      <c r="U1563" s="9" t="n">
        <f aca="false">IF(D1563="",1,0)</f>
        <v>0</v>
      </c>
      <c r="V1563" s="9" t="n">
        <f aca="false">IF(E1563="",1,0)</f>
        <v>0</v>
      </c>
      <c r="W1563" s="9" t="n">
        <f aca="false">IF(OR(H1563&lt;1,H1563&gt;10),1,0)</f>
        <v>0</v>
      </c>
      <c r="X1563" s="9" t="n">
        <f aca="false">IF(OR(I1563&lt;=0,I1563&gt;1500),1,0)</f>
        <v>0</v>
      </c>
      <c r="Y1563" s="9" t="n">
        <f aca="false">IF(J1563&gt;H1563*I1563,1,0)</f>
        <v>0</v>
      </c>
      <c r="Z1563" s="9" t="n">
        <f aca="false">IF(AND(N1563&lt;&gt;"",OR(N1563&lt;1,N1563&gt;5)),1,0)</f>
        <v>0</v>
      </c>
      <c r="AA1563" s="9" t="n">
        <f aca="false">IF(AND(M1563&lt;&gt;"",OR(M1563&lt;5,M1563&gt;180)),1,0)</f>
        <v>0</v>
      </c>
      <c r="AB1563" s="7" t="str">
        <f aca="false">IF(P1563="DUP","Exact duplicate row",IF(T1563=1,"Missing Order ID",IF(S1563="DROP","Duplicate Order ID (less complete row)",IF(U1563=1,"Missing Customer ID",IF(V1563=1,"Missing Restaurant name",IF(W1563=1,"Invalid/outlier quantity",IF(X1563=1,"Invalid/outlier unit price",IF(Y1563=1,"Discount greater than order value",""))))))))</f>
        <v/>
      </c>
      <c r="AC1563" s="7" t="str">
        <f aca="false">IF(AB1563="","KEEP","DROP")</f>
        <v>KEEP</v>
      </c>
      <c r="AD1563" s="7" t="str">
        <f aca="false">IF(TRIM(F1563)="",IFERROR(INDEX(Map_Tables!$I$4:$I$37,MATCH(TRIM(E1563),Map_Tables!$G$4:$G$37,0)),""),IFERROR(INDEX(Map_Tables!$B$4:$B$18,MATCH(TRIM(F1563),Map_Tables!$A$4:$A$18,0)),"CHECK"))</f>
        <v>Bengaluru</v>
      </c>
      <c r="AE1563" s="7" t="str">
        <f aca="false">IF(TRIM(E1563)="","",IFERROR(INDEX(Map_Tables!$H$4:$H$37,MATCH(TRIM(E1563),Map_Tables!$G$4:$G$37,0)),"CHECK"))</f>
        <v>Spice Junction</v>
      </c>
      <c r="AF1563" s="7" t="str">
        <f aca="false">IF(TRIM(K1563)="","Unknown",IFERROR(INDEX(Map_Tables!$E$4:$E$15,MATCH(TRIM(K1563),Map_Tables!$D$4:$D$15,0)),"CHECK"))</f>
        <v>UPI</v>
      </c>
      <c r="AG1563" s="7" t="str">
        <f aca="false">IF(LEFT(LOWER(TRIM(L1563)),6)="cancel","Cancelled","Delivered")</f>
        <v>Delivered</v>
      </c>
      <c r="AH1563" s="10" t="n">
        <f aca="false">IF(ISNUMBER(SEARCH("/",B1563)),DATE(VALUE(RIGHT(B1563,4)),VALUE(MID(B1563,4,2)),VALUE(LEFT(B1563,2))),IF(MID(B1563,5,1)="-",DATE(VALUE(LEFT(B1563,4)),VALUE(MID(B1563,6,2)),VALUE(RIGHT(B1563,2))),DATE(VALUE(RIGHT(B1563,4)),MATCH(MID(B1563,4,3),{"Jan","Feb","Mar","Apr","May","Jun","Jul","Aug","Sep","Oct","Nov","Dec"},0),VALUE(LEFT(B1563,2)))))</f>
        <v>45984</v>
      </c>
    </row>
    <row r="1564" customFormat="false" ht="15" hidden="false" customHeight="false" outlineLevel="0" collapsed="false">
      <c r="A1564" s="7" t="s">
        <v>4043</v>
      </c>
      <c r="B1564" s="7" t="s">
        <v>4044</v>
      </c>
      <c r="C1564" s="7" t="s">
        <v>2145</v>
      </c>
      <c r="D1564" s="7" t="s">
        <v>2464</v>
      </c>
      <c r="E1564" s="7" t="s">
        <v>138</v>
      </c>
      <c r="F1564" s="7" t="s">
        <v>110</v>
      </c>
      <c r="G1564" s="7" t="s">
        <v>139</v>
      </c>
      <c r="H1564" s="7" t="n">
        <v>1</v>
      </c>
      <c r="I1564" s="7" t="n">
        <v>235</v>
      </c>
      <c r="J1564" s="7" t="n">
        <v>0</v>
      </c>
      <c r="K1564" s="7" t="s">
        <v>93</v>
      </c>
      <c r="L1564" s="7" t="s">
        <v>194</v>
      </c>
      <c r="M1564" s="7" t="n">
        <v>31</v>
      </c>
      <c r="N1564" s="7" t="n">
        <v>3</v>
      </c>
      <c r="O1564" s="7" t="str">
        <f aca="false">A1564&amp;"|"&amp;B1564&amp;"|"&amp;C1564&amp;"|"&amp;D1564&amp;"|"&amp;E1564&amp;"|"&amp;F1564&amp;"|"&amp;G1564&amp;"|"&amp;H1564&amp;"|"&amp;I1564&amp;"|"&amp;J1564&amp;"|"&amp;K1564&amp;"|"&amp;L1564&amp;"|"&amp;M1564&amp;"|"&amp;N1564</f>
        <v>ORD11302|16/06/2025|13:28|C0301|Burger Barn|Delhi|Burgers|1|235|0|Credit Card|Delivered|31|3</v>
      </c>
      <c r="P1564" s="7" t="str">
        <f aca="false">IF(COUNTIF($O$2:O1564,O1564)&gt;1,"DUP","OK")</f>
        <v>OK</v>
      </c>
      <c r="Q1564" s="7" t="n">
        <f aca="false">COUNTBLANK(A1564:N1564)</f>
        <v>0</v>
      </c>
      <c r="R1564" s="7" t="n">
        <f aca="false">IF(A1564="",0,COUNTIFS($A$2:$A$3058,A1564,$P$2:$P$3058,"OK"))</f>
        <v>1</v>
      </c>
      <c r="S1564" s="7" t="str">
        <f aca="false">IF(OR(A1564="",P1564="DUP",R1564&lt;2),"",IF(Q1564=_xlfn.MINIFS($Q$2:$Q$3058,$A$2:$A$3058,A1564,$P$2:$P$3058,"OK"),"KEEP","DROP"))</f>
        <v/>
      </c>
      <c r="T1564" s="9" t="n">
        <f aca="false">IF(A1564="",1,0)</f>
        <v>0</v>
      </c>
      <c r="U1564" s="9" t="n">
        <f aca="false">IF(D1564="",1,0)</f>
        <v>0</v>
      </c>
      <c r="V1564" s="9" t="n">
        <f aca="false">IF(E1564="",1,0)</f>
        <v>0</v>
      </c>
      <c r="W1564" s="9" t="n">
        <f aca="false">IF(OR(H1564&lt;1,H1564&gt;10),1,0)</f>
        <v>0</v>
      </c>
      <c r="X1564" s="9" t="n">
        <f aca="false">IF(OR(I1564&lt;=0,I1564&gt;1500),1,0)</f>
        <v>0</v>
      </c>
      <c r="Y1564" s="9" t="n">
        <f aca="false">IF(J1564&gt;H1564*I1564,1,0)</f>
        <v>0</v>
      </c>
      <c r="Z1564" s="9" t="n">
        <f aca="false">IF(AND(N1564&lt;&gt;"",OR(N1564&lt;1,N1564&gt;5)),1,0)</f>
        <v>0</v>
      </c>
      <c r="AA1564" s="9" t="n">
        <f aca="false">IF(AND(M1564&lt;&gt;"",OR(M1564&lt;5,M1564&gt;180)),1,0)</f>
        <v>0</v>
      </c>
      <c r="AB1564" s="7" t="str">
        <f aca="false">IF(P1564="DUP","Exact duplicate row",IF(T1564=1,"Missing Order ID",IF(S1564="DROP","Duplicate Order ID (less complete row)",IF(U1564=1,"Missing Customer ID",IF(V1564=1,"Missing Restaurant name",IF(W1564=1,"Invalid/outlier quantity",IF(X1564=1,"Invalid/outlier unit price",IF(Y1564=1,"Discount greater than order value",""))))))))</f>
        <v/>
      </c>
      <c r="AC1564" s="7" t="str">
        <f aca="false">IF(AB1564="","KEEP","DROP")</f>
        <v>KEEP</v>
      </c>
      <c r="AD1564" s="7" t="str">
        <f aca="false">IF(TRIM(F1564)="",IFERROR(INDEX(Map_Tables!$I$4:$I$37,MATCH(TRIM(E1564),Map_Tables!$G$4:$G$37,0)),""),IFERROR(INDEX(Map_Tables!$B$4:$B$18,MATCH(TRIM(F1564),Map_Tables!$A$4:$A$18,0)),"CHECK"))</f>
        <v>Delhi</v>
      </c>
      <c r="AE1564" s="7" t="str">
        <f aca="false">IF(TRIM(E1564)="","",IFERROR(INDEX(Map_Tables!$H$4:$H$37,MATCH(TRIM(E1564),Map_Tables!$G$4:$G$37,0)),"CHECK"))</f>
        <v>Burger Barn</v>
      </c>
      <c r="AF1564" s="7" t="str">
        <f aca="false">IF(TRIM(K1564)="","Unknown",IFERROR(INDEX(Map_Tables!$E$4:$E$15,MATCH(TRIM(K1564),Map_Tables!$D$4:$D$15,0)),"CHECK"))</f>
        <v>Credit Card</v>
      </c>
      <c r="AG1564" s="7" t="str">
        <f aca="false">IF(LEFT(LOWER(TRIM(L1564)),6)="cancel","Cancelled","Delivered")</f>
        <v>Delivered</v>
      </c>
      <c r="AH1564" s="10" t="n">
        <f aca="false">IF(ISNUMBER(SEARCH("/",B1564)),DATE(VALUE(RIGHT(B1564,4)),VALUE(MID(B1564,4,2)),VALUE(LEFT(B1564,2))),IF(MID(B1564,5,1)="-",DATE(VALUE(LEFT(B1564,4)),VALUE(MID(B1564,6,2)),VALUE(RIGHT(B1564,2))),DATE(VALUE(RIGHT(B1564,4)),MATCH(MID(B1564,4,3),{"Jan","Feb","Mar","Apr","May","Jun","Jul","Aug","Sep","Oct","Nov","Dec"},0),VALUE(LEFT(B1564,2)))))</f>
        <v>45824</v>
      </c>
    </row>
    <row r="1565" customFormat="false" ht="15" hidden="false" customHeight="false" outlineLevel="0" collapsed="false">
      <c r="A1565" s="7" t="s">
        <v>4045</v>
      </c>
      <c r="B1565" s="7" t="s">
        <v>4046</v>
      </c>
      <c r="C1565" s="7" t="s">
        <v>1101</v>
      </c>
      <c r="D1565" s="7" t="s">
        <v>2499</v>
      </c>
      <c r="E1565" s="7" t="s">
        <v>126</v>
      </c>
      <c r="F1565" s="7" t="s">
        <v>101</v>
      </c>
      <c r="G1565" s="7" t="s">
        <v>105</v>
      </c>
      <c r="H1565" s="7" t="n">
        <v>1</v>
      </c>
      <c r="I1565" s="7" t="n">
        <v>210</v>
      </c>
      <c r="J1565" s="7" t="n">
        <v>0</v>
      </c>
      <c r="K1565" s="7" t="s">
        <v>88</v>
      </c>
      <c r="L1565" s="7" t="s">
        <v>194</v>
      </c>
      <c r="M1565" s="7" t="n">
        <v>55</v>
      </c>
      <c r="N1565" s="7" t="n">
        <v>4</v>
      </c>
      <c r="O1565" s="7" t="str">
        <f aca="false">A1565&amp;"|"&amp;B1565&amp;"|"&amp;C1565&amp;"|"&amp;D1565&amp;"|"&amp;E1565&amp;"|"&amp;F1565&amp;"|"&amp;G1565&amp;"|"&amp;H1565&amp;"|"&amp;I1565&amp;"|"&amp;J1565&amp;"|"&amp;K1565&amp;"|"&amp;L1565&amp;"|"&amp;M1565&amp;"|"&amp;N1565</f>
        <v>ORD12596|17/11/2025|19:59|C1495|Dragon Express|Mumbai|Chinese|1|210|0|UPI|Delivered|55|4</v>
      </c>
      <c r="P1565" s="7" t="str">
        <f aca="false">IF(COUNTIF($O$2:O1565,O1565)&gt;1,"DUP","OK")</f>
        <v>OK</v>
      </c>
      <c r="Q1565" s="7" t="n">
        <f aca="false">COUNTBLANK(A1565:N1565)</f>
        <v>0</v>
      </c>
      <c r="R1565" s="7" t="n">
        <f aca="false">IF(A1565="",0,COUNTIFS($A$2:$A$3058,A1565,$P$2:$P$3058,"OK"))</f>
        <v>1</v>
      </c>
      <c r="S1565" s="7" t="str">
        <f aca="false">IF(OR(A1565="",P1565="DUP",R1565&lt;2),"",IF(Q1565=_xlfn.MINIFS($Q$2:$Q$3058,$A$2:$A$3058,A1565,$P$2:$P$3058,"OK"),"KEEP","DROP"))</f>
        <v/>
      </c>
      <c r="T1565" s="9" t="n">
        <f aca="false">IF(A1565="",1,0)</f>
        <v>0</v>
      </c>
      <c r="U1565" s="9" t="n">
        <f aca="false">IF(D1565="",1,0)</f>
        <v>0</v>
      </c>
      <c r="V1565" s="9" t="n">
        <f aca="false">IF(E1565="",1,0)</f>
        <v>0</v>
      </c>
      <c r="W1565" s="9" t="n">
        <f aca="false">IF(OR(H1565&lt;1,H1565&gt;10),1,0)</f>
        <v>0</v>
      </c>
      <c r="X1565" s="9" t="n">
        <f aca="false">IF(OR(I1565&lt;=0,I1565&gt;1500),1,0)</f>
        <v>0</v>
      </c>
      <c r="Y1565" s="9" t="n">
        <f aca="false">IF(J1565&gt;H1565*I1565,1,0)</f>
        <v>0</v>
      </c>
      <c r="Z1565" s="9" t="n">
        <f aca="false">IF(AND(N1565&lt;&gt;"",OR(N1565&lt;1,N1565&gt;5)),1,0)</f>
        <v>0</v>
      </c>
      <c r="AA1565" s="9" t="n">
        <f aca="false">IF(AND(M1565&lt;&gt;"",OR(M1565&lt;5,M1565&gt;180)),1,0)</f>
        <v>0</v>
      </c>
      <c r="AB1565" s="7" t="str">
        <f aca="false">IF(P1565="DUP","Exact duplicate row",IF(T1565=1,"Missing Order ID",IF(S1565="DROP","Duplicate Order ID (less complete row)",IF(U1565=1,"Missing Customer ID",IF(V1565=1,"Missing Restaurant name",IF(W1565=1,"Invalid/outlier quantity",IF(X1565=1,"Invalid/outlier unit price",IF(Y1565=1,"Discount greater than order value",""))))))))</f>
        <v/>
      </c>
      <c r="AC1565" s="7" t="str">
        <f aca="false">IF(AB1565="","KEEP","DROP")</f>
        <v>KEEP</v>
      </c>
      <c r="AD1565" s="7" t="str">
        <f aca="false">IF(TRIM(F1565)="",IFERROR(INDEX(Map_Tables!$I$4:$I$37,MATCH(TRIM(E1565),Map_Tables!$G$4:$G$37,0)),""),IFERROR(INDEX(Map_Tables!$B$4:$B$18,MATCH(TRIM(F1565),Map_Tables!$A$4:$A$18,0)),"CHECK"))</f>
        <v>Mumbai</v>
      </c>
      <c r="AE1565" s="7" t="str">
        <f aca="false">IF(TRIM(E1565)="","",IFERROR(INDEX(Map_Tables!$H$4:$H$37,MATCH(TRIM(E1565),Map_Tables!$G$4:$G$37,0)),"CHECK"))</f>
        <v>Dragon Express</v>
      </c>
      <c r="AF1565" s="7" t="str">
        <f aca="false">IF(TRIM(K1565)="","Unknown",IFERROR(INDEX(Map_Tables!$E$4:$E$15,MATCH(TRIM(K1565),Map_Tables!$D$4:$D$15,0)),"CHECK"))</f>
        <v>UPI</v>
      </c>
      <c r="AG1565" s="7" t="str">
        <f aca="false">IF(LEFT(LOWER(TRIM(L1565)),6)="cancel","Cancelled","Delivered")</f>
        <v>Delivered</v>
      </c>
      <c r="AH1565" s="10" t="n">
        <f aca="false">IF(ISNUMBER(SEARCH("/",B1565)),DATE(VALUE(RIGHT(B1565,4)),VALUE(MID(B1565,4,2)),VALUE(LEFT(B1565,2))),IF(MID(B1565,5,1)="-",DATE(VALUE(LEFT(B1565,4)),VALUE(MID(B1565,6,2)),VALUE(RIGHT(B1565,2))),DATE(VALUE(RIGHT(B1565,4)),MATCH(MID(B1565,4,3),{"Jan","Feb","Mar","Apr","May","Jun","Jul","Aug","Sep","Oct","Nov","Dec"},0),VALUE(LEFT(B1565,2)))))</f>
        <v>45978</v>
      </c>
    </row>
    <row r="1566" customFormat="false" ht="15" hidden="false" customHeight="false" outlineLevel="0" collapsed="false">
      <c r="A1566" s="7" t="s">
        <v>4047</v>
      </c>
      <c r="B1566" s="7" t="s">
        <v>1175</v>
      </c>
      <c r="C1566" s="7" t="s">
        <v>310</v>
      </c>
      <c r="D1566" s="7" t="s">
        <v>1524</v>
      </c>
      <c r="E1566" s="7" t="s">
        <v>126</v>
      </c>
      <c r="F1566" s="7" t="s">
        <v>1557</v>
      </c>
      <c r="G1566" s="7" t="s">
        <v>105</v>
      </c>
      <c r="H1566" s="7" t="n">
        <v>2</v>
      </c>
      <c r="I1566" s="7" t="n">
        <v>250</v>
      </c>
      <c r="J1566" s="7" t="n">
        <v>0</v>
      </c>
      <c r="K1566" s="7" t="s">
        <v>103</v>
      </c>
      <c r="L1566" s="7" t="s">
        <v>194</v>
      </c>
      <c r="M1566" s="7" t="n">
        <v>44</v>
      </c>
      <c r="N1566" s="7" t="n">
        <v>4</v>
      </c>
      <c r="O1566" s="7" t="str">
        <f aca="false">A1566&amp;"|"&amp;B1566&amp;"|"&amp;C1566&amp;"|"&amp;D1566&amp;"|"&amp;E1566&amp;"|"&amp;F1566&amp;"|"&amp;G1566&amp;"|"&amp;H1566&amp;"|"&amp;I1566&amp;"|"&amp;J1566&amp;"|"&amp;K1566&amp;"|"&amp;L1566&amp;"|"&amp;M1566&amp;"|"&amp;N1566</f>
        <v>ORD11297|2025-06-15|19:09|C0770|Dragon Express|Mumbai |Chinese|2|250|0|Debit Card|Delivered|44|4</v>
      </c>
      <c r="P1566" s="7" t="str">
        <f aca="false">IF(COUNTIF($O$2:O1566,O1566)&gt;1,"DUP","OK")</f>
        <v>OK</v>
      </c>
      <c r="Q1566" s="7" t="n">
        <f aca="false">COUNTBLANK(A1566:N1566)</f>
        <v>0</v>
      </c>
      <c r="R1566" s="7" t="n">
        <f aca="false">IF(A1566="",0,COUNTIFS($A$2:$A$3058,A1566,$P$2:$P$3058,"OK"))</f>
        <v>1</v>
      </c>
      <c r="S1566" s="7" t="str">
        <f aca="false">IF(OR(A1566="",P1566="DUP",R1566&lt;2),"",IF(Q1566=_xlfn.MINIFS($Q$2:$Q$3058,$A$2:$A$3058,A1566,$P$2:$P$3058,"OK"),"KEEP","DROP"))</f>
        <v/>
      </c>
      <c r="T1566" s="9" t="n">
        <f aca="false">IF(A1566="",1,0)</f>
        <v>0</v>
      </c>
      <c r="U1566" s="9" t="n">
        <f aca="false">IF(D1566="",1,0)</f>
        <v>0</v>
      </c>
      <c r="V1566" s="9" t="n">
        <f aca="false">IF(E1566="",1,0)</f>
        <v>0</v>
      </c>
      <c r="W1566" s="9" t="n">
        <f aca="false">IF(OR(H1566&lt;1,H1566&gt;10),1,0)</f>
        <v>0</v>
      </c>
      <c r="X1566" s="9" t="n">
        <f aca="false">IF(OR(I1566&lt;=0,I1566&gt;1500),1,0)</f>
        <v>0</v>
      </c>
      <c r="Y1566" s="9" t="n">
        <f aca="false">IF(J1566&gt;H1566*I1566,1,0)</f>
        <v>0</v>
      </c>
      <c r="Z1566" s="9" t="n">
        <f aca="false">IF(AND(N1566&lt;&gt;"",OR(N1566&lt;1,N1566&gt;5)),1,0)</f>
        <v>0</v>
      </c>
      <c r="AA1566" s="9" t="n">
        <f aca="false">IF(AND(M1566&lt;&gt;"",OR(M1566&lt;5,M1566&gt;180)),1,0)</f>
        <v>0</v>
      </c>
      <c r="AB1566" s="7" t="str">
        <f aca="false">IF(P1566="DUP","Exact duplicate row",IF(T1566=1,"Missing Order ID",IF(S1566="DROP","Duplicate Order ID (less complete row)",IF(U1566=1,"Missing Customer ID",IF(V1566=1,"Missing Restaurant name",IF(W1566=1,"Invalid/outlier quantity",IF(X1566=1,"Invalid/outlier unit price",IF(Y1566=1,"Discount greater than order value",""))))))))</f>
        <v/>
      </c>
      <c r="AC1566" s="7" t="str">
        <f aca="false">IF(AB1566="","KEEP","DROP")</f>
        <v>KEEP</v>
      </c>
      <c r="AD1566" s="7" t="str">
        <f aca="false">IF(TRIM(F1566)="",IFERROR(INDEX(Map_Tables!$I$4:$I$37,MATCH(TRIM(E1566),Map_Tables!$G$4:$G$37,0)),""),IFERROR(INDEX(Map_Tables!$B$4:$B$18,MATCH(TRIM(F1566),Map_Tables!$A$4:$A$18,0)),"CHECK"))</f>
        <v>Mumbai</v>
      </c>
      <c r="AE1566" s="7" t="str">
        <f aca="false">IF(TRIM(E1566)="","",IFERROR(INDEX(Map_Tables!$H$4:$H$37,MATCH(TRIM(E1566),Map_Tables!$G$4:$G$37,0)),"CHECK"))</f>
        <v>Dragon Express</v>
      </c>
      <c r="AF1566" s="7" t="str">
        <f aca="false">IF(TRIM(K1566)="","Unknown",IFERROR(INDEX(Map_Tables!$E$4:$E$15,MATCH(TRIM(K1566),Map_Tables!$D$4:$D$15,0)),"CHECK"))</f>
        <v>Debit Card</v>
      </c>
      <c r="AG1566" s="7" t="str">
        <f aca="false">IF(LEFT(LOWER(TRIM(L1566)),6)="cancel","Cancelled","Delivered")</f>
        <v>Delivered</v>
      </c>
      <c r="AH1566" s="10" t="n">
        <f aca="false">IF(ISNUMBER(SEARCH("/",B1566)),DATE(VALUE(RIGHT(B1566,4)),VALUE(MID(B1566,4,2)),VALUE(LEFT(B1566,2))),IF(MID(B1566,5,1)="-",DATE(VALUE(LEFT(B1566,4)),VALUE(MID(B1566,6,2)),VALUE(RIGHT(B1566,2))),DATE(VALUE(RIGHT(B1566,4)),MATCH(MID(B1566,4,3),{"Jan","Feb","Mar","Apr","May","Jun","Jul","Aug","Sep","Oct","Nov","Dec"},0),VALUE(LEFT(B1566,2)))))</f>
        <v>45823</v>
      </c>
    </row>
    <row r="1567" customFormat="false" ht="15" hidden="false" customHeight="false" outlineLevel="0" collapsed="false">
      <c r="A1567" s="7" t="s">
        <v>4048</v>
      </c>
      <c r="B1567" s="7" t="s">
        <v>2150</v>
      </c>
      <c r="C1567" s="7" t="s">
        <v>1211</v>
      </c>
      <c r="D1567" s="7" t="s">
        <v>4049</v>
      </c>
      <c r="E1567" s="7" t="s">
        <v>138</v>
      </c>
      <c r="F1567" s="7" t="s">
        <v>110</v>
      </c>
      <c r="G1567" s="7" t="s">
        <v>139</v>
      </c>
      <c r="H1567" s="7" t="n">
        <v>2</v>
      </c>
      <c r="I1567" s="7" t="n">
        <v>155</v>
      </c>
      <c r="J1567" s="7" t="n">
        <v>40</v>
      </c>
      <c r="K1567" s="7" t="s">
        <v>112</v>
      </c>
      <c r="L1567" s="7" t="s">
        <v>238</v>
      </c>
      <c r="M1567" s="7"/>
      <c r="N1567" s="7"/>
      <c r="O1567" s="7" t="str">
        <f aca="false">A1567&amp;"|"&amp;B1567&amp;"|"&amp;C1567&amp;"|"&amp;D1567&amp;"|"&amp;E1567&amp;"|"&amp;F1567&amp;"|"&amp;G1567&amp;"|"&amp;H1567&amp;"|"&amp;I1567&amp;"|"&amp;J1567&amp;"|"&amp;K1567&amp;"|"&amp;L1567&amp;"|"&amp;M1567&amp;"|"&amp;N1567</f>
        <v>ORD11770|2025-08-19|20:42|C1427|Burger Barn|Delhi|Burgers|2|155|40|Cash on Delivery|Cancelled||</v>
      </c>
      <c r="P1567" s="7" t="str">
        <f aca="false">IF(COUNTIF($O$2:O1567,O1567)&gt;1,"DUP","OK")</f>
        <v>OK</v>
      </c>
      <c r="Q1567" s="7" t="n">
        <f aca="false">COUNTBLANK(A1567:N1567)</f>
        <v>2</v>
      </c>
      <c r="R1567" s="7" t="n">
        <f aca="false">IF(A1567="",0,COUNTIFS($A$2:$A$3058,A1567,$P$2:$P$3058,"OK"))</f>
        <v>1</v>
      </c>
      <c r="S1567" s="7" t="str">
        <f aca="false">IF(OR(A1567="",P1567="DUP",R1567&lt;2),"",IF(Q1567=_xlfn.MINIFS($Q$2:$Q$3058,$A$2:$A$3058,A1567,$P$2:$P$3058,"OK"),"KEEP","DROP"))</f>
        <v/>
      </c>
      <c r="T1567" s="9" t="n">
        <f aca="false">IF(A1567="",1,0)</f>
        <v>0</v>
      </c>
      <c r="U1567" s="9" t="n">
        <f aca="false">IF(D1567="",1,0)</f>
        <v>0</v>
      </c>
      <c r="V1567" s="9" t="n">
        <f aca="false">IF(E1567="",1,0)</f>
        <v>0</v>
      </c>
      <c r="W1567" s="9" t="n">
        <f aca="false">IF(OR(H1567&lt;1,H1567&gt;10),1,0)</f>
        <v>0</v>
      </c>
      <c r="X1567" s="9" t="n">
        <f aca="false">IF(OR(I1567&lt;=0,I1567&gt;1500),1,0)</f>
        <v>0</v>
      </c>
      <c r="Y1567" s="9" t="n">
        <f aca="false">IF(J1567&gt;H1567*I1567,1,0)</f>
        <v>0</v>
      </c>
      <c r="Z1567" s="9" t="n">
        <f aca="false">IF(AND(N1567&lt;&gt;"",OR(N1567&lt;1,N1567&gt;5)),1,0)</f>
        <v>0</v>
      </c>
      <c r="AA1567" s="9" t="n">
        <f aca="false">IF(AND(M1567&lt;&gt;"",OR(M1567&lt;5,M1567&gt;180)),1,0)</f>
        <v>0</v>
      </c>
      <c r="AB1567" s="7" t="str">
        <f aca="false">IF(P1567="DUP","Exact duplicate row",IF(T1567=1,"Missing Order ID",IF(S1567="DROP","Duplicate Order ID (less complete row)",IF(U1567=1,"Missing Customer ID",IF(V1567=1,"Missing Restaurant name",IF(W1567=1,"Invalid/outlier quantity",IF(X1567=1,"Invalid/outlier unit price",IF(Y1567=1,"Discount greater than order value",""))))))))</f>
        <v/>
      </c>
      <c r="AC1567" s="7" t="str">
        <f aca="false">IF(AB1567="","KEEP","DROP")</f>
        <v>KEEP</v>
      </c>
      <c r="AD1567" s="7" t="str">
        <f aca="false">IF(TRIM(F1567)="",IFERROR(INDEX(Map_Tables!$I$4:$I$37,MATCH(TRIM(E1567),Map_Tables!$G$4:$G$37,0)),""),IFERROR(INDEX(Map_Tables!$B$4:$B$18,MATCH(TRIM(F1567),Map_Tables!$A$4:$A$18,0)),"CHECK"))</f>
        <v>Delhi</v>
      </c>
      <c r="AE1567" s="7" t="str">
        <f aca="false">IF(TRIM(E1567)="","",IFERROR(INDEX(Map_Tables!$H$4:$H$37,MATCH(TRIM(E1567),Map_Tables!$G$4:$G$37,0)),"CHECK"))</f>
        <v>Burger Barn</v>
      </c>
      <c r="AF1567" s="7" t="str">
        <f aca="false">IF(TRIM(K1567)="","Unknown",IFERROR(INDEX(Map_Tables!$E$4:$E$15,MATCH(TRIM(K1567),Map_Tables!$D$4:$D$15,0)),"CHECK"))</f>
        <v>Cash on Delivery</v>
      </c>
      <c r="AG1567" s="7" t="str">
        <f aca="false">IF(LEFT(LOWER(TRIM(L1567)),6)="cancel","Cancelled","Delivered")</f>
        <v>Cancelled</v>
      </c>
      <c r="AH1567" s="10" t="n">
        <f aca="false">IF(ISNUMBER(SEARCH("/",B1567)),DATE(VALUE(RIGHT(B1567,4)),VALUE(MID(B1567,4,2)),VALUE(LEFT(B1567,2))),IF(MID(B1567,5,1)="-",DATE(VALUE(LEFT(B1567,4)),VALUE(MID(B1567,6,2)),VALUE(RIGHT(B1567,2))),DATE(VALUE(RIGHT(B1567,4)),MATCH(MID(B1567,4,3),{"Jan","Feb","Mar","Apr","May","Jun","Jul","Aug","Sep","Oct","Nov","Dec"},0),VALUE(LEFT(B1567,2)))))</f>
        <v>45888</v>
      </c>
    </row>
    <row r="1568" customFormat="false" ht="15" hidden="false" customHeight="false" outlineLevel="0" collapsed="false">
      <c r="A1568" s="7" t="s">
        <v>4050</v>
      </c>
      <c r="B1568" s="7" t="s">
        <v>715</v>
      </c>
      <c r="C1568" s="7" t="s">
        <v>1145</v>
      </c>
      <c r="D1568" s="7" t="s">
        <v>2077</v>
      </c>
      <c r="E1568" s="7" t="s">
        <v>104</v>
      </c>
      <c r="F1568" s="7" t="s">
        <v>86</v>
      </c>
      <c r="G1568" s="7" t="s">
        <v>105</v>
      </c>
      <c r="H1568" s="7" t="n">
        <v>1</v>
      </c>
      <c r="I1568" s="7" t="n">
        <v>185</v>
      </c>
      <c r="J1568" s="7" t="n">
        <v>0</v>
      </c>
      <c r="K1568" s="7" t="s">
        <v>112</v>
      </c>
      <c r="L1568" s="7" t="s">
        <v>194</v>
      </c>
      <c r="M1568" s="7" t="n">
        <v>37</v>
      </c>
      <c r="N1568" s="7" t="n">
        <v>4</v>
      </c>
      <c r="O1568" s="7" t="str">
        <f aca="false">A1568&amp;"|"&amp;B1568&amp;"|"&amp;C1568&amp;"|"&amp;D1568&amp;"|"&amp;E1568&amp;"|"&amp;F1568&amp;"|"&amp;G1568&amp;"|"&amp;H1568&amp;"|"&amp;I1568&amp;"|"&amp;J1568&amp;"|"&amp;K1568&amp;"|"&amp;L1568&amp;"|"&amp;M1568&amp;"|"&amp;N1568</f>
        <v>ORD11269|2025-06-11|18:47|C0006|Wok &amp; Roll|Bengaluru|Chinese|1|185|0|Cash on Delivery|Delivered|37|4</v>
      </c>
      <c r="P1568" s="7" t="str">
        <f aca="false">IF(COUNTIF($O$2:O1568,O1568)&gt;1,"DUP","OK")</f>
        <v>OK</v>
      </c>
      <c r="Q1568" s="7" t="n">
        <f aca="false">COUNTBLANK(A1568:N1568)</f>
        <v>0</v>
      </c>
      <c r="R1568" s="7" t="n">
        <f aca="false">IF(A1568="",0,COUNTIFS($A$2:$A$3058,A1568,$P$2:$P$3058,"OK"))</f>
        <v>1</v>
      </c>
      <c r="S1568" s="7" t="str">
        <f aca="false">IF(OR(A1568="",P1568="DUP",R1568&lt;2),"",IF(Q1568=_xlfn.MINIFS($Q$2:$Q$3058,$A$2:$A$3058,A1568,$P$2:$P$3058,"OK"),"KEEP","DROP"))</f>
        <v/>
      </c>
      <c r="T1568" s="9" t="n">
        <f aca="false">IF(A1568="",1,0)</f>
        <v>0</v>
      </c>
      <c r="U1568" s="9" t="n">
        <f aca="false">IF(D1568="",1,0)</f>
        <v>0</v>
      </c>
      <c r="V1568" s="9" t="n">
        <f aca="false">IF(E1568="",1,0)</f>
        <v>0</v>
      </c>
      <c r="W1568" s="9" t="n">
        <f aca="false">IF(OR(H1568&lt;1,H1568&gt;10),1,0)</f>
        <v>0</v>
      </c>
      <c r="X1568" s="9" t="n">
        <f aca="false">IF(OR(I1568&lt;=0,I1568&gt;1500),1,0)</f>
        <v>0</v>
      </c>
      <c r="Y1568" s="9" t="n">
        <f aca="false">IF(J1568&gt;H1568*I1568,1,0)</f>
        <v>0</v>
      </c>
      <c r="Z1568" s="9" t="n">
        <f aca="false">IF(AND(N1568&lt;&gt;"",OR(N1568&lt;1,N1568&gt;5)),1,0)</f>
        <v>0</v>
      </c>
      <c r="AA1568" s="9" t="n">
        <f aca="false">IF(AND(M1568&lt;&gt;"",OR(M1568&lt;5,M1568&gt;180)),1,0)</f>
        <v>0</v>
      </c>
      <c r="AB1568" s="7" t="str">
        <f aca="false">IF(P1568="DUP","Exact duplicate row",IF(T1568=1,"Missing Order ID",IF(S1568="DROP","Duplicate Order ID (less complete row)",IF(U1568=1,"Missing Customer ID",IF(V1568=1,"Missing Restaurant name",IF(W1568=1,"Invalid/outlier quantity",IF(X1568=1,"Invalid/outlier unit price",IF(Y1568=1,"Discount greater than order value",""))))))))</f>
        <v/>
      </c>
      <c r="AC1568" s="7" t="str">
        <f aca="false">IF(AB1568="","KEEP","DROP")</f>
        <v>KEEP</v>
      </c>
      <c r="AD1568" s="7" t="str">
        <f aca="false">IF(TRIM(F1568)="",IFERROR(INDEX(Map_Tables!$I$4:$I$37,MATCH(TRIM(E1568),Map_Tables!$G$4:$G$37,0)),""),IFERROR(INDEX(Map_Tables!$B$4:$B$18,MATCH(TRIM(F1568),Map_Tables!$A$4:$A$18,0)),"CHECK"))</f>
        <v>Bengaluru</v>
      </c>
      <c r="AE1568" s="7" t="str">
        <f aca="false">IF(TRIM(E1568)="","",IFERROR(INDEX(Map_Tables!$H$4:$H$37,MATCH(TRIM(E1568),Map_Tables!$G$4:$G$37,0)),"CHECK"))</f>
        <v>Wok &amp; Roll</v>
      </c>
      <c r="AF1568" s="7" t="str">
        <f aca="false">IF(TRIM(K1568)="","Unknown",IFERROR(INDEX(Map_Tables!$E$4:$E$15,MATCH(TRIM(K1568),Map_Tables!$D$4:$D$15,0)),"CHECK"))</f>
        <v>Cash on Delivery</v>
      </c>
      <c r="AG1568" s="7" t="str">
        <f aca="false">IF(LEFT(LOWER(TRIM(L1568)),6)="cancel","Cancelled","Delivered")</f>
        <v>Delivered</v>
      </c>
      <c r="AH1568" s="10" t="n">
        <f aca="false">IF(ISNUMBER(SEARCH("/",B1568)),DATE(VALUE(RIGHT(B1568,4)),VALUE(MID(B1568,4,2)),VALUE(LEFT(B1568,2))),IF(MID(B1568,5,1)="-",DATE(VALUE(LEFT(B1568,4)),VALUE(MID(B1568,6,2)),VALUE(RIGHT(B1568,2))),DATE(VALUE(RIGHT(B1568,4)),MATCH(MID(B1568,4,3),{"Jan","Feb","Mar","Apr","May","Jun","Jul","Aug","Sep","Oct","Nov","Dec"},0),VALUE(LEFT(B1568,2)))))</f>
        <v>45819</v>
      </c>
    </row>
    <row r="1569" customFormat="false" ht="15" hidden="false" customHeight="false" outlineLevel="0" collapsed="false">
      <c r="A1569" s="7" t="s">
        <v>4051</v>
      </c>
      <c r="B1569" s="7" t="s">
        <v>1096</v>
      </c>
      <c r="C1569" s="7" t="s">
        <v>4052</v>
      </c>
      <c r="D1569" s="7" t="s">
        <v>4053</v>
      </c>
      <c r="E1569" s="7" t="s">
        <v>144</v>
      </c>
      <c r="F1569" s="7" t="s">
        <v>312</v>
      </c>
      <c r="G1569" s="7" t="s">
        <v>99</v>
      </c>
      <c r="H1569" s="7" t="n">
        <v>1</v>
      </c>
      <c r="I1569" s="7" t="n">
        <v>295</v>
      </c>
      <c r="J1569" s="7" t="n">
        <v>0</v>
      </c>
      <c r="K1569" s="7" t="s">
        <v>103</v>
      </c>
      <c r="L1569" s="7" t="s">
        <v>194</v>
      </c>
      <c r="M1569" s="7" t="n">
        <v>38</v>
      </c>
      <c r="N1569" s="7" t="n">
        <v>5</v>
      </c>
      <c r="O1569" s="7" t="str">
        <f aca="false">A1569&amp;"|"&amp;B1569&amp;"|"&amp;C1569&amp;"|"&amp;D1569&amp;"|"&amp;E1569&amp;"|"&amp;F1569&amp;"|"&amp;G1569&amp;"|"&amp;H1569&amp;"|"&amp;I1569&amp;"|"&amp;J1569&amp;"|"&amp;K1569&amp;"|"&amp;L1569&amp;"|"&amp;M1569&amp;"|"&amp;N1569</f>
        <v>ORD12372|2025-10-26|14:18|C0921|Hyderabad Dum Biryani|Hyd|Biryani|1|295|0|Debit Card|Delivered|38|5</v>
      </c>
      <c r="P1569" s="7" t="str">
        <f aca="false">IF(COUNTIF($O$2:O1569,O1569)&gt;1,"DUP","OK")</f>
        <v>OK</v>
      </c>
      <c r="Q1569" s="7" t="n">
        <f aca="false">COUNTBLANK(A1569:N1569)</f>
        <v>0</v>
      </c>
      <c r="R1569" s="7" t="n">
        <f aca="false">IF(A1569="",0,COUNTIFS($A$2:$A$3058,A1569,$P$2:$P$3058,"OK"))</f>
        <v>1</v>
      </c>
      <c r="S1569" s="7" t="str">
        <f aca="false">IF(OR(A1569="",P1569="DUP",R1569&lt;2),"",IF(Q1569=_xlfn.MINIFS($Q$2:$Q$3058,$A$2:$A$3058,A1569,$P$2:$P$3058,"OK"),"KEEP","DROP"))</f>
        <v/>
      </c>
      <c r="T1569" s="9" t="n">
        <f aca="false">IF(A1569="",1,0)</f>
        <v>0</v>
      </c>
      <c r="U1569" s="9" t="n">
        <f aca="false">IF(D1569="",1,0)</f>
        <v>0</v>
      </c>
      <c r="V1569" s="9" t="n">
        <f aca="false">IF(E1569="",1,0)</f>
        <v>0</v>
      </c>
      <c r="W1569" s="9" t="n">
        <f aca="false">IF(OR(H1569&lt;1,H1569&gt;10),1,0)</f>
        <v>0</v>
      </c>
      <c r="X1569" s="9" t="n">
        <f aca="false">IF(OR(I1569&lt;=0,I1569&gt;1500),1,0)</f>
        <v>0</v>
      </c>
      <c r="Y1569" s="9" t="n">
        <f aca="false">IF(J1569&gt;H1569*I1569,1,0)</f>
        <v>0</v>
      </c>
      <c r="Z1569" s="9" t="n">
        <f aca="false">IF(AND(N1569&lt;&gt;"",OR(N1569&lt;1,N1569&gt;5)),1,0)</f>
        <v>0</v>
      </c>
      <c r="AA1569" s="9" t="n">
        <f aca="false">IF(AND(M1569&lt;&gt;"",OR(M1569&lt;5,M1569&gt;180)),1,0)</f>
        <v>0</v>
      </c>
      <c r="AB1569" s="7" t="str">
        <f aca="false">IF(P1569="DUP","Exact duplicate row",IF(T1569=1,"Missing Order ID",IF(S1569="DROP","Duplicate Order ID (less complete row)",IF(U1569=1,"Missing Customer ID",IF(V1569=1,"Missing Restaurant name",IF(W1569=1,"Invalid/outlier quantity",IF(X1569=1,"Invalid/outlier unit price",IF(Y1569=1,"Discount greater than order value",""))))))))</f>
        <v/>
      </c>
      <c r="AC1569" s="7" t="str">
        <f aca="false">IF(AB1569="","KEEP","DROP")</f>
        <v>KEEP</v>
      </c>
      <c r="AD1569" s="7" t="str">
        <f aca="false">IF(TRIM(F1569)="",IFERROR(INDEX(Map_Tables!$I$4:$I$37,MATCH(TRIM(E1569),Map_Tables!$G$4:$G$37,0)),""),IFERROR(INDEX(Map_Tables!$B$4:$B$18,MATCH(TRIM(F1569),Map_Tables!$A$4:$A$18,0)),"CHECK"))</f>
        <v>Hyderabad</v>
      </c>
      <c r="AE1569" s="7" t="str">
        <f aca="false">IF(TRIM(E1569)="","",IFERROR(INDEX(Map_Tables!$H$4:$H$37,MATCH(TRIM(E1569),Map_Tables!$G$4:$G$37,0)),"CHECK"))</f>
        <v>Hyderabad Dum Biryani</v>
      </c>
      <c r="AF1569" s="7" t="str">
        <f aca="false">IF(TRIM(K1569)="","Unknown",IFERROR(INDEX(Map_Tables!$E$4:$E$15,MATCH(TRIM(K1569),Map_Tables!$D$4:$D$15,0)),"CHECK"))</f>
        <v>Debit Card</v>
      </c>
      <c r="AG1569" s="7" t="str">
        <f aca="false">IF(LEFT(LOWER(TRIM(L1569)),6)="cancel","Cancelled","Delivered")</f>
        <v>Delivered</v>
      </c>
      <c r="AH1569" s="10" t="n">
        <f aca="false">IF(ISNUMBER(SEARCH("/",B1569)),DATE(VALUE(RIGHT(B1569,4)),VALUE(MID(B1569,4,2)),VALUE(LEFT(B1569,2))),IF(MID(B1569,5,1)="-",DATE(VALUE(LEFT(B1569,4)),VALUE(MID(B1569,6,2)),VALUE(RIGHT(B1569,2))),DATE(VALUE(RIGHT(B1569,4)),MATCH(MID(B1569,4,3),{"Jan","Feb","Mar","Apr","May","Jun","Jul","Aug","Sep","Oct","Nov","Dec"},0),VALUE(LEFT(B1569,2)))))</f>
        <v>45956</v>
      </c>
    </row>
    <row r="1570" customFormat="false" ht="15" hidden="false" customHeight="false" outlineLevel="0" collapsed="false">
      <c r="A1570" s="7" t="s">
        <v>4054</v>
      </c>
      <c r="B1570" s="7" t="s">
        <v>2795</v>
      </c>
      <c r="C1570" s="7" t="s">
        <v>4055</v>
      </c>
      <c r="D1570" s="7" t="s">
        <v>3237</v>
      </c>
      <c r="E1570" s="7" t="s">
        <v>113</v>
      </c>
      <c r="F1570" s="7" t="s">
        <v>498</v>
      </c>
      <c r="G1570" s="7" t="s">
        <v>90</v>
      </c>
      <c r="H1570" s="7" t="n">
        <v>2</v>
      </c>
      <c r="I1570" s="7" t="n">
        <v>190</v>
      </c>
      <c r="J1570" s="7" t="n">
        <v>125</v>
      </c>
      <c r="K1570" s="7" t="s">
        <v>121</v>
      </c>
      <c r="L1570" s="7" t="s">
        <v>194</v>
      </c>
      <c r="M1570" s="7" t="n">
        <v>50</v>
      </c>
      <c r="N1570" s="7" t="n">
        <v>4</v>
      </c>
      <c r="O1570" s="7" t="str">
        <f aca="false">A1570&amp;"|"&amp;B1570&amp;"|"&amp;C1570&amp;"|"&amp;D1570&amp;"|"&amp;E1570&amp;"|"&amp;F1570&amp;"|"&amp;G1570&amp;"|"&amp;H1570&amp;"|"&amp;I1570&amp;"|"&amp;J1570&amp;"|"&amp;K1570&amp;"|"&amp;L1570&amp;"|"&amp;M1570&amp;"|"&amp;N1570</f>
        <v>ORD12052|2025-09-22|17:35|C1067|Curry Leaf Kitchen|Bombay|North Indian|2|190|125|Wallet|Delivered|50|4</v>
      </c>
      <c r="P1570" s="7" t="str">
        <f aca="false">IF(COUNTIF($O$2:O1570,O1570)&gt;1,"DUP","OK")</f>
        <v>OK</v>
      </c>
      <c r="Q1570" s="7" t="n">
        <f aca="false">COUNTBLANK(A1570:N1570)</f>
        <v>0</v>
      </c>
      <c r="R1570" s="7" t="n">
        <f aca="false">IF(A1570="",0,COUNTIFS($A$2:$A$3058,A1570,$P$2:$P$3058,"OK"))</f>
        <v>1</v>
      </c>
      <c r="S1570" s="7" t="str">
        <f aca="false">IF(OR(A1570="",P1570="DUP",R1570&lt;2),"",IF(Q1570=_xlfn.MINIFS($Q$2:$Q$3058,$A$2:$A$3058,A1570,$P$2:$P$3058,"OK"),"KEEP","DROP"))</f>
        <v/>
      </c>
      <c r="T1570" s="9" t="n">
        <f aca="false">IF(A1570="",1,0)</f>
        <v>0</v>
      </c>
      <c r="U1570" s="9" t="n">
        <f aca="false">IF(D1570="",1,0)</f>
        <v>0</v>
      </c>
      <c r="V1570" s="9" t="n">
        <f aca="false">IF(E1570="",1,0)</f>
        <v>0</v>
      </c>
      <c r="W1570" s="9" t="n">
        <f aca="false">IF(OR(H1570&lt;1,H1570&gt;10),1,0)</f>
        <v>0</v>
      </c>
      <c r="X1570" s="9" t="n">
        <f aca="false">IF(OR(I1570&lt;=0,I1570&gt;1500),1,0)</f>
        <v>0</v>
      </c>
      <c r="Y1570" s="9" t="n">
        <f aca="false">IF(J1570&gt;H1570*I1570,1,0)</f>
        <v>0</v>
      </c>
      <c r="Z1570" s="9" t="n">
        <f aca="false">IF(AND(N1570&lt;&gt;"",OR(N1570&lt;1,N1570&gt;5)),1,0)</f>
        <v>0</v>
      </c>
      <c r="AA1570" s="9" t="n">
        <f aca="false">IF(AND(M1570&lt;&gt;"",OR(M1570&lt;5,M1570&gt;180)),1,0)</f>
        <v>0</v>
      </c>
      <c r="AB1570" s="7" t="str">
        <f aca="false">IF(P1570="DUP","Exact duplicate row",IF(T1570=1,"Missing Order ID",IF(S1570="DROP","Duplicate Order ID (less complete row)",IF(U1570=1,"Missing Customer ID",IF(V1570=1,"Missing Restaurant name",IF(W1570=1,"Invalid/outlier quantity",IF(X1570=1,"Invalid/outlier unit price",IF(Y1570=1,"Discount greater than order value",""))))))))</f>
        <v/>
      </c>
      <c r="AC1570" s="7" t="str">
        <f aca="false">IF(AB1570="","KEEP","DROP")</f>
        <v>KEEP</v>
      </c>
      <c r="AD1570" s="7" t="str">
        <f aca="false">IF(TRIM(F1570)="",IFERROR(INDEX(Map_Tables!$I$4:$I$37,MATCH(TRIM(E1570),Map_Tables!$G$4:$G$37,0)),""),IFERROR(INDEX(Map_Tables!$B$4:$B$18,MATCH(TRIM(F1570),Map_Tables!$A$4:$A$18,0)),"CHECK"))</f>
        <v>Mumbai</v>
      </c>
      <c r="AE1570" s="7" t="str">
        <f aca="false">IF(TRIM(E1570)="","",IFERROR(INDEX(Map_Tables!$H$4:$H$37,MATCH(TRIM(E1570),Map_Tables!$G$4:$G$37,0)),"CHECK"))</f>
        <v>Curry Leaf Kitchen</v>
      </c>
      <c r="AF1570" s="7" t="str">
        <f aca="false">IF(TRIM(K1570)="","Unknown",IFERROR(INDEX(Map_Tables!$E$4:$E$15,MATCH(TRIM(K1570),Map_Tables!$D$4:$D$15,0)),"CHECK"))</f>
        <v>Wallet</v>
      </c>
      <c r="AG1570" s="7" t="str">
        <f aca="false">IF(LEFT(LOWER(TRIM(L1570)),6)="cancel","Cancelled","Delivered")</f>
        <v>Delivered</v>
      </c>
      <c r="AH1570" s="10" t="n">
        <f aca="false">IF(ISNUMBER(SEARCH("/",B1570)),DATE(VALUE(RIGHT(B1570,4)),VALUE(MID(B1570,4,2)),VALUE(LEFT(B1570,2))),IF(MID(B1570,5,1)="-",DATE(VALUE(LEFT(B1570,4)),VALUE(MID(B1570,6,2)),VALUE(RIGHT(B1570,2))),DATE(VALUE(RIGHT(B1570,4)),MATCH(MID(B1570,4,3),{"Jan","Feb","Mar","Apr","May","Jun","Jul","Aug","Sep","Oct","Nov","Dec"},0),VALUE(LEFT(B1570,2)))))</f>
        <v>45922</v>
      </c>
    </row>
    <row r="1571" customFormat="false" ht="15" hidden="false" customHeight="false" outlineLevel="0" collapsed="false">
      <c r="A1571" s="7" t="s">
        <v>4056</v>
      </c>
      <c r="B1571" s="7" t="s">
        <v>2234</v>
      </c>
      <c r="C1571" s="7" t="s">
        <v>1358</v>
      </c>
      <c r="D1571" s="7" t="s">
        <v>4057</v>
      </c>
      <c r="E1571" s="7" t="s">
        <v>2752</v>
      </c>
      <c r="F1571" s="7" t="s">
        <v>110</v>
      </c>
      <c r="G1571" s="7" t="s">
        <v>90</v>
      </c>
      <c r="H1571" s="7" t="n">
        <v>1</v>
      </c>
      <c r="I1571" s="7" t="n">
        <v>265</v>
      </c>
      <c r="J1571" s="7" t="n">
        <v>30</v>
      </c>
      <c r="K1571" s="7" t="s">
        <v>93</v>
      </c>
      <c r="L1571" s="7" t="s">
        <v>194</v>
      </c>
      <c r="M1571" s="7" t="n">
        <v>31</v>
      </c>
      <c r="N1571" s="7" t="n">
        <v>5</v>
      </c>
      <c r="O1571" s="7" t="str">
        <f aca="false">A1571&amp;"|"&amp;B1571&amp;"|"&amp;C1571&amp;"|"&amp;D1571&amp;"|"&amp;E1571&amp;"|"&amp;F1571&amp;"|"&amp;G1571&amp;"|"&amp;H1571&amp;"|"&amp;I1571&amp;"|"&amp;J1571&amp;"|"&amp;K1571&amp;"|"&amp;L1571&amp;"|"&amp;M1571&amp;"|"&amp;N1571</f>
        <v>ORD12833|2025-12-12|20:23|C1071|Tandoor Tales |Delhi|North Indian|1|265|30|Credit Card|Delivered|31|5</v>
      </c>
      <c r="P1571" s="7" t="str">
        <f aca="false">IF(COUNTIF($O$2:O1571,O1571)&gt;1,"DUP","OK")</f>
        <v>OK</v>
      </c>
      <c r="Q1571" s="7" t="n">
        <f aca="false">COUNTBLANK(A1571:N1571)</f>
        <v>0</v>
      </c>
      <c r="R1571" s="7" t="n">
        <f aca="false">IF(A1571="",0,COUNTIFS($A$2:$A$3058,A1571,$P$2:$P$3058,"OK"))</f>
        <v>1</v>
      </c>
      <c r="S1571" s="7" t="str">
        <f aca="false">IF(OR(A1571="",P1571="DUP",R1571&lt;2),"",IF(Q1571=_xlfn.MINIFS($Q$2:$Q$3058,$A$2:$A$3058,A1571,$P$2:$P$3058,"OK"),"KEEP","DROP"))</f>
        <v/>
      </c>
      <c r="T1571" s="9" t="n">
        <f aca="false">IF(A1571="",1,0)</f>
        <v>0</v>
      </c>
      <c r="U1571" s="9" t="n">
        <f aca="false">IF(D1571="",1,0)</f>
        <v>0</v>
      </c>
      <c r="V1571" s="9" t="n">
        <f aca="false">IF(E1571="",1,0)</f>
        <v>0</v>
      </c>
      <c r="W1571" s="9" t="n">
        <f aca="false">IF(OR(H1571&lt;1,H1571&gt;10),1,0)</f>
        <v>0</v>
      </c>
      <c r="X1571" s="9" t="n">
        <f aca="false">IF(OR(I1571&lt;=0,I1571&gt;1500),1,0)</f>
        <v>0</v>
      </c>
      <c r="Y1571" s="9" t="n">
        <f aca="false">IF(J1571&gt;H1571*I1571,1,0)</f>
        <v>0</v>
      </c>
      <c r="Z1571" s="9" t="n">
        <f aca="false">IF(AND(N1571&lt;&gt;"",OR(N1571&lt;1,N1571&gt;5)),1,0)</f>
        <v>0</v>
      </c>
      <c r="AA1571" s="9" t="n">
        <f aca="false">IF(AND(M1571&lt;&gt;"",OR(M1571&lt;5,M1571&gt;180)),1,0)</f>
        <v>0</v>
      </c>
      <c r="AB1571" s="7" t="str">
        <f aca="false">IF(P1571="DUP","Exact duplicate row",IF(T1571=1,"Missing Order ID",IF(S1571="DROP","Duplicate Order ID (less complete row)",IF(U1571=1,"Missing Customer ID",IF(V1571=1,"Missing Restaurant name",IF(W1571=1,"Invalid/outlier quantity",IF(X1571=1,"Invalid/outlier unit price",IF(Y1571=1,"Discount greater than order value",""))))))))</f>
        <v/>
      </c>
      <c r="AC1571" s="7" t="str">
        <f aca="false">IF(AB1571="","KEEP","DROP")</f>
        <v>KEEP</v>
      </c>
      <c r="AD1571" s="7" t="str">
        <f aca="false">IF(TRIM(F1571)="",IFERROR(INDEX(Map_Tables!$I$4:$I$37,MATCH(TRIM(E1571),Map_Tables!$G$4:$G$37,0)),""),IFERROR(INDEX(Map_Tables!$B$4:$B$18,MATCH(TRIM(F1571),Map_Tables!$A$4:$A$18,0)),"CHECK"))</f>
        <v>Delhi</v>
      </c>
      <c r="AE1571" s="7" t="str">
        <f aca="false">IF(TRIM(E1571)="","",IFERROR(INDEX(Map_Tables!$H$4:$H$37,MATCH(TRIM(E1571),Map_Tables!$G$4:$G$37,0)),"CHECK"))</f>
        <v>Tandoor Tales</v>
      </c>
      <c r="AF1571" s="7" t="str">
        <f aca="false">IF(TRIM(K1571)="","Unknown",IFERROR(INDEX(Map_Tables!$E$4:$E$15,MATCH(TRIM(K1571),Map_Tables!$D$4:$D$15,0)),"CHECK"))</f>
        <v>Credit Card</v>
      </c>
      <c r="AG1571" s="7" t="str">
        <f aca="false">IF(LEFT(LOWER(TRIM(L1571)),6)="cancel","Cancelled","Delivered")</f>
        <v>Delivered</v>
      </c>
      <c r="AH1571" s="10" t="n">
        <f aca="false">IF(ISNUMBER(SEARCH("/",B1571)),DATE(VALUE(RIGHT(B1571,4)),VALUE(MID(B1571,4,2)),VALUE(LEFT(B1571,2))),IF(MID(B1571,5,1)="-",DATE(VALUE(LEFT(B1571,4)),VALUE(MID(B1571,6,2)),VALUE(RIGHT(B1571,2))),DATE(VALUE(RIGHT(B1571,4)),MATCH(MID(B1571,4,3),{"Jan","Feb","Mar","Apr","May","Jun","Jul","Aug","Sep","Oct","Nov","Dec"},0),VALUE(LEFT(B1571,2)))))</f>
        <v>46003</v>
      </c>
    </row>
    <row r="1572" customFormat="false" ht="15" hidden="false" customHeight="false" outlineLevel="0" collapsed="false">
      <c r="A1572" s="7" t="s">
        <v>4058</v>
      </c>
      <c r="B1572" s="7" t="s">
        <v>1951</v>
      </c>
      <c r="C1572" s="7" t="s">
        <v>1523</v>
      </c>
      <c r="D1572" s="7" t="s">
        <v>922</v>
      </c>
      <c r="E1572" s="7" t="s">
        <v>161</v>
      </c>
      <c r="F1572" s="7" t="s">
        <v>1915</v>
      </c>
      <c r="G1572" s="7" t="s">
        <v>117</v>
      </c>
      <c r="H1572" s="7" t="n">
        <v>4</v>
      </c>
      <c r="I1572" s="7" t="n">
        <v>145</v>
      </c>
      <c r="J1572" s="7" t="n">
        <v>0</v>
      </c>
      <c r="K1572" s="7" t="s">
        <v>88</v>
      </c>
      <c r="L1572" s="7" t="s">
        <v>194</v>
      </c>
      <c r="M1572" s="7" t="n">
        <v>29</v>
      </c>
      <c r="N1572" s="7" t="n">
        <v>5</v>
      </c>
      <c r="O1572" s="7" t="str">
        <f aca="false">A1572&amp;"|"&amp;B1572&amp;"|"&amp;C1572&amp;"|"&amp;D1572&amp;"|"&amp;E1572&amp;"|"&amp;F1572&amp;"|"&amp;G1572&amp;"|"&amp;H1572&amp;"|"&amp;I1572&amp;"|"&amp;J1572&amp;"|"&amp;K1572&amp;"|"&amp;L1572&amp;"|"&amp;M1572&amp;"|"&amp;N1572</f>
        <v>ORD11022|2025-05-09|23:36|C0562|Bengal Bites|KOLKATA|Street Food|4|145|0|UPI|Delivered|29|5</v>
      </c>
      <c r="P1572" s="7" t="str">
        <f aca="false">IF(COUNTIF($O$2:O1572,O1572)&gt;1,"DUP","OK")</f>
        <v>OK</v>
      </c>
      <c r="Q1572" s="7" t="n">
        <f aca="false">COUNTBLANK(A1572:N1572)</f>
        <v>0</v>
      </c>
      <c r="R1572" s="7" t="n">
        <f aca="false">IF(A1572="",0,COUNTIFS($A$2:$A$3058,A1572,$P$2:$P$3058,"OK"))</f>
        <v>1</v>
      </c>
      <c r="S1572" s="7" t="str">
        <f aca="false">IF(OR(A1572="",P1572="DUP",R1572&lt;2),"",IF(Q1572=_xlfn.MINIFS($Q$2:$Q$3058,$A$2:$A$3058,A1572,$P$2:$P$3058,"OK"),"KEEP","DROP"))</f>
        <v/>
      </c>
      <c r="T1572" s="9" t="n">
        <f aca="false">IF(A1572="",1,0)</f>
        <v>0</v>
      </c>
      <c r="U1572" s="9" t="n">
        <f aca="false">IF(D1572="",1,0)</f>
        <v>0</v>
      </c>
      <c r="V1572" s="9" t="n">
        <f aca="false">IF(E1572="",1,0)</f>
        <v>0</v>
      </c>
      <c r="W1572" s="9" t="n">
        <f aca="false">IF(OR(H1572&lt;1,H1572&gt;10),1,0)</f>
        <v>0</v>
      </c>
      <c r="X1572" s="9" t="n">
        <f aca="false">IF(OR(I1572&lt;=0,I1572&gt;1500),1,0)</f>
        <v>0</v>
      </c>
      <c r="Y1572" s="9" t="n">
        <f aca="false">IF(J1572&gt;H1572*I1572,1,0)</f>
        <v>0</v>
      </c>
      <c r="Z1572" s="9" t="n">
        <f aca="false">IF(AND(N1572&lt;&gt;"",OR(N1572&lt;1,N1572&gt;5)),1,0)</f>
        <v>0</v>
      </c>
      <c r="AA1572" s="9" t="n">
        <f aca="false">IF(AND(M1572&lt;&gt;"",OR(M1572&lt;5,M1572&gt;180)),1,0)</f>
        <v>0</v>
      </c>
      <c r="AB1572" s="7" t="str">
        <f aca="false">IF(P1572="DUP","Exact duplicate row",IF(T1572=1,"Missing Order ID",IF(S1572="DROP","Duplicate Order ID (less complete row)",IF(U1572=1,"Missing Customer ID",IF(V1572=1,"Missing Restaurant name",IF(W1572=1,"Invalid/outlier quantity",IF(X1572=1,"Invalid/outlier unit price",IF(Y1572=1,"Discount greater than order value",""))))))))</f>
        <v/>
      </c>
      <c r="AC1572" s="7" t="str">
        <f aca="false">IF(AB1572="","KEEP","DROP")</f>
        <v>KEEP</v>
      </c>
      <c r="AD1572" s="7" t="str">
        <f aca="false">IF(TRIM(F1572)="",IFERROR(INDEX(Map_Tables!$I$4:$I$37,MATCH(TRIM(E1572),Map_Tables!$G$4:$G$37,0)),""),IFERROR(INDEX(Map_Tables!$B$4:$B$18,MATCH(TRIM(F1572),Map_Tables!$A$4:$A$18,0)),"CHECK"))</f>
        <v>Kolkata</v>
      </c>
      <c r="AE1572" s="7" t="str">
        <f aca="false">IF(TRIM(E1572)="","",IFERROR(INDEX(Map_Tables!$H$4:$H$37,MATCH(TRIM(E1572),Map_Tables!$G$4:$G$37,0)),"CHECK"))</f>
        <v>Bengal Bites</v>
      </c>
      <c r="AF1572" s="7" t="str">
        <f aca="false">IF(TRIM(K1572)="","Unknown",IFERROR(INDEX(Map_Tables!$E$4:$E$15,MATCH(TRIM(K1572),Map_Tables!$D$4:$D$15,0)),"CHECK"))</f>
        <v>UPI</v>
      </c>
      <c r="AG1572" s="7" t="str">
        <f aca="false">IF(LEFT(LOWER(TRIM(L1572)),6)="cancel","Cancelled","Delivered")</f>
        <v>Delivered</v>
      </c>
      <c r="AH1572" s="10" t="n">
        <f aca="false">IF(ISNUMBER(SEARCH("/",B1572)),DATE(VALUE(RIGHT(B1572,4)),VALUE(MID(B1572,4,2)),VALUE(LEFT(B1572,2))),IF(MID(B1572,5,1)="-",DATE(VALUE(LEFT(B1572,4)),VALUE(MID(B1572,6,2)),VALUE(RIGHT(B1572,2))),DATE(VALUE(RIGHT(B1572,4)),MATCH(MID(B1572,4,3),{"Jan","Feb","Mar","Apr","May","Jun","Jul","Aug","Sep","Oct","Nov","Dec"},0),VALUE(LEFT(B1572,2)))))</f>
        <v>45786</v>
      </c>
    </row>
    <row r="1573" customFormat="false" ht="15" hidden="false" customHeight="false" outlineLevel="0" collapsed="false">
      <c r="A1573" s="7" t="s">
        <v>4059</v>
      </c>
      <c r="B1573" s="7" t="s">
        <v>2598</v>
      </c>
      <c r="C1573" s="7" t="s">
        <v>2061</v>
      </c>
      <c r="D1573" s="7" t="s">
        <v>3575</v>
      </c>
      <c r="E1573" s="7" t="s">
        <v>151</v>
      </c>
      <c r="F1573" s="7" t="s">
        <v>128</v>
      </c>
      <c r="G1573" s="7" t="s">
        <v>95</v>
      </c>
      <c r="H1573" s="7" t="n">
        <v>1</v>
      </c>
      <c r="I1573" s="7" t="n">
        <v>205</v>
      </c>
      <c r="J1573" s="7" t="n">
        <v>20</v>
      </c>
      <c r="K1573" s="7" t="s">
        <v>93</v>
      </c>
      <c r="L1573" s="7" t="s">
        <v>194</v>
      </c>
      <c r="M1573" s="7" t="n">
        <v>29</v>
      </c>
      <c r="N1573" s="7" t="n">
        <v>5</v>
      </c>
      <c r="O1573" s="7" t="str">
        <f aca="false">A1573&amp;"|"&amp;B1573&amp;"|"&amp;C1573&amp;"|"&amp;D1573&amp;"|"&amp;E1573&amp;"|"&amp;F1573&amp;"|"&amp;G1573&amp;"|"&amp;H1573&amp;"|"&amp;I1573&amp;"|"&amp;J1573&amp;"|"&amp;K1573&amp;"|"&amp;L1573&amp;"|"&amp;M1573&amp;"|"&amp;N1573</f>
        <v>ORD10502|2025-03-07|13:51|C1342|Chettinad House|Chennai|South Indian|1|205|20|Credit Card|Delivered|29|5</v>
      </c>
      <c r="P1573" s="7" t="str">
        <f aca="false">IF(COUNTIF($O$2:O1573,O1573)&gt;1,"DUP","OK")</f>
        <v>OK</v>
      </c>
      <c r="Q1573" s="7" t="n">
        <f aca="false">COUNTBLANK(A1573:N1573)</f>
        <v>0</v>
      </c>
      <c r="R1573" s="7" t="n">
        <f aca="false">IF(A1573="",0,COUNTIFS($A$2:$A$3058,A1573,$P$2:$P$3058,"OK"))</f>
        <v>1</v>
      </c>
      <c r="S1573" s="7" t="str">
        <f aca="false">IF(OR(A1573="",P1573="DUP",R1573&lt;2),"",IF(Q1573=_xlfn.MINIFS($Q$2:$Q$3058,$A$2:$A$3058,A1573,$P$2:$P$3058,"OK"),"KEEP","DROP"))</f>
        <v/>
      </c>
      <c r="T1573" s="9" t="n">
        <f aca="false">IF(A1573="",1,0)</f>
        <v>0</v>
      </c>
      <c r="U1573" s="9" t="n">
        <f aca="false">IF(D1573="",1,0)</f>
        <v>0</v>
      </c>
      <c r="V1573" s="9" t="n">
        <f aca="false">IF(E1573="",1,0)</f>
        <v>0</v>
      </c>
      <c r="W1573" s="9" t="n">
        <f aca="false">IF(OR(H1573&lt;1,H1573&gt;10),1,0)</f>
        <v>0</v>
      </c>
      <c r="X1573" s="9" t="n">
        <f aca="false">IF(OR(I1573&lt;=0,I1573&gt;1500),1,0)</f>
        <v>0</v>
      </c>
      <c r="Y1573" s="9" t="n">
        <f aca="false">IF(J1573&gt;H1573*I1573,1,0)</f>
        <v>0</v>
      </c>
      <c r="Z1573" s="9" t="n">
        <f aca="false">IF(AND(N1573&lt;&gt;"",OR(N1573&lt;1,N1573&gt;5)),1,0)</f>
        <v>0</v>
      </c>
      <c r="AA1573" s="9" t="n">
        <f aca="false">IF(AND(M1573&lt;&gt;"",OR(M1573&lt;5,M1573&gt;180)),1,0)</f>
        <v>0</v>
      </c>
      <c r="AB1573" s="7" t="str">
        <f aca="false">IF(P1573="DUP","Exact duplicate row",IF(T1573=1,"Missing Order ID",IF(S1573="DROP","Duplicate Order ID (less complete row)",IF(U1573=1,"Missing Customer ID",IF(V1573=1,"Missing Restaurant name",IF(W1573=1,"Invalid/outlier quantity",IF(X1573=1,"Invalid/outlier unit price",IF(Y1573=1,"Discount greater than order value",""))))))))</f>
        <v/>
      </c>
      <c r="AC1573" s="7" t="str">
        <f aca="false">IF(AB1573="","KEEP","DROP")</f>
        <v>KEEP</v>
      </c>
      <c r="AD1573" s="7" t="str">
        <f aca="false">IF(TRIM(F1573)="",IFERROR(INDEX(Map_Tables!$I$4:$I$37,MATCH(TRIM(E1573),Map_Tables!$G$4:$G$37,0)),""),IFERROR(INDEX(Map_Tables!$B$4:$B$18,MATCH(TRIM(F1573),Map_Tables!$A$4:$A$18,0)),"CHECK"))</f>
        <v>Chennai</v>
      </c>
      <c r="AE1573" s="7" t="str">
        <f aca="false">IF(TRIM(E1573)="","",IFERROR(INDEX(Map_Tables!$H$4:$H$37,MATCH(TRIM(E1573),Map_Tables!$G$4:$G$37,0)),"CHECK"))</f>
        <v>Chettinad House</v>
      </c>
      <c r="AF1573" s="7" t="str">
        <f aca="false">IF(TRIM(K1573)="","Unknown",IFERROR(INDEX(Map_Tables!$E$4:$E$15,MATCH(TRIM(K1573),Map_Tables!$D$4:$D$15,0)),"CHECK"))</f>
        <v>Credit Card</v>
      </c>
      <c r="AG1573" s="7" t="str">
        <f aca="false">IF(LEFT(LOWER(TRIM(L1573)),6)="cancel","Cancelled","Delivered")</f>
        <v>Delivered</v>
      </c>
      <c r="AH1573" s="10" t="n">
        <f aca="false">IF(ISNUMBER(SEARCH("/",B1573)),DATE(VALUE(RIGHT(B1573,4)),VALUE(MID(B1573,4,2)),VALUE(LEFT(B1573,2))),IF(MID(B1573,5,1)="-",DATE(VALUE(LEFT(B1573,4)),VALUE(MID(B1573,6,2)),VALUE(RIGHT(B1573,2))),DATE(VALUE(RIGHT(B1573,4)),MATCH(MID(B1573,4,3),{"Jan","Feb","Mar","Apr","May","Jun","Jul","Aug","Sep","Oct","Nov","Dec"},0),VALUE(LEFT(B1573,2)))))</f>
        <v>45723</v>
      </c>
    </row>
    <row r="1574" customFormat="false" ht="15" hidden="false" customHeight="false" outlineLevel="0" collapsed="false">
      <c r="A1574" s="7" t="s">
        <v>4060</v>
      </c>
      <c r="B1574" s="7" t="s">
        <v>3637</v>
      </c>
      <c r="C1574" s="7" t="s">
        <v>2138</v>
      </c>
      <c r="D1574" s="7" t="s">
        <v>3369</v>
      </c>
      <c r="E1574" s="7" t="s">
        <v>113</v>
      </c>
      <c r="F1574" s="7" t="s">
        <v>101</v>
      </c>
      <c r="G1574" s="7" t="s">
        <v>90</v>
      </c>
      <c r="H1574" s="7" t="n">
        <v>2</v>
      </c>
      <c r="I1574" s="7" t="n">
        <v>290</v>
      </c>
      <c r="J1574" s="7" t="n">
        <v>0</v>
      </c>
      <c r="K1574" s="7" t="s">
        <v>103</v>
      </c>
      <c r="L1574" s="7" t="s">
        <v>194</v>
      </c>
      <c r="M1574" s="7" t="n">
        <v>48</v>
      </c>
      <c r="N1574" s="7" t="n">
        <v>3</v>
      </c>
      <c r="O1574" s="7" t="str">
        <f aca="false">A1574&amp;"|"&amp;B1574&amp;"|"&amp;C1574&amp;"|"&amp;D1574&amp;"|"&amp;E1574&amp;"|"&amp;F1574&amp;"|"&amp;G1574&amp;"|"&amp;H1574&amp;"|"&amp;I1574&amp;"|"&amp;J1574&amp;"|"&amp;K1574&amp;"|"&amp;L1574&amp;"|"&amp;M1574&amp;"|"&amp;N1574</f>
        <v>ORD12881|2025-12-19|12:55|C0771|Curry Leaf Kitchen|Mumbai|North Indian|2|290|0|Debit Card|Delivered|48|3</v>
      </c>
      <c r="P1574" s="7" t="str">
        <f aca="false">IF(COUNTIF($O$2:O1574,O1574)&gt;1,"DUP","OK")</f>
        <v>OK</v>
      </c>
      <c r="Q1574" s="7" t="n">
        <f aca="false">COUNTBLANK(A1574:N1574)</f>
        <v>0</v>
      </c>
      <c r="R1574" s="7" t="n">
        <f aca="false">IF(A1574="",0,COUNTIFS($A$2:$A$3058,A1574,$P$2:$P$3058,"OK"))</f>
        <v>1</v>
      </c>
      <c r="S1574" s="7" t="str">
        <f aca="false">IF(OR(A1574="",P1574="DUP",R1574&lt;2),"",IF(Q1574=_xlfn.MINIFS($Q$2:$Q$3058,$A$2:$A$3058,A1574,$P$2:$P$3058,"OK"),"KEEP","DROP"))</f>
        <v/>
      </c>
      <c r="T1574" s="9" t="n">
        <f aca="false">IF(A1574="",1,0)</f>
        <v>0</v>
      </c>
      <c r="U1574" s="9" t="n">
        <f aca="false">IF(D1574="",1,0)</f>
        <v>0</v>
      </c>
      <c r="V1574" s="9" t="n">
        <f aca="false">IF(E1574="",1,0)</f>
        <v>0</v>
      </c>
      <c r="W1574" s="9" t="n">
        <f aca="false">IF(OR(H1574&lt;1,H1574&gt;10),1,0)</f>
        <v>0</v>
      </c>
      <c r="X1574" s="9" t="n">
        <f aca="false">IF(OR(I1574&lt;=0,I1574&gt;1500),1,0)</f>
        <v>0</v>
      </c>
      <c r="Y1574" s="9" t="n">
        <f aca="false">IF(J1574&gt;H1574*I1574,1,0)</f>
        <v>0</v>
      </c>
      <c r="Z1574" s="9" t="n">
        <f aca="false">IF(AND(N1574&lt;&gt;"",OR(N1574&lt;1,N1574&gt;5)),1,0)</f>
        <v>0</v>
      </c>
      <c r="AA1574" s="9" t="n">
        <f aca="false">IF(AND(M1574&lt;&gt;"",OR(M1574&lt;5,M1574&gt;180)),1,0)</f>
        <v>0</v>
      </c>
      <c r="AB1574" s="7" t="str">
        <f aca="false">IF(P1574="DUP","Exact duplicate row",IF(T1574=1,"Missing Order ID",IF(S1574="DROP","Duplicate Order ID (less complete row)",IF(U1574=1,"Missing Customer ID",IF(V1574=1,"Missing Restaurant name",IF(W1574=1,"Invalid/outlier quantity",IF(X1574=1,"Invalid/outlier unit price",IF(Y1574=1,"Discount greater than order value",""))))))))</f>
        <v/>
      </c>
      <c r="AC1574" s="7" t="str">
        <f aca="false">IF(AB1574="","KEEP","DROP")</f>
        <v>KEEP</v>
      </c>
      <c r="AD1574" s="7" t="str">
        <f aca="false">IF(TRIM(F1574)="",IFERROR(INDEX(Map_Tables!$I$4:$I$37,MATCH(TRIM(E1574),Map_Tables!$G$4:$G$37,0)),""),IFERROR(INDEX(Map_Tables!$B$4:$B$18,MATCH(TRIM(F1574),Map_Tables!$A$4:$A$18,0)),"CHECK"))</f>
        <v>Mumbai</v>
      </c>
      <c r="AE1574" s="7" t="str">
        <f aca="false">IF(TRIM(E1574)="","",IFERROR(INDEX(Map_Tables!$H$4:$H$37,MATCH(TRIM(E1574),Map_Tables!$G$4:$G$37,0)),"CHECK"))</f>
        <v>Curry Leaf Kitchen</v>
      </c>
      <c r="AF1574" s="7" t="str">
        <f aca="false">IF(TRIM(K1574)="","Unknown",IFERROR(INDEX(Map_Tables!$E$4:$E$15,MATCH(TRIM(K1574),Map_Tables!$D$4:$D$15,0)),"CHECK"))</f>
        <v>Debit Card</v>
      </c>
      <c r="AG1574" s="7" t="str">
        <f aca="false">IF(LEFT(LOWER(TRIM(L1574)),6)="cancel","Cancelled","Delivered")</f>
        <v>Delivered</v>
      </c>
      <c r="AH1574" s="10" t="n">
        <f aca="false">IF(ISNUMBER(SEARCH("/",B1574)),DATE(VALUE(RIGHT(B1574,4)),VALUE(MID(B1574,4,2)),VALUE(LEFT(B1574,2))),IF(MID(B1574,5,1)="-",DATE(VALUE(LEFT(B1574,4)),VALUE(MID(B1574,6,2)),VALUE(RIGHT(B1574,2))),DATE(VALUE(RIGHT(B1574,4)),MATCH(MID(B1574,4,3),{"Jan","Feb","Mar","Apr","May","Jun","Jul","Aug","Sep","Oct","Nov","Dec"},0),VALUE(LEFT(B1574,2)))))</f>
        <v>46010</v>
      </c>
    </row>
    <row r="1575" customFormat="false" ht="15" hidden="false" customHeight="false" outlineLevel="0" collapsed="false">
      <c r="A1575" s="7" t="s">
        <v>4061</v>
      </c>
      <c r="B1575" s="7" t="s">
        <v>1086</v>
      </c>
      <c r="C1575" s="7" t="s">
        <v>961</v>
      </c>
      <c r="D1575" s="7" t="s">
        <v>1917</v>
      </c>
      <c r="E1575" s="7" t="s">
        <v>104</v>
      </c>
      <c r="F1575" s="7" t="s">
        <v>86</v>
      </c>
      <c r="G1575" s="7" t="s">
        <v>105</v>
      </c>
      <c r="H1575" s="7" t="n">
        <v>4</v>
      </c>
      <c r="I1575" s="7" t="n">
        <v>235</v>
      </c>
      <c r="J1575" s="7" t="n">
        <v>75</v>
      </c>
      <c r="K1575" s="7" t="s">
        <v>1739</v>
      </c>
      <c r="L1575" s="7" t="s">
        <v>194</v>
      </c>
      <c r="M1575" s="7" t="n">
        <v>42</v>
      </c>
      <c r="N1575" s="7" t="n">
        <v>4</v>
      </c>
      <c r="O1575" s="7" t="str">
        <f aca="false">A1575&amp;"|"&amp;B1575&amp;"|"&amp;C1575&amp;"|"&amp;D1575&amp;"|"&amp;E1575&amp;"|"&amp;F1575&amp;"|"&amp;G1575&amp;"|"&amp;H1575&amp;"|"&amp;I1575&amp;"|"&amp;J1575&amp;"|"&amp;K1575&amp;"|"&amp;L1575&amp;"|"&amp;M1575&amp;"|"&amp;N1575</f>
        <v>ORD10759|2025-04-06|20:00|C0796|Wok &amp; Roll|Bengaluru|Chinese|4|235|75|CC|Delivered|42|4</v>
      </c>
      <c r="P1575" s="7" t="str">
        <f aca="false">IF(COUNTIF($O$2:O1575,O1575)&gt;1,"DUP","OK")</f>
        <v>OK</v>
      </c>
      <c r="Q1575" s="7" t="n">
        <f aca="false">COUNTBLANK(A1575:N1575)</f>
        <v>0</v>
      </c>
      <c r="R1575" s="7" t="n">
        <f aca="false">IF(A1575="",0,COUNTIFS($A$2:$A$3058,A1575,$P$2:$P$3058,"OK"))</f>
        <v>1</v>
      </c>
      <c r="S1575" s="7" t="str">
        <f aca="false">IF(OR(A1575="",P1575="DUP",R1575&lt;2),"",IF(Q1575=_xlfn.MINIFS($Q$2:$Q$3058,$A$2:$A$3058,A1575,$P$2:$P$3058,"OK"),"KEEP","DROP"))</f>
        <v/>
      </c>
      <c r="T1575" s="9" t="n">
        <f aca="false">IF(A1575="",1,0)</f>
        <v>0</v>
      </c>
      <c r="U1575" s="9" t="n">
        <f aca="false">IF(D1575="",1,0)</f>
        <v>0</v>
      </c>
      <c r="V1575" s="9" t="n">
        <f aca="false">IF(E1575="",1,0)</f>
        <v>0</v>
      </c>
      <c r="W1575" s="9" t="n">
        <f aca="false">IF(OR(H1575&lt;1,H1575&gt;10),1,0)</f>
        <v>0</v>
      </c>
      <c r="X1575" s="9" t="n">
        <f aca="false">IF(OR(I1575&lt;=0,I1575&gt;1500),1,0)</f>
        <v>0</v>
      </c>
      <c r="Y1575" s="9" t="n">
        <f aca="false">IF(J1575&gt;H1575*I1575,1,0)</f>
        <v>0</v>
      </c>
      <c r="Z1575" s="9" t="n">
        <f aca="false">IF(AND(N1575&lt;&gt;"",OR(N1575&lt;1,N1575&gt;5)),1,0)</f>
        <v>0</v>
      </c>
      <c r="AA1575" s="9" t="n">
        <f aca="false">IF(AND(M1575&lt;&gt;"",OR(M1575&lt;5,M1575&gt;180)),1,0)</f>
        <v>0</v>
      </c>
      <c r="AB1575" s="7" t="str">
        <f aca="false">IF(P1575="DUP","Exact duplicate row",IF(T1575=1,"Missing Order ID",IF(S1575="DROP","Duplicate Order ID (less complete row)",IF(U1575=1,"Missing Customer ID",IF(V1575=1,"Missing Restaurant name",IF(W1575=1,"Invalid/outlier quantity",IF(X1575=1,"Invalid/outlier unit price",IF(Y1575=1,"Discount greater than order value",""))))))))</f>
        <v/>
      </c>
      <c r="AC1575" s="7" t="str">
        <f aca="false">IF(AB1575="","KEEP","DROP")</f>
        <v>KEEP</v>
      </c>
      <c r="AD1575" s="7" t="str">
        <f aca="false">IF(TRIM(F1575)="",IFERROR(INDEX(Map_Tables!$I$4:$I$37,MATCH(TRIM(E1575),Map_Tables!$G$4:$G$37,0)),""),IFERROR(INDEX(Map_Tables!$B$4:$B$18,MATCH(TRIM(F1575),Map_Tables!$A$4:$A$18,0)),"CHECK"))</f>
        <v>Bengaluru</v>
      </c>
      <c r="AE1575" s="7" t="str">
        <f aca="false">IF(TRIM(E1575)="","",IFERROR(INDEX(Map_Tables!$H$4:$H$37,MATCH(TRIM(E1575),Map_Tables!$G$4:$G$37,0)),"CHECK"))</f>
        <v>Wok &amp; Roll</v>
      </c>
      <c r="AF1575" s="7" t="str">
        <f aca="false">IF(TRIM(K1575)="","Unknown",IFERROR(INDEX(Map_Tables!$E$4:$E$15,MATCH(TRIM(K1575),Map_Tables!$D$4:$D$15,0)),"CHECK"))</f>
        <v>Credit Card</v>
      </c>
      <c r="AG1575" s="7" t="str">
        <f aca="false">IF(LEFT(LOWER(TRIM(L1575)),6)="cancel","Cancelled","Delivered")</f>
        <v>Delivered</v>
      </c>
      <c r="AH1575" s="10" t="n">
        <f aca="false">IF(ISNUMBER(SEARCH("/",B1575)),DATE(VALUE(RIGHT(B1575,4)),VALUE(MID(B1575,4,2)),VALUE(LEFT(B1575,2))),IF(MID(B1575,5,1)="-",DATE(VALUE(LEFT(B1575,4)),VALUE(MID(B1575,6,2)),VALUE(RIGHT(B1575,2))),DATE(VALUE(RIGHT(B1575,4)),MATCH(MID(B1575,4,3),{"Jan","Feb","Mar","Apr","May","Jun","Jul","Aug","Sep","Oct","Nov","Dec"},0),VALUE(LEFT(B1575,2)))))</f>
        <v>45753</v>
      </c>
    </row>
    <row r="1576" customFormat="false" ht="15" hidden="false" customHeight="false" outlineLevel="0" collapsed="false">
      <c r="A1576" s="7" t="s">
        <v>4062</v>
      </c>
      <c r="B1576" s="7" t="s">
        <v>2501</v>
      </c>
      <c r="C1576" s="7" t="s">
        <v>4063</v>
      </c>
      <c r="D1576" s="7" t="s">
        <v>4064</v>
      </c>
      <c r="E1576" s="7" t="s">
        <v>151</v>
      </c>
      <c r="F1576" s="7" t="s">
        <v>128</v>
      </c>
      <c r="G1576" s="7" t="s">
        <v>95</v>
      </c>
      <c r="H1576" s="7" t="n">
        <v>5</v>
      </c>
      <c r="I1576" s="7" t="n">
        <v>205</v>
      </c>
      <c r="J1576" s="7" t="n">
        <v>0</v>
      </c>
      <c r="K1576" s="7" t="s">
        <v>112</v>
      </c>
      <c r="L1576" s="7" t="s">
        <v>457</v>
      </c>
      <c r="M1576" s="7" t="n">
        <v>36</v>
      </c>
      <c r="N1576" s="7" t="n">
        <v>5</v>
      </c>
      <c r="O1576" s="7" t="str">
        <f aca="false">A1576&amp;"|"&amp;B1576&amp;"|"&amp;C1576&amp;"|"&amp;D1576&amp;"|"&amp;E1576&amp;"|"&amp;F1576&amp;"|"&amp;G1576&amp;"|"&amp;H1576&amp;"|"&amp;I1576&amp;"|"&amp;J1576&amp;"|"&amp;K1576&amp;"|"&amp;L1576&amp;"|"&amp;M1576&amp;"|"&amp;N1576</f>
        <v>ORD12253|2025-10-12|22:16|C1093|Chettinad House|Chennai|South Indian|5|205|0|Cash on Delivery|Delivered |36|5</v>
      </c>
      <c r="P1576" s="7" t="str">
        <f aca="false">IF(COUNTIF($O$2:O1576,O1576)&gt;1,"DUP","OK")</f>
        <v>OK</v>
      </c>
      <c r="Q1576" s="7" t="n">
        <f aca="false">COUNTBLANK(A1576:N1576)</f>
        <v>0</v>
      </c>
      <c r="R1576" s="7" t="n">
        <f aca="false">IF(A1576="",0,COUNTIFS($A$2:$A$3058,A1576,$P$2:$P$3058,"OK"))</f>
        <v>1</v>
      </c>
      <c r="S1576" s="7" t="str">
        <f aca="false">IF(OR(A1576="",P1576="DUP",R1576&lt;2),"",IF(Q1576=_xlfn.MINIFS($Q$2:$Q$3058,$A$2:$A$3058,A1576,$P$2:$P$3058,"OK"),"KEEP","DROP"))</f>
        <v/>
      </c>
      <c r="T1576" s="9" t="n">
        <f aca="false">IF(A1576="",1,0)</f>
        <v>0</v>
      </c>
      <c r="U1576" s="9" t="n">
        <f aca="false">IF(D1576="",1,0)</f>
        <v>0</v>
      </c>
      <c r="V1576" s="9" t="n">
        <f aca="false">IF(E1576="",1,0)</f>
        <v>0</v>
      </c>
      <c r="W1576" s="9" t="n">
        <f aca="false">IF(OR(H1576&lt;1,H1576&gt;10),1,0)</f>
        <v>0</v>
      </c>
      <c r="X1576" s="9" t="n">
        <f aca="false">IF(OR(I1576&lt;=0,I1576&gt;1500),1,0)</f>
        <v>0</v>
      </c>
      <c r="Y1576" s="9" t="n">
        <f aca="false">IF(J1576&gt;H1576*I1576,1,0)</f>
        <v>0</v>
      </c>
      <c r="Z1576" s="9" t="n">
        <f aca="false">IF(AND(N1576&lt;&gt;"",OR(N1576&lt;1,N1576&gt;5)),1,0)</f>
        <v>0</v>
      </c>
      <c r="AA1576" s="9" t="n">
        <f aca="false">IF(AND(M1576&lt;&gt;"",OR(M1576&lt;5,M1576&gt;180)),1,0)</f>
        <v>0</v>
      </c>
      <c r="AB1576" s="7" t="str">
        <f aca="false">IF(P1576="DUP","Exact duplicate row",IF(T1576=1,"Missing Order ID",IF(S1576="DROP","Duplicate Order ID (less complete row)",IF(U1576=1,"Missing Customer ID",IF(V1576=1,"Missing Restaurant name",IF(W1576=1,"Invalid/outlier quantity",IF(X1576=1,"Invalid/outlier unit price",IF(Y1576=1,"Discount greater than order value",""))))))))</f>
        <v/>
      </c>
      <c r="AC1576" s="7" t="str">
        <f aca="false">IF(AB1576="","KEEP","DROP")</f>
        <v>KEEP</v>
      </c>
      <c r="AD1576" s="7" t="str">
        <f aca="false">IF(TRIM(F1576)="",IFERROR(INDEX(Map_Tables!$I$4:$I$37,MATCH(TRIM(E1576),Map_Tables!$G$4:$G$37,0)),""),IFERROR(INDEX(Map_Tables!$B$4:$B$18,MATCH(TRIM(F1576),Map_Tables!$A$4:$A$18,0)),"CHECK"))</f>
        <v>Chennai</v>
      </c>
      <c r="AE1576" s="7" t="str">
        <f aca="false">IF(TRIM(E1576)="","",IFERROR(INDEX(Map_Tables!$H$4:$H$37,MATCH(TRIM(E1576),Map_Tables!$G$4:$G$37,0)),"CHECK"))</f>
        <v>Chettinad House</v>
      </c>
      <c r="AF1576" s="7" t="str">
        <f aca="false">IF(TRIM(K1576)="","Unknown",IFERROR(INDEX(Map_Tables!$E$4:$E$15,MATCH(TRIM(K1576),Map_Tables!$D$4:$D$15,0)),"CHECK"))</f>
        <v>Cash on Delivery</v>
      </c>
      <c r="AG1576" s="7" t="str">
        <f aca="false">IF(LEFT(LOWER(TRIM(L1576)),6)="cancel","Cancelled","Delivered")</f>
        <v>Delivered</v>
      </c>
      <c r="AH1576" s="10" t="n">
        <f aca="false">IF(ISNUMBER(SEARCH("/",B1576)),DATE(VALUE(RIGHT(B1576,4)),VALUE(MID(B1576,4,2)),VALUE(LEFT(B1576,2))),IF(MID(B1576,5,1)="-",DATE(VALUE(LEFT(B1576,4)),VALUE(MID(B1576,6,2)),VALUE(RIGHT(B1576,2))),DATE(VALUE(RIGHT(B1576,4)),MATCH(MID(B1576,4,3),{"Jan","Feb","Mar","Apr","May","Jun","Jul","Aug","Sep","Oct","Nov","Dec"},0),VALUE(LEFT(B1576,2)))))</f>
        <v>45942</v>
      </c>
    </row>
    <row r="1577" customFormat="false" ht="15" hidden="false" customHeight="false" outlineLevel="0" collapsed="false">
      <c r="A1577" s="7" t="s">
        <v>4065</v>
      </c>
      <c r="B1577" s="7" t="s">
        <v>235</v>
      </c>
      <c r="C1577" s="7" t="s">
        <v>310</v>
      </c>
      <c r="D1577" s="7" t="s">
        <v>2130</v>
      </c>
      <c r="E1577" s="7" t="s">
        <v>159</v>
      </c>
      <c r="F1577" s="7" t="s">
        <v>136</v>
      </c>
      <c r="G1577" s="7" t="s">
        <v>90</v>
      </c>
      <c r="H1577" s="7" t="n">
        <v>5</v>
      </c>
      <c r="I1577" s="7" t="n">
        <v>230</v>
      </c>
      <c r="J1577" s="7" t="n">
        <v>0</v>
      </c>
      <c r="K1577" s="7" t="s">
        <v>88</v>
      </c>
      <c r="L1577" s="7" t="s">
        <v>194</v>
      </c>
      <c r="M1577" s="7" t="n">
        <v>27</v>
      </c>
      <c r="N1577" s="7"/>
      <c r="O1577" s="7" t="str">
        <f aca="false">A1577&amp;"|"&amp;B1577&amp;"|"&amp;C1577&amp;"|"&amp;D1577&amp;"|"&amp;E1577&amp;"|"&amp;F1577&amp;"|"&amp;G1577&amp;"|"&amp;H1577&amp;"|"&amp;I1577&amp;"|"&amp;J1577&amp;"|"&amp;K1577&amp;"|"&amp;L1577&amp;"|"&amp;M1577&amp;"|"&amp;N1577</f>
        <v>ORD10429|2025-02-27|19:09|C0937|Maratha Thali House|Pune|North Indian|5|230|0|UPI|Delivered|27|</v>
      </c>
      <c r="P1577" s="7" t="str">
        <f aca="false">IF(COUNTIF($O$2:O1577,O1577)&gt;1,"DUP","OK")</f>
        <v>OK</v>
      </c>
      <c r="Q1577" s="7" t="n">
        <f aca="false">COUNTBLANK(A1577:N1577)</f>
        <v>1</v>
      </c>
      <c r="R1577" s="7" t="n">
        <f aca="false">IF(A1577="",0,COUNTIFS($A$2:$A$3058,A1577,$P$2:$P$3058,"OK"))</f>
        <v>1</v>
      </c>
      <c r="S1577" s="7" t="str">
        <f aca="false">IF(OR(A1577="",P1577="DUP",R1577&lt;2),"",IF(Q1577=_xlfn.MINIFS($Q$2:$Q$3058,$A$2:$A$3058,A1577,$P$2:$P$3058,"OK"),"KEEP","DROP"))</f>
        <v/>
      </c>
      <c r="T1577" s="9" t="n">
        <f aca="false">IF(A1577="",1,0)</f>
        <v>0</v>
      </c>
      <c r="U1577" s="9" t="n">
        <f aca="false">IF(D1577="",1,0)</f>
        <v>0</v>
      </c>
      <c r="V1577" s="9" t="n">
        <f aca="false">IF(E1577="",1,0)</f>
        <v>0</v>
      </c>
      <c r="W1577" s="9" t="n">
        <f aca="false">IF(OR(H1577&lt;1,H1577&gt;10),1,0)</f>
        <v>0</v>
      </c>
      <c r="X1577" s="9" t="n">
        <f aca="false">IF(OR(I1577&lt;=0,I1577&gt;1500),1,0)</f>
        <v>0</v>
      </c>
      <c r="Y1577" s="9" t="n">
        <f aca="false">IF(J1577&gt;H1577*I1577,1,0)</f>
        <v>0</v>
      </c>
      <c r="Z1577" s="9" t="n">
        <f aca="false">IF(AND(N1577&lt;&gt;"",OR(N1577&lt;1,N1577&gt;5)),1,0)</f>
        <v>0</v>
      </c>
      <c r="AA1577" s="9" t="n">
        <f aca="false">IF(AND(M1577&lt;&gt;"",OR(M1577&lt;5,M1577&gt;180)),1,0)</f>
        <v>0</v>
      </c>
      <c r="AB1577" s="7" t="str">
        <f aca="false">IF(P1577="DUP","Exact duplicate row",IF(T1577=1,"Missing Order ID",IF(S1577="DROP","Duplicate Order ID (less complete row)",IF(U1577=1,"Missing Customer ID",IF(V1577=1,"Missing Restaurant name",IF(W1577=1,"Invalid/outlier quantity",IF(X1577=1,"Invalid/outlier unit price",IF(Y1577=1,"Discount greater than order value",""))))))))</f>
        <v/>
      </c>
      <c r="AC1577" s="7" t="str">
        <f aca="false">IF(AB1577="","KEEP","DROP")</f>
        <v>KEEP</v>
      </c>
      <c r="AD1577" s="7" t="str">
        <f aca="false">IF(TRIM(F1577)="",IFERROR(INDEX(Map_Tables!$I$4:$I$37,MATCH(TRIM(E1577),Map_Tables!$G$4:$G$37,0)),""),IFERROR(INDEX(Map_Tables!$B$4:$B$18,MATCH(TRIM(F1577),Map_Tables!$A$4:$A$18,0)),"CHECK"))</f>
        <v>Pune</v>
      </c>
      <c r="AE1577" s="7" t="str">
        <f aca="false">IF(TRIM(E1577)="","",IFERROR(INDEX(Map_Tables!$H$4:$H$37,MATCH(TRIM(E1577),Map_Tables!$G$4:$G$37,0)),"CHECK"))</f>
        <v>Maratha Thali House</v>
      </c>
      <c r="AF1577" s="7" t="str">
        <f aca="false">IF(TRIM(K1577)="","Unknown",IFERROR(INDEX(Map_Tables!$E$4:$E$15,MATCH(TRIM(K1577),Map_Tables!$D$4:$D$15,0)),"CHECK"))</f>
        <v>UPI</v>
      </c>
      <c r="AG1577" s="7" t="str">
        <f aca="false">IF(LEFT(LOWER(TRIM(L1577)),6)="cancel","Cancelled","Delivered")</f>
        <v>Delivered</v>
      </c>
      <c r="AH1577" s="10" t="n">
        <f aca="false">IF(ISNUMBER(SEARCH("/",B1577)),DATE(VALUE(RIGHT(B1577,4)),VALUE(MID(B1577,4,2)),VALUE(LEFT(B1577,2))),IF(MID(B1577,5,1)="-",DATE(VALUE(LEFT(B1577,4)),VALUE(MID(B1577,6,2)),VALUE(RIGHT(B1577,2))),DATE(VALUE(RIGHT(B1577,4)),MATCH(MID(B1577,4,3),{"Jan","Feb","Mar","Apr","May","Jun","Jul","Aug","Sep","Oct","Nov","Dec"},0),VALUE(LEFT(B1577,2)))))</f>
        <v>45715</v>
      </c>
    </row>
    <row r="1578" customFormat="false" ht="15" hidden="false" customHeight="false" outlineLevel="0" collapsed="false">
      <c r="A1578" s="7" t="s">
        <v>4066</v>
      </c>
      <c r="B1578" s="7" t="s">
        <v>1249</v>
      </c>
      <c r="C1578" s="7" t="s">
        <v>2573</v>
      </c>
      <c r="D1578" s="7" t="s">
        <v>1146</v>
      </c>
      <c r="E1578" s="7" t="s">
        <v>116</v>
      </c>
      <c r="F1578" s="7" t="s">
        <v>101</v>
      </c>
      <c r="G1578" s="7" t="s">
        <v>117</v>
      </c>
      <c r="H1578" s="7" t="n">
        <v>1</v>
      </c>
      <c r="I1578" s="7" t="n">
        <v>90</v>
      </c>
      <c r="J1578" s="7" t="n">
        <v>36</v>
      </c>
      <c r="K1578" s="7" t="s">
        <v>93</v>
      </c>
      <c r="L1578" s="7" t="s">
        <v>238</v>
      </c>
      <c r="M1578" s="7"/>
      <c r="N1578" s="7"/>
      <c r="O1578" s="7" t="str">
        <f aca="false">A1578&amp;"|"&amp;B1578&amp;"|"&amp;C1578&amp;"|"&amp;D1578&amp;"|"&amp;E1578&amp;"|"&amp;F1578&amp;"|"&amp;G1578&amp;"|"&amp;H1578&amp;"|"&amp;I1578&amp;"|"&amp;J1578&amp;"|"&amp;K1578&amp;"|"&amp;L1578&amp;"|"&amp;M1578&amp;"|"&amp;N1578</f>
        <v>ORD11611|2025-07-29|15:37|C1110|Pav Bhaji Point|Mumbai|Street Food|1|90|36|Credit Card|Cancelled||</v>
      </c>
      <c r="P1578" s="7" t="str">
        <f aca="false">IF(COUNTIF($O$2:O1578,O1578)&gt;1,"DUP","OK")</f>
        <v>OK</v>
      </c>
      <c r="Q1578" s="7" t="n">
        <f aca="false">COUNTBLANK(A1578:N1578)</f>
        <v>2</v>
      </c>
      <c r="R1578" s="7" t="n">
        <f aca="false">IF(A1578="",0,COUNTIFS($A$2:$A$3058,A1578,$P$2:$P$3058,"OK"))</f>
        <v>1</v>
      </c>
      <c r="S1578" s="7" t="str">
        <f aca="false">IF(OR(A1578="",P1578="DUP",R1578&lt;2),"",IF(Q1578=_xlfn.MINIFS($Q$2:$Q$3058,$A$2:$A$3058,A1578,$P$2:$P$3058,"OK"),"KEEP","DROP"))</f>
        <v/>
      </c>
      <c r="T1578" s="9" t="n">
        <f aca="false">IF(A1578="",1,0)</f>
        <v>0</v>
      </c>
      <c r="U1578" s="9" t="n">
        <f aca="false">IF(D1578="",1,0)</f>
        <v>0</v>
      </c>
      <c r="V1578" s="9" t="n">
        <f aca="false">IF(E1578="",1,0)</f>
        <v>0</v>
      </c>
      <c r="W1578" s="9" t="n">
        <f aca="false">IF(OR(H1578&lt;1,H1578&gt;10),1,0)</f>
        <v>0</v>
      </c>
      <c r="X1578" s="9" t="n">
        <f aca="false">IF(OR(I1578&lt;=0,I1578&gt;1500),1,0)</f>
        <v>0</v>
      </c>
      <c r="Y1578" s="9" t="n">
        <f aca="false">IF(J1578&gt;H1578*I1578,1,0)</f>
        <v>0</v>
      </c>
      <c r="Z1578" s="9" t="n">
        <f aca="false">IF(AND(N1578&lt;&gt;"",OR(N1578&lt;1,N1578&gt;5)),1,0)</f>
        <v>0</v>
      </c>
      <c r="AA1578" s="9" t="n">
        <f aca="false">IF(AND(M1578&lt;&gt;"",OR(M1578&lt;5,M1578&gt;180)),1,0)</f>
        <v>0</v>
      </c>
      <c r="AB1578" s="7" t="str">
        <f aca="false">IF(P1578="DUP","Exact duplicate row",IF(T1578=1,"Missing Order ID",IF(S1578="DROP","Duplicate Order ID (less complete row)",IF(U1578=1,"Missing Customer ID",IF(V1578=1,"Missing Restaurant name",IF(W1578=1,"Invalid/outlier quantity",IF(X1578=1,"Invalid/outlier unit price",IF(Y1578=1,"Discount greater than order value",""))))))))</f>
        <v/>
      </c>
      <c r="AC1578" s="7" t="str">
        <f aca="false">IF(AB1578="","KEEP","DROP")</f>
        <v>KEEP</v>
      </c>
      <c r="AD1578" s="7" t="str">
        <f aca="false">IF(TRIM(F1578)="",IFERROR(INDEX(Map_Tables!$I$4:$I$37,MATCH(TRIM(E1578),Map_Tables!$G$4:$G$37,0)),""),IFERROR(INDEX(Map_Tables!$B$4:$B$18,MATCH(TRIM(F1578),Map_Tables!$A$4:$A$18,0)),"CHECK"))</f>
        <v>Mumbai</v>
      </c>
      <c r="AE1578" s="7" t="str">
        <f aca="false">IF(TRIM(E1578)="","",IFERROR(INDEX(Map_Tables!$H$4:$H$37,MATCH(TRIM(E1578),Map_Tables!$G$4:$G$37,0)),"CHECK"))</f>
        <v>Pav Bhaji Point</v>
      </c>
      <c r="AF1578" s="7" t="str">
        <f aca="false">IF(TRIM(K1578)="","Unknown",IFERROR(INDEX(Map_Tables!$E$4:$E$15,MATCH(TRIM(K1578),Map_Tables!$D$4:$D$15,0)),"CHECK"))</f>
        <v>Credit Card</v>
      </c>
      <c r="AG1578" s="7" t="str">
        <f aca="false">IF(LEFT(LOWER(TRIM(L1578)),6)="cancel","Cancelled","Delivered")</f>
        <v>Cancelled</v>
      </c>
      <c r="AH1578" s="10" t="n">
        <f aca="false">IF(ISNUMBER(SEARCH("/",B1578)),DATE(VALUE(RIGHT(B1578,4)),VALUE(MID(B1578,4,2)),VALUE(LEFT(B1578,2))),IF(MID(B1578,5,1)="-",DATE(VALUE(LEFT(B1578,4)),VALUE(MID(B1578,6,2)),VALUE(RIGHT(B1578,2))),DATE(VALUE(RIGHT(B1578,4)),MATCH(MID(B1578,4,3),{"Jan","Feb","Mar","Apr","May","Jun","Jul","Aug","Sep","Oct","Nov","Dec"},0),VALUE(LEFT(B1578,2)))))</f>
        <v>45867</v>
      </c>
    </row>
    <row r="1579" customFormat="false" ht="15" hidden="false" customHeight="false" outlineLevel="0" collapsed="false">
      <c r="A1579" s="7" t="s">
        <v>4067</v>
      </c>
      <c r="B1579" s="7" t="s">
        <v>869</v>
      </c>
      <c r="C1579" s="7" t="s">
        <v>1674</v>
      </c>
      <c r="D1579" s="7" t="s">
        <v>4068</v>
      </c>
      <c r="E1579" s="7" t="s">
        <v>152</v>
      </c>
      <c r="F1579" s="7" t="s">
        <v>128</v>
      </c>
      <c r="G1579" s="7" t="s">
        <v>95</v>
      </c>
      <c r="H1579" s="7" t="n">
        <v>3</v>
      </c>
      <c r="I1579" s="7" t="n">
        <v>110</v>
      </c>
      <c r="J1579" s="7" t="n">
        <v>0</v>
      </c>
      <c r="K1579" s="7" t="s">
        <v>87</v>
      </c>
      <c r="L1579" s="7" t="s">
        <v>194</v>
      </c>
      <c r="M1579" s="7" t="n">
        <v>31</v>
      </c>
      <c r="N1579" s="7" t="n">
        <v>5</v>
      </c>
      <c r="O1579" s="7" t="str">
        <f aca="false">A1579&amp;"|"&amp;B1579&amp;"|"&amp;C1579&amp;"|"&amp;D1579&amp;"|"&amp;E1579&amp;"|"&amp;F1579&amp;"|"&amp;G1579&amp;"|"&amp;H1579&amp;"|"&amp;I1579&amp;"|"&amp;J1579&amp;"|"&amp;K1579&amp;"|"&amp;L1579&amp;"|"&amp;M1579&amp;"|"&amp;N1579</f>
        <v>ORD11318|2025-06-19|17:34|C0469|Filter Coffee &amp; Tiffin|Chennai|South Indian|3|110|0|upi|Delivered|31|5</v>
      </c>
      <c r="P1579" s="7" t="str">
        <f aca="false">IF(COUNTIF($O$2:O1579,O1579)&gt;1,"DUP","OK")</f>
        <v>OK</v>
      </c>
      <c r="Q1579" s="7" t="n">
        <f aca="false">COUNTBLANK(A1579:N1579)</f>
        <v>0</v>
      </c>
      <c r="R1579" s="7" t="n">
        <f aca="false">IF(A1579="",0,COUNTIFS($A$2:$A$3058,A1579,$P$2:$P$3058,"OK"))</f>
        <v>1</v>
      </c>
      <c r="S1579" s="7" t="str">
        <f aca="false">IF(OR(A1579="",P1579="DUP",R1579&lt;2),"",IF(Q1579=_xlfn.MINIFS($Q$2:$Q$3058,$A$2:$A$3058,A1579,$P$2:$P$3058,"OK"),"KEEP","DROP"))</f>
        <v/>
      </c>
      <c r="T1579" s="9" t="n">
        <f aca="false">IF(A1579="",1,0)</f>
        <v>0</v>
      </c>
      <c r="U1579" s="9" t="n">
        <f aca="false">IF(D1579="",1,0)</f>
        <v>0</v>
      </c>
      <c r="V1579" s="9" t="n">
        <f aca="false">IF(E1579="",1,0)</f>
        <v>0</v>
      </c>
      <c r="W1579" s="9" t="n">
        <f aca="false">IF(OR(H1579&lt;1,H1579&gt;10),1,0)</f>
        <v>0</v>
      </c>
      <c r="X1579" s="9" t="n">
        <f aca="false">IF(OR(I1579&lt;=0,I1579&gt;1500),1,0)</f>
        <v>0</v>
      </c>
      <c r="Y1579" s="9" t="n">
        <f aca="false">IF(J1579&gt;H1579*I1579,1,0)</f>
        <v>0</v>
      </c>
      <c r="Z1579" s="9" t="n">
        <f aca="false">IF(AND(N1579&lt;&gt;"",OR(N1579&lt;1,N1579&gt;5)),1,0)</f>
        <v>0</v>
      </c>
      <c r="AA1579" s="9" t="n">
        <f aca="false">IF(AND(M1579&lt;&gt;"",OR(M1579&lt;5,M1579&gt;180)),1,0)</f>
        <v>0</v>
      </c>
      <c r="AB1579" s="7" t="str">
        <f aca="false">IF(P1579="DUP","Exact duplicate row",IF(T1579=1,"Missing Order ID",IF(S1579="DROP","Duplicate Order ID (less complete row)",IF(U1579=1,"Missing Customer ID",IF(V1579=1,"Missing Restaurant name",IF(W1579=1,"Invalid/outlier quantity",IF(X1579=1,"Invalid/outlier unit price",IF(Y1579=1,"Discount greater than order value",""))))))))</f>
        <v/>
      </c>
      <c r="AC1579" s="7" t="str">
        <f aca="false">IF(AB1579="","KEEP","DROP")</f>
        <v>KEEP</v>
      </c>
      <c r="AD1579" s="7" t="str">
        <f aca="false">IF(TRIM(F1579)="",IFERROR(INDEX(Map_Tables!$I$4:$I$37,MATCH(TRIM(E1579),Map_Tables!$G$4:$G$37,0)),""),IFERROR(INDEX(Map_Tables!$B$4:$B$18,MATCH(TRIM(F1579),Map_Tables!$A$4:$A$18,0)),"CHECK"))</f>
        <v>Chennai</v>
      </c>
      <c r="AE1579" s="7" t="str">
        <f aca="false">IF(TRIM(E1579)="","",IFERROR(INDEX(Map_Tables!$H$4:$H$37,MATCH(TRIM(E1579),Map_Tables!$G$4:$G$37,0)),"CHECK"))</f>
        <v>Filter Coffee &amp; Tiffin</v>
      </c>
      <c r="AF1579" s="7" t="str">
        <f aca="false">IF(TRIM(K1579)="","Unknown",IFERROR(INDEX(Map_Tables!$E$4:$E$15,MATCH(TRIM(K1579),Map_Tables!$D$4:$D$15,0)),"CHECK"))</f>
        <v>UPI</v>
      </c>
      <c r="AG1579" s="7" t="str">
        <f aca="false">IF(LEFT(LOWER(TRIM(L1579)),6)="cancel","Cancelled","Delivered")</f>
        <v>Delivered</v>
      </c>
      <c r="AH1579" s="10" t="n">
        <f aca="false">IF(ISNUMBER(SEARCH("/",B1579)),DATE(VALUE(RIGHT(B1579,4)),VALUE(MID(B1579,4,2)),VALUE(LEFT(B1579,2))),IF(MID(B1579,5,1)="-",DATE(VALUE(LEFT(B1579,4)),VALUE(MID(B1579,6,2)),VALUE(RIGHT(B1579,2))),DATE(VALUE(RIGHT(B1579,4)),MATCH(MID(B1579,4,3),{"Jan","Feb","Mar","Apr","May","Jun","Jul","Aug","Sep","Oct","Nov","Dec"},0),VALUE(LEFT(B1579,2)))))</f>
        <v>45827</v>
      </c>
    </row>
    <row r="1580" customFormat="false" ht="15" hidden="false" customHeight="false" outlineLevel="0" collapsed="false">
      <c r="A1580" s="7" t="s">
        <v>4069</v>
      </c>
      <c r="B1580" s="7" t="s">
        <v>800</v>
      </c>
      <c r="C1580" s="7" t="s">
        <v>3870</v>
      </c>
      <c r="D1580" s="7" t="s">
        <v>4070</v>
      </c>
      <c r="E1580" s="7" t="s">
        <v>151</v>
      </c>
      <c r="F1580" s="7" t="s">
        <v>128</v>
      </c>
      <c r="G1580" s="7" t="s">
        <v>95</v>
      </c>
      <c r="H1580" s="7" t="n">
        <v>4</v>
      </c>
      <c r="I1580" s="7" t="n">
        <v>150</v>
      </c>
      <c r="J1580" s="7" t="n">
        <v>20</v>
      </c>
      <c r="K1580" s="7" t="s">
        <v>88</v>
      </c>
      <c r="L1580" s="7" t="s">
        <v>194</v>
      </c>
      <c r="M1580" s="7" t="n">
        <v>25</v>
      </c>
      <c r="N1580" s="7" t="n">
        <v>3</v>
      </c>
      <c r="O1580" s="7" t="str">
        <f aca="false">A1580&amp;"|"&amp;B1580&amp;"|"&amp;C1580&amp;"|"&amp;D1580&amp;"|"&amp;E1580&amp;"|"&amp;F1580&amp;"|"&amp;G1580&amp;"|"&amp;H1580&amp;"|"&amp;I1580&amp;"|"&amp;J1580&amp;"|"&amp;K1580&amp;"|"&amp;L1580&amp;"|"&amp;M1580&amp;"|"&amp;N1580</f>
        <v>ORD11137|2025-05-24|22:23|C1311|Chettinad House|Chennai|South Indian|4|150|20|UPI|Delivered|25|3</v>
      </c>
      <c r="P1580" s="7" t="str">
        <f aca="false">IF(COUNTIF($O$2:O1580,O1580)&gt;1,"DUP","OK")</f>
        <v>OK</v>
      </c>
      <c r="Q1580" s="7" t="n">
        <f aca="false">COUNTBLANK(A1580:N1580)</f>
        <v>0</v>
      </c>
      <c r="R1580" s="7" t="n">
        <f aca="false">IF(A1580="",0,COUNTIFS($A$2:$A$3058,A1580,$P$2:$P$3058,"OK"))</f>
        <v>1</v>
      </c>
      <c r="S1580" s="7" t="str">
        <f aca="false">IF(OR(A1580="",P1580="DUP",R1580&lt;2),"",IF(Q1580=_xlfn.MINIFS($Q$2:$Q$3058,$A$2:$A$3058,A1580,$P$2:$P$3058,"OK"),"KEEP","DROP"))</f>
        <v/>
      </c>
      <c r="T1580" s="9" t="n">
        <f aca="false">IF(A1580="",1,0)</f>
        <v>0</v>
      </c>
      <c r="U1580" s="9" t="n">
        <f aca="false">IF(D1580="",1,0)</f>
        <v>0</v>
      </c>
      <c r="V1580" s="9" t="n">
        <f aca="false">IF(E1580="",1,0)</f>
        <v>0</v>
      </c>
      <c r="W1580" s="9" t="n">
        <f aca="false">IF(OR(H1580&lt;1,H1580&gt;10),1,0)</f>
        <v>0</v>
      </c>
      <c r="X1580" s="9" t="n">
        <f aca="false">IF(OR(I1580&lt;=0,I1580&gt;1500),1,0)</f>
        <v>0</v>
      </c>
      <c r="Y1580" s="9" t="n">
        <f aca="false">IF(J1580&gt;H1580*I1580,1,0)</f>
        <v>0</v>
      </c>
      <c r="Z1580" s="9" t="n">
        <f aca="false">IF(AND(N1580&lt;&gt;"",OR(N1580&lt;1,N1580&gt;5)),1,0)</f>
        <v>0</v>
      </c>
      <c r="AA1580" s="9" t="n">
        <f aca="false">IF(AND(M1580&lt;&gt;"",OR(M1580&lt;5,M1580&gt;180)),1,0)</f>
        <v>0</v>
      </c>
      <c r="AB1580" s="7" t="str">
        <f aca="false">IF(P1580="DUP","Exact duplicate row",IF(T1580=1,"Missing Order ID",IF(S1580="DROP","Duplicate Order ID (less complete row)",IF(U1580=1,"Missing Customer ID",IF(V1580=1,"Missing Restaurant name",IF(W1580=1,"Invalid/outlier quantity",IF(X1580=1,"Invalid/outlier unit price",IF(Y1580=1,"Discount greater than order value",""))))))))</f>
        <v/>
      </c>
      <c r="AC1580" s="7" t="str">
        <f aca="false">IF(AB1580="","KEEP","DROP")</f>
        <v>KEEP</v>
      </c>
      <c r="AD1580" s="7" t="str">
        <f aca="false">IF(TRIM(F1580)="",IFERROR(INDEX(Map_Tables!$I$4:$I$37,MATCH(TRIM(E1580),Map_Tables!$G$4:$G$37,0)),""),IFERROR(INDEX(Map_Tables!$B$4:$B$18,MATCH(TRIM(F1580),Map_Tables!$A$4:$A$18,0)),"CHECK"))</f>
        <v>Chennai</v>
      </c>
      <c r="AE1580" s="7" t="str">
        <f aca="false">IF(TRIM(E1580)="","",IFERROR(INDEX(Map_Tables!$H$4:$H$37,MATCH(TRIM(E1580),Map_Tables!$G$4:$G$37,0)),"CHECK"))</f>
        <v>Chettinad House</v>
      </c>
      <c r="AF1580" s="7" t="str">
        <f aca="false">IF(TRIM(K1580)="","Unknown",IFERROR(INDEX(Map_Tables!$E$4:$E$15,MATCH(TRIM(K1580),Map_Tables!$D$4:$D$15,0)),"CHECK"))</f>
        <v>UPI</v>
      </c>
      <c r="AG1580" s="7" t="str">
        <f aca="false">IF(LEFT(LOWER(TRIM(L1580)),6)="cancel","Cancelled","Delivered")</f>
        <v>Delivered</v>
      </c>
      <c r="AH1580" s="10" t="n">
        <f aca="false">IF(ISNUMBER(SEARCH("/",B1580)),DATE(VALUE(RIGHT(B1580,4)),VALUE(MID(B1580,4,2)),VALUE(LEFT(B1580,2))),IF(MID(B1580,5,1)="-",DATE(VALUE(LEFT(B1580,4)),VALUE(MID(B1580,6,2)),VALUE(RIGHT(B1580,2))),DATE(VALUE(RIGHT(B1580,4)),MATCH(MID(B1580,4,3),{"Jan","Feb","Mar","Apr","May","Jun","Jul","Aug","Sep","Oct","Nov","Dec"},0),VALUE(LEFT(B1580,2)))))</f>
        <v>45801</v>
      </c>
    </row>
    <row r="1581" customFormat="false" ht="15" hidden="false" customHeight="false" outlineLevel="0" collapsed="false">
      <c r="A1581" s="7" t="s">
        <v>4071</v>
      </c>
      <c r="B1581" s="7" t="s">
        <v>926</v>
      </c>
      <c r="C1581" s="7" t="s">
        <v>2853</v>
      </c>
      <c r="D1581" s="7" t="s">
        <v>733</v>
      </c>
      <c r="E1581" s="7" t="s">
        <v>158</v>
      </c>
      <c r="F1581" s="7" t="s">
        <v>303</v>
      </c>
      <c r="G1581" s="7" t="s">
        <v>139</v>
      </c>
      <c r="H1581" s="7" t="n">
        <v>1</v>
      </c>
      <c r="I1581" s="7" t="n">
        <v>200</v>
      </c>
      <c r="J1581" s="7" t="n">
        <v>40</v>
      </c>
      <c r="K1581" s="7" t="s">
        <v>112</v>
      </c>
      <c r="L1581" s="7" t="s">
        <v>194</v>
      </c>
      <c r="M1581" s="7" t="n">
        <v>39</v>
      </c>
      <c r="N1581" s="7"/>
      <c r="O1581" s="7" t="str">
        <f aca="false">A1581&amp;"|"&amp;B1581&amp;"|"&amp;C1581&amp;"|"&amp;D1581&amp;"|"&amp;E1581&amp;"|"&amp;F1581&amp;"|"&amp;G1581&amp;"|"&amp;H1581&amp;"|"&amp;I1581&amp;"|"&amp;J1581&amp;"|"&amp;K1581&amp;"|"&amp;L1581&amp;"|"&amp;M1581&amp;"|"&amp;N1581</f>
        <v>ORD10074|2025-01-10|20:14|C0325|Pune Burger Hub|PUNE|Burgers|1|200|40|Cash on Delivery|Delivered|39|</v>
      </c>
      <c r="P1581" s="7" t="str">
        <f aca="false">IF(COUNTIF($O$2:O1581,O1581)&gt;1,"DUP","OK")</f>
        <v>OK</v>
      </c>
      <c r="Q1581" s="7" t="n">
        <f aca="false">COUNTBLANK(A1581:N1581)</f>
        <v>1</v>
      </c>
      <c r="R1581" s="7" t="n">
        <f aca="false">IF(A1581="",0,COUNTIFS($A$2:$A$3058,A1581,$P$2:$P$3058,"OK"))</f>
        <v>1</v>
      </c>
      <c r="S1581" s="7" t="str">
        <f aca="false">IF(OR(A1581="",P1581="DUP",R1581&lt;2),"",IF(Q1581=_xlfn.MINIFS($Q$2:$Q$3058,$A$2:$A$3058,A1581,$P$2:$P$3058,"OK"),"KEEP","DROP"))</f>
        <v/>
      </c>
      <c r="T1581" s="9" t="n">
        <f aca="false">IF(A1581="",1,0)</f>
        <v>0</v>
      </c>
      <c r="U1581" s="9" t="n">
        <f aca="false">IF(D1581="",1,0)</f>
        <v>0</v>
      </c>
      <c r="V1581" s="9" t="n">
        <f aca="false">IF(E1581="",1,0)</f>
        <v>0</v>
      </c>
      <c r="W1581" s="9" t="n">
        <f aca="false">IF(OR(H1581&lt;1,H1581&gt;10),1,0)</f>
        <v>0</v>
      </c>
      <c r="X1581" s="9" t="n">
        <f aca="false">IF(OR(I1581&lt;=0,I1581&gt;1500),1,0)</f>
        <v>0</v>
      </c>
      <c r="Y1581" s="9" t="n">
        <f aca="false">IF(J1581&gt;H1581*I1581,1,0)</f>
        <v>0</v>
      </c>
      <c r="Z1581" s="9" t="n">
        <f aca="false">IF(AND(N1581&lt;&gt;"",OR(N1581&lt;1,N1581&gt;5)),1,0)</f>
        <v>0</v>
      </c>
      <c r="AA1581" s="9" t="n">
        <f aca="false">IF(AND(M1581&lt;&gt;"",OR(M1581&lt;5,M1581&gt;180)),1,0)</f>
        <v>0</v>
      </c>
      <c r="AB1581" s="7" t="str">
        <f aca="false">IF(P1581="DUP","Exact duplicate row",IF(T1581=1,"Missing Order ID",IF(S1581="DROP","Duplicate Order ID (less complete row)",IF(U1581=1,"Missing Customer ID",IF(V1581=1,"Missing Restaurant name",IF(W1581=1,"Invalid/outlier quantity",IF(X1581=1,"Invalid/outlier unit price",IF(Y1581=1,"Discount greater than order value",""))))))))</f>
        <v/>
      </c>
      <c r="AC1581" s="7" t="str">
        <f aca="false">IF(AB1581="","KEEP","DROP")</f>
        <v>KEEP</v>
      </c>
      <c r="AD1581" s="7" t="str">
        <f aca="false">IF(TRIM(F1581)="",IFERROR(INDEX(Map_Tables!$I$4:$I$37,MATCH(TRIM(E1581),Map_Tables!$G$4:$G$37,0)),""),IFERROR(INDEX(Map_Tables!$B$4:$B$18,MATCH(TRIM(F1581),Map_Tables!$A$4:$A$18,0)),"CHECK"))</f>
        <v>Pune</v>
      </c>
      <c r="AE1581" s="7" t="str">
        <f aca="false">IF(TRIM(E1581)="","",IFERROR(INDEX(Map_Tables!$H$4:$H$37,MATCH(TRIM(E1581),Map_Tables!$G$4:$G$37,0)),"CHECK"))</f>
        <v>Pune Burger Hub</v>
      </c>
      <c r="AF1581" s="7" t="str">
        <f aca="false">IF(TRIM(K1581)="","Unknown",IFERROR(INDEX(Map_Tables!$E$4:$E$15,MATCH(TRIM(K1581),Map_Tables!$D$4:$D$15,0)),"CHECK"))</f>
        <v>Cash on Delivery</v>
      </c>
      <c r="AG1581" s="7" t="str">
        <f aca="false">IF(LEFT(LOWER(TRIM(L1581)),6)="cancel","Cancelled","Delivered")</f>
        <v>Delivered</v>
      </c>
      <c r="AH1581" s="10" t="n">
        <f aca="false">IF(ISNUMBER(SEARCH("/",B1581)),DATE(VALUE(RIGHT(B1581,4)),VALUE(MID(B1581,4,2)),VALUE(LEFT(B1581,2))),IF(MID(B1581,5,1)="-",DATE(VALUE(LEFT(B1581,4)),VALUE(MID(B1581,6,2)),VALUE(RIGHT(B1581,2))),DATE(VALUE(RIGHT(B1581,4)),MATCH(MID(B1581,4,3),{"Jan","Feb","Mar","Apr","May","Jun","Jul","Aug","Sep","Oct","Nov","Dec"},0),VALUE(LEFT(B1581,2)))))</f>
        <v>45667</v>
      </c>
    </row>
    <row r="1582" customFormat="false" ht="15" hidden="false" customHeight="false" outlineLevel="0" collapsed="false">
      <c r="A1582" s="7" t="s">
        <v>4072</v>
      </c>
      <c r="B1582" s="7" t="s">
        <v>4073</v>
      </c>
      <c r="C1582" s="7" t="s">
        <v>1336</v>
      </c>
      <c r="D1582" s="7" t="s">
        <v>4074</v>
      </c>
      <c r="E1582" s="7" t="s">
        <v>104</v>
      </c>
      <c r="F1582" s="7" t="s">
        <v>86</v>
      </c>
      <c r="G1582" s="7" t="s">
        <v>105</v>
      </c>
      <c r="H1582" s="7" t="n">
        <v>2</v>
      </c>
      <c r="I1582" s="7" t="n">
        <v>200</v>
      </c>
      <c r="J1582" s="7" t="n">
        <v>30</v>
      </c>
      <c r="K1582" s="7" t="s">
        <v>112</v>
      </c>
      <c r="L1582" s="7" t="s">
        <v>194</v>
      </c>
      <c r="M1582" s="7" t="n">
        <v>39</v>
      </c>
      <c r="N1582" s="7" t="n">
        <v>5</v>
      </c>
      <c r="O1582" s="7" t="str">
        <f aca="false">A1582&amp;"|"&amp;B1582&amp;"|"&amp;C1582&amp;"|"&amp;D1582&amp;"|"&amp;E1582&amp;"|"&amp;F1582&amp;"|"&amp;G1582&amp;"|"&amp;H1582&amp;"|"&amp;I1582&amp;"|"&amp;J1582&amp;"|"&amp;K1582&amp;"|"&amp;L1582&amp;"|"&amp;M1582&amp;"|"&amp;N1582</f>
        <v>ORD10026|04-Jan-2025|19:17|C0059|Wok &amp; Roll|Bengaluru|Chinese|2|200|30|Cash on Delivery|Delivered|39|5</v>
      </c>
      <c r="P1582" s="7" t="str">
        <f aca="false">IF(COUNTIF($O$2:O1582,O1582)&gt;1,"DUP","OK")</f>
        <v>OK</v>
      </c>
      <c r="Q1582" s="7" t="n">
        <f aca="false">COUNTBLANK(A1582:N1582)</f>
        <v>0</v>
      </c>
      <c r="R1582" s="7" t="n">
        <f aca="false">IF(A1582="",0,COUNTIFS($A$2:$A$3058,A1582,$P$2:$P$3058,"OK"))</f>
        <v>1</v>
      </c>
      <c r="S1582" s="7" t="str">
        <f aca="false">IF(OR(A1582="",P1582="DUP",R1582&lt;2),"",IF(Q1582=_xlfn.MINIFS($Q$2:$Q$3058,$A$2:$A$3058,A1582,$P$2:$P$3058,"OK"),"KEEP","DROP"))</f>
        <v/>
      </c>
      <c r="T1582" s="9" t="n">
        <f aca="false">IF(A1582="",1,0)</f>
        <v>0</v>
      </c>
      <c r="U1582" s="9" t="n">
        <f aca="false">IF(D1582="",1,0)</f>
        <v>0</v>
      </c>
      <c r="V1582" s="9" t="n">
        <f aca="false">IF(E1582="",1,0)</f>
        <v>0</v>
      </c>
      <c r="W1582" s="9" t="n">
        <f aca="false">IF(OR(H1582&lt;1,H1582&gt;10),1,0)</f>
        <v>0</v>
      </c>
      <c r="X1582" s="9" t="n">
        <f aca="false">IF(OR(I1582&lt;=0,I1582&gt;1500),1,0)</f>
        <v>0</v>
      </c>
      <c r="Y1582" s="9" t="n">
        <f aca="false">IF(J1582&gt;H1582*I1582,1,0)</f>
        <v>0</v>
      </c>
      <c r="Z1582" s="9" t="n">
        <f aca="false">IF(AND(N1582&lt;&gt;"",OR(N1582&lt;1,N1582&gt;5)),1,0)</f>
        <v>0</v>
      </c>
      <c r="AA1582" s="9" t="n">
        <f aca="false">IF(AND(M1582&lt;&gt;"",OR(M1582&lt;5,M1582&gt;180)),1,0)</f>
        <v>0</v>
      </c>
      <c r="AB1582" s="7" t="str">
        <f aca="false">IF(P1582="DUP","Exact duplicate row",IF(T1582=1,"Missing Order ID",IF(S1582="DROP","Duplicate Order ID (less complete row)",IF(U1582=1,"Missing Customer ID",IF(V1582=1,"Missing Restaurant name",IF(W1582=1,"Invalid/outlier quantity",IF(X1582=1,"Invalid/outlier unit price",IF(Y1582=1,"Discount greater than order value",""))))))))</f>
        <v/>
      </c>
      <c r="AC1582" s="7" t="str">
        <f aca="false">IF(AB1582="","KEEP","DROP")</f>
        <v>KEEP</v>
      </c>
      <c r="AD1582" s="7" t="str">
        <f aca="false">IF(TRIM(F1582)="",IFERROR(INDEX(Map_Tables!$I$4:$I$37,MATCH(TRIM(E1582),Map_Tables!$G$4:$G$37,0)),""),IFERROR(INDEX(Map_Tables!$B$4:$B$18,MATCH(TRIM(F1582),Map_Tables!$A$4:$A$18,0)),"CHECK"))</f>
        <v>Bengaluru</v>
      </c>
      <c r="AE1582" s="7" t="str">
        <f aca="false">IF(TRIM(E1582)="","",IFERROR(INDEX(Map_Tables!$H$4:$H$37,MATCH(TRIM(E1582),Map_Tables!$G$4:$G$37,0)),"CHECK"))</f>
        <v>Wok &amp; Roll</v>
      </c>
      <c r="AF1582" s="7" t="str">
        <f aca="false">IF(TRIM(K1582)="","Unknown",IFERROR(INDEX(Map_Tables!$E$4:$E$15,MATCH(TRIM(K1582),Map_Tables!$D$4:$D$15,0)),"CHECK"))</f>
        <v>Cash on Delivery</v>
      </c>
      <c r="AG1582" s="7" t="str">
        <f aca="false">IF(LEFT(LOWER(TRIM(L1582)),6)="cancel","Cancelled","Delivered")</f>
        <v>Delivered</v>
      </c>
      <c r="AH1582" s="10" t="n">
        <f aca="false">IF(ISNUMBER(SEARCH("/",B1582)),DATE(VALUE(RIGHT(B1582,4)),VALUE(MID(B1582,4,2)),VALUE(LEFT(B1582,2))),IF(MID(B1582,5,1)="-",DATE(VALUE(LEFT(B1582,4)),VALUE(MID(B1582,6,2)),VALUE(RIGHT(B1582,2))),DATE(VALUE(RIGHT(B1582,4)),MATCH(MID(B1582,4,3),{"Jan","Feb","Mar","Apr","May","Jun","Jul","Aug","Sep","Oct","Nov","Dec"},0),VALUE(LEFT(B1582,2)))))</f>
        <v>45661</v>
      </c>
    </row>
    <row r="1583" customFormat="false" ht="15" hidden="false" customHeight="false" outlineLevel="0" collapsed="false">
      <c r="A1583" s="7" t="s">
        <v>4075</v>
      </c>
      <c r="B1583" s="7" t="s">
        <v>262</v>
      </c>
      <c r="C1583" s="7" t="s">
        <v>2969</v>
      </c>
      <c r="D1583" s="7" t="s">
        <v>4076</v>
      </c>
      <c r="E1583" s="7" t="s">
        <v>138</v>
      </c>
      <c r="F1583" s="7" t="s">
        <v>521</v>
      </c>
      <c r="G1583" s="7" t="s">
        <v>139</v>
      </c>
      <c r="H1583" s="7" t="n">
        <v>1</v>
      </c>
      <c r="I1583" s="7" t="n">
        <v>175</v>
      </c>
      <c r="J1583" s="7" t="n">
        <v>0</v>
      </c>
      <c r="K1583" s="7" t="s">
        <v>88</v>
      </c>
      <c r="L1583" s="7" t="s">
        <v>194</v>
      </c>
      <c r="M1583" s="7" t="n">
        <v>34</v>
      </c>
      <c r="N1583" s="7" t="n">
        <v>4</v>
      </c>
      <c r="O1583" s="7" t="str">
        <f aca="false">A1583&amp;"|"&amp;B1583&amp;"|"&amp;C1583&amp;"|"&amp;D1583&amp;"|"&amp;E1583&amp;"|"&amp;F1583&amp;"|"&amp;G1583&amp;"|"&amp;H1583&amp;"|"&amp;I1583&amp;"|"&amp;J1583&amp;"|"&amp;K1583&amp;"|"&amp;L1583&amp;"|"&amp;M1583&amp;"|"&amp;N1583</f>
        <v>ORD11345|2025-06-22|18:03|C0932|Burger Barn|DELHI|Burgers|1|175|0|UPI|Delivered|34|4</v>
      </c>
      <c r="P1583" s="7" t="str">
        <f aca="false">IF(COUNTIF($O$2:O1583,O1583)&gt;1,"DUP","OK")</f>
        <v>OK</v>
      </c>
      <c r="Q1583" s="7" t="n">
        <f aca="false">COUNTBLANK(A1583:N1583)</f>
        <v>0</v>
      </c>
      <c r="R1583" s="7" t="n">
        <f aca="false">IF(A1583="",0,COUNTIFS($A$2:$A$3058,A1583,$P$2:$P$3058,"OK"))</f>
        <v>1</v>
      </c>
      <c r="S1583" s="7" t="str">
        <f aca="false">IF(OR(A1583="",P1583="DUP",R1583&lt;2),"",IF(Q1583=_xlfn.MINIFS($Q$2:$Q$3058,$A$2:$A$3058,A1583,$P$2:$P$3058,"OK"),"KEEP","DROP"))</f>
        <v/>
      </c>
      <c r="T1583" s="9" t="n">
        <f aca="false">IF(A1583="",1,0)</f>
        <v>0</v>
      </c>
      <c r="U1583" s="9" t="n">
        <f aca="false">IF(D1583="",1,0)</f>
        <v>0</v>
      </c>
      <c r="V1583" s="9" t="n">
        <f aca="false">IF(E1583="",1,0)</f>
        <v>0</v>
      </c>
      <c r="W1583" s="9" t="n">
        <f aca="false">IF(OR(H1583&lt;1,H1583&gt;10),1,0)</f>
        <v>0</v>
      </c>
      <c r="X1583" s="9" t="n">
        <f aca="false">IF(OR(I1583&lt;=0,I1583&gt;1500),1,0)</f>
        <v>0</v>
      </c>
      <c r="Y1583" s="9" t="n">
        <f aca="false">IF(J1583&gt;H1583*I1583,1,0)</f>
        <v>0</v>
      </c>
      <c r="Z1583" s="9" t="n">
        <f aca="false">IF(AND(N1583&lt;&gt;"",OR(N1583&lt;1,N1583&gt;5)),1,0)</f>
        <v>0</v>
      </c>
      <c r="AA1583" s="9" t="n">
        <f aca="false">IF(AND(M1583&lt;&gt;"",OR(M1583&lt;5,M1583&gt;180)),1,0)</f>
        <v>0</v>
      </c>
      <c r="AB1583" s="7" t="str">
        <f aca="false">IF(P1583="DUP","Exact duplicate row",IF(T1583=1,"Missing Order ID",IF(S1583="DROP","Duplicate Order ID (less complete row)",IF(U1583=1,"Missing Customer ID",IF(V1583=1,"Missing Restaurant name",IF(W1583=1,"Invalid/outlier quantity",IF(X1583=1,"Invalid/outlier unit price",IF(Y1583=1,"Discount greater than order value",""))))))))</f>
        <v/>
      </c>
      <c r="AC1583" s="7" t="str">
        <f aca="false">IF(AB1583="","KEEP","DROP")</f>
        <v>KEEP</v>
      </c>
      <c r="AD1583" s="7" t="str">
        <f aca="false">IF(TRIM(F1583)="",IFERROR(INDEX(Map_Tables!$I$4:$I$37,MATCH(TRIM(E1583),Map_Tables!$G$4:$G$37,0)),""),IFERROR(INDEX(Map_Tables!$B$4:$B$18,MATCH(TRIM(F1583),Map_Tables!$A$4:$A$18,0)),"CHECK"))</f>
        <v>Delhi</v>
      </c>
      <c r="AE1583" s="7" t="str">
        <f aca="false">IF(TRIM(E1583)="","",IFERROR(INDEX(Map_Tables!$H$4:$H$37,MATCH(TRIM(E1583),Map_Tables!$G$4:$G$37,0)),"CHECK"))</f>
        <v>Burger Barn</v>
      </c>
      <c r="AF1583" s="7" t="str">
        <f aca="false">IF(TRIM(K1583)="","Unknown",IFERROR(INDEX(Map_Tables!$E$4:$E$15,MATCH(TRIM(K1583),Map_Tables!$D$4:$D$15,0)),"CHECK"))</f>
        <v>UPI</v>
      </c>
      <c r="AG1583" s="7" t="str">
        <f aca="false">IF(LEFT(LOWER(TRIM(L1583)),6)="cancel","Cancelled","Delivered")</f>
        <v>Delivered</v>
      </c>
      <c r="AH1583" s="10" t="n">
        <f aca="false">IF(ISNUMBER(SEARCH("/",B1583)),DATE(VALUE(RIGHT(B1583,4)),VALUE(MID(B1583,4,2)),VALUE(LEFT(B1583,2))),IF(MID(B1583,5,1)="-",DATE(VALUE(LEFT(B1583,4)),VALUE(MID(B1583,6,2)),VALUE(RIGHT(B1583,2))),DATE(VALUE(RIGHT(B1583,4)),MATCH(MID(B1583,4,3),{"Jan","Feb","Mar","Apr","May","Jun","Jul","Aug","Sep","Oct","Nov","Dec"},0),VALUE(LEFT(B1583,2)))))</f>
        <v>45830</v>
      </c>
    </row>
    <row r="1584" customFormat="false" ht="15" hidden="false" customHeight="false" outlineLevel="0" collapsed="false">
      <c r="A1584" s="7" t="s">
        <v>4077</v>
      </c>
      <c r="B1584" s="7" t="s">
        <v>859</v>
      </c>
      <c r="C1584" s="7" t="s">
        <v>1631</v>
      </c>
      <c r="D1584" s="7" t="s">
        <v>784</v>
      </c>
      <c r="E1584" s="7" t="s">
        <v>1221</v>
      </c>
      <c r="F1584" s="7" t="s">
        <v>141</v>
      </c>
      <c r="G1584" s="7" t="s">
        <v>99</v>
      </c>
      <c r="H1584" s="7" t="n">
        <v>2</v>
      </c>
      <c r="I1584" s="7" t="n">
        <v>190</v>
      </c>
      <c r="J1584" s="7" t="n">
        <v>0</v>
      </c>
      <c r="K1584" s="7" t="s">
        <v>88</v>
      </c>
      <c r="L1584" s="7" t="s">
        <v>194</v>
      </c>
      <c r="M1584" s="7" t="n">
        <v>54</v>
      </c>
      <c r="N1584" s="7" t="n">
        <v>3</v>
      </c>
      <c r="O1584" s="7" t="str">
        <f aca="false">A1584&amp;"|"&amp;B1584&amp;"|"&amp;C1584&amp;"|"&amp;D1584&amp;"|"&amp;E1584&amp;"|"&amp;F1584&amp;"|"&amp;G1584&amp;"|"&amp;H1584&amp;"|"&amp;I1584&amp;"|"&amp;J1584&amp;"|"&amp;K1584&amp;"|"&amp;L1584&amp;"|"&amp;M1584&amp;"|"&amp;N1584</f>
        <v>ORD11874|2025-09-01|19:53|C0674| Biryani Baadshah|Kolkata|Biryani|2|190|0|UPI|Delivered|54|3</v>
      </c>
      <c r="P1584" s="7" t="str">
        <f aca="false">IF(COUNTIF($O$2:O1584,O1584)&gt;1,"DUP","OK")</f>
        <v>OK</v>
      </c>
      <c r="Q1584" s="7" t="n">
        <f aca="false">COUNTBLANK(A1584:N1584)</f>
        <v>0</v>
      </c>
      <c r="R1584" s="7" t="n">
        <f aca="false">IF(A1584="",0,COUNTIFS($A$2:$A$3058,A1584,$P$2:$P$3058,"OK"))</f>
        <v>1</v>
      </c>
      <c r="S1584" s="7" t="str">
        <f aca="false">IF(OR(A1584="",P1584="DUP",R1584&lt;2),"",IF(Q1584=_xlfn.MINIFS($Q$2:$Q$3058,$A$2:$A$3058,A1584,$P$2:$P$3058,"OK"),"KEEP","DROP"))</f>
        <v/>
      </c>
      <c r="T1584" s="9" t="n">
        <f aca="false">IF(A1584="",1,0)</f>
        <v>0</v>
      </c>
      <c r="U1584" s="9" t="n">
        <f aca="false">IF(D1584="",1,0)</f>
        <v>0</v>
      </c>
      <c r="V1584" s="9" t="n">
        <f aca="false">IF(E1584="",1,0)</f>
        <v>0</v>
      </c>
      <c r="W1584" s="9" t="n">
        <f aca="false">IF(OR(H1584&lt;1,H1584&gt;10),1,0)</f>
        <v>0</v>
      </c>
      <c r="X1584" s="9" t="n">
        <f aca="false">IF(OR(I1584&lt;=0,I1584&gt;1500),1,0)</f>
        <v>0</v>
      </c>
      <c r="Y1584" s="9" t="n">
        <f aca="false">IF(J1584&gt;H1584*I1584,1,0)</f>
        <v>0</v>
      </c>
      <c r="Z1584" s="9" t="n">
        <f aca="false">IF(AND(N1584&lt;&gt;"",OR(N1584&lt;1,N1584&gt;5)),1,0)</f>
        <v>0</v>
      </c>
      <c r="AA1584" s="9" t="n">
        <f aca="false">IF(AND(M1584&lt;&gt;"",OR(M1584&lt;5,M1584&gt;180)),1,0)</f>
        <v>0</v>
      </c>
      <c r="AB1584" s="7" t="str">
        <f aca="false">IF(P1584="DUP","Exact duplicate row",IF(T1584=1,"Missing Order ID",IF(S1584="DROP","Duplicate Order ID (less complete row)",IF(U1584=1,"Missing Customer ID",IF(V1584=1,"Missing Restaurant name",IF(W1584=1,"Invalid/outlier quantity",IF(X1584=1,"Invalid/outlier unit price",IF(Y1584=1,"Discount greater than order value",""))))))))</f>
        <v/>
      </c>
      <c r="AC1584" s="7" t="str">
        <f aca="false">IF(AB1584="","KEEP","DROP")</f>
        <v>KEEP</v>
      </c>
      <c r="AD1584" s="7" t="str">
        <f aca="false">IF(TRIM(F1584)="",IFERROR(INDEX(Map_Tables!$I$4:$I$37,MATCH(TRIM(E1584),Map_Tables!$G$4:$G$37,0)),""),IFERROR(INDEX(Map_Tables!$B$4:$B$18,MATCH(TRIM(F1584),Map_Tables!$A$4:$A$18,0)),"CHECK"))</f>
        <v>Kolkata</v>
      </c>
      <c r="AE1584" s="7" t="str">
        <f aca="false">IF(TRIM(E1584)="","",IFERROR(INDEX(Map_Tables!$H$4:$H$37,MATCH(TRIM(E1584),Map_Tables!$G$4:$G$37,0)),"CHECK"))</f>
        <v>Biryani Baadshah</v>
      </c>
      <c r="AF1584" s="7" t="str">
        <f aca="false">IF(TRIM(K1584)="","Unknown",IFERROR(INDEX(Map_Tables!$E$4:$E$15,MATCH(TRIM(K1584),Map_Tables!$D$4:$D$15,0)),"CHECK"))</f>
        <v>UPI</v>
      </c>
      <c r="AG1584" s="7" t="str">
        <f aca="false">IF(LEFT(LOWER(TRIM(L1584)),6)="cancel","Cancelled","Delivered")</f>
        <v>Delivered</v>
      </c>
      <c r="AH1584" s="10" t="n">
        <f aca="false">IF(ISNUMBER(SEARCH("/",B1584)),DATE(VALUE(RIGHT(B1584,4)),VALUE(MID(B1584,4,2)),VALUE(LEFT(B1584,2))),IF(MID(B1584,5,1)="-",DATE(VALUE(LEFT(B1584,4)),VALUE(MID(B1584,6,2)),VALUE(RIGHT(B1584,2))),DATE(VALUE(RIGHT(B1584,4)),MATCH(MID(B1584,4,3),{"Jan","Feb","Mar","Apr","May","Jun","Jul","Aug","Sep","Oct","Nov","Dec"},0),VALUE(LEFT(B1584,2)))))</f>
        <v>45901</v>
      </c>
    </row>
    <row r="1585" customFormat="false" ht="15" hidden="false" customHeight="false" outlineLevel="0" collapsed="false">
      <c r="A1585" s="7" t="s">
        <v>4078</v>
      </c>
      <c r="B1585" s="7" t="s">
        <v>2244</v>
      </c>
      <c r="C1585" s="7" t="s">
        <v>1620</v>
      </c>
      <c r="D1585" s="7" t="s">
        <v>2028</v>
      </c>
      <c r="E1585" s="7" t="s">
        <v>122</v>
      </c>
      <c r="F1585" s="7" t="s">
        <v>101</v>
      </c>
      <c r="G1585" s="7" t="s">
        <v>123</v>
      </c>
      <c r="H1585" s="7" t="n">
        <v>1</v>
      </c>
      <c r="I1585" s="7" t="n">
        <v>300</v>
      </c>
      <c r="J1585" s="7" t="n">
        <v>0</v>
      </c>
      <c r="K1585" s="7" t="s">
        <v>93</v>
      </c>
      <c r="L1585" s="7" t="s">
        <v>194</v>
      </c>
      <c r="M1585" s="7" t="n">
        <v>38</v>
      </c>
      <c r="N1585" s="7" t="n">
        <v>3</v>
      </c>
      <c r="O1585" s="7" t="str">
        <f aca="false">A1585&amp;"|"&amp;B1585&amp;"|"&amp;C1585&amp;"|"&amp;D1585&amp;"|"&amp;E1585&amp;"|"&amp;F1585&amp;"|"&amp;G1585&amp;"|"&amp;H1585&amp;"|"&amp;I1585&amp;"|"&amp;J1585&amp;"|"&amp;K1585&amp;"|"&amp;L1585&amp;"|"&amp;M1585&amp;"|"&amp;N1585</f>
        <v>ORD11127|2025-05-23|21:37|C0394|Mumbai Pizza Co|Mumbai|Pizza|1|300|0|Credit Card|Delivered|38|3</v>
      </c>
      <c r="P1585" s="7" t="str">
        <f aca="false">IF(COUNTIF($O$2:O1585,O1585)&gt;1,"DUP","OK")</f>
        <v>OK</v>
      </c>
      <c r="Q1585" s="7" t="n">
        <f aca="false">COUNTBLANK(A1585:N1585)</f>
        <v>0</v>
      </c>
      <c r="R1585" s="7" t="n">
        <f aca="false">IF(A1585="",0,COUNTIFS($A$2:$A$3058,A1585,$P$2:$P$3058,"OK"))</f>
        <v>1</v>
      </c>
      <c r="S1585" s="7" t="str">
        <f aca="false">IF(OR(A1585="",P1585="DUP",R1585&lt;2),"",IF(Q1585=_xlfn.MINIFS($Q$2:$Q$3058,$A$2:$A$3058,A1585,$P$2:$P$3058,"OK"),"KEEP","DROP"))</f>
        <v/>
      </c>
      <c r="T1585" s="9" t="n">
        <f aca="false">IF(A1585="",1,0)</f>
        <v>0</v>
      </c>
      <c r="U1585" s="9" t="n">
        <f aca="false">IF(D1585="",1,0)</f>
        <v>0</v>
      </c>
      <c r="V1585" s="9" t="n">
        <f aca="false">IF(E1585="",1,0)</f>
        <v>0</v>
      </c>
      <c r="W1585" s="9" t="n">
        <f aca="false">IF(OR(H1585&lt;1,H1585&gt;10),1,0)</f>
        <v>0</v>
      </c>
      <c r="X1585" s="9" t="n">
        <f aca="false">IF(OR(I1585&lt;=0,I1585&gt;1500),1,0)</f>
        <v>0</v>
      </c>
      <c r="Y1585" s="9" t="n">
        <f aca="false">IF(J1585&gt;H1585*I1585,1,0)</f>
        <v>0</v>
      </c>
      <c r="Z1585" s="9" t="n">
        <f aca="false">IF(AND(N1585&lt;&gt;"",OR(N1585&lt;1,N1585&gt;5)),1,0)</f>
        <v>0</v>
      </c>
      <c r="AA1585" s="9" t="n">
        <f aca="false">IF(AND(M1585&lt;&gt;"",OR(M1585&lt;5,M1585&gt;180)),1,0)</f>
        <v>0</v>
      </c>
      <c r="AB1585" s="7" t="str">
        <f aca="false">IF(P1585="DUP","Exact duplicate row",IF(T1585=1,"Missing Order ID",IF(S1585="DROP","Duplicate Order ID (less complete row)",IF(U1585=1,"Missing Customer ID",IF(V1585=1,"Missing Restaurant name",IF(W1585=1,"Invalid/outlier quantity",IF(X1585=1,"Invalid/outlier unit price",IF(Y1585=1,"Discount greater than order value",""))))))))</f>
        <v/>
      </c>
      <c r="AC1585" s="7" t="str">
        <f aca="false">IF(AB1585="","KEEP","DROP")</f>
        <v>KEEP</v>
      </c>
      <c r="AD1585" s="7" t="str">
        <f aca="false">IF(TRIM(F1585)="",IFERROR(INDEX(Map_Tables!$I$4:$I$37,MATCH(TRIM(E1585),Map_Tables!$G$4:$G$37,0)),""),IFERROR(INDEX(Map_Tables!$B$4:$B$18,MATCH(TRIM(F1585),Map_Tables!$A$4:$A$18,0)),"CHECK"))</f>
        <v>Mumbai</v>
      </c>
      <c r="AE1585" s="7" t="str">
        <f aca="false">IF(TRIM(E1585)="","",IFERROR(INDEX(Map_Tables!$H$4:$H$37,MATCH(TRIM(E1585),Map_Tables!$G$4:$G$37,0)),"CHECK"))</f>
        <v>Mumbai Pizza Co</v>
      </c>
      <c r="AF1585" s="7" t="str">
        <f aca="false">IF(TRIM(K1585)="","Unknown",IFERROR(INDEX(Map_Tables!$E$4:$E$15,MATCH(TRIM(K1585),Map_Tables!$D$4:$D$15,0)),"CHECK"))</f>
        <v>Credit Card</v>
      </c>
      <c r="AG1585" s="7" t="str">
        <f aca="false">IF(LEFT(LOWER(TRIM(L1585)),6)="cancel","Cancelled","Delivered")</f>
        <v>Delivered</v>
      </c>
      <c r="AH1585" s="10" t="n">
        <f aca="false">IF(ISNUMBER(SEARCH("/",B1585)),DATE(VALUE(RIGHT(B1585,4)),VALUE(MID(B1585,4,2)),VALUE(LEFT(B1585,2))),IF(MID(B1585,5,1)="-",DATE(VALUE(LEFT(B1585,4)),VALUE(MID(B1585,6,2)),VALUE(RIGHT(B1585,2))),DATE(VALUE(RIGHT(B1585,4)),MATCH(MID(B1585,4,3),{"Jan","Feb","Mar","Apr","May","Jun","Jul","Aug","Sep","Oct","Nov","Dec"},0),VALUE(LEFT(B1585,2)))))</f>
        <v>45800</v>
      </c>
    </row>
    <row r="1586" customFormat="false" ht="15" hidden="false" customHeight="false" outlineLevel="0" collapsed="false">
      <c r="A1586" s="7" t="s">
        <v>4079</v>
      </c>
      <c r="B1586" s="7" t="s">
        <v>3122</v>
      </c>
      <c r="C1586" s="7" t="s">
        <v>4080</v>
      </c>
      <c r="D1586" s="7" t="s">
        <v>1148</v>
      </c>
      <c r="E1586" s="7" t="s">
        <v>94</v>
      </c>
      <c r="F1586" s="7" t="s">
        <v>86</v>
      </c>
      <c r="G1586" s="7" t="s">
        <v>95</v>
      </c>
      <c r="H1586" s="7" t="n">
        <v>3</v>
      </c>
      <c r="I1586" s="7" t="n">
        <v>115</v>
      </c>
      <c r="J1586" s="7" t="n">
        <v>40</v>
      </c>
      <c r="K1586" s="7" t="s">
        <v>88</v>
      </c>
      <c r="L1586" s="7" t="s">
        <v>194</v>
      </c>
      <c r="M1586" s="7" t="n">
        <v>36</v>
      </c>
      <c r="N1586" s="7" t="n">
        <v>4</v>
      </c>
      <c r="O1586" s="7" t="str">
        <f aca="false">A1586&amp;"|"&amp;B1586&amp;"|"&amp;C1586&amp;"|"&amp;D1586&amp;"|"&amp;E1586&amp;"|"&amp;F1586&amp;"|"&amp;G1586&amp;"|"&amp;H1586&amp;"|"&amp;I1586&amp;"|"&amp;J1586&amp;"|"&amp;K1586&amp;"|"&amp;L1586&amp;"|"&amp;M1586&amp;"|"&amp;N1586</f>
        <v>ORD12491|2025-11-09|10:44|C0341|Dosa Darbar|Bengaluru|South Indian|3|115|40|UPI|Delivered|36|4</v>
      </c>
      <c r="P1586" s="7" t="str">
        <f aca="false">IF(COUNTIF($O$2:O1586,O1586)&gt;1,"DUP","OK")</f>
        <v>OK</v>
      </c>
      <c r="Q1586" s="7" t="n">
        <f aca="false">COUNTBLANK(A1586:N1586)</f>
        <v>0</v>
      </c>
      <c r="R1586" s="7" t="n">
        <f aca="false">IF(A1586="",0,COUNTIFS($A$2:$A$3058,A1586,$P$2:$P$3058,"OK"))</f>
        <v>1</v>
      </c>
      <c r="S1586" s="7" t="str">
        <f aca="false">IF(OR(A1586="",P1586="DUP",R1586&lt;2),"",IF(Q1586=_xlfn.MINIFS($Q$2:$Q$3058,$A$2:$A$3058,A1586,$P$2:$P$3058,"OK"),"KEEP","DROP"))</f>
        <v/>
      </c>
      <c r="T1586" s="9" t="n">
        <f aca="false">IF(A1586="",1,0)</f>
        <v>0</v>
      </c>
      <c r="U1586" s="9" t="n">
        <f aca="false">IF(D1586="",1,0)</f>
        <v>0</v>
      </c>
      <c r="V1586" s="9" t="n">
        <f aca="false">IF(E1586="",1,0)</f>
        <v>0</v>
      </c>
      <c r="W1586" s="9" t="n">
        <f aca="false">IF(OR(H1586&lt;1,H1586&gt;10),1,0)</f>
        <v>0</v>
      </c>
      <c r="X1586" s="9" t="n">
        <f aca="false">IF(OR(I1586&lt;=0,I1586&gt;1500),1,0)</f>
        <v>0</v>
      </c>
      <c r="Y1586" s="9" t="n">
        <f aca="false">IF(J1586&gt;H1586*I1586,1,0)</f>
        <v>0</v>
      </c>
      <c r="Z1586" s="9" t="n">
        <f aca="false">IF(AND(N1586&lt;&gt;"",OR(N1586&lt;1,N1586&gt;5)),1,0)</f>
        <v>0</v>
      </c>
      <c r="AA1586" s="9" t="n">
        <f aca="false">IF(AND(M1586&lt;&gt;"",OR(M1586&lt;5,M1586&gt;180)),1,0)</f>
        <v>0</v>
      </c>
      <c r="AB1586" s="7" t="str">
        <f aca="false">IF(P1586="DUP","Exact duplicate row",IF(T1586=1,"Missing Order ID",IF(S1586="DROP","Duplicate Order ID (less complete row)",IF(U1586=1,"Missing Customer ID",IF(V1586=1,"Missing Restaurant name",IF(W1586=1,"Invalid/outlier quantity",IF(X1586=1,"Invalid/outlier unit price",IF(Y1586=1,"Discount greater than order value",""))))))))</f>
        <v/>
      </c>
      <c r="AC1586" s="7" t="str">
        <f aca="false">IF(AB1586="","KEEP","DROP")</f>
        <v>KEEP</v>
      </c>
      <c r="AD1586" s="7" t="str">
        <f aca="false">IF(TRIM(F1586)="",IFERROR(INDEX(Map_Tables!$I$4:$I$37,MATCH(TRIM(E1586),Map_Tables!$G$4:$G$37,0)),""),IFERROR(INDEX(Map_Tables!$B$4:$B$18,MATCH(TRIM(F1586),Map_Tables!$A$4:$A$18,0)),"CHECK"))</f>
        <v>Bengaluru</v>
      </c>
      <c r="AE1586" s="7" t="str">
        <f aca="false">IF(TRIM(E1586)="","",IFERROR(INDEX(Map_Tables!$H$4:$H$37,MATCH(TRIM(E1586),Map_Tables!$G$4:$G$37,0)),"CHECK"))</f>
        <v>Dosa Darbar</v>
      </c>
      <c r="AF1586" s="7" t="str">
        <f aca="false">IF(TRIM(K1586)="","Unknown",IFERROR(INDEX(Map_Tables!$E$4:$E$15,MATCH(TRIM(K1586),Map_Tables!$D$4:$D$15,0)),"CHECK"))</f>
        <v>UPI</v>
      </c>
      <c r="AG1586" s="7" t="str">
        <f aca="false">IF(LEFT(LOWER(TRIM(L1586)),6)="cancel","Cancelled","Delivered")</f>
        <v>Delivered</v>
      </c>
      <c r="AH1586" s="10" t="n">
        <f aca="false">IF(ISNUMBER(SEARCH("/",B1586)),DATE(VALUE(RIGHT(B1586,4)),VALUE(MID(B1586,4,2)),VALUE(LEFT(B1586,2))),IF(MID(B1586,5,1)="-",DATE(VALUE(LEFT(B1586,4)),VALUE(MID(B1586,6,2)),VALUE(RIGHT(B1586,2))),DATE(VALUE(RIGHT(B1586,4)),MATCH(MID(B1586,4,3),{"Jan","Feb","Mar","Apr","May","Jun","Jul","Aug","Sep","Oct","Nov","Dec"},0),VALUE(LEFT(B1586,2)))))</f>
        <v>45970</v>
      </c>
    </row>
    <row r="1587" customFormat="false" ht="15" hidden="false" customHeight="false" outlineLevel="0" collapsed="false">
      <c r="A1587" s="7" t="s">
        <v>4081</v>
      </c>
      <c r="B1587" s="7" t="s">
        <v>800</v>
      </c>
      <c r="C1587" s="7" t="s">
        <v>4082</v>
      </c>
      <c r="D1587" s="7" t="s">
        <v>3284</v>
      </c>
      <c r="E1587" s="7" t="s">
        <v>168</v>
      </c>
      <c r="F1587" s="7" t="s">
        <v>146</v>
      </c>
      <c r="G1587" s="7" t="s">
        <v>123</v>
      </c>
      <c r="H1587" s="7" t="n">
        <v>1</v>
      </c>
      <c r="I1587" s="7" t="n">
        <v>285</v>
      </c>
      <c r="J1587" s="7" t="n">
        <v>30</v>
      </c>
      <c r="K1587" s="7" t="s">
        <v>88</v>
      </c>
      <c r="L1587" s="7" t="s">
        <v>194</v>
      </c>
      <c r="M1587" s="7" t="n">
        <v>23</v>
      </c>
      <c r="N1587" s="7" t="n">
        <v>4</v>
      </c>
      <c r="O1587" s="7" t="str">
        <f aca="false">A1587&amp;"|"&amp;B1587&amp;"|"&amp;C1587&amp;"|"&amp;D1587&amp;"|"&amp;E1587&amp;"|"&amp;F1587&amp;"|"&amp;G1587&amp;"|"&amp;H1587&amp;"|"&amp;I1587&amp;"|"&amp;J1587&amp;"|"&amp;K1587&amp;"|"&amp;L1587&amp;"|"&amp;M1587&amp;"|"&amp;N1587</f>
        <v>ORD11140|2025-05-24|23:29|C0767|Cheesy Slice|Ahmedabad|Pizza|1|285|30|UPI|Delivered|23|4</v>
      </c>
      <c r="P1587" s="7" t="str">
        <f aca="false">IF(COUNTIF($O$2:O1587,O1587)&gt;1,"DUP","OK")</f>
        <v>OK</v>
      </c>
      <c r="Q1587" s="7" t="n">
        <f aca="false">COUNTBLANK(A1587:N1587)</f>
        <v>0</v>
      </c>
      <c r="R1587" s="7" t="n">
        <f aca="false">IF(A1587="",0,COUNTIFS($A$2:$A$3058,A1587,$P$2:$P$3058,"OK"))</f>
        <v>1</v>
      </c>
      <c r="S1587" s="7" t="str">
        <f aca="false">IF(OR(A1587="",P1587="DUP",R1587&lt;2),"",IF(Q1587=_xlfn.MINIFS($Q$2:$Q$3058,$A$2:$A$3058,A1587,$P$2:$P$3058,"OK"),"KEEP","DROP"))</f>
        <v/>
      </c>
      <c r="T1587" s="9" t="n">
        <f aca="false">IF(A1587="",1,0)</f>
        <v>0</v>
      </c>
      <c r="U1587" s="9" t="n">
        <f aca="false">IF(D1587="",1,0)</f>
        <v>0</v>
      </c>
      <c r="V1587" s="9" t="n">
        <f aca="false">IF(E1587="",1,0)</f>
        <v>0</v>
      </c>
      <c r="W1587" s="9" t="n">
        <f aca="false">IF(OR(H1587&lt;1,H1587&gt;10),1,0)</f>
        <v>0</v>
      </c>
      <c r="X1587" s="9" t="n">
        <f aca="false">IF(OR(I1587&lt;=0,I1587&gt;1500),1,0)</f>
        <v>0</v>
      </c>
      <c r="Y1587" s="9" t="n">
        <f aca="false">IF(J1587&gt;H1587*I1587,1,0)</f>
        <v>0</v>
      </c>
      <c r="Z1587" s="9" t="n">
        <f aca="false">IF(AND(N1587&lt;&gt;"",OR(N1587&lt;1,N1587&gt;5)),1,0)</f>
        <v>0</v>
      </c>
      <c r="AA1587" s="9" t="n">
        <f aca="false">IF(AND(M1587&lt;&gt;"",OR(M1587&lt;5,M1587&gt;180)),1,0)</f>
        <v>0</v>
      </c>
      <c r="AB1587" s="7" t="str">
        <f aca="false">IF(P1587="DUP","Exact duplicate row",IF(T1587=1,"Missing Order ID",IF(S1587="DROP","Duplicate Order ID (less complete row)",IF(U1587=1,"Missing Customer ID",IF(V1587=1,"Missing Restaurant name",IF(W1587=1,"Invalid/outlier quantity",IF(X1587=1,"Invalid/outlier unit price",IF(Y1587=1,"Discount greater than order value",""))))))))</f>
        <v/>
      </c>
      <c r="AC1587" s="7" t="str">
        <f aca="false">IF(AB1587="","KEEP","DROP")</f>
        <v>KEEP</v>
      </c>
      <c r="AD1587" s="7" t="str">
        <f aca="false">IF(TRIM(F1587)="",IFERROR(INDEX(Map_Tables!$I$4:$I$37,MATCH(TRIM(E1587),Map_Tables!$G$4:$G$37,0)),""),IFERROR(INDEX(Map_Tables!$B$4:$B$18,MATCH(TRIM(F1587),Map_Tables!$A$4:$A$18,0)),"CHECK"))</f>
        <v>Ahmedabad</v>
      </c>
      <c r="AE1587" s="7" t="str">
        <f aca="false">IF(TRIM(E1587)="","",IFERROR(INDEX(Map_Tables!$H$4:$H$37,MATCH(TRIM(E1587),Map_Tables!$G$4:$G$37,0)),"CHECK"))</f>
        <v>Cheesy Slice</v>
      </c>
      <c r="AF1587" s="7" t="str">
        <f aca="false">IF(TRIM(K1587)="","Unknown",IFERROR(INDEX(Map_Tables!$E$4:$E$15,MATCH(TRIM(K1587),Map_Tables!$D$4:$D$15,0)),"CHECK"))</f>
        <v>UPI</v>
      </c>
      <c r="AG1587" s="7" t="str">
        <f aca="false">IF(LEFT(LOWER(TRIM(L1587)),6)="cancel","Cancelled","Delivered")</f>
        <v>Delivered</v>
      </c>
      <c r="AH1587" s="10" t="n">
        <f aca="false">IF(ISNUMBER(SEARCH("/",B1587)),DATE(VALUE(RIGHT(B1587,4)),VALUE(MID(B1587,4,2)),VALUE(LEFT(B1587,2))),IF(MID(B1587,5,1)="-",DATE(VALUE(LEFT(B1587,4)),VALUE(MID(B1587,6,2)),VALUE(RIGHT(B1587,2))),DATE(VALUE(RIGHT(B1587,4)),MATCH(MID(B1587,4,3),{"Jan","Feb","Mar","Apr","May","Jun","Jul","Aug","Sep","Oct","Nov","Dec"},0),VALUE(LEFT(B1587,2)))))</f>
        <v>45801</v>
      </c>
    </row>
    <row r="1588" customFormat="false" ht="15" hidden="false" customHeight="false" outlineLevel="0" collapsed="false">
      <c r="A1588" s="7" t="s">
        <v>4083</v>
      </c>
      <c r="B1588" s="7" t="s">
        <v>2598</v>
      </c>
      <c r="C1588" s="7" t="s">
        <v>2292</v>
      </c>
      <c r="D1588" s="7" t="s">
        <v>1424</v>
      </c>
      <c r="E1588" s="7" t="s">
        <v>163</v>
      </c>
      <c r="F1588" s="7" t="s">
        <v>1793</v>
      </c>
      <c r="G1588" s="7" t="s">
        <v>99</v>
      </c>
      <c r="H1588" s="7" t="n">
        <v>2</v>
      </c>
      <c r="I1588" s="7" t="n">
        <v>230</v>
      </c>
      <c r="J1588" s="7" t="n">
        <v>75</v>
      </c>
      <c r="K1588" s="7" t="s">
        <v>88</v>
      </c>
      <c r="L1588" s="7" t="s">
        <v>194</v>
      </c>
      <c r="M1588" s="7" t="n">
        <v>46</v>
      </c>
      <c r="N1588" s="7" t="n">
        <v>4</v>
      </c>
      <c r="O1588" s="7" t="str">
        <f aca="false">A1588&amp;"|"&amp;B1588&amp;"|"&amp;C1588&amp;"|"&amp;D1588&amp;"|"&amp;E1588&amp;"|"&amp;F1588&amp;"|"&amp;G1588&amp;"|"&amp;H1588&amp;"|"&amp;I1588&amp;"|"&amp;J1588&amp;"|"&amp;K1588&amp;"|"&amp;L1588&amp;"|"&amp;M1588&amp;"|"&amp;N1588</f>
        <v>ORD10506|2025-03-07|20:11|C1256|Biryani Baadshah|Calcutta|Biryani|2|230|75|UPI|Delivered|46|4</v>
      </c>
      <c r="P1588" s="7" t="str">
        <f aca="false">IF(COUNTIF($O$2:O1588,O1588)&gt;1,"DUP","OK")</f>
        <v>OK</v>
      </c>
      <c r="Q1588" s="7" t="n">
        <f aca="false">COUNTBLANK(A1588:N1588)</f>
        <v>0</v>
      </c>
      <c r="R1588" s="7" t="n">
        <f aca="false">IF(A1588="",0,COUNTIFS($A$2:$A$3058,A1588,$P$2:$P$3058,"OK"))</f>
        <v>1</v>
      </c>
      <c r="S1588" s="7" t="str">
        <f aca="false">IF(OR(A1588="",P1588="DUP",R1588&lt;2),"",IF(Q1588=_xlfn.MINIFS($Q$2:$Q$3058,$A$2:$A$3058,A1588,$P$2:$P$3058,"OK"),"KEEP","DROP"))</f>
        <v/>
      </c>
      <c r="T1588" s="9" t="n">
        <f aca="false">IF(A1588="",1,0)</f>
        <v>0</v>
      </c>
      <c r="U1588" s="9" t="n">
        <f aca="false">IF(D1588="",1,0)</f>
        <v>0</v>
      </c>
      <c r="V1588" s="9" t="n">
        <f aca="false">IF(E1588="",1,0)</f>
        <v>0</v>
      </c>
      <c r="W1588" s="9" t="n">
        <f aca="false">IF(OR(H1588&lt;1,H1588&gt;10),1,0)</f>
        <v>0</v>
      </c>
      <c r="X1588" s="9" t="n">
        <f aca="false">IF(OR(I1588&lt;=0,I1588&gt;1500),1,0)</f>
        <v>0</v>
      </c>
      <c r="Y1588" s="9" t="n">
        <f aca="false">IF(J1588&gt;H1588*I1588,1,0)</f>
        <v>0</v>
      </c>
      <c r="Z1588" s="9" t="n">
        <f aca="false">IF(AND(N1588&lt;&gt;"",OR(N1588&lt;1,N1588&gt;5)),1,0)</f>
        <v>0</v>
      </c>
      <c r="AA1588" s="9" t="n">
        <f aca="false">IF(AND(M1588&lt;&gt;"",OR(M1588&lt;5,M1588&gt;180)),1,0)</f>
        <v>0</v>
      </c>
      <c r="AB1588" s="7" t="str">
        <f aca="false">IF(P1588="DUP","Exact duplicate row",IF(T1588=1,"Missing Order ID",IF(S1588="DROP","Duplicate Order ID (less complete row)",IF(U1588=1,"Missing Customer ID",IF(V1588=1,"Missing Restaurant name",IF(W1588=1,"Invalid/outlier quantity",IF(X1588=1,"Invalid/outlier unit price",IF(Y1588=1,"Discount greater than order value",""))))))))</f>
        <v/>
      </c>
      <c r="AC1588" s="7" t="str">
        <f aca="false">IF(AB1588="","KEEP","DROP")</f>
        <v>KEEP</v>
      </c>
      <c r="AD1588" s="7" t="str">
        <f aca="false">IF(TRIM(F1588)="",IFERROR(INDEX(Map_Tables!$I$4:$I$37,MATCH(TRIM(E1588),Map_Tables!$G$4:$G$37,0)),""),IFERROR(INDEX(Map_Tables!$B$4:$B$18,MATCH(TRIM(F1588),Map_Tables!$A$4:$A$18,0)),"CHECK"))</f>
        <v>Kolkata</v>
      </c>
      <c r="AE1588" s="7" t="str">
        <f aca="false">IF(TRIM(E1588)="","",IFERROR(INDEX(Map_Tables!$H$4:$H$37,MATCH(TRIM(E1588),Map_Tables!$G$4:$G$37,0)),"CHECK"))</f>
        <v>Biryani Baadshah</v>
      </c>
      <c r="AF1588" s="7" t="str">
        <f aca="false">IF(TRIM(K1588)="","Unknown",IFERROR(INDEX(Map_Tables!$E$4:$E$15,MATCH(TRIM(K1588),Map_Tables!$D$4:$D$15,0)),"CHECK"))</f>
        <v>UPI</v>
      </c>
      <c r="AG1588" s="7" t="str">
        <f aca="false">IF(LEFT(LOWER(TRIM(L1588)),6)="cancel","Cancelled","Delivered")</f>
        <v>Delivered</v>
      </c>
      <c r="AH1588" s="10" t="n">
        <f aca="false">IF(ISNUMBER(SEARCH("/",B1588)),DATE(VALUE(RIGHT(B1588,4)),VALUE(MID(B1588,4,2)),VALUE(LEFT(B1588,2))),IF(MID(B1588,5,1)="-",DATE(VALUE(LEFT(B1588,4)),VALUE(MID(B1588,6,2)),VALUE(RIGHT(B1588,2))),DATE(VALUE(RIGHT(B1588,4)),MATCH(MID(B1588,4,3),{"Jan","Feb","Mar","Apr","May","Jun","Jul","Aug","Sep","Oct","Nov","Dec"},0),VALUE(LEFT(B1588,2)))))</f>
        <v>45723</v>
      </c>
    </row>
    <row r="1589" customFormat="false" ht="15" hidden="false" customHeight="false" outlineLevel="0" collapsed="false">
      <c r="A1589" s="7" t="s">
        <v>4084</v>
      </c>
      <c r="B1589" s="7" t="s">
        <v>222</v>
      </c>
      <c r="C1589" s="7" t="s">
        <v>4085</v>
      </c>
      <c r="D1589" s="7" t="s">
        <v>4086</v>
      </c>
      <c r="E1589" s="7"/>
      <c r="F1589" s="7" t="s">
        <v>146</v>
      </c>
      <c r="G1589" s="7" t="s">
        <v>117</v>
      </c>
      <c r="H1589" s="7" t="n">
        <v>1</v>
      </c>
      <c r="I1589" s="7" t="n">
        <v>90</v>
      </c>
      <c r="J1589" s="7" t="n">
        <v>36</v>
      </c>
      <c r="K1589" s="7" t="s">
        <v>88</v>
      </c>
      <c r="L1589" s="7" t="s">
        <v>194</v>
      </c>
      <c r="M1589" s="7" t="n">
        <v>27</v>
      </c>
      <c r="N1589" s="7" t="n">
        <v>4</v>
      </c>
      <c r="O1589" s="7" t="str">
        <f aca="false">A1589&amp;"|"&amp;B1589&amp;"|"&amp;C1589&amp;"|"&amp;D1589&amp;"|"&amp;E1589&amp;"|"&amp;F1589&amp;"|"&amp;G1589&amp;"|"&amp;H1589&amp;"|"&amp;I1589&amp;"|"&amp;J1589&amp;"|"&amp;K1589&amp;"|"&amp;L1589&amp;"|"&amp;M1589&amp;"|"&amp;N1589</f>
        <v>ORD12789|2025-12-07|15:18|C1378||Ahmedabad|Street Food|1|90|36|UPI|Delivered|27|4</v>
      </c>
      <c r="P1589" s="7" t="str">
        <f aca="false">IF(COUNTIF($O$2:O1589,O1589)&gt;1,"DUP","OK")</f>
        <v>OK</v>
      </c>
      <c r="Q1589" s="7" t="n">
        <f aca="false">COUNTBLANK(A1589:N1589)</f>
        <v>1</v>
      </c>
      <c r="R1589" s="7" t="n">
        <f aca="false">IF(A1589="",0,COUNTIFS($A$2:$A$3058,A1589,$P$2:$P$3058,"OK"))</f>
        <v>1</v>
      </c>
      <c r="S1589" s="7" t="str">
        <f aca="false">IF(OR(A1589="",P1589="DUP",R1589&lt;2),"",IF(Q1589=_xlfn.MINIFS($Q$2:$Q$3058,$A$2:$A$3058,A1589,$P$2:$P$3058,"OK"),"KEEP","DROP"))</f>
        <v/>
      </c>
      <c r="T1589" s="9" t="n">
        <f aca="false">IF(A1589="",1,0)</f>
        <v>0</v>
      </c>
      <c r="U1589" s="9" t="n">
        <f aca="false">IF(D1589="",1,0)</f>
        <v>0</v>
      </c>
      <c r="V1589" s="9" t="n">
        <f aca="false">IF(E1589="",1,0)</f>
        <v>1</v>
      </c>
      <c r="W1589" s="9" t="n">
        <f aca="false">IF(OR(H1589&lt;1,H1589&gt;10),1,0)</f>
        <v>0</v>
      </c>
      <c r="X1589" s="9" t="n">
        <f aca="false">IF(OR(I1589&lt;=0,I1589&gt;1500),1,0)</f>
        <v>0</v>
      </c>
      <c r="Y1589" s="9" t="n">
        <f aca="false">IF(J1589&gt;H1589*I1589,1,0)</f>
        <v>0</v>
      </c>
      <c r="Z1589" s="9" t="n">
        <f aca="false">IF(AND(N1589&lt;&gt;"",OR(N1589&lt;1,N1589&gt;5)),1,0)</f>
        <v>0</v>
      </c>
      <c r="AA1589" s="9" t="n">
        <f aca="false">IF(AND(M1589&lt;&gt;"",OR(M1589&lt;5,M1589&gt;180)),1,0)</f>
        <v>0</v>
      </c>
      <c r="AB1589" s="7" t="str">
        <f aca="false">IF(P1589="DUP","Exact duplicate row",IF(T1589=1,"Missing Order ID",IF(S1589="DROP","Duplicate Order ID (less complete row)",IF(U1589=1,"Missing Customer ID",IF(V1589=1,"Missing Restaurant name",IF(W1589=1,"Invalid/outlier quantity",IF(X1589=1,"Invalid/outlier unit price",IF(Y1589=1,"Discount greater than order value",""))))))))</f>
        <v>Missing Restaurant name</v>
      </c>
      <c r="AC1589" s="7" t="str">
        <f aca="false">IF(AB1589="","KEEP","DROP")</f>
        <v>DROP</v>
      </c>
      <c r="AD1589" s="7" t="str">
        <f aca="false">IF(TRIM(F1589)="",IFERROR(INDEX(Map_Tables!$I$4:$I$37,MATCH(TRIM(E1589),Map_Tables!$G$4:$G$37,0)),""),IFERROR(INDEX(Map_Tables!$B$4:$B$18,MATCH(TRIM(F1589),Map_Tables!$A$4:$A$18,0)),"CHECK"))</f>
        <v>Ahmedabad</v>
      </c>
      <c r="AE1589" s="7" t="str">
        <f aca="false">IF(TRIM(E1589)="","",IFERROR(INDEX(Map_Tables!$H$4:$H$37,MATCH(TRIM(E1589),Map_Tables!$G$4:$G$37,0)),"CHECK"))</f>
        <v/>
      </c>
      <c r="AF1589" s="7" t="str">
        <f aca="false">IF(TRIM(K1589)="","Unknown",IFERROR(INDEX(Map_Tables!$E$4:$E$15,MATCH(TRIM(K1589),Map_Tables!$D$4:$D$15,0)),"CHECK"))</f>
        <v>UPI</v>
      </c>
      <c r="AG1589" s="7" t="str">
        <f aca="false">IF(LEFT(LOWER(TRIM(L1589)),6)="cancel","Cancelled","Delivered")</f>
        <v>Delivered</v>
      </c>
      <c r="AH1589" s="10" t="n">
        <f aca="false">IF(ISNUMBER(SEARCH("/",B1589)),DATE(VALUE(RIGHT(B1589,4)),VALUE(MID(B1589,4,2)),VALUE(LEFT(B1589,2))),IF(MID(B1589,5,1)="-",DATE(VALUE(LEFT(B1589,4)),VALUE(MID(B1589,6,2)),VALUE(RIGHT(B1589,2))),DATE(VALUE(RIGHT(B1589,4)),MATCH(MID(B1589,4,3),{"Jan","Feb","Mar","Apr","May","Jun","Jul","Aug","Sep","Oct","Nov","Dec"},0),VALUE(LEFT(B1589,2)))))</f>
        <v>45998</v>
      </c>
    </row>
    <row r="1590" customFormat="false" ht="15" hidden="false" customHeight="false" outlineLevel="0" collapsed="false">
      <c r="A1590" s="7" t="s">
        <v>1988</v>
      </c>
      <c r="B1590" s="7" t="s">
        <v>1989</v>
      </c>
      <c r="C1590" s="7" t="s">
        <v>1684</v>
      </c>
      <c r="D1590" s="7" t="s">
        <v>1990</v>
      </c>
      <c r="E1590" s="7" t="s">
        <v>646</v>
      </c>
      <c r="F1590" s="7" t="s">
        <v>119</v>
      </c>
      <c r="G1590" s="7" t="s">
        <v>150</v>
      </c>
      <c r="H1590" s="7" t="n">
        <v>1</v>
      </c>
      <c r="I1590" s="7" t="n">
        <v>135</v>
      </c>
      <c r="J1590" s="7" t="n">
        <v>0</v>
      </c>
      <c r="K1590" s="7" t="s">
        <v>133</v>
      </c>
      <c r="L1590" s="7" t="s">
        <v>194</v>
      </c>
      <c r="M1590" s="7" t="n">
        <v>27</v>
      </c>
      <c r="N1590" s="7" t="n">
        <v>4</v>
      </c>
      <c r="O1590" s="7" t="str">
        <f aca="false">A1590&amp;"|"&amp;B1590&amp;"|"&amp;C1590&amp;"|"&amp;D1590&amp;"|"&amp;E1590&amp;"|"&amp;F1590&amp;"|"&amp;G1590&amp;"|"&amp;H1590&amp;"|"&amp;I1590&amp;"|"&amp;J1590&amp;"|"&amp;K1590&amp;"|"&amp;L1590&amp;"|"&amp;M1590&amp;"|"&amp;N1590</f>
        <v>ORD11395|2025-06-30|11:30|C0040| Sweet Tooth Studio|Hyderabad|Desserts|1|135|0|Net Banking|Delivered|27|4</v>
      </c>
      <c r="P1590" s="7" t="str">
        <f aca="false">IF(COUNTIF($O$2:O1590,O1590)&gt;1,"DUP","OK")</f>
        <v>DUP</v>
      </c>
      <c r="Q1590" s="7" t="n">
        <f aca="false">COUNTBLANK(A1590:N1590)</f>
        <v>0</v>
      </c>
      <c r="R1590" s="7" t="n">
        <f aca="false">IF(A1590="",0,COUNTIFS($A$2:$A$3058,A1590,$P$2:$P$3058,"OK"))</f>
        <v>1</v>
      </c>
      <c r="S1590" s="7" t="str">
        <f aca="false">IF(OR(A1590="",P1590="DUP",R1590&lt;2),"",IF(Q1590=_xlfn.MINIFS($Q$2:$Q$3058,$A$2:$A$3058,A1590,$P$2:$P$3058,"OK"),"KEEP","DROP"))</f>
        <v/>
      </c>
      <c r="T1590" s="9" t="n">
        <f aca="false">IF(A1590="",1,0)</f>
        <v>0</v>
      </c>
      <c r="U1590" s="9" t="n">
        <f aca="false">IF(D1590="",1,0)</f>
        <v>0</v>
      </c>
      <c r="V1590" s="9" t="n">
        <f aca="false">IF(E1590="",1,0)</f>
        <v>0</v>
      </c>
      <c r="W1590" s="9" t="n">
        <f aca="false">IF(OR(H1590&lt;1,H1590&gt;10),1,0)</f>
        <v>0</v>
      </c>
      <c r="X1590" s="9" t="n">
        <f aca="false">IF(OR(I1590&lt;=0,I1590&gt;1500),1,0)</f>
        <v>0</v>
      </c>
      <c r="Y1590" s="9" t="n">
        <f aca="false">IF(J1590&gt;H1590*I1590,1,0)</f>
        <v>0</v>
      </c>
      <c r="Z1590" s="9" t="n">
        <f aca="false">IF(AND(N1590&lt;&gt;"",OR(N1590&lt;1,N1590&gt;5)),1,0)</f>
        <v>0</v>
      </c>
      <c r="AA1590" s="9" t="n">
        <f aca="false">IF(AND(M1590&lt;&gt;"",OR(M1590&lt;5,M1590&gt;180)),1,0)</f>
        <v>0</v>
      </c>
      <c r="AB1590" s="7" t="str">
        <f aca="false">IF(P1590="DUP","Exact duplicate row",IF(T1590=1,"Missing Order ID",IF(S1590="DROP","Duplicate Order ID (less complete row)",IF(U1590=1,"Missing Customer ID",IF(V1590=1,"Missing Restaurant name",IF(W1590=1,"Invalid/outlier quantity",IF(X1590=1,"Invalid/outlier unit price",IF(Y1590=1,"Discount greater than order value",""))))))))</f>
        <v>Exact duplicate row</v>
      </c>
      <c r="AC1590" s="7" t="str">
        <f aca="false">IF(AB1590="","KEEP","DROP")</f>
        <v>DROP</v>
      </c>
      <c r="AD1590" s="7" t="str">
        <f aca="false">IF(TRIM(F1590)="",IFERROR(INDEX(Map_Tables!$I$4:$I$37,MATCH(TRIM(E1590),Map_Tables!$G$4:$G$37,0)),""),IFERROR(INDEX(Map_Tables!$B$4:$B$18,MATCH(TRIM(F1590),Map_Tables!$A$4:$A$18,0)),"CHECK"))</f>
        <v>Hyderabad</v>
      </c>
      <c r="AE1590" s="7" t="str">
        <f aca="false">IF(TRIM(E1590)="","",IFERROR(INDEX(Map_Tables!$H$4:$H$37,MATCH(TRIM(E1590),Map_Tables!$G$4:$G$37,0)),"CHECK"))</f>
        <v>Sweet Tooth Studio</v>
      </c>
      <c r="AF1590" s="7" t="str">
        <f aca="false">IF(TRIM(K1590)="","Unknown",IFERROR(INDEX(Map_Tables!$E$4:$E$15,MATCH(TRIM(K1590),Map_Tables!$D$4:$D$15,0)),"CHECK"))</f>
        <v>Net Banking</v>
      </c>
      <c r="AG1590" s="7" t="str">
        <f aca="false">IF(LEFT(LOWER(TRIM(L1590)),6)="cancel","Cancelled","Delivered")</f>
        <v>Delivered</v>
      </c>
      <c r="AH1590" s="10" t="n">
        <f aca="false">IF(ISNUMBER(SEARCH("/",B1590)),DATE(VALUE(RIGHT(B1590,4)),VALUE(MID(B1590,4,2)),VALUE(LEFT(B1590,2))),IF(MID(B1590,5,1)="-",DATE(VALUE(LEFT(B1590,4)),VALUE(MID(B1590,6,2)),VALUE(RIGHT(B1590,2))),DATE(VALUE(RIGHT(B1590,4)),MATCH(MID(B1590,4,3),{"Jan","Feb","Mar","Apr","May","Jun","Jul","Aug","Sep","Oct","Nov","Dec"},0),VALUE(LEFT(B1590,2)))))</f>
        <v>45838</v>
      </c>
    </row>
    <row r="1591" customFormat="false" ht="15" hidden="false" customHeight="false" outlineLevel="0" collapsed="false">
      <c r="A1591" s="7" t="s">
        <v>4087</v>
      </c>
      <c r="B1591" s="7" t="s">
        <v>1096</v>
      </c>
      <c r="C1591" s="7" t="s">
        <v>1842</v>
      </c>
      <c r="D1591" s="7" t="s">
        <v>1322</v>
      </c>
      <c r="E1591" s="7" t="s">
        <v>152</v>
      </c>
      <c r="F1591" s="7" t="s">
        <v>127</v>
      </c>
      <c r="G1591" s="7" t="s">
        <v>95</v>
      </c>
      <c r="H1591" s="7" t="n">
        <v>1</v>
      </c>
      <c r="I1591" s="7" t="n">
        <v>95</v>
      </c>
      <c r="J1591" s="7" t="n">
        <v>0</v>
      </c>
      <c r="K1591" s="7" t="s">
        <v>88</v>
      </c>
      <c r="L1591" s="7" t="s">
        <v>194</v>
      </c>
      <c r="M1591" s="7" t="n">
        <v>38</v>
      </c>
      <c r="N1591" s="7" t="n">
        <v>5</v>
      </c>
      <c r="O1591" s="7" t="str">
        <f aca="false">A1591&amp;"|"&amp;B1591&amp;"|"&amp;C1591&amp;"|"&amp;D1591&amp;"|"&amp;E1591&amp;"|"&amp;F1591&amp;"|"&amp;G1591&amp;"|"&amp;H1591&amp;"|"&amp;I1591&amp;"|"&amp;J1591&amp;"|"&amp;K1591&amp;"|"&amp;L1591&amp;"|"&amp;M1591&amp;"|"&amp;N1591</f>
        <v>ORD12376|2025-10-26|20:48|C1310|Filter Coffee &amp; Tiffin|chennai|South Indian|1|95|0|UPI|Delivered|38|5</v>
      </c>
      <c r="P1591" s="7" t="str">
        <f aca="false">IF(COUNTIF($O$2:O1591,O1591)&gt;1,"DUP","OK")</f>
        <v>OK</v>
      </c>
      <c r="Q1591" s="7" t="n">
        <f aca="false">COUNTBLANK(A1591:N1591)</f>
        <v>0</v>
      </c>
      <c r="R1591" s="7" t="n">
        <f aca="false">IF(A1591="",0,COUNTIFS($A$2:$A$3058,A1591,$P$2:$P$3058,"OK"))</f>
        <v>1</v>
      </c>
      <c r="S1591" s="7" t="str">
        <f aca="false">IF(OR(A1591="",P1591="DUP",R1591&lt;2),"",IF(Q1591=_xlfn.MINIFS($Q$2:$Q$3058,$A$2:$A$3058,A1591,$P$2:$P$3058,"OK"),"KEEP","DROP"))</f>
        <v/>
      </c>
      <c r="T1591" s="9" t="n">
        <f aca="false">IF(A1591="",1,0)</f>
        <v>0</v>
      </c>
      <c r="U1591" s="9" t="n">
        <f aca="false">IF(D1591="",1,0)</f>
        <v>0</v>
      </c>
      <c r="V1591" s="9" t="n">
        <f aca="false">IF(E1591="",1,0)</f>
        <v>0</v>
      </c>
      <c r="W1591" s="9" t="n">
        <f aca="false">IF(OR(H1591&lt;1,H1591&gt;10),1,0)</f>
        <v>0</v>
      </c>
      <c r="X1591" s="9" t="n">
        <f aca="false">IF(OR(I1591&lt;=0,I1591&gt;1500),1,0)</f>
        <v>0</v>
      </c>
      <c r="Y1591" s="9" t="n">
        <f aca="false">IF(J1591&gt;H1591*I1591,1,0)</f>
        <v>0</v>
      </c>
      <c r="Z1591" s="9" t="n">
        <f aca="false">IF(AND(N1591&lt;&gt;"",OR(N1591&lt;1,N1591&gt;5)),1,0)</f>
        <v>0</v>
      </c>
      <c r="AA1591" s="9" t="n">
        <f aca="false">IF(AND(M1591&lt;&gt;"",OR(M1591&lt;5,M1591&gt;180)),1,0)</f>
        <v>0</v>
      </c>
      <c r="AB1591" s="7" t="str">
        <f aca="false">IF(P1591="DUP","Exact duplicate row",IF(T1591=1,"Missing Order ID",IF(S1591="DROP","Duplicate Order ID (less complete row)",IF(U1591=1,"Missing Customer ID",IF(V1591=1,"Missing Restaurant name",IF(W1591=1,"Invalid/outlier quantity",IF(X1591=1,"Invalid/outlier unit price",IF(Y1591=1,"Discount greater than order value",""))))))))</f>
        <v/>
      </c>
      <c r="AC1591" s="7" t="str">
        <f aca="false">IF(AB1591="","KEEP","DROP")</f>
        <v>KEEP</v>
      </c>
      <c r="AD1591" s="7" t="str">
        <f aca="false">IF(TRIM(F1591)="",IFERROR(INDEX(Map_Tables!$I$4:$I$37,MATCH(TRIM(E1591),Map_Tables!$G$4:$G$37,0)),""),IFERROR(INDEX(Map_Tables!$B$4:$B$18,MATCH(TRIM(F1591),Map_Tables!$A$4:$A$18,0)),"CHECK"))</f>
        <v>Chennai</v>
      </c>
      <c r="AE1591" s="7" t="str">
        <f aca="false">IF(TRIM(E1591)="","",IFERROR(INDEX(Map_Tables!$H$4:$H$37,MATCH(TRIM(E1591),Map_Tables!$G$4:$G$37,0)),"CHECK"))</f>
        <v>Filter Coffee &amp; Tiffin</v>
      </c>
      <c r="AF1591" s="7" t="str">
        <f aca="false">IF(TRIM(K1591)="","Unknown",IFERROR(INDEX(Map_Tables!$E$4:$E$15,MATCH(TRIM(K1591),Map_Tables!$D$4:$D$15,0)),"CHECK"))</f>
        <v>UPI</v>
      </c>
      <c r="AG1591" s="7" t="str">
        <f aca="false">IF(LEFT(LOWER(TRIM(L1591)),6)="cancel","Cancelled","Delivered")</f>
        <v>Delivered</v>
      </c>
      <c r="AH1591" s="10" t="n">
        <f aca="false">IF(ISNUMBER(SEARCH("/",B1591)),DATE(VALUE(RIGHT(B1591,4)),VALUE(MID(B1591,4,2)),VALUE(LEFT(B1591,2))),IF(MID(B1591,5,1)="-",DATE(VALUE(LEFT(B1591,4)),VALUE(MID(B1591,6,2)),VALUE(RIGHT(B1591,2))),DATE(VALUE(RIGHT(B1591,4)),MATCH(MID(B1591,4,3),{"Jan","Feb","Mar","Apr","May","Jun","Jul","Aug","Sep","Oct","Nov","Dec"},0),VALUE(LEFT(B1591,2)))))</f>
        <v>45956</v>
      </c>
    </row>
    <row r="1592" customFormat="false" ht="15" hidden="false" customHeight="false" outlineLevel="0" collapsed="false">
      <c r="A1592" s="7" t="s">
        <v>4088</v>
      </c>
      <c r="B1592" s="7" t="s">
        <v>1433</v>
      </c>
      <c r="C1592" s="7" t="s">
        <v>2317</v>
      </c>
      <c r="D1592" s="7" t="s">
        <v>3228</v>
      </c>
      <c r="E1592" s="7" t="s">
        <v>142</v>
      </c>
      <c r="F1592" s="7" t="s">
        <v>110</v>
      </c>
      <c r="G1592" s="7" t="s">
        <v>105</v>
      </c>
      <c r="H1592" s="7" t="n">
        <v>2</v>
      </c>
      <c r="I1592" s="7" t="n">
        <v>155</v>
      </c>
      <c r="J1592" s="7" t="n">
        <v>0</v>
      </c>
      <c r="K1592" s="7" t="s">
        <v>421</v>
      </c>
      <c r="L1592" s="7" t="s">
        <v>194</v>
      </c>
      <c r="M1592" s="7" t="n">
        <v>38</v>
      </c>
      <c r="N1592" s="7" t="n">
        <v>3</v>
      </c>
      <c r="O1592" s="7" t="str">
        <f aca="false">A1592&amp;"|"&amp;B1592&amp;"|"&amp;C1592&amp;"|"&amp;D1592&amp;"|"&amp;E1592&amp;"|"&amp;F1592&amp;"|"&amp;G1592&amp;"|"&amp;H1592&amp;"|"&amp;I1592&amp;"|"&amp;J1592&amp;"|"&amp;K1592&amp;"|"&amp;L1592&amp;"|"&amp;M1592&amp;"|"&amp;N1592</f>
        <v>ORD12058|2025-09-23|13:06|C0168|Momo Magic|Delhi|Chinese|2|155|0|UPI |Delivered|38|3</v>
      </c>
      <c r="P1592" s="7" t="str">
        <f aca="false">IF(COUNTIF($O$2:O1592,O1592)&gt;1,"DUP","OK")</f>
        <v>OK</v>
      </c>
      <c r="Q1592" s="7" t="n">
        <f aca="false">COUNTBLANK(A1592:N1592)</f>
        <v>0</v>
      </c>
      <c r="R1592" s="7" t="n">
        <f aca="false">IF(A1592="",0,COUNTIFS($A$2:$A$3058,A1592,$P$2:$P$3058,"OK"))</f>
        <v>1</v>
      </c>
      <c r="S1592" s="7" t="str">
        <f aca="false">IF(OR(A1592="",P1592="DUP",R1592&lt;2),"",IF(Q1592=_xlfn.MINIFS($Q$2:$Q$3058,$A$2:$A$3058,A1592,$P$2:$P$3058,"OK"),"KEEP","DROP"))</f>
        <v/>
      </c>
      <c r="T1592" s="9" t="n">
        <f aca="false">IF(A1592="",1,0)</f>
        <v>0</v>
      </c>
      <c r="U1592" s="9" t="n">
        <f aca="false">IF(D1592="",1,0)</f>
        <v>0</v>
      </c>
      <c r="V1592" s="9" t="n">
        <f aca="false">IF(E1592="",1,0)</f>
        <v>0</v>
      </c>
      <c r="W1592" s="9" t="n">
        <f aca="false">IF(OR(H1592&lt;1,H1592&gt;10),1,0)</f>
        <v>0</v>
      </c>
      <c r="X1592" s="9" t="n">
        <f aca="false">IF(OR(I1592&lt;=0,I1592&gt;1500),1,0)</f>
        <v>0</v>
      </c>
      <c r="Y1592" s="9" t="n">
        <f aca="false">IF(J1592&gt;H1592*I1592,1,0)</f>
        <v>0</v>
      </c>
      <c r="Z1592" s="9" t="n">
        <f aca="false">IF(AND(N1592&lt;&gt;"",OR(N1592&lt;1,N1592&gt;5)),1,0)</f>
        <v>0</v>
      </c>
      <c r="AA1592" s="9" t="n">
        <f aca="false">IF(AND(M1592&lt;&gt;"",OR(M1592&lt;5,M1592&gt;180)),1,0)</f>
        <v>0</v>
      </c>
      <c r="AB1592" s="7" t="str">
        <f aca="false">IF(P1592="DUP","Exact duplicate row",IF(T1592=1,"Missing Order ID",IF(S1592="DROP","Duplicate Order ID (less complete row)",IF(U1592=1,"Missing Customer ID",IF(V1592=1,"Missing Restaurant name",IF(W1592=1,"Invalid/outlier quantity",IF(X1592=1,"Invalid/outlier unit price",IF(Y1592=1,"Discount greater than order value",""))))))))</f>
        <v/>
      </c>
      <c r="AC1592" s="7" t="str">
        <f aca="false">IF(AB1592="","KEEP","DROP")</f>
        <v>KEEP</v>
      </c>
      <c r="AD1592" s="7" t="str">
        <f aca="false">IF(TRIM(F1592)="",IFERROR(INDEX(Map_Tables!$I$4:$I$37,MATCH(TRIM(E1592),Map_Tables!$G$4:$G$37,0)),""),IFERROR(INDEX(Map_Tables!$B$4:$B$18,MATCH(TRIM(F1592),Map_Tables!$A$4:$A$18,0)),"CHECK"))</f>
        <v>Delhi</v>
      </c>
      <c r="AE1592" s="7" t="str">
        <f aca="false">IF(TRIM(E1592)="","",IFERROR(INDEX(Map_Tables!$H$4:$H$37,MATCH(TRIM(E1592),Map_Tables!$G$4:$G$37,0)),"CHECK"))</f>
        <v>Momo Magic</v>
      </c>
      <c r="AF1592" s="7" t="str">
        <f aca="false">IF(TRIM(K1592)="","Unknown",IFERROR(INDEX(Map_Tables!$E$4:$E$15,MATCH(TRIM(K1592),Map_Tables!$D$4:$D$15,0)),"CHECK"))</f>
        <v>UPI</v>
      </c>
      <c r="AG1592" s="7" t="str">
        <f aca="false">IF(LEFT(LOWER(TRIM(L1592)),6)="cancel","Cancelled","Delivered")</f>
        <v>Delivered</v>
      </c>
      <c r="AH1592" s="10" t="n">
        <f aca="false">IF(ISNUMBER(SEARCH("/",B1592)),DATE(VALUE(RIGHT(B1592,4)),VALUE(MID(B1592,4,2)),VALUE(LEFT(B1592,2))),IF(MID(B1592,5,1)="-",DATE(VALUE(LEFT(B1592,4)),VALUE(MID(B1592,6,2)),VALUE(RIGHT(B1592,2))),DATE(VALUE(RIGHT(B1592,4)),MATCH(MID(B1592,4,3),{"Jan","Feb","Mar","Apr","May","Jun","Jul","Aug","Sep","Oct","Nov","Dec"},0),VALUE(LEFT(B1592,2)))))</f>
        <v>45923</v>
      </c>
    </row>
    <row r="1593" customFormat="false" ht="15" hidden="false" customHeight="false" outlineLevel="0" collapsed="false">
      <c r="A1593" s="7" t="s">
        <v>4089</v>
      </c>
      <c r="B1593" s="7" t="s">
        <v>2194</v>
      </c>
      <c r="C1593" s="7" t="s">
        <v>1791</v>
      </c>
      <c r="D1593" s="7" t="s">
        <v>3420</v>
      </c>
      <c r="E1593" s="7" t="s">
        <v>144</v>
      </c>
      <c r="F1593" s="7" t="s">
        <v>119</v>
      </c>
      <c r="G1593" s="7" t="s">
        <v>99</v>
      </c>
      <c r="H1593" s="7" t="n">
        <v>2</v>
      </c>
      <c r="I1593" s="7" t="n">
        <v>295</v>
      </c>
      <c r="J1593" s="7" t="n">
        <v>0</v>
      </c>
      <c r="K1593" s="7" t="s">
        <v>133</v>
      </c>
      <c r="L1593" s="7" t="s">
        <v>194</v>
      </c>
      <c r="M1593" s="7" t="n">
        <v>42</v>
      </c>
      <c r="N1593" s="7" t="n">
        <v>4</v>
      </c>
      <c r="O1593" s="7" t="str">
        <f aca="false">A1593&amp;"|"&amp;B1593&amp;"|"&amp;C1593&amp;"|"&amp;D1593&amp;"|"&amp;E1593&amp;"|"&amp;F1593&amp;"|"&amp;G1593&amp;"|"&amp;H1593&amp;"|"&amp;I1593&amp;"|"&amp;J1593&amp;"|"&amp;K1593&amp;"|"&amp;L1593&amp;"|"&amp;M1593&amp;"|"&amp;N1593</f>
        <v>ORD12783|2025-12-06|19:21|C0503|Hyderabad Dum Biryani|Hyderabad|Biryani|2|295|0|Net Banking|Delivered|42|4</v>
      </c>
      <c r="P1593" s="7" t="str">
        <f aca="false">IF(COUNTIF($O$2:O1593,O1593)&gt;1,"DUP","OK")</f>
        <v>OK</v>
      </c>
      <c r="Q1593" s="7" t="n">
        <f aca="false">COUNTBLANK(A1593:N1593)</f>
        <v>0</v>
      </c>
      <c r="R1593" s="7" t="n">
        <f aca="false">IF(A1593="",0,COUNTIFS($A$2:$A$3058,A1593,$P$2:$P$3058,"OK"))</f>
        <v>1</v>
      </c>
      <c r="S1593" s="7" t="str">
        <f aca="false">IF(OR(A1593="",P1593="DUP",R1593&lt;2),"",IF(Q1593=_xlfn.MINIFS($Q$2:$Q$3058,$A$2:$A$3058,A1593,$P$2:$P$3058,"OK"),"KEEP","DROP"))</f>
        <v/>
      </c>
      <c r="T1593" s="9" t="n">
        <f aca="false">IF(A1593="",1,0)</f>
        <v>0</v>
      </c>
      <c r="U1593" s="9" t="n">
        <f aca="false">IF(D1593="",1,0)</f>
        <v>0</v>
      </c>
      <c r="V1593" s="9" t="n">
        <f aca="false">IF(E1593="",1,0)</f>
        <v>0</v>
      </c>
      <c r="W1593" s="9" t="n">
        <f aca="false">IF(OR(H1593&lt;1,H1593&gt;10),1,0)</f>
        <v>0</v>
      </c>
      <c r="X1593" s="9" t="n">
        <f aca="false">IF(OR(I1593&lt;=0,I1593&gt;1500),1,0)</f>
        <v>0</v>
      </c>
      <c r="Y1593" s="9" t="n">
        <f aca="false">IF(J1593&gt;H1593*I1593,1,0)</f>
        <v>0</v>
      </c>
      <c r="Z1593" s="9" t="n">
        <f aca="false">IF(AND(N1593&lt;&gt;"",OR(N1593&lt;1,N1593&gt;5)),1,0)</f>
        <v>0</v>
      </c>
      <c r="AA1593" s="9" t="n">
        <f aca="false">IF(AND(M1593&lt;&gt;"",OR(M1593&lt;5,M1593&gt;180)),1,0)</f>
        <v>0</v>
      </c>
      <c r="AB1593" s="7" t="str">
        <f aca="false">IF(P1593="DUP","Exact duplicate row",IF(T1593=1,"Missing Order ID",IF(S1593="DROP","Duplicate Order ID (less complete row)",IF(U1593=1,"Missing Customer ID",IF(V1593=1,"Missing Restaurant name",IF(W1593=1,"Invalid/outlier quantity",IF(X1593=1,"Invalid/outlier unit price",IF(Y1593=1,"Discount greater than order value",""))))))))</f>
        <v/>
      </c>
      <c r="AC1593" s="7" t="str">
        <f aca="false">IF(AB1593="","KEEP","DROP")</f>
        <v>KEEP</v>
      </c>
      <c r="AD1593" s="7" t="str">
        <f aca="false">IF(TRIM(F1593)="",IFERROR(INDEX(Map_Tables!$I$4:$I$37,MATCH(TRIM(E1593),Map_Tables!$G$4:$G$37,0)),""),IFERROR(INDEX(Map_Tables!$B$4:$B$18,MATCH(TRIM(F1593),Map_Tables!$A$4:$A$18,0)),"CHECK"))</f>
        <v>Hyderabad</v>
      </c>
      <c r="AE1593" s="7" t="str">
        <f aca="false">IF(TRIM(E1593)="","",IFERROR(INDEX(Map_Tables!$H$4:$H$37,MATCH(TRIM(E1593),Map_Tables!$G$4:$G$37,0)),"CHECK"))</f>
        <v>Hyderabad Dum Biryani</v>
      </c>
      <c r="AF1593" s="7" t="str">
        <f aca="false">IF(TRIM(K1593)="","Unknown",IFERROR(INDEX(Map_Tables!$E$4:$E$15,MATCH(TRIM(K1593),Map_Tables!$D$4:$D$15,0)),"CHECK"))</f>
        <v>Net Banking</v>
      </c>
      <c r="AG1593" s="7" t="str">
        <f aca="false">IF(LEFT(LOWER(TRIM(L1593)),6)="cancel","Cancelled","Delivered")</f>
        <v>Delivered</v>
      </c>
      <c r="AH1593" s="10" t="n">
        <f aca="false">IF(ISNUMBER(SEARCH("/",B1593)),DATE(VALUE(RIGHT(B1593,4)),VALUE(MID(B1593,4,2)),VALUE(LEFT(B1593,2))),IF(MID(B1593,5,1)="-",DATE(VALUE(LEFT(B1593,4)),VALUE(MID(B1593,6,2)),VALUE(RIGHT(B1593,2))),DATE(VALUE(RIGHT(B1593,4)),MATCH(MID(B1593,4,3),{"Jan","Feb","Mar","Apr","May","Jun","Jul","Aug","Sep","Oct","Nov","Dec"},0),VALUE(LEFT(B1593,2)))))</f>
        <v>45997</v>
      </c>
    </row>
    <row r="1594" customFormat="false" ht="15" hidden="false" customHeight="false" outlineLevel="0" collapsed="false">
      <c r="A1594" s="7" t="s">
        <v>4090</v>
      </c>
      <c r="B1594" s="7" t="s">
        <v>696</v>
      </c>
      <c r="C1594" s="7" t="s">
        <v>3163</v>
      </c>
      <c r="D1594" s="7" t="s">
        <v>2849</v>
      </c>
      <c r="E1594" s="7" t="s">
        <v>144</v>
      </c>
      <c r="F1594" s="7" t="s">
        <v>119</v>
      </c>
      <c r="G1594" s="7" t="s">
        <v>99</v>
      </c>
      <c r="H1594" s="7" t="n">
        <v>1</v>
      </c>
      <c r="I1594" s="7" t="n">
        <v>310</v>
      </c>
      <c r="J1594" s="7" t="n">
        <v>20</v>
      </c>
      <c r="K1594" s="7" t="s">
        <v>87</v>
      </c>
      <c r="L1594" s="7" t="s">
        <v>194</v>
      </c>
      <c r="M1594" s="7" t="n">
        <v>42</v>
      </c>
      <c r="N1594" s="7" t="n">
        <v>4</v>
      </c>
      <c r="O1594" s="7" t="str">
        <f aca="false">A1594&amp;"|"&amp;B1594&amp;"|"&amp;C1594&amp;"|"&amp;D1594&amp;"|"&amp;E1594&amp;"|"&amp;F1594&amp;"|"&amp;G1594&amp;"|"&amp;H1594&amp;"|"&amp;I1594&amp;"|"&amp;J1594&amp;"|"&amp;K1594&amp;"|"&amp;L1594&amp;"|"&amp;M1594&amp;"|"&amp;N1594</f>
        <v>ORD11789|2025-08-21|19:28|C1198|Hyderabad Dum Biryani|Hyderabad|Biryani|1|310|20|upi|Delivered|42|4</v>
      </c>
      <c r="P1594" s="7" t="str">
        <f aca="false">IF(COUNTIF($O$2:O1594,O1594)&gt;1,"DUP","OK")</f>
        <v>OK</v>
      </c>
      <c r="Q1594" s="7" t="n">
        <f aca="false">COUNTBLANK(A1594:N1594)</f>
        <v>0</v>
      </c>
      <c r="R1594" s="7" t="n">
        <f aca="false">IF(A1594="",0,COUNTIFS($A$2:$A$3058,A1594,$P$2:$P$3058,"OK"))</f>
        <v>1</v>
      </c>
      <c r="S1594" s="7" t="str">
        <f aca="false">IF(OR(A1594="",P1594="DUP",R1594&lt;2),"",IF(Q1594=_xlfn.MINIFS($Q$2:$Q$3058,$A$2:$A$3058,A1594,$P$2:$P$3058,"OK"),"KEEP","DROP"))</f>
        <v/>
      </c>
      <c r="T1594" s="9" t="n">
        <f aca="false">IF(A1594="",1,0)</f>
        <v>0</v>
      </c>
      <c r="U1594" s="9" t="n">
        <f aca="false">IF(D1594="",1,0)</f>
        <v>0</v>
      </c>
      <c r="V1594" s="9" t="n">
        <f aca="false">IF(E1594="",1,0)</f>
        <v>0</v>
      </c>
      <c r="W1594" s="9" t="n">
        <f aca="false">IF(OR(H1594&lt;1,H1594&gt;10),1,0)</f>
        <v>0</v>
      </c>
      <c r="X1594" s="9" t="n">
        <f aca="false">IF(OR(I1594&lt;=0,I1594&gt;1500),1,0)</f>
        <v>0</v>
      </c>
      <c r="Y1594" s="9" t="n">
        <f aca="false">IF(J1594&gt;H1594*I1594,1,0)</f>
        <v>0</v>
      </c>
      <c r="Z1594" s="9" t="n">
        <f aca="false">IF(AND(N1594&lt;&gt;"",OR(N1594&lt;1,N1594&gt;5)),1,0)</f>
        <v>0</v>
      </c>
      <c r="AA1594" s="9" t="n">
        <f aca="false">IF(AND(M1594&lt;&gt;"",OR(M1594&lt;5,M1594&gt;180)),1,0)</f>
        <v>0</v>
      </c>
      <c r="AB1594" s="7" t="str">
        <f aca="false">IF(P1594="DUP","Exact duplicate row",IF(T1594=1,"Missing Order ID",IF(S1594="DROP","Duplicate Order ID (less complete row)",IF(U1594=1,"Missing Customer ID",IF(V1594=1,"Missing Restaurant name",IF(W1594=1,"Invalid/outlier quantity",IF(X1594=1,"Invalid/outlier unit price",IF(Y1594=1,"Discount greater than order value",""))))))))</f>
        <v/>
      </c>
      <c r="AC1594" s="7" t="str">
        <f aca="false">IF(AB1594="","KEEP","DROP")</f>
        <v>KEEP</v>
      </c>
      <c r="AD1594" s="7" t="str">
        <f aca="false">IF(TRIM(F1594)="",IFERROR(INDEX(Map_Tables!$I$4:$I$37,MATCH(TRIM(E1594),Map_Tables!$G$4:$G$37,0)),""),IFERROR(INDEX(Map_Tables!$B$4:$B$18,MATCH(TRIM(F1594),Map_Tables!$A$4:$A$18,0)),"CHECK"))</f>
        <v>Hyderabad</v>
      </c>
      <c r="AE1594" s="7" t="str">
        <f aca="false">IF(TRIM(E1594)="","",IFERROR(INDEX(Map_Tables!$H$4:$H$37,MATCH(TRIM(E1594),Map_Tables!$G$4:$G$37,0)),"CHECK"))</f>
        <v>Hyderabad Dum Biryani</v>
      </c>
      <c r="AF1594" s="7" t="str">
        <f aca="false">IF(TRIM(K1594)="","Unknown",IFERROR(INDEX(Map_Tables!$E$4:$E$15,MATCH(TRIM(K1594),Map_Tables!$D$4:$D$15,0)),"CHECK"))</f>
        <v>UPI</v>
      </c>
      <c r="AG1594" s="7" t="str">
        <f aca="false">IF(LEFT(LOWER(TRIM(L1594)),6)="cancel","Cancelled","Delivered")</f>
        <v>Delivered</v>
      </c>
      <c r="AH1594" s="10" t="n">
        <f aca="false">IF(ISNUMBER(SEARCH("/",B1594)),DATE(VALUE(RIGHT(B1594,4)),VALUE(MID(B1594,4,2)),VALUE(LEFT(B1594,2))),IF(MID(B1594,5,1)="-",DATE(VALUE(LEFT(B1594,4)),VALUE(MID(B1594,6,2)),VALUE(RIGHT(B1594,2))),DATE(VALUE(RIGHT(B1594,4)),MATCH(MID(B1594,4,3),{"Jan","Feb","Mar","Apr","May","Jun","Jul","Aug","Sep","Oct","Nov","Dec"},0),VALUE(LEFT(B1594,2)))))</f>
        <v>45890</v>
      </c>
    </row>
    <row r="1595" customFormat="false" ht="15" hidden="false" customHeight="false" outlineLevel="0" collapsed="false">
      <c r="A1595" s="7" t="s">
        <v>4091</v>
      </c>
      <c r="B1595" s="7" t="s">
        <v>2428</v>
      </c>
      <c r="C1595" s="7" t="s">
        <v>4092</v>
      </c>
      <c r="D1595" s="7" t="s">
        <v>4093</v>
      </c>
      <c r="E1595" s="7" t="s">
        <v>2229</v>
      </c>
      <c r="F1595" s="7" t="s">
        <v>101</v>
      </c>
      <c r="G1595" s="7" t="s">
        <v>105</v>
      </c>
      <c r="H1595" s="7" t="n">
        <v>3</v>
      </c>
      <c r="I1595" s="7" t="n">
        <v>230</v>
      </c>
      <c r="J1595" s="7" t="n">
        <v>0</v>
      </c>
      <c r="K1595" s="7" t="s">
        <v>93</v>
      </c>
      <c r="L1595" s="7" t="s">
        <v>194</v>
      </c>
      <c r="M1595" s="7" t="n">
        <v>30</v>
      </c>
      <c r="N1595" s="7" t="n">
        <v>4</v>
      </c>
      <c r="O1595" s="7" t="str">
        <f aca="false">A1595&amp;"|"&amp;B1595&amp;"|"&amp;C1595&amp;"|"&amp;D1595&amp;"|"&amp;E1595&amp;"|"&amp;F1595&amp;"|"&amp;G1595&amp;"|"&amp;H1595&amp;"|"&amp;I1595&amp;"|"&amp;J1595&amp;"|"&amp;K1595&amp;"|"&amp;L1595&amp;"|"&amp;M1595&amp;"|"&amp;N1595</f>
        <v>ORD11635|2025-08-01|23:22|C1493| Dragon Express|Mumbai|Chinese|3|230|0|Credit Card|Delivered|30|4</v>
      </c>
      <c r="P1595" s="7" t="str">
        <f aca="false">IF(COUNTIF($O$2:O1595,O1595)&gt;1,"DUP","OK")</f>
        <v>OK</v>
      </c>
      <c r="Q1595" s="7" t="n">
        <f aca="false">COUNTBLANK(A1595:N1595)</f>
        <v>0</v>
      </c>
      <c r="R1595" s="7" t="n">
        <f aca="false">IF(A1595="",0,COUNTIFS($A$2:$A$3058,A1595,$P$2:$P$3058,"OK"))</f>
        <v>1</v>
      </c>
      <c r="S1595" s="7" t="str">
        <f aca="false">IF(OR(A1595="",P1595="DUP",R1595&lt;2),"",IF(Q1595=_xlfn.MINIFS($Q$2:$Q$3058,$A$2:$A$3058,A1595,$P$2:$P$3058,"OK"),"KEEP","DROP"))</f>
        <v/>
      </c>
      <c r="T1595" s="9" t="n">
        <f aca="false">IF(A1595="",1,0)</f>
        <v>0</v>
      </c>
      <c r="U1595" s="9" t="n">
        <f aca="false">IF(D1595="",1,0)</f>
        <v>0</v>
      </c>
      <c r="V1595" s="9" t="n">
        <f aca="false">IF(E1595="",1,0)</f>
        <v>0</v>
      </c>
      <c r="W1595" s="9" t="n">
        <f aca="false">IF(OR(H1595&lt;1,H1595&gt;10),1,0)</f>
        <v>0</v>
      </c>
      <c r="X1595" s="9" t="n">
        <f aca="false">IF(OR(I1595&lt;=0,I1595&gt;1500),1,0)</f>
        <v>0</v>
      </c>
      <c r="Y1595" s="9" t="n">
        <f aca="false">IF(J1595&gt;H1595*I1595,1,0)</f>
        <v>0</v>
      </c>
      <c r="Z1595" s="9" t="n">
        <f aca="false">IF(AND(N1595&lt;&gt;"",OR(N1595&lt;1,N1595&gt;5)),1,0)</f>
        <v>0</v>
      </c>
      <c r="AA1595" s="9" t="n">
        <f aca="false">IF(AND(M1595&lt;&gt;"",OR(M1595&lt;5,M1595&gt;180)),1,0)</f>
        <v>0</v>
      </c>
      <c r="AB1595" s="7" t="str">
        <f aca="false">IF(P1595="DUP","Exact duplicate row",IF(T1595=1,"Missing Order ID",IF(S1595="DROP","Duplicate Order ID (less complete row)",IF(U1595=1,"Missing Customer ID",IF(V1595=1,"Missing Restaurant name",IF(W1595=1,"Invalid/outlier quantity",IF(X1595=1,"Invalid/outlier unit price",IF(Y1595=1,"Discount greater than order value",""))))))))</f>
        <v/>
      </c>
      <c r="AC1595" s="7" t="str">
        <f aca="false">IF(AB1595="","KEEP","DROP")</f>
        <v>KEEP</v>
      </c>
      <c r="AD1595" s="7" t="str">
        <f aca="false">IF(TRIM(F1595)="",IFERROR(INDEX(Map_Tables!$I$4:$I$37,MATCH(TRIM(E1595),Map_Tables!$G$4:$G$37,0)),""),IFERROR(INDEX(Map_Tables!$B$4:$B$18,MATCH(TRIM(F1595),Map_Tables!$A$4:$A$18,0)),"CHECK"))</f>
        <v>Mumbai</v>
      </c>
      <c r="AE1595" s="7" t="str">
        <f aca="false">IF(TRIM(E1595)="","",IFERROR(INDEX(Map_Tables!$H$4:$H$37,MATCH(TRIM(E1595),Map_Tables!$G$4:$G$37,0)),"CHECK"))</f>
        <v>Dragon Express</v>
      </c>
      <c r="AF1595" s="7" t="str">
        <f aca="false">IF(TRIM(K1595)="","Unknown",IFERROR(INDEX(Map_Tables!$E$4:$E$15,MATCH(TRIM(K1595),Map_Tables!$D$4:$D$15,0)),"CHECK"))</f>
        <v>Credit Card</v>
      </c>
      <c r="AG1595" s="7" t="str">
        <f aca="false">IF(LEFT(LOWER(TRIM(L1595)),6)="cancel","Cancelled","Delivered")</f>
        <v>Delivered</v>
      </c>
      <c r="AH1595" s="10" t="n">
        <f aca="false">IF(ISNUMBER(SEARCH("/",B1595)),DATE(VALUE(RIGHT(B1595,4)),VALUE(MID(B1595,4,2)),VALUE(LEFT(B1595,2))),IF(MID(B1595,5,1)="-",DATE(VALUE(LEFT(B1595,4)),VALUE(MID(B1595,6,2)),VALUE(RIGHT(B1595,2))),DATE(VALUE(RIGHT(B1595,4)),MATCH(MID(B1595,4,3),{"Jan","Feb","Mar","Apr","May","Jun","Jul","Aug","Sep","Oct","Nov","Dec"},0),VALUE(LEFT(B1595,2)))))</f>
        <v>45870</v>
      </c>
    </row>
    <row r="1596" customFormat="false" ht="15" hidden="false" customHeight="false" outlineLevel="0" collapsed="false">
      <c r="A1596" s="7" t="s">
        <v>4094</v>
      </c>
      <c r="B1596" s="7" t="s">
        <v>2090</v>
      </c>
      <c r="C1596" s="7" t="s">
        <v>437</v>
      </c>
      <c r="D1596" s="7" t="s">
        <v>2326</v>
      </c>
      <c r="E1596" s="7" t="s">
        <v>138</v>
      </c>
      <c r="F1596" s="7" t="s">
        <v>109</v>
      </c>
      <c r="G1596" s="7" t="s">
        <v>139</v>
      </c>
      <c r="H1596" s="7" t="n">
        <v>5</v>
      </c>
      <c r="I1596" s="7" t="n">
        <v>195</v>
      </c>
      <c r="J1596" s="7" t="n">
        <v>0</v>
      </c>
      <c r="K1596" s="7" t="s">
        <v>93</v>
      </c>
      <c r="L1596" s="7" t="s">
        <v>194</v>
      </c>
      <c r="M1596" s="7" t="n">
        <v>39</v>
      </c>
      <c r="N1596" s="7"/>
      <c r="O1596" s="7" t="str">
        <f aca="false">A1596&amp;"|"&amp;B1596&amp;"|"&amp;C1596&amp;"|"&amp;D1596&amp;"|"&amp;E1596&amp;"|"&amp;F1596&amp;"|"&amp;G1596&amp;"|"&amp;H1596&amp;"|"&amp;I1596&amp;"|"&amp;J1596&amp;"|"&amp;K1596&amp;"|"&amp;L1596&amp;"|"&amp;M1596&amp;"|"&amp;N1596</f>
        <v>ORD11121|2025-05-22|22:59|C0396|Burger Barn|delhi|Burgers|5|195|0|Credit Card|Delivered|39|</v>
      </c>
      <c r="P1596" s="7" t="str">
        <f aca="false">IF(COUNTIF($O$2:O1596,O1596)&gt;1,"DUP","OK")</f>
        <v>OK</v>
      </c>
      <c r="Q1596" s="7" t="n">
        <f aca="false">COUNTBLANK(A1596:N1596)</f>
        <v>1</v>
      </c>
      <c r="R1596" s="7" t="n">
        <f aca="false">IF(A1596="",0,COUNTIFS($A$2:$A$3058,A1596,$P$2:$P$3058,"OK"))</f>
        <v>2</v>
      </c>
      <c r="S1596" s="7" t="str">
        <f aca="false">IF(OR(A1596="",P1596="DUP",R1596&lt;2),"",IF(Q1596=_xlfn.MINIFS($Q$2:$Q$3058,$A$2:$A$3058,A1596,$P$2:$P$3058,"OK"),"KEEP","DROP"))</f>
        <v>DROP</v>
      </c>
      <c r="T1596" s="9" t="n">
        <f aca="false">IF(A1596="",1,0)</f>
        <v>0</v>
      </c>
      <c r="U1596" s="9" t="n">
        <f aca="false">IF(D1596="",1,0)</f>
        <v>0</v>
      </c>
      <c r="V1596" s="9" t="n">
        <f aca="false">IF(E1596="",1,0)</f>
        <v>0</v>
      </c>
      <c r="W1596" s="9" t="n">
        <f aca="false">IF(OR(H1596&lt;1,H1596&gt;10),1,0)</f>
        <v>0</v>
      </c>
      <c r="X1596" s="9" t="n">
        <f aca="false">IF(OR(I1596&lt;=0,I1596&gt;1500),1,0)</f>
        <v>0</v>
      </c>
      <c r="Y1596" s="9" t="n">
        <f aca="false">IF(J1596&gt;H1596*I1596,1,0)</f>
        <v>0</v>
      </c>
      <c r="Z1596" s="9" t="n">
        <f aca="false">IF(AND(N1596&lt;&gt;"",OR(N1596&lt;1,N1596&gt;5)),1,0)</f>
        <v>0</v>
      </c>
      <c r="AA1596" s="9" t="n">
        <f aca="false">IF(AND(M1596&lt;&gt;"",OR(M1596&lt;5,M1596&gt;180)),1,0)</f>
        <v>0</v>
      </c>
      <c r="AB1596" s="7" t="str">
        <f aca="false">IF(P1596="DUP","Exact duplicate row",IF(T1596=1,"Missing Order ID",IF(S1596="DROP","Duplicate Order ID (less complete row)",IF(U1596=1,"Missing Customer ID",IF(V1596=1,"Missing Restaurant name",IF(W1596=1,"Invalid/outlier quantity",IF(X1596=1,"Invalid/outlier unit price",IF(Y1596=1,"Discount greater than order value",""))))))))</f>
        <v>Duplicate Order ID (less complete row)</v>
      </c>
      <c r="AC1596" s="7" t="str">
        <f aca="false">IF(AB1596="","KEEP","DROP")</f>
        <v>DROP</v>
      </c>
      <c r="AD1596" s="7" t="str">
        <f aca="false">IF(TRIM(F1596)="",IFERROR(INDEX(Map_Tables!$I$4:$I$37,MATCH(TRIM(E1596),Map_Tables!$G$4:$G$37,0)),""),IFERROR(INDEX(Map_Tables!$B$4:$B$18,MATCH(TRIM(F1596),Map_Tables!$A$4:$A$18,0)),"CHECK"))</f>
        <v>Delhi</v>
      </c>
      <c r="AE1596" s="7" t="str">
        <f aca="false">IF(TRIM(E1596)="","",IFERROR(INDEX(Map_Tables!$H$4:$H$37,MATCH(TRIM(E1596),Map_Tables!$G$4:$G$37,0)),"CHECK"))</f>
        <v>Burger Barn</v>
      </c>
      <c r="AF1596" s="7" t="str">
        <f aca="false">IF(TRIM(K1596)="","Unknown",IFERROR(INDEX(Map_Tables!$E$4:$E$15,MATCH(TRIM(K1596),Map_Tables!$D$4:$D$15,0)),"CHECK"))</f>
        <v>Credit Card</v>
      </c>
      <c r="AG1596" s="7" t="str">
        <f aca="false">IF(LEFT(LOWER(TRIM(L1596)),6)="cancel","Cancelled","Delivered")</f>
        <v>Delivered</v>
      </c>
      <c r="AH1596" s="10" t="n">
        <f aca="false">IF(ISNUMBER(SEARCH("/",B1596)),DATE(VALUE(RIGHT(B1596,4)),VALUE(MID(B1596,4,2)),VALUE(LEFT(B1596,2))),IF(MID(B1596,5,1)="-",DATE(VALUE(LEFT(B1596,4)),VALUE(MID(B1596,6,2)),VALUE(RIGHT(B1596,2))),DATE(VALUE(RIGHT(B1596,4)),MATCH(MID(B1596,4,3),{"Jan","Feb","Mar","Apr","May","Jun","Jul","Aug","Sep","Oct","Nov","Dec"},0),VALUE(LEFT(B1596,2)))))</f>
        <v>45799</v>
      </c>
    </row>
    <row r="1597" customFormat="false" ht="15" hidden="false" customHeight="false" outlineLevel="0" collapsed="false">
      <c r="A1597" s="7" t="s">
        <v>4095</v>
      </c>
      <c r="B1597" s="7" t="s">
        <v>1561</v>
      </c>
      <c r="C1597" s="7" t="s">
        <v>213</v>
      </c>
      <c r="D1597" s="7"/>
      <c r="E1597" s="7" t="s">
        <v>98</v>
      </c>
      <c r="F1597" s="7" t="s">
        <v>86</v>
      </c>
      <c r="G1597" s="7" t="s">
        <v>99</v>
      </c>
      <c r="H1597" s="7" t="n">
        <v>1</v>
      </c>
      <c r="I1597" s="7" t="n">
        <v>275</v>
      </c>
      <c r="J1597" s="7" t="n">
        <v>110</v>
      </c>
      <c r="K1597" s="7" t="s">
        <v>112</v>
      </c>
      <c r="L1597" s="7" t="s">
        <v>194</v>
      </c>
      <c r="M1597" s="7" t="n">
        <v>44</v>
      </c>
      <c r="N1597" s="7" t="n">
        <v>4</v>
      </c>
      <c r="O1597" s="7" t="str">
        <f aca="false">A1597&amp;"|"&amp;B1597&amp;"|"&amp;C1597&amp;"|"&amp;D1597&amp;"|"&amp;E1597&amp;"|"&amp;F1597&amp;"|"&amp;G1597&amp;"|"&amp;H1597&amp;"|"&amp;I1597&amp;"|"&amp;J1597&amp;"|"&amp;K1597&amp;"|"&amp;L1597&amp;"|"&amp;M1597&amp;"|"&amp;N1597</f>
        <v>ORD11734|2025-08-15|20:37||Nawabi Biryani House|Bengaluru|Biryani|1|275|110|Cash on Delivery|Delivered|44|4</v>
      </c>
      <c r="P1597" s="7" t="str">
        <f aca="false">IF(COUNTIF($O$2:O1597,O1597)&gt;1,"DUP","OK")</f>
        <v>OK</v>
      </c>
      <c r="Q1597" s="7" t="n">
        <f aca="false">COUNTBLANK(A1597:N1597)</f>
        <v>1</v>
      </c>
      <c r="R1597" s="7" t="n">
        <f aca="false">IF(A1597="",0,COUNTIFS($A$2:$A$3058,A1597,$P$2:$P$3058,"OK"))</f>
        <v>1</v>
      </c>
      <c r="S1597" s="7" t="str">
        <f aca="false">IF(OR(A1597="",P1597="DUP",R1597&lt;2),"",IF(Q1597=_xlfn.MINIFS($Q$2:$Q$3058,$A$2:$A$3058,A1597,$P$2:$P$3058,"OK"),"KEEP","DROP"))</f>
        <v/>
      </c>
      <c r="T1597" s="9" t="n">
        <f aca="false">IF(A1597="",1,0)</f>
        <v>0</v>
      </c>
      <c r="U1597" s="9" t="n">
        <f aca="false">IF(D1597="",1,0)</f>
        <v>1</v>
      </c>
      <c r="V1597" s="9" t="n">
        <f aca="false">IF(E1597="",1,0)</f>
        <v>0</v>
      </c>
      <c r="W1597" s="9" t="n">
        <f aca="false">IF(OR(H1597&lt;1,H1597&gt;10),1,0)</f>
        <v>0</v>
      </c>
      <c r="X1597" s="9" t="n">
        <f aca="false">IF(OR(I1597&lt;=0,I1597&gt;1500),1,0)</f>
        <v>0</v>
      </c>
      <c r="Y1597" s="9" t="n">
        <f aca="false">IF(J1597&gt;H1597*I1597,1,0)</f>
        <v>0</v>
      </c>
      <c r="Z1597" s="9" t="n">
        <f aca="false">IF(AND(N1597&lt;&gt;"",OR(N1597&lt;1,N1597&gt;5)),1,0)</f>
        <v>0</v>
      </c>
      <c r="AA1597" s="9" t="n">
        <f aca="false">IF(AND(M1597&lt;&gt;"",OR(M1597&lt;5,M1597&gt;180)),1,0)</f>
        <v>0</v>
      </c>
      <c r="AB1597" s="7" t="str">
        <f aca="false">IF(P1597="DUP","Exact duplicate row",IF(T1597=1,"Missing Order ID",IF(S1597="DROP","Duplicate Order ID (less complete row)",IF(U1597=1,"Missing Customer ID",IF(V1597=1,"Missing Restaurant name",IF(W1597=1,"Invalid/outlier quantity",IF(X1597=1,"Invalid/outlier unit price",IF(Y1597=1,"Discount greater than order value",""))))))))</f>
        <v>Missing Customer ID</v>
      </c>
      <c r="AC1597" s="7" t="str">
        <f aca="false">IF(AB1597="","KEEP","DROP")</f>
        <v>DROP</v>
      </c>
      <c r="AD1597" s="7" t="str">
        <f aca="false">IF(TRIM(F1597)="",IFERROR(INDEX(Map_Tables!$I$4:$I$37,MATCH(TRIM(E1597),Map_Tables!$G$4:$G$37,0)),""),IFERROR(INDEX(Map_Tables!$B$4:$B$18,MATCH(TRIM(F1597),Map_Tables!$A$4:$A$18,0)),"CHECK"))</f>
        <v>Bengaluru</v>
      </c>
      <c r="AE1597" s="7" t="str">
        <f aca="false">IF(TRIM(E1597)="","",IFERROR(INDEX(Map_Tables!$H$4:$H$37,MATCH(TRIM(E1597),Map_Tables!$G$4:$G$37,0)),"CHECK"))</f>
        <v>Nawabi Biryani House</v>
      </c>
      <c r="AF1597" s="7" t="str">
        <f aca="false">IF(TRIM(K1597)="","Unknown",IFERROR(INDEX(Map_Tables!$E$4:$E$15,MATCH(TRIM(K1597),Map_Tables!$D$4:$D$15,0)),"CHECK"))</f>
        <v>Cash on Delivery</v>
      </c>
      <c r="AG1597" s="7" t="str">
        <f aca="false">IF(LEFT(LOWER(TRIM(L1597)),6)="cancel","Cancelled","Delivered")</f>
        <v>Delivered</v>
      </c>
      <c r="AH1597" s="10" t="n">
        <f aca="false">IF(ISNUMBER(SEARCH("/",B1597)),DATE(VALUE(RIGHT(B1597,4)),VALUE(MID(B1597,4,2)),VALUE(LEFT(B1597,2))),IF(MID(B1597,5,1)="-",DATE(VALUE(LEFT(B1597,4)),VALUE(MID(B1597,6,2)),VALUE(RIGHT(B1597,2))),DATE(VALUE(RIGHT(B1597,4)),MATCH(MID(B1597,4,3),{"Jan","Feb","Mar","Apr","May","Jun","Jul","Aug","Sep","Oct","Nov","Dec"},0),VALUE(LEFT(B1597,2)))))</f>
        <v>45884</v>
      </c>
    </row>
    <row r="1598" customFormat="false" ht="15" hidden="false" customHeight="false" outlineLevel="0" collapsed="false">
      <c r="A1598" s="7" t="s">
        <v>4096</v>
      </c>
      <c r="B1598" s="7" t="s">
        <v>1872</v>
      </c>
      <c r="C1598" s="7" t="s">
        <v>792</v>
      </c>
      <c r="D1598" s="7" t="s">
        <v>1987</v>
      </c>
      <c r="E1598" s="7" t="s">
        <v>122</v>
      </c>
      <c r="F1598" s="7" t="s">
        <v>101</v>
      </c>
      <c r="G1598" s="7" t="s">
        <v>123</v>
      </c>
      <c r="H1598" s="7" t="n">
        <v>40</v>
      </c>
      <c r="I1598" s="7" t="n">
        <v>305</v>
      </c>
      <c r="J1598" s="7" t="n">
        <v>0</v>
      </c>
      <c r="K1598" s="7" t="s">
        <v>88</v>
      </c>
      <c r="L1598" s="7" t="s">
        <v>194</v>
      </c>
      <c r="M1598" s="7" t="n">
        <v>42</v>
      </c>
      <c r="N1598" s="7" t="n">
        <v>3</v>
      </c>
      <c r="O1598" s="7" t="str">
        <f aca="false">A1598&amp;"|"&amp;B1598&amp;"|"&amp;C1598&amp;"|"&amp;D1598&amp;"|"&amp;E1598&amp;"|"&amp;F1598&amp;"|"&amp;G1598&amp;"|"&amp;H1598&amp;"|"&amp;I1598&amp;"|"&amp;J1598&amp;"|"&amp;K1598&amp;"|"&amp;L1598&amp;"|"&amp;M1598&amp;"|"&amp;N1598</f>
        <v>ORD10587|2025-03-16|11:38|C0270|Mumbai Pizza Co|Mumbai|Pizza|40|305|0|UPI|Delivered|42|3</v>
      </c>
      <c r="P1598" s="7" t="str">
        <f aca="false">IF(COUNTIF($O$2:O1598,O1598)&gt;1,"DUP","OK")</f>
        <v>OK</v>
      </c>
      <c r="Q1598" s="7" t="n">
        <f aca="false">COUNTBLANK(A1598:N1598)</f>
        <v>0</v>
      </c>
      <c r="R1598" s="7" t="n">
        <f aca="false">IF(A1598="",0,COUNTIFS($A$2:$A$3058,A1598,$P$2:$P$3058,"OK"))</f>
        <v>1</v>
      </c>
      <c r="S1598" s="7" t="str">
        <f aca="false">IF(OR(A1598="",P1598="DUP",R1598&lt;2),"",IF(Q1598=_xlfn.MINIFS($Q$2:$Q$3058,$A$2:$A$3058,A1598,$P$2:$P$3058,"OK"),"KEEP","DROP"))</f>
        <v/>
      </c>
      <c r="T1598" s="9" t="n">
        <f aca="false">IF(A1598="",1,0)</f>
        <v>0</v>
      </c>
      <c r="U1598" s="9" t="n">
        <f aca="false">IF(D1598="",1,0)</f>
        <v>0</v>
      </c>
      <c r="V1598" s="9" t="n">
        <f aca="false">IF(E1598="",1,0)</f>
        <v>0</v>
      </c>
      <c r="W1598" s="9" t="n">
        <f aca="false">IF(OR(H1598&lt;1,H1598&gt;10),1,0)</f>
        <v>1</v>
      </c>
      <c r="X1598" s="9" t="n">
        <f aca="false">IF(OR(I1598&lt;=0,I1598&gt;1500),1,0)</f>
        <v>0</v>
      </c>
      <c r="Y1598" s="9" t="n">
        <f aca="false">IF(J1598&gt;H1598*I1598,1,0)</f>
        <v>0</v>
      </c>
      <c r="Z1598" s="9" t="n">
        <f aca="false">IF(AND(N1598&lt;&gt;"",OR(N1598&lt;1,N1598&gt;5)),1,0)</f>
        <v>0</v>
      </c>
      <c r="AA1598" s="9" t="n">
        <f aca="false">IF(AND(M1598&lt;&gt;"",OR(M1598&lt;5,M1598&gt;180)),1,0)</f>
        <v>0</v>
      </c>
      <c r="AB1598" s="7" t="str">
        <f aca="false">IF(P1598="DUP","Exact duplicate row",IF(T1598=1,"Missing Order ID",IF(S1598="DROP","Duplicate Order ID (less complete row)",IF(U1598=1,"Missing Customer ID",IF(V1598=1,"Missing Restaurant name",IF(W1598=1,"Invalid/outlier quantity",IF(X1598=1,"Invalid/outlier unit price",IF(Y1598=1,"Discount greater than order value",""))))))))</f>
        <v>Invalid/outlier quantity</v>
      </c>
      <c r="AC1598" s="7" t="str">
        <f aca="false">IF(AB1598="","KEEP","DROP")</f>
        <v>DROP</v>
      </c>
      <c r="AD1598" s="7" t="str">
        <f aca="false">IF(TRIM(F1598)="",IFERROR(INDEX(Map_Tables!$I$4:$I$37,MATCH(TRIM(E1598),Map_Tables!$G$4:$G$37,0)),""),IFERROR(INDEX(Map_Tables!$B$4:$B$18,MATCH(TRIM(F1598),Map_Tables!$A$4:$A$18,0)),"CHECK"))</f>
        <v>Mumbai</v>
      </c>
      <c r="AE1598" s="7" t="str">
        <f aca="false">IF(TRIM(E1598)="","",IFERROR(INDEX(Map_Tables!$H$4:$H$37,MATCH(TRIM(E1598),Map_Tables!$G$4:$G$37,0)),"CHECK"))</f>
        <v>Mumbai Pizza Co</v>
      </c>
      <c r="AF1598" s="7" t="str">
        <f aca="false">IF(TRIM(K1598)="","Unknown",IFERROR(INDEX(Map_Tables!$E$4:$E$15,MATCH(TRIM(K1598),Map_Tables!$D$4:$D$15,0)),"CHECK"))</f>
        <v>UPI</v>
      </c>
      <c r="AG1598" s="7" t="str">
        <f aca="false">IF(LEFT(LOWER(TRIM(L1598)),6)="cancel","Cancelled","Delivered")</f>
        <v>Delivered</v>
      </c>
      <c r="AH1598" s="10" t="n">
        <f aca="false">IF(ISNUMBER(SEARCH("/",B1598)),DATE(VALUE(RIGHT(B1598,4)),VALUE(MID(B1598,4,2)),VALUE(LEFT(B1598,2))),IF(MID(B1598,5,1)="-",DATE(VALUE(LEFT(B1598,4)),VALUE(MID(B1598,6,2)),VALUE(RIGHT(B1598,2))),DATE(VALUE(RIGHT(B1598,4)),MATCH(MID(B1598,4,3),{"Jan","Feb","Mar","Apr","May","Jun","Jul","Aug","Sep","Oct","Nov","Dec"},0),VALUE(LEFT(B1598,2)))))</f>
        <v>45732</v>
      </c>
    </row>
    <row r="1599" customFormat="false" ht="15" hidden="false" customHeight="false" outlineLevel="0" collapsed="false">
      <c r="A1599" s="7" t="s">
        <v>4097</v>
      </c>
      <c r="B1599" s="7" t="s">
        <v>2104</v>
      </c>
      <c r="C1599" s="7" t="s">
        <v>4004</v>
      </c>
      <c r="D1599" s="7" t="s">
        <v>4098</v>
      </c>
      <c r="E1599" s="7" t="s">
        <v>149</v>
      </c>
      <c r="F1599" s="7" t="s">
        <v>119</v>
      </c>
      <c r="G1599" s="7" t="s">
        <v>150</v>
      </c>
      <c r="H1599" s="7" t="n">
        <v>1</v>
      </c>
      <c r="I1599" s="7" t="n">
        <v>185</v>
      </c>
      <c r="J1599" s="7" t="n">
        <v>50</v>
      </c>
      <c r="K1599" s="7" t="s">
        <v>88</v>
      </c>
      <c r="L1599" s="7" t="s">
        <v>194</v>
      </c>
      <c r="M1599" s="7" t="n">
        <v>48</v>
      </c>
      <c r="N1599" s="7" t="n">
        <v>5</v>
      </c>
      <c r="O1599" s="7" t="str">
        <f aca="false">A1599&amp;"|"&amp;B1599&amp;"|"&amp;C1599&amp;"|"&amp;D1599&amp;"|"&amp;E1599&amp;"|"&amp;F1599&amp;"|"&amp;G1599&amp;"|"&amp;H1599&amp;"|"&amp;I1599&amp;"|"&amp;J1599&amp;"|"&amp;K1599&amp;"|"&amp;L1599&amp;"|"&amp;M1599&amp;"|"&amp;N1599</f>
        <v>ORD11941|2025-09-09|14:19|C0314|Sweet Tooth Studio|Hyderabad|Desserts|1|185|50|UPI|Delivered|48|5</v>
      </c>
      <c r="P1599" s="7" t="str">
        <f aca="false">IF(COUNTIF($O$2:O1599,O1599)&gt;1,"DUP","OK")</f>
        <v>OK</v>
      </c>
      <c r="Q1599" s="7" t="n">
        <f aca="false">COUNTBLANK(A1599:N1599)</f>
        <v>0</v>
      </c>
      <c r="R1599" s="7" t="n">
        <f aca="false">IF(A1599="",0,COUNTIFS($A$2:$A$3058,A1599,$P$2:$P$3058,"OK"))</f>
        <v>1</v>
      </c>
      <c r="S1599" s="7" t="str">
        <f aca="false">IF(OR(A1599="",P1599="DUP",R1599&lt;2),"",IF(Q1599=_xlfn.MINIFS($Q$2:$Q$3058,$A$2:$A$3058,A1599,$P$2:$P$3058,"OK"),"KEEP","DROP"))</f>
        <v/>
      </c>
      <c r="T1599" s="9" t="n">
        <f aca="false">IF(A1599="",1,0)</f>
        <v>0</v>
      </c>
      <c r="U1599" s="9" t="n">
        <f aca="false">IF(D1599="",1,0)</f>
        <v>0</v>
      </c>
      <c r="V1599" s="9" t="n">
        <f aca="false">IF(E1599="",1,0)</f>
        <v>0</v>
      </c>
      <c r="W1599" s="9" t="n">
        <f aca="false">IF(OR(H1599&lt;1,H1599&gt;10),1,0)</f>
        <v>0</v>
      </c>
      <c r="X1599" s="9" t="n">
        <f aca="false">IF(OR(I1599&lt;=0,I1599&gt;1500),1,0)</f>
        <v>0</v>
      </c>
      <c r="Y1599" s="9" t="n">
        <f aca="false">IF(J1599&gt;H1599*I1599,1,0)</f>
        <v>0</v>
      </c>
      <c r="Z1599" s="9" t="n">
        <f aca="false">IF(AND(N1599&lt;&gt;"",OR(N1599&lt;1,N1599&gt;5)),1,0)</f>
        <v>0</v>
      </c>
      <c r="AA1599" s="9" t="n">
        <f aca="false">IF(AND(M1599&lt;&gt;"",OR(M1599&lt;5,M1599&gt;180)),1,0)</f>
        <v>0</v>
      </c>
      <c r="AB1599" s="7" t="str">
        <f aca="false">IF(P1599="DUP","Exact duplicate row",IF(T1599=1,"Missing Order ID",IF(S1599="DROP","Duplicate Order ID (less complete row)",IF(U1599=1,"Missing Customer ID",IF(V1599=1,"Missing Restaurant name",IF(W1599=1,"Invalid/outlier quantity",IF(X1599=1,"Invalid/outlier unit price",IF(Y1599=1,"Discount greater than order value",""))))))))</f>
        <v/>
      </c>
      <c r="AC1599" s="7" t="str">
        <f aca="false">IF(AB1599="","KEEP","DROP")</f>
        <v>KEEP</v>
      </c>
      <c r="AD1599" s="7" t="str">
        <f aca="false">IF(TRIM(F1599)="",IFERROR(INDEX(Map_Tables!$I$4:$I$37,MATCH(TRIM(E1599),Map_Tables!$G$4:$G$37,0)),""),IFERROR(INDEX(Map_Tables!$B$4:$B$18,MATCH(TRIM(F1599),Map_Tables!$A$4:$A$18,0)),"CHECK"))</f>
        <v>Hyderabad</v>
      </c>
      <c r="AE1599" s="7" t="str">
        <f aca="false">IF(TRIM(E1599)="","",IFERROR(INDEX(Map_Tables!$H$4:$H$37,MATCH(TRIM(E1599),Map_Tables!$G$4:$G$37,0)),"CHECK"))</f>
        <v>Sweet Tooth Studio</v>
      </c>
      <c r="AF1599" s="7" t="str">
        <f aca="false">IF(TRIM(K1599)="","Unknown",IFERROR(INDEX(Map_Tables!$E$4:$E$15,MATCH(TRIM(K1599),Map_Tables!$D$4:$D$15,0)),"CHECK"))</f>
        <v>UPI</v>
      </c>
      <c r="AG1599" s="7" t="str">
        <f aca="false">IF(LEFT(LOWER(TRIM(L1599)),6)="cancel","Cancelled","Delivered")</f>
        <v>Delivered</v>
      </c>
      <c r="AH1599" s="10" t="n">
        <f aca="false">IF(ISNUMBER(SEARCH("/",B1599)),DATE(VALUE(RIGHT(B1599,4)),VALUE(MID(B1599,4,2)),VALUE(LEFT(B1599,2))),IF(MID(B1599,5,1)="-",DATE(VALUE(LEFT(B1599,4)),VALUE(MID(B1599,6,2)),VALUE(RIGHT(B1599,2))),DATE(VALUE(RIGHT(B1599,4)),MATCH(MID(B1599,4,3),{"Jan","Feb","Mar","Apr","May","Jun","Jul","Aug","Sep","Oct","Nov","Dec"},0),VALUE(LEFT(B1599,2)))))</f>
        <v>45909</v>
      </c>
    </row>
    <row r="1600" customFormat="false" ht="15" hidden="false" customHeight="false" outlineLevel="0" collapsed="false">
      <c r="A1600" s="7" t="s">
        <v>4099</v>
      </c>
      <c r="B1600" s="7" t="s">
        <v>723</v>
      </c>
      <c r="C1600" s="7" t="s">
        <v>529</v>
      </c>
      <c r="D1600" s="7" t="s">
        <v>4100</v>
      </c>
      <c r="E1600" s="7" t="s">
        <v>358</v>
      </c>
      <c r="F1600" s="7" t="s">
        <v>136</v>
      </c>
      <c r="G1600" s="7" t="s">
        <v>90</v>
      </c>
      <c r="H1600" s="7" t="n">
        <v>1</v>
      </c>
      <c r="I1600" s="7" t="n">
        <v>260</v>
      </c>
      <c r="J1600" s="7" t="n">
        <v>0</v>
      </c>
      <c r="K1600" s="7" t="s">
        <v>133</v>
      </c>
      <c r="L1600" s="7" t="s">
        <v>194</v>
      </c>
      <c r="M1600" s="7" t="n">
        <v>37</v>
      </c>
      <c r="N1600" s="7"/>
      <c r="O1600" s="7" t="str">
        <f aca="false">A1600&amp;"|"&amp;B1600&amp;"|"&amp;C1600&amp;"|"&amp;D1600&amp;"|"&amp;E1600&amp;"|"&amp;F1600&amp;"|"&amp;G1600&amp;"|"&amp;H1600&amp;"|"&amp;I1600&amp;"|"&amp;J1600&amp;"|"&amp;K1600&amp;"|"&amp;L1600&amp;"|"&amp;M1600&amp;"|"&amp;N1600</f>
        <v>ORD10612|2025-03-18|18:36|C0508|maratha thali house|Pune|North Indian|1|260|0|Net Banking|Delivered|37|</v>
      </c>
      <c r="P1600" s="7" t="str">
        <f aca="false">IF(COUNTIF($O$2:O1600,O1600)&gt;1,"DUP","OK")</f>
        <v>OK</v>
      </c>
      <c r="Q1600" s="7" t="n">
        <f aca="false">COUNTBLANK(A1600:N1600)</f>
        <v>1</v>
      </c>
      <c r="R1600" s="7" t="n">
        <f aca="false">IF(A1600="",0,COUNTIFS($A$2:$A$3058,A1600,$P$2:$P$3058,"OK"))</f>
        <v>1</v>
      </c>
      <c r="S1600" s="7" t="str">
        <f aca="false">IF(OR(A1600="",P1600="DUP",R1600&lt;2),"",IF(Q1600=_xlfn.MINIFS($Q$2:$Q$3058,$A$2:$A$3058,A1600,$P$2:$P$3058,"OK"),"KEEP","DROP"))</f>
        <v/>
      </c>
      <c r="T1600" s="9" t="n">
        <f aca="false">IF(A1600="",1,0)</f>
        <v>0</v>
      </c>
      <c r="U1600" s="9" t="n">
        <f aca="false">IF(D1600="",1,0)</f>
        <v>0</v>
      </c>
      <c r="V1600" s="9" t="n">
        <f aca="false">IF(E1600="",1,0)</f>
        <v>0</v>
      </c>
      <c r="W1600" s="9" t="n">
        <f aca="false">IF(OR(H1600&lt;1,H1600&gt;10),1,0)</f>
        <v>0</v>
      </c>
      <c r="X1600" s="9" t="n">
        <f aca="false">IF(OR(I1600&lt;=0,I1600&gt;1500),1,0)</f>
        <v>0</v>
      </c>
      <c r="Y1600" s="9" t="n">
        <f aca="false">IF(J1600&gt;H1600*I1600,1,0)</f>
        <v>0</v>
      </c>
      <c r="Z1600" s="9" t="n">
        <f aca="false">IF(AND(N1600&lt;&gt;"",OR(N1600&lt;1,N1600&gt;5)),1,0)</f>
        <v>0</v>
      </c>
      <c r="AA1600" s="9" t="n">
        <f aca="false">IF(AND(M1600&lt;&gt;"",OR(M1600&lt;5,M1600&gt;180)),1,0)</f>
        <v>0</v>
      </c>
      <c r="AB1600" s="7" t="str">
        <f aca="false">IF(P1600="DUP","Exact duplicate row",IF(T1600=1,"Missing Order ID",IF(S1600="DROP","Duplicate Order ID (less complete row)",IF(U1600=1,"Missing Customer ID",IF(V1600=1,"Missing Restaurant name",IF(W1600=1,"Invalid/outlier quantity",IF(X1600=1,"Invalid/outlier unit price",IF(Y1600=1,"Discount greater than order value",""))))))))</f>
        <v/>
      </c>
      <c r="AC1600" s="7" t="str">
        <f aca="false">IF(AB1600="","KEEP","DROP")</f>
        <v>KEEP</v>
      </c>
      <c r="AD1600" s="7" t="str">
        <f aca="false">IF(TRIM(F1600)="",IFERROR(INDEX(Map_Tables!$I$4:$I$37,MATCH(TRIM(E1600),Map_Tables!$G$4:$G$37,0)),""),IFERROR(INDEX(Map_Tables!$B$4:$B$18,MATCH(TRIM(F1600),Map_Tables!$A$4:$A$18,0)),"CHECK"))</f>
        <v>Pune</v>
      </c>
      <c r="AE1600" s="7" t="str">
        <f aca="false">IF(TRIM(E1600)="","",IFERROR(INDEX(Map_Tables!$H$4:$H$37,MATCH(TRIM(E1600),Map_Tables!$G$4:$G$37,0)),"CHECK"))</f>
        <v>Maratha Thali House</v>
      </c>
      <c r="AF1600" s="7" t="str">
        <f aca="false">IF(TRIM(K1600)="","Unknown",IFERROR(INDEX(Map_Tables!$E$4:$E$15,MATCH(TRIM(K1600),Map_Tables!$D$4:$D$15,0)),"CHECK"))</f>
        <v>Net Banking</v>
      </c>
      <c r="AG1600" s="7" t="str">
        <f aca="false">IF(LEFT(LOWER(TRIM(L1600)),6)="cancel","Cancelled","Delivered")</f>
        <v>Delivered</v>
      </c>
      <c r="AH1600" s="10" t="n">
        <f aca="false">IF(ISNUMBER(SEARCH("/",B1600)),DATE(VALUE(RIGHT(B1600,4)),VALUE(MID(B1600,4,2)),VALUE(LEFT(B1600,2))),IF(MID(B1600,5,1)="-",DATE(VALUE(LEFT(B1600,4)),VALUE(MID(B1600,6,2)),VALUE(RIGHT(B1600,2))),DATE(VALUE(RIGHT(B1600,4)),MATCH(MID(B1600,4,3),{"Jan","Feb","Mar","Apr","May","Jun","Jul","Aug","Sep","Oct","Nov","Dec"},0),VALUE(LEFT(B1600,2)))))</f>
        <v>45734</v>
      </c>
    </row>
    <row r="1601" customFormat="false" ht="15" hidden="false" customHeight="false" outlineLevel="0" collapsed="false">
      <c r="A1601" s="7" t="s">
        <v>4101</v>
      </c>
      <c r="B1601" s="7" t="s">
        <v>800</v>
      </c>
      <c r="C1601" s="7" t="s">
        <v>2133</v>
      </c>
      <c r="D1601" s="7" t="s">
        <v>665</v>
      </c>
      <c r="E1601" s="7" t="s">
        <v>166</v>
      </c>
      <c r="F1601" s="7" t="s">
        <v>146</v>
      </c>
      <c r="G1601" s="7" t="s">
        <v>117</v>
      </c>
      <c r="H1601" s="7" t="n">
        <v>1</v>
      </c>
      <c r="I1601" s="7" t="n">
        <v>125</v>
      </c>
      <c r="J1601" s="7" t="n">
        <v>50</v>
      </c>
      <c r="K1601" s="7" t="s">
        <v>88</v>
      </c>
      <c r="L1601" s="7" t="s">
        <v>194</v>
      </c>
      <c r="M1601" s="7" t="n">
        <v>33</v>
      </c>
      <c r="N1601" s="7" t="n">
        <v>5</v>
      </c>
      <c r="O1601" s="7" t="str">
        <f aca="false">A1601&amp;"|"&amp;B1601&amp;"|"&amp;C1601&amp;"|"&amp;D1601&amp;"|"&amp;E1601&amp;"|"&amp;F1601&amp;"|"&amp;G1601&amp;"|"&amp;H1601&amp;"|"&amp;I1601&amp;"|"&amp;J1601&amp;"|"&amp;K1601&amp;"|"&amp;L1601&amp;"|"&amp;M1601&amp;"|"&amp;N1601</f>
        <v>ORD11139|2025-05-24|22:36|C1010|Dhokla Delight|Ahmedabad|Street Food|1|125|50|UPI|Delivered|33|5</v>
      </c>
      <c r="P1601" s="7" t="str">
        <f aca="false">IF(COUNTIF($O$2:O1601,O1601)&gt;1,"DUP","OK")</f>
        <v>OK</v>
      </c>
      <c r="Q1601" s="7" t="n">
        <f aca="false">COUNTBLANK(A1601:N1601)</f>
        <v>0</v>
      </c>
      <c r="R1601" s="7" t="n">
        <f aca="false">IF(A1601="",0,COUNTIFS($A$2:$A$3058,A1601,$P$2:$P$3058,"OK"))</f>
        <v>1</v>
      </c>
      <c r="S1601" s="7" t="str">
        <f aca="false">IF(OR(A1601="",P1601="DUP",R1601&lt;2),"",IF(Q1601=_xlfn.MINIFS($Q$2:$Q$3058,$A$2:$A$3058,A1601,$P$2:$P$3058,"OK"),"KEEP","DROP"))</f>
        <v/>
      </c>
      <c r="T1601" s="9" t="n">
        <f aca="false">IF(A1601="",1,0)</f>
        <v>0</v>
      </c>
      <c r="U1601" s="9" t="n">
        <f aca="false">IF(D1601="",1,0)</f>
        <v>0</v>
      </c>
      <c r="V1601" s="9" t="n">
        <f aca="false">IF(E1601="",1,0)</f>
        <v>0</v>
      </c>
      <c r="W1601" s="9" t="n">
        <f aca="false">IF(OR(H1601&lt;1,H1601&gt;10),1,0)</f>
        <v>0</v>
      </c>
      <c r="X1601" s="9" t="n">
        <f aca="false">IF(OR(I1601&lt;=0,I1601&gt;1500),1,0)</f>
        <v>0</v>
      </c>
      <c r="Y1601" s="9" t="n">
        <f aca="false">IF(J1601&gt;H1601*I1601,1,0)</f>
        <v>0</v>
      </c>
      <c r="Z1601" s="9" t="n">
        <f aca="false">IF(AND(N1601&lt;&gt;"",OR(N1601&lt;1,N1601&gt;5)),1,0)</f>
        <v>0</v>
      </c>
      <c r="AA1601" s="9" t="n">
        <f aca="false">IF(AND(M1601&lt;&gt;"",OR(M1601&lt;5,M1601&gt;180)),1,0)</f>
        <v>0</v>
      </c>
      <c r="AB1601" s="7" t="str">
        <f aca="false">IF(P1601="DUP","Exact duplicate row",IF(T1601=1,"Missing Order ID",IF(S1601="DROP","Duplicate Order ID (less complete row)",IF(U1601=1,"Missing Customer ID",IF(V1601=1,"Missing Restaurant name",IF(W1601=1,"Invalid/outlier quantity",IF(X1601=1,"Invalid/outlier unit price",IF(Y1601=1,"Discount greater than order value",""))))))))</f>
        <v/>
      </c>
      <c r="AC1601" s="7" t="str">
        <f aca="false">IF(AB1601="","KEEP","DROP")</f>
        <v>KEEP</v>
      </c>
      <c r="AD1601" s="7" t="str">
        <f aca="false">IF(TRIM(F1601)="",IFERROR(INDEX(Map_Tables!$I$4:$I$37,MATCH(TRIM(E1601),Map_Tables!$G$4:$G$37,0)),""),IFERROR(INDEX(Map_Tables!$B$4:$B$18,MATCH(TRIM(F1601),Map_Tables!$A$4:$A$18,0)),"CHECK"))</f>
        <v>Ahmedabad</v>
      </c>
      <c r="AE1601" s="7" t="str">
        <f aca="false">IF(TRIM(E1601)="","",IFERROR(INDEX(Map_Tables!$H$4:$H$37,MATCH(TRIM(E1601),Map_Tables!$G$4:$G$37,0)),"CHECK"))</f>
        <v>Dhokla Delight</v>
      </c>
      <c r="AF1601" s="7" t="str">
        <f aca="false">IF(TRIM(K1601)="","Unknown",IFERROR(INDEX(Map_Tables!$E$4:$E$15,MATCH(TRIM(K1601),Map_Tables!$D$4:$D$15,0)),"CHECK"))</f>
        <v>UPI</v>
      </c>
      <c r="AG1601" s="7" t="str">
        <f aca="false">IF(LEFT(LOWER(TRIM(L1601)),6)="cancel","Cancelled","Delivered")</f>
        <v>Delivered</v>
      </c>
      <c r="AH1601" s="10" t="n">
        <f aca="false">IF(ISNUMBER(SEARCH("/",B1601)),DATE(VALUE(RIGHT(B1601,4)),VALUE(MID(B1601,4,2)),VALUE(LEFT(B1601,2))),IF(MID(B1601,5,1)="-",DATE(VALUE(LEFT(B1601,4)),VALUE(MID(B1601,6,2)),VALUE(RIGHT(B1601,2))),DATE(VALUE(RIGHT(B1601,4)),MATCH(MID(B1601,4,3),{"Jan","Feb","Mar","Apr","May","Jun","Jul","Aug","Sep","Oct","Nov","Dec"},0),VALUE(LEFT(B1601,2)))))</f>
        <v>45801</v>
      </c>
    </row>
    <row r="1602" customFormat="false" ht="15" hidden="false" customHeight="false" outlineLevel="0" collapsed="false">
      <c r="A1602" s="7" t="s">
        <v>4102</v>
      </c>
      <c r="B1602" s="7" t="s">
        <v>667</v>
      </c>
      <c r="C1602" s="7" t="s">
        <v>197</v>
      </c>
      <c r="D1602" s="7" t="s">
        <v>2738</v>
      </c>
      <c r="E1602" s="7" t="s">
        <v>138</v>
      </c>
      <c r="F1602" s="7" t="s">
        <v>110</v>
      </c>
      <c r="G1602" s="7" t="s">
        <v>139</v>
      </c>
      <c r="H1602" s="7" t="n">
        <v>2</v>
      </c>
      <c r="I1602" s="7" t="n">
        <v>175</v>
      </c>
      <c r="J1602" s="7" t="n">
        <v>0</v>
      </c>
      <c r="K1602" s="7" t="s">
        <v>112</v>
      </c>
      <c r="L1602" s="7" t="s">
        <v>194</v>
      </c>
      <c r="M1602" s="7" t="n">
        <v>43</v>
      </c>
      <c r="N1602" s="7" t="n">
        <v>5</v>
      </c>
      <c r="O1602" s="7" t="str">
        <f aca="false">A1602&amp;"|"&amp;B1602&amp;"|"&amp;C1602&amp;"|"&amp;D1602&amp;"|"&amp;E1602&amp;"|"&amp;F1602&amp;"|"&amp;G1602&amp;"|"&amp;H1602&amp;"|"&amp;I1602&amp;"|"&amp;J1602&amp;"|"&amp;K1602&amp;"|"&amp;L1602&amp;"|"&amp;M1602&amp;"|"&amp;N1602</f>
        <v>ORD10426|2025-02-26|22:08|C0152|Burger Barn|Delhi|Burgers|2|175|0|Cash on Delivery|Delivered|43|5</v>
      </c>
      <c r="P1602" s="7" t="str">
        <f aca="false">IF(COUNTIF($O$2:O1602,O1602)&gt;1,"DUP","OK")</f>
        <v>OK</v>
      </c>
      <c r="Q1602" s="7" t="n">
        <f aca="false">COUNTBLANK(A1602:N1602)</f>
        <v>0</v>
      </c>
      <c r="R1602" s="7" t="n">
        <f aca="false">IF(A1602="",0,COUNTIFS($A$2:$A$3058,A1602,$P$2:$P$3058,"OK"))</f>
        <v>1</v>
      </c>
      <c r="S1602" s="7" t="str">
        <f aca="false">IF(OR(A1602="",P1602="DUP",R1602&lt;2),"",IF(Q1602=_xlfn.MINIFS($Q$2:$Q$3058,$A$2:$A$3058,A1602,$P$2:$P$3058,"OK"),"KEEP","DROP"))</f>
        <v/>
      </c>
      <c r="T1602" s="9" t="n">
        <f aca="false">IF(A1602="",1,0)</f>
        <v>0</v>
      </c>
      <c r="U1602" s="9" t="n">
        <f aca="false">IF(D1602="",1,0)</f>
        <v>0</v>
      </c>
      <c r="V1602" s="9" t="n">
        <f aca="false">IF(E1602="",1,0)</f>
        <v>0</v>
      </c>
      <c r="W1602" s="9" t="n">
        <f aca="false">IF(OR(H1602&lt;1,H1602&gt;10),1,0)</f>
        <v>0</v>
      </c>
      <c r="X1602" s="9" t="n">
        <f aca="false">IF(OR(I1602&lt;=0,I1602&gt;1500),1,0)</f>
        <v>0</v>
      </c>
      <c r="Y1602" s="9" t="n">
        <f aca="false">IF(J1602&gt;H1602*I1602,1,0)</f>
        <v>0</v>
      </c>
      <c r="Z1602" s="9" t="n">
        <f aca="false">IF(AND(N1602&lt;&gt;"",OR(N1602&lt;1,N1602&gt;5)),1,0)</f>
        <v>0</v>
      </c>
      <c r="AA1602" s="9" t="n">
        <f aca="false">IF(AND(M1602&lt;&gt;"",OR(M1602&lt;5,M1602&gt;180)),1,0)</f>
        <v>0</v>
      </c>
      <c r="AB1602" s="7" t="str">
        <f aca="false">IF(P1602="DUP","Exact duplicate row",IF(T1602=1,"Missing Order ID",IF(S1602="DROP","Duplicate Order ID (less complete row)",IF(U1602=1,"Missing Customer ID",IF(V1602=1,"Missing Restaurant name",IF(W1602=1,"Invalid/outlier quantity",IF(X1602=1,"Invalid/outlier unit price",IF(Y1602=1,"Discount greater than order value",""))))))))</f>
        <v/>
      </c>
      <c r="AC1602" s="7" t="str">
        <f aca="false">IF(AB1602="","KEEP","DROP")</f>
        <v>KEEP</v>
      </c>
      <c r="AD1602" s="7" t="str">
        <f aca="false">IF(TRIM(F1602)="",IFERROR(INDEX(Map_Tables!$I$4:$I$37,MATCH(TRIM(E1602),Map_Tables!$G$4:$G$37,0)),""),IFERROR(INDEX(Map_Tables!$B$4:$B$18,MATCH(TRIM(F1602),Map_Tables!$A$4:$A$18,0)),"CHECK"))</f>
        <v>Delhi</v>
      </c>
      <c r="AE1602" s="7" t="str">
        <f aca="false">IF(TRIM(E1602)="","",IFERROR(INDEX(Map_Tables!$H$4:$H$37,MATCH(TRIM(E1602),Map_Tables!$G$4:$G$37,0)),"CHECK"))</f>
        <v>Burger Barn</v>
      </c>
      <c r="AF1602" s="7" t="str">
        <f aca="false">IF(TRIM(K1602)="","Unknown",IFERROR(INDEX(Map_Tables!$E$4:$E$15,MATCH(TRIM(K1602),Map_Tables!$D$4:$D$15,0)),"CHECK"))</f>
        <v>Cash on Delivery</v>
      </c>
      <c r="AG1602" s="7" t="str">
        <f aca="false">IF(LEFT(LOWER(TRIM(L1602)),6)="cancel","Cancelled","Delivered")</f>
        <v>Delivered</v>
      </c>
      <c r="AH1602" s="10" t="n">
        <f aca="false">IF(ISNUMBER(SEARCH("/",B1602)),DATE(VALUE(RIGHT(B1602,4)),VALUE(MID(B1602,4,2)),VALUE(LEFT(B1602,2))),IF(MID(B1602,5,1)="-",DATE(VALUE(LEFT(B1602,4)),VALUE(MID(B1602,6,2)),VALUE(RIGHT(B1602,2))),DATE(VALUE(RIGHT(B1602,4)),MATCH(MID(B1602,4,3),{"Jan","Feb","Mar","Apr","May","Jun","Jul","Aug","Sep","Oct","Nov","Dec"},0),VALUE(LEFT(B1602,2)))))</f>
        <v>45714</v>
      </c>
    </row>
    <row r="1603" customFormat="false" ht="15" hidden="false" customHeight="false" outlineLevel="0" collapsed="false">
      <c r="A1603" s="7" t="s">
        <v>4103</v>
      </c>
      <c r="B1603" s="7" t="s">
        <v>813</v>
      </c>
      <c r="C1603" s="7" t="s">
        <v>769</v>
      </c>
      <c r="D1603" s="7" t="s">
        <v>993</v>
      </c>
      <c r="E1603" s="7" t="s">
        <v>144</v>
      </c>
      <c r="F1603" s="7" t="s">
        <v>119</v>
      </c>
      <c r="G1603" s="7" t="s">
        <v>99</v>
      </c>
      <c r="H1603" s="7" t="n">
        <v>4</v>
      </c>
      <c r="I1603" s="7" t="n">
        <v>335</v>
      </c>
      <c r="J1603" s="7" t="n">
        <v>0</v>
      </c>
      <c r="K1603" s="7" t="s">
        <v>102</v>
      </c>
      <c r="L1603" s="7" t="s">
        <v>194</v>
      </c>
      <c r="M1603" s="7" t="n">
        <v>28</v>
      </c>
      <c r="N1603" s="7" t="n">
        <v>3</v>
      </c>
      <c r="O1603" s="7" t="str">
        <f aca="false">A1603&amp;"|"&amp;B1603&amp;"|"&amp;C1603&amp;"|"&amp;D1603&amp;"|"&amp;E1603&amp;"|"&amp;F1603&amp;"|"&amp;G1603&amp;"|"&amp;H1603&amp;"|"&amp;I1603&amp;"|"&amp;J1603&amp;"|"&amp;K1603&amp;"|"&amp;L1603&amp;"|"&amp;M1603&amp;"|"&amp;N1603</f>
        <v>ORD10649|2025-03-23|20:43|C1138|Hyderabad Dum Biryani|Hyderabad|Biryani|4|335|0|debit card|Delivered|28|3</v>
      </c>
      <c r="P1603" s="7" t="str">
        <f aca="false">IF(COUNTIF($O$2:O1603,O1603)&gt;1,"DUP","OK")</f>
        <v>OK</v>
      </c>
      <c r="Q1603" s="7" t="n">
        <f aca="false">COUNTBLANK(A1603:N1603)</f>
        <v>0</v>
      </c>
      <c r="R1603" s="7" t="n">
        <f aca="false">IF(A1603="",0,COUNTIFS($A$2:$A$3058,A1603,$P$2:$P$3058,"OK"))</f>
        <v>1</v>
      </c>
      <c r="S1603" s="7" t="str">
        <f aca="false">IF(OR(A1603="",P1603="DUP",R1603&lt;2),"",IF(Q1603=_xlfn.MINIFS($Q$2:$Q$3058,$A$2:$A$3058,A1603,$P$2:$P$3058,"OK"),"KEEP","DROP"))</f>
        <v/>
      </c>
      <c r="T1603" s="9" t="n">
        <f aca="false">IF(A1603="",1,0)</f>
        <v>0</v>
      </c>
      <c r="U1603" s="9" t="n">
        <f aca="false">IF(D1603="",1,0)</f>
        <v>0</v>
      </c>
      <c r="V1603" s="9" t="n">
        <f aca="false">IF(E1603="",1,0)</f>
        <v>0</v>
      </c>
      <c r="W1603" s="9" t="n">
        <f aca="false">IF(OR(H1603&lt;1,H1603&gt;10),1,0)</f>
        <v>0</v>
      </c>
      <c r="X1603" s="9" t="n">
        <f aca="false">IF(OR(I1603&lt;=0,I1603&gt;1500),1,0)</f>
        <v>0</v>
      </c>
      <c r="Y1603" s="9" t="n">
        <f aca="false">IF(J1603&gt;H1603*I1603,1,0)</f>
        <v>0</v>
      </c>
      <c r="Z1603" s="9" t="n">
        <f aca="false">IF(AND(N1603&lt;&gt;"",OR(N1603&lt;1,N1603&gt;5)),1,0)</f>
        <v>0</v>
      </c>
      <c r="AA1603" s="9" t="n">
        <f aca="false">IF(AND(M1603&lt;&gt;"",OR(M1603&lt;5,M1603&gt;180)),1,0)</f>
        <v>0</v>
      </c>
      <c r="AB1603" s="7" t="str">
        <f aca="false">IF(P1603="DUP","Exact duplicate row",IF(T1603=1,"Missing Order ID",IF(S1603="DROP","Duplicate Order ID (less complete row)",IF(U1603=1,"Missing Customer ID",IF(V1603=1,"Missing Restaurant name",IF(W1603=1,"Invalid/outlier quantity",IF(X1603=1,"Invalid/outlier unit price",IF(Y1603=1,"Discount greater than order value",""))))))))</f>
        <v/>
      </c>
      <c r="AC1603" s="7" t="str">
        <f aca="false">IF(AB1603="","KEEP","DROP")</f>
        <v>KEEP</v>
      </c>
      <c r="AD1603" s="7" t="str">
        <f aca="false">IF(TRIM(F1603)="",IFERROR(INDEX(Map_Tables!$I$4:$I$37,MATCH(TRIM(E1603),Map_Tables!$G$4:$G$37,0)),""),IFERROR(INDEX(Map_Tables!$B$4:$B$18,MATCH(TRIM(F1603),Map_Tables!$A$4:$A$18,0)),"CHECK"))</f>
        <v>Hyderabad</v>
      </c>
      <c r="AE1603" s="7" t="str">
        <f aca="false">IF(TRIM(E1603)="","",IFERROR(INDEX(Map_Tables!$H$4:$H$37,MATCH(TRIM(E1603),Map_Tables!$G$4:$G$37,0)),"CHECK"))</f>
        <v>Hyderabad Dum Biryani</v>
      </c>
      <c r="AF1603" s="7" t="str">
        <f aca="false">IF(TRIM(K1603)="","Unknown",IFERROR(INDEX(Map_Tables!$E$4:$E$15,MATCH(TRIM(K1603),Map_Tables!$D$4:$D$15,0)),"CHECK"))</f>
        <v>Debit Card</v>
      </c>
      <c r="AG1603" s="7" t="str">
        <f aca="false">IF(LEFT(LOWER(TRIM(L1603)),6)="cancel","Cancelled","Delivered")</f>
        <v>Delivered</v>
      </c>
      <c r="AH1603" s="10" t="n">
        <f aca="false">IF(ISNUMBER(SEARCH("/",B1603)),DATE(VALUE(RIGHT(B1603,4)),VALUE(MID(B1603,4,2)),VALUE(LEFT(B1603,2))),IF(MID(B1603,5,1)="-",DATE(VALUE(LEFT(B1603,4)),VALUE(MID(B1603,6,2)),VALUE(RIGHT(B1603,2))),DATE(VALUE(RIGHT(B1603,4)),MATCH(MID(B1603,4,3),{"Jan","Feb","Mar","Apr","May","Jun","Jul","Aug","Sep","Oct","Nov","Dec"},0),VALUE(LEFT(B1603,2)))))</f>
        <v>45739</v>
      </c>
    </row>
    <row r="1604" customFormat="false" ht="15" hidden="false" customHeight="false" outlineLevel="0" collapsed="false">
      <c r="A1604" s="7" t="s">
        <v>4104</v>
      </c>
      <c r="B1604" s="7" t="s">
        <v>3117</v>
      </c>
      <c r="C1604" s="7" t="s">
        <v>3163</v>
      </c>
      <c r="D1604" s="7" t="s">
        <v>2452</v>
      </c>
      <c r="E1604" s="7" t="s">
        <v>147</v>
      </c>
      <c r="F1604" s="7" t="s">
        <v>119</v>
      </c>
      <c r="G1604" s="7" t="s">
        <v>95</v>
      </c>
      <c r="H1604" s="7" t="n">
        <v>2</v>
      </c>
      <c r="I1604" s="7" t="n">
        <v>165</v>
      </c>
      <c r="J1604" s="7" t="n">
        <v>0</v>
      </c>
      <c r="K1604" s="7" t="s">
        <v>93</v>
      </c>
      <c r="L1604" s="7" t="s">
        <v>194</v>
      </c>
      <c r="M1604" s="7" t="n">
        <v>31</v>
      </c>
      <c r="N1604" s="7" t="n">
        <v>5</v>
      </c>
      <c r="O1604" s="7" t="str">
        <f aca="false">A1604&amp;"|"&amp;B1604&amp;"|"&amp;C1604&amp;"|"&amp;D1604&amp;"|"&amp;E1604&amp;"|"&amp;F1604&amp;"|"&amp;G1604&amp;"|"&amp;H1604&amp;"|"&amp;I1604&amp;"|"&amp;J1604&amp;"|"&amp;K1604&amp;"|"&amp;L1604&amp;"|"&amp;M1604&amp;"|"&amp;N1604</f>
        <v>ORD11090|2025-05-18|19:28|C0455|Andhra Meals Mess|Hyderabad|South Indian|2|165|0|Credit Card|Delivered|31|5</v>
      </c>
      <c r="P1604" s="7" t="str">
        <f aca="false">IF(COUNTIF($O$2:O1604,O1604)&gt;1,"DUP","OK")</f>
        <v>OK</v>
      </c>
      <c r="Q1604" s="7" t="n">
        <f aca="false">COUNTBLANK(A1604:N1604)</f>
        <v>0</v>
      </c>
      <c r="R1604" s="7" t="n">
        <f aca="false">IF(A1604="",0,COUNTIFS($A$2:$A$3058,A1604,$P$2:$P$3058,"OK"))</f>
        <v>1</v>
      </c>
      <c r="S1604" s="7" t="str">
        <f aca="false">IF(OR(A1604="",P1604="DUP",R1604&lt;2),"",IF(Q1604=_xlfn.MINIFS($Q$2:$Q$3058,$A$2:$A$3058,A1604,$P$2:$P$3058,"OK"),"KEEP","DROP"))</f>
        <v/>
      </c>
      <c r="T1604" s="9" t="n">
        <f aca="false">IF(A1604="",1,0)</f>
        <v>0</v>
      </c>
      <c r="U1604" s="9" t="n">
        <f aca="false">IF(D1604="",1,0)</f>
        <v>0</v>
      </c>
      <c r="V1604" s="9" t="n">
        <f aca="false">IF(E1604="",1,0)</f>
        <v>0</v>
      </c>
      <c r="W1604" s="9" t="n">
        <f aca="false">IF(OR(H1604&lt;1,H1604&gt;10),1,0)</f>
        <v>0</v>
      </c>
      <c r="X1604" s="9" t="n">
        <f aca="false">IF(OR(I1604&lt;=0,I1604&gt;1500),1,0)</f>
        <v>0</v>
      </c>
      <c r="Y1604" s="9" t="n">
        <f aca="false">IF(J1604&gt;H1604*I1604,1,0)</f>
        <v>0</v>
      </c>
      <c r="Z1604" s="9" t="n">
        <f aca="false">IF(AND(N1604&lt;&gt;"",OR(N1604&lt;1,N1604&gt;5)),1,0)</f>
        <v>0</v>
      </c>
      <c r="AA1604" s="9" t="n">
        <f aca="false">IF(AND(M1604&lt;&gt;"",OR(M1604&lt;5,M1604&gt;180)),1,0)</f>
        <v>0</v>
      </c>
      <c r="AB1604" s="7" t="str">
        <f aca="false">IF(P1604="DUP","Exact duplicate row",IF(T1604=1,"Missing Order ID",IF(S1604="DROP","Duplicate Order ID (less complete row)",IF(U1604=1,"Missing Customer ID",IF(V1604=1,"Missing Restaurant name",IF(W1604=1,"Invalid/outlier quantity",IF(X1604=1,"Invalid/outlier unit price",IF(Y1604=1,"Discount greater than order value",""))))))))</f>
        <v/>
      </c>
      <c r="AC1604" s="7" t="str">
        <f aca="false">IF(AB1604="","KEEP","DROP")</f>
        <v>KEEP</v>
      </c>
      <c r="AD1604" s="7" t="str">
        <f aca="false">IF(TRIM(F1604)="",IFERROR(INDEX(Map_Tables!$I$4:$I$37,MATCH(TRIM(E1604),Map_Tables!$G$4:$G$37,0)),""),IFERROR(INDEX(Map_Tables!$B$4:$B$18,MATCH(TRIM(F1604),Map_Tables!$A$4:$A$18,0)),"CHECK"))</f>
        <v>Hyderabad</v>
      </c>
      <c r="AE1604" s="7" t="str">
        <f aca="false">IF(TRIM(E1604)="","",IFERROR(INDEX(Map_Tables!$H$4:$H$37,MATCH(TRIM(E1604),Map_Tables!$G$4:$G$37,0)),"CHECK"))</f>
        <v>Andhra Meals Mess</v>
      </c>
      <c r="AF1604" s="7" t="str">
        <f aca="false">IF(TRIM(K1604)="","Unknown",IFERROR(INDEX(Map_Tables!$E$4:$E$15,MATCH(TRIM(K1604),Map_Tables!$D$4:$D$15,0)),"CHECK"))</f>
        <v>Credit Card</v>
      </c>
      <c r="AG1604" s="7" t="str">
        <f aca="false">IF(LEFT(LOWER(TRIM(L1604)),6)="cancel","Cancelled","Delivered")</f>
        <v>Delivered</v>
      </c>
      <c r="AH1604" s="10" t="n">
        <f aca="false">IF(ISNUMBER(SEARCH("/",B1604)),DATE(VALUE(RIGHT(B1604,4)),VALUE(MID(B1604,4,2)),VALUE(LEFT(B1604,2))),IF(MID(B1604,5,1)="-",DATE(VALUE(LEFT(B1604,4)),VALUE(MID(B1604,6,2)),VALUE(RIGHT(B1604,2))),DATE(VALUE(RIGHT(B1604,4)),MATCH(MID(B1604,4,3),{"Jan","Feb","Mar","Apr","May","Jun","Jul","Aug","Sep","Oct","Nov","Dec"},0),VALUE(LEFT(B1604,2)))))</f>
        <v>45795</v>
      </c>
    </row>
    <row r="1605" customFormat="false" ht="15" hidden="false" customHeight="false" outlineLevel="0" collapsed="false">
      <c r="A1605" s="7" t="s">
        <v>4105</v>
      </c>
      <c r="B1605" s="7" t="s">
        <v>4106</v>
      </c>
      <c r="C1605" s="7" t="s">
        <v>772</v>
      </c>
      <c r="D1605" s="7" t="s">
        <v>1453</v>
      </c>
      <c r="E1605" s="7" t="s">
        <v>155</v>
      </c>
      <c r="F1605" s="7" t="s">
        <v>128</v>
      </c>
      <c r="G1605" s="7" t="s">
        <v>156</v>
      </c>
      <c r="H1605" s="7" t="n">
        <v>1</v>
      </c>
      <c r="I1605" s="7" t="n">
        <v>250</v>
      </c>
      <c r="J1605" s="7" t="n">
        <v>100</v>
      </c>
      <c r="K1605" s="7" t="s">
        <v>112</v>
      </c>
      <c r="L1605" s="7" t="s">
        <v>194</v>
      </c>
      <c r="M1605" s="7" t="n">
        <v>47</v>
      </c>
      <c r="N1605" s="7" t="n">
        <v>4</v>
      </c>
      <c r="O1605" s="7" t="str">
        <f aca="false">A1605&amp;"|"&amp;B1605&amp;"|"&amp;C1605&amp;"|"&amp;D1605&amp;"|"&amp;E1605&amp;"|"&amp;F1605&amp;"|"&amp;G1605&amp;"|"&amp;H1605&amp;"|"&amp;I1605&amp;"|"&amp;J1605&amp;"|"&amp;K1605&amp;"|"&amp;L1605&amp;"|"&amp;M1605&amp;"|"&amp;N1605</f>
        <v>ORD12495|09/11/2025|15:53|C1152|Green Bowl Kitchen|Chennai|Healthy Food|1|250|100|Cash on Delivery|Delivered|47|4</v>
      </c>
      <c r="P1605" s="7" t="str">
        <f aca="false">IF(COUNTIF($O$2:O1605,O1605)&gt;1,"DUP","OK")</f>
        <v>OK</v>
      </c>
      <c r="Q1605" s="7" t="n">
        <f aca="false">COUNTBLANK(A1605:N1605)</f>
        <v>0</v>
      </c>
      <c r="R1605" s="7" t="n">
        <f aca="false">IF(A1605="",0,COUNTIFS($A$2:$A$3058,A1605,$P$2:$P$3058,"OK"))</f>
        <v>1</v>
      </c>
      <c r="S1605" s="7" t="str">
        <f aca="false">IF(OR(A1605="",P1605="DUP",R1605&lt;2),"",IF(Q1605=_xlfn.MINIFS($Q$2:$Q$3058,$A$2:$A$3058,A1605,$P$2:$P$3058,"OK"),"KEEP","DROP"))</f>
        <v/>
      </c>
      <c r="T1605" s="9" t="n">
        <f aca="false">IF(A1605="",1,0)</f>
        <v>0</v>
      </c>
      <c r="U1605" s="9" t="n">
        <f aca="false">IF(D1605="",1,0)</f>
        <v>0</v>
      </c>
      <c r="V1605" s="9" t="n">
        <f aca="false">IF(E1605="",1,0)</f>
        <v>0</v>
      </c>
      <c r="W1605" s="9" t="n">
        <f aca="false">IF(OR(H1605&lt;1,H1605&gt;10),1,0)</f>
        <v>0</v>
      </c>
      <c r="X1605" s="9" t="n">
        <f aca="false">IF(OR(I1605&lt;=0,I1605&gt;1500),1,0)</f>
        <v>0</v>
      </c>
      <c r="Y1605" s="9" t="n">
        <f aca="false">IF(J1605&gt;H1605*I1605,1,0)</f>
        <v>0</v>
      </c>
      <c r="Z1605" s="9" t="n">
        <f aca="false">IF(AND(N1605&lt;&gt;"",OR(N1605&lt;1,N1605&gt;5)),1,0)</f>
        <v>0</v>
      </c>
      <c r="AA1605" s="9" t="n">
        <f aca="false">IF(AND(M1605&lt;&gt;"",OR(M1605&lt;5,M1605&gt;180)),1,0)</f>
        <v>0</v>
      </c>
      <c r="AB1605" s="7" t="str">
        <f aca="false">IF(P1605="DUP","Exact duplicate row",IF(T1605=1,"Missing Order ID",IF(S1605="DROP","Duplicate Order ID (less complete row)",IF(U1605=1,"Missing Customer ID",IF(V1605=1,"Missing Restaurant name",IF(W1605=1,"Invalid/outlier quantity",IF(X1605=1,"Invalid/outlier unit price",IF(Y1605=1,"Discount greater than order value",""))))))))</f>
        <v/>
      </c>
      <c r="AC1605" s="7" t="str">
        <f aca="false">IF(AB1605="","KEEP","DROP")</f>
        <v>KEEP</v>
      </c>
      <c r="AD1605" s="7" t="str">
        <f aca="false">IF(TRIM(F1605)="",IFERROR(INDEX(Map_Tables!$I$4:$I$37,MATCH(TRIM(E1605),Map_Tables!$G$4:$G$37,0)),""),IFERROR(INDEX(Map_Tables!$B$4:$B$18,MATCH(TRIM(F1605),Map_Tables!$A$4:$A$18,0)),"CHECK"))</f>
        <v>Chennai</v>
      </c>
      <c r="AE1605" s="7" t="str">
        <f aca="false">IF(TRIM(E1605)="","",IFERROR(INDEX(Map_Tables!$H$4:$H$37,MATCH(TRIM(E1605),Map_Tables!$G$4:$G$37,0)),"CHECK"))</f>
        <v>Green Bowl Kitchen</v>
      </c>
      <c r="AF1605" s="7" t="str">
        <f aca="false">IF(TRIM(K1605)="","Unknown",IFERROR(INDEX(Map_Tables!$E$4:$E$15,MATCH(TRIM(K1605),Map_Tables!$D$4:$D$15,0)),"CHECK"))</f>
        <v>Cash on Delivery</v>
      </c>
      <c r="AG1605" s="7" t="str">
        <f aca="false">IF(LEFT(LOWER(TRIM(L1605)),6)="cancel","Cancelled","Delivered")</f>
        <v>Delivered</v>
      </c>
      <c r="AH1605" s="10" t="n">
        <f aca="false">IF(ISNUMBER(SEARCH("/",B1605)),DATE(VALUE(RIGHT(B1605,4)),VALUE(MID(B1605,4,2)),VALUE(LEFT(B1605,2))),IF(MID(B1605,5,1)="-",DATE(VALUE(LEFT(B1605,4)),VALUE(MID(B1605,6,2)),VALUE(RIGHT(B1605,2))),DATE(VALUE(RIGHT(B1605,4)),MATCH(MID(B1605,4,3),{"Jan","Feb","Mar","Apr","May","Jun","Jul","Aug","Sep","Oct","Nov","Dec"},0),VALUE(LEFT(B1605,2)))))</f>
        <v>45970</v>
      </c>
    </row>
    <row r="1606" customFormat="false" ht="15" hidden="false" customHeight="false" outlineLevel="0" collapsed="false">
      <c r="A1606" s="7" t="s">
        <v>4107</v>
      </c>
      <c r="B1606" s="7" t="s">
        <v>1946</v>
      </c>
      <c r="C1606" s="7" t="s">
        <v>3918</v>
      </c>
      <c r="D1606" s="7" t="s">
        <v>1655</v>
      </c>
      <c r="E1606" s="7" t="s">
        <v>116</v>
      </c>
      <c r="F1606" s="7" t="s">
        <v>101</v>
      </c>
      <c r="G1606" s="7" t="s">
        <v>117</v>
      </c>
      <c r="H1606" s="7" t="n">
        <v>1</v>
      </c>
      <c r="I1606" s="7" t="n">
        <v>160</v>
      </c>
      <c r="J1606" s="7" t="n">
        <v>64</v>
      </c>
      <c r="K1606" s="7" t="s">
        <v>121</v>
      </c>
      <c r="L1606" s="7" t="s">
        <v>194</v>
      </c>
      <c r="M1606" s="7" t="n">
        <v>42</v>
      </c>
      <c r="N1606" s="7"/>
      <c r="O1606" s="7" t="str">
        <f aca="false">A1606&amp;"|"&amp;B1606&amp;"|"&amp;C1606&amp;"|"&amp;D1606&amp;"|"&amp;E1606&amp;"|"&amp;F1606&amp;"|"&amp;G1606&amp;"|"&amp;H1606&amp;"|"&amp;I1606&amp;"|"&amp;J1606&amp;"|"&amp;K1606&amp;"|"&amp;L1606&amp;"|"&amp;M1606&amp;"|"&amp;N1606</f>
        <v>ORD12025|2025-09-19|10:07|C0195|Pav Bhaji Point|Mumbai|Street Food|1|160|64|Wallet|Delivered|42|</v>
      </c>
      <c r="P1606" s="7" t="str">
        <f aca="false">IF(COUNTIF($O$2:O1606,O1606)&gt;1,"DUP","OK")</f>
        <v>OK</v>
      </c>
      <c r="Q1606" s="7" t="n">
        <f aca="false">COUNTBLANK(A1606:N1606)</f>
        <v>1</v>
      </c>
      <c r="R1606" s="7" t="n">
        <f aca="false">IF(A1606="",0,COUNTIFS($A$2:$A$3058,A1606,$P$2:$P$3058,"OK"))</f>
        <v>1</v>
      </c>
      <c r="S1606" s="7" t="str">
        <f aca="false">IF(OR(A1606="",P1606="DUP",R1606&lt;2),"",IF(Q1606=_xlfn.MINIFS($Q$2:$Q$3058,$A$2:$A$3058,A1606,$P$2:$P$3058,"OK"),"KEEP","DROP"))</f>
        <v/>
      </c>
      <c r="T1606" s="9" t="n">
        <f aca="false">IF(A1606="",1,0)</f>
        <v>0</v>
      </c>
      <c r="U1606" s="9" t="n">
        <f aca="false">IF(D1606="",1,0)</f>
        <v>0</v>
      </c>
      <c r="V1606" s="9" t="n">
        <f aca="false">IF(E1606="",1,0)</f>
        <v>0</v>
      </c>
      <c r="W1606" s="9" t="n">
        <f aca="false">IF(OR(H1606&lt;1,H1606&gt;10),1,0)</f>
        <v>0</v>
      </c>
      <c r="X1606" s="9" t="n">
        <f aca="false">IF(OR(I1606&lt;=0,I1606&gt;1500),1,0)</f>
        <v>0</v>
      </c>
      <c r="Y1606" s="9" t="n">
        <f aca="false">IF(J1606&gt;H1606*I1606,1,0)</f>
        <v>0</v>
      </c>
      <c r="Z1606" s="9" t="n">
        <f aca="false">IF(AND(N1606&lt;&gt;"",OR(N1606&lt;1,N1606&gt;5)),1,0)</f>
        <v>0</v>
      </c>
      <c r="AA1606" s="9" t="n">
        <f aca="false">IF(AND(M1606&lt;&gt;"",OR(M1606&lt;5,M1606&gt;180)),1,0)</f>
        <v>0</v>
      </c>
      <c r="AB1606" s="7" t="str">
        <f aca="false">IF(P1606="DUP","Exact duplicate row",IF(T1606=1,"Missing Order ID",IF(S1606="DROP","Duplicate Order ID (less complete row)",IF(U1606=1,"Missing Customer ID",IF(V1606=1,"Missing Restaurant name",IF(W1606=1,"Invalid/outlier quantity",IF(X1606=1,"Invalid/outlier unit price",IF(Y1606=1,"Discount greater than order value",""))))))))</f>
        <v/>
      </c>
      <c r="AC1606" s="7" t="str">
        <f aca="false">IF(AB1606="","KEEP","DROP")</f>
        <v>KEEP</v>
      </c>
      <c r="AD1606" s="7" t="str">
        <f aca="false">IF(TRIM(F1606)="",IFERROR(INDEX(Map_Tables!$I$4:$I$37,MATCH(TRIM(E1606),Map_Tables!$G$4:$G$37,0)),""),IFERROR(INDEX(Map_Tables!$B$4:$B$18,MATCH(TRIM(F1606),Map_Tables!$A$4:$A$18,0)),"CHECK"))</f>
        <v>Mumbai</v>
      </c>
      <c r="AE1606" s="7" t="str">
        <f aca="false">IF(TRIM(E1606)="","",IFERROR(INDEX(Map_Tables!$H$4:$H$37,MATCH(TRIM(E1606),Map_Tables!$G$4:$G$37,0)),"CHECK"))</f>
        <v>Pav Bhaji Point</v>
      </c>
      <c r="AF1606" s="7" t="str">
        <f aca="false">IF(TRIM(K1606)="","Unknown",IFERROR(INDEX(Map_Tables!$E$4:$E$15,MATCH(TRIM(K1606),Map_Tables!$D$4:$D$15,0)),"CHECK"))</f>
        <v>Wallet</v>
      </c>
      <c r="AG1606" s="7" t="str">
        <f aca="false">IF(LEFT(LOWER(TRIM(L1606)),6)="cancel","Cancelled","Delivered")</f>
        <v>Delivered</v>
      </c>
      <c r="AH1606" s="10" t="n">
        <f aca="false">IF(ISNUMBER(SEARCH("/",B1606)),DATE(VALUE(RIGHT(B1606,4)),VALUE(MID(B1606,4,2)),VALUE(LEFT(B1606,2))),IF(MID(B1606,5,1)="-",DATE(VALUE(LEFT(B1606,4)),VALUE(MID(B1606,6,2)),VALUE(RIGHT(B1606,2))),DATE(VALUE(RIGHT(B1606,4)),MATCH(MID(B1606,4,3),{"Jan","Feb","Mar","Apr","May","Jun","Jul","Aug","Sep","Oct","Nov","Dec"},0),VALUE(LEFT(B1606,2)))))</f>
        <v>45919</v>
      </c>
    </row>
    <row r="1607" customFormat="false" ht="15" hidden="false" customHeight="false" outlineLevel="0" collapsed="false">
      <c r="A1607" s="7" t="s">
        <v>4108</v>
      </c>
      <c r="B1607" s="7" t="s">
        <v>3986</v>
      </c>
      <c r="C1607" s="7" t="s">
        <v>2856</v>
      </c>
      <c r="D1607" s="7" t="s">
        <v>744</v>
      </c>
      <c r="E1607" s="7" t="s">
        <v>1862</v>
      </c>
      <c r="F1607" s="7" t="s">
        <v>86</v>
      </c>
      <c r="G1607" s="7" t="s">
        <v>90</v>
      </c>
      <c r="H1607" s="7" t="n">
        <v>5</v>
      </c>
      <c r="I1607" s="7" t="n">
        <v>205</v>
      </c>
      <c r="J1607" s="7" t="n">
        <v>30</v>
      </c>
      <c r="K1607" s="7" t="s">
        <v>88</v>
      </c>
      <c r="L1607" s="7" t="s">
        <v>194</v>
      </c>
      <c r="M1607" s="7" t="n">
        <v>49</v>
      </c>
      <c r="N1607" s="7" t="n">
        <v>4</v>
      </c>
      <c r="O1607" s="7" t="str">
        <f aca="false">A1607&amp;"|"&amp;B1607&amp;"|"&amp;C1607&amp;"|"&amp;D1607&amp;"|"&amp;E1607&amp;"|"&amp;F1607&amp;"|"&amp;G1607&amp;"|"&amp;H1607&amp;"|"&amp;I1607&amp;"|"&amp;J1607&amp;"|"&amp;K1607&amp;"|"&amp;L1607&amp;"|"&amp;M1607&amp;"|"&amp;N1607</f>
        <v>ORD11409|2025-07-02|21:48|C1096|Spice Junction |Bengaluru|North Indian|5|205|30|UPI|Delivered|49|4</v>
      </c>
      <c r="P1607" s="7" t="str">
        <f aca="false">IF(COUNTIF($O$2:O1607,O1607)&gt;1,"DUP","OK")</f>
        <v>OK</v>
      </c>
      <c r="Q1607" s="7" t="n">
        <f aca="false">COUNTBLANK(A1607:N1607)</f>
        <v>0</v>
      </c>
      <c r="R1607" s="7" t="n">
        <f aca="false">IF(A1607="",0,COUNTIFS($A$2:$A$3058,A1607,$P$2:$P$3058,"OK"))</f>
        <v>1</v>
      </c>
      <c r="S1607" s="7" t="str">
        <f aca="false">IF(OR(A1607="",P1607="DUP",R1607&lt;2),"",IF(Q1607=_xlfn.MINIFS($Q$2:$Q$3058,$A$2:$A$3058,A1607,$P$2:$P$3058,"OK"),"KEEP","DROP"))</f>
        <v/>
      </c>
      <c r="T1607" s="9" t="n">
        <f aca="false">IF(A1607="",1,0)</f>
        <v>0</v>
      </c>
      <c r="U1607" s="9" t="n">
        <f aca="false">IF(D1607="",1,0)</f>
        <v>0</v>
      </c>
      <c r="V1607" s="9" t="n">
        <f aca="false">IF(E1607="",1,0)</f>
        <v>0</v>
      </c>
      <c r="W1607" s="9" t="n">
        <f aca="false">IF(OR(H1607&lt;1,H1607&gt;10),1,0)</f>
        <v>0</v>
      </c>
      <c r="X1607" s="9" t="n">
        <f aca="false">IF(OR(I1607&lt;=0,I1607&gt;1500),1,0)</f>
        <v>0</v>
      </c>
      <c r="Y1607" s="9" t="n">
        <f aca="false">IF(J1607&gt;H1607*I1607,1,0)</f>
        <v>0</v>
      </c>
      <c r="Z1607" s="9" t="n">
        <f aca="false">IF(AND(N1607&lt;&gt;"",OR(N1607&lt;1,N1607&gt;5)),1,0)</f>
        <v>0</v>
      </c>
      <c r="AA1607" s="9" t="n">
        <f aca="false">IF(AND(M1607&lt;&gt;"",OR(M1607&lt;5,M1607&gt;180)),1,0)</f>
        <v>0</v>
      </c>
      <c r="AB1607" s="7" t="str">
        <f aca="false">IF(P1607="DUP","Exact duplicate row",IF(T1607=1,"Missing Order ID",IF(S1607="DROP","Duplicate Order ID (less complete row)",IF(U1607=1,"Missing Customer ID",IF(V1607=1,"Missing Restaurant name",IF(W1607=1,"Invalid/outlier quantity",IF(X1607=1,"Invalid/outlier unit price",IF(Y1607=1,"Discount greater than order value",""))))))))</f>
        <v/>
      </c>
      <c r="AC1607" s="7" t="str">
        <f aca="false">IF(AB1607="","KEEP","DROP")</f>
        <v>KEEP</v>
      </c>
      <c r="AD1607" s="7" t="str">
        <f aca="false">IF(TRIM(F1607)="",IFERROR(INDEX(Map_Tables!$I$4:$I$37,MATCH(TRIM(E1607),Map_Tables!$G$4:$G$37,0)),""),IFERROR(INDEX(Map_Tables!$B$4:$B$18,MATCH(TRIM(F1607),Map_Tables!$A$4:$A$18,0)),"CHECK"))</f>
        <v>Bengaluru</v>
      </c>
      <c r="AE1607" s="7" t="str">
        <f aca="false">IF(TRIM(E1607)="","",IFERROR(INDEX(Map_Tables!$H$4:$H$37,MATCH(TRIM(E1607),Map_Tables!$G$4:$G$37,0)),"CHECK"))</f>
        <v>Spice Junction</v>
      </c>
      <c r="AF1607" s="7" t="str">
        <f aca="false">IF(TRIM(K1607)="","Unknown",IFERROR(INDEX(Map_Tables!$E$4:$E$15,MATCH(TRIM(K1607),Map_Tables!$D$4:$D$15,0)),"CHECK"))</f>
        <v>UPI</v>
      </c>
      <c r="AG1607" s="7" t="str">
        <f aca="false">IF(LEFT(LOWER(TRIM(L1607)),6)="cancel","Cancelled","Delivered")</f>
        <v>Delivered</v>
      </c>
      <c r="AH1607" s="10" t="n">
        <f aca="false">IF(ISNUMBER(SEARCH("/",B1607)),DATE(VALUE(RIGHT(B1607,4)),VALUE(MID(B1607,4,2)),VALUE(LEFT(B1607,2))),IF(MID(B1607,5,1)="-",DATE(VALUE(LEFT(B1607,4)),VALUE(MID(B1607,6,2)),VALUE(RIGHT(B1607,2))),DATE(VALUE(RIGHT(B1607,4)),MATCH(MID(B1607,4,3),{"Jan","Feb","Mar","Apr","May","Jun","Jul","Aug","Sep","Oct","Nov","Dec"},0),VALUE(LEFT(B1607,2)))))</f>
        <v>45840</v>
      </c>
    </row>
    <row r="1608" customFormat="false" ht="15" hidden="false" customHeight="false" outlineLevel="0" collapsed="false">
      <c r="A1608" s="7" t="s">
        <v>4109</v>
      </c>
      <c r="B1608" s="7" t="s">
        <v>1446</v>
      </c>
      <c r="C1608" s="7" t="s">
        <v>1256</v>
      </c>
      <c r="D1608" s="7" t="s">
        <v>2077</v>
      </c>
      <c r="E1608" s="7" t="s">
        <v>98</v>
      </c>
      <c r="F1608" s="7" t="s">
        <v>86</v>
      </c>
      <c r="G1608" s="7" t="s">
        <v>3595</v>
      </c>
      <c r="H1608" s="7" t="n">
        <v>1</v>
      </c>
      <c r="I1608" s="7" t="n">
        <v>235</v>
      </c>
      <c r="J1608" s="7" t="n">
        <v>0</v>
      </c>
      <c r="K1608" s="7" t="s">
        <v>88</v>
      </c>
      <c r="L1608" s="7" t="s">
        <v>194</v>
      </c>
      <c r="M1608" s="7" t="n">
        <v>34</v>
      </c>
      <c r="N1608" s="7" t="n">
        <v>4</v>
      </c>
      <c r="O1608" s="7" t="str">
        <f aca="false">A1608&amp;"|"&amp;B1608&amp;"|"&amp;C1608&amp;"|"&amp;D1608&amp;"|"&amp;E1608&amp;"|"&amp;F1608&amp;"|"&amp;G1608&amp;"|"&amp;H1608&amp;"|"&amp;I1608&amp;"|"&amp;J1608&amp;"|"&amp;K1608&amp;"|"&amp;L1608&amp;"|"&amp;M1608&amp;"|"&amp;N1608</f>
        <v>ORD10566|2025-03-13|18:59|C0006|Nawabi Biryani House|Bengaluru|BIRYANI|1|235|0|UPI|Delivered|34|4</v>
      </c>
      <c r="P1608" s="7" t="str">
        <f aca="false">IF(COUNTIF($O$2:O1608,O1608)&gt;1,"DUP","OK")</f>
        <v>OK</v>
      </c>
      <c r="Q1608" s="7" t="n">
        <f aca="false">COUNTBLANK(A1608:N1608)</f>
        <v>0</v>
      </c>
      <c r="R1608" s="7" t="n">
        <f aca="false">IF(A1608="",0,COUNTIFS($A$2:$A$3058,A1608,$P$2:$P$3058,"OK"))</f>
        <v>1</v>
      </c>
      <c r="S1608" s="7" t="str">
        <f aca="false">IF(OR(A1608="",P1608="DUP",R1608&lt;2),"",IF(Q1608=_xlfn.MINIFS($Q$2:$Q$3058,$A$2:$A$3058,A1608,$P$2:$P$3058,"OK"),"KEEP","DROP"))</f>
        <v/>
      </c>
      <c r="T1608" s="9" t="n">
        <f aca="false">IF(A1608="",1,0)</f>
        <v>0</v>
      </c>
      <c r="U1608" s="9" t="n">
        <f aca="false">IF(D1608="",1,0)</f>
        <v>0</v>
      </c>
      <c r="V1608" s="9" t="n">
        <f aca="false">IF(E1608="",1,0)</f>
        <v>0</v>
      </c>
      <c r="W1608" s="9" t="n">
        <f aca="false">IF(OR(H1608&lt;1,H1608&gt;10),1,0)</f>
        <v>0</v>
      </c>
      <c r="X1608" s="9" t="n">
        <f aca="false">IF(OR(I1608&lt;=0,I1608&gt;1500),1,0)</f>
        <v>0</v>
      </c>
      <c r="Y1608" s="9" t="n">
        <f aca="false">IF(J1608&gt;H1608*I1608,1,0)</f>
        <v>0</v>
      </c>
      <c r="Z1608" s="9" t="n">
        <f aca="false">IF(AND(N1608&lt;&gt;"",OR(N1608&lt;1,N1608&gt;5)),1,0)</f>
        <v>0</v>
      </c>
      <c r="AA1608" s="9" t="n">
        <f aca="false">IF(AND(M1608&lt;&gt;"",OR(M1608&lt;5,M1608&gt;180)),1,0)</f>
        <v>0</v>
      </c>
      <c r="AB1608" s="7" t="str">
        <f aca="false">IF(P1608="DUP","Exact duplicate row",IF(T1608=1,"Missing Order ID",IF(S1608="DROP","Duplicate Order ID (less complete row)",IF(U1608=1,"Missing Customer ID",IF(V1608=1,"Missing Restaurant name",IF(W1608=1,"Invalid/outlier quantity",IF(X1608=1,"Invalid/outlier unit price",IF(Y1608=1,"Discount greater than order value",""))))))))</f>
        <v/>
      </c>
      <c r="AC1608" s="7" t="str">
        <f aca="false">IF(AB1608="","KEEP","DROP")</f>
        <v>KEEP</v>
      </c>
      <c r="AD1608" s="7" t="str">
        <f aca="false">IF(TRIM(F1608)="",IFERROR(INDEX(Map_Tables!$I$4:$I$37,MATCH(TRIM(E1608),Map_Tables!$G$4:$G$37,0)),""),IFERROR(INDEX(Map_Tables!$B$4:$B$18,MATCH(TRIM(F1608),Map_Tables!$A$4:$A$18,0)),"CHECK"))</f>
        <v>Bengaluru</v>
      </c>
      <c r="AE1608" s="7" t="str">
        <f aca="false">IF(TRIM(E1608)="","",IFERROR(INDEX(Map_Tables!$H$4:$H$37,MATCH(TRIM(E1608),Map_Tables!$G$4:$G$37,0)),"CHECK"))</f>
        <v>Nawabi Biryani House</v>
      </c>
      <c r="AF1608" s="7" t="str">
        <f aca="false">IF(TRIM(K1608)="","Unknown",IFERROR(INDEX(Map_Tables!$E$4:$E$15,MATCH(TRIM(K1608),Map_Tables!$D$4:$D$15,0)),"CHECK"))</f>
        <v>UPI</v>
      </c>
      <c r="AG1608" s="7" t="str">
        <f aca="false">IF(LEFT(LOWER(TRIM(L1608)),6)="cancel","Cancelled","Delivered")</f>
        <v>Delivered</v>
      </c>
      <c r="AH1608" s="10" t="n">
        <f aca="false">IF(ISNUMBER(SEARCH("/",B1608)),DATE(VALUE(RIGHT(B1608,4)),VALUE(MID(B1608,4,2)),VALUE(LEFT(B1608,2))),IF(MID(B1608,5,1)="-",DATE(VALUE(LEFT(B1608,4)),VALUE(MID(B1608,6,2)),VALUE(RIGHT(B1608,2))),DATE(VALUE(RIGHT(B1608,4)),MATCH(MID(B1608,4,3),{"Jan","Feb","Mar","Apr","May","Jun","Jul","Aug","Sep","Oct","Nov","Dec"},0),VALUE(LEFT(B1608,2)))))</f>
        <v>45729</v>
      </c>
    </row>
    <row r="1609" customFormat="false" ht="15" hidden="false" customHeight="false" outlineLevel="0" collapsed="false">
      <c r="A1609" s="7" t="s">
        <v>4110</v>
      </c>
      <c r="B1609" s="7" t="s">
        <v>3294</v>
      </c>
      <c r="C1609" s="7" t="s">
        <v>1692</v>
      </c>
      <c r="D1609" s="7" t="s">
        <v>2589</v>
      </c>
      <c r="E1609" s="7" t="s">
        <v>94</v>
      </c>
      <c r="F1609" s="7" t="s">
        <v>86</v>
      </c>
      <c r="G1609" s="7" t="s">
        <v>95</v>
      </c>
      <c r="H1609" s="7" t="n">
        <v>4</v>
      </c>
      <c r="I1609" s="7" t="n">
        <v>105</v>
      </c>
      <c r="J1609" s="7" t="n">
        <v>0</v>
      </c>
      <c r="K1609" s="7" t="s">
        <v>88</v>
      </c>
      <c r="L1609" s="7" t="s">
        <v>194</v>
      </c>
      <c r="M1609" s="7" t="n">
        <v>34</v>
      </c>
      <c r="N1609" s="7" t="n">
        <v>4</v>
      </c>
      <c r="O1609" s="7" t="str">
        <f aca="false">A1609&amp;"|"&amp;B1609&amp;"|"&amp;C1609&amp;"|"&amp;D1609&amp;"|"&amp;E1609&amp;"|"&amp;F1609&amp;"|"&amp;G1609&amp;"|"&amp;H1609&amp;"|"&amp;I1609&amp;"|"&amp;J1609&amp;"|"&amp;K1609&amp;"|"&amp;L1609&amp;"|"&amp;M1609&amp;"|"&amp;N1609</f>
        <v>ORD11924|2025-09-07|12:03|C1119|Dosa Darbar|Bengaluru|South Indian|4|105|0|UPI|Delivered|34|4</v>
      </c>
      <c r="P1609" s="7" t="str">
        <f aca="false">IF(COUNTIF($O$2:O1609,O1609)&gt;1,"DUP","OK")</f>
        <v>OK</v>
      </c>
      <c r="Q1609" s="7" t="n">
        <f aca="false">COUNTBLANK(A1609:N1609)</f>
        <v>0</v>
      </c>
      <c r="R1609" s="7" t="n">
        <f aca="false">IF(A1609="",0,COUNTIFS($A$2:$A$3058,A1609,$P$2:$P$3058,"OK"))</f>
        <v>1</v>
      </c>
      <c r="S1609" s="7" t="str">
        <f aca="false">IF(OR(A1609="",P1609="DUP",R1609&lt;2),"",IF(Q1609=_xlfn.MINIFS($Q$2:$Q$3058,$A$2:$A$3058,A1609,$P$2:$P$3058,"OK"),"KEEP","DROP"))</f>
        <v/>
      </c>
      <c r="T1609" s="9" t="n">
        <f aca="false">IF(A1609="",1,0)</f>
        <v>0</v>
      </c>
      <c r="U1609" s="9" t="n">
        <f aca="false">IF(D1609="",1,0)</f>
        <v>0</v>
      </c>
      <c r="V1609" s="9" t="n">
        <f aca="false">IF(E1609="",1,0)</f>
        <v>0</v>
      </c>
      <c r="W1609" s="9" t="n">
        <f aca="false">IF(OR(H1609&lt;1,H1609&gt;10),1,0)</f>
        <v>0</v>
      </c>
      <c r="X1609" s="9" t="n">
        <f aca="false">IF(OR(I1609&lt;=0,I1609&gt;1500),1,0)</f>
        <v>0</v>
      </c>
      <c r="Y1609" s="9" t="n">
        <f aca="false">IF(J1609&gt;H1609*I1609,1,0)</f>
        <v>0</v>
      </c>
      <c r="Z1609" s="9" t="n">
        <f aca="false">IF(AND(N1609&lt;&gt;"",OR(N1609&lt;1,N1609&gt;5)),1,0)</f>
        <v>0</v>
      </c>
      <c r="AA1609" s="9" t="n">
        <f aca="false">IF(AND(M1609&lt;&gt;"",OR(M1609&lt;5,M1609&gt;180)),1,0)</f>
        <v>0</v>
      </c>
      <c r="AB1609" s="7" t="str">
        <f aca="false">IF(P1609="DUP","Exact duplicate row",IF(T1609=1,"Missing Order ID",IF(S1609="DROP","Duplicate Order ID (less complete row)",IF(U1609=1,"Missing Customer ID",IF(V1609=1,"Missing Restaurant name",IF(W1609=1,"Invalid/outlier quantity",IF(X1609=1,"Invalid/outlier unit price",IF(Y1609=1,"Discount greater than order value",""))))))))</f>
        <v/>
      </c>
      <c r="AC1609" s="7" t="str">
        <f aca="false">IF(AB1609="","KEEP","DROP")</f>
        <v>KEEP</v>
      </c>
      <c r="AD1609" s="7" t="str">
        <f aca="false">IF(TRIM(F1609)="",IFERROR(INDEX(Map_Tables!$I$4:$I$37,MATCH(TRIM(E1609),Map_Tables!$G$4:$G$37,0)),""),IFERROR(INDEX(Map_Tables!$B$4:$B$18,MATCH(TRIM(F1609),Map_Tables!$A$4:$A$18,0)),"CHECK"))</f>
        <v>Bengaluru</v>
      </c>
      <c r="AE1609" s="7" t="str">
        <f aca="false">IF(TRIM(E1609)="","",IFERROR(INDEX(Map_Tables!$H$4:$H$37,MATCH(TRIM(E1609),Map_Tables!$G$4:$G$37,0)),"CHECK"))</f>
        <v>Dosa Darbar</v>
      </c>
      <c r="AF1609" s="7" t="str">
        <f aca="false">IF(TRIM(K1609)="","Unknown",IFERROR(INDEX(Map_Tables!$E$4:$E$15,MATCH(TRIM(K1609),Map_Tables!$D$4:$D$15,0)),"CHECK"))</f>
        <v>UPI</v>
      </c>
      <c r="AG1609" s="7" t="str">
        <f aca="false">IF(LEFT(LOWER(TRIM(L1609)),6)="cancel","Cancelled","Delivered")</f>
        <v>Delivered</v>
      </c>
      <c r="AH1609" s="10" t="n">
        <f aca="false">IF(ISNUMBER(SEARCH("/",B1609)),DATE(VALUE(RIGHT(B1609,4)),VALUE(MID(B1609,4,2)),VALUE(LEFT(B1609,2))),IF(MID(B1609,5,1)="-",DATE(VALUE(LEFT(B1609,4)),VALUE(MID(B1609,6,2)),VALUE(RIGHT(B1609,2))),DATE(VALUE(RIGHT(B1609,4)),MATCH(MID(B1609,4,3),{"Jan","Feb","Mar","Apr","May","Jun","Jul","Aug","Sep","Oct","Nov","Dec"},0),VALUE(LEFT(B1609,2)))))</f>
        <v>45907</v>
      </c>
    </row>
    <row r="1610" customFormat="false" ht="15" hidden="false" customHeight="false" outlineLevel="0" collapsed="false">
      <c r="A1610" s="7" t="s">
        <v>4111</v>
      </c>
      <c r="B1610" s="7" t="s">
        <v>345</v>
      </c>
      <c r="C1610" s="7" t="s">
        <v>668</v>
      </c>
      <c r="D1610" s="7" t="s">
        <v>4112</v>
      </c>
      <c r="E1610" s="7" t="s">
        <v>149</v>
      </c>
      <c r="F1610" s="7" t="s">
        <v>119</v>
      </c>
      <c r="G1610" s="7" t="s">
        <v>150</v>
      </c>
      <c r="H1610" s="7" t="n">
        <v>1</v>
      </c>
      <c r="I1610" s="7" t="n">
        <v>160</v>
      </c>
      <c r="J1610" s="7" t="n">
        <v>0</v>
      </c>
      <c r="K1610" s="7" t="s">
        <v>88</v>
      </c>
      <c r="L1610" s="7" t="s">
        <v>194</v>
      </c>
      <c r="M1610" s="7" t="n">
        <v>33</v>
      </c>
      <c r="N1610" s="7" t="n">
        <v>4</v>
      </c>
      <c r="O1610" s="7" t="str">
        <f aca="false">A1610&amp;"|"&amp;B1610&amp;"|"&amp;C1610&amp;"|"&amp;D1610&amp;"|"&amp;E1610&amp;"|"&amp;F1610&amp;"|"&amp;G1610&amp;"|"&amp;H1610&amp;"|"&amp;I1610&amp;"|"&amp;J1610&amp;"|"&amp;K1610&amp;"|"&amp;L1610&amp;"|"&amp;M1610&amp;"|"&amp;N1610</f>
        <v>ORD10886|2025-04-22|13:33|C0634|Sweet Tooth Studio|Hyderabad|Desserts|1|160|0|UPI|Delivered|33|4</v>
      </c>
      <c r="P1610" s="7" t="str">
        <f aca="false">IF(COUNTIF($O$2:O1610,O1610)&gt;1,"DUP","OK")</f>
        <v>OK</v>
      </c>
      <c r="Q1610" s="7" t="n">
        <f aca="false">COUNTBLANK(A1610:N1610)</f>
        <v>0</v>
      </c>
      <c r="R1610" s="7" t="n">
        <f aca="false">IF(A1610="",0,COUNTIFS($A$2:$A$3058,A1610,$P$2:$P$3058,"OK"))</f>
        <v>1</v>
      </c>
      <c r="S1610" s="7" t="str">
        <f aca="false">IF(OR(A1610="",P1610="DUP",R1610&lt;2),"",IF(Q1610=_xlfn.MINIFS($Q$2:$Q$3058,$A$2:$A$3058,A1610,$P$2:$P$3058,"OK"),"KEEP","DROP"))</f>
        <v/>
      </c>
      <c r="T1610" s="9" t="n">
        <f aca="false">IF(A1610="",1,0)</f>
        <v>0</v>
      </c>
      <c r="U1610" s="9" t="n">
        <f aca="false">IF(D1610="",1,0)</f>
        <v>0</v>
      </c>
      <c r="V1610" s="9" t="n">
        <f aca="false">IF(E1610="",1,0)</f>
        <v>0</v>
      </c>
      <c r="W1610" s="9" t="n">
        <f aca="false">IF(OR(H1610&lt;1,H1610&gt;10),1,0)</f>
        <v>0</v>
      </c>
      <c r="X1610" s="9" t="n">
        <f aca="false">IF(OR(I1610&lt;=0,I1610&gt;1500),1,0)</f>
        <v>0</v>
      </c>
      <c r="Y1610" s="9" t="n">
        <f aca="false">IF(J1610&gt;H1610*I1610,1,0)</f>
        <v>0</v>
      </c>
      <c r="Z1610" s="9" t="n">
        <f aca="false">IF(AND(N1610&lt;&gt;"",OR(N1610&lt;1,N1610&gt;5)),1,0)</f>
        <v>0</v>
      </c>
      <c r="AA1610" s="9" t="n">
        <f aca="false">IF(AND(M1610&lt;&gt;"",OR(M1610&lt;5,M1610&gt;180)),1,0)</f>
        <v>0</v>
      </c>
      <c r="AB1610" s="7" t="str">
        <f aca="false">IF(P1610="DUP","Exact duplicate row",IF(T1610=1,"Missing Order ID",IF(S1610="DROP","Duplicate Order ID (less complete row)",IF(U1610=1,"Missing Customer ID",IF(V1610=1,"Missing Restaurant name",IF(W1610=1,"Invalid/outlier quantity",IF(X1610=1,"Invalid/outlier unit price",IF(Y1610=1,"Discount greater than order value",""))))))))</f>
        <v/>
      </c>
      <c r="AC1610" s="7" t="str">
        <f aca="false">IF(AB1610="","KEEP","DROP")</f>
        <v>KEEP</v>
      </c>
      <c r="AD1610" s="7" t="str">
        <f aca="false">IF(TRIM(F1610)="",IFERROR(INDEX(Map_Tables!$I$4:$I$37,MATCH(TRIM(E1610),Map_Tables!$G$4:$G$37,0)),""),IFERROR(INDEX(Map_Tables!$B$4:$B$18,MATCH(TRIM(F1610),Map_Tables!$A$4:$A$18,0)),"CHECK"))</f>
        <v>Hyderabad</v>
      </c>
      <c r="AE1610" s="7" t="str">
        <f aca="false">IF(TRIM(E1610)="","",IFERROR(INDEX(Map_Tables!$H$4:$H$37,MATCH(TRIM(E1610),Map_Tables!$G$4:$G$37,0)),"CHECK"))</f>
        <v>Sweet Tooth Studio</v>
      </c>
      <c r="AF1610" s="7" t="str">
        <f aca="false">IF(TRIM(K1610)="","Unknown",IFERROR(INDEX(Map_Tables!$E$4:$E$15,MATCH(TRIM(K1610),Map_Tables!$D$4:$D$15,0)),"CHECK"))</f>
        <v>UPI</v>
      </c>
      <c r="AG1610" s="7" t="str">
        <f aca="false">IF(LEFT(LOWER(TRIM(L1610)),6)="cancel","Cancelled","Delivered")</f>
        <v>Delivered</v>
      </c>
      <c r="AH1610" s="10" t="n">
        <f aca="false">IF(ISNUMBER(SEARCH("/",B1610)),DATE(VALUE(RIGHT(B1610,4)),VALUE(MID(B1610,4,2)),VALUE(LEFT(B1610,2))),IF(MID(B1610,5,1)="-",DATE(VALUE(LEFT(B1610,4)),VALUE(MID(B1610,6,2)),VALUE(RIGHT(B1610,2))),DATE(VALUE(RIGHT(B1610,4)),MATCH(MID(B1610,4,3),{"Jan","Feb","Mar","Apr","May","Jun","Jul","Aug","Sep","Oct","Nov","Dec"},0),VALUE(LEFT(B1610,2)))))</f>
        <v>45769</v>
      </c>
    </row>
    <row r="1611" customFormat="false" ht="15" hidden="false" customHeight="false" outlineLevel="0" collapsed="false">
      <c r="A1611" s="7" t="s">
        <v>4113</v>
      </c>
      <c r="B1611" s="7" t="s">
        <v>1287</v>
      </c>
      <c r="C1611" s="7" t="s">
        <v>630</v>
      </c>
      <c r="D1611" s="7" t="s">
        <v>3049</v>
      </c>
      <c r="E1611" s="7" t="s">
        <v>147</v>
      </c>
      <c r="F1611" s="7" t="s">
        <v>2488</v>
      </c>
      <c r="G1611" s="7" t="s">
        <v>95</v>
      </c>
      <c r="H1611" s="7" t="n">
        <v>1</v>
      </c>
      <c r="I1611" s="7" t="n">
        <v>110</v>
      </c>
      <c r="J1611" s="7" t="n">
        <v>44</v>
      </c>
      <c r="K1611" s="7" t="s">
        <v>103</v>
      </c>
      <c r="L1611" s="7" t="s">
        <v>194</v>
      </c>
      <c r="M1611" s="7" t="n">
        <v>35</v>
      </c>
      <c r="N1611" s="7" t="n">
        <v>3</v>
      </c>
      <c r="O1611" s="7" t="str">
        <f aca="false">A1611&amp;"|"&amp;B1611&amp;"|"&amp;C1611&amp;"|"&amp;D1611&amp;"|"&amp;E1611&amp;"|"&amp;F1611&amp;"|"&amp;G1611&amp;"|"&amp;H1611&amp;"|"&amp;I1611&amp;"|"&amp;J1611&amp;"|"&amp;K1611&amp;"|"&amp;L1611&amp;"|"&amp;M1611&amp;"|"&amp;N1611</f>
        <v>ORD12951|2025-12-26|20:09|C0918|Andhra Meals Mess|HYDERABAD|South Indian|1|110|44|Debit Card|Delivered|35|3</v>
      </c>
      <c r="P1611" s="7" t="str">
        <f aca="false">IF(COUNTIF($O$2:O1611,O1611)&gt;1,"DUP","OK")</f>
        <v>OK</v>
      </c>
      <c r="Q1611" s="7" t="n">
        <f aca="false">COUNTBLANK(A1611:N1611)</f>
        <v>0</v>
      </c>
      <c r="R1611" s="7" t="n">
        <f aca="false">IF(A1611="",0,COUNTIFS($A$2:$A$3058,A1611,$P$2:$P$3058,"OK"))</f>
        <v>1</v>
      </c>
      <c r="S1611" s="7" t="str">
        <f aca="false">IF(OR(A1611="",P1611="DUP",R1611&lt;2),"",IF(Q1611=_xlfn.MINIFS($Q$2:$Q$3058,$A$2:$A$3058,A1611,$P$2:$P$3058,"OK"),"KEEP","DROP"))</f>
        <v/>
      </c>
      <c r="T1611" s="9" t="n">
        <f aca="false">IF(A1611="",1,0)</f>
        <v>0</v>
      </c>
      <c r="U1611" s="9" t="n">
        <f aca="false">IF(D1611="",1,0)</f>
        <v>0</v>
      </c>
      <c r="V1611" s="9" t="n">
        <f aca="false">IF(E1611="",1,0)</f>
        <v>0</v>
      </c>
      <c r="W1611" s="9" t="n">
        <f aca="false">IF(OR(H1611&lt;1,H1611&gt;10),1,0)</f>
        <v>0</v>
      </c>
      <c r="X1611" s="9" t="n">
        <f aca="false">IF(OR(I1611&lt;=0,I1611&gt;1500),1,0)</f>
        <v>0</v>
      </c>
      <c r="Y1611" s="9" t="n">
        <f aca="false">IF(J1611&gt;H1611*I1611,1,0)</f>
        <v>0</v>
      </c>
      <c r="Z1611" s="9" t="n">
        <f aca="false">IF(AND(N1611&lt;&gt;"",OR(N1611&lt;1,N1611&gt;5)),1,0)</f>
        <v>0</v>
      </c>
      <c r="AA1611" s="9" t="n">
        <f aca="false">IF(AND(M1611&lt;&gt;"",OR(M1611&lt;5,M1611&gt;180)),1,0)</f>
        <v>0</v>
      </c>
      <c r="AB1611" s="7" t="str">
        <f aca="false">IF(P1611="DUP","Exact duplicate row",IF(T1611=1,"Missing Order ID",IF(S1611="DROP","Duplicate Order ID (less complete row)",IF(U1611=1,"Missing Customer ID",IF(V1611=1,"Missing Restaurant name",IF(W1611=1,"Invalid/outlier quantity",IF(X1611=1,"Invalid/outlier unit price",IF(Y1611=1,"Discount greater than order value",""))))))))</f>
        <v/>
      </c>
      <c r="AC1611" s="7" t="str">
        <f aca="false">IF(AB1611="","KEEP","DROP")</f>
        <v>KEEP</v>
      </c>
      <c r="AD1611" s="7" t="str">
        <f aca="false">IF(TRIM(F1611)="",IFERROR(INDEX(Map_Tables!$I$4:$I$37,MATCH(TRIM(E1611),Map_Tables!$G$4:$G$37,0)),""),IFERROR(INDEX(Map_Tables!$B$4:$B$18,MATCH(TRIM(F1611),Map_Tables!$A$4:$A$18,0)),"CHECK"))</f>
        <v>Hyderabad</v>
      </c>
      <c r="AE1611" s="7" t="str">
        <f aca="false">IF(TRIM(E1611)="","",IFERROR(INDEX(Map_Tables!$H$4:$H$37,MATCH(TRIM(E1611),Map_Tables!$G$4:$G$37,0)),"CHECK"))</f>
        <v>Andhra Meals Mess</v>
      </c>
      <c r="AF1611" s="7" t="str">
        <f aca="false">IF(TRIM(K1611)="","Unknown",IFERROR(INDEX(Map_Tables!$E$4:$E$15,MATCH(TRIM(K1611),Map_Tables!$D$4:$D$15,0)),"CHECK"))</f>
        <v>Debit Card</v>
      </c>
      <c r="AG1611" s="7" t="str">
        <f aca="false">IF(LEFT(LOWER(TRIM(L1611)),6)="cancel","Cancelled","Delivered")</f>
        <v>Delivered</v>
      </c>
      <c r="AH1611" s="10" t="n">
        <f aca="false">IF(ISNUMBER(SEARCH("/",B1611)),DATE(VALUE(RIGHT(B1611,4)),VALUE(MID(B1611,4,2)),VALUE(LEFT(B1611,2))),IF(MID(B1611,5,1)="-",DATE(VALUE(LEFT(B1611,4)),VALUE(MID(B1611,6,2)),VALUE(RIGHT(B1611,2))),DATE(VALUE(RIGHT(B1611,4)),MATCH(MID(B1611,4,3),{"Jan","Feb","Mar","Apr","May","Jun","Jul","Aug","Sep","Oct","Nov","Dec"},0),VALUE(LEFT(B1611,2)))))</f>
        <v>46017</v>
      </c>
    </row>
    <row r="1612" customFormat="false" ht="15" hidden="false" customHeight="false" outlineLevel="0" collapsed="false">
      <c r="A1612" s="7" t="s">
        <v>4114</v>
      </c>
      <c r="B1612" s="7" t="s">
        <v>791</v>
      </c>
      <c r="C1612" s="7" t="s">
        <v>796</v>
      </c>
      <c r="D1612" s="7" t="s">
        <v>4115</v>
      </c>
      <c r="E1612" s="7" t="s">
        <v>151</v>
      </c>
      <c r="F1612" s="7" t="s">
        <v>127</v>
      </c>
      <c r="G1612" s="7" t="s">
        <v>95</v>
      </c>
      <c r="H1612" s="7" t="n">
        <v>1</v>
      </c>
      <c r="I1612" s="7" t="n">
        <v>200</v>
      </c>
      <c r="J1612" s="7" t="n">
        <v>75</v>
      </c>
      <c r="K1612" s="7" t="s">
        <v>121</v>
      </c>
      <c r="L1612" s="7" t="s">
        <v>194</v>
      </c>
      <c r="M1612" s="7" t="n">
        <v>35</v>
      </c>
      <c r="N1612" s="7" t="n">
        <v>4</v>
      </c>
      <c r="O1612" s="7" t="str">
        <f aca="false">A1612&amp;"|"&amp;B1612&amp;"|"&amp;C1612&amp;"|"&amp;D1612&amp;"|"&amp;E1612&amp;"|"&amp;F1612&amp;"|"&amp;G1612&amp;"|"&amp;H1612&amp;"|"&amp;I1612&amp;"|"&amp;J1612&amp;"|"&amp;K1612&amp;"|"&amp;L1612&amp;"|"&amp;M1612&amp;"|"&amp;N1612</f>
        <v>ORD12503|2025-11-10|13:38|C0915|Chettinad House|chennai|South Indian|1|200|75|Wallet|Delivered|35|4</v>
      </c>
      <c r="P1612" s="7" t="str">
        <f aca="false">IF(COUNTIF($O$2:O1612,O1612)&gt;1,"DUP","OK")</f>
        <v>OK</v>
      </c>
      <c r="Q1612" s="7" t="n">
        <f aca="false">COUNTBLANK(A1612:N1612)</f>
        <v>0</v>
      </c>
      <c r="R1612" s="7" t="n">
        <f aca="false">IF(A1612="",0,COUNTIFS($A$2:$A$3058,A1612,$P$2:$P$3058,"OK"))</f>
        <v>1</v>
      </c>
      <c r="S1612" s="7" t="str">
        <f aca="false">IF(OR(A1612="",P1612="DUP",R1612&lt;2),"",IF(Q1612=_xlfn.MINIFS($Q$2:$Q$3058,$A$2:$A$3058,A1612,$P$2:$P$3058,"OK"),"KEEP","DROP"))</f>
        <v/>
      </c>
      <c r="T1612" s="9" t="n">
        <f aca="false">IF(A1612="",1,0)</f>
        <v>0</v>
      </c>
      <c r="U1612" s="9" t="n">
        <f aca="false">IF(D1612="",1,0)</f>
        <v>0</v>
      </c>
      <c r="V1612" s="9" t="n">
        <f aca="false">IF(E1612="",1,0)</f>
        <v>0</v>
      </c>
      <c r="W1612" s="9" t="n">
        <f aca="false">IF(OR(H1612&lt;1,H1612&gt;10),1,0)</f>
        <v>0</v>
      </c>
      <c r="X1612" s="9" t="n">
        <f aca="false">IF(OR(I1612&lt;=0,I1612&gt;1500),1,0)</f>
        <v>0</v>
      </c>
      <c r="Y1612" s="9" t="n">
        <f aca="false">IF(J1612&gt;H1612*I1612,1,0)</f>
        <v>0</v>
      </c>
      <c r="Z1612" s="9" t="n">
        <f aca="false">IF(AND(N1612&lt;&gt;"",OR(N1612&lt;1,N1612&gt;5)),1,0)</f>
        <v>0</v>
      </c>
      <c r="AA1612" s="9" t="n">
        <f aca="false">IF(AND(M1612&lt;&gt;"",OR(M1612&lt;5,M1612&gt;180)),1,0)</f>
        <v>0</v>
      </c>
      <c r="AB1612" s="7" t="str">
        <f aca="false">IF(P1612="DUP","Exact duplicate row",IF(T1612=1,"Missing Order ID",IF(S1612="DROP","Duplicate Order ID (less complete row)",IF(U1612=1,"Missing Customer ID",IF(V1612=1,"Missing Restaurant name",IF(W1612=1,"Invalid/outlier quantity",IF(X1612=1,"Invalid/outlier unit price",IF(Y1612=1,"Discount greater than order value",""))))))))</f>
        <v/>
      </c>
      <c r="AC1612" s="7" t="str">
        <f aca="false">IF(AB1612="","KEEP","DROP")</f>
        <v>KEEP</v>
      </c>
      <c r="AD1612" s="7" t="str">
        <f aca="false">IF(TRIM(F1612)="",IFERROR(INDEX(Map_Tables!$I$4:$I$37,MATCH(TRIM(E1612),Map_Tables!$G$4:$G$37,0)),""),IFERROR(INDEX(Map_Tables!$B$4:$B$18,MATCH(TRIM(F1612),Map_Tables!$A$4:$A$18,0)),"CHECK"))</f>
        <v>Chennai</v>
      </c>
      <c r="AE1612" s="7" t="str">
        <f aca="false">IF(TRIM(E1612)="","",IFERROR(INDEX(Map_Tables!$H$4:$H$37,MATCH(TRIM(E1612),Map_Tables!$G$4:$G$37,0)),"CHECK"))</f>
        <v>Chettinad House</v>
      </c>
      <c r="AF1612" s="7" t="str">
        <f aca="false">IF(TRIM(K1612)="","Unknown",IFERROR(INDEX(Map_Tables!$E$4:$E$15,MATCH(TRIM(K1612),Map_Tables!$D$4:$D$15,0)),"CHECK"))</f>
        <v>Wallet</v>
      </c>
      <c r="AG1612" s="7" t="str">
        <f aca="false">IF(LEFT(LOWER(TRIM(L1612)),6)="cancel","Cancelled","Delivered")</f>
        <v>Delivered</v>
      </c>
      <c r="AH1612" s="10" t="n">
        <f aca="false">IF(ISNUMBER(SEARCH("/",B1612)),DATE(VALUE(RIGHT(B1612,4)),VALUE(MID(B1612,4,2)),VALUE(LEFT(B1612,2))),IF(MID(B1612,5,1)="-",DATE(VALUE(LEFT(B1612,4)),VALUE(MID(B1612,6,2)),VALUE(RIGHT(B1612,2))),DATE(VALUE(RIGHT(B1612,4)),MATCH(MID(B1612,4,3),{"Jan","Feb","Mar","Apr","May","Jun","Jul","Aug","Sep","Oct","Nov","Dec"},0),VALUE(LEFT(B1612,2)))))</f>
        <v>45971</v>
      </c>
    </row>
    <row r="1613" customFormat="false" ht="15" hidden="false" customHeight="false" outlineLevel="0" collapsed="false">
      <c r="A1613" s="7" t="s">
        <v>4116</v>
      </c>
      <c r="B1613" s="7" t="s">
        <v>2685</v>
      </c>
      <c r="C1613" s="7" t="s">
        <v>2602</v>
      </c>
      <c r="D1613" s="7" t="s">
        <v>4117</v>
      </c>
      <c r="E1613" s="7" t="s">
        <v>126</v>
      </c>
      <c r="F1613" s="7" t="s">
        <v>101</v>
      </c>
      <c r="G1613" s="7" t="s">
        <v>531</v>
      </c>
      <c r="H1613" s="7" t="n">
        <v>3</v>
      </c>
      <c r="I1613" s="7" t="n">
        <v>220</v>
      </c>
      <c r="J1613" s="7" t="n">
        <v>0</v>
      </c>
      <c r="K1613" s="7" t="s">
        <v>88</v>
      </c>
      <c r="L1613" s="7" t="s">
        <v>194</v>
      </c>
      <c r="M1613" s="7" t="n">
        <v>35</v>
      </c>
      <c r="N1613" s="7" t="n">
        <v>3</v>
      </c>
      <c r="O1613" s="7" t="str">
        <f aca="false">A1613&amp;"|"&amp;B1613&amp;"|"&amp;C1613&amp;"|"&amp;D1613&amp;"|"&amp;E1613&amp;"|"&amp;F1613&amp;"|"&amp;G1613&amp;"|"&amp;H1613&amp;"|"&amp;I1613&amp;"|"&amp;J1613&amp;"|"&amp;K1613&amp;"|"&amp;L1613&amp;"|"&amp;M1613&amp;"|"&amp;N1613</f>
        <v>ORD10783|2025-04-09|18:41|C0472|Dragon Express|Mumbai|CHINESE|3|220|0|UPI|Delivered|35|3</v>
      </c>
      <c r="P1613" s="7" t="str">
        <f aca="false">IF(COUNTIF($O$2:O1613,O1613)&gt;1,"DUP","OK")</f>
        <v>OK</v>
      </c>
      <c r="Q1613" s="7" t="n">
        <f aca="false">COUNTBLANK(A1613:N1613)</f>
        <v>0</v>
      </c>
      <c r="R1613" s="7" t="n">
        <f aca="false">IF(A1613="",0,COUNTIFS($A$2:$A$3058,A1613,$P$2:$P$3058,"OK"))</f>
        <v>1</v>
      </c>
      <c r="S1613" s="7" t="str">
        <f aca="false">IF(OR(A1613="",P1613="DUP",R1613&lt;2),"",IF(Q1613=_xlfn.MINIFS($Q$2:$Q$3058,$A$2:$A$3058,A1613,$P$2:$P$3058,"OK"),"KEEP","DROP"))</f>
        <v/>
      </c>
      <c r="T1613" s="9" t="n">
        <f aca="false">IF(A1613="",1,0)</f>
        <v>0</v>
      </c>
      <c r="U1613" s="9" t="n">
        <f aca="false">IF(D1613="",1,0)</f>
        <v>0</v>
      </c>
      <c r="V1613" s="9" t="n">
        <f aca="false">IF(E1613="",1,0)</f>
        <v>0</v>
      </c>
      <c r="W1613" s="9" t="n">
        <f aca="false">IF(OR(H1613&lt;1,H1613&gt;10),1,0)</f>
        <v>0</v>
      </c>
      <c r="X1613" s="9" t="n">
        <f aca="false">IF(OR(I1613&lt;=0,I1613&gt;1500),1,0)</f>
        <v>0</v>
      </c>
      <c r="Y1613" s="9" t="n">
        <f aca="false">IF(J1613&gt;H1613*I1613,1,0)</f>
        <v>0</v>
      </c>
      <c r="Z1613" s="9" t="n">
        <f aca="false">IF(AND(N1613&lt;&gt;"",OR(N1613&lt;1,N1613&gt;5)),1,0)</f>
        <v>0</v>
      </c>
      <c r="AA1613" s="9" t="n">
        <f aca="false">IF(AND(M1613&lt;&gt;"",OR(M1613&lt;5,M1613&gt;180)),1,0)</f>
        <v>0</v>
      </c>
      <c r="AB1613" s="7" t="str">
        <f aca="false">IF(P1613="DUP","Exact duplicate row",IF(T1613=1,"Missing Order ID",IF(S1613="DROP","Duplicate Order ID (less complete row)",IF(U1613=1,"Missing Customer ID",IF(V1613=1,"Missing Restaurant name",IF(W1613=1,"Invalid/outlier quantity",IF(X1613=1,"Invalid/outlier unit price",IF(Y1613=1,"Discount greater than order value",""))))))))</f>
        <v/>
      </c>
      <c r="AC1613" s="7" t="str">
        <f aca="false">IF(AB1613="","KEEP","DROP")</f>
        <v>KEEP</v>
      </c>
      <c r="AD1613" s="7" t="str">
        <f aca="false">IF(TRIM(F1613)="",IFERROR(INDEX(Map_Tables!$I$4:$I$37,MATCH(TRIM(E1613),Map_Tables!$G$4:$G$37,0)),""),IFERROR(INDEX(Map_Tables!$B$4:$B$18,MATCH(TRIM(F1613),Map_Tables!$A$4:$A$18,0)),"CHECK"))</f>
        <v>Mumbai</v>
      </c>
      <c r="AE1613" s="7" t="str">
        <f aca="false">IF(TRIM(E1613)="","",IFERROR(INDEX(Map_Tables!$H$4:$H$37,MATCH(TRIM(E1613),Map_Tables!$G$4:$G$37,0)),"CHECK"))</f>
        <v>Dragon Express</v>
      </c>
      <c r="AF1613" s="7" t="str">
        <f aca="false">IF(TRIM(K1613)="","Unknown",IFERROR(INDEX(Map_Tables!$E$4:$E$15,MATCH(TRIM(K1613),Map_Tables!$D$4:$D$15,0)),"CHECK"))</f>
        <v>UPI</v>
      </c>
      <c r="AG1613" s="7" t="str">
        <f aca="false">IF(LEFT(LOWER(TRIM(L1613)),6)="cancel","Cancelled","Delivered")</f>
        <v>Delivered</v>
      </c>
      <c r="AH1613" s="10" t="n">
        <f aca="false">IF(ISNUMBER(SEARCH("/",B1613)),DATE(VALUE(RIGHT(B1613,4)),VALUE(MID(B1613,4,2)),VALUE(LEFT(B1613,2))),IF(MID(B1613,5,1)="-",DATE(VALUE(LEFT(B1613,4)),VALUE(MID(B1613,6,2)),VALUE(RIGHT(B1613,2))),DATE(VALUE(RIGHT(B1613,4)),MATCH(MID(B1613,4,3),{"Jan","Feb","Mar","Apr","May","Jun","Jul","Aug","Sep","Oct","Nov","Dec"},0),VALUE(LEFT(B1613,2)))))</f>
        <v>45756</v>
      </c>
    </row>
    <row r="1614" customFormat="false" ht="15" hidden="false" customHeight="false" outlineLevel="0" collapsed="false">
      <c r="A1614" s="7" t="s">
        <v>4118</v>
      </c>
      <c r="B1614" s="7" t="s">
        <v>2495</v>
      </c>
      <c r="C1614" s="7" t="s">
        <v>1671</v>
      </c>
      <c r="D1614" s="7" t="s">
        <v>4012</v>
      </c>
      <c r="E1614" s="7" t="s">
        <v>4119</v>
      </c>
      <c r="F1614" s="7" t="s">
        <v>86</v>
      </c>
      <c r="G1614" s="7" t="s">
        <v>99</v>
      </c>
      <c r="H1614" s="7" t="n">
        <v>3</v>
      </c>
      <c r="I1614" s="7" t="n">
        <v>305</v>
      </c>
      <c r="J1614" s="7" t="n">
        <v>20</v>
      </c>
      <c r="K1614" s="7" t="s">
        <v>88</v>
      </c>
      <c r="L1614" s="7" t="s">
        <v>194</v>
      </c>
      <c r="M1614" s="7" t="n">
        <v>53</v>
      </c>
      <c r="N1614" s="7" t="n">
        <v>4</v>
      </c>
      <c r="O1614" s="7" t="str">
        <f aca="false">A1614&amp;"|"&amp;B1614&amp;"|"&amp;C1614&amp;"|"&amp;D1614&amp;"|"&amp;E1614&amp;"|"&amp;F1614&amp;"|"&amp;G1614&amp;"|"&amp;H1614&amp;"|"&amp;I1614&amp;"|"&amp;J1614&amp;"|"&amp;K1614&amp;"|"&amp;L1614&amp;"|"&amp;M1614&amp;"|"&amp;N1614</f>
        <v>ORD12630|2025-11-21|13:13|C1276|nawabi biryani house|Bengaluru|Biryani|3|305|20|UPI|Delivered|53|4</v>
      </c>
      <c r="P1614" s="7" t="str">
        <f aca="false">IF(COUNTIF($O$2:O1614,O1614)&gt;1,"DUP","OK")</f>
        <v>OK</v>
      </c>
      <c r="Q1614" s="7" t="n">
        <f aca="false">COUNTBLANK(A1614:N1614)</f>
        <v>0</v>
      </c>
      <c r="R1614" s="7" t="n">
        <f aca="false">IF(A1614="",0,COUNTIFS($A$2:$A$3058,A1614,$P$2:$P$3058,"OK"))</f>
        <v>1</v>
      </c>
      <c r="S1614" s="7" t="str">
        <f aca="false">IF(OR(A1614="",P1614="DUP",R1614&lt;2),"",IF(Q1614=_xlfn.MINIFS($Q$2:$Q$3058,$A$2:$A$3058,A1614,$P$2:$P$3058,"OK"),"KEEP","DROP"))</f>
        <v/>
      </c>
      <c r="T1614" s="9" t="n">
        <f aca="false">IF(A1614="",1,0)</f>
        <v>0</v>
      </c>
      <c r="U1614" s="9" t="n">
        <f aca="false">IF(D1614="",1,0)</f>
        <v>0</v>
      </c>
      <c r="V1614" s="9" t="n">
        <f aca="false">IF(E1614="",1,0)</f>
        <v>0</v>
      </c>
      <c r="W1614" s="9" t="n">
        <f aca="false">IF(OR(H1614&lt;1,H1614&gt;10),1,0)</f>
        <v>0</v>
      </c>
      <c r="X1614" s="9" t="n">
        <f aca="false">IF(OR(I1614&lt;=0,I1614&gt;1500),1,0)</f>
        <v>0</v>
      </c>
      <c r="Y1614" s="9" t="n">
        <f aca="false">IF(J1614&gt;H1614*I1614,1,0)</f>
        <v>0</v>
      </c>
      <c r="Z1614" s="9" t="n">
        <f aca="false">IF(AND(N1614&lt;&gt;"",OR(N1614&lt;1,N1614&gt;5)),1,0)</f>
        <v>0</v>
      </c>
      <c r="AA1614" s="9" t="n">
        <f aca="false">IF(AND(M1614&lt;&gt;"",OR(M1614&lt;5,M1614&gt;180)),1,0)</f>
        <v>0</v>
      </c>
      <c r="AB1614" s="7" t="str">
        <f aca="false">IF(P1614="DUP","Exact duplicate row",IF(T1614=1,"Missing Order ID",IF(S1614="DROP","Duplicate Order ID (less complete row)",IF(U1614=1,"Missing Customer ID",IF(V1614=1,"Missing Restaurant name",IF(W1614=1,"Invalid/outlier quantity",IF(X1614=1,"Invalid/outlier unit price",IF(Y1614=1,"Discount greater than order value",""))))))))</f>
        <v/>
      </c>
      <c r="AC1614" s="7" t="str">
        <f aca="false">IF(AB1614="","KEEP","DROP")</f>
        <v>KEEP</v>
      </c>
      <c r="AD1614" s="7" t="str">
        <f aca="false">IF(TRIM(F1614)="",IFERROR(INDEX(Map_Tables!$I$4:$I$37,MATCH(TRIM(E1614),Map_Tables!$G$4:$G$37,0)),""),IFERROR(INDEX(Map_Tables!$B$4:$B$18,MATCH(TRIM(F1614),Map_Tables!$A$4:$A$18,0)),"CHECK"))</f>
        <v>Bengaluru</v>
      </c>
      <c r="AE1614" s="7" t="str">
        <f aca="false">IF(TRIM(E1614)="","",IFERROR(INDEX(Map_Tables!$H$4:$H$37,MATCH(TRIM(E1614),Map_Tables!$G$4:$G$37,0)),"CHECK"))</f>
        <v>Nawabi Biryani House</v>
      </c>
      <c r="AF1614" s="7" t="str">
        <f aca="false">IF(TRIM(K1614)="","Unknown",IFERROR(INDEX(Map_Tables!$E$4:$E$15,MATCH(TRIM(K1614),Map_Tables!$D$4:$D$15,0)),"CHECK"))</f>
        <v>UPI</v>
      </c>
      <c r="AG1614" s="7" t="str">
        <f aca="false">IF(LEFT(LOWER(TRIM(L1614)),6)="cancel","Cancelled","Delivered")</f>
        <v>Delivered</v>
      </c>
      <c r="AH1614" s="10" t="n">
        <f aca="false">IF(ISNUMBER(SEARCH("/",B1614)),DATE(VALUE(RIGHT(B1614,4)),VALUE(MID(B1614,4,2)),VALUE(LEFT(B1614,2))),IF(MID(B1614,5,1)="-",DATE(VALUE(LEFT(B1614,4)),VALUE(MID(B1614,6,2)),VALUE(RIGHT(B1614,2))),DATE(VALUE(RIGHT(B1614,4)),MATCH(MID(B1614,4,3),{"Jan","Feb","Mar","Apr","May","Jun","Jul","Aug","Sep","Oct","Nov","Dec"},0),VALUE(LEFT(B1614,2)))))</f>
        <v>45982</v>
      </c>
    </row>
    <row r="1615" customFormat="false" ht="15" hidden="false" customHeight="false" outlineLevel="0" collapsed="false">
      <c r="A1615" s="7" t="s">
        <v>4120</v>
      </c>
      <c r="B1615" s="7" t="s">
        <v>1136</v>
      </c>
      <c r="C1615" s="7" t="s">
        <v>306</v>
      </c>
      <c r="D1615" s="7" t="s">
        <v>565</v>
      </c>
      <c r="E1615" s="7" t="s">
        <v>126</v>
      </c>
      <c r="F1615" s="7" t="s">
        <v>101</v>
      </c>
      <c r="G1615" s="7" t="s">
        <v>105</v>
      </c>
      <c r="H1615" s="7" t="n">
        <v>1</v>
      </c>
      <c r="I1615" s="7" t="n">
        <v>7500</v>
      </c>
      <c r="J1615" s="7" t="n">
        <v>20</v>
      </c>
      <c r="K1615" s="7" t="s">
        <v>121</v>
      </c>
      <c r="L1615" s="7" t="s">
        <v>238</v>
      </c>
      <c r="M1615" s="7"/>
      <c r="N1615" s="7"/>
      <c r="O1615" s="7" t="str">
        <f aca="false">A1615&amp;"|"&amp;B1615&amp;"|"&amp;C1615&amp;"|"&amp;D1615&amp;"|"&amp;E1615&amp;"|"&amp;F1615&amp;"|"&amp;G1615&amp;"|"&amp;H1615&amp;"|"&amp;I1615&amp;"|"&amp;J1615&amp;"|"&amp;K1615&amp;"|"&amp;L1615&amp;"|"&amp;M1615&amp;"|"&amp;N1615</f>
        <v>ORD11981|2025-09-13|20:06|C1051|Dragon Express|Mumbai|Chinese|1|7500|20|Wallet|Cancelled||</v>
      </c>
      <c r="P1615" s="7" t="str">
        <f aca="false">IF(COUNTIF($O$2:O1615,O1615)&gt;1,"DUP","OK")</f>
        <v>OK</v>
      </c>
      <c r="Q1615" s="7" t="n">
        <f aca="false">COUNTBLANK(A1615:N1615)</f>
        <v>2</v>
      </c>
      <c r="R1615" s="7" t="n">
        <f aca="false">IF(A1615="",0,COUNTIFS($A$2:$A$3058,A1615,$P$2:$P$3058,"OK"))</f>
        <v>1</v>
      </c>
      <c r="S1615" s="7" t="str">
        <f aca="false">IF(OR(A1615="",P1615="DUP",R1615&lt;2),"",IF(Q1615=_xlfn.MINIFS($Q$2:$Q$3058,$A$2:$A$3058,A1615,$P$2:$P$3058,"OK"),"KEEP","DROP"))</f>
        <v/>
      </c>
      <c r="T1615" s="9" t="n">
        <f aca="false">IF(A1615="",1,0)</f>
        <v>0</v>
      </c>
      <c r="U1615" s="9" t="n">
        <f aca="false">IF(D1615="",1,0)</f>
        <v>0</v>
      </c>
      <c r="V1615" s="9" t="n">
        <f aca="false">IF(E1615="",1,0)</f>
        <v>0</v>
      </c>
      <c r="W1615" s="9" t="n">
        <f aca="false">IF(OR(H1615&lt;1,H1615&gt;10),1,0)</f>
        <v>0</v>
      </c>
      <c r="X1615" s="9" t="n">
        <f aca="false">IF(OR(I1615&lt;=0,I1615&gt;1500),1,0)</f>
        <v>1</v>
      </c>
      <c r="Y1615" s="9" t="n">
        <f aca="false">IF(J1615&gt;H1615*I1615,1,0)</f>
        <v>0</v>
      </c>
      <c r="Z1615" s="9" t="n">
        <f aca="false">IF(AND(N1615&lt;&gt;"",OR(N1615&lt;1,N1615&gt;5)),1,0)</f>
        <v>0</v>
      </c>
      <c r="AA1615" s="9" t="n">
        <f aca="false">IF(AND(M1615&lt;&gt;"",OR(M1615&lt;5,M1615&gt;180)),1,0)</f>
        <v>0</v>
      </c>
      <c r="AB1615" s="7" t="str">
        <f aca="false">IF(P1615="DUP","Exact duplicate row",IF(T1615=1,"Missing Order ID",IF(S1615="DROP","Duplicate Order ID (less complete row)",IF(U1615=1,"Missing Customer ID",IF(V1615=1,"Missing Restaurant name",IF(W1615=1,"Invalid/outlier quantity",IF(X1615=1,"Invalid/outlier unit price",IF(Y1615=1,"Discount greater than order value",""))))))))</f>
        <v>Invalid/outlier unit price</v>
      </c>
      <c r="AC1615" s="7" t="str">
        <f aca="false">IF(AB1615="","KEEP","DROP")</f>
        <v>DROP</v>
      </c>
      <c r="AD1615" s="7" t="str">
        <f aca="false">IF(TRIM(F1615)="",IFERROR(INDEX(Map_Tables!$I$4:$I$37,MATCH(TRIM(E1615),Map_Tables!$G$4:$G$37,0)),""),IFERROR(INDEX(Map_Tables!$B$4:$B$18,MATCH(TRIM(F1615),Map_Tables!$A$4:$A$18,0)),"CHECK"))</f>
        <v>Mumbai</v>
      </c>
      <c r="AE1615" s="7" t="str">
        <f aca="false">IF(TRIM(E1615)="","",IFERROR(INDEX(Map_Tables!$H$4:$H$37,MATCH(TRIM(E1615),Map_Tables!$G$4:$G$37,0)),"CHECK"))</f>
        <v>Dragon Express</v>
      </c>
      <c r="AF1615" s="7" t="str">
        <f aca="false">IF(TRIM(K1615)="","Unknown",IFERROR(INDEX(Map_Tables!$E$4:$E$15,MATCH(TRIM(K1615),Map_Tables!$D$4:$D$15,0)),"CHECK"))</f>
        <v>Wallet</v>
      </c>
      <c r="AG1615" s="7" t="str">
        <f aca="false">IF(LEFT(LOWER(TRIM(L1615)),6)="cancel","Cancelled","Delivered")</f>
        <v>Cancelled</v>
      </c>
      <c r="AH1615" s="10" t="n">
        <f aca="false">IF(ISNUMBER(SEARCH("/",B1615)),DATE(VALUE(RIGHT(B1615,4)),VALUE(MID(B1615,4,2)),VALUE(LEFT(B1615,2))),IF(MID(B1615,5,1)="-",DATE(VALUE(LEFT(B1615,4)),VALUE(MID(B1615,6,2)),VALUE(RIGHT(B1615,2))),DATE(VALUE(RIGHT(B1615,4)),MATCH(MID(B1615,4,3),{"Jan","Feb","Mar","Apr","May","Jun","Jul","Aug","Sep","Oct","Nov","Dec"},0),VALUE(LEFT(B1615,2)))))</f>
        <v>45913</v>
      </c>
    </row>
    <row r="1616" customFormat="false" ht="15" hidden="false" customHeight="false" outlineLevel="0" collapsed="false">
      <c r="A1616" s="7" t="s">
        <v>4121</v>
      </c>
      <c r="B1616" s="7" t="s">
        <v>727</v>
      </c>
      <c r="C1616" s="7" t="s">
        <v>1824</v>
      </c>
      <c r="D1616" s="7" t="s">
        <v>2077</v>
      </c>
      <c r="E1616" s="7" t="s">
        <v>138</v>
      </c>
      <c r="F1616" s="7" t="s">
        <v>110</v>
      </c>
      <c r="G1616" s="7" t="s">
        <v>139</v>
      </c>
      <c r="H1616" s="7" t="n">
        <v>2</v>
      </c>
      <c r="I1616" s="7" t="n">
        <v>195</v>
      </c>
      <c r="J1616" s="7" t="n">
        <v>125</v>
      </c>
      <c r="K1616" s="7" t="s">
        <v>88</v>
      </c>
      <c r="L1616" s="7" t="s">
        <v>194</v>
      </c>
      <c r="M1616" s="7" t="n">
        <v>31</v>
      </c>
      <c r="N1616" s="7" t="n">
        <v>5</v>
      </c>
      <c r="O1616" s="7" t="str">
        <f aca="false">A1616&amp;"|"&amp;B1616&amp;"|"&amp;C1616&amp;"|"&amp;D1616&amp;"|"&amp;E1616&amp;"|"&amp;F1616&amp;"|"&amp;G1616&amp;"|"&amp;H1616&amp;"|"&amp;I1616&amp;"|"&amp;J1616&amp;"|"&amp;K1616&amp;"|"&amp;L1616&amp;"|"&amp;M1616&amp;"|"&amp;N1616</f>
        <v>ORD10630|2025-03-21|13:40|C0006|Burger Barn|Delhi|Burgers|2|195|125|UPI|Delivered|31|5</v>
      </c>
      <c r="P1616" s="7" t="str">
        <f aca="false">IF(COUNTIF($O$2:O1616,O1616)&gt;1,"DUP","OK")</f>
        <v>OK</v>
      </c>
      <c r="Q1616" s="7" t="n">
        <f aca="false">COUNTBLANK(A1616:N1616)</f>
        <v>0</v>
      </c>
      <c r="R1616" s="7" t="n">
        <f aca="false">IF(A1616="",0,COUNTIFS($A$2:$A$3058,A1616,$P$2:$P$3058,"OK"))</f>
        <v>1</v>
      </c>
      <c r="S1616" s="7" t="str">
        <f aca="false">IF(OR(A1616="",P1616="DUP",R1616&lt;2),"",IF(Q1616=_xlfn.MINIFS($Q$2:$Q$3058,$A$2:$A$3058,A1616,$P$2:$P$3058,"OK"),"KEEP","DROP"))</f>
        <v/>
      </c>
      <c r="T1616" s="9" t="n">
        <f aca="false">IF(A1616="",1,0)</f>
        <v>0</v>
      </c>
      <c r="U1616" s="9" t="n">
        <f aca="false">IF(D1616="",1,0)</f>
        <v>0</v>
      </c>
      <c r="V1616" s="9" t="n">
        <f aca="false">IF(E1616="",1,0)</f>
        <v>0</v>
      </c>
      <c r="W1616" s="9" t="n">
        <f aca="false">IF(OR(H1616&lt;1,H1616&gt;10),1,0)</f>
        <v>0</v>
      </c>
      <c r="X1616" s="9" t="n">
        <f aca="false">IF(OR(I1616&lt;=0,I1616&gt;1500),1,0)</f>
        <v>0</v>
      </c>
      <c r="Y1616" s="9" t="n">
        <f aca="false">IF(J1616&gt;H1616*I1616,1,0)</f>
        <v>0</v>
      </c>
      <c r="Z1616" s="9" t="n">
        <f aca="false">IF(AND(N1616&lt;&gt;"",OR(N1616&lt;1,N1616&gt;5)),1,0)</f>
        <v>0</v>
      </c>
      <c r="AA1616" s="9" t="n">
        <f aca="false">IF(AND(M1616&lt;&gt;"",OR(M1616&lt;5,M1616&gt;180)),1,0)</f>
        <v>0</v>
      </c>
      <c r="AB1616" s="7" t="str">
        <f aca="false">IF(P1616="DUP","Exact duplicate row",IF(T1616=1,"Missing Order ID",IF(S1616="DROP","Duplicate Order ID (less complete row)",IF(U1616=1,"Missing Customer ID",IF(V1616=1,"Missing Restaurant name",IF(W1616=1,"Invalid/outlier quantity",IF(X1616=1,"Invalid/outlier unit price",IF(Y1616=1,"Discount greater than order value",""))))))))</f>
        <v/>
      </c>
      <c r="AC1616" s="7" t="str">
        <f aca="false">IF(AB1616="","KEEP","DROP")</f>
        <v>KEEP</v>
      </c>
      <c r="AD1616" s="7" t="str">
        <f aca="false">IF(TRIM(F1616)="",IFERROR(INDEX(Map_Tables!$I$4:$I$37,MATCH(TRIM(E1616),Map_Tables!$G$4:$G$37,0)),""),IFERROR(INDEX(Map_Tables!$B$4:$B$18,MATCH(TRIM(F1616),Map_Tables!$A$4:$A$18,0)),"CHECK"))</f>
        <v>Delhi</v>
      </c>
      <c r="AE1616" s="7" t="str">
        <f aca="false">IF(TRIM(E1616)="","",IFERROR(INDEX(Map_Tables!$H$4:$H$37,MATCH(TRIM(E1616),Map_Tables!$G$4:$G$37,0)),"CHECK"))</f>
        <v>Burger Barn</v>
      </c>
      <c r="AF1616" s="7" t="str">
        <f aca="false">IF(TRIM(K1616)="","Unknown",IFERROR(INDEX(Map_Tables!$E$4:$E$15,MATCH(TRIM(K1616),Map_Tables!$D$4:$D$15,0)),"CHECK"))</f>
        <v>UPI</v>
      </c>
      <c r="AG1616" s="7" t="str">
        <f aca="false">IF(LEFT(LOWER(TRIM(L1616)),6)="cancel","Cancelled","Delivered")</f>
        <v>Delivered</v>
      </c>
      <c r="AH1616" s="10" t="n">
        <f aca="false">IF(ISNUMBER(SEARCH("/",B1616)),DATE(VALUE(RIGHT(B1616,4)),VALUE(MID(B1616,4,2)),VALUE(LEFT(B1616,2))),IF(MID(B1616,5,1)="-",DATE(VALUE(LEFT(B1616,4)),VALUE(MID(B1616,6,2)),VALUE(RIGHT(B1616,2))),DATE(VALUE(RIGHT(B1616,4)),MATCH(MID(B1616,4,3),{"Jan","Feb","Mar","Apr","May","Jun","Jul","Aug","Sep","Oct","Nov","Dec"},0),VALUE(LEFT(B1616,2)))))</f>
        <v>45737</v>
      </c>
    </row>
    <row r="1617" customFormat="false" ht="15" hidden="false" customHeight="false" outlineLevel="0" collapsed="false">
      <c r="A1617" s="7" t="s">
        <v>4122</v>
      </c>
      <c r="B1617" s="7" t="s">
        <v>1429</v>
      </c>
      <c r="C1617" s="7" t="s">
        <v>3268</v>
      </c>
      <c r="D1617" s="7" t="s">
        <v>4123</v>
      </c>
      <c r="E1617" s="7" t="s">
        <v>113</v>
      </c>
      <c r="F1617" s="7" t="s">
        <v>101</v>
      </c>
      <c r="G1617" s="7" t="s">
        <v>90</v>
      </c>
      <c r="H1617" s="7" t="n">
        <v>1</v>
      </c>
      <c r="I1617" s="7" t="n">
        <v>260</v>
      </c>
      <c r="J1617" s="7" t="n">
        <v>104</v>
      </c>
      <c r="K1617" s="7" t="s">
        <v>120</v>
      </c>
      <c r="L1617" s="7" t="s">
        <v>194</v>
      </c>
      <c r="M1617" s="7" t="n">
        <v>48</v>
      </c>
      <c r="N1617" s="7" t="n">
        <v>4</v>
      </c>
      <c r="O1617" s="7" t="str">
        <f aca="false">A1617&amp;"|"&amp;B1617&amp;"|"&amp;C1617&amp;"|"&amp;D1617&amp;"|"&amp;E1617&amp;"|"&amp;F1617&amp;"|"&amp;G1617&amp;"|"&amp;H1617&amp;"|"&amp;I1617&amp;"|"&amp;J1617&amp;"|"&amp;K1617&amp;"|"&amp;L1617&amp;"|"&amp;M1617&amp;"|"&amp;N1617</f>
        <v>ORD12898|2025-12-20|22:57|C0099|Curry Leaf Kitchen|Mumbai|North Indian|1|260|104|wallet|Delivered|48|4</v>
      </c>
      <c r="P1617" s="7" t="str">
        <f aca="false">IF(COUNTIF($O$2:O1617,O1617)&gt;1,"DUP","OK")</f>
        <v>OK</v>
      </c>
      <c r="Q1617" s="7" t="n">
        <f aca="false">COUNTBLANK(A1617:N1617)</f>
        <v>0</v>
      </c>
      <c r="R1617" s="7" t="n">
        <f aca="false">IF(A1617="",0,COUNTIFS($A$2:$A$3058,A1617,$P$2:$P$3058,"OK"))</f>
        <v>1</v>
      </c>
      <c r="S1617" s="7" t="str">
        <f aca="false">IF(OR(A1617="",P1617="DUP",R1617&lt;2),"",IF(Q1617=_xlfn.MINIFS($Q$2:$Q$3058,$A$2:$A$3058,A1617,$P$2:$P$3058,"OK"),"KEEP","DROP"))</f>
        <v/>
      </c>
      <c r="T1617" s="9" t="n">
        <f aca="false">IF(A1617="",1,0)</f>
        <v>0</v>
      </c>
      <c r="U1617" s="9" t="n">
        <f aca="false">IF(D1617="",1,0)</f>
        <v>0</v>
      </c>
      <c r="V1617" s="9" t="n">
        <f aca="false">IF(E1617="",1,0)</f>
        <v>0</v>
      </c>
      <c r="W1617" s="9" t="n">
        <f aca="false">IF(OR(H1617&lt;1,H1617&gt;10),1,0)</f>
        <v>0</v>
      </c>
      <c r="X1617" s="9" t="n">
        <f aca="false">IF(OR(I1617&lt;=0,I1617&gt;1500),1,0)</f>
        <v>0</v>
      </c>
      <c r="Y1617" s="9" t="n">
        <f aca="false">IF(J1617&gt;H1617*I1617,1,0)</f>
        <v>0</v>
      </c>
      <c r="Z1617" s="9" t="n">
        <f aca="false">IF(AND(N1617&lt;&gt;"",OR(N1617&lt;1,N1617&gt;5)),1,0)</f>
        <v>0</v>
      </c>
      <c r="AA1617" s="9" t="n">
        <f aca="false">IF(AND(M1617&lt;&gt;"",OR(M1617&lt;5,M1617&gt;180)),1,0)</f>
        <v>0</v>
      </c>
      <c r="AB1617" s="7" t="str">
        <f aca="false">IF(P1617="DUP","Exact duplicate row",IF(T1617=1,"Missing Order ID",IF(S1617="DROP","Duplicate Order ID (less complete row)",IF(U1617=1,"Missing Customer ID",IF(V1617=1,"Missing Restaurant name",IF(W1617=1,"Invalid/outlier quantity",IF(X1617=1,"Invalid/outlier unit price",IF(Y1617=1,"Discount greater than order value",""))))))))</f>
        <v/>
      </c>
      <c r="AC1617" s="7" t="str">
        <f aca="false">IF(AB1617="","KEEP","DROP")</f>
        <v>KEEP</v>
      </c>
      <c r="AD1617" s="7" t="str">
        <f aca="false">IF(TRIM(F1617)="",IFERROR(INDEX(Map_Tables!$I$4:$I$37,MATCH(TRIM(E1617),Map_Tables!$G$4:$G$37,0)),""),IFERROR(INDEX(Map_Tables!$B$4:$B$18,MATCH(TRIM(F1617),Map_Tables!$A$4:$A$18,0)),"CHECK"))</f>
        <v>Mumbai</v>
      </c>
      <c r="AE1617" s="7" t="str">
        <f aca="false">IF(TRIM(E1617)="","",IFERROR(INDEX(Map_Tables!$H$4:$H$37,MATCH(TRIM(E1617),Map_Tables!$G$4:$G$37,0)),"CHECK"))</f>
        <v>Curry Leaf Kitchen</v>
      </c>
      <c r="AF1617" s="7" t="str">
        <f aca="false">IF(TRIM(K1617)="","Unknown",IFERROR(INDEX(Map_Tables!$E$4:$E$15,MATCH(TRIM(K1617),Map_Tables!$D$4:$D$15,0)),"CHECK"))</f>
        <v>Wallet</v>
      </c>
      <c r="AG1617" s="7" t="str">
        <f aca="false">IF(LEFT(LOWER(TRIM(L1617)),6)="cancel","Cancelled","Delivered")</f>
        <v>Delivered</v>
      </c>
      <c r="AH1617" s="10" t="n">
        <f aca="false">IF(ISNUMBER(SEARCH("/",B1617)),DATE(VALUE(RIGHT(B1617,4)),VALUE(MID(B1617,4,2)),VALUE(LEFT(B1617,2))),IF(MID(B1617,5,1)="-",DATE(VALUE(LEFT(B1617,4)),VALUE(MID(B1617,6,2)),VALUE(RIGHT(B1617,2))),DATE(VALUE(RIGHT(B1617,4)),MATCH(MID(B1617,4,3),{"Jan","Feb","Mar","Apr","May","Jun","Jul","Aug","Sep","Oct","Nov","Dec"},0),VALUE(LEFT(B1617,2)))))</f>
        <v>46011</v>
      </c>
    </row>
    <row r="1618" customFormat="false" ht="15" hidden="false" customHeight="false" outlineLevel="0" collapsed="false">
      <c r="A1618" s="7" t="s">
        <v>4124</v>
      </c>
      <c r="B1618" s="7" t="s">
        <v>418</v>
      </c>
      <c r="C1618" s="7" t="s">
        <v>1610</v>
      </c>
      <c r="D1618" s="7" t="s">
        <v>1195</v>
      </c>
      <c r="E1618" s="7" t="s">
        <v>154</v>
      </c>
      <c r="F1618" s="7" t="s">
        <v>128</v>
      </c>
      <c r="G1618" s="7" t="s">
        <v>99</v>
      </c>
      <c r="H1618" s="7" t="n">
        <v>1</v>
      </c>
      <c r="I1618" s="7" t="n">
        <v>260</v>
      </c>
      <c r="J1618" s="7" t="n">
        <v>75</v>
      </c>
      <c r="K1618" s="7" t="s">
        <v>1739</v>
      </c>
      <c r="L1618" s="7" t="s">
        <v>194</v>
      </c>
      <c r="M1618" s="7" t="n">
        <v>42</v>
      </c>
      <c r="N1618" s="7" t="n">
        <v>3</v>
      </c>
      <c r="O1618" s="7" t="str">
        <f aca="false">A1618&amp;"|"&amp;B1618&amp;"|"&amp;C1618&amp;"|"&amp;D1618&amp;"|"&amp;E1618&amp;"|"&amp;F1618&amp;"|"&amp;G1618&amp;"|"&amp;H1618&amp;"|"&amp;I1618&amp;"|"&amp;J1618&amp;"|"&amp;K1618&amp;"|"&amp;L1618&amp;"|"&amp;M1618&amp;"|"&amp;N1618</f>
        <v>ORD12266|2025-10-14|22:10|C0359|Madras Biryani Co|Chennai|Biryani|1|260|75|CC|Delivered|42|3</v>
      </c>
      <c r="P1618" s="7" t="str">
        <f aca="false">IF(COUNTIF($O$2:O1618,O1618)&gt;1,"DUP","OK")</f>
        <v>OK</v>
      </c>
      <c r="Q1618" s="7" t="n">
        <f aca="false">COUNTBLANK(A1618:N1618)</f>
        <v>0</v>
      </c>
      <c r="R1618" s="7" t="n">
        <f aca="false">IF(A1618="",0,COUNTIFS($A$2:$A$3058,A1618,$P$2:$P$3058,"OK"))</f>
        <v>1</v>
      </c>
      <c r="S1618" s="7" t="str">
        <f aca="false">IF(OR(A1618="",P1618="DUP",R1618&lt;2),"",IF(Q1618=_xlfn.MINIFS($Q$2:$Q$3058,$A$2:$A$3058,A1618,$P$2:$P$3058,"OK"),"KEEP","DROP"))</f>
        <v/>
      </c>
      <c r="T1618" s="9" t="n">
        <f aca="false">IF(A1618="",1,0)</f>
        <v>0</v>
      </c>
      <c r="U1618" s="9" t="n">
        <f aca="false">IF(D1618="",1,0)</f>
        <v>0</v>
      </c>
      <c r="V1618" s="9" t="n">
        <f aca="false">IF(E1618="",1,0)</f>
        <v>0</v>
      </c>
      <c r="W1618" s="9" t="n">
        <f aca="false">IF(OR(H1618&lt;1,H1618&gt;10),1,0)</f>
        <v>0</v>
      </c>
      <c r="X1618" s="9" t="n">
        <f aca="false">IF(OR(I1618&lt;=0,I1618&gt;1500),1,0)</f>
        <v>0</v>
      </c>
      <c r="Y1618" s="9" t="n">
        <f aca="false">IF(J1618&gt;H1618*I1618,1,0)</f>
        <v>0</v>
      </c>
      <c r="Z1618" s="9" t="n">
        <f aca="false">IF(AND(N1618&lt;&gt;"",OR(N1618&lt;1,N1618&gt;5)),1,0)</f>
        <v>0</v>
      </c>
      <c r="AA1618" s="9" t="n">
        <f aca="false">IF(AND(M1618&lt;&gt;"",OR(M1618&lt;5,M1618&gt;180)),1,0)</f>
        <v>0</v>
      </c>
      <c r="AB1618" s="7" t="str">
        <f aca="false">IF(P1618="DUP","Exact duplicate row",IF(T1618=1,"Missing Order ID",IF(S1618="DROP","Duplicate Order ID (less complete row)",IF(U1618=1,"Missing Customer ID",IF(V1618=1,"Missing Restaurant name",IF(W1618=1,"Invalid/outlier quantity",IF(X1618=1,"Invalid/outlier unit price",IF(Y1618=1,"Discount greater than order value",""))))))))</f>
        <v/>
      </c>
      <c r="AC1618" s="7" t="str">
        <f aca="false">IF(AB1618="","KEEP","DROP")</f>
        <v>KEEP</v>
      </c>
      <c r="AD1618" s="7" t="str">
        <f aca="false">IF(TRIM(F1618)="",IFERROR(INDEX(Map_Tables!$I$4:$I$37,MATCH(TRIM(E1618),Map_Tables!$G$4:$G$37,0)),""),IFERROR(INDEX(Map_Tables!$B$4:$B$18,MATCH(TRIM(F1618),Map_Tables!$A$4:$A$18,0)),"CHECK"))</f>
        <v>Chennai</v>
      </c>
      <c r="AE1618" s="7" t="str">
        <f aca="false">IF(TRIM(E1618)="","",IFERROR(INDEX(Map_Tables!$H$4:$H$37,MATCH(TRIM(E1618),Map_Tables!$G$4:$G$37,0)),"CHECK"))</f>
        <v>Madras Biryani Co</v>
      </c>
      <c r="AF1618" s="7" t="str">
        <f aca="false">IF(TRIM(K1618)="","Unknown",IFERROR(INDEX(Map_Tables!$E$4:$E$15,MATCH(TRIM(K1618),Map_Tables!$D$4:$D$15,0)),"CHECK"))</f>
        <v>Credit Card</v>
      </c>
      <c r="AG1618" s="7" t="str">
        <f aca="false">IF(LEFT(LOWER(TRIM(L1618)),6)="cancel","Cancelled","Delivered")</f>
        <v>Delivered</v>
      </c>
      <c r="AH1618" s="10" t="n">
        <f aca="false">IF(ISNUMBER(SEARCH("/",B1618)),DATE(VALUE(RIGHT(B1618,4)),VALUE(MID(B1618,4,2)),VALUE(LEFT(B1618,2))),IF(MID(B1618,5,1)="-",DATE(VALUE(LEFT(B1618,4)),VALUE(MID(B1618,6,2)),VALUE(RIGHT(B1618,2))),DATE(VALUE(RIGHT(B1618,4)),MATCH(MID(B1618,4,3),{"Jan","Feb","Mar","Apr","May","Jun","Jul","Aug","Sep","Oct","Nov","Dec"},0),VALUE(LEFT(B1618,2)))))</f>
        <v>45944</v>
      </c>
    </row>
    <row r="1619" customFormat="false" ht="15" hidden="false" customHeight="false" outlineLevel="0" collapsed="false">
      <c r="A1619" s="7" t="s">
        <v>4125</v>
      </c>
      <c r="B1619" s="7" t="s">
        <v>2598</v>
      </c>
      <c r="C1619" s="7" t="s">
        <v>1671</v>
      </c>
      <c r="D1619" s="7" t="s">
        <v>4126</v>
      </c>
      <c r="E1619" s="7" t="s">
        <v>151</v>
      </c>
      <c r="F1619" s="7" t="s">
        <v>128</v>
      </c>
      <c r="G1619" s="7" t="s">
        <v>95</v>
      </c>
      <c r="H1619" s="7" t="n">
        <v>2</v>
      </c>
      <c r="I1619" s="7" t="n">
        <v>190</v>
      </c>
      <c r="J1619" s="7" t="n">
        <v>0</v>
      </c>
      <c r="K1619" s="7" t="s">
        <v>88</v>
      </c>
      <c r="L1619" s="7" t="s">
        <v>194</v>
      </c>
      <c r="M1619" s="7" t="n">
        <v>25</v>
      </c>
      <c r="N1619" s="7" t="n">
        <v>4</v>
      </c>
      <c r="O1619" s="7" t="str">
        <f aca="false">A1619&amp;"|"&amp;B1619&amp;"|"&amp;C1619&amp;"|"&amp;D1619&amp;"|"&amp;E1619&amp;"|"&amp;F1619&amp;"|"&amp;G1619&amp;"|"&amp;H1619&amp;"|"&amp;I1619&amp;"|"&amp;J1619&amp;"|"&amp;K1619&amp;"|"&amp;L1619&amp;"|"&amp;M1619&amp;"|"&amp;N1619</f>
        <v>ORD10501|2025-03-07|13:13|C0617|Chettinad House|Chennai|South Indian|2|190|0|UPI|Delivered|25|4</v>
      </c>
      <c r="P1619" s="7" t="str">
        <f aca="false">IF(COUNTIF($O$2:O1619,O1619)&gt;1,"DUP","OK")</f>
        <v>OK</v>
      </c>
      <c r="Q1619" s="7" t="n">
        <f aca="false">COUNTBLANK(A1619:N1619)</f>
        <v>0</v>
      </c>
      <c r="R1619" s="7" t="n">
        <f aca="false">IF(A1619="",0,COUNTIFS($A$2:$A$3058,A1619,$P$2:$P$3058,"OK"))</f>
        <v>1</v>
      </c>
      <c r="S1619" s="7" t="str">
        <f aca="false">IF(OR(A1619="",P1619="DUP",R1619&lt;2),"",IF(Q1619=_xlfn.MINIFS($Q$2:$Q$3058,$A$2:$A$3058,A1619,$P$2:$P$3058,"OK"),"KEEP","DROP"))</f>
        <v/>
      </c>
      <c r="T1619" s="9" t="n">
        <f aca="false">IF(A1619="",1,0)</f>
        <v>0</v>
      </c>
      <c r="U1619" s="9" t="n">
        <f aca="false">IF(D1619="",1,0)</f>
        <v>0</v>
      </c>
      <c r="V1619" s="9" t="n">
        <f aca="false">IF(E1619="",1,0)</f>
        <v>0</v>
      </c>
      <c r="W1619" s="9" t="n">
        <f aca="false">IF(OR(H1619&lt;1,H1619&gt;10),1,0)</f>
        <v>0</v>
      </c>
      <c r="X1619" s="9" t="n">
        <f aca="false">IF(OR(I1619&lt;=0,I1619&gt;1500),1,0)</f>
        <v>0</v>
      </c>
      <c r="Y1619" s="9" t="n">
        <f aca="false">IF(J1619&gt;H1619*I1619,1,0)</f>
        <v>0</v>
      </c>
      <c r="Z1619" s="9" t="n">
        <f aca="false">IF(AND(N1619&lt;&gt;"",OR(N1619&lt;1,N1619&gt;5)),1,0)</f>
        <v>0</v>
      </c>
      <c r="AA1619" s="9" t="n">
        <f aca="false">IF(AND(M1619&lt;&gt;"",OR(M1619&lt;5,M1619&gt;180)),1,0)</f>
        <v>0</v>
      </c>
      <c r="AB1619" s="7" t="str">
        <f aca="false">IF(P1619="DUP","Exact duplicate row",IF(T1619=1,"Missing Order ID",IF(S1619="DROP","Duplicate Order ID (less complete row)",IF(U1619=1,"Missing Customer ID",IF(V1619=1,"Missing Restaurant name",IF(W1619=1,"Invalid/outlier quantity",IF(X1619=1,"Invalid/outlier unit price",IF(Y1619=1,"Discount greater than order value",""))))))))</f>
        <v/>
      </c>
      <c r="AC1619" s="7" t="str">
        <f aca="false">IF(AB1619="","KEEP","DROP")</f>
        <v>KEEP</v>
      </c>
      <c r="AD1619" s="7" t="str">
        <f aca="false">IF(TRIM(F1619)="",IFERROR(INDEX(Map_Tables!$I$4:$I$37,MATCH(TRIM(E1619),Map_Tables!$G$4:$G$37,0)),""),IFERROR(INDEX(Map_Tables!$B$4:$B$18,MATCH(TRIM(F1619),Map_Tables!$A$4:$A$18,0)),"CHECK"))</f>
        <v>Chennai</v>
      </c>
      <c r="AE1619" s="7" t="str">
        <f aca="false">IF(TRIM(E1619)="","",IFERROR(INDEX(Map_Tables!$H$4:$H$37,MATCH(TRIM(E1619),Map_Tables!$G$4:$G$37,0)),"CHECK"))</f>
        <v>Chettinad House</v>
      </c>
      <c r="AF1619" s="7" t="str">
        <f aca="false">IF(TRIM(K1619)="","Unknown",IFERROR(INDEX(Map_Tables!$E$4:$E$15,MATCH(TRIM(K1619),Map_Tables!$D$4:$D$15,0)),"CHECK"))</f>
        <v>UPI</v>
      </c>
      <c r="AG1619" s="7" t="str">
        <f aca="false">IF(LEFT(LOWER(TRIM(L1619)),6)="cancel","Cancelled","Delivered")</f>
        <v>Delivered</v>
      </c>
      <c r="AH1619" s="10" t="n">
        <f aca="false">IF(ISNUMBER(SEARCH("/",B1619)),DATE(VALUE(RIGHT(B1619,4)),VALUE(MID(B1619,4,2)),VALUE(LEFT(B1619,2))),IF(MID(B1619,5,1)="-",DATE(VALUE(LEFT(B1619,4)),VALUE(MID(B1619,6,2)),VALUE(RIGHT(B1619,2))),DATE(VALUE(RIGHT(B1619,4)),MATCH(MID(B1619,4,3),{"Jan","Feb","Mar","Apr","May","Jun","Jul","Aug","Sep","Oct","Nov","Dec"},0),VALUE(LEFT(B1619,2)))))</f>
        <v>45723</v>
      </c>
    </row>
    <row r="1620" customFormat="false" ht="15" hidden="false" customHeight="false" outlineLevel="0" collapsed="false">
      <c r="A1620" s="7" t="s">
        <v>4127</v>
      </c>
      <c r="B1620" s="7" t="s">
        <v>3637</v>
      </c>
      <c r="C1620" s="7" t="s">
        <v>327</v>
      </c>
      <c r="D1620" s="7" t="s">
        <v>4128</v>
      </c>
      <c r="E1620" s="7" t="s">
        <v>130</v>
      </c>
      <c r="F1620" s="7" t="s">
        <v>110</v>
      </c>
      <c r="G1620" s="7" t="s">
        <v>90</v>
      </c>
      <c r="H1620" s="7" t="n">
        <v>3</v>
      </c>
      <c r="I1620" s="7" t="n">
        <v>245</v>
      </c>
      <c r="J1620" s="7" t="n">
        <v>20</v>
      </c>
      <c r="K1620" s="7" t="s">
        <v>93</v>
      </c>
      <c r="L1620" s="7" t="s">
        <v>220</v>
      </c>
      <c r="M1620" s="7" t="n">
        <v>40</v>
      </c>
      <c r="N1620" s="7" t="n">
        <v>3</v>
      </c>
      <c r="O1620" s="7" t="str">
        <f aca="false">A1620&amp;"|"&amp;B1620&amp;"|"&amp;C1620&amp;"|"&amp;D1620&amp;"|"&amp;E1620&amp;"|"&amp;F1620&amp;"|"&amp;G1620&amp;"|"&amp;H1620&amp;"|"&amp;I1620&amp;"|"&amp;J1620&amp;"|"&amp;K1620&amp;"|"&amp;L1620&amp;"|"&amp;M1620&amp;"|"&amp;N1620</f>
        <v>ORD12886|2025-12-19|19:10|C0278|Tandoor Tales|Delhi|North Indian|3|245|20|Credit Card|DELIVERED|40|3</v>
      </c>
      <c r="P1620" s="7" t="str">
        <f aca="false">IF(COUNTIF($O$2:O1620,O1620)&gt;1,"DUP","OK")</f>
        <v>OK</v>
      </c>
      <c r="Q1620" s="7" t="n">
        <f aca="false">COUNTBLANK(A1620:N1620)</f>
        <v>0</v>
      </c>
      <c r="R1620" s="7" t="n">
        <f aca="false">IF(A1620="",0,COUNTIFS($A$2:$A$3058,A1620,$P$2:$P$3058,"OK"))</f>
        <v>1</v>
      </c>
      <c r="S1620" s="7" t="str">
        <f aca="false">IF(OR(A1620="",P1620="DUP",R1620&lt;2),"",IF(Q1620=_xlfn.MINIFS($Q$2:$Q$3058,$A$2:$A$3058,A1620,$P$2:$P$3058,"OK"),"KEEP","DROP"))</f>
        <v/>
      </c>
      <c r="T1620" s="9" t="n">
        <f aca="false">IF(A1620="",1,0)</f>
        <v>0</v>
      </c>
      <c r="U1620" s="9" t="n">
        <f aca="false">IF(D1620="",1,0)</f>
        <v>0</v>
      </c>
      <c r="V1620" s="9" t="n">
        <f aca="false">IF(E1620="",1,0)</f>
        <v>0</v>
      </c>
      <c r="W1620" s="9" t="n">
        <f aca="false">IF(OR(H1620&lt;1,H1620&gt;10),1,0)</f>
        <v>0</v>
      </c>
      <c r="X1620" s="9" t="n">
        <f aca="false">IF(OR(I1620&lt;=0,I1620&gt;1500),1,0)</f>
        <v>0</v>
      </c>
      <c r="Y1620" s="9" t="n">
        <f aca="false">IF(J1620&gt;H1620*I1620,1,0)</f>
        <v>0</v>
      </c>
      <c r="Z1620" s="9" t="n">
        <f aca="false">IF(AND(N1620&lt;&gt;"",OR(N1620&lt;1,N1620&gt;5)),1,0)</f>
        <v>0</v>
      </c>
      <c r="AA1620" s="9" t="n">
        <f aca="false">IF(AND(M1620&lt;&gt;"",OR(M1620&lt;5,M1620&gt;180)),1,0)</f>
        <v>0</v>
      </c>
      <c r="AB1620" s="7" t="str">
        <f aca="false">IF(P1620="DUP","Exact duplicate row",IF(T1620=1,"Missing Order ID",IF(S1620="DROP","Duplicate Order ID (less complete row)",IF(U1620=1,"Missing Customer ID",IF(V1620=1,"Missing Restaurant name",IF(W1620=1,"Invalid/outlier quantity",IF(X1620=1,"Invalid/outlier unit price",IF(Y1620=1,"Discount greater than order value",""))))))))</f>
        <v/>
      </c>
      <c r="AC1620" s="7" t="str">
        <f aca="false">IF(AB1620="","KEEP","DROP")</f>
        <v>KEEP</v>
      </c>
      <c r="AD1620" s="7" t="str">
        <f aca="false">IF(TRIM(F1620)="",IFERROR(INDEX(Map_Tables!$I$4:$I$37,MATCH(TRIM(E1620),Map_Tables!$G$4:$G$37,0)),""),IFERROR(INDEX(Map_Tables!$B$4:$B$18,MATCH(TRIM(F1620),Map_Tables!$A$4:$A$18,0)),"CHECK"))</f>
        <v>Delhi</v>
      </c>
      <c r="AE1620" s="7" t="str">
        <f aca="false">IF(TRIM(E1620)="","",IFERROR(INDEX(Map_Tables!$H$4:$H$37,MATCH(TRIM(E1620),Map_Tables!$G$4:$G$37,0)),"CHECK"))</f>
        <v>Tandoor Tales</v>
      </c>
      <c r="AF1620" s="7" t="str">
        <f aca="false">IF(TRIM(K1620)="","Unknown",IFERROR(INDEX(Map_Tables!$E$4:$E$15,MATCH(TRIM(K1620),Map_Tables!$D$4:$D$15,0)),"CHECK"))</f>
        <v>Credit Card</v>
      </c>
      <c r="AG1620" s="7" t="str">
        <f aca="false">IF(LEFT(LOWER(TRIM(L1620)),6)="cancel","Cancelled","Delivered")</f>
        <v>Delivered</v>
      </c>
      <c r="AH1620" s="10" t="n">
        <f aca="false">IF(ISNUMBER(SEARCH("/",B1620)),DATE(VALUE(RIGHT(B1620,4)),VALUE(MID(B1620,4,2)),VALUE(LEFT(B1620,2))),IF(MID(B1620,5,1)="-",DATE(VALUE(LEFT(B1620,4)),VALUE(MID(B1620,6,2)),VALUE(RIGHT(B1620,2))),DATE(VALUE(RIGHT(B1620,4)),MATCH(MID(B1620,4,3),{"Jan","Feb","Mar","Apr","May","Jun","Jul","Aug","Sep","Oct","Nov","Dec"},0),VALUE(LEFT(B1620,2)))))</f>
        <v>46010</v>
      </c>
    </row>
    <row r="1621" customFormat="false" ht="15" hidden="false" customHeight="false" outlineLevel="0" collapsed="false">
      <c r="A1621" s="7" t="s">
        <v>4129</v>
      </c>
      <c r="B1621" s="7" t="s">
        <v>4130</v>
      </c>
      <c r="C1621" s="7" t="s">
        <v>2781</v>
      </c>
      <c r="D1621" s="7" t="s">
        <v>3329</v>
      </c>
      <c r="E1621" s="7" t="s">
        <v>160</v>
      </c>
      <c r="F1621" s="7" t="s">
        <v>136</v>
      </c>
      <c r="G1621" s="7" t="s">
        <v>1290</v>
      </c>
      <c r="H1621" s="7" t="n">
        <v>1</v>
      </c>
      <c r="I1621" s="7" t="n">
        <v>190</v>
      </c>
      <c r="J1621" s="7" t="n">
        <v>76</v>
      </c>
      <c r="K1621" s="7" t="s">
        <v>103</v>
      </c>
      <c r="L1621" s="7" t="s">
        <v>194</v>
      </c>
      <c r="M1621" s="7" t="n">
        <v>34</v>
      </c>
      <c r="N1621" s="7" t="n">
        <v>3</v>
      </c>
      <c r="O1621" s="7" t="str">
        <f aca="false">A1621&amp;"|"&amp;B1621&amp;"|"&amp;C1621&amp;"|"&amp;D1621&amp;"|"&amp;E1621&amp;"|"&amp;F1621&amp;"|"&amp;G1621&amp;"|"&amp;H1621&amp;"|"&amp;I1621&amp;"|"&amp;J1621&amp;"|"&amp;K1621&amp;"|"&amp;L1621&amp;"|"&amp;M1621&amp;"|"&amp;N1621</f>
        <v>ORD12674|2025-11-25|13:19|C0453|Cake Walk|Pune|DESSERTS|1|190|76|Debit Card|Delivered|34|3</v>
      </c>
      <c r="P1621" s="7" t="str">
        <f aca="false">IF(COUNTIF($O$2:O1621,O1621)&gt;1,"DUP","OK")</f>
        <v>OK</v>
      </c>
      <c r="Q1621" s="7" t="n">
        <f aca="false">COUNTBLANK(A1621:N1621)</f>
        <v>0</v>
      </c>
      <c r="R1621" s="7" t="n">
        <f aca="false">IF(A1621="",0,COUNTIFS($A$2:$A$3058,A1621,$P$2:$P$3058,"OK"))</f>
        <v>1</v>
      </c>
      <c r="S1621" s="7" t="str">
        <f aca="false">IF(OR(A1621="",P1621="DUP",R1621&lt;2),"",IF(Q1621=_xlfn.MINIFS($Q$2:$Q$3058,$A$2:$A$3058,A1621,$P$2:$P$3058,"OK"),"KEEP","DROP"))</f>
        <v/>
      </c>
      <c r="T1621" s="9" t="n">
        <f aca="false">IF(A1621="",1,0)</f>
        <v>0</v>
      </c>
      <c r="U1621" s="9" t="n">
        <f aca="false">IF(D1621="",1,0)</f>
        <v>0</v>
      </c>
      <c r="V1621" s="9" t="n">
        <f aca="false">IF(E1621="",1,0)</f>
        <v>0</v>
      </c>
      <c r="W1621" s="9" t="n">
        <f aca="false">IF(OR(H1621&lt;1,H1621&gt;10),1,0)</f>
        <v>0</v>
      </c>
      <c r="X1621" s="9" t="n">
        <f aca="false">IF(OR(I1621&lt;=0,I1621&gt;1500),1,0)</f>
        <v>0</v>
      </c>
      <c r="Y1621" s="9" t="n">
        <f aca="false">IF(J1621&gt;H1621*I1621,1,0)</f>
        <v>0</v>
      </c>
      <c r="Z1621" s="9" t="n">
        <f aca="false">IF(AND(N1621&lt;&gt;"",OR(N1621&lt;1,N1621&gt;5)),1,0)</f>
        <v>0</v>
      </c>
      <c r="AA1621" s="9" t="n">
        <f aca="false">IF(AND(M1621&lt;&gt;"",OR(M1621&lt;5,M1621&gt;180)),1,0)</f>
        <v>0</v>
      </c>
      <c r="AB1621" s="7" t="str">
        <f aca="false">IF(P1621="DUP","Exact duplicate row",IF(T1621=1,"Missing Order ID",IF(S1621="DROP","Duplicate Order ID (less complete row)",IF(U1621=1,"Missing Customer ID",IF(V1621=1,"Missing Restaurant name",IF(W1621=1,"Invalid/outlier quantity",IF(X1621=1,"Invalid/outlier unit price",IF(Y1621=1,"Discount greater than order value",""))))))))</f>
        <v/>
      </c>
      <c r="AC1621" s="7" t="str">
        <f aca="false">IF(AB1621="","KEEP","DROP")</f>
        <v>KEEP</v>
      </c>
      <c r="AD1621" s="7" t="str">
        <f aca="false">IF(TRIM(F1621)="",IFERROR(INDEX(Map_Tables!$I$4:$I$37,MATCH(TRIM(E1621),Map_Tables!$G$4:$G$37,0)),""),IFERROR(INDEX(Map_Tables!$B$4:$B$18,MATCH(TRIM(F1621),Map_Tables!$A$4:$A$18,0)),"CHECK"))</f>
        <v>Pune</v>
      </c>
      <c r="AE1621" s="7" t="str">
        <f aca="false">IF(TRIM(E1621)="","",IFERROR(INDEX(Map_Tables!$H$4:$H$37,MATCH(TRIM(E1621),Map_Tables!$G$4:$G$37,0)),"CHECK"))</f>
        <v>Cake Walk</v>
      </c>
      <c r="AF1621" s="7" t="str">
        <f aca="false">IF(TRIM(K1621)="","Unknown",IFERROR(INDEX(Map_Tables!$E$4:$E$15,MATCH(TRIM(K1621),Map_Tables!$D$4:$D$15,0)),"CHECK"))</f>
        <v>Debit Card</v>
      </c>
      <c r="AG1621" s="7" t="str">
        <f aca="false">IF(LEFT(LOWER(TRIM(L1621)),6)="cancel","Cancelled","Delivered")</f>
        <v>Delivered</v>
      </c>
      <c r="AH1621" s="10" t="n">
        <f aca="false">IF(ISNUMBER(SEARCH("/",B1621)),DATE(VALUE(RIGHT(B1621,4)),VALUE(MID(B1621,4,2)),VALUE(LEFT(B1621,2))),IF(MID(B1621,5,1)="-",DATE(VALUE(LEFT(B1621,4)),VALUE(MID(B1621,6,2)),VALUE(RIGHT(B1621,2))),DATE(VALUE(RIGHT(B1621,4)),MATCH(MID(B1621,4,3),{"Jan","Feb","Mar","Apr","May","Jun","Jul","Aug","Sep","Oct","Nov","Dec"},0),VALUE(LEFT(B1621,2)))))</f>
        <v>45986</v>
      </c>
    </row>
    <row r="1622" customFormat="false" ht="15" hidden="false" customHeight="false" outlineLevel="0" collapsed="false">
      <c r="A1622" s="7" t="s">
        <v>4131</v>
      </c>
      <c r="B1622" s="7" t="s">
        <v>2450</v>
      </c>
      <c r="C1622" s="7" t="s">
        <v>4132</v>
      </c>
      <c r="D1622" s="7" t="s">
        <v>4133</v>
      </c>
      <c r="E1622" s="7" t="s">
        <v>126</v>
      </c>
      <c r="F1622" s="7" t="s">
        <v>101</v>
      </c>
      <c r="G1622" s="7" t="s">
        <v>105</v>
      </c>
      <c r="H1622" s="7" t="n">
        <v>1</v>
      </c>
      <c r="I1622" s="7" t="n">
        <v>225</v>
      </c>
      <c r="J1622" s="7" t="n">
        <v>0</v>
      </c>
      <c r="K1622" s="7" t="s">
        <v>93</v>
      </c>
      <c r="L1622" s="7" t="s">
        <v>194</v>
      </c>
      <c r="M1622" s="7" t="n">
        <v>40</v>
      </c>
      <c r="N1622" s="7" t="n">
        <v>4</v>
      </c>
      <c r="O1622" s="7" t="str">
        <f aca="false">A1622&amp;"|"&amp;B1622&amp;"|"&amp;C1622&amp;"|"&amp;D1622&amp;"|"&amp;E1622&amp;"|"&amp;F1622&amp;"|"&amp;G1622&amp;"|"&amp;H1622&amp;"|"&amp;I1622&amp;"|"&amp;J1622&amp;"|"&amp;K1622&amp;"|"&amp;L1622&amp;"|"&amp;M1622&amp;"|"&amp;N1622</f>
        <v>ORD10409|2025-02-24|14:50|C1281|Dragon Express|Mumbai|Chinese|1|225|0|Credit Card|Delivered|40|4</v>
      </c>
      <c r="P1622" s="7" t="str">
        <f aca="false">IF(COUNTIF($O$2:O1622,O1622)&gt;1,"DUP","OK")</f>
        <v>OK</v>
      </c>
      <c r="Q1622" s="7" t="n">
        <f aca="false">COUNTBLANK(A1622:N1622)</f>
        <v>0</v>
      </c>
      <c r="R1622" s="7" t="n">
        <f aca="false">IF(A1622="",0,COUNTIFS($A$2:$A$3058,A1622,$P$2:$P$3058,"OK"))</f>
        <v>1</v>
      </c>
      <c r="S1622" s="7" t="str">
        <f aca="false">IF(OR(A1622="",P1622="DUP",R1622&lt;2),"",IF(Q1622=_xlfn.MINIFS($Q$2:$Q$3058,$A$2:$A$3058,A1622,$P$2:$P$3058,"OK"),"KEEP","DROP"))</f>
        <v/>
      </c>
      <c r="T1622" s="9" t="n">
        <f aca="false">IF(A1622="",1,0)</f>
        <v>0</v>
      </c>
      <c r="U1622" s="9" t="n">
        <f aca="false">IF(D1622="",1,0)</f>
        <v>0</v>
      </c>
      <c r="V1622" s="9" t="n">
        <f aca="false">IF(E1622="",1,0)</f>
        <v>0</v>
      </c>
      <c r="W1622" s="9" t="n">
        <f aca="false">IF(OR(H1622&lt;1,H1622&gt;10),1,0)</f>
        <v>0</v>
      </c>
      <c r="X1622" s="9" t="n">
        <f aca="false">IF(OR(I1622&lt;=0,I1622&gt;1500),1,0)</f>
        <v>0</v>
      </c>
      <c r="Y1622" s="9" t="n">
        <f aca="false">IF(J1622&gt;H1622*I1622,1,0)</f>
        <v>0</v>
      </c>
      <c r="Z1622" s="9" t="n">
        <f aca="false">IF(AND(N1622&lt;&gt;"",OR(N1622&lt;1,N1622&gt;5)),1,0)</f>
        <v>0</v>
      </c>
      <c r="AA1622" s="9" t="n">
        <f aca="false">IF(AND(M1622&lt;&gt;"",OR(M1622&lt;5,M1622&gt;180)),1,0)</f>
        <v>0</v>
      </c>
      <c r="AB1622" s="7" t="str">
        <f aca="false">IF(P1622="DUP","Exact duplicate row",IF(T1622=1,"Missing Order ID",IF(S1622="DROP","Duplicate Order ID (less complete row)",IF(U1622=1,"Missing Customer ID",IF(V1622=1,"Missing Restaurant name",IF(W1622=1,"Invalid/outlier quantity",IF(X1622=1,"Invalid/outlier unit price",IF(Y1622=1,"Discount greater than order value",""))))))))</f>
        <v/>
      </c>
      <c r="AC1622" s="7" t="str">
        <f aca="false">IF(AB1622="","KEEP","DROP")</f>
        <v>KEEP</v>
      </c>
      <c r="AD1622" s="7" t="str">
        <f aca="false">IF(TRIM(F1622)="",IFERROR(INDEX(Map_Tables!$I$4:$I$37,MATCH(TRIM(E1622),Map_Tables!$G$4:$G$37,0)),""),IFERROR(INDEX(Map_Tables!$B$4:$B$18,MATCH(TRIM(F1622),Map_Tables!$A$4:$A$18,0)),"CHECK"))</f>
        <v>Mumbai</v>
      </c>
      <c r="AE1622" s="7" t="str">
        <f aca="false">IF(TRIM(E1622)="","",IFERROR(INDEX(Map_Tables!$H$4:$H$37,MATCH(TRIM(E1622),Map_Tables!$G$4:$G$37,0)),"CHECK"))</f>
        <v>Dragon Express</v>
      </c>
      <c r="AF1622" s="7" t="str">
        <f aca="false">IF(TRIM(K1622)="","Unknown",IFERROR(INDEX(Map_Tables!$E$4:$E$15,MATCH(TRIM(K1622),Map_Tables!$D$4:$D$15,0)),"CHECK"))</f>
        <v>Credit Card</v>
      </c>
      <c r="AG1622" s="7" t="str">
        <f aca="false">IF(LEFT(LOWER(TRIM(L1622)),6)="cancel","Cancelled","Delivered")</f>
        <v>Delivered</v>
      </c>
      <c r="AH1622" s="10" t="n">
        <f aca="false">IF(ISNUMBER(SEARCH("/",B1622)),DATE(VALUE(RIGHT(B1622,4)),VALUE(MID(B1622,4,2)),VALUE(LEFT(B1622,2))),IF(MID(B1622,5,1)="-",DATE(VALUE(LEFT(B1622,4)),VALUE(MID(B1622,6,2)),VALUE(RIGHT(B1622,2))),DATE(VALUE(RIGHT(B1622,4)),MATCH(MID(B1622,4,3),{"Jan","Feb","Mar","Apr","May","Jun","Jul","Aug","Sep","Oct","Nov","Dec"},0),VALUE(LEFT(B1622,2)))))</f>
        <v>45712</v>
      </c>
    </row>
    <row r="1623" customFormat="false" ht="15" hidden="false" customHeight="false" outlineLevel="0" collapsed="false">
      <c r="A1623" s="7" t="s">
        <v>4134</v>
      </c>
      <c r="B1623" s="7" t="s">
        <v>4135</v>
      </c>
      <c r="C1623" s="7" t="s">
        <v>1708</v>
      </c>
      <c r="D1623" s="7" t="s">
        <v>915</v>
      </c>
      <c r="E1623" s="7" t="s">
        <v>164</v>
      </c>
      <c r="F1623" s="7" t="s">
        <v>141</v>
      </c>
      <c r="G1623" s="7" t="s">
        <v>150</v>
      </c>
      <c r="H1623" s="7" t="n">
        <v>1</v>
      </c>
      <c r="I1623" s="7" t="n">
        <v>120</v>
      </c>
      <c r="J1623" s="7" t="n">
        <v>0</v>
      </c>
      <c r="K1623" s="7" t="s">
        <v>103</v>
      </c>
      <c r="L1623" s="7" t="s">
        <v>194</v>
      </c>
      <c r="M1623" s="7" t="n">
        <v>34</v>
      </c>
      <c r="N1623" s="7" t="n">
        <v>4</v>
      </c>
      <c r="O1623" s="7" t="str">
        <f aca="false">A1623&amp;"|"&amp;B1623&amp;"|"&amp;C1623&amp;"|"&amp;D1623&amp;"|"&amp;E1623&amp;"|"&amp;F1623&amp;"|"&amp;G1623&amp;"|"&amp;H1623&amp;"|"&amp;I1623&amp;"|"&amp;J1623&amp;"|"&amp;K1623&amp;"|"&amp;L1623&amp;"|"&amp;M1623&amp;"|"&amp;N1623</f>
        <v>ORD11344|22/06/2025|17:47|C0141|Mishti Mandir|Kolkata|Desserts|1|120|0|Debit Card|Delivered|34|4</v>
      </c>
      <c r="P1623" s="7" t="str">
        <f aca="false">IF(COUNTIF($O$2:O1623,O1623)&gt;1,"DUP","OK")</f>
        <v>OK</v>
      </c>
      <c r="Q1623" s="7" t="n">
        <f aca="false">COUNTBLANK(A1623:N1623)</f>
        <v>0</v>
      </c>
      <c r="R1623" s="7" t="n">
        <f aca="false">IF(A1623="",0,COUNTIFS($A$2:$A$3058,A1623,$P$2:$P$3058,"OK"))</f>
        <v>1</v>
      </c>
      <c r="S1623" s="7" t="str">
        <f aca="false">IF(OR(A1623="",P1623="DUP",R1623&lt;2),"",IF(Q1623=_xlfn.MINIFS($Q$2:$Q$3058,$A$2:$A$3058,A1623,$P$2:$P$3058,"OK"),"KEEP","DROP"))</f>
        <v/>
      </c>
      <c r="T1623" s="9" t="n">
        <f aca="false">IF(A1623="",1,0)</f>
        <v>0</v>
      </c>
      <c r="U1623" s="9" t="n">
        <f aca="false">IF(D1623="",1,0)</f>
        <v>0</v>
      </c>
      <c r="V1623" s="9" t="n">
        <f aca="false">IF(E1623="",1,0)</f>
        <v>0</v>
      </c>
      <c r="W1623" s="9" t="n">
        <f aca="false">IF(OR(H1623&lt;1,H1623&gt;10),1,0)</f>
        <v>0</v>
      </c>
      <c r="X1623" s="9" t="n">
        <f aca="false">IF(OR(I1623&lt;=0,I1623&gt;1500),1,0)</f>
        <v>0</v>
      </c>
      <c r="Y1623" s="9" t="n">
        <f aca="false">IF(J1623&gt;H1623*I1623,1,0)</f>
        <v>0</v>
      </c>
      <c r="Z1623" s="9" t="n">
        <f aca="false">IF(AND(N1623&lt;&gt;"",OR(N1623&lt;1,N1623&gt;5)),1,0)</f>
        <v>0</v>
      </c>
      <c r="AA1623" s="9" t="n">
        <f aca="false">IF(AND(M1623&lt;&gt;"",OR(M1623&lt;5,M1623&gt;180)),1,0)</f>
        <v>0</v>
      </c>
      <c r="AB1623" s="7" t="str">
        <f aca="false">IF(P1623="DUP","Exact duplicate row",IF(T1623=1,"Missing Order ID",IF(S1623="DROP","Duplicate Order ID (less complete row)",IF(U1623=1,"Missing Customer ID",IF(V1623=1,"Missing Restaurant name",IF(W1623=1,"Invalid/outlier quantity",IF(X1623=1,"Invalid/outlier unit price",IF(Y1623=1,"Discount greater than order value",""))))))))</f>
        <v/>
      </c>
      <c r="AC1623" s="7" t="str">
        <f aca="false">IF(AB1623="","KEEP","DROP")</f>
        <v>KEEP</v>
      </c>
      <c r="AD1623" s="7" t="str">
        <f aca="false">IF(TRIM(F1623)="",IFERROR(INDEX(Map_Tables!$I$4:$I$37,MATCH(TRIM(E1623),Map_Tables!$G$4:$G$37,0)),""),IFERROR(INDEX(Map_Tables!$B$4:$B$18,MATCH(TRIM(F1623),Map_Tables!$A$4:$A$18,0)),"CHECK"))</f>
        <v>Kolkata</v>
      </c>
      <c r="AE1623" s="7" t="str">
        <f aca="false">IF(TRIM(E1623)="","",IFERROR(INDEX(Map_Tables!$H$4:$H$37,MATCH(TRIM(E1623),Map_Tables!$G$4:$G$37,0)),"CHECK"))</f>
        <v>Mishti Mandir</v>
      </c>
      <c r="AF1623" s="7" t="str">
        <f aca="false">IF(TRIM(K1623)="","Unknown",IFERROR(INDEX(Map_Tables!$E$4:$E$15,MATCH(TRIM(K1623),Map_Tables!$D$4:$D$15,0)),"CHECK"))</f>
        <v>Debit Card</v>
      </c>
      <c r="AG1623" s="7" t="str">
        <f aca="false">IF(LEFT(LOWER(TRIM(L1623)),6)="cancel","Cancelled","Delivered")</f>
        <v>Delivered</v>
      </c>
      <c r="AH1623" s="10" t="n">
        <f aca="false">IF(ISNUMBER(SEARCH("/",B1623)),DATE(VALUE(RIGHT(B1623,4)),VALUE(MID(B1623,4,2)),VALUE(LEFT(B1623,2))),IF(MID(B1623,5,1)="-",DATE(VALUE(LEFT(B1623,4)),VALUE(MID(B1623,6,2)),VALUE(RIGHT(B1623,2))),DATE(VALUE(RIGHT(B1623,4)),MATCH(MID(B1623,4,3),{"Jan","Feb","Mar","Apr","May","Jun","Jul","Aug","Sep","Oct","Nov","Dec"},0),VALUE(LEFT(B1623,2)))))</f>
        <v>45830</v>
      </c>
    </row>
    <row r="1624" customFormat="false" ht="15" hidden="false" customHeight="false" outlineLevel="0" collapsed="false">
      <c r="A1624" s="7" t="s">
        <v>4136</v>
      </c>
      <c r="B1624" s="7" t="s">
        <v>3753</v>
      </c>
      <c r="C1624" s="7" t="s">
        <v>850</v>
      </c>
      <c r="D1624" s="7" t="s">
        <v>2134</v>
      </c>
      <c r="E1624" s="7" t="s">
        <v>265</v>
      </c>
      <c r="F1624" s="7" t="s">
        <v>136</v>
      </c>
      <c r="G1624" s="7" t="s">
        <v>139</v>
      </c>
      <c r="H1624" s="7" t="n">
        <v>3</v>
      </c>
      <c r="I1624" s="7" t="n">
        <v>240</v>
      </c>
      <c r="J1624" s="7" t="n">
        <v>0</v>
      </c>
      <c r="K1624" s="7" t="s">
        <v>103</v>
      </c>
      <c r="L1624" s="7" t="s">
        <v>194</v>
      </c>
      <c r="M1624" s="7" t="n">
        <v>24</v>
      </c>
      <c r="N1624" s="7" t="n">
        <v>3</v>
      </c>
      <c r="O1624" s="7" t="str">
        <f aca="false">A1624&amp;"|"&amp;B1624&amp;"|"&amp;C1624&amp;"|"&amp;D1624&amp;"|"&amp;E1624&amp;"|"&amp;F1624&amp;"|"&amp;G1624&amp;"|"&amp;H1624&amp;"|"&amp;I1624&amp;"|"&amp;J1624&amp;"|"&amp;K1624&amp;"|"&amp;L1624&amp;"|"&amp;M1624&amp;"|"&amp;N1624</f>
        <v>ORD10165|2025-01-22|16:06|C1016| Pune Burger Hub|Pune|Burgers|3|240|0|Debit Card|Delivered|24|3</v>
      </c>
      <c r="P1624" s="7" t="str">
        <f aca="false">IF(COUNTIF($O$2:O1624,O1624)&gt;1,"DUP","OK")</f>
        <v>OK</v>
      </c>
      <c r="Q1624" s="7" t="n">
        <f aca="false">COUNTBLANK(A1624:N1624)</f>
        <v>0</v>
      </c>
      <c r="R1624" s="7" t="n">
        <f aca="false">IF(A1624="",0,COUNTIFS($A$2:$A$3058,A1624,$P$2:$P$3058,"OK"))</f>
        <v>1</v>
      </c>
      <c r="S1624" s="7" t="str">
        <f aca="false">IF(OR(A1624="",P1624="DUP",R1624&lt;2),"",IF(Q1624=_xlfn.MINIFS($Q$2:$Q$3058,$A$2:$A$3058,A1624,$P$2:$P$3058,"OK"),"KEEP","DROP"))</f>
        <v/>
      </c>
      <c r="T1624" s="9" t="n">
        <f aca="false">IF(A1624="",1,0)</f>
        <v>0</v>
      </c>
      <c r="U1624" s="9" t="n">
        <f aca="false">IF(D1624="",1,0)</f>
        <v>0</v>
      </c>
      <c r="V1624" s="9" t="n">
        <f aca="false">IF(E1624="",1,0)</f>
        <v>0</v>
      </c>
      <c r="W1624" s="9" t="n">
        <f aca="false">IF(OR(H1624&lt;1,H1624&gt;10),1,0)</f>
        <v>0</v>
      </c>
      <c r="X1624" s="9" t="n">
        <f aca="false">IF(OR(I1624&lt;=0,I1624&gt;1500),1,0)</f>
        <v>0</v>
      </c>
      <c r="Y1624" s="9" t="n">
        <f aca="false">IF(J1624&gt;H1624*I1624,1,0)</f>
        <v>0</v>
      </c>
      <c r="Z1624" s="9" t="n">
        <f aca="false">IF(AND(N1624&lt;&gt;"",OR(N1624&lt;1,N1624&gt;5)),1,0)</f>
        <v>0</v>
      </c>
      <c r="AA1624" s="9" t="n">
        <f aca="false">IF(AND(M1624&lt;&gt;"",OR(M1624&lt;5,M1624&gt;180)),1,0)</f>
        <v>0</v>
      </c>
      <c r="AB1624" s="7" t="str">
        <f aca="false">IF(P1624="DUP","Exact duplicate row",IF(T1624=1,"Missing Order ID",IF(S1624="DROP","Duplicate Order ID (less complete row)",IF(U1624=1,"Missing Customer ID",IF(V1624=1,"Missing Restaurant name",IF(W1624=1,"Invalid/outlier quantity",IF(X1624=1,"Invalid/outlier unit price",IF(Y1624=1,"Discount greater than order value",""))))))))</f>
        <v/>
      </c>
      <c r="AC1624" s="7" t="str">
        <f aca="false">IF(AB1624="","KEEP","DROP")</f>
        <v>KEEP</v>
      </c>
      <c r="AD1624" s="7" t="str">
        <f aca="false">IF(TRIM(F1624)="",IFERROR(INDEX(Map_Tables!$I$4:$I$37,MATCH(TRIM(E1624),Map_Tables!$G$4:$G$37,0)),""),IFERROR(INDEX(Map_Tables!$B$4:$B$18,MATCH(TRIM(F1624),Map_Tables!$A$4:$A$18,0)),"CHECK"))</f>
        <v>Pune</v>
      </c>
      <c r="AE1624" s="7" t="str">
        <f aca="false">IF(TRIM(E1624)="","",IFERROR(INDEX(Map_Tables!$H$4:$H$37,MATCH(TRIM(E1624),Map_Tables!$G$4:$G$37,0)),"CHECK"))</f>
        <v>Pune Burger Hub</v>
      </c>
      <c r="AF1624" s="7" t="str">
        <f aca="false">IF(TRIM(K1624)="","Unknown",IFERROR(INDEX(Map_Tables!$E$4:$E$15,MATCH(TRIM(K1624),Map_Tables!$D$4:$D$15,0)),"CHECK"))</f>
        <v>Debit Card</v>
      </c>
      <c r="AG1624" s="7" t="str">
        <f aca="false">IF(LEFT(LOWER(TRIM(L1624)),6)="cancel","Cancelled","Delivered")</f>
        <v>Delivered</v>
      </c>
      <c r="AH1624" s="10" t="n">
        <f aca="false">IF(ISNUMBER(SEARCH("/",B1624)),DATE(VALUE(RIGHT(B1624,4)),VALUE(MID(B1624,4,2)),VALUE(LEFT(B1624,2))),IF(MID(B1624,5,1)="-",DATE(VALUE(LEFT(B1624,4)),VALUE(MID(B1624,6,2)),VALUE(RIGHT(B1624,2))),DATE(VALUE(RIGHT(B1624,4)),MATCH(MID(B1624,4,3),{"Jan","Feb","Mar","Apr","May","Jun","Jul","Aug","Sep","Oct","Nov","Dec"},0),VALUE(LEFT(B1624,2)))))</f>
        <v>45679</v>
      </c>
    </row>
    <row r="1625" customFormat="false" ht="15" hidden="false" customHeight="false" outlineLevel="0" collapsed="false">
      <c r="A1625" s="7" t="s">
        <v>4137</v>
      </c>
      <c r="B1625" s="7" t="s">
        <v>1885</v>
      </c>
      <c r="C1625" s="7" t="s">
        <v>651</v>
      </c>
      <c r="D1625" s="7" t="s">
        <v>4138</v>
      </c>
      <c r="E1625" s="7" t="s">
        <v>113</v>
      </c>
      <c r="F1625" s="7" t="s">
        <v>101</v>
      </c>
      <c r="G1625" s="7" t="s">
        <v>90</v>
      </c>
      <c r="H1625" s="7" t="n">
        <v>1</v>
      </c>
      <c r="I1625" s="7" t="n">
        <v>240</v>
      </c>
      <c r="J1625" s="7" t="n">
        <v>0</v>
      </c>
      <c r="K1625" s="7" t="s">
        <v>93</v>
      </c>
      <c r="L1625" s="7" t="s">
        <v>194</v>
      </c>
      <c r="M1625" s="7" t="n">
        <v>45</v>
      </c>
      <c r="N1625" s="7" t="n">
        <v>3</v>
      </c>
      <c r="O1625" s="7" t="str">
        <f aca="false">A1625&amp;"|"&amp;B1625&amp;"|"&amp;C1625&amp;"|"&amp;D1625&amp;"|"&amp;E1625&amp;"|"&amp;F1625&amp;"|"&amp;G1625&amp;"|"&amp;H1625&amp;"|"&amp;I1625&amp;"|"&amp;J1625&amp;"|"&amp;K1625&amp;"|"&amp;L1625&amp;"|"&amp;M1625&amp;"|"&amp;N1625</f>
        <v>ORD12850|2025-12-15|12:53|C0445|Curry Leaf Kitchen|Mumbai|North Indian|1|240|0|Credit Card|Delivered|45|3</v>
      </c>
      <c r="P1625" s="7" t="str">
        <f aca="false">IF(COUNTIF($O$2:O1625,O1625)&gt;1,"DUP","OK")</f>
        <v>OK</v>
      </c>
      <c r="Q1625" s="7" t="n">
        <f aca="false">COUNTBLANK(A1625:N1625)</f>
        <v>0</v>
      </c>
      <c r="R1625" s="7" t="n">
        <f aca="false">IF(A1625="",0,COUNTIFS($A$2:$A$3058,A1625,$P$2:$P$3058,"OK"))</f>
        <v>1</v>
      </c>
      <c r="S1625" s="7" t="str">
        <f aca="false">IF(OR(A1625="",P1625="DUP",R1625&lt;2),"",IF(Q1625=_xlfn.MINIFS($Q$2:$Q$3058,$A$2:$A$3058,A1625,$P$2:$P$3058,"OK"),"KEEP","DROP"))</f>
        <v/>
      </c>
      <c r="T1625" s="9" t="n">
        <f aca="false">IF(A1625="",1,0)</f>
        <v>0</v>
      </c>
      <c r="U1625" s="9" t="n">
        <f aca="false">IF(D1625="",1,0)</f>
        <v>0</v>
      </c>
      <c r="V1625" s="9" t="n">
        <f aca="false">IF(E1625="",1,0)</f>
        <v>0</v>
      </c>
      <c r="W1625" s="9" t="n">
        <f aca="false">IF(OR(H1625&lt;1,H1625&gt;10),1,0)</f>
        <v>0</v>
      </c>
      <c r="X1625" s="9" t="n">
        <f aca="false">IF(OR(I1625&lt;=0,I1625&gt;1500),1,0)</f>
        <v>0</v>
      </c>
      <c r="Y1625" s="9" t="n">
        <f aca="false">IF(J1625&gt;H1625*I1625,1,0)</f>
        <v>0</v>
      </c>
      <c r="Z1625" s="9" t="n">
        <f aca="false">IF(AND(N1625&lt;&gt;"",OR(N1625&lt;1,N1625&gt;5)),1,0)</f>
        <v>0</v>
      </c>
      <c r="AA1625" s="9" t="n">
        <f aca="false">IF(AND(M1625&lt;&gt;"",OR(M1625&lt;5,M1625&gt;180)),1,0)</f>
        <v>0</v>
      </c>
      <c r="AB1625" s="7" t="str">
        <f aca="false">IF(P1625="DUP","Exact duplicate row",IF(T1625=1,"Missing Order ID",IF(S1625="DROP","Duplicate Order ID (less complete row)",IF(U1625=1,"Missing Customer ID",IF(V1625=1,"Missing Restaurant name",IF(W1625=1,"Invalid/outlier quantity",IF(X1625=1,"Invalid/outlier unit price",IF(Y1625=1,"Discount greater than order value",""))))))))</f>
        <v/>
      </c>
      <c r="AC1625" s="7" t="str">
        <f aca="false">IF(AB1625="","KEEP","DROP")</f>
        <v>KEEP</v>
      </c>
      <c r="AD1625" s="7" t="str">
        <f aca="false">IF(TRIM(F1625)="",IFERROR(INDEX(Map_Tables!$I$4:$I$37,MATCH(TRIM(E1625),Map_Tables!$G$4:$G$37,0)),""),IFERROR(INDEX(Map_Tables!$B$4:$B$18,MATCH(TRIM(F1625),Map_Tables!$A$4:$A$18,0)),"CHECK"))</f>
        <v>Mumbai</v>
      </c>
      <c r="AE1625" s="7" t="str">
        <f aca="false">IF(TRIM(E1625)="","",IFERROR(INDEX(Map_Tables!$H$4:$H$37,MATCH(TRIM(E1625),Map_Tables!$G$4:$G$37,0)),"CHECK"))</f>
        <v>Curry Leaf Kitchen</v>
      </c>
      <c r="AF1625" s="7" t="str">
        <f aca="false">IF(TRIM(K1625)="","Unknown",IFERROR(INDEX(Map_Tables!$E$4:$E$15,MATCH(TRIM(K1625),Map_Tables!$D$4:$D$15,0)),"CHECK"))</f>
        <v>Credit Card</v>
      </c>
      <c r="AG1625" s="7" t="str">
        <f aca="false">IF(LEFT(LOWER(TRIM(L1625)),6)="cancel","Cancelled","Delivered")</f>
        <v>Delivered</v>
      </c>
      <c r="AH1625" s="10" t="n">
        <f aca="false">IF(ISNUMBER(SEARCH("/",B1625)),DATE(VALUE(RIGHT(B1625,4)),VALUE(MID(B1625,4,2)),VALUE(LEFT(B1625,2))),IF(MID(B1625,5,1)="-",DATE(VALUE(LEFT(B1625,4)),VALUE(MID(B1625,6,2)),VALUE(RIGHT(B1625,2))),DATE(VALUE(RIGHT(B1625,4)),MATCH(MID(B1625,4,3),{"Jan","Feb","Mar","Apr","May","Jun","Jul","Aug","Sep","Oct","Nov","Dec"},0),VALUE(LEFT(B1625,2)))))</f>
        <v>46006</v>
      </c>
    </row>
    <row r="1626" customFormat="false" ht="15" hidden="false" customHeight="false" outlineLevel="0" collapsed="false">
      <c r="A1626" s="7" t="s">
        <v>4139</v>
      </c>
      <c r="B1626" s="7" t="s">
        <v>3373</v>
      </c>
      <c r="C1626" s="7" t="s">
        <v>2369</v>
      </c>
      <c r="D1626" s="7" t="s">
        <v>4140</v>
      </c>
      <c r="E1626" s="7" t="s">
        <v>164</v>
      </c>
      <c r="F1626" s="7" t="s">
        <v>141</v>
      </c>
      <c r="G1626" s="7" t="s">
        <v>150</v>
      </c>
      <c r="H1626" s="7" t="n">
        <v>2</v>
      </c>
      <c r="I1626" s="7" t="n">
        <v>125</v>
      </c>
      <c r="J1626" s="7" t="n">
        <v>30</v>
      </c>
      <c r="K1626" s="7" t="s">
        <v>121</v>
      </c>
      <c r="L1626" s="7" t="s">
        <v>194</v>
      </c>
      <c r="M1626" s="7" t="n">
        <v>39</v>
      </c>
      <c r="N1626" s="7" t="n">
        <v>3</v>
      </c>
      <c r="O1626" s="7" t="str">
        <f aca="false">A1626&amp;"|"&amp;B1626&amp;"|"&amp;C1626&amp;"|"&amp;D1626&amp;"|"&amp;E1626&amp;"|"&amp;F1626&amp;"|"&amp;G1626&amp;"|"&amp;H1626&amp;"|"&amp;I1626&amp;"|"&amp;J1626&amp;"|"&amp;K1626&amp;"|"&amp;L1626&amp;"|"&amp;M1626&amp;"|"&amp;N1626</f>
        <v>ORD10244|01/02/2025|21:38|C0045|Mishti Mandir|Kolkata|Desserts|2|125|30|Wallet|Delivered|39|3</v>
      </c>
      <c r="P1626" s="7" t="str">
        <f aca="false">IF(COUNTIF($O$2:O1626,O1626)&gt;1,"DUP","OK")</f>
        <v>OK</v>
      </c>
      <c r="Q1626" s="7" t="n">
        <f aca="false">COUNTBLANK(A1626:N1626)</f>
        <v>0</v>
      </c>
      <c r="R1626" s="7" t="n">
        <f aca="false">IF(A1626="",0,COUNTIFS($A$2:$A$3058,A1626,$P$2:$P$3058,"OK"))</f>
        <v>1</v>
      </c>
      <c r="S1626" s="7" t="str">
        <f aca="false">IF(OR(A1626="",P1626="DUP",R1626&lt;2),"",IF(Q1626=_xlfn.MINIFS($Q$2:$Q$3058,$A$2:$A$3058,A1626,$P$2:$P$3058,"OK"),"KEEP","DROP"))</f>
        <v/>
      </c>
      <c r="T1626" s="9" t="n">
        <f aca="false">IF(A1626="",1,0)</f>
        <v>0</v>
      </c>
      <c r="U1626" s="9" t="n">
        <f aca="false">IF(D1626="",1,0)</f>
        <v>0</v>
      </c>
      <c r="V1626" s="9" t="n">
        <f aca="false">IF(E1626="",1,0)</f>
        <v>0</v>
      </c>
      <c r="W1626" s="9" t="n">
        <f aca="false">IF(OR(H1626&lt;1,H1626&gt;10),1,0)</f>
        <v>0</v>
      </c>
      <c r="X1626" s="9" t="n">
        <f aca="false">IF(OR(I1626&lt;=0,I1626&gt;1500),1,0)</f>
        <v>0</v>
      </c>
      <c r="Y1626" s="9" t="n">
        <f aca="false">IF(J1626&gt;H1626*I1626,1,0)</f>
        <v>0</v>
      </c>
      <c r="Z1626" s="9" t="n">
        <f aca="false">IF(AND(N1626&lt;&gt;"",OR(N1626&lt;1,N1626&gt;5)),1,0)</f>
        <v>0</v>
      </c>
      <c r="AA1626" s="9" t="n">
        <f aca="false">IF(AND(M1626&lt;&gt;"",OR(M1626&lt;5,M1626&gt;180)),1,0)</f>
        <v>0</v>
      </c>
      <c r="AB1626" s="7" t="str">
        <f aca="false">IF(P1626="DUP","Exact duplicate row",IF(T1626=1,"Missing Order ID",IF(S1626="DROP","Duplicate Order ID (less complete row)",IF(U1626=1,"Missing Customer ID",IF(V1626=1,"Missing Restaurant name",IF(W1626=1,"Invalid/outlier quantity",IF(X1626=1,"Invalid/outlier unit price",IF(Y1626=1,"Discount greater than order value",""))))))))</f>
        <v/>
      </c>
      <c r="AC1626" s="7" t="str">
        <f aca="false">IF(AB1626="","KEEP","DROP")</f>
        <v>KEEP</v>
      </c>
      <c r="AD1626" s="7" t="str">
        <f aca="false">IF(TRIM(F1626)="",IFERROR(INDEX(Map_Tables!$I$4:$I$37,MATCH(TRIM(E1626),Map_Tables!$G$4:$G$37,0)),""),IFERROR(INDEX(Map_Tables!$B$4:$B$18,MATCH(TRIM(F1626),Map_Tables!$A$4:$A$18,0)),"CHECK"))</f>
        <v>Kolkata</v>
      </c>
      <c r="AE1626" s="7" t="str">
        <f aca="false">IF(TRIM(E1626)="","",IFERROR(INDEX(Map_Tables!$H$4:$H$37,MATCH(TRIM(E1626),Map_Tables!$G$4:$G$37,0)),"CHECK"))</f>
        <v>Mishti Mandir</v>
      </c>
      <c r="AF1626" s="7" t="str">
        <f aca="false">IF(TRIM(K1626)="","Unknown",IFERROR(INDEX(Map_Tables!$E$4:$E$15,MATCH(TRIM(K1626),Map_Tables!$D$4:$D$15,0)),"CHECK"))</f>
        <v>Wallet</v>
      </c>
      <c r="AG1626" s="7" t="str">
        <f aca="false">IF(LEFT(LOWER(TRIM(L1626)),6)="cancel","Cancelled","Delivered")</f>
        <v>Delivered</v>
      </c>
      <c r="AH1626" s="10" t="n">
        <f aca="false">IF(ISNUMBER(SEARCH("/",B1626)),DATE(VALUE(RIGHT(B1626,4)),VALUE(MID(B1626,4,2)),VALUE(LEFT(B1626,2))),IF(MID(B1626,5,1)="-",DATE(VALUE(LEFT(B1626,4)),VALUE(MID(B1626,6,2)),VALUE(RIGHT(B1626,2))),DATE(VALUE(RIGHT(B1626,4)),MATCH(MID(B1626,4,3),{"Jan","Feb","Mar","Apr","May","Jun","Jul","Aug","Sep","Oct","Nov","Dec"},0),VALUE(LEFT(B1626,2)))))</f>
        <v>45689</v>
      </c>
    </row>
    <row r="1627" customFormat="false" ht="15" hidden="false" customHeight="false" outlineLevel="0" collapsed="false">
      <c r="A1627" s="7" t="s">
        <v>4141</v>
      </c>
      <c r="B1627" s="7" t="s">
        <v>3637</v>
      </c>
      <c r="C1627" s="7" t="s">
        <v>1877</v>
      </c>
      <c r="D1627" s="7" t="s">
        <v>4142</v>
      </c>
      <c r="E1627" s="7" t="s">
        <v>149</v>
      </c>
      <c r="F1627" s="7" t="s">
        <v>119</v>
      </c>
      <c r="G1627" s="7" t="s">
        <v>150</v>
      </c>
      <c r="H1627" s="7" t="n">
        <v>2</v>
      </c>
      <c r="I1627" s="7" t="n">
        <v>140</v>
      </c>
      <c r="J1627" s="7" t="n">
        <v>0</v>
      </c>
      <c r="K1627" s="7" t="s">
        <v>87</v>
      </c>
      <c r="L1627" s="7" t="s">
        <v>194</v>
      </c>
      <c r="M1627" s="7" t="n">
        <v>25</v>
      </c>
      <c r="N1627" s="7" t="n">
        <v>4</v>
      </c>
      <c r="O1627" s="7" t="str">
        <f aca="false">A1627&amp;"|"&amp;B1627&amp;"|"&amp;C1627&amp;"|"&amp;D1627&amp;"|"&amp;E1627&amp;"|"&amp;F1627&amp;"|"&amp;G1627&amp;"|"&amp;H1627&amp;"|"&amp;I1627&amp;"|"&amp;J1627&amp;"|"&amp;K1627&amp;"|"&amp;L1627&amp;"|"&amp;M1627&amp;"|"&amp;N1627</f>
        <v>ORD12878|2025-12-19|09:06|C1025|Sweet Tooth Studio|Hyderabad|Desserts|2|140|0|upi|Delivered|25|4</v>
      </c>
      <c r="P1627" s="7" t="str">
        <f aca="false">IF(COUNTIF($O$2:O1627,O1627)&gt;1,"DUP","OK")</f>
        <v>OK</v>
      </c>
      <c r="Q1627" s="7" t="n">
        <f aca="false">COUNTBLANK(A1627:N1627)</f>
        <v>0</v>
      </c>
      <c r="R1627" s="7" t="n">
        <f aca="false">IF(A1627="",0,COUNTIFS($A$2:$A$3058,A1627,$P$2:$P$3058,"OK"))</f>
        <v>1</v>
      </c>
      <c r="S1627" s="7" t="str">
        <f aca="false">IF(OR(A1627="",P1627="DUP",R1627&lt;2),"",IF(Q1627=_xlfn.MINIFS($Q$2:$Q$3058,$A$2:$A$3058,A1627,$P$2:$P$3058,"OK"),"KEEP","DROP"))</f>
        <v/>
      </c>
      <c r="T1627" s="9" t="n">
        <f aca="false">IF(A1627="",1,0)</f>
        <v>0</v>
      </c>
      <c r="U1627" s="9" t="n">
        <f aca="false">IF(D1627="",1,0)</f>
        <v>0</v>
      </c>
      <c r="V1627" s="9" t="n">
        <f aca="false">IF(E1627="",1,0)</f>
        <v>0</v>
      </c>
      <c r="W1627" s="9" t="n">
        <f aca="false">IF(OR(H1627&lt;1,H1627&gt;10),1,0)</f>
        <v>0</v>
      </c>
      <c r="X1627" s="9" t="n">
        <f aca="false">IF(OR(I1627&lt;=0,I1627&gt;1500),1,0)</f>
        <v>0</v>
      </c>
      <c r="Y1627" s="9" t="n">
        <f aca="false">IF(J1627&gt;H1627*I1627,1,0)</f>
        <v>0</v>
      </c>
      <c r="Z1627" s="9" t="n">
        <f aca="false">IF(AND(N1627&lt;&gt;"",OR(N1627&lt;1,N1627&gt;5)),1,0)</f>
        <v>0</v>
      </c>
      <c r="AA1627" s="9" t="n">
        <f aca="false">IF(AND(M1627&lt;&gt;"",OR(M1627&lt;5,M1627&gt;180)),1,0)</f>
        <v>0</v>
      </c>
      <c r="AB1627" s="7" t="str">
        <f aca="false">IF(P1627="DUP","Exact duplicate row",IF(T1627=1,"Missing Order ID",IF(S1627="DROP","Duplicate Order ID (less complete row)",IF(U1627=1,"Missing Customer ID",IF(V1627=1,"Missing Restaurant name",IF(W1627=1,"Invalid/outlier quantity",IF(X1627=1,"Invalid/outlier unit price",IF(Y1627=1,"Discount greater than order value",""))))))))</f>
        <v/>
      </c>
      <c r="AC1627" s="7" t="str">
        <f aca="false">IF(AB1627="","KEEP","DROP")</f>
        <v>KEEP</v>
      </c>
      <c r="AD1627" s="7" t="str">
        <f aca="false">IF(TRIM(F1627)="",IFERROR(INDEX(Map_Tables!$I$4:$I$37,MATCH(TRIM(E1627),Map_Tables!$G$4:$G$37,0)),""),IFERROR(INDEX(Map_Tables!$B$4:$B$18,MATCH(TRIM(F1627),Map_Tables!$A$4:$A$18,0)),"CHECK"))</f>
        <v>Hyderabad</v>
      </c>
      <c r="AE1627" s="7" t="str">
        <f aca="false">IF(TRIM(E1627)="","",IFERROR(INDEX(Map_Tables!$H$4:$H$37,MATCH(TRIM(E1627),Map_Tables!$G$4:$G$37,0)),"CHECK"))</f>
        <v>Sweet Tooth Studio</v>
      </c>
      <c r="AF1627" s="7" t="str">
        <f aca="false">IF(TRIM(K1627)="","Unknown",IFERROR(INDEX(Map_Tables!$E$4:$E$15,MATCH(TRIM(K1627),Map_Tables!$D$4:$D$15,0)),"CHECK"))</f>
        <v>UPI</v>
      </c>
      <c r="AG1627" s="7" t="str">
        <f aca="false">IF(LEFT(LOWER(TRIM(L1627)),6)="cancel","Cancelled","Delivered")</f>
        <v>Delivered</v>
      </c>
      <c r="AH1627" s="10" t="n">
        <f aca="false">IF(ISNUMBER(SEARCH("/",B1627)),DATE(VALUE(RIGHT(B1627,4)),VALUE(MID(B1627,4,2)),VALUE(LEFT(B1627,2))),IF(MID(B1627,5,1)="-",DATE(VALUE(LEFT(B1627,4)),VALUE(MID(B1627,6,2)),VALUE(RIGHT(B1627,2))),DATE(VALUE(RIGHT(B1627,4)),MATCH(MID(B1627,4,3),{"Jan","Feb","Mar","Apr","May","Jun","Jul","Aug","Sep","Oct","Nov","Dec"},0),VALUE(LEFT(B1627,2)))))</f>
        <v>46010</v>
      </c>
    </row>
    <row r="1628" customFormat="false" ht="15" hidden="false" customHeight="false" outlineLevel="0" collapsed="false">
      <c r="A1628" s="7" t="s">
        <v>4143</v>
      </c>
      <c r="B1628" s="7" t="s">
        <v>849</v>
      </c>
      <c r="C1628" s="7" t="s">
        <v>3489</v>
      </c>
      <c r="D1628" s="7" t="s">
        <v>2339</v>
      </c>
      <c r="E1628" s="7" t="s">
        <v>122</v>
      </c>
      <c r="F1628" s="7" t="s">
        <v>1557</v>
      </c>
      <c r="G1628" s="7" t="s">
        <v>123</v>
      </c>
      <c r="H1628" s="7" t="n">
        <v>2</v>
      </c>
      <c r="I1628" s="7" t="n">
        <v>340</v>
      </c>
      <c r="J1628" s="7" t="n">
        <v>125</v>
      </c>
      <c r="K1628" s="7" t="s">
        <v>103</v>
      </c>
      <c r="L1628" s="7" t="s">
        <v>194</v>
      </c>
      <c r="M1628" s="7" t="n">
        <v>42</v>
      </c>
      <c r="N1628" s="7" t="n">
        <v>3</v>
      </c>
      <c r="O1628" s="7" t="str">
        <f aca="false">A1628&amp;"|"&amp;B1628&amp;"|"&amp;C1628&amp;"|"&amp;D1628&amp;"|"&amp;E1628&amp;"|"&amp;F1628&amp;"|"&amp;G1628&amp;"|"&amp;H1628&amp;"|"&amp;I1628&amp;"|"&amp;J1628&amp;"|"&amp;K1628&amp;"|"&amp;L1628&amp;"|"&amp;M1628&amp;"|"&amp;N1628</f>
        <v>ORD12847|2025-12-14|21:20|C1381|Mumbai Pizza Co|Mumbai |Pizza|2|340|125|Debit Card|Delivered|42|3</v>
      </c>
      <c r="P1628" s="7" t="str">
        <f aca="false">IF(COUNTIF($O$2:O1628,O1628)&gt;1,"DUP","OK")</f>
        <v>OK</v>
      </c>
      <c r="Q1628" s="7" t="n">
        <f aca="false">COUNTBLANK(A1628:N1628)</f>
        <v>0</v>
      </c>
      <c r="R1628" s="7" t="n">
        <f aca="false">IF(A1628="",0,COUNTIFS($A$2:$A$3058,A1628,$P$2:$P$3058,"OK"))</f>
        <v>1</v>
      </c>
      <c r="S1628" s="7" t="str">
        <f aca="false">IF(OR(A1628="",P1628="DUP",R1628&lt;2),"",IF(Q1628=_xlfn.MINIFS($Q$2:$Q$3058,$A$2:$A$3058,A1628,$P$2:$P$3058,"OK"),"KEEP","DROP"))</f>
        <v/>
      </c>
      <c r="T1628" s="9" t="n">
        <f aca="false">IF(A1628="",1,0)</f>
        <v>0</v>
      </c>
      <c r="U1628" s="9" t="n">
        <f aca="false">IF(D1628="",1,0)</f>
        <v>0</v>
      </c>
      <c r="V1628" s="9" t="n">
        <f aca="false">IF(E1628="",1,0)</f>
        <v>0</v>
      </c>
      <c r="W1628" s="9" t="n">
        <f aca="false">IF(OR(H1628&lt;1,H1628&gt;10),1,0)</f>
        <v>0</v>
      </c>
      <c r="X1628" s="9" t="n">
        <f aca="false">IF(OR(I1628&lt;=0,I1628&gt;1500),1,0)</f>
        <v>0</v>
      </c>
      <c r="Y1628" s="9" t="n">
        <f aca="false">IF(J1628&gt;H1628*I1628,1,0)</f>
        <v>0</v>
      </c>
      <c r="Z1628" s="9" t="n">
        <f aca="false">IF(AND(N1628&lt;&gt;"",OR(N1628&lt;1,N1628&gt;5)),1,0)</f>
        <v>0</v>
      </c>
      <c r="AA1628" s="9" t="n">
        <f aca="false">IF(AND(M1628&lt;&gt;"",OR(M1628&lt;5,M1628&gt;180)),1,0)</f>
        <v>0</v>
      </c>
      <c r="AB1628" s="7" t="str">
        <f aca="false">IF(P1628="DUP","Exact duplicate row",IF(T1628=1,"Missing Order ID",IF(S1628="DROP","Duplicate Order ID (less complete row)",IF(U1628=1,"Missing Customer ID",IF(V1628=1,"Missing Restaurant name",IF(W1628=1,"Invalid/outlier quantity",IF(X1628=1,"Invalid/outlier unit price",IF(Y1628=1,"Discount greater than order value",""))))))))</f>
        <v/>
      </c>
      <c r="AC1628" s="7" t="str">
        <f aca="false">IF(AB1628="","KEEP","DROP")</f>
        <v>KEEP</v>
      </c>
      <c r="AD1628" s="7" t="str">
        <f aca="false">IF(TRIM(F1628)="",IFERROR(INDEX(Map_Tables!$I$4:$I$37,MATCH(TRIM(E1628),Map_Tables!$G$4:$G$37,0)),""),IFERROR(INDEX(Map_Tables!$B$4:$B$18,MATCH(TRIM(F1628),Map_Tables!$A$4:$A$18,0)),"CHECK"))</f>
        <v>Mumbai</v>
      </c>
      <c r="AE1628" s="7" t="str">
        <f aca="false">IF(TRIM(E1628)="","",IFERROR(INDEX(Map_Tables!$H$4:$H$37,MATCH(TRIM(E1628),Map_Tables!$G$4:$G$37,0)),"CHECK"))</f>
        <v>Mumbai Pizza Co</v>
      </c>
      <c r="AF1628" s="7" t="str">
        <f aca="false">IF(TRIM(K1628)="","Unknown",IFERROR(INDEX(Map_Tables!$E$4:$E$15,MATCH(TRIM(K1628),Map_Tables!$D$4:$D$15,0)),"CHECK"))</f>
        <v>Debit Card</v>
      </c>
      <c r="AG1628" s="7" t="str">
        <f aca="false">IF(LEFT(LOWER(TRIM(L1628)),6)="cancel","Cancelled","Delivered")</f>
        <v>Delivered</v>
      </c>
      <c r="AH1628" s="10" t="n">
        <f aca="false">IF(ISNUMBER(SEARCH("/",B1628)),DATE(VALUE(RIGHT(B1628,4)),VALUE(MID(B1628,4,2)),VALUE(LEFT(B1628,2))),IF(MID(B1628,5,1)="-",DATE(VALUE(LEFT(B1628,4)),VALUE(MID(B1628,6,2)),VALUE(RIGHT(B1628,2))),DATE(VALUE(RIGHT(B1628,4)),MATCH(MID(B1628,4,3),{"Jan","Feb","Mar","Apr","May","Jun","Jul","Aug","Sep","Oct","Nov","Dec"},0),VALUE(LEFT(B1628,2)))))</f>
        <v>46005</v>
      </c>
    </row>
    <row r="1629" customFormat="false" ht="15" hidden="false" customHeight="false" outlineLevel="0" collapsed="false">
      <c r="A1629" s="7" t="s">
        <v>4144</v>
      </c>
      <c r="B1629" s="7" t="s">
        <v>451</v>
      </c>
      <c r="C1629" s="7" t="s">
        <v>1164</v>
      </c>
      <c r="D1629" s="7" t="s">
        <v>1110</v>
      </c>
      <c r="E1629" s="7" t="s">
        <v>130</v>
      </c>
      <c r="F1629" s="7" t="s">
        <v>110</v>
      </c>
      <c r="G1629" s="7" t="s">
        <v>90</v>
      </c>
      <c r="H1629" s="7" t="n">
        <v>2</v>
      </c>
      <c r="I1629" s="7" t="n">
        <v>205</v>
      </c>
      <c r="J1629" s="7" t="n">
        <v>0</v>
      </c>
      <c r="K1629" s="7" t="s">
        <v>88</v>
      </c>
      <c r="L1629" s="7" t="s">
        <v>194</v>
      </c>
      <c r="M1629" s="7" t="n">
        <v>30</v>
      </c>
      <c r="N1629" s="7" t="n">
        <v>4</v>
      </c>
      <c r="O1629" s="7" t="str">
        <f aca="false">A1629&amp;"|"&amp;B1629&amp;"|"&amp;C1629&amp;"|"&amp;D1629&amp;"|"&amp;E1629&amp;"|"&amp;F1629&amp;"|"&amp;G1629&amp;"|"&amp;H1629&amp;"|"&amp;I1629&amp;"|"&amp;J1629&amp;"|"&amp;K1629&amp;"|"&amp;L1629&amp;"|"&amp;M1629&amp;"|"&amp;N1629</f>
        <v>ORD11523|2025-07-17|13:25|C1252|Tandoor Tales|Delhi|North Indian|2|205|0|UPI|Delivered|30|4</v>
      </c>
      <c r="P1629" s="7" t="str">
        <f aca="false">IF(COUNTIF($O$2:O1629,O1629)&gt;1,"DUP","OK")</f>
        <v>OK</v>
      </c>
      <c r="Q1629" s="7" t="n">
        <f aca="false">COUNTBLANK(A1629:N1629)</f>
        <v>0</v>
      </c>
      <c r="R1629" s="7" t="n">
        <f aca="false">IF(A1629="",0,COUNTIFS($A$2:$A$3058,A1629,$P$2:$P$3058,"OK"))</f>
        <v>1</v>
      </c>
      <c r="S1629" s="7" t="str">
        <f aca="false">IF(OR(A1629="",P1629="DUP",R1629&lt;2),"",IF(Q1629=_xlfn.MINIFS($Q$2:$Q$3058,$A$2:$A$3058,A1629,$P$2:$P$3058,"OK"),"KEEP","DROP"))</f>
        <v/>
      </c>
      <c r="T1629" s="9" t="n">
        <f aca="false">IF(A1629="",1,0)</f>
        <v>0</v>
      </c>
      <c r="U1629" s="9" t="n">
        <f aca="false">IF(D1629="",1,0)</f>
        <v>0</v>
      </c>
      <c r="V1629" s="9" t="n">
        <f aca="false">IF(E1629="",1,0)</f>
        <v>0</v>
      </c>
      <c r="W1629" s="9" t="n">
        <f aca="false">IF(OR(H1629&lt;1,H1629&gt;10),1,0)</f>
        <v>0</v>
      </c>
      <c r="X1629" s="9" t="n">
        <f aca="false">IF(OR(I1629&lt;=0,I1629&gt;1500),1,0)</f>
        <v>0</v>
      </c>
      <c r="Y1629" s="9" t="n">
        <f aca="false">IF(J1629&gt;H1629*I1629,1,0)</f>
        <v>0</v>
      </c>
      <c r="Z1629" s="9" t="n">
        <f aca="false">IF(AND(N1629&lt;&gt;"",OR(N1629&lt;1,N1629&gt;5)),1,0)</f>
        <v>0</v>
      </c>
      <c r="AA1629" s="9" t="n">
        <f aca="false">IF(AND(M1629&lt;&gt;"",OR(M1629&lt;5,M1629&gt;180)),1,0)</f>
        <v>0</v>
      </c>
      <c r="AB1629" s="7" t="str">
        <f aca="false">IF(P1629="DUP","Exact duplicate row",IF(T1629=1,"Missing Order ID",IF(S1629="DROP","Duplicate Order ID (less complete row)",IF(U1629=1,"Missing Customer ID",IF(V1629=1,"Missing Restaurant name",IF(W1629=1,"Invalid/outlier quantity",IF(X1629=1,"Invalid/outlier unit price",IF(Y1629=1,"Discount greater than order value",""))))))))</f>
        <v/>
      </c>
      <c r="AC1629" s="7" t="str">
        <f aca="false">IF(AB1629="","KEEP","DROP")</f>
        <v>KEEP</v>
      </c>
      <c r="AD1629" s="7" t="str">
        <f aca="false">IF(TRIM(F1629)="",IFERROR(INDEX(Map_Tables!$I$4:$I$37,MATCH(TRIM(E1629),Map_Tables!$G$4:$G$37,0)),""),IFERROR(INDEX(Map_Tables!$B$4:$B$18,MATCH(TRIM(F1629),Map_Tables!$A$4:$A$18,0)),"CHECK"))</f>
        <v>Delhi</v>
      </c>
      <c r="AE1629" s="7" t="str">
        <f aca="false">IF(TRIM(E1629)="","",IFERROR(INDEX(Map_Tables!$H$4:$H$37,MATCH(TRIM(E1629),Map_Tables!$G$4:$G$37,0)),"CHECK"))</f>
        <v>Tandoor Tales</v>
      </c>
      <c r="AF1629" s="7" t="str">
        <f aca="false">IF(TRIM(K1629)="","Unknown",IFERROR(INDEX(Map_Tables!$E$4:$E$15,MATCH(TRIM(K1629),Map_Tables!$D$4:$D$15,0)),"CHECK"))</f>
        <v>UPI</v>
      </c>
      <c r="AG1629" s="7" t="str">
        <f aca="false">IF(LEFT(LOWER(TRIM(L1629)),6)="cancel","Cancelled","Delivered")</f>
        <v>Delivered</v>
      </c>
      <c r="AH1629" s="10" t="n">
        <f aca="false">IF(ISNUMBER(SEARCH("/",B1629)),DATE(VALUE(RIGHT(B1629,4)),VALUE(MID(B1629,4,2)),VALUE(LEFT(B1629,2))),IF(MID(B1629,5,1)="-",DATE(VALUE(LEFT(B1629,4)),VALUE(MID(B1629,6,2)),VALUE(RIGHT(B1629,2))),DATE(VALUE(RIGHT(B1629,4)),MATCH(MID(B1629,4,3),{"Jan","Feb","Mar","Apr","May","Jun","Jul","Aug","Sep","Oct","Nov","Dec"},0),VALUE(LEFT(B1629,2)))))</f>
        <v>45855</v>
      </c>
    </row>
    <row r="1630" customFormat="false" ht="15" hidden="false" customHeight="false" outlineLevel="0" collapsed="false">
      <c r="A1630" s="7" t="s">
        <v>4145</v>
      </c>
      <c r="B1630" s="7" t="s">
        <v>2646</v>
      </c>
      <c r="C1630" s="7" t="s">
        <v>4146</v>
      </c>
      <c r="D1630" s="7" t="s">
        <v>4147</v>
      </c>
      <c r="E1630" s="7" t="s">
        <v>116</v>
      </c>
      <c r="F1630" s="7" t="s">
        <v>101</v>
      </c>
      <c r="G1630" s="7" t="s">
        <v>117</v>
      </c>
      <c r="H1630" s="7" t="n">
        <v>3</v>
      </c>
      <c r="I1630" s="7" t="n">
        <v>130</v>
      </c>
      <c r="J1630" s="7" t="n">
        <v>0</v>
      </c>
      <c r="K1630" s="7" t="s">
        <v>93</v>
      </c>
      <c r="L1630" s="7" t="s">
        <v>194</v>
      </c>
      <c r="M1630" s="7" t="n">
        <v>43</v>
      </c>
      <c r="N1630" s="7" t="n">
        <v>4</v>
      </c>
      <c r="O1630" s="7" t="str">
        <f aca="false">A1630&amp;"|"&amp;B1630&amp;"|"&amp;C1630&amp;"|"&amp;D1630&amp;"|"&amp;E1630&amp;"|"&amp;F1630&amp;"|"&amp;G1630&amp;"|"&amp;H1630&amp;"|"&amp;I1630&amp;"|"&amp;J1630&amp;"|"&amp;K1630&amp;"|"&amp;L1630&amp;"|"&amp;M1630&amp;"|"&amp;N1630</f>
        <v>ORD10379|19/02/2025|21:47|C0561|Pav Bhaji Point|Mumbai|Street Food|3|130|0|Credit Card|Delivered|43|4</v>
      </c>
      <c r="P1630" s="7" t="str">
        <f aca="false">IF(COUNTIF($O$2:O1630,O1630)&gt;1,"DUP","OK")</f>
        <v>OK</v>
      </c>
      <c r="Q1630" s="7" t="n">
        <f aca="false">COUNTBLANK(A1630:N1630)</f>
        <v>0</v>
      </c>
      <c r="R1630" s="7" t="n">
        <f aca="false">IF(A1630="",0,COUNTIFS($A$2:$A$3058,A1630,$P$2:$P$3058,"OK"))</f>
        <v>1</v>
      </c>
      <c r="S1630" s="7" t="str">
        <f aca="false">IF(OR(A1630="",P1630="DUP",R1630&lt;2),"",IF(Q1630=_xlfn.MINIFS($Q$2:$Q$3058,$A$2:$A$3058,A1630,$P$2:$P$3058,"OK"),"KEEP","DROP"))</f>
        <v/>
      </c>
      <c r="T1630" s="9" t="n">
        <f aca="false">IF(A1630="",1,0)</f>
        <v>0</v>
      </c>
      <c r="U1630" s="9" t="n">
        <f aca="false">IF(D1630="",1,0)</f>
        <v>0</v>
      </c>
      <c r="V1630" s="9" t="n">
        <f aca="false">IF(E1630="",1,0)</f>
        <v>0</v>
      </c>
      <c r="W1630" s="9" t="n">
        <f aca="false">IF(OR(H1630&lt;1,H1630&gt;10),1,0)</f>
        <v>0</v>
      </c>
      <c r="X1630" s="9" t="n">
        <f aca="false">IF(OR(I1630&lt;=0,I1630&gt;1500),1,0)</f>
        <v>0</v>
      </c>
      <c r="Y1630" s="9" t="n">
        <f aca="false">IF(J1630&gt;H1630*I1630,1,0)</f>
        <v>0</v>
      </c>
      <c r="Z1630" s="9" t="n">
        <f aca="false">IF(AND(N1630&lt;&gt;"",OR(N1630&lt;1,N1630&gt;5)),1,0)</f>
        <v>0</v>
      </c>
      <c r="AA1630" s="9" t="n">
        <f aca="false">IF(AND(M1630&lt;&gt;"",OR(M1630&lt;5,M1630&gt;180)),1,0)</f>
        <v>0</v>
      </c>
      <c r="AB1630" s="7" t="str">
        <f aca="false">IF(P1630="DUP","Exact duplicate row",IF(T1630=1,"Missing Order ID",IF(S1630="DROP","Duplicate Order ID (less complete row)",IF(U1630=1,"Missing Customer ID",IF(V1630=1,"Missing Restaurant name",IF(W1630=1,"Invalid/outlier quantity",IF(X1630=1,"Invalid/outlier unit price",IF(Y1630=1,"Discount greater than order value",""))))))))</f>
        <v/>
      </c>
      <c r="AC1630" s="7" t="str">
        <f aca="false">IF(AB1630="","KEEP","DROP")</f>
        <v>KEEP</v>
      </c>
      <c r="AD1630" s="7" t="str">
        <f aca="false">IF(TRIM(F1630)="",IFERROR(INDEX(Map_Tables!$I$4:$I$37,MATCH(TRIM(E1630),Map_Tables!$G$4:$G$37,0)),""),IFERROR(INDEX(Map_Tables!$B$4:$B$18,MATCH(TRIM(F1630),Map_Tables!$A$4:$A$18,0)),"CHECK"))</f>
        <v>Mumbai</v>
      </c>
      <c r="AE1630" s="7" t="str">
        <f aca="false">IF(TRIM(E1630)="","",IFERROR(INDEX(Map_Tables!$H$4:$H$37,MATCH(TRIM(E1630),Map_Tables!$G$4:$G$37,0)),"CHECK"))</f>
        <v>Pav Bhaji Point</v>
      </c>
      <c r="AF1630" s="7" t="str">
        <f aca="false">IF(TRIM(K1630)="","Unknown",IFERROR(INDEX(Map_Tables!$E$4:$E$15,MATCH(TRIM(K1630),Map_Tables!$D$4:$D$15,0)),"CHECK"))</f>
        <v>Credit Card</v>
      </c>
      <c r="AG1630" s="7" t="str">
        <f aca="false">IF(LEFT(LOWER(TRIM(L1630)),6)="cancel","Cancelled","Delivered")</f>
        <v>Delivered</v>
      </c>
      <c r="AH1630" s="10" t="n">
        <f aca="false">IF(ISNUMBER(SEARCH("/",B1630)),DATE(VALUE(RIGHT(B1630,4)),VALUE(MID(B1630,4,2)),VALUE(LEFT(B1630,2))),IF(MID(B1630,5,1)="-",DATE(VALUE(LEFT(B1630,4)),VALUE(MID(B1630,6,2)),VALUE(RIGHT(B1630,2))),DATE(VALUE(RIGHT(B1630,4)),MATCH(MID(B1630,4,3),{"Jan","Feb","Mar","Apr","May","Jun","Jul","Aug","Sep","Oct","Nov","Dec"},0),VALUE(LEFT(B1630,2)))))</f>
        <v>45707</v>
      </c>
    </row>
    <row r="1631" customFormat="false" ht="15" hidden="false" customHeight="false" outlineLevel="0" collapsed="false">
      <c r="A1631" s="7" t="s">
        <v>4148</v>
      </c>
      <c r="B1631" s="7" t="s">
        <v>3117</v>
      </c>
      <c r="C1631" s="7" t="s">
        <v>4149</v>
      </c>
      <c r="D1631" s="7" t="s">
        <v>4150</v>
      </c>
      <c r="E1631" s="7" t="s">
        <v>151</v>
      </c>
      <c r="F1631" s="7" t="s">
        <v>128</v>
      </c>
      <c r="G1631" s="7" t="s">
        <v>95</v>
      </c>
      <c r="H1631" s="7" t="n">
        <v>1</v>
      </c>
      <c r="I1631" s="7" t="n">
        <v>190</v>
      </c>
      <c r="J1631" s="7" t="n">
        <v>0</v>
      </c>
      <c r="K1631" s="7" t="s">
        <v>103</v>
      </c>
      <c r="L1631" s="7" t="s">
        <v>194</v>
      </c>
      <c r="M1631" s="7" t="n">
        <v>34</v>
      </c>
      <c r="N1631" s="7" t="n">
        <v>4</v>
      </c>
      <c r="O1631" s="7" t="str">
        <f aca="false">A1631&amp;"|"&amp;B1631&amp;"|"&amp;C1631&amp;"|"&amp;D1631&amp;"|"&amp;E1631&amp;"|"&amp;F1631&amp;"|"&amp;G1631&amp;"|"&amp;H1631&amp;"|"&amp;I1631&amp;"|"&amp;J1631&amp;"|"&amp;K1631&amp;"|"&amp;L1631&amp;"|"&amp;M1631&amp;"|"&amp;N1631</f>
        <v>ORD11088|2025-05-18|15:31|C1141|Chettinad House|Chennai|South Indian|1|190|0|Debit Card|Delivered|34|4</v>
      </c>
      <c r="P1631" s="7" t="str">
        <f aca="false">IF(COUNTIF($O$2:O1631,O1631)&gt;1,"DUP","OK")</f>
        <v>OK</v>
      </c>
      <c r="Q1631" s="7" t="n">
        <f aca="false">COUNTBLANK(A1631:N1631)</f>
        <v>0</v>
      </c>
      <c r="R1631" s="7" t="n">
        <f aca="false">IF(A1631="",0,COUNTIFS($A$2:$A$3058,A1631,$P$2:$P$3058,"OK"))</f>
        <v>1</v>
      </c>
      <c r="S1631" s="7" t="str">
        <f aca="false">IF(OR(A1631="",P1631="DUP",R1631&lt;2),"",IF(Q1631=_xlfn.MINIFS($Q$2:$Q$3058,$A$2:$A$3058,A1631,$P$2:$P$3058,"OK"),"KEEP","DROP"))</f>
        <v/>
      </c>
      <c r="T1631" s="9" t="n">
        <f aca="false">IF(A1631="",1,0)</f>
        <v>0</v>
      </c>
      <c r="U1631" s="9" t="n">
        <f aca="false">IF(D1631="",1,0)</f>
        <v>0</v>
      </c>
      <c r="V1631" s="9" t="n">
        <f aca="false">IF(E1631="",1,0)</f>
        <v>0</v>
      </c>
      <c r="W1631" s="9" t="n">
        <f aca="false">IF(OR(H1631&lt;1,H1631&gt;10),1,0)</f>
        <v>0</v>
      </c>
      <c r="X1631" s="9" t="n">
        <f aca="false">IF(OR(I1631&lt;=0,I1631&gt;1500),1,0)</f>
        <v>0</v>
      </c>
      <c r="Y1631" s="9" t="n">
        <f aca="false">IF(J1631&gt;H1631*I1631,1,0)</f>
        <v>0</v>
      </c>
      <c r="Z1631" s="9" t="n">
        <f aca="false">IF(AND(N1631&lt;&gt;"",OR(N1631&lt;1,N1631&gt;5)),1,0)</f>
        <v>0</v>
      </c>
      <c r="AA1631" s="9" t="n">
        <f aca="false">IF(AND(M1631&lt;&gt;"",OR(M1631&lt;5,M1631&gt;180)),1,0)</f>
        <v>0</v>
      </c>
      <c r="AB1631" s="7" t="str">
        <f aca="false">IF(P1631="DUP","Exact duplicate row",IF(T1631=1,"Missing Order ID",IF(S1631="DROP","Duplicate Order ID (less complete row)",IF(U1631=1,"Missing Customer ID",IF(V1631=1,"Missing Restaurant name",IF(W1631=1,"Invalid/outlier quantity",IF(X1631=1,"Invalid/outlier unit price",IF(Y1631=1,"Discount greater than order value",""))))))))</f>
        <v/>
      </c>
      <c r="AC1631" s="7" t="str">
        <f aca="false">IF(AB1631="","KEEP","DROP")</f>
        <v>KEEP</v>
      </c>
      <c r="AD1631" s="7" t="str">
        <f aca="false">IF(TRIM(F1631)="",IFERROR(INDEX(Map_Tables!$I$4:$I$37,MATCH(TRIM(E1631),Map_Tables!$G$4:$G$37,0)),""),IFERROR(INDEX(Map_Tables!$B$4:$B$18,MATCH(TRIM(F1631),Map_Tables!$A$4:$A$18,0)),"CHECK"))</f>
        <v>Chennai</v>
      </c>
      <c r="AE1631" s="7" t="str">
        <f aca="false">IF(TRIM(E1631)="","",IFERROR(INDEX(Map_Tables!$H$4:$H$37,MATCH(TRIM(E1631),Map_Tables!$G$4:$G$37,0)),"CHECK"))</f>
        <v>Chettinad House</v>
      </c>
      <c r="AF1631" s="7" t="str">
        <f aca="false">IF(TRIM(K1631)="","Unknown",IFERROR(INDEX(Map_Tables!$E$4:$E$15,MATCH(TRIM(K1631),Map_Tables!$D$4:$D$15,0)),"CHECK"))</f>
        <v>Debit Card</v>
      </c>
      <c r="AG1631" s="7" t="str">
        <f aca="false">IF(LEFT(LOWER(TRIM(L1631)),6)="cancel","Cancelled","Delivered")</f>
        <v>Delivered</v>
      </c>
      <c r="AH1631" s="10" t="n">
        <f aca="false">IF(ISNUMBER(SEARCH("/",B1631)),DATE(VALUE(RIGHT(B1631,4)),VALUE(MID(B1631,4,2)),VALUE(LEFT(B1631,2))),IF(MID(B1631,5,1)="-",DATE(VALUE(LEFT(B1631,4)),VALUE(MID(B1631,6,2)),VALUE(RIGHT(B1631,2))),DATE(VALUE(RIGHT(B1631,4)),MATCH(MID(B1631,4,3),{"Jan","Feb","Mar","Apr","May","Jun","Jul","Aug","Sep","Oct","Nov","Dec"},0),VALUE(LEFT(B1631,2)))))</f>
        <v>45795</v>
      </c>
    </row>
    <row r="1632" customFormat="false" ht="15" hidden="false" customHeight="false" outlineLevel="0" collapsed="false">
      <c r="A1632" s="7" t="s">
        <v>4151</v>
      </c>
      <c r="B1632" s="7" t="s">
        <v>2312</v>
      </c>
      <c r="C1632" s="7" t="s">
        <v>1820</v>
      </c>
      <c r="D1632" s="7" t="s">
        <v>4152</v>
      </c>
      <c r="E1632" s="7" t="s">
        <v>163</v>
      </c>
      <c r="F1632" s="7" t="s">
        <v>141</v>
      </c>
      <c r="G1632" s="7" t="s">
        <v>99</v>
      </c>
      <c r="H1632" s="7" t="n">
        <v>2</v>
      </c>
      <c r="I1632" s="7" t="n">
        <v>210</v>
      </c>
      <c r="J1632" s="7" t="n">
        <v>0</v>
      </c>
      <c r="K1632" s="7" t="s">
        <v>88</v>
      </c>
      <c r="L1632" s="7" t="s">
        <v>194</v>
      </c>
      <c r="M1632" s="7" t="n">
        <v>53</v>
      </c>
      <c r="N1632" s="7" t="n">
        <v>4</v>
      </c>
      <c r="O1632" s="7" t="str">
        <f aca="false">A1632&amp;"|"&amp;B1632&amp;"|"&amp;C1632&amp;"|"&amp;D1632&amp;"|"&amp;E1632&amp;"|"&amp;F1632&amp;"|"&amp;G1632&amp;"|"&amp;H1632&amp;"|"&amp;I1632&amp;"|"&amp;J1632&amp;"|"&amp;K1632&amp;"|"&amp;L1632&amp;"|"&amp;M1632&amp;"|"&amp;N1632</f>
        <v>ORD12421|2025-11-01|12:34|C0520|Biryani Baadshah|Kolkata|Biryani|2|210|0|UPI|Delivered|53|4</v>
      </c>
      <c r="P1632" s="7" t="str">
        <f aca="false">IF(COUNTIF($O$2:O1632,O1632)&gt;1,"DUP","OK")</f>
        <v>OK</v>
      </c>
      <c r="Q1632" s="7" t="n">
        <f aca="false">COUNTBLANK(A1632:N1632)</f>
        <v>0</v>
      </c>
      <c r="R1632" s="7" t="n">
        <f aca="false">IF(A1632="",0,COUNTIFS($A$2:$A$3058,A1632,$P$2:$P$3058,"OK"))</f>
        <v>1</v>
      </c>
      <c r="S1632" s="7" t="str">
        <f aca="false">IF(OR(A1632="",P1632="DUP",R1632&lt;2),"",IF(Q1632=_xlfn.MINIFS($Q$2:$Q$3058,$A$2:$A$3058,A1632,$P$2:$P$3058,"OK"),"KEEP","DROP"))</f>
        <v/>
      </c>
      <c r="T1632" s="9" t="n">
        <f aca="false">IF(A1632="",1,0)</f>
        <v>0</v>
      </c>
      <c r="U1632" s="9" t="n">
        <f aca="false">IF(D1632="",1,0)</f>
        <v>0</v>
      </c>
      <c r="V1632" s="9" t="n">
        <f aca="false">IF(E1632="",1,0)</f>
        <v>0</v>
      </c>
      <c r="W1632" s="9" t="n">
        <f aca="false">IF(OR(H1632&lt;1,H1632&gt;10),1,0)</f>
        <v>0</v>
      </c>
      <c r="X1632" s="9" t="n">
        <f aca="false">IF(OR(I1632&lt;=0,I1632&gt;1500),1,0)</f>
        <v>0</v>
      </c>
      <c r="Y1632" s="9" t="n">
        <f aca="false">IF(J1632&gt;H1632*I1632,1,0)</f>
        <v>0</v>
      </c>
      <c r="Z1632" s="9" t="n">
        <f aca="false">IF(AND(N1632&lt;&gt;"",OR(N1632&lt;1,N1632&gt;5)),1,0)</f>
        <v>0</v>
      </c>
      <c r="AA1632" s="9" t="n">
        <f aca="false">IF(AND(M1632&lt;&gt;"",OR(M1632&lt;5,M1632&gt;180)),1,0)</f>
        <v>0</v>
      </c>
      <c r="AB1632" s="7" t="str">
        <f aca="false">IF(P1632="DUP","Exact duplicate row",IF(T1632=1,"Missing Order ID",IF(S1632="DROP","Duplicate Order ID (less complete row)",IF(U1632=1,"Missing Customer ID",IF(V1632=1,"Missing Restaurant name",IF(W1632=1,"Invalid/outlier quantity",IF(X1632=1,"Invalid/outlier unit price",IF(Y1632=1,"Discount greater than order value",""))))))))</f>
        <v/>
      </c>
      <c r="AC1632" s="7" t="str">
        <f aca="false">IF(AB1632="","KEEP","DROP")</f>
        <v>KEEP</v>
      </c>
      <c r="AD1632" s="7" t="str">
        <f aca="false">IF(TRIM(F1632)="",IFERROR(INDEX(Map_Tables!$I$4:$I$37,MATCH(TRIM(E1632),Map_Tables!$G$4:$G$37,0)),""),IFERROR(INDEX(Map_Tables!$B$4:$B$18,MATCH(TRIM(F1632),Map_Tables!$A$4:$A$18,0)),"CHECK"))</f>
        <v>Kolkata</v>
      </c>
      <c r="AE1632" s="7" t="str">
        <f aca="false">IF(TRIM(E1632)="","",IFERROR(INDEX(Map_Tables!$H$4:$H$37,MATCH(TRIM(E1632),Map_Tables!$G$4:$G$37,0)),"CHECK"))</f>
        <v>Biryani Baadshah</v>
      </c>
      <c r="AF1632" s="7" t="str">
        <f aca="false">IF(TRIM(K1632)="","Unknown",IFERROR(INDEX(Map_Tables!$E$4:$E$15,MATCH(TRIM(K1632),Map_Tables!$D$4:$D$15,0)),"CHECK"))</f>
        <v>UPI</v>
      </c>
      <c r="AG1632" s="7" t="str">
        <f aca="false">IF(LEFT(LOWER(TRIM(L1632)),6)="cancel","Cancelled","Delivered")</f>
        <v>Delivered</v>
      </c>
      <c r="AH1632" s="10" t="n">
        <f aca="false">IF(ISNUMBER(SEARCH("/",B1632)),DATE(VALUE(RIGHT(B1632,4)),VALUE(MID(B1632,4,2)),VALUE(LEFT(B1632,2))),IF(MID(B1632,5,1)="-",DATE(VALUE(LEFT(B1632,4)),VALUE(MID(B1632,6,2)),VALUE(RIGHT(B1632,2))),DATE(VALUE(RIGHT(B1632,4)),MATCH(MID(B1632,4,3),{"Jan","Feb","Mar","Apr","May","Jun","Jul","Aug","Sep","Oct","Nov","Dec"},0),VALUE(LEFT(B1632,2)))))</f>
        <v>45962</v>
      </c>
    </row>
    <row r="1633" customFormat="false" ht="15" hidden="false" customHeight="false" outlineLevel="0" collapsed="false">
      <c r="A1633" s="7" t="s">
        <v>2793</v>
      </c>
      <c r="B1633" s="7" t="s">
        <v>1446</v>
      </c>
      <c r="C1633" s="7" t="s">
        <v>661</v>
      </c>
      <c r="D1633" s="7" t="s">
        <v>2215</v>
      </c>
      <c r="E1633" s="7" t="s">
        <v>147</v>
      </c>
      <c r="F1633" s="7" t="s">
        <v>119</v>
      </c>
      <c r="G1633" s="7" t="s">
        <v>95</v>
      </c>
      <c r="H1633" s="7" t="n">
        <v>1</v>
      </c>
      <c r="I1633" s="7" t="n">
        <v>155</v>
      </c>
      <c r="J1633" s="7" t="n">
        <v>0</v>
      </c>
      <c r="K1633" s="7" t="s">
        <v>88</v>
      </c>
      <c r="L1633" s="7" t="s">
        <v>194</v>
      </c>
      <c r="M1633" s="7" t="n">
        <v>41</v>
      </c>
      <c r="N1633" s="7" t="n">
        <v>3</v>
      </c>
      <c r="O1633" s="7" t="str">
        <f aca="false">A1633&amp;"|"&amp;B1633&amp;"|"&amp;C1633&amp;"|"&amp;D1633&amp;"|"&amp;E1633&amp;"|"&amp;F1633&amp;"|"&amp;G1633&amp;"|"&amp;H1633&amp;"|"&amp;I1633&amp;"|"&amp;J1633&amp;"|"&amp;K1633&amp;"|"&amp;L1633&amp;"|"&amp;M1633&amp;"|"&amp;N1633</f>
        <v>ORD10564|2025-03-13|12:35|C0809|Andhra Meals Mess|Hyderabad|South Indian|1|155|0|UPI|Delivered|41|3</v>
      </c>
      <c r="P1633" s="7" t="str">
        <f aca="false">IF(COUNTIF($O$2:O1633,O1633)&gt;1,"DUP","OK")</f>
        <v>DUP</v>
      </c>
      <c r="Q1633" s="7" t="n">
        <f aca="false">COUNTBLANK(A1633:N1633)</f>
        <v>0</v>
      </c>
      <c r="R1633" s="7" t="n">
        <f aca="false">IF(A1633="",0,COUNTIFS($A$2:$A$3058,A1633,$P$2:$P$3058,"OK"))</f>
        <v>1</v>
      </c>
      <c r="S1633" s="7" t="str">
        <f aca="false">IF(OR(A1633="",P1633="DUP",R1633&lt;2),"",IF(Q1633=_xlfn.MINIFS($Q$2:$Q$3058,$A$2:$A$3058,A1633,$P$2:$P$3058,"OK"),"KEEP","DROP"))</f>
        <v/>
      </c>
      <c r="T1633" s="9" t="n">
        <f aca="false">IF(A1633="",1,0)</f>
        <v>0</v>
      </c>
      <c r="U1633" s="9" t="n">
        <f aca="false">IF(D1633="",1,0)</f>
        <v>0</v>
      </c>
      <c r="V1633" s="9" t="n">
        <f aca="false">IF(E1633="",1,0)</f>
        <v>0</v>
      </c>
      <c r="W1633" s="9" t="n">
        <f aca="false">IF(OR(H1633&lt;1,H1633&gt;10),1,0)</f>
        <v>0</v>
      </c>
      <c r="X1633" s="9" t="n">
        <f aca="false">IF(OR(I1633&lt;=0,I1633&gt;1500),1,0)</f>
        <v>0</v>
      </c>
      <c r="Y1633" s="9" t="n">
        <f aca="false">IF(J1633&gt;H1633*I1633,1,0)</f>
        <v>0</v>
      </c>
      <c r="Z1633" s="9" t="n">
        <f aca="false">IF(AND(N1633&lt;&gt;"",OR(N1633&lt;1,N1633&gt;5)),1,0)</f>
        <v>0</v>
      </c>
      <c r="AA1633" s="9" t="n">
        <f aca="false">IF(AND(M1633&lt;&gt;"",OR(M1633&lt;5,M1633&gt;180)),1,0)</f>
        <v>0</v>
      </c>
      <c r="AB1633" s="7" t="str">
        <f aca="false">IF(P1633="DUP","Exact duplicate row",IF(T1633=1,"Missing Order ID",IF(S1633="DROP","Duplicate Order ID (less complete row)",IF(U1633=1,"Missing Customer ID",IF(V1633=1,"Missing Restaurant name",IF(W1633=1,"Invalid/outlier quantity",IF(X1633=1,"Invalid/outlier unit price",IF(Y1633=1,"Discount greater than order value",""))))))))</f>
        <v>Exact duplicate row</v>
      </c>
      <c r="AC1633" s="7" t="str">
        <f aca="false">IF(AB1633="","KEEP","DROP")</f>
        <v>DROP</v>
      </c>
      <c r="AD1633" s="7" t="str">
        <f aca="false">IF(TRIM(F1633)="",IFERROR(INDEX(Map_Tables!$I$4:$I$37,MATCH(TRIM(E1633),Map_Tables!$G$4:$G$37,0)),""),IFERROR(INDEX(Map_Tables!$B$4:$B$18,MATCH(TRIM(F1633),Map_Tables!$A$4:$A$18,0)),"CHECK"))</f>
        <v>Hyderabad</v>
      </c>
      <c r="AE1633" s="7" t="str">
        <f aca="false">IF(TRIM(E1633)="","",IFERROR(INDEX(Map_Tables!$H$4:$H$37,MATCH(TRIM(E1633),Map_Tables!$G$4:$G$37,0)),"CHECK"))</f>
        <v>Andhra Meals Mess</v>
      </c>
      <c r="AF1633" s="7" t="str">
        <f aca="false">IF(TRIM(K1633)="","Unknown",IFERROR(INDEX(Map_Tables!$E$4:$E$15,MATCH(TRIM(K1633),Map_Tables!$D$4:$D$15,0)),"CHECK"))</f>
        <v>UPI</v>
      </c>
      <c r="AG1633" s="7" t="str">
        <f aca="false">IF(LEFT(LOWER(TRIM(L1633)),6)="cancel","Cancelled","Delivered")</f>
        <v>Delivered</v>
      </c>
      <c r="AH1633" s="10" t="n">
        <f aca="false">IF(ISNUMBER(SEARCH("/",B1633)),DATE(VALUE(RIGHT(B1633,4)),VALUE(MID(B1633,4,2)),VALUE(LEFT(B1633,2))),IF(MID(B1633,5,1)="-",DATE(VALUE(LEFT(B1633,4)),VALUE(MID(B1633,6,2)),VALUE(RIGHT(B1633,2))),DATE(VALUE(RIGHT(B1633,4)),MATCH(MID(B1633,4,3),{"Jan","Feb","Mar","Apr","May","Jun","Jul","Aug","Sep","Oct","Nov","Dec"},0),VALUE(LEFT(B1633,2)))))</f>
        <v>45729</v>
      </c>
    </row>
    <row r="1634" customFormat="false" ht="15" hidden="false" customHeight="false" outlineLevel="0" collapsed="false">
      <c r="A1634" s="7" t="s">
        <v>4153</v>
      </c>
      <c r="B1634" s="7" t="s">
        <v>334</v>
      </c>
      <c r="C1634" s="7" t="s">
        <v>689</v>
      </c>
      <c r="D1634" s="7" t="s">
        <v>4154</v>
      </c>
      <c r="E1634" s="7" t="s">
        <v>138</v>
      </c>
      <c r="F1634" s="7" t="s">
        <v>294</v>
      </c>
      <c r="G1634" s="7" t="s">
        <v>139</v>
      </c>
      <c r="H1634" s="7" t="n">
        <v>3</v>
      </c>
      <c r="I1634" s="7" t="n">
        <v>190</v>
      </c>
      <c r="J1634" s="7" t="n">
        <v>150</v>
      </c>
      <c r="K1634" s="7" t="s">
        <v>133</v>
      </c>
      <c r="L1634" s="7" t="s">
        <v>194</v>
      </c>
      <c r="M1634" s="7" t="n">
        <v>45</v>
      </c>
      <c r="N1634" s="7" t="n">
        <v>4</v>
      </c>
      <c r="O1634" s="7" t="str">
        <f aca="false">A1634&amp;"|"&amp;B1634&amp;"|"&amp;C1634&amp;"|"&amp;D1634&amp;"|"&amp;E1634&amp;"|"&amp;F1634&amp;"|"&amp;G1634&amp;"|"&amp;H1634&amp;"|"&amp;I1634&amp;"|"&amp;J1634&amp;"|"&amp;K1634&amp;"|"&amp;L1634&amp;"|"&amp;M1634&amp;"|"&amp;N1634</f>
        <v>ORD10295|2025-02-09|18:16|C0063|Burger Barn|New Delhi|Burgers|3|190|150|Net Banking|Delivered|45|4</v>
      </c>
      <c r="P1634" s="7" t="str">
        <f aca="false">IF(COUNTIF($O$2:O1634,O1634)&gt;1,"DUP","OK")</f>
        <v>OK</v>
      </c>
      <c r="Q1634" s="7" t="n">
        <f aca="false">COUNTBLANK(A1634:N1634)</f>
        <v>0</v>
      </c>
      <c r="R1634" s="7" t="n">
        <f aca="false">IF(A1634="",0,COUNTIFS($A$2:$A$3058,A1634,$P$2:$P$3058,"OK"))</f>
        <v>1</v>
      </c>
      <c r="S1634" s="7" t="str">
        <f aca="false">IF(OR(A1634="",P1634="DUP",R1634&lt;2),"",IF(Q1634=_xlfn.MINIFS($Q$2:$Q$3058,$A$2:$A$3058,A1634,$P$2:$P$3058,"OK"),"KEEP","DROP"))</f>
        <v/>
      </c>
      <c r="T1634" s="9" t="n">
        <f aca="false">IF(A1634="",1,0)</f>
        <v>0</v>
      </c>
      <c r="U1634" s="9" t="n">
        <f aca="false">IF(D1634="",1,0)</f>
        <v>0</v>
      </c>
      <c r="V1634" s="9" t="n">
        <f aca="false">IF(E1634="",1,0)</f>
        <v>0</v>
      </c>
      <c r="W1634" s="9" t="n">
        <f aca="false">IF(OR(H1634&lt;1,H1634&gt;10),1,0)</f>
        <v>0</v>
      </c>
      <c r="X1634" s="9" t="n">
        <f aca="false">IF(OR(I1634&lt;=0,I1634&gt;1500),1,0)</f>
        <v>0</v>
      </c>
      <c r="Y1634" s="9" t="n">
        <f aca="false">IF(J1634&gt;H1634*I1634,1,0)</f>
        <v>0</v>
      </c>
      <c r="Z1634" s="9" t="n">
        <f aca="false">IF(AND(N1634&lt;&gt;"",OR(N1634&lt;1,N1634&gt;5)),1,0)</f>
        <v>0</v>
      </c>
      <c r="AA1634" s="9" t="n">
        <f aca="false">IF(AND(M1634&lt;&gt;"",OR(M1634&lt;5,M1634&gt;180)),1,0)</f>
        <v>0</v>
      </c>
      <c r="AB1634" s="7" t="str">
        <f aca="false">IF(P1634="DUP","Exact duplicate row",IF(T1634=1,"Missing Order ID",IF(S1634="DROP","Duplicate Order ID (less complete row)",IF(U1634=1,"Missing Customer ID",IF(V1634=1,"Missing Restaurant name",IF(W1634=1,"Invalid/outlier quantity",IF(X1634=1,"Invalid/outlier unit price",IF(Y1634=1,"Discount greater than order value",""))))))))</f>
        <v/>
      </c>
      <c r="AC1634" s="7" t="str">
        <f aca="false">IF(AB1634="","KEEP","DROP")</f>
        <v>KEEP</v>
      </c>
      <c r="AD1634" s="7" t="str">
        <f aca="false">IF(TRIM(F1634)="",IFERROR(INDEX(Map_Tables!$I$4:$I$37,MATCH(TRIM(E1634),Map_Tables!$G$4:$G$37,0)),""),IFERROR(INDEX(Map_Tables!$B$4:$B$18,MATCH(TRIM(F1634),Map_Tables!$A$4:$A$18,0)),"CHECK"))</f>
        <v>Delhi</v>
      </c>
      <c r="AE1634" s="7" t="str">
        <f aca="false">IF(TRIM(E1634)="","",IFERROR(INDEX(Map_Tables!$H$4:$H$37,MATCH(TRIM(E1634),Map_Tables!$G$4:$G$37,0)),"CHECK"))</f>
        <v>Burger Barn</v>
      </c>
      <c r="AF1634" s="7" t="str">
        <f aca="false">IF(TRIM(K1634)="","Unknown",IFERROR(INDEX(Map_Tables!$E$4:$E$15,MATCH(TRIM(K1634),Map_Tables!$D$4:$D$15,0)),"CHECK"))</f>
        <v>Net Banking</v>
      </c>
      <c r="AG1634" s="7" t="str">
        <f aca="false">IF(LEFT(LOWER(TRIM(L1634)),6)="cancel","Cancelled","Delivered")</f>
        <v>Delivered</v>
      </c>
      <c r="AH1634" s="10" t="n">
        <f aca="false">IF(ISNUMBER(SEARCH("/",B1634)),DATE(VALUE(RIGHT(B1634,4)),VALUE(MID(B1634,4,2)),VALUE(LEFT(B1634,2))),IF(MID(B1634,5,1)="-",DATE(VALUE(LEFT(B1634,4)),VALUE(MID(B1634,6,2)),VALUE(RIGHT(B1634,2))),DATE(VALUE(RIGHT(B1634,4)),MATCH(MID(B1634,4,3),{"Jan","Feb","Mar","Apr","May","Jun","Jul","Aug","Sep","Oct","Nov","Dec"},0),VALUE(LEFT(B1634,2)))))</f>
        <v>45697</v>
      </c>
    </row>
    <row r="1635" customFormat="false" ht="15" hidden="false" customHeight="false" outlineLevel="0" collapsed="false">
      <c r="A1635" s="7" t="s">
        <v>4155</v>
      </c>
      <c r="B1635" s="7" t="s">
        <v>1136</v>
      </c>
      <c r="C1635" s="7" t="s">
        <v>4156</v>
      </c>
      <c r="D1635" s="7" t="s">
        <v>1818</v>
      </c>
      <c r="E1635" s="7" t="s">
        <v>138</v>
      </c>
      <c r="F1635" s="7" t="s">
        <v>109</v>
      </c>
      <c r="G1635" s="7" t="s">
        <v>139</v>
      </c>
      <c r="H1635" s="7" t="n">
        <v>2</v>
      </c>
      <c r="I1635" s="7" t="n">
        <v>200</v>
      </c>
      <c r="J1635" s="7" t="n">
        <v>20</v>
      </c>
      <c r="K1635" s="7" t="s">
        <v>112</v>
      </c>
      <c r="L1635" s="7" t="s">
        <v>238</v>
      </c>
      <c r="M1635" s="7"/>
      <c r="N1635" s="7"/>
      <c r="O1635" s="7" t="str">
        <f aca="false">A1635&amp;"|"&amp;B1635&amp;"|"&amp;C1635&amp;"|"&amp;D1635&amp;"|"&amp;E1635&amp;"|"&amp;F1635&amp;"|"&amp;G1635&amp;"|"&amp;H1635&amp;"|"&amp;I1635&amp;"|"&amp;J1635&amp;"|"&amp;K1635&amp;"|"&amp;L1635&amp;"|"&amp;M1635&amp;"|"&amp;N1635</f>
        <v>ORD11976|2025-09-13|12:19|C0078|Burger Barn|delhi|Burgers|2|200|20|Cash on Delivery|Cancelled||</v>
      </c>
      <c r="P1635" s="7" t="str">
        <f aca="false">IF(COUNTIF($O$2:O1635,O1635)&gt;1,"DUP","OK")</f>
        <v>OK</v>
      </c>
      <c r="Q1635" s="7" t="n">
        <f aca="false">COUNTBLANK(A1635:N1635)</f>
        <v>2</v>
      </c>
      <c r="R1635" s="7" t="n">
        <f aca="false">IF(A1635="",0,COUNTIFS($A$2:$A$3058,A1635,$P$2:$P$3058,"OK"))</f>
        <v>1</v>
      </c>
      <c r="S1635" s="7" t="str">
        <f aca="false">IF(OR(A1635="",P1635="DUP",R1635&lt;2),"",IF(Q1635=_xlfn.MINIFS($Q$2:$Q$3058,$A$2:$A$3058,A1635,$P$2:$P$3058,"OK"),"KEEP","DROP"))</f>
        <v/>
      </c>
      <c r="T1635" s="9" t="n">
        <f aca="false">IF(A1635="",1,0)</f>
        <v>0</v>
      </c>
      <c r="U1635" s="9" t="n">
        <f aca="false">IF(D1635="",1,0)</f>
        <v>0</v>
      </c>
      <c r="V1635" s="9" t="n">
        <f aca="false">IF(E1635="",1,0)</f>
        <v>0</v>
      </c>
      <c r="W1635" s="9" t="n">
        <f aca="false">IF(OR(H1635&lt;1,H1635&gt;10),1,0)</f>
        <v>0</v>
      </c>
      <c r="X1635" s="9" t="n">
        <f aca="false">IF(OR(I1635&lt;=0,I1635&gt;1500),1,0)</f>
        <v>0</v>
      </c>
      <c r="Y1635" s="9" t="n">
        <f aca="false">IF(J1635&gt;H1635*I1635,1,0)</f>
        <v>0</v>
      </c>
      <c r="Z1635" s="9" t="n">
        <f aca="false">IF(AND(N1635&lt;&gt;"",OR(N1635&lt;1,N1635&gt;5)),1,0)</f>
        <v>0</v>
      </c>
      <c r="AA1635" s="9" t="n">
        <f aca="false">IF(AND(M1635&lt;&gt;"",OR(M1635&lt;5,M1635&gt;180)),1,0)</f>
        <v>0</v>
      </c>
      <c r="AB1635" s="7" t="str">
        <f aca="false">IF(P1635="DUP","Exact duplicate row",IF(T1635=1,"Missing Order ID",IF(S1635="DROP","Duplicate Order ID (less complete row)",IF(U1635=1,"Missing Customer ID",IF(V1635=1,"Missing Restaurant name",IF(W1635=1,"Invalid/outlier quantity",IF(X1635=1,"Invalid/outlier unit price",IF(Y1635=1,"Discount greater than order value",""))))))))</f>
        <v/>
      </c>
      <c r="AC1635" s="7" t="str">
        <f aca="false">IF(AB1635="","KEEP","DROP")</f>
        <v>KEEP</v>
      </c>
      <c r="AD1635" s="7" t="str">
        <f aca="false">IF(TRIM(F1635)="",IFERROR(INDEX(Map_Tables!$I$4:$I$37,MATCH(TRIM(E1635),Map_Tables!$G$4:$G$37,0)),""),IFERROR(INDEX(Map_Tables!$B$4:$B$18,MATCH(TRIM(F1635),Map_Tables!$A$4:$A$18,0)),"CHECK"))</f>
        <v>Delhi</v>
      </c>
      <c r="AE1635" s="7" t="str">
        <f aca="false">IF(TRIM(E1635)="","",IFERROR(INDEX(Map_Tables!$H$4:$H$37,MATCH(TRIM(E1635),Map_Tables!$G$4:$G$37,0)),"CHECK"))</f>
        <v>Burger Barn</v>
      </c>
      <c r="AF1635" s="7" t="str">
        <f aca="false">IF(TRIM(K1635)="","Unknown",IFERROR(INDEX(Map_Tables!$E$4:$E$15,MATCH(TRIM(K1635),Map_Tables!$D$4:$D$15,0)),"CHECK"))</f>
        <v>Cash on Delivery</v>
      </c>
      <c r="AG1635" s="7" t="str">
        <f aca="false">IF(LEFT(LOWER(TRIM(L1635)),6)="cancel","Cancelled","Delivered")</f>
        <v>Cancelled</v>
      </c>
      <c r="AH1635" s="10" t="n">
        <f aca="false">IF(ISNUMBER(SEARCH("/",B1635)),DATE(VALUE(RIGHT(B1635,4)),VALUE(MID(B1635,4,2)),VALUE(LEFT(B1635,2))),IF(MID(B1635,5,1)="-",DATE(VALUE(LEFT(B1635,4)),VALUE(MID(B1635,6,2)),VALUE(RIGHT(B1635,2))),DATE(VALUE(RIGHT(B1635,4)),MATCH(MID(B1635,4,3),{"Jan","Feb","Mar","Apr","May","Jun","Jul","Aug","Sep","Oct","Nov","Dec"},0),VALUE(LEFT(B1635,2)))))</f>
        <v>45913</v>
      </c>
    </row>
    <row r="1636" customFormat="false" ht="15" hidden="false" customHeight="false" outlineLevel="0" collapsed="false">
      <c r="A1636" s="7" t="s">
        <v>4157</v>
      </c>
      <c r="B1636" s="7" t="s">
        <v>3695</v>
      </c>
      <c r="C1636" s="7" t="s">
        <v>2393</v>
      </c>
      <c r="D1636" s="7" t="s">
        <v>1815</v>
      </c>
      <c r="E1636" s="7" t="s">
        <v>113</v>
      </c>
      <c r="F1636" s="7" t="s">
        <v>101</v>
      </c>
      <c r="G1636" s="7" t="s">
        <v>90</v>
      </c>
      <c r="H1636" s="7" t="n">
        <v>3</v>
      </c>
      <c r="I1636" s="7" t="n">
        <v>250</v>
      </c>
      <c r="J1636" s="7" t="n">
        <v>0</v>
      </c>
      <c r="K1636" s="7" t="s">
        <v>88</v>
      </c>
      <c r="L1636" s="7" t="s">
        <v>194</v>
      </c>
      <c r="M1636" s="7" t="n">
        <v>51</v>
      </c>
      <c r="N1636" s="7" t="n">
        <v>4</v>
      </c>
      <c r="O1636" s="7" t="str">
        <f aca="false">A1636&amp;"|"&amp;B1636&amp;"|"&amp;C1636&amp;"|"&amp;D1636&amp;"|"&amp;E1636&amp;"|"&amp;F1636&amp;"|"&amp;G1636&amp;"|"&amp;H1636&amp;"|"&amp;I1636&amp;"|"&amp;J1636&amp;"|"&amp;K1636&amp;"|"&amp;L1636&amp;"|"&amp;M1636&amp;"|"&amp;N1636</f>
        <v>ORD11947|2025-09-10|13:21|C0231|Curry Leaf Kitchen|Mumbai|North Indian|3|250|0|UPI|Delivered|51|4</v>
      </c>
      <c r="P1636" s="7" t="str">
        <f aca="false">IF(COUNTIF($O$2:O1636,O1636)&gt;1,"DUP","OK")</f>
        <v>OK</v>
      </c>
      <c r="Q1636" s="7" t="n">
        <f aca="false">COUNTBLANK(A1636:N1636)</f>
        <v>0</v>
      </c>
      <c r="R1636" s="7" t="n">
        <f aca="false">IF(A1636="",0,COUNTIFS($A$2:$A$3058,A1636,$P$2:$P$3058,"OK"))</f>
        <v>1</v>
      </c>
      <c r="S1636" s="7" t="str">
        <f aca="false">IF(OR(A1636="",P1636="DUP",R1636&lt;2),"",IF(Q1636=_xlfn.MINIFS($Q$2:$Q$3058,$A$2:$A$3058,A1636,$P$2:$P$3058,"OK"),"KEEP","DROP"))</f>
        <v/>
      </c>
      <c r="T1636" s="9" t="n">
        <f aca="false">IF(A1636="",1,0)</f>
        <v>0</v>
      </c>
      <c r="U1636" s="9" t="n">
        <f aca="false">IF(D1636="",1,0)</f>
        <v>0</v>
      </c>
      <c r="V1636" s="9" t="n">
        <f aca="false">IF(E1636="",1,0)</f>
        <v>0</v>
      </c>
      <c r="W1636" s="9" t="n">
        <f aca="false">IF(OR(H1636&lt;1,H1636&gt;10),1,0)</f>
        <v>0</v>
      </c>
      <c r="X1636" s="9" t="n">
        <f aca="false">IF(OR(I1636&lt;=0,I1636&gt;1500),1,0)</f>
        <v>0</v>
      </c>
      <c r="Y1636" s="9" t="n">
        <f aca="false">IF(J1636&gt;H1636*I1636,1,0)</f>
        <v>0</v>
      </c>
      <c r="Z1636" s="9" t="n">
        <f aca="false">IF(AND(N1636&lt;&gt;"",OR(N1636&lt;1,N1636&gt;5)),1,0)</f>
        <v>0</v>
      </c>
      <c r="AA1636" s="9" t="n">
        <f aca="false">IF(AND(M1636&lt;&gt;"",OR(M1636&lt;5,M1636&gt;180)),1,0)</f>
        <v>0</v>
      </c>
      <c r="AB1636" s="7" t="str">
        <f aca="false">IF(P1636="DUP","Exact duplicate row",IF(T1636=1,"Missing Order ID",IF(S1636="DROP","Duplicate Order ID (less complete row)",IF(U1636=1,"Missing Customer ID",IF(V1636=1,"Missing Restaurant name",IF(W1636=1,"Invalid/outlier quantity",IF(X1636=1,"Invalid/outlier unit price",IF(Y1636=1,"Discount greater than order value",""))))))))</f>
        <v/>
      </c>
      <c r="AC1636" s="7" t="str">
        <f aca="false">IF(AB1636="","KEEP","DROP")</f>
        <v>KEEP</v>
      </c>
      <c r="AD1636" s="7" t="str">
        <f aca="false">IF(TRIM(F1636)="",IFERROR(INDEX(Map_Tables!$I$4:$I$37,MATCH(TRIM(E1636),Map_Tables!$G$4:$G$37,0)),""),IFERROR(INDEX(Map_Tables!$B$4:$B$18,MATCH(TRIM(F1636),Map_Tables!$A$4:$A$18,0)),"CHECK"))</f>
        <v>Mumbai</v>
      </c>
      <c r="AE1636" s="7" t="str">
        <f aca="false">IF(TRIM(E1636)="","",IFERROR(INDEX(Map_Tables!$H$4:$H$37,MATCH(TRIM(E1636),Map_Tables!$G$4:$G$37,0)),"CHECK"))</f>
        <v>Curry Leaf Kitchen</v>
      </c>
      <c r="AF1636" s="7" t="str">
        <f aca="false">IF(TRIM(K1636)="","Unknown",IFERROR(INDEX(Map_Tables!$E$4:$E$15,MATCH(TRIM(K1636),Map_Tables!$D$4:$D$15,0)),"CHECK"))</f>
        <v>UPI</v>
      </c>
      <c r="AG1636" s="7" t="str">
        <f aca="false">IF(LEFT(LOWER(TRIM(L1636)),6)="cancel","Cancelled","Delivered")</f>
        <v>Delivered</v>
      </c>
      <c r="AH1636" s="10" t="n">
        <f aca="false">IF(ISNUMBER(SEARCH("/",B1636)),DATE(VALUE(RIGHT(B1636,4)),VALUE(MID(B1636,4,2)),VALUE(LEFT(B1636,2))),IF(MID(B1636,5,1)="-",DATE(VALUE(LEFT(B1636,4)),VALUE(MID(B1636,6,2)),VALUE(RIGHT(B1636,2))),DATE(VALUE(RIGHT(B1636,4)),MATCH(MID(B1636,4,3),{"Jan","Feb","Mar","Apr","May","Jun","Jul","Aug","Sep","Oct","Nov","Dec"},0),VALUE(LEFT(B1636,2)))))</f>
        <v>45910</v>
      </c>
    </row>
    <row r="1637" customFormat="false" ht="15" hidden="false" customHeight="false" outlineLevel="0" collapsed="false">
      <c r="A1637" s="7" t="s">
        <v>4158</v>
      </c>
      <c r="B1637" s="7" t="s">
        <v>1163</v>
      </c>
      <c r="C1637" s="7" t="s">
        <v>996</v>
      </c>
      <c r="D1637" s="7" t="s">
        <v>4159</v>
      </c>
      <c r="E1637" s="7" t="s">
        <v>130</v>
      </c>
      <c r="F1637" s="7" t="s">
        <v>110</v>
      </c>
      <c r="G1637" s="7" t="s">
        <v>90</v>
      </c>
      <c r="H1637" s="7" t="n">
        <v>2</v>
      </c>
      <c r="I1637" s="7" t="n">
        <v>260</v>
      </c>
      <c r="J1637" s="7" t="n">
        <v>75</v>
      </c>
      <c r="K1637" s="7" t="s">
        <v>112</v>
      </c>
      <c r="L1637" s="7" t="s">
        <v>194</v>
      </c>
      <c r="M1637" s="7" t="n">
        <v>38</v>
      </c>
      <c r="N1637" s="7" t="n">
        <v>5</v>
      </c>
      <c r="O1637" s="7" t="str">
        <f aca="false">A1637&amp;"|"&amp;B1637&amp;"|"&amp;C1637&amp;"|"&amp;D1637&amp;"|"&amp;E1637&amp;"|"&amp;F1637&amp;"|"&amp;G1637&amp;"|"&amp;H1637&amp;"|"&amp;I1637&amp;"|"&amp;J1637&amp;"|"&amp;K1637&amp;"|"&amp;L1637&amp;"|"&amp;M1637&amp;"|"&amp;N1637</f>
        <v>ORD12200|2025-10-07|12:06|C1081|Tandoor Tales|Delhi|North Indian|2|260|75|Cash on Delivery|Delivered|38|5</v>
      </c>
      <c r="P1637" s="7" t="str">
        <f aca="false">IF(COUNTIF($O$2:O1637,O1637)&gt;1,"DUP","OK")</f>
        <v>OK</v>
      </c>
      <c r="Q1637" s="7" t="n">
        <f aca="false">COUNTBLANK(A1637:N1637)</f>
        <v>0</v>
      </c>
      <c r="R1637" s="7" t="n">
        <f aca="false">IF(A1637="",0,COUNTIFS($A$2:$A$3058,A1637,$P$2:$P$3058,"OK"))</f>
        <v>1</v>
      </c>
      <c r="S1637" s="7" t="str">
        <f aca="false">IF(OR(A1637="",P1637="DUP",R1637&lt;2),"",IF(Q1637=_xlfn.MINIFS($Q$2:$Q$3058,$A$2:$A$3058,A1637,$P$2:$P$3058,"OK"),"KEEP","DROP"))</f>
        <v/>
      </c>
      <c r="T1637" s="9" t="n">
        <f aca="false">IF(A1637="",1,0)</f>
        <v>0</v>
      </c>
      <c r="U1637" s="9" t="n">
        <f aca="false">IF(D1637="",1,0)</f>
        <v>0</v>
      </c>
      <c r="V1637" s="9" t="n">
        <f aca="false">IF(E1637="",1,0)</f>
        <v>0</v>
      </c>
      <c r="W1637" s="9" t="n">
        <f aca="false">IF(OR(H1637&lt;1,H1637&gt;10),1,0)</f>
        <v>0</v>
      </c>
      <c r="X1637" s="9" t="n">
        <f aca="false">IF(OR(I1637&lt;=0,I1637&gt;1500),1,0)</f>
        <v>0</v>
      </c>
      <c r="Y1637" s="9" t="n">
        <f aca="false">IF(J1637&gt;H1637*I1637,1,0)</f>
        <v>0</v>
      </c>
      <c r="Z1637" s="9" t="n">
        <f aca="false">IF(AND(N1637&lt;&gt;"",OR(N1637&lt;1,N1637&gt;5)),1,0)</f>
        <v>0</v>
      </c>
      <c r="AA1637" s="9" t="n">
        <f aca="false">IF(AND(M1637&lt;&gt;"",OR(M1637&lt;5,M1637&gt;180)),1,0)</f>
        <v>0</v>
      </c>
      <c r="AB1637" s="7" t="str">
        <f aca="false">IF(P1637="DUP","Exact duplicate row",IF(T1637=1,"Missing Order ID",IF(S1637="DROP","Duplicate Order ID (less complete row)",IF(U1637=1,"Missing Customer ID",IF(V1637=1,"Missing Restaurant name",IF(W1637=1,"Invalid/outlier quantity",IF(X1637=1,"Invalid/outlier unit price",IF(Y1637=1,"Discount greater than order value",""))))))))</f>
        <v/>
      </c>
      <c r="AC1637" s="7" t="str">
        <f aca="false">IF(AB1637="","KEEP","DROP")</f>
        <v>KEEP</v>
      </c>
      <c r="AD1637" s="7" t="str">
        <f aca="false">IF(TRIM(F1637)="",IFERROR(INDEX(Map_Tables!$I$4:$I$37,MATCH(TRIM(E1637),Map_Tables!$G$4:$G$37,0)),""),IFERROR(INDEX(Map_Tables!$B$4:$B$18,MATCH(TRIM(F1637),Map_Tables!$A$4:$A$18,0)),"CHECK"))</f>
        <v>Delhi</v>
      </c>
      <c r="AE1637" s="7" t="str">
        <f aca="false">IF(TRIM(E1637)="","",IFERROR(INDEX(Map_Tables!$H$4:$H$37,MATCH(TRIM(E1637),Map_Tables!$G$4:$G$37,0)),"CHECK"))</f>
        <v>Tandoor Tales</v>
      </c>
      <c r="AF1637" s="7" t="str">
        <f aca="false">IF(TRIM(K1637)="","Unknown",IFERROR(INDEX(Map_Tables!$E$4:$E$15,MATCH(TRIM(K1637),Map_Tables!$D$4:$D$15,0)),"CHECK"))</f>
        <v>Cash on Delivery</v>
      </c>
      <c r="AG1637" s="7" t="str">
        <f aca="false">IF(LEFT(LOWER(TRIM(L1637)),6)="cancel","Cancelled","Delivered")</f>
        <v>Delivered</v>
      </c>
      <c r="AH1637" s="10" t="n">
        <f aca="false">IF(ISNUMBER(SEARCH("/",B1637)),DATE(VALUE(RIGHT(B1637,4)),VALUE(MID(B1637,4,2)),VALUE(LEFT(B1637,2))),IF(MID(B1637,5,1)="-",DATE(VALUE(LEFT(B1637,4)),VALUE(MID(B1637,6,2)),VALUE(RIGHT(B1637,2))),DATE(VALUE(RIGHT(B1637,4)),MATCH(MID(B1637,4,3),{"Jan","Feb","Mar","Apr","May","Jun","Jul","Aug","Sep","Oct","Nov","Dec"},0),VALUE(LEFT(B1637,2)))))</f>
        <v>45937</v>
      </c>
    </row>
    <row r="1638" customFormat="false" ht="15" hidden="false" customHeight="false" outlineLevel="0" collapsed="false">
      <c r="A1638" s="7" t="s">
        <v>4160</v>
      </c>
      <c r="B1638" s="7" t="s">
        <v>875</v>
      </c>
      <c r="C1638" s="7" t="s">
        <v>3952</v>
      </c>
      <c r="D1638" s="7" t="s">
        <v>2823</v>
      </c>
      <c r="E1638" s="7" t="s">
        <v>122</v>
      </c>
      <c r="F1638" s="7" t="s">
        <v>215</v>
      </c>
      <c r="G1638" s="7" t="s">
        <v>123</v>
      </c>
      <c r="H1638" s="7" t="n">
        <v>2</v>
      </c>
      <c r="I1638" s="7" t="n">
        <v>285</v>
      </c>
      <c r="J1638" s="7" t="n">
        <v>0</v>
      </c>
      <c r="K1638" s="7" t="s">
        <v>88</v>
      </c>
      <c r="L1638" s="7" t="s">
        <v>194</v>
      </c>
      <c r="M1638" s="7" t="n">
        <v>36</v>
      </c>
      <c r="N1638" s="7" t="n">
        <v>4</v>
      </c>
      <c r="O1638" s="7" t="str">
        <f aca="false">A1638&amp;"|"&amp;B1638&amp;"|"&amp;C1638&amp;"|"&amp;D1638&amp;"|"&amp;E1638&amp;"|"&amp;F1638&amp;"|"&amp;G1638&amp;"|"&amp;H1638&amp;"|"&amp;I1638&amp;"|"&amp;J1638&amp;"|"&amp;K1638&amp;"|"&amp;L1638&amp;"|"&amp;M1638&amp;"|"&amp;N1638</f>
        <v>ORD12925|2025-12-23|15:45|C0780|Mumbai Pizza Co|MUMBAI|Pizza|2|285|0|UPI|Delivered|36|4</v>
      </c>
      <c r="P1638" s="7" t="str">
        <f aca="false">IF(COUNTIF($O$2:O1638,O1638)&gt;1,"DUP","OK")</f>
        <v>OK</v>
      </c>
      <c r="Q1638" s="7" t="n">
        <f aca="false">COUNTBLANK(A1638:N1638)</f>
        <v>0</v>
      </c>
      <c r="R1638" s="7" t="n">
        <f aca="false">IF(A1638="",0,COUNTIFS($A$2:$A$3058,A1638,$P$2:$P$3058,"OK"))</f>
        <v>1</v>
      </c>
      <c r="S1638" s="7" t="str">
        <f aca="false">IF(OR(A1638="",P1638="DUP",R1638&lt;2),"",IF(Q1638=_xlfn.MINIFS($Q$2:$Q$3058,$A$2:$A$3058,A1638,$P$2:$P$3058,"OK"),"KEEP","DROP"))</f>
        <v/>
      </c>
      <c r="T1638" s="9" t="n">
        <f aca="false">IF(A1638="",1,0)</f>
        <v>0</v>
      </c>
      <c r="U1638" s="9" t="n">
        <f aca="false">IF(D1638="",1,0)</f>
        <v>0</v>
      </c>
      <c r="V1638" s="9" t="n">
        <f aca="false">IF(E1638="",1,0)</f>
        <v>0</v>
      </c>
      <c r="W1638" s="9" t="n">
        <f aca="false">IF(OR(H1638&lt;1,H1638&gt;10),1,0)</f>
        <v>0</v>
      </c>
      <c r="X1638" s="9" t="n">
        <f aca="false">IF(OR(I1638&lt;=0,I1638&gt;1500),1,0)</f>
        <v>0</v>
      </c>
      <c r="Y1638" s="9" t="n">
        <f aca="false">IF(J1638&gt;H1638*I1638,1,0)</f>
        <v>0</v>
      </c>
      <c r="Z1638" s="9" t="n">
        <f aca="false">IF(AND(N1638&lt;&gt;"",OR(N1638&lt;1,N1638&gt;5)),1,0)</f>
        <v>0</v>
      </c>
      <c r="AA1638" s="9" t="n">
        <f aca="false">IF(AND(M1638&lt;&gt;"",OR(M1638&lt;5,M1638&gt;180)),1,0)</f>
        <v>0</v>
      </c>
      <c r="AB1638" s="7" t="str">
        <f aca="false">IF(P1638="DUP","Exact duplicate row",IF(T1638=1,"Missing Order ID",IF(S1638="DROP","Duplicate Order ID (less complete row)",IF(U1638=1,"Missing Customer ID",IF(V1638=1,"Missing Restaurant name",IF(W1638=1,"Invalid/outlier quantity",IF(X1638=1,"Invalid/outlier unit price",IF(Y1638=1,"Discount greater than order value",""))))))))</f>
        <v/>
      </c>
      <c r="AC1638" s="7" t="str">
        <f aca="false">IF(AB1638="","KEEP","DROP")</f>
        <v>KEEP</v>
      </c>
      <c r="AD1638" s="7" t="str">
        <f aca="false">IF(TRIM(F1638)="",IFERROR(INDEX(Map_Tables!$I$4:$I$37,MATCH(TRIM(E1638),Map_Tables!$G$4:$G$37,0)),""),IFERROR(INDEX(Map_Tables!$B$4:$B$18,MATCH(TRIM(F1638),Map_Tables!$A$4:$A$18,0)),"CHECK"))</f>
        <v>Mumbai</v>
      </c>
      <c r="AE1638" s="7" t="str">
        <f aca="false">IF(TRIM(E1638)="","",IFERROR(INDEX(Map_Tables!$H$4:$H$37,MATCH(TRIM(E1638),Map_Tables!$G$4:$G$37,0)),"CHECK"))</f>
        <v>Mumbai Pizza Co</v>
      </c>
      <c r="AF1638" s="7" t="str">
        <f aca="false">IF(TRIM(K1638)="","Unknown",IFERROR(INDEX(Map_Tables!$E$4:$E$15,MATCH(TRIM(K1638),Map_Tables!$D$4:$D$15,0)),"CHECK"))</f>
        <v>UPI</v>
      </c>
      <c r="AG1638" s="7" t="str">
        <f aca="false">IF(LEFT(LOWER(TRIM(L1638)),6)="cancel","Cancelled","Delivered")</f>
        <v>Delivered</v>
      </c>
      <c r="AH1638" s="10" t="n">
        <f aca="false">IF(ISNUMBER(SEARCH("/",B1638)),DATE(VALUE(RIGHT(B1638,4)),VALUE(MID(B1638,4,2)),VALUE(LEFT(B1638,2))),IF(MID(B1638,5,1)="-",DATE(VALUE(LEFT(B1638,4)),VALUE(MID(B1638,6,2)),VALUE(RIGHT(B1638,2))),DATE(VALUE(RIGHT(B1638,4)),MATCH(MID(B1638,4,3),{"Jan","Feb","Mar","Apr","May","Jun","Jul","Aug","Sep","Oct","Nov","Dec"},0),VALUE(LEFT(B1638,2)))))</f>
        <v>46014</v>
      </c>
    </row>
    <row r="1639" customFormat="false" ht="15" hidden="false" customHeight="false" outlineLevel="0" collapsed="false">
      <c r="A1639" s="7" t="s">
        <v>4161</v>
      </c>
      <c r="B1639" s="7" t="s">
        <v>4162</v>
      </c>
      <c r="C1639" s="7" t="s">
        <v>3300</v>
      </c>
      <c r="D1639" s="7" t="s">
        <v>4163</v>
      </c>
      <c r="E1639" s="7" t="s">
        <v>98</v>
      </c>
      <c r="F1639" s="7" t="s">
        <v>86</v>
      </c>
      <c r="G1639" s="7" t="s">
        <v>99</v>
      </c>
      <c r="H1639" s="7" t="n">
        <v>25</v>
      </c>
      <c r="I1639" s="7" t="n">
        <v>230</v>
      </c>
      <c r="J1639" s="7" t="n">
        <v>40</v>
      </c>
      <c r="K1639" s="7" t="s">
        <v>88</v>
      </c>
      <c r="L1639" s="7" t="s">
        <v>194</v>
      </c>
      <c r="M1639" s="7" t="n">
        <v>42</v>
      </c>
      <c r="N1639" s="7" t="n">
        <v>4</v>
      </c>
      <c r="O1639" s="7" t="str">
        <f aca="false">A1639&amp;"|"&amp;B1639&amp;"|"&amp;C1639&amp;"|"&amp;D1639&amp;"|"&amp;E1639&amp;"|"&amp;F1639&amp;"|"&amp;G1639&amp;"|"&amp;H1639&amp;"|"&amp;I1639&amp;"|"&amp;J1639&amp;"|"&amp;K1639&amp;"|"&amp;L1639&amp;"|"&amp;M1639&amp;"|"&amp;N1639</f>
        <v>ORD11696|2025-08-10|18:25|C0372|Nawabi Biryani House|Bengaluru|Biryani|25|230|40|UPI|Delivered|42|4</v>
      </c>
      <c r="P1639" s="7" t="str">
        <f aca="false">IF(COUNTIF($O$2:O1639,O1639)&gt;1,"DUP","OK")</f>
        <v>OK</v>
      </c>
      <c r="Q1639" s="7" t="n">
        <f aca="false">COUNTBLANK(A1639:N1639)</f>
        <v>0</v>
      </c>
      <c r="R1639" s="7" t="n">
        <f aca="false">IF(A1639="",0,COUNTIFS($A$2:$A$3058,A1639,$P$2:$P$3058,"OK"))</f>
        <v>1</v>
      </c>
      <c r="S1639" s="7" t="str">
        <f aca="false">IF(OR(A1639="",P1639="DUP",R1639&lt;2),"",IF(Q1639=_xlfn.MINIFS($Q$2:$Q$3058,$A$2:$A$3058,A1639,$P$2:$P$3058,"OK"),"KEEP","DROP"))</f>
        <v/>
      </c>
      <c r="T1639" s="9" t="n">
        <f aca="false">IF(A1639="",1,0)</f>
        <v>0</v>
      </c>
      <c r="U1639" s="9" t="n">
        <f aca="false">IF(D1639="",1,0)</f>
        <v>0</v>
      </c>
      <c r="V1639" s="9" t="n">
        <f aca="false">IF(E1639="",1,0)</f>
        <v>0</v>
      </c>
      <c r="W1639" s="9" t="n">
        <f aca="false">IF(OR(H1639&lt;1,H1639&gt;10),1,0)</f>
        <v>1</v>
      </c>
      <c r="X1639" s="9" t="n">
        <f aca="false">IF(OR(I1639&lt;=0,I1639&gt;1500),1,0)</f>
        <v>0</v>
      </c>
      <c r="Y1639" s="9" t="n">
        <f aca="false">IF(J1639&gt;H1639*I1639,1,0)</f>
        <v>0</v>
      </c>
      <c r="Z1639" s="9" t="n">
        <f aca="false">IF(AND(N1639&lt;&gt;"",OR(N1639&lt;1,N1639&gt;5)),1,0)</f>
        <v>0</v>
      </c>
      <c r="AA1639" s="9" t="n">
        <f aca="false">IF(AND(M1639&lt;&gt;"",OR(M1639&lt;5,M1639&gt;180)),1,0)</f>
        <v>0</v>
      </c>
      <c r="AB1639" s="7" t="str">
        <f aca="false">IF(P1639="DUP","Exact duplicate row",IF(T1639=1,"Missing Order ID",IF(S1639="DROP","Duplicate Order ID (less complete row)",IF(U1639=1,"Missing Customer ID",IF(V1639=1,"Missing Restaurant name",IF(W1639=1,"Invalid/outlier quantity",IF(X1639=1,"Invalid/outlier unit price",IF(Y1639=1,"Discount greater than order value",""))))))))</f>
        <v>Invalid/outlier quantity</v>
      </c>
      <c r="AC1639" s="7" t="str">
        <f aca="false">IF(AB1639="","KEEP","DROP")</f>
        <v>DROP</v>
      </c>
      <c r="AD1639" s="7" t="str">
        <f aca="false">IF(TRIM(F1639)="",IFERROR(INDEX(Map_Tables!$I$4:$I$37,MATCH(TRIM(E1639),Map_Tables!$G$4:$G$37,0)),""),IFERROR(INDEX(Map_Tables!$B$4:$B$18,MATCH(TRIM(F1639),Map_Tables!$A$4:$A$18,0)),"CHECK"))</f>
        <v>Bengaluru</v>
      </c>
      <c r="AE1639" s="7" t="str">
        <f aca="false">IF(TRIM(E1639)="","",IFERROR(INDEX(Map_Tables!$H$4:$H$37,MATCH(TRIM(E1639),Map_Tables!$G$4:$G$37,0)),"CHECK"))</f>
        <v>Nawabi Biryani House</v>
      </c>
      <c r="AF1639" s="7" t="str">
        <f aca="false">IF(TRIM(K1639)="","Unknown",IFERROR(INDEX(Map_Tables!$E$4:$E$15,MATCH(TRIM(K1639),Map_Tables!$D$4:$D$15,0)),"CHECK"))</f>
        <v>UPI</v>
      </c>
      <c r="AG1639" s="7" t="str">
        <f aca="false">IF(LEFT(LOWER(TRIM(L1639)),6)="cancel","Cancelled","Delivered")</f>
        <v>Delivered</v>
      </c>
      <c r="AH1639" s="10" t="n">
        <f aca="false">IF(ISNUMBER(SEARCH("/",B1639)),DATE(VALUE(RIGHT(B1639,4)),VALUE(MID(B1639,4,2)),VALUE(LEFT(B1639,2))),IF(MID(B1639,5,1)="-",DATE(VALUE(LEFT(B1639,4)),VALUE(MID(B1639,6,2)),VALUE(RIGHT(B1639,2))),DATE(VALUE(RIGHT(B1639,4)),MATCH(MID(B1639,4,3),{"Jan","Feb","Mar","Apr","May","Jun","Jul","Aug","Sep","Oct","Nov","Dec"},0),VALUE(LEFT(B1639,2)))))</f>
        <v>45879</v>
      </c>
    </row>
    <row r="1640" customFormat="false" ht="15" hidden="false" customHeight="false" outlineLevel="0" collapsed="false">
      <c r="A1640" s="7" t="s">
        <v>4164</v>
      </c>
      <c r="B1640" s="7" t="s">
        <v>4165</v>
      </c>
      <c r="C1640" s="7" t="s">
        <v>3204</v>
      </c>
      <c r="D1640" s="7" t="s">
        <v>4166</v>
      </c>
      <c r="E1640" s="7" t="s">
        <v>98</v>
      </c>
      <c r="F1640" s="7" t="s">
        <v>86</v>
      </c>
      <c r="G1640" s="7" t="s">
        <v>99</v>
      </c>
      <c r="H1640" s="7" t="n">
        <v>5</v>
      </c>
      <c r="I1640" s="7" t="n">
        <v>270</v>
      </c>
      <c r="J1640" s="7" t="n">
        <v>0</v>
      </c>
      <c r="K1640" s="7" t="s">
        <v>133</v>
      </c>
      <c r="L1640" s="7" t="s">
        <v>194</v>
      </c>
      <c r="M1640" s="7" t="n">
        <v>58</v>
      </c>
      <c r="N1640" s="7" t="n">
        <v>3</v>
      </c>
      <c r="O1640" s="7" t="str">
        <f aca="false">A1640&amp;"|"&amp;B1640&amp;"|"&amp;C1640&amp;"|"&amp;D1640&amp;"|"&amp;E1640&amp;"|"&amp;F1640&amp;"|"&amp;G1640&amp;"|"&amp;H1640&amp;"|"&amp;I1640&amp;"|"&amp;J1640&amp;"|"&amp;K1640&amp;"|"&amp;L1640&amp;"|"&amp;M1640&amp;"|"&amp;N1640</f>
        <v>ORD10316|11/02/2025|21:26|C1303|Nawabi Biryani House|Bengaluru|Biryani|5|270|0|Net Banking|Delivered|58|3</v>
      </c>
      <c r="P1640" s="7" t="str">
        <f aca="false">IF(COUNTIF($O$2:O1640,O1640)&gt;1,"DUP","OK")</f>
        <v>OK</v>
      </c>
      <c r="Q1640" s="7" t="n">
        <f aca="false">COUNTBLANK(A1640:N1640)</f>
        <v>0</v>
      </c>
      <c r="R1640" s="7" t="n">
        <f aca="false">IF(A1640="",0,COUNTIFS($A$2:$A$3058,A1640,$P$2:$P$3058,"OK"))</f>
        <v>1</v>
      </c>
      <c r="S1640" s="7" t="str">
        <f aca="false">IF(OR(A1640="",P1640="DUP",R1640&lt;2),"",IF(Q1640=_xlfn.MINIFS($Q$2:$Q$3058,$A$2:$A$3058,A1640,$P$2:$P$3058,"OK"),"KEEP","DROP"))</f>
        <v/>
      </c>
      <c r="T1640" s="9" t="n">
        <f aca="false">IF(A1640="",1,0)</f>
        <v>0</v>
      </c>
      <c r="U1640" s="9" t="n">
        <f aca="false">IF(D1640="",1,0)</f>
        <v>0</v>
      </c>
      <c r="V1640" s="9" t="n">
        <f aca="false">IF(E1640="",1,0)</f>
        <v>0</v>
      </c>
      <c r="W1640" s="9" t="n">
        <f aca="false">IF(OR(H1640&lt;1,H1640&gt;10),1,0)</f>
        <v>0</v>
      </c>
      <c r="X1640" s="9" t="n">
        <f aca="false">IF(OR(I1640&lt;=0,I1640&gt;1500),1,0)</f>
        <v>0</v>
      </c>
      <c r="Y1640" s="9" t="n">
        <f aca="false">IF(J1640&gt;H1640*I1640,1,0)</f>
        <v>0</v>
      </c>
      <c r="Z1640" s="9" t="n">
        <f aca="false">IF(AND(N1640&lt;&gt;"",OR(N1640&lt;1,N1640&gt;5)),1,0)</f>
        <v>0</v>
      </c>
      <c r="AA1640" s="9" t="n">
        <f aca="false">IF(AND(M1640&lt;&gt;"",OR(M1640&lt;5,M1640&gt;180)),1,0)</f>
        <v>0</v>
      </c>
      <c r="AB1640" s="7" t="str">
        <f aca="false">IF(P1640="DUP","Exact duplicate row",IF(T1640=1,"Missing Order ID",IF(S1640="DROP","Duplicate Order ID (less complete row)",IF(U1640=1,"Missing Customer ID",IF(V1640=1,"Missing Restaurant name",IF(W1640=1,"Invalid/outlier quantity",IF(X1640=1,"Invalid/outlier unit price",IF(Y1640=1,"Discount greater than order value",""))))))))</f>
        <v/>
      </c>
      <c r="AC1640" s="7" t="str">
        <f aca="false">IF(AB1640="","KEEP","DROP")</f>
        <v>KEEP</v>
      </c>
      <c r="AD1640" s="7" t="str">
        <f aca="false">IF(TRIM(F1640)="",IFERROR(INDEX(Map_Tables!$I$4:$I$37,MATCH(TRIM(E1640),Map_Tables!$G$4:$G$37,0)),""),IFERROR(INDEX(Map_Tables!$B$4:$B$18,MATCH(TRIM(F1640),Map_Tables!$A$4:$A$18,0)),"CHECK"))</f>
        <v>Bengaluru</v>
      </c>
      <c r="AE1640" s="7" t="str">
        <f aca="false">IF(TRIM(E1640)="","",IFERROR(INDEX(Map_Tables!$H$4:$H$37,MATCH(TRIM(E1640),Map_Tables!$G$4:$G$37,0)),"CHECK"))</f>
        <v>Nawabi Biryani House</v>
      </c>
      <c r="AF1640" s="7" t="str">
        <f aca="false">IF(TRIM(K1640)="","Unknown",IFERROR(INDEX(Map_Tables!$E$4:$E$15,MATCH(TRIM(K1640),Map_Tables!$D$4:$D$15,0)),"CHECK"))</f>
        <v>Net Banking</v>
      </c>
      <c r="AG1640" s="7" t="str">
        <f aca="false">IF(LEFT(LOWER(TRIM(L1640)),6)="cancel","Cancelled","Delivered")</f>
        <v>Delivered</v>
      </c>
      <c r="AH1640" s="10" t="n">
        <f aca="false">IF(ISNUMBER(SEARCH("/",B1640)),DATE(VALUE(RIGHT(B1640,4)),VALUE(MID(B1640,4,2)),VALUE(LEFT(B1640,2))),IF(MID(B1640,5,1)="-",DATE(VALUE(LEFT(B1640,4)),VALUE(MID(B1640,6,2)),VALUE(RIGHT(B1640,2))),DATE(VALUE(RIGHT(B1640,4)),MATCH(MID(B1640,4,3),{"Jan","Feb","Mar","Apr","May","Jun","Jul","Aug","Sep","Oct","Nov","Dec"},0),VALUE(LEFT(B1640,2)))))</f>
        <v>45699</v>
      </c>
    </row>
    <row r="1641" customFormat="false" ht="15" hidden="false" customHeight="false" outlineLevel="0" collapsed="false">
      <c r="A1641" s="7" t="s">
        <v>4167</v>
      </c>
      <c r="B1641" s="7" t="s">
        <v>446</v>
      </c>
      <c r="C1641" s="7" t="s">
        <v>2369</v>
      </c>
      <c r="D1641" s="7" t="s">
        <v>2499</v>
      </c>
      <c r="E1641" s="7" t="s">
        <v>144</v>
      </c>
      <c r="F1641" s="7" t="s">
        <v>119</v>
      </c>
      <c r="G1641" s="7" t="s">
        <v>99</v>
      </c>
      <c r="H1641" s="7" t="n">
        <v>1</v>
      </c>
      <c r="I1641" s="7" t="n">
        <v>260</v>
      </c>
      <c r="J1641" s="7" t="n">
        <v>0</v>
      </c>
      <c r="K1641" s="7" t="s">
        <v>93</v>
      </c>
      <c r="L1641" s="7" t="s">
        <v>238</v>
      </c>
      <c r="M1641" s="7"/>
      <c r="N1641" s="7"/>
      <c r="O1641" s="7" t="str">
        <f aca="false">A1641&amp;"|"&amp;B1641&amp;"|"&amp;C1641&amp;"|"&amp;D1641&amp;"|"&amp;E1641&amp;"|"&amp;F1641&amp;"|"&amp;G1641&amp;"|"&amp;H1641&amp;"|"&amp;I1641&amp;"|"&amp;J1641&amp;"|"&amp;K1641&amp;"|"&amp;L1641&amp;"|"&amp;M1641&amp;"|"&amp;N1641</f>
        <v>ORD10529|2025-03-09|21:38|C1495|Hyderabad Dum Biryani|Hyderabad|Biryani|1|260|0|Credit Card|Cancelled||</v>
      </c>
      <c r="P1641" s="7" t="str">
        <f aca="false">IF(COUNTIF($O$2:O1641,O1641)&gt;1,"DUP","OK")</f>
        <v>OK</v>
      </c>
      <c r="Q1641" s="7" t="n">
        <f aca="false">COUNTBLANK(A1641:N1641)</f>
        <v>2</v>
      </c>
      <c r="R1641" s="7" t="n">
        <f aca="false">IF(A1641="",0,COUNTIFS($A$2:$A$3058,A1641,$P$2:$P$3058,"OK"))</f>
        <v>1</v>
      </c>
      <c r="S1641" s="7" t="str">
        <f aca="false">IF(OR(A1641="",P1641="DUP",R1641&lt;2),"",IF(Q1641=_xlfn.MINIFS($Q$2:$Q$3058,$A$2:$A$3058,A1641,$P$2:$P$3058,"OK"),"KEEP","DROP"))</f>
        <v/>
      </c>
      <c r="T1641" s="9" t="n">
        <f aca="false">IF(A1641="",1,0)</f>
        <v>0</v>
      </c>
      <c r="U1641" s="9" t="n">
        <f aca="false">IF(D1641="",1,0)</f>
        <v>0</v>
      </c>
      <c r="V1641" s="9" t="n">
        <f aca="false">IF(E1641="",1,0)</f>
        <v>0</v>
      </c>
      <c r="W1641" s="9" t="n">
        <f aca="false">IF(OR(H1641&lt;1,H1641&gt;10),1,0)</f>
        <v>0</v>
      </c>
      <c r="X1641" s="9" t="n">
        <f aca="false">IF(OR(I1641&lt;=0,I1641&gt;1500),1,0)</f>
        <v>0</v>
      </c>
      <c r="Y1641" s="9" t="n">
        <f aca="false">IF(J1641&gt;H1641*I1641,1,0)</f>
        <v>0</v>
      </c>
      <c r="Z1641" s="9" t="n">
        <f aca="false">IF(AND(N1641&lt;&gt;"",OR(N1641&lt;1,N1641&gt;5)),1,0)</f>
        <v>0</v>
      </c>
      <c r="AA1641" s="9" t="n">
        <f aca="false">IF(AND(M1641&lt;&gt;"",OR(M1641&lt;5,M1641&gt;180)),1,0)</f>
        <v>0</v>
      </c>
      <c r="AB1641" s="7" t="str">
        <f aca="false">IF(P1641="DUP","Exact duplicate row",IF(T1641=1,"Missing Order ID",IF(S1641="DROP","Duplicate Order ID (less complete row)",IF(U1641=1,"Missing Customer ID",IF(V1641=1,"Missing Restaurant name",IF(W1641=1,"Invalid/outlier quantity",IF(X1641=1,"Invalid/outlier unit price",IF(Y1641=1,"Discount greater than order value",""))))))))</f>
        <v/>
      </c>
      <c r="AC1641" s="7" t="str">
        <f aca="false">IF(AB1641="","KEEP","DROP")</f>
        <v>KEEP</v>
      </c>
      <c r="AD1641" s="7" t="str">
        <f aca="false">IF(TRIM(F1641)="",IFERROR(INDEX(Map_Tables!$I$4:$I$37,MATCH(TRIM(E1641),Map_Tables!$G$4:$G$37,0)),""),IFERROR(INDEX(Map_Tables!$B$4:$B$18,MATCH(TRIM(F1641),Map_Tables!$A$4:$A$18,0)),"CHECK"))</f>
        <v>Hyderabad</v>
      </c>
      <c r="AE1641" s="7" t="str">
        <f aca="false">IF(TRIM(E1641)="","",IFERROR(INDEX(Map_Tables!$H$4:$H$37,MATCH(TRIM(E1641),Map_Tables!$G$4:$G$37,0)),"CHECK"))</f>
        <v>Hyderabad Dum Biryani</v>
      </c>
      <c r="AF1641" s="7" t="str">
        <f aca="false">IF(TRIM(K1641)="","Unknown",IFERROR(INDEX(Map_Tables!$E$4:$E$15,MATCH(TRIM(K1641),Map_Tables!$D$4:$D$15,0)),"CHECK"))</f>
        <v>Credit Card</v>
      </c>
      <c r="AG1641" s="7" t="str">
        <f aca="false">IF(LEFT(LOWER(TRIM(L1641)),6)="cancel","Cancelled","Delivered")</f>
        <v>Cancelled</v>
      </c>
      <c r="AH1641" s="10" t="n">
        <f aca="false">IF(ISNUMBER(SEARCH("/",B1641)),DATE(VALUE(RIGHT(B1641,4)),VALUE(MID(B1641,4,2)),VALUE(LEFT(B1641,2))),IF(MID(B1641,5,1)="-",DATE(VALUE(LEFT(B1641,4)),VALUE(MID(B1641,6,2)),VALUE(RIGHT(B1641,2))),DATE(VALUE(RIGHT(B1641,4)),MATCH(MID(B1641,4,3),{"Jan","Feb","Mar","Apr","May","Jun","Jul","Aug","Sep","Oct","Nov","Dec"},0),VALUE(LEFT(B1641,2)))))</f>
        <v>45725</v>
      </c>
    </row>
    <row r="1642" customFormat="false" ht="15" hidden="false" customHeight="false" outlineLevel="0" collapsed="false">
      <c r="A1642" s="7" t="s">
        <v>4168</v>
      </c>
      <c r="B1642" s="7" t="s">
        <v>660</v>
      </c>
      <c r="C1642" s="7" t="s">
        <v>1737</v>
      </c>
      <c r="D1642" s="7" t="s">
        <v>4169</v>
      </c>
      <c r="E1642" s="7" t="s">
        <v>130</v>
      </c>
      <c r="F1642" s="7" t="s">
        <v>756</v>
      </c>
      <c r="G1642" s="7" t="s">
        <v>90</v>
      </c>
      <c r="H1642" s="7" t="n">
        <v>3</v>
      </c>
      <c r="I1642" s="7" t="n">
        <v>285</v>
      </c>
      <c r="J1642" s="7" t="n">
        <v>30</v>
      </c>
      <c r="K1642" s="7" t="s">
        <v>93</v>
      </c>
      <c r="L1642" s="7" t="s">
        <v>194</v>
      </c>
      <c r="M1642" s="7" t="n">
        <v>32</v>
      </c>
      <c r="N1642" s="7"/>
      <c r="O1642" s="7" t="str">
        <f aca="false">A1642&amp;"|"&amp;B1642&amp;"|"&amp;C1642&amp;"|"&amp;D1642&amp;"|"&amp;E1642&amp;"|"&amp;F1642&amp;"|"&amp;G1642&amp;"|"&amp;H1642&amp;"|"&amp;I1642&amp;"|"&amp;J1642&amp;"|"&amp;K1642&amp;"|"&amp;L1642&amp;"|"&amp;M1642&amp;"|"&amp;N1642</f>
        <v>ORD12981|2025-12-29|19:27|C1020|Tandoor Tales|Delhi |North Indian|3|285|30|Credit Card|Delivered|32|</v>
      </c>
      <c r="P1642" s="7" t="str">
        <f aca="false">IF(COUNTIF($O$2:O1642,O1642)&gt;1,"DUP","OK")</f>
        <v>OK</v>
      </c>
      <c r="Q1642" s="7" t="n">
        <f aca="false">COUNTBLANK(A1642:N1642)</f>
        <v>1</v>
      </c>
      <c r="R1642" s="7" t="n">
        <f aca="false">IF(A1642="",0,COUNTIFS($A$2:$A$3058,A1642,$P$2:$P$3058,"OK"))</f>
        <v>1</v>
      </c>
      <c r="S1642" s="7" t="str">
        <f aca="false">IF(OR(A1642="",P1642="DUP",R1642&lt;2),"",IF(Q1642=_xlfn.MINIFS($Q$2:$Q$3058,$A$2:$A$3058,A1642,$P$2:$P$3058,"OK"),"KEEP","DROP"))</f>
        <v/>
      </c>
      <c r="T1642" s="9" t="n">
        <f aca="false">IF(A1642="",1,0)</f>
        <v>0</v>
      </c>
      <c r="U1642" s="9" t="n">
        <f aca="false">IF(D1642="",1,0)</f>
        <v>0</v>
      </c>
      <c r="V1642" s="9" t="n">
        <f aca="false">IF(E1642="",1,0)</f>
        <v>0</v>
      </c>
      <c r="W1642" s="9" t="n">
        <f aca="false">IF(OR(H1642&lt;1,H1642&gt;10),1,0)</f>
        <v>0</v>
      </c>
      <c r="X1642" s="9" t="n">
        <f aca="false">IF(OR(I1642&lt;=0,I1642&gt;1500),1,0)</f>
        <v>0</v>
      </c>
      <c r="Y1642" s="9" t="n">
        <f aca="false">IF(J1642&gt;H1642*I1642,1,0)</f>
        <v>0</v>
      </c>
      <c r="Z1642" s="9" t="n">
        <f aca="false">IF(AND(N1642&lt;&gt;"",OR(N1642&lt;1,N1642&gt;5)),1,0)</f>
        <v>0</v>
      </c>
      <c r="AA1642" s="9" t="n">
        <f aca="false">IF(AND(M1642&lt;&gt;"",OR(M1642&lt;5,M1642&gt;180)),1,0)</f>
        <v>0</v>
      </c>
      <c r="AB1642" s="7" t="str">
        <f aca="false">IF(P1642="DUP","Exact duplicate row",IF(T1642=1,"Missing Order ID",IF(S1642="DROP","Duplicate Order ID (less complete row)",IF(U1642=1,"Missing Customer ID",IF(V1642=1,"Missing Restaurant name",IF(W1642=1,"Invalid/outlier quantity",IF(X1642=1,"Invalid/outlier unit price",IF(Y1642=1,"Discount greater than order value",""))))))))</f>
        <v/>
      </c>
      <c r="AC1642" s="7" t="str">
        <f aca="false">IF(AB1642="","KEEP","DROP")</f>
        <v>KEEP</v>
      </c>
      <c r="AD1642" s="7" t="str">
        <f aca="false">IF(TRIM(F1642)="",IFERROR(INDEX(Map_Tables!$I$4:$I$37,MATCH(TRIM(E1642),Map_Tables!$G$4:$G$37,0)),""),IFERROR(INDEX(Map_Tables!$B$4:$B$18,MATCH(TRIM(F1642),Map_Tables!$A$4:$A$18,0)),"CHECK"))</f>
        <v>Delhi</v>
      </c>
      <c r="AE1642" s="7" t="str">
        <f aca="false">IF(TRIM(E1642)="","",IFERROR(INDEX(Map_Tables!$H$4:$H$37,MATCH(TRIM(E1642),Map_Tables!$G$4:$G$37,0)),"CHECK"))</f>
        <v>Tandoor Tales</v>
      </c>
      <c r="AF1642" s="7" t="str">
        <f aca="false">IF(TRIM(K1642)="","Unknown",IFERROR(INDEX(Map_Tables!$E$4:$E$15,MATCH(TRIM(K1642),Map_Tables!$D$4:$D$15,0)),"CHECK"))</f>
        <v>Credit Card</v>
      </c>
      <c r="AG1642" s="7" t="str">
        <f aca="false">IF(LEFT(LOWER(TRIM(L1642)),6)="cancel","Cancelled","Delivered")</f>
        <v>Delivered</v>
      </c>
      <c r="AH1642" s="10" t="n">
        <f aca="false">IF(ISNUMBER(SEARCH("/",B1642)),DATE(VALUE(RIGHT(B1642,4)),VALUE(MID(B1642,4,2)),VALUE(LEFT(B1642,2))),IF(MID(B1642,5,1)="-",DATE(VALUE(LEFT(B1642,4)),VALUE(MID(B1642,6,2)),VALUE(RIGHT(B1642,2))),DATE(VALUE(RIGHT(B1642,4)),MATCH(MID(B1642,4,3),{"Jan","Feb","Mar","Apr","May","Jun","Jul","Aug","Sep","Oct","Nov","Dec"},0),VALUE(LEFT(B1642,2)))))</f>
        <v>46020</v>
      </c>
    </row>
    <row r="1643" customFormat="false" ht="15" hidden="false" customHeight="false" outlineLevel="0" collapsed="false">
      <c r="A1643" s="7" t="s">
        <v>4170</v>
      </c>
      <c r="B1643" s="7" t="s">
        <v>1329</v>
      </c>
      <c r="C1643" s="7" t="s">
        <v>4171</v>
      </c>
      <c r="D1643" s="7" t="s">
        <v>1470</v>
      </c>
      <c r="E1643" s="7" t="s">
        <v>134</v>
      </c>
      <c r="F1643" s="7" t="s">
        <v>294</v>
      </c>
      <c r="G1643" s="7" t="s">
        <v>117</v>
      </c>
      <c r="H1643" s="7" t="n">
        <v>2</v>
      </c>
      <c r="I1643" s="7" t="n">
        <v>100</v>
      </c>
      <c r="J1643" s="7" t="n">
        <v>50</v>
      </c>
      <c r="K1643" s="7" t="s">
        <v>103</v>
      </c>
      <c r="L1643" s="7" t="s">
        <v>194</v>
      </c>
      <c r="M1643" s="7" t="n">
        <v>35</v>
      </c>
      <c r="N1643" s="7" t="n">
        <v>5</v>
      </c>
      <c r="O1643" s="7" t="str">
        <f aca="false">A1643&amp;"|"&amp;B1643&amp;"|"&amp;C1643&amp;"|"&amp;D1643&amp;"|"&amp;E1643&amp;"|"&amp;F1643&amp;"|"&amp;G1643&amp;"|"&amp;H1643&amp;"|"&amp;I1643&amp;"|"&amp;J1643&amp;"|"&amp;K1643&amp;"|"&amp;L1643&amp;"|"&amp;M1643&amp;"|"&amp;N1643</f>
        <v>ORD11178|2025-05-30|09:19|C1068|Chaat Corner|New Delhi|Street Food|2|100|50|Debit Card|Delivered|35|5</v>
      </c>
      <c r="P1643" s="7" t="str">
        <f aca="false">IF(COUNTIF($O$2:O1643,O1643)&gt;1,"DUP","OK")</f>
        <v>OK</v>
      </c>
      <c r="Q1643" s="7" t="n">
        <f aca="false">COUNTBLANK(A1643:N1643)</f>
        <v>0</v>
      </c>
      <c r="R1643" s="7" t="n">
        <f aca="false">IF(A1643="",0,COUNTIFS($A$2:$A$3058,A1643,$P$2:$P$3058,"OK"))</f>
        <v>1</v>
      </c>
      <c r="S1643" s="7" t="str">
        <f aca="false">IF(OR(A1643="",P1643="DUP",R1643&lt;2),"",IF(Q1643=_xlfn.MINIFS($Q$2:$Q$3058,$A$2:$A$3058,A1643,$P$2:$P$3058,"OK"),"KEEP","DROP"))</f>
        <v/>
      </c>
      <c r="T1643" s="9" t="n">
        <f aca="false">IF(A1643="",1,0)</f>
        <v>0</v>
      </c>
      <c r="U1643" s="9" t="n">
        <f aca="false">IF(D1643="",1,0)</f>
        <v>0</v>
      </c>
      <c r="V1643" s="9" t="n">
        <f aca="false">IF(E1643="",1,0)</f>
        <v>0</v>
      </c>
      <c r="W1643" s="9" t="n">
        <f aca="false">IF(OR(H1643&lt;1,H1643&gt;10),1,0)</f>
        <v>0</v>
      </c>
      <c r="X1643" s="9" t="n">
        <f aca="false">IF(OR(I1643&lt;=0,I1643&gt;1500),1,0)</f>
        <v>0</v>
      </c>
      <c r="Y1643" s="9" t="n">
        <f aca="false">IF(J1643&gt;H1643*I1643,1,0)</f>
        <v>0</v>
      </c>
      <c r="Z1643" s="9" t="n">
        <f aca="false">IF(AND(N1643&lt;&gt;"",OR(N1643&lt;1,N1643&gt;5)),1,0)</f>
        <v>0</v>
      </c>
      <c r="AA1643" s="9" t="n">
        <f aca="false">IF(AND(M1643&lt;&gt;"",OR(M1643&lt;5,M1643&gt;180)),1,0)</f>
        <v>0</v>
      </c>
      <c r="AB1643" s="7" t="str">
        <f aca="false">IF(P1643="DUP","Exact duplicate row",IF(T1643=1,"Missing Order ID",IF(S1643="DROP","Duplicate Order ID (less complete row)",IF(U1643=1,"Missing Customer ID",IF(V1643=1,"Missing Restaurant name",IF(W1643=1,"Invalid/outlier quantity",IF(X1643=1,"Invalid/outlier unit price",IF(Y1643=1,"Discount greater than order value",""))))))))</f>
        <v/>
      </c>
      <c r="AC1643" s="7" t="str">
        <f aca="false">IF(AB1643="","KEEP","DROP")</f>
        <v>KEEP</v>
      </c>
      <c r="AD1643" s="7" t="str">
        <f aca="false">IF(TRIM(F1643)="",IFERROR(INDEX(Map_Tables!$I$4:$I$37,MATCH(TRIM(E1643),Map_Tables!$G$4:$G$37,0)),""),IFERROR(INDEX(Map_Tables!$B$4:$B$18,MATCH(TRIM(F1643),Map_Tables!$A$4:$A$18,0)),"CHECK"))</f>
        <v>Delhi</v>
      </c>
      <c r="AE1643" s="7" t="str">
        <f aca="false">IF(TRIM(E1643)="","",IFERROR(INDEX(Map_Tables!$H$4:$H$37,MATCH(TRIM(E1643),Map_Tables!$G$4:$G$37,0)),"CHECK"))</f>
        <v>Chaat Corner</v>
      </c>
      <c r="AF1643" s="7" t="str">
        <f aca="false">IF(TRIM(K1643)="","Unknown",IFERROR(INDEX(Map_Tables!$E$4:$E$15,MATCH(TRIM(K1643),Map_Tables!$D$4:$D$15,0)),"CHECK"))</f>
        <v>Debit Card</v>
      </c>
      <c r="AG1643" s="7" t="str">
        <f aca="false">IF(LEFT(LOWER(TRIM(L1643)),6)="cancel","Cancelled","Delivered")</f>
        <v>Delivered</v>
      </c>
      <c r="AH1643" s="10" t="n">
        <f aca="false">IF(ISNUMBER(SEARCH("/",B1643)),DATE(VALUE(RIGHT(B1643,4)),VALUE(MID(B1643,4,2)),VALUE(LEFT(B1643,2))),IF(MID(B1643,5,1)="-",DATE(VALUE(LEFT(B1643,4)),VALUE(MID(B1643,6,2)),VALUE(RIGHT(B1643,2))),DATE(VALUE(RIGHT(B1643,4)),MATCH(MID(B1643,4,3),{"Jan","Feb","Mar","Apr","May","Jun","Jul","Aug","Sep","Oct","Nov","Dec"},0),VALUE(LEFT(B1643,2)))))</f>
        <v>45807</v>
      </c>
    </row>
    <row r="1644" customFormat="false" ht="15" hidden="false" customHeight="false" outlineLevel="0" collapsed="false">
      <c r="A1644" s="7" t="s">
        <v>4172</v>
      </c>
      <c r="B1644" s="7" t="s">
        <v>3483</v>
      </c>
      <c r="C1644" s="7" t="s">
        <v>1101</v>
      </c>
      <c r="D1644" s="7" t="s">
        <v>4173</v>
      </c>
      <c r="E1644" s="7" t="s">
        <v>113</v>
      </c>
      <c r="F1644" s="7" t="s">
        <v>1557</v>
      </c>
      <c r="G1644" s="7" t="s">
        <v>90</v>
      </c>
      <c r="H1644" s="7" t="n">
        <v>2</v>
      </c>
      <c r="I1644" s="7" t="n">
        <v>230</v>
      </c>
      <c r="J1644" s="7" t="n">
        <v>0</v>
      </c>
      <c r="K1644" s="7" t="s">
        <v>112</v>
      </c>
      <c r="L1644" s="7" t="s">
        <v>194</v>
      </c>
      <c r="M1644" s="7" t="n">
        <v>57</v>
      </c>
      <c r="N1644" s="7"/>
      <c r="O1644" s="7" t="str">
        <f aca="false">A1644&amp;"|"&amp;B1644&amp;"|"&amp;C1644&amp;"|"&amp;D1644&amp;"|"&amp;E1644&amp;"|"&amp;F1644&amp;"|"&amp;G1644&amp;"|"&amp;H1644&amp;"|"&amp;I1644&amp;"|"&amp;J1644&amp;"|"&amp;K1644&amp;"|"&amp;L1644&amp;"|"&amp;M1644&amp;"|"&amp;N1644</f>
        <v>ORD10190|2025-01-25|19:59|C0567|Curry Leaf Kitchen|Mumbai |North Indian|2|230|0|Cash on Delivery|Delivered|57|</v>
      </c>
      <c r="P1644" s="7" t="str">
        <f aca="false">IF(COUNTIF($O$2:O1644,O1644)&gt;1,"DUP","OK")</f>
        <v>OK</v>
      </c>
      <c r="Q1644" s="7" t="n">
        <f aca="false">COUNTBLANK(A1644:N1644)</f>
        <v>1</v>
      </c>
      <c r="R1644" s="7" t="n">
        <f aca="false">IF(A1644="",0,COUNTIFS($A$2:$A$3058,A1644,$P$2:$P$3058,"OK"))</f>
        <v>1</v>
      </c>
      <c r="S1644" s="7" t="str">
        <f aca="false">IF(OR(A1644="",P1644="DUP",R1644&lt;2),"",IF(Q1644=_xlfn.MINIFS($Q$2:$Q$3058,$A$2:$A$3058,A1644,$P$2:$P$3058,"OK"),"KEEP","DROP"))</f>
        <v/>
      </c>
      <c r="T1644" s="9" t="n">
        <f aca="false">IF(A1644="",1,0)</f>
        <v>0</v>
      </c>
      <c r="U1644" s="9" t="n">
        <f aca="false">IF(D1644="",1,0)</f>
        <v>0</v>
      </c>
      <c r="V1644" s="9" t="n">
        <f aca="false">IF(E1644="",1,0)</f>
        <v>0</v>
      </c>
      <c r="W1644" s="9" t="n">
        <f aca="false">IF(OR(H1644&lt;1,H1644&gt;10),1,0)</f>
        <v>0</v>
      </c>
      <c r="X1644" s="9" t="n">
        <f aca="false">IF(OR(I1644&lt;=0,I1644&gt;1500),1,0)</f>
        <v>0</v>
      </c>
      <c r="Y1644" s="9" t="n">
        <f aca="false">IF(J1644&gt;H1644*I1644,1,0)</f>
        <v>0</v>
      </c>
      <c r="Z1644" s="9" t="n">
        <f aca="false">IF(AND(N1644&lt;&gt;"",OR(N1644&lt;1,N1644&gt;5)),1,0)</f>
        <v>0</v>
      </c>
      <c r="AA1644" s="9" t="n">
        <f aca="false">IF(AND(M1644&lt;&gt;"",OR(M1644&lt;5,M1644&gt;180)),1,0)</f>
        <v>0</v>
      </c>
      <c r="AB1644" s="7" t="str">
        <f aca="false">IF(P1644="DUP","Exact duplicate row",IF(T1644=1,"Missing Order ID",IF(S1644="DROP","Duplicate Order ID (less complete row)",IF(U1644=1,"Missing Customer ID",IF(V1644=1,"Missing Restaurant name",IF(W1644=1,"Invalid/outlier quantity",IF(X1644=1,"Invalid/outlier unit price",IF(Y1644=1,"Discount greater than order value",""))))))))</f>
        <v/>
      </c>
      <c r="AC1644" s="7" t="str">
        <f aca="false">IF(AB1644="","KEEP","DROP")</f>
        <v>KEEP</v>
      </c>
      <c r="AD1644" s="7" t="str">
        <f aca="false">IF(TRIM(F1644)="",IFERROR(INDEX(Map_Tables!$I$4:$I$37,MATCH(TRIM(E1644),Map_Tables!$G$4:$G$37,0)),""),IFERROR(INDEX(Map_Tables!$B$4:$B$18,MATCH(TRIM(F1644),Map_Tables!$A$4:$A$18,0)),"CHECK"))</f>
        <v>Mumbai</v>
      </c>
      <c r="AE1644" s="7" t="str">
        <f aca="false">IF(TRIM(E1644)="","",IFERROR(INDEX(Map_Tables!$H$4:$H$37,MATCH(TRIM(E1644),Map_Tables!$G$4:$G$37,0)),"CHECK"))</f>
        <v>Curry Leaf Kitchen</v>
      </c>
      <c r="AF1644" s="7" t="str">
        <f aca="false">IF(TRIM(K1644)="","Unknown",IFERROR(INDEX(Map_Tables!$E$4:$E$15,MATCH(TRIM(K1644),Map_Tables!$D$4:$D$15,0)),"CHECK"))</f>
        <v>Cash on Delivery</v>
      </c>
      <c r="AG1644" s="7" t="str">
        <f aca="false">IF(LEFT(LOWER(TRIM(L1644)),6)="cancel","Cancelled","Delivered")</f>
        <v>Delivered</v>
      </c>
      <c r="AH1644" s="10" t="n">
        <f aca="false">IF(ISNUMBER(SEARCH("/",B1644)),DATE(VALUE(RIGHT(B1644,4)),VALUE(MID(B1644,4,2)),VALUE(LEFT(B1644,2))),IF(MID(B1644,5,1)="-",DATE(VALUE(LEFT(B1644,4)),VALUE(MID(B1644,6,2)),VALUE(RIGHT(B1644,2))),DATE(VALUE(RIGHT(B1644,4)),MATCH(MID(B1644,4,3),{"Jan","Feb","Mar","Apr","May","Jun","Jul","Aug","Sep","Oct","Nov","Dec"},0),VALUE(LEFT(B1644,2)))))</f>
        <v>45682</v>
      </c>
    </row>
    <row r="1645" customFormat="false" ht="15" hidden="false" customHeight="false" outlineLevel="0" collapsed="false">
      <c r="A1645" s="7" t="s">
        <v>4174</v>
      </c>
      <c r="B1645" s="7" t="s">
        <v>4073</v>
      </c>
      <c r="C1645" s="7" t="s">
        <v>3456</v>
      </c>
      <c r="D1645" s="7" t="s">
        <v>456</v>
      </c>
      <c r="E1645" s="7" t="s">
        <v>138</v>
      </c>
      <c r="F1645" s="7" t="s">
        <v>110</v>
      </c>
      <c r="G1645" s="7" t="s">
        <v>139</v>
      </c>
      <c r="H1645" s="7" t="n">
        <v>5</v>
      </c>
      <c r="I1645" s="7" t="n">
        <v>215</v>
      </c>
      <c r="J1645" s="7" t="n">
        <v>0</v>
      </c>
      <c r="K1645" s="7" t="s">
        <v>88</v>
      </c>
      <c r="L1645" s="7" t="s">
        <v>194</v>
      </c>
      <c r="M1645" s="7" t="n">
        <v>17</v>
      </c>
      <c r="N1645" s="7" t="n">
        <v>4</v>
      </c>
      <c r="O1645" s="7" t="str">
        <f aca="false">A1645&amp;"|"&amp;B1645&amp;"|"&amp;C1645&amp;"|"&amp;D1645&amp;"|"&amp;E1645&amp;"|"&amp;F1645&amp;"|"&amp;G1645&amp;"|"&amp;H1645&amp;"|"&amp;I1645&amp;"|"&amp;J1645&amp;"|"&amp;K1645&amp;"|"&amp;L1645&amp;"|"&amp;M1645&amp;"|"&amp;N1645</f>
        <v>ORD10028|04-Jan-2025|20:36|C0750|Burger Barn|Delhi|Burgers|5|215|0|UPI|Delivered|17|4</v>
      </c>
      <c r="P1645" s="7" t="str">
        <f aca="false">IF(COUNTIF($O$2:O1645,O1645)&gt;1,"DUP","OK")</f>
        <v>OK</v>
      </c>
      <c r="Q1645" s="7" t="n">
        <f aca="false">COUNTBLANK(A1645:N1645)</f>
        <v>0</v>
      </c>
      <c r="R1645" s="7" t="n">
        <f aca="false">IF(A1645="",0,COUNTIFS($A$2:$A$3058,A1645,$P$2:$P$3058,"OK"))</f>
        <v>1</v>
      </c>
      <c r="S1645" s="7" t="str">
        <f aca="false">IF(OR(A1645="",P1645="DUP",R1645&lt;2),"",IF(Q1645=_xlfn.MINIFS($Q$2:$Q$3058,$A$2:$A$3058,A1645,$P$2:$P$3058,"OK"),"KEEP","DROP"))</f>
        <v/>
      </c>
      <c r="T1645" s="9" t="n">
        <f aca="false">IF(A1645="",1,0)</f>
        <v>0</v>
      </c>
      <c r="U1645" s="9" t="n">
        <f aca="false">IF(D1645="",1,0)</f>
        <v>0</v>
      </c>
      <c r="V1645" s="9" t="n">
        <f aca="false">IF(E1645="",1,0)</f>
        <v>0</v>
      </c>
      <c r="W1645" s="9" t="n">
        <f aca="false">IF(OR(H1645&lt;1,H1645&gt;10),1,0)</f>
        <v>0</v>
      </c>
      <c r="X1645" s="9" t="n">
        <f aca="false">IF(OR(I1645&lt;=0,I1645&gt;1500),1,0)</f>
        <v>0</v>
      </c>
      <c r="Y1645" s="9" t="n">
        <f aca="false">IF(J1645&gt;H1645*I1645,1,0)</f>
        <v>0</v>
      </c>
      <c r="Z1645" s="9" t="n">
        <f aca="false">IF(AND(N1645&lt;&gt;"",OR(N1645&lt;1,N1645&gt;5)),1,0)</f>
        <v>0</v>
      </c>
      <c r="AA1645" s="9" t="n">
        <f aca="false">IF(AND(M1645&lt;&gt;"",OR(M1645&lt;5,M1645&gt;180)),1,0)</f>
        <v>0</v>
      </c>
      <c r="AB1645" s="7" t="str">
        <f aca="false">IF(P1645="DUP","Exact duplicate row",IF(T1645=1,"Missing Order ID",IF(S1645="DROP","Duplicate Order ID (less complete row)",IF(U1645=1,"Missing Customer ID",IF(V1645=1,"Missing Restaurant name",IF(W1645=1,"Invalid/outlier quantity",IF(X1645=1,"Invalid/outlier unit price",IF(Y1645=1,"Discount greater than order value",""))))))))</f>
        <v/>
      </c>
      <c r="AC1645" s="7" t="str">
        <f aca="false">IF(AB1645="","KEEP","DROP")</f>
        <v>KEEP</v>
      </c>
      <c r="AD1645" s="7" t="str">
        <f aca="false">IF(TRIM(F1645)="",IFERROR(INDEX(Map_Tables!$I$4:$I$37,MATCH(TRIM(E1645),Map_Tables!$G$4:$G$37,0)),""),IFERROR(INDEX(Map_Tables!$B$4:$B$18,MATCH(TRIM(F1645),Map_Tables!$A$4:$A$18,0)),"CHECK"))</f>
        <v>Delhi</v>
      </c>
      <c r="AE1645" s="7" t="str">
        <f aca="false">IF(TRIM(E1645)="","",IFERROR(INDEX(Map_Tables!$H$4:$H$37,MATCH(TRIM(E1645),Map_Tables!$G$4:$G$37,0)),"CHECK"))</f>
        <v>Burger Barn</v>
      </c>
      <c r="AF1645" s="7" t="str">
        <f aca="false">IF(TRIM(K1645)="","Unknown",IFERROR(INDEX(Map_Tables!$E$4:$E$15,MATCH(TRIM(K1645),Map_Tables!$D$4:$D$15,0)),"CHECK"))</f>
        <v>UPI</v>
      </c>
      <c r="AG1645" s="7" t="str">
        <f aca="false">IF(LEFT(LOWER(TRIM(L1645)),6)="cancel","Cancelled","Delivered")</f>
        <v>Delivered</v>
      </c>
      <c r="AH1645" s="10" t="n">
        <f aca="false">IF(ISNUMBER(SEARCH("/",B1645)),DATE(VALUE(RIGHT(B1645,4)),VALUE(MID(B1645,4,2)),VALUE(LEFT(B1645,2))),IF(MID(B1645,5,1)="-",DATE(VALUE(LEFT(B1645,4)),VALUE(MID(B1645,6,2)),VALUE(RIGHT(B1645,2))),DATE(VALUE(RIGHT(B1645,4)),MATCH(MID(B1645,4,3),{"Jan","Feb","Mar","Apr","May","Jun","Jul","Aug","Sep","Oct","Nov","Dec"},0),VALUE(LEFT(B1645,2)))))</f>
        <v>45661</v>
      </c>
    </row>
    <row r="1646" customFormat="false" ht="15" hidden="false" customHeight="false" outlineLevel="0" collapsed="false">
      <c r="A1646" s="7" t="s">
        <v>4175</v>
      </c>
      <c r="B1646" s="7" t="s">
        <v>2141</v>
      </c>
      <c r="C1646" s="7" t="s">
        <v>3608</v>
      </c>
      <c r="D1646" s="7" t="s">
        <v>805</v>
      </c>
      <c r="E1646" s="7" t="s">
        <v>142</v>
      </c>
      <c r="F1646" s="7" t="s">
        <v>110</v>
      </c>
      <c r="G1646" s="7" t="s">
        <v>105</v>
      </c>
      <c r="H1646" s="7" t="n">
        <v>2</v>
      </c>
      <c r="I1646" s="7" t="n">
        <v>130</v>
      </c>
      <c r="J1646" s="7" t="n">
        <v>104</v>
      </c>
      <c r="K1646" s="7" t="s">
        <v>103</v>
      </c>
      <c r="L1646" s="7" t="s">
        <v>194</v>
      </c>
      <c r="M1646" s="7" t="n">
        <v>39</v>
      </c>
      <c r="N1646" s="7" t="n">
        <v>4</v>
      </c>
      <c r="O1646" s="7" t="str">
        <f aca="false">A1646&amp;"|"&amp;B1646&amp;"|"&amp;C1646&amp;"|"&amp;D1646&amp;"|"&amp;E1646&amp;"|"&amp;F1646&amp;"|"&amp;G1646&amp;"|"&amp;H1646&amp;"|"&amp;I1646&amp;"|"&amp;J1646&amp;"|"&amp;K1646&amp;"|"&amp;L1646&amp;"|"&amp;M1646&amp;"|"&amp;N1646</f>
        <v>ORD12097|2025-09-27|12:16|C1035|Momo Magic|Delhi|Chinese|2|130|104|Debit Card|Delivered|39|4</v>
      </c>
      <c r="P1646" s="7" t="str">
        <f aca="false">IF(COUNTIF($O$2:O1646,O1646)&gt;1,"DUP","OK")</f>
        <v>OK</v>
      </c>
      <c r="Q1646" s="7" t="n">
        <f aca="false">COUNTBLANK(A1646:N1646)</f>
        <v>0</v>
      </c>
      <c r="R1646" s="7" t="n">
        <f aca="false">IF(A1646="",0,COUNTIFS($A$2:$A$3058,A1646,$P$2:$P$3058,"OK"))</f>
        <v>1</v>
      </c>
      <c r="S1646" s="7" t="str">
        <f aca="false">IF(OR(A1646="",P1646="DUP",R1646&lt;2),"",IF(Q1646=_xlfn.MINIFS($Q$2:$Q$3058,$A$2:$A$3058,A1646,$P$2:$P$3058,"OK"),"KEEP","DROP"))</f>
        <v/>
      </c>
      <c r="T1646" s="9" t="n">
        <f aca="false">IF(A1646="",1,0)</f>
        <v>0</v>
      </c>
      <c r="U1646" s="9" t="n">
        <f aca="false">IF(D1646="",1,0)</f>
        <v>0</v>
      </c>
      <c r="V1646" s="9" t="n">
        <f aca="false">IF(E1646="",1,0)</f>
        <v>0</v>
      </c>
      <c r="W1646" s="9" t="n">
        <f aca="false">IF(OR(H1646&lt;1,H1646&gt;10),1,0)</f>
        <v>0</v>
      </c>
      <c r="X1646" s="9" t="n">
        <f aca="false">IF(OR(I1646&lt;=0,I1646&gt;1500),1,0)</f>
        <v>0</v>
      </c>
      <c r="Y1646" s="9" t="n">
        <f aca="false">IF(J1646&gt;H1646*I1646,1,0)</f>
        <v>0</v>
      </c>
      <c r="Z1646" s="9" t="n">
        <f aca="false">IF(AND(N1646&lt;&gt;"",OR(N1646&lt;1,N1646&gt;5)),1,0)</f>
        <v>0</v>
      </c>
      <c r="AA1646" s="9" t="n">
        <f aca="false">IF(AND(M1646&lt;&gt;"",OR(M1646&lt;5,M1646&gt;180)),1,0)</f>
        <v>0</v>
      </c>
      <c r="AB1646" s="7" t="str">
        <f aca="false">IF(P1646="DUP","Exact duplicate row",IF(T1646=1,"Missing Order ID",IF(S1646="DROP","Duplicate Order ID (less complete row)",IF(U1646=1,"Missing Customer ID",IF(V1646=1,"Missing Restaurant name",IF(W1646=1,"Invalid/outlier quantity",IF(X1646=1,"Invalid/outlier unit price",IF(Y1646=1,"Discount greater than order value",""))))))))</f>
        <v/>
      </c>
      <c r="AC1646" s="7" t="str">
        <f aca="false">IF(AB1646="","KEEP","DROP")</f>
        <v>KEEP</v>
      </c>
      <c r="AD1646" s="7" t="str">
        <f aca="false">IF(TRIM(F1646)="",IFERROR(INDEX(Map_Tables!$I$4:$I$37,MATCH(TRIM(E1646),Map_Tables!$G$4:$G$37,0)),""),IFERROR(INDEX(Map_Tables!$B$4:$B$18,MATCH(TRIM(F1646),Map_Tables!$A$4:$A$18,0)),"CHECK"))</f>
        <v>Delhi</v>
      </c>
      <c r="AE1646" s="7" t="str">
        <f aca="false">IF(TRIM(E1646)="","",IFERROR(INDEX(Map_Tables!$H$4:$H$37,MATCH(TRIM(E1646),Map_Tables!$G$4:$G$37,0)),"CHECK"))</f>
        <v>Momo Magic</v>
      </c>
      <c r="AF1646" s="7" t="str">
        <f aca="false">IF(TRIM(K1646)="","Unknown",IFERROR(INDEX(Map_Tables!$E$4:$E$15,MATCH(TRIM(K1646),Map_Tables!$D$4:$D$15,0)),"CHECK"))</f>
        <v>Debit Card</v>
      </c>
      <c r="AG1646" s="7" t="str">
        <f aca="false">IF(LEFT(LOWER(TRIM(L1646)),6)="cancel","Cancelled","Delivered")</f>
        <v>Delivered</v>
      </c>
      <c r="AH1646" s="10" t="n">
        <f aca="false">IF(ISNUMBER(SEARCH("/",B1646)),DATE(VALUE(RIGHT(B1646,4)),VALUE(MID(B1646,4,2)),VALUE(LEFT(B1646,2))),IF(MID(B1646,5,1)="-",DATE(VALUE(LEFT(B1646,4)),VALUE(MID(B1646,6,2)),VALUE(RIGHT(B1646,2))),DATE(VALUE(RIGHT(B1646,4)),MATCH(MID(B1646,4,3),{"Jan","Feb","Mar","Apr","May","Jun","Jul","Aug","Sep","Oct","Nov","Dec"},0),VALUE(LEFT(B1646,2)))))</f>
        <v>45927</v>
      </c>
    </row>
    <row r="1647" customFormat="false" ht="15" hidden="false" customHeight="false" outlineLevel="0" collapsed="false">
      <c r="A1647" s="7" t="s">
        <v>4176</v>
      </c>
      <c r="B1647" s="7" t="s">
        <v>410</v>
      </c>
      <c r="C1647" s="7" t="s">
        <v>2906</v>
      </c>
      <c r="D1647" s="7" t="s">
        <v>1827</v>
      </c>
      <c r="E1647" s="7" t="s">
        <v>166</v>
      </c>
      <c r="F1647" s="7" t="s">
        <v>146</v>
      </c>
      <c r="G1647" s="7" t="s">
        <v>117</v>
      </c>
      <c r="H1647" s="7" t="n">
        <v>1</v>
      </c>
      <c r="I1647" s="7" t="n">
        <v>95</v>
      </c>
      <c r="J1647" s="7" t="n">
        <v>38</v>
      </c>
      <c r="K1647" s="7" t="s">
        <v>88</v>
      </c>
      <c r="L1647" s="7" t="s">
        <v>194</v>
      </c>
      <c r="M1647" s="7" t="n">
        <v>28</v>
      </c>
      <c r="N1647" s="7" t="n">
        <v>2</v>
      </c>
      <c r="O1647" s="7" t="str">
        <f aca="false">A1647&amp;"|"&amp;B1647&amp;"|"&amp;C1647&amp;"|"&amp;D1647&amp;"|"&amp;E1647&amp;"|"&amp;F1647&amp;"|"&amp;G1647&amp;"|"&amp;H1647&amp;"|"&amp;I1647&amp;"|"&amp;J1647&amp;"|"&amp;K1647&amp;"|"&amp;L1647&amp;"|"&amp;M1647&amp;"|"&amp;N1647</f>
        <v>ORD10275|2025-02-07|14:59|C1101|Dhokla Delight|Ahmedabad|Street Food|1|95|38|UPI|Delivered|28|2</v>
      </c>
      <c r="P1647" s="7" t="str">
        <f aca="false">IF(COUNTIF($O$2:O1647,O1647)&gt;1,"DUP","OK")</f>
        <v>OK</v>
      </c>
      <c r="Q1647" s="7" t="n">
        <f aca="false">COUNTBLANK(A1647:N1647)</f>
        <v>0</v>
      </c>
      <c r="R1647" s="7" t="n">
        <f aca="false">IF(A1647="",0,COUNTIFS($A$2:$A$3058,A1647,$P$2:$P$3058,"OK"))</f>
        <v>1</v>
      </c>
      <c r="S1647" s="7" t="str">
        <f aca="false">IF(OR(A1647="",P1647="DUP",R1647&lt;2),"",IF(Q1647=_xlfn.MINIFS($Q$2:$Q$3058,$A$2:$A$3058,A1647,$P$2:$P$3058,"OK"),"KEEP","DROP"))</f>
        <v/>
      </c>
      <c r="T1647" s="9" t="n">
        <f aca="false">IF(A1647="",1,0)</f>
        <v>0</v>
      </c>
      <c r="U1647" s="9" t="n">
        <f aca="false">IF(D1647="",1,0)</f>
        <v>0</v>
      </c>
      <c r="V1647" s="9" t="n">
        <f aca="false">IF(E1647="",1,0)</f>
        <v>0</v>
      </c>
      <c r="W1647" s="9" t="n">
        <f aca="false">IF(OR(H1647&lt;1,H1647&gt;10),1,0)</f>
        <v>0</v>
      </c>
      <c r="X1647" s="9" t="n">
        <f aca="false">IF(OR(I1647&lt;=0,I1647&gt;1500),1,0)</f>
        <v>0</v>
      </c>
      <c r="Y1647" s="9" t="n">
        <f aca="false">IF(J1647&gt;H1647*I1647,1,0)</f>
        <v>0</v>
      </c>
      <c r="Z1647" s="9" t="n">
        <f aca="false">IF(AND(N1647&lt;&gt;"",OR(N1647&lt;1,N1647&gt;5)),1,0)</f>
        <v>0</v>
      </c>
      <c r="AA1647" s="9" t="n">
        <f aca="false">IF(AND(M1647&lt;&gt;"",OR(M1647&lt;5,M1647&gt;180)),1,0)</f>
        <v>0</v>
      </c>
      <c r="AB1647" s="7" t="str">
        <f aca="false">IF(P1647="DUP","Exact duplicate row",IF(T1647=1,"Missing Order ID",IF(S1647="DROP","Duplicate Order ID (less complete row)",IF(U1647=1,"Missing Customer ID",IF(V1647=1,"Missing Restaurant name",IF(W1647=1,"Invalid/outlier quantity",IF(X1647=1,"Invalid/outlier unit price",IF(Y1647=1,"Discount greater than order value",""))))))))</f>
        <v/>
      </c>
      <c r="AC1647" s="7" t="str">
        <f aca="false">IF(AB1647="","KEEP","DROP")</f>
        <v>KEEP</v>
      </c>
      <c r="AD1647" s="7" t="str">
        <f aca="false">IF(TRIM(F1647)="",IFERROR(INDEX(Map_Tables!$I$4:$I$37,MATCH(TRIM(E1647),Map_Tables!$G$4:$G$37,0)),""),IFERROR(INDEX(Map_Tables!$B$4:$B$18,MATCH(TRIM(F1647),Map_Tables!$A$4:$A$18,0)),"CHECK"))</f>
        <v>Ahmedabad</v>
      </c>
      <c r="AE1647" s="7" t="str">
        <f aca="false">IF(TRIM(E1647)="","",IFERROR(INDEX(Map_Tables!$H$4:$H$37,MATCH(TRIM(E1647),Map_Tables!$G$4:$G$37,0)),"CHECK"))</f>
        <v>Dhokla Delight</v>
      </c>
      <c r="AF1647" s="7" t="str">
        <f aca="false">IF(TRIM(K1647)="","Unknown",IFERROR(INDEX(Map_Tables!$E$4:$E$15,MATCH(TRIM(K1647),Map_Tables!$D$4:$D$15,0)),"CHECK"))</f>
        <v>UPI</v>
      </c>
      <c r="AG1647" s="7" t="str">
        <f aca="false">IF(LEFT(LOWER(TRIM(L1647)),6)="cancel","Cancelled","Delivered")</f>
        <v>Delivered</v>
      </c>
      <c r="AH1647" s="10" t="n">
        <f aca="false">IF(ISNUMBER(SEARCH("/",B1647)),DATE(VALUE(RIGHT(B1647,4)),VALUE(MID(B1647,4,2)),VALUE(LEFT(B1647,2))),IF(MID(B1647,5,1)="-",DATE(VALUE(LEFT(B1647,4)),VALUE(MID(B1647,6,2)),VALUE(RIGHT(B1647,2))),DATE(VALUE(RIGHT(B1647,4)),MATCH(MID(B1647,4,3),{"Jan","Feb","Mar","Apr","May","Jun","Jul","Aug","Sep","Oct","Nov","Dec"},0),VALUE(LEFT(B1647,2)))))</f>
        <v>45695</v>
      </c>
    </row>
    <row r="1648" customFormat="false" ht="15" hidden="false" customHeight="false" outlineLevel="0" collapsed="false">
      <c r="A1648" s="7" t="s">
        <v>4177</v>
      </c>
      <c r="B1648" s="7" t="s">
        <v>768</v>
      </c>
      <c r="C1648" s="7" t="s">
        <v>1066</v>
      </c>
      <c r="D1648" s="7" t="s">
        <v>4178</v>
      </c>
      <c r="E1648" s="7" t="s">
        <v>144</v>
      </c>
      <c r="F1648" s="7" t="s">
        <v>119</v>
      </c>
      <c r="G1648" s="7" t="s">
        <v>99</v>
      </c>
      <c r="H1648" s="7" t="n">
        <v>1</v>
      </c>
      <c r="I1648" s="7" t="n">
        <v>260</v>
      </c>
      <c r="J1648" s="7" t="n">
        <v>0</v>
      </c>
      <c r="K1648" s="7" t="s">
        <v>112</v>
      </c>
      <c r="L1648" s="7" t="s">
        <v>194</v>
      </c>
      <c r="M1648" s="7" t="n">
        <v>30</v>
      </c>
      <c r="N1648" s="7" t="n">
        <v>5</v>
      </c>
      <c r="O1648" s="7" t="str">
        <f aca="false">A1648&amp;"|"&amp;B1648&amp;"|"&amp;C1648&amp;"|"&amp;D1648&amp;"|"&amp;E1648&amp;"|"&amp;F1648&amp;"|"&amp;G1648&amp;"|"&amp;H1648&amp;"|"&amp;I1648&amp;"|"&amp;J1648&amp;"|"&amp;K1648&amp;"|"&amp;L1648&amp;"|"&amp;M1648&amp;"|"&amp;N1648</f>
        <v>ORD12569|2025-11-15|19:14|C0678|Hyderabad Dum Biryani|Hyderabad|Biryani|1|260|0|Cash on Delivery|Delivered|30|5</v>
      </c>
      <c r="P1648" s="7" t="str">
        <f aca="false">IF(COUNTIF($O$2:O1648,O1648)&gt;1,"DUP","OK")</f>
        <v>OK</v>
      </c>
      <c r="Q1648" s="7" t="n">
        <f aca="false">COUNTBLANK(A1648:N1648)</f>
        <v>0</v>
      </c>
      <c r="R1648" s="7" t="n">
        <f aca="false">IF(A1648="",0,COUNTIFS($A$2:$A$3058,A1648,$P$2:$P$3058,"OK"))</f>
        <v>1</v>
      </c>
      <c r="S1648" s="7" t="str">
        <f aca="false">IF(OR(A1648="",P1648="DUP",R1648&lt;2),"",IF(Q1648=_xlfn.MINIFS($Q$2:$Q$3058,$A$2:$A$3058,A1648,$P$2:$P$3058,"OK"),"KEEP","DROP"))</f>
        <v/>
      </c>
      <c r="T1648" s="9" t="n">
        <f aca="false">IF(A1648="",1,0)</f>
        <v>0</v>
      </c>
      <c r="U1648" s="9" t="n">
        <f aca="false">IF(D1648="",1,0)</f>
        <v>0</v>
      </c>
      <c r="V1648" s="9" t="n">
        <f aca="false">IF(E1648="",1,0)</f>
        <v>0</v>
      </c>
      <c r="W1648" s="9" t="n">
        <f aca="false">IF(OR(H1648&lt;1,H1648&gt;10),1,0)</f>
        <v>0</v>
      </c>
      <c r="X1648" s="9" t="n">
        <f aca="false">IF(OR(I1648&lt;=0,I1648&gt;1500),1,0)</f>
        <v>0</v>
      </c>
      <c r="Y1648" s="9" t="n">
        <f aca="false">IF(J1648&gt;H1648*I1648,1,0)</f>
        <v>0</v>
      </c>
      <c r="Z1648" s="9" t="n">
        <f aca="false">IF(AND(N1648&lt;&gt;"",OR(N1648&lt;1,N1648&gt;5)),1,0)</f>
        <v>0</v>
      </c>
      <c r="AA1648" s="9" t="n">
        <f aca="false">IF(AND(M1648&lt;&gt;"",OR(M1648&lt;5,M1648&gt;180)),1,0)</f>
        <v>0</v>
      </c>
      <c r="AB1648" s="7" t="str">
        <f aca="false">IF(P1648="DUP","Exact duplicate row",IF(T1648=1,"Missing Order ID",IF(S1648="DROP","Duplicate Order ID (less complete row)",IF(U1648=1,"Missing Customer ID",IF(V1648=1,"Missing Restaurant name",IF(W1648=1,"Invalid/outlier quantity",IF(X1648=1,"Invalid/outlier unit price",IF(Y1648=1,"Discount greater than order value",""))))))))</f>
        <v/>
      </c>
      <c r="AC1648" s="7" t="str">
        <f aca="false">IF(AB1648="","KEEP","DROP")</f>
        <v>KEEP</v>
      </c>
      <c r="AD1648" s="7" t="str">
        <f aca="false">IF(TRIM(F1648)="",IFERROR(INDEX(Map_Tables!$I$4:$I$37,MATCH(TRIM(E1648),Map_Tables!$G$4:$G$37,0)),""),IFERROR(INDEX(Map_Tables!$B$4:$B$18,MATCH(TRIM(F1648),Map_Tables!$A$4:$A$18,0)),"CHECK"))</f>
        <v>Hyderabad</v>
      </c>
      <c r="AE1648" s="7" t="str">
        <f aca="false">IF(TRIM(E1648)="","",IFERROR(INDEX(Map_Tables!$H$4:$H$37,MATCH(TRIM(E1648),Map_Tables!$G$4:$G$37,0)),"CHECK"))</f>
        <v>Hyderabad Dum Biryani</v>
      </c>
      <c r="AF1648" s="7" t="str">
        <f aca="false">IF(TRIM(K1648)="","Unknown",IFERROR(INDEX(Map_Tables!$E$4:$E$15,MATCH(TRIM(K1648),Map_Tables!$D$4:$D$15,0)),"CHECK"))</f>
        <v>Cash on Delivery</v>
      </c>
      <c r="AG1648" s="7" t="str">
        <f aca="false">IF(LEFT(LOWER(TRIM(L1648)),6)="cancel","Cancelled","Delivered")</f>
        <v>Delivered</v>
      </c>
      <c r="AH1648" s="10" t="n">
        <f aca="false">IF(ISNUMBER(SEARCH("/",B1648)),DATE(VALUE(RIGHT(B1648,4)),VALUE(MID(B1648,4,2)),VALUE(LEFT(B1648,2))),IF(MID(B1648,5,1)="-",DATE(VALUE(LEFT(B1648,4)),VALUE(MID(B1648,6,2)),VALUE(RIGHT(B1648,2))),DATE(VALUE(RIGHT(B1648,4)),MATCH(MID(B1648,4,3),{"Jan","Feb","Mar","Apr","May","Jun","Jul","Aug","Sep","Oct","Nov","Dec"},0),VALUE(LEFT(B1648,2)))))</f>
        <v>45976</v>
      </c>
    </row>
    <row r="1649" customFormat="false" ht="15" hidden="false" customHeight="false" outlineLevel="0" collapsed="false">
      <c r="A1649" s="7" t="s">
        <v>4179</v>
      </c>
      <c r="B1649" s="7" t="s">
        <v>4180</v>
      </c>
      <c r="C1649" s="7" t="s">
        <v>2255</v>
      </c>
      <c r="D1649" s="7" t="s">
        <v>4181</v>
      </c>
      <c r="E1649" s="7" t="s">
        <v>138</v>
      </c>
      <c r="F1649" s="7" t="s">
        <v>110</v>
      </c>
      <c r="G1649" s="7" t="s">
        <v>139</v>
      </c>
      <c r="H1649" s="7" t="n">
        <v>3</v>
      </c>
      <c r="I1649" s="7" t="n">
        <v>190</v>
      </c>
      <c r="J1649" s="7" t="n">
        <v>0</v>
      </c>
      <c r="K1649" s="7" t="s">
        <v>93</v>
      </c>
      <c r="L1649" s="7" t="s">
        <v>194</v>
      </c>
      <c r="M1649" s="7" t="n">
        <v>45</v>
      </c>
      <c r="N1649" s="7" t="n">
        <v>5</v>
      </c>
      <c r="O1649" s="7" t="str">
        <f aca="false">A1649&amp;"|"&amp;B1649&amp;"|"&amp;C1649&amp;"|"&amp;D1649&amp;"|"&amp;E1649&amp;"|"&amp;F1649&amp;"|"&amp;G1649&amp;"|"&amp;H1649&amp;"|"&amp;I1649&amp;"|"&amp;J1649&amp;"|"&amp;K1649&amp;"|"&amp;L1649&amp;"|"&amp;M1649&amp;"|"&amp;N1649</f>
        <v>ORD11075|16/05/2025|18:55|C1130|Burger Barn|Delhi|Burgers|3|190|0|Credit Card|Delivered|45|5</v>
      </c>
      <c r="P1649" s="7" t="str">
        <f aca="false">IF(COUNTIF($O$2:O1649,O1649)&gt;1,"DUP","OK")</f>
        <v>OK</v>
      </c>
      <c r="Q1649" s="7" t="n">
        <f aca="false">COUNTBLANK(A1649:N1649)</f>
        <v>0</v>
      </c>
      <c r="R1649" s="7" t="n">
        <f aca="false">IF(A1649="",0,COUNTIFS($A$2:$A$3058,A1649,$P$2:$P$3058,"OK"))</f>
        <v>1</v>
      </c>
      <c r="S1649" s="7" t="str">
        <f aca="false">IF(OR(A1649="",P1649="DUP",R1649&lt;2),"",IF(Q1649=_xlfn.MINIFS($Q$2:$Q$3058,$A$2:$A$3058,A1649,$P$2:$P$3058,"OK"),"KEEP","DROP"))</f>
        <v/>
      </c>
      <c r="T1649" s="9" t="n">
        <f aca="false">IF(A1649="",1,0)</f>
        <v>0</v>
      </c>
      <c r="U1649" s="9" t="n">
        <f aca="false">IF(D1649="",1,0)</f>
        <v>0</v>
      </c>
      <c r="V1649" s="9" t="n">
        <f aca="false">IF(E1649="",1,0)</f>
        <v>0</v>
      </c>
      <c r="W1649" s="9" t="n">
        <f aca="false">IF(OR(H1649&lt;1,H1649&gt;10),1,0)</f>
        <v>0</v>
      </c>
      <c r="X1649" s="9" t="n">
        <f aca="false">IF(OR(I1649&lt;=0,I1649&gt;1500),1,0)</f>
        <v>0</v>
      </c>
      <c r="Y1649" s="9" t="n">
        <f aca="false">IF(J1649&gt;H1649*I1649,1,0)</f>
        <v>0</v>
      </c>
      <c r="Z1649" s="9" t="n">
        <f aca="false">IF(AND(N1649&lt;&gt;"",OR(N1649&lt;1,N1649&gt;5)),1,0)</f>
        <v>0</v>
      </c>
      <c r="AA1649" s="9" t="n">
        <f aca="false">IF(AND(M1649&lt;&gt;"",OR(M1649&lt;5,M1649&gt;180)),1,0)</f>
        <v>0</v>
      </c>
      <c r="AB1649" s="7" t="str">
        <f aca="false">IF(P1649="DUP","Exact duplicate row",IF(T1649=1,"Missing Order ID",IF(S1649="DROP","Duplicate Order ID (less complete row)",IF(U1649=1,"Missing Customer ID",IF(V1649=1,"Missing Restaurant name",IF(W1649=1,"Invalid/outlier quantity",IF(X1649=1,"Invalid/outlier unit price",IF(Y1649=1,"Discount greater than order value",""))))))))</f>
        <v/>
      </c>
      <c r="AC1649" s="7" t="str">
        <f aca="false">IF(AB1649="","KEEP","DROP")</f>
        <v>KEEP</v>
      </c>
      <c r="AD1649" s="7" t="str">
        <f aca="false">IF(TRIM(F1649)="",IFERROR(INDEX(Map_Tables!$I$4:$I$37,MATCH(TRIM(E1649),Map_Tables!$G$4:$G$37,0)),""),IFERROR(INDEX(Map_Tables!$B$4:$B$18,MATCH(TRIM(F1649),Map_Tables!$A$4:$A$18,0)),"CHECK"))</f>
        <v>Delhi</v>
      </c>
      <c r="AE1649" s="7" t="str">
        <f aca="false">IF(TRIM(E1649)="","",IFERROR(INDEX(Map_Tables!$H$4:$H$37,MATCH(TRIM(E1649),Map_Tables!$G$4:$G$37,0)),"CHECK"))</f>
        <v>Burger Barn</v>
      </c>
      <c r="AF1649" s="7" t="str">
        <f aca="false">IF(TRIM(K1649)="","Unknown",IFERROR(INDEX(Map_Tables!$E$4:$E$15,MATCH(TRIM(K1649),Map_Tables!$D$4:$D$15,0)),"CHECK"))</f>
        <v>Credit Card</v>
      </c>
      <c r="AG1649" s="7" t="str">
        <f aca="false">IF(LEFT(LOWER(TRIM(L1649)),6)="cancel","Cancelled","Delivered")</f>
        <v>Delivered</v>
      </c>
      <c r="AH1649" s="10" t="n">
        <f aca="false">IF(ISNUMBER(SEARCH("/",B1649)),DATE(VALUE(RIGHT(B1649,4)),VALUE(MID(B1649,4,2)),VALUE(LEFT(B1649,2))),IF(MID(B1649,5,1)="-",DATE(VALUE(LEFT(B1649,4)),VALUE(MID(B1649,6,2)),VALUE(RIGHT(B1649,2))),DATE(VALUE(RIGHT(B1649,4)),MATCH(MID(B1649,4,3),{"Jan","Feb","Mar","Apr","May","Jun","Jul","Aug","Sep","Oct","Nov","Dec"},0),VALUE(LEFT(B1649,2)))))</f>
        <v>45793</v>
      </c>
    </row>
    <row r="1650" customFormat="false" ht="15" hidden="false" customHeight="false" outlineLevel="0" collapsed="false">
      <c r="A1650" s="7" t="s">
        <v>4182</v>
      </c>
      <c r="B1650" s="7" t="s">
        <v>671</v>
      </c>
      <c r="C1650" s="7" t="s">
        <v>1164</v>
      </c>
      <c r="D1650" s="7" t="s">
        <v>4183</v>
      </c>
      <c r="E1650" s="7" t="s">
        <v>130</v>
      </c>
      <c r="F1650" s="7" t="s">
        <v>521</v>
      </c>
      <c r="G1650" s="7" t="s">
        <v>90</v>
      </c>
      <c r="H1650" s="7" t="n">
        <v>1</v>
      </c>
      <c r="I1650" s="7" t="n">
        <v>310</v>
      </c>
      <c r="J1650" s="7" t="n">
        <v>20</v>
      </c>
      <c r="K1650" s="7" t="s">
        <v>88</v>
      </c>
      <c r="L1650" s="7" t="s">
        <v>194</v>
      </c>
      <c r="M1650" s="7" t="n">
        <v>49</v>
      </c>
      <c r="N1650" s="7" t="n">
        <v>4</v>
      </c>
      <c r="O1650" s="7" t="str">
        <f aca="false">A1650&amp;"|"&amp;B1650&amp;"|"&amp;C1650&amp;"|"&amp;D1650&amp;"|"&amp;E1650&amp;"|"&amp;F1650&amp;"|"&amp;G1650&amp;"|"&amp;H1650&amp;"|"&amp;I1650&amp;"|"&amp;J1650&amp;"|"&amp;K1650&amp;"|"&amp;L1650&amp;"|"&amp;M1650&amp;"|"&amp;N1650</f>
        <v>ORD12555|2025-11-14|13:25|C0814|Tandoor Tales|DELHI|North Indian|1|310|20|UPI|Delivered|49|4</v>
      </c>
      <c r="P1650" s="7" t="str">
        <f aca="false">IF(COUNTIF($O$2:O1650,O1650)&gt;1,"DUP","OK")</f>
        <v>OK</v>
      </c>
      <c r="Q1650" s="7" t="n">
        <f aca="false">COUNTBLANK(A1650:N1650)</f>
        <v>0</v>
      </c>
      <c r="R1650" s="7" t="n">
        <f aca="false">IF(A1650="",0,COUNTIFS($A$2:$A$3058,A1650,$P$2:$P$3058,"OK"))</f>
        <v>1</v>
      </c>
      <c r="S1650" s="7" t="str">
        <f aca="false">IF(OR(A1650="",P1650="DUP",R1650&lt;2),"",IF(Q1650=_xlfn.MINIFS($Q$2:$Q$3058,$A$2:$A$3058,A1650,$P$2:$P$3058,"OK"),"KEEP","DROP"))</f>
        <v/>
      </c>
      <c r="T1650" s="9" t="n">
        <f aca="false">IF(A1650="",1,0)</f>
        <v>0</v>
      </c>
      <c r="U1650" s="9" t="n">
        <f aca="false">IF(D1650="",1,0)</f>
        <v>0</v>
      </c>
      <c r="V1650" s="9" t="n">
        <f aca="false">IF(E1650="",1,0)</f>
        <v>0</v>
      </c>
      <c r="W1650" s="9" t="n">
        <f aca="false">IF(OR(H1650&lt;1,H1650&gt;10),1,0)</f>
        <v>0</v>
      </c>
      <c r="X1650" s="9" t="n">
        <f aca="false">IF(OR(I1650&lt;=0,I1650&gt;1500),1,0)</f>
        <v>0</v>
      </c>
      <c r="Y1650" s="9" t="n">
        <f aca="false">IF(J1650&gt;H1650*I1650,1,0)</f>
        <v>0</v>
      </c>
      <c r="Z1650" s="9" t="n">
        <f aca="false">IF(AND(N1650&lt;&gt;"",OR(N1650&lt;1,N1650&gt;5)),1,0)</f>
        <v>0</v>
      </c>
      <c r="AA1650" s="9" t="n">
        <f aca="false">IF(AND(M1650&lt;&gt;"",OR(M1650&lt;5,M1650&gt;180)),1,0)</f>
        <v>0</v>
      </c>
      <c r="AB1650" s="7" t="str">
        <f aca="false">IF(P1650="DUP","Exact duplicate row",IF(T1650=1,"Missing Order ID",IF(S1650="DROP","Duplicate Order ID (less complete row)",IF(U1650=1,"Missing Customer ID",IF(V1650=1,"Missing Restaurant name",IF(W1650=1,"Invalid/outlier quantity",IF(X1650=1,"Invalid/outlier unit price",IF(Y1650=1,"Discount greater than order value",""))))))))</f>
        <v/>
      </c>
      <c r="AC1650" s="7" t="str">
        <f aca="false">IF(AB1650="","KEEP","DROP")</f>
        <v>KEEP</v>
      </c>
      <c r="AD1650" s="7" t="str">
        <f aca="false">IF(TRIM(F1650)="",IFERROR(INDEX(Map_Tables!$I$4:$I$37,MATCH(TRIM(E1650),Map_Tables!$G$4:$G$37,0)),""),IFERROR(INDEX(Map_Tables!$B$4:$B$18,MATCH(TRIM(F1650),Map_Tables!$A$4:$A$18,0)),"CHECK"))</f>
        <v>Delhi</v>
      </c>
      <c r="AE1650" s="7" t="str">
        <f aca="false">IF(TRIM(E1650)="","",IFERROR(INDEX(Map_Tables!$H$4:$H$37,MATCH(TRIM(E1650),Map_Tables!$G$4:$G$37,0)),"CHECK"))</f>
        <v>Tandoor Tales</v>
      </c>
      <c r="AF1650" s="7" t="str">
        <f aca="false">IF(TRIM(K1650)="","Unknown",IFERROR(INDEX(Map_Tables!$E$4:$E$15,MATCH(TRIM(K1650),Map_Tables!$D$4:$D$15,0)),"CHECK"))</f>
        <v>UPI</v>
      </c>
      <c r="AG1650" s="7" t="str">
        <f aca="false">IF(LEFT(LOWER(TRIM(L1650)),6)="cancel","Cancelled","Delivered")</f>
        <v>Delivered</v>
      </c>
      <c r="AH1650" s="10" t="n">
        <f aca="false">IF(ISNUMBER(SEARCH("/",B1650)),DATE(VALUE(RIGHT(B1650,4)),VALUE(MID(B1650,4,2)),VALUE(LEFT(B1650,2))),IF(MID(B1650,5,1)="-",DATE(VALUE(LEFT(B1650,4)),VALUE(MID(B1650,6,2)),VALUE(RIGHT(B1650,2))),DATE(VALUE(RIGHT(B1650,4)),MATCH(MID(B1650,4,3),{"Jan","Feb","Mar","Apr","May","Jun","Jul","Aug","Sep","Oct","Nov","Dec"},0),VALUE(LEFT(B1650,2)))))</f>
        <v>45975</v>
      </c>
    </row>
    <row r="1651" customFormat="false" ht="15" hidden="false" customHeight="false" outlineLevel="0" collapsed="false">
      <c r="A1651" s="7" t="s">
        <v>4184</v>
      </c>
      <c r="B1651" s="7" t="s">
        <v>4185</v>
      </c>
      <c r="C1651" s="7" t="s">
        <v>2705</v>
      </c>
      <c r="D1651" s="7" t="s">
        <v>471</v>
      </c>
      <c r="E1651" s="7" t="s">
        <v>154</v>
      </c>
      <c r="F1651" s="7" t="s">
        <v>128</v>
      </c>
      <c r="G1651" s="7" t="s">
        <v>99</v>
      </c>
      <c r="H1651" s="7" t="n">
        <v>3</v>
      </c>
      <c r="I1651" s="7" t="n">
        <v>235</v>
      </c>
      <c r="J1651" s="7" t="n">
        <v>0</v>
      </c>
      <c r="K1651" s="7" t="s">
        <v>93</v>
      </c>
      <c r="L1651" s="7" t="s">
        <v>194</v>
      </c>
      <c r="M1651" s="7" t="n">
        <v>31</v>
      </c>
      <c r="N1651" s="7" t="n">
        <v>5</v>
      </c>
      <c r="O1651" s="7" t="str">
        <f aca="false">A1651&amp;"|"&amp;B1651&amp;"|"&amp;C1651&amp;"|"&amp;D1651&amp;"|"&amp;E1651&amp;"|"&amp;F1651&amp;"|"&amp;G1651&amp;"|"&amp;H1651&amp;"|"&amp;I1651&amp;"|"&amp;J1651&amp;"|"&amp;K1651&amp;"|"&amp;L1651&amp;"|"&amp;M1651&amp;"|"&amp;N1651</f>
        <v>ORD12655|23-Nov-2025|21:53|C0728|Madras Biryani Co|Chennai|Biryani|3|235|0|Credit Card|Delivered|31|5</v>
      </c>
      <c r="P1651" s="7" t="str">
        <f aca="false">IF(COUNTIF($O$2:O1651,O1651)&gt;1,"DUP","OK")</f>
        <v>OK</v>
      </c>
      <c r="Q1651" s="7" t="n">
        <f aca="false">COUNTBLANK(A1651:N1651)</f>
        <v>0</v>
      </c>
      <c r="R1651" s="7" t="n">
        <f aca="false">IF(A1651="",0,COUNTIFS($A$2:$A$3058,A1651,$P$2:$P$3058,"OK"))</f>
        <v>1</v>
      </c>
      <c r="S1651" s="7" t="str">
        <f aca="false">IF(OR(A1651="",P1651="DUP",R1651&lt;2),"",IF(Q1651=_xlfn.MINIFS($Q$2:$Q$3058,$A$2:$A$3058,A1651,$P$2:$P$3058,"OK"),"KEEP","DROP"))</f>
        <v/>
      </c>
      <c r="T1651" s="9" t="n">
        <f aca="false">IF(A1651="",1,0)</f>
        <v>0</v>
      </c>
      <c r="U1651" s="9" t="n">
        <f aca="false">IF(D1651="",1,0)</f>
        <v>0</v>
      </c>
      <c r="V1651" s="9" t="n">
        <f aca="false">IF(E1651="",1,0)</f>
        <v>0</v>
      </c>
      <c r="W1651" s="9" t="n">
        <f aca="false">IF(OR(H1651&lt;1,H1651&gt;10),1,0)</f>
        <v>0</v>
      </c>
      <c r="X1651" s="9" t="n">
        <f aca="false">IF(OR(I1651&lt;=0,I1651&gt;1500),1,0)</f>
        <v>0</v>
      </c>
      <c r="Y1651" s="9" t="n">
        <f aca="false">IF(J1651&gt;H1651*I1651,1,0)</f>
        <v>0</v>
      </c>
      <c r="Z1651" s="9" t="n">
        <f aca="false">IF(AND(N1651&lt;&gt;"",OR(N1651&lt;1,N1651&gt;5)),1,0)</f>
        <v>0</v>
      </c>
      <c r="AA1651" s="9" t="n">
        <f aca="false">IF(AND(M1651&lt;&gt;"",OR(M1651&lt;5,M1651&gt;180)),1,0)</f>
        <v>0</v>
      </c>
      <c r="AB1651" s="7" t="str">
        <f aca="false">IF(P1651="DUP","Exact duplicate row",IF(T1651=1,"Missing Order ID",IF(S1651="DROP","Duplicate Order ID (less complete row)",IF(U1651=1,"Missing Customer ID",IF(V1651=1,"Missing Restaurant name",IF(W1651=1,"Invalid/outlier quantity",IF(X1651=1,"Invalid/outlier unit price",IF(Y1651=1,"Discount greater than order value",""))))))))</f>
        <v/>
      </c>
      <c r="AC1651" s="7" t="str">
        <f aca="false">IF(AB1651="","KEEP","DROP")</f>
        <v>KEEP</v>
      </c>
      <c r="AD1651" s="7" t="str">
        <f aca="false">IF(TRIM(F1651)="",IFERROR(INDEX(Map_Tables!$I$4:$I$37,MATCH(TRIM(E1651),Map_Tables!$G$4:$G$37,0)),""),IFERROR(INDEX(Map_Tables!$B$4:$B$18,MATCH(TRIM(F1651),Map_Tables!$A$4:$A$18,0)),"CHECK"))</f>
        <v>Chennai</v>
      </c>
      <c r="AE1651" s="7" t="str">
        <f aca="false">IF(TRIM(E1651)="","",IFERROR(INDEX(Map_Tables!$H$4:$H$37,MATCH(TRIM(E1651),Map_Tables!$G$4:$G$37,0)),"CHECK"))</f>
        <v>Madras Biryani Co</v>
      </c>
      <c r="AF1651" s="7" t="str">
        <f aca="false">IF(TRIM(K1651)="","Unknown",IFERROR(INDEX(Map_Tables!$E$4:$E$15,MATCH(TRIM(K1651),Map_Tables!$D$4:$D$15,0)),"CHECK"))</f>
        <v>Credit Card</v>
      </c>
      <c r="AG1651" s="7" t="str">
        <f aca="false">IF(LEFT(LOWER(TRIM(L1651)),6)="cancel","Cancelled","Delivered")</f>
        <v>Delivered</v>
      </c>
      <c r="AH1651" s="10" t="n">
        <f aca="false">IF(ISNUMBER(SEARCH("/",B1651)),DATE(VALUE(RIGHT(B1651,4)),VALUE(MID(B1651,4,2)),VALUE(LEFT(B1651,2))),IF(MID(B1651,5,1)="-",DATE(VALUE(LEFT(B1651,4)),VALUE(MID(B1651,6,2)),VALUE(RIGHT(B1651,2))),DATE(VALUE(RIGHT(B1651,4)),MATCH(MID(B1651,4,3),{"Jan","Feb","Mar","Apr","May","Jun","Jul","Aug","Sep","Oct","Nov","Dec"},0),VALUE(LEFT(B1651,2)))))</f>
        <v>45984</v>
      </c>
    </row>
    <row r="1652" customFormat="false" ht="15" hidden="false" customHeight="false" outlineLevel="0" collapsed="false">
      <c r="A1652" s="7" t="s">
        <v>4186</v>
      </c>
      <c r="B1652" s="7" t="s">
        <v>875</v>
      </c>
      <c r="C1652" s="7" t="s">
        <v>4187</v>
      </c>
      <c r="D1652" s="7" t="s">
        <v>392</v>
      </c>
      <c r="E1652" s="7" t="s">
        <v>160</v>
      </c>
      <c r="F1652" s="7" t="s">
        <v>136</v>
      </c>
      <c r="G1652" s="7" t="s">
        <v>150</v>
      </c>
      <c r="H1652" s="7" t="n">
        <v>1</v>
      </c>
      <c r="I1652" s="7" t="n">
        <v>230</v>
      </c>
      <c r="J1652" s="7" t="n">
        <v>40</v>
      </c>
      <c r="K1652" s="7"/>
      <c r="L1652" s="7" t="s">
        <v>194</v>
      </c>
      <c r="M1652" s="7" t="n">
        <v>22</v>
      </c>
      <c r="N1652" s="7" t="n">
        <v>3</v>
      </c>
      <c r="O1652" s="7" t="str">
        <f aca="false">A1652&amp;"|"&amp;B1652&amp;"|"&amp;C1652&amp;"|"&amp;D1652&amp;"|"&amp;E1652&amp;"|"&amp;F1652&amp;"|"&amp;G1652&amp;"|"&amp;H1652&amp;"|"&amp;I1652&amp;"|"&amp;J1652&amp;"|"&amp;K1652&amp;"|"&amp;L1652&amp;"|"&amp;M1652&amp;"|"&amp;N1652</f>
        <v>ORD12922|2025-12-23|01:19|C1106|Cake Walk|Pune|Desserts|1|230|40||Delivered|22|3</v>
      </c>
      <c r="P1652" s="7" t="str">
        <f aca="false">IF(COUNTIF($O$2:O1652,O1652)&gt;1,"DUP","OK")</f>
        <v>OK</v>
      </c>
      <c r="Q1652" s="7" t="n">
        <f aca="false">COUNTBLANK(A1652:N1652)</f>
        <v>1</v>
      </c>
      <c r="R1652" s="7" t="n">
        <f aca="false">IF(A1652="",0,COUNTIFS($A$2:$A$3058,A1652,$P$2:$P$3058,"OK"))</f>
        <v>1</v>
      </c>
      <c r="S1652" s="7" t="str">
        <f aca="false">IF(OR(A1652="",P1652="DUP",R1652&lt;2),"",IF(Q1652=_xlfn.MINIFS($Q$2:$Q$3058,$A$2:$A$3058,A1652,$P$2:$P$3058,"OK"),"KEEP","DROP"))</f>
        <v/>
      </c>
      <c r="T1652" s="9" t="n">
        <f aca="false">IF(A1652="",1,0)</f>
        <v>0</v>
      </c>
      <c r="U1652" s="9" t="n">
        <f aca="false">IF(D1652="",1,0)</f>
        <v>0</v>
      </c>
      <c r="V1652" s="9" t="n">
        <f aca="false">IF(E1652="",1,0)</f>
        <v>0</v>
      </c>
      <c r="W1652" s="9" t="n">
        <f aca="false">IF(OR(H1652&lt;1,H1652&gt;10),1,0)</f>
        <v>0</v>
      </c>
      <c r="X1652" s="9" t="n">
        <f aca="false">IF(OR(I1652&lt;=0,I1652&gt;1500),1,0)</f>
        <v>0</v>
      </c>
      <c r="Y1652" s="9" t="n">
        <f aca="false">IF(J1652&gt;H1652*I1652,1,0)</f>
        <v>0</v>
      </c>
      <c r="Z1652" s="9" t="n">
        <f aca="false">IF(AND(N1652&lt;&gt;"",OR(N1652&lt;1,N1652&gt;5)),1,0)</f>
        <v>0</v>
      </c>
      <c r="AA1652" s="9" t="n">
        <f aca="false">IF(AND(M1652&lt;&gt;"",OR(M1652&lt;5,M1652&gt;180)),1,0)</f>
        <v>0</v>
      </c>
      <c r="AB1652" s="7" t="str">
        <f aca="false">IF(P1652="DUP","Exact duplicate row",IF(T1652=1,"Missing Order ID",IF(S1652="DROP","Duplicate Order ID (less complete row)",IF(U1652=1,"Missing Customer ID",IF(V1652=1,"Missing Restaurant name",IF(W1652=1,"Invalid/outlier quantity",IF(X1652=1,"Invalid/outlier unit price",IF(Y1652=1,"Discount greater than order value",""))))))))</f>
        <v/>
      </c>
      <c r="AC1652" s="7" t="str">
        <f aca="false">IF(AB1652="","KEEP","DROP")</f>
        <v>KEEP</v>
      </c>
      <c r="AD1652" s="7" t="str">
        <f aca="false">IF(TRIM(F1652)="",IFERROR(INDEX(Map_Tables!$I$4:$I$37,MATCH(TRIM(E1652),Map_Tables!$G$4:$G$37,0)),""),IFERROR(INDEX(Map_Tables!$B$4:$B$18,MATCH(TRIM(F1652),Map_Tables!$A$4:$A$18,0)),"CHECK"))</f>
        <v>Pune</v>
      </c>
      <c r="AE1652" s="7" t="str">
        <f aca="false">IF(TRIM(E1652)="","",IFERROR(INDEX(Map_Tables!$H$4:$H$37,MATCH(TRIM(E1652),Map_Tables!$G$4:$G$37,0)),"CHECK"))</f>
        <v>Cake Walk</v>
      </c>
      <c r="AF1652" s="7" t="str">
        <f aca="false">IF(TRIM(K1652)="","Unknown",IFERROR(INDEX(Map_Tables!$E$4:$E$15,MATCH(TRIM(K1652),Map_Tables!$D$4:$D$15,0)),"CHECK"))</f>
        <v>Unknown</v>
      </c>
      <c r="AG1652" s="7" t="str">
        <f aca="false">IF(LEFT(LOWER(TRIM(L1652)),6)="cancel","Cancelled","Delivered")</f>
        <v>Delivered</v>
      </c>
      <c r="AH1652" s="10" t="n">
        <f aca="false">IF(ISNUMBER(SEARCH("/",B1652)),DATE(VALUE(RIGHT(B1652,4)),VALUE(MID(B1652,4,2)),VALUE(LEFT(B1652,2))),IF(MID(B1652,5,1)="-",DATE(VALUE(LEFT(B1652,4)),VALUE(MID(B1652,6,2)),VALUE(RIGHT(B1652,2))),DATE(VALUE(RIGHT(B1652,4)),MATCH(MID(B1652,4,3),{"Jan","Feb","Mar","Apr","May","Jun","Jul","Aug","Sep","Oct","Nov","Dec"},0),VALUE(LEFT(B1652,2)))))</f>
        <v>46014</v>
      </c>
    </row>
    <row r="1653" customFormat="false" ht="15" hidden="false" customHeight="false" outlineLevel="0" collapsed="false">
      <c r="A1653" s="7" t="s">
        <v>4188</v>
      </c>
      <c r="B1653" s="7" t="s">
        <v>791</v>
      </c>
      <c r="C1653" s="7" t="s">
        <v>1899</v>
      </c>
      <c r="D1653" s="7" t="s">
        <v>4189</v>
      </c>
      <c r="E1653" s="7" t="s">
        <v>98</v>
      </c>
      <c r="F1653" s="7" t="s">
        <v>86</v>
      </c>
      <c r="G1653" s="7" t="s">
        <v>99</v>
      </c>
      <c r="H1653" s="7" t="n">
        <v>2</v>
      </c>
      <c r="I1653" s="7" t="n">
        <v>250</v>
      </c>
      <c r="J1653" s="7" t="n">
        <v>100</v>
      </c>
      <c r="K1653" s="7" t="s">
        <v>121</v>
      </c>
      <c r="L1653" s="7" t="s">
        <v>194</v>
      </c>
      <c r="M1653" s="7" t="n">
        <v>40</v>
      </c>
      <c r="N1653" s="7" t="n">
        <v>5</v>
      </c>
      <c r="O1653" s="7" t="str">
        <f aca="false">A1653&amp;"|"&amp;B1653&amp;"|"&amp;C1653&amp;"|"&amp;D1653&amp;"|"&amp;E1653&amp;"|"&amp;F1653&amp;"|"&amp;G1653&amp;"|"&amp;H1653&amp;"|"&amp;I1653&amp;"|"&amp;J1653&amp;"|"&amp;K1653&amp;"|"&amp;L1653&amp;"|"&amp;M1653&amp;"|"&amp;N1653</f>
        <v>ORD12500|2025-11-10|11:19|C0177|Nawabi Biryani House|Bengaluru|Biryani|2|250|100|Wallet|Delivered|40|5</v>
      </c>
      <c r="P1653" s="7" t="str">
        <f aca="false">IF(COUNTIF($O$2:O1653,O1653)&gt;1,"DUP","OK")</f>
        <v>OK</v>
      </c>
      <c r="Q1653" s="7" t="n">
        <f aca="false">COUNTBLANK(A1653:N1653)</f>
        <v>0</v>
      </c>
      <c r="R1653" s="7" t="n">
        <f aca="false">IF(A1653="",0,COUNTIFS($A$2:$A$3058,A1653,$P$2:$P$3058,"OK"))</f>
        <v>1</v>
      </c>
      <c r="S1653" s="7" t="str">
        <f aca="false">IF(OR(A1653="",P1653="DUP",R1653&lt;2),"",IF(Q1653=_xlfn.MINIFS($Q$2:$Q$3058,$A$2:$A$3058,A1653,$P$2:$P$3058,"OK"),"KEEP","DROP"))</f>
        <v/>
      </c>
      <c r="T1653" s="9" t="n">
        <f aca="false">IF(A1653="",1,0)</f>
        <v>0</v>
      </c>
      <c r="U1653" s="9" t="n">
        <f aca="false">IF(D1653="",1,0)</f>
        <v>0</v>
      </c>
      <c r="V1653" s="9" t="n">
        <f aca="false">IF(E1653="",1,0)</f>
        <v>0</v>
      </c>
      <c r="W1653" s="9" t="n">
        <f aca="false">IF(OR(H1653&lt;1,H1653&gt;10),1,0)</f>
        <v>0</v>
      </c>
      <c r="X1653" s="9" t="n">
        <f aca="false">IF(OR(I1653&lt;=0,I1653&gt;1500),1,0)</f>
        <v>0</v>
      </c>
      <c r="Y1653" s="9" t="n">
        <f aca="false">IF(J1653&gt;H1653*I1653,1,0)</f>
        <v>0</v>
      </c>
      <c r="Z1653" s="9" t="n">
        <f aca="false">IF(AND(N1653&lt;&gt;"",OR(N1653&lt;1,N1653&gt;5)),1,0)</f>
        <v>0</v>
      </c>
      <c r="AA1653" s="9" t="n">
        <f aca="false">IF(AND(M1653&lt;&gt;"",OR(M1653&lt;5,M1653&gt;180)),1,0)</f>
        <v>0</v>
      </c>
      <c r="AB1653" s="7" t="str">
        <f aca="false">IF(P1653="DUP","Exact duplicate row",IF(T1653=1,"Missing Order ID",IF(S1653="DROP","Duplicate Order ID (less complete row)",IF(U1653=1,"Missing Customer ID",IF(V1653=1,"Missing Restaurant name",IF(W1653=1,"Invalid/outlier quantity",IF(X1653=1,"Invalid/outlier unit price",IF(Y1653=1,"Discount greater than order value",""))))))))</f>
        <v/>
      </c>
      <c r="AC1653" s="7" t="str">
        <f aca="false">IF(AB1653="","KEEP","DROP")</f>
        <v>KEEP</v>
      </c>
      <c r="AD1653" s="7" t="str">
        <f aca="false">IF(TRIM(F1653)="",IFERROR(INDEX(Map_Tables!$I$4:$I$37,MATCH(TRIM(E1653),Map_Tables!$G$4:$G$37,0)),""),IFERROR(INDEX(Map_Tables!$B$4:$B$18,MATCH(TRIM(F1653),Map_Tables!$A$4:$A$18,0)),"CHECK"))</f>
        <v>Bengaluru</v>
      </c>
      <c r="AE1653" s="7" t="str">
        <f aca="false">IF(TRIM(E1653)="","",IFERROR(INDEX(Map_Tables!$H$4:$H$37,MATCH(TRIM(E1653),Map_Tables!$G$4:$G$37,0)),"CHECK"))</f>
        <v>Nawabi Biryani House</v>
      </c>
      <c r="AF1653" s="7" t="str">
        <f aca="false">IF(TRIM(K1653)="","Unknown",IFERROR(INDEX(Map_Tables!$E$4:$E$15,MATCH(TRIM(K1653),Map_Tables!$D$4:$D$15,0)),"CHECK"))</f>
        <v>Wallet</v>
      </c>
      <c r="AG1653" s="7" t="str">
        <f aca="false">IF(LEFT(LOWER(TRIM(L1653)),6)="cancel","Cancelled","Delivered")</f>
        <v>Delivered</v>
      </c>
      <c r="AH1653" s="10" t="n">
        <f aca="false">IF(ISNUMBER(SEARCH("/",B1653)),DATE(VALUE(RIGHT(B1653,4)),VALUE(MID(B1653,4,2)),VALUE(LEFT(B1653,2))),IF(MID(B1653,5,1)="-",DATE(VALUE(LEFT(B1653,4)),VALUE(MID(B1653,6,2)),VALUE(RIGHT(B1653,2))),DATE(VALUE(RIGHT(B1653,4)),MATCH(MID(B1653,4,3),{"Jan","Feb","Mar","Apr","May","Jun","Jul","Aug","Sep","Oct","Nov","Dec"},0),VALUE(LEFT(B1653,2)))))</f>
        <v>45971</v>
      </c>
    </row>
    <row r="1654" customFormat="false" ht="15" hidden="false" customHeight="false" outlineLevel="0" collapsed="false">
      <c r="A1654" s="7" t="s">
        <v>4190</v>
      </c>
      <c r="B1654" s="7" t="s">
        <v>4191</v>
      </c>
      <c r="C1654" s="7" t="s">
        <v>1704</v>
      </c>
      <c r="D1654" s="7" t="s">
        <v>793</v>
      </c>
      <c r="E1654" s="7" t="s">
        <v>154</v>
      </c>
      <c r="F1654" s="7" t="s">
        <v>128</v>
      </c>
      <c r="G1654" s="7" t="s">
        <v>99</v>
      </c>
      <c r="H1654" s="7" t="n">
        <v>4</v>
      </c>
      <c r="I1654" s="7" t="n">
        <v>325</v>
      </c>
      <c r="J1654" s="7" t="n">
        <v>0</v>
      </c>
      <c r="K1654" s="7" t="s">
        <v>112</v>
      </c>
      <c r="L1654" s="7" t="s">
        <v>194</v>
      </c>
      <c r="M1654" s="7" t="n">
        <v>51</v>
      </c>
      <c r="N1654" s="7" t="n">
        <v>4</v>
      </c>
      <c r="O1654" s="7" t="str">
        <f aca="false">A1654&amp;"|"&amp;B1654&amp;"|"&amp;C1654&amp;"|"&amp;D1654&amp;"|"&amp;E1654&amp;"|"&amp;F1654&amp;"|"&amp;G1654&amp;"|"&amp;H1654&amp;"|"&amp;I1654&amp;"|"&amp;J1654&amp;"|"&amp;K1654&amp;"|"&amp;L1654&amp;"|"&amp;M1654&amp;"|"&amp;N1654</f>
        <v>ORD12689|27-Nov-2025|20:01|C1040|Madras Biryani Co|Chennai|Biryani|4|325|0|Cash on Delivery|Delivered|51|4</v>
      </c>
      <c r="P1654" s="7" t="str">
        <f aca="false">IF(COUNTIF($O$2:O1654,O1654)&gt;1,"DUP","OK")</f>
        <v>OK</v>
      </c>
      <c r="Q1654" s="7" t="n">
        <f aca="false">COUNTBLANK(A1654:N1654)</f>
        <v>0</v>
      </c>
      <c r="R1654" s="7" t="n">
        <f aca="false">IF(A1654="",0,COUNTIFS($A$2:$A$3058,A1654,$P$2:$P$3058,"OK"))</f>
        <v>1</v>
      </c>
      <c r="S1654" s="7" t="str">
        <f aca="false">IF(OR(A1654="",P1654="DUP",R1654&lt;2),"",IF(Q1654=_xlfn.MINIFS($Q$2:$Q$3058,$A$2:$A$3058,A1654,$P$2:$P$3058,"OK"),"KEEP","DROP"))</f>
        <v/>
      </c>
      <c r="T1654" s="9" t="n">
        <f aca="false">IF(A1654="",1,0)</f>
        <v>0</v>
      </c>
      <c r="U1654" s="9" t="n">
        <f aca="false">IF(D1654="",1,0)</f>
        <v>0</v>
      </c>
      <c r="V1654" s="9" t="n">
        <f aca="false">IF(E1654="",1,0)</f>
        <v>0</v>
      </c>
      <c r="W1654" s="9" t="n">
        <f aca="false">IF(OR(H1654&lt;1,H1654&gt;10),1,0)</f>
        <v>0</v>
      </c>
      <c r="X1654" s="9" t="n">
        <f aca="false">IF(OR(I1654&lt;=0,I1654&gt;1500),1,0)</f>
        <v>0</v>
      </c>
      <c r="Y1654" s="9" t="n">
        <f aca="false">IF(J1654&gt;H1654*I1654,1,0)</f>
        <v>0</v>
      </c>
      <c r="Z1654" s="9" t="n">
        <f aca="false">IF(AND(N1654&lt;&gt;"",OR(N1654&lt;1,N1654&gt;5)),1,0)</f>
        <v>0</v>
      </c>
      <c r="AA1654" s="9" t="n">
        <f aca="false">IF(AND(M1654&lt;&gt;"",OR(M1654&lt;5,M1654&gt;180)),1,0)</f>
        <v>0</v>
      </c>
      <c r="AB1654" s="7" t="str">
        <f aca="false">IF(P1654="DUP","Exact duplicate row",IF(T1654=1,"Missing Order ID",IF(S1654="DROP","Duplicate Order ID (less complete row)",IF(U1654=1,"Missing Customer ID",IF(V1654=1,"Missing Restaurant name",IF(W1654=1,"Invalid/outlier quantity",IF(X1654=1,"Invalid/outlier unit price",IF(Y1654=1,"Discount greater than order value",""))))))))</f>
        <v/>
      </c>
      <c r="AC1654" s="7" t="str">
        <f aca="false">IF(AB1654="","KEEP","DROP")</f>
        <v>KEEP</v>
      </c>
      <c r="AD1654" s="7" t="str">
        <f aca="false">IF(TRIM(F1654)="",IFERROR(INDEX(Map_Tables!$I$4:$I$37,MATCH(TRIM(E1654),Map_Tables!$G$4:$G$37,0)),""),IFERROR(INDEX(Map_Tables!$B$4:$B$18,MATCH(TRIM(F1654),Map_Tables!$A$4:$A$18,0)),"CHECK"))</f>
        <v>Chennai</v>
      </c>
      <c r="AE1654" s="7" t="str">
        <f aca="false">IF(TRIM(E1654)="","",IFERROR(INDEX(Map_Tables!$H$4:$H$37,MATCH(TRIM(E1654),Map_Tables!$G$4:$G$37,0)),"CHECK"))</f>
        <v>Madras Biryani Co</v>
      </c>
      <c r="AF1654" s="7" t="str">
        <f aca="false">IF(TRIM(K1654)="","Unknown",IFERROR(INDEX(Map_Tables!$E$4:$E$15,MATCH(TRIM(K1654),Map_Tables!$D$4:$D$15,0)),"CHECK"))</f>
        <v>Cash on Delivery</v>
      </c>
      <c r="AG1654" s="7" t="str">
        <f aca="false">IF(LEFT(LOWER(TRIM(L1654)),6)="cancel","Cancelled","Delivered")</f>
        <v>Delivered</v>
      </c>
      <c r="AH1654" s="10" t="n">
        <f aca="false">IF(ISNUMBER(SEARCH("/",B1654)),DATE(VALUE(RIGHT(B1654,4)),VALUE(MID(B1654,4,2)),VALUE(LEFT(B1654,2))),IF(MID(B1654,5,1)="-",DATE(VALUE(LEFT(B1654,4)),VALUE(MID(B1654,6,2)),VALUE(RIGHT(B1654,2))),DATE(VALUE(RIGHT(B1654,4)),MATCH(MID(B1654,4,3),{"Jan","Feb","Mar","Apr","May","Jun","Jul","Aug","Sep","Oct","Nov","Dec"},0),VALUE(LEFT(B1654,2)))))</f>
        <v>45988</v>
      </c>
    </row>
    <row r="1655" customFormat="false" ht="15" hidden="false" customHeight="false" outlineLevel="0" collapsed="false">
      <c r="A1655" s="7" t="s">
        <v>4192</v>
      </c>
      <c r="B1655" s="7" t="s">
        <v>2527</v>
      </c>
      <c r="C1655" s="7" t="s">
        <v>433</v>
      </c>
      <c r="D1655" s="7" t="s">
        <v>1493</v>
      </c>
      <c r="E1655" s="7" t="s">
        <v>154</v>
      </c>
      <c r="F1655" s="7" t="s">
        <v>128</v>
      </c>
      <c r="G1655" s="7" t="s">
        <v>99</v>
      </c>
      <c r="H1655" s="7" t="n">
        <v>2</v>
      </c>
      <c r="I1655" s="7" t="n">
        <v>280</v>
      </c>
      <c r="J1655" s="7" t="n">
        <v>50</v>
      </c>
      <c r="K1655" s="7" t="s">
        <v>93</v>
      </c>
      <c r="L1655" s="7" t="s">
        <v>194</v>
      </c>
      <c r="M1655" s="7" t="n">
        <v>52</v>
      </c>
      <c r="N1655" s="7" t="n">
        <v>4</v>
      </c>
      <c r="O1655" s="7" t="str">
        <f aca="false">A1655&amp;"|"&amp;B1655&amp;"|"&amp;C1655&amp;"|"&amp;D1655&amp;"|"&amp;E1655&amp;"|"&amp;F1655&amp;"|"&amp;G1655&amp;"|"&amp;H1655&amp;"|"&amp;I1655&amp;"|"&amp;J1655&amp;"|"&amp;K1655&amp;"|"&amp;L1655&amp;"|"&amp;M1655&amp;"|"&amp;N1655</f>
        <v>ORD11335|2025-06-21|19:43|C0300|Madras Biryani Co|Chennai|Biryani|2|280|50|Credit Card|Delivered|52|4</v>
      </c>
      <c r="P1655" s="7" t="str">
        <f aca="false">IF(COUNTIF($O$2:O1655,O1655)&gt;1,"DUP","OK")</f>
        <v>OK</v>
      </c>
      <c r="Q1655" s="7" t="n">
        <f aca="false">COUNTBLANK(A1655:N1655)</f>
        <v>0</v>
      </c>
      <c r="R1655" s="7" t="n">
        <f aca="false">IF(A1655="",0,COUNTIFS($A$2:$A$3058,A1655,$P$2:$P$3058,"OK"))</f>
        <v>1</v>
      </c>
      <c r="S1655" s="7" t="str">
        <f aca="false">IF(OR(A1655="",P1655="DUP",R1655&lt;2),"",IF(Q1655=_xlfn.MINIFS($Q$2:$Q$3058,$A$2:$A$3058,A1655,$P$2:$P$3058,"OK"),"KEEP","DROP"))</f>
        <v/>
      </c>
      <c r="T1655" s="9" t="n">
        <f aca="false">IF(A1655="",1,0)</f>
        <v>0</v>
      </c>
      <c r="U1655" s="9" t="n">
        <f aca="false">IF(D1655="",1,0)</f>
        <v>0</v>
      </c>
      <c r="V1655" s="9" t="n">
        <f aca="false">IF(E1655="",1,0)</f>
        <v>0</v>
      </c>
      <c r="W1655" s="9" t="n">
        <f aca="false">IF(OR(H1655&lt;1,H1655&gt;10),1,0)</f>
        <v>0</v>
      </c>
      <c r="X1655" s="9" t="n">
        <f aca="false">IF(OR(I1655&lt;=0,I1655&gt;1500),1,0)</f>
        <v>0</v>
      </c>
      <c r="Y1655" s="9" t="n">
        <f aca="false">IF(J1655&gt;H1655*I1655,1,0)</f>
        <v>0</v>
      </c>
      <c r="Z1655" s="9" t="n">
        <f aca="false">IF(AND(N1655&lt;&gt;"",OR(N1655&lt;1,N1655&gt;5)),1,0)</f>
        <v>0</v>
      </c>
      <c r="AA1655" s="9" t="n">
        <f aca="false">IF(AND(M1655&lt;&gt;"",OR(M1655&lt;5,M1655&gt;180)),1,0)</f>
        <v>0</v>
      </c>
      <c r="AB1655" s="7" t="str">
        <f aca="false">IF(P1655="DUP","Exact duplicate row",IF(T1655=1,"Missing Order ID",IF(S1655="DROP","Duplicate Order ID (less complete row)",IF(U1655=1,"Missing Customer ID",IF(V1655=1,"Missing Restaurant name",IF(W1655=1,"Invalid/outlier quantity",IF(X1655=1,"Invalid/outlier unit price",IF(Y1655=1,"Discount greater than order value",""))))))))</f>
        <v/>
      </c>
      <c r="AC1655" s="7" t="str">
        <f aca="false">IF(AB1655="","KEEP","DROP")</f>
        <v>KEEP</v>
      </c>
      <c r="AD1655" s="7" t="str">
        <f aca="false">IF(TRIM(F1655)="",IFERROR(INDEX(Map_Tables!$I$4:$I$37,MATCH(TRIM(E1655),Map_Tables!$G$4:$G$37,0)),""),IFERROR(INDEX(Map_Tables!$B$4:$B$18,MATCH(TRIM(F1655),Map_Tables!$A$4:$A$18,0)),"CHECK"))</f>
        <v>Chennai</v>
      </c>
      <c r="AE1655" s="7" t="str">
        <f aca="false">IF(TRIM(E1655)="","",IFERROR(INDEX(Map_Tables!$H$4:$H$37,MATCH(TRIM(E1655),Map_Tables!$G$4:$G$37,0)),"CHECK"))</f>
        <v>Madras Biryani Co</v>
      </c>
      <c r="AF1655" s="7" t="str">
        <f aca="false">IF(TRIM(K1655)="","Unknown",IFERROR(INDEX(Map_Tables!$E$4:$E$15,MATCH(TRIM(K1655),Map_Tables!$D$4:$D$15,0)),"CHECK"))</f>
        <v>Credit Card</v>
      </c>
      <c r="AG1655" s="7" t="str">
        <f aca="false">IF(LEFT(LOWER(TRIM(L1655)),6)="cancel","Cancelled","Delivered")</f>
        <v>Delivered</v>
      </c>
      <c r="AH1655" s="10" t="n">
        <f aca="false">IF(ISNUMBER(SEARCH("/",B1655)),DATE(VALUE(RIGHT(B1655,4)),VALUE(MID(B1655,4,2)),VALUE(LEFT(B1655,2))),IF(MID(B1655,5,1)="-",DATE(VALUE(LEFT(B1655,4)),VALUE(MID(B1655,6,2)),VALUE(RIGHT(B1655,2))),DATE(VALUE(RIGHT(B1655,4)),MATCH(MID(B1655,4,3),{"Jan","Feb","Mar","Apr","May","Jun","Jul","Aug","Sep","Oct","Nov","Dec"},0),VALUE(LEFT(B1655,2)))))</f>
        <v>45829</v>
      </c>
    </row>
    <row r="1656" customFormat="false" ht="15" hidden="false" customHeight="false" outlineLevel="0" collapsed="false">
      <c r="A1656" s="7" t="s">
        <v>4193</v>
      </c>
      <c r="B1656" s="7" t="s">
        <v>1767</v>
      </c>
      <c r="C1656" s="7" t="s">
        <v>4194</v>
      </c>
      <c r="D1656" s="7" t="s">
        <v>4195</v>
      </c>
      <c r="E1656" s="7" t="s">
        <v>144</v>
      </c>
      <c r="F1656" s="7" t="s">
        <v>119</v>
      </c>
      <c r="G1656" s="7" t="s">
        <v>99</v>
      </c>
      <c r="H1656" s="7" t="n">
        <v>5</v>
      </c>
      <c r="I1656" s="7" t="n">
        <v>320</v>
      </c>
      <c r="J1656" s="7" t="n">
        <v>125</v>
      </c>
      <c r="K1656" s="7" t="s">
        <v>88</v>
      </c>
      <c r="L1656" s="7" t="s">
        <v>194</v>
      </c>
      <c r="M1656" s="7" t="n">
        <v>27</v>
      </c>
      <c r="N1656" s="7" t="n">
        <v>4</v>
      </c>
      <c r="O1656" s="7" t="str">
        <f aca="false">A1656&amp;"|"&amp;B1656&amp;"|"&amp;C1656&amp;"|"&amp;D1656&amp;"|"&amp;E1656&amp;"|"&amp;F1656&amp;"|"&amp;G1656&amp;"|"&amp;H1656&amp;"|"&amp;I1656&amp;"|"&amp;J1656&amp;"|"&amp;K1656&amp;"|"&amp;L1656&amp;"|"&amp;M1656&amp;"|"&amp;N1656</f>
        <v>ORD12208|2025-10-08|15:39|C0772|Hyderabad Dum Biryani|Hyderabad|Biryani|5|320|125|UPI|Delivered|27|4</v>
      </c>
      <c r="P1656" s="7" t="str">
        <f aca="false">IF(COUNTIF($O$2:O1656,O1656)&gt;1,"DUP","OK")</f>
        <v>OK</v>
      </c>
      <c r="Q1656" s="7" t="n">
        <f aca="false">COUNTBLANK(A1656:N1656)</f>
        <v>0</v>
      </c>
      <c r="R1656" s="7" t="n">
        <f aca="false">IF(A1656="",0,COUNTIFS($A$2:$A$3058,A1656,$P$2:$P$3058,"OK"))</f>
        <v>1</v>
      </c>
      <c r="S1656" s="7" t="str">
        <f aca="false">IF(OR(A1656="",P1656="DUP",R1656&lt;2),"",IF(Q1656=_xlfn.MINIFS($Q$2:$Q$3058,$A$2:$A$3058,A1656,$P$2:$P$3058,"OK"),"KEEP","DROP"))</f>
        <v/>
      </c>
      <c r="T1656" s="9" t="n">
        <f aca="false">IF(A1656="",1,0)</f>
        <v>0</v>
      </c>
      <c r="U1656" s="9" t="n">
        <f aca="false">IF(D1656="",1,0)</f>
        <v>0</v>
      </c>
      <c r="V1656" s="9" t="n">
        <f aca="false">IF(E1656="",1,0)</f>
        <v>0</v>
      </c>
      <c r="W1656" s="9" t="n">
        <f aca="false">IF(OR(H1656&lt;1,H1656&gt;10),1,0)</f>
        <v>0</v>
      </c>
      <c r="X1656" s="9" t="n">
        <f aca="false">IF(OR(I1656&lt;=0,I1656&gt;1500),1,0)</f>
        <v>0</v>
      </c>
      <c r="Y1656" s="9" t="n">
        <f aca="false">IF(J1656&gt;H1656*I1656,1,0)</f>
        <v>0</v>
      </c>
      <c r="Z1656" s="9" t="n">
        <f aca="false">IF(AND(N1656&lt;&gt;"",OR(N1656&lt;1,N1656&gt;5)),1,0)</f>
        <v>0</v>
      </c>
      <c r="AA1656" s="9" t="n">
        <f aca="false">IF(AND(M1656&lt;&gt;"",OR(M1656&lt;5,M1656&gt;180)),1,0)</f>
        <v>0</v>
      </c>
      <c r="AB1656" s="7" t="str">
        <f aca="false">IF(P1656="DUP","Exact duplicate row",IF(T1656=1,"Missing Order ID",IF(S1656="DROP","Duplicate Order ID (less complete row)",IF(U1656=1,"Missing Customer ID",IF(V1656=1,"Missing Restaurant name",IF(W1656=1,"Invalid/outlier quantity",IF(X1656=1,"Invalid/outlier unit price",IF(Y1656=1,"Discount greater than order value",""))))))))</f>
        <v/>
      </c>
      <c r="AC1656" s="7" t="str">
        <f aca="false">IF(AB1656="","KEEP","DROP")</f>
        <v>KEEP</v>
      </c>
      <c r="AD1656" s="7" t="str">
        <f aca="false">IF(TRIM(F1656)="",IFERROR(INDEX(Map_Tables!$I$4:$I$37,MATCH(TRIM(E1656),Map_Tables!$G$4:$G$37,0)),""),IFERROR(INDEX(Map_Tables!$B$4:$B$18,MATCH(TRIM(F1656),Map_Tables!$A$4:$A$18,0)),"CHECK"))</f>
        <v>Hyderabad</v>
      </c>
      <c r="AE1656" s="7" t="str">
        <f aca="false">IF(TRIM(E1656)="","",IFERROR(INDEX(Map_Tables!$H$4:$H$37,MATCH(TRIM(E1656),Map_Tables!$G$4:$G$37,0)),"CHECK"))</f>
        <v>Hyderabad Dum Biryani</v>
      </c>
      <c r="AF1656" s="7" t="str">
        <f aca="false">IF(TRIM(K1656)="","Unknown",IFERROR(INDEX(Map_Tables!$E$4:$E$15,MATCH(TRIM(K1656),Map_Tables!$D$4:$D$15,0)),"CHECK"))</f>
        <v>UPI</v>
      </c>
      <c r="AG1656" s="7" t="str">
        <f aca="false">IF(LEFT(LOWER(TRIM(L1656)),6)="cancel","Cancelled","Delivered")</f>
        <v>Delivered</v>
      </c>
      <c r="AH1656" s="10" t="n">
        <f aca="false">IF(ISNUMBER(SEARCH("/",B1656)),DATE(VALUE(RIGHT(B1656,4)),VALUE(MID(B1656,4,2)),VALUE(LEFT(B1656,2))),IF(MID(B1656,5,1)="-",DATE(VALUE(LEFT(B1656,4)),VALUE(MID(B1656,6,2)),VALUE(RIGHT(B1656,2))),DATE(VALUE(RIGHT(B1656,4)),MATCH(MID(B1656,4,3),{"Jan","Feb","Mar","Apr","May","Jun","Jul","Aug","Sep","Oct","Nov","Dec"},0),VALUE(LEFT(B1656,2)))))</f>
        <v>45938</v>
      </c>
    </row>
    <row r="1657" customFormat="false" ht="15" hidden="false" customHeight="false" outlineLevel="0" collapsed="false">
      <c r="A1657" s="7" t="s">
        <v>4196</v>
      </c>
      <c r="B1657" s="7" t="s">
        <v>899</v>
      </c>
      <c r="C1657" s="7" t="s">
        <v>551</v>
      </c>
      <c r="D1657" s="7" t="s">
        <v>1579</v>
      </c>
      <c r="E1657" s="7" t="s">
        <v>2815</v>
      </c>
      <c r="F1657" s="7" t="s">
        <v>141</v>
      </c>
      <c r="G1657" s="7" t="s">
        <v>117</v>
      </c>
      <c r="H1657" s="7" t="n">
        <v>1</v>
      </c>
      <c r="I1657" s="7" t="n">
        <v>110</v>
      </c>
      <c r="J1657" s="7" t="n">
        <v>30</v>
      </c>
      <c r="K1657" s="7" t="s">
        <v>112</v>
      </c>
      <c r="L1657" s="7" t="s">
        <v>194</v>
      </c>
      <c r="M1657" s="7" t="n">
        <v>19</v>
      </c>
      <c r="N1657" s="7" t="n">
        <v>5</v>
      </c>
      <c r="O1657" s="7" t="str">
        <f aca="false">A1657&amp;"|"&amp;B1657&amp;"|"&amp;C1657&amp;"|"&amp;D1657&amp;"|"&amp;E1657&amp;"|"&amp;F1657&amp;"|"&amp;G1657&amp;"|"&amp;H1657&amp;"|"&amp;I1657&amp;"|"&amp;J1657&amp;"|"&amp;K1657&amp;"|"&amp;L1657&amp;"|"&amp;M1657&amp;"|"&amp;N1657</f>
        <v>ORD12359|2025-10-24|17:41|C0319| Bengal Bites|Kolkata|Street Food|1|110|30|Cash on Delivery|Delivered|19|5</v>
      </c>
      <c r="P1657" s="7" t="str">
        <f aca="false">IF(COUNTIF($O$2:O1657,O1657)&gt;1,"DUP","OK")</f>
        <v>OK</v>
      </c>
      <c r="Q1657" s="7" t="n">
        <f aca="false">COUNTBLANK(A1657:N1657)</f>
        <v>0</v>
      </c>
      <c r="R1657" s="7" t="n">
        <f aca="false">IF(A1657="",0,COUNTIFS($A$2:$A$3058,A1657,$P$2:$P$3058,"OK"))</f>
        <v>1</v>
      </c>
      <c r="S1657" s="7" t="str">
        <f aca="false">IF(OR(A1657="",P1657="DUP",R1657&lt;2),"",IF(Q1657=_xlfn.MINIFS($Q$2:$Q$3058,$A$2:$A$3058,A1657,$P$2:$P$3058,"OK"),"KEEP","DROP"))</f>
        <v/>
      </c>
      <c r="T1657" s="9" t="n">
        <f aca="false">IF(A1657="",1,0)</f>
        <v>0</v>
      </c>
      <c r="U1657" s="9" t="n">
        <f aca="false">IF(D1657="",1,0)</f>
        <v>0</v>
      </c>
      <c r="V1657" s="9" t="n">
        <f aca="false">IF(E1657="",1,0)</f>
        <v>0</v>
      </c>
      <c r="W1657" s="9" t="n">
        <f aca="false">IF(OR(H1657&lt;1,H1657&gt;10),1,0)</f>
        <v>0</v>
      </c>
      <c r="X1657" s="9" t="n">
        <f aca="false">IF(OR(I1657&lt;=0,I1657&gt;1500),1,0)</f>
        <v>0</v>
      </c>
      <c r="Y1657" s="9" t="n">
        <f aca="false">IF(J1657&gt;H1657*I1657,1,0)</f>
        <v>0</v>
      </c>
      <c r="Z1657" s="9" t="n">
        <f aca="false">IF(AND(N1657&lt;&gt;"",OR(N1657&lt;1,N1657&gt;5)),1,0)</f>
        <v>0</v>
      </c>
      <c r="AA1657" s="9" t="n">
        <f aca="false">IF(AND(M1657&lt;&gt;"",OR(M1657&lt;5,M1657&gt;180)),1,0)</f>
        <v>0</v>
      </c>
      <c r="AB1657" s="7" t="str">
        <f aca="false">IF(P1657="DUP","Exact duplicate row",IF(T1657=1,"Missing Order ID",IF(S1657="DROP","Duplicate Order ID (less complete row)",IF(U1657=1,"Missing Customer ID",IF(V1657=1,"Missing Restaurant name",IF(W1657=1,"Invalid/outlier quantity",IF(X1657=1,"Invalid/outlier unit price",IF(Y1657=1,"Discount greater than order value",""))))))))</f>
        <v/>
      </c>
      <c r="AC1657" s="7" t="str">
        <f aca="false">IF(AB1657="","KEEP","DROP")</f>
        <v>KEEP</v>
      </c>
      <c r="AD1657" s="7" t="str">
        <f aca="false">IF(TRIM(F1657)="",IFERROR(INDEX(Map_Tables!$I$4:$I$37,MATCH(TRIM(E1657),Map_Tables!$G$4:$G$37,0)),""),IFERROR(INDEX(Map_Tables!$B$4:$B$18,MATCH(TRIM(F1657),Map_Tables!$A$4:$A$18,0)),"CHECK"))</f>
        <v>Kolkata</v>
      </c>
      <c r="AE1657" s="7" t="str">
        <f aca="false">IF(TRIM(E1657)="","",IFERROR(INDEX(Map_Tables!$H$4:$H$37,MATCH(TRIM(E1657),Map_Tables!$G$4:$G$37,0)),"CHECK"))</f>
        <v>Bengal Bites</v>
      </c>
      <c r="AF1657" s="7" t="str">
        <f aca="false">IF(TRIM(K1657)="","Unknown",IFERROR(INDEX(Map_Tables!$E$4:$E$15,MATCH(TRIM(K1657),Map_Tables!$D$4:$D$15,0)),"CHECK"))</f>
        <v>Cash on Delivery</v>
      </c>
      <c r="AG1657" s="7" t="str">
        <f aca="false">IF(LEFT(LOWER(TRIM(L1657)),6)="cancel","Cancelled","Delivered")</f>
        <v>Delivered</v>
      </c>
      <c r="AH1657" s="10" t="n">
        <f aca="false">IF(ISNUMBER(SEARCH("/",B1657)),DATE(VALUE(RIGHT(B1657,4)),VALUE(MID(B1657,4,2)),VALUE(LEFT(B1657,2))),IF(MID(B1657,5,1)="-",DATE(VALUE(LEFT(B1657,4)),VALUE(MID(B1657,6,2)),VALUE(RIGHT(B1657,2))),DATE(VALUE(RIGHT(B1657,4)),MATCH(MID(B1657,4,3),{"Jan","Feb","Mar","Apr","May","Jun","Jul","Aug","Sep","Oct","Nov","Dec"},0),VALUE(LEFT(B1657,2)))))</f>
        <v>45954</v>
      </c>
    </row>
    <row r="1658" customFormat="false" ht="15" hidden="false" customHeight="false" outlineLevel="0" collapsed="false">
      <c r="A1658" s="7" t="s">
        <v>4197</v>
      </c>
      <c r="B1658" s="7" t="s">
        <v>1872</v>
      </c>
      <c r="C1658" s="7" t="s">
        <v>361</v>
      </c>
      <c r="D1658" s="7" t="s">
        <v>2622</v>
      </c>
      <c r="E1658" s="7" t="s">
        <v>104</v>
      </c>
      <c r="F1658" s="7" t="s">
        <v>86</v>
      </c>
      <c r="G1658" s="7" t="s">
        <v>105</v>
      </c>
      <c r="H1658" s="7" t="n">
        <v>2</v>
      </c>
      <c r="I1658" s="7" t="n">
        <v>175</v>
      </c>
      <c r="J1658" s="7" t="n">
        <v>125</v>
      </c>
      <c r="K1658" s="7" t="s">
        <v>93</v>
      </c>
      <c r="L1658" s="7" t="s">
        <v>194</v>
      </c>
      <c r="M1658" s="7" t="n">
        <v>30</v>
      </c>
      <c r="N1658" s="7" t="n">
        <v>4</v>
      </c>
      <c r="O1658" s="7" t="str">
        <f aca="false">A1658&amp;"|"&amp;B1658&amp;"|"&amp;C1658&amp;"|"&amp;D1658&amp;"|"&amp;E1658&amp;"|"&amp;F1658&amp;"|"&amp;G1658&amp;"|"&amp;H1658&amp;"|"&amp;I1658&amp;"|"&amp;J1658&amp;"|"&amp;K1658&amp;"|"&amp;L1658&amp;"|"&amp;M1658&amp;"|"&amp;N1658</f>
        <v>ORD10586|2025-03-16|11:08|C0876|Wok &amp; Roll|Bengaluru|Chinese|2|175|125|Credit Card|Delivered|30|4</v>
      </c>
      <c r="P1658" s="7" t="str">
        <f aca="false">IF(COUNTIF($O$2:O1658,O1658)&gt;1,"DUP","OK")</f>
        <v>OK</v>
      </c>
      <c r="Q1658" s="7" t="n">
        <f aca="false">COUNTBLANK(A1658:N1658)</f>
        <v>0</v>
      </c>
      <c r="R1658" s="7" t="n">
        <f aca="false">IF(A1658="",0,COUNTIFS($A$2:$A$3058,A1658,$P$2:$P$3058,"OK"))</f>
        <v>1</v>
      </c>
      <c r="S1658" s="7" t="str">
        <f aca="false">IF(OR(A1658="",P1658="DUP",R1658&lt;2),"",IF(Q1658=_xlfn.MINIFS($Q$2:$Q$3058,$A$2:$A$3058,A1658,$P$2:$P$3058,"OK"),"KEEP","DROP"))</f>
        <v/>
      </c>
      <c r="T1658" s="9" t="n">
        <f aca="false">IF(A1658="",1,0)</f>
        <v>0</v>
      </c>
      <c r="U1658" s="9" t="n">
        <f aca="false">IF(D1658="",1,0)</f>
        <v>0</v>
      </c>
      <c r="V1658" s="9" t="n">
        <f aca="false">IF(E1658="",1,0)</f>
        <v>0</v>
      </c>
      <c r="W1658" s="9" t="n">
        <f aca="false">IF(OR(H1658&lt;1,H1658&gt;10),1,0)</f>
        <v>0</v>
      </c>
      <c r="X1658" s="9" t="n">
        <f aca="false">IF(OR(I1658&lt;=0,I1658&gt;1500),1,0)</f>
        <v>0</v>
      </c>
      <c r="Y1658" s="9" t="n">
        <f aca="false">IF(J1658&gt;H1658*I1658,1,0)</f>
        <v>0</v>
      </c>
      <c r="Z1658" s="9" t="n">
        <f aca="false">IF(AND(N1658&lt;&gt;"",OR(N1658&lt;1,N1658&gt;5)),1,0)</f>
        <v>0</v>
      </c>
      <c r="AA1658" s="9" t="n">
        <f aca="false">IF(AND(M1658&lt;&gt;"",OR(M1658&lt;5,M1658&gt;180)),1,0)</f>
        <v>0</v>
      </c>
      <c r="AB1658" s="7" t="str">
        <f aca="false">IF(P1658="DUP","Exact duplicate row",IF(T1658=1,"Missing Order ID",IF(S1658="DROP","Duplicate Order ID (less complete row)",IF(U1658=1,"Missing Customer ID",IF(V1658=1,"Missing Restaurant name",IF(W1658=1,"Invalid/outlier quantity",IF(X1658=1,"Invalid/outlier unit price",IF(Y1658=1,"Discount greater than order value",""))))))))</f>
        <v/>
      </c>
      <c r="AC1658" s="7" t="str">
        <f aca="false">IF(AB1658="","KEEP","DROP")</f>
        <v>KEEP</v>
      </c>
      <c r="AD1658" s="7" t="str">
        <f aca="false">IF(TRIM(F1658)="",IFERROR(INDEX(Map_Tables!$I$4:$I$37,MATCH(TRIM(E1658),Map_Tables!$G$4:$G$37,0)),""),IFERROR(INDEX(Map_Tables!$B$4:$B$18,MATCH(TRIM(F1658),Map_Tables!$A$4:$A$18,0)),"CHECK"))</f>
        <v>Bengaluru</v>
      </c>
      <c r="AE1658" s="7" t="str">
        <f aca="false">IF(TRIM(E1658)="","",IFERROR(INDEX(Map_Tables!$H$4:$H$37,MATCH(TRIM(E1658),Map_Tables!$G$4:$G$37,0)),"CHECK"))</f>
        <v>Wok &amp; Roll</v>
      </c>
      <c r="AF1658" s="7" t="str">
        <f aca="false">IF(TRIM(K1658)="","Unknown",IFERROR(INDEX(Map_Tables!$E$4:$E$15,MATCH(TRIM(K1658),Map_Tables!$D$4:$D$15,0)),"CHECK"))</f>
        <v>Credit Card</v>
      </c>
      <c r="AG1658" s="7" t="str">
        <f aca="false">IF(LEFT(LOWER(TRIM(L1658)),6)="cancel","Cancelled","Delivered")</f>
        <v>Delivered</v>
      </c>
      <c r="AH1658" s="10" t="n">
        <f aca="false">IF(ISNUMBER(SEARCH("/",B1658)),DATE(VALUE(RIGHT(B1658,4)),VALUE(MID(B1658,4,2)),VALUE(LEFT(B1658,2))),IF(MID(B1658,5,1)="-",DATE(VALUE(LEFT(B1658,4)),VALUE(MID(B1658,6,2)),VALUE(RIGHT(B1658,2))),DATE(VALUE(RIGHT(B1658,4)),MATCH(MID(B1658,4,3),{"Jan","Feb","Mar","Apr","May","Jun","Jul","Aug","Sep","Oct","Nov","Dec"},0),VALUE(LEFT(B1658,2)))))</f>
        <v>45732</v>
      </c>
    </row>
    <row r="1659" customFormat="false" ht="15" hidden="false" customHeight="false" outlineLevel="0" collapsed="false">
      <c r="A1659" s="7" t="s">
        <v>4198</v>
      </c>
      <c r="B1659" s="7" t="s">
        <v>477</v>
      </c>
      <c r="C1659" s="7" t="s">
        <v>1101</v>
      </c>
      <c r="D1659" s="7" t="s">
        <v>3034</v>
      </c>
      <c r="E1659" s="7" t="s">
        <v>159</v>
      </c>
      <c r="F1659" s="7" t="s">
        <v>135</v>
      </c>
      <c r="G1659" s="7" t="s">
        <v>90</v>
      </c>
      <c r="H1659" s="7" t="n">
        <v>2</v>
      </c>
      <c r="I1659" s="7" t="n">
        <v>215</v>
      </c>
      <c r="J1659" s="7" t="n">
        <v>100</v>
      </c>
      <c r="K1659" s="7" t="s">
        <v>93</v>
      </c>
      <c r="L1659" s="7" t="s">
        <v>194</v>
      </c>
      <c r="M1659" s="7" t="n">
        <v>32</v>
      </c>
      <c r="N1659" s="7" t="n">
        <v>3</v>
      </c>
      <c r="O1659" s="7" t="str">
        <f aca="false">A1659&amp;"|"&amp;B1659&amp;"|"&amp;C1659&amp;"|"&amp;D1659&amp;"|"&amp;E1659&amp;"|"&amp;F1659&amp;"|"&amp;G1659&amp;"|"&amp;H1659&amp;"|"&amp;I1659&amp;"|"&amp;J1659&amp;"|"&amp;K1659&amp;"|"&amp;L1659&amp;"|"&amp;M1659&amp;"|"&amp;N1659</f>
        <v>ORD10838|2025-04-16|19:59|C0257|Maratha Thali House|pune|North Indian|2|215|100|Credit Card|Delivered|32|3</v>
      </c>
      <c r="P1659" s="7" t="str">
        <f aca="false">IF(COUNTIF($O$2:O1659,O1659)&gt;1,"DUP","OK")</f>
        <v>OK</v>
      </c>
      <c r="Q1659" s="7" t="n">
        <f aca="false">COUNTBLANK(A1659:N1659)</f>
        <v>0</v>
      </c>
      <c r="R1659" s="7" t="n">
        <f aca="false">IF(A1659="",0,COUNTIFS($A$2:$A$3058,A1659,$P$2:$P$3058,"OK"))</f>
        <v>1</v>
      </c>
      <c r="S1659" s="7" t="str">
        <f aca="false">IF(OR(A1659="",P1659="DUP",R1659&lt;2),"",IF(Q1659=_xlfn.MINIFS($Q$2:$Q$3058,$A$2:$A$3058,A1659,$P$2:$P$3058,"OK"),"KEEP","DROP"))</f>
        <v/>
      </c>
      <c r="T1659" s="9" t="n">
        <f aca="false">IF(A1659="",1,0)</f>
        <v>0</v>
      </c>
      <c r="U1659" s="9" t="n">
        <f aca="false">IF(D1659="",1,0)</f>
        <v>0</v>
      </c>
      <c r="V1659" s="9" t="n">
        <f aca="false">IF(E1659="",1,0)</f>
        <v>0</v>
      </c>
      <c r="W1659" s="9" t="n">
        <f aca="false">IF(OR(H1659&lt;1,H1659&gt;10),1,0)</f>
        <v>0</v>
      </c>
      <c r="X1659" s="9" t="n">
        <f aca="false">IF(OR(I1659&lt;=0,I1659&gt;1500),1,0)</f>
        <v>0</v>
      </c>
      <c r="Y1659" s="9" t="n">
        <f aca="false">IF(J1659&gt;H1659*I1659,1,0)</f>
        <v>0</v>
      </c>
      <c r="Z1659" s="9" t="n">
        <f aca="false">IF(AND(N1659&lt;&gt;"",OR(N1659&lt;1,N1659&gt;5)),1,0)</f>
        <v>0</v>
      </c>
      <c r="AA1659" s="9" t="n">
        <f aca="false">IF(AND(M1659&lt;&gt;"",OR(M1659&lt;5,M1659&gt;180)),1,0)</f>
        <v>0</v>
      </c>
      <c r="AB1659" s="7" t="str">
        <f aca="false">IF(P1659="DUP","Exact duplicate row",IF(T1659=1,"Missing Order ID",IF(S1659="DROP","Duplicate Order ID (less complete row)",IF(U1659=1,"Missing Customer ID",IF(V1659=1,"Missing Restaurant name",IF(W1659=1,"Invalid/outlier quantity",IF(X1659=1,"Invalid/outlier unit price",IF(Y1659=1,"Discount greater than order value",""))))))))</f>
        <v/>
      </c>
      <c r="AC1659" s="7" t="str">
        <f aca="false">IF(AB1659="","KEEP","DROP")</f>
        <v>KEEP</v>
      </c>
      <c r="AD1659" s="7" t="str">
        <f aca="false">IF(TRIM(F1659)="",IFERROR(INDEX(Map_Tables!$I$4:$I$37,MATCH(TRIM(E1659),Map_Tables!$G$4:$G$37,0)),""),IFERROR(INDEX(Map_Tables!$B$4:$B$18,MATCH(TRIM(F1659),Map_Tables!$A$4:$A$18,0)),"CHECK"))</f>
        <v>Pune</v>
      </c>
      <c r="AE1659" s="7" t="str">
        <f aca="false">IF(TRIM(E1659)="","",IFERROR(INDEX(Map_Tables!$H$4:$H$37,MATCH(TRIM(E1659),Map_Tables!$G$4:$G$37,0)),"CHECK"))</f>
        <v>Maratha Thali House</v>
      </c>
      <c r="AF1659" s="7" t="str">
        <f aca="false">IF(TRIM(K1659)="","Unknown",IFERROR(INDEX(Map_Tables!$E$4:$E$15,MATCH(TRIM(K1659),Map_Tables!$D$4:$D$15,0)),"CHECK"))</f>
        <v>Credit Card</v>
      </c>
      <c r="AG1659" s="7" t="str">
        <f aca="false">IF(LEFT(LOWER(TRIM(L1659)),6)="cancel","Cancelled","Delivered")</f>
        <v>Delivered</v>
      </c>
      <c r="AH1659" s="10" t="n">
        <f aca="false">IF(ISNUMBER(SEARCH("/",B1659)),DATE(VALUE(RIGHT(B1659,4)),VALUE(MID(B1659,4,2)),VALUE(LEFT(B1659,2))),IF(MID(B1659,5,1)="-",DATE(VALUE(LEFT(B1659,4)),VALUE(MID(B1659,6,2)),VALUE(RIGHT(B1659,2))),DATE(VALUE(RIGHT(B1659,4)),MATCH(MID(B1659,4,3),{"Jan","Feb","Mar","Apr","May","Jun","Jul","Aug","Sep","Oct","Nov","Dec"},0),VALUE(LEFT(B1659,2)))))</f>
        <v>45763</v>
      </c>
    </row>
    <row r="1660" customFormat="false" ht="15" hidden="false" customHeight="false" outlineLevel="0" collapsed="false">
      <c r="A1660" s="7" t="s">
        <v>4199</v>
      </c>
      <c r="B1660" s="7" t="s">
        <v>3958</v>
      </c>
      <c r="C1660" s="7" t="s">
        <v>4200</v>
      </c>
      <c r="D1660" s="7" t="s">
        <v>2540</v>
      </c>
      <c r="E1660" s="7" t="s">
        <v>157</v>
      </c>
      <c r="F1660" s="7" t="s">
        <v>136</v>
      </c>
      <c r="G1660" s="7" t="s">
        <v>117</v>
      </c>
      <c r="H1660" s="7" t="n">
        <v>1</v>
      </c>
      <c r="I1660" s="7" t="n">
        <v>115</v>
      </c>
      <c r="J1660" s="7" t="n">
        <v>46</v>
      </c>
      <c r="K1660" s="7" t="s">
        <v>1173</v>
      </c>
      <c r="L1660" s="7" t="s">
        <v>194</v>
      </c>
      <c r="M1660" s="7" t="n">
        <v>31</v>
      </c>
      <c r="N1660" s="7" t="n">
        <v>4</v>
      </c>
      <c r="O1660" s="7" t="str">
        <f aca="false">A1660&amp;"|"&amp;B1660&amp;"|"&amp;C1660&amp;"|"&amp;D1660&amp;"|"&amp;E1660&amp;"|"&amp;F1660&amp;"|"&amp;G1660&amp;"|"&amp;H1660&amp;"|"&amp;I1660&amp;"|"&amp;J1660&amp;"|"&amp;K1660&amp;"|"&amp;L1660&amp;"|"&amp;M1660&amp;"|"&amp;N1660</f>
        <v>ORD10711|2025-03-31|16:49|C0903|Misal Mantra|Pune|Street Food|1|115|46|E-Wallet|Delivered|31|4</v>
      </c>
      <c r="P1660" s="7" t="str">
        <f aca="false">IF(COUNTIF($O$2:O1660,O1660)&gt;1,"DUP","OK")</f>
        <v>OK</v>
      </c>
      <c r="Q1660" s="7" t="n">
        <f aca="false">COUNTBLANK(A1660:N1660)</f>
        <v>0</v>
      </c>
      <c r="R1660" s="7" t="n">
        <f aca="false">IF(A1660="",0,COUNTIFS($A$2:$A$3058,A1660,$P$2:$P$3058,"OK"))</f>
        <v>1</v>
      </c>
      <c r="S1660" s="7" t="str">
        <f aca="false">IF(OR(A1660="",P1660="DUP",R1660&lt;2),"",IF(Q1660=_xlfn.MINIFS($Q$2:$Q$3058,$A$2:$A$3058,A1660,$P$2:$P$3058,"OK"),"KEEP","DROP"))</f>
        <v/>
      </c>
      <c r="T1660" s="9" t="n">
        <f aca="false">IF(A1660="",1,0)</f>
        <v>0</v>
      </c>
      <c r="U1660" s="9" t="n">
        <f aca="false">IF(D1660="",1,0)</f>
        <v>0</v>
      </c>
      <c r="V1660" s="9" t="n">
        <f aca="false">IF(E1660="",1,0)</f>
        <v>0</v>
      </c>
      <c r="W1660" s="9" t="n">
        <f aca="false">IF(OR(H1660&lt;1,H1660&gt;10),1,0)</f>
        <v>0</v>
      </c>
      <c r="X1660" s="9" t="n">
        <f aca="false">IF(OR(I1660&lt;=0,I1660&gt;1500),1,0)</f>
        <v>0</v>
      </c>
      <c r="Y1660" s="9" t="n">
        <f aca="false">IF(J1660&gt;H1660*I1660,1,0)</f>
        <v>0</v>
      </c>
      <c r="Z1660" s="9" t="n">
        <f aca="false">IF(AND(N1660&lt;&gt;"",OR(N1660&lt;1,N1660&gt;5)),1,0)</f>
        <v>0</v>
      </c>
      <c r="AA1660" s="9" t="n">
        <f aca="false">IF(AND(M1660&lt;&gt;"",OR(M1660&lt;5,M1660&gt;180)),1,0)</f>
        <v>0</v>
      </c>
      <c r="AB1660" s="7" t="str">
        <f aca="false">IF(P1660="DUP","Exact duplicate row",IF(T1660=1,"Missing Order ID",IF(S1660="DROP","Duplicate Order ID (less complete row)",IF(U1660=1,"Missing Customer ID",IF(V1660=1,"Missing Restaurant name",IF(W1660=1,"Invalid/outlier quantity",IF(X1660=1,"Invalid/outlier unit price",IF(Y1660=1,"Discount greater than order value",""))))))))</f>
        <v/>
      </c>
      <c r="AC1660" s="7" t="str">
        <f aca="false">IF(AB1660="","KEEP","DROP")</f>
        <v>KEEP</v>
      </c>
      <c r="AD1660" s="7" t="str">
        <f aca="false">IF(TRIM(F1660)="",IFERROR(INDEX(Map_Tables!$I$4:$I$37,MATCH(TRIM(E1660),Map_Tables!$G$4:$G$37,0)),""),IFERROR(INDEX(Map_Tables!$B$4:$B$18,MATCH(TRIM(F1660),Map_Tables!$A$4:$A$18,0)),"CHECK"))</f>
        <v>Pune</v>
      </c>
      <c r="AE1660" s="7" t="str">
        <f aca="false">IF(TRIM(E1660)="","",IFERROR(INDEX(Map_Tables!$H$4:$H$37,MATCH(TRIM(E1660),Map_Tables!$G$4:$G$37,0)),"CHECK"))</f>
        <v>Misal Mantra</v>
      </c>
      <c r="AF1660" s="7" t="str">
        <f aca="false">IF(TRIM(K1660)="","Unknown",IFERROR(INDEX(Map_Tables!$E$4:$E$15,MATCH(TRIM(K1660),Map_Tables!$D$4:$D$15,0)),"CHECK"))</f>
        <v>Wallet</v>
      </c>
      <c r="AG1660" s="7" t="str">
        <f aca="false">IF(LEFT(LOWER(TRIM(L1660)),6)="cancel","Cancelled","Delivered")</f>
        <v>Delivered</v>
      </c>
      <c r="AH1660" s="10" t="n">
        <f aca="false">IF(ISNUMBER(SEARCH("/",B1660)),DATE(VALUE(RIGHT(B1660,4)),VALUE(MID(B1660,4,2)),VALUE(LEFT(B1660,2))),IF(MID(B1660,5,1)="-",DATE(VALUE(LEFT(B1660,4)),VALUE(MID(B1660,6,2)),VALUE(RIGHT(B1660,2))),DATE(VALUE(RIGHT(B1660,4)),MATCH(MID(B1660,4,3),{"Jan","Feb","Mar","Apr","May","Jun","Jul","Aug","Sep","Oct","Nov","Dec"},0),VALUE(LEFT(B1660,2)))))</f>
        <v>45747</v>
      </c>
    </row>
    <row r="1661" customFormat="false" ht="15" hidden="false" customHeight="false" outlineLevel="0" collapsed="false">
      <c r="A1661" s="7" t="s">
        <v>4201</v>
      </c>
      <c r="B1661" s="7" t="s">
        <v>2303</v>
      </c>
      <c r="C1661" s="7" t="s">
        <v>2402</v>
      </c>
      <c r="D1661" s="7" t="s">
        <v>4202</v>
      </c>
      <c r="E1661" s="7" t="s">
        <v>2815</v>
      </c>
      <c r="F1661" s="7" t="s">
        <v>141</v>
      </c>
      <c r="G1661" s="7" t="s">
        <v>117</v>
      </c>
      <c r="H1661" s="7" t="n">
        <v>2</v>
      </c>
      <c r="I1661" s="7" t="n">
        <v>135</v>
      </c>
      <c r="J1661" s="7" t="n">
        <v>0</v>
      </c>
      <c r="K1661" s="7" t="s">
        <v>88</v>
      </c>
      <c r="L1661" s="7" t="s">
        <v>194</v>
      </c>
      <c r="M1661" s="7" t="n">
        <v>33</v>
      </c>
      <c r="N1661" s="7" t="n">
        <v>4</v>
      </c>
      <c r="O1661" s="7" t="str">
        <f aca="false">A1661&amp;"|"&amp;B1661&amp;"|"&amp;C1661&amp;"|"&amp;D1661&amp;"|"&amp;E1661&amp;"|"&amp;F1661&amp;"|"&amp;G1661&amp;"|"&amp;H1661&amp;"|"&amp;I1661&amp;"|"&amp;J1661&amp;"|"&amp;K1661&amp;"|"&amp;L1661&amp;"|"&amp;M1661&amp;"|"&amp;N1661</f>
        <v>ORD12297|2025-10-17|19:55|C0005| Bengal Bites|Kolkata|Street Food|2|135|0|UPI|Delivered|33|4</v>
      </c>
      <c r="P1661" s="7" t="str">
        <f aca="false">IF(COUNTIF($O$2:O1661,O1661)&gt;1,"DUP","OK")</f>
        <v>OK</v>
      </c>
      <c r="Q1661" s="7" t="n">
        <f aca="false">COUNTBLANK(A1661:N1661)</f>
        <v>0</v>
      </c>
      <c r="R1661" s="7" t="n">
        <f aca="false">IF(A1661="",0,COUNTIFS($A$2:$A$3058,A1661,$P$2:$P$3058,"OK"))</f>
        <v>1</v>
      </c>
      <c r="S1661" s="7" t="str">
        <f aca="false">IF(OR(A1661="",P1661="DUP",R1661&lt;2),"",IF(Q1661=_xlfn.MINIFS($Q$2:$Q$3058,$A$2:$A$3058,A1661,$P$2:$P$3058,"OK"),"KEEP","DROP"))</f>
        <v/>
      </c>
      <c r="T1661" s="9" t="n">
        <f aca="false">IF(A1661="",1,0)</f>
        <v>0</v>
      </c>
      <c r="U1661" s="9" t="n">
        <f aca="false">IF(D1661="",1,0)</f>
        <v>0</v>
      </c>
      <c r="V1661" s="9" t="n">
        <f aca="false">IF(E1661="",1,0)</f>
        <v>0</v>
      </c>
      <c r="W1661" s="9" t="n">
        <f aca="false">IF(OR(H1661&lt;1,H1661&gt;10),1,0)</f>
        <v>0</v>
      </c>
      <c r="X1661" s="9" t="n">
        <f aca="false">IF(OR(I1661&lt;=0,I1661&gt;1500),1,0)</f>
        <v>0</v>
      </c>
      <c r="Y1661" s="9" t="n">
        <f aca="false">IF(J1661&gt;H1661*I1661,1,0)</f>
        <v>0</v>
      </c>
      <c r="Z1661" s="9" t="n">
        <f aca="false">IF(AND(N1661&lt;&gt;"",OR(N1661&lt;1,N1661&gt;5)),1,0)</f>
        <v>0</v>
      </c>
      <c r="AA1661" s="9" t="n">
        <f aca="false">IF(AND(M1661&lt;&gt;"",OR(M1661&lt;5,M1661&gt;180)),1,0)</f>
        <v>0</v>
      </c>
      <c r="AB1661" s="7" t="str">
        <f aca="false">IF(P1661="DUP","Exact duplicate row",IF(T1661=1,"Missing Order ID",IF(S1661="DROP","Duplicate Order ID (less complete row)",IF(U1661=1,"Missing Customer ID",IF(V1661=1,"Missing Restaurant name",IF(W1661=1,"Invalid/outlier quantity",IF(X1661=1,"Invalid/outlier unit price",IF(Y1661=1,"Discount greater than order value",""))))))))</f>
        <v/>
      </c>
      <c r="AC1661" s="7" t="str">
        <f aca="false">IF(AB1661="","KEEP","DROP")</f>
        <v>KEEP</v>
      </c>
      <c r="AD1661" s="7" t="str">
        <f aca="false">IF(TRIM(F1661)="",IFERROR(INDEX(Map_Tables!$I$4:$I$37,MATCH(TRIM(E1661),Map_Tables!$G$4:$G$37,0)),""),IFERROR(INDEX(Map_Tables!$B$4:$B$18,MATCH(TRIM(F1661),Map_Tables!$A$4:$A$18,0)),"CHECK"))</f>
        <v>Kolkata</v>
      </c>
      <c r="AE1661" s="7" t="str">
        <f aca="false">IF(TRIM(E1661)="","",IFERROR(INDEX(Map_Tables!$H$4:$H$37,MATCH(TRIM(E1661),Map_Tables!$G$4:$G$37,0)),"CHECK"))</f>
        <v>Bengal Bites</v>
      </c>
      <c r="AF1661" s="7" t="str">
        <f aca="false">IF(TRIM(K1661)="","Unknown",IFERROR(INDEX(Map_Tables!$E$4:$E$15,MATCH(TRIM(K1661),Map_Tables!$D$4:$D$15,0)),"CHECK"))</f>
        <v>UPI</v>
      </c>
      <c r="AG1661" s="7" t="str">
        <f aca="false">IF(LEFT(LOWER(TRIM(L1661)),6)="cancel","Cancelled","Delivered")</f>
        <v>Delivered</v>
      </c>
      <c r="AH1661" s="10" t="n">
        <f aca="false">IF(ISNUMBER(SEARCH("/",B1661)),DATE(VALUE(RIGHT(B1661,4)),VALUE(MID(B1661,4,2)),VALUE(LEFT(B1661,2))),IF(MID(B1661,5,1)="-",DATE(VALUE(LEFT(B1661,4)),VALUE(MID(B1661,6,2)),VALUE(RIGHT(B1661,2))),DATE(VALUE(RIGHT(B1661,4)),MATCH(MID(B1661,4,3),{"Jan","Feb","Mar","Apr","May","Jun","Jul","Aug","Sep","Oct","Nov","Dec"},0),VALUE(LEFT(B1661,2)))))</f>
        <v>45947</v>
      </c>
    </row>
    <row r="1662" customFormat="false" ht="15" hidden="false" customHeight="false" outlineLevel="0" collapsed="false">
      <c r="A1662" s="7" t="s">
        <v>4203</v>
      </c>
      <c r="B1662" s="7" t="s">
        <v>231</v>
      </c>
      <c r="C1662" s="7" t="s">
        <v>2160</v>
      </c>
      <c r="D1662" s="7" t="s">
        <v>3457</v>
      </c>
      <c r="E1662" s="7" t="s">
        <v>149</v>
      </c>
      <c r="F1662" s="7" t="s">
        <v>119</v>
      </c>
      <c r="G1662" s="7" t="s">
        <v>150</v>
      </c>
      <c r="H1662" s="7" t="n">
        <v>1</v>
      </c>
      <c r="I1662" s="7" t="n">
        <v>145</v>
      </c>
      <c r="J1662" s="7" t="n">
        <v>0</v>
      </c>
      <c r="K1662" s="7" t="s">
        <v>93</v>
      </c>
      <c r="L1662" s="7" t="s">
        <v>238</v>
      </c>
      <c r="M1662" s="7"/>
      <c r="N1662" s="7"/>
      <c r="O1662" s="7" t="str">
        <f aca="false">A1662&amp;"|"&amp;B1662&amp;"|"&amp;C1662&amp;"|"&amp;D1662&amp;"|"&amp;E1662&amp;"|"&amp;F1662&amp;"|"&amp;G1662&amp;"|"&amp;H1662&amp;"|"&amp;I1662&amp;"|"&amp;J1662&amp;"|"&amp;K1662&amp;"|"&amp;L1662&amp;"|"&amp;M1662&amp;"|"&amp;N1662</f>
        <v>ORD12726|2025-11-30|21:35|C0819|Sweet Tooth Studio|Hyderabad|Desserts|1|145|0|Credit Card|Cancelled||</v>
      </c>
      <c r="P1662" s="7" t="str">
        <f aca="false">IF(COUNTIF($O$2:O1662,O1662)&gt;1,"DUP","OK")</f>
        <v>OK</v>
      </c>
      <c r="Q1662" s="7" t="n">
        <f aca="false">COUNTBLANK(A1662:N1662)</f>
        <v>2</v>
      </c>
      <c r="R1662" s="7" t="n">
        <f aca="false">IF(A1662="",0,COUNTIFS($A$2:$A$3058,A1662,$P$2:$P$3058,"OK"))</f>
        <v>1</v>
      </c>
      <c r="S1662" s="7" t="str">
        <f aca="false">IF(OR(A1662="",P1662="DUP",R1662&lt;2),"",IF(Q1662=_xlfn.MINIFS($Q$2:$Q$3058,$A$2:$A$3058,A1662,$P$2:$P$3058,"OK"),"KEEP","DROP"))</f>
        <v/>
      </c>
      <c r="T1662" s="9" t="n">
        <f aca="false">IF(A1662="",1,0)</f>
        <v>0</v>
      </c>
      <c r="U1662" s="9" t="n">
        <f aca="false">IF(D1662="",1,0)</f>
        <v>0</v>
      </c>
      <c r="V1662" s="9" t="n">
        <f aca="false">IF(E1662="",1,0)</f>
        <v>0</v>
      </c>
      <c r="W1662" s="9" t="n">
        <f aca="false">IF(OR(H1662&lt;1,H1662&gt;10),1,0)</f>
        <v>0</v>
      </c>
      <c r="X1662" s="9" t="n">
        <f aca="false">IF(OR(I1662&lt;=0,I1662&gt;1500),1,0)</f>
        <v>0</v>
      </c>
      <c r="Y1662" s="9" t="n">
        <f aca="false">IF(J1662&gt;H1662*I1662,1,0)</f>
        <v>0</v>
      </c>
      <c r="Z1662" s="9" t="n">
        <f aca="false">IF(AND(N1662&lt;&gt;"",OR(N1662&lt;1,N1662&gt;5)),1,0)</f>
        <v>0</v>
      </c>
      <c r="AA1662" s="9" t="n">
        <f aca="false">IF(AND(M1662&lt;&gt;"",OR(M1662&lt;5,M1662&gt;180)),1,0)</f>
        <v>0</v>
      </c>
      <c r="AB1662" s="7" t="str">
        <f aca="false">IF(P1662="DUP","Exact duplicate row",IF(T1662=1,"Missing Order ID",IF(S1662="DROP","Duplicate Order ID (less complete row)",IF(U1662=1,"Missing Customer ID",IF(V1662=1,"Missing Restaurant name",IF(W1662=1,"Invalid/outlier quantity",IF(X1662=1,"Invalid/outlier unit price",IF(Y1662=1,"Discount greater than order value",""))))))))</f>
        <v/>
      </c>
      <c r="AC1662" s="7" t="str">
        <f aca="false">IF(AB1662="","KEEP","DROP")</f>
        <v>KEEP</v>
      </c>
      <c r="AD1662" s="7" t="str">
        <f aca="false">IF(TRIM(F1662)="",IFERROR(INDEX(Map_Tables!$I$4:$I$37,MATCH(TRIM(E1662),Map_Tables!$G$4:$G$37,0)),""),IFERROR(INDEX(Map_Tables!$B$4:$B$18,MATCH(TRIM(F1662),Map_Tables!$A$4:$A$18,0)),"CHECK"))</f>
        <v>Hyderabad</v>
      </c>
      <c r="AE1662" s="7" t="str">
        <f aca="false">IF(TRIM(E1662)="","",IFERROR(INDEX(Map_Tables!$H$4:$H$37,MATCH(TRIM(E1662),Map_Tables!$G$4:$G$37,0)),"CHECK"))</f>
        <v>Sweet Tooth Studio</v>
      </c>
      <c r="AF1662" s="7" t="str">
        <f aca="false">IF(TRIM(K1662)="","Unknown",IFERROR(INDEX(Map_Tables!$E$4:$E$15,MATCH(TRIM(K1662),Map_Tables!$D$4:$D$15,0)),"CHECK"))</f>
        <v>Credit Card</v>
      </c>
      <c r="AG1662" s="7" t="str">
        <f aca="false">IF(LEFT(LOWER(TRIM(L1662)),6)="cancel","Cancelled","Delivered")</f>
        <v>Cancelled</v>
      </c>
      <c r="AH1662" s="10" t="n">
        <f aca="false">IF(ISNUMBER(SEARCH("/",B1662)),DATE(VALUE(RIGHT(B1662,4)),VALUE(MID(B1662,4,2)),VALUE(LEFT(B1662,2))),IF(MID(B1662,5,1)="-",DATE(VALUE(LEFT(B1662,4)),VALUE(MID(B1662,6,2)),VALUE(RIGHT(B1662,2))),DATE(VALUE(RIGHT(B1662,4)),MATCH(MID(B1662,4,3),{"Jan","Feb","Mar","Apr","May","Jun","Jul","Aug","Sep","Oct","Nov","Dec"},0),VALUE(LEFT(B1662,2)))))</f>
        <v>45991</v>
      </c>
    </row>
    <row r="1663" customFormat="false" ht="15" hidden="false" customHeight="false" outlineLevel="0" collapsed="false">
      <c r="A1663" s="7" t="s">
        <v>4204</v>
      </c>
      <c r="B1663" s="7" t="s">
        <v>2492</v>
      </c>
      <c r="C1663" s="7" t="s">
        <v>301</v>
      </c>
      <c r="D1663" s="7" t="s">
        <v>392</v>
      </c>
      <c r="E1663" s="7" t="s">
        <v>4205</v>
      </c>
      <c r="F1663" s="7" t="s">
        <v>101</v>
      </c>
      <c r="G1663" s="7" t="s">
        <v>117</v>
      </c>
      <c r="H1663" s="7" t="n">
        <v>1</v>
      </c>
      <c r="I1663" s="7" t="n">
        <v>165</v>
      </c>
      <c r="J1663" s="7" t="n">
        <v>20</v>
      </c>
      <c r="K1663" s="7" t="s">
        <v>103</v>
      </c>
      <c r="L1663" s="7" t="s">
        <v>194</v>
      </c>
      <c r="M1663" s="7" t="n">
        <v>35</v>
      </c>
      <c r="N1663" s="7"/>
      <c r="O1663" s="7" t="str">
        <f aca="false">A1663&amp;"|"&amp;B1663&amp;"|"&amp;C1663&amp;"|"&amp;D1663&amp;"|"&amp;E1663&amp;"|"&amp;F1663&amp;"|"&amp;G1663&amp;"|"&amp;H1663&amp;"|"&amp;I1663&amp;"|"&amp;J1663&amp;"|"&amp;K1663&amp;"|"&amp;L1663&amp;"|"&amp;M1663&amp;"|"&amp;N1663</f>
        <v>ORD11251|2025-06-08|21:58|C1106|pav bhaji point|Mumbai|Street Food|1|165|20|Debit Card|Delivered|35|</v>
      </c>
      <c r="P1663" s="7" t="str">
        <f aca="false">IF(COUNTIF($O$2:O1663,O1663)&gt;1,"DUP","OK")</f>
        <v>OK</v>
      </c>
      <c r="Q1663" s="7" t="n">
        <f aca="false">COUNTBLANK(A1663:N1663)</f>
        <v>1</v>
      </c>
      <c r="R1663" s="7" t="n">
        <f aca="false">IF(A1663="",0,COUNTIFS($A$2:$A$3058,A1663,$P$2:$P$3058,"OK"))</f>
        <v>1</v>
      </c>
      <c r="S1663" s="7" t="str">
        <f aca="false">IF(OR(A1663="",P1663="DUP",R1663&lt;2),"",IF(Q1663=_xlfn.MINIFS($Q$2:$Q$3058,$A$2:$A$3058,A1663,$P$2:$P$3058,"OK"),"KEEP","DROP"))</f>
        <v/>
      </c>
      <c r="T1663" s="9" t="n">
        <f aca="false">IF(A1663="",1,0)</f>
        <v>0</v>
      </c>
      <c r="U1663" s="9" t="n">
        <f aca="false">IF(D1663="",1,0)</f>
        <v>0</v>
      </c>
      <c r="V1663" s="9" t="n">
        <f aca="false">IF(E1663="",1,0)</f>
        <v>0</v>
      </c>
      <c r="W1663" s="9" t="n">
        <f aca="false">IF(OR(H1663&lt;1,H1663&gt;10),1,0)</f>
        <v>0</v>
      </c>
      <c r="X1663" s="9" t="n">
        <f aca="false">IF(OR(I1663&lt;=0,I1663&gt;1500),1,0)</f>
        <v>0</v>
      </c>
      <c r="Y1663" s="9" t="n">
        <f aca="false">IF(J1663&gt;H1663*I1663,1,0)</f>
        <v>0</v>
      </c>
      <c r="Z1663" s="9" t="n">
        <f aca="false">IF(AND(N1663&lt;&gt;"",OR(N1663&lt;1,N1663&gt;5)),1,0)</f>
        <v>0</v>
      </c>
      <c r="AA1663" s="9" t="n">
        <f aca="false">IF(AND(M1663&lt;&gt;"",OR(M1663&lt;5,M1663&gt;180)),1,0)</f>
        <v>0</v>
      </c>
      <c r="AB1663" s="7" t="str">
        <f aca="false">IF(P1663="DUP","Exact duplicate row",IF(T1663=1,"Missing Order ID",IF(S1663="DROP","Duplicate Order ID (less complete row)",IF(U1663=1,"Missing Customer ID",IF(V1663=1,"Missing Restaurant name",IF(W1663=1,"Invalid/outlier quantity",IF(X1663=1,"Invalid/outlier unit price",IF(Y1663=1,"Discount greater than order value",""))))))))</f>
        <v/>
      </c>
      <c r="AC1663" s="7" t="str">
        <f aca="false">IF(AB1663="","KEEP","DROP")</f>
        <v>KEEP</v>
      </c>
      <c r="AD1663" s="7" t="str">
        <f aca="false">IF(TRIM(F1663)="",IFERROR(INDEX(Map_Tables!$I$4:$I$37,MATCH(TRIM(E1663),Map_Tables!$G$4:$G$37,0)),""),IFERROR(INDEX(Map_Tables!$B$4:$B$18,MATCH(TRIM(F1663),Map_Tables!$A$4:$A$18,0)),"CHECK"))</f>
        <v>Mumbai</v>
      </c>
      <c r="AE1663" s="7" t="str">
        <f aca="false">IF(TRIM(E1663)="","",IFERROR(INDEX(Map_Tables!$H$4:$H$37,MATCH(TRIM(E1663),Map_Tables!$G$4:$G$37,0)),"CHECK"))</f>
        <v>Pav Bhaji Point</v>
      </c>
      <c r="AF1663" s="7" t="str">
        <f aca="false">IF(TRIM(K1663)="","Unknown",IFERROR(INDEX(Map_Tables!$E$4:$E$15,MATCH(TRIM(K1663),Map_Tables!$D$4:$D$15,0)),"CHECK"))</f>
        <v>Debit Card</v>
      </c>
      <c r="AG1663" s="7" t="str">
        <f aca="false">IF(LEFT(LOWER(TRIM(L1663)),6)="cancel","Cancelled","Delivered")</f>
        <v>Delivered</v>
      </c>
      <c r="AH1663" s="10" t="n">
        <f aca="false">IF(ISNUMBER(SEARCH("/",B1663)),DATE(VALUE(RIGHT(B1663,4)),VALUE(MID(B1663,4,2)),VALUE(LEFT(B1663,2))),IF(MID(B1663,5,1)="-",DATE(VALUE(LEFT(B1663,4)),VALUE(MID(B1663,6,2)),VALUE(RIGHT(B1663,2))),DATE(VALUE(RIGHT(B1663,4)),MATCH(MID(B1663,4,3),{"Jan","Feb","Mar","Apr","May","Jun","Jul","Aug","Sep","Oct","Nov","Dec"},0),VALUE(LEFT(B1663,2)))))</f>
        <v>45816</v>
      </c>
    </row>
    <row r="1664" customFormat="false" ht="15" hidden="false" customHeight="false" outlineLevel="0" collapsed="false">
      <c r="A1664" s="7" t="s">
        <v>1360</v>
      </c>
      <c r="B1664" s="7" t="s">
        <v>1361</v>
      </c>
      <c r="C1664" s="7" t="s">
        <v>689</v>
      </c>
      <c r="D1664" s="7" t="s">
        <v>1362</v>
      </c>
      <c r="E1664" s="7" t="s">
        <v>142</v>
      </c>
      <c r="F1664" s="7" t="s">
        <v>110</v>
      </c>
      <c r="G1664" s="7" t="s">
        <v>105</v>
      </c>
      <c r="H1664" s="7" t="n">
        <v>1</v>
      </c>
      <c r="I1664" s="7" t="n">
        <v>170</v>
      </c>
      <c r="J1664" s="7" t="n">
        <v>0</v>
      </c>
      <c r="K1664" s="7" t="s">
        <v>88</v>
      </c>
      <c r="L1664" s="7" t="s">
        <v>194</v>
      </c>
      <c r="M1664" s="7" t="n">
        <v>52</v>
      </c>
      <c r="N1664" s="7" t="n">
        <v>3</v>
      </c>
      <c r="O1664" s="7" t="str">
        <f aca="false">A1664&amp;"|"&amp;B1664&amp;"|"&amp;C1664&amp;"|"&amp;D1664&amp;"|"&amp;E1664&amp;"|"&amp;F1664&amp;"|"&amp;G1664&amp;"|"&amp;H1664&amp;"|"&amp;I1664&amp;"|"&amp;J1664&amp;"|"&amp;K1664&amp;"|"&amp;L1664&amp;"|"&amp;M1664&amp;"|"&amp;N1664</f>
        <v>ORD10706|2025-03-30|18:16|C0900|Momo Magic|Delhi|Chinese|1|170|0|UPI|Delivered|52|3</v>
      </c>
      <c r="P1664" s="7" t="str">
        <f aca="false">IF(COUNTIF($O$2:O1664,O1664)&gt;1,"DUP","OK")</f>
        <v>DUP</v>
      </c>
      <c r="Q1664" s="7" t="n">
        <f aca="false">COUNTBLANK(A1664:N1664)</f>
        <v>0</v>
      </c>
      <c r="R1664" s="7" t="n">
        <f aca="false">IF(A1664="",0,COUNTIFS($A$2:$A$3058,A1664,$P$2:$P$3058,"OK"))</f>
        <v>1</v>
      </c>
      <c r="S1664" s="7" t="str">
        <f aca="false">IF(OR(A1664="",P1664="DUP",R1664&lt;2),"",IF(Q1664=_xlfn.MINIFS($Q$2:$Q$3058,$A$2:$A$3058,A1664,$P$2:$P$3058,"OK"),"KEEP","DROP"))</f>
        <v/>
      </c>
      <c r="T1664" s="9" t="n">
        <f aca="false">IF(A1664="",1,0)</f>
        <v>0</v>
      </c>
      <c r="U1664" s="9" t="n">
        <f aca="false">IF(D1664="",1,0)</f>
        <v>0</v>
      </c>
      <c r="V1664" s="9" t="n">
        <f aca="false">IF(E1664="",1,0)</f>
        <v>0</v>
      </c>
      <c r="W1664" s="9" t="n">
        <f aca="false">IF(OR(H1664&lt;1,H1664&gt;10),1,0)</f>
        <v>0</v>
      </c>
      <c r="X1664" s="9" t="n">
        <f aca="false">IF(OR(I1664&lt;=0,I1664&gt;1500),1,0)</f>
        <v>0</v>
      </c>
      <c r="Y1664" s="9" t="n">
        <f aca="false">IF(J1664&gt;H1664*I1664,1,0)</f>
        <v>0</v>
      </c>
      <c r="Z1664" s="9" t="n">
        <f aca="false">IF(AND(N1664&lt;&gt;"",OR(N1664&lt;1,N1664&gt;5)),1,0)</f>
        <v>0</v>
      </c>
      <c r="AA1664" s="9" t="n">
        <f aca="false">IF(AND(M1664&lt;&gt;"",OR(M1664&lt;5,M1664&gt;180)),1,0)</f>
        <v>0</v>
      </c>
      <c r="AB1664" s="7" t="str">
        <f aca="false">IF(P1664="DUP","Exact duplicate row",IF(T1664=1,"Missing Order ID",IF(S1664="DROP","Duplicate Order ID (less complete row)",IF(U1664=1,"Missing Customer ID",IF(V1664=1,"Missing Restaurant name",IF(W1664=1,"Invalid/outlier quantity",IF(X1664=1,"Invalid/outlier unit price",IF(Y1664=1,"Discount greater than order value",""))))))))</f>
        <v>Exact duplicate row</v>
      </c>
      <c r="AC1664" s="7" t="str">
        <f aca="false">IF(AB1664="","KEEP","DROP")</f>
        <v>DROP</v>
      </c>
      <c r="AD1664" s="7" t="str">
        <f aca="false">IF(TRIM(F1664)="",IFERROR(INDEX(Map_Tables!$I$4:$I$37,MATCH(TRIM(E1664),Map_Tables!$G$4:$G$37,0)),""),IFERROR(INDEX(Map_Tables!$B$4:$B$18,MATCH(TRIM(F1664),Map_Tables!$A$4:$A$18,0)),"CHECK"))</f>
        <v>Delhi</v>
      </c>
      <c r="AE1664" s="7" t="str">
        <f aca="false">IF(TRIM(E1664)="","",IFERROR(INDEX(Map_Tables!$H$4:$H$37,MATCH(TRIM(E1664),Map_Tables!$G$4:$G$37,0)),"CHECK"))</f>
        <v>Momo Magic</v>
      </c>
      <c r="AF1664" s="7" t="str">
        <f aca="false">IF(TRIM(K1664)="","Unknown",IFERROR(INDEX(Map_Tables!$E$4:$E$15,MATCH(TRIM(K1664),Map_Tables!$D$4:$D$15,0)),"CHECK"))</f>
        <v>UPI</v>
      </c>
      <c r="AG1664" s="7" t="str">
        <f aca="false">IF(LEFT(LOWER(TRIM(L1664)),6)="cancel","Cancelled","Delivered")</f>
        <v>Delivered</v>
      </c>
      <c r="AH1664" s="10" t="n">
        <f aca="false">IF(ISNUMBER(SEARCH("/",B1664)),DATE(VALUE(RIGHT(B1664,4)),VALUE(MID(B1664,4,2)),VALUE(LEFT(B1664,2))),IF(MID(B1664,5,1)="-",DATE(VALUE(LEFT(B1664,4)),VALUE(MID(B1664,6,2)),VALUE(RIGHT(B1664,2))),DATE(VALUE(RIGHT(B1664,4)),MATCH(MID(B1664,4,3),{"Jan","Feb","Mar","Apr","May","Jun","Jul","Aug","Sep","Oct","Nov","Dec"},0),VALUE(LEFT(B1664,2)))))</f>
        <v>45746</v>
      </c>
    </row>
    <row r="1665" customFormat="false" ht="15" hidden="false" customHeight="false" outlineLevel="0" collapsed="false">
      <c r="A1665" s="7" t="s">
        <v>4206</v>
      </c>
      <c r="B1665" s="7" t="s">
        <v>1733</v>
      </c>
      <c r="C1665" s="7" t="s">
        <v>254</v>
      </c>
      <c r="D1665" s="7" t="s">
        <v>277</v>
      </c>
      <c r="E1665" s="7" t="s">
        <v>138</v>
      </c>
      <c r="F1665" s="7" t="s">
        <v>110</v>
      </c>
      <c r="G1665" s="7" t="s">
        <v>139</v>
      </c>
      <c r="H1665" s="7" t="n">
        <v>3</v>
      </c>
      <c r="I1665" s="7" t="n">
        <v>150</v>
      </c>
      <c r="J1665" s="7" t="n">
        <v>50</v>
      </c>
      <c r="K1665" s="7" t="s">
        <v>379</v>
      </c>
      <c r="L1665" s="7" t="s">
        <v>194</v>
      </c>
      <c r="M1665" s="7" t="n">
        <v>34</v>
      </c>
      <c r="N1665" s="7" t="n">
        <v>4</v>
      </c>
      <c r="O1665" s="7" t="str">
        <f aca="false">A1665&amp;"|"&amp;B1665&amp;"|"&amp;C1665&amp;"|"&amp;D1665&amp;"|"&amp;E1665&amp;"|"&amp;F1665&amp;"|"&amp;G1665&amp;"|"&amp;H1665&amp;"|"&amp;I1665&amp;"|"&amp;J1665&amp;"|"&amp;K1665&amp;"|"&amp;L1665&amp;"|"&amp;M1665&amp;"|"&amp;N1665</f>
        <v>ORD12597|2025-11-17|20:58|C0365|Burger Barn|Delhi|Burgers|3|150|50|Credit card|Delivered|34|4</v>
      </c>
      <c r="P1665" s="7" t="str">
        <f aca="false">IF(COUNTIF($O$2:O1665,O1665)&gt;1,"DUP","OK")</f>
        <v>OK</v>
      </c>
      <c r="Q1665" s="7" t="n">
        <f aca="false">COUNTBLANK(A1665:N1665)</f>
        <v>0</v>
      </c>
      <c r="R1665" s="7" t="n">
        <f aca="false">IF(A1665="",0,COUNTIFS($A$2:$A$3058,A1665,$P$2:$P$3058,"OK"))</f>
        <v>1</v>
      </c>
      <c r="S1665" s="7" t="str">
        <f aca="false">IF(OR(A1665="",P1665="DUP",R1665&lt;2),"",IF(Q1665=_xlfn.MINIFS($Q$2:$Q$3058,$A$2:$A$3058,A1665,$P$2:$P$3058,"OK"),"KEEP","DROP"))</f>
        <v/>
      </c>
      <c r="T1665" s="9" t="n">
        <f aca="false">IF(A1665="",1,0)</f>
        <v>0</v>
      </c>
      <c r="U1665" s="9" t="n">
        <f aca="false">IF(D1665="",1,0)</f>
        <v>0</v>
      </c>
      <c r="V1665" s="9" t="n">
        <f aca="false">IF(E1665="",1,0)</f>
        <v>0</v>
      </c>
      <c r="W1665" s="9" t="n">
        <f aca="false">IF(OR(H1665&lt;1,H1665&gt;10),1,0)</f>
        <v>0</v>
      </c>
      <c r="X1665" s="9" t="n">
        <f aca="false">IF(OR(I1665&lt;=0,I1665&gt;1500),1,0)</f>
        <v>0</v>
      </c>
      <c r="Y1665" s="9" t="n">
        <f aca="false">IF(J1665&gt;H1665*I1665,1,0)</f>
        <v>0</v>
      </c>
      <c r="Z1665" s="9" t="n">
        <f aca="false">IF(AND(N1665&lt;&gt;"",OR(N1665&lt;1,N1665&gt;5)),1,0)</f>
        <v>0</v>
      </c>
      <c r="AA1665" s="9" t="n">
        <f aca="false">IF(AND(M1665&lt;&gt;"",OR(M1665&lt;5,M1665&gt;180)),1,0)</f>
        <v>0</v>
      </c>
      <c r="AB1665" s="7" t="str">
        <f aca="false">IF(P1665="DUP","Exact duplicate row",IF(T1665=1,"Missing Order ID",IF(S1665="DROP","Duplicate Order ID (less complete row)",IF(U1665=1,"Missing Customer ID",IF(V1665=1,"Missing Restaurant name",IF(W1665=1,"Invalid/outlier quantity",IF(X1665=1,"Invalid/outlier unit price",IF(Y1665=1,"Discount greater than order value",""))))))))</f>
        <v/>
      </c>
      <c r="AC1665" s="7" t="str">
        <f aca="false">IF(AB1665="","KEEP","DROP")</f>
        <v>KEEP</v>
      </c>
      <c r="AD1665" s="7" t="str">
        <f aca="false">IF(TRIM(F1665)="",IFERROR(INDEX(Map_Tables!$I$4:$I$37,MATCH(TRIM(E1665),Map_Tables!$G$4:$G$37,0)),""),IFERROR(INDEX(Map_Tables!$B$4:$B$18,MATCH(TRIM(F1665),Map_Tables!$A$4:$A$18,0)),"CHECK"))</f>
        <v>Delhi</v>
      </c>
      <c r="AE1665" s="7" t="str">
        <f aca="false">IF(TRIM(E1665)="","",IFERROR(INDEX(Map_Tables!$H$4:$H$37,MATCH(TRIM(E1665),Map_Tables!$G$4:$G$37,0)),"CHECK"))</f>
        <v>Burger Barn</v>
      </c>
      <c r="AF1665" s="7" t="str">
        <f aca="false">IF(TRIM(K1665)="","Unknown",IFERROR(INDEX(Map_Tables!$E$4:$E$15,MATCH(TRIM(K1665),Map_Tables!$D$4:$D$15,0)),"CHECK"))</f>
        <v>Credit Card</v>
      </c>
      <c r="AG1665" s="7" t="str">
        <f aca="false">IF(LEFT(LOWER(TRIM(L1665)),6)="cancel","Cancelled","Delivered")</f>
        <v>Delivered</v>
      </c>
      <c r="AH1665" s="10" t="n">
        <f aca="false">IF(ISNUMBER(SEARCH("/",B1665)),DATE(VALUE(RIGHT(B1665,4)),VALUE(MID(B1665,4,2)),VALUE(LEFT(B1665,2))),IF(MID(B1665,5,1)="-",DATE(VALUE(LEFT(B1665,4)),VALUE(MID(B1665,6,2)),VALUE(RIGHT(B1665,2))),DATE(VALUE(RIGHT(B1665,4)),MATCH(MID(B1665,4,3),{"Jan","Feb","Mar","Apr","May","Jun","Jul","Aug","Sep","Oct","Nov","Dec"},0),VALUE(LEFT(B1665,2)))))</f>
        <v>45978</v>
      </c>
    </row>
    <row r="1666" customFormat="false" ht="15" hidden="false" customHeight="false" outlineLevel="0" collapsed="false">
      <c r="A1666" s="7" t="s">
        <v>4207</v>
      </c>
      <c r="B1666" s="7" t="s">
        <v>1144</v>
      </c>
      <c r="C1666" s="7" t="s">
        <v>4208</v>
      </c>
      <c r="D1666" s="7" t="s">
        <v>1658</v>
      </c>
      <c r="E1666" s="7" t="s">
        <v>161</v>
      </c>
      <c r="F1666" s="7" t="s">
        <v>141</v>
      </c>
      <c r="G1666" s="7" t="s">
        <v>4209</v>
      </c>
      <c r="H1666" s="7" t="n">
        <v>3</v>
      </c>
      <c r="I1666" s="7" t="n">
        <v>130</v>
      </c>
      <c r="J1666" s="7" t="n">
        <v>0</v>
      </c>
      <c r="K1666" s="7" t="s">
        <v>88</v>
      </c>
      <c r="L1666" s="7" t="s">
        <v>194</v>
      </c>
      <c r="M1666" s="7" t="n">
        <v>26</v>
      </c>
      <c r="N1666" s="7" t="n">
        <v>5</v>
      </c>
      <c r="O1666" s="7" t="str">
        <f aca="false">A1666&amp;"|"&amp;B1666&amp;"|"&amp;C1666&amp;"|"&amp;D1666&amp;"|"&amp;E1666&amp;"|"&amp;F1666&amp;"|"&amp;G1666&amp;"|"&amp;H1666&amp;"|"&amp;I1666&amp;"|"&amp;J1666&amp;"|"&amp;K1666&amp;"|"&amp;L1666&amp;"|"&amp;M1666&amp;"|"&amp;N1666</f>
        <v>ORD11438|2025-07-05|18:50|C1233|Bengal Bites|Kolkata|street food|3|130|0|UPI|Delivered|26|5</v>
      </c>
      <c r="P1666" s="7" t="str">
        <f aca="false">IF(COUNTIF($O$2:O1666,O1666)&gt;1,"DUP","OK")</f>
        <v>OK</v>
      </c>
      <c r="Q1666" s="7" t="n">
        <f aca="false">COUNTBLANK(A1666:N1666)</f>
        <v>0</v>
      </c>
      <c r="R1666" s="7" t="n">
        <f aca="false">IF(A1666="",0,COUNTIFS($A$2:$A$3058,A1666,$P$2:$P$3058,"OK"))</f>
        <v>1</v>
      </c>
      <c r="S1666" s="7" t="str">
        <f aca="false">IF(OR(A1666="",P1666="DUP",R1666&lt;2),"",IF(Q1666=_xlfn.MINIFS($Q$2:$Q$3058,$A$2:$A$3058,A1666,$P$2:$P$3058,"OK"),"KEEP","DROP"))</f>
        <v/>
      </c>
      <c r="T1666" s="9" t="n">
        <f aca="false">IF(A1666="",1,0)</f>
        <v>0</v>
      </c>
      <c r="U1666" s="9" t="n">
        <f aca="false">IF(D1666="",1,0)</f>
        <v>0</v>
      </c>
      <c r="V1666" s="9" t="n">
        <f aca="false">IF(E1666="",1,0)</f>
        <v>0</v>
      </c>
      <c r="W1666" s="9" t="n">
        <f aca="false">IF(OR(H1666&lt;1,H1666&gt;10),1,0)</f>
        <v>0</v>
      </c>
      <c r="X1666" s="9" t="n">
        <f aca="false">IF(OR(I1666&lt;=0,I1666&gt;1500),1,0)</f>
        <v>0</v>
      </c>
      <c r="Y1666" s="9" t="n">
        <f aca="false">IF(J1666&gt;H1666*I1666,1,0)</f>
        <v>0</v>
      </c>
      <c r="Z1666" s="9" t="n">
        <f aca="false">IF(AND(N1666&lt;&gt;"",OR(N1666&lt;1,N1666&gt;5)),1,0)</f>
        <v>0</v>
      </c>
      <c r="AA1666" s="9" t="n">
        <f aca="false">IF(AND(M1666&lt;&gt;"",OR(M1666&lt;5,M1666&gt;180)),1,0)</f>
        <v>0</v>
      </c>
      <c r="AB1666" s="7" t="str">
        <f aca="false">IF(P1666="DUP","Exact duplicate row",IF(T1666=1,"Missing Order ID",IF(S1666="DROP","Duplicate Order ID (less complete row)",IF(U1666=1,"Missing Customer ID",IF(V1666=1,"Missing Restaurant name",IF(W1666=1,"Invalid/outlier quantity",IF(X1666=1,"Invalid/outlier unit price",IF(Y1666=1,"Discount greater than order value",""))))))))</f>
        <v/>
      </c>
      <c r="AC1666" s="7" t="str">
        <f aca="false">IF(AB1666="","KEEP","DROP")</f>
        <v>KEEP</v>
      </c>
      <c r="AD1666" s="7" t="str">
        <f aca="false">IF(TRIM(F1666)="",IFERROR(INDEX(Map_Tables!$I$4:$I$37,MATCH(TRIM(E1666),Map_Tables!$G$4:$G$37,0)),""),IFERROR(INDEX(Map_Tables!$B$4:$B$18,MATCH(TRIM(F1666),Map_Tables!$A$4:$A$18,0)),"CHECK"))</f>
        <v>Kolkata</v>
      </c>
      <c r="AE1666" s="7" t="str">
        <f aca="false">IF(TRIM(E1666)="","",IFERROR(INDEX(Map_Tables!$H$4:$H$37,MATCH(TRIM(E1666),Map_Tables!$G$4:$G$37,0)),"CHECK"))</f>
        <v>Bengal Bites</v>
      </c>
      <c r="AF1666" s="7" t="str">
        <f aca="false">IF(TRIM(K1666)="","Unknown",IFERROR(INDEX(Map_Tables!$E$4:$E$15,MATCH(TRIM(K1666),Map_Tables!$D$4:$D$15,0)),"CHECK"))</f>
        <v>UPI</v>
      </c>
      <c r="AG1666" s="7" t="str">
        <f aca="false">IF(LEFT(LOWER(TRIM(L1666)),6)="cancel","Cancelled","Delivered")</f>
        <v>Delivered</v>
      </c>
      <c r="AH1666" s="10" t="n">
        <f aca="false">IF(ISNUMBER(SEARCH("/",B1666)),DATE(VALUE(RIGHT(B1666,4)),VALUE(MID(B1666,4,2)),VALUE(LEFT(B1666,2))),IF(MID(B1666,5,1)="-",DATE(VALUE(LEFT(B1666,4)),VALUE(MID(B1666,6,2)),VALUE(RIGHT(B1666,2))),DATE(VALUE(RIGHT(B1666,4)),MATCH(MID(B1666,4,3),{"Jan","Feb","Mar","Apr","May","Jun","Jul","Aug","Sep","Oct","Nov","Dec"},0),VALUE(LEFT(B1666,2)))))</f>
        <v>45843</v>
      </c>
    </row>
    <row r="1667" customFormat="false" ht="15" hidden="false" customHeight="false" outlineLevel="0" collapsed="false">
      <c r="A1667" s="7" t="s">
        <v>4210</v>
      </c>
      <c r="B1667" s="7" t="s">
        <v>4211</v>
      </c>
      <c r="C1667" s="7" t="s">
        <v>2064</v>
      </c>
      <c r="D1667" s="7" t="s">
        <v>3271</v>
      </c>
      <c r="E1667" s="7" t="s">
        <v>113</v>
      </c>
      <c r="F1667" s="7" t="s">
        <v>101</v>
      </c>
      <c r="G1667" s="7" t="s">
        <v>90</v>
      </c>
      <c r="H1667" s="7" t="n">
        <v>3</v>
      </c>
      <c r="I1667" s="7" t="n">
        <v>260</v>
      </c>
      <c r="J1667" s="7" t="n">
        <v>50</v>
      </c>
      <c r="K1667" s="7" t="s">
        <v>88</v>
      </c>
      <c r="L1667" s="7" t="s">
        <v>194</v>
      </c>
      <c r="M1667" s="7" t="n">
        <v>36</v>
      </c>
      <c r="N1667" s="7" t="n">
        <v>5</v>
      </c>
      <c r="O1667" s="7" t="str">
        <f aca="false">A1667&amp;"|"&amp;B1667&amp;"|"&amp;C1667&amp;"|"&amp;D1667&amp;"|"&amp;E1667&amp;"|"&amp;F1667&amp;"|"&amp;G1667&amp;"|"&amp;H1667&amp;"|"&amp;I1667&amp;"|"&amp;J1667&amp;"|"&amp;K1667&amp;"|"&amp;L1667&amp;"|"&amp;M1667&amp;"|"&amp;N1667</f>
        <v>ORD11802|23/08/2025|18:53|C0196|Curry Leaf Kitchen|Mumbai|North Indian|3|260|50|UPI|Delivered|36|5</v>
      </c>
      <c r="P1667" s="7" t="str">
        <f aca="false">IF(COUNTIF($O$2:O1667,O1667)&gt;1,"DUP","OK")</f>
        <v>OK</v>
      </c>
      <c r="Q1667" s="7" t="n">
        <f aca="false">COUNTBLANK(A1667:N1667)</f>
        <v>0</v>
      </c>
      <c r="R1667" s="7" t="n">
        <f aca="false">IF(A1667="",0,COUNTIFS($A$2:$A$3058,A1667,$P$2:$P$3058,"OK"))</f>
        <v>1</v>
      </c>
      <c r="S1667" s="7" t="str">
        <f aca="false">IF(OR(A1667="",P1667="DUP",R1667&lt;2),"",IF(Q1667=_xlfn.MINIFS($Q$2:$Q$3058,$A$2:$A$3058,A1667,$P$2:$P$3058,"OK"),"KEEP","DROP"))</f>
        <v/>
      </c>
      <c r="T1667" s="9" t="n">
        <f aca="false">IF(A1667="",1,0)</f>
        <v>0</v>
      </c>
      <c r="U1667" s="9" t="n">
        <f aca="false">IF(D1667="",1,0)</f>
        <v>0</v>
      </c>
      <c r="V1667" s="9" t="n">
        <f aca="false">IF(E1667="",1,0)</f>
        <v>0</v>
      </c>
      <c r="W1667" s="9" t="n">
        <f aca="false">IF(OR(H1667&lt;1,H1667&gt;10),1,0)</f>
        <v>0</v>
      </c>
      <c r="X1667" s="9" t="n">
        <f aca="false">IF(OR(I1667&lt;=0,I1667&gt;1500),1,0)</f>
        <v>0</v>
      </c>
      <c r="Y1667" s="9" t="n">
        <f aca="false">IF(J1667&gt;H1667*I1667,1,0)</f>
        <v>0</v>
      </c>
      <c r="Z1667" s="9" t="n">
        <f aca="false">IF(AND(N1667&lt;&gt;"",OR(N1667&lt;1,N1667&gt;5)),1,0)</f>
        <v>0</v>
      </c>
      <c r="AA1667" s="9" t="n">
        <f aca="false">IF(AND(M1667&lt;&gt;"",OR(M1667&lt;5,M1667&gt;180)),1,0)</f>
        <v>0</v>
      </c>
      <c r="AB1667" s="7" t="str">
        <f aca="false">IF(P1667="DUP","Exact duplicate row",IF(T1667=1,"Missing Order ID",IF(S1667="DROP","Duplicate Order ID (less complete row)",IF(U1667=1,"Missing Customer ID",IF(V1667=1,"Missing Restaurant name",IF(W1667=1,"Invalid/outlier quantity",IF(X1667=1,"Invalid/outlier unit price",IF(Y1667=1,"Discount greater than order value",""))))))))</f>
        <v/>
      </c>
      <c r="AC1667" s="7" t="str">
        <f aca="false">IF(AB1667="","KEEP","DROP")</f>
        <v>KEEP</v>
      </c>
      <c r="AD1667" s="7" t="str">
        <f aca="false">IF(TRIM(F1667)="",IFERROR(INDEX(Map_Tables!$I$4:$I$37,MATCH(TRIM(E1667),Map_Tables!$G$4:$G$37,0)),""),IFERROR(INDEX(Map_Tables!$B$4:$B$18,MATCH(TRIM(F1667),Map_Tables!$A$4:$A$18,0)),"CHECK"))</f>
        <v>Mumbai</v>
      </c>
      <c r="AE1667" s="7" t="str">
        <f aca="false">IF(TRIM(E1667)="","",IFERROR(INDEX(Map_Tables!$H$4:$H$37,MATCH(TRIM(E1667),Map_Tables!$G$4:$G$37,0)),"CHECK"))</f>
        <v>Curry Leaf Kitchen</v>
      </c>
      <c r="AF1667" s="7" t="str">
        <f aca="false">IF(TRIM(K1667)="","Unknown",IFERROR(INDEX(Map_Tables!$E$4:$E$15,MATCH(TRIM(K1667),Map_Tables!$D$4:$D$15,0)),"CHECK"))</f>
        <v>UPI</v>
      </c>
      <c r="AG1667" s="7" t="str">
        <f aca="false">IF(LEFT(LOWER(TRIM(L1667)),6)="cancel","Cancelled","Delivered")</f>
        <v>Delivered</v>
      </c>
      <c r="AH1667" s="10" t="n">
        <f aca="false">IF(ISNUMBER(SEARCH("/",B1667)),DATE(VALUE(RIGHT(B1667,4)),VALUE(MID(B1667,4,2)),VALUE(LEFT(B1667,2))),IF(MID(B1667,5,1)="-",DATE(VALUE(LEFT(B1667,4)),VALUE(MID(B1667,6,2)),VALUE(RIGHT(B1667,2))),DATE(VALUE(RIGHT(B1667,4)),MATCH(MID(B1667,4,3),{"Jan","Feb","Mar","Apr","May","Jun","Jul","Aug","Sep","Oct","Nov","Dec"},0),VALUE(LEFT(B1667,2)))))</f>
        <v>45892</v>
      </c>
    </row>
    <row r="1668" customFormat="false" ht="15" hidden="false" customHeight="false" outlineLevel="0" collapsed="false">
      <c r="A1668" s="7" t="s">
        <v>4212</v>
      </c>
      <c r="B1668" s="7" t="s">
        <v>503</v>
      </c>
      <c r="C1668" s="7" t="s">
        <v>559</v>
      </c>
      <c r="D1668" s="7" t="s">
        <v>613</v>
      </c>
      <c r="E1668" s="7" t="s">
        <v>159</v>
      </c>
      <c r="F1668" s="7" t="s">
        <v>303</v>
      </c>
      <c r="G1668" s="7" t="s">
        <v>90</v>
      </c>
      <c r="H1668" s="7" t="n">
        <v>1</v>
      </c>
      <c r="I1668" s="7" t="n">
        <v>275</v>
      </c>
      <c r="J1668" s="7" t="n">
        <v>0</v>
      </c>
      <c r="K1668" s="7" t="s">
        <v>112</v>
      </c>
      <c r="L1668" s="7" t="s">
        <v>194</v>
      </c>
      <c r="M1668" s="7" t="n">
        <v>43</v>
      </c>
      <c r="N1668" s="7" t="n">
        <v>4</v>
      </c>
      <c r="O1668" s="7" t="str">
        <f aca="false">A1668&amp;"|"&amp;B1668&amp;"|"&amp;C1668&amp;"|"&amp;D1668&amp;"|"&amp;E1668&amp;"|"&amp;F1668&amp;"|"&amp;G1668&amp;"|"&amp;H1668&amp;"|"&amp;I1668&amp;"|"&amp;J1668&amp;"|"&amp;K1668&amp;"|"&amp;L1668&amp;"|"&amp;M1668&amp;"|"&amp;N1668</f>
        <v>ORD11554|2025-07-21|20:25|C1433|Maratha Thali House|PUNE|North Indian|1|275|0|Cash on Delivery|Delivered|43|4</v>
      </c>
      <c r="P1668" s="7" t="str">
        <f aca="false">IF(COUNTIF($O$2:O1668,O1668)&gt;1,"DUP","OK")</f>
        <v>OK</v>
      </c>
      <c r="Q1668" s="7" t="n">
        <f aca="false">COUNTBLANK(A1668:N1668)</f>
        <v>0</v>
      </c>
      <c r="R1668" s="7" t="n">
        <f aca="false">IF(A1668="",0,COUNTIFS($A$2:$A$3058,A1668,$P$2:$P$3058,"OK"))</f>
        <v>1</v>
      </c>
      <c r="S1668" s="7" t="str">
        <f aca="false">IF(OR(A1668="",P1668="DUP",R1668&lt;2),"",IF(Q1668=_xlfn.MINIFS($Q$2:$Q$3058,$A$2:$A$3058,A1668,$P$2:$P$3058,"OK"),"KEEP","DROP"))</f>
        <v/>
      </c>
      <c r="T1668" s="9" t="n">
        <f aca="false">IF(A1668="",1,0)</f>
        <v>0</v>
      </c>
      <c r="U1668" s="9" t="n">
        <f aca="false">IF(D1668="",1,0)</f>
        <v>0</v>
      </c>
      <c r="V1668" s="9" t="n">
        <f aca="false">IF(E1668="",1,0)</f>
        <v>0</v>
      </c>
      <c r="W1668" s="9" t="n">
        <f aca="false">IF(OR(H1668&lt;1,H1668&gt;10),1,0)</f>
        <v>0</v>
      </c>
      <c r="X1668" s="9" t="n">
        <f aca="false">IF(OR(I1668&lt;=0,I1668&gt;1500),1,0)</f>
        <v>0</v>
      </c>
      <c r="Y1668" s="9" t="n">
        <f aca="false">IF(J1668&gt;H1668*I1668,1,0)</f>
        <v>0</v>
      </c>
      <c r="Z1668" s="9" t="n">
        <f aca="false">IF(AND(N1668&lt;&gt;"",OR(N1668&lt;1,N1668&gt;5)),1,0)</f>
        <v>0</v>
      </c>
      <c r="AA1668" s="9" t="n">
        <f aca="false">IF(AND(M1668&lt;&gt;"",OR(M1668&lt;5,M1668&gt;180)),1,0)</f>
        <v>0</v>
      </c>
      <c r="AB1668" s="7" t="str">
        <f aca="false">IF(P1668="DUP","Exact duplicate row",IF(T1668=1,"Missing Order ID",IF(S1668="DROP","Duplicate Order ID (less complete row)",IF(U1668=1,"Missing Customer ID",IF(V1668=1,"Missing Restaurant name",IF(W1668=1,"Invalid/outlier quantity",IF(X1668=1,"Invalid/outlier unit price",IF(Y1668=1,"Discount greater than order value",""))))))))</f>
        <v/>
      </c>
      <c r="AC1668" s="7" t="str">
        <f aca="false">IF(AB1668="","KEEP","DROP")</f>
        <v>KEEP</v>
      </c>
      <c r="AD1668" s="7" t="str">
        <f aca="false">IF(TRIM(F1668)="",IFERROR(INDEX(Map_Tables!$I$4:$I$37,MATCH(TRIM(E1668),Map_Tables!$G$4:$G$37,0)),""),IFERROR(INDEX(Map_Tables!$B$4:$B$18,MATCH(TRIM(F1668),Map_Tables!$A$4:$A$18,0)),"CHECK"))</f>
        <v>Pune</v>
      </c>
      <c r="AE1668" s="7" t="str">
        <f aca="false">IF(TRIM(E1668)="","",IFERROR(INDEX(Map_Tables!$H$4:$H$37,MATCH(TRIM(E1668),Map_Tables!$G$4:$G$37,0)),"CHECK"))</f>
        <v>Maratha Thali House</v>
      </c>
      <c r="AF1668" s="7" t="str">
        <f aca="false">IF(TRIM(K1668)="","Unknown",IFERROR(INDEX(Map_Tables!$E$4:$E$15,MATCH(TRIM(K1668),Map_Tables!$D$4:$D$15,0)),"CHECK"))</f>
        <v>Cash on Delivery</v>
      </c>
      <c r="AG1668" s="7" t="str">
        <f aca="false">IF(LEFT(LOWER(TRIM(L1668)),6)="cancel","Cancelled","Delivered")</f>
        <v>Delivered</v>
      </c>
      <c r="AH1668" s="10" t="n">
        <f aca="false">IF(ISNUMBER(SEARCH("/",B1668)),DATE(VALUE(RIGHT(B1668,4)),VALUE(MID(B1668,4,2)),VALUE(LEFT(B1668,2))),IF(MID(B1668,5,1)="-",DATE(VALUE(LEFT(B1668,4)),VALUE(MID(B1668,6,2)),VALUE(RIGHT(B1668,2))),DATE(VALUE(RIGHT(B1668,4)),MATCH(MID(B1668,4,3),{"Jan","Feb","Mar","Apr","May","Jun","Jul","Aug","Sep","Oct","Nov","Dec"},0),VALUE(LEFT(B1668,2)))))</f>
        <v>45859</v>
      </c>
    </row>
    <row r="1669" customFormat="false" ht="15" hidden="false" customHeight="false" outlineLevel="0" collapsed="false">
      <c r="A1669" s="7" t="s">
        <v>4213</v>
      </c>
      <c r="B1669" s="7" t="s">
        <v>473</v>
      </c>
      <c r="C1669" s="7" t="s">
        <v>1023</v>
      </c>
      <c r="D1669" s="7" t="s">
        <v>610</v>
      </c>
      <c r="E1669" s="7" t="s">
        <v>98</v>
      </c>
      <c r="F1669" s="7" t="s">
        <v>928</v>
      </c>
      <c r="G1669" s="7" t="s">
        <v>99</v>
      </c>
      <c r="H1669" s="7" t="n">
        <v>4</v>
      </c>
      <c r="I1669" s="7" t="n">
        <v>255</v>
      </c>
      <c r="J1669" s="7" t="n">
        <v>30</v>
      </c>
      <c r="K1669" s="7" t="s">
        <v>133</v>
      </c>
      <c r="L1669" s="7" t="s">
        <v>194</v>
      </c>
      <c r="M1669" s="7" t="n">
        <v>41</v>
      </c>
      <c r="N1669" s="7" t="n">
        <v>3</v>
      </c>
      <c r="O1669" s="7" t="str">
        <f aca="false">A1669&amp;"|"&amp;B1669&amp;"|"&amp;C1669&amp;"|"&amp;D1669&amp;"|"&amp;E1669&amp;"|"&amp;F1669&amp;"|"&amp;G1669&amp;"|"&amp;H1669&amp;"|"&amp;I1669&amp;"|"&amp;J1669&amp;"|"&amp;K1669&amp;"|"&amp;L1669&amp;"|"&amp;M1669&amp;"|"&amp;N1669</f>
        <v>ORD10817|2025-04-14|10:39|C0892|Nawabi Biryani House|Bangalore|Biryani|4|255|30|Net Banking|Delivered|41|3</v>
      </c>
      <c r="P1669" s="7" t="str">
        <f aca="false">IF(COUNTIF($O$2:O1669,O1669)&gt;1,"DUP","OK")</f>
        <v>OK</v>
      </c>
      <c r="Q1669" s="7" t="n">
        <f aca="false">COUNTBLANK(A1669:N1669)</f>
        <v>0</v>
      </c>
      <c r="R1669" s="7" t="n">
        <f aca="false">IF(A1669="",0,COUNTIFS($A$2:$A$3058,A1669,$P$2:$P$3058,"OK"))</f>
        <v>1</v>
      </c>
      <c r="S1669" s="7" t="str">
        <f aca="false">IF(OR(A1669="",P1669="DUP",R1669&lt;2),"",IF(Q1669=_xlfn.MINIFS($Q$2:$Q$3058,$A$2:$A$3058,A1669,$P$2:$P$3058,"OK"),"KEEP","DROP"))</f>
        <v/>
      </c>
      <c r="T1669" s="9" t="n">
        <f aca="false">IF(A1669="",1,0)</f>
        <v>0</v>
      </c>
      <c r="U1669" s="9" t="n">
        <f aca="false">IF(D1669="",1,0)</f>
        <v>0</v>
      </c>
      <c r="V1669" s="9" t="n">
        <f aca="false">IF(E1669="",1,0)</f>
        <v>0</v>
      </c>
      <c r="W1669" s="9" t="n">
        <f aca="false">IF(OR(H1669&lt;1,H1669&gt;10),1,0)</f>
        <v>0</v>
      </c>
      <c r="X1669" s="9" t="n">
        <f aca="false">IF(OR(I1669&lt;=0,I1669&gt;1500),1,0)</f>
        <v>0</v>
      </c>
      <c r="Y1669" s="9" t="n">
        <f aca="false">IF(J1669&gt;H1669*I1669,1,0)</f>
        <v>0</v>
      </c>
      <c r="Z1669" s="9" t="n">
        <f aca="false">IF(AND(N1669&lt;&gt;"",OR(N1669&lt;1,N1669&gt;5)),1,0)</f>
        <v>0</v>
      </c>
      <c r="AA1669" s="9" t="n">
        <f aca="false">IF(AND(M1669&lt;&gt;"",OR(M1669&lt;5,M1669&gt;180)),1,0)</f>
        <v>0</v>
      </c>
      <c r="AB1669" s="7" t="str">
        <f aca="false">IF(P1669="DUP","Exact duplicate row",IF(T1669=1,"Missing Order ID",IF(S1669="DROP","Duplicate Order ID (less complete row)",IF(U1669=1,"Missing Customer ID",IF(V1669=1,"Missing Restaurant name",IF(W1669=1,"Invalid/outlier quantity",IF(X1669=1,"Invalid/outlier unit price",IF(Y1669=1,"Discount greater than order value",""))))))))</f>
        <v/>
      </c>
      <c r="AC1669" s="7" t="str">
        <f aca="false">IF(AB1669="","KEEP","DROP")</f>
        <v>KEEP</v>
      </c>
      <c r="AD1669" s="7" t="str">
        <f aca="false">IF(TRIM(F1669)="",IFERROR(INDEX(Map_Tables!$I$4:$I$37,MATCH(TRIM(E1669),Map_Tables!$G$4:$G$37,0)),""),IFERROR(INDEX(Map_Tables!$B$4:$B$18,MATCH(TRIM(F1669),Map_Tables!$A$4:$A$18,0)),"CHECK"))</f>
        <v>Bengaluru</v>
      </c>
      <c r="AE1669" s="7" t="str">
        <f aca="false">IF(TRIM(E1669)="","",IFERROR(INDEX(Map_Tables!$H$4:$H$37,MATCH(TRIM(E1669),Map_Tables!$G$4:$G$37,0)),"CHECK"))</f>
        <v>Nawabi Biryani House</v>
      </c>
      <c r="AF1669" s="7" t="str">
        <f aca="false">IF(TRIM(K1669)="","Unknown",IFERROR(INDEX(Map_Tables!$E$4:$E$15,MATCH(TRIM(K1669),Map_Tables!$D$4:$D$15,0)),"CHECK"))</f>
        <v>Net Banking</v>
      </c>
      <c r="AG1669" s="7" t="str">
        <f aca="false">IF(LEFT(LOWER(TRIM(L1669)),6)="cancel","Cancelled","Delivered")</f>
        <v>Delivered</v>
      </c>
      <c r="AH1669" s="10" t="n">
        <f aca="false">IF(ISNUMBER(SEARCH("/",B1669)),DATE(VALUE(RIGHT(B1669,4)),VALUE(MID(B1669,4,2)),VALUE(LEFT(B1669,2))),IF(MID(B1669,5,1)="-",DATE(VALUE(LEFT(B1669,4)),VALUE(MID(B1669,6,2)),VALUE(RIGHT(B1669,2))),DATE(VALUE(RIGHT(B1669,4)),MATCH(MID(B1669,4,3),{"Jan","Feb","Mar","Apr","May","Jun","Jul","Aug","Sep","Oct","Nov","Dec"},0),VALUE(LEFT(B1669,2)))))</f>
        <v>45761</v>
      </c>
    </row>
    <row r="1670" customFormat="false" ht="15" hidden="false" customHeight="false" outlineLevel="0" collapsed="false">
      <c r="A1670" s="7" t="s">
        <v>4214</v>
      </c>
      <c r="B1670" s="7" t="s">
        <v>1603</v>
      </c>
      <c r="C1670" s="7" t="s">
        <v>4215</v>
      </c>
      <c r="D1670" s="7" t="s">
        <v>4216</v>
      </c>
      <c r="E1670" s="7" t="s">
        <v>147</v>
      </c>
      <c r="F1670" s="7" t="s">
        <v>119</v>
      </c>
      <c r="G1670" s="7" t="s">
        <v>95</v>
      </c>
      <c r="H1670" s="7" t="n">
        <v>3</v>
      </c>
      <c r="I1670" s="7" t="n">
        <v>160</v>
      </c>
      <c r="J1670" s="7" t="n">
        <v>0</v>
      </c>
      <c r="K1670" s="7" t="s">
        <v>88</v>
      </c>
      <c r="L1670" s="7" t="s">
        <v>194</v>
      </c>
      <c r="M1670" s="7" t="n">
        <v>32</v>
      </c>
      <c r="N1670" s="7" t="n">
        <v>3</v>
      </c>
      <c r="O1670" s="7" t="str">
        <f aca="false">A1670&amp;"|"&amp;B1670&amp;"|"&amp;C1670&amp;"|"&amp;D1670&amp;"|"&amp;E1670&amp;"|"&amp;F1670&amp;"|"&amp;G1670&amp;"|"&amp;H1670&amp;"|"&amp;I1670&amp;"|"&amp;J1670&amp;"|"&amp;K1670&amp;"|"&amp;L1670&amp;"|"&amp;M1670&amp;"|"&amp;N1670</f>
        <v>ORD12994|2025-12-30|23:45|C1080|Andhra Meals Mess|Hyderabad|South Indian|3|160|0|UPI|Delivered|32|3</v>
      </c>
      <c r="P1670" s="7" t="str">
        <f aca="false">IF(COUNTIF($O$2:O1670,O1670)&gt;1,"DUP","OK")</f>
        <v>OK</v>
      </c>
      <c r="Q1670" s="7" t="n">
        <f aca="false">COUNTBLANK(A1670:N1670)</f>
        <v>0</v>
      </c>
      <c r="R1670" s="7" t="n">
        <f aca="false">IF(A1670="",0,COUNTIFS($A$2:$A$3058,A1670,$P$2:$P$3058,"OK"))</f>
        <v>1</v>
      </c>
      <c r="S1670" s="7" t="str">
        <f aca="false">IF(OR(A1670="",P1670="DUP",R1670&lt;2),"",IF(Q1670=_xlfn.MINIFS($Q$2:$Q$3058,$A$2:$A$3058,A1670,$P$2:$P$3058,"OK"),"KEEP","DROP"))</f>
        <v/>
      </c>
      <c r="T1670" s="9" t="n">
        <f aca="false">IF(A1670="",1,0)</f>
        <v>0</v>
      </c>
      <c r="U1670" s="9" t="n">
        <f aca="false">IF(D1670="",1,0)</f>
        <v>0</v>
      </c>
      <c r="V1670" s="9" t="n">
        <f aca="false">IF(E1670="",1,0)</f>
        <v>0</v>
      </c>
      <c r="W1670" s="9" t="n">
        <f aca="false">IF(OR(H1670&lt;1,H1670&gt;10),1,0)</f>
        <v>0</v>
      </c>
      <c r="X1670" s="9" t="n">
        <f aca="false">IF(OR(I1670&lt;=0,I1670&gt;1500),1,0)</f>
        <v>0</v>
      </c>
      <c r="Y1670" s="9" t="n">
        <f aca="false">IF(J1670&gt;H1670*I1670,1,0)</f>
        <v>0</v>
      </c>
      <c r="Z1670" s="9" t="n">
        <f aca="false">IF(AND(N1670&lt;&gt;"",OR(N1670&lt;1,N1670&gt;5)),1,0)</f>
        <v>0</v>
      </c>
      <c r="AA1670" s="9" t="n">
        <f aca="false">IF(AND(M1670&lt;&gt;"",OR(M1670&lt;5,M1670&gt;180)),1,0)</f>
        <v>0</v>
      </c>
      <c r="AB1670" s="7" t="str">
        <f aca="false">IF(P1670="DUP","Exact duplicate row",IF(T1670=1,"Missing Order ID",IF(S1670="DROP","Duplicate Order ID (less complete row)",IF(U1670=1,"Missing Customer ID",IF(V1670=1,"Missing Restaurant name",IF(W1670=1,"Invalid/outlier quantity",IF(X1670=1,"Invalid/outlier unit price",IF(Y1670=1,"Discount greater than order value",""))))))))</f>
        <v/>
      </c>
      <c r="AC1670" s="7" t="str">
        <f aca="false">IF(AB1670="","KEEP","DROP")</f>
        <v>KEEP</v>
      </c>
      <c r="AD1670" s="7" t="str">
        <f aca="false">IF(TRIM(F1670)="",IFERROR(INDEX(Map_Tables!$I$4:$I$37,MATCH(TRIM(E1670),Map_Tables!$G$4:$G$37,0)),""),IFERROR(INDEX(Map_Tables!$B$4:$B$18,MATCH(TRIM(F1670),Map_Tables!$A$4:$A$18,0)),"CHECK"))</f>
        <v>Hyderabad</v>
      </c>
      <c r="AE1670" s="7" t="str">
        <f aca="false">IF(TRIM(E1670)="","",IFERROR(INDEX(Map_Tables!$H$4:$H$37,MATCH(TRIM(E1670),Map_Tables!$G$4:$G$37,0)),"CHECK"))</f>
        <v>Andhra Meals Mess</v>
      </c>
      <c r="AF1670" s="7" t="str">
        <f aca="false">IF(TRIM(K1670)="","Unknown",IFERROR(INDEX(Map_Tables!$E$4:$E$15,MATCH(TRIM(K1670),Map_Tables!$D$4:$D$15,0)),"CHECK"))</f>
        <v>UPI</v>
      </c>
      <c r="AG1670" s="7" t="str">
        <f aca="false">IF(LEFT(LOWER(TRIM(L1670)),6)="cancel","Cancelled","Delivered")</f>
        <v>Delivered</v>
      </c>
      <c r="AH1670" s="10" t="n">
        <f aca="false">IF(ISNUMBER(SEARCH("/",B1670)),DATE(VALUE(RIGHT(B1670,4)),VALUE(MID(B1670,4,2)),VALUE(LEFT(B1670,2))),IF(MID(B1670,5,1)="-",DATE(VALUE(LEFT(B1670,4)),VALUE(MID(B1670,6,2)),VALUE(RIGHT(B1670,2))),DATE(VALUE(RIGHT(B1670,4)),MATCH(MID(B1670,4,3),{"Jan","Feb","Mar","Apr","May","Jun","Jul","Aug","Sep","Oct","Nov","Dec"},0),VALUE(LEFT(B1670,2)))))</f>
        <v>46021</v>
      </c>
    </row>
    <row r="1671" customFormat="false" ht="15" hidden="false" customHeight="false" outlineLevel="0" collapsed="false">
      <c r="A1671" s="7" t="s">
        <v>4217</v>
      </c>
      <c r="B1671" s="7" t="s">
        <v>2104</v>
      </c>
      <c r="C1671" s="7" t="s">
        <v>2235</v>
      </c>
      <c r="D1671" s="7" t="s">
        <v>2163</v>
      </c>
      <c r="E1671" s="7" t="s">
        <v>1843</v>
      </c>
      <c r="F1671" s="7" t="s">
        <v>110</v>
      </c>
      <c r="G1671" s="7" t="s">
        <v>90</v>
      </c>
      <c r="H1671" s="7" t="n">
        <v>2</v>
      </c>
      <c r="I1671" s="7" t="n">
        <v>255</v>
      </c>
      <c r="J1671" s="7" t="n">
        <v>0</v>
      </c>
      <c r="K1671" s="7" t="s">
        <v>112</v>
      </c>
      <c r="L1671" s="7" t="s">
        <v>194</v>
      </c>
      <c r="M1671" s="7" t="n">
        <v>33</v>
      </c>
      <c r="N1671" s="7" t="n">
        <v>5</v>
      </c>
      <c r="O1671" s="7" t="str">
        <f aca="false">A1671&amp;"|"&amp;B1671&amp;"|"&amp;C1671&amp;"|"&amp;D1671&amp;"|"&amp;E1671&amp;"|"&amp;F1671&amp;"|"&amp;G1671&amp;"|"&amp;H1671&amp;"|"&amp;I1671&amp;"|"&amp;J1671&amp;"|"&amp;K1671&amp;"|"&amp;L1671&amp;"|"&amp;M1671&amp;"|"&amp;N1671</f>
        <v>ORD11940|2025-09-09|14:15|C0487| Tandoor Tales|Delhi|North Indian|2|255|0|Cash on Delivery|Delivered|33|5</v>
      </c>
      <c r="P1671" s="7" t="str">
        <f aca="false">IF(COUNTIF($O$2:O1671,O1671)&gt;1,"DUP","OK")</f>
        <v>OK</v>
      </c>
      <c r="Q1671" s="7" t="n">
        <f aca="false">COUNTBLANK(A1671:N1671)</f>
        <v>0</v>
      </c>
      <c r="R1671" s="7" t="n">
        <f aca="false">IF(A1671="",0,COUNTIFS($A$2:$A$3058,A1671,$P$2:$P$3058,"OK"))</f>
        <v>1</v>
      </c>
      <c r="S1671" s="7" t="str">
        <f aca="false">IF(OR(A1671="",P1671="DUP",R1671&lt;2),"",IF(Q1671=_xlfn.MINIFS($Q$2:$Q$3058,$A$2:$A$3058,A1671,$P$2:$P$3058,"OK"),"KEEP","DROP"))</f>
        <v/>
      </c>
      <c r="T1671" s="9" t="n">
        <f aca="false">IF(A1671="",1,0)</f>
        <v>0</v>
      </c>
      <c r="U1671" s="9" t="n">
        <f aca="false">IF(D1671="",1,0)</f>
        <v>0</v>
      </c>
      <c r="V1671" s="9" t="n">
        <f aca="false">IF(E1671="",1,0)</f>
        <v>0</v>
      </c>
      <c r="W1671" s="9" t="n">
        <f aca="false">IF(OR(H1671&lt;1,H1671&gt;10),1,0)</f>
        <v>0</v>
      </c>
      <c r="X1671" s="9" t="n">
        <f aca="false">IF(OR(I1671&lt;=0,I1671&gt;1500),1,0)</f>
        <v>0</v>
      </c>
      <c r="Y1671" s="9" t="n">
        <f aca="false">IF(J1671&gt;H1671*I1671,1,0)</f>
        <v>0</v>
      </c>
      <c r="Z1671" s="9" t="n">
        <f aca="false">IF(AND(N1671&lt;&gt;"",OR(N1671&lt;1,N1671&gt;5)),1,0)</f>
        <v>0</v>
      </c>
      <c r="AA1671" s="9" t="n">
        <f aca="false">IF(AND(M1671&lt;&gt;"",OR(M1671&lt;5,M1671&gt;180)),1,0)</f>
        <v>0</v>
      </c>
      <c r="AB1671" s="7" t="str">
        <f aca="false">IF(P1671="DUP","Exact duplicate row",IF(T1671=1,"Missing Order ID",IF(S1671="DROP","Duplicate Order ID (less complete row)",IF(U1671=1,"Missing Customer ID",IF(V1671=1,"Missing Restaurant name",IF(W1671=1,"Invalid/outlier quantity",IF(X1671=1,"Invalid/outlier unit price",IF(Y1671=1,"Discount greater than order value",""))))))))</f>
        <v/>
      </c>
      <c r="AC1671" s="7" t="str">
        <f aca="false">IF(AB1671="","KEEP","DROP")</f>
        <v>KEEP</v>
      </c>
      <c r="AD1671" s="7" t="str">
        <f aca="false">IF(TRIM(F1671)="",IFERROR(INDEX(Map_Tables!$I$4:$I$37,MATCH(TRIM(E1671),Map_Tables!$G$4:$G$37,0)),""),IFERROR(INDEX(Map_Tables!$B$4:$B$18,MATCH(TRIM(F1671),Map_Tables!$A$4:$A$18,0)),"CHECK"))</f>
        <v>Delhi</v>
      </c>
      <c r="AE1671" s="7" t="str">
        <f aca="false">IF(TRIM(E1671)="","",IFERROR(INDEX(Map_Tables!$H$4:$H$37,MATCH(TRIM(E1671),Map_Tables!$G$4:$G$37,0)),"CHECK"))</f>
        <v>Tandoor Tales</v>
      </c>
      <c r="AF1671" s="7" t="str">
        <f aca="false">IF(TRIM(K1671)="","Unknown",IFERROR(INDEX(Map_Tables!$E$4:$E$15,MATCH(TRIM(K1671),Map_Tables!$D$4:$D$15,0)),"CHECK"))</f>
        <v>Cash on Delivery</v>
      </c>
      <c r="AG1671" s="7" t="str">
        <f aca="false">IF(LEFT(LOWER(TRIM(L1671)),6)="cancel","Cancelled","Delivered")</f>
        <v>Delivered</v>
      </c>
      <c r="AH1671" s="10" t="n">
        <f aca="false">IF(ISNUMBER(SEARCH("/",B1671)),DATE(VALUE(RIGHT(B1671,4)),VALUE(MID(B1671,4,2)),VALUE(LEFT(B1671,2))),IF(MID(B1671,5,1)="-",DATE(VALUE(LEFT(B1671,4)),VALUE(MID(B1671,6,2)),VALUE(RIGHT(B1671,2))),DATE(VALUE(RIGHT(B1671,4)),MATCH(MID(B1671,4,3),{"Jan","Feb","Mar","Apr","May","Jun","Jul","Aug","Sep","Oct","Nov","Dec"},0),VALUE(LEFT(B1671,2)))))</f>
        <v>45909</v>
      </c>
    </row>
    <row r="1672" customFormat="false" ht="15" hidden="false" customHeight="false" outlineLevel="0" collapsed="false">
      <c r="A1672" s="7" t="s">
        <v>4218</v>
      </c>
      <c r="B1672" s="7" t="s">
        <v>2322</v>
      </c>
      <c r="C1672" s="7" t="s">
        <v>2957</v>
      </c>
      <c r="D1672" s="7" t="s">
        <v>1134</v>
      </c>
      <c r="E1672" s="7" t="s">
        <v>707</v>
      </c>
      <c r="F1672" s="7" t="s">
        <v>110</v>
      </c>
      <c r="G1672" s="7" t="s">
        <v>105</v>
      </c>
      <c r="H1672" s="7" t="n">
        <v>1</v>
      </c>
      <c r="I1672" s="7" t="n">
        <v>155</v>
      </c>
      <c r="J1672" s="7" t="n">
        <v>50</v>
      </c>
      <c r="K1672" s="7" t="s">
        <v>88</v>
      </c>
      <c r="L1672" s="7" t="s">
        <v>194</v>
      </c>
      <c r="M1672" s="7" t="n">
        <v>42</v>
      </c>
      <c r="N1672" s="7" t="n">
        <v>5</v>
      </c>
      <c r="O1672" s="7" t="str">
        <f aca="false">A1672&amp;"|"&amp;B1672&amp;"|"&amp;C1672&amp;"|"&amp;D1672&amp;"|"&amp;E1672&amp;"|"&amp;F1672&amp;"|"&amp;G1672&amp;"|"&amp;H1672&amp;"|"&amp;I1672&amp;"|"&amp;J1672&amp;"|"&amp;K1672&amp;"|"&amp;L1672&amp;"|"&amp;M1672&amp;"|"&amp;N1672</f>
        <v>ORD10958|2025-05-01|19:42|C0297|Momo Magic |Delhi|Chinese|1|155|50|UPI|Delivered|42|5</v>
      </c>
      <c r="P1672" s="7" t="str">
        <f aca="false">IF(COUNTIF($O$2:O1672,O1672)&gt;1,"DUP","OK")</f>
        <v>OK</v>
      </c>
      <c r="Q1672" s="7" t="n">
        <f aca="false">COUNTBLANK(A1672:N1672)</f>
        <v>0</v>
      </c>
      <c r="R1672" s="7" t="n">
        <f aca="false">IF(A1672="",0,COUNTIFS($A$2:$A$3058,A1672,$P$2:$P$3058,"OK"))</f>
        <v>1</v>
      </c>
      <c r="S1672" s="7" t="str">
        <f aca="false">IF(OR(A1672="",P1672="DUP",R1672&lt;2),"",IF(Q1672=_xlfn.MINIFS($Q$2:$Q$3058,$A$2:$A$3058,A1672,$P$2:$P$3058,"OK"),"KEEP","DROP"))</f>
        <v/>
      </c>
      <c r="T1672" s="9" t="n">
        <f aca="false">IF(A1672="",1,0)</f>
        <v>0</v>
      </c>
      <c r="U1672" s="9" t="n">
        <f aca="false">IF(D1672="",1,0)</f>
        <v>0</v>
      </c>
      <c r="V1672" s="9" t="n">
        <f aca="false">IF(E1672="",1,0)</f>
        <v>0</v>
      </c>
      <c r="W1672" s="9" t="n">
        <f aca="false">IF(OR(H1672&lt;1,H1672&gt;10),1,0)</f>
        <v>0</v>
      </c>
      <c r="X1672" s="9" t="n">
        <f aca="false">IF(OR(I1672&lt;=0,I1672&gt;1500),1,0)</f>
        <v>0</v>
      </c>
      <c r="Y1672" s="9" t="n">
        <f aca="false">IF(J1672&gt;H1672*I1672,1,0)</f>
        <v>0</v>
      </c>
      <c r="Z1672" s="9" t="n">
        <f aca="false">IF(AND(N1672&lt;&gt;"",OR(N1672&lt;1,N1672&gt;5)),1,0)</f>
        <v>0</v>
      </c>
      <c r="AA1672" s="9" t="n">
        <f aca="false">IF(AND(M1672&lt;&gt;"",OR(M1672&lt;5,M1672&gt;180)),1,0)</f>
        <v>0</v>
      </c>
      <c r="AB1672" s="7" t="str">
        <f aca="false">IF(P1672="DUP","Exact duplicate row",IF(T1672=1,"Missing Order ID",IF(S1672="DROP","Duplicate Order ID (less complete row)",IF(U1672=1,"Missing Customer ID",IF(V1672=1,"Missing Restaurant name",IF(W1672=1,"Invalid/outlier quantity",IF(X1672=1,"Invalid/outlier unit price",IF(Y1672=1,"Discount greater than order value",""))))))))</f>
        <v/>
      </c>
      <c r="AC1672" s="7" t="str">
        <f aca="false">IF(AB1672="","KEEP","DROP")</f>
        <v>KEEP</v>
      </c>
      <c r="AD1672" s="7" t="str">
        <f aca="false">IF(TRIM(F1672)="",IFERROR(INDEX(Map_Tables!$I$4:$I$37,MATCH(TRIM(E1672),Map_Tables!$G$4:$G$37,0)),""),IFERROR(INDEX(Map_Tables!$B$4:$B$18,MATCH(TRIM(F1672),Map_Tables!$A$4:$A$18,0)),"CHECK"))</f>
        <v>Delhi</v>
      </c>
      <c r="AE1672" s="7" t="str">
        <f aca="false">IF(TRIM(E1672)="","",IFERROR(INDEX(Map_Tables!$H$4:$H$37,MATCH(TRIM(E1672),Map_Tables!$G$4:$G$37,0)),"CHECK"))</f>
        <v>Momo Magic</v>
      </c>
      <c r="AF1672" s="7" t="str">
        <f aca="false">IF(TRIM(K1672)="","Unknown",IFERROR(INDEX(Map_Tables!$E$4:$E$15,MATCH(TRIM(K1672),Map_Tables!$D$4:$D$15,0)),"CHECK"))</f>
        <v>UPI</v>
      </c>
      <c r="AG1672" s="7" t="str">
        <f aca="false">IF(LEFT(LOWER(TRIM(L1672)),6)="cancel","Cancelled","Delivered")</f>
        <v>Delivered</v>
      </c>
      <c r="AH1672" s="10" t="n">
        <f aca="false">IF(ISNUMBER(SEARCH("/",B1672)),DATE(VALUE(RIGHT(B1672,4)),VALUE(MID(B1672,4,2)),VALUE(LEFT(B1672,2))),IF(MID(B1672,5,1)="-",DATE(VALUE(LEFT(B1672,4)),VALUE(MID(B1672,6,2)),VALUE(RIGHT(B1672,2))),DATE(VALUE(RIGHT(B1672,4)),MATCH(MID(B1672,4,3),{"Jan","Feb","Mar","Apr","May","Jun","Jul","Aug","Sep","Oct","Nov","Dec"},0),VALUE(LEFT(B1672,2)))))</f>
        <v>45778</v>
      </c>
    </row>
    <row r="1673" customFormat="false" ht="15" hidden="false" customHeight="false" outlineLevel="0" collapsed="false">
      <c r="A1673" s="7" t="s">
        <v>4219</v>
      </c>
      <c r="B1673" s="7" t="s">
        <v>1923</v>
      </c>
      <c r="C1673" s="7" t="s">
        <v>2225</v>
      </c>
      <c r="D1673" s="7" t="s">
        <v>970</v>
      </c>
      <c r="E1673" s="7" t="s">
        <v>116</v>
      </c>
      <c r="F1673" s="7" t="s">
        <v>101</v>
      </c>
      <c r="G1673" s="7" t="s">
        <v>117</v>
      </c>
      <c r="H1673" s="7" t="n">
        <v>4</v>
      </c>
      <c r="I1673" s="7" t="n">
        <v>165</v>
      </c>
      <c r="J1673" s="7" t="n">
        <v>50</v>
      </c>
      <c r="K1673" s="7" t="s">
        <v>112</v>
      </c>
      <c r="L1673" s="7" t="s">
        <v>194</v>
      </c>
      <c r="M1673" s="7" t="n">
        <v>38</v>
      </c>
      <c r="N1673" s="7" t="n">
        <v>3</v>
      </c>
      <c r="O1673" s="7" t="str">
        <f aca="false">A1673&amp;"|"&amp;B1673&amp;"|"&amp;C1673&amp;"|"&amp;D1673&amp;"|"&amp;E1673&amp;"|"&amp;F1673&amp;"|"&amp;G1673&amp;"|"&amp;H1673&amp;"|"&amp;I1673&amp;"|"&amp;J1673&amp;"|"&amp;K1673&amp;"|"&amp;L1673&amp;"|"&amp;M1673&amp;"|"&amp;N1673</f>
        <v>ORD10303|2025-02-10|23:38|C1236|Pav Bhaji Point|Mumbai|Street Food|4|165|50|Cash on Delivery|Delivered|38|3</v>
      </c>
      <c r="P1673" s="7" t="str">
        <f aca="false">IF(COUNTIF($O$2:O1673,O1673)&gt;1,"DUP","OK")</f>
        <v>OK</v>
      </c>
      <c r="Q1673" s="7" t="n">
        <f aca="false">COUNTBLANK(A1673:N1673)</f>
        <v>0</v>
      </c>
      <c r="R1673" s="7" t="n">
        <f aca="false">IF(A1673="",0,COUNTIFS($A$2:$A$3058,A1673,$P$2:$P$3058,"OK"))</f>
        <v>1</v>
      </c>
      <c r="S1673" s="7" t="str">
        <f aca="false">IF(OR(A1673="",P1673="DUP",R1673&lt;2),"",IF(Q1673=_xlfn.MINIFS($Q$2:$Q$3058,$A$2:$A$3058,A1673,$P$2:$P$3058,"OK"),"KEEP","DROP"))</f>
        <v/>
      </c>
      <c r="T1673" s="9" t="n">
        <f aca="false">IF(A1673="",1,0)</f>
        <v>0</v>
      </c>
      <c r="U1673" s="9" t="n">
        <f aca="false">IF(D1673="",1,0)</f>
        <v>0</v>
      </c>
      <c r="V1673" s="9" t="n">
        <f aca="false">IF(E1673="",1,0)</f>
        <v>0</v>
      </c>
      <c r="W1673" s="9" t="n">
        <f aca="false">IF(OR(H1673&lt;1,H1673&gt;10),1,0)</f>
        <v>0</v>
      </c>
      <c r="X1673" s="9" t="n">
        <f aca="false">IF(OR(I1673&lt;=0,I1673&gt;1500),1,0)</f>
        <v>0</v>
      </c>
      <c r="Y1673" s="9" t="n">
        <f aca="false">IF(J1673&gt;H1673*I1673,1,0)</f>
        <v>0</v>
      </c>
      <c r="Z1673" s="9" t="n">
        <f aca="false">IF(AND(N1673&lt;&gt;"",OR(N1673&lt;1,N1673&gt;5)),1,0)</f>
        <v>0</v>
      </c>
      <c r="AA1673" s="9" t="n">
        <f aca="false">IF(AND(M1673&lt;&gt;"",OR(M1673&lt;5,M1673&gt;180)),1,0)</f>
        <v>0</v>
      </c>
      <c r="AB1673" s="7" t="str">
        <f aca="false">IF(P1673="DUP","Exact duplicate row",IF(T1673=1,"Missing Order ID",IF(S1673="DROP","Duplicate Order ID (less complete row)",IF(U1673=1,"Missing Customer ID",IF(V1673=1,"Missing Restaurant name",IF(W1673=1,"Invalid/outlier quantity",IF(X1673=1,"Invalid/outlier unit price",IF(Y1673=1,"Discount greater than order value",""))))))))</f>
        <v/>
      </c>
      <c r="AC1673" s="7" t="str">
        <f aca="false">IF(AB1673="","KEEP","DROP")</f>
        <v>KEEP</v>
      </c>
      <c r="AD1673" s="7" t="str">
        <f aca="false">IF(TRIM(F1673)="",IFERROR(INDEX(Map_Tables!$I$4:$I$37,MATCH(TRIM(E1673),Map_Tables!$G$4:$G$37,0)),""),IFERROR(INDEX(Map_Tables!$B$4:$B$18,MATCH(TRIM(F1673),Map_Tables!$A$4:$A$18,0)),"CHECK"))</f>
        <v>Mumbai</v>
      </c>
      <c r="AE1673" s="7" t="str">
        <f aca="false">IF(TRIM(E1673)="","",IFERROR(INDEX(Map_Tables!$H$4:$H$37,MATCH(TRIM(E1673),Map_Tables!$G$4:$G$37,0)),"CHECK"))</f>
        <v>Pav Bhaji Point</v>
      </c>
      <c r="AF1673" s="7" t="str">
        <f aca="false">IF(TRIM(K1673)="","Unknown",IFERROR(INDEX(Map_Tables!$E$4:$E$15,MATCH(TRIM(K1673),Map_Tables!$D$4:$D$15,0)),"CHECK"))</f>
        <v>Cash on Delivery</v>
      </c>
      <c r="AG1673" s="7" t="str">
        <f aca="false">IF(LEFT(LOWER(TRIM(L1673)),6)="cancel","Cancelled","Delivered")</f>
        <v>Delivered</v>
      </c>
      <c r="AH1673" s="10" t="n">
        <f aca="false">IF(ISNUMBER(SEARCH("/",B1673)),DATE(VALUE(RIGHT(B1673,4)),VALUE(MID(B1673,4,2)),VALUE(LEFT(B1673,2))),IF(MID(B1673,5,1)="-",DATE(VALUE(LEFT(B1673,4)),VALUE(MID(B1673,6,2)),VALUE(RIGHT(B1673,2))),DATE(VALUE(RIGHT(B1673,4)),MATCH(MID(B1673,4,3),{"Jan","Feb","Mar","Apr","May","Jun","Jul","Aug","Sep","Oct","Nov","Dec"},0),VALUE(LEFT(B1673,2)))))</f>
        <v>45698</v>
      </c>
    </row>
    <row r="1674" customFormat="false" ht="15" hidden="false" customHeight="false" outlineLevel="0" collapsed="false">
      <c r="A1674" s="7" t="s">
        <v>4220</v>
      </c>
      <c r="B1674" s="7" t="s">
        <v>1238</v>
      </c>
      <c r="C1674" s="7" t="s">
        <v>1624</v>
      </c>
      <c r="D1674" s="7" t="s">
        <v>1447</v>
      </c>
      <c r="E1674" s="7" t="s">
        <v>113</v>
      </c>
      <c r="F1674" s="7" t="s">
        <v>101</v>
      </c>
      <c r="G1674" s="7" t="s">
        <v>90</v>
      </c>
      <c r="H1674" s="7" t="n">
        <v>3</v>
      </c>
      <c r="I1674" s="7" t="n">
        <v>295</v>
      </c>
      <c r="J1674" s="7" t="n">
        <v>50</v>
      </c>
      <c r="K1674" s="7" t="s">
        <v>103</v>
      </c>
      <c r="L1674" s="7" t="s">
        <v>194</v>
      </c>
      <c r="M1674" s="7" t="n">
        <v>45</v>
      </c>
      <c r="N1674" s="7" t="n">
        <v>4</v>
      </c>
      <c r="O1674" s="7" t="str">
        <f aca="false">A1674&amp;"|"&amp;B1674&amp;"|"&amp;C1674&amp;"|"&amp;D1674&amp;"|"&amp;E1674&amp;"|"&amp;F1674&amp;"|"&amp;G1674&amp;"|"&amp;H1674&amp;"|"&amp;I1674&amp;"|"&amp;J1674&amp;"|"&amp;K1674&amp;"|"&amp;L1674&amp;"|"&amp;M1674&amp;"|"&amp;N1674</f>
        <v>ORD10572|2025-03-14|20:31|C0050|Curry Leaf Kitchen|Mumbai|North Indian|3|295|50|Debit Card|Delivered|45|4</v>
      </c>
      <c r="P1674" s="7" t="str">
        <f aca="false">IF(COUNTIF($O$2:O1674,O1674)&gt;1,"DUP","OK")</f>
        <v>OK</v>
      </c>
      <c r="Q1674" s="7" t="n">
        <f aca="false">COUNTBLANK(A1674:N1674)</f>
        <v>0</v>
      </c>
      <c r="R1674" s="7" t="n">
        <f aca="false">IF(A1674="",0,COUNTIFS($A$2:$A$3058,A1674,$P$2:$P$3058,"OK"))</f>
        <v>1</v>
      </c>
      <c r="S1674" s="7" t="str">
        <f aca="false">IF(OR(A1674="",P1674="DUP",R1674&lt;2),"",IF(Q1674=_xlfn.MINIFS($Q$2:$Q$3058,$A$2:$A$3058,A1674,$P$2:$P$3058,"OK"),"KEEP","DROP"))</f>
        <v/>
      </c>
      <c r="T1674" s="9" t="n">
        <f aca="false">IF(A1674="",1,0)</f>
        <v>0</v>
      </c>
      <c r="U1674" s="9" t="n">
        <f aca="false">IF(D1674="",1,0)</f>
        <v>0</v>
      </c>
      <c r="V1674" s="9" t="n">
        <f aca="false">IF(E1674="",1,0)</f>
        <v>0</v>
      </c>
      <c r="W1674" s="9" t="n">
        <f aca="false">IF(OR(H1674&lt;1,H1674&gt;10),1,0)</f>
        <v>0</v>
      </c>
      <c r="X1674" s="9" t="n">
        <f aca="false">IF(OR(I1674&lt;=0,I1674&gt;1500),1,0)</f>
        <v>0</v>
      </c>
      <c r="Y1674" s="9" t="n">
        <f aca="false">IF(J1674&gt;H1674*I1674,1,0)</f>
        <v>0</v>
      </c>
      <c r="Z1674" s="9" t="n">
        <f aca="false">IF(AND(N1674&lt;&gt;"",OR(N1674&lt;1,N1674&gt;5)),1,0)</f>
        <v>0</v>
      </c>
      <c r="AA1674" s="9" t="n">
        <f aca="false">IF(AND(M1674&lt;&gt;"",OR(M1674&lt;5,M1674&gt;180)),1,0)</f>
        <v>0</v>
      </c>
      <c r="AB1674" s="7" t="str">
        <f aca="false">IF(P1674="DUP","Exact duplicate row",IF(T1674=1,"Missing Order ID",IF(S1674="DROP","Duplicate Order ID (less complete row)",IF(U1674=1,"Missing Customer ID",IF(V1674=1,"Missing Restaurant name",IF(W1674=1,"Invalid/outlier quantity",IF(X1674=1,"Invalid/outlier unit price",IF(Y1674=1,"Discount greater than order value",""))))))))</f>
        <v/>
      </c>
      <c r="AC1674" s="7" t="str">
        <f aca="false">IF(AB1674="","KEEP","DROP")</f>
        <v>KEEP</v>
      </c>
      <c r="AD1674" s="7" t="str">
        <f aca="false">IF(TRIM(F1674)="",IFERROR(INDEX(Map_Tables!$I$4:$I$37,MATCH(TRIM(E1674),Map_Tables!$G$4:$G$37,0)),""),IFERROR(INDEX(Map_Tables!$B$4:$B$18,MATCH(TRIM(F1674),Map_Tables!$A$4:$A$18,0)),"CHECK"))</f>
        <v>Mumbai</v>
      </c>
      <c r="AE1674" s="7" t="str">
        <f aca="false">IF(TRIM(E1674)="","",IFERROR(INDEX(Map_Tables!$H$4:$H$37,MATCH(TRIM(E1674),Map_Tables!$G$4:$G$37,0)),"CHECK"))</f>
        <v>Curry Leaf Kitchen</v>
      </c>
      <c r="AF1674" s="7" t="str">
        <f aca="false">IF(TRIM(K1674)="","Unknown",IFERROR(INDEX(Map_Tables!$E$4:$E$15,MATCH(TRIM(K1674),Map_Tables!$D$4:$D$15,0)),"CHECK"))</f>
        <v>Debit Card</v>
      </c>
      <c r="AG1674" s="7" t="str">
        <f aca="false">IF(LEFT(LOWER(TRIM(L1674)),6)="cancel","Cancelled","Delivered")</f>
        <v>Delivered</v>
      </c>
      <c r="AH1674" s="10" t="n">
        <f aca="false">IF(ISNUMBER(SEARCH("/",B1674)),DATE(VALUE(RIGHT(B1674,4)),VALUE(MID(B1674,4,2)),VALUE(LEFT(B1674,2))),IF(MID(B1674,5,1)="-",DATE(VALUE(LEFT(B1674,4)),VALUE(MID(B1674,6,2)),VALUE(RIGHT(B1674,2))),DATE(VALUE(RIGHT(B1674,4)),MATCH(MID(B1674,4,3),{"Jan","Feb","Mar","Apr","May","Jun","Jul","Aug","Sep","Oct","Nov","Dec"},0),VALUE(LEFT(B1674,2)))))</f>
        <v>45730</v>
      </c>
    </row>
    <row r="1675" customFormat="false" ht="15" hidden="false" customHeight="false" outlineLevel="0" collapsed="false">
      <c r="A1675" s="7" t="s">
        <v>4221</v>
      </c>
      <c r="B1675" s="7" t="s">
        <v>849</v>
      </c>
      <c r="C1675" s="7" t="s">
        <v>2202</v>
      </c>
      <c r="D1675" s="7" t="s">
        <v>2086</v>
      </c>
      <c r="E1675" s="7" t="s">
        <v>168</v>
      </c>
      <c r="F1675" s="7" t="s">
        <v>146</v>
      </c>
      <c r="G1675" s="7" t="s">
        <v>123</v>
      </c>
      <c r="H1675" s="7" t="n">
        <v>3</v>
      </c>
      <c r="I1675" s="7" t="n">
        <v>380</v>
      </c>
      <c r="J1675" s="7" t="n">
        <v>40</v>
      </c>
      <c r="K1675" s="7" t="s">
        <v>87</v>
      </c>
      <c r="L1675" s="7" t="s">
        <v>194</v>
      </c>
      <c r="M1675" s="7" t="n">
        <v>30</v>
      </c>
      <c r="N1675" s="7" t="n">
        <v>5</v>
      </c>
      <c r="O1675" s="7" t="str">
        <f aca="false">A1675&amp;"|"&amp;B1675&amp;"|"&amp;C1675&amp;"|"&amp;D1675&amp;"|"&amp;E1675&amp;"|"&amp;F1675&amp;"|"&amp;G1675&amp;"|"&amp;H1675&amp;"|"&amp;I1675&amp;"|"&amp;J1675&amp;"|"&amp;K1675&amp;"|"&amp;L1675&amp;"|"&amp;M1675&amp;"|"&amp;N1675</f>
        <v>ORD12844|2025-12-14|12:40|C0165|Cheesy Slice|Ahmedabad|Pizza|3|380|40|upi|Delivered|30|5</v>
      </c>
      <c r="P1675" s="7" t="str">
        <f aca="false">IF(COUNTIF($O$2:O1675,O1675)&gt;1,"DUP","OK")</f>
        <v>OK</v>
      </c>
      <c r="Q1675" s="7" t="n">
        <f aca="false">COUNTBLANK(A1675:N1675)</f>
        <v>0</v>
      </c>
      <c r="R1675" s="7" t="n">
        <f aca="false">IF(A1675="",0,COUNTIFS($A$2:$A$3058,A1675,$P$2:$P$3058,"OK"))</f>
        <v>1</v>
      </c>
      <c r="S1675" s="7" t="str">
        <f aca="false">IF(OR(A1675="",P1675="DUP",R1675&lt;2),"",IF(Q1675=_xlfn.MINIFS($Q$2:$Q$3058,$A$2:$A$3058,A1675,$P$2:$P$3058,"OK"),"KEEP","DROP"))</f>
        <v/>
      </c>
      <c r="T1675" s="9" t="n">
        <f aca="false">IF(A1675="",1,0)</f>
        <v>0</v>
      </c>
      <c r="U1675" s="9" t="n">
        <f aca="false">IF(D1675="",1,0)</f>
        <v>0</v>
      </c>
      <c r="V1675" s="9" t="n">
        <f aca="false">IF(E1675="",1,0)</f>
        <v>0</v>
      </c>
      <c r="W1675" s="9" t="n">
        <f aca="false">IF(OR(H1675&lt;1,H1675&gt;10),1,0)</f>
        <v>0</v>
      </c>
      <c r="X1675" s="9" t="n">
        <f aca="false">IF(OR(I1675&lt;=0,I1675&gt;1500),1,0)</f>
        <v>0</v>
      </c>
      <c r="Y1675" s="9" t="n">
        <f aca="false">IF(J1675&gt;H1675*I1675,1,0)</f>
        <v>0</v>
      </c>
      <c r="Z1675" s="9" t="n">
        <f aca="false">IF(AND(N1675&lt;&gt;"",OR(N1675&lt;1,N1675&gt;5)),1,0)</f>
        <v>0</v>
      </c>
      <c r="AA1675" s="9" t="n">
        <f aca="false">IF(AND(M1675&lt;&gt;"",OR(M1675&lt;5,M1675&gt;180)),1,0)</f>
        <v>0</v>
      </c>
      <c r="AB1675" s="7" t="str">
        <f aca="false">IF(P1675="DUP","Exact duplicate row",IF(T1675=1,"Missing Order ID",IF(S1675="DROP","Duplicate Order ID (less complete row)",IF(U1675=1,"Missing Customer ID",IF(V1675=1,"Missing Restaurant name",IF(W1675=1,"Invalid/outlier quantity",IF(X1675=1,"Invalid/outlier unit price",IF(Y1675=1,"Discount greater than order value",""))))))))</f>
        <v/>
      </c>
      <c r="AC1675" s="7" t="str">
        <f aca="false">IF(AB1675="","KEEP","DROP")</f>
        <v>KEEP</v>
      </c>
      <c r="AD1675" s="7" t="str">
        <f aca="false">IF(TRIM(F1675)="",IFERROR(INDEX(Map_Tables!$I$4:$I$37,MATCH(TRIM(E1675),Map_Tables!$G$4:$G$37,0)),""),IFERROR(INDEX(Map_Tables!$B$4:$B$18,MATCH(TRIM(F1675),Map_Tables!$A$4:$A$18,0)),"CHECK"))</f>
        <v>Ahmedabad</v>
      </c>
      <c r="AE1675" s="7" t="str">
        <f aca="false">IF(TRIM(E1675)="","",IFERROR(INDEX(Map_Tables!$H$4:$H$37,MATCH(TRIM(E1675),Map_Tables!$G$4:$G$37,0)),"CHECK"))</f>
        <v>Cheesy Slice</v>
      </c>
      <c r="AF1675" s="7" t="str">
        <f aca="false">IF(TRIM(K1675)="","Unknown",IFERROR(INDEX(Map_Tables!$E$4:$E$15,MATCH(TRIM(K1675),Map_Tables!$D$4:$D$15,0)),"CHECK"))</f>
        <v>UPI</v>
      </c>
      <c r="AG1675" s="7" t="str">
        <f aca="false">IF(LEFT(LOWER(TRIM(L1675)),6)="cancel","Cancelled","Delivered")</f>
        <v>Delivered</v>
      </c>
      <c r="AH1675" s="10" t="n">
        <f aca="false">IF(ISNUMBER(SEARCH("/",B1675)),DATE(VALUE(RIGHT(B1675,4)),VALUE(MID(B1675,4,2)),VALUE(LEFT(B1675,2))),IF(MID(B1675,5,1)="-",DATE(VALUE(LEFT(B1675,4)),VALUE(MID(B1675,6,2)),VALUE(RIGHT(B1675,2))),DATE(VALUE(RIGHT(B1675,4)),MATCH(MID(B1675,4,3),{"Jan","Feb","Mar","Apr","May","Jun","Jul","Aug","Sep","Oct","Nov","Dec"},0),VALUE(LEFT(B1675,2)))))</f>
        <v>46005</v>
      </c>
    </row>
    <row r="1676" customFormat="false" ht="15" hidden="false" customHeight="false" outlineLevel="0" collapsed="false">
      <c r="A1676" s="7" t="s">
        <v>4222</v>
      </c>
      <c r="B1676" s="7" t="s">
        <v>1489</v>
      </c>
      <c r="C1676" s="7" t="s">
        <v>1830</v>
      </c>
      <c r="D1676" s="7" t="s">
        <v>4223</v>
      </c>
      <c r="E1676" s="7" t="s">
        <v>116</v>
      </c>
      <c r="F1676" s="7" t="s">
        <v>101</v>
      </c>
      <c r="G1676" s="7" t="s">
        <v>117</v>
      </c>
      <c r="H1676" s="7" t="n">
        <v>3</v>
      </c>
      <c r="I1676" s="7" t="n">
        <v>115</v>
      </c>
      <c r="J1676" s="7" t="n">
        <v>30</v>
      </c>
      <c r="K1676" s="7" t="s">
        <v>121</v>
      </c>
      <c r="L1676" s="7" t="s">
        <v>194</v>
      </c>
      <c r="M1676" s="7" t="n">
        <v>43</v>
      </c>
      <c r="N1676" s="7" t="n">
        <v>4</v>
      </c>
      <c r="O1676" s="7" t="str">
        <f aca="false">A1676&amp;"|"&amp;B1676&amp;"|"&amp;C1676&amp;"|"&amp;D1676&amp;"|"&amp;E1676&amp;"|"&amp;F1676&amp;"|"&amp;G1676&amp;"|"&amp;H1676&amp;"|"&amp;I1676&amp;"|"&amp;J1676&amp;"|"&amp;K1676&amp;"|"&amp;L1676&amp;"|"&amp;M1676&amp;"|"&amp;N1676</f>
        <v>ORD12004|2025-09-17|18:27|C1182|Pav Bhaji Point|Mumbai|Street Food|3|115|30|Wallet|Delivered|43|4</v>
      </c>
      <c r="P1676" s="7" t="str">
        <f aca="false">IF(COUNTIF($O$2:O1676,O1676)&gt;1,"DUP","OK")</f>
        <v>OK</v>
      </c>
      <c r="Q1676" s="7" t="n">
        <f aca="false">COUNTBLANK(A1676:N1676)</f>
        <v>0</v>
      </c>
      <c r="R1676" s="7" t="n">
        <f aca="false">IF(A1676="",0,COUNTIFS($A$2:$A$3058,A1676,$P$2:$P$3058,"OK"))</f>
        <v>1</v>
      </c>
      <c r="S1676" s="7" t="str">
        <f aca="false">IF(OR(A1676="",P1676="DUP",R1676&lt;2),"",IF(Q1676=_xlfn.MINIFS($Q$2:$Q$3058,$A$2:$A$3058,A1676,$P$2:$P$3058,"OK"),"KEEP","DROP"))</f>
        <v/>
      </c>
      <c r="T1676" s="9" t="n">
        <f aca="false">IF(A1676="",1,0)</f>
        <v>0</v>
      </c>
      <c r="U1676" s="9" t="n">
        <f aca="false">IF(D1676="",1,0)</f>
        <v>0</v>
      </c>
      <c r="V1676" s="9" t="n">
        <f aca="false">IF(E1676="",1,0)</f>
        <v>0</v>
      </c>
      <c r="W1676" s="9" t="n">
        <f aca="false">IF(OR(H1676&lt;1,H1676&gt;10),1,0)</f>
        <v>0</v>
      </c>
      <c r="X1676" s="9" t="n">
        <f aca="false">IF(OR(I1676&lt;=0,I1676&gt;1500),1,0)</f>
        <v>0</v>
      </c>
      <c r="Y1676" s="9" t="n">
        <f aca="false">IF(J1676&gt;H1676*I1676,1,0)</f>
        <v>0</v>
      </c>
      <c r="Z1676" s="9" t="n">
        <f aca="false">IF(AND(N1676&lt;&gt;"",OR(N1676&lt;1,N1676&gt;5)),1,0)</f>
        <v>0</v>
      </c>
      <c r="AA1676" s="9" t="n">
        <f aca="false">IF(AND(M1676&lt;&gt;"",OR(M1676&lt;5,M1676&gt;180)),1,0)</f>
        <v>0</v>
      </c>
      <c r="AB1676" s="7" t="str">
        <f aca="false">IF(P1676="DUP","Exact duplicate row",IF(T1676=1,"Missing Order ID",IF(S1676="DROP","Duplicate Order ID (less complete row)",IF(U1676=1,"Missing Customer ID",IF(V1676=1,"Missing Restaurant name",IF(W1676=1,"Invalid/outlier quantity",IF(X1676=1,"Invalid/outlier unit price",IF(Y1676=1,"Discount greater than order value",""))))))))</f>
        <v/>
      </c>
      <c r="AC1676" s="7" t="str">
        <f aca="false">IF(AB1676="","KEEP","DROP")</f>
        <v>KEEP</v>
      </c>
      <c r="AD1676" s="7" t="str">
        <f aca="false">IF(TRIM(F1676)="",IFERROR(INDEX(Map_Tables!$I$4:$I$37,MATCH(TRIM(E1676),Map_Tables!$G$4:$G$37,0)),""),IFERROR(INDEX(Map_Tables!$B$4:$B$18,MATCH(TRIM(F1676),Map_Tables!$A$4:$A$18,0)),"CHECK"))</f>
        <v>Mumbai</v>
      </c>
      <c r="AE1676" s="7" t="str">
        <f aca="false">IF(TRIM(E1676)="","",IFERROR(INDEX(Map_Tables!$H$4:$H$37,MATCH(TRIM(E1676),Map_Tables!$G$4:$G$37,0)),"CHECK"))</f>
        <v>Pav Bhaji Point</v>
      </c>
      <c r="AF1676" s="7" t="str">
        <f aca="false">IF(TRIM(K1676)="","Unknown",IFERROR(INDEX(Map_Tables!$E$4:$E$15,MATCH(TRIM(K1676),Map_Tables!$D$4:$D$15,0)),"CHECK"))</f>
        <v>Wallet</v>
      </c>
      <c r="AG1676" s="7" t="str">
        <f aca="false">IF(LEFT(LOWER(TRIM(L1676)),6)="cancel","Cancelled","Delivered")</f>
        <v>Delivered</v>
      </c>
      <c r="AH1676" s="10" t="n">
        <f aca="false">IF(ISNUMBER(SEARCH("/",B1676)),DATE(VALUE(RIGHT(B1676,4)),VALUE(MID(B1676,4,2)),VALUE(LEFT(B1676,2))),IF(MID(B1676,5,1)="-",DATE(VALUE(LEFT(B1676,4)),VALUE(MID(B1676,6,2)),VALUE(RIGHT(B1676,2))),DATE(VALUE(RIGHT(B1676,4)),MATCH(MID(B1676,4,3),{"Jan","Feb","Mar","Apr","May","Jun","Jul","Aug","Sep","Oct","Nov","Dec"},0),VALUE(LEFT(B1676,2)))))</f>
        <v>45917</v>
      </c>
    </row>
    <row r="1677" customFormat="false" ht="15" hidden="false" customHeight="false" outlineLevel="0" collapsed="false">
      <c r="A1677" s="7" t="s">
        <v>4224</v>
      </c>
      <c r="B1677" s="7" t="s">
        <v>727</v>
      </c>
      <c r="C1677" s="7" t="s">
        <v>4225</v>
      </c>
      <c r="D1677" s="7" t="s">
        <v>4226</v>
      </c>
      <c r="E1677" s="7" t="s">
        <v>155</v>
      </c>
      <c r="F1677" s="7" t="s">
        <v>128</v>
      </c>
      <c r="G1677" s="7" t="s">
        <v>156</v>
      </c>
      <c r="H1677" s="7" t="n">
        <v>4</v>
      </c>
      <c r="I1677" s="7" t="n">
        <v>280</v>
      </c>
      <c r="J1677" s="7" t="n">
        <v>100</v>
      </c>
      <c r="K1677" s="7"/>
      <c r="L1677" s="7" t="s">
        <v>194</v>
      </c>
      <c r="M1677" s="7" t="n">
        <v>36</v>
      </c>
      <c r="N1677" s="7" t="n">
        <v>4</v>
      </c>
      <c r="O1677" s="7" t="str">
        <f aca="false">A1677&amp;"|"&amp;B1677&amp;"|"&amp;C1677&amp;"|"&amp;D1677&amp;"|"&amp;E1677&amp;"|"&amp;F1677&amp;"|"&amp;G1677&amp;"|"&amp;H1677&amp;"|"&amp;I1677&amp;"|"&amp;J1677&amp;"|"&amp;K1677&amp;"|"&amp;L1677&amp;"|"&amp;M1677&amp;"|"&amp;N1677</f>
        <v>ORD10631|2025-03-21|16:11|C0106|Green Bowl Kitchen|Chennai|Healthy Food|4|280|100||Delivered|36|4</v>
      </c>
      <c r="P1677" s="7" t="str">
        <f aca="false">IF(COUNTIF($O$2:O1677,O1677)&gt;1,"DUP","OK")</f>
        <v>OK</v>
      </c>
      <c r="Q1677" s="7" t="n">
        <f aca="false">COUNTBLANK(A1677:N1677)</f>
        <v>1</v>
      </c>
      <c r="R1677" s="7" t="n">
        <f aca="false">IF(A1677="",0,COUNTIFS($A$2:$A$3058,A1677,$P$2:$P$3058,"OK"))</f>
        <v>1</v>
      </c>
      <c r="S1677" s="7" t="str">
        <f aca="false">IF(OR(A1677="",P1677="DUP",R1677&lt;2),"",IF(Q1677=_xlfn.MINIFS($Q$2:$Q$3058,$A$2:$A$3058,A1677,$P$2:$P$3058,"OK"),"KEEP","DROP"))</f>
        <v/>
      </c>
      <c r="T1677" s="9" t="n">
        <f aca="false">IF(A1677="",1,0)</f>
        <v>0</v>
      </c>
      <c r="U1677" s="9" t="n">
        <f aca="false">IF(D1677="",1,0)</f>
        <v>0</v>
      </c>
      <c r="V1677" s="9" t="n">
        <f aca="false">IF(E1677="",1,0)</f>
        <v>0</v>
      </c>
      <c r="W1677" s="9" t="n">
        <f aca="false">IF(OR(H1677&lt;1,H1677&gt;10),1,0)</f>
        <v>0</v>
      </c>
      <c r="X1677" s="9" t="n">
        <f aca="false">IF(OR(I1677&lt;=0,I1677&gt;1500),1,0)</f>
        <v>0</v>
      </c>
      <c r="Y1677" s="9" t="n">
        <f aca="false">IF(J1677&gt;H1677*I1677,1,0)</f>
        <v>0</v>
      </c>
      <c r="Z1677" s="9" t="n">
        <f aca="false">IF(AND(N1677&lt;&gt;"",OR(N1677&lt;1,N1677&gt;5)),1,0)</f>
        <v>0</v>
      </c>
      <c r="AA1677" s="9" t="n">
        <f aca="false">IF(AND(M1677&lt;&gt;"",OR(M1677&lt;5,M1677&gt;180)),1,0)</f>
        <v>0</v>
      </c>
      <c r="AB1677" s="7" t="str">
        <f aca="false">IF(P1677="DUP","Exact duplicate row",IF(T1677=1,"Missing Order ID",IF(S1677="DROP","Duplicate Order ID (less complete row)",IF(U1677=1,"Missing Customer ID",IF(V1677=1,"Missing Restaurant name",IF(W1677=1,"Invalid/outlier quantity",IF(X1677=1,"Invalid/outlier unit price",IF(Y1677=1,"Discount greater than order value",""))))))))</f>
        <v/>
      </c>
      <c r="AC1677" s="7" t="str">
        <f aca="false">IF(AB1677="","KEEP","DROP")</f>
        <v>KEEP</v>
      </c>
      <c r="AD1677" s="7" t="str">
        <f aca="false">IF(TRIM(F1677)="",IFERROR(INDEX(Map_Tables!$I$4:$I$37,MATCH(TRIM(E1677),Map_Tables!$G$4:$G$37,0)),""),IFERROR(INDEX(Map_Tables!$B$4:$B$18,MATCH(TRIM(F1677),Map_Tables!$A$4:$A$18,0)),"CHECK"))</f>
        <v>Chennai</v>
      </c>
      <c r="AE1677" s="7" t="str">
        <f aca="false">IF(TRIM(E1677)="","",IFERROR(INDEX(Map_Tables!$H$4:$H$37,MATCH(TRIM(E1677),Map_Tables!$G$4:$G$37,0)),"CHECK"))</f>
        <v>Green Bowl Kitchen</v>
      </c>
      <c r="AF1677" s="7" t="str">
        <f aca="false">IF(TRIM(K1677)="","Unknown",IFERROR(INDEX(Map_Tables!$E$4:$E$15,MATCH(TRIM(K1677),Map_Tables!$D$4:$D$15,0)),"CHECK"))</f>
        <v>Unknown</v>
      </c>
      <c r="AG1677" s="7" t="str">
        <f aca="false">IF(LEFT(LOWER(TRIM(L1677)),6)="cancel","Cancelled","Delivered")</f>
        <v>Delivered</v>
      </c>
      <c r="AH1677" s="10" t="n">
        <f aca="false">IF(ISNUMBER(SEARCH("/",B1677)),DATE(VALUE(RIGHT(B1677,4)),VALUE(MID(B1677,4,2)),VALUE(LEFT(B1677,2))),IF(MID(B1677,5,1)="-",DATE(VALUE(LEFT(B1677,4)),VALUE(MID(B1677,6,2)),VALUE(RIGHT(B1677,2))),DATE(VALUE(RIGHT(B1677,4)),MATCH(MID(B1677,4,3),{"Jan","Feb","Mar","Apr","May","Jun","Jul","Aug","Sep","Oct","Nov","Dec"},0),VALUE(LEFT(B1677,2)))))</f>
        <v>45737</v>
      </c>
    </row>
    <row r="1678" customFormat="false" ht="15" hidden="false" customHeight="false" outlineLevel="0" collapsed="false">
      <c r="A1678" s="7" t="s">
        <v>4227</v>
      </c>
      <c r="B1678" s="7" t="s">
        <v>1316</v>
      </c>
      <c r="C1678" s="7" t="s">
        <v>3300</v>
      </c>
      <c r="D1678" s="7" t="s">
        <v>2731</v>
      </c>
      <c r="E1678" s="7" t="s">
        <v>163</v>
      </c>
      <c r="F1678" s="7" t="s">
        <v>141</v>
      </c>
      <c r="G1678" s="7" t="s">
        <v>99</v>
      </c>
      <c r="H1678" s="7" t="n">
        <v>5</v>
      </c>
      <c r="I1678" s="7" t="n">
        <v>320</v>
      </c>
      <c r="J1678" s="7" t="n">
        <v>150</v>
      </c>
      <c r="K1678" s="7" t="s">
        <v>93</v>
      </c>
      <c r="L1678" s="7" t="s">
        <v>194</v>
      </c>
      <c r="M1678" s="7" t="n">
        <v>36</v>
      </c>
      <c r="N1678" s="7"/>
      <c r="O1678" s="7" t="str">
        <f aca="false">A1678&amp;"|"&amp;B1678&amp;"|"&amp;C1678&amp;"|"&amp;D1678&amp;"|"&amp;E1678&amp;"|"&amp;F1678&amp;"|"&amp;G1678&amp;"|"&amp;H1678&amp;"|"&amp;I1678&amp;"|"&amp;J1678&amp;"|"&amp;K1678&amp;"|"&amp;L1678&amp;"|"&amp;M1678&amp;"|"&amp;N1678</f>
        <v>ORD11512|2025-07-15|18:25|C0322|Biryani Baadshah|Kolkata|Biryani|5|320|150|Credit Card|Delivered|36|</v>
      </c>
      <c r="P1678" s="7" t="str">
        <f aca="false">IF(COUNTIF($O$2:O1678,O1678)&gt;1,"DUP","OK")</f>
        <v>OK</v>
      </c>
      <c r="Q1678" s="7" t="n">
        <f aca="false">COUNTBLANK(A1678:N1678)</f>
        <v>1</v>
      </c>
      <c r="R1678" s="7" t="n">
        <f aca="false">IF(A1678="",0,COUNTIFS($A$2:$A$3058,A1678,$P$2:$P$3058,"OK"))</f>
        <v>1</v>
      </c>
      <c r="S1678" s="7" t="str">
        <f aca="false">IF(OR(A1678="",P1678="DUP",R1678&lt;2),"",IF(Q1678=_xlfn.MINIFS($Q$2:$Q$3058,$A$2:$A$3058,A1678,$P$2:$P$3058,"OK"),"KEEP","DROP"))</f>
        <v/>
      </c>
      <c r="T1678" s="9" t="n">
        <f aca="false">IF(A1678="",1,0)</f>
        <v>0</v>
      </c>
      <c r="U1678" s="9" t="n">
        <f aca="false">IF(D1678="",1,0)</f>
        <v>0</v>
      </c>
      <c r="V1678" s="9" t="n">
        <f aca="false">IF(E1678="",1,0)</f>
        <v>0</v>
      </c>
      <c r="W1678" s="9" t="n">
        <f aca="false">IF(OR(H1678&lt;1,H1678&gt;10),1,0)</f>
        <v>0</v>
      </c>
      <c r="X1678" s="9" t="n">
        <f aca="false">IF(OR(I1678&lt;=0,I1678&gt;1500),1,0)</f>
        <v>0</v>
      </c>
      <c r="Y1678" s="9" t="n">
        <f aca="false">IF(J1678&gt;H1678*I1678,1,0)</f>
        <v>0</v>
      </c>
      <c r="Z1678" s="9" t="n">
        <f aca="false">IF(AND(N1678&lt;&gt;"",OR(N1678&lt;1,N1678&gt;5)),1,0)</f>
        <v>0</v>
      </c>
      <c r="AA1678" s="9" t="n">
        <f aca="false">IF(AND(M1678&lt;&gt;"",OR(M1678&lt;5,M1678&gt;180)),1,0)</f>
        <v>0</v>
      </c>
      <c r="AB1678" s="7" t="str">
        <f aca="false">IF(P1678="DUP","Exact duplicate row",IF(T1678=1,"Missing Order ID",IF(S1678="DROP","Duplicate Order ID (less complete row)",IF(U1678=1,"Missing Customer ID",IF(V1678=1,"Missing Restaurant name",IF(W1678=1,"Invalid/outlier quantity",IF(X1678=1,"Invalid/outlier unit price",IF(Y1678=1,"Discount greater than order value",""))))))))</f>
        <v/>
      </c>
      <c r="AC1678" s="7" t="str">
        <f aca="false">IF(AB1678="","KEEP","DROP")</f>
        <v>KEEP</v>
      </c>
      <c r="AD1678" s="7" t="str">
        <f aca="false">IF(TRIM(F1678)="",IFERROR(INDEX(Map_Tables!$I$4:$I$37,MATCH(TRIM(E1678),Map_Tables!$G$4:$G$37,0)),""),IFERROR(INDEX(Map_Tables!$B$4:$B$18,MATCH(TRIM(F1678),Map_Tables!$A$4:$A$18,0)),"CHECK"))</f>
        <v>Kolkata</v>
      </c>
      <c r="AE1678" s="7" t="str">
        <f aca="false">IF(TRIM(E1678)="","",IFERROR(INDEX(Map_Tables!$H$4:$H$37,MATCH(TRIM(E1678),Map_Tables!$G$4:$G$37,0)),"CHECK"))</f>
        <v>Biryani Baadshah</v>
      </c>
      <c r="AF1678" s="7" t="str">
        <f aca="false">IF(TRIM(K1678)="","Unknown",IFERROR(INDEX(Map_Tables!$E$4:$E$15,MATCH(TRIM(K1678),Map_Tables!$D$4:$D$15,0)),"CHECK"))</f>
        <v>Credit Card</v>
      </c>
      <c r="AG1678" s="7" t="str">
        <f aca="false">IF(LEFT(LOWER(TRIM(L1678)),6)="cancel","Cancelled","Delivered")</f>
        <v>Delivered</v>
      </c>
      <c r="AH1678" s="10" t="n">
        <f aca="false">IF(ISNUMBER(SEARCH("/",B1678)),DATE(VALUE(RIGHT(B1678,4)),VALUE(MID(B1678,4,2)),VALUE(LEFT(B1678,2))),IF(MID(B1678,5,1)="-",DATE(VALUE(LEFT(B1678,4)),VALUE(MID(B1678,6,2)),VALUE(RIGHT(B1678,2))),DATE(VALUE(RIGHT(B1678,4)),MATCH(MID(B1678,4,3),{"Jan","Feb","Mar","Apr","May","Jun","Jul","Aug","Sep","Oct","Nov","Dec"},0),VALUE(LEFT(B1678,2)))))</f>
        <v>45853</v>
      </c>
    </row>
    <row r="1679" customFormat="false" ht="15" hidden="false" customHeight="false" outlineLevel="0" collapsed="false">
      <c r="A1679" s="7" t="s">
        <v>4228</v>
      </c>
      <c r="B1679" s="7" t="s">
        <v>2124</v>
      </c>
      <c r="C1679" s="7" t="s">
        <v>2105</v>
      </c>
      <c r="D1679" s="7" t="s">
        <v>1006</v>
      </c>
      <c r="E1679" s="7" t="s">
        <v>144</v>
      </c>
      <c r="F1679" s="7" t="s">
        <v>119</v>
      </c>
      <c r="G1679" s="7" t="s">
        <v>99</v>
      </c>
      <c r="H1679" s="7" t="n">
        <v>4</v>
      </c>
      <c r="I1679" s="7" t="n">
        <v>280</v>
      </c>
      <c r="J1679" s="7" t="n">
        <v>0</v>
      </c>
      <c r="K1679" s="7" t="s">
        <v>88</v>
      </c>
      <c r="L1679" s="7" t="s">
        <v>194</v>
      </c>
      <c r="M1679" s="7" t="n">
        <v>39</v>
      </c>
      <c r="N1679" s="7" t="n">
        <v>5</v>
      </c>
      <c r="O1679" s="7" t="str">
        <f aca="false">A1679&amp;"|"&amp;B1679&amp;"|"&amp;C1679&amp;"|"&amp;D1679&amp;"|"&amp;E1679&amp;"|"&amp;F1679&amp;"|"&amp;G1679&amp;"|"&amp;H1679&amp;"|"&amp;I1679&amp;"|"&amp;J1679&amp;"|"&amp;K1679&amp;"|"&amp;L1679&amp;"|"&amp;M1679&amp;"|"&amp;N1679</f>
        <v>ORD12995|2025-12-31|12:12|C0135|Hyderabad Dum Biryani|Hyderabad|Biryani|4|280|0|UPI|Delivered|39|5</v>
      </c>
      <c r="P1679" s="7" t="str">
        <f aca="false">IF(COUNTIF($O$2:O1679,O1679)&gt;1,"DUP","OK")</f>
        <v>OK</v>
      </c>
      <c r="Q1679" s="7" t="n">
        <f aca="false">COUNTBLANK(A1679:N1679)</f>
        <v>0</v>
      </c>
      <c r="R1679" s="7" t="n">
        <f aca="false">IF(A1679="",0,COUNTIFS($A$2:$A$3058,A1679,$P$2:$P$3058,"OK"))</f>
        <v>1</v>
      </c>
      <c r="S1679" s="7" t="str">
        <f aca="false">IF(OR(A1679="",P1679="DUP",R1679&lt;2),"",IF(Q1679=_xlfn.MINIFS($Q$2:$Q$3058,$A$2:$A$3058,A1679,$P$2:$P$3058,"OK"),"KEEP","DROP"))</f>
        <v/>
      </c>
      <c r="T1679" s="9" t="n">
        <f aca="false">IF(A1679="",1,0)</f>
        <v>0</v>
      </c>
      <c r="U1679" s="9" t="n">
        <f aca="false">IF(D1679="",1,0)</f>
        <v>0</v>
      </c>
      <c r="V1679" s="9" t="n">
        <f aca="false">IF(E1679="",1,0)</f>
        <v>0</v>
      </c>
      <c r="W1679" s="9" t="n">
        <f aca="false">IF(OR(H1679&lt;1,H1679&gt;10),1,0)</f>
        <v>0</v>
      </c>
      <c r="X1679" s="9" t="n">
        <f aca="false">IF(OR(I1679&lt;=0,I1679&gt;1500),1,0)</f>
        <v>0</v>
      </c>
      <c r="Y1679" s="9" t="n">
        <f aca="false">IF(J1679&gt;H1679*I1679,1,0)</f>
        <v>0</v>
      </c>
      <c r="Z1679" s="9" t="n">
        <f aca="false">IF(AND(N1679&lt;&gt;"",OR(N1679&lt;1,N1679&gt;5)),1,0)</f>
        <v>0</v>
      </c>
      <c r="AA1679" s="9" t="n">
        <f aca="false">IF(AND(M1679&lt;&gt;"",OR(M1679&lt;5,M1679&gt;180)),1,0)</f>
        <v>0</v>
      </c>
      <c r="AB1679" s="7" t="str">
        <f aca="false">IF(P1679="DUP","Exact duplicate row",IF(T1679=1,"Missing Order ID",IF(S1679="DROP","Duplicate Order ID (less complete row)",IF(U1679=1,"Missing Customer ID",IF(V1679=1,"Missing Restaurant name",IF(W1679=1,"Invalid/outlier quantity",IF(X1679=1,"Invalid/outlier unit price",IF(Y1679=1,"Discount greater than order value",""))))))))</f>
        <v/>
      </c>
      <c r="AC1679" s="7" t="str">
        <f aca="false">IF(AB1679="","KEEP","DROP")</f>
        <v>KEEP</v>
      </c>
      <c r="AD1679" s="7" t="str">
        <f aca="false">IF(TRIM(F1679)="",IFERROR(INDEX(Map_Tables!$I$4:$I$37,MATCH(TRIM(E1679),Map_Tables!$G$4:$G$37,0)),""),IFERROR(INDEX(Map_Tables!$B$4:$B$18,MATCH(TRIM(F1679),Map_Tables!$A$4:$A$18,0)),"CHECK"))</f>
        <v>Hyderabad</v>
      </c>
      <c r="AE1679" s="7" t="str">
        <f aca="false">IF(TRIM(E1679)="","",IFERROR(INDEX(Map_Tables!$H$4:$H$37,MATCH(TRIM(E1679),Map_Tables!$G$4:$G$37,0)),"CHECK"))</f>
        <v>Hyderabad Dum Biryani</v>
      </c>
      <c r="AF1679" s="7" t="str">
        <f aca="false">IF(TRIM(K1679)="","Unknown",IFERROR(INDEX(Map_Tables!$E$4:$E$15,MATCH(TRIM(K1679),Map_Tables!$D$4:$D$15,0)),"CHECK"))</f>
        <v>UPI</v>
      </c>
      <c r="AG1679" s="7" t="str">
        <f aca="false">IF(LEFT(LOWER(TRIM(L1679)),6)="cancel","Cancelled","Delivered")</f>
        <v>Delivered</v>
      </c>
      <c r="AH1679" s="10" t="n">
        <f aca="false">IF(ISNUMBER(SEARCH("/",B1679)),DATE(VALUE(RIGHT(B1679,4)),VALUE(MID(B1679,4,2)),VALUE(LEFT(B1679,2))),IF(MID(B1679,5,1)="-",DATE(VALUE(LEFT(B1679,4)),VALUE(MID(B1679,6,2)),VALUE(RIGHT(B1679,2))),DATE(VALUE(RIGHT(B1679,4)),MATCH(MID(B1679,4,3),{"Jan","Feb","Mar","Apr","May","Jun","Jul","Aug","Sep","Oct","Nov","Dec"},0),VALUE(LEFT(B1679,2)))))</f>
        <v>46022</v>
      </c>
    </row>
    <row r="1680" customFormat="false" ht="15" hidden="false" customHeight="false" outlineLevel="0" collapsed="false">
      <c r="A1680" s="7" t="s">
        <v>4229</v>
      </c>
      <c r="B1680" s="7" t="s">
        <v>4230</v>
      </c>
      <c r="C1680" s="7" t="s">
        <v>1610</v>
      </c>
      <c r="D1680" s="7" t="s">
        <v>805</v>
      </c>
      <c r="E1680" s="7" t="s">
        <v>144</v>
      </c>
      <c r="F1680" s="7" t="s">
        <v>119</v>
      </c>
      <c r="G1680" s="7" t="s">
        <v>99</v>
      </c>
      <c r="H1680" s="7" t="n">
        <v>2</v>
      </c>
      <c r="I1680" s="7" t="n">
        <v>260</v>
      </c>
      <c r="J1680" s="7" t="n">
        <v>0</v>
      </c>
      <c r="K1680" s="7" t="s">
        <v>93</v>
      </c>
      <c r="L1680" s="7" t="s">
        <v>194</v>
      </c>
      <c r="M1680" s="7" t="n">
        <v>33</v>
      </c>
      <c r="N1680" s="7" t="n">
        <v>5</v>
      </c>
      <c r="O1680" s="7" t="str">
        <f aca="false">A1680&amp;"|"&amp;B1680&amp;"|"&amp;C1680&amp;"|"&amp;D1680&amp;"|"&amp;E1680&amp;"|"&amp;F1680&amp;"|"&amp;G1680&amp;"|"&amp;H1680&amp;"|"&amp;I1680&amp;"|"&amp;J1680&amp;"|"&amp;K1680&amp;"|"&amp;L1680&amp;"|"&amp;M1680&amp;"|"&amp;N1680</f>
        <v>ORD12944|25/12/2025|22:10|C1035|Hyderabad Dum Biryani|Hyderabad|Biryani|2|260|0|Credit Card|Delivered|33|5</v>
      </c>
      <c r="P1680" s="7" t="str">
        <f aca="false">IF(COUNTIF($O$2:O1680,O1680)&gt;1,"DUP","OK")</f>
        <v>OK</v>
      </c>
      <c r="Q1680" s="7" t="n">
        <f aca="false">COUNTBLANK(A1680:N1680)</f>
        <v>0</v>
      </c>
      <c r="R1680" s="7" t="n">
        <f aca="false">IF(A1680="",0,COUNTIFS($A$2:$A$3058,A1680,$P$2:$P$3058,"OK"))</f>
        <v>1</v>
      </c>
      <c r="S1680" s="7" t="str">
        <f aca="false">IF(OR(A1680="",P1680="DUP",R1680&lt;2),"",IF(Q1680=_xlfn.MINIFS($Q$2:$Q$3058,$A$2:$A$3058,A1680,$P$2:$P$3058,"OK"),"KEEP","DROP"))</f>
        <v/>
      </c>
      <c r="T1680" s="9" t="n">
        <f aca="false">IF(A1680="",1,0)</f>
        <v>0</v>
      </c>
      <c r="U1680" s="9" t="n">
        <f aca="false">IF(D1680="",1,0)</f>
        <v>0</v>
      </c>
      <c r="V1680" s="9" t="n">
        <f aca="false">IF(E1680="",1,0)</f>
        <v>0</v>
      </c>
      <c r="W1680" s="9" t="n">
        <f aca="false">IF(OR(H1680&lt;1,H1680&gt;10),1,0)</f>
        <v>0</v>
      </c>
      <c r="X1680" s="9" t="n">
        <f aca="false">IF(OR(I1680&lt;=0,I1680&gt;1500),1,0)</f>
        <v>0</v>
      </c>
      <c r="Y1680" s="9" t="n">
        <f aca="false">IF(J1680&gt;H1680*I1680,1,0)</f>
        <v>0</v>
      </c>
      <c r="Z1680" s="9" t="n">
        <f aca="false">IF(AND(N1680&lt;&gt;"",OR(N1680&lt;1,N1680&gt;5)),1,0)</f>
        <v>0</v>
      </c>
      <c r="AA1680" s="9" t="n">
        <f aca="false">IF(AND(M1680&lt;&gt;"",OR(M1680&lt;5,M1680&gt;180)),1,0)</f>
        <v>0</v>
      </c>
      <c r="AB1680" s="7" t="str">
        <f aca="false">IF(P1680="DUP","Exact duplicate row",IF(T1680=1,"Missing Order ID",IF(S1680="DROP","Duplicate Order ID (less complete row)",IF(U1680=1,"Missing Customer ID",IF(V1680=1,"Missing Restaurant name",IF(W1680=1,"Invalid/outlier quantity",IF(X1680=1,"Invalid/outlier unit price",IF(Y1680=1,"Discount greater than order value",""))))))))</f>
        <v/>
      </c>
      <c r="AC1680" s="7" t="str">
        <f aca="false">IF(AB1680="","KEEP","DROP")</f>
        <v>KEEP</v>
      </c>
      <c r="AD1680" s="7" t="str">
        <f aca="false">IF(TRIM(F1680)="",IFERROR(INDEX(Map_Tables!$I$4:$I$37,MATCH(TRIM(E1680),Map_Tables!$G$4:$G$37,0)),""),IFERROR(INDEX(Map_Tables!$B$4:$B$18,MATCH(TRIM(F1680),Map_Tables!$A$4:$A$18,0)),"CHECK"))</f>
        <v>Hyderabad</v>
      </c>
      <c r="AE1680" s="7" t="str">
        <f aca="false">IF(TRIM(E1680)="","",IFERROR(INDEX(Map_Tables!$H$4:$H$37,MATCH(TRIM(E1680),Map_Tables!$G$4:$G$37,0)),"CHECK"))</f>
        <v>Hyderabad Dum Biryani</v>
      </c>
      <c r="AF1680" s="7" t="str">
        <f aca="false">IF(TRIM(K1680)="","Unknown",IFERROR(INDEX(Map_Tables!$E$4:$E$15,MATCH(TRIM(K1680),Map_Tables!$D$4:$D$15,0)),"CHECK"))</f>
        <v>Credit Card</v>
      </c>
      <c r="AG1680" s="7" t="str">
        <f aca="false">IF(LEFT(LOWER(TRIM(L1680)),6)="cancel","Cancelled","Delivered")</f>
        <v>Delivered</v>
      </c>
      <c r="AH1680" s="10" t="n">
        <f aca="false">IF(ISNUMBER(SEARCH("/",B1680)),DATE(VALUE(RIGHT(B1680,4)),VALUE(MID(B1680,4,2)),VALUE(LEFT(B1680,2))),IF(MID(B1680,5,1)="-",DATE(VALUE(LEFT(B1680,4)),VALUE(MID(B1680,6,2)),VALUE(RIGHT(B1680,2))),DATE(VALUE(RIGHT(B1680,4)),MATCH(MID(B1680,4,3),{"Jan","Feb","Mar","Apr","May","Jun","Jul","Aug","Sep","Oct","Nov","Dec"},0),VALUE(LEFT(B1680,2)))))</f>
        <v>46016</v>
      </c>
    </row>
    <row r="1681" customFormat="false" ht="15" hidden="false" customHeight="false" outlineLevel="0" collapsed="false">
      <c r="A1681" s="7" t="s">
        <v>4231</v>
      </c>
      <c r="B1681" s="7" t="s">
        <v>1136</v>
      </c>
      <c r="C1681" s="7" t="s">
        <v>2901</v>
      </c>
      <c r="D1681" s="7" t="s">
        <v>4232</v>
      </c>
      <c r="E1681" s="7" t="s">
        <v>168</v>
      </c>
      <c r="F1681" s="7" t="s">
        <v>1327</v>
      </c>
      <c r="G1681" s="7" t="s">
        <v>123</v>
      </c>
      <c r="H1681" s="7" t="n">
        <v>2</v>
      </c>
      <c r="I1681" s="7" t="n">
        <v>325</v>
      </c>
      <c r="J1681" s="7" t="n">
        <v>0</v>
      </c>
      <c r="K1681" s="7" t="s">
        <v>88</v>
      </c>
      <c r="L1681" s="7" t="s">
        <v>194</v>
      </c>
      <c r="M1681" s="7" t="n">
        <v>39</v>
      </c>
      <c r="N1681" s="7" t="n">
        <v>5</v>
      </c>
      <c r="O1681" s="7" t="str">
        <f aca="false">A1681&amp;"|"&amp;B1681&amp;"|"&amp;C1681&amp;"|"&amp;D1681&amp;"|"&amp;E1681&amp;"|"&amp;F1681&amp;"|"&amp;G1681&amp;"|"&amp;H1681&amp;"|"&amp;I1681&amp;"|"&amp;J1681&amp;"|"&amp;K1681&amp;"|"&amp;L1681&amp;"|"&amp;M1681&amp;"|"&amp;N1681</f>
        <v>ORD11975|2025-09-13|09:49|C0064|Cheesy Slice|Ahmedabad |Pizza|2|325|0|UPI|Delivered|39|5</v>
      </c>
      <c r="P1681" s="7" t="str">
        <f aca="false">IF(COUNTIF($O$2:O1681,O1681)&gt;1,"DUP","OK")</f>
        <v>OK</v>
      </c>
      <c r="Q1681" s="7" t="n">
        <f aca="false">COUNTBLANK(A1681:N1681)</f>
        <v>0</v>
      </c>
      <c r="R1681" s="7" t="n">
        <f aca="false">IF(A1681="",0,COUNTIFS($A$2:$A$3058,A1681,$P$2:$P$3058,"OK"))</f>
        <v>1</v>
      </c>
      <c r="S1681" s="7" t="str">
        <f aca="false">IF(OR(A1681="",P1681="DUP",R1681&lt;2),"",IF(Q1681=_xlfn.MINIFS($Q$2:$Q$3058,$A$2:$A$3058,A1681,$P$2:$P$3058,"OK"),"KEEP","DROP"))</f>
        <v/>
      </c>
      <c r="T1681" s="9" t="n">
        <f aca="false">IF(A1681="",1,0)</f>
        <v>0</v>
      </c>
      <c r="U1681" s="9" t="n">
        <f aca="false">IF(D1681="",1,0)</f>
        <v>0</v>
      </c>
      <c r="V1681" s="9" t="n">
        <f aca="false">IF(E1681="",1,0)</f>
        <v>0</v>
      </c>
      <c r="W1681" s="9" t="n">
        <f aca="false">IF(OR(H1681&lt;1,H1681&gt;10),1,0)</f>
        <v>0</v>
      </c>
      <c r="X1681" s="9" t="n">
        <f aca="false">IF(OR(I1681&lt;=0,I1681&gt;1500),1,0)</f>
        <v>0</v>
      </c>
      <c r="Y1681" s="9" t="n">
        <f aca="false">IF(J1681&gt;H1681*I1681,1,0)</f>
        <v>0</v>
      </c>
      <c r="Z1681" s="9" t="n">
        <f aca="false">IF(AND(N1681&lt;&gt;"",OR(N1681&lt;1,N1681&gt;5)),1,0)</f>
        <v>0</v>
      </c>
      <c r="AA1681" s="9" t="n">
        <f aca="false">IF(AND(M1681&lt;&gt;"",OR(M1681&lt;5,M1681&gt;180)),1,0)</f>
        <v>0</v>
      </c>
      <c r="AB1681" s="7" t="str">
        <f aca="false">IF(P1681="DUP","Exact duplicate row",IF(T1681=1,"Missing Order ID",IF(S1681="DROP","Duplicate Order ID (less complete row)",IF(U1681=1,"Missing Customer ID",IF(V1681=1,"Missing Restaurant name",IF(W1681=1,"Invalid/outlier quantity",IF(X1681=1,"Invalid/outlier unit price",IF(Y1681=1,"Discount greater than order value",""))))))))</f>
        <v/>
      </c>
      <c r="AC1681" s="7" t="str">
        <f aca="false">IF(AB1681="","KEEP","DROP")</f>
        <v>KEEP</v>
      </c>
      <c r="AD1681" s="7" t="str">
        <f aca="false">IF(TRIM(F1681)="",IFERROR(INDEX(Map_Tables!$I$4:$I$37,MATCH(TRIM(E1681),Map_Tables!$G$4:$G$37,0)),""),IFERROR(INDEX(Map_Tables!$B$4:$B$18,MATCH(TRIM(F1681),Map_Tables!$A$4:$A$18,0)),"CHECK"))</f>
        <v>Ahmedabad</v>
      </c>
      <c r="AE1681" s="7" t="str">
        <f aca="false">IF(TRIM(E1681)="","",IFERROR(INDEX(Map_Tables!$H$4:$H$37,MATCH(TRIM(E1681),Map_Tables!$G$4:$G$37,0)),"CHECK"))</f>
        <v>Cheesy Slice</v>
      </c>
      <c r="AF1681" s="7" t="str">
        <f aca="false">IF(TRIM(K1681)="","Unknown",IFERROR(INDEX(Map_Tables!$E$4:$E$15,MATCH(TRIM(K1681),Map_Tables!$D$4:$D$15,0)),"CHECK"))</f>
        <v>UPI</v>
      </c>
      <c r="AG1681" s="7" t="str">
        <f aca="false">IF(LEFT(LOWER(TRIM(L1681)),6)="cancel","Cancelled","Delivered")</f>
        <v>Delivered</v>
      </c>
      <c r="AH1681" s="10" t="n">
        <f aca="false">IF(ISNUMBER(SEARCH("/",B1681)),DATE(VALUE(RIGHT(B1681,4)),VALUE(MID(B1681,4,2)),VALUE(LEFT(B1681,2))),IF(MID(B1681,5,1)="-",DATE(VALUE(LEFT(B1681,4)),VALUE(MID(B1681,6,2)),VALUE(RIGHT(B1681,2))),DATE(VALUE(RIGHT(B1681,4)),MATCH(MID(B1681,4,3),{"Jan","Feb","Mar","Apr","May","Jun","Jul","Aug","Sep","Oct","Nov","Dec"},0),VALUE(LEFT(B1681,2)))))</f>
        <v>45913</v>
      </c>
    </row>
    <row r="1682" customFormat="false" ht="15" hidden="false" customHeight="false" outlineLevel="0" collapsed="false">
      <c r="A1682" s="7" t="s">
        <v>4233</v>
      </c>
      <c r="B1682" s="7" t="s">
        <v>1790</v>
      </c>
      <c r="C1682" s="7" t="s">
        <v>4234</v>
      </c>
      <c r="D1682" s="7" t="s">
        <v>343</v>
      </c>
      <c r="E1682" s="7" t="s">
        <v>164</v>
      </c>
      <c r="F1682" s="7" t="s">
        <v>1915</v>
      </c>
      <c r="G1682" s="7" t="s">
        <v>150</v>
      </c>
      <c r="H1682" s="7" t="n">
        <v>2</v>
      </c>
      <c r="I1682" s="7" t="n">
        <v>140</v>
      </c>
      <c r="J1682" s="7" t="n">
        <v>20</v>
      </c>
      <c r="K1682" s="7" t="s">
        <v>88</v>
      </c>
      <c r="L1682" s="7" t="s">
        <v>194</v>
      </c>
      <c r="M1682" s="7" t="n">
        <v>39</v>
      </c>
      <c r="N1682" s="7" t="n">
        <v>5</v>
      </c>
      <c r="O1682" s="7" t="str">
        <f aca="false">A1682&amp;"|"&amp;B1682&amp;"|"&amp;C1682&amp;"|"&amp;D1682&amp;"|"&amp;E1682&amp;"|"&amp;F1682&amp;"|"&amp;G1682&amp;"|"&amp;H1682&amp;"|"&amp;I1682&amp;"|"&amp;J1682&amp;"|"&amp;K1682&amp;"|"&amp;L1682&amp;"|"&amp;M1682&amp;"|"&amp;N1682</f>
        <v>ORD11064|2025-05-15|10:55|C0999|Mishti Mandir|KOLKATA|Desserts|2|140|20|UPI|Delivered|39|5</v>
      </c>
      <c r="P1682" s="7" t="str">
        <f aca="false">IF(COUNTIF($O$2:O1682,O1682)&gt;1,"DUP","OK")</f>
        <v>OK</v>
      </c>
      <c r="Q1682" s="7" t="n">
        <f aca="false">COUNTBLANK(A1682:N1682)</f>
        <v>0</v>
      </c>
      <c r="R1682" s="7" t="n">
        <f aca="false">IF(A1682="",0,COUNTIFS($A$2:$A$3058,A1682,$P$2:$P$3058,"OK"))</f>
        <v>1</v>
      </c>
      <c r="S1682" s="7" t="str">
        <f aca="false">IF(OR(A1682="",P1682="DUP",R1682&lt;2),"",IF(Q1682=_xlfn.MINIFS($Q$2:$Q$3058,$A$2:$A$3058,A1682,$P$2:$P$3058,"OK"),"KEEP","DROP"))</f>
        <v/>
      </c>
      <c r="T1682" s="9" t="n">
        <f aca="false">IF(A1682="",1,0)</f>
        <v>0</v>
      </c>
      <c r="U1682" s="9" t="n">
        <f aca="false">IF(D1682="",1,0)</f>
        <v>0</v>
      </c>
      <c r="V1682" s="9" t="n">
        <f aca="false">IF(E1682="",1,0)</f>
        <v>0</v>
      </c>
      <c r="W1682" s="9" t="n">
        <f aca="false">IF(OR(H1682&lt;1,H1682&gt;10),1,0)</f>
        <v>0</v>
      </c>
      <c r="X1682" s="9" t="n">
        <f aca="false">IF(OR(I1682&lt;=0,I1682&gt;1500),1,0)</f>
        <v>0</v>
      </c>
      <c r="Y1682" s="9" t="n">
        <f aca="false">IF(J1682&gt;H1682*I1682,1,0)</f>
        <v>0</v>
      </c>
      <c r="Z1682" s="9" t="n">
        <f aca="false">IF(AND(N1682&lt;&gt;"",OR(N1682&lt;1,N1682&gt;5)),1,0)</f>
        <v>0</v>
      </c>
      <c r="AA1682" s="9" t="n">
        <f aca="false">IF(AND(M1682&lt;&gt;"",OR(M1682&lt;5,M1682&gt;180)),1,0)</f>
        <v>0</v>
      </c>
      <c r="AB1682" s="7" t="str">
        <f aca="false">IF(P1682="DUP","Exact duplicate row",IF(T1682=1,"Missing Order ID",IF(S1682="DROP","Duplicate Order ID (less complete row)",IF(U1682=1,"Missing Customer ID",IF(V1682=1,"Missing Restaurant name",IF(W1682=1,"Invalid/outlier quantity",IF(X1682=1,"Invalid/outlier unit price",IF(Y1682=1,"Discount greater than order value",""))))))))</f>
        <v/>
      </c>
      <c r="AC1682" s="7" t="str">
        <f aca="false">IF(AB1682="","KEEP","DROP")</f>
        <v>KEEP</v>
      </c>
      <c r="AD1682" s="7" t="str">
        <f aca="false">IF(TRIM(F1682)="",IFERROR(INDEX(Map_Tables!$I$4:$I$37,MATCH(TRIM(E1682),Map_Tables!$G$4:$G$37,0)),""),IFERROR(INDEX(Map_Tables!$B$4:$B$18,MATCH(TRIM(F1682),Map_Tables!$A$4:$A$18,0)),"CHECK"))</f>
        <v>Kolkata</v>
      </c>
      <c r="AE1682" s="7" t="str">
        <f aca="false">IF(TRIM(E1682)="","",IFERROR(INDEX(Map_Tables!$H$4:$H$37,MATCH(TRIM(E1682),Map_Tables!$G$4:$G$37,0)),"CHECK"))</f>
        <v>Mishti Mandir</v>
      </c>
      <c r="AF1682" s="7" t="str">
        <f aca="false">IF(TRIM(K1682)="","Unknown",IFERROR(INDEX(Map_Tables!$E$4:$E$15,MATCH(TRIM(K1682),Map_Tables!$D$4:$D$15,0)),"CHECK"))</f>
        <v>UPI</v>
      </c>
      <c r="AG1682" s="7" t="str">
        <f aca="false">IF(LEFT(LOWER(TRIM(L1682)),6)="cancel","Cancelled","Delivered")</f>
        <v>Delivered</v>
      </c>
      <c r="AH1682" s="10" t="n">
        <f aca="false">IF(ISNUMBER(SEARCH("/",B1682)),DATE(VALUE(RIGHT(B1682,4)),VALUE(MID(B1682,4,2)),VALUE(LEFT(B1682,2))),IF(MID(B1682,5,1)="-",DATE(VALUE(LEFT(B1682,4)),VALUE(MID(B1682,6,2)),VALUE(RIGHT(B1682,2))),DATE(VALUE(RIGHT(B1682,4)),MATCH(MID(B1682,4,3),{"Jan","Feb","Mar","Apr","May","Jun","Jul","Aug","Sep","Oct","Nov","Dec"},0),VALUE(LEFT(B1682,2)))))</f>
        <v>45792</v>
      </c>
    </row>
    <row r="1683" customFormat="false" ht="15" hidden="false" customHeight="false" outlineLevel="0" collapsed="false">
      <c r="A1683" s="7" t="s">
        <v>4235</v>
      </c>
      <c r="B1683" s="7" t="s">
        <v>4236</v>
      </c>
      <c r="C1683" s="7" t="s">
        <v>1586</v>
      </c>
      <c r="D1683" s="7" t="s">
        <v>4237</v>
      </c>
      <c r="E1683" s="7" t="s">
        <v>104</v>
      </c>
      <c r="F1683" s="7" t="s">
        <v>449</v>
      </c>
      <c r="G1683" s="7" t="s">
        <v>105</v>
      </c>
      <c r="H1683" s="7" t="n">
        <v>1</v>
      </c>
      <c r="I1683" s="7" t="n">
        <v>235</v>
      </c>
      <c r="J1683" s="7" t="n">
        <v>0</v>
      </c>
      <c r="K1683" s="7" t="s">
        <v>88</v>
      </c>
      <c r="L1683" s="7" t="s">
        <v>194</v>
      </c>
      <c r="M1683" s="7" t="n">
        <v>31</v>
      </c>
      <c r="N1683" s="7" t="n">
        <v>5</v>
      </c>
      <c r="O1683" s="7" t="str">
        <f aca="false">A1683&amp;"|"&amp;B1683&amp;"|"&amp;C1683&amp;"|"&amp;D1683&amp;"|"&amp;E1683&amp;"|"&amp;F1683&amp;"|"&amp;G1683&amp;"|"&amp;H1683&amp;"|"&amp;I1683&amp;"|"&amp;J1683&amp;"|"&amp;K1683&amp;"|"&amp;L1683&amp;"|"&amp;M1683&amp;"|"&amp;N1683</f>
        <v>ORD11853|2025-08-30|10:02|C0683|Wok &amp; Roll|BLR|Chinese|1|235|0|UPI|Delivered|31|5</v>
      </c>
      <c r="P1683" s="7" t="str">
        <f aca="false">IF(COUNTIF($O$2:O1683,O1683)&gt;1,"DUP","OK")</f>
        <v>OK</v>
      </c>
      <c r="Q1683" s="7" t="n">
        <f aca="false">COUNTBLANK(A1683:N1683)</f>
        <v>0</v>
      </c>
      <c r="R1683" s="7" t="n">
        <f aca="false">IF(A1683="",0,COUNTIFS($A$2:$A$3058,A1683,$P$2:$P$3058,"OK"))</f>
        <v>1</v>
      </c>
      <c r="S1683" s="7" t="str">
        <f aca="false">IF(OR(A1683="",P1683="DUP",R1683&lt;2),"",IF(Q1683=_xlfn.MINIFS($Q$2:$Q$3058,$A$2:$A$3058,A1683,$P$2:$P$3058,"OK"),"KEEP","DROP"))</f>
        <v/>
      </c>
      <c r="T1683" s="9" t="n">
        <f aca="false">IF(A1683="",1,0)</f>
        <v>0</v>
      </c>
      <c r="U1683" s="9" t="n">
        <f aca="false">IF(D1683="",1,0)</f>
        <v>0</v>
      </c>
      <c r="V1683" s="9" t="n">
        <f aca="false">IF(E1683="",1,0)</f>
        <v>0</v>
      </c>
      <c r="W1683" s="9" t="n">
        <f aca="false">IF(OR(H1683&lt;1,H1683&gt;10),1,0)</f>
        <v>0</v>
      </c>
      <c r="X1683" s="9" t="n">
        <f aca="false">IF(OR(I1683&lt;=0,I1683&gt;1500),1,0)</f>
        <v>0</v>
      </c>
      <c r="Y1683" s="9" t="n">
        <f aca="false">IF(J1683&gt;H1683*I1683,1,0)</f>
        <v>0</v>
      </c>
      <c r="Z1683" s="9" t="n">
        <f aca="false">IF(AND(N1683&lt;&gt;"",OR(N1683&lt;1,N1683&gt;5)),1,0)</f>
        <v>0</v>
      </c>
      <c r="AA1683" s="9" t="n">
        <f aca="false">IF(AND(M1683&lt;&gt;"",OR(M1683&lt;5,M1683&gt;180)),1,0)</f>
        <v>0</v>
      </c>
      <c r="AB1683" s="7" t="str">
        <f aca="false">IF(P1683="DUP","Exact duplicate row",IF(T1683=1,"Missing Order ID",IF(S1683="DROP","Duplicate Order ID (less complete row)",IF(U1683=1,"Missing Customer ID",IF(V1683=1,"Missing Restaurant name",IF(W1683=1,"Invalid/outlier quantity",IF(X1683=1,"Invalid/outlier unit price",IF(Y1683=1,"Discount greater than order value",""))))))))</f>
        <v/>
      </c>
      <c r="AC1683" s="7" t="str">
        <f aca="false">IF(AB1683="","KEEP","DROP")</f>
        <v>KEEP</v>
      </c>
      <c r="AD1683" s="7" t="str">
        <f aca="false">IF(TRIM(F1683)="",IFERROR(INDEX(Map_Tables!$I$4:$I$37,MATCH(TRIM(E1683),Map_Tables!$G$4:$G$37,0)),""),IFERROR(INDEX(Map_Tables!$B$4:$B$18,MATCH(TRIM(F1683),Map_Tables!$A$4:$A$18,0)),"CHECK"))</f>
        <v>Bengaluru</v>
      </c>
      <c r="AE1683" s="7" t="str">
        <f aca="false">IF(TRIM(E1683)="","",IFERROR(INDEX(Map_Tables!$H$4:$H$37,MATCH(TRIM(E1683),Map_Tables!$G$4:$G$37,0)),"CHECK"))</f>
        <v>Wok &amp; Roll</v>
      </c>
      <c r="AF1683" s="7" t="str">
        <f aca="false">IF(TRIM(K1683)="","Unknown",IFERROR(INDEX(Map_Tables!$E$4:$E$15,MATCH(TRIM(K1683),Map_Tables!$D$4:$D$15,0)),"CHECK"))</f>
        <v>UPI</v>
      </c>
      <c r="AG1683" s="7" t="str">
        <f aca="false">IF(LEFT(LOWER(TRIM(L1683)),6)="cancel","Cancelled","Delivered")</f>
        <v>Delivered</v>
      </c>
      <c r="AH1683" s="10" t="n">
        <f aca="false">IF(ISNUMBER(SEARCH("/",B1683)),DATE(VALUE(RIGHT(B1683,4)),VALUE(MID(B1683,4,2)),VALUE(LEFT(B1683,2))),IF(MID(B1683,5,1)="-",DATE(VALUE(LEFT(B1683,4)),VALUE(MID(B1683,6,2)),VALUE(RIGHT(B1683,2))),DATE(VALUE(RIGHT(B1683,4)),MATCH(MID(B1683,4,3),{"Jan","Feb","Mar","Apr","May","Jun","Jul","Aug","Sep","Oct","Nov","Dec"},0),VALUE(LEFT(B1683,2)))))</f>
        <v>45899</v>
      </c>
    </row>
    <row r="1684" customFormat="false" ht="15" hidden="false" customHeight="false" outlineLevel="0" collapsed="false">
      <c r="A1684" s="7" t="s">
        <v>4238</v>
      </c>
      <c r="B1684" s="7" t="s">
        <v>309</v>
      </c>
      <c r="C1684" s="7" t="s">
        <v>2898</v>
      </c>
      <c r="D1684" s="7" t="s">
        <v>1146</v>
      </c>
      <c r="E1684" s="7" t="s">
        <v>138</v>
      </c>
      <c r="F1684" s="7" t="s">
        <v>110</v>
      </c>
      <c r="G1684" s="7" t="s">
        <v>1003</v>
      </c>
      <c r="H1684" s="7" t="n">
        <v>2</v>
      </c>
      <c r="I1684" s="7" t="n">
        <v>200</v>
      </c>
      <c r="J1684" s="7" t="n">
        <v>0</v>
      </c>
      <c r="K1684" s="7" t="s">
        <v>112</v>
      </c>
      <c r="L1684" s="7" t="s">
        <v>238</v>
      </c>
      <c r="M1684" s="7"/>
      <c r="N1684" s="7"/>
      <c r="O1684" s="7" t="str">
        <f aca="false">A1684&amp;"|"&amp;B1684&amp;"|"&amp;C1684&amp;"|"&amp;D1684&amp;"|"&amp;E1684&amp;"|"&amp;F1684&amp;"|"&amp;G1684&amp;"|"&amp;H1684&amp;"|"&amp;I1684&amp;"|"&amp;J1684&amp;"|"&amp;K1684&amp;"|"&amp;L1684&amp;"|"&amp;M1684&amp;"|"&amp;N1684</f>
        <v>ORD12818|2025-12-11|13:54|C1110|Burger Barn|Delhi|BURGERS|2|200|0|Cash on Delivery|Cancelled||</v>
      </c>
      <c r="P1684" s="7" t="str">
        <f aca="false">IF(COUNTIF($O$2:O1684,O1684)&gt;1,"DUP","OK")</f>
        <v>OK</v>
      </c>
      <c r="Q1684" s="7" t="n">
        <f aca="false">COUNTBLANK(A1684:N1684)</f>
        <v>2</v>
      </c>
      <c r="R1684" s="7" t="n">
        <f aca="false">IF(A1684="",0,COUNTIFS($A$2:$A$3058,A1684,$P$2:$P$3058,"OK"))</f>
        <v>1</v>
      </c>
      <c r="S1684" s="7" t="str">
        <f aca="false">IF(OR(A1684="",P1684="DUP",R1684&lt;2),"",IF(Q1684=_xlfn.MINIFS($Q$2:$Q$3058,$A$2:$A$3058,A1684,$P$2:$P$3058,"OK"),"KEEP","DROP"))</f>
        <v/>
      </c>
      <c r="T1684" s="9" t="n">
        <f aca="false">IF(A1684="",1,0)</f>
        <v>0</v>
      </c>
      <c r="U1684" s="9" t="n">
        <f aca="false">IF(D1684="",1,0)</f>
        <v>0</v>
      </c>
      <c r="V1684" s="9" t="n">
        <f aca="false">IF(E1684="",1,0)</f>
        <v>0</v>
      </c>
      <c r="W1684" s="9" t="n">
        <f aca="false">IF(OR(H1684&lt;1,H1684&gt;10),1,0)</f>
        <v>0</v>
      </c>
      <c r="X1684" s="9" t="n">
        <f aca="false">IF(OR(I1684&lt;=0,I1684&gt;1500),1,0)</f>
        <v>0</v>
      </c>
      <c r="Y1684" s="9" t="n">
        <f aca="false">IF(J1684&gt;H1684*I1684,1,0)</f>
        <v>0</v>
      </c>
      <c r="Z1684" s="9" t="n">
        <f aca="false">IF(AND(N1684&lt;&gt;"",OR(N1684&lt;1,N1684&gt;5)),1,0)</f>
        <v>0</v>
      </c>
      <c r="AA1684" s="9" t="n">
        <f aca="false">IF(AND(M1684&lt;&gt;"",OR(M1684&lt;5,M1684&gt;180)),1,0)</f>
        <v>0</v>
      </c>
      <c r="AB1684" s="7" t="str">
        <f aca="false">IF(P1684="DUP","Exact duplicate row",IF(T1684=1,"Missing Order ID",IF(S1684="DROP","Duplicate Order ID (less complete row)",IF(U1684=1,"Missing Customer ID",IF(V1684=1,"Missing Restaurant name",IF(W1684=1,"Invalid/outlier quantity",IF(X1684=1,"Invalid/outlier unit price",IF(Y1684=1,"Discount greater than order value",""))))))))</f>
        <v/>
      </c>
      <c r="AC1684" s="7" t="str">
        <f aca="false">IF(AB1684="","KEEP","DROP")</f>
        <v>KEEP</v>
      </c>
      <c r="AD1684" s="7" t="str">
        <f aca="false">IF(TRIM(F1684)="",IFERROR(INDEX(Map_Tables!$I$4:$I$37,MATCH(TRIM(E1684),Map_Tables!$G$4:$G$37,0)),""),IFERROR(INDEX(Map_Tables!$B$4:$B$18,MATCH(TRIM(F1684),Map_Tables!$A$4:$A$18,0)),"CHECK"))</f>
        <v>Delhi</v>
      </c>
      <c r="AE1684" s="7" t="str">
        <f aca="false">IF(TRIM(E1684)="","",IFERROR(INDEX(Map_Tables!$H$4:$H$37,MATCH(TRIM(E1684),Map_Tables!$G$4:$G$37,0)),"CHECK"))</f>
        <v>Burger Barn</v>
      </c>
      <c r="AF1684" s="7" t="str">
        <f aca="false">IF(TRIM(K1684)="","Unknown",IFERROR(INDEX(Map_Tables!$E$4:$E$15,MATCH(TRIM(K1684),Map_Tables!$D$4:$D$15,0)),"CHECK"))</f>
        <v>Cash on Delivery</v>
      </c>
      <c r="AG1684" s="7" t="str">
        <f aca="false">IF(LEFT(LOWER(TRIM(L1684)),6)="cancel","Cancelled","Delivered")</f>
        <v>Cancelled</v>
      </c>
      <c r="AH1684" s="10" t="n">
        <f aca="false">IF(ISNUMBER(SEARCH("/",B1684)),DATE(VALUE(RIGHT(B1684,4)),VALUE(MID(B1684,4,2)),VALUE(LEFT(B1684,2))),IF(MID(B1684,5,1)="-",DATE(VALUE(LEFT(B1684,4)),VALUE(MID(B1684,6,2)),VALUE(RIGHT(B1684,2))),DATE(VALUE(RIGHT(B1684,4)),MATCH(MID(B1684,4,3),{"Jan","Feb","Mar","Apr","May","Jun","Jul","Aug","Sep","Oct","Nov","Dec"},0),VALUE(LEFT(B1684,2)))))</f>
        <v>46002</v>
      </c>
    </row>
    <row r="1685" customFormat="false" ht="15" hidden="false" customHeight="false" outlineLevel="0" collapsed="false">
      <c r="A1685" s="7" t="s">
        <v>4239</v>
      </c>
      <c r="B1685" s="7" t="s">
        <v>731</v>
      </c>
      <c r="C1685" s="7" t="s">
        <v>4240</v>
      </c>
      <c r="D1685" s="7" t="s">
        <v>4241</v>
      </c>
      <c r="E1685" s="7" t="s">
        <v>4242</v>
      </c>
      <c r="F1685" s="7" t="s">
        <v>128</v>
      </c>
      <c r="G1685" s="7" t="s">
        <v>95</v>
      </c>
      <c r="H1685" s="7" t="n">
        <v>1</v>
      </c>
      <c r="I1685" s="7" t="n">
        <v>80</v>
      </c>
      <c r="J1685" s="7" t="n">
        <v>30</v>
      </c>
      <c r="K1685" s="7" t="s">
        <v>88</v>
      </c>
      <c r="L1685" s="7" t="s">
        <v>194</v>
      </c>
      <c r="M1685" s="7" t="n">
        <v>33</v>
      </c>
      <c r="N1685" s="7" t="n">
        <v>3</v>
      </c>
      <c r="O1685" s="7" t="str">
        <f aca="false">A1685&amp;"|"&amp;B1685&amp;"|"&amp;C1685&amp;"|"&amp;D1685&amp;"|"&amp;E1685&amp;"|"&amp;F1685&amp;"|"&amp;G1685&amp;"|"&amp;H1685&amp;"|"&amp;I1685&amp;"|"&amp;J1685&amp;"|"&amp;K1685&amp;"|"&amp;L1685&amp;"|"&amp;M1685&amp;"|"&amp;N1685</f>
        <v>ORD12213|2025-10-09|09:07|C1275|Filter Coffee &amp; Tiffin |Chennai|South Indian|1|80|30|UPI|Delivered|33|3</v>
      </c>
      <c r="P1685" s="7" t="str">
        <f aca="false">IF(COUNTIF($O$2:O1685,O1685)&gt;1,"DUP","OK")</f>
        <v>OK</v>
      </c>
      <c r="Q1685" s="7" t="n">
        <f aca="false">COUNTBLANK(A1685:N1685)</f>
        <v>0</v>
      </c>
      <c r="R1685" s="7" t="n">
        <f aca="false">IF(A1685="",0,COUNTIFS($A$2:$A$3058,A1685,$P$2:$P$3058,"OK"))</f>
        <v>1</v>
      </c>
      <c r="S1685" s="7" t="str">
        <f aca="false">IF(OR(A1685="",P1685="DUP",R1685&lt;2),"",IF(Q1685=_xlfn.MINIFS($Q$2:$Q$3058,$A$2:$A$3058,A1685,$P$2:$P$3058,"OK"),"KEEP","DROP"))</f>
        <v/>
      </c>
      <c r="T1685" s="9" t="n">
        <f aca="false">IF(A1685="",1,0)</f>
        <v>0</v>
      </c>
      <c r="U1685" s="9" t="n">
        <f aca="false">IF(D1685="",1,0)</f>
        <v>0</v>
      </c>
      <c r="V1685" s="9" t="n">
        <f aca="false">IF(E1685="",1,0)</f>
        <v>0</v>
      </c>
      <c r="W1685" s="9" t="n">
        <f aca="false">IF(OR(H1685&lt;1,H1685&gt;10),1,0)</f>
        <v>0</v>
      </c>
      <c r="X1685" s="9" t="n">
        <f aca="false">IF(OR(I1685&lt;=0,I1685&gt;1500),1,0)</f>
        <v>0</v>
      </c>
      <c r="Y1685" s="9" t="n">
        <f aca="false">IF(J1685&gt;H1685*I1685,1,0)</f>
        <v>0</v>
      </c>
      <c r="Z1685" s="9" t="n">
        <f aca="false">IF(AND(N1685&lt;&gt;"",OR(N1685&lt;1,N1685&gt;5)),1,0)</f>
        <v>0</v>
      </c>
      <c r="AA1685" s="9" t="n">
        <f aca="false">IF(AND(M1685&lt;&gt;"",OR(M1685&lt;5,M1685&gt;180)),1,0)</f>
        <v>0</v>
      </c>
      <c r="AB1685" s="7" t="str">
        <f aca="false">IF(P1685="DUP","Exact duplicate row",IF(T1685=1,"Missing Order ID",IF(S1685="DROP","Duplicate Order ID (less complete row)",IF(U1685=1,"Missing Customer ID",IF(V1685=1,"Missing Restaurant name",IF(W1685=1,"Invalid/outlier quantity",IF(X1685=1,"Invalid/outlier unit price",IF(Y1685=1,"Discount greater than order value",""))))))))</f>
        <v/>
      </c>
      <c r="AC1685" s="7" t="str">
        <f aca="false">IF(AB1685="","KEEP","DROP")</f>
        <v>KEEP</v>
      </c>
      <c r="AD1685" s="7" t="str">
        <f aca="false">IF(TRIM(F1685)="",IFERROR(INDEX(Map_Tables!$I$4:$I$37,MATCH(TRIM(E1685),Map_Tables!$G$4:$G$37,0)),""),IFERROR(INDEX(Map_Tables!$B$4:$B$18,MATCH(TRIM(F1685),Map_Tables!$A$4:$A$18,0)),"CHECK"))</f>
        <v>Chennai</v>
      </c>
      <c r="AE1685" s="7" t="str">
        <f aca="false">IF(TRIM(E1685)="","",IFERROR(INDEX(Map_Tables!$H$4:$H$37,MATCH(TRIM(E1685),Map_Tables!$G$4:$G$37,0)),"CHECK"))</f>
        <v>Filter Coffee &amp; Tiffin</v>
      </c>
      <c r="AF1685" s="7" t="str">
        <f aca="false">IF(TRIM(K1685)="","Unknown",IFERROR(INDEX(Map_Tables!$E$4:$E$15,MATCH(TRIM(K1685),Map_Tables!$D$4:$D$15,0)),"CHECK"))</f>
        <v>UPI</v>
      </c>
      <c r="AG1685" s="7" t="str">
        <f aca="false">IF(LEFT(LOWER(TRIM(L1685)),6)="cancel","Cancelled","Delivered")</f>
        <v>Delivered</v>
      </c>
      <c r="AH1685" s="10" t="n">
        <f aca="false">IF(ISNUMBER(SEARCH("/",B1685)),DATE(VALUE(RIGHT(B1685,4)),VALUE(MID(B1685,4,2)),VALUE(LEFT(B1685,2))),IF(MID(B1685,5,1)="-",DATE(VALUE(LEFT(B1685,4)),VALUE(MID(B1685,6,2)),VALUE(RIGHT(B1685,2))),DATE(VALUE(RIGHT(B1685,4)),MATCH(MID(B1685,4,3),{"Jan","Feb","Mar","Apr","May","Jun","Jul","Aug","Sep","Oct","Nov","Dec"},0),VALUE(LEFT(B1685,2)))))</f>
        <v>45939</v>
      </c>
    </row>
    <row r="1686" customFormat="false" ht="15" hidden="false" customHeight="false" outlineLevel="0" collapsed="false">
      <c r="A1686" s="7" t="s">
        <v>4243</v>
      </c>
      <c r="B1686" s="7" t="s">
        <v>231</v>
      </c>
      <c r="C1686" s="7" t="s">
        <v>2266</v>
      </c>
      <c r="D1686" s="7" t="s">
        <v>4244</v>
      </c>
      <c r="E1686" s="7" t="s">
        <v>89</v>
      </c>
      <c r="F1686" s="7" t="s">
        <v>85</v>
      </c>
      <c r="G1686" s="7" t="s">
        <v>90</v>
      </c>
      <c r="H1686" s="7" t="n">
        <v>3</v>
      </c>
      <c r="I1686" s="7" t="n">
        <v>260</v>
      </c>
      <c r="J1686" s="7" t="n">
        <v>0</v>
      </c>
      <c r="K1686" s="7" t="s">
        <v>93</v>
      </c>
      <c r="L1686" s="7" t="s">
        <v>194</v>
      </c>
      <c r="M1686" s="7" t="n">
        <v>29</v>
      </c>
      <c r="N1686" s="7" t="n">
        <v>4</v>
      </c>
      <c r="O1686" s="7" t="str">
        <f aca="false">A1686&amp;"|"&amp;B1686&amp;"|"&amp;C1686&amp;"|"&amp;D1686&amp;"|"&amp;E1686&amp;"|"&amp;F1686&amp;"|"&amp;G1686&amp;"|"&amp;H1686&amp;"|"&amp;I1686&amp;"|"&amp;J1686&amp;"|"&amp;K1686&amp;"|"&amp;L1686&amp;"|"&amp;M1686&amp;"|"&amp;N1686</f>
        <v>ORD12713|2025-11-30|11:45|C0356|Spice Junction|bangalore|North Indian|3|260|0|Credit Card|Delivered|29|4</v>
      </c>
      <c r="P1686" s="7" t="str">
        <f aca="false">IF(COUNTIF($O$2:O1686,O1686)&gt;1,"DUP","OK")</f>
        <v>OK</v>
      </c>
      <c r="Q1686" s="7" t="n">
        <f aca="false">COUNTBLANK(A1686:N1686)</f>
        <v>0</v>
      </c>
      <c r="R1686" s="7" t="n">
        <f aca="false">IF(A1686="",0,COUNTIFS($A$2:$A$3058,A1686,$P$2:$P$3058,"OK"))</f>
        <v>1</v>
      </c>
      <c r="S1686" s="7" t="str">
        <f aca="false">IF(OR(A1686="",P1686="DUP",R1686&lt;2),"",IF(Q1686=_xlfn.MINIFS($Q$2:$Q$3058,$A$2:$A$3058,A1686,$P$2:$P$3058,"OK"),"KEEP","DROP"))</f>
        <v/>
      </c>
      <c r="T1686" s="9" t="n">
        <f aca="false">IF(A1686="",1,0)</f>
        <v>0</v>
      </c>
      <c r="U1686" s="9" t="n">
        <f aca="false">IF(D1686="",1,0)</f>
        <v>0</v>
      </c>
      <c r="V1686" s="9" t="n">
        <f aca="false">IF(E1686="",1,0)</f>
        <v>0</v>
      </c>
      <c r="W1686" s="9" t="n">
        <f aca="false">IF(OR(H1686&lt;1,H1686&gt;10),1,0)</f>
        <v>0</v>
      </c>
      <c r="X1686" s="9" t="n">
        <f aca="false">IF(OR(I1686&lt;=0,I1686&gt;1500),1,0)</f>
        <v>0</v>
      </c>
      <c r="Y1686" s="9" t="n">
        <f aca="false">IF(J1686&gt;H1686*I1686,1,0)</f>
        <v>0</v>
      </c>
      <c r="Z1686" s="9" t="n">
        <f aca="false">IF(AND(N1686&lt;&gt;"",OR(N1686&lt;1,N1686&gt;5)),1,0)</f>
        <v>0</v>
      </c>
      <c r="AA1686" s="9" t="n">
        <f aca="false">IF(AND(M1686&lt;&gt;"",OR(M1686&lt;5,M1686&gt;180)),1,0)</f>
        <v>0</v>
      </c>
      <c r="AB1686" s="7" t="str">
        <f aca="false">IF(P1686="DUP","Exact duplicate row",IF(T1686=1,"Missing Order ID",IF(S1686="DROP","Duplicate Order ID (less complete row)",IF(U1686=1,"Missing Customer ID",IF(V1686=1,"Missing Restaurant name",IF(W1686=1,"Invalid/outlier quantity",IF(X1686=1,"Invalid/outlier unit price",IF(Y1686=1,"Discount greater than order value",""))))))))</f>
        <v/>
      </c>
      <c r="AC1686" s="7" t="str">
        <f aca="false">IF(AB1686="","KEEP","DROP")</f>
        <v>KEEP</v>
      </c>
      <c r="AD1686" s="7" t="str">
        <f aca="false">IF(TRIM(F1686)="",IFERROR(INDEX(Map_Tables!$I$4:$I$37,MATCH(TRIM(E1686),Map_Tables!$G$4:$G$37,0)),""),IFERROR(INDEX(Map_Tables!$B$4:$B$18,MATCH(TRIM(F1686),Map_Tables!$A$4:$A$18,0)),"CHECK"))</f>
        <v>Bengaluru</v>
      </c>
      <c r="AE1686" s="7" t="str">
        <f aca="false">IF(TRIM(E1686)="","",IFERROR(INDEX(Map_Tables!$H$4:$H$37,MATCH(TRIM(E1686),Map_Tables!$G$4:$G$37,0)),"CHECK"))</f>
        <v>Spice Junction</v>
      </c>
      <c r="AF1686" s="7" t="str">
        <f aca="false">IF(TRIM(K1686)="","Unknown",IFERROR(INDEX(Map_Tables!$E$4:$E$15,MATCH(TRIM(K1686),Map_Tables!$D$4:$D$15,0)),"CHECK"))</f>
        <v>Credit Card</v>
      </c>
      <c r="AG1686" s="7" t="str">
        <f aca="false">IF(LEFT(LOWER(TRIM(L1686)),6)="cancel","Cancelled","Delivered")</f>
        <v>Delivered</v>
      </c>
      <c r="AH1686" s="10" t="n">
        <f aca="false">IF(ISNUMBER(SEARCH("/",B1686)),DATE(VALUE(RIGHT(B1686,4)),VALUE(MID(B1686,4,2)),VALUE(LEFT(B1686,2))),IF(MID(B1686,5,1)="-",DATE(VALUE(LEFT(B1686,4)),VALUE(MID(B1686,6,2)),VALUE(RIGHT(B1686,2))),DATE(VALUE(RIGHT(B1686,4)),MATCH(MID(B1686,4,3),{"Jan","Feb","Mar","Apr","May","Jun","Jul","Aug","Sep","Oct","Nov","Dec"},0),VALUE(LEFT(B1686,2)))))</f>
        <v>45991</v>
      </c>
    </row>
    <row r="1687" customFormat="false" ht="15" hidden="false" customHeight="false" outlineLevel="0" collapsed="false">
      <c r="A1687" s="7" t="s">
        <v>4245</v>
      </c>
      <c r="B1687" s="7" t="s">
        <v>1972</v>
      </c>
      <c r="C1687" s="7" t="s">
        <v>1643</v>
      </c>
      <c r="D1687" s="7" t="s">
        <v>635</v>
      </c>
      <c r="E1687" s="7" t="s">
        <v>122</v>
      </c>
      <c r="F1687" s="7" t="s">
        <v>1557</v>
      </c>
      <c r="G1687" s="7" t="s">
        <v>123</v>
      </c>
      <c r="H1687" s="7" t="n">
        <v>2</v>
      </c>
      <c r="I1687" s="7" t="n">
        <v>235</v>
      </c>
      <c r="J1687" s="7" t="n">
        <v>125</v>
      </c>
      <c r="K1687" s="7" t="s">
        <v>93</v>
      </c>
      <c r="L1687" s="7" t="s">
        <v>194</v>
      </c>
      <c r="M1687" s="7" t="n">
        <v>56</v>
      </c>
      <c r="N1687" s="7" t="n">
        <v>5</v>
      </c>
      <c r="O1687" s="7" t="str">
        <f aca="false">A1687&amp;"|"&amp;B1687&amp;"|"&amp;C1687&amp;"|"&amp;D1687&amp;"|"&amp;E1687&amp;"|"&amp;F1687&amp;"|"&amp;G1687&amp;"|"&amp;H1687&amp;"|"&amp;I1687&amp;"|"&amp;J1687&amp;"|"&amp;K1687&amp;"|"&amp;L1687&amp;"|"&amp;M1687&amp;"|"&amp;N1687</f>
        <v>ORD12650|2025-11-23|18:31|C0054|Mumbai Pizza Co|Mumbai |Pizza|2|235|125|Credit Card|Delivered|56|5</v>
      </c>
      <c r="P1687" s="7" t="str">
        <f aca="false">IF(COUNTIF($O$2:O1687,O1687)&gt;1,"DUP","OK")</f>
        <v>OK</v>
      </c>
      <c r="Q1687" s="7" t="n">
        <f aca="false">COUNTBLANK(A1687:N1687)</f>
        <v>0</v>
      </c>
      <c r="R1687" s="7" t="n">
        <f aca="false">IF(A1687="",0,COUNTIFS($A$2:$A$3058,A1687,$P$2:$P$3058,"OK"))</f>
        <v>1</v>
      </c>
      <c r="S1687" s="7" t="str">
        <f aca="false">IF(OR(A1687="",P1687="DUP",R1687&lt;2),"",IF(Q1687=_xlfn.MINIFS($Q$2:$Q$3058,$A$2:$A$3058,A1687,$P$2:$P$3058,"OK"),"KEEP","DROP"))</f>
        <v/>
      </c>
      <c r="T1687" s="9" t="n">
        <f aca="false">IF(A1687="",1,0)</f>
        <v>0</v>
      </c>
      <c r="U1687" s="9" t="n">
        <f aca="false">IF(D1687="",1,0)</f>
        <v>0</v>
      </c>
      <c r="V1687" s="9" t="n">
        <f aca="false">IF(E1687="",1,0)</f>
        <v>0</v>
      </c>
      <c r="W1687" s="9" t="n">
        <f aca="false">IF(OR(H1687&lt;1,H1687&gt;10),1,0)</f>
        <v>0</v>
      </c>
      <c r="X1687" s="9" t="n">
        <f aca="false">IF(OR(I1687&lt;=0,I1687&gt;1500),1,0)</f>
        <v>0</v>
      </c>
      <c r="Y1687" s="9" t="n">
        <f aca="false">IF(J1687&gt;H1687*I1687,1,0)</f>
        <v>0</v>
      </c>
      <c r="Z1687" s="9" t="n">
        <f aca="false">IF(AND(N1687&lt;&gt;"",OR(N1687&lt;1,N1687&gt;5)),1,0)</f>
        <v>0</v>
      </c>
      <c r="AA1687" s="9" t="n">
        <f aca="false">IF(AND(M1687&lt;&gt;"",OR(M1687&lt;5,M1687&gt;180)),1,0)</f>
        <v>0</v>
      </c>
      <c r="AB1687" s="7" t="str">
        <f aca="false">IF(P1687="DUP","Exact duplicate row",IF(T1687=1,"Missing Order ID",IF(S1687="DROP","Duplicate Order ID (less complete row)",IF(U1687=1,"Missing Customer ID",IF(V1687=1,"Missing Restaurant name",IF(W1687=1,"Invalid/outlier quantity",IF(X1687=1,"Invalid/outlier unit price",IF(Y1687=1,"Discount greater than order value",""))))))))</f>
        <v/>
      </c>
      <c r="AC1687" s="7" t="str">
        <f aca="false">IF(AB1687="","KEEP","DROP")</f>
        <v>KEEP</v>
      </c>
      <c r="AD1687" s="7" t="str">
        <f aca="false">IF(TRIM(F1687)="",IFERROR(INDEX(Map_Tables!$I$4:$I$37,MATCH(TRIM(E1687),Map_Tables!$G$4:$G$37,0)),""),IFERROR(INDEX(Map_Tables!$B$4:$B$18,MATCH(TRIM(F1687),Map_Tables!$A$4:$A$18,0)),"CHECK"))</f>
        <v>Mumbai</v>
      </c>
      <c r="AE1687" s="7" t="str">
        <f aca="false">IF(TRIM(E1687)="","",IFERROR(INDEX(Map_Tables!$H$4:$H$37,MATCH(TRIM(E1687),Map_Tables!$G$4:$G$37,0)),"CHECK"))</f>
        <v>Mumbai Pizza Co</v>
      </c>
      <c r="AF1687" s="7" t="str">
        <f aca="false">IF(TRIM(K1687)="","Unknown",IFERROR(INDEX(Map_Tables!$E$4:$E$15,MATCH(TRIM(K1687),Map_Tables!$D$4:$D$15,0)),"CHECK"))</f>
        <v>Credit Card</v>
      </c>
      <c r="AG1687" s="7" t="str">
        <f aca="false">IF(LEFT(LOWER(TRIM(L1687)),6)="cancel","Cancelled","Delivered")</f>
        <v>Delivered</v>
      </c>
      <c r="AH1687" s="10" t="n">
        <f aca="false">IF(ISNUMBER(SEARCH("/",B1687)),DATE(VALUE(RIGHT(B1687,4)),VALUE(MID(B1687,4,2)),VALUE(LEFT(B1687,2))),IF(MID(B1687,5,1)="-",DATE(VALUE(LEFT(B1687,4)),VALUE(MID(B1687,6,2)),VALUE(RIGHT(B1687,2))),DATE(VALUE(RIGHT(B1687,4)),MATCH(MID(B1687,4,3),{"Jan","Feb","Mar","Apr","May","Jun","Jul","Aug","Sep","Oct","Nov","Dec"},0),VALUE(LEFT(B1687,2)))))</f>
        <v>45984</v>
      </c>
    </row>
    <row r="1688" customFormat="false" ht="15" hidden="false" customHeight="false" outlineLevel="0" collapsed="false">
      <c r="A1688" s="7" t="s">
        <v>4246</v>
      </c>
      <c r="B1688" s="7" t="s">
        <v>4247</v>
      </c>
      <c r="C1688" s="7" t="s">
        <v>720</v>
      </c>
      <c r="D1688" s="7" t="s">
        <v>4248</v>
      </c>
      <c r="E1688" s="7" t="s">
        <v>168</v>
      </c>
      <c r="F1688" s="7" t="s">
        <v>146</v>
      </c>
      <c r="G1688" s="7" t="s">
        <v>123</v>
      </c>
      <c r="H1688" s="7" t="n">
        <v>2</v>
      </c>
      <c r="I1688" s="7" t="n">
        <v>295</v>
      </c>
      <c r="J1688" s="7" t="n">
        <v>125</v>
      </c>
      <c r="K1688" s="7" t="s">
        <v>103</v>
      </c>
      <c r="L1688" s="7" t="s">
        <v>194</v>
      </c>
      <c r="M1688" s="7" t="n">
        <v>32</v>
      </c>
      <c r="N1688" s="7" t="n">
        <v>5</v>
      </c>
      <c r="O1688" s="7" t="str">
        <f aca="false">A1688&amp;"|"&amp;B1688&amp;"|"&amp;C1688&amp;"|"&amp;D1688&amp;"|"&amp;E1688&amp;"|"&amp;F1688&amp;"|"&amp;G1688&amp;"|"&amp;H1688&amp;"|"&amp;I1688&amp;"|"&amp;J1688&amp;"|"&amp;K1688&amp;"|"&amp;L1688&amp;"|"&amp;M1688&amp;"|"&amp;N1688</f>
        <v>ORD12228|2025-10-10|12:26|C0861|Cheesy Slice|Ahmedabad|Pizza|2|295|125|Debit Card|Delivered|32|5</v>
      </c>
      <c r="P1688" s="7" t="str">
        <f aca="false">IF(COUNTIF($O$2:O1688,O1688)&gt;1,"DUP","OK")</f>
        <v>OK</v>
      </c>
      <c r="Q1688" s="7" t="n">
        <f aca="false">COUNTBLANK(A1688:N1688)</f>
        <v>0</v>
      </c>
      <c r="R1688" s="7" t="n">
        <f aca="false">IF(A1688="",0,COUNTIFS($A$2:$A$3058,A1688,$P$2:$P$3058,"OK"))</f>
        <v>1</v>
      </c>
      <c r="S1688" s="7" t="str">
        <f aca="false">IF(OR(A1688="",P1688="DUP",R1688&lt;2),"",IF(Q1688=_xlfn.MINIFS($Q$2:$Q$3058,$A$2:$A$3058,A1688,$P$2:$P$3058,"OK"),"KEEP","DROP"))</f>
        <v/>
      </c>
      <c r="T1688" s="9" t="n">
        <f aca="false">IF(A1688="",1,0)</f>
        <v>0</v>
      </c>
      <c r="U1688" s="9" t="n">
        <f aca="false">IF(D1688="",1,0)</f>
        <v>0</v>
      </c>
      <c r="V1688" s="9" t="n">
        <f aca="false">IF(E1688="",1,0)</f>
        <v>0</v>
      </c>
      <c r="W1688" s="9" t="n">
        <f aca="false">IF(OR(H1688&lt;1,H1688&gt;10),1,0)</f>
        <v>0</v>
      </c>
      <c r="X1688" s="9" t="n">
        <f aca="false">IF(OR(I1688&lt;=0,I1688&gt;1500),1,0)</f>
        <v>0</v>
      </c>
      <c r="Y1688" s="9" t="n">
        <f aca="false">IF(J1688&gt;H1688*I1688,1,0)</f>
        <v>0</v>
      </c>
      <c r="Z1688" s="9" t="n">
        <f aca="false">IF(AND(N1688&lt;&gt;"",OR(N1688&lt;1,N1688&gt;5)),1,0)</f>
        <v>0</v>
      </c>
      <c r="AA1688" s="9" t="n">
        <f aca="false">IF(AND(M1688&lt;&gt;"",OR(M1688&lt;5,M1688&gt;180)),1,0)</f>
        <v>0</v>
      </c>
      <c r="AB1688" s="7" t="str">
        <f aca="false">IF(P1688="DUP","Exact duplicate row",IF(T1688=1,"Missing Order ID",IF(S1688="DROP","Duplicate Order ID (less complete row)",IF(U1688=1,"Missing Customer ID",IF(V1688=1,"Missing Restaurant name",IF(W1688=1,"Invalid/outlier quantity",IF(X1688=1,"Invalid/outlier unit price",IF(Y1688=1,"Discount greater than order value",""))))))))</f>
        <v/>
      </c>
      <c r="AC1688" s="7" t="str">
        <f aca="false">IF(AB1688="","KEEP","DROP")</f>
        <v>KEEP</v>
      </c>
      <c r="AD1688" s="7" t="str">
        <f aca="false">IF(TRIM(F1688)="",IFERROR(INDEX(Map_Tables!$I$4:$I$37,MATCH(TRIM(E1688),Map_Tables!$G$4:$G$37,0)),""),IFERROR(INDEX(Map_Tables!$B$4:$B$18,MATCH(TRIM(F1688),Map_Tables!$A$4:$A$18,0)),"CHECK"))</f>
        <v>Ahmedabad</v>
      </c>
      <c r="AE1688" s="7" t="str">
        <f aca="false">IF(TRIM(E1688)="","",IFERROR(INDEX(Map_Tables!$H$4:$H$37,MATCH(TRIM(E1688),Map_Tables!$G$4:$G$37,0)),"CHECK"))</f>
        <v>Cheesy Slice</v>
      </c>
      <c r="AF1688" s="7" t="str">
        <f aca="false">IF(TRIM(K1688)="","Unknown",IFERROR(INDEX(Map_Tables!$E$4:$E$15,MATCH(TRIM(K1688),Map_Tables!$D$4:$D$15,0)),"CHECK"))</f>
        <v>Debit Card</v>
      </c>
      <c r="AG1688" s="7" t="str">
        <f aca="false">IF(LEFT(LOWER(TRIM(L1688)),6)="cancel","Cancelled","Delivered")</f>
        <v>Delivered</v>
      </c>
      <c r="AH1688" s="10" t="n">
        <f aca="false">IF(ISNUMBER(SEARCH("/",B1688)),DATE(VALUE(RIGHT(B1688,4)),VALUE(MID(B1688,4,2)),VALUE(LEFT(B1688,2))),IF(MID(B1688,5,1)="-",DATE(VALUE(LEFT(B1688,4)),VALUE(MID(B1688,6,2)),VALUE(RIGHT(B1688,2))),DATE(VALUE(RIGHT(B1688,4)),MATCH(MID(B1688,4,3),{"Jan","Feb","Mar","Apr","May","Jun","Jul","Aug","Sep","Oct","Nov","Dec"},0),VALUE(LEFT(B1688,2)))))</f>
        <v>45940</v>
      </c>
    </row>
    <row r="1689" customFormat="false" ht="15" hidden="false" customHeight="false" outlineLevel="0" collapsed="false">
      <c r="A1689" s="7" t="s">
        <v>4249</v>
      </c>
      <c r="B1689" s="7" t="s">
        <v>849</v>
      </c>
      <c r="C1689" s="7" t="s">
        <v>1412</v>
      </c>
      <c r="D1689" s="7" t="s">
        <v>4250</v>
      </c>
      <c r="E1689" s="7" t="s">
        <v>130</v>
      </c>
      <c r="F1689" s="7" t="s">
        <v>110</v>
      </c>
      <c r="G1689" s="7" t="s">
        <v>90</v>
      </c>
      <c r="H1689" s="7" t="n">
        <v>1</v>
      </c>
      <c r="I1689" s="7" t="n">
        <v>285</v>
      </c>
      <c r="J1689" s="7" t="n">
        <v>100</v>
      </c>
      <c r="K1689" s="7" t="s">
        <v>88</v>
      </c>
      <c r="L1689" s="7" t="s">
        <v>194</v>
      </c>
      <c r="M1689" s="7" t="n">
        <v>48</v>
      </c>
      <c r="N1689" s="7" t="n">
        <v>5</v>
      </c>
      <c r="O1689" s="7" t="str">
        <f aca="false">A1689&amp;"|"&amp;B1689&amp;"|"&amp;C1689&amp;"|"&amp;D1689&amp;"|"&amp;E1689&amp;"|"&amp;F1689&amp;"|"&amp;G1689&amp;"|"&amp;H1689&amp;"|"&amp;I1689&amp;"|"&amp;J1689&amp;"|"&amp;K1689&amp;"|"&amp;L1689&amp;"|"&amp;M1689&amp;"|"&amp;N1689</f>
        <v>ORD12848|2025-12-14|22:25|C0079|Tandoor Tales|Delhi|North Indian|1|285|100|UPI|Delivered|48|5</v>
      </c>
      <c r="P1689" s="7" t="str">
        <f aca="false">IF(COUNTIF($O$2:O1689,O1689)&gt;1,"DUP","OK")</f>
        <v>OK</v>
      </c>
      <c r="Q1689" s="7" t="n">
        <f aca="false">COUNTBLANK(A1689:N1689)</f>
        <v>0</v>
      </c>
      <c r="R1689" s="7" t="n">
        <f aca="false">IF(A1689="",0,COUNTIFS($A$2:$A$3058,A1689,$P$2:$P$3058,"OK"))</f>
        <v>1</v>
      </c>
      <c r="S1689" s="7" t="str">
        <f aca="false">IF(OR(A1689="",P1689="DUP",R1689&lt;2),"",IF(Q1689=_xlfn.MINIFS($Q$2:$Q$3058,$A$2:$A$3058,A1689,$P$2:$P$3058,"OK"),"KEEP","DROP"))</f>
        <v/>
      </c>
      <c r="T1689" s="9" t="n">
        <f aca="false">IF(A1689="",1,0)</f>
        <v>0</v>
      </c>
      <c r="U1689" s="9" t="n">
        <f aca="false">IF(D1689="",1,0)</f>
        <v>0</v>
      </c>
      <c r="V1689" s="9" t="n">
        <f aca="false">IF(E1689="",1,0)</f>
        <v>0</v>
      </c>
      <c r="W1689" s="9" t="n">
        <f aca="false">IF(OR(H1689&lt;1,H1689&gt;10),1,0)</f>
        <v>0</v>
      </c>
      <c r="X1689" s="9" t="n">
        <f aca="false">IF(OR(I1689&lt;=0,I1689&gt;1500),1,0)</f>
        <v>0</v>
      </c>
      <c r="Y1689" s="9" t="n">
        <f aca="false">IF(J1689&gt;H1689*I1689,1,0)</f>
        <v>0</v>
      </c>
      <c r="Z1689" s="9" t="n">
        <f aca="false">IF(AND(N1689&lt;&gt;"",OR(N1689&lt;1,N1689&gt;5)),1,0)</f>
        <v>0</v>
      </c>
      <c r="AA1689" s="9" t="n">
        <f aca="false">IF(AND(M1689&lt;&gt;"",OR(M1689&lt;5,M1689&gt;180)),1,0)</f>
        <v>0</v>
      </c>
      <c r="AB1689" s="7" t="str">
        <f aca="false">IF(P1689="DUP","Exact duplicate row",IF(T1689=1,"Missing Order ID",IF(S1689="DROP","Duplicate Order ID (less complete row)",IF(U1689=1,"Missing Customer ID",IF(V1689=1,"Missing Restaurant name",IF(W1689=1,"Invalid/outlier quantity",IF(X1689=1,"Invalid/outlier unit price",IF(Y1689=1,"Discount greater than order value",""))))))))</f>
        <v/>
      </c>
      <c r="AC1689" s="7" t="str">
        <f aca="false">IF(AB1689="","KEEP","DROP")</f>
        <v>KEEP</v>
      </c>
      <c r="AD1689" s="7" t="str">
        <f aca="false">IF(TRIM(F1689)="",IFERROR(INDEX(Map_Tables!$I$4:$I$37,MATCH(TRIM(E1689),Map_Tables!$G$4:$G$37,0)),""),IFERROR(INDEX(Map_Tables!$B$4:$B$18,MATCH(TRIM(F1689),Map_Tables!$A$4:$A$18,0)),"CHECK"))</f>
        <v>Delhi</v>
      </c>
      <c r="AE1689" s="7" t="str">
        <f aca="false">IF(TRIM(E1689)="","",IFERROR(INDEX(Map_Tables!$H$4:$H$37,MATCH(TRIM(E1689),Map_Tables!$G$4:$G$37,0)),"CHECK"))</f>
        <v>Tandoor Tales</v>
      </c>
      <c r="AF1689" s="7" t="str">
        <f aca="false">IF(TRIM(K1689)="","Unknown",IFERROR(INDEX(Map_Tables!$E$4:$E$15,MATCH(TRIM(K1689),Map_Tables!$D$4:$D$15,0)),"CHECK"))</f>
        <v>UPI</v>
      </c>
      <c r="AG1689" s="7" t="str">
        <f aca="false">IF(LEFT(LOWER(TRIM(L1689)),6)="cancel","Cancelled","Delivered")</f>
        <v>Delivered</v>
      </c>
      <c r="AH1689" s="10" t="n">
        <f aca="false">IF(ISNUMBER(SEARCH("/",B1689)),DATE(VALUE(RIGHT(B1689,4)),VALUE(MID(B1689,4,2)),VALUE(LEFT(B1689,2))),IF(MID(B1689,5,1)="-",DATE(VALUE(LEFT(B1689,4)),VALUE(MID(B1689,6,2)),VALUE(RIGHT(B1689,2))),DATE(VALUE(RIGHT(B1689,4)),MATCH(MID(B1689,4,3),{"Jan","Feb","Mar","Apr","May","Jun","Jul","Aug","Sep","Oct","Nov","Dec"},0),VALUE(LEFT(B1689,2)))))</f>
        <v>46005</v>
      </c>
    </row>
    <row r="1690" customFormat="false" ht="15" hidden="false" customHeight="false" outlineLevel="0" collapsed="false">
      <c r="A1690" s="7" t="s">
        <v>4251</v>
      </c>
      <c r="B1690" s="7" t="s">
        <v>2535</v>
      </c>
      <c r="C1690" s="7" t="s">
        <v>651</v>
      </c>
      <c r="D1690" s="7" t="s">
        <v>328</v>
      </c>
      <c r="E1690" s="7" t="s">
        <v>1862</v>
      </c>
      <c r="F1690" s="7" t="s">
        <v>86</v>
      </c>
      <c r="G1690" s="7" t="s">
        <v>90</v>
      </c>
      <c r="H1690" s="7" t="n">
        <v>1</v>
      </c>
      <c r="I1690" s="7" t="n">
        <v>220</v>
      </c>
      <c r="J1690" s="7" t="n">
        <v>0</v>
      </c>
      <c r="K1690" s="7" t="s">
        <v>93</v>
      </c>
      <c r="L1690" s="7" t="s">
        <v>194</v>
      </c>
      <c r="M1690" s="7" t="n">
        <v>45</v>
      </c>
      <c r="N1690" s="7" t="n">
        <v>4</v>
      </c>
      <c r="O1690" s="7" t="str">
        <f aca="false">A1690&amp;"|"&amp;B1690&amp;"|"&amp;C1690&amp;"|"&amp;D1690&amp;"|"&amp;E1690&amp;"|"&amp;F1690&amp;"|"&amp;G1690&amp;"|"&amp;H1690&amp;"|"&amp;I1690&amp;"|"&amp;J1690&amp;"|"&amp;K1690&amp;"|"&amp;L1690&amp;"|"&amp;M1690&amp;"|"&amp;N1690</f>
        <v>ORD10924|2025-04-27|12:53|C0516|Spice Junction |Bengaluru|North Indian|1|220|0|Credit Card|Delivered|45|4</v>
      </c>
      <c r="P1690" s="7" t="str">
        <f aca="false">IF(COUNTIF($O$2:O1690,O1690)&gt;1,"DUP","OK")</f>
        <v>OK</v>
      </c>
      <c r="Q1690" s="7" t="n">
        <f aca="false">COUNTBLANK(A1690:N1690)</f>
        <v>0</v>
      </c>
      <c r="R1690" s="7" t="n">
        <f aca="false">IF(A1690="",0,COUNTIFS($A$2:$A$3058,A1690,$P$2:$P$3058,"OK"))</f>
        <v>1</v>
      </c>
      <c r="S1690" s="7" t="str">
        <f aca="false">IF(OR(A1690="",P1690="DUP",R1690&lt;2),"",IF(Q1690=_xlfn.MINIFS($Q$2:$Q$3058,$A$2:$A$3058,A1690,$P$2:$P$3058,"OK"),"KEEP","DROP"))</f>
        <v/>
      </c>
      <c r="T1690" s="9" t="n">
        <f aca="false">IF(A1690="",1,0)</f>
        <v>0</v>
      </c>
      <c r="U1690" s="9" t="n">
        <f aca="false">IF(D1690="",1,0)</f>
        <v>0</v>
      </c>
      <c r="V1690" s="9" t="n">
        <f aca="false">IF(E1690="",1,0)</f>
        <v>0</v>
      </c>
      <c r="W1690" s="9" t="n">
        <f aca="false">IF(OR(H1690&lt;1,H1690&gt;10),1,0)</f>
        <v>0</v>
      </c>
      <c r="X1690" s="9" t="n">
        <f aca="false">IF(OR(I1690&lt;=0,I1690&gt;1500),1,0)</f>
        <v>0</v>
      </c>
      <c r="Y1690" s="9" t="n">
        <f aca="false">IF(J1690&gt;H1690*I1690,1,0)</f>
        <v>0</v>
      </c>
      <c r="Z1690" s="9" t="n">
        <f aca="false">IF(AND(N1690&lt;&gt;"",OR(N1690&lt;1,N1690&gt;5)),1,0)</f>
        <v>0</v>
      </c>
      <c r="AA1690" s="9" t="n">
        <f aca="false">IF(AND(M1690&lt;&gt;"",OR(M1690&lt;5,M1690&gt;180)),1,0)</f>
        <v>0</v>
      </c>
      <c r="AB1690" s="7" t="str">
        <f aca="false">IF(P1690="DUP","Exact duplicate row",IF(T1690=1,"Missing Order ID",IF(S1690="DROP","Duplicate Order ID (less complete row)",IF(U1690=1,"Missing Customer ID",IF(V1690=1,"Missing Restaurant name",IF(W1690=1,"Invalid/outlier quantity",IF(X1690=1,"Invalid/outlier unit price",IF(Y1690=1,"Discount greater than order value",""))))))))</f>
        <v/>
      </c>
      <c r="AC1690" s="7" t="str">
        <f aca="false">IF(AB1690="","KEEP","DROP")</f>
        <v>KEEP</v>
      </c>
      <c r="AD1690" s="7" t="str">
        <f aca="false">IF(TRIM(F1690)="",IFERROR(INDEX(Map_Tables!$I$4:$I$37,MATCH(TRIM(E1690),Map_Tables!$G$4:$G$37,0)),""),IFERROR(INDEX(Map_Tables!$B$4:$B$18,MATCH(TRIM(F1690),Map_Tables!$A$4:$A$18,0)),"CHECK"))</f>
        <v>Bengaluru</v>
      </c>
      <c r="AE1690" s="7" t="str">
        <f aca="false">IF(TRIM(E1690)="","",IFERROR(INDEX(Map_Tables!$H$4:$H$37,MATCH(TRIM(E1690),Map_Tables!$G$4:$G$37,0)),"CHECK"))</f>
        <v>Spice Junction</v>
      </c>
      <c r="AF1690" s="7" t="str">
        <f aca="false">IF(TRIM(K1690)="","Unknown",IFERROR(INDEX(Map_Tables!$E$4:$E$15,MATCH(TRIM(K1690),Map_Tables!$D$4:$D$15,0)),"CHECK"))</f>
        <v>Credit Card</v>
      </c>
      <c r="AG1690" s="7" t="str">
        <f aca="false">IF(LEFT(LOWER(TRIM(L1690)),6)="cancel","Cancelled","Delivered")</f>
        <v>Delivered</v>
      </c>
      <c r="AH1690" s="10" t="n">
        <f aca="false">IF(ISNUMBER(SEARCH("/",B1690)),DATE(VALUE(RIGHT(B1690,4)),VALUE(MID(B1690,4,2)),VALUE(LEFT(B1690,2))),IF(MID(B1690,5,1)="-",DATE(VALUE(LEFT(B1690,4)),VALUE(MID(B1690,6,2)),VALUE(RIGHT(B1690,2))),DATE(VALUE(RIGHT(B1690,4)),MATCH(MID(B1690,4,3),{"Jan","Feb","Mar","Apr","May","Jun","Jul","Aug","Sep","Oct","Nov","Dec"},0),VALUE(LEFT(B1690,2)))))</f>
        <v>45774</v>
      </c>
    </row>
    <row r="1691" customFormat="false" ht="15" hidden="false" customHeight="false" outlineLevel="0" collapsed="false">
      <c r="A1691" s="7" t="s">
        <v>4252</v>
      </c>
      <c r="B1691" s="7" t="s">
        <v>360</v>
      </c>
      <c r="C1691" s="7" t="s">
        <v>4253</v>
      </c>
      <c r="D1691" s="7" t="s">
        <v>1470</v>
      </c>
      <c r="E1691" s="7" t="s">
        <v>164</v>
      </c>
      <c r="F1691" s="7" t="s">
        <v>140</v>
      </c>
      <c r="G1691" s="7" t="s">
        <v>150</v>
      </c>
      <c r="H1691" s="7" t="n">
        <v>2</v>
      </c>
      <c r="I1691" s="7" t="n">
        <v>150</v>
      </c>
      <c r="J1691" s="7" t="n">
        <v>0</v>
      </c>
      <c r="K1691" s="7" t="s">
        <v>121</v>
      </c>
      <c r="L1691" s="7" t="s">
        <v>194</v>
      </c>
      <c r="M1691" s="7" t="n">
        <v>39</v>
      </c>
      <c r="N1691" s="7" t="n">
        <v>4</v>
      </c>
      <c r="O1691" s="7" t="str">
        <f aca="false">A1691&amp;"|"&amp;B1691&amp;"|"&amp;C1691&amp;"|"&amp;D1691&amp;"|"&amp;E1691&amp;"|"&amp;F1691&amp;"|"&amp;G1691&amp;"|"&amp;H1691&amp;"|"&amp;I1691&amp;"|"&amp;J1691&amp;"|"&amp;K1691&amp;"|"&amp;L1691&amp;"|"&amp;M1691&amp;"|"&amp;N1691</f>
        <v>ORD10723|2025-04-02|16:31|C1068|Mishti Mandir|kolkata|Desserts|2|150|0|Wallet|Delivered|39|4</v>
      </c>
      <c r="P1691" s="7" t="str">
        <f aca="false">IF(COUNTIF($O$2:O1691,O1691)&gt;1,"DUP","OK")</f>
        <v>OK</v>
      </c>
      <c r="Q1691" s="7" t="n">
        <f aca="false">COUNTBLANK(A1691:N1691)</f>
        <v>0</v>
      </c>
      <c r="R1691" s="7" t="n">
        <f aca="false">IF(A1691="",0,COUNTIFS($A$2:$A$3058,A1691,$P$2:$P$3058,"OK"))</f>
        <v>1</v>
      </c>
      <c r="S1691" s="7" t="str">
        <f aca="false">IF(OR(A1691="",P1691="DUP",R1691&lt;2),"",IF(Q1691=_xlfn.MINIFS($Q$2:$Q$3058,$A$2:$A$3058,A1691,$P$2:$P$3058,"OK"),"KEEP","DROP"))</f>
        <v/>
      </c>
      <c r="T1691" s="9" t="n">
        <f aca="false">IF(A1691="",1,0)</f>
        <v>0</v>
      </c>
      <c r="U1691" s="9" t="n">
        <f aca="false">IF(D1691="",1,0)</f>
        <v>0</v>
      </c>
      <c r="V1691" s="9" t="n">
        <f aca="false">IF(E1691="",1,0)</f>
        <v>0</v>
      </c>
      <c r="W1691" s="9" t="n">
        <f aca="false">IF(OR(H1691&lt;1,H1691&gt;10),1,0)</f>
        <v>0</v>
      </c>
      <c r="X1691" s="9" t="n">
        <f aca="false">IF(OR(I1691&lt;=0,I1691&gt;1500),1,0)</f>
        <v>0</v>
      </c>
      <c r="Y1691" s="9" t="n">
        <f aca="false">IF(J1691&gt;H1691*I1691,1,0)</f>
        <v>0</v>
      </c>
      <c r="Z1691" s="9" t="n">
        <f aca="false">IF(AND(N1691&lt;&gt;"",OR(N1691&lt;1,N1691&gt;5)),1,0)</f>
        <v>0</v>
      </c>
      <c r="AA1691" s="9" t="n">
        <f aca="false">IF(AND(M1691&lt;&gt;"",OR(M1691&lt;5,M1691&gt;180)),1,0)</f>
        <v>0</v>
      </c>
      <c r="AB1691" s="7" t="str">
        <f aca="false">IF(P1691="DUP","Exact duplicate row",IF(T1691=1,"Missing Order ID",IF(S1691="DROP","Duplicate Order ID (less complete row)",IF(U1691=1,"Missing Customer ID",IF(V1691=1,"Missing Restaurant name",IF(W1691=1,"Invalid/outlier quantity",IF(X1691=1,"Invalid/outlier unit price",IF(Y1691=1,"Discount greater than order value",""))))))))</f>
        <v/>
      </c>
      <c r="AC1691" s="7" t="str">
        <f aca="false">IF(AB1691="","KEEP","DROP")</f>
        <v>KEEP</v>
      </c>
      <c r="AD1691" s="7" t="str">
        <f aca="false">IF(TRIM(F1691)="",IFERROR(INDEX(Map_Tables!$I$4:$I$37,MATCH(TRIM(E1691),Map_Tables!$G$4:$G$37,0)),""),IFERROR(INDEX(Map_Tables!$B$4:$B$18,MATCH(TRIM(F1691),Map_Tables!$A$4:$A$18,0)),"CHECK"))</f>
        <v>Kolkata</v>
      </c>
      <c r="AE1691" s="7" t="str">
        <f aca="false">IF(TRIM(E1691)="","",IFERROR(INDEX(Map_Tables!$H$4:$H$37,MATCH(TRIM(E1691),Map_Tables!$G$4:$G$37,0)),"CHECK"))</f>
        <v>Mishti Mandir</v>
      </c>
      <c r="AF1691" s="7" t="str">
        <f aca="false">IF(TRIM(K1691)="","Unknown",IFERROR(INDEX(Map_Tables!$E$4:$E$15,MATCH(TRIM(K1691),Map_Tables!$D$4:$D$15,0)),"CHECK"))</f>
        <v>Wallet</v>
      </c>
      <c r="AG1691" s="7" t="str">
        <f aca="false">IF(LEFT(LOWER(TRIM(L1691)),6)="cancel","Cancelled","Delivered")</f>
        <v>Delivered</v>
      </c>
      <c r="AH1691" s="10" t="n">
        <f aca="false">IF(ISNUMBER(SEARCH("/",B1691)),DATE(VALUE(RIGHT(B1691,4)),VALUE(MID(B1691,4,2)),VALUE(LEFT(B1691,2))),IF(MID(B1691,5,1)="-",DATE(VALUE(LEFT(B1691,4)),VALUE(MID(B1691,6,2)),VALUE(RIGHT(B1691,2))),DATE(VALUE(RIGHT(B1691,4)),MATCH(MID(B1691,4,3),{"Jan","Feb","Mar","Apr","May","Jun","Jul","Aug","Sep","Oct","Nov","Dec"},0),VALUE(LEFT(B1691,2)))))</f>
        <v>45749</v>
      </c>
    </row>
    <row r="1692" customFormat="false" ht="15" hidden="false" customHeight="false" outlineLevel="0" collapsed="false">
      <c r="A1692" s="7" t="s">
        <v>4254</v>
      </c>
      <c r="B1692" s="7" t="s">
        <v>1714</v>
      </c>
      <c r="C1692" s="7" t="s">
        <v>4255</v>
      </c>
      <c r="D1692" s="7" t="s">
        <v>617</v>
      </c>
      <c r="E1692" s="7" t="s">
        <v>113</v>
      </c>
      <c r="F1692" s="7" t="s">
        <v>101</v>
      </c>
      <c r="G1692" s="7" t="s">
        <v>90</v>
      </c>
      <c r="H1692" s="7" t="n">
        <v>2</v>
      </c>
      <c r="I1692" s="7" t="n">
        <v>245</v>
      </c>
      <c r="J1692" s="7" t="n">
        <v>20</v>
      </c>
      <c r="K1692" s="7" t="s">
        <v>103</v>
      </c>
      <c r="L1692" s="7" t="s">
        <v>194</v>
      </c>
      <c r="M1692" s="7" t="n">
        <v>47</v>
      </c>
      <c r="N1692" s="7" t="n">
        <v>4</v>
      </c>
      <c r="O1692" s="7" t="str">
        <f aca="false">A1692&amp;"|"&amp;B1692&amp;"|"&amp;C1692&amp;"|"&amp;D1692&amp;"|"&amp;E1692&amp;"|"&amp;F1692&amp;"|"&amp;G1692&amp;"|"&amp;H1692&amp;"|"&amp;I1692&amp;"|"&amp;J1692&amp;"|"&amp;K1692&amp;"|"&amp;L1692&amp;"|"&amp;M1692&amp;"|"&amp;N1692</f>
        <v>ORD10060|2025-01-09|15:08|C1240|Curry Leaf Kitchen|Mumbai|North Indian|2|245|20|Debit Card|Delivered|47|4</v>
      </c>
      <c r="P1692" s="7" t="str">
        <f aca="false">IF(COUNTIF($O$2:O1692,O1692)&gt;1,"DUP","OK")</f>
        <v>OK</v>
      </c>
      <c r="Q1692" s="7" t="n">
        <f aca="false">COUNTBLANK(A1692:N1692)</f>
        <v>0</v>
      </c>
      <c r="R1692" s="7" t="n">
        <f aca="false">IF(A1692="",0,COUNTIFS($A$2:$A$3058,A1692,$P$2:$P$3058,"OK"))</f>
        <v>1</v>
      </c>
      <c r="S1692" s="7" t="str">
        <f aca="false">IF(OR(A1692="",P1692="DUP",R1692&lt;2),"",IF(Q1692=_xlfn.MINIFS($Q$2:$Q$3058,$A$2:$A$3058,A1692,$P$2:$P$3058,"OK"),"KEEP","DROP"))</f>
        <v/>
      </c>
      <c r="T1692" s="9" t="n">
        <f aca="false">IF(A1692="",1,0)</f>
        <v>0</v>
      </c>
      <c r="U1692" s="9" t="n">
        <f aca="false">IF(D1692="",1,0)</f>
        <v>0</v>
      </c>
      <c r="V1692" s="9" t="n">
        <f aca="false">IF(E1692="",1,0)</f>
        <v>0</v>
      </c>
      <c r="W1692" s="9" t="n">
        <f aca="false">IF(OR(H1692&lt;1,H1692&gt;10),1,0)</f>
        <v>0</v>
      </c>
      <c r="X1692" s="9" t="n">
        <f aca="false">IF(OR(I1692&lt;=0,I1692&gt;1500),1,0)</f>
        <v>0</v>
      </c>
      <c r="Y1692" s="9" t="n">
        <f aca="false">IF(J1692&gt;H1692*I1692,1,0)</f>
        <v>0</v>
      </c>
      <c r="Z1692" s="9" t="n">
        <f aca="false">IF(AND(N1692&lt;&gt;"",OR(N1692&lt;1,N1692&gt;5)),1,0)</f>
        <v>0</v>
      </c>
      <c r="AA1692" s="9" t="n">
        <f aca="false">IF(AND(M1692&lt;&gt;"",OR(M1692&lt;5,M1692&gt;180)),1,0)</f>
        <v>0</v>
      </c>
      <c r="AB1692" s="7" t="str">
        <f aca="false">IF(P1692="DUP","Exact duplicate row",IF(T1692=1,"Missing Order ID",IF(S1692="DROP","Duplicate Order ID (less complete row)",IF(U1692=1,"Missing Customer ID",IF(V1692=1,"Missing Restaurant name",IF(W1692=1,"Invalid/outlier quantity",IF(X1692=1,"Invalid/outlier unit price",IF(Y1692=1,"Discount greater than order value",""))))))))</f>
        <v/>
      </c>
      <c r="AC1692" s="7" t="str">
        <f aca="false">IF(AB1692="","KEEP","DROP")</f>
        <v>KEEP</v>
      </c>
      <c r="AD1692" s="7" t="str">
        <f aca="false">IF(TRIM(F1692)="",IFERROR(INDEX(Map_Tables!$I$4:$I$37,MATCH(TRIM(E1692),Map_Tables!$G$4:$G$37,0)),""),IFERROR(INDEX(Map_Tables!$B$4:$B$18,MATCH(TRIM(F1692),Map_Tables!$A$4:$A$18,0)),"CHECK"))</f>
        <v>Mumbai</v>
      </c>
      <c r="AE1692" s="7" t="str">
        <f aca="false">IF(TRIM(E1692)="","",IFERROR(INDEX(Map_Tables!$H$4:$H$37,MATCH(TRIM(E1692),Map_Tables!$G$4:$G$37,0)),"CHECK"))</f>
        <v>Curry Leaf Kitchen</v>
      </c>
      <c r="AF1692" s="7" t="str">
        <f aca="false">IF(TRIM(K1692)="","Unknown",IFERROR(INDEX(Map_Tables!$E$4:$E$15,MATCH(TRIM(K1692),Map_Tables!$D$4:$D$15,0)),"CHECK"))</f>
        <v>Debit Card</v>
      </c>
      <c r="AG1692" s="7" t="str">
        <f aca="false">IF(LEFT(LOWER(TRIM(L1692)),6)="cancel","Cancelled","Delivered")</f>
        <v>Delivered</v>
      </c>
      <c r="AH1692" s="10" t="n">
        <f aca="false">IF(ISNUMBER(SEARCH("/",B1692)),DATE(VALUE(RIGHT(B1692,4)),VALUE(MID(B1692,4,2)),VALUE(LEFT(B1692,2))),IF(MID(B1692,5,1)="-",DATE(VALUE(LEFT(B1692,4)),VALUE(MID(B1692,6,2)),VALUE(RIGHT(B1692,2))),DATE(VALUE(RIGHT(B1692,4)),MATCH(MID(B1692,4,3),{"Jan","Feb","Mar","Apr","May","Jun","Jul","Aug","Sep","Oct","Nov","Dec"},0),VALUE(LEFT(B1692,2)))))</f>
        <v>45666</v>
      </c>
    </row>
    <row r="1693" customFormat="false" ht="15" hidden="false" customHeight="false" outlineLevel="0" collapsed="false">
      <c r="A1693" s="7" t="s">
        <v>4256</v>
      </c>
      <c r="B1693" s="7" t="s">
        <v>2501</v>
      </c>
      <c r="C1693" s="7" t="s">
        <v>1011</v>
      </c>
      <c r="D1693" s="7" t="s">
        <v>784</v>
      </c>
      <c r="E1693" s="7" t="s">
        <v>148</v>
      </c>
      <c r="F1693" s="7" t="s">
        <v>118</v>
      </c>
      <c r="G1693" s="7" t="s">
        <v>123</v>
      </c>
      <c r="H1693" s="7" t="n">
        <v>1</v>
      </c>
      <c r="I1693" s="7" t="n">
        <v>375</v>
      </c>
      <c r="J1693" s="7" t="n">
        <v>30</v>
      </c>
      <c r="K1693" s="7" t="s">
        <v>88</v>
      </c>
      <c r="L1693" s="7" t="s">
        <v>194</v>
      </c>
      <c r="M1693" s="7" t="n">
        <v>26</v>
      </c>
      <c r="N1693" s="7" t="n">
        <v>5</v>
      </c>
      <c r="O1693" s="7" t="str">
        <f aca="false">A1693&amp;"|"&amp;B1693&amp;"|"&amp;C1693&amp;"|"&amp;D1693&amp;"|"&amp;E1693&amp;"|"&amp;F1693&amp;"|"&amp;G1693&amp;"|"&amp;H1693&amp;"|"&amp;I1693&amp;"|"&amp;J1693&amp;"|"&amp;K1693&amp;"|"&amp;L1693&amp;"|"&amp;M1693&amp;"|"&amp;N1693</f>
        <v>ORD12246|2025-10-12|17:29|C0674|Pizza Palace|hyderabad|Pizza|1|375|30|UPI|Delivered|26|5</v>
      </c>
      <c r="P1693" s="7" t="str">
        <f aca="false">IF(COUNTIF($O$2:O1693,O1693)&gt;1,"DUP","OK")</f>
        <v>OK</v>
      </c>
      <c r="Q1693" s="7" t="n">
        <f aca="false">COUNTBLANK(A1693:N1693)</f>
        <v>0</v>
      </c>
      <c r="R1693" s="7" t="n">
        <f aca="false">IF(A1693="",0,COUNTIFS($A$2:$A$3058,A1693,$P$2:$P$3058,"OK"))</f>
        <v>1</v>
      </c>
      <c r="S1693" s="7" t="str">
        <f aca="false">IF(OR(A1693="",P1693="DUP",R1693&lt;2),"",IF(Q1693=_xlfn.MINIFS($Q$2:$Q$3058,$A$2:$A$3058,A1693,$P$2:$P$3058,"OK"),"KEEP","DROP"))</f>
        <v/>
      </c>
      <c r="T1693" s="9" t="n">
        <f aca="false">IF(A1693="",1,0)</f>
        <v>0</v>
      </c>
      <c r="U1693" s="9" t="n">
        <f aca="false">IF(D1693="",1,0)</f>
        <v>0</v>
      </c>
      <c r="V1693" s="9" t="n">
        <f aca="false">IF(E1693="",1,0)</f>
        <v>0</v>
      </c>
      <c r="W1693" s="9" t="n">
        <f aca="false">IF(OR(H1693&lt;1,H1693&gt;10),1,0)</f>
        <v>0</v>
      </c>
      <c r="X1693" s="9" t="n">
        <f aca="false">IF(OR(I1693&lt;=0,I1693&gt;1500),1,0)</f>
        <v>0</v>
      </c>
      <c r="Y1693" s="9" t="n">
        <f aca="false">IF(J1693&gt;H1693*I1693,1,0)</f>
        <v>0</v>
      </c>
      <c r="Z1693" s="9" t="n">
        <f aca="false">IF(AND(N1693&lt;&gt;"",OR(N1693&lt;1,N1693&gt;5)),1,0)</f>
        <v>0</v>
      </c>
      <c r="AA1693" s="9" t="n">
        <f aca="false">IF(AND(M1693&lt;&gt;"",OR(M1693&lt;5,M1693&gt;180)),1,0)</f>
        <v>0</v>
      </c>
      <c r="AB1693" s="7" t="str">
        <f aca="false">IF(P1693="DUP","Exact duplicate row",IF(T1693=1,"Missing Order ID",IF(S1693="DROP","Duplicate Order ID (less complete row)",IF(U1693=1,"Missing Customer ID",IF(V1693=1,"Missing Restaurant name",IF(W1693=1,"Invalid/outlier quantity",IF(X1693=1,"Invalid/outlier unit price",IF(Y1693=1,"Discount greater than order value",""))))))))</f>
        <v/>
      </c>
      <c r="AC1693" s="7" t="str">
        <f aca="false">IF(AB1693="","KEEP","DROP")</f>
        <v>KEEP</v>
      </c>
      <c r="AD1693" s="7" t="str">
        <f aca="false">IF(TRIM(F1693)="",IFERROR(INDEX(Map_Tables!$I$4:$I$37,MATCH(TRIM(E1693),Map_Tables!$G$4:$G$37,0)),""),IFERROR(INDEX(Map_Tables!$B$4:$B$18,MATCH(TRIM(F1693),Map_Tables!$A$4:$A$18,0)),"CHECK"))</f>
        <v>Hyderabad</v>
      </c>
      <c r="AE1693" s="7" t="str">
        <f aca="false">IF(TRIM(E1693)="","",IFERROR(INDEX(Map_Tables!$H$4:$H$37,MATCH(TRIM(E1693),Map_Tables!$G$4:$G$37,0)),"CHECK"))</f>
        <v>Pizza Palace</v>
      </c>
      <c r="AF1693" s="7" t="str">
        <f aca="false">IF(TRIM(K1693)="","Unknown",IFERROR(INDEX(Map_Tables!$E$4:$E$15,MATCH(TRIM(K1693),Map_Tables!$D$4:$D$15,0)),"CHECK"))</f>
        <v>UPI</v>
      </c>
      <c r="AG1693" s="7" t="str">
        <f aca="false">IF(LEFT(LOWER(TRIM(L1693)),6)="cancel","Cancelled","Delivered")</f>
        <v>Delivered</v>
      </c>
      <c r="AH1693" s="10" t="n">
        <f aca="false">IF(ISNUMBER(SEARCH("/",B1693)),DATE(VALUE(RIGHT(B1693,4)),VALUE(MID(B1693,4,2)),VALUE(LEFT(B1693,2))),IF(MID(B1693,5,1)="-",DATE(VALUE(LEFT(B1693,4)),VALUE(MID(B1693,6,2)),VALUE(RIGHT(B1693,2))),DATE(VALUE(RIGHT(B1693,4)),MATCH(MID(B1693,4,3),{"Jan","Feb","Mar","Apr","May","Jun","Jul","Aug","Sep","Oct","Nov","Dec"},0),VALUE(LEFT(B1693,2)))))</f>
        <v>45942</v>
      </c>
    </row>
    <row r="1694" customFormat="false" ht="15" hidden="false" customHeight="false" outlineLevel="0" collapsed="false">
      <c r="A1694" s="7" t="s">
        <v>4257</v>
      </c>
      <c r="B1694" s="7" t="s">
        <v>1282</v>
      </c>
      <c r="C1694" s="7" t="s">
        <v>2398</v>
      </c>
      <c r="D1694" s="7" t="s">
        <v>4258</v>
      </c>
      <c r="E1694" s="7" t="s">
        <v>94</v>
      </c>
      <c r="F1694" s="7" t="s">
        <v>785</v>
      </c>
      <c r="G1694" s="7" t="s">
        <v>95</v>
      </c>
      <c r="H1694" s="7" t="n">
        <v>1</v>
      </c>
      <c r="I1694" s="7" t="n">
        <v>110</v>
      </c>
      <c r="J1694" s="7" t="n">
        <v>44</v>
      </c>
      <c r="K1694" s="7" t="s">
        <v>112</v>
      </c>
      <c r="L1694" s="7" t="s">
        <v>194</v>
      </c>
      <c r="M1694" s="7" t="n">
        <v>56</v>
      </c>
      <c r="N1694" s="7" t="n">
        <v>4</v>
      </c>
      <c r="O1694" s="7" t="str">
        <f aca="false">A1694&amp;"|"&amp;B1694&amp;"|"&amp;C1694&amp;"|"&amp;D1694&amp;"|"&amp;E1694&amp;"|"&amp;F1694&amp;"|"&amp;G1694&amp;"|"&amp;H1694&amp;"|"&amp;I1694&amp;"|"&amp;J1694&amp;"|"&amp;K1694&amp;"|"&amp;L1694&amp;"|"&amp;M1694&amp;"|"&amp;N1694</f>
        <v>ORD12448|2025-11-04|12:14|C1260|Dosa Darbar|Bengaluru |South Indian|1|110|44|Cash on Delivery|Delivered|56|4</v>
      </c>
      <c r="P1694" s="7" t="str">
        <f aca="false">IF(COUNTIF($O$2:O1694,O1694)&gt;1,"DUP","OK")</f>
        <v>OK</v>
      </c>
      <c r="Q1694" s="7" t="n">
        <f aca="false">COUNTBLANK(A1694:N1694)</f>
        <v>0</v>
      </c>
      <c r="R1694" s="7" t="n">
        <f aca="false">IF(A1694="",0,COUNTIFS($A$2:$A$3058,A1694,$P$2:$P$3058,"OK"))</f>
        <v>1</v>
      </c>
      <c r="S1694" s="7" t="str">
        <f aca="false">IF(OR(A1694="",P1694="DUP",R1694&lt;2),"",IF(Q1694=_xlfn.MINIFS($Q$2:$Q$3058,$A$2:$A$3058,A1694,$P$2:$P$3058,"OK"),"KEEP","DROP"))</f>
        <v/>
      </c>
      <c r="T1694" s="9" t="n">
        <f aca="false">IF(A1694="",1,0)</f>
        <v>0</v>
      </c>
      <c r="U1694" s="9" t="n">
        <f aca="false">IF(D1694="",1,0)</f>
        <v>0</v>
      </c>
      <c r="V1694" s="9" t="n">
        <f aca="false">IF(E1694="",1,0)</f>
        <v>0</v>
      </c>
      <c r="W1694" s="9" t="n">
        <f aca="false">IF(OR(H1694&lt;1,H1694&gt;10),1,0)</f>
        <v>0</v>
      </c>
      <c r="X1694" s="9" t="n">
        <f aca="false">IF(OR(I1694&lt;=0,I1694&gt;1500),1,0)</f>
        <v>0</v>
      </c>
      <c r="Y1694" s="9" t="n">
        <f aca="false">IF(J1694&gt;H1694*I1694,1,0)</f>
        <v>0</v>
      </c>
      <c r="Z1694" s="9" t="n">
        <f aca="false">IF(AND(N1694&lt;&gt;"",OR(N1694&lt;1,N1694&gt;5)),1,0)</f>
        <v>0</v>
      </c>
      <c r="AA1694" s="9" t="n">
        <f aca="false">IF(AND(M1694&lt;&gt;"",OR(M1694&lt;5,M1694&gt;180)),1,0)</f>
        <v>0</v>
      </c>
      <c r="AB1694" s="7" t="str">
        <f aca="false">IF(P1694="DUP","Exact duplicate row",IF(T1694=1,"Missing Order ID",IF(S1694="DROP","Duplicate Order ID (less complete row)",IF(U1694=1,"Missing Customer ID",IF(V1694=1,"Missing Restaurant name",IF(W1694=1,"Invalid/outlier quantity",IF(X1694=1,"Invalid/outlier unit price",IF(Y1694=1,"Discount greater than order value",""))))))))</f>
        <v/>
      </c>
      <c r="AC1694" s="7" t="str">
        <f aca="false">IF(AB1694="","KEEP","DROP")</f>
        <v>KEEP</v>
      </c>
      <c r="AD1694" s="7" t="str">
        <f aca="false">IF(TRIM(F1694)="",IFERROR(INDEX(Map_Tables!$I$4:$I$37,MATCH(TRIM(E1694),Map_Tables!$G$4:$G$37,0)),""),IFERROR(INDEX(Map_Tables!$B$4:$B$18,MATCH(TRIM(F1694),Map_Tables!$A$4:$A$18,0)),"CHECK"))</f>
        <v>Bengaluru</v>
      </c>
      <c r="AE1694" s="7" t="str">
        <f aca="false">IF(TRIM(E1694)="","",IFERROR(INDEX(Map_Tables!$H$4:$H$37,MATCH(TRIM(E1694),Map_Tables!$G$4:$G$37,0)),"CHECK"))</f>
        <v>Dosa Darbar</v>
      </c>
      <c r="AF1694" s="7" t="str">
        <f aca="false">IF(TRIM(K1694)="","Unknown",IFERROR(INDEX(Map_Tables!$E$4:$E$15,MATCH(TRIM(K1694),Map_Tables!$D$4:$D$15,0)),"CHECK"))</f>
        <v>Cash on Delivery</v>
      </c>
      <c r="AG1694" s="7" t="str">
        <f aca="false">IF(LEFT(LOWER(TRIM(L1694)),6)="cancel","Cancelled","Delivered")</f>
        <v>Delivered</v>
      </c>
      <c r="AH1694" s="10" t="n">
        <f aca="false">IF(ISNUMBER(SEARCH("/",B1694)),DATE(VALUE(RIGHT(B1694,4)),VALUE(MID(B1694,4,2)),VALUE(LEFT(B1694,2))),IF(MID(B1694,5,1)="-",DATE(VALUE(LEFT(B1694,4)),VALUE(MID(B1694,6,2)),VALUE(RIGHT(B1694,2))),DATE(VALUE(RIGHT(B1694,4)),MATCH(MID(B1694,4,3),{"Jan","Feb","Mar","Apr","May","Jun","Jul","Aug","Sep","Oct","Nov","Dec"},0),VALUE(LEFT(B1694,2)))))</f>
        <v>45965</v>
      </c>
    </row>
    <row r="1695" customFormat="false" ht="15" hidden="false" customHeight="false" outlineLevel="0" collapsed="false">
      <c r="A1695" s="7" t="s">
        <v>4259</v>
      </c>
      <c r="B1695" s="7" t="s">
        <v>1657</v>
      </c>
      <c r="C1695" s="7" t="s">
        <v>2088</v>
      </c>
      <c r="D1695" s="7" t="s">
        <v>2635</v>
      </c>
      <c r="E1695" s="7" t="s">
        <v>138</v>
      </c>
      <c r="F1695" s="7" t="s">
        <v>110</v>
      </c>
      <c r="G1695" s="7" t="s">
        <v>139</v>
      </c>
      <c r="H1695" s="7" t="n">
        <v>1</v>
      </c>
      <c r="I1695" s="7" t="n">
        <v>185</v>
      </c>
      <c r="J1695" s="7" t="n">
        <v>50</v>
      </c>
      <c r="K1695" s="7" t="s">
        <v>103</v>
      </c>
      <c r="L1695" s="7" t="s">
        <v>238</v>
      </c>
      <c r="M1695" s="7"/>
      <c r="N1695" s="7"/>
      <c r="O1695" s="7" t="str">
        <f aca="false">A1695&amp;"|"&amp;B1695&amp;"|"&amp;C1695&amp;"|"&amp;D1695&amp;"|"&amp;E1695&amp;"|"&amp;F1695&amp;"|"&amp;G1695&amp;"|"&amp;H1695&amp;"|"&amp;I1695&amp;"|"&amp;J1695&amp;"|"&amp;K1695&amp;"|"&amp;L1695&amp;"|"&amp;M1695&amp;"|"&amp;N1695</f>
        <v>ORD11865|2025-08-31|19:56|C0724|Burger Barn|Delhi|Burgers|1|185|50|Debit Card|Cancelled||</v>
      </c>
      <c r="P1695" s="7" t="str">
        <f aca="false">IF(COUNTIF($O$2:O1695,O1695)&gt;1,"DUP","OK")</f>
        <v>OK</v>
      </c>
      <c r="Q1695" s="7" t="n">
        <f aca="false">COUNTBLANK(A1695:N1695)</f>
        <v>2</v>
      </c>
      <c r="R1695" s="7" t="n">
        <f aca="false">IF(A1695="",0,COUNTIFS($A$2:$A$3058,A1695,$P$2:$P$3058,"OK"))</f>
        <v>1</v>
      </c>
      <c r="S1695" s="7" t="str">
        <f aca="false">IF(OR(A1695="",P1695="DUP",R1695&lt;2),"",IF(Q1695=_xlfn.MINIFS($Q$2:$Q$3058,$A$2:$A$3058,A1695,$P$2:$P$3058,"OK"),"KEEP","DROP"))</f>
        <v/>
      </c>
      <c r="T1695" s="9" t="n">
        <f aca="false">IF(A1695="",1,0)</f>
        <v>0</v>
      </c>
      <c r="U1695" s="9" t="n">
        <f aca="false">IF(D1695="",1,0)</f>
        <v>0</v>
      </c>
      <c r="V1695" s="9" t="n">
        <f aca="false">IF(E1695="",1,0)</f>
        <v>0</v>
      </c>
      <c r="W1695" s="9" t="n">
        <f aca="false">IF(OR(H1695&lt;1,H1695&gt;10),1,0)</f>
        <v>0</v>
      </c>
      <c r="X1695" s="9" t="n">
        <f aca="false">IF(OR(I1695&lt;=0,I1695&gt;1500),1,0)</f>
        <v>0</v>
      </c>
      <c r="Y1695" s="9" t="n">
        <f aca="false">IF(J1695&gt;H1695*I1695,1,0)</f>
        <v>0</v>
      </c>
      <c r="Z1695" s="9" t="n">
        <f aca="false">IF(AND(N1695&lt;&gt;"",OR(N1695&lt;1,N1695&gt;5)),1,0)</f>
        <v>0</v>
      </c>
      <c r="AA1695" s="9" t="n">
        <f aca="false">IF(AND(M1695&lt;&gt;"",OR(M1695&lt;5,M1695&gt;180)),1,0)</f>
        <v>0</v>
      </c>
      <c r="AB1695" s="7" t="str">
        <f aca="false">IF(P1695="DUP","Exact duplicate row",IF(T1695=1,"Missing Order ID",IF(S1695="DROP","Duplicate Order ID (less complete row)",IF(U1695=1,"Missing Customer ID",IF(V1695=1,"Missing Restaurant name",IF(W1695=1,"Invalid/outlier quantity",IF(X1695=1,"Invalid/outlier unit price",IF(Y1695=1,"Discount greater than order value",""))))))))</f>
        <v/>
      </c>
      <c r="AC1695" s="7" t="str">
        <f aca="false">IF(AB1695="","KEEP","DROP")</f>
        <v>KEEP</v>
      </c>
      <c r="AD1695" s="7" t="str">
        <f aca="false">IF(TRIM(F1695)="",IFERROR(INDEX(Map_Tables!$I$4:$I$37,MATCH(TRIM(E1695),Map_Tables!$G$4:$G$37,0)),""),IFERROR(INDEX(Map_Tables!$B$4:$B$18,MATCH(TRIM(F1695),Map_Tables!$A$4:$A$18,0)),"CHECK"))</f>
        <v>Delhi</v>
      </c>
      <c r="AE1695" s="7" t="str">
        <f aca="false">IF(TRIM(E1695)="","",IFERROR(INDEX(Map_Tables!$H$4:$H$37,MATCH(TRIM(E1695),Map_Tables!$G$4:$G$37,0)),"CHECK"))</f>
        <v>Burger Barn</v>
      </c>
      <c r="AF1695" s="7" t="str">
        <f aca="false">IF(TRIM(K1695)="","Unknown",IFERROR(INDEX(Map_Tables!$E$4:$E$15,MATCH(TRIM(K1695),Map_Tables!$D$4:$D$15,0)),"CHECK"))</f>
        <v>Debit Card</v>
      </c>
      <c r="AG1695" s="7" t="str">
        <f aca="false">IF(LEFT(LOWER(TRIM(L1695)),6)="cancel","Cancelled","Delivered")</f>
        <v>Cancelled</v>
      </c>
      <c r="AH1695" s="10" t="n">
        <f aca="false">IF(ISNUMBER(SEARCH("/",B1695)),DATE(VALUE(RIGHT(B1695,4)),VALUE(MID(B1695,4,2)),VALUE(LEFT(B1695,2))),IF(MID(B1695,5,1)="-",DATE(VALUE(LEFT(B1695,4)),VALUE(MID(B1695,6,2)),VALUE(RIGHT(B1695,2))),DATE(VALUE(RIGHT(B1695,4)),MATCH(MID(B1695,4,3),{"Jan","Feb","Mar","Apr","May","Jun","Jul","Aug","Sep","Oct","Nov","Dec"},0),VALUE(LEFT(B1695,2)))))</f>
        <v>45900</v>
      </c>
    </row>
    <row r="1696" customFormat="false" ht="15" hidden="false" customHeight="false" outlineLevel="0" collapsed="false">
      <c r="A1696" s="7" t="s">
        <v>4260</v>
      </c>
      <c r="B1696" s="7" t="s">
        <v>1687</v>
      </c>
      <c r="C1696" s="7" t="s">
        <v>4261</v>
      </c>
      <c r="D1696" s="7" t="s">
        <v>3971</v>
      </c>
      <c r="E1696" s="7" t="s">
        <v>147</v>
      </c>
      <c r="F1696" s="7" t="s">
        <v>119</v>
      </c>
      <c r="G1696" s="7" t="s">
        <v>95</v>
      </c>
      <c r="H1696" s="7" t="n">
        <v>2</v>
      </c>
      <c r="I1696" s="7" t="n">
        <v>170</v>
      </c>
      <c r="J1696" s="7" t="n">
        <v>0</v>
      </c>
      <c r="K1696" s="7" t="s">
        <v>379</v>
      </c>
      <c r="L1696" s="7" t="s">
        <v>194</v>
      </c>
      <c r="M1696" s="7" t="n">
        <v>38</v>
      </c>
      <c r="N1696" s="7" t="n">
        <v>4</v>
      </c>
      <c r="O1696" s="7" t="str">
        <f aca="false">A1696&amp;"|"&amp;B1696&amp;"|"&amp;C1696&amp;"|"&amp;D1696&amp;"|"&amp;E1696&amp;"|"&amp;F1696&amp;"|"&amp;G1696&amp;"|"&amp;H1696&amp;"|"&amp;I1696&amp;"|"&amp;J1696&amp;"|"&amp;K1696&amp;"|"&amp;L1696&amp;"|"&amp;M1696&amp;"|"&amp;N1696</f>
        <v>ORD10024|2025-01-04|16:36|C0101|Andhra Meals Mess|Hyderabad|South Indian|2|170|0|Credit card|Delivered|38|4</v>
      </c>
      <c r="P1696" s="7" t="str">
        <f aca="false">IF(COUNTIF($O$2:O1696,O1696)&gt;1,"DUP","OK")</f>
        <v>OK</v>
      </c>
      <c r="Q1696" s="7" t="n">
        <f aca="false">COUNTBLANK(A1696:N1696)</f>
        <v>0</v>
      </c>
      <c r="R1696" s="7" t="n">
        <f aca="false">IF(A1696="",0,COUNTIFS($A$2:$A$3058,A1696,$P$2:$P$3058,"OK"))</f>
        <v>1</v>
      </c>
      <c r="S1696" s="7" t="str">
        <f aca="false">IF(OR(A1696="",P1696="DUP",R1696&lt;2),"",IF(Q1696=_xlfn.MINIFS($Q$2:$Q$3058,$A$2:$A$3058,A1696,$P$2:$P$3058,"OK"),"KEEP","DROP"))</f>
        <v/>
      </c>
      <c r="T1696" s="9" t="n">
        <f aca="false">IF(A1696="",1,0)</f>
        <v>0</v>
      </c>
      <c r="U1696" s="9" t="n">
        <f aca="false">IF(D1696="",1,0)</f>
        <v>0</v>
      </c>
      <c r="V1696" s="9" t="n">
        <f aca="false">IF(E1696="",1,0)</f>
        <v>0</v>
      </c>
      <c r="W1696" s="9" t="n">
        <f aca="false">IF(OR(H1696&lt;1,H1696&gt;10),1,0)</f>
        <v>0</v>
      </c>
      <c r="X1696" s="9" t="n">
        <f aca="false">IF(OR(I1696&lt;=0,I1696&gt;1500),1,0)</f>
        <v>0</v>
      </c>
      <c r="Y1696" s="9" t="n">
        <f aca="false">IF(J1696&gt;H1696*I1696,1,0)</f>
        <v>0</v>
      </c>
      <c r="Z1696" s="9" t="n">
        <f aca="false">IF(AND(N1696&lt;&gt;"",OR(N1696&lt;1,N1696&gt;5)),1,0)</f>
        <v>0</v>
      </c>
      <c r="AA1696" s="9" t="n">
        <f aca="false">IF(AND(M1696&lt;&gt;"",OR(M1696&lt;5,M1696&gt;180)),1,0)</f>
        <v>0</v>
      </c>
      <c r="AB1696" s="7" t="str">
        <f aca="false">IF(P1696="DUP","Exact duplicate row",IF(T1696=1,"Missing Order ID",IF(S1696="DROP","Duplicate Order ID (less complete row)",IF(U1696=1,"Missing Customer ID",IF(V1696=1,"Missing Restaurant name",IF(W1696=1,"Invalid/outlier quantity",IF(X1696=1,"Invalid/outlier unit price",IF(Y1696=1,"Discount greater than order value",""))))))))</f>
        <v/>
      </c>
      <c r="AC1696" s="7" t="str">
        <f aca="false">IF(AB1696="","KEEP","DROP")</f>
        <v>KEEP</v>
      </c>
      <c r="AD1696" s="7" t="str">
        <f aca="false">IF(TRIM(F1696)="",IFERROR(INDEX(Map_Tables!$I$4:$I$37,MATCH(TRIM(E1696),Map_Tables!$G$4:$G$37,0)),""),IFERROR(INDEX(Map_Tables!$B$4:$B$18,MATCH(TRIM(F1696),Map_Tables!$A$4:$A$18,0)),"CHECK"))</f>
        <v>Hyderabad</v>
      </c>
      <c r="AE1696" s="7" t="str">
        <f aca="false">IF(TRIM(E1696)="","",IFERROR(INDEX(Map_Tables!$H$4:$H$37,MATCH(TRIM(E1696),Map_Tables!$G$4:$G$37,0)),"CHECK"))</f>
        <v>Andhra Meals Mess</v>
      </c>
      <c r="AF1696" s="7" t="str">
        <f aca="false">IF(TRIM(K1696)="","Unknown",IFERROR(INDEX(Map_Tables!$E$4:$E$15,MATCH(TRIM(K1696),Map_Tables!$D$4:$D$15,0)),"CHECK"))</f>
        <v>Credit Card</v>
      </c>
      <c r="AG1696" s="7" t="str">
        <f aca="false">IF(LEFT(LOWER(TRIM(L1696)),6)="cancel","Cancelled","Delivered")</f>
        <v>Delivered</v>
      </c>
      <c r="AH1696" s="10" t="n">
        <f aca="false">IF(ISNUMBER(SEARCH("/",B1696)),DATE(VALUE(RIGHT(B1696,4)),VALUE(MID(B1696,4,2)),VALUE(LEFT(B1696,2))),IF(MID(B1696,5,1)="-",DATE(VALUE(LEFT(B1696,4)),VALUE(MID(B1696,6,2)),VALUE(RIGHT(B1696,2))),DATE(VALUE(RIGHT(B1696,4)),MATCH(MID(B1696,4,3),{"Jan","Feb","Mar","Apr","May","Jun","Jul","Aug","Sep","Oct","Nov","Dec"},0),VALUE(LEFT(B1696,2)))))</f>
        <v>45661</v>
      </c>
    </row>
    <row r="1697" customFormat="false" ht="15" hidden="false" customHeight="false" outlineLevel="0" collapsed="false">
      <c r="A1697" s="7" t="s">
        <v>4262</v>
      </c>
      <c r="B1697" s="7" t="s">
        <v>271</v>
      </c>
      <c r="C1697" s="7" t="s">
        <v>1384</v>
      </c>
      <c r="D1697" s="7" t="s">
        <v>4263</v>
      </c>
      <c r="E1697" s="7" t="s">
        <v>126</v>
      </c>
      <c r="F1697" s="7" t="s">
        <v>101</v>
      </c>
      <c r="G1697" s="7" t="s">
        <v>105</v>
      </c>
      <c r="H1697" s="7" t="n">
        <v>2</v>
      </c>
      <c r="I1697" s="7" t="n">
        <v>225</v>
      </c>
      <c r="J1697" s="7" t="n">
        <v>150</v>
      </c>
      <c r="K1697" s="7" t="s">
        <v>88</v>
      </c>
      <c r="L1697" s="7" t="s">
        <v>194</v>
      </c>
      <c r="M1697" s="7" t="n">
        <v>48</v>
      </c>
      <c r="N1697" s="7" t="n">
        <v>5</v>
      </c>
      <c r="O1697" s="7" t="str">
        <f aca="false">A1697&amp;"|"&amp;B1697&amp;"|"&amp;C1697&amp;"|"&amp;D1697&amp;"|"&amp;E1697&amp;"|"&amp;F1697&amp;"|"&amp;G1697&amp;"|"&amp;H1697&amp;"|"&amp;I1697&amp;"|"&amp;J1697&amp;"|"&amp;K1697&amp;"|"&amp;L1697&amp;"|"&amp;M1697&amp;"|"&amp;N1697</f>
        <v>ORD10578|2025-03-15|12:24|C0131|Dragon Express|Mumbai|Chinese|2|225|150|UPI|Delivered|48|5</v>
      </c>
      <c r="P1697" s="7" t="str">
        <f aca="false">IF(COUNTIF($O$2:O1697,O1697)&gt;1,"DUP","OK")</f>
        <v>OK</v>
      </c>
      <c r="Q1697" s="7" t="n">
        <f aca="false">COUNTBLANK(A1697:N1697)</f>
        <v>0</v>
      </c>
      <c r="R1697" s="7" t="n">
        <f aca="false">IF(A1697="",0,COUNTIFS($A$2:$A$3058,A1697,$P$2:$P$3058,"OK"))</f>
        <v>1</v>
      </c>
      <c r="S1697" s="7" t="str">
        <f aca="false">IF(OR(A1697="",P1697="DUP",R1697&lt;2),"",IF(Q1697=_xlfn.MINIFS($Q$2:$Q$3058,$A$2:$A$3058,A1697,$P$2:$P$3058,"OK"),"KEEP","DROP"))</f>
        <v/>
      </c>
      <c r="T1697" s="9" t="n">
        <f aca="false">IF(A1697="",1,0)</f>
        <v>0</v>
      </c>
      <c r="U1697" s="9" t="n">
        <f aca="false">IF(D1697="",1,0)</f>
        <v>0</v>
      </c>
      <c r="V1697" s="9" t="n">
        <f aca="false">IF(E1697="",1,0)</f>
        <v>0</v>
      </c>
      <c r="W1697" s="9" t="n">
        <f aca="false">IF(OR(H1697&lt;1,H1697&gt;10),1,0)</f>
        <v>0</v>
      </c>
      <c r="X1697" s="9" t="n">
        <f aca="false">IF(OR(I1697&lt;=0,I1697&gt;1500),1,0)</f>
        <v>0</v>
      </c>
      <c r="Y1697" s="9" t="n">
        <f aca="false">IF(J1697&gt;H1697*I1697,1,0)</f>
        <v>0</v>
      </c>
      <c r="Z1697" s="9" t="n">
        <f aca="false">IF(AND(N1697&lt;&gt;"",OR(N1697&lt;1,N1697&gt;5)),1,0)</f>
        <v>0</v>
      </c>
      <c r="AA1697" s="9" t="n">
        <f aca="false">IF(AND(M1697&lt;&gt;"",OR(M1697&lt;5,M1697&gt;180)),1,0)</f>
        <v>0</v>
      </c>
      <c r="AB1697" s="7" t="str">
        <f aca="false">IF(P1697="DUP","Exact duplicate row",IF(T1697=1,"Missing Order ID",IF(S1697="DROP","Duplicate Order ID (less complete row)",IF(U1697=1,"Missing Customer ID",IF(V1697=1,"Missing Restaurant name",IF(W1697=1,"Invalid/outlier quantity",IF(X1697=1,"Invalid/outlier unit price",IF(Y1697=1,"Discount greater than order value",""))))))))</f>
        <v/>
      </c>
      <c r="AC1697" s="7" t="str">
        <f aca="false">IF(AB1697="","KEEP","DROP")</f>
        <v>KEEP</v>
      </c>
      <c r="AD1697" s="7" t="str">
        <f aca="false">IF(TRIM(F1697)="",IFERROR(INDEX(Map_Tables!$I$4:$I$37,MATCH(TRIM(E1697),Map_Tables!$G$4:$G$37,0)),""),IFERROR(INDEX(Map_Tables!$B$4:$B$18,MATCH(TRIM(F1697),Map_Tables!$A$4:$A$18,0)),"CHECK"))</f>
        <v>Mumbai</v>
      </c>
      <c r="AE1697" s="7" t="str">
        <f aca="false">IF(TRIM(E1697)="","",IFERROR(INDEX(Map_Tables!$H$4:$H$37,MATCH(TRIM(E1697),Map_Tables!$G$4:$G$37,0)),"CHECK"))</f>
        <v>Dragon Express</v>
      </c>
      <c r="AF1697" s="7" t="str">
        <f aca="false">IF(TRIM(K1697)="","Unknown",IFERROR(INDEX(Map_Tables!$E$4:$E$15,MATCH(TRIM(K1697),Map_Tables!$D$4:$D$15,0)),"CHECK"))</f>
        <v>UPI</v>
      </c>
      <c r="AG1697" s="7" t="str">
        <f aca="false">IF(LEFT(LOWER(TRIM(L1697)),6)="cancel","Cancelled","Delivered")</f>
        <v>Delivered</v>
      </c>
      <c r="AH1697" s="10" t="n">
        <f aca="false">IF(ISNUMBER(SEARCH("/",B1697)),DATE(VALUE(RIGHT(B1697,4)),VALUE(MID(B1697,4,2)),VALUE(LEFT(B1697,2))),IF(MID(B1697,5,1)="-",DATE(VALUE(LEFT(B1697,4)),VALUE(MID(B1697,6,2)),VALUE(RIGHT(B1697,2))),DATE(VALUE(RIGHT(B1697,4)),MATCH(MID(B1697,4,3),{"Jan","Feb","Mar","Apr","May","Jun","Jul","Aug","Sep","Oct","Nov","Dec"},0),VALUE(LEFT(B1697,2)))))</f>
        <v>45731</v>
      </c>
    </row>
    <row r="1698" customFormat="false" ht="15" hidden="false" customHeight="false" outlineLevel="0" collapsed="false">
      <c r="A1698" s="7" t="s">
        <v>4264</v>
      </c>
      <c r="B1698" s="7" t="s">
        <v>1132</v>
      </c>
      <c r="C1698" s="7" t="s">
        <v>1741</v>
      </c>
      <c r="D1698" s="7" t="s">
        <v>4265</v>
      </c>
      <c r="E1698" s="7" t="s">
        <v>113</v>
      </c>
      <c r="F1698" s="7" t="s">
        <v>101</v>
      </c>
      <c r="G1698" s="7" t="s">
        <v>90</v>
      </c>
      <c r="H1698" s="7" t="n">
        <v>2</v>
      </c>
      <c r="I1698" s="7" t="n">
        <v>220</v>
      </c>
      <c r="J1698" s="7" t="n">
        <v>0</v>
      </c>
      <c r="K1698" s="7" t="s">
        <v>88</v>
      </c>
      <c r="L1698" s="7" t="s">
        <v>1233</v>
      </c>
      <c r="M1698" s="7"/>
      <c r="N1698" s="7"/>
      <c r="O1698" s="7" t="str">
        <f aca="false">A1698&amp;"|"&amp;B1698&amp;"|"&amp;C1698&amp;"|"&amp;D1698&amp;"|"&amp;E1698&amp;"|"&amp;F1698&amp;"|"&amp;G1698&amp;"|"&amp;H1698&amp;"|"&amp;I1698&amp;"|"&amp;J1698&amp;"|"&amp;K1698&amp;"|"&amp;L1698&amp;"|"&amp;M1698&amp;"|"&amp;N1698</f>
        <v>ORD10684|2025-03-28|12:08|C0700|Curry Leaf Kitchen|Mumbai|North Indian|2|220|0|UPI|CANCELLED||</v>
      </c>
      <c r="P1698" s="7" t="str">
        <f aca="false">IF(COUNTIF($O$2:O1698,O1698)&gt;1,"DUP","OK")</f>
        <v>OK</v>
      </c>
      <c r="Q1698" s="7" t="n">
        <f aca="false">COUNTBLANK(A1698:N1698)</f>
        <v>2</v>
      </c>
      <c r="R1698" s="7" t="n">
        <f aca="false">IF(A1698="",0,COUNTIFS($A$2:$A$3058,A1698,$P$2:$P$3058,"OK"))</f>
        <v>1</v>
      </c>
      <c r="S1698" s="7" t="str">
        <f aca="false">IF(OR(A1698="",P1698="DUP",R1698&lt;2),"",IF(Q1698=_xlfn.MINIFS($Q$2:$Q$3058,$A$2:$A$3058,A1698,$P$2:$P$3058,"OK"),"KEEP","DROP"))</f>
        <v/>
      </c>
      <c r="T1698" s="9" t="n">
        <f aca="false">IF(A1698="",1,0)</f>
        <v>0</v>
      </c>
      <c r="U1698" s="9" t="n">
        <f aca="false">IF(D1698="",1,0)</f>
        <v>0</v>
      </c>
      <c r="V1698" s="9" t="n">
        <f aca="false">IF(E1698="",1,0)</f>
        <v>0</v>
      </c>
      <c r="W1698" s="9" t="n">
        <f aca="false">IF(OR(H1698&lt;1,H1698&gt;10),1,0)</f>
        <v>0</v>
      </c>
      <c r="X1698" s="9" t="n">
        <f aca="false">IF(OR(I1698&lt;=0,I1698&gt;1500),1,0)</f>
        <v>0</v>
      </c>
      <c r="Y1698" s="9" t="n">
        <f aca="false">IF(J1698&gt;H1698*I1698,1,0)</f>
        <v>0</v>
      </c>
      <c r="Z1698" s="9" t="n">
        <f aca="false">IF(AND(N1698&lt;&gt;"",OR(N1698&lt;1,N1698&gt;5)),1,0)</f>
        <v>0</v>
      </c>
      <c r="AA1698" s="9" t="n">
        <f aca="false">IF(AND(M1698&lt;&gt;"",OR(M1698&lt;5,M1698&gt;180)),1,0)</f>
        <v>0</v>
      </c>
      <c r="AB1698" s="7" t="str">
        <f aca="false">IF(P1698="DUP","Exact duplicate row",IF(T1698=1,"Missing Order ID",IF(S1698="DROP","Duplicate Order ID (less complete row)",IF(U1698=1,"Missing Customer ID",IF(V1698=1,"Missing Restaurant name",IF(W1698=1,"Invalid/outlier quantity",IF(X1698=1,"Invalid/outlier unit price",IF(Y1698=1,"Discount greater than order value",""))))))))</f>
        <v/>
      </c>
      <c r="AC1698" s="7" t="str">
        <f aca="false">IF(AB1698="","KEEP","DROP")</f>
        <v>KEEP</v>
      </c>
      <c r="AD1698" s="7" t="str">
        <f aca="false">IF(TRIM(F1698)="",IFERROR(INDEX(Map_Tables!$I$4:$I$37,MATCH(TRIM(E1698),Map_Tables!$G$4:$G$37,0)),""),IFERROR(INDEX(Map_Tables!$B$4:$B$18,MATCH(TRIM(F1698),Map_Tables!$A$4:$A$18,0)),"CHECK"))</f>
        <v>Mumbai</v>
      </c>
      <c r="AE1698" s="7" t="str">
        <f aca="false">IF(TRIM(E1698)="","",IFERROR(INDEX(Map_Tables!$H$4:$H$37,MATCH(TRIM(E1698),Map_Tables!$G$4:$G$37,0)),"CHECK"))</f>
        <v>Curry Leaf Kitchen</v>
      </c>
      <c r="AF1698" s="7" t="str">
        <f aca="false">IF(TRIM(K1698)="","Unknown",IFERROR(INDEX(Map_Tables!$E$4:$E$15,MATCH(TRIM(K1698),Map_Tables!$D$4:$D$15,0)),"CHECK"))</f>
        <v>UPI</v>
      </c>
      <c r="AG1698" s="7" t="str">
        <f aca="false">IF(LEFT(LOWER(TRIM(L1698)),6)="cancel","Cancelled","Delivered")</f>
        <v>Cancelled</v>
      </c>
      <c r="AH1698" s="10" t="n">
        <f aca="false">IF(ISNUMBER(SEARCH("/",B1698)),DATE(VALUE(RIGHT(B1698,4)),VALUE(MID(B1698,4,2)),VALUE(LEFT(B1698,2))),IF(MID(B1698,5,1)="-",DATE(VALUE(LEFT(B1698,4)),VALUE(MID(B1698,6,2)),VALUE(RIGHT(B1698,2))),DATE(VALUE(RIGHT(B1698,4)),MATCH(MID(B1698,4,3),{"Jan","Feb","Mar","Apr","May","Jun","Jul","Aug","Sep","Oct","Nov","Dec"},0),VALUE(LEFT(B1698,2)))))</f>
        <v>45744</v>
      </c>
    </row>
    <row r="1699" customFormat="false" ht="15" hidden="false" customHeight="false" outlineLevel="0" collapsed="false">
      <c r="A1699" s="7" t="s">
        <v>4266</v>
      </c>
      <c r="B1699" s="7" t="s">
        <v>2324</v>
      </c>
      <c r="C1699" s="7" t="s">
        <v>3378</v>
      </c>
      <c r="D1699" s="7" t="s">
        <v>4267</v>
      </c>
      <c r="E1699" s="7" t="s">
        <v>151</v>
      </c>
      <c r="F1699" s="7" t="s">
        <v>128</v>
      </c>
      <c r="G1699" s="7" t="s">
        <v>95</v>
      </c>
      <c r="H1699" s="7" t="n">
        <v>1</v>
      </c>
      <c r="I1699" s="7" t="n">
        <v>205</v>
      </c>
      <c r="J1699" s="7" t="n">
        <v>82</v>
      </c>
      <c r="K1699" s="7" t="s">
        <v>133</v>
      </c>
      <c r="L1699" s="7" t="s">
        <v>194</v>
      </c>
      <c r="M1699" s="7"/>
      <c r="N1699" s="7" t="n">
        <v>4</v>
      </c>
      <c r="O1699" s="7" t="str">
        <f aca="false">A1699&amp;"|"&amp;B1699&amp;"|"&amp;C1699&amp;"|"&amp;D1699&amp;"|"&amp;E1699&amp;"|"&amp;F1699&amp;"|"&amp;G1699&amp;"|"&amp;H1699&amp;"|"&amp;I1699&amp;"|"&amp;J1699&amp;"|"&amp;K1699&amp;"|"&amp;L1699&amp;"|"&amp;M1699&amp;"|"&amp;N1699</f>
        <v>ORD12190|2025-10-06|13:41|C1292|Chettinad House|Chennai|South Indian|1|205|82|Net Banking|Delivered||4</v>
      </c>
      <c r="P1699" s="7" t="str">
        <f aca="false">IF(COUNTIF($O$2:O1699,O1699)&gt;1,"DUP","OK")</f>
        <v>OK</v>
      </c>
      <c r="Q1699" s="7" t="n">
        <f aca="false">COUNTBLANK(A1699:N1699)</f>
        <v>1</v>
      </c>
      <c r="R1699" s="7" t="n">
        <f aca="false">IF(A1699="",0,COUNTIFS($A$2:$A$3058,A1699,$P$2:$P$3058,"OK"))</f>
        <v>1</v>
      </c>
      <c r="S1699" s="7" t="str">
        <f aca="false">IF(OR(A1699="",P1699="DUP",R1699&lt;2),"",IF(Q1699=_xlfn.MINIFS($Q$2:$Q$3058,$A$2:$A$3058,A1699,$P$2:$P$3058,"OK"),"KEEP","DROP"))</f>
        <v/>
      </c>
      <c r="T1699" s="9" t="n">
        <f aca="false">IF(A1699="",1,0)</f>
        <v>0</v>
      </c>
      <c r="U1699" s="9" t="n">
        <f aca="false">IF(D1699="",1,0)</f>
        <v>0</v>
      </c>
      <c r="V1699" s="9" t="n">
        <f aca="false">IF(E1699="",1,0)</f>
        <v>0</v>
      </c>
      <c r="W1699" s="9" t="n">
        <f aca="false">IF(OR(H1699&lt;1,H1699&gt;10),1,0)</f>
        <v>0</v>
      </c>
      <c r="X1699" s="9" t="n">
        <f aca="false">IF(OR(I1699&lt;=0,I1699&gt;1500),1,0)</f>
        <v>0</v>
      </c>
      <c r="Y1699" s="9" t="n">
        <f aca="false">IF(J1699&gt;H1699*I1699,1,0)</f>
        <v>0</v>
      </c>
      <c r="Z1699" s="9" t="n">
        <f aca="false">IF(AND(N1699&lt;&gt;"",OR(N1699&lt;1,N1699&gt;5)),1,0)</f>
        <v>0</v>
      </c>
      <c r="AA1699" s="9" t="n">
        <f aca="false">IF(AND(M1699&lt;&gt;"",OR(M1699&lt;5,M1699&gt;180)),1,0)</f>
        <v>0</v>
      </c>
      <c r="AB1699" s="7" t="str">
        <f aca="false">IF(P1699="DUP","Exact duplicate row",IF(T1699=1,"Missing Order ID",IF(S1699="DROP","Duplicate Order ID (less complete row)",IF(U1699=1,"Missing Customer ID",IF(V1699=1,"Missing Restaurant name",IF(W1699=1,"Invalid/outlier quantity",IF(X1699=1,"Invalid/outlier unit price",IF(Y1699=1,"Discount greater than order value",""))))))))</f>
        <v/>
      </c>
      <c r="AC1699" s="7" t="str">
        <f aca="false">IF(AB1699="","KEEP","DROP")</f>
        <v>KEEP</v>
      </c>
      <c r="AD1699" s="7" t="str">
        <f aca="false">IF(TRIM(F1699)="",IFERROR(INDEX(Map_Tables!$I$4:$I$37,MATCH(TRIM(E1699),Map_Tables!$G$4:$G$37,0)),""),IFERROR(INDEX(Map_Tables!$B$4:$B$18,MATCH(TRIM(F1699),Map_Tables!$A$4:$A$18,0)),"CHECK"))</f>
        <v>Chennai</v>
      </c>
      <c r="AE1699" s="7" t="str">
        <f aca="false">IF(TRIM(E1699)="","",IFERROR(INDEX(Map_Tables!$H$4:$H$37,MATCH(TRIM(E1699),Map_Tables!$G$4:$G$37,0)),"CHECK"))</f>
        <v>Chettinad House</v>
      </c>
      <c r="AF1699" s="7" t="str">
        <f aca="false">IF(TRIM(K1699)="","Unknown",IFERROR(INDEX(Map_Tables!$E$4:$E$15,MATCH(TRIM(K1699),Map_Tables!$D$4:$D$15,0)),"CHECK"))</f>
        <v>Net Banking</v>
      </c>
      <c r="AG1699" s="7" t="str">
        <f aca="false">IF(LEFT(LOWER(TRIM(L1699)),6)="cancel","Cancelled","Delivered")</f>
        <v>Delivered</v>
      </c>
      <c r="AH1699" s="10" t="n">
        <f aca="false">IF(ISNUMBER(SEARCH("/",B1699)),DATE(VALUE(RIGHT(B1699,4)),VALUE(MID(B1699,4,2)),VALUE(LEFT(B1699,2))),IF(MID(B1699,5,1)="-",DATE(VALUE(LEFT(B1699,4)),VALUE(MID(B1699,6,2)),VALUE(RIGHT(B1699,2))),DATE(VALUE(RIGHT(B1699,4)),MATCH(MID(B1699,4,3),{"Jan","Feb","Mar","Apr","May","Jun","Jul","Aug","Sep","Oct","Nov","Dec"},0),VALUE(LEFT(B1699,2)))))</f>
        <v>45936</v>
      </c>
    </row>
    <row r="1700" customFormat="false" ht="15" hidden="false" customHeight="false" outlineLevel="0" collapsed="false">
      <c r="A1700" s="7" t="s">
        <v>4268</v>
      </c>
      <c r="B1700" s="7" t="s">
        <v>1951</v>
      </c>
      <c r="C1700" s="7" t="s">
        <v>4269</v>
      </c>
      <c r="D1700" s="7" t="s">
        <v>2210</v>
      </c>
      <c r="E1700" s="7" t="s">
        <v>144</v>
      </c>
      <c r="F1700" s="7" t="s">
        <v>118</v>
      </c>
      <c r="G1700" s="7" t="s">
        <v>99</v>
      </c>
      <c r="H1700" s="7" t="n">
        <v>1</v>
      </c>
      <c r="I1700" s="7" t="n">
        <v>305</v>
      </c>
      <c r="J1700" s="7" t="n">
        <v>75</v>
      </c>
      <c r="K1700" s="7" t="s">
        <v>88</v>
      </c>
      <c r="L1700" s="7" t="s">
        <v>194</v>
      </c>
      <c r="M1700" s="7" t="n">
        <v>29</v>
      </c>
      <c r="N1700" s="7" t="n">
        <v>5</v>
      </c>
      <c r="O1700" s="7" t="str">
        <f aca="false">A1700&amp;"|"&amp;B1700&amp;"|"&amp;C1700&amp;"|"&amp;D1700&amp;"|"&amp;E1700&amp;"|"&amp;F1700&amp;"|"&amp;G1700&amp;"|"&amp;H1700&amp;"|"&amp;I1700&amp;"|"&amp;J1700&amp;"|"&amp;K1700&amp;"|"&amp;L1700&amp;"|"&amp;M1700&amp;"|"&amp;N1700</f>
        <v>ORD11016|2025-05-09|16:33|C0919|Hyderabad Dum Biryani|hyderabad|Biryani|1|305|75|UPI|Delivered|29|5</v>
      </c>
      <c r="P1700" s="7" t="str">
        <f aca="false">IF(COUNTIF($O$2:O1700,O1700)&gt;1,"DUP","OK")</f>
        <v>OK</v>
      </c>
      <c r="Q1700" s="7" t="n">
        <f aca="false">COUNTBLANK(A1700:N1700)</f>
        <v>0</v>
      </c>
      <c r="R1700" s="7" t="n">
        <f aca="false">IF(A1700="",0,COUNTIFS($A$2:$A$3058,A1700,$P$2:$P$3058,"OK"))</f>
        <v>1</v>
      </c>
      <c r="S1700" s="7" t="str">
        <f aca="false">IF(OR(A1700="",P1700="DUP",R1700&lt;2),"",IF(Q1700=_xlfn.MINIFS($Q$2:$Q$3058,$A$2:$A$3058,A1700,$P$2:$P$3058,"OK"),"KEEP","DROP"))</f>
        <v/>
      </c>
      <c r="T1700" s="9" t="n">
        <f aca="false">IF(A1700="",1,0)</f>
        <v>0</v>
      </c>
      <c r="U1700" s="9" t="n">
        <f aca="false">IF(D1700="",1,0)</f>
        <v>0</v>
      </c>
      <c r="V1700" s="9" t="n">
        <f aca="false">IF(E1700="",1,0)</f>
        <v>0</v>
      </c>
      <c r="W1700" s="9" t="n">
        <f aca="false">IF(OR(H1700&lt;1,H1700&gt;10),1,0)</f>
        <v>0</v>
      </c>
      <c r="X1700" s="9" t="n">
        <f aca="false">IF(OR(I1700&lt;=0,I1700&gt;1500),1,0)</f>
        <v>0</v>
      </c>
      <c r="Y1700" s="9" t="n">
        <f aca="false">IF(J1700&gt;H1700*I1700,1,0)</f>
        <v>0</v>
      </c>
      <c r="Z1700" s="9" t="n">
        <f aca="false">IF(AND(N1700&lt;&gt;"",OR(N1700&lt;1,N1700&gt;5)),1,0)</f>
        <v>0</v>
      </c>
      <c r="AA1700" s="9" t="n">
        <f aca="false">IF(AND(M1700&lt;&gt;"",OR(M1700&lt;5,M1700&gt;180)),1,0)</f>
        <v>0</v>
      </c>
      <c r="AB1700" s="7" t="str">
        <f aca="false">IF(P1700="DUP","Exact duplicate row",IF(T1700=1,"Missing Order ID",IF(S1700="DROP","Duplicate Order ID (less complete row)",IF(U1700=1,"Missing Customer ID",IF(V1700=1,"Missing Restaurant name",IF(W1700=1,"Invalid/outlier quantity",IF(X1700=1,"Invalid/outlier unit price",IF(Y1700=1,"Discount greater than order value",""))))))))</f>
        <v/>
      </c>
      <c r="AC1700" s="7" t="str">
        <f aca="false">IF(AB1700="","KEEP","DROP")</f>
        <v>KEEP</v>
      </c>
      <c r="AD1700" s="7" t="str">
        <f aca="false">IF(TRIM(F1700)="",IFERROR(INDEX(Map_Tables!$I$4:$I$37,MATCH(TRIM(E1700),Map_Tables!$G$4:$G$37,0)),""),IFERROR(INDEX(Map_Tables!$B$4:$B$18,MATCH(TRIM(F1700),Map_Tables!$A$4:$A$18,0)),"CHECK"))</f>
        <v>Hyderabad</v>
      </c>
      <c r="AE1700" s="7" t="str">
        <f aca="false">IF(TRIM(E1700)="","",IFERROR(INDEX(Map_Tables!$H$4:$H$37,MATCH(TRIM(E1700),Map_Tables!$G$4:$G$37,0)),"CHECK"))</f>
        <v>Hyderabad Dum Biryani</v>
      </c>
      <c r="AF1700" s="7" t="str">
        <f aca="false">IF(TRIM(K1700)="","Unknown",IFERROR(INDEX(Map_Tables!$E$4:$E$15,MATCH(TRIM(K1700),Map_Tables!$D$4:$D$15,0)),"CHECK"))</f>
        <v>UPI</v>
      </c>
      <c r="AG1700" s="7" t="str">
        <f aca="false">IF(LEFT(LOWER(TRIM(L1700)),6)="cancel","Cancelled","Delivered")</f>
        <v>Delivered</v>
      </c>
      <c r="AH1700" s="10" t="n">
        <f aca="false">IF(ISNUMBER(SEARCH("/",B1700)),DATE(VALUE(RIGHT(B1700,4)),VALUE(MID(B1700,4,2)),VALUE(LEFT(B1700,2))),IF(MID(B1700,5,1)="-",DATE(VALUE(LEFT(B1700,4)),VALUE(MID(B1700,6,2)),VALUE(RIGHT(B1700,2))),DATE(VALUE(RIGHT(B1700,4)),MATCH(MID(B1700,4,3),{"Jan","Feb","Mar","Apr","May","Jun","Jul","Aug","Sep","Oct","Nov","Dec"},0),VALUE(LEFT(B1700,2)))))</f>
        <v>45786</v>
      </c>
    </row>
    <row r="1701" customFormat="false" ht="15" hidden="false" customHeight="false" outlineLevel="0" collapsed="false">
      <c r="A1701" s="7" t="s">
        <v>4270</v>
      </c>
      <c r="B1701" s="7" t="s">
        <v>3750</v>
      </c>
      <c r="C1701" s="7" t="s">
        <v>365</v>
      </c>
      <c r="D1701" s="7" t="s">
        <v>3241</v>
      </c>
      <c r="E1701" s="7" t="s">
        <v>138</v>
      </c>
      <c r="F1701" s="7" t="s">
        <v>110</v>
      </c>
      <c r="G1701" s="7" t="s">
        <v>139</v>
      </c>
      <c r="H1701" s="7" t="n">
        <v>1</v>
      </c>
      <c r="I1701" s="7" t="n">
        <v>185</v>
      </c>
      <c r="J1701" s="7" t="n">
        <v>74</v>
      </c>
      <c r="K1701" s="7" t="s">
        <v>88</v>
      </c>
      <c r="L1701" s="7" t="s">
        <v>194</v>
      </c>
      <c r="M1701" s="7" t="n">
        <v>28</v>
      </c>
      <c r="N1701" s="7" t="n">
        <v>5</v>
      </c>
      <c r="O1701" s="7" t="str">
        <f aca="false">A1701&amp;"|"&amp;B1701&amp;"|"&amp;C1701&amp;"|"&amp;D1701&amp;"|"&amp;E1701&amp;"|"&amp;F1701&amp;"|"&amp;G1701&amp;"|"&amp;H1701&amp;"|"&amp;I1701&amp;"|"&amp;J1701&amp;"|"&amp;K1701&amp;"|"&amp;L1701&amp;"|"&amp;M1701&amp;"|"&amp;N1701</f>
        <v>ORD10347|15/02/2025|20:55|C0186|Burger Barn|Delhi|Burgers|1|185|74|UPI|Delivered|28|5</v>
      </c>
      <c r="P1701" s="7" t="str">
        <f aca="false">IF(COUNTIF($O$2:O1701,O1701)&gt;1,"DUP","OK")</f>
        <v>OK</v>
      </c>
      <c r="Q1701" s="7" t="n">
        <f aca="false">COUNTBLANK(A1701:N1701)</f>
        <v>0</v>
      </c>
      <c r="R1701" s="7" t="n">
        <f aca="false">IF(A1701="",0,COUNTIFS($A$2:$A$3058,A1701,$P$2:$P$3058,"OK"))</f>
        <v>1</v>
      </c>
      <c r="S1701" s="7" t="str">
        <f aca="false">IF(OR(A1701="",P1701="DUP",R1701&lt;2),"",IF(Q1701=_xlfn.MINIFS($Q$2:$Q$3058,$A$2:$A$3058,A1701,$P$2:$P$3058,"OK"),"KEEP","DROP"))</f>
        <v/>
      </c>
      <c r="T1701" s="9" t="n">
        <f aca="false">IF(A1701="",1,0)</f>
        <v>0</v>
      </c>
      <c r="U1701" s="9" t="n">
        <f aca="false">IF(D1701="",1,0)</f>
        <v>0</v>
      </c>
      <c r="V1701" s="9" t="n">
        <f aca="false">IF(E1701="",1,0)</f>
        <v>0</v>
      </c>
      <c r="W1701" s="9" t="n">
        <f aca="false">IF(OR(H1701&lt;1,H1701&gt;10),1,0)</f>
        <v>0</v>
      </c>
      <c r="X1701" s="9" t="n">
        <f aca="false">IF(OR(I1701&lt;=0,I1701&gt;1500),1,0)</f>
        <v>0</v>
      </c>
      <c r="Y1701" s="9" t="n">
        <f aca="false">IF(J1701&gt;H1701*I1701,1,0)</f>
        <v>0</v>
      </c>
      <c r="Z1701" s="9" t="n">
        <f aca="false">IF(AND(N1701&lt;&gt;"",OR(N1701&lt;1,N1701&gt;5)),1,0)</f>
        <v>0</v>
      </c>
      <c r="AA1701" s="9" t="n">
        <f aca="false">IF(AND(M1701&lt;&gt;"",OR(M1701&lt;5,M1701&gt;180)),1,0)</f>
        <v>0</v>
      </c>
      <c r="AB1701" s="7" t="str">
        <f aca="false">IF(P1701="DUP","Exact duplicate row",IF(T1701=1,"Missing Order ID",IF(S1701="DROP","Duplicate Order ID (less complete row)",IF(U1701=1,"Missing Customer ID",IF(V1701=1,"Missing Restaurant name",IF(W1701=1,"Invalid/outlier quantity",IF(X1701=1,"Invalid/outlier unit price",IF(Y1701=1,"Discount greater than order value",""))))))))</f>
        <v/>
      </c>
      <c r="AC1701" s="7" t="str">
        <f aca="false">IF(AB1701="","KEEP","DROP")</f>
        <v>KEEP</v>
      </c>
      <c r="AD1701" s="7" t="str">
        <f aca="false">IF(TRIM(F1701)="",IFERROR(INDEX(Map_Tables!$I$4:$I$37,MATCH(TRIM(E1701),Map_Tables!$G$4:$G$37,0)),""),IFERROR(INDEX(Map_Tables!$B$4:$B$18,MATCH(TRIM(F1701),Map_Tables!$A$4:$A$18,0)),"CHECK"))</f>
        <v>Delhi</v>
      </c>
      <c r="AE1701" s="7" t="str">
        <f aca="false">IF(TRIM(E1701)="","",IFERROR(INDEX(Map_Tables!$H$4:$H$37,MATCH(TRIM(E1701),Map_Tables!$G$4:$G$37,0)),"CHECK"))</f>
        <v>Burger Barn</v>
      </c>
      <c r="AF1701" s="7" t="str">
        <f aca="false">IF(TRIM(K1701)="","Unknown",IFERROR(INDEX(Map_Tables!$E$4:$E$15,MATCH(TRIM(K1701),Map_Tables!$D$4:$D$15,0)),"CHECK"))</f>
        <v>UPI</v>
      </c>
      <c r="AG1701" s="7" t="str">
        <f aca="false">IF(LEFT(LOWER(TRIM(L1701)),6)="cancel","Cancelled","Delivered")</f>
        <v>Delivered</v>
      </c>
      <c r="AH1701" s="10" t="n">
        <f aca="false">IF(ISNUMBER(SEARCH("/",B1701)),DATE(VALUE(RIGHT(B1701,4)),VALUE(MID(B1701,4,2)),VALUE(LEFT(B1701,2))),IF(MID(B1701,5,1)="-",DATE(VALUE(LEFT(B1701,4)),VALUE(MID(B1701,6,2)),VALUE(RIGHT(B1701,2))),DATE(VALUE(RIGHT(B1701,4)),MATCH(MID(B1701,4,3),{"Jan","Feb","Mar","Apr","May","Jun","Jul","Aug","Sep","Oct","Nov","Dec"},0),VALUE(LEFT(B1701,2)))))</f>
        <v>45703</v>
      </c>
    </row>
    <row r="1702" customFormat="false" ht="15" hidden="false" customHeight="false" outlineLevel="0" collapsed="false">
      <c r="A1702" s="7" t="s">
        <v>4271</v>
      </c>
      <c r="B1702" s="7" t="s">
        <v>4272</v>
      </c>
      <c r="C1702" s="7" t="s">
        <v>1529</v>
      </c>
      <c r="D1702" s="7" t="s">
        <v>4273</v>
      </c>
      <c r="E1702" s="7" t="s">
        <v>134</v>
      </c>
      <c r="F1702" s="7" t="s">
        <v>110</v>
      </c>
      <c r="G1702" s="7" t="s">
        <v>117</v>
      </c>
      <c r="H1702" s="7" t="n">
        <v>5</v>
      </c>
      <c r="I1702" s="7" t="n">
        <v>130</v>
      </c>
      <c r="J1702" s="7" t="n">
        <v>0</v>
      </c>
      <c r="K1702" s="7" t="s">
        <v>112</v>
      </c>
      <c r="L1702" s="7" t="s">
        <v>194</v>
      </c>
      <c r="M1702" s="7" t="n">
        <v>44</v>
      </c>
      <c r="N1702" s="7"/>
      <c r="O1702" s="7" t="str">
        <f aca="false">A1702&amp;"|"&amp;B1702&amp;"|"&amp;C1702&amp;"|"&amp;D1702&amp;"|"&amp;E1702&amp;"|"&amp;F1702&amp;"|"&amp;G1702&amp;"|"&amp;H1702&amp;"|"&amp;I1702&amp;"|"&amp;J1702&amp;"|"&amp;K1702&amp;"|"&amp;L1702&amp;"|"&amp;M1702&amp;"|"&amp;N1702</f>
        <v>ORD12284|16-Oct-2025|12:45|C0799|Chaat Corner|Delhi|Street Food|5|130|0|Cash on Delivery|Delivered|44|</v>
      </c>
      <c r="P1702" s="7" t="str">
        <f aca="false">IF(COUNTIF($O$2:O1702,O1702)&gt;1,"DUP","OK")</f>
        <v>OK</v>
      </c>
      <c r="Q1702" s="7" t="n">
        <f aca="false">COUNTBLANK(A1702:N1702)</f>
        <v>1</v>
      </c>
      <c r="R1702" s="7" t="n">
        <f aca="false">IF(A1702="",0,COUNTIFS($A$2:$A$3058,A1702,$P$2:$P$3058,"OK"))</f>
        <v>1</v>
      </c>
      <c r="S1702" s="7" t="str">
        <f aca="false">IF(OR(A1702="",P1702="DUP",R1702&lt;2),"",IF(Q1702=_xlfn.MINIFS($Q$2:$Q$3058,$A$2:$A$3058,A1702,$P$2:$P$3058,"OK"),"KEEP","DROP"))</f>
        <v/>
      </c>
      <c r="T1702" s="9" t="n">
        <f aca="false">IF(A1702="",1,0)</f>
        <v>0</v>
      </c>
      <c r="U1702" s="9" t="n">
        <f aca="false">IF(D1702="",1,0)</f>
        <v>0</v>
      </c>
      <c r="V1702" s="9" t="n">
        <f aca="false">IF(E1702="",1,0)</f>
        <v>0</v>
      </c>
      <c r="W1702" s="9" t="n">
        <f aca="false">IF(OR(H1702&lt;1,H1702&gt;10),1,0)</f>
        <v>0</v>
      </c>
      <c r="X1702" s="9" t="n">
        <f aca="false">IF(OR(I1702&lt;=0,I1702&gt;1500),1,0)</f>
        <v>0</v>
      </c>
      <c r="Y1702" s="9" t="n">
        <f aca="false">IF(J1702&gt;H1702*I1702,1,0)</f>
        <v>0</v>
      </c>
      <c r="Z1702" s="9" t="n">
        <f aca="false">IF(AND(N1702&lt;&gt;"",OR(N1702&lt;1,N1702&gt;5)),1,0)</f>
        <v>0</v>
      </c>
      <c r="AA1702" s="9" t="n">
        <f aca="false">IF(AND(M1702&lt;&gt;"",OR(M1702&lt;5,M1702&gt;180)),1,0)</f>
        <v>0</v>
      </c>
      <c r="AB1702" s="7" t="str">
        <f aca="false">IF(P1702="DUP","Exact duplicate row",IF(T1702=1,"Missing Order ID",IF(S1702="DROP","Duplicate Order ID (less complete row)",IF(U1702=1,"Missing Customer ID",IF(V1702=1,"Missing Restaurant name",IF(W1702=1,"Invalid/outlier quantity",IF(X1702=1,"Invalid/outlier unit price",IF(Y1702=1,"Discount greater than order value",""))))))))</f>
        <v/>
      </c>
      <c r="AC1702" s="7" t="str">
        <f aca="false">IF(AB1702="","KEEP","DROP")</f>
        <v>KEEP</v>
      </c>
      <c r="AD1702" s="7" t="str">
        <f aca="false">IF(TRIM(F1702)="",IFERROR(INDEX(Map_Tables!$I$4:$I$37,MATCH(TRIM(E1702),Map_Tables!$G$4:$G$37,0)),""),IFERROR(INDEX(Map_Tables!$B$4:$B$18,MATCH(TRIM(F1702),Map_Tables!$A$4:$A$18,0)),"CHECK"))</f>
        <v>Delhi</v>
      </c>
      <c r="AE1702" s="7" t="str">
        <f aca="false">IF(TRIM(E1702)="","",IFERROR(INDEX(Map_Tables!$H$4:$H$37,MATCH(TRIM(E1702),Map_Tables!$G$4:$G$37,0)),"CHECK"))</f>
        <v>Chaat Corner</v>
      </c>
      <c r="AF1702" s="7" t="str">
        <f aca="false">IF(TRIM(K1702)="","Unknown",IFERROR(INDEX(Map_Tables!$E$4:$E$15,MATCH(TRIM(K1702),Map_Tables!$D$4:$D$15,0)),"CHECK"))</f>
        <v>Cash on Delivery</v>
      </c>
      <c r="AG1702" s="7" t="str">
        <f aca="false">IF(LEFT(LOWER(TRIM(L1702)),6)="cancel","Cancelled","Delivered")</f>
        <v>Delivered</v>
      </c>
      <c r="AH1702" s="10" t="n">
        <f aca="false">IF(ISNUMBER(SEARCH("/",B1702)),DATE(VALUE(RIGHT(B1702,4)),VALUE(MID(B1702,4,2)),VALUE(LEFT(B1702,2))),IF(MID(B1702,5,1)="-",DATE(VALUE(LEFT(B1702,4)),VALUE(MID(B1702,6,2)),VALUE(RIGHT(B1702,2))),DATE(VALUE(RIGHT(B1702,4)),MATCH(MID(B1702,4,3),{"Jan","Feb","Mar","Apr","May","Jun","Jul","Aug","Sep","Oct","Nov","Dec"},0),VALUE(LEFT(B1702,2)))))</f>
        <v>45946</v>
      </c>
    </row>
    <row r="1703" customFormat="false" ht="15" hidden="false" customHeight="false" outlineLevel="0" collapsed="false">
      <c r="A1703" s="7" t="s">
        <v>4274</v>
      </c>
      <c r="B1703" s="7" t="s">
        <v>3504</v>
      </c>
      <c r="C1703" s="7" t="s">
        <v>2454</v>
      </c>
      <c r="D1703" s="7" t="s">
        <v>1977</v>
      </c>
      <c r="E1703" s="7" t="s">
        <v>160</v>
      </c>
      <c r="F1703" s="7" t="s">
        <v>136</v>
      </c>
      <c r="G1703" s="7" t="s">
        <v>150</v>
      </c>
      <c r="H1703" s="7" t="n">
        <v>1</v>
      </c>
      <c r="I1703" s="7" t="n">
        <v>205</v>
      </c>
      <c r="J1703" s="7" t="n">
        <v>0</v>
      </c>
      <c r="K1703" s="7" t="s">
        <v>229</v>
      </c>
      <c r="L1703" s="7" t="s">
        <v>194</v>
      </c>
      <c r="M1703" s="7" t="n">
        <v>28</v>
      </c>
      <c r="N1703" s="7" t="n">
        <v>5</v>
      </c>
      <c r="O1703" s="7" t="str">
        <f aca="false">A1703&amp;"|"&amp;B1703&amp;"|"&amp;C1703&amp;"|"&amp;D1703&amp;"|"&amp;E1703&amp;"|"&amp;F1703&amp;"|"&amp;G1703&amp;"|"&amp;H1703&amp;"|"&amp;I1703&amp;"|"&amp;J1703&amp;"|"&amp;K1703&amp;"|"&amp;L1703&amp;"|"&amp;M1703&amp;"|"&amp;N1703</f>
        <v>ORD11668|2025-08-06|10:54|C0689|Cake Walk|Pune|Desserts|1|205|0|Upi|Delivered|28|5</v>
      </c>
      <c r="P1703" s="7" t="str">
        <f aca="false">IF(COUNTIF($O$2:O1703,O1703)&gt;1,"DUP","OK")</f>
        <v>OK</v>
      </c>
      <c r="Q1703" s="7" t="n">
        <f aca="false">COUNTBLANK(A1703:N1703)</f>
        <v>0</v>
      </c>
      <c r="R1703" s="7" t="n">
        <f aca="false">IF(A1703="",0,COUNTIFS($A$2:$A$3058,A1703,$P$2:$P$3058,"OK"))</f>
        <v>1</v>
      </c>
      <c r="S1703" s="7" t="str">
        <f aca="false">IF(OR(A1703="",P1703="DUP",R1703&lt;2),"",IF(Q1703=_xlfn.MINIFS($Q$2:$Q$3058,$A$2:$A$3058,A1703,$P$2:$P$3058,"OK"),"KEEP","DROP"))</f>
        <v/>
      </c>
      <c r="T1703" s="9" t="n">
        <f aca="false">IF(A1703="",1,0)</f>
        <v>0</v>
      </c>
      <c r="U1703" s="9" t="n">
        <f aca="false">IF(D1703="",1,0)</f>
        <v>0</v>
      </c>
      <c r="V1703" s="9" t="n">
        <f aca="false">IF(E1703="",1,0)</f>
        <v>0</v>
      </c>
      <c r="W1703" s="9" t="n">
        <f aca="false">IF(OR(H1703&lt;1,H1703&gt;10),1,0)</f>
        <v>0</v>
      </c>
      <c r="X1703" s="9" t="n">
        <f aca="false">IF(OR(I1703&lt;=0,I1703&gt;1500),1,0)</f>
        <v>0</v>
      </c>
      <c r="Y1703" s="9" t="n">
        <f aca="false">IF(J1703&gt;H1703*I1703,1,0)</f>
        <v>0</v>
      </c>
      <c r="Z1703" s="9" t="n">
        <f aca="false">IF(AND(N1703&lt;&gt;"",OR(N1703&lt;1,N1703&gt;5)),1,0)</f>
        <v>0</v>
      </c>
      <c r="AA1703" s="9" t="n">
        <f aca="false">IF(AND(M1703&lt;&gt;"",OR(M1703&lt;5,M1703&gt;180)),1,0)</f>
        <v>0</v>
      </c>
      <c r="AB1703" s="7" t="str">
        <f aca="false">IF(P1703="DUP","Exact duplicate row",IF(T1703=1,"Missing Order ID",IF(S1703="DROP","Duplicate Order ID (less complete row)",IF(U1703=1,"Missing Customer ID",IF(V1703=1,"Missing Restaurant name",IF(W1703=1,"Invalid/outlier quantity",IF(X1703=1,"Invalid/outlier unit price",IF(Y1703=1,"Discount greater than order value",""))))))))</f>
        <v/>
      </c>
      <c r="AC1703" s="7" t="str">
        <f aca="false">IF(AB1703="","KEEP","DROP")</f>
        <v>KEEP</v>
      </c>
      <c r="AD1703" s="7" t="str">
        <f aca="false">IF(TRIM(F1703)="",IFERROR(INDEX(Map_Tables!$I$4:$I$37,MATCH(TRIM(E1703),Map_Tables!$G$4:$G$37,0)),""),IFERROR(INDEX(Map_Tables!$B$4:$B$18,MATCH(TRIM(F1703),Map_Tables!$A$4:$A$18,0)),"CHECK"))</f>
        <v>Pune</v>
      </c>
      <c r="AE1703" s="7" t="str">
        <f aca="false">IF(TRIM(E1703)="","",IFERROR(INDEX(Map_Tables!$H$4:$H$37,MATCH(TRIM(E1703),Map_Tables!$G$4:$G$37,0)),"CHECK"))</f>
        <v>Cake Walk</v>
      </c>
      <c r="AF1703" s="7" t="str">
        <f aca="false">IF(TRIM(K1703)="","Unknown",IFERROR(INDEX(Map_Tables!$E$4:$E$15,MATCH(TRIM(K1703),Map_Tables!$D$4:$D$15,0)),"CHECK"))</f>
        <v>UPI</v>
      </c>
      <c r="AG1703" s="7" t="str">
        <f aca="false">IF(LEFT(LOWER(TRIM(L1703)),6)="cancel","Cancelled","Delivered")</f>
        <v>Delivered</v>
      </c>
      <c r="AH1703" s="10" t="n">
        <f aca="false">IF(ISNUMBER(SEARCH("/",B1703)),DATE(VALUE(RIGHT(B1703,4)),VALUE(MID(B1703,4,2)),VALUE(LEFT(B1703,2))),IF(MID(B1703,5,1)="-",DATE(VALUE(LEFT(B1703,4)),VALUE(MID(B1703,6,2)),VALUE(RIGHT(B1703,2))),DATE(VALUE(RIGHT(B1703,4)),MATCH(MID(B1703,4,3),{"Jan","Feb","Mar","Apr","May","Jun","Jul","Aug","Sep","Oct","Nov","Dec"},0),VALUE(LEFT(B1703,2)))))</f>
        <v>45875</v>
      </c>
    </row>
    <row r="1704" customFormat="false" ht="15" hidden="false" customHeight="false" outlineLevel="0" collapsed="false">
      <c r="A1704" s="7" t="s">
        <v>4275</v>
      </c>
      <c r="B1704" s="7" t="s">
        <v>4276</v>
      </c>
      <c r="C1704" s="7" t="s">
        <v>2966</v>
      </c>
      <c r="D1704" s="7" t="s">
        <v>4237</v>
      </c>
      <c r="E1704" s="7" t="s">
        <v>168</v>
      </c>
      <c r="F1704" s="7" t="s">
        <v>1327</v>
      </c>
      <c r="G1704" s="7" t="s">
        <v>123</v>
      </c>
      <c r="H1704" s="7" t="n">
        <v>2</v>
      </c>
      <c r="I1704" s="7" t="n">
        <v>335</v>
      </c>
      <c r="J1704" s="7" t="n">
        <v>40</v>
      </c>
      <c r="K1704" s="7" t="s">
        <v>103</v>
      </c>
      <c r="L1704" s="7" t="s">
        <v>194</v>
      </c>
      <c r="M1704" s="7" t="n">
        <v>30</v>
      </c>
      <c r="N1704" s="7" t="n">
        <v>3</v>
      </c>
      <c r="O1704" s="7" t="str">
        <f aca="false">A1704&amp;"|"&amp;B1704&amp;"|"&amp;C1704&amp;"|"&amp;D1704&amp;"|"&amp;E1704&amp;"|"&amp;F1704&amp;"|"&amp;G1704&amp;"|"&amp;H1704&amp;"|"&amp;I1704&amp;"|"&amp;J1704&amp;"|"&amp;K1704&amp;"|"&amp;L1704&amp;"|"&amp;M1704&amp;"|"&amp;N1704</f>
        <v>ORD11556|2025-07-22|09:31|C0683|Cheesy Slice|Ahmedabad |Pizza|2|335|40|Debit Card|Delivered|30|3</v>
      </c>
      <c r="P1704" s="7" t="str">
        <f aca="false">IF(COUNTIF($O$2:O1704,O1704)&gt;1,"DUP","OK")</f>
        <v>OK</v>
      </c>
      <c r="Q1704" s="7" t="n">
        <f aca="false">COUNTBLANK(A1704:N1704)</f>
        <v>0</v>
      </c>
      <c r="R1704" s="7" t="n">
        <f aca="false">IF(A1704="",0,COUNTIFS($A$2:$A$3058,A1704,$P$2:$P$3058,"OK"))</f>
        <v>1</v>
      </c>
      <c r="S1704" s="7" t="str">
        <f aca="false">IF(OR(A1704="",P1704="DUP",R1704&lt;2),"",IF(Q1704=_xlfn.MINIFS($Q$2:$Q$3058,$A$2:$A$3058,A1704,$P$2:$P$3058,"OK"),"KEEP","DROP"))</f>
        <v/>
      </c>
      <c r="T1704" s="9" t="n">
        <f aca="false">IF(A1704="",1,0)</f>
        <v>0</v>
      </c>
      <c r="U1704" s="9" t="n">
        <f aca="false">IF(D1704="",1,0)</f>
        <v>0</v>
      </c>
      <c r="V1704" s="9" t="n">
        <f aca="false">IF(E1704="",1,0)</f>
        <v>0</v>
      </c>
      <c r="W1704" s="9" t="n">
        <f aca="false">IF(OR(H1704&lt;1,H1704&gt;10),1,0)</f>
        <v>0</v>
      </c>
      <c r="X1704" s="9" t="n">
        <f aca="false">IF(OR(I1704&lt;=0,I1704&gt;1500),1,0)</f>
        <v>0</v>
      </c>
      <c r="Y1704" s="9" t="n">
        <f aca="false">IF(J1704&gt;H1704*I1704,1,0)</f>
        <v>0</v>
      </c>
      <c r="Z1704" s="9" t="n">
        <f aca="false">IF(AND(N1704&lt;&gt;"",OR(N1704&lt;1,N1704&gt;5)),1,0)</f>
        <v>0</v>
      </c>
      <c r="AA1704" s="9" t="n">
        <f aca="false">IF(AND(M1704&lt;&gt;"",OR(M1704&lt;5,M1704&gt;180)),1,0)</f>
        <v>0</v>
      </c>
      <c r="AB1704" s="7" t="str">
        <f aca="false">IF(P1704="DUP","Exact duplicate row",IF(T1704=1,"Missing Order ID",IF(S1704="DROP","Duplicate Order ID (less complete row)",IF(U1704=1,"Missing Customer ID",IF(V1704=1,"Missing Restaurant name",IF(W1704=1,"Invalid/outlier quantity",IF(X1704=1,"Invalid/outlier unit price",IF(Y1704=1,"Discount greater than order value",""))))))))</f>
        <v/>
      </c>
      <c r="AC1704" s="7" t="str">
        <f aca="false">IF(AB1704="","KEEP","DROP")</f>
        <v>KEEP</v>
      </c>
      <c r="AD1704" s="7" t="str">
        <f aca="false">IF(TRIM(F1704)="",IFERROR(INDEX(Map_Tables!$I$4:$I$37,MATCH(TRIM(E1704),Map_Tables!$G$4:$G$37,0)),""),IFERROR(INDEX(Map_Tables!$B$4:$B$18,MATCH(TRIM(F1704),Map_Tables!$A$4:$A$18,0)),"CHECK"))</f>
        <v>Ahmedabad</v>
      </c>
      <c r="AE1704" s="7" t="str">
        <f aca="false">IF(TRIM(E1704)="","",IFERROR(INDEX(Map_Tables!$H$4:$H$37,MATCH(TRIM(E1704),Map_Tables!$G$4:$G$37,0)),"CHECK"))</f>
        <v>Cheesy Slice</v>
      </c>
      <c r="AF1704" s="7" t="str">
        <f aca="false">IF(TRIM(K1704)="","Unknown",IFERROR(INDEX(Map_Tables!$E$4:$E$15,MATCH(TRIM(K1704),Map_Tables!$D$4:$D$15,0)),"CHECK"))</f>
        <v>Debit Card</v>
      </c>
      <c r="AG1704" s="7" t="str">
        <f aca="false">IF(LEFT(LOWER(TRIM(L1704)),6)="cancel","Cancelled","Delivered")</f>
        <v>Delivered</v>
      </c>
      <c r="AH1704" s="10" t="n">
        <f aca="false">IF(ISNUMBER(SEARCH("/",B1704)),DATE(VALUE(RIGHT(B1704,4)),VALUE(MID(B1704,4,2)),VALUE(LEFT(B1704,2))),IF(MID(B1704,5,1)="-",DATE(VALUE(LEFT(B1704,4)),VALUE(MID(B1704,6,2)),VALUE(RIGHT(B1704,2))),DATE(VALUE(RIGHT(B1704,4)),MATCH(MID(B1704,4,3),{"Jan","Feb","Mar","Apr","May","Jun","Jul","Aug","Sep","Oct","Nov","Dec"},0),VALUE(LEFT(B1704,2)))))</f>
        <v>45860</v>
      </c>
    </row>
    <row r="1705" customFormat="false" ht="15" hidden="false" customHeight="false" outlineLevel="0" collapsed="false">
      <c r="A1705" s="7" t="s">
        <v>2305</v>
      </c>
      <c r="B1705" s="7" t="s">
        <v>629</v>
      </c>
      <c r="C1705" s="7" t="s">
        <v>668</v>
      </c>
      <c r="D1705" s="7" t="s">
        <v>2306</v>
      </c>
      <c r="E1705" s="7" t="s">
        <v>144</v>
      </c>
      <c r="F1705" s="7" t="s">
        <v>119</v>
      </c>
      <c r="G1705" s="7" t="s">
        <v>99</v>
      </c>
      <c r="H1705" s="7" t="n">
        <v>1</v>
      </c>
      <c r="I1705" s="7" t="n">
        <v>275</v>
      </c>
      <c r="J1705" s="7" t="n">
        <v>75</v>
      </c>
      <c r="K1705" s="7" t="s">
        <v>121</v>
      </c>
      <c r="L1705" s="7" t="s">
        <v>194</v>
      </c>
      <c r="M1705" s="7" t="n">
        <v>38</v>
      </c>
      <c r="N1705" s="7" t="n">
        <v>5</v>
      </c>
      <c r="O1705" s="7" t="str">
        <f aca="false">A1705&amp;"|"&amp;B1705&amp;"|"&amp;C1705&amp;"|"&amp;D1705&amp;"|"&amp;E1705&amp;"|"&amp;F1705&amp;"|"&amp;G1705&amp;"|"&amp;H1705&amp;"|"&amp;I1705&amp;"|"&amp;J1705&amp;"|"&amp;K1705&amp;"|"&amp;L1705&amp;"|"&amp;M1705&amp;"|"&amp;N1705</f>
        <v>ORD12088|2025-09-26|13:33|C0226|Hyderabad Dum Biryani|Hyderabad|Biryani|1|275|75|Wallet|Delivered|38|5</v>
      </c>
      <c r="P1705" s="7" t="str">
        <f aca="false">IF(COUNTIF($O$2:O1705,O1705)&gt;1,"DUP","OK")</f>
        <v>DUP</v>
      </c>
      <c r="Q1705" s="7" t="n">
        <f aca="false">COUNTBLANK(A1705:N1705)</f>
        <v>0</v>
      </c>
      <c r="R1705" s="7" t="n">
        <f aca="false">IF(A1705="",0,COUNTIFS($A$2:$A$3058,A1705,$P$2:$P$3058,"OK"))</f>
        <v>1</v>
      </c>
      <c r="S1705" s="7" t="str">
        <f aca="false">IF(OR(A1705="",P1705="DUP",R1705&lt;2),"",IF(Q1705=_xlfn.MINIFS($Q$2:$Q$3058,$A$2:$A$3058,A1705,$P$2:$P$3058,"OK"),"KEEP","DROP"))</f>
        <v/>
      </c>
      <c r="T1705" s="9" t="n">
        <f aca="false">IF(A1705="",1,0)</f>
        <v>0</v>
      </c>
      <c r="U1705" s="9" t="n">
        <f aca="false">IF(D1705="",1,0)</f>
        <v>0</v>
      </c>
      <c r="V1705" s="9" t="n">
        <f aca="false">IF(E1705="",1,0)</f>
        <v>0</v>
      </c>
      <c r="W1705" s="9" t="n">
        <f aca="false">IF(OR(H1705&lt;1,H1705&gt;10),1,0)</f>
        <v>0</v>
      </c>
      <c r="X1705" s="9" t="n">
        <f aca="false">IF(OR(I1705&lt;=0,I1705&gt;1500),1,0)</f>
        <v>0</v>
      </c>
      <c r="Y1705" s="9" t="n">
        <f aca="false">IF(J1705&gt;H1705*I1705,1,0)</f>
        <v>0</v>
      </c>
      <c r="Z1705" s="9" t="n">
        <f aca="false">IF(AND(N1705&lt;&gt;"",OR(N1705&lt;1,N1705&gt;5)),1,0)</f>
        <v>0</v>
      </c>
      <c r="AA1705" s="9" t="n">
        <f aca="false">IF(AND(M1705&lt;&gt;"",OR(M1705&lt;5,M1705&gt;180)),1,0)</f>
        <v>0</v>
      </c>
      <c r="AB1705" s="7" t="str">
        <f aca="false">IF(P1705="DUP","Exact duplicate row",IF(T1705=1,"Missing Order ID",IF(S1705="DROP","Duplicate Order ID (less complete row)",IF(U1705=1,"Missing Customer ID",IF(V1705=1,"Missing Restaurant name",IF(W1705=1,"Invalid/outlier quantity",IF(X1705=1,"Invalid/outlier unit price",IF(Y1705=1,"Discount greater than order value",""))))))))</f>
        <v>Exact duplicate row</v>
      </c>
      <c r="AC1705" s="7" t="str">
        <f aca="false">IF(AB1705="","KEEP","DROP")</f>
        <v>DROP</v>
      </c>
      <c r="AD1705" s="7" t="str">
        <f aca="false">IF(TRIM(F1705)="",IFERROR(INDEX(Map_Tables!$I$4:$I$37,MATCH(TRIM(E1705),Map_Tables!$G$4:$G$37,0)),""),IFERROR(INDEX(Map_Tables!$B$4:$B$18,MATCH(TRIM(F1705),Map_Tables!$A$4:$A$18,0)),"CHECK"))</f>
        <v>Hyderabad</v>
      </c>
      <c r="AE1705" s="7" t="str">
        <f aca="false">IF(TRIM(E1705)="","",IFERROR(INDEX(Map_Tables!$H$4:$H$37,MATCH(TRIM(E1705),Map_Tables!$G$4:$G$37,0)),"CHECK"))</f>
        <v>Hyderabad Dum Biryani</v>
      </c>
      <c r="AF1705" s="7" t="str">
        <f aca="false">IF(TRIM(K1705)="","Unknown",IFERROR(INDEX(Map_Tables!$E$4:$E$15,MATCH(TRIM(K1705),Map_Tables!$D$4:$D$15,0)),"CHECK"))</f>
        <v>Wallet</v>
      </c>
      <c r="AG1705" s="7" t="str">
        <f aca="false">IF(LEFT(LOWER(TRIM(L1705)),6)="cancel","Cancelled","Delivered")</f>
        <v>Delivered</v>
      </c>
      <c r="AH1705" s="10" t="n">
        <f aca="false">IF(ISNUMBER(SEARCH("/",B1705)),DATE(VALUE(RIGHT(B1705,4)),VALUE(MID(B1705,4,2)),VALUE(LEFT(B1705,2))),IF(MID(B1705,5,1)="-",DATE(VALUE(LEFT(B1705,4)),VALUE(MID(B1705,6,2)),VALUE(RIGHT(B1705,2))),DATE(VALUE(RIGHT(B1705,4)),MATCH(MID(B1705,4,3),{"Jan","Feb","Mar","Apr","May","Jun","Jul","Aug","Sep","Oct","Nov","Dec"},0),VALUE(LEFT(B1705,2)))))</f>
        <v>45926</v>
      </c>
    </row>
    <row r="1706" customFormat="false" ht="15" hidden="false" customHeight="false" outlineLevel="0" collapsed="false">
      <c r="A1706" s="7" t="s">
        <v>4277</v>
      </c>
      <c r="B1706" s="7" t="s">
        <v>2632</v>
      </c>
      <c r="C1706" s="7" t="s">
        <v>4278</v>
      </c>
      <c r="D1706" s="7" t="s">
        <v>1333</v>
      </c>
      <c r="E1706" s="7" t="s">
        <v>163</v>
      </c>
      <c r="F1706" s="7" t="s">
        <v>141</v>
      </c>
      <c r="G1706" s="7" t="s">
        <v>99</v>
      </c>
      <c r="H1706" s="7" t="n">
        <v>5</v>
      </c>
      <c r="I1706" s="7" t="n">
        <v>235</v>
      </c>
      <c r="J1706" s="7" t="n">
        <v>0</v>
      </c>
      <c r="K1706" s="7" t="s">
        <v>88</v>
      </c>
      <c r="L1706" s="7" t="s">
        <v>194</v>
      </c>
      <c r="M1706" s="7" t="n">
        <v>35</v>
      </c>
      <c r="N1706" s="7" t="n">
        <v>5</v>
      </c>
      <c r="O1706" s="7" t="str">
        <f aca="false">A1706&amp;"|"&amp;B1706&amp;"|"&amp;C1706&amp;"|"&amp;D1706&amp;"|"&amp;E1706&amp;"|"&amp;F1706&amp;"|"&amp;G1706&amp;"|"&amp;H1706&amp;"|"&amp;I1706&amp;"|"&amp;J1706&amp;"|"&amp;K1706&amp;"|"&amp;L1706&amp;"|"&amp;M1706&amp;"|"&amp;N1706</f>
        <v>ORD10009|2025-01-02|12:37|C0411|Biryani Baadshah|Kolkata|Biryani|5|235|0|UPI|Delivered|35|5</v>
      </c>
      <c r="P1706" s="7" t="str">
        <f aca="false">IF(COUNTIF($O$2:O1706,O1706)&gt;1,"DUP","OK")</f>
        <v>OK</v>
      </c>
      <c r="Q1706" s="7" t="n">
        <f aca="false">COUNTBLANK(A1706:N1706)</f>
        <v>0</v>
      </c>
      <c r="R1706" s="7" t="n">
        <f aca="false">IF(A1706="",0,COUNTIFS($A$2:$A$3058,A1706,$P$2:$P$3058,"OK"))</f>
        <v>1</v>
      </c>
      <c r="S1706" s="7" t="str">
        <f aca="false">IF(OR(A1706="",P1706="DUP",R1706&lt;2),"",IF(Q1706=_xlfn.MINIFS($Q$2:$Q$3058,$A$2:$A$3058,A1706,$P$2:$P$3058,"OK"),"KEEP","DROP"))</f>
        <v/>
      </c>
      <c r="T1706" s="9" t="n">
        <f aca="false">IF(A1706="",1,0)</f>
        <v>0</v>
      </c>
      <c r="U1706" s="9" t="n">
        <f aca="false">IF(D1706="",1,0)</f>
        <v>0</v>
      </c>
      <c r="V1706" s="9" t="n">
        <f aca="false">IF(E1706="",1,0)</f>
        <v>0</v>
      </c>
      <c r="W1706" s="9" t="n">
        <f aca="false">IF(OR(H1706&lt;1,H1706&gt;10),1,0)</f>
        <v>0</v>
      </c>
      <c r="X1706" s="9" t="n">
        <f aca="false">IF(OR(I1706&lt;=0,I1706&gt;1500),1,0)</f>
        <v>0</v>
      </c>
      <c r="Y1706" s="9" t="n">
        <f aca="false">IF(J1706&gt;H1706*I1706,1,0)</f>
        <v>0</v>
      </c>
      <c r="Z1706" s="9" t="n">
        <f aca="false">IF(AND(N1706&lt;&gt;"",OR(N1706&lt;1,N1706&gt;5)),1,0)</f>
        <v>0</v>
      </c>
      <c r="AA1706" s="9" t="n">
        <f aca="false">IF(AND(M1706&lt;&gt;"",OR(M1706&lt;5,M1706&gt;180)),1,0)</f>
        <v>0</v>
      </c>
      <c r="AB1706" s="7" t="str">
        <f aca="false">IF(P1706="DUP","Exact duplicate row",IF(T1706=1,"Missing Order ID",IF(S1706="DROP","Duplicate Order ID (less complete row)",IF(U1706=1,"Missing Customer ID",IF(V1706=1,"Missing Restaurant name",IF(W1706=1,"Invalid/outlier quantity",IF(X1706=1,"Invalid/outlier unit price",IF(Y1706=1,"Discount greater than order value",""))))))))</f>
        <v/>
      </c>
      <c r="AC1706" s="7" t="str">
        <f aca="false">IF(AB1706="","KEEP","DROP")</f>
        <v>KEEP</v>
      </c>
      <c r="AD1706" s="7" t="str">
        <f aca="false">IF(TRIM(F1706)="",IFERROR(INDEX(Map_Tables!$I$4:$I$37,MATCH(TRIM(E1706),Map_Tables!$G$4:$G$37,0)),""),IFERROR(INDEX(Map_Tables!$B$4:$B$18,MATCH(TRIM(F1706),Map_Tables!$A$4:$A$18,0)),"CHECK"))</f>
        <v>Kolkata</v>
      </c>
      <c r="AE1706" s="7" t="str">
        <f aca="false">IF(TRIM(E1706)="","",IFERROR(INDEX(Map_Tables!$H$4:$H$37,MATCH(TRIM(E1706),Map_Tables!$G$4:$G$37,0)),"CHECK"))</f>
        <v>Biryani Baadshah</v>
      </c>
      <c r="AF1706" s="7" t="str">
        <f aca="false">IF(TRIM(K1706)="","Unknown",IFERROR(INDEX(Map_Tables!$E$4:$E$15,MATCH(TRIM(K1706),Map_Tables!$D$4:$D$15,0)),"CHECK"))</f>
        <v>UPI</v>
      </c>
      <c r="AG1706" s="7" t="str">
        <f aca="false">IF(LEFT(LOWER(TRIM(L1706)),6)="cancel","Cancelled","Delivered")</f>
        <v>Delivered</v>
      </c>
      <c r="AH1706" s="10" t="n">
        <f aca="false">IF(ISNUMBER(SEARCH("/",B1706)),DATE(VALUE(RIGHT(B1706,4)),VALUE(MID(B1706,4,2)),VALUE(LEFT(B1706,2))),IF(MID(B1706,5,1)="-",DATE(VALUE(LEFT(B1706,4)),VALUE(MID(B1706,6,2)),VALUE(RIGHT(B1706,2))),DATE(VALUE(RIGHT(B1706,4)),MATCH(MID(B1706,4,3),{"Jan","Feb","Mar","Apr","May","Jun","Jul","Aug","Sep","Oct","Nov","Dec"},0),VALUE(LEFT(B1706,2)))))</f>
        <v>45659</v>
      </c>
    </row>
    <row r="1707" customFormat="false" ht="15" hidden="false" customHeight="false" outlineLevel="0" collapsed="false">
      <c r="A1707" s="7" t="s">
        <v>4279</v>
      </c>
      <c r="B1707" s="7" t="s">
        <v>835</v>
      </c>
      <c r="C1707" s="7" t="s">
        <v>2676</v>
      </c>
      <c r="D1707" s="7" t="s">
        <v>1385</v>
      </c>
      <c r="E1707" s="7" t="s">
        <v>104</v>
      </c>
      <c r="F1707" s="7" t="s">
        <v>86</v>
      </c>
      <c r="G1707" s="7" t="s">
        <v>531</v>
      </c>
      <c r="H1707" s="7" t="n">
        <v>4</v>
      </c>
      <c r="I1707" s="7" t="n">
        <v>230</v>
      </c>
      <c r="J1707" s="7" t="n">
        <v>30</v>
      </c>
      <c r="K1707" s="7" t="s">
        <v>112</v>
      </c>
      <c r="L1707" s="7" t="s">
        <v>194</v>
      </c>
      <c r="M1707" s="7" t="n">
        <v>55</v>
      </c>
      <c r="N1707" s="7" t="n">
        <v>4</v>
      </c>
      <c r="O1707" s="7" t="str">
        <f aca="false">A1707&amp;"|"&amp;B1707&amp;"|"&amp;C1707&amp;"|"&amp;D1707&amp;"|"&amp;E1707&amp;"|"&amp;F1707&amp;"|"&amp;G1707&amp;"|"&amp;H1707&amp;"|"&amp;I1707&amp;"|"&amp;J1707&amp;"|"&amp;K1707&amp;"|"&amp;L1707&amp;"|"&amp;M1707&amp;"|"&amp;N1707</f>
        <v>ORD12965|2025-12-28|12:36|C0178|Wok &amp; Roll|Bengaluru|CHINESE|4|230|30|Cash on Delivery|Delivered|55|4</v>
      </c>
      <c r="P1707" s="7" t="str">
        <f aca="false">IF(COUNTIF($O$2:O1707,O1707)&gt;1,"DUP","OK")</f>
        <v>OK</v>
      </c>
      <c r="Q1707" s="7" t="n">
        <f aca="false">COUNTBLANK(A1707:N1707)</f>
        <v>0</v>
      </c>
      <c r="R1707" s="7" t="n">
        <f aca="false">IF(A1707="",0,COUNTIFS($A$2:$A$3058,A1707,$P$2:$P$3058,"OK"))</f>
        <v>1</v>
      </c>
      <c r="S1707" s="7" t="str">
        <f aca="false">IF(OR(A1707="",P1707="DUP",R1707&lt;2),"",IF(Q1707=_xlfn.MINIFS($Q$2:$Q$3058,$A$2:$A$3058,A1707,$P$2:$P$3058,"OK"),"KEEP","DROP"))</f>
        <v/>
      </c>
      <c r="T1707" s="9" t="n">
        <f aca="false">IF(A1707="",1,0)</f>
        <v>0</v>
      </c>
      <c r="U1707" s="9" t="n">
        <f aca="false">IF(D1707="",1,0)</f>
        <v>0</v>
      </c>
      <c r="V1707" s="9" t="n">
        <f aca="false">IF(E1707="",1,0)</f>
        <v>0</v>
      </c>
      <c r="W1707" s="9" t="n">
        <f aca="false">IF(OR(H1707&lt;1,H1707&gt;10),1,0)</f>
        <v>0</v>
      </c>
      <c r="X1707" s="9" t="n">
        <f aca="false">IF(OR(I1707&lt;=0,I1707&gt;1500),1,0)</f>
        <v>0</v>
      </c>
      <c r="Y1707" s="9" t="n">
        <f aca="false">IF(J1707&gt;H1707*I1707,1,0)</f>
        <v>0</v>
      </c>
      <c r="Z1707" s="9" t="n">
        <f aca="false">IF(AND(N1707&lt;&gt;"",OR(N1707&lt;1,N1707&gt;5)),1,0)</f>
        <v>0</v>
      </c>
      <c r="AA1707" s="9" t="n">
        <f aca="false">IF(AND(M1707&lt;&gt;"",OR(M1707&lt;5,M1707&gt;180)),1,0)</f>
        <v>0</v>
      </c>
      <c r="AB1707" s="7" t="str">
        <f aca="false">IF(P1707="DUP","Exact duplicate row",IF(T1707=1,"Missing Order ID",IF(S1707="DROP","Duplicate Order ID (less complete row)",IF(U1707=1,"Missing Customer ID",IF(V1707=1,"Missing Restaurant name",IF(W1707=1,"Invalid/outlier quantity",IF(X1707=1,"Invalid/outlier unit price",IF(Y1707=1,"Discount greater than order value",""))))))))</f>
        <v/>
      </c>
      <c r="AC1707" s="7" t="str">
        <f aca="false">IF(AB1707="","KEEP","DROP")</f>
        <v>KEEP</v>
      </c>
      <c r="AD1707" s="7" t="str">
        <f aca="false">IF(TRIM(F1707)="",IFERROR(INDEX(Map_Tables!$I$4:$I$37,MATCH(TRIM(E1707),Map_Tables!$G$4:$G$37,0)),""),IFERROR(INDEX(Map_Tables!$B$4:$B$18,MATCH(TRIM(F1707),Map_Tables!$A$4:$A$18,0)),"CHECK"))</f>
        <v>Bengaluru</v>
      </c>
      <c r="AE1707" s="7" t="str">
        <f aca="false">IF(TRIM(E1707)="","",IFERROR(INDEX(Map_Tables!$H$4:$H$37,MATCH(TRIM(E1707),Map_Tables!$G$4:$G$37,0)),"CHECK"))</f>
        <v>Wok &amp; Roll</v>
      </c>
      <c r="AF1707" s="7" t="str">
        <f aca="false">IF(TRIM(K1707)="","Unknown",IFERROR(INDEX(Map_Tables!$E$4:$E$15,MATCH(TRIM(K1707),Map_Tables!$D$4:$D$15,0)),"CHECK"))</f>
        <v>Cash on Delivery</v>
      </c>
      <c r="AG1707" s="7" t="str">
        <f aca="false">IF(LEFT(LOWER(TRIM(L1707)),6)="cancel","Cancelled","Delivered")</f>
        <v>Delivered</v>
      </c>
      <c r="AH1707" s="10" t="n">
        <f aca="false">IF(ISNUMBER(SEARCH("/",B1707)),DATE(VALUE(RIGHT(B1707,4)),VALUE(MID(B1707,4,2)),VALUE(LEFT(B1707,2))),IF(MID(B1707,5,1)="-",DATE(VALUE(LEFT(B1707,4)),VALUE(MID(B1707,6,2)),VALUE(RIGHT(B1707,2))),DATE(VALUE(RIGHT(B1707,4)),MATCH(MID(B1707,4,3),{"Jan","Feb","Mar","Apr","May","Jun","Jul","Aug","Sep","Oct","Nov","Dec"},0),VALUE(LEFT(B1707,2)))))</f>
        <v>46019</v>
      </c>
    </row>
    <row r="1708" customFormat="false" ht="15" hidden="false" customHeight="false" outlineLevel="0" collapsed="false">
      <c r="A1708" s="7" t="s">
        <v>4280</v>
      </c>
      <c r="B1708" s="7" t="s">
        <v>493</v>
      </c>
      <c r="C1708" s="7" t="s">
        <v>1985</v>
      </c>
      <c r="D1708" s="7" t="s">
        <v>277</v>
      </c>
      <c r="E1708" s="7" t="s">
        <v>149</v>
      </c>
      <c r="F1708" s="7" t="s">
        <v>119</v>
      </c>
      <c r="G1708" s="7" t="s">
        <v>150</v>
      </c>
      <c r="H1708" s="7" t="n">
        <v>1</v>
      </c>
      <c r="I1708" s="7" t="n">
        <v>175</v>
      </c>
      <c r="J1708" s="7" t="n">
        <v>0</v>
      </c>
      <c r="K1708" s="7"/>
      <c r="L1708" s="7" t="s">
        <v>194</v>
      </c>
      <c r="M1708" s="7" t="n">
        <v>26</v>
      </c>
      <c r="N1708" s="7" t="n">
        <v>5</v>
      </c>
      <c r="O1708" s="7" t="str">
        <f aca="false">A1708&amp;"|"&amp;B1708&amp;"|"&amp;C1708&amp;"|"&amp;D1708&amp;"|"&amp;E1708&amp;"|"&amp;F1708&amp;"|"&amp;G1708&amp;"|"&amp;H1708&amp;"|"&amp;I1708&amp;"|"&amp;J1708&amp;"|"&amp;K1708&amp;"|"&amp;L1708&amp;"|"&amp;M1708&amp;"|"&amp;N1708</f>
        <v>ORD10229|2025-01-31|21:55|C0365|Sweet Tooth Studio|Hyderabad|Desserts|1|175|0||Delivered|26|5</v>
      </c>
      <c r="P1708" s="7" t="str">
        <f aca="false">IF(COUNTIF($O$2:O1708,O1708)&gt;1,"DUP","OK")</f>
        <v>OK</v>
      </c>
      <c r="Q1708" s="7" t="n">
        <f aca="false">COUNTBLANK(A1708:N1708)</f>
        <v>1</v>
      </c>
      <c r="R1708" s="7" t="n">
        <f aca="false">IF(A1708="",0,COUNTIFS($A$2:$A$3058,A1708,$P$2:$P$3058,"OK"))</f>
        <v>1</v>
      </c>
      <c r="S1708" s="7" t="str">
        <f aca="false">IF(OR(A1708="",P1708="DUP",R1708&lt;2),"",IF(Q1708=_xlfn.MINIFS($Q$2:$Q$3058,$A$2:$A$3058,A1708,$P$2:$P$3058,"OK"),"KEEP","DROP"))</f>
        <v/>
      </c>
      <c r="T1708" s="9" t="n">
        <f aca="false">IF(A1708="",1,0)</f>
        <v>0</v>
      </c>
      <c r="U1708" s="9" t="n">
        <f aca="false">IF(D1708="",1,0)</f>
        <v>0</v>
      </c>
      <c r="V1708" s="9" t="n">
        <f aca="false">IF(E1708="",1,0)</f>
        <v>0</v>
      </c>
      <c r="W1708" s="9" t="n">
        <f aca="false">IF(OR(H1708&lt;1,H1708&gt;10),1,0)</f>
        <v>0</v>
      </c>
      <c r="X1708" s="9" t="n">
        <f aca="false">IF(OR(I1708&lt;=0,I1708&gt;1500),1,0)</f>
        <v>0</v>
      </c>
      <c r="Y1708" s="9" t="n">
        <f aca="false">IF(J1708&gt;H1708*I1708,1,0)</f>
        <v>0</v>
      </c>
      <c r="Z1708" s="9" t="n">
        <f aca="false">IF(AND(N1708&lt;&gt;"",OR(N1708&lt;1,N1708&gt;5)),1,0)</f>
        <v>0</v>
      </c>
      <c r="AA1708" s="9" t="n">
        <f aca="false">IF(AND(M1708&lt;&gt;"",OR(M1708&lt;5,M1708&gt;180)),1,0)</f>
        <v>0</v>
      </c>
      <c r="AB1708" s="7" t="str">
        <f aca="false">IF(P1708="DUP","Exact duplicate row",IF(T1708=1,"Missing Order ID",IF(S1708="DROP","Duplicate Order ID (less complete row)",IF(U1708=1,"Missing Customer ID",IF(V1708=1,"Missing Restaurant name",IF(W1708=1,"Invalid/outlier quantity",IF(X1708=1,"Invalid/outlier unit price",IF(Y1708=1,"Discount greater than order value",""))))))))</f>
        <v/>
      </c>
      <c r="AC1708" s="7" t="str">
        <f aca="false">IF(AB1708="","KEEP","DROP")</f>
        <v>KEEP</v>
      </c>
      <c r="AD1708" s="7" t="str">
        <f aca="false">IF(TRIM(F1708)="",IFERROR(INDEX(Map_Tables!$I$4:$I$37,MATCH(TRIM(E1708),Map_Tables!$G$4:$G$37,0)),""),IFERROR(INDEX(Map_Tables!$B$4:$B$18,MATCH(TRIM(F1708),Map_Tables!$A$4:$A$18,0)),"CHECK"))</f>
        <v>Hyderabad</v>
      </c>
      <c r="AE1708" s="7" t="str">
        <f aca="false">IF(TRIM(E1708)="","",IFERROR(INDEX(Map_Tables!$H$4:$H$37,MATCH(TRIM(E1708),Map_Tables!$G$4:$G$37,0)),"CHECK"))</f>
        <v>Sweet Tooth Studio</v>
      </c>
      <c r="AF1708" s="7" t="str">
        <f aca="false">IF(TRIM(K1708)="","Unknown",IFERROR(INDEX(Map_Tables!$E$4:$E$15,MATCH(TRIM(K1708),Map_Tables!$D$4:$D$15,0)),"CHECK"))</f>
        <v>Unknown</v>
      </c>
      <c r="AG1708" s="7" t="str">
        <f aca="false">IF(LEFT(LOWER(TRIM(L1708)),6)="cancel","Cancelled","Delivered")</f>
        <v>Delivered</v>
      </c>
      <c r="AH1708" s="10" t="n">
        <f aca="false">IF(ISNUMBER(SEARCH("/",B1708)),DATE(VALUE(RIGHT(B1708,4)),VALUE(MID(B1708,4,2)),VALUE(LEFT(B1708,2))),IF(MID(B1708,5,1)="-",DATE(VALUE(LEFT(B1708,4)),VALUE(MID(B1708,6,2)),VALUE(RIGHT(B1708,2))),DATE(VALUE(RIGHT(B1708,4)),MATCH(MID(B1708,4,3),{"Jan","Feb","Mar","Apr","May","Jun","Jul","Aug","Sep","Oct","Nov","Dec"},0),VALUE(LEFT(B1708,2)))))</f>
        <v>45688</v>
      </c>
    </row>
    <row r="1709" customFormat="false" ht="15" hidden="false" customHeight="false" outlineLevel="0" collapsed="false">
      <c r="A1709" s="7" t="s">
        <v>4281</v>
      </c>
      <c r="B1709" s="7" t="s">
        <v>2010</v>
      </c>
      <c r="C1709" s="7" t="s">
        <v>1586</v>
      </c>
      <c r="D1709" s="7" t="s">
        <v>2750</v>
      </c>
      <c r="E1709" s="7" t="s">
        <v>126</v>
      </c>
      <c r="F1709" s="7" t="s">
        <v>215</v>
      </c>
      <c r="G1709" s="7" t="s">
        <v>105</v>
      </c>
      <c r="H1709" s="7" t="n">
        <v>1</v>
      </c>
      <c r="I1709" s="7" t="n">
        <v>215</v>
      </c>
      <c r="J1709" s="7" t="n">
        <v>0</v>
      </c>
      <c r="K1709" s="7" t="s">
        <v>121</v>
      </c>
      <c r="L1709" s="7" t="s">
        <v>194</v>
      </c>
      <c r="M1709" s="7" t="n">
        <v>49</v>
      </c>
      <c r="N1709" s="7" t="n">
        <v>2</v>
      </c>
      <c r="O1709" s="7" t="str">
        <f aca="false">A1709&amp;"|"&amp;B1709&amp;"|"&amp;C1709&amp;"|"&amp;D1709&amp;"|"&amp;E1709&amp;"|"&amp;F1709&amp;"|"&amp;G1709&amp;"|"&amp;H1709&amp;"|"&amp;I1709&amp;"|"&amp;J1709&amp;"|"&amp;K1709&amp;"|"&amp;L1709&amp;"|"&amp;M1709&amp;"|"&amp;N1709</f>
        <v>ORD10490|2025-03-06|10:02|C0479|Dragon Express|MUMBAI|Chinese|1|215|0|Wallet|Delivered|49|2</v>
      </c>
      <c r="P1709" s="7" t="str">
        <f aca="false">IF(COUNTIF($O$2:O1709,O1709)&gt;1,"DUP","OK")</f>
        <v>OK</v>
      </c>
      <c r="Q1709" s="7" t="n">
        <f aca="false">COUNTBLANK(A1709:N1709)</f>
        <v>0</v>
      </c>
      <c r="R1709" s="7" t="n">
        <f aca="false">IF(A1709="",0,COUNTIFS($A$2:$A$3058,A1709,$P$2:$P$3058,"OK"))</f>
        <v>1</v>
      </c>
      <c r="S1709" s="7" t="str">
        <f aca="false">IF(OR(A1709="",P1709="DUP",R1709&lt;2),"",IF(Q1709=_xlfn.MINIFS($Q$2:$Q$3058,$A$2:$A$3058,A1709,$P$2:$P$3058,"OK"),"KEEP","DROP"))</f>
        <v/>
      </c>
      <c r="T1709" s="9" t="n">
        <f aca="false">IF(A1709="",1,0)</f>
        <v>0</v>
      </c>
      <c r="U1709" s="9" t="n">
        <f aca="false">IF(D1709="",1,0)</f>
        <v>0</v>
      </c>
      <c r="V1709" s="9" t="n">
        <f aca="false">IF(E1709="",1,0)</f>
        <v>0</v>
      </c>
      <c r="W1709" s="9" t="n">
        <f aca="false">IF(OR(H1709&lt;1,H1709&gt;10),1,0)</f>
        <v>0</v>
      </c>
      <c r="X1709" s="9" t="n">
        <f aca="false">IF(OR(I1709&lt;=0,I1709&gt;1500),1,0)</f>
        <v>0</v>
      </c>
      <c r="Y1709" s="9" t="n">
        <f aca="false">IF(J1709&gt;H1709*I1709,1,0)</f>
        <v>0</v>
      </c>
      <c r="Z1709" s="9" t="n">
        <f aca="false">IF(AND(N1709&lt;&gt;"",OR(N1709&lt;1,N1709&gt;5)),1,0)</f>
        <v>0</v>
      </c>
      <c r="AA1709" s="9" t="n">
        <f aca="false">IF(AND(M1709&lt;&gt;"",OR(M1709&lt;5,M1709&gt;180)),1,0)</f>
        <v>0</v>
      </c>
      <c r="AB1709" s="7" t="str">
        <f aca="false">IF(P1709="DUP","Exact duplicate row",IF(T1709=1,"Missing Order ID",IF(S1709="DROP","Duplicate Order ID (less complete row)",IF(U1709=1,"Missing Customer ID",IF(V1709=1,"Missing Restaurant name",IF(W1709=1,"Invalid/outlier quantity",IF(X1709=1,"Invalid/outlier unit price",IF(Y1709=1,"Discount greater than order value",""))))))))</f>
        <v/>
      </c>
      <c r="AC1709" s="7" t="str">
        <f aca="false">IF(AB1709="","KEEP","DROP")</f>
        <v>KEEP</v>
      </c>
      <c r="AD1709" s="7" t="str">
        <f aca="false">IF(TRIM(F1709)="",IFERROR(INDEX(Map_Tables!$I$4:$I$37,MATCH(TRIM(E1709),Map_Tables!$G$4:$G$37,0)),""),IFERROR(INDEX(Map_Tables!$B$4:$B$18,MATCH(TRIM(F1709),Map_Tables!$A$4:$A$18,0)),"CHECK"))</f>
        <v>Mumbai</v>
      </c>
      <c r="AE1709" s="7" t="str">
        <f aca="false">IF(TRIM(E1709)="","",IFERROR(INDEX(Map_Tables!$H$4:$H$37,MATCH(TRIM(E1709),Map_Tables!$G$4:$G$37,0)),"CHECK"))</f>
        <v>Dragon Express</v>
      </c>
      <c r="AF1709" s="7" t="str">
        <f aca="false">IF(TRIM(K1709)="","Unknown",IFERROR(INDEX(Map_Tables!$E$4:$E$15,MATCH(TRIM(K1709),Map_Tables!$D$4:$D$15,0)),"CHECK"))</f>
        <v>Wallet</v>
      </c>
      <c r="AG1709" s="7" t="str">
        <f aca="false">IF(LEFT(LOWER(TRIM(L1709)),6)="cancel","Cancelled","Delivered")</f>
        <v>Delivered</v>
      </c>
      <c r="AH1709" s="10" t="n">
        <f aca="false">IF(ISNUMBER(SEARCH("/",B1709)),DATE(VALUE(RIGHT(B1709,4)),VALUE(MID(B1709,4,2)),VALUE(LEFT(B1709,2))),IF(MID(B1709,5,1)="-",DATE(VALUE(LEFT(B1709,4)),VALUE(MID(B1709,6,2)),VALUE(RIGHT(B1709,2))),DATE(VALUE(RIGHT(B1709,4)),MATCH(MID(B1709,4,3),{"Jan","Feb","Mar","Apr","May","Jun","Jul","Aug","Sep","Oct","Nov","Dec"},0),VALUE(LEFT(B1709,2)))))</f>
        <v>45722</v>
      </c>
    </row>
    <row r="1710" customFormat="false" ht="15" hidden="false" customHeight="false" outlineLevel="0" collapsed="false">
      <c r="A1710" s="7" t="s">
        <v>4282</v>
      </c>
      <c r="B1710" s="7" t="s">
        <v>1733</v>
      </c>
      <c r="C1710" s="7" t="s">
        <v>403</v>
      </c>
      <c r="D1710" s="7" t="s">
        <v>4283</v>
      </c>
      <c r="E1710" s="7" t="s">
        <v>126</v>
      </c>
      <c r="F1710" s="7" t="s">
        <v>101</v>
      </c>
      <c r="G1710" s="7" t="s">
        <v>105</v>
      </c>
      <c r="H1710" s="7" t="n">
        <v>1</v>
      </c>
      <c r="I1710" s="7" t="n">
        <v>245</v>
      </c>
      <c r="J1710" s="7" t="n">
        <v>40</v>
      </c>
      <c r="K1710" s="7" t="s">
        <v>112</v>
      </c>
      <c r="L1710" s="7" t="s">
        <v>194</v>
      </c>
      <c r="M1710" s="7" t="n">
        <v>50</v>
      </c>
      <c r="N1710" s="7" t="n">
        <v>4</v>
      </c>
      <c r="O1710" s="7" t="str">
        <f aca="false">A1710&amp;"|"&amp;B1710&amp;"|"&amp;C1710&amp;"|"&amp;D1710&amp;"|"&amp;E1710&amp;"|"&amp;F1710&amp;"|"&amp;G1710&amp;"|"&amp;H1710&amp;"|"&amp;I1710&amp;"|"&amp;J1710&amp;"|"&amp;K1710&amp;"|"&amp;L1710&amp;"|"&amp;M1710&amp;"|"&amp;N1710</f>
        <v>ORD12591|2025-11-17|11:13|C0886|Dragon Express|Mumbai|Chinese|1|245|40|Cash on Delivery|Delivered|50|4</v>
      </c>
      <c r="P1710" s="7" t="str">
        <f aca="false">IF(COUNTIF($O$2:O1710,O1710)&gt;1,"DUP","OK")</f>
        <v>OK</v>
      </c>
      <c r="Q1710" s="7" t="n">
        <f aca="false">COUNTBLANK(A1710:N1710)</f>
        <v>0</v>
      </c>
      <c r="R1710" s="7" t="n">
        <f aca="false">IF(A1710="",0,COUNTIFS($A$2:$A$3058,A1710,$P$2:$P$3058,"OK"))</f>
        <v>1</v>
      </c>
      <c r="S1710" s="7" t="str">
        <f aca="false">IF(OR(A1710="",P1710="DUP",R1710&lt;2),"",IF(Q1710=_xlfn.MINIFS($Q$2:$Q$3058,$A$2:$A$3058,A1710,$P$2:$P$3058,"OK"),"KEEP","DROP"))</f>
        <v/>
      </c>
      <c r="T1710" s="9" t="n">
        <f aca="false">IF(A1710="",1,0)</f>
        <v>0</v>
      </c>
      <c r="U1710" s="9" t="n">
        <f aca="false">IF(D1710="",1,0)</f>
        <v>0</v>
      </c>
      <c r="V1710" s="9" t="n">
        <f aca="false">IF(E1710="",1,0)</f>
        <v>0</v>
      </c>
      <c r="W1710" s="9" t="n">
        <f aca="false">IF(OR(H1710&lt;1,H1710&gt;10),1,0)</f>
        <v>0</v>
      </c>
      <c r="X1710" s="9" t="n">
        <f aca="false">IF(OR(I1710&lt;=0,I1710&gt;1500),1,0)</f>
        <v>0</v>
      </c>
      <c r="Y1710" s="9" t="n">
        <f aca="false">IF(J1710&gt;H1710*I1710,1,0)</f>
        <v>0</v>
      </c>
      <c r="Z1710" s="9" t="n">
        <f aca="false">IF(AND(N1710&lt;&gt;"",OR(N1710&lt;1,N1710&gt;5)),1,0)</f>
        <v>0</v>
      </c>
      <c r="AA1710" s="9" t="n">
        <f aca="false">IF(AND(M1710&lt;&gt;"",OR(M1710&lt;5,M1710&gt;180)),1,0)</f>
        <v>0</v>
      </c>
      <c r="AB1710" s="7" t="str">
        <f aca="false">IF(P1710="DUP","Exact duplicate row",IF(T1710=1,"Missing Order ID",IF(S1710="DROP","Duplicate Order ID (less complete row)",IF(U1710=1,"Missing Customer ID",IF(V1710=1,"Missing Restaurant name",IF(W1710=1,"Invalid/outlier quantity",IF(X1710=1,"Invalid/outlier unit price",IF(Y1710=1,"Discount greater than order value",""))))))))</f>
        <v/>
      </c>
      <c r="AC1710" s="7" t="str">
        <f aca="false">IF(AB1710="","KEEP","DROP")</f>
        <v>KEEP</v>
      </c>
      <c r="AD1710" s="7" t="str">
        <f aca="false">IF(TRIM(F1710)="",IFERROR(INDEX(Map_Tables!$I$4:$I$37,MATCH(TRIM(E1710),Map_Tables!$G$4:$G$37,0)),""),IFERROR(INDEX(Map_Tables!$B$4:$B$18,MATCH(TRIM(F1710),Map_Tables!$A$4:$A$18,0)),"CHECK"))</f>
        <v>Mumbai</v>
      </c>
      <c r="AE1710" s="7" t="str">
        <f aca="false">IF(TRIM(E1710)="","",IFERROR(INDEX(Map_Tables!$H$4:$H$37,MATCH(TRIM(E1710),Map_Tables!$G$4:$G$37,0)),"CHECK"))</f>
        <v>Dragon Express</v>
      </c>
      <c r="AF1710" s="7" t="str">
        <f aca="false">IF(TRIM(K1710)="","Unknown",IFERROR(INDEX(Map_Tables!$E$4:$E$15,MATCH(TRIM(K1710),Map_Tables!$D$4:$D$15,0)),"CHECK"))</f>
        <v>Cash on Delivery</v>
      </c>
      <c r="AG1710" s="7" t="str">
        <f aca="false">IF(LEFT(LOWER(TRIM(L1710)),6)="cancel","Cancelled","Delivered")</f>
        <v>Delivered</v>
      </c>
      <c r="AH1710" s="10" t="n">
        <f aca="false">IF(ISNUMBER(SEARCH("/",B1710)),DATE(VALUE(RIGHT(B1710,4)),VALUE(MID(B1710,4,2)),VALUE(LEFT(B1710,2))),IF(MID(B1710,5,1)="-",DATE(VALUE(LEFT(B1710,4)),VALUE(MID(B1710,6,2)),VALUE(RIGHT(B1710,2))),DATE(VALUE(RIGHT(B1710,4)),MATCH(MID(B1710,4,3),{"Jan","Feb","Mar","Apr","May","Jun","Jul","Aug","Sep","Oct","Nov","Dec"},0),VALUE(LEFT(B1710,2)))))</f>
        <v>45978</v>
      </c>
    </row>
    <row r="1711" customFormat="false" ht="15" hidden="false" customHeight="false" outlineLevel="0" collapsed="false">
      <c r="A1711" s="7" t="s">
        <v>4284</v>
      </c>
      <c r="B1711" s="7" t="s">
        <v>1049</v>
      </c>
      <c r="C1711" s="7" t="s">
        <v>1358</v>
      </c>
      <c r="D1711" s="7" t="s">
        <v>4285</v>
      </c>
      <c r="E1711" s="7" t="s">
        <v>157</v>
      </c>
      <c r="F1711" s="7" t="s">
        <v>136</v>
      </c>
      <c r="G1711" s="7" t="s">
        <v>117</v>
      </c>
      <c r="H1711" s="7" t="n">
        <v>2</v>
      </c>
      <c r="I1711" s="7" t="n">
        <v>105</v>
      </c>
      <c r="J1711" s="7" t="n">
        <v>0</v>
      </c>
      <c r="K1711" s="7" t="s">
        <v>88</v>
      </c>
      <c r="L1711" s="7" t="s">
        <v>194</v>
      </c>
      <c r="M1711" s="7" t="n">
        <v>30</v>
      </c>
      <c r="N1711" s="7" t="n">
        <v>3</v>
      </c>
      <c r="O1711" s="7" t="str">
        <f aca="false">A1711&amp;"|"&amp;B1711&amp;"|"&amp;C1711&amp;"|"&amp;D1711&amp;"|"&amp;E1711&amp;"|"&amp;F1711&amp;"|"&amp;G1711&amp;"|"&amp;H1711&amp;"|"&amp;I1711&amp;"|"&amp;J1711&amp;"|"&amp;K1711&amp;"|"&amp;L1711&amp;"|"&amp;M1711&amp;"|"&amp;N1711</f>
        <v>ORD11666|2025-08-05|20:23|C0630|Misal Mantra|Pune|Street Food|2|105|0|UPI|Delivered|30|3</v>
      </c>
      <c r="P1711" s="7" t="str">
        <f aca="false">IF(COUNTIF($O$2:O1711,O1711)&gt;1,"DUP","OK")</f>
        <v>OK</v>
      </c>
      <c r="Q1711" s="7" t="n">
        <f aca="false">COUNTBLANK(A1711:N1711)</f>
        <v>0</v>
      </c>
      <c r="R1711" s="7" t="n">
        <f aca="false">IF(A1711="",0,COUNTIFS($A$2:$A$3058,A1711,$P$2:$P$3058,"OK"))</f>
        <v>1</v>
      </c>
      <c r="S1711" s="7" t="str">
        <f aca="false">IF(OR(A1711="",P1711="DUP",R1711&lt;2),"",IF(Q1711=_xlfn.MINIFS($Q$2:$Q$3058,$A$2:$A$3058,A1711,$P$2:$P$3058,"OK"),"KEEP","DROP"))</f>
        <v/>
      </c>
      <c r="T1711" s="9" t="n">
        <f aca="false">IF(A1711="",1,0)</f>
        <v>0</v>
      </c>
      <c r="U1711" s="9" t="n">
        <f aca="false">IF(D1711="",1,0)</f>
        <v>0</v>
      </c>
      <c r="V1711" s="9" t="n">
        <f aca="false">IF(E1711="",1,0)</f>
        <v>0</v>
      </c>
      <c r="W1711" s="9" t="n">
        <f aca="false">IF(OR(H1711&lt;1,H1711&gt;10),1,0)</f>
        <v>0</v>
      </c>
      <c r="X1711" s="9" t="n">
        <f aca="false">IF(OR(I1711&lt;=0,I1711&gt;1500),1,0)</f>
        <v>0</v>
      </c>
      <c r="Y1711" s="9" t="n">
        <f aca="false">IF(J1711&gt;H1711*I1711,1,0)</f>
        <v>0</v>
      </c>
      <c r="Z1711" s="9" t="n">
        <f aca="false">IF(AND(N1711&lt;&gt;"",OR(N1711&lt;1,N1711&gt;5)),1,0)</f>
        <v>0</v>
      </c>
      <c r="AA1711" s="9" t="n">
        <f aca="false">IF(AND(M1711&lt;&gt;"",OR(M1711&lt;5,M1711&gt;180)),1,0)</f>
        <v>0</v>
      </c>
      <c r="AB1711" s="7" t="str">
        <f aca="false">IF(P1711="DUP","Exact duplicate row",IF(T1711=1,"Missing Order ID",IF(S1711="DROP","Duplicate Order ID (less complete row)",IF(U1711=1,"Missing Customer ID",IF(V1711=1,"Missing Restaurant name",IF(W1711=1,"Invalid/outlier quantity",IF(X1711=1,"Invalid/outlier unit price",IF(Y1711=1,"Discount greater than order value",""))))))))</f>
        <v/>
      </c>
      <c r="AC1711" s="7" t="str">
        <f aca="false">IF(AB1711="","KEEP","DROP")</f>
        <v>KEEP</v>
      </c>
      <c r="AD1711" s="7" t="str">
        <f aca="false">IF(TRIM(F1711)="",IFERROR(INDEX(Map_Tables!$I$4:$I$37,MATCH(TRIM(E1711),Map_Tables!$G$4:$G$37,0)),""),IFERROR(INDEX(Map_Tables!$B$4:$B$18,MATCH(TRIM(F1711),Map_Tables!$A$4:$A$18,0)),"CHECK"))</f>
        <v>Pune</v>
      </c>
      <c r="AE1711" s="7" t="str">
        <f aca="false">IF(TRIM(E1711)="","",IFERROR(INDEX(Map_Tables!$H$4:$H$37,MATCH(TRIM(E1711),Map_Tables!$G$4:$G$37,0)),"CHECK"))</f>
        <v>Misal Mantra</v>
      </c>
      <c r="AF1711" s="7" t="str">
        <f aca="false">IF(TRIM(K1711)="","Unknown",IFERROR(INDEX(Map_Tables!$E$4:$E$15,MATCH(TRIM(K1711),Map_Tables!$D$4:$D$15,0)),"CHECK"))</f>
        <v>UPI</v>
      </c>
      <c r="AG1711" s="7" t="str">
        <f aca="false">IF(LEFT(LOWER(TRIM(L1711)),6)="cancel","Cancelled","Delivered")</f>
        <v>Delivered</v>
      </c>
      <c r="AH1711" s="10" t="n">
        <f aca="false">IF(ISNUMBER(SEARCH("/",B1711)),DATE(VALUE(RIGHT(B1711,4)),VALUE(MID(B1711,4,2)),VALUE(LEFT(B1711,2))),IF(MID(B1711,5,1)="-",DATE(VALUE(LEFT(B1711,4)),VALUE(MID(B1711,6,2)),VALUE(RIGHT(B1711,2))),DATE(VALUE(RIGHT(B1711,4)),MATCH(MID(B1711,4,3),{"Jan","Feb","Mar","Apr","May","Jun","Jul","Aug","Sep","Oct","Nov","Dec"},0),VALUE(LEFT(B1711,2)))))</f>
        <v>45874</v>
      </c>
    </row>
    <row r="1712" customFormat="false" ht="15" hidden="false" customHeight="false" outlineLevel="0" collapsed="false">
      <c r="A1712" s="7" t="s">
        <v>4286</v>
      </c>
      <c r="B1712" s="7" t="s">
        <v>477</v>
      </c>
      <c r="C1712" s="7" t="s">
        <v>4287</v>
      </c>
      <c r="D1712" s="7" t="s">
        <v>4288</v>
      </c>
      <c r="E1712" s="7" t="s">
        <v>89</v>
      </c>
      <c r="F1712" s="7" t="s">
        <v>729</v>
      </c>
      <c r="G1712" s="7" t="s">
        <v>90</v>
      </c>
      <c r="H1712" s="7" t="n">
        <v>4</v>
      </c>
      <c r="I1712" s="7" t="n">
        <v>230</v>
      </c>
      <c r="J1712" s="7" t="n">
        <v>0</v>
      </c>
      <c r="K1712" s="7" t="s">
        <v>103</v>
      </c>
      <c r="L1712" s="7" t="s">
        <v>238</v>
      </c>
      <c r="M1712" s="7"/>
      <c r="N1712" s="7"/>
      <c r="O1712" s="7" t="str">
        <f aca="false">A1712&amp;"|"&amp;B1712&amp;"|"&amp;C1712&amp;"|"&amp;D1712&amp;"|"&amp;E1712&amp;"|"&amp;F1712&amp;"|"&amp;G1712&amp;"|"&amp;H1712&amp;"|"&amp;I1712&amp;"|"&amp;J1712&amp;"|"&amp;K1712&amp;"|"&amp;L1712&amp;"|"&amp;M1712&amp;"|"&amp;N1712</f>
        <v>ORD10830|2025-04-16|08:24|C0890|Spice Junction|BENGALURU|North Indian|4|230|0|Debit Card|Cancelled||</v>
      </c>
      <c r="P1712" s="7" t="str">
        <f aca="false">IF(COUNTIF($O$2:O1712,O1712)&gt;1,"DUP","OK")</f>
        <v>OK</v>
      </c>
      <c r="Q1712" s="7" t="n">
        <f aca="false">COUNTBLANK(A1712:N1712)</f>
        <v>2</v>
      </c>
      <c r="R1712" s="7" t="n">
        <f aca="false">IF(A1712="",0,COUNTIFS($A$2:$A$3058,A1712,$P$2:$P$3058,"OK"))</f>
        <v>1</v>
      </c>
      <c r="S1712" s="7" t="str">
        <f aca="false">IF(OR(A1712="",P1712="DUP",R1712&lt;2),"",IF(Q1712=_xlfn.MINIFS($Q$2:$Q$3058,$A$2:$A$3058,A1712,$P$2:$P$3058,"OK"),"KEEP","DROP"))</f>
        <v/>
      </c>
      <c r="T1712" s="9" t="n">
        <f aca="false">IF(A1712="",1,0)</f>
        <v>0</v>
      </c>
      <c r="U1712" s="9" t="n">
        <f aca="false">IF(D1712="",1,0)</f>
        <v>0</v>
      </c>
      <c r="V1712" s="9" t="n">
        <f aca="false">IF(E1712="",1,0)</f>
        <v>0</v>
      </c>
      <c r="W1712" s="9" t="n">
        <f aca="false">IF(OR(H1712&lt;1,H1712&gt;10),1,0)</f>
        <v>0</v>
      </c>
      <c r="X1712" s="9" t="n">
        <f aca="false">IF(OR(I1712&lt;=0,I1712&gt;1500),1,0)</f>
        <v>0</v>
      </c>
      <c r="Y1712" s="9" t="n">
        <f aca="false">IF(J1712&gt;H1712*I1712,1,0)</f>
        <v>0</v>
      </c>
      <c r="Z1712" s="9" t="n">
        <f aca="false">IF(AND(N1712&lt;&gt;"",OR(N1712&lt;1,N1712&gt;5)),1,0)</f>
        <v>0</v>
      </c>
      <c r="AA1712" s="9" t="n">
        <f aca="false">IF(AND(M1712&lt;&gt;"",OR(M1712&lt;5,M1712&gt;180)),1,0)</f>
        <v>0</v>
      </c>
      <c r="AB1712" s="7" t="str">
        <f aca="false">IF(P1712="DUP","Exact duplicate row",IF(T1712=1,"Missing Order ID",IF(S1712="DROP","Duplicate Order ID (less complete row)",IF(U1712=1,"Missing Customer ID",IF(V1712=1,"Missing Restaurant name",IF(W1712=1,"Invalid/outlier quantity",IF(X1712=1,"Invalid/outlier unit price",IF(Y1712=1,"Discount greater than order value",""))))))))</f>
        <v/>
      </c>
      <c r="AC1712" s="7" t="str">
        <f aca="false">IF(AB1712="","KEEP","DROP")</f>
        <v>KEEP</v>
      </c>
      <c r="AD1712" s="7" t="str">
        <f aca="false">IF(TRIM(F1712)="",IFERROR(INDEX(Map_Tables!$I$4:$I$37,MATCH(TRIM(E1712),Map_Tables!$G$4:$G$37,0)),""),IFERROR(INDEX(Map_Tables!$B$4:$B$18,MATCH(TRIM(F1712),Map_Tables!$A$4:$A$18,0)),"CHECK"))</f>
        <v>Bengaluru</v>
      </c>
      <c r="AE1712" s="7" t="str">
        <f aca="false">IF(TRIM(E1712)="","",IFERROR(INDEX(Map_Tables!$H$4:$H$37,MATCH(TRIM(E1712),Map_Tables!$G$4:$G$37,0)),"CHECK"))</f>
        <v>Spice Junction</v>
      </c>
      <c r="AF1712" s="7" t="str">
        <f aca="false">IF(TRIM(K1712)="","Unknown",IFERROR(INDEX(Map_Tables!$E$4:$E$15,MATCH(TRIM(K1712),Map_Tables!$D$4:$D$15,0)),"CHECK"))</f>
        <v>Debit Card</v>
      </c>
      <c r="AG1712" s="7" t="str">
        <f aca="false">IF(LEFT(LOWER(TRIM(L1712)),6)="cancel","Cancelled","Delivered")</f>
        <v>Cancelled</v>
      </c>
      <c r="AH1712" s="10" t="n">
        <f aca="false">IF(ISNUMBER(SEARCH("/",B1712)),DATE(VALUE(RIGHT(B1712,4)),VALUE(MID(B1712,4,2)),VALUE(LEFT(B1712,2))),IF(MID(B1712,5,1)="-",DATE(VALUE(LEFT(B1712,4)),VALUE(MID(B1712,6,2)),VALUE(RIGHT(B1712,2))),DATE(VALUE(RIGHT(B1712,4)),MATCH(MID(B1712,4,3),{"Jan","Feb","Mar","Apr","May","Jun","Jul","Aug","Sep","Oct","Nov","Dec"},0),VALUE(LEFT(B1712,2)))))</f>
        <v>45763</v>
      </c>
    </row>
    <row r="1713" customFormat="false" ht="15" hidden="false" customHeight="false" outlineLevel="0" collapsed="false">
      <c r="A1713" s="7" t="s">
        <v>4289</v>
      </c>
      <c r="B1713" s="7" t="s">
        <v>3070</v>
      </c>
      <c r="C1713" s="7" t="s">
        <v>3487</v>
      </c>
      <c r="D1713" s="7" t="s">
        <v>2518</v>
      </c>
      <c r="E1713" s="7" t="s">
        <v>98</v>
      </c>
      <c r="F1713" s="7" t="s">
        <v>86</v>
      </c>
      <c r="G1713" s="7" t="s">
        <v>99</v>
      </c>
      <c r="H1713" s="7" t="n">
        <v>1</v>
      </c>
      <c r="I1713" s="7" t="n">
        <v>270</v>
      </c>
      <c r="J1713" s="7" t="n">
        <v>0</v>
      </c>
      <c r="K1713" s="7" t="s">
        <v>88</v>
      </c>
      <c r="L1713" s="7" t="s">
        <v>194</v>
      </c>
      <c r="M1713" s="7" t="n">
        <v>52</v>
      </c>
      <c r="N1713" s="7" t="n">
        <v>4</v>
      </c>
      <c r="O1713" s="7" t="str">
        <f aca="false">A1713&amp;"|"&amp;B1713&amp;"|"&amp;C1713&amp;"|"&amp;D1713&amp;"|"&amp;E1713&amp;"|"&amp;F1713&amp;"|"&amp;G1713&amp;"|"&amp;H1713&amp;"|"&amp;I1713&amp;"|"&amp;J1713&amp;"|"&amp;K1713&amp;"|"&amp;L1713&amp;"|"&amp;M1713&amp;"|"&amp;N1713</f>
        <v>ORD10386|2025-02-20|20:57|C0847|Nawabi Biryani House|Bengaluru|Biryani|1|270|0|UPI|Delivered|52|4</v>
      </c>
      <c r="P1713" s="7" t="str">
        <f aca="false">IF(COUNTIF($O$2:O1713,O1713)&gt;1,"DUP","OK")</f>
        <v>OK</v>
      </c>
      <c r="Q1713" s="7" t="n">
        <f aca="false">COUNTBLANK(A1713:N1713)</f>
        <v>0</v>
      </c>
      <c r="R1713" s="7" t="n">
        <f aca="false">IF(A1713="",0,COUNTIFS($A$2:$A$3058,A1713,$P$2:$P$3058,"OK"))</f>
        <v>1</v>
      </c>
      <c r="S1713" s="7" t="str">
        <f aca="false">IF(OR(A1713="",P1713="DUP",R1713&lt;2),"",IF(Q1713=_xlfn.MINIFS($Q$2:$Q$3058,$A$2:$A$3058,A1713,$P$2:$P$3058,"OK"),"KEEP","DROP"))</f>
        <v/>
      </c>
      <c r="T1713" s="9" t="n">
        <f aca="false">IF(A1713="",1,0)</f>
        <v>0</v>
      </c>
      <c r="U1713" s="9" t="n">
        <f aca="false">IF(D1713="",1,0)</f>
        <v>0</v>
      </c>
      <c r="V1713" s="9" t="n">
        <f aca="false">IF(E1713="",1,0)</f>
        <v>0</v>
      </c>
      <c r="W1713" s="9" t="n">
        <f aca="false">IF(OR(H1713&lt;1,H1713&gt;10),1,0)</f>
        <v>0</v>
      </c>
      <c r="X1713" s="9" t="n">
        <f aca="false">IF(OR(I1713&lt;=0,I1713&gt;1500),1,0)</f>
        <v>0</v>
      </c>
      <c r="Y1713" s="9" t="n">
        <f aca="false">IF(J1713&gt;H1713*I1713,1,0)</f>
        <v>0</v>
      </c>
      <c r="Z1713" s="9" t="n">
        <f aca="false">IF(AND(N1713&lt;&gt;"",OR(N1713&lt;1,N1713&gt;5)),1,0)</f>
        <v>0</v>
      </c>
      <c r="AA1713" s="9" t="n">
        <f aca="false">IF(AND(M1713&lt;&gt;"",OR(M1713&lt;5,M1713&gt;180)),1,0)</f>
        <v>0</v>
      </c>
      <c r="AB1713" s="7" t="str">
        <f aca="false">IF(P1713="DUP","Exact duplicate row",IF(T1713=1,"Missing Order ID",IF(S1713="DROP","Duplicate Order ID (less complete row)",IF(U1713=1,"Missing Customer ID",IF(V1713=1,"Missing Restaurant name",IF(W1713=1,"Invalid/outlier quantity",IF(X1713=1,"Invalid/outlier unit price",IF(Y1713=1,"Discount greater than order value",""))))))))</f>
        <v/>
      </c>
      <c r="AC1713" s="7" t="str">
        <f aca="false">IF(AB1713="","KEEP","DROP")</f>
        <v>KEEP</v>
      </c>
      <c r="AD1713" s="7" t="str">
        <f aca="false">IF(TRIM(F1713)="",IFERROR(INDEX(Map_Tables!$I$4:$I$37,MATCH(TRIM(E1713),Map_Tables!$G$4:$G$37,0)),""),IFERROR(INDEX(Map_Tables!$B$4:$B$18,MATCH(TRIM(F1713),Map_Tables!$A$4:$A$18,0)),"CHECK"))</f>
        <v>Bengaluru</v>
      </c>
      <c r="AE1713" s="7" t="str">
        <f aca="false">IF(TRIM(E1713)="","",IFERROR(INDEX(Map_Tables!$H$4:$H$37,MATCH(TRIM(E1713),Map_Tables!$G$4:$G$37,0)),"CHECK"))</f>
        <v>Nawabi Biryani House</v>
      </c>
      <c r="AF1713" s="7" t="str">
        <f aca="false">IF(TRIM(K1713)="","Unknown",IFERROR(INDEX(Map_Tables!$E$4:$E$15,MATCH(TRIM(K1713),Map_Tables!$D$4:$D$15,0)),"CHECK"))</f>
        <v>UPI</v>
      </c>
      <c r="AG1713" s="7" t="str">
        <f aca="false">IF(LEFT(LOWER(TRIM(L1713)),6)="cancel","Cancelled","Delivered")</f>
        <v>Delivered</v>
      </c>
      <c r="AH1713" s="10" t="n">
        <f aca="false">IF(ISNUMBER(SEARCH("/",B1713)),DATE(VALUE(RIGHT(B1713,4)),VALUE(MID(B1713,4,2)),VALUE(LEFT(B1713,2))),IF(MID(B1713,5,1)="-",DATE(VALUE(LEFT(B1713,4)),VALUE(MID(B1713,6,2)),VALUE(RIGHT(B1713,2))),DATE(VALUE(RIGHT(B1713,4)),MATCH(MID(B1713,4,3),{"Jan","Feb","Mar","Apr","May","Jun","Jul","Aug","Sep","Oct","Nov","Dec"},0),VALUE(LEFT(B1713,2)))))</f>
        <v>45708</v>
      </c>
    </row>
    <row r="1714" customFormat="false" ht="15" hidden="false" customHeight="false" outlineLevel="0" collapsed="false">
      <c r="A1714" s="7" t="s">
        <v>4290</v>
      </c>
      <c r="B1714" s="7" t="s">
        <v>1561</v>
      </c>
      <c r="C1714" s="7" t="s">
        <v>1572</v>
      </c>
      <c r="D1714" s="7" t="s">
        <v>1491</v>
      </c>
      <c r="E1714" s="7" t="s">
        <v>98</v>
      </c>
      <c r="F1714" s="7" t="s">
        <v>85</v>
      </c>
      <c r="G1714" s="7" t="s">
        <v>99</v>
      </c>
      <c r="H1714" s="7" t="n">
        <v>4</v>
      </c>
      <c r="I1714" s="7" t="n">
        <v>295</v>
      </c>
      <c r="J1714" s="7" t="n">
        <v>0</v>
      </c>
      <c r="K1714" s="7" t="s">
        <v>88</v>
      </c>
      <c r="L1714" s="7" t="s">
        <v>194</v>
      </c>
      <c r="M1714" s="7" t="n">
        <v>52</v>
      </c>
      <c r="N1714" s="7" t="n">
        <v>5</v>
      </c>
      <c r="O1714" s="7" t="str">
        <f aca="false">A1714&amp;"|"&amp;B1714&amp;"|"&amp;C1714&amp;"|"&amp;D1714&amp;"|"&amp;E1714&amp;"|"&amp;F1714&amp;"|"&amp;G1714&amp;"|"&amp;H1714&amp;"|"&amp;I1714&amp;"|"&amp;J1714&amp;"|"&amp;K1714&amp;"|"&amp;L1714&amp;"|"&amp;M1714&amp;"|"&amp;N1714</f>
        <v>ORD11735|2025-08-15|20:41|C0046|Nawabi Biryani House|bangalore|Biryani|4|295|0|UPI|Delivered|52|5</v>
      </c>
      <c r="P1714" s="7" t="str">
        <f aca="false">IF(COUNTIF($O$2:O1714,O1714)&gt;1,"DUP","OK")</f>
        <v>OK</v>
      </c>
      <c r="Q1714" s="7" t="n">
        <f aca="false">COUNTBLANK(A1714:N1714)</f>
        <v>0</v>
      </c>
      <c r="R1714" s="7" t="n">
        <f aca="false">IF(A1714="",0,COUNTIFS($A$2:$A$3058,A1714,$P$2:$P$3058,"OK"))</f>
        <v>1</v>
      </c>
      <c r="S1714" s="7" t="str">
        <f aca="false">IF(OR(A1714="",P1714="DUP",R1714&lt;2),"",IF(Q1714=_xlfn.MINIFS($Q$2:$Q$3058,$A$2:$A$3058,A1714,$P$2:$P$3058,"OK"),"KEEP","DROP"))</f>
        <v/>
      </c>
      <c r="T1714" s="9" t="n">
        <f aca="false">IF(A1714="",1,0)</f>
        <v>0</v>
      </c>
      <c r="U1714" s="9" t="n">
        <f aca="false">IF(D1714="",1,0)</f>
        <v>0</v>
      </c>
      <c r="V1714" s="9" t="n">
        <f aca="false">IF(E1714="",1,0)</f>
        <v>0</v>
      </c>
      <c r="W1714" s="9" t="n">
        <f aca="false">IF(OR(H1714&lt;1,H1714&gt;10),1,0)</f>
        <v>0</v>
      </c>
      <c r="X1714" s="9" t="n">
        <f aca="false">IF(OR(I1714&lt;=0,I1714&gt;1500),1,0)</f>
        <v>0</v>
      </c>
      <c r="Y1714" s="9" t="n">
        <f aca="false">IF(J1714&gt;H1714*I1714,1,0)</f>
        <v>0</v>
      </c>
      <c r="Z1714" s="9" t="n">
        <f aca="false">IF(AND(N1714&lt;&gt;"",OR(N1714&lt;1,N1714&gt;5)),1,0)</f>
        <v>0</v>
      </c>
      <c r="AA1714" s="9" t="n">
        <f aca="false">IF(AND(M1714&lt;&gt;"",OR(M1714&lt;5,M1714&gt;180)),1,0)</f>
        <v>0</v>
      </c>
      <c r="AB1714" s="7" t="str">
        <f aca="false">IF(P1714="DUP","Exact duplicate row",IF(T1714=1,"Missing Order ID",IF(S1714="DROP","Duplicate Order ID (less complete row)",IF(U1714=1,"Missing Customer ID",IF(V1714=1,"Missing Restaurant name",IF(W1714=1,"Invalid/outlier quantity",IF(X1714=1,"Invalid/outlier unit price",IF(Y1714=1,"Discount greater than order value",""))))))))</f>
        <v/>
      </c>
      <c r="AC1714" s="7" t="str">
        <f aca="false">IF(AB1714="","KEEP","DROP")</f>
        <v>KEEP</v>
      </c>
      <c r="AD1714" s="7" t="str">
        <f aca="false">IF(TRIM(F1714)="",IFERROR(INDEX(Map_Tables!$I$4:$I$37,MATCH(TRIM(E1714),Map_Tables!$G$4:$G$37,0)),""),IFERROR(INDEX(Map_Tables!$B$4:$B$18,MATCH(TRIM(F1714),Map_Tables!$A$4:$A$18,0)),"CHECK"))</f>
        <v>Bengaluru</v>
      </c>
      <c r="AE1714" s="7" t="str">
        <f aca="false">IF(TRIM(E1714)="","",IFERROR(INDEX(Map_Tables!$H$4:$H$37,MATCH(TRIM(E1714),Map_Tables!$G$4:$G$37,0)),"CHECK"))</f>
        <v>Nawabi Biryani House</v>
      </c>
      <c r="AF1714" s="7" t="str">
        <f aca="false">IF(TRIM(K1714)="","Unknown",IFERROR(INDEX(Map_Tables!$E$4:$E$15,MATCH(TRIM(K1714),Map_Tables!$D$4:$D$15,0)),"CHECK"))</f>
        <v>UPI</v>
      </c>
      <c r="AG1714" s="7" t="str">
        <f aca="false">IF(LEFT(LOWER(TRIM(L1714)),6)="cancel","Cancelled","Delivered")</f>
        <v>Delivered</v>
      </c>
      <c r="AH1714" s="10" t="n">
        <f aca="false">IF(ISNUMBER(SEARCH("/",B1714)),DATE(VALUE(RIGHT(B1714,4)),VALUE(MID(B1714,4,2)),VALUE(LEFT(B1714,2))),IF(MID(B1714,5,1)="-",DATE(VALUE(LEFT(B1714,4)),VALUE(MID(B1714,6,2)),VALUE(RIGHT(B1714,2))),DATE(VALUE(RIGHT(B1714,4)),MATCH(MID(B1714,4,3),{"Jan","Feb","Mar","Apr","May","Jun","Jul","Aug","Sep","Oct","Nov","Dec"},0),VALUE(LEFT(B1714,2)))))</f>
        <v>45884</v>
      </c>
    </row>
    <row r="1715" customFormat="false" ht="15" hidden="false" customHeight="false" outlineLevel="0" collapsed="false">
      <c r="A1715" s="7" t="s">
        <v>4291</v>
      </c>
      <c r="B1715" s="7" t="s">
        <v>742</v>
      </c>
      <c r="C1715" s="7" t="s">
        <v>2860</v>
      </c>
      <c r="D1715" s="7" t="s">
        <v>4292</v>
      </c>
      <c r="E1715" s="7" t="s">
        <v>104</v>
      </c>
      <c r="F1715" s="7" t="s">
        <v>86</v>
      </c>
      <c r="G1715" s="7" t="s">
        <v>105</v>
      </c>
      <c r="H1715" s="7" t="n">
        <v>2</v>
      </c>
      <c r="I1715" s="7" t="n">
        <v>225</v>
      </c>
      <c r="J1715" s="7" t="n">
        <v>0</v>
      </c>
      <c r="K1715" s="7" t="s">
        <v>93</v>
      </c>
      <c r="L1715" s="7" t="s">
        <v>194</v>
      </c>
      <c r="M1715" s="7" t="n">
        <v>29</v>
      </c>
      <c r="N1715" s="7" t="n">
        <v>4</v>
      </c>
      <c r="O1715" s="7" t="str">
        <f aca="false">A1715&amp;"|"&amp;B1715&amp;"|"&amp;C1715&amp;"|"&amp;D1715&amp;"|"&amp;E1715&amp;"|"&amp;F1715&amp;"|"&amp;G1715&amp;"|"&amp;H1715&amp;"|"&amp;I1715&amp;"|"&amp;J1715&amp;"|"&amp;K1715&amp;"|"&amp;L1715&amp;"|"&amp;M1715&amp;"|"&amp;N1715</f>
        <v>ORD10450|01/03/2025|17:39|C0722|Wok &amp; Roll|Bengaluru|Chinese|2|225|0|Credit Card|Delivered|29|4</v>
      </c>
      <c r="P1715" s="7" t="str">
        <f aca="false">IF(COUNTIF($O$2:O1715,O1715)&gt;1,"DUP","OK")</f>
        <v>OK</v>
      </c>
      <c r="Q1715" s="7" t="n">
        <f aca="false">COUNTBLANK(A1715:N1715)</f>
        <v>0</v>
      </c>
      <c r="R1715" s="7" t="n">
        <f aca="false">IF(A1715="",0,COUNTIFS($A$2:$A$3058,A1715,$P$2:$P$3058,"OK"))</f>
        <v>1</v>
      </c>
      <c r="S1715" s="7" t="str">
        <f aca="false">IF(OR(A1715="",P1715="DUP",R1715&lt;2),"",IF(Q1715=_xlfn.MINIFS($Q$2:$Q$3058,$A$2:$A$3058,A1715,$P$2:$P$3058,"OK"),"KEEP","DROP"))</f>
        <v/>
      </c>
      <c r="T1715" s="9" t="n">
        <f aca="false">IF(A1715="",1,0)</f>
        <v>0</v>
      </c>
      <c r="U1715" s="9" t="n">
        <f aca="false">IF(D1715="",1,0)</f>
        <v>0</v>
      </c>
      <c r="V1715" s="9" t="n">
        <f aca="false">IF(E1715="",1,0)</f>
        <v>0</v>
      </c>
      <c r="W1715" s="9" t="n">
        <f aca="false">IF(OR(H1715&lt;1,H1715&gt;10),1,0)</f>
        <v>0</v>
      </c>
      <c r="X1715" s="9" t="n">
        <f aca="false">IF(OR(I1715&lt;=0,I1715&gt;1500),1,0)</f>
        <v>0</v>
      </c>
      <c r="Y1715" s="9" t="n">
        <f aca="false">IF(J1715&gt;H1715*I1715,1,0)</f>
        <v>0</v>
      </c>
      <c r="Z1715" s="9" t="n">
        <f aca="false">IF(AND(N1715&lt;&gt;"",OR(N1715&lt;1,N1715&gt;5)),1,0)</f>
        <v>0</v>
      </c>
      <c r="AA1715" s="9" t="n">
        <f aca="false">IF(AND(M1715&lt;&gt;"",OR(M1715&lt;5,M1715&gt;180)),1,0)</f>
        <v>0</v>
      </c>
      <c r="AB1715" s="7" t="str">
        <f aca="false">IF(P1715="DUP","Exact duplicate row",IF(T1715=1,"Missing Order ID",IF(S1715="DROP","Duplicate Order ID (less complete row)",IF(U1715=1,"Missing Customer ID",IF(V1715=1,"Missing Restaurant name",IF(W1715=1,"Invalid/outlier quantity",IF(X1715=1,"Invalid/outlier unit price",IF(Y1715=1,"Discount greater than order value",""))))))))</f>
        <v/>
      </c>
      <c r="AC1715" s="7" t="str">
        <f aca="false">IF(AB1715="","KEEP","DROP")</f>
        <v>KEEP</v>
      </c>
      <c r="AD1715" s="7" t="str">
        <f aca="false">IF(TRIM(F1715)="",IFERROR(INDEX(Map_Tables!$I$4:$I$37,MATCH(TRIM(E1715),Map_Tables!$G$4:$G$37,0)),""),IFERROR(INDEX(Map_Tables!$B$4:$B$18,MATCH(TRIM(F1715),Map_Tables!$A$4:$A$18,0)),"CHECK"))</f>
        <v>Bengaluru</v>
      </c>
      <c r="AE1715" s="7" t="str">
        <f aca="false">IF(TRIM(E1715)="","",IFERROR(INDEX(Map_Tables!$H$4:$H$37,MATCH(TRIM(E1715),Map_Tables!$G$4:$G$37,0)),"CHECK"))</f>
        <v>Wok &amp; Roll</v>
      </c>
      <c r="AF1715" s="7" t="str">
        <f aca="false">IF(TRIM(K1715)="","Unknown",IFERROR(INDEX(Map_Tables!$E$4:$E$15,MATCH(TRIM(K1715),Map_Tables!$D$4:$D$15,0)),"CHECK"))</f>
        <v>Credit Card</v>
      </c>
      <c r="AG1715" s="7" t="str">
        <f aca="false">IF(LEFT(LOWER(TRIM(L1715)),6)="cancel","Cancelled","Delivered")</f>
        <v>Delivered</v>
      </c>
      <c r="AH1715" s="10" t="n">
        <f aca="false">IF(ISNUMBER(SEARCH("/",B1715)),DATE(VALUE(RIGHT(B1715,4)),VALUE(MID(B1715,4,2)),VALUE(LEFT(B1715,2))),IF(MID(B1715,5,1)="-",DATE(VALUE(LEFT(B1715,4)),VALUE(MID(B1715,6,2)),VALUE(RIGHT(B1715,2))),DATE(VALUE(RIGHT(B1715,4)),MATCH(MID(B1715,4,3),{"Jan","Feb","Mar","Apr","May","Jun","Jul","Aug","Sep","Oct","Nov","Dec"},0),VALUE(LEFT(B1715,2)))))</f>
        <v>45717</v>
      </c>
    </row>
    <row r="1716" customFormat="false" ht="15" hidden="false" customHeight="false" outlineLevel="0" collapsed="false">
      <c r="A1716" s="7" t="s">
        <v>4293</v>
      </c>
      <c r="B1716" s="7" t="s">
        <v>791</v>
      </c>
      <c r="C1716" s="7" t="s">
        <v>2628</v>
      </c>
      <c r="D1716" s="7" t="s">
        <v>2188</v>
      </c>
      <c r="E1716" s="7" t="s">
        <v>130</v>
      </c>
      <c r="F1716" s="7" t="s">
        <v>110</v>
      </c>
      <c r="G1716" s="7" t="s">
        <v>90</v>
      </c>
      <c r="H1716" s="7" t="n">
        <v>4</v>
      </c>
      <c r="I1716" s="7" t="n">
        <v>265</v>
      </c>
      <c r="J1716" s="7" t="n">
        <v>75</v>
      </c>
      <c r="K1716" s="7" t="s">
        <v>229</v>
      </c>
      <c r="L1716" s="7" t="s">
        <v>194</v>
      </c>
      <c r="M1716" s="7" t="n">
        <v>39</v>
      </c>
      <c r="N1716" s="7" t="n">
        <v>4</v>
      </c>
      <c r="O1716" s="7" t="str">
        <f aca="false">A1716&amp;"|"&amp;B1716&amp;"|"&amp;C1716&amp;"|"&amp;D1716&amp;"|"&amp;E1716&amp;"|"&amp;F1716&amp;"|"&amp;G1716&amp;"|"&amp;H1716&amp;"|"&amp;I1716&amp;"|"&amp;J1716&amp;"|"&amp;K1716&amp;"|"&amp;L1716&amp;"|"&amp;M1716&amp;"|"&amp;N1716</f>
        <v>ORD12511|2025-11-10|22:47|C0323|Tandoor Tales|Delhi|North Indian|4|265|75|Upi|Delivered|39|4</v>
      </c>
      <c r="P1716" s="7" t="str">
        <f aca="false">IF(COUNTIF($O$2:O1716,O1716)&gt;1,"DUP","OK")</f>
        <v>OK</v>
      </c>
      <c r="Q1716" s="7" t="n">
        <f aca="false">COUNTBLANK(A1716:N1716)</f>
        <v>0</v>
      </c>
      <c r="R1716" s="7" t="n">
        <f aca="false">IF(A1716="",0,COUNTIFS($A$2:$A$3058,A1716,$P$2:$P$3058,"OK"))</f>
        <v>1</v>
      </c>
      <c r="S1716" s="7" t="str">
        <f aca="false">IF(OR(A1716="",P1716="DUP",R1716&lt;2),"",IF(Q1716=_xlfn.MINIFS($Q$2:$Q$3058,$A$2:$A$3058,A1716,$P$2:$P$3058,"OK"),"KEEP","DROP"))</f>
        <v/>
      </c>
      <c r="T1716" s="9" t="n">
        <f aca="false">IF(A1716="",1,0)</f>
        <v>0</v>
      </c>
      <c r="U1716" s="9" t="n">
        <f aca="false">IF(D1716="",1,0)</f>
        <v>0</v>
      </c>
      <c r="V1716" s="9" t="n">
        <f aca="false">IF(E1716="",1,0)</f>
        <v>0</v>
      </c>
      <c r="W1716" s="9" t="n">
        <f aca="false">IF(OR(H1716&lt;1,H1716&gt;10),1,0)</f>
        <v>0</v>
      </c>
      <c r="X1716" s="9" t="n">
        <f aca="false">IF(OR(I1716&lt;=0,I1716&gt;1500),1,0)</f>
        <v>0</v>
      </c>
      <c r="Y1716" s="9" t="n">
        <f aca="false">IF(J1716&gt;H1716*I1716,1,0)</f>
        <v>0</v>
      </c>
      <c r="Z1716" s="9" t="n">
        <f aca="false">IF(AND(N1716&lt;&gt;"",OR(N1716&lt;1,N1716&gt;5)),1,0)</f>
        <v>0</v>
      </c>
      <c r="AA1716" s="9" t="n">
        <f aca="false">IF(AND(M1716&lt;&gt;"",OR(M1716&lt;5,M1716&gt;180)),1,0)</f>
        <v>0</v>
      </c>
      <c r="AB1716" s="7" t="str">
        <f aca="false">IF(P1716="DUP","Exact duplicate row",IF(T1716=1,"Missing Order ID",IF(S1716="DROP","Duplicate Order ID (less complete row)",IF(U1716=1,"Missing Customer ID",IF(V1716=1,"Missing Restaurant name",IF(W1716=1,"Invalid/outlier quantity",IF(X1716=1,"Invalid/outlier unit price",IF(Y1716=1,"Discount greater than order value",""))))))))</f>
        <v/>
      </c>
      <c r="AC1716" s="7" t="str">
        <f aca="false">IF(AB1716="","KEEP","DROP")</f>
        <v>KEEP</v>
      </c>
      <c r="AD1716" s="7" t="str">
        <f aca="false">IF(TRIM(F1716)="",IFERROR(INDEX(Map_Tables!$I$4:$I$37,MATCH(TRIM(E1716),Map_Tables!$G$4:$G$37,0)),""),IFERROR(INDEX(Map_Tables!$B$4:$B$18,MATCH(TRIM(F1716),Map_Tables!$A$4:$A$18,0)),"CHECK"))</f>
        <v>Delhi</v>
      </c>
      <c r="AE1716" s="7" t="str">
        <f aca="false">IF(TRIM(E1716)="","",IFERROR(INDEX(Map_Tables!$H$4:$H$37,MATCH(TRIM(E1716),Map_Tables!$G$4:$G$37,0)),"CHECK"))</f>
        <v>Tandoor Tales</v>
      </c>
      <c r="AF1716" s="7" t="str">
        <f aca="false">IF(TRIM(K1716)="","Unknown",IFERROR(INDEX(Map_Tables!$E$4:$E$15,MATCH(TRIM(K1716),Map_Tables!$D$4:$D$15,0)),"CHECK"))</f>
        <v>UPI</v>
      </c>
      <c r="AG1716" s="7" t="str">
        <f aca="false">IF(LEFT(LOWER(TRIM(L1716)),6)="cancel","Cancelled","Delivered")</f>
        <v>Delivered</v>
      </c>
      <c r="AH1716" s="10" t="n">
        <f aca="false">IF(ISNUMBER(SEARCH("/",B1716)),DATE(VALUE(RIGHT(B1716,4)),VALUE(MID(B1716,4,2)),VALUE(LEFT(B1716,2))),IF(MID(B1716,5,1)="-",DATE(VALUE(LEFT(B1716,4)),VALUE(MID(B1716,6,2)),VALUE(RIGHT(B1716,2))),DATE(VALUE(RIGHT(B1716,4)),MATCH(MID(B1716,4,3),{"Jan","Feb","Mar","Apr","May","Jun","Jul","Aug","Sep","Oct","Nov","Dec"},0),VALUE(LEFT(B1716,2)))))</f>
        <v>45971</v>
      </c>
    </row>
    <row r="1717" customFormat="false" ht="15" hidden="false" customHeight="false" outlineLevel="0" collapsed="false">
      <c r="A1717" s="7" t="s">
        <v>4294</v>
      </c>
      <c r="B1717" s="7" t="s">
        <v>2336</v>
      </c>
      <c r="C1717" s="7" t="s">
        <v>3566</v>
      </c>
      <c r="D1717" s="7" t="s">
        <v>3413</v>
      </c>
      <c r="E1717" s="7" t="s">
        <v>154</v>
      </c>
      <c r="F1717" s="7" t="s">
        <v>128</v>
      </c>
      <c r="G1717" s="7" t="s">
        <v>99</v>
      </c>
      <c r="H1717" s="7" t="n">
        <v>1</v>
      </c>
      <c r="I1717" s="7" t="n">
        <v>300</v>
      </c>
      <c r="J1717" s="7" t="n">
        <v>40</v>
      </c>
      <c r="K1717" s="7" t="s">
        <v>88</v>
      </c>
      <c r="L1717" s="7" t="s">
        <v>194</v>
      </c>
      <c r="M1717" s="7" t="n">
        <v>31</v>
      </c>
      <c r="N1717" s="7"/>
      <c r="O1717" s="7" t="str">
        <f aca="false">A1717&amp;"|"&amp;B1717&amp;"|"&amp;C1717&amp;"|"&amp;D1717&amp;"|"&amp;E1717&amp;"|"&amp;F1717&amp;"|"&amp;G1717&amp;"|"&amp;H1717&amp;"|"&amp;I1717&amp;"|"&amp;J1717&amp;"|"&amp;K1717&amp;"|"&amp;L1717&amp;"|"&amp;M1717&amp;"|"&amp;N1717</f>
        <v>ORD10016|2025-01-03|11:06|C0130|Madras Biryani Co|Chennai|Biryani|1|300|40|UPI|Delivered|31|</v>
      </c>
      <c r="P1717" s="7" t="str">
        <f aca="false">IF(COUNTIF($O$2:O1717,O1717)&gt;1,"DUP","OK")</f>
        <v>OK</v>
      </c>
      <c r="Q1717" s="7" t="n">
        <f aca="false">COUNTBLANK(A1717:N1717)</f>
        <v>1</v>
      </c>
      <c r="R1717" s="7" t="n">
        <f aca="false">IF(A1717="",0,COUNTIFS($A$2:$A$3058,A1717,$P$2:$P$3058,"OK"))</f>
        <v>1</v>
      </c>
      <c r="S1717" s="7" t="str">
        <f aca="false">IF(OR(A1717="",P1717="DUP",R1717&lt;2),"",IF(Q1717=_xlfn.MINIFS($Q$2:$Q$3058,$A$2:$A$3058,A1717,$P$2:$P$3058,"OK"),"KEEP","DROP"))</f>
        <v/>
      </c>
      <c r="T1717" s="9" t="n">
        <f aca="false">IF(A1717="",1,0)</f>
        <v>0</v>
      </c>
      <c r="U1717" s="9" t="n">
        <f aca="false">IF(D1717="",1,0)</f>
        <v>0</v>
      </c>
      <c r="V1717" s="9" t="n">
        <f aca="false">IF(E1717="",1,0)</f>
        <v>0</v>
      </c>
      <c r="W1717" s="9" t="n">
        <f aca="false">IF(OR(H1717&lt;1,H1717&gt;10),1,0)</f>
        <v>0</v>
      </c>
      <c r="X1717" s="9" t="n">
        <f aca="false">IF(OR(I1717&lt;=0,I1717&gt;1500),1,0)</f>
        <v>0</v>
      </c>
      <c r="Y1717" s="9" t="n">
        <f aca="false">IF(J1717&gt;H1717*I1717,1,0)</f>
        <v>0</v>
      </c>
      <c r="Z1717" s="9" t="n">
        <f aca="false">IF(AND(N1717&lt;&gt;"",OR(N1717&lt;1,N1717&gt;5)),1,0)</f>
        <v>0</v>
      </c>
      <c r="AA1717" s="9" t="n">
        <f aca="false">IF(AND(M1717&lt;&gt;"",OR(M1717&lt;5,M1717&gt;180)),1,0)</f>
        <v>0</v>
      </c>
      <c r="AB1717" s="7" t="str">
        <f aca="false">IF(P1717="DUP","Exact duplicate row",IF(T1717=1,"Missing Order ID",IF(S1717="DROP","Duplicate Order ID (less complete row)",IF(U1717=1,"Missing Customer ID",IF(V1717=1,"Missing Restaurant name",IF(W1717=1,"Invalid/outlier quantity",IF(X1717=1,"Invalid/outlier unit price",IF(Y1717=1,"Discount greater than order value",""))))))))</f>
        <v/>
      </c>
      <c r="AC1717" s="7" t="str">
        <f aca="false">IF(AB1717="","KEEP","DROP")</f>
        <v>KEEP</v>
      </c>
      <c r="AD1717" s="7" t="str">
        <f aca="false">IF(TRIM(F1717)="",IFERROR(INDEX(Map_Tables!$I$4:$I$37,MATCH(TRIM(E1717),Map_Tables!$G$4:$G$37,0)),""),IFERROR(INDEX(Map_Tables!$B$4:$B$18,MATCH(TRIM(F1717),Map_Tables!$A$4:$A$18,0)),"CHECK"))</f>
        <v>Chennai</v>
      </c>
      <c r="AE1717" s="7" t="str">
        <f aca="false">IF(TRIM(E1717)="","",IFERROR(INDEX(Map_Tables!$H$4:$H$37,MATCH(TRIM(E1717),Map_Tables!$G$4:$G$37,0)),"CHECK"))</f>
        <v>Madras Biryani Co</v>
      </c>
      <c r="AF1717" s="7" t="str">
        <f aca="false">IF(TRIM(K1717)="","Unknown",IFERROR(INDEX(Map_Tables!$E$4:$E$15,MATCH(TRIM(K1717),Map_Tables!$D$4:$D$15,0)),"CHECK"))</f>
        <v>UPI</v>
      </c>
      <c r="AG1717" s="7" t="str">
        <f aca="false">IF(LEFT(LOWER(TRIM(L1717)),6)="cancel","Cancelled","Delivered")</f>
        <v>Delivered</v>
      </c>
      <c r="AH1717" s="10" t="n">
        <f aca="false">IF(ISNUMBER(SEARCH("/",B1717)),DATE(VALUE(RIGHT(B1717,4)),VALUE(MID(B1717,4,2)),VALUE(LEFT(B1717,2))),IF(MID(B1717,5,1)="-",DATE(VALUE(LEFT(B1717,4)),VALUE(MID(B1717,6,2)),VALUE(RIGHT(B1717,2))),DATE(VALUE(RIGHT(B1717,4)),MATCH(MID(B1717,4,3),{"Jan","Feb","Mar","Apr","May","Jun","Jul","Aug","Sep","Oct","Nov","Dec"},0),VALUE(LEFT(B1717,2)))))</f>
        <v>45660</v>
      </c>
    </row>
    <row r="1718" customFormat="false" ht="15" hidden="false" customHeight="false" outlineLevel="0" collapsed="false">
      <c r="A1718" s="7" t="s">
        <v>4295</v>
      </c>
      <c r="B1718" s="7" t="s">
        <v>4296</v>
      </c>
      <c r="C1718" s="7" t="s">
        <v>4297</v>
      </c>
      <c r="D1718" s="7" t="s">
        <v>4020</v>
      </c>
      <c r="E1718" s="7" t="s">
        <v>165</v>
      </c>
      <c r="F1718" s="7" t="s">
        <v>146</v>
      </c>
      <c r="G1718" s="7" t="s">
        <v>90</v>
      </c>
      <c r="H1718" s="7" t="n">
        <v>1</v>
      </c>
      <c r="I1718" s="7" t="n">
        <v>155</v>
      </c>
      <c r="J1718" s="7" t="n">
        <v>62</v>
      </c>
      <c r="K1718" s="7" t="s">
        <v>88</v>
      </c>
      <c r="L1718" s="7" t="s">
        <v>194</v>
      </c>
      <c r="M1718" s="7" t="n">
        <v>48</v>
      </c>
      <c r="N1718" s="7" t="n">
        <v>5</v>
      </c>
      <c r="O1718" s="7" t="str">
        <f aca="false">A1718&amp;"|"&amp;B1718&amp;"|"&amp;C1718&amp;"|"&amp;D1718&amp;"|"&amp;E1718&amp;"|"&amp;F1718&amp;"|"&amp;G1718&amp;"|"&amp;H1718&amp;"|"&amp;I1718&amp;"|"&amp;J1718&amp;"|"&amp;K1718&amp;"|"&amp;L1718&amp;"|"&amp;M1718&amp;"|"&amp;N1718</f>
        <v>ORD11115|22/05/2025|16:45|C0655|Gujarati Thali Ghar|Ahmedabad|North Indian|1|155|62|UPI|Delivered|48|5</v>
      </c>
      <c r="P1718" s="7" t="str">
        <f aca="false">IF(COUNTIF($O$2:O1718,O1718)&gt;1,"DUP","OK")</f>
        <v>OK</v>
      </c>
      <c r="Q1718" s="7" t="n">
        <f aca="false">COUNTBLANK(A1718:N1718)</f>
        <v>0</v>
      </c>
      <c r="R1718" s="7" t="n">
        <f aca="false">IF(A1718="",0,COUNTIFS($A$2:$A$3058,A1718,$P$2:$P$3058,"OK"))</f>
        <v>1</v>
      </c>
      <c r="S1718" s="7" t="str">
        <f aca="false">IF(OR(A1718="",P1718="DUP",R1718&lt;2),"",IF(Q1718=_xlfn.MINIFS($Q$2:$Q$3058,$A$2:$A$3058,A1718,$P$2:$P$3058,"OK"),"KEEP","DROP"))</f>
        <v/>
      </c>
      <c r="T1718" s="9" t="n">
        <f aca="false">IF(A1718="",1,0)</f>
        <v>0</v>
      </c>
      <c r="U1718" s="9" t="n">
        <f aca="false">IF(D1718="",1,0)</f>
        <v>0</v>
      </c>
      <c r="V1718" s="9" t="n">
        <f aca="false">IF(E1718="",1,0)</f>
        <v>0</v>
      </c>
      <c r="W1718" s="9" t="n">
        <f aca="false">IF(OR(H1718&lt;1,H1718&gt;10),1,0)</f>
        <v>0</v>
      </c>
      <c r="X1718" s="9" t="n">
        <f aca="false">IF(OR(I1718&lt;=0,I1718&gt;1500),1,0)</f>
        <v>0</v>
      </c>
      <c r="Y1718" s="9" t="n">
        <f aca="false">IF(J1718&gt;H1718*I1718,1,0)</f>
        <v>0</v>
      </c>
      <c r="Z1718" s="9" t="n">
        <f aca="false">IF(AND(N1718&lt;&gt;"",OR(N1718&lt;1,N1718&gt;5)),1,0)</f>
        <v>0</v>
      </c>
      <c r="AA1718" s="9" t="n">
        <f aca="false">IF(AND(M1718&lt;&gt;"",OR(M1718&lt;5,M1718&gt;180)),1,0)</f>
        <v>0</v>
      </c>
      <c r="AB1718" s="7" t="str">
        <f aca="false">IF(P1718="DUP","Exact duplicate row",IF(T1718=1,"Missing Order ID",IF(S1718="DROP","Duplicate Order ID (less complete row)",IF(U1718=1,"Missing Customer ID",IF(V1718=1,"Missing Restaurant name",IF(W1718=1,"Invalid/outlier quantity",IF(X1718=1,"Invalid/outlier unit price",IF(Y1718=1,"Discount greater than order value",""))))))))</f>
        <v/>
      </c>
      <c r="AC1718" s="7" t="str">
        <f aca="false">IF(AB1718="","KEEP","DROP")</f>
        <v>KEEP</v>
      </c>
      <c r="AD1718" s="7" t="str">
        <f aca="false">IF(TRIM(F1718)="",IFERROR(INDEX(Map_Tables!$I$4:$I$37,MATCH(TRIM(E1718),Map_Tables!$G$4:$G$37,0)),""),IFERROR(INDEX(Map_Tables!$B$4:$B$18,MATCH(TRIM(F1718),Map_Tables!$A$4:$A$18,0)),"CHECK"))</f>
        <v>Ahmedabad</v>
      </c>
      <c r="AE1718" s="7" t="str">
        <f aca="false">IF(TRIM(E1718)="","",IFERROR(INDEX(Map_Tables!$H$4:$H$37,MATCH(TRIM(E1718),Map_Tables!$G$4:$G$37,0)),"CHECK"))</f>
        <v>Gujarati Thali Ghar</v>
      </c>
      <c r="AF1718" s="7" t="str">
        <f aca="false">IF(TRIM(K1718)="","Unknown",IFERROR(INDEX(Map_Tables!$E$4:$E$15,MATCH(TRIM(K1718),Map_Tables!$D$4:$D$15,0)),"CHECK"))</f>
        <v>UPI</v>
      </c>
      <c r="AG1718" s="7" t="str">
        <f aca="false">IF(LEFT(LOWER(TRIM(L1718)),6)="cancel","Cancelled","Delivered")</f>
        <v>Delivered</v>
      </c>
      <c r="AH1718" s="10" t="n">
        <f aca="false">IF(ISNUMBER(SEARCH("/",B1718)),DATE(VALUE(RIGHT(B1718,4)),VALUE(MID(B1718,4,2)),VALUE(LEFT(B1718,2))),IF(MID(B1718,5,1)="-",DATE(VALUE(LEFT(B1718,4)),VALUE(MID(B1718,6,2)),VALUE(RIGHT(B1718,2))),DATE(VALUE(RIGHT(B1718,4)),MATCH(MID(B1718,4,3),{"Jan","Feb","Mar","Apr","May","Jun","Jul","Aug","Sep","Oct","Nov","Dec"},0),VALUE(LEFT(B1718,2)))))</f>
        <v>45799</v>
      </c>
    </row>
    <row r="1719" customFormat="false" ht="15" hidden="false" customHeight="false" outlineLevel="0" collapsed="false">
      <c r="A1719" s="7" t="s">
        <v>4298</v>
      </c>
      <c r="B1719" s="7" t="s">
        <v>2920</v>
      </c>
      <c r="C1719" s="7" t="s">
        <v>3904</v>
      </c>
      <c r="D1719" s="7" t="s">
        <v>2226</v>
      </c>
      <c r="E1719" s="7" t="s">
        <v>158</v>
      </c>
      <c r="F1719" s="7" t="s">
        <v>136</v>
      </c>
      <c r="G1719" s="7" t="s">
        <v>139</v>
      </c>
      <c r="H1719" s="7" t="n">
        <v>4</v>
      </c>
      <c r="I1719" s="7" t="n">
        <v>160</v>
      </c>
      <c r="J1719" s="7" t="n">
        <v>125</v>
      </c>
      <c r="K1719" s="7" t="s">
        <v>103</v>
      </c>
      <c r="L1719" s="7" t="s">
        <v>194</v>
      </c>
      <c r="M1719" s="7" t="n">
        <v>34</v>
      </c>
      <c r="N1719" s="7" t="n">
        <v>4</v>
      </c>
      <c r="O1719" s="7" t="str">
        <f aca="false">A1719&amp;"|"&amp;B1719&amp;"|"&amp;C1719&amp;"|"&amp;D1719&amp;"|"&amp;E1719&amp;"|"&amp;F1719&amp;"|"&amp;G1719&amp;"|"&amp;H1719&amp;"|"&amp;I1719&amp;"|"&amp;J1719&amp;"|"&amp;K1719&amp;"|"&amp;L1719&amp;"|"&amp;M1719&amp;"|"&amp;N1719</f>
        <v>ORD12861|2025-12-16|21:14|C0629|Pune Burger Hub|Pune|Burgers|4|160|125|Debit Card|Delivered|34|4</v>
      </c>
      <c r="P1719" s="7" t="str">
        <f aca="false">IF(COUNTIF($O$2:O1719,O1719)&gt;1,"DUP","OK")</f>
        <v>OK</v>
      </c>
      <c r="Q1719" s="7" t="n">
        <f aca="false">COUNTBLANK(A1719:N1719)</f>
        <v>0</v>
      </c>
      <c r="R1719" s="7" t="n">
        <f aca="false">IF(A1719="",0,COUNTIFS($A$2:$A$3058,A1719,$P$2:$P$3058,"OK"))</f>
        <v>1</v>
      </c>
      <c r="S1719" s="7" t="str">
        <f aca="false">IF(OR(A1719="",P1719="DUP",R1719&lt;2),"",IF(Q1719=_xlfn.MINIFS($Q$2:$Q$3058,$A$2:$A$3058,A1719,$P$2:$P$3058,"OK"),"KEEP","DROP"))</f>
        <v/>
      </c>
      <c r="T1719" s="9" t="n">
        <f aca="false">IF(A1719="",1,0)</f>
        <v>0</v>
      </c>
      <c r="U1719" s="9" t="n">
        <f aca="false">IF(D1719="",1,0)</f>
        <v>0</v>
      </c>
      <c r="V1719" s="9" t="n">
        <f aca="false">IF(E1719="",1,0)</f>
        <v>0</v>
      </c>
      <c r="W1719" s="9" t="n">
        <f aca="false">IF(OR(H1719&lt;1,H1719&gt;10),1,0)</f>
        <v>0</v>
      </c>
      <c r="X1719" s="9" t="n">
        <f aca="false">IF(OR(I1719&lt;=0,I1719&gt;1500),1,0)</f>
        <v>0</v>
      </c>
      <c r="Y1719" s="9" t="n">
        <f aca="false">IF(J1719&gt;H1719*I1719,1,0)</f>
        <v>0</v>
      </c>
      <c r="Z1719" s="9" t="n">
        <f aca="false">IF(AND(N1719&lt;&gt;"",OR(N1719&lt;1,N1719&gt;5)),1,0)</f>
        <v>0</v>
      </c>
      <c r="AA1719" s="9" t="n">
        <f aca="false">IF(AND(M1719&lt;&gt;"",OR(M1719&lt;5,M1719&gt;180)),1,0)</f>
        <v>0</v>
      </c>
      <c r="AB1719" s="7" t="str">
        <f aca="false">IF(P1719="DUP","Exact duplicate row",IF(T1719=1,"Missing Order ID",IF(S1719="DROP","Duplicate Order ID (less complete row)",IF(U1719=1,"Missing Customer ID",IF(V1719=1,"Missing Restaurant name",IF(W1719=1,"Invalid/outlier quantity",IF(X1719=1,"Invalid/outlier unit price",IF(Y1719=1,"Discount greater than order value",""))))))))</f>
        <v/>
      </c>
      <c r="AC1719" s="7" t="str">
        <f aca="false">IF(AB1719="","KEEP","DROP")</f>
        <v>KEEP</v>
      </c>
      <c r="AD1719" s="7" t="str">
        <f aca="false">IF(TRIM(F1719)="",IFERROR(INDEX(Map_Tables!$I$4:$I$37,MATCH(TRIM(E1719),Map_Tables!$G$4:$G$37,0)),""),IFERROR(INDEX(Map_Tables!$B$4:$B$18,MATCH(TRIM(F1719),Map_Tables!$A$4:$A$18,0)),"CHECK"))</f>
        <v>Pune</v>
      </c>
      <c r="AE1719" s="7" t="str">
        <f aca="false">IF(TRIM(E1719)="","",IFERROR(INDEX(Map_Tables!$H$4:$H$37,MATCH(TRIM(E1719),Map_Tables!$G$4:$G$37,0)),"CHECK"))</f>
        <v>Pune Burger Hub</v>
      </c>
      <c r="AF1719" s="7" t="str">
        <f aca="false">IF(TRIM(K1719)="","Unknown",IFERROR(INDEX(Map_Tables!$E$4:$E$15,MATCH(TRIM(K1719),Map_Tables!$D$4:$D$15,0)),"CHECK"))</f>
        <v>Debit Card</v>
      </c>
      <c r="AG1719" s="7" t="str">
        <f aca="false">IF(LEFT(LOWER(TRIM(L1719)),6)="cancel","Cancelled","Delivered")</f>
        <v>Delivered</v>
      </c>
      <c r="AH1719" s="10" t="n">
        <f aca="false">IF(ISNUMBER(SEARCH("/",B1719)),DATE(VALUE(RIGHT(B1719,4)),VALUE(MID(B1719,4,2)),VALUE(LEFT(B1719,2))),IF(MID(B1719,5,1)="-",DATE(VALUE(LEFT(B1719,4)),VALUE(MID(B1719,6,2)),VALUE(RIGHT(B1719,2))),DATE(VALUE(RIGHT(B1719,4)),MATCH(MID(B1719,4,3),{"Jan","Feb","Mar","Apr","May","Jun","Jul","Aug","Sep","Oct","Nov","Dec"},0),VALUE(LEFT(B1719,2)))))</f>
        <v>46007</v>
      </c>
    </row>
    <row r="1720" customFormat="false" ht="15" hidden="false" customHeight="false" outlineLevel="0" collapsed="false">
      <c r="A1720" s="7" t="s">
        <v>4299</v>
      </c>
      <c r="B1720" s="7" t="s">
        <v>1930</v>
      </c>
      <c r="C1720" s="7" t="s">
        <v>1901</v>
      </c>
      <c r="D1720" s="7" t="s">
        <v>1846</v>
      </c>
      <c r="E1720" s="7" t="s">
        <v>163</v>
      </c>
      <c r="F1720" s="7" t="s">
        <v>141</v>
      </c>
      <c r="G1720" s="7" t="s">
        <v>99</v>
      </c>
      <c r="H1720" s="7" t="n">
        <v>1</v>
      </c>
      <c r="I1720" s="7" t="n">
        <v>210</v>
      </c>
      <c r="J1720" s="7" t="n">
        <v>40</v>
      </c>
      <c r="K1720" s="7" t="s">
        <v>229</v>
      </c>
      <c r="L1720" s="7" t="s">
        <v>194</v>
      </c>
      <c r="M1720" s="7" t="n">
        <v>42</v>
      </c>
      <c r="N1720" s="7"/>
      <c r="O1720" s="7" t="str">
        <f aca="false">A1720&amp;"|"&amp;B1720&amp;"|"&amp;C1720&amp;"|"&amp;D1720&amp;"|"&amp;E1720&amp;"|"&amp;F1720&amp;"|"&amp;G1720&amp;"|"&amp;H1720&amp;"|"&amp;I1720&amp;"|"&amp;J1720&amp;"|"&amp;K1720&amp;"|"&amp;L1720&amp;"|"&amp;M1720&amp;"|"&amp;N1720</f>
        <v>ORD11389|2025-06-29|18:33|C0153|Biryani Baadshah|Kolkata|Biryani|1|210|40|Upi|Delivered|42|</v>
      </c>
      <c r="P1720" s="7" t="str">
        <f aca="false">IF(COUNTIF($O$2:O1720,O1720)&gt;1,"DUP","OK")</f>
        <v>OK</v>
      </c>
      <c r="Q1720" s="7" t="n">
        <f aca="false">COUNTBLANK(A1720:N1720)</f>
        <v>1</v>
      </c>
      <c r="R1720" s="7" t="n">
        <f aca="false">IF(A1720="",0,COUNTIFS($A$2:$A$3058,A1720,$P$2:$P$3058,"OK"))</f>
        <v>1</v>
      </c>
      <c r="S1720" s="7" t="str">
        <f aca="false">IF(OR(A1720="",P1720="DUP",R1720&lt;2),"",IF(Q1720=_xlfn.MINIFS($Q$2:$Q$3058,$A$2:$A$3058,A1720,$P$2:$P$3058,"OK"),"KEEP","DROP"))</f>
        <v/>
      </c>
      <c r="T1720" s="9" t="n">
        <f aca="false">IF(A1720="",1,0)</f>
        <v>0</v>
      </c>
      <c r="U1720" s="9" t="n">
        <f aca="false">IF(D1720="",1,0)</f>
        <v>0</v>
      </c>
      <c r="V1720" s="9" t="n">
        <f aca="false">IF(E1720="",1,0)</f>
        <v>0</v>
      </c>
      <c r="W1720" s="9" t="n">
        <f aca="false">IF(OR(H1720&lt;1,H1720&gt;10),1,0)</f>
        <v>0</v>
      </c>
      <c r="X1720" s="9" t="n">
        <f aca="false">IF(OR(I1720&lt;=0,I1720&gt;1500),1,0)</f>
        <v>0</v>
      </c>
      <c r="Y1720" s="9" t="n">
        <f aca="false">IF(J1720&gt;H1720*I1720,1,0)</f>
        <v>0</v>
      </c>
      <c r="Z1720" s="9" t="n">
        <f aca="false">IF(AND(N1720&lt;&gt;"",OR(N1720&lt;1,N1720&gt;5)),1,0)</f>
        <v>0</v>
      </c>
      <c r="AA1720" s="9" t="n">
        <f aca="false">IF(AND(M1720&lt;&gt;"",OR(M1720&lt;5,M1720&gt;180)),1,0)</f>
        <v>0</v>
      </c>
      <c r="AB1720" s="7" t="str">
        <f aca="false">IF(P1720="DUP","Exact duplicate row",IF(T1720=1,"Missing Order ID",IF(S1720="DROP","Duplicate Order ID (less complete row)",IF(U1720=1,"Missing Customer ID",IF(V1720=1,"Missing Restaurant name",IF(W1720=1,"Invalid/outlier quantity",IF(X1720=1,"Invalid/outlier unit price",IF(Y1720=1,"Discount greater than order value",""))))))))</f>
        <v/>
      </c>
      <c r="AC1720" s="7" t="str">
        <f aca="false">IF(AB1720="","KEEP","DROP")</f>
        <v>KEEP</v>
      </c>
      <c r="AD1720" s="7" t="str">
        <f aca="false">IF(TRIM(F1720)="",IFERROR(INDEX(Map_Tables!$I$4:$I$37,MATCH(TRIM(E1720),Map_Tables!$G$4:$G$37,0)),""),IFERROR(INDEX(Map_Tables!$B$4:$B$18,MATCH(TRIM(F1720),Map_Tables!$A$4:$A$18,0)),"CHECK"))</f>
        <v>Kolkata</v>
      </c>
      <c r="AE1720" s="7" t="str">
        <f aca="false">IF(TRIM(E1720)="","",IFERROR(INDEX(Map_Tables!$H$4:$H$37,MATCH(TRIM(E1720),Map_Tables!$G$4:$G$37,0)),"CHECK"))</f>
        <v>Biryani Baadshah</v>
      </c>
      <c r="AF1720" s="7" t="str">
        <f aca="false">IF(TRIM(K1720)="","Unknown",IFERROR(INDEX(Map_Tables!$E$4:$E$15,MATCH(TRIM(K1720),Map_Tables!$D$4:$D$15,0)),"CHECK"))</f>
        <v>UPI</v>
      </c>
      <c r="AG1720" s="7" t="str">
        <f aca="false">IF(LEFT(LOWER(TRIM(L1720)),6)="cancel","Cancelled","Delivered")</f>
        <v>Delivered</v>
      </c>
      <c r="AH1720" s="10" t="n">
        <f aca="false">IF(ISNUMBER(SEARCH("/",B1720)),DATE(VALUE(RIGHT(B1720,4)),VALUE(MID(B1720,4,2)),VALUE(LEFT(B1720,2))),IF(MID(B1720,5,1)="-",DATE(VALUE(LEFT(B1720,4)),VALUE(MID(B1720,6,2)),VALUE(RIGHT(B1720,2))),DATE(VALUE(RIGHT(B1720,4)),MATCH(MID(B1720,4,3),{"Jan","Feb","Mar","Apr","May","Jun","Jul","Aug","Sep","Oct","Nov","Dec"},0),VALUE(LEFT(B1720,2)))))</f>
        <v>45837</v>
      </c>
    </row>
    <row r="1721" customFormat="false" ht="15" hidden="false" customHeight="false" outlineLevel="0" collapsed="false">
      <c r="A1721" s="7" t="s">
        <v>4300</v>
      </c>
      <c r="B1721" s="7" t="s">
        <v>2479</v>
      </c>
      <c r="C1721" s="7" t="s">
        <v>245</v>
      </c>
      <c r="D1721" s="7" t="s">
        <v>3868</v>
      </c>
      <c r="E1721" s="7" t="s">
        <v>4301</v>
      </c>
      <c r="F1721" s="7" t="s">
        <v>119</v>
      </c>
      <c r="G1721" s="7" t="s">
        <v>123</v>
      </c>
      <c r="H1721" s="7" t="n">
        <v>4</v>
      </c>
      <c r="I1721" s="7" t="n">
        <v>295</v>
      </c>
      <c r="J1721" s="7" t="n">
        <v>40</v>
      </c>
      <c r="K1721" s="7" t="s">
        <v>121</v>
      </c>
      <c r="L1721" s="7" t="s">
        <v>194</v>
      </c>
      <c r="M1721" s="7" t="n">
        <v>50</v>
      </c>
      <c r="N1721" s="7" t="n">
        <v>4</v>
      </c>
      <c r="O1721" s="7" t="str">
        <f aca="false">A1721&amp;"|"&amp;B1721&amp;"|"&amp;C1721&amp;"|"&amp;D1721&amp;"|"&amp;E1721&amp;"|"&amp;F1721&amp;"|"&amp;G1721&amp;"|"&amp;H1721&amp;"|"&amp;I1721&amp;"|"&amp;J1721&amp;"|"&amp;K1721&amp;"|"&amp;L1721&amp;"|"&amp;M1721&amp;"|"&amp;N1721</f>
        <v>ORD12468|2025-11-06|13:09|C0132|Pizza  Palace|Hyderabad|Pizza|4|295|40|Wallet|Delivered|50|4</v>
      </c>
      <c r="P1721" s="7" t="str">
        <f aca="false">IF(COUNTIF($O$2:O1721,O1721)&gt;1,"DUP","OK")</f>
        <v>OK</v>
      </c>
      <c r="Q1721" s="7" t="n">
        <f aca="false">COUNTBLANK(A1721:N1721)</f>
        <v>0</v>
      </c>
      <c r="R1721" s="7" t="n">
        <f aca="false">IF(A1721="",0,COUNTIFS($A$2:$A$3058,A1721,$P$2:$P$3058,"OK"))</f>
        <v>1</v>
      </c>
      <c r="S1721" s="7" t="str">
        <f aca="false">IF(OR(A1721="",P1721="DUP",R1721&lt;2),"",IF(Q1721=_xlfn.MINIFS($Q$2:$Q$3058,$A$2:$A$3058,A1721,$P$2:$P$3058,"OK"),"KEEP","DROP"))</f>
        <v/>
      </c>
      <c r="T1721" s="9" t="n">
        <f aca="false">IF(A1721="",1,0)</f>
        <v>0</v>
      </c>
      <c r="U1721" s="9" t="n">
        <f aca="false">IF(D1721="",1,0)</f>
        <v>0</v>
      </c>
      <c r="V1721" s="9" t="n">
        <f aca="false">IF(E1721="",1,0)</f>
        <v>0</v>
      </c>
      <c r="W1721" s="9" t="n">
        <f aca="false">IF(OR(H1721&lt;1,H1721&gt;10),1,0)</f>
        <v>0</v>
      </c>
      <c r="X1721" s="9" t="n">
        <f aca="false">IF(OR(I1721&lt;=0,I1721&gt;1500),1,0)</f>
        <v>0</v>
      </c>
      <c r="Y1721" s="9" t="n">
        <f aca="false">IF(J1721&gt;H1721*I1721,1,0)</f>
        <v>0</v>
      </c>
      <c r="Z1721" s="9" t="n">
        <f aca="false">IF(AND(N1721&lt;&gt;"",OR(N1721&lt;1,N1721&gt;5)),1,0)</f>
        <v>0</v>
      </c>
      <c r="AA1721" s="9" t="n">
        <f aca="false">IF(AND(M1721&lt;&gt;"",OR(M1721&lt;5,M1721&gt;180)),1,0)</f>
        <v>0</v>
      </c>
      <c r="AB1721" s="7" t="str">
        <f aca="false">IF(P1721="DUP","Exact duplicate row",IF(T1721=1,"Missing Order ID",IF(S1721="DROP","Duplicate Order ID (less complete row)",IF(U1721=1,"Missing Customer ID",IF(V1721=1,"Missing Restaurant name",IF(W1721=1,"Invalid/outlier quantity",IF(X1721=1,"Invalid/outlier unit price",IF(Y1721=1,"Discount greater than order value",""))))))))</f>
        <v/>
      </c>
      <c r="AC1721" s="7" t="str">
        <f aca="false">IF(AB1721="","KEEP","DROP")</f>
        <v>KEEP</v>
      </c>
      <c r="AD1721" s="7" t="str">
        <f aca="false">IF(TRIM(F1721)="",IFERROR(INDEX(Map_Tables!$I$4:$I$37,MATCH(TRIM(E1721),Map_Tables!$G$4:$G$37,0)),""),IFERROR(INDEX(Map_Tables!$B$4:$B$18,MATCH(TRIM(F1721),Map_Tables!$A$4:$A$18,0)),"CHECK"))</f>
        <v>Hyderabad</v>
      </c>
      <c r="AE1721" s="7" t="str">
        <f aca="false">IF(TRIM(E1721)="","",IFERROR(INDEX(Map_Tables!$H$4:$H$37,MATCH(TRIM(E1721),Map_Tables!$G$4:$G$37,0)),"CHECK"))</f>
        <v>Pizza Palace</v>
      </c>
      <c r="AF1721" s="7" t="str">
        <f aca="false">IF(TRIM(K1721)="","Unknown",IFERROR(INDEX(Map_Tables!$E$4:$E$15,MATCH(TRIM(K1721),Map_Tables!$D$4:$D$15,0)),"CHECK"))</f>
        <v>Wallet</v>
      </c>
      <c r="AG1721" s="7" t="str">
        <f aca="false">IF(LEFT(LOWER(TRIM(L1721)),6)="cancel","Cancelled","Delivered")</f>
        <v>Delivered</v>
      </c>
      <c r="AH1721" s="10" t="n">
        <f aca="false">IF(ISNUMBER(SEARCH("/",B1721)),DATE(VALUE(RIGHT(B1721,4)),VALUE(MID(B1721,4,2)),VALUE(LEFT(B1721,2))),IF(MID(B1721,5,1)="-",DATE(VALUE(LEFT(B1721,4)),VALUE(MID(B1721,6,2)),VALUE(RIGHT(B1721,2))),DATE(VALUE(RIGHT(B1721,4)),MATCH(MID(B1721,4,3),{"Jan","Feb","Mar","Apr","May","Jun","Jul","Aug","Sep","Oct","Nov","Dec"},0),VALUE(LEFT(B1721,2)))))</f>
        <v>45967</v>
      </c>
    </row>
    <row r="1722" customFormat="false" ht="15" hidden="false" customHeight="false" outlineLevel="0" collapsed="false">
      <c r="A1722" s="7" t="s">
        <v>4302</v>
      </c>
      <c r="B1722" s="7" t="s">
        <v>1183</v>
      </c>
      <c r="C1722" s="7" t="s">
        <v>4026</v>
      </c>
      <c r="D1722" s="7" t="s">
        <v>905</v>
      </c>
      <c r="E1722" s="7" t="s">
        <v>116</v>
      </c>
      <c r="F1722" s="7" t="s">
        <v>101</v>
      </c>
      <c r="G1722" s="7" t="s">
        <v>117</v>
      </c>
      <c r="H1722" s="7" t="n">
        <v>5</v>
      </c>
      <c r="I1722" s="7" t="n">
        <v>125</v>
      </c>
      <c r="J1722" s="7" t="n">
        <v>125</v>
      </c>
      <c r="K1722" s="7" t="s">
        <v>88</v>
      </c>
      <c r="L1722" s="7" t="s">
        <v>194</v>
      </c>
      <c r="M1722" s="7" t="n">
        <v>50</v>
      </c>
      <c r="N1722" s="7" t="n">
        <v>5</v>
      </c>
      <c r="O1722" s="7" t="str">
        <f aca="false">A1722&amp;"|"&amp;B1722&amp;"|"&amp;C1722&amp;"|"&amp;D1722&amp;"|"&amp;E1722&amp;"|"&amp;F1722&amp;"|"&amp;G1722&amp;"|"&amp;H1722&amp;"|"&amp;I1722&amp;"|"&amp;J1722&amp;"|"&amp;K1722&amp;"|"&amp;L1722&amp;"|"&amp;M1722&amp;"|"&amp;N1722</f>
        <v>ORD11589|2025-07-26|21:29|C0467|Pav Bhaji Point|Mumbai|Street Food|5|125|125|UPI|Delivered|50|5</v>
      </c>
      <c r="P1722" s="7" t="str">
        <f aca="false">IF(COUNTIF($O$2:O1722,O1722)&gt;1,"DUP","OK")</f>
        <v>OK</v>
      </c>
      <c r="Q1722" s="7" t="n">
        <f aca="false">COUNTBLANK(A1722:N1722)</f>
        <v>0</v>
      </c>
      <c r="R1722" s="7" t="n">
        <f aca="false">IF(A1722="",0,COUNTIFS($A$2:$A$3058,A1722,$P$2:$P$3058,"OK"))</f>
        <v>1</v>
      </c>
      <c r="S1722" s="7" t="str">
        <f aca="false">IF(OR(A1722="",P1722="DUP",R1722&lt;2),"",IF(Q1722=_xlfn.MINIFS($Q$2:$Q$3058,$A$2:$A$3058,A1722,$P$2:$P$3058,"OK"),"KEEP","DROP"))</f>
        <v/>
      </c>
      <c r="T1722" s="9" t="n">
        <f aca="false">IF(A1722="",1,0)</f>
        <v>0</v>
      </c>
      <c r="U1722" s="9" t="n">
        <f aca="false">IF(D1722="",1,0)</f>
        <v>0</v>
      </c>
      <c r="V1722" s="9" t="n">
        <f aca="false">IF(E1722="",1,0)</f>
        <v>0</v>
      </c>
      <c r="W1722" s="9" t="n">
        <f aca="false">IF(OR(H1722&lt;1,H1722&gt;10),1,0)</f>
        <v>0</v>
      </c>
      <c r="X1722" s="9" t="n">
        <f aca="false">IF(OR(I1722&lt;=0,I1722&gt;1500),1,0)</f>
        <v>0</v>
      </c>
      <c r="Y1722" s="9" t="n">
        <f aca="false">IF(J1722&gt;H1722*I1722,1,0)</f>
        <v>0</v>
      </c>
      <c r="Z1722" s="9" t="n">
        <f aca="false">IF(AND(N1722&lt;&gt;"",OR(N1722&lt;1,N1722&gt;5)),1,0)</f>
        <v>0</v>
      </c>
      <c r="AA1722" s="9" t="n">
        <f aca="false">IF(AND(M1722&lt;&gt;"",OR(M1722&lt;5,M1722&gt;180)),1,0)</f>
        <v>0</v>
      </c>
      <c r="AB1722" s="7" t="str">
        <f aca="false">IF(P1722="DUP","Exact duplicate row",IF(T1722=1,"Missing Order ID",IF(S1722="DROP","Duplicate Order ID (less complete row)",IF(U1722=1,"Missing Customer ID",IF(V1722=1,"Missing Restaurant name",IF(W1722=1,"Invalid/outlier quantity",IF(X1722=1,"Invalid/outlier unit price",IF(Y1722=1,"Discount greater than order value",""))))))))</f>
        <v/>
      </c>
      <c r="AC1722" s="7" t="str">
        <f aca="false">IF(AB1722="","KEEP","DROP")</f>
        <v>KEEP</v>
      </c>
      <c r="AD1722" s="7" t="str">
        <f aca="false">IF(TRIM(F1722)="",IFERROR(INDEX(Map_Tables!$I$4:$I$37,MATCH(TRIM(E1722),Map_Tables!$G$4:$G$37,0)),""),IFERROR(INDEX(Map_Tables!$B$4:$B$18,MATCH(TRIM(F1722),Map_Tables!$A$4:$A$18,0)),"CHECK"))</f>
        <v>Mumbai</v>
      </c>
      <c r="AE1722" s="7" t="str">
        <f aca="false">IF(TRIM(E1722)="","",IFERROR(INDEX(Map_Tables!$H$4:$H$37,MATCH(TRIM(E1722),Map_Tables!$G$4:$G$37,0)),"CHECK"))</f>
        <v>Pav Bhaji Point</v>
      </c>
      <c r="AF1722" s="7" t="str">
        <f aca="false">IF(TRIM(K1722)="","Unknown",IFERROR(INDEX(Map_Tables!$E$4:$E$15,MATCH(TRIM(K1722),Map_Tables!$D$4:$D$15,0)),"CHECK"))</f>
        <v>UPI</v>
      </c>
      <c r="AG1722" s="7" t="str">
        <f aca="false">IF(LEFT(LOWER(TRIM(L1722)),6)="cancel","Cancelled","Delivered")</f>
        <v>Delivered</v>
      </c>
      <c r="AH1722" s="10" t="n">
        <f aca="false">IF(ISNUMBER(SEARCH("/",B1722)),DATE(VALUE(RIGHT(B1722,4)),VALUE(MID(B1722,4,2)),VALUE(LEFT(B1722,2))),IF(MID(B1722,5,1)="-",DATE(VALUE(LEFT(B1722,4)),VALUE(MID(B1722,6,2)),VALUE(RIGHT(B1722,2))),DATE(VALUE(RIGHT(B1722,4)),MATCH(MID(B1722,4,3),{"Jan","Feb","Mar","Apr","May","Jun","Jul","Aug","Sep","Oct","Nov","Dec"},0),VALUE(LEFT(B1722,2)))))</f>
        <v>45864</v>
      </c>
    </row>
    <row r="1723" customFormat="false" ht="15" hidden="false" customHeight="false" outlineLevel="0" collapsed="false">
      <c r="A1723" s="7" t="s">
        <v>4303</v>
      </c>
      <c r="B1723" s="7" t="s">
        <v>4304</v>
      </c>
      <c r="C1723" s="7" t="s">
        <v>4305</v>
      </c>
      <c r="D1723" s="7" t="s">
        <v>1944</v>
      </c>
      <c r="E1723" s="7" t="s">
        <v>130</v>
      </c>
      <c r="F1723" s="7" t="s">
        <v>110</v>
      </c>
      <c r="G1723" s="7" t="s">
        <v>90</v>
      </c>
      <c r="H1723" s="7" t="n">
        <v>2</v>
      </c>
      <c r="I1723" s="7" t="n">
        <v>270</v>
      </c>
      <c r="J1723" s="7" t="n">
        <v>0</v>
      </c>
      <c r="K1723" s="7" t="s">
        <v>93</v>
      </c>
      <c r="L1723" s="7" t="s">
        <v>194</v>
      </c>
      <c r="M1723" s="7" t="n">
        <v>38</v>
      </c>
      <c r="N1723" s="7" t="n">
        <v>5</v>
      </c>
      <c r="O1723" s="7" t="str">
        <f aca="false">A1723&amp;"|"&amp;B1723&amp;"|"&amp;C1723&amp;"|"&amp;D1723&amp;"|"&amp;E1723&amp;"|"&amp;F1723&amp;"|"&amp;G1723&amp;"|"&amp;H1723&amp;"|"&amp;I1723&amp;"|"&amp;J1723&amp;"|"&amp;K1723&amp;"|"&amp;L1723&amp;"|"&amp;M1723&amp;"|"&amp;N1723</f>
        <v>ORD10824|14/04/2025|21:19|C0949|Tandoor Tales|Delhi|North Indian|2|270|0|Credit Card|Delivered|38|5</v>
      </c>
      <c r="P1723" s="7" t="str">
        <f aca="false">IF(COUNTIF($O$2:O1723,O1723)&gt;1,"DUP","OK")</f>
        <v>OK</v>
      </c>
      <c r="Q1723" s="7" t="n">
        <f aca="false">COUNTBLANK(A1723:N1723)</f>
        <v>0</v>
      </c>
      <c r="R1723" s="7" t="n">
        <f aca="false">IF(A1723="",0,COUNTIFS($A$2:$A$3058,A1723,$P$2:$P$3058,"OK"))</f>
        <v>1</v>
      </c>
      <c r="S1723" s="7" t="str">
        <f aca="false">IF(OR(A1723="",P1723="DUP",R1723&lt;2),"",IF(Q1723=_xlfn.MINIFS($Q$2:$Q$3058,$A$2:$A$3058,A1723,$P$2:$P$3058,"OK"),"KEEP","DROP"))</f>
        <v/>
      </c>
      <c r="T1723" s="9" t="n">
        <f aca="false">IF(A1723="",1,0)</f>
        <v>0</v>
      </c>
      <c r="U1723" s="9" t="n">
        <f aca="false">IF(D1723="",1,0)</f>
        <v>0</v>
      </c>
      <c r="V1723" s="9" t="n">
        <f aca="false">IF(E1723="",1,0)</f>
        <v>0</v>
      </c>
      <c r="W1723" s="9" t="n">
        <f aca="false">IF(OR(H1723&lt;1,H1723&gt;10),1,0)</f>
        <v>0</v>
      </c>
      <c r="X1723" s="9" t="n">
        <f aca="false">IF(OR(I1723&lt;=0,I1723&gt;1500),1,0)</f>
        <v>0</v>
      </c>
      <c r="Y1723" s="9" t="n">
        <f aca="false">IF(J1723&gt;H1723*I1723,1,0)</f>
        <v>0</v>
      </c>
      <c r="Z1723" s="9" t="n">
        <f aca="false">IF(AND(N1723&lt;&gt;"",OR(N1723&lt;1,N1723&gt;5)),1,0)</f>
        <v>0</v>
      </c>
      <c r="AA1723" s="9" t="n">
        <f aca="false">IF(AND(M1723&lt;&gt;"",OR(M1723&lt;5,M1723&gt;180)),1,0)</f>
        <v>0</v>
      </c>
      <c r="AB1723" s="7" t="str">
        <f aca="false">IF(P1723="DUP","Exact duplicate row",IF(T1723=1,"Missing Order ID",IF(S1723="DROP","Duplicate Order ID (less complete row)",IF(U1723=1,"Missing Customer ID",IF(V1723=1,"Missing Restaurant name",IF(W1723=1,"Invalid/outlier quantity",IF(X1723=1,"Invalid/outlier unit price",IF(Y1723=1,"Discount greater than order value",""))))))))</f>
        <v/>
      </c>
      <c r="AC1723" s="7" t="str">
        <f aca="false">IF(AB1723="","KEEP","DROP")</f>
        <v>KEEP</v>
      </c>
      <c r="AD1723" s="7" t="str">
        <f aca="false">IF(TRIM(F1723)="",IFERROR(INDEX(Map_Tables!$I$4:$I$37,MATCH(TRIM(E1723),Map_Tables!$G$4:$G$37,0)),""),IFERROR(INDEX(Map_Tables!$B$4:$B$18,MATCH(TRIM(F1723),Map_Tables!$A$4:$A$18,0)),"CHECK"))</f>
        <v>Delhi</v>
      </c>
      <c r="AE1723" s="7" t="str">
        <f aca="false">IF(TRIM(E1723)="","",IFERROR(INDEX(Map_Tables!$H$4:$H$37,MATCH(TRIM(E1723),Map_Tables!$G$4:$G$37,0)),"CHECK"))</f>
        <v>Tandoor Tales</v>
      </c>
      <c r="AF1723" s="7" t="str">
        <f aca="false">IF(TRIM(K1723)="","Unknown",IFERROR(INDEX(Map_Tables!$E$4:$E$15,MATCH(TRIM(K1723),Map_Tables!$D$4:$D$15,0)),"CHECK"))</f>
        <v>Credit Card</v>
      </c>
      <c r="AG1723" s="7" t="str">
        <f aca="false">IF(LEFT(LOWER(TRIM(L1723)),6)="cancel","Cancelled","Delivered")</f>
        <v>Delivered</v>
      </c>
      <c r="AH1723" s="10" t="n">
        <f aca="false">IF(ISNUMBER(SEARCH("/",B1723)),DATE(VALUE(RIGHT(B1723,4)),VALUE(MID(B1723,4,2)),VALUE(LEFT(B1723,2))),IF(MID(B1723,5,1)="-",DATE(VALUE(LEFT(B1723,4)),VALUE(MID(B1723,6,2)),VALUE(RIGHT(B1723,2))),DATE(VALUE(RIGHT(B1723,4)),MATCH(MID(B1723,4,3),{"Jan","Feb","Mar","Apr","May","Jun","Jul","Aug","Sep","Oct","Nov","Dec"},0),VALUE(LEFT(B1723,2)))))</f>
        <v>45761</v>
      </c>
    </row>
    <row r="1724" customFormat="false" ht="15" hidden="false" customHeight="false" outlineLevel="0" collapsed="false">
      <c r="A1724" s="7" t="s">
        <v>4306</v>
      </c>
      <c r="B1724" s="7" t="s">
        <v>921</v>
      </c>
      <c r="C1724" s="7" t="s">
        <v>4307</v>
      </c>
      <c r="D1724" s="7" t="s">
        <v>1846</v>
      </c>
      <c r="E1724" s="7" t="s">
        <v>159</v>
      </c>
      <c r="F1724" s="7" t="s">
        <v>136</v>
      </c>
      <c r="G1724" s="7" t="s">
        <v>90</v>
      </c>
      <c r="H1724" s="7" t="n">
        <v>3</v>
      </c>
      <c r="I1724" s="7" t="n">
        <v>245</v>
      </c>
      <c r="J1724" s="7" t="n">
        <v>50</v>
      </c>
      <c r="K1724" s="7" t="s">
        <v>112</v>
      </c>
      <c r="L1724" s="7" t="s">
        <v>194</v>
      </c>
      <c r="M1724" s="7" t="n">
        <v>51</v>
      </c>
      <c r="N1724" s="7" t="n">
        <v>5</v>
      </c>
      <c r="O1724" s="7" t="str">
        <f aca="false">A1724&amp;"|"&amp;B1724&amp;"|"&amp;C1724&amp;"|"&amp;D1724&amp;"|"&amp;E1724&amp;"|"&amp;F1724&amp;"|"&amp;G1724&amp;"|"&amp;H1724&amp;"|"&amp;I1724&amp;"|"&amp;J1724&amp;"|"&amp;K1724&amp;"|"&amp;L1724&amp;"|"&amp;M1724&amp;"|"&amp;N1724</f>
        <v>ORD12166|2025-10-03|21:49|C0153|Maratha Thali House|Pune|North Indian|3|245|50|Cash on Delivery|Delivered|51|5</v>
      </c>
      <c r="P1724" s="7" t="str">
        <f aca="false">IF(COUNTIF($O$2:O1724,O1724)&gt;1,"DUP","OK")</f>
        <v>OK</v>
      </c>
      <c r="Q1724" s="7" t="n">
        <f aca="false">COUNTBLANK(A1724:N1724)</f>
        <v>0</v>
      </c>
      <c r="R1724" s="7" t="n">
        <f aca="false">IF(A1724="",0,COUNTIFS($A$2:$A$3058,A1724,$P$2:$P$3058,"OK"))</f>
        <v>1</v>
      </c>
      <c r="S1724" s="7" t="str">
        <f aca="false">IF(OR(A1724="",P1724="DUP",R1724&lt;2),"",IF(Q1724=_xlfn.MINIFS($Q$2:$Q$3058,$A$2:$A$3058,A1724,$P$2:$P$3058,"OK"),"KEEP","DROP"))</f>
        <v/>
      </c>
      <c r="T1724" s="9" t="n">
        <f aca="false">IF(A1724="",1,0)</f>
        <v>0</v>
      </c>
      <c r="U1724" s="9" t="n">
        <f aca="false">IF(D1724="",1,0)</f>
        <v>0</v>
      </c>
      <c r="V1724" s="9" t="n">
        <f aca="false">IF(E1724="",1,0)</f>
        <v>0</v>
      </c>
      <c r="W1724" s="9" t="n">
        <f aca="false">IF(OR(H1724&lt;1,H1724&gt;10),1,0)</f>
        <v>0</v>
      </c>
      <c r="X1724" s="9" t="n">
        <f aca="false">IF(OR(I1724&lt;=0,I1724&gt;1500),1,0)</f>
        <v>0</v>
      </c>
      <c r="Y1724" s="9" t="n">
        <f aca="false">IF(J1724&gt;H1724*I1724,1,0)</f>
        <v>0</v>
      </c>
      <c r="Z1724" s="9" t="n">
        <f aca="false">IF(AND(N1724&lt;&gt;"",OR(N1724&lt;1,N1724&gt;5)),1,0)</f>
        <v>0</v>
      </c>
      <c r="AA1724" s="9" t="n">
        <f aca="false">IF(AND(M1724&lt;&gt;"",OR(M1724&lt;5,M1724&gt;180)),1,0)</f>
        <v>0</v>
      </c>
      <c r="AB1724" s="7" t="str">
        <f aca="false">IF(P1724="DUP","Exact duplicate row",IF(T1724=1,"Missing Order ID",IF(S1724="DROP","Duplicate Order ID (less complete row)",IF(U1724=1,"Missing Customer ID",IF(V1724=1,"Missing Restaurant name",IF(W1724=1,"Invalid/outlier quantity",IF(X1724=1,"Invalid/outlier unit price",IF(Y1724=1,"Discount greater than order value",""))))))))</f>
        <v/>
      </c>
      <c r="AC1724" s="7" t="str">
        <f aca="false">IF(AB1724="","KEEP","DROP")</f>
        <v>KEEP</v>
      </c>
      <c r="AD1724" s="7" t="str">
        <f aca="false">IF(TRIM(F1724)="",IFERROR(INDEX(Map_Tables!$I$4:$I$37,MATCH(TRIM(E1724),Map_Tables!$G$4:$G$37,0)),""),IFERROR(INDEX(Map_Tables!$B$4:$B$18,MATCH(TRIM(F1724),Map_Tables!$A$4:$A$18,0)),"CHECK"))</f>
        <v>Pune</v>
      </c>
      <c r="AE1724" s="7" t="str">
        <f aca="false">IF(TRIM(E1724)="","",IFERROR(INDEX(Map_Tables!$H$4:$H$37,MATCH(TRIM(E1724),Map_Tables!$G$4:$G$37,0)),"CHECK"))</f>
        <v>Maratha Thali House</v>
      </c>
      <c r="AF1724" s="7" t="str">
        <f aca="false">IF(TRIM(K1724)="","Unknown",IFERROR(INDEX(Map_Tables!$E$4:$E$15,MATCH(TRIM(K1724),Map_Tables!$D$4:$D$15,0)),"CHECK"))</f>
        <v>Cash on Delivery</v>
      </c>
      <c r="AG1724" s="7" t="str">
        <f aca="false">IF(LEFT(LOWER(TRIM(L1724)),6)="cancel","Cancelled","Delivered")</f>
        <v>Delivered</v>
      </c>
      <c r="AH1724" s="10" t="n">
        <f aca="false">IF(ISNUMBER(SEARCH("/",B1724)),DATE(VALUE(RIGHT(B1724,4)),VALUE(MID(B1724,4,2)),VALUE(LEFT(B1724,2))),IF(MID(B1724,5,1)="-",DATE(VALUE(LEFT(B1724,4)),VALUE(MID(B1724,6,2)),VALUE(RIGHT(B1724,2))),DATE(VALUE(RIGHT(B1724,4)),MATCH(MID(B1724,4,3),{"Jan","Feb","Mar","Apr","May","Jun","Jul","Aug","Sep","Oct","Nov","Dec"},0),VALUE(LEFT(B1724,2)))))</f>
        <v>45933</v>
      </c>
    </row>
    <row r="1725" customFormat="false" ht="15" hidden="false" customHeight="false" outlineLevel="0" collapsed="false">
      <c r="A1725" s="7" t="s">
        <v>4308</v>
      </c>
      <c r="B1725" s="7" t="s">
        <v>222</v>
      </c>
      <c r="C1725" s="7" t="s">
        <v>1604</v>
      </c>
      <c r="D1725" s="7" t="s">
        <v>4309</v>
      </c>
      <c r="E1725" s="7" t="s">
        <v>168</v>
      </c>
      <c r="F1725" s="7" t="s">
        <v>146</v>
      </c>
      <c r="G1725" s="7" t="s">
        <v>123</v>
      </c>
      <c r="H1725" s="7" t="n">
        <v>2</v>
      </c>
      <c r="I1725" s="7" t="n">
        <v>280</v>
      </c>
      <c r="J1725" s="7" t="n">
        <v>150</v>
      </c>
      <c r="K1725" s="7"/>
      <c r="L1725" s="7" t="s">
        <v>194</v>
      </c>
      <c r="M1725" s="7" t="n">
        <v>23</v>
      </c>
      <c r="N1725" s="7"/>
      <c r="O1725" s="7" t="str">
        <f aca="false">A1725&amp;"|"&amp;B1725&amp;"|"&amp;C1725&amp;"|"&amp;D1725&amp;"|"&amp;E1725&amp;"|"&amp;F1725&amp;"|"&amp;G1725&amp;"|"&amp;H1725&amp;"|"&amp;I1725&amp;"|"&amp;J1725&amp;"|"&amp;K1725&amp;"|"&amp;L1725&amp;"|"&amp;M1725&amp;"|"&amp;N1725</f>
        <v>ORD12785|2025-12-07|08:47|C0120|Cheesy Slice|Ahmedabad|Pizza|2|280|150||Delivered|23|</v>
      </c>
      <c r="P1725" s="7" t="str">
        <f aca="false">IF(COUNTIF($O$2:O1725,O1725)&gt;1,"DUP","OK")</f>
        <v>OK</v>
      </c>
      <c r="Q1725" s="7" t="n">
        <f aca="false">COUNTBLANK(A1725:N1725)</f>
        <v>2</v>
      </c>
      <c r="R1725" s="7" t="n">
        <f aca="false">IF(A1725="",0,COUNTIFS($A$2:$A$3058,A1725,$P$2:$P$3058,"OK"))</f>
        <v>1</v>
      </c>
      <c r="S1725" s="7" t="str">
        <f aca="false">IF(OR(A1725="",P1725="DUP",R1725&lt;2),"",IF(Q1725=_xlfn.MINIFS($Q$2:$Q$3058,$A$2:$A$3058,A1725,$P$2:$P$3058,"OK"),"KEEP","DROP"))</f>
        <v/>
      </c>
      <c r="T1725" s="9" t="n">
        <f aca="false">IF(A1725="",1,0)</f>
        <v>0</v>
      </c>
      <c r="U1725" s="9" t="n">
        <f aca="false">IF(D1725="",1,0)</f>
        <v>0</v>
      </c>
      <c r="V1725" s="9" t="n">
        <f aca="false">IF(E1725="",1,0)</f>
        <v>0</v>
      </c>
      <c r="W1725" s="9" t="n">
        <f aca="false">IF(OR(H1725&lt;1,H1725&gt;10),1,0)</f>
        <v>0</v>
      </c>
      <c r="X1725" s="9" t="n">
        <f aca="false">IF(OR(I1725&lt;=0,I1725&gt;1500),1,0)</f>
        <v>0</v>
      </c>
      <c r="Y1725" s="9" t="n">
        <f aca="false">IF(J1725&gt;H1725*I1725,1,0)</f>
        <v>0</v>
      </c>
      <c r="Z1725" s="9" t="n">
        <f aca="false">IF(AND(N1725&lt;&gt;"",OR(N1725&lt;1,N1725&gt;5)),1,0)</f>
        <v>0</v>
      </c>
      <c r="AA1725" s="9" t="n">
        <f aca="false">IF(AND(M1725&lt;&gt;"",OR(M1725&lt;5,M1725&gt;180)),1,0)</f>
        <v>0</v>
      </c>
      <c r="AB1725" s="7" t="str">
        <f aca="false">IF(P1725="DUP","Exact duplicate row",IF(T1725=1,"Missing Order ID",IF(S1725="DROP","Duplicate Order ID (less complete row)",IF(U1725=1,"Missing Customer ID",IF(V1725=1,"Missing Restaurant name",IF(W1725=1,"Invalid/outlier quantity",IF(X1725=1,"Invalid/outlier unit price",IF(Y1725=1,"Discount greater than order value",""))))))))</f>
        <v/>
      </c>
      <c r="AC1725" s="7" t="str">
        <f aca="false">IF(AB1725="","KEEP","DROP")</f>
        <v>KEEP</v>
      </c>
      <c r="AD1725" s="7" t="str">
        <f aca="false">IF(TRIM(F1725)="",IFERROR(INDEX(Map_Tables!$I$4:$I$37,MATCH(TRIM(E1725),Map_Tables!$G$4:$G$37,0)),""),IFERROR(INDEX(Map_Tables!$B$4:$B$18,MATCH(TRIM(F1725),Map_Tables!$A$4:$A$18,0)),"CHECK"))</f>
        <v>Ahmedabad</v>
      </c>
      <c r="AE1725" s="7" t="str">
        <f aca="false">IF(TRIM(E1725)="","",IFERROR(INDEX(Map_Tables!$H$4:$H$37,MATCH(TRIM(E1725),Map_Tables!$G$4:$G$37,0)),"CHECK"))</f>
        <v>Cheesy Slice</v>
      </c>
      <c r="AF1725" s="7" t="str">
        <f aca="false">IF(TRIM(K1725)="","Unknown",IFERROR(INDEX(Map_Tables!$E$4:$E$15,MATCH(TRIM(K1725),Map_Tables!$D$4:$D$15,0)),"CHECK"))</f>
        <v>Unknown</v>
      </c>
      <c r="AG1725" s="7" t="str">
        <f aca="false">IF(LEFT(LOWER(TRIM(L1725)),6)="cancel","Cancelled","Delivered")</f>
        <v>Delivered</v>
      </c>
      <c r="AH1725" s="10" t="n">
        <f aca="false">IF(ISNUMBER(SEARCH("/",B1725)),DATE(VALUE(RIGHT(B1725,4)),VALUE(MID(B1725,4,2)),VALUE(LEFT(B1725,2))),IF(MID(B1725,5,1)="-",DATE(VALUE(LEFT(B1725,4)),VALUE(MID(B1725,6,2)),VALUE(RIGHT(B1725,2))),DATE(VALUE(RIGHT(B1725,4)),MATCH(MID(B1725,4,3),{"Jan","Feb","Mar","Apr","May","Jun","Jul","Aug","Sep","Oct","Nov","Dec"},0),VALUE(LEFT(B1725,2)))))</f>
        <v>45998</v>
      </c>
    </row>
    <row r="1726" customFormat="false" ht="15" hidden="false" customHeight="false" outlineLevel="0" collapsed="false">
      <c r="A1726" s="7" t="s">
        <v>4310</v>
      </c>
      <c r="B1726" s="7" t="s">
        <v>291</v>
      </c>
      <c r="C1726" s="7" t="s">
        <v>4269</v>
      </c>
      <c r="D1726" s="7" t="s">
        <v>307</v>
      </c>
      <c r="E1726" s="7" t="s">
        <v>138</v>
      </c>
      <c r="F1726" s="7"/>
      <c r="G1726" s="7" t="s">
        <v>139</v>
      </c>
      <c r="H1726" s="7" t="n">
        <v>1</v>
      </c>
      <c r="I1726" s="7" t="n">
        <v>200</v>
      </c>
      <c r="J1726" s="7" t="n">
        <v>80</v>
      </c>
      <c r="K1726" s="7" t="s">
        <v>88</v>
      </c>
      <c r="L1726" s="7" t="s">
        <v>194</v>
      </c>
      <c r="M1726" s="7" t="n">
        <v>39</v>
      </c>
      <c r="N1726" s="7" t="n">
        <v>3</v>
      </c>
      <c r="O1726" s="7" t="str">
        <f aca="false">A1726&amp;"|"&amp;B1726&amp;"|"&amp;C1726&amp;"|"&amp;D1726&amp;"|"&amp;E1726&amp;"|"&amp;F1726&amp;"|"&amp;G1726&amp;"|"&amp;H1726&amp;"|"&amp;I1726&amp;"|"&amp;J1726&amp;"|"&amp;K1726&amp;"|"&amp;L1726&amp;"|"&amp;M1726&amp;"|"&amp;N1726</f>
        <v>ORD11227|2025-06-05|16:33|C1425|Burger Barn||Burgers|1|200|80|UPI|Delivered|39|3</v>
      </c>
      <c r="P1726" s="7" t="str">
        <f aca="false">IF(COUNTIF($O$2:O1726,O1726)&gt;1,"DUP","OK")</f>
        <v>OK</v>
      </c>
      <c r="Q1726" s="7" t="n">
        <f aca="false">COUNTBLANK(A1726:N1726)</f>
        <v>1</v>
      </c>
      <c r="R1726" s="7" t="n">
        <f aca="false">IF(A1726="",0,COUNTIFS($A$2:$A$3058,A1726,$P$2:$P$3058,"OK"))</f>
        <v>1</v>
      </c>
      <c r="S1726" s="7" t="str">
        <f aca="false">IF(OR(A1726="",P1726="DUP",R1726&lt;2),"",IF(Q1726=_xlfn.MINIFS($Q$2:$Q$3058,$A$2:$A$3058,A1726,$P$2:$P$3058,"OK"),"KEEP","DROP"))</f>
        <v/>
      </c>
      <c r="T1726" s="9" t="n">
        <f aca="false">IF(A1726="",1,0)</f>
        <v>0</v>
      </c>
      <c r="U1726" s="9" t="n">
        <f aca="false">IF(D1726="",1,0)</f>
        <v>0</v>
      </c>
      <c r="V1726" s="9" t="n">
        <f aca="false">IF(E1726="",1,0)</f>
        <v>0</v>
      </c>
      <c r="W1726" s="9" t="n">
        <f aca="false">IF(OR(H1726&lt;1,H1726&gt;10),1,0)</f>
        <v>0</v>
      </c>
      <c r="X1726" s="9" t="n">
        <f aca="false">IF(OR(I1726&lt;=0,I1726&gt;1500),1,0)</f>
        <v>0</v>
      </c>
      <c r="Y1726" s="9" t="n">
        <f aca="false">IF(J1726&gt;H1726*I1726,1,0)</f>
        <v>0</v>
      </c>
      <c r="Z1726" s="9" t="n">
        <f aca="false">IF(AND(N1726&lt;&gt;"",OR(N1726&lt;1,N1726&gt;5)),1,0)</f>
        <v>0</v>
      </c>
      <c r="AA1726" s="9" t="n">
        <f aca="false">IF(AND(M1726&lt;&gt;"",OR(M1726&lt;5,M1726&gt;180)),1,0)</f>
        <v>0</v>
      </c>
      <c r="AB1726" s="7" t="str">
        <f aca="false">IF(P1726="DUP","Exact duplicate row",IF(T1726=1,"Missing Order ID",IF(S1726="DROP","Duplicate Order ID (less complete row)",IF(U1726=1,"Missing Customer ID",IF(V1726=1,"Missing Restaurant name",IF(W1726=1,"Invalid/outlier quantity",IF(X1726=1,"Invalid/outlier unit price",IF(Y1726=1,"Discount greater than order value",""))))))))</f>
        <v/>
      </c>
      <c r="AC1726" s="7" t="str">
        <f aca="false">IF(AB1726="","KEEP","DROP")</f>
        <v>KEEP</v>
      </c>
      <c r="AD1726" s="7" t="str">
        <f aca="false">IF(TRIM(F1726)="",IFERROR(INDEX(Map_Tables!$I$4:$I$37,MATCH(TRIM(E1726),Map_Tables!$G$4:$G$37,0)),""),IFERROR(INDEX(Map_Tables!$B$4:$B$18,MATCH(TRIM(F1726),Map_Tables!$A$4:$A$18,0)),"CHECK"))</f>
        <v>Delhi</v>
      </c>
      <c r="AE1726" s="7" t="str">
        <f aca="false">IF(TRIM(E1726)="","",IFERROR(INDEX(Map_Tables!$H$4:$H$37,MATCH(TRIM(E1726),Map_Tables!$G$4:$G$37,0)),"CHECK"))</f>
        <v>Burger Barn</v>
      </c>
      <c r="AF1726" s="7" t="str">
        <f aca="false">IF(TRIM(K1726)="","Unknown",IFERROR(INDEX(Map_Tables!$E$4:$E$15,MATCH(TRIM(K1726),Map_Tables!$D$4:$D$15,0)),"CHECK"))</f>
        <v>UPI</v>
      </c>
      <c r="AG1726" s="7" t="str">
        <f aca="false">IF(LEFT(LOWER(TRIM(L1726)),6)="cancel","Cancelled","Delivered")</f>
        <v>Delivered</v>
      </c>
      <c r="AH1726" s="10" t="n">
        <f aca="false">IF(ISNUMBER(SEARCH("/",B1726)),DATE(VALUE(RIGHT(B1726,4)),VALUE(MID(B1726,4,2)),VALUE(LEFT(B1726,2))),IF(MID(B1726,5,1)="-",DATE(VALUE(LEFT(B1726,4)),VALUE(MID(B1726,6,2)),VALUE(RIGHT(B1726,2))),DATE(VALUE(RIGHT(B1726,4)),MATCH(MID(B1726,4,3),{"Jan","Feb","Mar","Apr","May","Jun","Jul","Aug","Sep","Oct","Nov","Dec"},0),VALUE(LEFT(B1726,2)))))</f>
        <v>45813</v>
      </c>
    </row>
    <row r="1727" customFormat="false" ht="15" hidden="false" customHeight="false" outlineLevel="0" collapsed="false">
      <c r="A1727" s="7" t="s">
        <v>4311</v>
      </c>
      <c r="B1727" s="7" t="s">
        <v>3695</v>
      </c>
      <c r="C1727" s="7" t="s">
        <v>4312</v>
      </c>
      <c r="D1727" s="7" t="s">
        <v>4313</v>
      </c>
      <c r="E1727" s="7" t="s">
        <v>149</v>
      </c>
      <c r="F1727" s="7" t="s">
        <v>119</v>
      </c>
      <c r="G1727" s="7" t="s">
        <v>150</v>
      </c>
      <c r="H1727" s="7" t="n">
        <v>1</v>
      </c>
      <c r="I1727" s="7" t="n">
        <v>165</v>
      </c>
      <c r="J1727" s="7" t="n">
        <v>66</v>
      </c>
      <c r="K1727" s="7" t="s">
        <v>88</v>
      </c>
      <c r="L1727" s="7" t="s">
        <v>194</v>
      </c>
      <c r="M1727" s="7" t="n">
        <v>29</v>
      </c>
      <c r="N1727" s="7" t="n">
        <v>5</v>
      </c>
      <c r="O1727" s="7" t="str">
        <f aca="false">A1727&amp;"|"&amp;B1727&amp;"|"&amp;C1727&amp;"|"&amp;D1727&amp;"|"&amp;E1727&amp;"|"&amp;F1727&amp;"|"&amp;G1727&amp;"|"&amp;H1727&amp;"|"&amp;I1727&amp;"|"&amp;J1727&amp;"|"&amp;K1727&amp;"|"&amp;L1727&amp;"|"&amp;M1727&amp;"|"&amp;N1727</f>
        <v>ORD11954|2025-09-10|21:18|C1481|Sweet Tooth Studio|Hyderabad|Desserts|1|165|66|UPI|Delivered|29|5</v>
      </c>
      <c r="P1727" s="7" t="str">
        <f aca="false">IF(COUNTIF($O$2:O1727,O1727)&gt;1,"DUP","OK")</f>
        <v>OK</v>
      </c>
      <c r="Q1727" s="7" t="n">
        <f aca="false">COUNTBLANK(A1727:N1727)</f>
        <v>0</v>
      </c>
      <c r="R1727" s="7" t="n">
        <f aca="false">IF(A1727="",0,COUNTIFS($A$2:$A$3058,A1727,$P$2:$P$3058,"OK"))</f>
        <v>1</v>
      </c>
      <c r="S1727" s="7" t="str">
        <f aca="false">IF(OR(A1727="",P1727="DUP",R1727&lt;2),"",IF(Q1727=_xlfn.MINIFS($Q$2:$Q$3058,$A$2:$A$3058,A1727,$P$2:$P$3058,"OK"),"KEEP","DROP"))</f>
        <v/>
      </c>
      <c r="T1727" s="9" t="n">
        <f aca="false">IF(A1727="",1,0)</f>
        <v>0</v>
      </c>
      <c r="U1727" s="9" t="n">
        <f aca="false">IF(D1727="",1,0)</f>
        <v>0</v>
      </c>
      <c r="V1727" s="9" t="n">
        <f aca="false">IF(E1727="",1,0)</f>
        <v>0</v>
      </c>
      <c r="W1727" s="9" t="n">
        <f aca="false">IF(OR(H1727&lt;1,H1727&gt;10),1,0)</f>
        <v>0</v>
      </c>
      <c r="X1727" s="9" t="n">
        <f aca="false">IF(OR(I1727&lt;=0,I1727&gt;1500),1,0)</f>
        <v>0</v>
      </c>
      <c r="Y1727" s="9" t="n">
        <f aca="false">IF(J1727&gt;H1727*I1727,1,0)</f>
        <v>0</v>
      </c>
      <c r="Z1727" s="9" t="n">
        <f aca="false">IF(AND(N1727&lt;&gt;"",OR(N1727&lt;1,N1727&gt;5)),1,0)</f>
        <v>0</v>
      </c>
      <c r="AA1727" s="9" t="n">
        <f aca="false">IF(AND(M1727&lt;&gt;"",OR(M1727&lt;5,M1727&gt;180)),1,0)</f>
        <v>0</v>
      </c>
      <c r="AB1727" s="7" t="str">
        <f aca="false">IF(P1727="DUP","Exact duplicate row",IF(T1727=1,"Missing Order ID",IF(S1727="DROP","Duplicate Order ID (less complete row)",IF(U1727=1,"Missing Customer ID",IF(V1727=1,"Missing Restaurant name",IF(W1727=1,"Invalid/outlier quantity",IF(X1727=1,"Invalid/outlier unit price",IF(Y1727=1,"Discount greater than order value",""))))))))</f>
        <v/>
      </c>
      <c r="AC1727" s="7" t="str">
        <f aca="false">IF(AB1727="","KEEP","DROP")</f>
        <v>KEEP</v>
      </c>
      <c r="AD1727" s="7" t="str">
        <f aca="false">IF(TRIM(F1727)="",IFERROR(INDEX(Map_Tables!$I$4:$I$37,MATCH(TRIM(E1727),Map_Tables!$G$4:$G$37,0)),""),IFERROR(INDEX(Map_Tables!$B$4:$B$18,MATCH(TRIM(F1727),Map_Tables!$A$4:$A$18,0)),"CHECK"))</f>
        <v>Hyderabad</v>
      </c>
      <c r="AE1727" s="7" t="str">
        <f aca="false">IF(TRIM(E1727)="","",IFERROR(INDEX(Map_Tables!$H$4:$H$37,MATCH(TRIM(E1727),Map_Tables!$G$4:$G$37,0)),"CHECK"))</f>
        <v>Sweet Tooth Studio</v>
      </c>
      <c r="AF1727" s="7" t="str">
        <f aca="false">IF(TRIM(K1727)="","Unknown",IFERROR(INDEX(Map_Tables!$E$4:$E$15,MATCH(TRIM(K1727),Map_Tables!$D$4:$D$15,0)),"CHECK"))</f>
        <v>UPI</v>
      </c>
      <c r="AG1727" s="7" t="str">
        <f aca="false">IF(LEFT(LOWER(TRIM(L1727)),6)="cancel","Cancelled","Delivered")</f>
        <v>Delivered</v>
      </c>
      <c r="AH1727" s="10" t="n">
        <f aca="false">IF(ISNUMBER(SEARCH("/",B1727)),DATE(VALUE(RIGHT(B1727,4)),VALUE(MID(B1727,4,2)),VALUE(LEFT(B1727,2))),IF(MID(B1727,5,1)="-",DATE(VALUE(LEFT(B1727,4)),VALUE(MID(B1727,6,2)),VALUE(RIGHT(B1727,2))),DATE(VALUE(RIGHT(B1727,4)),MATCH(MID(B1727,4,3),{"Jan","Feb","Mar","Apr","May","Jun","Jul","Aug","Sep","Oct","Nov","Dec"},0),VALUE(LEFT(B1727,2)))))</f>
        <v>45910</v>
      </c>
    </row>
    <row r="1728" customFormat="false" ht="15" hidden="false" customHeight="false" outlineLevel="0" collapsed="false">
      <c r="A1728" s="7" t="s">
        <v>4314</v>
      </c>
      <c r="B1728" s="7" t="s">
        <v>1808</v>
      </c>
      <c r="C1728" s="7" t="s">
        <v>2263</v>
      </c>
      <c r="D1728" s="7" t="s">
        <v>2139</v>
      </c>
      <c r="E1728" s="7" t="s">
        <v>164</v>
      </c>
      <c r="F1728" s="7" t="s">
        <v>141</v>
      </c>
      <c r="G1728" s="7" t="s">
        <v>150</v>
      </c>
      <c r="H1728" s="7" t="n">
        <v>1</v>
      </c>
      <c r="I1728" s="7" t="n">
        <v>115</v>
      </c>
      <c r="J1728" s="7" t="n">
        <v>20</v>
      </c>
      <c r="K1728" s="7" t="s">
        <v>112</v>
      </c>
      <c r="L1728" s="7" t="s">
        <v>194</v>
      </c>
      <c r="M1728" s="7" t="n">
        <v>29</v>
      </c>
      <c r="N1728" s="7" t="n">
        <v>3</v>
      </c>
      <c r="O1728" s="7" t="str">
        <f aca="false">A1728&amp;"|"&amp;B1728&amp;"|"&amp;C1728&amp;"|"&amp;D1728&amp;"|"&amp;E1728&amp;"|"&amp;F1728&amp;"|"&amp;G1728&amp;"|"&amp;H1728&amp;"|"&amp;I1728&amp;"|"&amp;J1728&amp;"|"&amp;K1728&amp;"|"&amp;L1728&amp;"|"&amp;M1728&amp;"|"&amp;N1728</f>
        <v>ORD12677|25/11/2025|21:41|C0675|Mishti Mandir|Kolkata|Desserts|1|115|20|Cash on Delivery|Delivered|29|3</v>
      </c>
      <c r="P1728" s="7" t="str">
        <f aca="false">IF(COUNTIF($O$2:O1728,O1728)&gt;1,"DUP","OK")</f>
        <v>OK</v>
      </c>
      <c r="Q1728" s="7" t="n">
        <f aca="false">COUNTBLANK(A1728:N1728)</f>
        <v>0</v>
      </c>
      <c r="R1728" s="7" t="n">
        <f aca="false">IF(A1728="",0,COUNTIFS($A$2:$A$3058,A1728,$P$2:$P$3058,"OK"))</f>
        <v>1</v>
      </c>
      <c r="S1728" s="7" t="str">
        <f aca="false">IF(OR(A1728="",P1728="DUP",R1728&lt;2),"",IF(Q1728=_xlfn.MINIFS($Q$2:$Q$3058,$A$2:$A$3058,A1728,$P$2:$P$3058,"OK"),"KEEP","DROP"))</f>
        <v/>
      </c>
      <c r="T1728" s="9" t="n">
        <f aca="false">IF(A1728="",1,0)</f>
        <v>0</v>
      </c>
      <c r="U1728" s="9" t="n">
        <f aca="false">IF(D1728="",1,0)</f>
        <v>0</v>
      </c>
      <c r="V1728" s="9" t="n">
        <f aca="false">IF(E1728="",1,0)</f>
        <v>0</v>
      </c>
      <c r="W1728" s="9" t="n">
        <f aca="false">IF(OR(H1728&lt;1,H1728&gt;10),1,0)</f>
        <v>0</v>
      </c>
      <c r="X1728" s="9" t="n">
        <f aca="false">IF(OR(I1728&lt;=0,I1728&gt;1500),1,0)</f>
        <v>0</v>
      </c>
      <c r="Y1728" s="9" t="n">
        <f aca="false">IF(J1728&gt;H1728*I1728,1,0)</f>
        <v>0</v>
      </c>
      <c r="Z1728" s="9" t="n">
        <f aca="false">IF(AND(N1728&lt;&gt;"",OR(N1728&lt;1,N1728&gt;5)),1,0)</f>
        <v>0</v>
      </c>
      <c r="AA1728" s="9" t="n">
        <f aca="false">IF(AND(M1728&lt;&gt;"",OR(M1728&lt;5,M1728&gt;180)),1,0)</f>
        <v>0</v>
      </c>
      <c r="AB1728" s="7" t="str">
        <f aca="false">IF(P1728="DUP","Exact duplicate row",IF(T1728=1,"Missing Order ID",IF(S1728="DROP","Duplicate Order ID (less complete row)",IF(U1728=1,"Missing Customer ID",IF(V1728=1,"Missing Restaurant name",IF(W1728=1,"Invalid/outlier quantity",IF(X1728=1,"Invalid/outlier unit price",IF(Y1728=1,"Discount greater than order value",""))))))))</f>
        <v/>
      </c>
      <c r="AC1728" s="7" t="str">
        <f aca="false">IF(AB1728="","KEEP","DROP")</f>
        <v>KEEP</v>
      </c>
      <c r="AD1728" s="7" t="str">
        <f aca="false">IF(TRIM(F1728)="",IFERROR(INDEX(Map_Tables!$I$4:$I$37,MATCH(TRIM(E1728),Map_Tables!$G$4:$G$37,0)),""),IFERROR(INDEX(Map_Tables!$B$4:$B$18,MATCH(TRIM(F1728),Map_Tables!$A$4:$A$18,0)),"CHECK"))</f>
        <v>Kolkata</v>
      </c>
      <c r="AE1728" s="7" t="str">
        <f aca="false">IF(TRIM(E1728)="","",IFERROR(INDEX(Map_Tables!$H$4:$H$37,MATCH(TRIM(E1728),Map_Tables!$G$4:$G$37,0)),"CHECK"))</f>
        <v>Mishti Mandir</v>
      </c>
      <c r="AF1728" s="7" t="str">
        <f aca="false">IF(TRIM(K1728)="","Unknown",IFERROR(INDEX(Map_Tables!$E$4:$E$15,MATCH(TRIM(K1728),Map_Tables!$D$4:$D$15,0)),"CHECK"))</f>
        <v>Cash on Delivery</v>
      </c>
      <c r="AG1728" s="7" t="str">
        <f aca="false">IF(LEFT(LOWER(TRIM(L1728)),6)="cancel","Cancelled","Delivered")</f>
        <v>Delivered</v>
      </c>
      <c r="AH1728" s="10" t="n">
        <f aca="false">IF(ISNUMBER(SEARCH("/",B1728)),DATE(VALUE(RIGHT(B1728,4)),VALUE(MID(B1728,4,2)),VALUE(LEFT(B1728,2))),IF(MID(B1728,5,1)="-",DATE(VALUE(LEFT(B1728,4)),VALUE(MID(B1728,6,2)),VALUE(RIGHT(B1728,2))),DATE(VALUE(RIGHT(B1728,4)),MATCH(MID(B1728,4,3),{"Jan","Feb","Mar","Apr","May","Jun","Jul","Aug","Sep","Oct","Nov","Dec"},0),VALUE(LEFT(B1728,2)))))</f>
        <v>45986</v>
      </c>
    </row>
    <row r="1729" customFormat="false" ht="15" hidden="false" customHeight="false" outlineLevel="0" collapsed="false">
      <c r="A1729" s="7" t="s">
        <v>4315</v>
      </c>
      <c r="B1729" s="7" t="s">
        <v>1845</v>
      </c>
      <c r="C1729" s="7" t="s">
        <v>4316</v>
      </c>
      <c r="D1729" s="7" t="s">
        <v>1302</v>
      </c>
      <c r="E1729" s="7" t="s">
        <v>3050</v>
      </c>
      <c r="F1729" s="7" t="s">
        <v>86</v>
      </c>
      <c r="G1729" s="7" t="s">
        <v>90</v>
      </c>
      <c r="H1729" s="7" t="n">
        <v>1</v>
      </c>
      <c r="I1729" s="7" t="n">
        <v>230</v>
      </c>
      <c r="J1729" s="7" t="n">
        <v>0</v>
      </c>
      <c r="K1729" s="7" t="s">
        <v>103</v>
      </c>
      <c r="L1729" s="7" t="s">
        <v>194</v>
      </c>
      <c r="M1729" s="7" t="n">
        <v>38</v>
      </c>
      <c r="N1729" s="7" t="n">
        <v>5</v>
      </c>
      <c r="O1729" s="7" t="str">
        <f aca="false">A1729&amp;"|"&amp;B1729&amp;"|"&amp;C1729&amp;"|"&amp;D1729&amp;"|"&amp;E1729&amp;"|"&amp;F1729&amp;"|"&amp;G1729&amp;"|"&amp;H1729&amp;"|"&amp;I1729&amp;"|"&amp;J1729&amp;"|"&amp;K1729&amp;"|"&amp;L1729&amp;"|"&amp;M1729&amp;"|"&amp;N1729</f>
        <v>ORD11996|2025-09-15|14:16|C1347|Spice  Junction|Bengaluru|North Indian|1|230|0|Debit Card|Delivered|38|5</v>
      </c>
      <c r="P1729" s="7" t="str">
        <f aca="false">IF(COUNTIF($O$2:O1729,O1729)&gt;1,"DUP","OK")</f>
        <v>OK</v>
      </c>
      <c r="Q1729" s="7" t="n">
        <f aca="false">COUNTBLANK(A1729:N1729)</f>
        <v>0</v>
      </c>
      <c r="R1729" s="7" t="n">
        <f aca="false">IF(A1729="",0,COUNTIFS($A$2:$A$3058,A1729,$P$2:$P$3058,"OK"))</f>
        <v>1</v>
      </c>
      <c r="S1729" s="7" t="str">
        <f aca="false">IF(OR(A1729="",P1729="DUP",R1729&lt;2),"",IF(Q1729=_xlfn.MINIFS($Q$2:$Q$3058,$A$2:$A$3058,A1729,$P$2:$P$3058,"OK"),"KEEP","DROP"))</f>
        <v/>
      </c>
      <c r="T1729" s="9" t="n">
        <f aca="false">IF(A1729="",1,0)</f>
        <v>0</v>
      </c>
      <c r="U1729" s="9" t="n">
        <f aca="false">IF(D1729="",1,0)</f>
        <v>0</v>
      </c>
      <c r="V1729" s="9" t="n">
        <f aca="false">IF(E1729="",1,0)</f>
        <v>0</v>
      </c>
      <c r="W1729" s="9" t="n">
        <f aca="false">IF(OR(H1729&lt;1,H1729&gt;10),1,0)</f>
        <v>0</v>
      </c>
      <c r="X1729" s="9" t="n">
        <f aca="false">IF(OR(I1729&lt;=0,I1729&gt;1500),1,0)</f>
        <v>0</v>
      </c>
      <c r="Y1729" s="9" t="n">
        <f aca="false">IF(J1729&gt;H1729*I1729,1,0)</f>
        <v>0</v>
      </c>
      <c r="Z1729" s="9" t="n">
        <f aca="false">IF(AND(N1729&lt;&gt;"",OR(N1729&lt;1,N1729&gt;5)),1,0)</f>
        <v>0</v>
      </c>
      <c r="AA1729" s="9" t="n">
        <f aca="false">IF(AND(M1729&lt;&gt;"",OR(M1729&lt;5,M1729&gt;180)),1,0)</f>
        <v>0</v>
      </c>
      <c r="AB1729" s="7" t="str">
        <f aca="false">IF(P1729="DUP","Exact duplicate row",IF(T1729=1,"Missing Order ID",IF(S1729="DROP","Duplicate Order ID (less complete row)",IF(U1729=1,"Missing Customer ID",IF(V1729=1,"Missing Restaurant name",IF(W1729=1,"Invalid/outlier quantity",IF(X1729=1,"Invalid/outlier unit price",IF(Y1729=1,"Discount greater than order value",""))))))))</f>
        <v/>
      </c>
      <c r="AC1729" s="7" t="str">
        <f aca="false">IF(AB1729="","KEEP","DROP")</f>
        <v>KEEP</v>
      </c>
      <c r="AD1729" s="7" t="str">
        <f aca="false">IF(TRIM(F1729)="",IFERROR(INDEX(Map_Tables!$I$4:$I$37,MATCH(TRIM(E1729),Map_Tables!$G$4:$G$37,0)),""),IFERROR(INDEX(Map_Tables!$B$4:$B$18,MATCH(TRIM(F1729),Map_Tables!$A$4:$A$18,0)),"CHECK"))</f>
        <v>Bengaluru</v>
      </c>
      <c r="AE1729" s="7" t="str">
        <f aca="false">IF(TRIM(E1729)="","",IFERROR(INDEX(Map_Tables!$H$4:$H$37,MATCH(TRIM(E1729),Map_Tables!$G$4:$G$37,0)),"CHECK"))</f>
        <v>Spice Junction</v>
      </c>
      <c r="AF1729" s="7" t="str">
        <f aca="false">IF(TRIM(K1729)="","Unknown",IFERROR(INDEX(Map_Tables!$E$4:$E$15,MATCH(TRIM(K1729),Map_Tables!$D$4:$D$15,0)),"CHECK"))</f>
        <v>Debit Card</v>
      </c>
      <c r="AG1729" s="7" t="str">
        <f aca="false">IF(LEFT(LOWER(TRIM(L1729)),6)="cancel","Cancelled","Delivered")</f>
        <v>Delivered</v>
      </c>
      <c r="AH1729" s="10" t="n">
        <f aca="false">IF(ISNUMBER(SEARCH("/",B1729)),DATE(VALUE(RIGHT(B1729,4)),VALUE(MID(B1729,4,2)),VALUE(LEFT(B1729,2))),IF(MID(B1729,5,1)="-",DATE(VALUE(LEFT(B1729,4)),VALUE(MID(B1729,6,2)),VALUE(RIGHT(B1729,2))),DATE(VALUE(RIGHT(B1729,4)),MATCH(MID(B1729,4,3),{"Jan","Feb","Mar","Apr","May","Jun","Jul","Aug","Sep","Oct","Nov","Dec"},0),VALUE(LEFT(B1729,2)))))</f>
        <v>45915</v>
      </c>
    </row>
    <row r="1730" customFormat="false" ht="15" hidden="false" customHeight="false" outlineLevel="0" collapsed="false">
      <c r="A1730" s="7" t="s">
        <v>4317</v>
      </c>
      <c r="B1730" s="7" t="s">
        <v>291</v>
      </c>
      <c r="C1730" s="7" t="s">
        <v>301</v>
      </c>
      <c r="D1730" s="7" t="s">
        <v>4318</v>
      </c>
      <c r="E1730" s="7" t="s">
        <v>949</v>
      </c>
      <c r="F1730" s="7" t="s">
        <v>110</v>
      </c>
      <c r="G1730" s="7" t="s">
        <v>90</v>
      </c>
      <c r="H1730" s="7" t="n">
        <v>2</v>
      </c>
      <c r="I1730" s="7" t="n">
        <v>230</v>
      </c>
      <c r="J1730" s="7" t="n">
        <v>100</v>
      </c>
      <c r="K1730" s="7" t="s">
        <v>112</v>
      </c>
      <c r="L1730" s="7" t="s">
        <v>238</v>
      </c>
      <c r="M1730" s="7"/>
      <c r="N1730" s="7"/>
      <c r="O1730" s="7" t="str">
        <f aca="false">A1730&amp;"|"&amp;B1730&amp;"|"&amp;C1730&amp;"|"&amp;D1730&amp;"|"&amp;E1730&amp;"|"&amp;F1730&amp;"|"&amp;G1730&amp;"|"&amp;H1730&amp;"|"&amp;I1730&amp;"|"&amp;J1730&amp;"|"&amp;K1730&amp;"|"&amp;L1730&amp;"|"&amp;M1730&amp;"|"&amp;N1730</f>
        <v>ORD11232|2025-06-05|21:58|C0882|Tandoor  Tales|Delhi|North Indian|2|230|100|Cash on Delivery|Cancelled||</v>
      </c>
      <c r="P1730" s="7" t="str">
        <f aca="false">IF(COUNTIF($O$2:O1730,O1730)&gt;1,"DUP","OK")</f>
        <v>OK</v>
      </c>
      <c r="Q1730" s="7" t="n">
        <f aca="false">COUNTBLANK(A1730:N1730)</f>
        <v>2</v>
      </c>
      <c r="R1730" s="7" t="n">
        <f aca="false">IF(A1730="",0,COUNTIFS($A$2:$A$3058,A1730,$P$2:$P$3058,"OK"))</f>
        <v>1</v>
      </c>
      <c r="S1730" s="7" t="str">
        <f aca="false">IF(OR(A1730="",P1730="DUP",R1730&lt;2),"",IF(Q1730=_xlfn.MINIFS($Q$2:$Q$3058,$A$2:$A$3058,A1730,$P$2:$P$3058,"OK"),"KEEP","DROP"))</f>
        <v/>
      </c>
      <c r="T1730" s="9" t="n">
        <f aca="false">IF(A1730="",1,0)</f>
        <v>0</v>
      </c>
      <c r="U1730" s="9" t="n">
        <f aca="false">IF(D1730="",1,0)</f>
        <v>0</v>
      </c>
      <c r="V1730" s="9" t="n">
        <f aca="false">IF(E1730="",1,0)</f>
        <v>0</v>
      </c>
      <c r="W1730" s="9" t="n">
        <f aca="false">IF(OR(H1730&lt;1,H1730&gt;10),1,0)</f>
        <v>0</v>
      </c>
      <c r="X1730" s="9" t="n">
        <f aca="false">IF(OR(I1730&lt;=0,I1730&gt;1500),1,0)</f>
        <v>0</v>
      </c>
      <c r="Y1730" s="9" t="n">
        <f aca="false">IF(J1730&gt;H1730*I1730,1,0)</f>
        <v>0</v>
      </c>
      <c r="Z1730" s="9" t="n">
        <f aca="false">IF(AND(N1730&lt;&gt;"",OR(N1730&lt;1,N1730&gt;5)),1,0)</f>
        <v>0</v>
      </c>
      <c r="AA1730" s="9" t="n">
        <f aca="false">IF(AND(M1730&lt;&gt;"",OR(M1730&lt;5,M1730&gt;180)),1,0)</f>
        <v>0</v>
      </c>
      <c r="AB1730" s="7" t="str">
        <f aca="false">IF(P1730="DUP","Exact duplicate row",IF(T1730=1,"Missing Order ID",IF(S1730="DROP","Duplicate Order ID (less complete row)",IF(U1730=1,"Missing Customer ID",IF(V1730=1,"Missing Restaurant name",IF(W1730=1,"Invalid/outlier quantity",IF(X1730=1,"Invalid/outlier unit price",IF(Y1730=1,"Discount greater than order value",""))))))))</f>
        <v/>
      </c>
      <c r="AC1730" s="7" t="str">
        <f aca="false">IF(AB1730="","KEEP","DROP")</f>
        <v>KEEP</v>
      </c>
      <c r="AD1730" s="7" t="str">
        <f aca="false">IF(TRIM(F1730)="",IFERROR(INDEX(Map_Tables!$I$4:$I$37,MATCH(TRIM(E1730),Map_Tables!$G$4:$G$37,0)),""),IFERROR(INDEX(Map_Tables!$B$4:$B$18,MATCH(TRIM(F1730),Map_Tables!$A$4:$A$18,0)),"CHECK"))</f>
        <v>Delhi</v>
      </c>
      <c r="AE1730" s="7" t="str">
        <f aca="false">IF(TRIM(E1730)="","",IFERROR(INDEX(Map_Tables!$H$4:$H$37,MATCH(TRIM(E1730),Map_Tables!$G$4:$G$37,0)),"CHECK"))</f>
        <v>Tandoor Tales</v>
      </c>
      <c r="AF1730" s="7" t="str">
        <f aca="false">IF(TRIM(K1730)="","Unknown",IFERROR(INDEX(Map_Tables!$E$4:$E$15,MATCH(TRIM(K1730),Map_Tables!$D$4:$D$15,0)),"CHECK"))</f>
        <v>Cash on Delivery</v>
      </c>
      <c r="AG1730" s="7" t="str">
        <f aca="false">IF(LEFT(LOWER(TRIM(L1730)),6)="cancel","Cancelled","Delivered")</f>
        <v>Cancelled</v>
      </c>
      <c r="AH1730" s="10" t="n">
        <f aca="false">IF(ISNUMBER(SEARCH("/",B1730)),DATE(VALUE(RIGHT(B1730,4)),VALUE(MID(B1730,4,2)),VALUE(LEFT(B1730,2))),IF(MID(B1730,5,1)="-",DATE(VALUE(LEFT(B1730,4)),VALUE(MID(B1730,6,2)),VALUE(RIGHT(B1730,2))),DATE(VALUE(RIGHT(B1730,4)),MATCH(MID(B1730,4,3),{"Jan","Feb","Mar","Apr","May","Jun","Jul","Aug","Sep","Oct","Nov","Dec"},0),VALUE(LEFT(B1730,2)))))</f>
        <v>45813</v>
      </c>
    </row>
    <row r="1731" customFormat="false" ht="15" hidden="false" customHeight="false" outlineLevel="0" collapsed="false">
      <c r="A1731" s="7" t="s">
        <v>4319</v>
      </c>
      <c r="B1731" s="7" t="s">
        <v>427</v>
      </c>
      <c r="C1731" s="7" t="s">
        <v>1654</v>
      </c>
      <c r="D1731" s="7" t="s">
        <v>2226</v>
      </c>
      <c r="E1731" s="7" t="s">
        <v>168</v>
      </c>
      <c r="F1731" s="7" t="s">
        <v>901</v>
      </c>
      <c r="G1731" s="7" t="s">
        <v>123</v>
      </c>
      <c r="H1731" s="7" t="n">
        <v>1</v>
      </c>
      <c r="I1731" s="7" t="n">
        <v>380</v>
      </c>
      <c r="J1731" s="7" t="n">
        <v>125</v>
      </c>
      <c r="K1731" s="7" t="s">
        <v>88</v>
      </c>
      <c r="L1731" s="7" t="s">
        <v>194</v>
      </c>
      <c r="M1731" s="7" t="n">
        <v>26</v>
      </c>
      <c r="N1731" s="7" t="n">
        <v>4</v>
      </c>
      <c r="O1731" s="7" t="str">
        <f aca="false">A1731&amp;"|"&amp;B1731&amp;"|"&amp;C1731&amp;"|"&amp;D1731&amp;"|"&amp;E1731&amp;"|"&amp;F1731&amp;"|"&amp;G1731&amp;"|"&amp;H1731&amp;"|"&amp;I1731&amp;"|"&amp;J1731&amp;"|"&amp;K1731&amp;"|"&amp;L1731&amp;"|"&amp;M1731&amp;"|"&amp;N1731</f>
        <v>ORD11821|2025-08-25|23:41|C0629|Cheesy Slice|AHMEDABAD|Pizza|1|380|125|UPI|Delivered|26|4</v>
      </c>
      <c r="P1731" s="7" t="str">
        <f aca="false">IF(COUNTIF($O$2:O1731,O1731)&gt;1,"DUP","OK")</f>
        <v>OK</v>
      </c>
      <c r="Q1731" s="7" t="n">
        <f aca="false">COUNTBLANK(A1731:N1731)</f>
        <v>0</v>
      </c>
      <c r="R1731" s="7" t="n">
        <f aca="false">IF(A1731="",0,COUNTIFS($A$2:$A$3058,A1731,$P$2:$P$3058,"OK"))</f>
        <v>1</v>
      </c>
      <c r="S1731" s="7" t="str">
        <f aca="false">IF(OR(A1731="",P1731="DUP",R1731&lt;2),"",IF(Q1731=_xlfn.MINIFS($Q$2:$Q$3058,$A$2:$A$3058,A1731,$P$2:$P$3058,"OK"),"KEEP","DROP"))</f>
        <v/>
      </c>
      <c r="T1731" s="9" t="n">
        <f aca="false">IF(A1731="",1,0)</f>
        <v>0</v>
      </c>
      <c r="U1731" s="9" t="n">
        <f aca="false">IF(D1731="",1,0)</f>
        <v>0</v>
      </c>
      <c r="V1731" s="9" t="n">
        <f aca="false">IF(E1731="",1,0)</f>
        <v>0</v>
      </c>
      <c r="W1731" s="9" t="n">
        <f aca="false">IF(OR(H1731&lt;1,H1731&gt;10),1,0)</f>
        <v>0</v>
      </c>
      <c r="X1731" s="9" t="n">
        <f aca="false">IF(OR(I1731&lt;=0,I1731&gt;1500),1,0)</f>
        <v>0</v>
      </c>
      <c r="Y1731" s="9" t="n">
        <f aca="false">IF(J1731&gt;H1731*I1731,1,0)</f>
        <v>0</v>
      </c>
      <c r="Z1731" s="9" t="n">
        <f aca="false">IF(AND(N1731&lt;&gt;"",OR(N1731&lt;1,N1731&gt;5)),1,0)</f>
        <v>0</v>
      </c>
      <c r="AA1731" s="9" t="n">
        <f aca="false">IF(AND(M1731&lt;&gt;"",OR(M1731&lt;5,M1731&gt;180)),1,0)</f>
        <v>0</v>
      </c>
      <c r="AB1731" s="7" t="str">
        <f aca="false">IF(P1731="DUP","Exact duplicate row",IF(T1731=1,"Missing Order ID",IF(S1731="DROP","Duplicate Order ID (less complete row)",IF(U1731=1,"Missing Customer ID",IF(V1731=1,"Missing Restaurant name",IF(W1731=1,"Invalid/outlier quantity",IF(X1731=1,"Invalid/outlier unit price",IF(Y1731=1,"Discount greater than order value",""))))))))</f>
        <v/>
      </c>
      <c r="AC1731" s="7" t="str">
        <f aca="false">IF(AB1731="","KEEP","DROP")</f>
        <v>KEEP</v>
      </c>
      <c r="AD1731" s="7" t="str">
        <f aca="false">IF(TRIM(F1731)="",IFERROR(INDEX(Map_Tables!$I$4:$I$37,MATCH(TRIM(E1731),Map_Tables!$G$4:$G$37,0)),""),IFERROR(INDEX(Map_Tables!$B$4:$B$18,MATCH(TRIM(F1731),Map_Tables!$A$4:$A$18,0)),"CHECK"))</f>
        <v>Ahmedabad</v>
      </c>
      <c r="AE1731" s="7" t="str">
        <f aca="false">IF(TRIM(E1731)="","",IFERROR(INDEX(Map_Tables!$H$4:$H$37,MATCH(TRIM(E1731),Map_Tables!$G$4:$G$37,0)),"CHECK"))</f>
        <v>Cheesy Slice</v>
      </c>
      <c r="AF1731" s="7" t="str">
        <f aca="false">IF(TRIM(K1731)="","Unknown",IFERROR(INDEX(Map_Tables!$E$4:$E$15,MATCH(TRIM(K1731),Map_Tables!$D$4:$D$15,0)),"CHECK"))</f>
        <v>UPI</v>
      </c>
      <c r="AG1731" s="7" t="str">
        <f aca="false">IF(LEFT(LOWER(TRIM(L1731)),6)="cancel","Cancelled","Delivered")</f>
        <v>Delivered</v>
      </c>
      <c r="AH1731" s="10" t="n">
        <f aca="false">IF(ISNUMBER(SEARCH("/",B1731)),DATE(VALUE(RIGHT(B1731,4)),VALUE(MID(B1731,4,2)),VALUE(LEFT(B1731,2))),IF(MID(B1731,5,1)="-",DATE(VALUE(LEFT(B1731,4)),VALUE(MID(B1731,6,2)),VALUE(RIGHT(B1731,2))),DATE(VALUE(RIGHT(B1731,4)),MATCH(MID(B1731,4,3),{"Jan","Feb","Mar","Apr","May","Jun","Jul","Aug","Sep","Oct","Nov","Dec"},0),VALUE(LEFT(B1731,2)))))</f>
        <v>45894</v>
      </c>
    </row>
    <row r="1732" customFormat="false" ht="15" hidden="false" customHeight="false" outlineLevel="0" collapsed="false">
      <c r="A1732" s="7" t="s">
        <v>4320</v>
      </c>
      <c r="B1732" s="7" t="s">
        <v>1721</v>
      </c>
      <c r="C1732" s="7" t="s">
        <v>581</v>
      </c>
      <c r="D1732" s="7" t="s">
        <v>3908</v>
      </c>
      <c r="E1732" s="7" t="s">
        <v>147</v>
      </c>
      <c r="F1732" s="7" t="s">
        <v>2488</v>
      </c>
      <c r="G1732" s="7" t="s">
        <v>95</v>
      </c>
      <c r="H1732" s="7" t="n">
        <v>3</v>
      </c>
      <c r="I1732" s="7" t="n">
        <v>170</v>
      </c>
      <c r="J1732" s="7" t="n">
        <v>20</v>
      </c>
      <c r="K1732" s="7" t="s">
        <v>112</v>
      </c>
      <c r="L1732" s="7" t="s">
        <v>194</v>
      </c>
      <c r="M1732" s="7" t="n">
        <v>31</v>
      </c>
      <c r="N1732" s="7" t="n">
        <v>3</v>
      </c>
      <c r="O1732" s="7" t="str">
        <f aca="false">A1732&amp;"|"&amp;B1732&amp;"|"&amp;C1732&amp;"|"&amp;D1732&amp;"|"&amp;E1732&amp;"|"&amp;F1732&amp;"|"&amp;G1732&amp;"|"&amp;H1732&amp;"|"&amp;I1732&amp;"|"&amp;J1732&amp;"|"&amp;K1732&amp;"|"&amp;L1732&amp;"|"&amp;M1732&amp;"|"&amp;N1732</f>
        <v>ORD11010|2025-05-08|20:04|C0363|Andhra Meals Mess|HYDERABAD|South Indian|3|170|20|Cash on Delivery|Delivered|31|3</v>
      </c>
      <c r="P1732" s="7" t="str">
        <f aca="false">IF(COUNTIF($O$2:O1732,O1732)&gt;1,"DUP","OK")</f>
        <v>OK</v>
      </c>
      <c r="Q1732" s="7" t="n">
        <f aca="false">COUNTBLANK(A1732:N1732)</f>
        <v>0</v>
      </c>
      <c r="R1732" s="7" t="n">
        <f aca="false">IF(A1732="",0,COUNTIFS($A$2:$A$3058,A1732,$P$2:$P$3058,"OK"))</f>
        <v>1</v>
      </c>
      <c r="S1732" s="7" t="str">
        <f aca="false">IF(OR(A1732="",P1732="DUP",R1732&lt;2),"",IF(Q1732=_xlfn.MINIFS($Q$2:$Q$3058,$A$2:$A$3058,A1732,$P$2:$P$3058,"OK"),"KEEP","DROP"))</f>
        <v/>
      </c>
      <c r="T1732" s="9" t="n">
        <f aca="false">IF(A1732="",1,0)</f>
        <v>0</v>
      </c>
      <c r="U1732" s="9" t="n">
        <f aca="false">IF(D1732="",1,0)</f>
        <v>0</v>
      </c>
      <c r="V1732" s="9" t="n">
        <f aca="false">IF(E1732="",1,0)</f>
        <v>0</v>
      </c>
      <c r="W1732" s="9" t="n">
        <f aca="false">IF(OR(H1732&lt;1,H1732&gt;10),1,0)</f>
        <v>0</v>
      </c>
      <c r="X1732" s="9" t="n">
        <f aca="false">IF(OR(I1732&lt;=0,I1732&gt;1500),1,0)</f>
        <v>0</v>
      </c>
      <c r="Y1732" s="9" t="n">
        <f aca="false">IF(J1732&gt;H1732*I1732,1,0)</f>
        <v>0</v>
      </c>
      <c r="Z1732" s="9" t="n">
        <f aca="false">IF(AND(N1732&lt;&gt;"",OR(N1732&lt;1,N1732&gt;5)),1,0)</f>
        <v>0</v>
      </c>
      <c r="AA1732" s="9" t="n">
        <f aca="false">IF(AND(M1732&lt;&gt;"",OR(M1732&lt;5,M1732&gt;180)),1,0)</f>
        <v>0</v>
      </c>
      <c r="AB1732" s="7" t="str">
        <f aca="false">IF(P1732="DUP","Exact duplicate row",IF(T1732=1,"Missing Order ID",IF(S1732="DROP","Duplicate Order ID (less complete row)",IF(U1732=1,"Missing Customer ID",IF(V1732=1,"Missing Restaurant name",IF(W1732=1,"Invalid/outlier quantity",IF(X1732=1,"Invalid/outlier unit price",IF(Y1732=1,"Discount greater than order value",""))))))))</f>
        <v/>
      </c>
      <c r="AC1732" s="7" t="str">
        <f aca="false">IF(AB1732="","KEEP","DROP")</f>
        <v>KEEP</v>
      </c>
      <c r="AD1732" s="7" t="str">
        <f aca="false">IF(TRIM(F1732)="",IFERROR(INDEX(Map_Tables!$I$4:$I$37,MATCH(TRIM(E1732),Map_Tables!$G$4:$G$37,0)),""),IFERROR(INDEX(Map_Tables!$B$4:$B$18,MATCH(TRIM(F1732),Map_Tables!$A$4:$A$18,0)),"CHECK"))</f>
        <v>Hyderabad</v>
      </c>
      <c r="AE1732" s="7" t="str">
        <f aca="false">IF(TRIM(E1732)="","",IFERROR(INDEX(Map_Tables!$H$4:$H$37,MATCH(TRIM(E1732),Map_Tables!$G$4:$G$37,0)),"CHECK"))</f>
        <v>Andhra Meals Mess</v>
      </c>
      <c r="AF1732" s="7" t="str">
        <f aca="false">IF(TRIM(K1732)="","Unknown",IFERROR(INDEX(Map_Tables!$E$4:$E$15,MATCH(TRIM(K1732),Map_Tables!$D$4:$D$15,0)),"CHECK"))</f>
        <v>Cash on Delivery</v>
      </c>
      <c r="AG1732" s="7" t="str">
        <f aca="false">IF(LEFT(LOWER(TRIM(L1732)),6)="cancel","Cancelled","Delivered")</f>
        <v>Delivered</v>
      </c>
      <c r="AH1732" s="10" t="n">
        <f aca="false">IF(ISNUMBER(SEARCH("/",B1732)),DATE(VALUE(RIGHT(B1732,4)),VALUE(MID(B1732,4,2)),VALUE(LEFT(B1732,2))),IF(MID(B1732,5,1)="-",DATE(VALUE(LEFT(B1732,4)),VALUE(MID(B1732,6,2)),VALUE(RIGHT(B1732,2))),DATE(VALUE(RIGHT(B1732,4)),MATCH(MID(B1732,4,3),{"Jan","Feb","Mar","Apr","May","Jun","Jul","Aug","Sep","Oct","Nov","Dec"},0),VALUE(LEFT(B1732,2)))))</f>
        <v>45785</v>
      </c>
    </row>
    <row r="1733" customFormat="false" ht="15" hidden="false" customHeight="false" outlineLevel="0" collapsed="false">
      <c r="A1733" s="7" t="s">
        <v>4321</v>
      </c>
      <c r="B1733" s="7" t="s">
        <v>2045</v>
      </c>
      <c r="C1733" s="7" t="s">
        <v>2366</v>
      </c>
      <c r="D1733" s="7" t="s">
        <v>4322</v>
      </c>
      <c r="E1733" s="7" t="s">
        <v>130</v>
      </c>
      <c r="F1733" s="7" t="s">
        <v>110</v>
      </c>
      <c r="G1733" s="7" t="s">
        <v>90</v>
      </c>
      <c r="H1733" s="7" t="n">
        <v>2</v>
      </c>
      <c r="I1733" s="7" t="n">
        <v>270</v>
      </c>
      <c r="J1733" s="7" t="n">
        <v>125</v>
      </c>
      <c r="K1733" s="7" t="s">
        <v>133</v>
      </c>
      <c r="L1733" s="7" t="s">
        <v>194</v>
      </c>
      <c r="M1733" s="7" t="n">
        <v>51</v>
      </c>
      <c r="N1733" s="7" t="n">
        <v>4</v>
      </c>
      <c r="O1733" s="7" t="str">
        <f aca="false">A1733&amp;"|"&amp;B1733&amp;"|"&amp;C1733&amp;"|"&amp;D1733&amp;"|"&amp;E1733&amp;"|"&amp;F1733&amp;"|"&amp;G1733&amp;"|"&amp;H1733&amp;"|"&amp;I1733&amp;"|"&amp;J1733&amp;"|"&amp;K1733&amp;"|"&amp;L1733&amp;"|"&amp;M1733&amp;"|"&amp;N1733</f>
        <v>ORD12073|2025-09-24|20:50|C0338|Tandoor Tales|Delhi|North Indian|2|270|125|Net Banking|Delivered|51|4</v>
      </c>
      <c r="P1733" s="7" t="str">
        <f aca="false">IF(COUNTIF($O$2:O1733,O1733)&gt;1,"DUP","OK")</f>
        <v>OK</v>
      </c>
      <c r="Q1733" s="7" t="n">
        <f aca="false">COUNTBLANK(A1733:N1733)</f>
        <v>0</v>
      </c>
      <c r="R1733" s="7" t="n">
        <f aca="false">IF(A1733="",0,COUNTIFS($A$2:$A$3058,A1733,$P$2:$P$3058,"OK"))</f>
        <v>1</v>
      </c>
      <c r="S1733" s="7" t="str">
        <f aca="false">IF(OR(A1733="",P1733="DUP",R1733&lt;2),"",IF(Q1733=_xlfn.MINIFS($Q$2:$Q$3058,$A$2:$A$3058,A1733,$P$2:$P$3058,"OK"),"KEEP","DROP"))</f>
        <v/>
      </c>
      <c r="T1733" s="9" t="n">
        <f aca="false">IF(A1733="",1,0)</f>
        <v>0</v>
      </c>
      <c r="U1733" s="9" t="n">
        <f aca="false">IF(D1733="",1,0)</f>
        <v>0</v>
      </c>
      <c r="V1733" s="9" t="n">
        <f aca="false">IF(E1733="",1,0)</f>
        <v>0</v>
      </c>
      <c r="W1733" s="9" t="n">
        <f aca="false">IF(OR(H1733&lt;1,H1733&gt;10),1,0)</f>
        <v>0</v>
      </c>
      <c r="X1733" s="9" t="n">
        <f aca="false">IF(OR(I1733&lt;=0,I1733&gt;1500),1,0)</f>
        <v>0</v>
      </c>
      <c r="Y1733" s="9" t="n">
        <f aca="false">IF(J1733&gt;H1733*I1733,1,0)</f>
        <v>0</v>
      </c>
      <c r="Z1733" s="9" t="n">
        <f aca="false">IF(AND(N1733&lt;&gt;"",OR(N1733&lt;1,N1733&gt;5)),1,0)</f>
        <v>0</v>
      </c>
      <c r="AA1733" s="9" t="n">
        <f aca="false">IF(AND(M1733&lt;&gt;"",OR(M1733&lt;5,M1733&gt;180)),1,0)</f>
        <v>0</v>
      </c>
      <c r="AB1733" s="7" t="str">
        <f aca="false">IF(P1733="DUP","Exact duplicate row",IF(T1733=1,"Missing Order ID",IF(S1733="DROP","Duplicate Order ID (less complete row)",IF(U1733=1,"Missing Customer ID",IF(V1733=1,"Missing Restaurant name",IF(W1733=1,"Invalid/outlier quantity",IF(X1733=1,"Invalid/outlier unit price",IF(Y1733=1,"Discount greater than order value",""))))))))</f>
        <v/>
      </c>
      <c r="AC1733" s="7" t="str">
        <f aca="false">IF(AB1733="","KEEP","DROP")</f>
        <v>KEEP</v>
      </c>
      <c r="AD1733" s="7" t="str">
        <f aca="false">IF(TRIM(F1733)="",IFERROR(INDEX(Map_Tables!$I$4:$I$37,MATCH(TRIM(E1733),Map_Tables!$G$4:$G$37,0)),""),IFERROR(INDEX(Map_Tables!$B$4:$B$18,MATCH(TRIM(F1733),Map_Tables!$A$4:$A$18,0)),"CHECK"))</f>
        <v>Delhi</v>
      </c>
      <c r="AE1733" s="7" t="str">
        <f aca="false">IF(TRIM(E1733)="","",IFERROR(INDEX(Map_Tables!$H$4:$H$37,MATCH(TRIM(E1733),Map_Tables!$G$4:$G$37,0)),"CHECK"))</f>
        <v>Tandoor Tales</v>
      </c>
      <c r="AF1733" s="7" t="str">
        <f aca="false">IF(TRIM(K1733)="","Unknown",IFERROR(INDEX(Map_Tables!$E$4:$E$15,MATCH(TRIM(K1733),Map_Tables!$D$4:$D$15,0)),"CHECK"))</f>
        <v>Net Banking</v>
      </c>
      <c r="AG1733" s="7" t="str">
        <f aca="false">IF(LEFT(LOWER(TRIM(L1733)),6)="cancel","Cancelled","Delivered")</f>
        <v>Delivered</v>
      </c>
      <c r="AH1733" s="10" t="n">
        <f aca="false">IF(ISNUMBER(SEARCH("/",B1733)),DATE(VALUE(RIGHT(B1733,4)),VALUE(MID(B1733,4,2)),VALUE(LEFT(B1733,2))),IF(MID(B1733,5,1)="-",DATE(VALUE(LEFT(B1733,4)),VALUE(MID(B1733,6,2)),VALUE(RIGHT(B1733,2))),DATE(VALUE(RIGHT(B1733,4)),MATCH(MID(B1733,4,3),{"Jan","Feb","Mar","Apr","May","Jun","Jul","Aug","Sep","Oct","Nov","Dec"},0),VALUE(LEFT(B1733,2)))))</f>
        <v>45924</v>
      </c>
    </row>
    <row r="1734" customFormat="false" ht="15" hidden="false" customHeight="false" outlineLevel="0" collapsed="false">
      <c r="A1734" s="7" t="s">
        <v>4323</v>
      </c>
      <c r="B1734" s="7" t="s">
        <v>671</v>
      </c>
      <c r="C1734" s="7" t="s">
        <v>3300</v>
      </c>
      <c r="D1734" s="7" t="s">
        <v>4324</v>
      </c>
      <c r="E1734" s="7" t="s">
        <v>94</v>
      </c>
      <c r="F1734" s="7" t="s">
        <v>86</v>
      </c>
      <c r="G1734" s="7" t="s">
        <v>95</v>
      </c>
      <c r="H1734" s="7" t="n">
        <v>2</v>
      </c>
      <c r="I1734" s="7" t="n">
        <v>100</v>
      </c>
      <c r="J1734" s="7" t="n">
        <v>0</v>
      </c>
      <c r="K1734" s="7" t="s">
        <v>112</v>
      </c>
      <c r="L1734" s="7" t="s">
        <v>194</v>
      </c>
      <c r="M1734" s="7" t="n">
        <v>33</v>
      </c>
      <c r="N1734" s="7" t="n">
        <v>3</v>
      </c>
      <c r="O1734" s="7" t="str">
        <f aca="false">A1734&amp;"|"&amp;B1734&amp;"|"&amp;C1734&amp;"|"&amp;D1734&amp;"|"&amp;E1734&amp;"|"&amp;F1734&amp;"|"&amp;G1734&amp;"|"&amp;H1734&amp;"|"&amp;I1734&amp;"|"&amp;J1734&amp;"|"&amp;K1734&amp;"|"&amp;L1734&amp;"|"&amp;M1734&amp;"|"&amp;N1734</f>
        <v>ORD12558|2025-11-14|18:25|C0789|Dosa Darbar|Bengaluru|South Indian|2|100|0|Cash on Delivery|Delivered|33|3</v>
      </c>
      <c r="P1734" s="7" t="str">
        <f aca="false">IF(COUNTIF($O$2:O1734,O1734)&gt;1,"DUP","OK")</f>
        <v>OK</v>
      </c>
      <c r="Q1734" s="7" t="n">
        <f aca="false">COUNTBLANK(A1734:N1734)</f>
        <v>0</v>
      </c>
      <c r="R1734" s="7" t="n">
        <f aca="false">IF(A1734="",0,COUNTIFS($A$2:$A$3058,A1734,$P$2:$P$3058,"OK"))</f>
        <v>1</v>
      </c>
      <c r="S1734" s="7" t="str">
        <f aca="false">IF(OR(A1734="",P1734="DUP",R1734&lt;2),"",IF(Q1734=_xlfn.MINIFS($Q$2:$Q$3058,$A$2:$A$3058,A1734,$P$2:$P$3058,"OK"),"KEEP","DROP"))</f>
        <v/>
      </c>
      <c r="T1734" s="9" t="n">
        <f aca="false">IF(A1734="",1,0)</f>
        <v>0</v>
      </c>
      <c r="U1734" s="9" t="n">
        <f aca="false">IF(D1734="",1,0)</f>
        <v>0</v>
      </c>
      <c r="V1734" s="9" t="n">
        <f aca="false">IF(E1734="",1,0)</f>
        <v>0</v>
      </c>
      <c r="W1734" s="9" t="n">
        <f aca="false">IF(OR(H1734&lt;1,H1734&gt;10),1,0)</f>
        <v>0</v>
      </c>
      <c r="X1734" s="9" t="n">
        <f aca="false">IF(OR(I1734&lt;=0,I1734&gt;1500),1,0)</f>
        <v>0</v>
      </c>
      <c r="Y1734" s="9" t="n">
        <f aca="false">IF(J1734&gt;H1734*I1734,1,0)</f>
        <v>0</v>
      </c>
      <c r="Z1734" s="9" t="n">
        <f aca="false">IF(AND(N1734&lt;&gt;"",OR(N1734&lt;1,N1734&gt;5)),1,0)</f>
        <v>0</v>
      </c>
      <c r="AA1734" s="9" t="n">
        <f aca="false">IF(AND(M1734&lt;&gt;"",OR(M1734&lt;5,M1734&gt;180)),1,0)</f>
        <v>0</v>
      </c>
      <c r="AB1734" s="7" t="str">
        <f aca="false">IF(P1734="DUP","Exact duplicate row",IF(T1734=1,"Missing Order ID",IF(S1734="DROP","Duplicate Order ID (less complete row)",IF(U1734=1,"Missing Customer ID",IF(V1734=1,"Missing Restaurant name",IF(W1734=1,"Invalid/outlier quantity",IF(X1734=1,"Invalid/outlier unit price",IF(Y1734=1,"Discount greater than order value",""))))))))</f>
        <v/>
      </c>
      <c r="AC1734" s="7" t="str">
        <f aca="false">IF(AB1734="","KEEP","DROP")</f>
        <v>KEEP</v>
      </c>
      <c r="AD1734" s="7" t="str">
        <f aca="false">IF(TRIM(F1734)="",IFERROR(INDEX(Map_Tables!$I$4:$I$37,MATCH(TRIM(E1734),Map_Tables!$G$4:$G$37,0)),""),IFERROR(INDEX(Map_Tables!$B$4:$B$18,MATCH(TRIM(F1734),Map_Tables!$A$4:$A$18,0)),"CHECK"))</f>
        <v>Bengaluru</v>
      </c>
      <c r="AE1734" s="7" t="str">
        <f aca="false">IF(TRIM(E1734)="","",IFERROR(INDEX(Map_Tables!$H$4:$H$37,MATCH(TRIM(E1734),Map_Tables!$G$4:$G$37,0)),"CHECK"))</f>
        <v>Dosa Darbar</v>
      </c>
      <c r="AF1734" s="7" t="str">
        <f aca="false">IF(TRIM(K1734)="","Unknown",IFERROR(INDEX(Map_Tables!$E$4:$E$15,MATCH(TRIM(K1734),Map_Tables!$D$4:$D$15,0)),"CHECK"))</f>
        <v>Cash on Delivery</v>
      </c>
      <c r="AG1734" s="7" t="str">
        <f aca="false">IF(LEFT(LOWER(TRIM(L1734)),6)="cancel","Cancelled","Delivered")</f>
        <v>Delivered</v>
      </c>
      <c r="AH1734" s="10" t="n">
        <f aca="false">IF(ISNUMBER(SEARCH("/",B1734)),DATE(VALUE(RIGHT(B1734,4)),VALUE(MID(B1734,4,2)),VALUE(LEFT(B1734,2))),IF(MID(B1734,5,1)="-",DATE(VALUE(LEFT(B1734,4)),VALUE(MID(B1734,6,2)),VALUE(RIGHT(B1734,2))),DATE(VALUE(RIGHT(B1734,4)),MATCH(MID(B1734,4,3),{"Jan","Feb","Mar","Apr","May","Jun","Jul","Aug","Sep","Oct","Nov","Dec"},0),VALUE(LEFT(B1734,2)))))</f>
        <v>45975</v>
      </c>
    </row>
    <row r="1735" customFormat="false" ht="15" hidden="false" customHeight="false" outlineLevel="0" collapsed="false">
      <c r="A1735" s="7" t="s">
        <v>1052</v>
      </c>
      <c r="B1735" s="7" t="s">
        <v>1053</v>
      </c>
      <c r="C1735" s="7" t="s">
        <v>1054</v>
      </c>
      <c r="D1735" s="7" t="s">
        <v>1055</v>
      </c>
      <c r="E1735" s="7" t="s">
        <v>144</v>
      </c>
      <c r="F1735" s="7" t="s">
        <v>119</v>
      </c>
      <c r="G1735" s="7" t="s">
        <v>99</v>
      </c>
      <c r="H1735" s="7" t="n">
        <v>1</v>
      </c>
      <c r="I1735" s="7" t="n">
        <v>325</v>
      </c>
      <c r="J1735" s="7" t="n">
        <v>50</v>
      </c>
      <c r="K1735" s="7" t="s">
        <v>88</v>
      </c>
      <c r="L1735" s="7" t="s">
        <v>238</v>
      </c>
      <c r="M1735" s="7"/>
      <c r="N1735" s="7"/>
      <c r="O1735" s="7" t="str">
        <f aca="false">A1735&amp;"|"&amp;B1735&amp;"|"&amp;C1735&amp;"|"&amp;D1735&amp;"|"&amp;E1735&amp;"|"&amp;F1735&amp;"|"&amp;G1735&amp;"|"&amp;H1735&amp;"|"&amp;I1735&amp;"|"&amp;J1735&amp;"|"&amp;K1735&amp;"|"&amp;L1735&amp;"|"&amp;M1735&amp;"|"&amp;N1735</f>
        <v>ORD12758|03/12/2025|13:36|C1458|Hyderabad Dum Biryani|Hyderabad|Biryani|1|325|50|UPI|Cancelled||</v>
      </c>
      <c r="P1735" s="7" t="str">
        <f aca="false">IF(COUNTIF($O$2:O1735,O1735)&gt;1,"DUP","OK")</f>
        <v>DUP</v>
      </c>
      <c r="Q1735" s="7" t="n">
        <f aca="false">COUNTBLANK(A1735:N1735)</f>
        <v>2</v>
      </c>
      <c r="R1735" s="7" t="n">
        <f aca="false">IF(A1735="",0,COUNTIFS($A$2:$A$3058,A1735,$P$2:$P$3058,"OK"))</f>
        <v>1</v>
      </c>
      <c r="S1735" s="7" t="str">
        <f aca="false">IF(OR(A1735="",P1735="DUP",R1735&lt;2),"",IF(Q1735=_xlfn.MINIFS($Q$2:$Q$3058,$A$2:$A$3058,A1735,$P$2:$P$3058,"OK"),"KEEP","DROP"))</f>
        <v/>
      </c>
      <c r="T1735" s="9" t="n">
        <f aca="false">IF(A1735="",1,0)</f>
        <v>0</v>
      </c>
      <c r="U1735" s="9" t="n">
        <f aca="false">IF(D1735="",1,0)</f>
        <v>0</v>
      </c>
      <c r="V1735" s="9" t="n">
        <f aca="false">IF(E1735="",1,0)</f>
        <v>0</v>
      </c>
      <c r="W1735" s="9" t="n">
        <f aca="false">IF(OR(H1735&lt;1,H1735&gt;10),1,0)</f>
        <v>0</v>
      </c>
      <c r="X1735" s="9" t="n">
        <f aca="false">IF(OR(I1735&lt;=0,I1735&gt;1500),1,0)</f>
        <v>0</v>
      </c>
      <c r="Y1735" s="9" t="n">
        <f aca="false">IF(J1735&gt;H1735*I1735,1,0)</f>
        <v>0</v>
      </c>
      <c r="Z1735" s="9" t="n">
        <f aca="false">IF(AND(N1735&lt;&gt;"",OR(N1735&lt;1,N1735&gt;5)),1,0)</f>
        <v>0</v>
      </c>
      <c r="AA1735" s="9" t="n">
        <f aca="false">IF(AND(M1735&lt;&gt;"",OR(M1735&lt;5,M1735&gt;180)),1,0)</f>
        <v>0</v>
      </c>
      <c r="AB1735" s="7" t="str">
        <f aca="false">IF(P1735="DUP","Exact duplicate row",IF(T1735=1,"Missing Order ID",IF(S1735="DROP","Duplicate Order ID (less complete row)",IF(U1735=1,"Missing Customer ID",IF(V1735=1,"Missing Restaurant name",IF(W1735=1,"Invalid/outlier quantity",IF(X1735=1,"Invalid/outlier unit price",IF(Y1735=1,"Discount greater than order value",""))))))))</f>
        <v>Exact duplicate row</v>
      </c>
      <c r="AC1735" s="7" t="str">
        <f aca="false">IF(AB1735="","KEEP","DROP")</f>
        <v>DROP</v>
      </c>
      <c r="AD1735" s="7" t="str">
        <f aca="false">IF(TRIM(F1735)="",IFERROR(INDEX(Map_Tables!$I$4:$I$37,MATCH(TRIM(E1735),Map_Tables!$G$4:$G$37,0)),""),IFERROR(INDEX(Map_Tables!$B$4:$B$18,MATCH(TRIM(F1735),Map_Tables!$A$4:$A$18,0)),"CHECK"))</f>
        <v>Hyderabad</v>
      </c>
      <c r="AE1735" s="7" t="str">
        <f aca="false">IF(TRIM(E1735)="","",IFERROR(INDEX(Map_Tables!$H$4:$H$37,MATCH(TRIM(E1735),Map_Tables!$G$4:$G$37,0)),"CHECK"))</f>
        <v>Hyderabad Dum Biryani</v>
      </c>
      <c r="AF1735" s="7" t="str">
        <f aca="false">IF(TRIM(K1735)="","Unknown",IFERROR(INDEX(Map_Tables!$E$4:$E$15,MATCH(TRIM(K1735),Map_Tables!$D$4:$D$15,0)),"CHECK"))</f>
        <v>UPI</v>
      </c>
      <c r="AG1735" s="7" t="str">
        <f aca="false">IF(LEFT(LOWER(TRIM(L1735)),6)="cancel","Cancelled","Delivered")</f>
        <v>Cancelled</v>
      </c>
      <c r="AH1735" s="10" t="n">
        <f aca="false">IF(ISNUMBER(SEARCH("/",B1735)),DATE(VALUE(RIGHT(B1735,4)),VALUE(MID(B1735,4,2)),VALUE(LEFT(B1735,2))),IF(MID(B1735,5,1)="-",DATE(VALUE(LEFT(B1735,4)),VALUE(MID(B1735,6,2)),VALUE(RIGHT(B1735,2))),DATE(VALUE(RIGHT(B1735,4)),MATCH(MID(B1735,4,3),{"Jan","Feb","Mar","Apr","May","Jun","Jul","Aug","Sep","Oct","Nov","Dec"},0),VALUE(LEFT(B1735,2)))))</f>
        <v>45994</v>
      </c>
    </row>
    <row r="1736" customFormat="false" ht="15" hidden="false" customHeight="false" outlineLevel="0" collapsed="false">
      <c r="A1736" s="7" t="s">
        <v>4325</v>
      </c>
      <c r="B1736" s="7" t="s">
        <v>4326</v>
      </c>
      <c r="C1736" s="7" t="s">
        <v>3390</v>
      </c>
      <c r="D1736" s="7" t="s">
        <v>2331</v>
      </c>
      <c r="E1736" s="7" t="s">
        <v>161</v>
      </c>
      <c r="F1736" s="7" t="s">
        <v>141</v>
      </c>
      <c r="G1736" s="7" t="s">
        <v>117</v>
      </c>
      <c r="H1736" s="7" t="n">
        <v>2</v>
      </c>
      <c r="I1736" s="7" t="n">
        <v>165</v>
      </c>
      <c r="J1736" s="7" t="n">
        <v>0</v>
      </c>
      <c r="K1736" s="7" t="s">
        <v>103</v>
      </c>
      <c r="L1736" s="7" t="s">
        <v>194</v>
      </c>
      <c r="M1736" s="7" t="n">
        <v>30</v>
      </c>
      <c r="N1736" s="7" t="n">
        <v>4</v>
      </c>
      <c r="O1736" s="7" t="str">
        <f aca="false">A1736&amp;"|"&amp;B1736&amp;"|"&amp;C1736&amp;"|"&amp;D1736&amp;"|"&amp;E1736&amp;"|"&amp;F1736&amp;"|"&amp;G1736&amp;"|"&amp;H1736&amp;"|"&amp;I1736&amp;"|"&amp;J1736&amp;"|"&amp;K1736&amp;"|"&amp;L1736&amp;"|"&amp;M1736&amp;"|"&amp;N1736</f>
        <v>ORD12803|09/12/2025|11:44|C0351|Bengal Bites|Kolkata|Street Food|2|165|0|Debit Card|Delivered|30|4</v>
      </c>
      <c r="P1736" s="7" t="str">
        <f aca="false">IF(COUNTIF($O$2:O1736,O1736)&gt;1,"DUP","OK")</f>
        <v>OK</v>
      </c>
      <c r="Q1736" s="7" t="n">
        <f aca="false">COUNTBLANK(A1736:N1736)</f>
        <v>0</v>
      </c>
      <c r="R1736" s="7" t="n">
        <f aca="false">IF(A1736="",0,COUNTIFS($A$2:$A$3058,A1736,$P$2:$P$3058,"OK"))</f>
        <v>1</v>
      </c>
      <c r="S1736" s="7" t="str">
        <f aca="false">IF(OR(A1736="",P1736="DUP",R1736&lt;2),"",IF(Q1736=_xlfn.MINIFS($Q$2:$Q$3058,$A$2:$A$3058,A1736,$P$2:$P$3058,"OK"),"KEEP","DROP"))</f>
        <v/>
      </c>
      <c r="T1736" s="9" t="n">
        <f aca="false">IF(A1736="",1,0)</f>
        <v>0</v>
      </c>
      <c r="U1736" s="9" t="n">
        <f aca="false">IF(D1736="",1,0)</f>
        <v>0</v>
      </c>
      <c r="V1736" s="9" t="n">
        <f aca="false">IF(E1736="",1,0)</f>
        <v>0</v>
      </c>
      <c r="W1736" s="9" t="n">
        <f aca="false">IF(OR(H1736&lt;1,H1736&gt;10),1,0)</f>
        <v>0</v>
      </c>
      <c r="X1736" s="9" t="n">
        <f aca="false">IF(OR(I1736&lt;=0,I1736&gt;1500),1,0)</f>
        <v>0</v>
      </c>
      <c r="Y1736" s="9" t="n">
        <f aca="false">IF(J1736&gt;H1736*I1736,1,0)</f>
        <v>0</v>
      </c>
      <c r="Z1736" s="9" t="n">
        <f aca="false">IF(AND(N1736&lt;&gt;"",OR(N1736&lt;1,N1736&gt;5)),1,0)</f>
        <v>0</v>
      </c>
      <c r="AA1736" s="9" t="n">
        <f aca="false">IF(AND(M1736&lt;&gt;"",OR(M1736&lt;5,M1736&gt;180)),1,0)</f>
        <v>0</v>
      </c>
      <c r="AB1736" s="7" t="str">
        <f aca="false">IF(P1736="DUP","Exact duplicate row",IF(T1736=1,"Missing Order ID",IF(S1736="DROP","Duplicate Order ID (less complete row)",IF(U1736=1,"Missing Customer ID",IF(V1736=1,"Missing Restaurant name",IF(W1736=1,"Invalid/outlier quantity",IF(X1736=1,"Invalid/outlier unit price",IF(Y1736=1,"Discount greater than order value",""))))))))</f>
        <v/>
      </c>
      <c r="AC1736" s="7" t="str">
        <f aca="false">IF(AB1736="","KEEP","DROP")</f>
        <v>KEEP</v>
      </c>
      <c r="AD1736" s="7" t="str">
        <f aca="false">IF(TRIM(F1736)="",IFERROR(INDEX(Map_Tables!$I$4:$I$37,MATCH(TRIM(E1736),Map_Tables!$G$4:$G$37,0)),""),IFERROR(INDEX(Map_Tables!$B$4:$B$18,MATCH(TRIM(F1736),Map_Tables!$A$4:$A$18,0)),"CHECK"))</f>
        <v>Kolkata</v>
      </c>
      <c r="AE1736" s="7" t="str">
        <f aca="false">IF(TRIM(E1736)="","",IFERROR(INDEX(Map_Tables!$H$4:$H$37,MATCH(TRIM(E1736),Map_Tables!$G$4:$G$37,0)),"CHECK"))</f>
        <v>Bengal Bites</v>
      </c>
      <c r="AF1736" s="7" t="str">
        <f aca="false">IF(TRIM(K1736)="","Unknown",IFERROR(INDEX(Map_Tables!$E$4:$E$15,MATCH(TRIM(K1736),Map_Tables!$D$4:$D$15,0)),"CHECK"))</f>
        <v>Debit Card</v>
      </c>
      <c r="AG1736" s="7" t="str">
        <f aca="false">IF(LEFT(LOWER(TRIM(L1736)),6)="cancel","Cancelled","Delivered")</f>
        <v>Delivered</v>
      </c>
      <c r="AH1736" s="10" t="n">
        <f aca="false">IF(ISNUMBER(SEARCH("/",B1736)),DATE(VALUE(RIGHT(B1736,4)),VALUE(MID(B1736,4,2)),VALUE(LEFT(B1736,2))),IF(MID(B1736,5,1)="-",DATE(VALUE(LEFT(B1736,4)),VALUE(MID(B1736,6,2)),VALUE(RIGHT(B1736,2))),DATE(VALUE(RIGHT(B1736,4)),MATCH(MID(B1736,4,3),{"Jan","Feb","Mar","Apr","May","Jun","Jul","Aug","Sep","Oct","Nov","Dec"},0),VALUE(LEFT(B1736,2)))))</f>
        <v>46000</v>
      </c>
    </row>
    <row r="1737" customFormat="false" ht="15" hidden="false" customHeight="false" outlineLevel="0" collapsed="false">
      <c r="A1737" s="7" t="s">
        <v>4327</v>
      </c>
      <c r="B1737" s="7" t="s">
        <v>283</v>
      </c>
      <c r="C1737" s="7" t="s">
        <v>3709</v>
      </c>
      <c r="D1737" s="7" t="s">
        <v>4258</v>
      </c>
      <c r="E1737" s="7" t="s">
        <v>138</v>
      </c>
      <c r="F1737" s="7" t="s">
        <v>110</v>
      </c>
      <c r="G1737" s="7" t="s">
        <v>139</v>
      </c>
      <c r="H1737" s="7" t="n">
        <v>1</v>
      </c>
      <c r="I1737" s="7" t="n">
        <v>230</v>
      </c>
      <c r="J1737" s="7" t="n">
        <v>0</v>
      </c>
      <c r="K1737" s="7" t="s">
        <v>87</v>
      </c>
      <c r="L1737" s="7" t="s">
        <v>194</v>
      </c>
      <c r="M1737" s="7" t="n">
        <v>47</v>
      </c>
      <c r="N1737" s="7" t="n">
        <v>3</v>
      </c>
      <c r="O1737" s="7" t="str">
        <f aca="false">A1737&amp;"|"&amp;B1737&amp;"|"&amp;C1737&amp;"|"&amp;D1737&amp;"|"&amp;E1737&amp;"|"&amp;F1737&amp;"|"&amp;G1737&amp;"|"&amp;H1737&amp;"|"&amp;I1737&amp;"|"&amp;J1737&amp;"|"&amp;K1737&amp;"|"&amp;L1737&amp;"|"&amp;M1737&amp;"|"&amp;N1737</f>
        <v>ORD12443|2025-11-03|13:35|C1260|Burger Barn|Delhi|Burgers|1|230|0|upi|Delivered|47|3</v>
      </c>
      <c r="P1737" s="7" t="str">
        <f aca="false">IF(COUNTIF($O$2:O1737,O1737)&gt;1,"DUP","OK")</f>
        <v>OK</v>
      </c>
      <c r="Q1737" s="7" t="n">
        <f aca="false">COUNTBLANK(A1737:N1737)</f>
        <v>0</v>
      </c>
      <c r="R1737" s="7" t="n">
        <f aca="false">IF(A1737="",0,COUNTIFS($A$2:$A$3058,A1737,$P$2:$P$3058,"OK"))</f>
        <v>1</v>
      </c>
      <c r="S1737" s="7" t="str">
        <f aca="false">IF(OR(A1737="",P1737="DUP",R1737&lt;2),"",IF(Q1737=_xlfn.MINIFS($Q$2:$Q$3058,$A$2:$A$3058,A1737,$P$2:$P$3058,"OK"),"KEEP","DROP"))</f>
        <v/>
      </c>
      <c r="T1737" s="9" t="n">
        <f aca="false">IF(A1737="",1,0)</f>
        <v>0</v>
      </c>
      <c r="U1737" s="9" t="n">
        <f aca="false">IF(D1737="",1,0)</f>
        <v>0</v>
      </c>
      <c r="V1737" s="9" t="n">
        <f aca="false">IF(E1737="",1,0)</f>
        <v>0</v>
      </c>
      <c r="W1737" s="9" t="n">
        <f aca="false">IF(OR(H1737&lt;1,H1737&gt;10),1,0)</f>
        <v>0</v>
      </c>
      <c r="X1737" s="9" t="n">
        <f aca="false">IF(OR(I1737&lt;=0,I1737&gt;1500),1,0)</f>
        <v>0</v>
      </c>
      <c r="Y1737" s="9" t="n">
        <f aca="false">IF(J1737&gt;H1737*I1737,1,0)</f>
        <v>0</v>
      </c>
      <c r="Z1737" s="9" t="n">
        <f aca="false">IF(AND(N1737&lt;&gt;"",OR(N1737&lt;1,N1737&gt;5)),1,0)</f>
        <v>0</v>
      </c>
      <c r="AA1737" s="9" t="n">
        <f aca="false">IF(AND(M1737&lt;&gt;"",OR(M1737&lt;5,M1737&gt;180)),1,0)</f>
        <v>0</v>
      </c>
      <c r="AB1737" s="7" t="str">
        <f aca="false">IF(P1737="DUP","Exact duplicate row",IF(T1737=1,"Missing Order ID",IF(S1737="DROP","Duplicate Order ID (less complete row)",IF(U1737=1,"Missing Customer ID",IF(V1737=1,"Missing Restaurant name",IF(W1737=1,"Invalid/outlier quantity",IF(X1737=1,"Invalid/outlier unit price",IF(Y1737=1,"Discount greater than order value",""))))))))</f>
        <v/>
      </c>
      <c r="AC1737" s="7" t="str">
        <f aca="false">IF(AB1737="","KEEP","DROP")</f>
        <v>KEEP</v>
      </c>
      <c r="AD1737" s="7" t="str">
        <f aca="false">IF(TRIM(F1737)="",IFERROR(INDEX(Map_Tables!$I$4:$I$37,MATCH(TRIM(E1737),Map_Tables!$G$4:$G$37,0)),""),IFERROR(INDEX(Map_Tables!$B$4:$B$18,MATCH(TRIM(F1737),Map_Tables!$A$4:$A$18,0)),"CHECK"))</f>
        <v>Delhi</v>
      </c>
      <c r="AE1737" s="7" t="str">
        <f aca="false">IF(TRIM(E1737)="","",IFERROR(INDEX(Map_Tables!$H$4:$H$37,MATCH(TRIM(E1737),Map_Tables!$G$4:$G$37,0)),"CHECK"))</f>
        <v>Burger Barn</v>
      </c>
      <c r="AF1737" s="7" t="str">
        <f aca="false">IF(TRIM(K1737)="","Unknown",IFERROR(INDEX(Map_Tables!$E$4:$E$15,MATCH(TRIM(K1737),Map_Tables!$D$4:$D$15,0)),"CHECK"))</f>
        <v>UPI</v>
      </c>
      <c r="AG1737" s="7" t="str">
        <f aca="false">IF(LEFT(LOWER(TRIM(L1737)),6)="cancel","Cancelled","Delivered")</f>
        <v>Delivered</v>
      </c>
      <c r="AH1737" s="10" t="n">
        <f aca="false">IF(ISNUMBER(SEARCH("/",B1737)),DATE(VALUE(RIGHT(B1737,4)),VALUE(MID(B1737,4,2)),VALUE(LEFT(B1737,2))),IF(MID(B1737,5,1)="-",DATE(VALUE(LEFT(B1737,4)),VALUE(MID(B1737,6,2)),VALUE(RIGHT(B1737,2))),DATE(VALUE(RIGHT(B1737,4)),MATCH(MID(B1737,4,3),{"Jan","Feb","Mar","Apr","May","Jun","Jul","Aug","Sep","Oct","Nov","Dec"},0),VALUE(LEFT(B1737,2)))))</f>
        <v>45964</v>
      </c>
    </row>
    <row r="1738" customFormat="false" ht="15" hidden="false" customHeight="false" outlineLevel="0" collapsed="false">
      <c r="A1738" s="7" t="s">
        <v>4328</v>
      </c>
      <c r="B1738" s="7" t="s">
        <v>2916</v>
      </c>
      <c r="C1738" s="7" t="s">
        <v>3460</v>
      </c>
      <c r="D1738" s="7" t="s">
        <v>1241</v>
      </c>
      <c r="E1738" s="7" t="s">
        <v>98</v>
      </c>
      <c r="F1738" s="7" t="s">
        <v>729</v>
      </c>
      <c r="G1738" s="7" t="s">
        <v>99</v>
      </c>
      <c r="H1738" s="7" t="n">
        <v>3</v>
      </c>
      <c r="I1738" s="7" t="n">
        <v>290</v>
      </c>
      <c r="J1738" s="7" t="n">
        <v>150</v>
      </c>
      <c r="K1738" s="7" t="s">
        <v>93</v>
      </c>
      <c r="L1738" s="7" t="s">
        <v>194</v>
      </c>
      <c r="M1738" s="7" t="n">
        <v>44</v>
      </c>
      <c r="N1738" s="7"/>
      <c r="O1738" s="7" t="str">
        <f aca="false">A1738&amp;"|"&amp;B1738&amp;"|"&amp;C1738&amp;"|"&amp;D1738&amp;"|"&amp;E1738&amp;"|"&amp;F1738&amp;"|"&amp;G1738&amp;"|"&amp;H1738&amp;"|"&amp;I1738&amp;"|"&amp;J1738&amp;"|"&amp;K1738&amp;"|"&amp;L1738&amp;"|"&amp;M1738&amp;"|"&amp;N1738</f>
        <v>ORD11107|2025-05-20|18:32|C0616|Nawabi Biryani House|BENGALURU|Biryani|3|290|150|Credit Card|Delivered|44|</v>
      </c>
      <c r="P1738" s="7" t="str">
        <f aca="false">IF(COUNTIF($O$2:O1738,O1738)&gt;1,"DUP","OK")</f>
        <v>OK</v>
      </c>
      <c r="Q1738" s="7" t="n">
        <f aca="false">COUNTBLANK(A1738:N1738)</f>
        <v>1</v>
      </c>
      <c r="R1738" s="7" t="n">
        <f aca="false">IF(A1738="",0,COUNTIFS($A$2:$A$3058,A1738,$P$2:$P$3058,"OK"))</f>
        <v>1</v>
      </c>
      <c r="S1738" s="7" t="str">
        <f aca="false">IF(OR(A1738="",P1738="DUP",R1738&lt;2),"",IF(Q1738=_xlfn.MINIFS($Q$2:$Q$3058,$A$2:$A$3058,A1738,$P$2:$P$3058,"OK"),"KEEP","DROP"))</f>
        <v/>
      </c>
      <c r="T1738" s="9" t="n">
        <f aca="false">IF(A1738="",1,0)</f>
        <v>0</v>
      </c>
      <c r="U1738" s="9" t="n">
        <f aca="false">IF(D1738="",1,0)</f>
        <v>0</v>
      </c>
      <c r="V1738" s="9" t="n">
        <f aca="false">IF(E1738="",1,0)</f>
        <v>0</v>
      </c>
      <c r="W1738" s="9" t="n">
        <f aca="false">IF(OR(H1738&lt;1,H1738&gt;10),1,0)</f>
        <v>0</v>
      </c>
      <c r="X1738" s="9" t="n">
        <f aca="false">IF(OR(I1738&lt;=0,I1738&gt;1500),1,0)</f>
        <v>0</v>
      </c>
      <c r="Y1738" s="9" t="n">
        <f aca="false">IF(J1738&gt;H1738*I1738,1,0)</f>
        <v>0</v>
      </c>
      <c r="Z1738" s="9" t="n">
        <f aca="false">IF(AND(N1738&lt;&gt;"",OR(N1738&lt;1,N1738&gt;5)),1,0)</f>
        <v>0</v>
      </c>
      <c r="AA1738" s="9" t="n">
        <f aca="false">IF(AND(M1738&lt;&gt;"",OR(M1738&lt;5,M1738&gt;180)),1,0)</f>
        <v>0</v>
      </c>
      <c r="AB1738" s="7" t="str">
        <f aca="false">IF(P1738="DUP","Exact duplicate row",IF(T1738=1,"Missing Order ID",IF(S1738="DROP","Duplicate Order ID (less complete row)",IF(U1738=1,"Missing Customer ID",IF(V1738=1,"Missing Restaurant name",IF(W1738=1,"Invalid/outlier quantity",IF(X1738=1,"Invalid/outlier unit price",IF(Y1738=1,"Discount greater than order value",""))))))))</f>
        <v/>
      </c>
      <c r="AC1738" s="7" t="str">
        <f aca="false">IF(AB1738="","KEEP","DROP")</f>
        <v>KEEP</v>
      </c>
      <c r="AD1738" s="7" t="str">
        <f aca="false">IF(TRIM(F1738)="",IFERROR(INDEX(Map_Tables!$I$4:$I$37,MATCH(TRIM(E1738),Map_Tables!$G$4:$G$37,0)),""),IFERROR(INDEX(Map_Tables!$B$4:$B$18,MATCH(TRIM(F1738),Map_Tables!$A$4:$A$18,0)),"CHECK"))</f>
        <v>Bengaluru</v>
      </c>
      <c r="AE1738" s="7" t="str">
        <f aca="false">IF(TRIM(E1738)="","",IFERROR(INDEX(Map_Tables!$H$4:$H$37,MATCH(TRIM(E1738),Map_Tables!$G$4:$G$37,0)),"CHECK"))</f>
        <v>Nawabi Biryani House</v>
      </c>
      <c r="AF1738" s="7" t="str">
        <f aca="false">IF(TRIM(K1738)="","Unknown",IFERROR(INDEX(Map_Tables!$E$4:$E$15,MATCH(TRIM(K1738),Map_Tables!$D$4:$D$15,0)),"CHECK"))</f>
        <v>Credit Card</v>
      </c>
      <c r="AG1738" s="7" t="str">
        <f aca="false">IF(LEFT(LOWER(TRIM(L1738)),6)="cancel","Cancelled","Delivered")</f>
        <v>Delivered</v>
      </c>
      <c r="AH1738" s="10" t="n">
        <f aca="false">IF(ISNUMBER(SEARCH("/",B1738)),DATE(VALUE(RIGHT(B1738,4)),VALUE(MID(B1738,4,2)),VALUE(LEFT(B1738,2))),IF(MID(B1738,5,1)="-",DATE(VALUE(LEFT(B1738,4)),VALUE(MID(B1738,6,2)),VALUE(RIGHT(B1738,2))),DATE(VALUE(RIGHT(B1738,4)),MATCH(MID(B1738,4,3),{"Jan","Feb","Mar","Apr","May","Jun","Jul","Aug","Sep","Oct","Nov","Dec"},0),VALUE(LEFT(B1738,2)))))</f>
        <v>45797</v>
      </c>
    </row>
    <row r="1739" customFormat="false" ht="15" hidden="false" customHeight="false" outlineLevel="0" collapsed="false">
      <c r="A1739" s="7" t="s">
        <v>4329</v>
      </c>
      <c r="B1739" s="7" t="s">
        <v>287</v>
      </c>
      <c r="C1739" s="7" t="s">
        <v>403</v>
      </c>
      <c r="D1739" s="7" t="s">
        <v>2091</v>
      </c>
      <c r="E1739" s="7" t="s">
        <v>98</v>
      </c>
      <c r="F1739" s="7" t="s">
        <v>86</v>
      </c>
      <c r="G1739" s="7" t="s">
        <v>99</v>
      </c>
      <c r="H1739" s="7" t="n">
        <v>1</v>
      </c>
      <c r="I1739" s="7" t="n">
        <v>315</v>
      </c>
      <c r="J1739" s="7" t="n">
        <v>30</v>
      </c>
      <c r="K1739" s="7" t="s">
        <v>88</v>
      </c>
      <c r="L1739" s="7" t="s">
        <v>194</v>
      </c>
      <c r="M1739" s="7" t="n">
        <v>42</v>
      </c>
      <c r="N1739" s="7" t="n">
        <v>4</v>
      </c>
      <c r="O1739" s="7" t="str">
        <f aca="false">A1739&amp;"|"&amp;B1739&amp;"|"&amp;C1739&amp;"|"&amp;D1739&amp;"|"&amp;E1739&amp;"|"&amp;F1739&amp;"|"&amp;G1739&amp;"|"&amp;H1739&amp;"|"&amp;I1739&amp;"|"&amp;J1739&amp;"|"&amp;K1739&amp;"|"&amp;L1739&amp;"|"&amp;M1739&amp;"|"&amp;N1739</f>
        <v>ORD10498|07/03/2025|11:13|C1463|Nawabi Biryani House|Bengaluru|Biryani|1|315|30|UPI|Delivered|42|4</v>
      </c>
      <c r="P1739" s="7" t="str">
        <f aca="false">IF(COUNTIF($O$2:O1739,O1739)&gt;1,"DUP","OK")</f>
        <v>OK</v>
      </c>
      <c r="Q1739" s="7" t="n">
        <f aca="false">COUNTBLANK(A1739:N1739)</f>
        <v>0</v>
      </c>
      <c r="R1739" s="7" t="n">
        <f aca="false">IF(A1739="",0,COUNTIFS($A$2:$A$3058,A1739,$P$2:$P$3058,"OK"))</f>
        <v>1</v>
      </c>
      <c r="S1739" s="7" t="str">
        <f aca="false">IF(OR(A1739="",P1739="DUP",R1739&lt;2),"",IF(Q1739=_xlfn.MINIFS($Q$2:$Q$3058,$A$2:$A$3058,A1739,$P$2:$P$3058,"OK"),"KEEP","DROP"))</f>
        <v/>
      </c>
      <c r="T1739" s="9" t="n">
        <f aca="false">IF(A1739="",1,0)</f>
        <v>0</v>
      </c>
      <c r="U1739" s="9" t="n">
        <f aca="false">IF(D1739="",1,0)</f>
        <v>0</v>
      </c>
      <c r="V1739" s="9" t="n">
        <f aca="false">IF(E1739="",1,0)</f>
        <v>0</v>
      </c>
      <c r="W1739" s="9" t="n">
        <f aca="false">IF(OR(H1739&lt;1,H1739&gt;10),1,0)</f>
        <v>0</v>
      </c>
      <c r="X1739" s="9" t="n">
        <f aca="false">IF(OR(I1739&lt;=0,I1739&gt;1500),1,0)</f>
        <v>0</v>
      </c>
      <c r="Y1739" s="9" t="n">
        <f aca="false">IF(J1739&gt;H1739*I1739,1,0)</f>
        <v>0</v>
      </c>
      <c r="Z1739" s="9" t="n">
        <f aca="false">IF(AND(N1739&lt;&gt;"",OR(N1739&lt;1,N1739&gt;5)),1,0)</f>
        <v>0</v>
      </c>
      <c r="AA1739" s="9" t="n">
        <f aca="false">IF(AND(M1739&lt;&gt;"",OR(M1739&lt;5,M1739&gt;180)),1,0)</f>
        <v>0</v>
      </c>
      <c r="AB1739" s="7" t="str">
        <f aca="false">IF(P1739="DUP","Exact duplicate row",IF(T1739=1,"Missing Order ID",IF(S1739="DROP","Duplicate Order ID (less complete row)",IF(U1739=1,"Missing Customer ID",IF(V1739=1,"Missing Restaurant name",IF(W1739=1,"Invalid/outlier quantity",IF(X1739=1,"Invalid/outlier unit price",IF(Y1739=1,"Discount greater than order value",""))))))))</f>
        <v/>
      </c>
      <c r="AC1739" s="7" t="str">
        <f aca="false">IF(AB1739="","KEEP","DROP")</f>
        <v>KEEP</v>
      </c>
      <c r="AD1739" s="7" t="str">
        <f aca="false">IF(TRIM(F1739)="",IFERROR(INDEX(Map_Tables!$I$4:$I$37,MATCH(TRIM(E1739),Map_Tables!$G$4:$G$37,0)),""),IFERROR(INDEX(Map_Tables!$B$4:$B$18,MATCH(TRIM(F1739),Map_Tables!$A$4:$A$18,0)),"CHECK"))</f>
        <v>Bengaluru</v>
      </c>
      <c r="AE1739" s="7" t="str">
        <f aca="false">IF(TRIM(E1739)="","",IFERROR(INDEX(Map_Tables!$H$4:$H$37,MATCH(TRIM(E1739),Map_Tables!$G$4:$G$37,0)),"CHECK"))</f>
        <v>Nawabi Biryani House</v>
      </c>
      <c r="AF1739" s="7" t="str">
        <f aca="false">IF(TRIM(K1739)="","Unknown",IFERROR(INDEX(Map_Tables!$E$4:$E$15,MATCH(TRIM(K1739),Map_Tables!$D$4:$D$15,0)),"CHECK"))</f>
        <v>UPI</v>
      </c>
      <c r="AG1739" s="7" t="str">
        <f aca="false">IF(LEFT(LOWER(TRIM(L1739)),6)="cancel","Cancelled","Delivered")</f>
        <v>Delivered</v>
      </c>
      <c r="AH1739" s="10" t="n">
        <f aca="false">IF(ISNUMBER(SEARCH("/",B1739)),DATE(VALUE(RIGHT(B1739,4)),VALUE(MID(B1739,4,2)),VALUE(LEFT(B1739,2))),IF(MID(B1739,5,1)="-",DATE(VALUE(LEFT(B1739,4)),VALUE(MID(B1739,6,2)),VALUE(RIGHT(B1739,2))),DATE(VALUE(RIGHT(B1739,4)),MATCH(MID(B1739,4,3),{"Jan","Feb","Mar","Apr","May","Jun","Jul","Aug","Sep","Oct","Nov","Dec"},0),VALUE(LEFT(B1739,2)))))</f>
        <v>45723</v>
      </c>
    </row>
    <row r="1740" customFormat="false" ht="15" hidden="false" customHeight="false" outlineLevel="0" collapsed="false">
      <c r="A1740" s="7" t="s">
        <v>4330</v>
      </c>
      <c r="B1740" s="7" t="s">
        <v>2116</v>
      </c>
      <c r="C1740" s="7" t="s">
        <v>346</v>
      </c>
      <c r="D1740" s="7" t="s">
        <v>471</v>
      </c>
      <c r="E1740" s="7" t="s">
        <v>94</v>
      </c>
      <c r="F1740" s="7" t="s">
        <v>85</v>
      </c>
      <c r="G1740" s="7" t="s">
        <v>95</v>
      </c>
      <c r="H1740" s="7" t="n">
        <v>4</v>
      </c>
      <c r="I1740" s="7" t="n">
        <v>110</v>
      </c>
      <c r="J1740" s="7" t="n">
        <v>75</v>
      </c>
      <c r="K1740" s="7" t="s">
        <v>133</v>
      </c>
      <c r="L1740" s="7" t="s">
        <v>194</v>
      </c>
      <c r="M1740" s="7" t="n">
        <v>41</v>
      </c>
      <c r="N1740" s="7" t="n">
        <v>3</v>
      </c>
      <c r="O1740" s="7" t="str">
        <f aca="false">A1740&amp;"|"&amp;B1740&amp;"|"&amp;C1740&amp;"|"&amp;D1740&amp;"|"&amp;E1740&amp;"|"&amp;F1740&amp;"|"&amp;G1740&amp;"|"&amp;H1740&amp;"|"&amp;I1740&amp;"|"&amp;J1740&amp;"|"&amp;K1740&amp;"|"&amp;L1740&amp;"|"&amp;M1740&amp;"|"&amp;N1740</f>
        <v>ORD10353|2025-02-16|19:18|C0728|Dosa Darbar|bangalore|South Indian|4|110|75|Net Banking|Delivered|41|3</v>
      </c>
      <c r="P1740" s="7" t="str">
        <f aca="false">IF(COUNTIF($O$2:O1740,O1740)&gt;1,"DUP","OK")</f>
        <v>OK</v>
      </c>
      <c r="Q1740" s="7" t="n">
        <f aca="false">COUNTBLANK(A1740:N1740)</f>
        <v>0</v>
      </c>
      <c r="R1740" s="7" t="n">
        <f aca="false">IF(A1740="",0,COUNTIFS($A$2:$A$3058,A1740,$P$2:$P$3058,"OK"))</f>
        <v>1</v>
      </c>
      <c r="S1740" s="7" t="str">
        <f aca="false">IF(OR(A1740="",P1740="DUP",R1740&lt;2),"",IF(Q1740=_xlfn.MINIFS($Q$2:$Q$3058,$A$2:$A$3058,A1740,$P$2:$P$3058,"OK"),"KEEP","DROP"))</f>
        <v/>
      </c>
      <c r="T1740" s="9" t="n">
        <f aca="false">IF(A1740="",1,0)</f>
        <v>0</v>
      </c>
      <c r="U1740" s="9" t="n">
        <f aca="false">IF(D1740="",1,0)</f>
        <v>0</v>
      </c>
      <c r="V1740" s="9" t="n">
        <f aca="false">IF(E1740="",1,0)</f>
        <v>0</v>
      </c>
      <c r="W1740" s="9" t="n">
        <f aca="false">IF(OR(H1740&lt;1,H1740&gt;10),1,0)</f>
        <v>0</v>
      </c>
      <c r="X1740" s="9" t="n">
        <f aca="false">IF(OR(I1740&lt;=0,I1740&gt;1500),1,0)</f>
        <v>0</v>
      </c>
      <c r="Y1740" s="9" t="n">
        <f aca="false">IF(J1740&gt;H1740*I1740,1,0)</f>
        <v>0</v>
      </c>
      <c r="Z1740" s="9" t="n">
        <f aca="false">IF(AND(N1740&lt;&gt;"",OR(N1740&lt;1,N1740&gt;5)),1,0)</f>
        <v>0</v>
      </c>
      <c r="AA1740" s="9" t="n">
        <f aca="false">IF(AND(M1740&lt;&gt;"",OR(M1740&lt;5,M1740&gt;180)),1,0)</f>
        <v>0</v>
      </c>
      <c r="AB1740" s="7" t="str">
        <f aca="false">IF(P1740="DUP","Exact duplicate row",IF(T1740=1,"Missing Order ID",IF(S1740="DROP","Duplicate Order ID (less complete row)",IF(U1740=1,"Missing Customer ID",IF(V1740=1,"Missing Restaurant name",IF(W1740=1,"Invalid/outlier quantity",IF(X1740=1,"Invalid/outlier unit price",IF(Y1740=1,"Discount greater than order value",""))))))))</f>
        <v/>
      </c>
      <c r="AC1740" s="7" t="str">
        <f aca="false">IF(AB1740="","KEEP","DROP")</f>
        <v>KEEP</v>
      </c>
      <c r="AD1740" s="7" t="str">
        <f aca="false">IF(TRIM(F1740)="",IFERROR(INDEX(Map_Tables!$I$4:$I$37,MATCH(TRIM(E1740),Map_Tables!$G$4:$G$37,0)),""),IFERROR(INDEX(Map_Tables!$B$4:$B$18,MATCH(TRIM(F1740),Map_Tables!$A$4:$A$18,0)),"CHECK"))</f>
        <v>Bengaluru</v>
      </c>
      <c r="AE1740" s="7" t="str">
        <f aca="false">IF(TRIM(E1740)="","",IFERROR(INDEX(Map_Tables!$H$4:$H$37,MATCH(TRIM(E1740),Map_Tables!$G$4:$G$37,0)),"CHECK"))</f>
        <v>Dosa Darbar</v>
      </c>
      <c r="AF1740" s="7" t="str">
        <f aca="false">IF(TRIM(K1740)="","Unknown",IFERROR(INDEX(Map_Tables!$E$4:$E$15,MATCH(TRIM(K1740),Map_Tables!$D$4:$D$15,0)),"CHECK"))</f>
        <v>Net Banking</v>
      </c>
      <c r="AG1740" s="7" t="str">
        <f aca="false">IF(LEFT(LOWER(TRIM(L1740)),6)="cancel","Cancelled","Delivered")</f>
        <v>Delivered</v>
      </c>
      <c r="AH1740" s="10" t="n">
        <f aca="false">IF(ISNUMBER(SEARCH("/",B1740)),DATE(VALUE(RIGHT(B1740,4)),VALUE(MID(B1740,4,2)),VALUE(LEFT(B1740,2))),IF(MID(B1740,5,1)="-",DATE(VALUE(LEFT(B1740,4)),VALUE(MID(B1740,6,2)),VALUE(RIGHT(B1740,2))),DATE(VALUE(RIGHT(B1740,4)),MATCH(MID(B1740,4,3),{"Jan","Feb","Mar","Apr","May","Jun","Jul","Aug","Sep","Oct","Nov","Dec"},0),VALUE(LEFT(B1740,2)))))</f>
        <v>45704</v>
      </c>
    </row>
    <row r="1741" customFormat="false" ht="15" hidden="false" customHeight="false" outlineLevel="0" collapsed="false">
      <c r="A1741" s="7" t="s">
        <v>4331</v>
      </c>
      <c r="B1741" s="7" t="s">
        <v>3294</v>
      </c>
      <c r="C1741" s="7" t="s">
        <v>2402</v>
      </c>
      <c r="D1741" s="7" t="s">
        <v>505</v>
      </c>
      <c r="E1741" s="7" t="s">
        <v>160</v>
      </c>
      <c r="F1741" s="7" t="s">
        <v>136</v>
      </c>
      <c r="G1741" s="7" t="s">
        <v>150</v>
      </c>
      <c r="H1741" s="7" t="n">
        <v>1</v>
      </c>
      <c r="I1741" s="7" t="n">
        <v>200</v>
      </c>
      <c r="J1741" s="7" t="n">
        <v>50</v>
      </c>
      <c r="K1741" s="7" t="s">
        <v>112</v>
      </c>
      <c r="L1741" s="7" t="s">
        <v>194</v>
      </c>
      <c r="M1741" s="7" t="n">
        <v>36</v>
      </c>
      <c r="N1741" s="7" t="n">
        <v>5</v>
      </c>
      <c r="O1741" s="7" t="str">
        <f aca="false">A1741&amp;"|"&amp;B1741&amp;"|"&amp;C1741&amp;"|"&amp;D1741&amp;"|"&amp;E1741&amp;"|"&amp;F1741&amp;"|"&amp;G1741&amp;"|"&amp;H1741&amp;"|"&amp;I1741&amp;"|"&amp;J1741&amp;"|"&amp;K1741&amp;"|"&amp;L1741&amp;"|"&amp;M1741&amp;"|"&amp;N1741</f>
        <v>ORD11930|2025-09-07|19:55|C0856|Cake Walk|Pune|Desserts|1|200|50|Cash on Delivery|Delivered|36|5</v>
      </c>
      <c r="P1741" s="7" t="str">
        <f aca="false">IF(COUNTIF($O$2:O1741,O1741)&gt;1,"DUP","OK")</f>
        <v>OK</v>
      </c>
      <c r="Q1741" s="7" t="n">
        <f aca="false">COUNTBLANK(A1741:N1741)</f>
        <v>0</v>
      </c>
      <c r="R1741" s="7" t="n">
        <f aca="false">IF(A1741="",0,COUNTIFS($A$2:$A$3058,A1741,$P$2:$P$3058,"OK"))</f>
        <v>1</v>
      </c>
      <c r="S1741" s="7" t="str">
        <f aca="false">IF(OR(A1741="",P1741="DUP",R1741&lt;2),"",IF(Q1741=_xlfn.MINIFS($Q$2:$Q$3058,$A$2:$A$3058,A1741,$P$2:$P$3058,"OK"),"KEEP","DROP"))</f>
        <v/>
      </c>
      <c r="T1741" s="9" t="n">
        <f aca="false">IF(A1741="",1,0)</f>
        <v>0</v>
      </c>
      <c r="U1741" s="9" t="n">
        <f aca="false">IF(D1741="",1,0)</f>
        <v>0</v>
      </c>
      <c r="V1741" s="9" t="n">
        <f aca="false">IF(E1741="",1,0)</f>
        <v>0</v>
      </c>
      <c r="W1741" s="9" t="n">
        <f aca="false">IF(OR(H1741&lt;1,H1741&gt;10),1,0)</f>
        <v>0</v>
      </c>
      <c r="X1741" s="9" t="n">
        <f aca="false">IF(OR(I1741&lt;=0,I1741&gt;1500),1,0)</f>
        <v>0</v>
      </c>
      <c r="Y1741" s="9" t="n">
        <f aca="false">IF(J1741&gt;H1741*I1741,1,0)</f>
        <v>0</v>
      </c>
      <c r="Z1741" s="9" t="n">
        <f aca="false">IF(AND(N1741&lt;&gt;"",OR(N1741&lt;1,N1741&gt;5)),1,0)</f>
        <v>0</v>
      </c>
      <c r="AA1741" s="9" t="n">
        <f aca="false">IF(AND(M1741&lt;&gt;"",OR(M1741&lt;5,M1741&gt;180)),1,0)</f>
        <v>0</v>
      </c>
      <c r="AB1741" s="7" t="str">
        <f aca="false">IF(P1741="DUP","Exact duplicate row",IF(T1741=1,"Missing Order ID",IF(S1741="DROP","Duplicate Order ID (less complete row)",IF(U1741=1,"Missing Customer ID",IF(V1741=1,"Missing Restaurant name",IF(W1741=1,"Invalid/outlier quantity",IF(X1741=1,"Invalid/outlier unit price",IF(Y1741=1,"Discount greater than order value",""))))))))</f>
        <v/>
      </c>
      <c r="AC1741" s="7" t="str">
        <f aca="false">IF(AB1741="","KEEP","DROP")</f>
        <v>KEEP</v>
      </c>
      <c r="AD1741" s="7" t="str">
        <f aca="false">IF(TRIM(F1741)="",IFERROR(INDEX(Map_Tables!$I$4:$I$37,MATCH(TRIM(E1741),Map_Tables!$G$4:$G$37,0)),""),IFERROR(INDEX(Map_Tables!$B$4:$B$18,MATCH(TRIM(F1741),Map_Tables!$A$4:$A$18,0)),"CHECK"))</f>
        <v>Pune</v>
      </c>
      <c r="AE1741" s="7" t="str">
        <f aca="false">IF(TRIM(E1741)="","",IFERROR(INDEX(Map_Tables!$H$4:$H$37,MATCH(TRIM(E1741),Map_Tables!$G$4:$G$37,0)),"CHECK"))</f>
        <v>Cake Walk</v>
      </c>
      <c r="AF1741" s="7" t="str">
        <f aca="false">IF(TRIM(K1741)="","Unknown",IFERROR(INDEX(Map_Tables!$E$4:$E$15,MATCH(TRIM(K1741),Map_Tables!$D$4:$D$15,0)),"CHECK"))</f>
        <v>Cash on Delivery</v>
      </c>
      <c r="AG1741" s="7" t="str">
        <f aca="false">IF(LEFT(LOWER(TRIM(L1741)),6)="cancel","Cancelled","Delivered")</f>
        <v>Delivered</v>
      </c>
      <c r="AH1741" s="10" t="n">
        <f aca="false">IF(ISNUMBER(SEARCH("/",B1741)),DATE(VALUE(RIGHT(B1741,4)),VALUE(MID(B1741,4,2)),VALUE(LEFT(B1741,2))),IF(MID(B1741,5,1)="-",DATE(VALUE(LEFT(B1741,4)),VALUE(MID(B1741,6,2)),VALUE(RIGHT(B1741,2))),DATE(VALUE(RIGHT(B1741,4)),MATCH(MID(B1741,4,3),{"Jan","Feb","Mar","Apr","May","Jun","Jul","Aug","Sep","Oct","Nov","Dec"},0),VALUE(LEFT(B1741,2)))))</f>
        <v>45907</v>
      </c>
    </row>
    <row r="1742" customFormat="false" ht="15" hidden="false" customHeight="false" outlineLevel="0" collapsed="false">
      <c r="A1742" s="7" t="s">
        <v>4332</v>
      </c>
      <c r="B1742" s="7" t="s">
        <v>838</v>
      </c>
      <c r="C1742" s="7" t="s">
        <v>3587</v>
      </c>
      <c r="D1742" s="7" t="s">
        <v>988</v>
      </c>
      <c r="E1742" s="7" t="s">
        <v>116</v>
      </c>
      <c r="F1742" s="7" t="s">
        <v>101</v>
      </c>
      <c r="G1742" s="7" t="s">
        <v>117</v>
      </c>
      <c r="H1742" s="7" t="n">
        <v>4</v>
      </c>
      <c r="I1742" s="7" t="n">
        <v>145</v>
      </c>
      <c r="J1742" s="7" t="n">
        <v>0</v>
      </c>
      <c r="K1742" s="7" t="s">
        <v>121</v>
      </c>
      <c r="L1742" s="7" t="s">
        <v>194</v>
      </c>
      <c r="M1742" s="7" t="n">
        <v>44</v>
      </c>
      <c r="N1742" s="7" t="n">
        <v>4</v>
      </c>
      <c r="O1742" s="7" t="str">
        <f aca="false">A1742&amp;"|"&amp;B1742&amp;"|"&amp;C1742&amp;"|"&amp;D1742&amp;"|"&amp;E1742&amp;"|"&amp;F1742&amp;"|"&amp;G1742&amp;"|"&amp;H1742&amp;"|"&amp;I1742&amp;"|"&amp;J1742&amp;"|"&amp;K1742&amp;"|"&amp;L1742&amp;"|"&amp;M1742&amp;"|"&amp;N1742</f>
        <v>ORD10443|2025-02-28|22:12|C0775|Pav Bhaji Point|Mumbai|Street Food|4|145|0|Wallet|Delivered|44|4</v>
      </c>
      <c r="P1742" s="7" t="str">
        <f aca="false">IF(COUNTIF($O$2:O1742,O1742)&gt;1,"DUP","OK")</f>
        <v>OK</v>
      </c>
      <c r="Q1742" s="7" t="n">
        <f aca="false">COUNTBLANK(A1742:N1742)</f>
        <v>0</v>
      </c>
      <c r="R1742" s="7" t="n">
        <f aca="false">IF(A1742="",0,COUNTIFS($A$2:$A$3058,A1742,$P$2:$P$3058,"OK"))</f>
        <v>1</v>
      </c>
      <c r="S1742" s="7" t="str">
        <f aca="false">IF(OR(A1742="",P1742="DUP",R1742&lt;2),"",IF(Q1742=_xlfn.MINIFS($Q$2:$Q$3058,$A$2:$A$3058,A1742,$P$2:$P$3058,"OK"),"KEEP","DROP"))</f>
        <v/>
      </c>
      <c r="T1742" s="9" t="n">
        <f aca="false">IF(A1742="",1,0)</f>
        <v>0</v>
      </c>
      <c r="U1742" s="9" t="n">
        <f aca="false">IF(D1742="",1,0)</f>
        <v>0</v>
      </c>
      <c r="V1742" s="9" t="n">
        <f aca="false">IF(E1742="",1,0)</f>
        <v>0</v>
      </c>
      <c r="W1742" s="9" t="n">
        <f aca="false">IF(OR(H1742&lt;1,H1742&gt;10),1,0)</f>
        <v>0</v>
      </c>
      <c r="X1742" s="9" t="n">
        <f aca="false">IF(OR(I1742&lt;=0,I1742&gt;1500),1,0)</f>
        <v>0</v>
      </c>
      <c r="Y1742" s="9" t="n">
        <f aca="false">IF(J1742&gt;H1742*I1742,1,0)</f>
        <v>0</v>
      </c>
      <c r="Z1742" s="9" t="n">
        <f aca="false">IF(AND(N1742&lt;&gt;"",OR(N1742&lt;1,N1742&gt;5)),1,0)</f>
        <v>0</v>
      </c>
      <c r="AA1742" s="9" t="n">
        <f aca="false">IF(AND(M1742&lt;&gt;"",OR(M1742&lt;5,M1742&gt;180)),1,0)</f>
        <v>0</v>
      </c>
      <c r="AB1742" s="7" t="str">
        <f aca="false">IF(P1742="DUP","Exact duplicate row",IF(T1742=1,"Missing Order ID",IF(S1742="DROP","Duplicate Order ID (less complete row)",IF(U1742=1,"Missing Customer ID",IF(V1742=1,"Missing Restaurant name",IF(W1742=1,"Invalid/outlier quantity",IF(X1742=1,"Invalid/outlier unit price",IF(Y1742=1,"Discount greater than order value",""))))))))</f>
        <v/>
      </c>
      <c r="AC1742" s="7" t="str">
        <f aca="false">IF(AB1742="","KEEP","DROP")</f>
        <v>KEEP</v>
      </c>
      <c r="AD1742" s="7" t="str">
        <f aca="false">IF(TRIM(F1742)="",IFERROR(INDEX(Map_Tables!$I$4:$I$37,MATCH(TRIM(E1742),Map_Tables!$G$4:$G$37,0)),""),IFERROR(INDEX(Map_Tables!$B$4:$B$18,MATCH(TRIM(F1742),Map_Tables!$A$4:$A$18,0)),"CHECK"))</f>
        <v>Mumbai</v>
      </c>
      <c r="AE1742" s="7" t="str">
        <f aca="false">IF(TRIM(E1742)="","",IFERROR(INDEX(Map_Tables!$H$4:$H$37,MATCH(TRIM(E1742),Map_Tables!$G$4:$G$37,0)),"CHECK"))</f>
        <v>Pav Bhaji Point</v>
      </c>
      <c r="AF1742" s="7" t="str">
        <f aca="false">IF(TRIM(K1742)="","Unknown",IFERROR(INDEX(Map_Tables!$E$4:$E$15,MATCH(TRIM(K1742),Map_Tables!$D$4:$D$15,0)),"CHECK"))</f>
        <v>Wallet</v>
      </c>
      <c r="AG1742" s="7" t="str">
        <f aca="false">IF(LEFT(LOWER(TRIM(L1742)),6)="cancel","Cancelled","Delivered")</f>
        <v>Delivered</v>
      </c>
      <c r="AH1742" s="10" t="n">
        <f aca="false">IF(ISNUMBER(SEARCH("/",B1742)),DATE(VALUE(RIGHT(B1742,4)),VALUE(MID(B1742,4,2)),VALUE(LEFT(B1742,2))),IF(MID(B1742,5,1)="-",DATE(VALUE(LEFT(B1742,4)),VALUE(MID(B1742,6,2)),VALUE(RIGHT(B1742,2))),DATE(VALUE(RIGHT(B1742,4)),MATCH(MID(B1742,4,3),{"Jan","Feb","Mar","Apr","May","Jun","Jul","Aug","Sep","Oct","Nov","Dec"},0),VALUE(LEFT(B1742,2)))))</f>
        <v>45716</v>
      </c>
    </row>
    <row r="1743" customFormat="false" ht="15" hidden="false" customHeight="false" outlineLevel="0" collapsed="false">
      <c r="A1743" s="7" t="s">
        <v>4333</v>
      </c>
      <c r="B1743" s="7" t="s">
        <v>1218</v>
      </c>
      <c r="C1743" s="7" t="s">
        <v>1118</v>
      </c>
      <c r="D1743" s="7" t="s">
        <v>2151</v>
      </c>
      <c r="E1743" s="7" t="s">
        <v>152</v>
      </c>
      <c r="F1743" s="7" t="s">
        <v>128</v>
      </c>
      <c r="G1743" s="7" t="s">
        <v>95</v>
      </c>
      <c r="H1743" s="7" t="n">
        <v>3</v>
      </c>
      <c r="I1743" s="7" t="n">
        <v>100</v>
      </c>
      <c r="J1743" s="7" t="n">
        <v>0</v>
      </c>
      <c r="K1743" s="7" t="s">
        <v>87</v>
      </c>
      <c r="L1743" s="7" t="s">
        <v>194</v>
      </c>
      <c r="M1743" s="7" t="n">
        <v>28</v>
      </c>
      <c r="N1743" s="7" t="n">
        <v>3</v>
      </c>
      <c r="O1743" s="7" t="str">
        <f aca="false">A1743&amp;"|"&amp;B1743&amp;"|"&amp;C1743&amp;"|"&amp;D1743&amp;"|"&amp;E1743&amp;"|"&amp;F1743&amp;"|"&amp;G1743&amp;"|"&amp;H1743&amp;"|"&amp;I1743&amp;"|"&amp;J1743&amp;"|"&amp;K1743&amp;"|"&amp;L1743&amp;"|"&amp;M1743&amp;"|"&amp;N1743</f>
        <v>ORD10002|2025-01-01|12:13|C0880|Filter Coffee &amp; Tiffin|Chennai|South Indian|3|100|0|upi|Delivered|28|3</v>
      </c>
      <c r="P1743" s="7" t="str">
        <f aca="false">IF(COUNTIF($O$2:O1743,O1743)&gt;1,"DUP","OK")</f>
        <v>OK</v>
      </c>
      <c r="Q1743" s="7" t="n">
        <f aca="false">COUNTBLANK(A1743:N1743)</f>
        <v>0</v>
      </c>
      <c r="R1743" s="7" t="n">
        <f aca="false">IF(A1743="",0,COUNTIFS($A$2:$A$3058,A1743,$P$2:$P$3058,"OK"))</f>
        <v>1</v>
      </c>
      <c r="S1743" s="7" t="str">
        <f aca="false">IF(OR(A1743="",P1743="DUP",R1743&lt;2),"",IF(Q1743=_xlfn.MINIFS($Q$2:$Q$3058,$A$2:$A$3058,A1743,$P$2:$P$3058,"OK"),"KEEP","DROP"))</f>
        <v/>
      </c>
      <c r="T1743" s="9" t="n">
        <f aca="false">IF(A1743="",1,0)</f>
        <v>0</v>
      </c>
      <c r="U1743" s="9" t="n">
        <f aca="false">IF(D1743="",1,0)</f>
        <v>0</v>
      </c>
      <c r="V1743" s="9" t="n">
        <f aca="false">IF(E1743="",1,0)</f>
        <v>0</v>
      </c>
      <c r="W1743" s="9" t="n">
        <f aca="false">IF(OR(H1743&lt;1,H1743&gt;10),1,0)</f>
        <v>0</v>
      </c>
      <c r="X1743" s="9" t="n">
        <f aca="false">IF(OR(I1743&lt;=0,I1743&gt;1500),1,0)</f>
        <v>0</v>
      </c>
      <c r="Y1743" s="9" t="n">
        <f aca="false">IF(J1743&gt;H1743*I1743,1,0)</f>
        <v>0</v>
      </c>
      <c r="Z1743" s="9" t="n">
        <f aca="false">IF(AND(N1743&lt;&gt;"",OR(N1743&lt;1,N1743&gt;5)),1,0)</f>
        <v>0</v>
      </c>
      <c r="AA1743" s="9" t="n">
        <f aca="false">IF(AND(M1743&lt;&gt;"",OR(M1743&lt;5,M1743&gt;180)),1,0)</f>
        <v>0</v>
      </c>
      <c r="AB1743" s="7" t="str">
        <f aca="false">IF(P1743="DUP","Exact duplicate row",IF(T1743=1,"Missing Order ID",IF(S1743="DROP","Duplicate Order ID (less complete row)",IF(U1743=1,"Missing Customer ID",IF(V1743=1,"Missing Restaurant name",IF(W1743=1,"Invalid/outlier quantity",IF(X1743=1,"Invalid/outlier unit price",IF(Y1743=1,"Discount greater than order value",""))))))))</f>
        <v/>
      </c>
      <c r="AC1743" s="7" t="str">
        <f aca="false">IF(AB1743="","KEEP","DROP")</f>
        <v>KEEP</v>
      </c>
      <c r="AD1743" s="7" t="str">
        <f aca="false">IF(TRIM(F1743)="",IFERROR(INDEX(Map_Tables!$I$4:$I$37,MATCH(TRIM(E1743),Map_Tables!$G$4:$G$37,0)),""),IFERROR(INDEX(Map_Tables!$B$4:$B$18,MATCH(TRIM(F1743),Map_Tables!$A$4:$A$18,0)),"CHECK"))</f>
        <v>Chennai</v>
      </c>
      <c r="AE1743" s="7" t="str">
        <f aca="false">IF(TRIM(E1743)="","",IFERROR(INDEX(Map_Tables!$H$4:$H$37,MATCH(TRIM(E1743),Map_Tables!$G$4:$G$37,0)),"CHECK"))</f>
        <v>Filter Coffee &amp; Tiffin</v>
      </c>
      <c r="AF1743" s="7" t="str">
        <f aca="false">IF(TRIM(K1743)="","Unknown",IFERROR(INDEX(Map_Tables!$E$4:$E$15,MATCH(TRIM(K1743),Map_Tables!$D$4:$D$15,0)),"CHECK"))</f>
        <v>UPI</v>
      </c>
      <c r="AG1743" s="7" t="str">
        <f aca="false">IF(LEFT(LOWER(TRIM(L1743)),6)="cancel","Cancelled","Delivered")</f>
        <v>Delivered</v>
      </c>
      <c r="AH1743" s="10" t="n">
        <f aca="false">IF(ISNUMBER(SEARCH("/",B1743)),DATE(VALUE(RIGHT(B1743,4)),VALUE(MID(B1743,4,2)),VALUE(LEFT(B1743,2))),IF(MID(B1743,5,1)="-",DATE(VALUE(LEFT(B1743,4)),VALUE(MID(B1743,6,2)),VALUE(RIGHT(B1743,2))),DATE(VALUE(RIGHT(B1743,4)),MATCH(MID(B1743,4,3),{"Jan","Feb","Mar","Apr","May","Jun","Jul","Aug","Sep","Oct","Nov","Dec"},0),VALUE(LEFT(B1743,2)))))</f>
        <v>45658</v>
      </c>
    </row>
    <row r="1744" customFormat="false" ht="15" hidden="false" customHeight="false" outlineLevel="0" collapsed="false">
      <c r="A1744" s="7" t="s">
        <v>4334</v>
      </c>
      <c r="B1744" s="7" t="s">
        <v>704</v>
      </c>
      <c r="C1744" s="7" t="s">
        <v>2268</v>
      </c>
      <c r="D1744" s="7" t="s">
        <v>4335</v>
      </c>
      <c r="E1744" s="7" t="s">
        <v>1595</v>
      </c>
      <c r="F1744" s="7" t="s">
        <v>136</v>
      </c>
      <c r="G1744" s="7" t="s">
        <v>139</v>
      </c>
      <c r="H1744" s="7" t="n">
        <v>2</v>
      </c>
      <c r="I1744" s="7" t="n">
        <v>215</v>
      </c>
      <c r="J1744" s="7" t="n">
        <v>0</v>
      </c>
      <c r="K1744" s="7" t="s">
        <v>103</v>
      </c>
      <c r="L1744" s="7" t="s">
        <v>194</v>
      </c>
      <c r="M1744" s="7" t="n">
        <v>27</v>
      </c>
      <c r="N1744" s="7" t="n">
        <v>5</v>
      </c>
      <c r="O1744" s="7" t="str">
        <f aca="false">A1744&amp;"|"&amp;B1744&amp;"|"&amp;C1744&amp;"|"&amp;D1744&amp;"|"&amp;E1744&amp;"|"&amp;F1744&amp;"|"&amp;G1744&amp;"|"&amp;H1744&amp;"|"&amp;I1744&amp;"|"&amp;J1744&amp;"|"&amp;K1744&amp;"|"&amp;L1744&amp;"|"&amp;M1744&amp;"|"&amp;N1744</f>
        <v>ORD10286|2025-02-08|12:18|C1216|PUNE BURGER HUB|Pune|Burgers|2|215|0|Debit Card|Delivered|27|5</v>
      </c>
      <c r="P1744" s="7" t="str">
        <f aca="false">IF(COUNTIF($O$2:O1744,O1744)&gt;1,"DUP","OK")</f>
        <v>OK</v>
      </c>
      <c r="Q1744" s="7" t="n">
        <f aca="false">COUNTBLANK(A1744:N1744)</f>
        <v>0</v>
      </c>
      <c r="R1744" s="7" t="n">
        <f aca="false">IF(A1744="",0,COUNTIFS($A$2:$A$3058,A1744,$P$2:$P$3058,"OK"))</f>
        <v>1</v>
      </c>
      <c r="S1744" s="7" t="str">
        <f aca="false">IF(OR(A1744="",P1744="DUP",R1744&lt;2),"",IF(Q1744=_xlfn.MINIFS($Q$2:$Q$3058,$A$2:$A$3058,A1744,$P$2:$P$3058,"OK"),"KEEP","DROP"))</f>
        <v/>
      </c>
      <c r="T1744" s="9" t="n">
        <f aca="false">IF(A1744="",1,0)</f>
        <v>0</v>
      </c>
      <c r="U1744" s="9" t="n">
        <f aca="false">IF(D1744="",1,0)</f>
        <v>0</v>
      </c>
      <c r="V1744" s="9" t="n">
        <f aca="false">IF(E1744="",1,0)</f>
        <v>0</v>
      </c>
      <c r="W1744" s="9" t="n">
        <f aca="false">IF(OR(H1744&lt;1,H1744&gt;10),1,0)</f>
        <v>0</v>
      </c>
      <c r="X1744" s="9" t="n">
        <f aca="false">IF(OR(I1744&lt;=0,I1744&gt;1500),1,0)</f>
        <v>0</v>
      </c>
      <c r="Y1744" s="9" t="n">
        <f aca="false">IF(J1744&gt;H1744*I1744,1,0)</f>
        <v>0</v>
      </c>
      <c r="Z1744" s="9" t="n">
        <f aca="false">IF(AND(N1744&lt;&gt;"",OR(N1744&lt;1,N1744&gt;5)),1,0)</f>
        <v>0</v>
      </c>
      <c r="AA1744" s="9" t="n">
        <f aca="false">IF(AND(M1744&lt;&gt;"",OR(M1744&lt;5,M1744&gt;180)),1,0)</f>
        <v>0</v>
      </c>
      <c r="AB1744" s="7" t="str">
        <f aca="false">IF(P1744="DUP","Exact duplicate row",IF(T1744=1,"Missing Order ID",IF(S1744="DROP","Duplicate Order ID (less complete row)",IF(U1744=1,"Missing Customer ID",IF(V1744=1,"Missing Restaurant name",IF(W1744=1,"Invalid/outlier quantity",IF(X1744=1,"Invalid/outlier unit price",IF(Y1744=1,"Discount greater than order value",""))))))))</f>
        <v/>
      </c>
      <c r="AC1744" s="7" t="str">
        <f aca="false">IF(AB1744="","KEEP","DROP")</f>
        <v>KEEP</v>
      </c>
      <c r="AD1744" s="7" t="str">
        <f aca="false">IF(TRIM(F1744)="",IFERROR(INDEX(Map_Tables!$I$4:$I$37,MATCH(TRIM(E1744),Map_Tables!$G$4:$G$37,0)),""),IFERROR(INDEX(Map_Tables!$B$4:$B$18,MATCH(TRIM(F1744),Map_Tables!$A$4:$A$18,0)),"CHECK"))</f>
        <v>Pune</v>
      </c>
      <c r="AE1744" s="7" t="str">
        <f aca="false">IF(TRIM(E1744)="","",IFERROR(INDEX(Map_Tables!$H$4:$H$37,MATCH(TRIM(E1744),Map_Tables!$G$4:$G$37,0)),"CHECK"))</f>
        <v>Pune Burger Hub</v>
      </c>
      <c r="AF1744" s="7" t="str">
        <f aca="false">IF(TRIM(K1744)="","Unknown",IFERROR(INDEX(Map_Tables!$E$4:$E$15,MATCH(TRIM(K1744),Map_Tables!$D$4:$D$15,0)),"CHECK"))</f>
        <v>Debit Card</v>
      </c>
      <c r="AG1744" s="7" t="str">
        <f aca="false">IF(LEFT(LOWER(TRIM(L1744)),6)="cancel","Cancelled","Delivered")</f>
        <v>Delivered</v>
      </c>
      <c r="AH1744" s="10" t="n">
        <f aca="false">IF(ISNUMBER(SEARCH("/",B1744)),DATE(VALUE(RIGHT(B1744,4)),VALUE(MID(B1744,4,2)),VALUE(LEFT(B1744,2))),IF(MID(B1744,5,1)="-",DATE(VALUE(LEFT(B1744,4)),VALUE(MID(B1744,6,2)),VALUE(RIGHT(B1744,2))),DATE(VALUE(RIGHT(B1744,4)),MATCH(MID(B1744,4,3),{"Jan","Feb","Mar","Apr","May","Jun","Jul","Aug","Sep","Oct","Nov","Dec"},0),VALUE(LEFT(B1744,2)))))</f>
        <v>45696</v>
      </c>
    </row>
    <row r="1745" customFormat="false" ht="15" hidden="false" customHeight="false" outlineLevel="0" collapsed="false">
      <c r="A1745" s="7" t="s">
        <v>4336</v>
      </c>
      <c r="B1745" s="7" t="s">
        <v>4276</v>
      </c>
      <c r="C1745" s="7" t="s">
        <v>4337</v>
      </c>
      <c r="D1745" s="7" t="s">
        <v>2589</v>
      </c>
      <c r="E1745" s="7" t="s">
        <v>122</v>
      </c>
      <c r="F1745" s="7" t="s">
        <v>101</v>
      </c>
      <c r="G1745" s="7" t="s">
        <v>123</v>
      </c>
      <c r="H1745" s="7" t="n">
        <v>3</v>
      </c>
      <c r="I1745" s="7" t="n">
        <v>240</v>
      </c>
      <c r="J1745" s="7" t="n">
        <v>20</v>
      </c>
      <c r="K1745" s="7" t="s">
        <v>88</v>
      </c>
      <c r="L1745" s="7" t="s">
        <v>194</v>
      </c>
      <c r="M1745" s="7" t="n">
        <v>44</v>
      </c>
      <c r="N1745" s="7" t="n">
        <v>2</v>
      </c>
      <c r="O1745" s="7" t="str">
        <f aca="false">A1745&amp;"|"&amp;B1745&amp;"|"&amp;C1745&amp;"|"&amp;D1745&amp;"|"&amp;E1745&amp;"|"&amp;F1745&amp;"|"&amp;G1745&amp;"|"&amp;H1745&amp;"|"&amp;I1745&amp;"|"&amp;J1745&amp;"|"&amp;K1745&amp;"|"&amp;L1745&amp;"|"&amp;M1745&amp;"|"&amp;N1745</f>
        <v>ORD11561|2025-07-22|23:12|C1119|Mumbai Pizza Co|Mumbai|Pizza|3|240|20|UPI|Delivered|44|2</v>
      </c>
      <c r="P1745" s="7" t="str">
        <f aca="false">IF(COUNTIF($O$2:O1745,O1745)&gt;1,"DUP","OK")</f>
        <v>OK</v>
      </c>
      <c r="Q1745" s="7" t="n">
        <f aca="false">COUNTBLANK(A1745:N1745)</f>
        <v>0</v>
      </c>
      <c r="R1745" s="7" t="n">
        <f aca="false">IF(A1745="",0,COUNTIFS($A$2:$A$3058,A1745,$P$2:$P$3058,"OK"))</f>
        <v>1</v>
      </c>
      <c r="S1745" s="7" t="str">
        <f aca="false">IF(OR(A1745="",P1745="DUP",R1745&lt;2),"",IF(Q1745=_xlfn.MINIFS($Q$2:$Q$3058,$A$2:$A$3058,A1745,$P$2:$P$3058,"OK"),"KEEP","DROP"))</f>
        <v/>
      </c>
      <c r="T1745" s="9" t="n">
        <f aca="false">IF(A1745="",1,0)</f>
        <v>0</v>
      </c>
      <c r="U1745" s="9" t="n">
        <f aca="false">IF(D1745="",1,0)</f>
        <v>0</v>
      </c>
      <c r="V1745" s="9" t="n">
        <f aca="false">IF(E1745="",1,0)</f>
        <v>0</v>
      </c>
      <c r="W1745" s="9" t="n">
        <f aca="false">IF(OR(H1745&lt;1,H1745&gt;10),1,0)</f>
        <v>0</v>
      </c>
      <c r="X1745" s="9" t="n">
        <f aca="false">IF(OR(I1745&lt;=0,I1745&gt;1500),1,0)</f>
        <v>0</v>
      </c>
      <c r="Y1745" s="9" t="n">
        <f aca="false">IF(J1745&gt;H1745*I1745,1,0)</f>
        <v>0</v>
      </c>
      <c r="Z1745" s="9" t="n">
        <f aca="false">IF(AND(N1745&lt;&gt;"",OR(N1745&lt;1,N1745&gt;5)),1,0)</f>
        <v>0</v>
      </c>
      <c r="AA1745" s="9" t="n">
        <f aca="false">IF(AND(M1745&lt;&gt;"",OR(M1745&lt;5,M1745&gt;180)),1,0)</f>
        <v>0</v>
      </c>
      <c r="AB1745" s="7" t="str">
        <f aca="false">IF(P1745="DUP","Exact duplicate row",IF(T1745=1,"Missing Order ID",IF(S1745="DROP","Duplicate Order ID (less complete row)",IF(U1745=1,"Missing Customer ID",IF(V1745=1,"Missing Restaurant name",IF(W1745=1,"Invalid/outlier quantity",IF(X1745=1,"Invalid/outlier unit price",IF(Y1745=1,"Discount greater than order value",""))))))))</f>
        <v/>
      </c>
      <c r="AC1745" s="7" t="str">
        <f aca="false">IF(AB1745="","KEEP","DROP")</f>
        <v>KEEP</v>
      </c>
      <c r="AD1745" s="7" t="str">
        <f aca="false">IF(TRIM(F1745)="",IFERROR(INDEX(Map_Tables!$I$4:$I$37,MATCH(TRIM(E1745),Map_Tables!$G$4:$G$37,0)),""),IFERROR(INDEX(Map_Tables!$B$4:$B$18,MATCH(TRIM(F1745),Map_Tables!$A$4:$A$18,0)),"CHECK"))</f>
        <v>Mumbai</v>
      </c>
      <c r="AE1745" s="7" t="str">
        <f aca="false">IF(TRIM(E1745)="","",IFERROR(INDEX(Map_Tables!$H$4:$H$37,MATCH(TRIM(E1745),Map_Tables!$G$4:$G$37,0)),"CHECK"))</f>
        <v>Mumbai Pizza Co</v>
      </c>
      <c r="AF1745" s="7" t="str">
        <f aca="false">IF(TRIM(K1745)="","Unknown",IFERROR(INDEX(Map_Tables!$E$4:$E$15,MATCH(TRIM(K1745),Map_Tables!$D$4:$D$15,0)),"CHECK"))</f>
        <v>UPI</v>
      </c>
      <c r="AG1745" s="7" t="str">
        <f aca="false">IF(LEFT(LOWER(TRIM(L1745)),6)="cancel","Cancelled","Delivered")</f>
        <v>Delivered</v>
      </c>
      <c r="AH1745" s="10" t="n">
        <f aca="false">IF(ISNUMBER(SEARCH("/",B1745)),DATE(VALUE(RIGHT(B1745,4)),VALUE(MID(B1745,4,2)),VALUE(LEFT(B1745,2))),IF(MID(B1745,5,1)="-",DATE(VALUE(LEFT(B1745,4)),VALUE(MID(B1745,6,2)),VALUE(RIGHT(B1745,2))),DATE(VALUE(RIGHT(B1745,4)),MATCH(MID(B1745,4,3),{"Jan","Feb","Mar","Apr","May","Jun","Jul","Aug","Sep","Oct","Nov","Dec"},0),VALUE(LEFT(B1745,2)))))</f>
        <v>45860</v>
      </c>
    </row>
    <row r="1746" customFormat="false" ht="15" hidden="false" customHeight="false" outlineLevel="0" collapsed="false">
      <c r="A1746" s="7" t="s">
        <v>4338</v>
      </c>
      <c r="B1746" s="7" t="s">
        <v>1883</v>
      </c>
      <c r="C1746" s="7" t="s">
        <v>1708</v>
      </c>
      <c r="D1746" s="7" t="s">
        <v>4339</v>
      </c>
      <c r="E1746" s="7" t="s">
        <v>165</v>
      </c>
      <c r="F1746" s="7" t="s">
        <v>146</v>
      </c>
      <c r="G1746" s="7" t="s">
        <v>90</v>
      </c>
      <c r="H1746" s="7" t="n">
        <v>2</v>
      </c>
      <c r="I1746" s="7" t="n">
        <v>250</v>
      </c>
      <c r="J1746" s="7" t="n">
        <v>150</v>
      </c>
      <c r="K1746" s="7" t="s">
        <v>112</v>
      </c>
      <c r="L1746" s="7" t="s">
        <v>194</v>
      </c>
      <c r="M1746" s="7" t="n">
        <v>30</v>
      </c>
      <c r="N1746" s="7" t="n">
        <v>5</v>
      </c>
      <c r="O1746" s="7" t="str">
        <f aca="false">A1746&amp;"|"&amp;B1746&amp;"|"&amp;C1746&amp;"|"&amp;D1746&amp;"|"&amp;E1746&amp;"|"&amp;F1746&amp;"|"&amp;G1746&amp;"|"&amp;H1746&amp;"|"&amp;I1746&amp;"|"&amp;J1746&amp;"|"&amp;K1746&amp;"|"&amp;L1746&amp;"|"&amp;M1746&amp;"|"&amp;N1746</f>
        <v>ORD11647|2025-08-03|17:47|C1468|Gujarati Thali Ghar|Ahmedabad|North Indian|2|250|150|Cash on Delivery|Delivered|30|5</v>
      </c>
      <c r="P1746" s="7" t="str">
        <f aca="false">IF(COUNTIF($O$2:O1746,O1746)&gt;1,"DUP","OK")</f>
        <v>OK</v>
      </c>
      <c r="Q1746" s="7" t="n">
        <f aca="false">COUNTBLANK(A1746:N1746)</f>
        <v>0</v>
      </c>
      <c r="R1746" s="7" t="n">
        <f aca="false">IF(A1746="",0,COUNTIFS($A$2:$A$3058,A1746,$P$2:$P$3058,"OK"))</f>
        <v>1</v>
      </c>
      <c r="S1746" s="7" t="str">
        <f aca="false">IF(OR(A1746="",P1746="DUP",R1746&lt;2),"",IF(Q1746=_xlfn.MINIFS($Q$2:$Q$3058,$A$2:$A$3058,A1746,$P$2:$P$3058,"OK"),"KEEP","DROP"))</f>
        <v/>
      </c>
      <c r="T1746" s="9" t="n">
        <f aca="false">IF(A1746="",1,0)</f>
        <v>0</v>
      </c>
      <c r="U1746" s="9" t="n">
        <f aca="false">IF(D1746="",1,0)</f>
        <v>0</v>
      </c>
      <c r="V1746" s="9" t="n">
        <f aca="false">IF(E1746="",1,0)</f>
        <v>0</v>
      </c>
      <c r="W1746" s="9" t="n">
        <f aca="false">IF(OR(H1746&lt;1,H1746&gt;10),1,0)</f>
        <v>0</v>
      </c>
      <c r="X1746" s="9" t="n">
        <f aca="false">IF(OR(I1746&lt;=0,I1746&gt;1500),1,0)</f>
        <v>0</v>
      </c>
      <c r="Y1746" s="9" t="n">
        <f aca="false">IF(J1746&gt;H1746*I1746,1,0)</f>
        <v>0</v>
      </c>
      <c r="Z1746" s="9" t="n">
        <f aca="false">IF(AND(N1746&lt;&gt;"",OR(N1746&lt;1,N1746&gt;5)),1,0)</f>
        <v>0</v>
      </c>
      <c r="AA1746" s="9" t="n">
        <f aca="false">IF(AND(M1746&lt;&gt;"",OR(M1746&lt;5,M1746&gt;180)),1,0)</f>
        <v>0</v>
      </c>
      <c r="AB1746" s="7" t="str">
        <f aca="false">IF(P1746="DUP","Exact duplicate row",IF(T1746=1,"Missing Order ID",IF(S1746="DROP","Duplicate Order ID (less complete row)",IF(U1746=1,"Missing Customer ID",IF(V1746=1,"Missing Restaurant name",IF(W1746=1,"Invalid/outlier quantity",IF(X1746=1,"Invalid/outlier unit price",IF(Y1746=1,"Discount greater than order value",""))))))))</f>
        <v/>
      </c>
      <c r="AC1746" s="7" t="str">
        <f aca="false">IF(AB1746="","KEEP","DROP")</f>
        <v>KEEP</v>
      </c>
      <c r="AD1746" s="7" t="str">
        <f aca="false">IF(TRIM(F1746)="",IFERROR(INDEX(Map_Tables!$I$4:$I$37,MATCH(TRIM(E1746),Map_Tables!$G$4:$G$37,0)),""),IFERROR(INDEX(Map_Tables!$B$4:$B$18,MATCH(TRIM(F1746),Map_Tables!$A$4:$A$18,0)),"CHECK"))</f>
        <v>Ahmedabad</v>
      </c>
      <c r="AE1746" s="7" t="str">
        <f aca="false">IF(TRIM(E1746)="","",IFERROR(INDEX(Map_Tables!$H$4:$H$37,MATCH(TRIM(E1746),Map_Tables!$G$4:$G$37,0)),"CHECK"))</f>
        <v>Gujarati Thali Ghar</v>
      </c>
      <c r="AF1746" s="7" t="str">
        <f aca="false">IF(TRIM(K1746)="","Unknown",IFERROR(INDEX(Map_Tables!$E$4:$E$15,MATCH(TRIM(K1746),Map_Tables!$D$4:$D$15,0)),"CHECK"))</f>
        <v>Cash on Delivery</v>
      </c>
      <c r="AG1746" s="7" t="str">
        <f aca="false">IF(LEFT(LOWER(TRIM(L1746)),6)="cancel","Cancelled","Delivered")</f>
        <v>Delivered</v>
      </c>
      <c r="AH1746" s="10" t="n">
        <f aca="false">IF(ISNUMBER(SEARCH("/",B1746)),DATE(VALUE(RIGHT(B1746,4)),VALUE(MID(B1746,4,2)),VALUE(LEFT(B1746,2))),IF(MID(B1746,5,1)="-",DATE(VALUE(LEFT(B1746,4)),VALUE(MID(B1746,6,2)),VALUE(RIGHT(B1746,2))),DATE(VALUE(RIGHT(B1746,4)),MATCH(MID(B1746,4,3),{"Jan","Feb","Mar","Apr","May","Jun","Jul","Aug","Sep","Oct","Nov","Dec"},0),VALUE(LEFT(B1746,2)))))</f>
        <v>45872</v>
      </c>
    </row>
    <row r="1747" customFormat="false" ht="15" hidden="false" customHeight="false" outlineLevel="0" collapsed="false">
      <c r="A1747" s="7" t="s">
        <v>4340</v>
      </c>
      <c r="B1747" s="7" t="s">
        <v>4341</v>
      </c>
      <c r="C1747" s="7" t="s">
        <v>1758</v>
      </c>
      <c r="D1747" s="7" t="s">
        <v>4342</v>
      </c>
      <c r="E1747" s="7" t="s">
        <v>122</v>
      </c>
      <c r="F1747" s="7" t="s">
        <v>101</v>
      </c>
      <c r="G1747" s="7" t="s">
        <v>123</v>
      </c>
      <c r="H1747" s="7" t="n">
        <v>2</v>
      </c>
      <c r="I1747" s="7" t="n">
        <v>340</v>
      </c>
      <c r="J1747" s="7" t="n">
        <v>75</v>
      </c>
      <c r="K1747" s="7" t="s">
        <v>88</v>
      </c>
      <c r="L1747" s="7" t="s">
        <v>194</v>
      </c>
      <c r="M1747" s="7" t="n">
        <v>60</v>
      </c>
      <c r="N1747" s="7" t="n">
        <v>2</v>
      </c>
      <c r="O1747" s="7" t="str">
        <f aca="false">A1747&amp;"|"&amp;B1747&amp;"|"&amp;C1747&amp;"|"&amp;D1747&amp;"|"&amp;E1747&amp;"|"&amp;F1747&amp;"|"&amp;G1747&amp;"|"&amp;H1747&amp;"|"&amp;I1747&amp;"|"&amp;J1747&amp;"|"&amp;K1747&amp;"|"&amp;L1747&amp;"|"&amp;M1747&amp;"|"&amp;N1747</f>
        <v>ORD10784|09/04/2025|20:10|C0612|Mumbai Pizza Co|Mumbai|Pizza|2|340|75|UPI|Delivered|60|2</v>
      </c>
      <c r="P1747" s="7" t="str">
        <f aca="false">IF(COUNTIF($O$2:O1747,O1747)&gt;1,"DUP","OK")</f>
        <v>OK</v>
      </c>
      <c r="Q1747" s="7" t="n">
        <f aca="false">COUNTBLANK(A1747:N1747)</f>
        <v>0</v>
      </c>
      <c r="R1747" s="7" t="n">
        <f aca="false">IF(A1747="",0,COUNTIFS($A$2:$A$3058,A1747,$P$2:$P$3058,"OK"))</f>
        <v>1</v>
      </c>
      <c r="S1747" s="7" t="str">
        <f aca="false">IF(OR(A1747="",P1747="DUP",R1747&lt;2),"",IF(Q1747=_xlfn.MINIFS($Q$2:$Q$3058,$A$2:$A$3058,A1747,$P$2:$P$3058,"OK"),"KEEP","DROP"))</f>
        <v/>
      </c>
      <c r="T1747" s="9" t="n">
        <f aca="false">IF(A1747="",1,0)</f>
        <v>0</v>
      </c>
      <c r="U1747" s="9" t="n">
        <f aca="false">IF(D1747="",1,0)</f>
        <v>0</v>
      </c>
      <c r="V1747" s="9" t="n">
        <f aca="false">IF(E1747="",1,0)</f>
        <v>0</v>
      </c>
      <c r="W1747" s="9" t="n">
        <f aca="false">IF(OR(H1747&lt;1,H1747&gt;10),1,0)</f>
        <v>0</v>
      </c>
      <c r="X1747" s="9" t="n">
        <f aca="false">IF(OR(I1747&lt;=0,I1747&gt;1500),1,0)</f>
        <v>0</v>
      </c>
      <c r="Y1747" s="9" t="n">
        <f aca="false">IF(J1747&gt;H1747*I1747,1,0)</f>
        <v>0</v>
      </c>
      <c r="Z1747" s="9" t="n">
        <f aca="false">IF(AND(N1747&lt;&gt;"",OR(N1747&lt;1,N1747&gt;5)),1,0)</f>
        <v>0</v>
      </c>
      <c r="AA1747" s="9" t="n">
        <f aca="false">IF(AND(M1747&lt;&gt;"",OR(M1747&lt;5,M1747&gt;180)),1,0)</f>
        <v>0</v>
      </c>
      <c r="AB1747" s="7" t="str">
        <f aca="false">IF(P1747="DUP","Exact duplicate row",IF(T1747=1,"Missing Order ID",IF(S1747="DROP","Duplicate Order ID (less complete row)",IF(U1747=1,"Missing Customer ID",IF(V1747=1,"Missing Restaurant name",IF(W1747=1,"Invalid/outlier quantity",IF(X1747=1,"Invalid/outlier unit price",IF(Y1747=1,"Discount greater than order value",""))))))))</f>
        <v/>
      </c>
      <c r="AC1747" s="7" t="str">
        <f aca="false">IF(AB1747="","KEEP","DROP")</f>
        <v>KEEP</v>
      </c>
      <c r="AD1747" s="7" t="str">
        <f aca="false">IF(TRIM(F1747)="",IFERROR(INDEX(Map_Tables!$I$4:$I$37,MATCH(TRIM(E1747),Map_Tables!$G$4:$G$37,0)),""),IFERROR(INDEX(Map_Tables!$B$4:$B$18,MATCH(TRIM(F1747),Map_Tables!$A$4:$A$18,0)),"CHECK"))</f>
        <v>Mumbai</v>
      </c>
      <c r="AE1747" s="7" t="str">
        <f aca="false">IF(TRIM(E1747)="","",IFERROR(INDEX(Map_Tables!$H$4:$H$37,MATCH(TRIM(E1747),Map_Tables!$G$4:$G$37,0)),"CHECK"))</f>
        <v>Mumbai Pizza Co</v>
      </c>
      <c r="AF1747" s="7" t="str">
        <f aca="false">IF(TRIM(K1747)="","Unknown",IFERROR(INDEX(Map_Tables!$E$4:$E$15,MATCH(TRIM(K1747),Map_Tables!$D$4:$D$15,0)),"CHECK"))</f>
        <v>UPI</v>
      </c>
      <c r="AG1747" s="7" t="str">
        <f aca="false">IF(LEFT(LOWER(TRIM(L1747)),6)="cancel","Cancelled","Delivered")</f>
        <v>Delivered</v>
      </c>
      <c r="AH1747" s="10" t="n">
        <f aca="false">IF(ISNUMBER(SEARCH("/",B1747)),DATE(VALUE(RIGHT(B1747,4)),VALUE(MID(B1747,4,2)),VALUE(LEFT(B1747,2))),IF(MID(B1747,5,1)="-",DATE(VALUE(LEFT(B1747,4)),VALUE(MID(B1747,6,2)),VALUE(RIGHT(B1747,2))),DATE(VALUE(RIGHT(B1747,4)),MATCH(MID(B1747,4,3),{"Jan","Feb","Mar","Apr","May","Jun","Jul","Aug","Sep","Oct","Nov","Dec"},0),VALUE(LEFT(B1747,2)))))</f>
        <v>45756</v>
      </c>
    </row>
    <row r="1748" customFormat="false" ht="15" hidden="false" customHeight="false" outlineLevel="0" collapsed="false">
      <c r="A1748" s="7" t="s">
        <v>4343</v>
      </c>
      <c r="B1748" s="7" t="s">
        <v>217</v>
      </c>
      <c r="C1748" s="7" t="s">
        <v>930</v>
      </c>
      <c r="D1748" s="7" t="s">
        <v>1475</v>
      </c>
      <c r="E1748" s="7" t="s">
        <v>104</v>
      </c>
      <c r="F1748" s="7" t="s">
        <v>86</v>
      </c>
      <c r="G1748" s="7" t="s">
        <v>105</v>
      </c>
      <c r="H1748" s="7" t="n">
        <v>2</v>
      </c>
      <c r="I1748" s="7" t="n">
        <v>235</v>
      </c>
      <c r="J1748" s="7" t="n">
        <v>20</v>
      </c>
      <c r="K1748" s="7" t="s">
        <v>88</v>
      </c>
      <c r="L1748" s="7" t="s">
        <v>194</v>
      </c>
      <c r="M1748" s="7" t="n">
        <v>48</v>
      </c>
      <c r="N1748" s="7" t="n">
        <v>4</v>
      </c>
      <c r="O1748" s="7" t="str">
        <f aca="false">A1748&amp;"|"&amp;B1748&amp;"|"&amp;C1748&amp;"|"&amp;D1748&amp;"|"&amp;E1748&amp;"|"&amp;F1748&amp;"|"&amp;G1748&amp;"|"&amp;H1748&amp;"|"&amp;I1748&amp;"|"&amp;J1748&amp;"|"&amp;K1748&amp;"|"&amp;L1748&amp;"|"&amp;M1748&amp;"|"&amp;N1748</f>
        <v>ORD10861|2025-04-18|20:56|C0781|Wok &amp; Roll|Bengaluru|Chinese|2|235|20|UPI|Delivered|48|4</v>
      </c>
      <c r="P1748" s="7" t="str">
        <f aca="false">IF(COUNTIF($O$2:O1748,O1748)&gt;1,"DUP","OK")</f>
        <v>OK</v>
      </c>
      <c r="Q1748" s="7" t="n">
        <f aca="false">COUNTBLANK(A1748:N1748)</f>
        <v>0</v>
      </c>
      <c r="R1748" s="7" t="n">
        <f aca="false">IF(A1748="",0,COUNTIFS($A$2:$A$3058,A1748,$P$2:$P$3058,"OK"))</f>
        <v>1</v>
      </c>
      <c r="S1748" s="7" t="str">
        <f aca="false">IF(OR(A1748="",P1748="DUP",R1748&lt;2),"",IF(Q1748=_xlfn.MINIFS($Q$2:$Q$3058,$A$2:$A$3058,A1748,$P$2:$P$3058,"OK"),"KEEP","DROP"))</f>
        <v/>
      </c>
      <c r="T1748" s="9" t="n">
        <f aca="false">IF(A1748="",1,0)</f>
        <v>0</v>
      </c>
      <c r="U1748" s="9" t="n">
        <f aca="false">IF(D1748="",1,0)</f>
        <v>0</v>
      </c>
      <c r="V1748" s="9" t="n">
        <f aca="false">IF(E1748="",1,0)</f>
        <v>0</v>
      </c>
      <c r="W1748" s="9" t="n">
        <f aca="false">IF(OR(H1748&lt;1,H1748&gt;10),1,0)</f>
        <v>0</v>
      </c>
      <c r="X1748" s="9" t="n">
        <f aca="false">IF(OR(I1748&lt;=0,I1748&gt;1500),1,0)</f>
        <v>0</v>
      </c>
      <c r="Y1748" s="9" t="n">
        <f aca="false">IF(J1748&gt;H1748*I1748,1,0)</f>
        <v>0</v>
      </c>
      <c r="Z1748" s="9" t="n">
        <f aca="false">IF(AND(N1748&lt;&gt;"",OR(N1748&lt;1,N1748&gt;5)),1,0)</f>
        <v>0</v>
      </c>
      <c r="AA1748" s="9" t="n">
        <f aca="false">IF(AND(M1748&lt;&gt;"",OR(M1748&lt;5,M1748&gt;180)),1,0)</f>
        <v>0</v>
      </c>
      <c r="AB1748" s="7" t="str">
        <f aca="false">IF(P1748="DUP","Exact duplicate row",IF(T1748=1,"Missing Order ID",IF(S1748="DROP","Duplicate Order ID (less complete row)",IF(U1748=1,"Missing Customer ID",IF(V1748=1,"Missing Restaurant name",IF(W1748=1,"Invalid/outlier quantity",IF(X1748=1,"Invalid/outlier unit price",IF(Y1748=1,"Discount greater than order value",""))))))))</f>
        <v/>
      </c>
      <c r="AC1748" s="7" t="str">
        <f aca="false">IF(AB1748="","KEEP","DROP")</f>
        <v>KEEP</v>
      </c>
      <c r="AD1748" s="7" t="str">
        <f aca="false">IF(TRIM(F1748)="",IFERROR(INDEX(Map_Tables!$I$4:$I$37,MATCH(TRIM(E1748),Map_Tables!$G$4:$G$37,0)),""),IFERROR(INDEX(Map_Tables!$B$4:$B$18,MATCH(TRIM(F1748),Map_Tables!$A$4:$A$18,0)),"CHECK"))</f>
        <v>Bengaluru</v>
      </c>
      <c r="AE1748" s="7" t="str">
        <f aca="false">IF(TRIM(E1748)="","",IFERROR(INDEX(Map_Tables!$H$4:$H$37,MATCH(TRIM(E1748),Map_Tables!$G$4:$G$37,0)),"CHECK"))</f>
        <v>Wok &amp; Roll</v>
      </c>
      <c r="AF1748" s="7" t="str">
        <f aca="false">IF(TRIM(K1748)="","Unknown",IFERROR(INDEX(Map_Tables!$E$4:$E$15,MATCH(TRIM(K1748),Map_Tables!$D$4:$D$15,0)),"CHECK"))</f>
        <v>UPI</v>
      </c>
      <c r="AG1748" s="7" t="str">
        <f aca="false">IF(LEFT(LOWER(TRIM(L1748)),6)="cancel","Cancelled","Delivered")</f>
        <v>Delivered</v>
      </c>
      <c r="AH1748" s="10" t="n">
        <f aca="false">IF(ISNUMBER(SEARCH("/",B1748)),DATE(VALUE(RIGHT(B1748,4)),VALUE(MID(B1748,4,2)),VALUE(LEFT(B1748,2))),IF(MID(B1748,5,1)="-",DATE(VALUE(LEFT(B1748,4)),VALUE(MID(B1748,6,2)),VALUE(RIGHT(B1748,2))),DATE(VALUE(RIGHT(B1748,4)),MATCH(MID(B1748,4,3),{"Jan","Feb","Mar","Apr","May","Jun","Jul","Aug","Sep","Oct","Nov","Dec"},0),VALUE(LEFT(B1748,2)))))</f>
        <v>45765</v>
      </c>
    </row>
    <row r="1749" customFormat="false" ht="15" hidden="false" customHeight="false" outlineLevel="0" collapsed="false">
      <c r="A1749" s="7" t="s">
        <v>4344</v>
      </c>
      <c r="B1749" s="7" t="s">
        <v>3122</v>
      </c>
      <c r="C1749" s="7" t="s">
        <v>1761</v>
      </c>
      <c r="D1749" s="7" t="s">
        <v>860</v>
      </c>
      <c r="E1749" s="7" t="s">
        <v>113</v>
      </c>
      <c r="F1749" s="7" t="s">
        <v>101</v>
      </c>
      <c r="G1749" s="7" t="s">
        <v>90</v>
      </c>
      <c r="H1749" s="7" t="n">
        <v>1</v>
      </c>
      <c r="I1749" s="7" t="n">
        <v>260</v>
      </c>
      <c r="J1749" s="7" t="n">
        <v>30</v>
      </c>
      <c r="K1749" s="7" t="s">
        <v>103</v>
      </c>
      <c r="L1749" s="7" t="s">
        <v>194</v>
      </c>
      <c r="M1749" s="7" t="n">
        <v>33</v>
      </c>
      <c r="N1749" s="7" t="n">
        <v>3</v>
      </c>
      <c r="O1749" s="7" t="str">
        <f aca="false">A1749&amp;"|"&amp;B1749&amp;"|"&amp;C1749&amp;"|"&amp;D1749&amp;"|"&amp;E1749&amp;"|"&amp;F1749&amp;"|"&amp;G1749&amp;"|"&amp;H1749&amp;"|"&amp;I1749&amp;"|"&amp;J1749&amp;"|"&amp;K1749&amp;"|"&amp;L1749&amp;"|"&amp;M1749&amp;"|"&amp;N1749</f>
        <v>ORD12499|2025-11-09|20:21|C1476|Curry Leaf Kitchen|Mumbai|North Indian|1|260|30|Debit Card|Delivered|33|3</v>
      </c>
      <c r="P1749" s="7" t="str">
        <f aca="false">IF(COUNTIF($O$2:O1749,O1749)&gt;1,"DUP","OK")</f>
        <v>OK</v>
      </c>
      <c r="Q1749" s="7" t="n">
        <f aca="false">COUNTBLANK(A1749:N1749)</f>
        <v>0</v>
      </c>
      <c r="R1749" s="7" t="n">
        <f aca="false">IF(A1749="",0,COUNTIFS($A$2:$A$3058,A1749,$P$2:$P$3058,"OK"))</f>
        <v>1</v>
      </c>
      <c r="S1749" s="7" t="str">
        <f aca="false">IF(OR(A1749="",P1749="DUP",R1749&lt;2),"",IF(Q1749=_xlfn.MINIFS($Q$2:$Q$3058,$A$2:$A$3058,A1749,$P$2:$P$3058,"OK"),"KEEP","DROP"))</f>
        <v/>
      </c>
      <c r="T1749" s="9" t="n">
        <f aca="false">IF(A1749="",1,0)</f>
        <v>0</v>
      </c>
      <c r="U1749" s="9" t="n">
        <f aca="false">IF(D1749="",1,0)</f>
        <v>0</v>
      </c>
      <c r="V1749" s="9" t="n">
        <f aca="false">IF(E1749="",1,0)</f>
        <v>0</v>
      </c>
      <c r="W1749" s="9" t="n">
        <f aca="false">IF(OR(H1749&lt;1,H1749&gt;10),1,0)</f>
        <v>0</v>
      </c>
      <c r="X1749" s="9" t="n">
        <f aca="false">IF(OR(I1749&lt;=0,I1749&gt;1500),1,0)</f>
        <v>0</v>
      </c>
      <c r="Y1749" s="9" t="n">
        <f aca="false">IF(J1749&gt;H1749*I1749,1,0)</f>
        <v>0</v>
      </c>
      <c r="Z1749" s="9" t="n">
        <f aca="false">IF(AND(N1749&lt;&gt;"",OR(N1749&lt;1,N1749&gt;5)),1,0)</f>
        <v>0</v>
      </c>
      <c r="AA1749" s="9" t="n">
        <f aca="false">IF(AND(M1749&lt;&gt;"",OR(M1749&lt;5,M1749&gt;180)),1,0)</f>
        <v>0</v>
      </c>
      <c r="AB1749" s="7" t="str">
        <f aca="false">IF(P1749="DUP","Exact duplicate row",IF(T1749=1,"Missing Order ID",IF(S1749="DROP","Duplicate Order ID (less complete row)",IF(U1749=1,"Missing Customer ID",IF(V1749=1,"Missing Restaurant name",IF(W1749=1,"Invalid/outlier quantity",IF(X1749=1,"Invalid/outlier unit price",IF(Y1749=1,"Discount greater than order value",""))))))))</f>
        <v/>
      </c>
      <c r="AC1749" s="7" t="str">
        <f aca="false">IF(AB1749="","KEEP","DROP")</f>
        <v>KEEP</v>
      </c>
      <c r="AD1749" s="7" t="str">
        <f aca="false">IF(TRIM(F1749)="",IFERROR(INDEX(Map_Tables!$I$4:$I$37,MATCH(TRIM(E1749),Map_Tables!$G$4:$G$37,0)),""),IFERROR(INDEX(Map_Tables!$B$4:$B$18,MATCH(TRIM(F1749),Map_Tables!$A$4:$A$18,0)),"CHECK"))</f>
        <v>Mumbai</v>
      </c>
      <c r="AE1749" s="7" t="str">
        <f aca="false">IF(TRIM(E1749)="","",IFERROR(INDEX(Map_Tables!$H$4:$H$37,MATCH(TRIM(E1749),Map_Tables!$G$4:$G$37,0)),"CHECK"))</f>
        <v>Curry Leaf Kitchen</v>
      </c>
      <c r="AF1749" s="7" t="str">
        <f aca="false">IF(TRIM(K1749)="","Unknown",IFERROR(INDEX(Map_Tables!$E$4:$E$15,MATCH(TRIM(K1749),Map_Tables!$D$4:$D$15,0)),"CHECK"))</f>
        <v>Debit Card</v>
      </c>
      <c r="AG1749" s="7" t="str">
        <f aca="false">IF(LEFT(LOWER(TRIM(L1749)),6)="cancel","Cancelled","Delivered")</f>
        <v>Delivered</v>
      </c>
      <c r="AH1749" s="10" t="n">
        <f aca="false">IF(ISNUMBER(SEARCH("/",B1749)),DATE(VALUE(RIGHT(B1749,4)),VALUE(MID(B1749,4,2)),VALUE(LEFT(B1749,2))),IF(MID(B1749,5,1)="-",DATE(VALUE(LEFT(B1749,4)),VALUE(MID(B1749,6,2)),VALUE(RIGHT(B1749,2))),DATE(VALUE(RIGHT(B1749,4)),MATCH(MID(B1749,4,3),{"Jan","Feb","Mar","Apr","May","Jun","Jul","Aug","Sep","Oct","Nov","Dec"},0),VALUE(LEFT(B1749,2)))))</f>
        <v>45970</v>
      </c>
    </row>
    <row r="1750" customFormat="false" ht="15" hidden="false" customHeight="false" outlineLevel="0" collapsed="false">
      <c r="A1750" s="7" t="s">
        <v>4345</v>
      </c>
      <c r="B1750" s="7" t="s">
        <v>2617</v>
      </c>
      <c r="C1750" s="7" t="s">
        <v>4346</v>
      </c>
      <c r="D1750" s="7" t="s">
        <v>4347</v>
      </c>
      <c r="E1750" s="7" t="s">
        <v>113</v>
      </c>
      <c r="F1750" s="7" t="s">
        <v>100</v>
      </c>
      <c r="G1750" s="7" t="s">
        <v>90</v>
      </c>
      <c r="H1750" s="7" t="n">
        <v>1</v>
      </c>
      <c r="I1750" s="7" t="n">
        <v>255</v>
      </c>
      <c r="J1750" s="7" t="n">
        <v>50</v>
      </c>
      <c r="K1750" s="7" t="s">
        <v>93</v>
      </c>
      <c r="L1750" s="7" t="s">
        <v>194</v>
      </c>
      <c r="M1750" s="7" t="n">
        <v>37</v>
      </c>
      <c r="N1750" s="7"/>
      <c r="O1750" s="7" t="str">
        <f aca="false">A1750&amp;"|"&amp;B1750&amp;"|"&amp;C1750&amp;"|"&amp;D1750&amp;"|"&amp;E1750&amp;"|"&amp;F1750&amp;"|"&amp;G1750&amp;"|"&amp;H1750&amp;"|"&amp;I1750&amp;"|"&amp;J1750&amp;"|"&amp;K1750&amp;"|"&amp;L1750&amp;"|"&amp;M1750&amp;"|"&amp;N1750</f>
        <v>ORD12687|2025-11-27|16:19|C0864|Curry Leaf Kitchen|mumbai|North Indian|1|255|50|Credit Card|Delivered|37|</v>
      </c>
      <c r="P1750" s="7" t="str">
        <f aca="false">IF(COUNTIF($O$2:O1750,O1750)&gt;1,"DUP","OK")</f>
        <v>OK</v>
      </c>
      <c r="Q1750" s="7" t="n">
        <f aca="false">COUNTBLANK(A1750:N1750)</f>
        <v>1</v>
      </c>
      <c r="R1750" s="7" t="n">
        <f aca="false">IF(A1750="",0,COUNTIFS($A$2:$A$3058,A1750,$P$2:$P$3058,"OK"))</f>
        <v>1</v>
      </c>
      <c r="S1750" s="7" t="str">
        <f aca="false">IF(OR(A1750="",P1750="DUP",R1750&lt;2),"",IF(Q1750=_xlfn.MINIFS($Q$2:$Q$3058,$A$2:$A$3058,A1750,$P$2:$P$3058,"OK"),"KEEP","DROP"))</f>
        <v/>
      </c>
      <c r="T1750" s="9" t="n">
        <f aca="false">IF(A1750="",1,0)</f>
        <v>0</v>
      </c>
      <c r="U1750" s="9" t="n">
        <f aca="false">IF(D1750="",1,0)</f>
        <v>0</v>
      </c>
      <c r="V1750" s="9" t="n">
        <f aca="false">IF(E1750="",1,0)</f>
        <v>0</v>
      </c>
      <c r="W1750" s="9" t="n">
        <f aca="false">IF(OR(H1750&lt;1,H1750&gt;10),1,0)</f>
        <v>0</v>
      </c>
      <c r="X1750" s="9" t="n">
        <f aca="false">IF(OR(I1750&lt;=0,I1750&gt;1500),1,0)</f>
        <v>0</v>
      </c>
      <c r="Y1750" s="9" t="n">
        <f aca="false">IF(J1750&gt;H1750*I1750,1,0)</f>
        <v>0</v>
      </c>
      <c r="Z1750" s="9" t="n">
        <f aca="false">IF(AND(N1750&lt;&gt;"",OR(N1750&lt;1,N1750&gt;5)),1,0)</f>
        <v>0</v>
      </c>
      <c r="AA1750" s="9" t="n">
        <f aca="false">IF(AND(M1750&lt;&gt;"",OR(M1750&lt;5,M1750&gt;180)),1,0)</f>
        <v>0</v>
      </c>
      <c r="AB1750" s="7" t="str">
        <f aca="false">IF(P1750="DUP","Exact duplicate row",IF(T1750=1,"Missing Order ID",IF(S1750="DROP","Duplicate Order ID (less complete row)",IF(U1750=1,"Missing Customer ID",IF(V1750=1,"Missing Restaurant name",IF(W1750=1,"Invalid/outlier quantity",IF(X1750=1,"Invalid/outlier unit price",IF(Y1750=1,"Discount greater than order value",""))))))))</f>
        <v/>
      </c>
      <c r="AC1750" s="7" t="str">
        <f aca="false">IF(AB1750="","KEEP","DROP")</f>
        <v>KEEP</v>
      </c>
      <c r="AD1750" s="7" t="str">
        <f aca="false">IF(TRIM(F1750)="",IFERROR(INDEX(Map_Tables!$I$4:$I$37,MATCH(TRIM(E1750),Map_Tables!$G$4:$G$37,0)),""),IFERROR(INDEX(Map_Tables!$B$4:$B$18,MATCH(TRIM(F1750),Map_Tables!$A$4:$A$18,0)),"CHECK"))</f>
        <v>Mumbai</v>
      </c>
      <c r="AE1750" s="7" t="str">
        <f aca="false">IF(TRIM(E1750)="","",IFERROR(INDEX(Map_Tables!$H$4:$H$37,MATCH(TRIM(E1750),Map_Tables!$G$4:$G$37,0)),"CHECK"))</f>
        <v>Curry Leaf Kitchen</v>
      </c>
      <c r="AF1750" s="7" t="str">
        <f aca="false">IF(TRIM(K1750)="","Unknown",IFERROR(INDEX(Map_Tables!$E$4:$E$15,MATCH(TRIM(K1750),Map_Tables!$D$4:$D$15,0)),"CHECK"))</f>
        <v>Credit Card</v>
      </c>
      <c r="AG1750" s="7" t="str">
        <f aca="false">IF(LEFT(LOWER(TRIM(L1750)),6)="cancel","Cancelled","Delivered")</f>
        <v>Delivered</v>
      </c>
      <c r="AH1750" s="10" t="n">
        <f aca="false">IF(ISNUMBER(SEARCH("/",B1750)),DATE(VALUE(RIGHT(B1750,4)),VALUE(MID(B1750,4,2)),VALUE(LEFT(B1750,2))),IF(MID(B1750,5,1)="-",DATE(VALUE(LEFT(B1750,4)),VALUE(MID(B1750,6,2)),VALUE(RIGHT(B1750,2))),DATE(VALUE(RIGHT(B1750,4)),MATCH(MID(B1750,4,3),{"Jan","Feb","Mar","Apr","May","Jun","Jul","Aug","Sep","Oct","Nov","Dec"},0),VALUE(LEFT(B1750,2)))))</f>
        <v>45988</v>
      </c>
    </row>
    <row r="1751" customFormat="false" ht="15" hidden="false" customHeight="false" outlineLevel="0" collapsed="false">
      <c r="A1751" s="7" t="s">
        <v>4348</v>
      </c>
      <c r="B1751" s="7" t="s">
        <v>995</v>
      </c>
      <c r="C1751" s="7" t="s">
        <v>573</v>
      </c>
      <c r="D1751" s="7" t="s">
        <v>873</v>
      </c>
      <c r="E1751" s="7" t="s">
        <v>168</v>
      </c>
      <c r="F1751" s="7" t="s">
        <v>145</v>
      </c>
      <c r="G1751" s="7" t="s">
        <v>123</v>
      </c>
      <c r="H1751" s="7" t="n">
        <v>1</v>
      </c>
      <c r="I1751" s="7" t="n">
        <v>290</v>
      </c>
      <c r="J1751" s="7" t="n">
        <v>100</v>
      </c>
      <c r="K1751" s="7" t="s">
        <v>103</v>
      </c>
      <c r="L1751" s="7" t="s">
        <v>194</v>
      </c>
      <c r="M1751" s="7" t="n">
        <v>29</v>
      </c>
      <c r="N1751" s="7" t="n">
        <v>3</v>
      </c>
      <c r="O1751" s="7" t="str">
        <f aca="false">A1751&amp;"|"&amp;B1751&amp;"|"&amp;C1751&amp;"|"&amp;D1751&amp;"|"&amp;E1751&amp;"|"&amp;F1751&amp;"|"&amp;G1751&amp;"|"&amp;H1751&amp;"|"&amp;I1751&amp;"|"&amp;J1751&amp;"|"&amp;K1751&amp;"|"&amp;L1751&amp;"|"&amp;M1751&amp;"|"&amp;N1751</f>
        <v>ORD10349|2025-02-15|21:43|C0128|Cheesy Slice|ahmedabad|Pizza|1|290|100|Debit Card|Delivered|29|3</v>
      </c>
      <c r="P1751" s="7" t="str">
        <f aca="false">IF(COUNTIF($O$2:O1751,O1751)&gt;1,"DUP","OK")</f>
        <v>OK</v>
      </c>
      <c r="Q1751" s="7" t="n">
        <f aca="false">COUNTBLANK(A1751:N1751)</f>
        <v>0</v>
      </c>
      <c r="R1751" s="7" t="n">
        <f aca="false">IF(A1751="",0,COUNTIFS($A$2:$A$3058,A1751,$P$2:$P$3058,"OK"))</f>
        <v>1</v>
      </c>
      <c r="S1751" s="7" t="str">
        <f aca="false">IF(OR(A1751="",P1751="DUP",R1751&lt;2),"",IF(Q1751=_xlfn.MINIFS($Q$2:$Q$3058,$A$2:$A$3058,A1751,$P$2:$P$3058,"OK"),"KEEP","DROP"))</f>
        <v/>
      </c>
      <c r="T1751" s="9" t="n">
        <f aca="false">IF(A1751="",1,0)</f>
        <v>0</v>
      </c>
      <c r="U1751" s="9" t="n">
        <f aca="false">IF(D1751="",1,0)</f>
        <v>0</v>
      </c>
      <c r="V1751" s="9" t="n">
        <f aca="false">IF(E1751="",1,0)</f>
        <v>0</v>
      </c>
      <c r="W1751" s="9" t="n">
        <f aca="false">IF(OR(H1751&lt;1,H1751&gt;10),1,0)</f>
        <v>0</v>
      </c>
      <c r="X1751" s="9" t="n">
        <f aca="false">IF(OR(I1751&lt;=0,I1751&gt;1500),1,0)</f>
        <v>0</v>
      </c>
      <c r="Y1751" s="9" t="n">
        <f aca="false">IF(J1751&gt;H1751*I1751,1,0)</f>
        <v>0</v>
      </c>
      <c r="Z1751" s="9" t="n">
        <f aca="false">IF(AND(N1751&lt;&gt;"",OR(N1751&lt;1,N1751&gt;5)),1,0)</f>
        <v>0</v>
      </c>
      <c r="AA1751" s="9" t="n">
        <f aca="false">IF(AND(M1751&lt;&gt;"",OR(M1751&lt;5,M1751&gt;180)),1,0)</f>
        <v>0</v>
      </c>
      <c r="AB1751" s="7" t="str">
        <f aca="false">IF(P1751="DUP","Exact duplicate row",IF(T1751=1,"Missing Order ID",IF(S1751="DROP","Duplicate Order ID (less complete row)",IF(U1751=1,"Missing Customer ID",IF(V1751=1,"Missing Restaurant name",IF(W1751=1,"Invalid/outlier quantity",IF(X1751=1,"Invalid/outlier unit price",IF(Y1751=1,"Discount greater than order value",""))))))))</f>
        <v/>
      </c>
      <c r="AC1751" s="7" t="str">
        <f aca="false">IF(AB1751="","KEEP","DROP")</f>
        <v>KEEP</v>
      </c>
      <c r="AD1751" s="7" t="str">
        <f aca="false">IF(TRIM(F1751)="",IFERROR(INDEX(Map_Tables!$I$4:$I$37,MATCH(TRIM(E1751),Map_Tables!$G$4:$G$37,0)),""),IFERROR(INDEX(Map_Tables!$B$4:$B$18,MATCH(TRIM(F1751),Map_Tables!$A$4:$A$18,0)),"CHECK"))</f>
        <v>Ahmedabad</v>
      </c>
      <c r="AE1751" s="7" t="str">
        <f aca="false">IF(TRIM(E1751)="","",IFERROR(INDEX(Map_Tables!$H$4:$H$37,MATCH(TRIM(E1751),Map_Tables!$G$4:$G$37,0)),"CHECK"))</f>
        <v>Cheesy Slice</v>
      </c>
      <c r="AF1751" s="7" t="str">
        <f aca="false">IF(TRIM(K1751)="","Unknown",IFERROR(INDEX(Map_Tables!$E$4:$E$15,MATCH(TRIM(K1751),Map_Tables!$D$4:$D$15,0)),"CHECK"))</f>
        <v>Debit Card</v>
      </c>
      <c r="AG1751" s="7" t="str">
        <f aca="false">IF(LEFT(LOWER(TRIM(L1751)),6)="cancel","Cancelled","Delivered")</f>
        <v>Delivered</v>
      </c>
      <c r="AH1751" s="10" t="n">
        <f aca="false">IF(ISNUMBER(SEARCH("/",B1751)),DATE(VALUE(RIGHT(B1751,4)),VALUE(MID(B1751,4,2)),VALUE(LEFT(B1751,2))),IF(MID(B1751,5,1)="-",DATE(VALUE(LEFT(B1751,4)),VALUE(MID(B1751,6,2)),VALUE(RIGHT(B1751,2))),DATE(VALUE(RIGHT(B1751,4)),MATCH(MID(B1751,4,3),{"Jan","Feb","Mar","Apr","May","Jun","Jul","Aug","Sep","Oct","Nov","Dec"},0),VALUE(LEFT(B1751,2)))))</f>
        <v>45703</v>
      </c>
    </row>
    <row r="1752" customFormat="false" ht="15" hidden="false" customHeight="false" outlineLevel="0" collapsed="false">
      <c r="A1752" s="7" t="s">
        <v>4349</v>
      </c>
      <c r="B1752" s="7" t="s">
        <v>4350</v>
      </c>
      <c r="C1752" s="7" t="s">
        <v>4156</v>
      </c>
      <c r="D1752" s="7" t="s">
        <v>416</v>
      </c>
      <c r="E1752" s="7" t="s">
        <v>142</v>
      </c>
      <c r="F1752" s="7" t="s">
        <v>110</v>
      </c>
      <c r="G1752" s="7" t="s">
        <v>105</v>
      </c>
      <c r="H1752" s="7" t="n">
        <v>2</v>
      </c>
      <c r="I1752" s="7" t="n">
        <v>155</v>
      </c>
      <c r="J1752" s="7" t="n">
        <v>0</v>
      </c>
      <c r="K1752" s="7" t="s">
        <v>103</v>
      </c>
      <c r="L1752" s="7" t="s">
        <v>194</v>
      </c>
      <c r="M1752" s="7" t="n">
        <v>28</v>
      </c>
      <c r="N1752" s="7" t="n">
        <v>4</v>
      </c>
      <c r="O1752" s="7" t="str">
        <f aca="false">A1752&amp;"|"&amp;B1752&amp;"|"&amp;C1752&amp;"|"&amp;D1752&amp;"|"&amp;E1752&amp;"|"&amp;F1752&amp;"|"&amp;G1752&amp;"|"&amp;H1752&amp;"|"&amp;I1752&amp;"|"&amp;J1752&amp;"|"&amp;K1752&amp;"|"&amp;L1752&amp;"|"&amp;M1752&amp;"|"&amp;N1752</f>
        <v>ORD10069|10/01/2025|12:19|C0410|Momo Magic|Delhi|Chinese|2|155|0|Debit Card|Delivered|28|4</v>
      </c>
      <c r="P1752" s="7" t="str">
        <f aca="false">IF(COUNTIF($O$2:O1752,O1752)&gt;1,"DUP","OK")</f>
        <v>OK</v>
      </c>
      <c r="Q1752" s="7" t="n">
        <f aca="false">COUNTBLANK(A1752:N1752)</f>
        <v>0</v>
      </c>
      <c r="R1752" s="7" t="n">
        <f aca="false">IF(A1752="",0,COUNTIFS($A$2:$A$3058,A1752,$P$2:$P$3058,"OK"))</f>
        <v>1</v>
      </c>
      <c r="S1752" s="7" t="str">
        <f aca="false">IF(OR(A1752="",P1752="DUP",R1752&lt;2),"",IF(Q1752=_xlfn.MINIFS($Q$2:$Q$3058,$A$2:$A$3058,A1752,$P$2:$P$3058,"OK"),"KEEP","DROP"))</f>
        <v/>
      </c>
      <c r="T1752" s="9" t="n">
        <f aca="false">IF(A1752="",1,0)</f>
        <v>0</v>
      </c>
      <c r="U1752" s="9" t="n">
        <f aca="false">IF(D1752="",1,0)</f>
        <v>0</v>
      </c>
      <c r="V1752" s="9" t="n">
        <f aca="false">IF(E1752="",1,0)</f>
        <v>0</v>
      </c>
      <c r="W1752" s="9" t="n">
        <f aca="false">IF(OR(H1752&lt;1,H1752&gt;10),1,0)</f>
        <v>0</v>
      </c>
      <c r="X1752" s="9" t="n">
        <f aca="false">IF(OR(I1752&lt;=0,I1752&gt;1500),1,0)</f>
        <v>0</v>
      </c>
      <c r="Y1752" s="9" t="n">
        <f aca="false">IF(J1752&gt;H1752*I1752,1,0)</f>
        <v>0</v>
      </c>
      <c r="Z1752" s="9" t="n">
        <f aca="false">IF(AND(N1752&lt;&gt;"",OR(N1752&lt;1,N1752&gt;5)),1,0)</f>
        <v>0</v>
      </c>
      <c r="AA1752" s="9" t="n">
        <f aca="false">IF(AND(M1752&lt;&gt;"",OR(M1752&lt;5,M1752&gt;180)),1,0)</f>
        <v>0</v>
      </c>
      <c r="AB1752" s="7" t="str">
        <f aca="false">IF(P1752="DUP","Exact duplicate row",IF(T1752=1,"Missing Order ID",IF(S1752="DROP","Duplicate Order ID (less complete row)",IF(U1752=1,"Missing Customer ID",IF(V1752=1,"Missing Restaurant name",IF(W1752=1,"Invalid/outlier quantity",IF(X1752=1,"Invalid/outlier unit price",IF(Y1752=1,"Discount greater than order value",""))))))))</f>
        <v/>
      </c>
      <c r="AC1752" s="7" t="str">
        <f aca="false">IF(AB1752="","KEEP","DROP")</f>
        <v>KEEP</v>
      </c>
      <c r="AD1752" s="7" t="str">
        <f aca="false">IF(TRIM(F1752)="",IFERROR(INDEX(Map_Tables!$I$4:$I$37,MATCH(TRIM(E1752),Map_Tables!$G$4:$G$37,0)),""),IFERROR(INDEX(Map_Tables!$B$4:$B$18,MATCH(TRIM(F1752),Map_Tables!$A$4:$A$18,0)),"CHECK"))</f>
        <v>Delhi</v>
      </c>
      <c r="AE1752" s="7" t="str">
        <f aca="false">IF(TRIM(E1752)="","",IFERROR(INDEX(Map_Tables!$H$4:$H$37,MATCH(TRIM(E1752),Map_Tables!$G$4:$G$37,0)),"CHECK"))</f>
        <v>Momo Magic</v>
      </c>
      <c r="AF1752" s="7" t="str">
        <f aca="false">IF(TRIM(K1752)="","Unknown",IFERROR(INDEX(Map_Tables!$E$4:$E$15,MATCH(TRIM(K1752),Map_Tables!$D$4:$D$15,0)),"CHECK"))</f>
        <v>Debit Card</v>
      </c>
      <c r="AG1752" s="7" t="str">
        <f aca="false">IF(LEFT(LOWER(TRIM(L1752)),6)="cancel","Cancelled","Delivered")</f>
        <v>Delivered</v>
      </c>
      <c r="AH1752" s="10" t="n">
        <f aca="false">IF(ISNUMBER(SEARCH("/",B1752)),DATE(VALUE(RIGHT(B1752,4)),VALUE(MID(B1752,4,2)),VALUE(LEFT(B1752,2))),IF(MID(B1752,5,1)="-",DATE(VALUE(LEFT(B1752,4)),VALUE(MID(B1752,6,2)),VALUE(RIGHT(B1752,2))),DATE(VALUE(RIGHT(B1752,4)),MATCH(MID(B1752,4,3),{"Jan","Feb","Mar","Apr","May","Jun","Jul","Aug","Sep","Oct","Nov","Dec"},0),VALUE(LEFT(B1752,2)))))</f>
        <v>45667</v>
      </c>
    </row>
    <row r="1753" customFormat="false" ht="15" hidden="false" customHeight="false" outlineLevel="0" collapsed="false">
      <c r="A1753" s="7" t="s">
        <v>4351</v>
      </c>
      <c r="B1753" s="7" t="s">
        <v>4352</v>
      </c>
      <c r="C1753" s="7" t="s">
        <v>4353</v>
      </c>
      <c r="D1753" s="7" t="s">
        <v>3532</v>
      </c>
      <c r="E1753" s="7" t="s">
        <v>155</v>
      </c>
      <c r="F1753" s="7" t="s">
        <v>128</v>
      </c>
      <c r="G1753" s="7" t="s">
        <v>156</v>
      </c>
      <c r="H1753" s="7" t="n">
        <v>3</v>
      </c>
      <c r="I1753" s="7" t="n">
        <v>290</v>
      </c>
      <c r="J1753" s="7" t="n">
        <v>0</v>
      </c>
      <c r="K1753" s="7" t="s">
        <v>88</v>
      </c>
      <c r="L1753" s="7" t="s">
        <v>194</v>
      </c>
      <c r="M1753" s="7" t="n">
        <v>43</v>
      </c>
      <c r="N1753" s="7" t="n">
        <v>2</v>
      </c>
      <c r="O1753" s="7" t="str">
        <f aca="false">A1753&amp;"|"&amp;B1753&amp;"|"&amp;C1753&amp;"|"&amp;D1753&amp;"|"&amp;E1753&amp;"|"&amp;F1753&amp;"|"&amp;G1753&amp;"|"&amp;H1753&amp;"|"&amp;I1753&amp;"|"&amp;J1753&amp;"|"&amp;K1753&amp;"|"&amp;L1753&amp;"|"&amp;M1753&amp;"|"&amp;N1753</f>
        <v>ORD10404|2025-02-23|14:24|C0899|Green Bowl Kitchen|Chennai|Healthy Food|3|290|0|UPI|Delivered|43|2</v>
      </c>
      <c r="P1753" s="7" t="str">
        <f aca="false">IF(COUNTIF($O$2:O1753,O1753)&gt;1,"DUP","OK")</f>
        <v>OK</v>
      </c>
      <c r="Q1753" s="7" t="n">
        <f aca="false">COUNTBLANK(A1753:N1753)</f>
        <v>0</v>
      </c>
      <c r="R1753" s="7" t="n">
        <f aca="false">IF(A1753="",0,COUNTIFS($A$2:$A$3058,A1753,$P$2:$P$3058,"OK"))</f>
        <v>1</v>
      </c>
      <c r="S1753" s="7" t="str">
        <f aca="false">IF(OR(A1753="",P1753="DUP",R1753&lt;2),"",IF(Q1753=_xlfn.MINIFS($Q$2:$Q$3058,$A$2:$A$3058,A1753,$P$2:$P$3058,"OK"),"KEEP","DROP"))</f>
        <v/>
      </c>
      <c r="T1753" s="9" t="n">
        <f aca="false">IF(A1753="",1,0)</f>
        <v>0</v>
      </c>
      <c r="U1753" s="9" t="n">
        <f aca="false">IF(D1753="",1,0)</f>
        <v>0</v>
      </c>
      <c r="V1753" s="9" t="n">
        <f aca="false">IF(E1753="",1,0)</f>
        <v>0</v>
      </c>
      <c r="W1753" s="9" t="n">
        <f aca="false">IF(OR(H1753&lt;1,H1753&gt;10),1,0)</f>
        <v>0</v>
      </c>
      <c r="X1753" s="9" t="n">
        <f aca="false">IF(OR(I1753&lt;=0,I1753&gt;1500),1,0)</f>
        <v>0</v>
      </c>
      <c r="Y1753" s="9" t="n">
        <f aca="false">IF(J1753&gt;H1753*I1753,1,0)</f>
        <v>0</v>
      </c>
      <c r="Z1753" s="9" t="n">
        <f aca="false">IF(AND(N1753&lt;&gt;"",OR(N1753&lt;1,N1753&gt;5)),1,0)</f>
        <v>0</v>
      </c>
      <c r="AA1753" s="9" t="n">
        <f aca="false">IF(AND(M1753&lt;&gt;"",OR(M1753&lt;5,M1753&gt;180)),1,0)</f>
        <v>0</v>
      </c>
      <c r="AB1753" s="7" t="str">
        <f aca="false">IF(P1753="DUP","Exact duplicate row",IF(T1753=1,"Missing Order ID",IF(S1753="DROP","Duplicate Order ID (less complete row)",IF(U1753=1,"Missing Customer ID",IF(V1753=1,"Missing Restaurant name",IF(W1753=1,"Invalid/outlier quantity",IF(X1753=1,"Invalid/outlier unit price",IF(Y1753=1,"Discount greater than order value",""))))))))</f>
        <v/>
      </c>
      <c r="AC1753" s="7" t="str">
        <f aca="false">IF(AB1753="","KEEP","DROP")</f>
        <v>KEEP</v>
      </c>
      <c r="AD1753" s="7" t="str">
        <f aca="false">IF(TRIM(F1753)="",IFERROR(INDEX(Map_Tables!$I$4:$I$37,MATCH(TRIM(E1753),Map_Tables!$G$4:$G$37,0)),""),IFERROR(INDEX(Map_Tables!$B$4:$B$18,MATCH(TRIM(F1753),Map_Tables!$A$4:$A$18,0)),"CHECK"))</f>
        <v>Chennai</v>
      </c>
      <c r="AE1753" s="7" t="str">
        <f aca="false">IF(TRIM(E1753)="","",IFERROR(INDEX(Map_Tables!$H$4:$H$37,MATCH(TRIM(E1753),Map_Tables!$G$4:$G$37,0)),"CHECK"))</f>
        <v>Green Bowl Kitchen</v>
      </c>
      <c r="AF1753" s="7" t="str">
        <f aca="false">IF(TRIM(K1753)="","Unknown",IFERROR(INDEX(Map_Tables!$E$4:$E$15,MATCH(TRIM(K1753),Map_Tables!$D$4:$D$15,0)),"CHECK"))</f>
        <v>UPI</v>
      </c>
      <c r="AG1753" s="7" t="str">
        <f aca="false">IF(LEFT(LOWER(TRIM(L1753)),6)="cancel","Cancelled","Delivered")</f>
        <v>Delivered</v>
      </c>
      <c r="AH1753" s="10" t="n">
        <f aca="false">IF(ISNUMBER(SEARCH("/",B1753)),DATE(VALUE(RIGHT(B1753,4)),VALUE(MID(B1753,4,2)),VALUE(LEFT(B1753,2))),IF(MID(B1753,5,1)="-",DATE(VALUE(LEFT(B1753,4)),VALUE(MID(B1753,6,2)),VALUE(RIGHT(B1753,2))),DATE(VALUE(RIGHT(B1753,4)),MATCH(MID(B1753,4,3),{"Jan","Feb","Mar","Apr","May","Jun","Jul","Aug","Sep","Oct","Nov","Dec"},0),VALUE(LEFT(B1753,2)))))</f>
        <v>45711</v>
      </c>
    </row>
    <row r="1754" customFormat="false" ht="15" hidden="false" customHeight="false" outlineLevel="0" collapsed="false">
      <c r="A1754" s="7" t="s">
        <v>4354</v>
      </c>
      <c r="B1754" s="7" t="s">
        <v>1096</v>
      </c>
      <c r="C1754" s="7" t="s">
        <v>1983</v>
      </c>
      <c r="D1754" s="7" t="s">
        <v>4355</v>
      </c>
      <c r="E1754" s="7" t="s">
        <v>89</v>
      </c>
      <c r="F1754" s="7" t="s">
        <v>928</v>
      </c>
      <c r="G1754" s="7" t="s">
        <v>90</v>
      </c>
      <c r="H1754" s="7" t="n">
        <v>3</v>
      </c>
      <c r="I1754" s="7" t="n">
        <v>235</v>
      </c>
      <c r="J1754" s="7" t="n">
        <v>40</v>
      </c>
      <c r="K1754" s="7" t="s">
        <v>88</v>
      </c>
      <c r="L1754" s="7" t="s">
        <v>194</v>
      </c>
      <c r="M1754" s="7" t="n">
        <v>53</v>
      </c>
      <c r="N1754" s="7" t="n">
        <v>4</v>
      </c>
      <c r="O1754" s="7" t="str">
        <f aca="false">A1754&amp;"|"&amp;B1754&amp;"|"&amp;C1754&amp;"|"&amp;D1754&amp;"|"&amp;E1754&amp;"|"&amp;F1754&amp;"|"&amp;G1754&amp;"|"&amp;H1754&amp;"|"&amp;I1754&amp;"|"&amp;J1754&amp;"|"&amp;K1754&amp;"|"&amp;L1754&amp;"|"&amp;M1754&amp;"|"&amp;N1754</f>
        <v>ORD12374|2025-10-26|19:58|C0593|Spice Junction|Bangalore|North Indian|3|235|40|UPI|Delivered|53|4</v>
      </c>
      <c r="P1754" s="7" t="str">
        <f aca="false">IF(COUNTIF($O$2:O1754,O1754)&gt;1,"DUP","OK")</f>
        <v>OK</v>
      </c>
      <c r="Q1754" s="7" t="n">
        <f aca="false">COUNTBLANK(A1754:N1754)</f>
        <v>0</v>
      </c>
      <c r="R1754" s="7" t="n">
        <f aca="false">IF(A1754="",0,COUNTIFS($A$2:$A$3058,A1754,$P$2:$P$3058,"OK"))</f>
        <v>1</v>
      </c>
      <c r="S1754" s="7" t="str">
        <f aca="false">IF(OR(A1754="",P1754="DUP",R1754&lt;2),"",IF(Q1754=_xlfn.MINIFS($Q$2:$Q$3058,$A$2:$A$3058,A1754,$P$2:$P$3058,"OK"),"KEEP","DROP"))</f>
        <v/>
      </c>
      <c r="T1754" s="9" t="n">
        <f aca="false">IF(A1754="",1,0)</f>
        <v>0</v>
      </c>
      <c r="U1754" s="9" t="n">
        <f aca="false">IF(D1754="",1,0)</f>
        <v>0</v>
      </c>
      <c r="V1754" s="9" t="n">
        <f aca="false">IF(E1754="",1,0)</f>
        <v>0</v>
      </c>
      <c r="W1754" s="9" t="n">
        <f aca="false">IF(OR(H1754&lt;1,H1754&gt;10),1,0)</f>
        <v>0</v>
      </c>
      <c r="X1754" s="9" t="n">
        <f aca="false">IF(OR(I1754&lt;=0,I1754&gt;1500),1,0)</f>
        <v>0</v>
      </c>
      <c r="Y1754" s="9" t="n">
        <f aca="false">IF(J1754&gt;H1754*I1754,1,0)</f>
        <v>0</v>
      </c>
      <c r="Z1754" s="9" t="n">
        <f aca="false">IF(AND(N1754&lt;&gt;"",OR(N1754&lt;1,N1754&gt;5)),1,0)</f>
        <v>0</v>
      </c>
      <c r="AA1754" s="9" t="n">
        <f aca="false">IF(AND(M1754&lt;&gt;"",OR(M1754&lt;5,M1754&gt;180)),1,0)</f>
        <v>0</v>
      </c>
      <c r="AB1754" s="7" t="str">
        <f aca="false">IF(P1754="DUP","Exact duplicate row",IF(T1754=1,"Missing Order ID",IF(S1754="DROP","Duplicate Order ID (less complete row)",IF(U1754=1,"Missing Customer ID",IF(V1754=1,"Missing Restaurant name",IF(W1754=1,"Invalid/outlier quantity",IF(X1754=1,"Invalid/outlier unit price",IF(Y1754=1,"Discount greater than order value",""))))))))</f>
        <v/>
      </c>
      <c r="AC1754" s="7" t="str">
        <f aca="false">IF(AB1754="","KEEP","DROP")</f>
        <v>KEEP</v>
      </c>
      <c r="AD1754" s="7" t="str">
        <f aca="false">IF(TRIM(F1754)="",IFERROR(INDEX(Map_Tables!$I$4:$I$37,MATCH(TRIM(E1754),Map_Tables!$G$4:$G$37,0)),""),IFERROR(INDEX(Map_Tables!$B$4:$B$18,MATCH(TRIM(F1754),Map_Tables!$A$4:$A$18,0)),"CHECK"))</f>
        <v>Bengaluru</v>
      </c>
      <c r="AE1754" s="7" t="str">
        <f aca="false">IF(TRIM(E1754)="","",IFERROR(INDEX(Map_Tables!$H$4:$H$37,MATCH(TRIM(E1754),Map_Tables!$G$4:$G$37,0)),"CHECK"))</f>
        <v>Spice Junction</v>
      </c>
      <c r="AF1754" s="7" t="str">
        <f aca="false">IF(TRIM(K1754)="","Unknown",IFERROR(INDEX(Map_Tables!$E$4:$E$15,MATCH(TRIM(K1754),Map_Tables!$D$4:$D$15,0)),"CHECK"))</f>
        <v>UPI</v>
      </c>
      <c r="AG1754" s="7" t="str">
        <f aca="false">IF(LEFT(LOWER(TRIM(L1754)),6)="cancel","Cancelled","Delivered")</f>
        <v>Delivered</v>
      </c>
      <c r="AH1754" s="10" t="n">
        <f aca="false">IF(ISNUMBER(SEARCH("/",B1754)),DATE(VALUE(RIGHT(B1754,4)),VALUE(MID(B1754,4,2)),VALUE(LEFT(B1754,2))),IF(MID(B1754,5,1)="-",DATE(VALUE(LEFT(B1754,4)),VALUE(MID(B1754,6,2)),VALUE(RIGHT(B1754,2))),DATE(VALUE(RIGHT(B1754,4)),MATCH(MID(B1754,4,3),{"Jan","Feb","Mar","Apr","May","Jun","Jul","Aug","Sep","Oct","Nov","Dec"},0),VALUE(LEFT(B1754,2)))))</f>
        <v>45956</v>
      </c>
    </row>
    <row r="1755" customFormat="false" ht="15" hidden="false" customHeight="false" outlineLevel="0" collapsed="false">
      <c r="A1755" s="7" t="s">
        <v>4356</v>
      </c>
      <c r="B1755" s="7" t="s">
        <v>1086</v>
      </c>
      <c r="C1755" s="7" t="s">
        <v>2688</v>
      </c>
      <c r="D1755" s="7" t="s">
        <v>805</v>
      </c>
      <c r="E1755" s="7" t="s">
        <v>159</v>
      </c>
      <c r="F1755" s="7" t="s">
        <v>303</v>
      </c>
      <c r="G1755" s="7" t="s">
        <v>90</v>
      </c>
      <c r="H1755" s="7" t="n">
        <v>1</v>
      </c>
      <c r="I1755" s="7" t="n">
        <v>250</v>
      </c>
      <c r="J1755" s="7" t="n">
        <v>100</v>
      </c>
      <c r="K1755" s="7" t="s">
        <v>133</v>
      </c>
      <c r="L1755" s="7" t="s">
        <v>194</v>
      </c>
      <c r="M1755" s="7" t="n">
        <v>38</v>
      </c>
      <c r="N1755" s="7" t="n">
        <v>3</v>
      </c>
      <c r="O1755" s="7" t="str">
        <f aca="false">A1755&amp;"|"&amp;B1755&amp;"|"&amp;C1755&amp;"|"&amp;D1755&amp;"|"&amp;E1755&amp;"|"&amp;F1755&amp;"|"&amp;G1755&amp;"|"&amp;H1755&amp;"|"&amp;I1755&amp;"|"&amp;J1755&amp;"|"&amp;K1755&amp;"|"&amp;L1755&amp;"|"&amp;M1755&amp;"|"&amp;N1755</f>
        <v>ORD10755|2025-04-06|11:23|C1035|Maratha Thali House|PUNE|North Indian|1|250|100|Net Banking|Delivered|38|3</v>
      </c>
      <c r="P1755" s="7" t="str">
        <f aca="false">IF(COUNTIF($O$2:O1755,O1755)&gt;1,"DUP","OK")</f>
        <v>OK</v>
      </c>
      <c r="Q1755" s="7" t="n">
        <f aca="false">COUNTBLANK(A1755:N1755)</f>
        <v>0</v>
      </c>
      <c r="R1755" s="7" t="n">
        <f aca="false">IF(A1755="",0,COUNTIFS($A$2:$A$3058,A1755,$P$2:$P$3058,"OK"))</f>
        <v>1</v>
      </c>
      <c r="S1755" s="7" t="str">
        <f aca="false">IF(OR(A1755="",P1755="DUP",R1755&lt;2),"",IF(Q1755=_xlfn.MINIFS($Q$2:$Q$3058,$A$2:$A$3058,A1755,$P$2:$P$3058,"OK"),"KEEP","DROP"))</f>
        <v/>
      </c>
      <c r="T1755" s="9" t="n">
        <f aca="false">IF(A1755="",1,0)</f>
        <v>0</v>
      </c>
      <c r="U1755" s="9" t="n">
        <f aca="false">IF(D1755="",1,0)</f>
        <v>0</v>
      </c>
      <c r="V1755" s="9" t="n">
        <f aca="false">IF(E1755="",1,0)</f>
        <v>0</v>
      </c>
      <c r="W1755" s="9" t="n">
        <f aca="false">IF(OR(H1755&lt;1,H1755&gt;10),1,0)</f>
        <v>0</v>
      </c>
      <c r="X1755" s="9" t="n">
        <f aca="false">IF(OR(I1755&lt;=0,I1755&gt;1500),1,0)</f>
        <v>0</v>
      </c>
      <c r="Y1755" s="9" t="n">
        <f aca="false">IF(J1755&gt;H1755*I1755,1,0)</f>
        <v>0</v>
      </c>
      <c r="Z1755" s="9" t="n">
        <f aca="false">IF(AND(N1755&lt;&gt;"",OR(N1755&lt;1,N1755&gt;5)),1,0)</f>
        <v>0</v>
      </c>
      <c r="AA1755" s="9" t="n">
        <f aca="false">IF(AND(M1755&lt;&gt;"",OR(M1755&lt;5,M1755&gt;180)),1,0)</f>
        <v>0</v>
      </c>
      <c r="AB1755" s="7" t="str">
        <f aca="false">IF(P1755="DUP","Exact duplicate row",IF(T1755=1,"Missing Order ID",IF(S1755="DROP","Duplicate Order ID (less complete row)",IF(U1755=1,"Missing Customer ID",IF(V1755=1,"Missing Restaurant name",IF(W1755=1,"Invalid/outlier quantity",IF(X1755=1,"Invalid/outlier unit price",IF(Y1755=1,"Discount greater than order value",""))))))))</f>
        <v/>
      </c>
      <c r="AC1755" s="7" t="str">
        <f aca="false">IF(AB1755="","KEEP","DROP")</f>
        <v>KEEP</v>
      </c>
      <c r="AD1755" s="7" t="str">
        <f aca="false">IF(TRIM(F1755)="",IFERROR(INDEX(Map_Tables!$I$4:$I$37,MATCH(TRIM(E1755),Map_Tables!$G$4:$G$37,0)),""),IFERROR(INDEX(Map_Tables!$B$4:$B$18,MATCH(TRIM(F1755),Map_Tables!$A$4:$A$18,0)),"CHECK"))</f>
        <v>Pune</v>
      </c>
      <c r="AE1755" s="7" t="str">
        <f aca="false">IF(TRIM(E1755)="","",IFERROR(INDEX(Map_Tables!$H$4:$H$37,MATCH(TRIM(E1755),Map_Tables!$G$4:$G$37,0)),"CHECK"))</f>
        <v>Maratha Thali House</v>
      </c>
      <c r="AF1755" s="7" t="str">
        <f aca="false">IF(TRIM(K1755)="","Unknown",IFERROR(INDEX(Map_Tables!$E$4:$E$15,MATCH(TRIM(K1755),Map_Tables!$D$4:$D$15,0)),"CHECK"))</f>
        <v>Net Banking</v>
      </c>
      <c r="AG1755" s="7" t="str">
        <f aca="false">IF(LEFT(LOWER(TRIM(L1755)),6)="cancel","Cancelled","Delivered")</f>
        <v>Delivered</v>
      </c>
      <c r="AH1755" s="10" t="n">
        <f aca="false">IF(ISNUMBER(SEARCH("/",B1755)),DATE(VALUE(RIGHT(B1755,4)),VALUE(MID(B1755,4,2)),VALUE(LEFT(B1755,2))),IF(MID(B1755,5,1)="-",DATE(VALUE(LEFT(B1755,4)),VALUE(MID(B1755,6,2)),VALUE(RIGHT(B1755,2))),DATE(VALUE(RIGHT(B1755,4)),MATCH(MID(B1755,4,3),{"Jan","Feb","Mar","Apr","May","Jun","Jul","Aug","Sep","Oct","Nov","Dec"},0),VALUE(LEFT(B1755,2)))))</f>
        <v>45753</v>
      </c>
    </row>
    <row r="1756" customFormat="false" ht="15" hidden="false" customHeight="false" outlineLevel="0" collapsed="false">
      <c r="A1756" s="7" t="s">
        <v>4357</v>
      </c>
      <c r="B1756" s="7" t="s">
        <v>739</v>
      </c>
      <c r="C1756" s="7" t="s">
        <v>856</v>
      </c>
      <c r="D1756" s="7" t="s">
        <v>4358</v>
      </c>
      <c r="E1756" s="7" t="s">
        <v>113</v>
      </c>
      <c r="F1756" s="7" t="s">
        <v>101</v>
      </c>
      <c r="G1756" s="7" t="s">
        <v>90</v>
      </c>
      <c r="H1756" s="7" t="n">
        <v>1</v>
      </c>
      <c r="I1756" s="7" t="n">
        <v>240</v>
      </c>
      <c r="J1756" s="7" t="n">
        <v>40</v>
      </c>
      <c r="K1756" s="7" t="s">
        <v>88</v>
      </c>
      <c r="L1756" s="7" t="s">
        <v>194</v>
      </c>
      <c r="M1756" s="7" t="n">
        <v>46</v>
      </c>
      <c r="N1756" s="7" t="n">
        <v>3</v>
      </c>
      <c r="O1756" s="7" t="str">
        <f aca="false">A1756&amp;"|"&amp;B1756&amp;"|"&amp;C1756&amp;"|"&amp;D1756&amp;"|"&amp;E1756&amp;"|"&amp;F1756&amp;"|"&amp;G1756&amp;"|"&amp;H1756&amp;"|"&amp;I1756&amp;"|"&amp;J1756&amp;"|"&amp;K1756&amp;"|"&amp;L1756&amp;"|"&amp;M1756&amp;"|"&amp;N1756</f>
        <v>ORD10798|2025-04-11|21:04|C0276|Curry Leaf Kitchen|Mumbai|North Indian|1|240|40|UPI|Delivered|46|3</v>
      </c>
      <c r="P1756" s="7" t="str">
        <f aca="false">IF(COUNTIF($O$2:O1756,O1756)&gt;1,"DUP","OK")</f>
        <v>OK</v>
      </c>
      <c r="Q1756" s="7" t="n">
        <f aca="false">COUNTBLANK(A1756:N1756)</f>
        <v>0</v>
      </c>
      <c r="R1756" s="7" t="n">
        <f aca="false">IF(A1756="",0,COUNTIFS($A$2:$A$3058,A1756,$P$2:$P$3058,"OK"))</f>
        <v>1</v>
      </c>
      <c r="S1756" s="7" t="str">
        <f aca="false">IF(OR(A1756="",P1756="DUP",R1756&lt;2),"",IF(Q1756=_xlfn.MINIFS($Q$2:$Q$3058,$A$2:$A$3058,A1756,$P$2:$P$3058,"OK"),"KEEP","DROP"))</f>
        <v/>
      </c>
      <c r="T1756" s="9" t="n">
        <f aca="false">IF(A1756="",1,0)</f>
        <v>0</v>
      </c>
      <c r="U1756" s="9" t="n">
        <f aca="false">IF(D1756="",1,0)</f>
        <v>0</v>
      </c>
      <c r="V1756" s="9" t="n">
        <f aca="false">IF(E1756="",1,0)</f>
        <v>0</v>
      </c>
      <c r="W1756" s="9" t="n">
        <f aca="false">IF(OR(H1756&lt;1,H1756&gt;10),1,0)</f>
        <v>0</v>
      </c>
      <c r="X1756" s="9" t="n">
        <f aca="false">IF(OR(I1756&lt;=0,I1756&gt;1500),1,0)</f>
        <v>0</v>
      </c>
      <c r="Y1756" s="9" t="n">
        <f aca="false">IF(J1756&gt;H1756*I1756,1,0)</f>
        <v>0</v>
      </c>
      <c r="Z1756" s="9" t="n">
        <f aca="false">IF(AND(N1756&lt;&gt;"",OR(N1756&lt;1,N1756&gt;5)),1,0)</f>
        <v>0</v>
      </c>
      <c r="AA1756" s="9" t="n">
        <f aca="false">IF(AND(M1756&lt;&gt;"",OR(M1756&lt;5,M1756&gt;180)),1,0)</f>
        <v>0</v>
      </c>
      <c r="AB1756" s="7" t="str">
        <f aca="false">IF(P1756="DUP","Exact duplicate row",IF(T1756=1,"Missing Order ID",IF(S1756="DROP","Duplicate Order ID (less complete row)",IF(U1756=1,"Missing Customer ID",IF(V1756=1,"Missing Restaurant name",IF(W1756=1,"Invalid/outlier quantity",IF(X1756=1,"Invalid/outlier unit price",IF(Y1756=1,"Discount greater than order value",""))))))))</f>
        <v/>
      </c>
      <c r="AC1756" s="7" t="str">
        <f aca="false">IF(AB1756="","KEEP","DROP")</f>
        <v>KEEP</v>
      </c>
      <c r="AD1756" s="7" t="str">
        <f aca="false">IF(TRIM(F1756)="",IFERROR(INDEX(Map_Tables!$I$4:$I$37,MATCH(TRIM(E1756),Map_Tables!$G$4:$G$37,0)),""),IFERROR(INDEX(Map_Tables!$B$4:$B$18,MATCH(TRIM(F1756),Map_Tables!$A$4:$A$18,0)),"CHECK"))</f>
        <v>Mumbai</v>
      </c>
      <c r="AE1756" s="7" t="str">
        <f aca="false">IF(TRIM(E1756)="","",IFERROR(INDEX(Map_Tables!$H$4:$H$37,MATCH(TRIM(E1756),Map_Tables!$G$4:$G$37,0)),"CHECK"))</f>
        <v>Curry Leaf Kitchen</v>
      </c>
      <c r="AF1756" s="7" t="str">
        <f aca="false">IF(TRIM(K1756)="","Unknown",IFERROR(INDEX(Map_Tables!$E$4:$E$15,MATCH(TRIM(K1756),Map_Tables!$D$4:$D$15,0)),"CHECK"))</f>
        <v>UPI</v>
      </c>
      <c r="AG1756" s="7" t="str">
        <f aca="false">IF(LEFT(LOWER(TRIM(L1756)),6)="cancel","Cancelled","Delivered")</f>
        <v>Delivered</v>
      </c>
      <c r="AH1756" s="10" t="n">
        <f aca="false">IF(ISNUMBER(SEARCH("/",B1756)),DATE(VALUE(RIGHT(B1756,4)),VALUE(MID(B1756,4,2)),VALUE(LEFT(B1756,2))),IF(MID(B1756,5,1)="-",DATE(VALUE(LEFT(B1756,4)),VALUE(MID(B1756,6,2)),VALUE(RIGHT(B1756,2))),DATE(VALUE(RIGHT(B1756,4)),MATCH(MID(B1756,4,3),{"Jan","Feb","Mar","Apr","May","Jun","Jul","Aug","Sep","Oct","Nov","Dec"},0),VALUE(LEFT(B1756,2)))))</f>
        <v>45758</v>
      </c>
    </row>
    <row r="1757" customFormat="false" ht="15" hidden="false" customHeight="false" outlineLevel="0" collapsed="false">
      <c r="A1757" s="7" t="s">
        <v>4359</v>
      </c>
      <c r="B1757" s="7" t="s">
        <v>322</v>
      </c>
      <c r="C1757" s="7" t="s">
        <v>4360</v>
      </c>
      <c r="D1757" s="7" t="s">
        <v>4361</v>
      </c>
      <c r="E1757" s="7" t="s">
        <v>94</v>
      </c>
      <c r="F1757" s="7" t="s">
        <v>86</v>
      </c>
      <c r="G1757" s="7" t="s">
        <v>95</v>
      </c>
      <c r="H1757" s="7" t="n">
        <v>2</v>
      </c>
      <c r="I1757" s="7" t="n">
        <v>150</v>
      </c>
      <c r="J1757" s="7" t="n">
        <v>20</v>
      </c>
      <c r="K1757" s="7" t="s">
        <v>88</v>
      </c>
      <c r="L1757" s="7" t="s">
        <v>457</v>
      </c>
      <c r="M1757" s="7" t="n">
        <v>30</v>
      </c>
      <c r="N1757" s="7" t="n">
        <v>4</v>
      </c>
      <c r="O1757" s="7" t="str">
        <f aca="false">A1757&amp;"|"&amp;B1757&amp;"|"&amp;C1757&amp;"|"&amp;D1757&amp;"|"&amp;E1757&amp;"|"&amp;F1757&amp;"|"&amp;G1757&amp;"|"&amp;H1757&amp;"|"&amp;I1757&amp;"|"&amp;J1757&amp;"|"&amp;K1757&amp;"|"&amp;L1757&amp;"|"&amp;M1757&amp;"|"&amp;N1757</f>
        <v>ORD11051|2025-05-13|00:28|C1492|Dosa Darbar|Bengaluru|South Indian|2|150|20|UPI|Delivered |30|4</v>
      </c>
      <c r="P1757" s="7" t="str">
        <f aca="false">IF(COUNTIF($O$2:O1757,O1757)&gt;1,"DUP","OK")</f>
        <v>OK</v>
      </c>
      <c r="Q1757" s="7" t="n">
        <f aca="false">COUNTBLANK(A1757:N1757)</f>
        <v>0</v>
      </c>
      <c r="R1757" s="7" t="n">
        <f aca="false">IF(A1757="",0,COUNTIFS($A$2:$A$3058,A1757,$P$2:$P$3058,"OK"))</f>
        <v>1</v>
      </c>
      <c r="S1757" s="7" t="str">
        <f aca="false">IF(OR(A1757="",P1757="DUP",R1757&lt;2),"",IF(Q1757=_xlfn.MINIFS($Q$2:$Q$3058,$A$2:$A$3058,A1757,$P$2:$P$3058,"OK"),"KEEP","DROP"))</f>
        <v/>
      </c>
      <c r="T1757" s="9" t="n">
        <f aca="false">IF(A1757="",1,0)</f>
        <v>0</v>
      </c>
      <c r="U1757" s="9" t="n">
        <f aca="false">IF(D1757="",1,0)</f>
        <v>0</v>
      </c>
      <c r="V1757" s="9" t="n">
        <f aca="false">IF(E1757="",1,0)</f>
        <v>0</v>
      </c>
      <c r="W1757" s="9" t="n">
        <f aca="false">IF(OR(H1757&lt;1,H1757&gt;10),1,0)</f>
        <v>0</v>
      </c>
      <c r="X1757" s="9" t="n">
        <f aca="false">IF(OR(I1757&lt;=0,I1757&gt;1500),1,0)</f>
        <v>0</v>
      </c>
      <c r="Y1757" s="9" t="n">
        <f aca="false">IF(J1757&gt;H1757*I1757,1,0)</f>
        <v>0</v>
      </c>
      <c r="Z1757" s="9" t="n">
        <f aca="false">IF(AND(N1757&lt;&gt;"",OR(N1757&lt;1,N1757&gt;5)),1,0)</f>
        <v>0</v>
      </c>
      <c r="AA1757" s="9" t="n">
        <f aca="false">IF(AND(M1757&lt;&gt;"",OR(M1757&lt;5,M1757&gt;180)),1,0)</f>
        <v>0</v>
      </c>
      <c r="AB1757" s="7" t="str">
        <f aca="false">IF(P1757="DUP","Exact duplicate row",IF(T1757=1,"Missing Order ID",IF(S1757="DROP","Duplicate Order ID (less complete row)",IF(U1757=1,"Missing Customer ID",IF(V1757=1,"Missing Restaurant name",IF(W1757=1,"Invalid/outlier quantity",IF(X1757=1,"Invalid/outlier unit price",IF(Y1757=1,"Discount greater than order value",""))))))))</f>
        <v/>
      </c>
      <c r="AC1757" s="7" t="str">
        <f aca="false">IF(AB1757="","KEEP","DROP")</f>
        <v>KEEP</v>
      </c>
      <c r="AD1757" s="7" t="str">
        <f aca="false">IF(TRIM(F1757)="",IFERROR(INDEX(Map_Tables!$I$4:$I$37,MATCH(TRIM(E1757),Map_Tables!$G$4:$G$37,0)),""),IFERROR(INDEX(Map_Tables!$B$4:$B$18,MATCH(TRIM(F1757),Map_Tables!$A$4:$A$18,0)),"CHECK"))</f>
        <v>Bengaluru</v>
      </c>
      <c r="AE1757" s="7" t="str">
        <f aca="false">IF(TRIM(E1757)="","",IFERROR(INDEX(Map_Tables!$H$4:$H$37,MATCH(TRIM(E1757),Map_Tables!$G$4:$G$37,0)),"CHECK"))</f>
        <v>Dosa Darbar</v>
      </c>
      <c r="AF1757" s="7" t="str">
        <f aca="false">IF(TRIM(K1757)="","Unknown",IFERROR(INDEX(Map_Tables!$E$4:$E$15,MATCH(TRIM(K1757),Map_Tables!$D$4:$D$15,0)),"CHECK"))</f>
        <v>UPI</v>
      </c>
      <c r="AG1757" s="7" t="str">
        <f aca="false">IF(LEFT(LOWER(TRIM(L1757)),6)="cancel","Cancelled","Delivered")</f>
        <v>Delivered</v>
      </c>
      <c r="AH1757" s="10" t="n">
        <f aca="false">IF(ISNUMBER(SEARCH("/",B1757)),DATE(VALUE(RIGHT(B1757,4)),VALUE(MID(B1757,4,2)),VALUE(LEFT(B1757,2))),IF(MID(B1757,5,1)="-",DATE(VALUE(LEFT(B1757,4)),VALUE(MID(B1757,6,2)),VALUE(RIGHT(B1757,2))),DATE(VALUE(RIGHT(B1757,4)),MATCH(MID(B1757,4,3),{"Jan","Feb","Mar","Apr","May","Jun","Jul","Aug","Sep","Oct","Nov","Dec"},0),VALUE(LEFT(B1757,2)))))</f>
        <v>45790</v>
      </c>
    </row>
    <row r="1758" customFormat="false" ht="15" hidden="false" customHeight="false" outlineLevel="0" collapsed="false">
      <c r="A1758" s="7" t="s">
        <v>2352</v>
      </c>
      <c r="B1758" s="7" t="s">
        <v>2124</v>
      </c>
      <c r="C1758" s="7" t="s">
        <v>1235</v>
      </c>
      <c r="D1758" s="7" t="s">
        <v>2353</v>
      </c>
      <c r="E1758" s="7" t="s">
        <v>1595</v>
      </c>
      <c r="F1758" s="7" t="s">
        <v>136</v>
      </c>
      <c r="G1758" s="7" t="s">
        <v>139</v>
      </c>
      <c r="H1758" s="7" t="n">
        <v>1</v>
      </c>
      <c r="I1758" s="7" t="n">
        <v>235</v>
      </c>
      <c r="J1758" s="7" t="n">
        <v>94</v>
      </c>
      <c r="K1758" s="7" t="s">
        <v>112</v>
      </c>
      <c r="L1758" s="7" t="s">
        <v>194</v>
      </c>
      <c r="M1758" s="7" t="n">
        <v>36</v>
      </c>
      <c r="N1758" s="7" t="n">
        <v>4</v>
      </c>
      <c r="O1758" s="7" t="str">
        <f aca="false">A1758&amp;"|"&amp;B1758&amp;"|"&amp;C1758&amp;"|"&amp;D1758&amp;"|"&amp;E1758&amp;"|"&amp;F1758&amp;"|"&amp;G1758&amp;"|"&amp;H1758&amp;"|"&amp;I1758&amp;"|"&amp;J1758&amp;"|"&amp;K1758&amp;"|"&amp;L1758&amp;"|"&amp;M1758&amp;"|"&amp;N1758</f>
        <v>ORD12997|2025-12-31|17:36|C0013|PUNE BURGER HUB|Pune|Burgers|1|235|94|Cash on Delivery|Delivered|36|4</v>
      </c>
      <c r="P1758" s="7" t="str">
        <f aca="false">IF(COUNTIF($O$2:O1758,O1758)&gt;1,"DUP","OK")</f>
        <v>DUP</v>
      </c>
      <c r="Q1758" s="7" t="n">
        <f aca="false">COUNTBLANK(A1758:N1758)</f>
        <v>0</v>
      </c>
      <c r="R1758" s="7" t="n">
        <f aca="false">IF(A1758="",0,COUNTIFS($A$2:$A$3058,A1758,$P$2:$P$3058,"OK"))</f>
        <v>1</v>
      </c>
      <c r="S1758" s="7" t="str">
        <f aca="false">IF(OR(A1758="",P1758="DUP",R1758&lt;2),"",IF(Q1758=_xlfn.MINIFS($Q$2:$Q$3058,$A$2:$A$3058,A1758,$P$2:$P$3058,"OK"),"KEEP","DROP"))</f>
        <v/>
      </c>
      <c r="T1758" s="9" t="n">
        <f aca="false">IF(A1758="",1,0)</f>
        <v>0</v>
      </c>
      <c r="U1758" s="9" t="n">
        <f aca="false">IF(D1758="",1,0)</f>
        <v>0</v>
      </c>
      <c r="V1758" s="9" t="n">
        <f aca="false">IF(E1758="",1,0)</f>
        <v>0</v>
      </c>
      <c r="W1758" s="9" t="n">
        <f aca="false">IF(OR(H1758&lt;1,H1758&gt;10),1,0)</f>
        <v>0</v>
      </c>
      <c r="X1758" s="9" t="n">
        <f aca="false">IF(OR(I1758&lt;=0,I1758&gt;1500),1,0)</f>
        <v>0</v>
      </c>
      <c r="Y1758" s="9" t="n">
        <f aca="false">IF(J1758&gt;H1758*I1758,1,0)</f>
        <v>0</v>
      </c>
      <c r="Z1758" s="9" t="n">
        <f aca="false">IF(AND(N1758&lt;&gt;"",OR(N1758&lt;1,N1758&gt;5)),1,0)</f>
        <v>0</v>
      </c>
      <c r="AA1758" s="9" t="n">
        <f aca="false">IF(AND(M1758&lt;&gt;"",OR(M1758&lt;5,M1758&gt;180)),1,0)</f>
        <v>0</v>
      </c>
      <c r="AB1758" s="7" t="str">
        <f aca="false">IF(P1758="DUP","Exact duplicate row",IF(T1758=1,"Missing Order ID",IF(S1758="DROP","Duplicate Order ID (less complete row)",IF(U1758=1,"Missing Customer ID",IF(V1758=1,"Missing Restaurant name",IF(W1758=1,"Invalid/outlier quantity",IF(X1758=1,"Invalid/outlier unit price",IF(Y1758=1,"Discount greater than order value",""))))))))</f>
        <v>Exact duplicate row</v>
      </c>
      <c r="AC1758" s="7" t="str">
        <f aca="false">IF(AB1758="","KEEP","DROP")</f>
        <v>DROP</v>
      </c>
      <c r="AD1758" s="7" t="str">
        <f aca="false">IF(TRIM(F1758)="",IFERROR(INDEX(Map_Tables!$I$4:$I$37,MATCH(TRIM(E1758),Map_Tables!$G$4:$G$37,0)),""),IFERROR(INDEX(Map_Tables!$B$4:$B$18,MATCH(TRIM(F1758),Map_Tables!$A$4:$A$18,0)),"CHECK"))</f>
        <v>Pune</v>
      </c>
      <c r="AE1758" s="7" t="str">
        <f aca="false">IF(TRIM(E1758)="","",IFERROR(INDEX(Map_Tables!$H$4:$H$37,MATCH(TRIM(E1758),Map_Tables!$G$4:$G$37,0)),"CHECK"))</f>
        <v>Pune Burger Hub</v>
      </c>
      <c r="AF1758" s="7" t="str">
        <f aca="false">IF(TRIM(K1758)="","Unknown",IFERROR(INDEX(Map_Tables!$E$4:$E$15,MATCH(TRIM(K1758),Map_Tables!$D$4:$D$15,0)),"CHECK"))</f>
        <v>Cash on Delivery</v>
      </c>
      <c r="AG1758" s="7" t="str">
        <f aca="false">IF(LEFT(LOWER(TRIM(L1758)),6)="cancel","Cancelled","Delivered")</f>
        <v>Delivered</v>
      </c>
      <c r="AH1758" s="10" t="n">
        <f aca="false">IF(ISNUMBER(SEARCH("/",B1758)),DATE(VALUE(RIGHT(B1758,4)),VALUE(MID(B1758,4,2)),VALUE(LEFT(B1758,2))),IF(MID(B1758,5,1)="-",DATE(VALUE(LEFT(B1758,4)),VALUE(MID(B1758,6,2)),VALUE(RIGHT(B1758,2))),DATE(VALUE(RIGHT(B1758,4)),MATCH(MID(B1758,4,3),{"Jan","Feb","Mar","Apr","May","Jun","Jul","Aug","Sep","Oct","Nov","Dec"},0),VALUE(LEFT(B1758,2)))))</f>
        <v>46022</v>
      </c>
    </row>
    <row r="1759" customFormat="false" ht="15" hidden="false" customHeight="false" outlineLevel="0" collapsed="false">
      <c r="A1759" s="7" t="s">
        <v>4362</v>
      </c>
      <c r="B1759" s="7" t="s">
        <v>1282</v>
      </c>
      <c r="C1759" s="7" t="s">
        <v>1873</v>
      </c>
      <c r="D1759" s="7" t="s">
        <v>2034</v>
      </c>
      <c r="E1759" s="7" t="s">
        <v>94</v>
      </c>
      <c r="F1759" s="7" t="s">
        <v>86</v>
      </c>
      <c r="G1759" s="7" t="s">
        <v>95</v>
      </c>
      <c r="H1759" s="7" t="n">
        <v>1</v>
      </c>
      <c r="I1759" s="7" t="n">
        <v>120</v>
      </c>
      <c r="J1759" s="7" t="n">
        <v>20</v>
      </c>
      <c r="K1759" s="7" t="s">
        <v>229</v>
      </c>
      <c r="L1759" s="7" t="s">
        <v>194</v>
      </c>
      <c r="M1759" s="7" t="n">
        <v>54</v>
      </c>
      <c r="N1759" s="7" t="n">
        <v>3</v>
      </c>
      <c r="O1759" s="7" t="str">
        <f aca="false">A1759&amp;"|"&amp;B1759&amp;"|"&amp;C1759&amp;"|"&amp;D1759&amp;"|"&amp;E1759&amp;"|"&amp;F1759&amp;"|"&amp;G1759&amp;"|"&amp;H1759&amp;"|"&amp;I1759&amp;"|"&amp;J1759&amp;"|"&amp;K1759&amp;"|"&amp;L1759&amp;"|"&amp;M1759&amp;"|"&amp;N1759</f>
        <v>ORD12452|2025-11-04|20:29|C1410|Dosa Darbar|Bengaluru|South Indian|1|120|20|Upi|Delivered|54|3</v>
      </c>
      <c r="P1759" s="7" t="str">
        <f aca="false">IF(COUNTIF($O$2:O1759,O1759)&gt;1,"DUP","OK")</f>
        <v>OK</v>
      </c>
      <c r="Q1759" s="7" t="n">
        <f aca="false">COUNTBLANK(A1759:N1759)</f>
        <v>0</v>
      </c>
      <c r="R1759" s="7" t="n">
        <f aca="false">IF(A1759="",0,COUNTIFS($A$2:$A$3058,A1759,$P$2:$P$3058,"OK"))</f>
        <v>1</v>
      </c>
      <c r="S1759" s="7" t="str">
        <f aca="false">IF(OR(A1759="",P1759="DUP",R1759&lt;2),"",IF(Q1759=_xlfn.MINIFS($Q$2:$Q$3058,$A$2:$A$3058,A1759,$P$2:$P$3058,"OK"),"KEEP","DROP"))</f>
        <v/>
      </c>
      <c r="T1759" s="9" t="n">
        <f aca="false">IF(A1759="",1,0)</f>
        <v>0</v>
      </c>
      <c r="U1759" s="9" t="n">
        <f aca="false">IF(D1759="",1,0)</f>
        <v>0</v>
      </c>
      <c r="V1759" s="9" t="n">
        <f aca="false">IF(E1759="",1,0)</f>
        <v>0</v>
      </c>
      <c r="W1759" s="9" t="n">
        <f aca="false">IF(OR(H1759&lt;1,H1759&gt;10),1,0)</f>
        <v>0</v>
      </c>
      <c r="X1759" s="9" t="n">
        <f aca="false">IF(OR(I1759&lt;=0,I1759&gt;1500),1,0)</f>
        <v>0</v>
      </c>
      <c r="Y1759" s="9" t="n">
        <f aca="false">IF(J1759&gt;H1759*I1759,1,0)</f>
        <v>0</v>
      </c>
      <c r="Z1759" s="9" t="n">
        <f aca="false">IF(AND(N1759&lt;&gt;"",OR(N1759&lt;1,N1759&gt;5)),1,0)</f>
        <v>0</v>
      </c>
      <c r="AA1759" s="9" t="n">
        <f aca="false">IF(AND(M1759&lt;&gt;"",OR(M1759&lt;5,M1759&gt;180)),1,0)</f>
        <v>0</v>
      </c>
      <c r="AB1759" s="7" t="str">
        <f aca="false">IF(P1759="DUP","Exact duplicate row",IF(T1759=1,"Missing Order ID",IF(S1759="DROP","Duplicate Order ID (less complete row)",IF(U1759=1,"Missing Customer ID",IF(V1759=1,"Missing Restaurant name",IF(W1759=1,"Invalid/outlier quantity",IF(X1759=1,"Invalid/outlier unit price",IF(Y1759=1,"Discount greater than order value",""))))))))</f>
        <v/>
      </c>
      <c r="AC1759" s="7" t="str">
        <f aca="false">IF(AB1759="","KEEP","DROP")</f>
        <v>KEEP</v>
      </c>
      <c r="AD1759" s="7" t="str">
        <f aca="false">IF(TRIM(F1759)="",IFERROR(INDEX(Map_Tables!$I$4:$I$37,MATCH(TRIM(E1759),Map_Tables!$G$4:$G$37,0)),""),IFERROR(INDEX(Map_Tables!$B$4:$B$18,MATCH(TRIM(F1759),Map_Tables!$A$4:$A$18,0)),"CHECK"))</f>
        <v>Bengaluru</v>
      </c>
      <c r="AE1759" s="7" t="str">
        <f aca="false">IF(TRIM(E1759)="","",IFERROR(INDEX(Map_Tables!$H$4:$H$37,MATCH(TRIM(E1759),Map_Tables!$G$4:$G$37,0)),"CHECK"))</f>
        <v>Dosa Darbar</v>
      </c>
      <c r="AF1759" s="7" t="str">
        <f aca="false">IF(TRIM(K1759)="","Unknown",IFERROR(INDEX(Map_Tables!$E$4:$E$15,MATCH(TRIM(K1759),Map_Tables!$D$4:$D$15,0)),"CHECK"))</f>
        <v>UPI</v>
      </c>
      <c r="AG1759" s="7" t="str">
        <f aca="false">IF(LEFT(LOWER(TRIM(L1759)),6)="cancel","Cancelled","Delivered")</f>
        <v>Delivered</v>
      </c>
      <c r="AH1759" s="10" t="n">
        <f aca="false">IF(ISNUMBER(SEARCH("/",B1759)),DATE(VALUE(RIGHT(B1759,4)),VALUE(MID(B1759,4,2)),VALUE(LEFT(B1759,2))),IF(MID(B1759,5,1)="-",DATE(VALUE(LEFT(B1759,4)),VALUE(MID(B1759,6,2)),VALUE(RIGHT(B1759,2))),DATE(VALUE(RIGHT(B1759,4)),MATCH(MID(B1759,4,3),{"Jan","Feb","Mar","Apr","May","Jun","Jul","Aug","Sep","Oct","Nov","Dec"},0),VALUE(LEFT(B1759,2)))))</f>
        <v>45965</v>
      </c>
    </row>
    <row r="1760" customFormat="false" ht="15" hidden="false" customHeight="false" outlineLevel="0" collapsed="false">
      <c r="A1760" s="7" t="s">
        <v>4363</v>
      </c>
      <c r="B1760" s="7" t="s">
        <v>4364</v>
      </c>
      <c r="C1760" s="7" t="s">
        <v>2992</v>
      </c>
      <c r="D1760" s="7" t="s">
        <v>4365</v>
      </c>
      <c r="E1760" s="7" t="s">
        <v>154</v>
      </c>
      <c r="F1760" s="7" t="s">
        <v>128</v>
      </c>
      <c r="G1760" s="7" t="s">
        <v>99</v>
      </c>
      <c r="H1760" s="7" t="n">
        <v>1</v>
      </c>
      <c r="I1760" s="7" t="n">
        <v>210</v>
      </c>
      <c r="J1760" s="7" t="n">
        <v>50</v>
      </c>
      <c r="K1760" s="7" t="s">
        <v>88</v>
      </c>
      <c r="L1760" s="7" t="s">
        <v>238</v>
      </c>
      <c r="M1760" s="7"/>
      <c r="N1760" s="7"/>
      <c r="O1760" s="7" t="str">
        <f aca="false">A1760&amp;"|"&amp;B1760&amp;"|"&amp;C1760&amp;"|"&amp;D1760&amp;"|"&amp;E1760&amp;"|"&amp;F1760&amp;"|"&amp;G1760&amp;"|"&amp;H1760&amp;"|"&amp;I1760&amp;"|"&amp;J1760&amp;"|"&amp;K1760&amp;"|"&amp;L1760&amp;"|"&amp;M1760&amp;"|"&amp;N1760</f>
        <v>ORD10178|24/01/2025|09:30|C0986|Madras Biryani Co|Chennai|Biryani|1|210|50|UPI|Cancelled||</v>
      </c>
      <c r="P1760" s="7" t="str">
        <f aca="false">IF(COUNTIF($O$2:O1760,O1760)&gt;1,"DUP","OK")</f>
        <v>OK</v>
      </c>
      <c r="Q1760" s="7" t="n">
        <f aca="false">COUNTBLANK(A1760:N1760)</f>
        <v>2</v>
      </c>
      <c r="R1760" s="7" t="n">
        <f aca="false">IF(A1760="",0,COUNTIFS($A$2:$A$3058,A1760,$P$2:$P$3058,"OK"))</f>
        <v>1</v>
      </c>
      <c r="S1760" s="7" t="str">
        <f aca="false">IF(OR(A1760="",P1760="DUP",R1760&lt;2),"",IF(Q1760=_xlfn.MINIFS($Q$2:$Q$3058,$A$2:$A$3058,A1760,$P$2:$P$3058,"OK"),"KEEP","DROP"))</f>
        <v/>
      </c>
      <c r="T1760" s="9" t="n">
        <f aca="false">IF(A1760="",1,0)</f>
        <v>0</v>
      </c>
      <c r="U1760" s="9" t="n">
        <f aca="false">IF(D1760="",1,0)</f>
        <v>0</v>
      </c>
      <c r="V1760" s="9" t="n">
        <f aca="false">IF(E1760="",1,0)</f>
        <v>0</v>
      </c>
      <c r="W1760" s="9" t="n">
        <f aca="false">IF(OR(H1760&lt;1,H1760&gt;10),1,0)</f>
        <v>0</v>
      </c>
      <c r="X1760" s="9" t="n">
        <f aca="false">IF(OR(I1760&lt;=0,I1760&gt;1500),1,0)</f>
        <v>0</v>
      </c>
      <c r="Y1760" s="9" t="n">
        <f aca="false">IF(J1760&gt;H1760*I1760,1,0)</f>
        <v>0</v>
      </c>
      <c r="Z1760" s="9" t="n">
        <f aca="false">IF(AND(N1760&lt;&gt;"",OR(N1760&lt;1,N1760&gt;5)),1,0)</f>
        <v>0</v>
      </c>
      <c r="AA1760" s="9" t="n">
        <f aca="false">IF(AND(M1760&lt;&gt;"",OR(M1760&lt;5,M1760&gt;180)),1,0)</f>
        <v>0</v>
      </c>
      <c r="AB1760" s="7" t="str">
        <f aca="false">IF(P1760="DUP","Exact duplicate row",IF(T1760=1,"Missing Order ID",IF(S1760="DROP","Duplicate Order ID (less complete row)",IF(U1760=1,"Missing Customer ID",IF(V1760=1,"Missing Restaurant name",IF(W1760=1,"Invalid/outlier quantity",IF(X1760=1,"Invalid/outlier unit price",IF(Y1760=1,"Discount greater than order value",""))))))))</f>
        <v/>
      </c>
      <c r="AC1760" s="7" t="str">
        <f aca="false">IF(AB1760="","KEEP","DROP")</f>
        <v>KEEP</v>
      </c>
      <c r="AD1760" s="7" t="str">
        <f aca="false">IF(TRIM(F1760)="",IFERROR(INDEX(Map_Tables!$I$4:$I$37,MATCH(TRIM(E1760),Map_Tables!$G$4:$G$37,0)),""),IFERROR(INDEX(Map_Tables!$B$4:$B$18,MATCH(TRIM(F1760),Map_Tables!$A$4:$A$18,0)),"CHECK"))</f>
        <v>Chennai</v>
      </c>
      <c r="AE1760" s="7" t="str">
        <f aca="false">IF(TRIM(E1760)="","",IFERROR(INDEX(Map_Tables!$H$4:$H$37,MATCH(TRIM(E1760),Map_Tables!$G$4:$G$37,0)),"CHECK"))</f>
        <v>Madras Biryani Co</v>
      </c>
      <c r="AF1760" s="7" t="str">
        <f aca="false">IF(TRIM(K1760)="","Unknown",IFERROR(INDEX(Map_Tables!$E$4:$E$15,MATCH(TRIM(K1760),Map_Tables!$D$4:$D$15,0)),"CHECK"))</f>
        <v>UPI</v>
      </c>
      <c r="AG1760" s="7" t="str">
        <f aca="false">IF(LEFT(LOWER(TRIM(L1760)),6)="cancel","Cancelled","Delivered")</f>
        <v>Cancelled</v>
      </c>
      <c r="AH1760" s="10" t="n">
        <f aca="false">IF(ISNUMBER(SEARCH("/",B1760)),DATE(VALUE(RIGHT(B1760,4)),VALUE(MID(B1760,4,2)),VALUE(LEFT(B1760,2))),IF(MID(B1760,5,1)="-",DATE(VALUE(LEFT(B1760,4)),VALUE(MID(B1760,6,2)),VALUE(RIGHT(B1760,2))),DATE(VALUE(RIGHT(B1760,4)),MATCH(MID(B1760,4,3),{"Jan","Feb","Mar","Apr","May","Jun","Jul","Aug","Sep","Oct","Nov","Dec"},0),VALUE(LEFT(B1760,2)))))</f>
        <v>45681</v>
      </c>
    </row>
    <row r="1761" customFormat="false" ht="15" hidden="false" customHeight="false" outlineLevel="0" collapsed="false">
      <c r="A1761" s="7" t="s">
        <v>4366</v>
      </c>
      <c r="B1761" s="7" t="s">
        <v>2322</v>
      </c>
      <c r="C1761" s="7" t="s">
        <v>4367</v>
      </c>
      <c r="D1761" s="7" t="s">
        <v>4368</v>
      </c>
      <c r="E1761" s="7" t="s">
        <v>159</v>
      </c>
      <c r="F1761" s="7" t="s">
        <v>136</v>
      </c>
      <c r="G1761" s="7" t="s">
        <v>90</v>
      </c>
      <c r="H1761" s="7" t="n">
        <v>2</v>
      </c>
      <c r="I1761" s="7" t="n">
        <v>265</v>
      </c>
      <c r="J1761" s="7" t="n">
        <v>75</v>
      </c>
      <c r="K1761" s="7" t="s">
        <v>133</v>
      </c>
      <c r="L1761" s="7" t="s">
        <v>220</v>
      </c>
      <c r="M1761" s="7" t="n">
        <v>48</v>
      </c>
      <c r="N1761" s="7"/>
      <c r="O1761" s="7" t="str">
        <f aca="false">A1761&amp;"|"&amp;B1761&amp;"|"&amp;C1761&amp;"|"&amp;D1761&amp;"|"&amp;E1761&amp;"|"&amp;F1761&amp;"|"&amp;G1761&amp;"|"&amp;H1761&amp;"|"&amp;I1761&amp;"|"&amp;J1761&amp;"|"&amp;K1761&amp;"|"&amp;L1761&amp;"|"&amp;M1761&amp;"|"&amp;N1761</f>
        <v>ORD10954|2025-05-01|00:21|C0424|Maratha Thali House|Pune|North Indian|2|265|75|Net Banking|DELIVERED|48|</v>
      </c>
      <c r="P1761" s="7" t="str">
        <f aca="false">IF(COUNTIF($O$2:O1761,O1761)&gt;1,"DUP","OK")</f>
        <v>OK</v>
      </c>
      <c r="Q1761" s="7" t="n">
        <f aca="false">COUNTBLANK(A1761:N1761)</f>
        <v>1</v>
      </c>
      <c r="R1761" s="7" t="n">
        <f aca="false">IF(A1761="",0,COUNTIFS($A$2:$A$3058,A1761,$P$2:$P$3058,"OK"))</f>
        <v>1</v>
      </c>
      <c r="S1761" s="7" t="str">
        <f aca="false">IF(OR(A1761="",P1761="DUP",R1761&lt;2),"",IF(Q1761=_xlfn.MINIFS($Q$2:$Q$3058,$A$2:$A$3058,A1761,$P$2:$P$3058,"OK"),"KEEP","DROP"))</f>
        <v/>
      </c>
      <c r="T1761" s="9" t="n">
        <f aca="false">IF(A1761="",1,0)</f>
        <v>0</v>
      </c>
      <c r="U1761" s="9" t="n">
        <f aca="false">IF(D1761="",1,0)</f>
        <v>0</v>
      </c>
      <c r="V1761" s="9" t="n">
        <f aca="false">IF(E1761="",1,0)</f>
        <v>0</v>
      </c>
      <c r="W1761" s="9" t="n">
        <f aca="false">IF(OR(H1761&lt;1,H1761&gt;10),1,0)</f>
        <v>0</v>
      </c>
      <c r="X1761" s="9" t="n">
        <f aca="false">IF(OR(I1761&lt;=0,I1761&gt;1500),1,0)</f>
        <v>0</v>
      </c>
      <c r="Y1761" s="9" t="n">
        <f aca="false">IF(J1761&gt;H1761*I1761,1,0)</f>
        <v>0</v>
      </c>
      <c r="Z1761" s="9" t="n">
        <f aca="false">IF(AND(N1761&lt;&gt;"",OR(N1761&lt;1,N1761&gt;5)),1,0)</f>
        <v>0</v>
      </c>
      <c r="AA1761" s="9" t="n">
        <f aca="false">IF(AND(M1761&lt;&gt;"",OR(M1761&lt;5,M1761&gt;180)),1,0)</f>
        <v>0</v>
      </c>
      <c r="AB1761" s="7" t="str">
        <f aca="false">IF(P1761="DUP","Exact duplicate row",IF(T1761=1,"Missing Order ID",IF(S1761="DROP","Duplicate Order ID (less complete row)",IF(U1761=1,"Missing Customer ID",IF(V1761=1,"Missing Restaurant name",IF(W1761=1,"Invalid/outlier quantity",IF(X1761=1,"Invalid/outlier unit price",IF(Y1761=1,"Discount greater than order value",""))))))))</f>
        <v/>
      </c>
      <c r="AC1761" s="7" t="str">
        <f aca="false">IF(AB1761="","KEEP","DROP")</f>
        <v>KEEP</v>
      </c>
      <c r="AD1761" s="7" t="str">
        <f aca="false">IF(TRIM(F1761)="",IFERROR(INDEX(Map_Tables!$I$4:$I$37,MATCH(TRIM(E1761),Map_Tables!$G$4:$G$37,0)),""),IFERROR(INDEX(Map_Tables!$B$4:$B$18,MATCH(TRIM(F1761),Map_Tables!$A$4:$A$18,0)),"CHECK"))</f>
        <v>Pune</v>
      </c>
      <c r="AE1761" s="7" t="str">
        <f aca="false">IF(TRIM(E1761)="","",IFERROR(INDEX(Map_Tables!$H$4:$H$37,MATCH(TRIM(E1761),Map_Tables!$G$4:$G$37,0)),"CHECK"))</f>
        <v>Maratha Thali House</v>
      </c>
      <c r="AF1761" s="7" t="str">
        <f aca="false">IF(TRIM(K1761)="","Unknown",IFERROR(INDEX(Map_Tables!$E$4:$E$15,MATCH(TRIM(K1761),Map_Tables!$D$4:$D$15,0)),"CHECK"))</f>
        <v>Net Banking</v>
      </c>
      <c r="AG1761" s="7" t="str">
        <f aca="false">IF(LEFT(LOWER(TRIM(L1761)),6)="cancel","Cancelled","Delivered")</f>
        <v>Delivered</v>
      </c>
      <c r="AH1761" s="10" t="n">
        <f aca="false">IF(ISNUMBER(SEARCH("/",B1761)),DATE(VALUE(RIGHT(B1761,4)),VALUE(MID(B1761,4,2)),VALUE(LEFT(B1761,2))),IF(MID(B1761,5,1)="-",DATE(VALUE(LEFT(B1761,4)),VALUE(MID(B1761,6,2)),VALUE(RIGHT(B1761,2))),DATE(VALUE(RIGHT(B1761,4)),MATCH(MID(B1761,4,3),{"Jan","Feb","Mar","Apr","May","Jun","Jul","Aug","Sep","Oct","Nov","Dec"},0),VALUE(LEFT(B1761,2)))))</f>
        <v>45778</v>
      </c>
    </row>
    <row r="1762" customFormat="false" ht="15" hidden="false" customHeight="false" outlineLevel="0" collapsed="false">
      <c r="A1762" s="7" t="s">
        <v>4369</v>
      </c>
      <c r="B1762" s="7" t="s">
        <v>2579</v>
      </c>
      <c r="C1762" s="7" t="s">
        <v>327</v>
      </c>
      <c r="D1762" s="7" t="s">
        <v>4370</v>
      </c>
      <c r="E1762" s="7" t="s">
        <v>717</v>
      </c>
      <c r="F1762" s="7" t="s">
        <v>136</v>
      </c>
      <c r="G1762" s="7" t="s">
        <v>150</v>
      </c>
      <c r="H1762" s="7" t="n">
        <v>5</v>
      </c>
      <c r="I1762" s="7" t="n">
        <v>195</v>
      </c>
      <c r="J1762" s="7" t="n">
        <v>75</v>
      </c>
      <c r="K1762" s="7" t="s">
        <v>133</v>
      </c>
      <c r="L1762" s="7" t="s">
        <v>194</v>
      </c>
      <c r="M1762" s="7" t="n">
        <v>38</v>
      </c>
      <c r="N1762" s="7" t="n">
        <v>3</v>
      </c>
      <c r="O1762" s="7" t="str">
        <f aca="false">A1762&amp;"|"&amp;B1762&amp;"|"&amp;C1762&amp;"|"&amp;D1762&amp;"|"&amp;E1762&amp;"|"&amp;F1762&amp;"|"&amp;G1762&amp;"|"&amp;H1762&amp;"|"&amp;I1762&amp;"|"&amp;J1762&amp;"|"&amp;K1762&amp;"|"&amp;L1762&amp;"|"&amp;M1762&amp;"|"&amp;N1762</f>
        <v>ORD11381|2025-06-27|19:10|C1074|Cake  Walk|Pune|Desserts|5|195|75|Net Banking|Delivered|38|3</v>
      </c>
      <c r="P1762" s="7" t="str">
        <f aca="false">IF(COUNTIF($O$2:O1762,O1762)&gt;1,"DUP","OK")</f>
        <v>OK</v>
      </c>
      <c r="Q1762" s="7" t="n">
        <f aca="false">COUNTBLANK(A1762:N1762)</f>
        <v>0</v>
      </c>
      <c r="R1762" s="7" t="n">
        <f aca="false">IF(A1762="",0,COUNTIFS($A$2:$A$3058,A1762,$P$2:$P$3058,"OK"))</f>
        <v>1</v>
      </c>
      <c r="S1762" s="7" t="str">
        <f aca="false">IF(OR(A1762="",P1762="DUP",R1762&lt;2),"",IF(Q1762=_xlfn.MINIFS($Q$2:$Q$3058,$A$2:$A$3058,A1762,$P$2:$P$3058,"OK"),"KEEP","DROP"))</f>
        <v/>
      </c>
      <c r="T1762" s="9" t="n">
        <f aca="false">IF(A1762="",1,0)</f>
        <v>0</v>
      </c>
      <c r="U1762" s="9" t="n">
        <f aca="false">IF(D1762="",1,0)</f>
        <v>0</v>
      </c>
      <c r="V1762" s="9" t="n">
        <f aca="false">IF(E1762="",1,0)</f>
        <v>0</v>
      </c>
      <c r="W1762" s="9" t="n">
        <f aca="false">IF(OR(H1762&lt;1,H1762&gt;10),1,0)</f>
        <v>0</v>
      </c>
      <c r="X1762" s="9" t="n">
        <f aca="false">IF(OR(I1762&lt;=0,I1762&gt;1500),1,0)</f>
        <v>0</v>
      </c>
      <c r="Y1762" s="9" t="n">
        <f aca="false">IF(J1762&gt;H1762*I1762,1,0)</f>
        <v>0</v>
      </c>
      <c r="Z1762" s="9" t="n">
        <f aca="false">IF(AND(N1762&lt;&gt;"",OR(N1762&lt;1,N1762&gt;5)),1,0)</f>
        <v>0</v>
      </c>
      <c r="AA1762" s="9" t="n">
        <f aca="false">IF(AND(M1762&lt;&gt;"",OR(M1762&lt;5,M1762&gt;180)),1,0)</f>
        <v>0</v>
      </c>
      <c r="AB1762" s="7" t="str">
        <f aca="false">IF(P1762="DUP","Exact duplicate row",IF(T1762=1,"Missing Order ID",IF(S1762="DROP","Duplicate Order ID (less complete row)",IF(U1762=1,"Missing Customer ID",IF(V1762=1,"Missing Restaurant name",IF(W1762=1,"Invalid/outlier quantity",IF(X1762=1,"Invalid/outlier unit price",IF(Y1762=1,"Discount greater than order value",""))))))))</f>
        <v/>
      </c>
      <c r="AC1762" s="7" t="str">
        <f aca="false">IF(AB1762="","KEEP","DROP")</f>
        <v>KEEP</v>
      </c>
      <c r="AD1762" s="7" t="str">
        <f aca="false">IF(TRIM(F1762)="",IFERROR(INDEX(Map_Tables!$I$4:$I$37,MATCH(TRIM(E1762),Map_Tables!$G$4:$G$37,0)),""),IFERROR(INDEX(Map_Tables!$B$4:$B$18,MATCH(TRIM(F1762),Map_Tables!$A$4:$A$18,0)),"CHECK"))</f>
        <v>Pune</v>
      </c>
      <c r="AE1762" s="7" t="str">
        <f aca="false">IF(TRIM(E1762)="","",IFERROR(INDEX(Map_Tables!$H$4:$H$37,MATCH(TRIM(E1762),Map_Tables!$G$4:$G$37,0)),"CHECK"))</f>
        <v>Cake Walk</v>
      </c>
      <c r="AF1762" s="7" t="str">
        <f aca="false">IF(TRIM(K1762)="","Unknown",IFERROR(INDEX(Map_Tables!$E$4:$E$15,MATCH(TRIM(K1762),Map_Tables!$D$4:$D$15,0)),"CHECK"))</f>
        <v>Net Banking</v>
      </c>
      <c r="AG1762" s="7" t="str">
        <f aca="false">IF(LEFT(LOWER(TRIM(L1762)),6)="cancel","Cancelled","Delivered")</f>
        <v>Delivered</v>
      </c>
      <c r="AH1762" s="10" t="n">
        <f aca="false">IF(ISNUMBER(SEARCH("/",B1762)),DATE(VALUE(RIGHT(B1762,4)),VALUE(MID(B1762,4,2)),VALUE(LEFT(B1762,2))),IF(MID(B1762,5,1)="-",DATE(VALUE(LEFT(B1762,4)),VALUE(MID(B1762,6,2)),VALUE(RIGHT(B1762,2))),DATE(VALUE(RIGHT(B1762,4)),MATCH(MID(B1762,4,3),{"Jan","Feb","Mar","Apr","May","Jun","Jul","Aug","Sep","Oct","Nov","Dec"},0),VALUE(LEFT(B1762,2)))))</f>
        <v>45835</v>
      </c>
    </row>
    <row r="1763" customFormat="false" ht="15" hidden="false" customHeight="false" outlineLevel="0" collapsed="false">
      <c r="A1763" s="7" t="s">
        <v>4371</v>
      </c>
      <c r="B1763" s="7" t="s">
        <v>2141</v>
      </c>
      <c r="C1763" s="7" t="s">
        <v>2957</v>
      </c>
      <c r="D1763" s="7" t="s">
        <v>2459</v>
      </c>
      <c r="E1763" s="7" t="s">
        <v>98</v>
      </c>
      <c r="F1763" s="7" t="s">
        <v>928</v>
      </c>
      <c r="G1763" s="7" t="s">
        <v>99</v>
      </c>
      <c r="H1763" s="7" t="n">
        <v>1</v>
      </c>
      <c r="I1763" s="7" t="n">
        <v>270</v>
      </c>
      <c r="J1763" s="7" t="n">
        <v>0</v>
      </c>
      <c r="K1763" s="7" t="s">
        <v>88</v>
      </c>
      <c r="L1763" s="7" t="s">
        <v>194</v>
      </c>
      <c r="M1763" s="7" t="n">
        <v>39</v>
      </c>
      <c r="N1763" s="7" t="n">
        <v>5</v>
      </c>
      <c r="O1763" s="7" t="str">
        <f aca="false">A1763&amp;"|"&amp;B1763&amp;"|"&amp;C1763&amp;"|"&amp;D1763&amp;"|"&amp;E1763&amp;"|"&amp;F1763&amp;"|"&amp;G1763&amp;"|"&amp;H1763&amp;"|"&amp;I1763&amp;"|"&amp;J1763&amp;"|"&amp;K1763&amp;"|"&amp;L1763&amp;"|"&amp;M1763&amp;"|"&amp;N1763</f>
        <v>ORD12100|2025-09-27|19:42|C0846|Nawabi Biryani House|Bangalore|Biryani|1|270|0|UPI|Delivered|39|5</v>
      </c>
      <c r="P1763" s="7" t="str">
        <f aca="false">IF(COUNTIF($O$2:O1763,O1763)&gt;1,"DUP","OK")</f>
        <v>OK</v>
      </c>
      <c r="Q1763" s="7" t="n">
        <f aca="false">COUNTBLANK(A1763:N1763)</f>
        <v>0</v>
      </c>
      <c r="R1763" s="7" t="n">
        <f aca="false">IF(A1763="",0,COUNTIFS($A$2:$A$3058,A1763,$P$2:$P$3058,"OK"))</f>
        <v>1</v>
      </c>
      <c r="S1763" s="7" t="str">
        <f aca="false">IF(OR(A1763="",P1763="DUP",R1763&lt;2),"",IF(Q1763=_xlfn.MINIFS($Q$2:$Q$3058,$A$2:$A$3058,A1763,$P$2:$P$3058,"OK"),"KEEP","DROP"))</f>
        <v/>
      </c>
      <c r="T1763" s="9" t="n">
        <f aca="false">IF(A1763="",1,0)</f>
        <v>0</v>
      </c>
      <c r="U1763" s="9" t="n">
        <f aca="false">IF(D1763="",1,0)</f>
        <v>0</v>
      </c>
      <c r="V1763" s="9" t="n">
        <f aca="false">IF(E1763="",1,0)</f>
        <v>0</v>
      </c>
      <c r="W1763" s="9" t="n">
        <f aca="false">IF(OR(H1763&lt;1,H1763&gt;10),1,0)</f>
        <v>0</v>
      </c>
      <c r="X1763" s="9" t="n">
        <f aca="false">IF(OR(I1763&lt;=0,I1763&gt;1500),1,0)</f>
        <v>0</v>
      </c>
      <c r="Y1763" s="9" t="n">
        <f aca="false">IF(J1763&gt;H1763*I1763,1,0)</f>
        <v>0</v>
      </c>
      <c r="Z1763" s="9" t="n">
        <f aca="false">IF(AND(N1763&lt;&gt;"",OR(N1763&lt;1,N1763&gt;5)),1,0)</f>
        <v>0</v>
      </c>
      <c r="AA1763" s="9" t="n">
        <f aca="false">IF(AND(M1763&lt;&gt;"",OR(M1763&lt;5,M1763&gt;180)),1,0)</f>
        <v>0</v>
      </c>
      <c r="AB1763" s="7" t="str">
        <f aca="false">IF(P1763="DUP","Exact duplicate row",IF(T1763=1,"Missing Order ID",IF(S1763="DROP","Duplicate Order ID (less complete row)",IF(U1763=1,"Missing Customer ID",IF(V1763=1,"Missing Restaurant name",IF(W1763=1,"Invalid/outlier quantity",IF(X1763=1,"Invalid/outlier unit price",IF(Y1763=1,"Discount greater than order value",""))))))))</f>
        <v/>
      </c>
      <c r="AC1763" s="7" t="str">
        <f aca="false">IF(AB1763="","KEEP","DROP")</f>
        <v>KEEP</v>
      </c>
      <c r="AD1763" s="7" t="str">
        <f aca="false">IF(TRIM(F1763)="",IFERROR(INDEX(Map_Tables!$I$4:$I$37,MATCH(TRIM(E1763),Map_Tables!$G$4:$G$37,0)),""),IFERROR(INDEX(Map_Tables!$B$4:$B$18,MATCH(TRIM(F1763),Map_Tables!$A$4:$A$18,0)),"CHECK"))</f>
        <v>Bengaluru</v>
      </c>
      <c r="AE1763" s="7" t="str">
        <f aca="false">IF(TRIM(E1763)="","",IFERROR(INDEX(Map_Tables!$H$4:$H$37,MATCH(TRIM(E1763),Map_Tables!$G$4:$G$37,0)),"CHECK"))</f>
        <v>Nawabi Biryani House</v>
      </c>
      <c r="AF1763" s="7" t="str">
        <f aca="false">IF(TRIM(K1763)="","Unknown",IFERROR(INDEX(Map_Tables!$E$4:$E$15,MATCH(TRIM(K1763),Map_Tables!$D$4:$D$15,0)),"CHECK"))</f>
        <v>UPI</v>
      </c>
      <c r="AG1763" s="7" t="str">
        <f aca="false">IF(LEFT(LOWER(TRIM(L1763)),6)="cancel","Cancelled","Delivered")</f>
        <v>Delivered</v>
      </c>
      <c r="AH1763" s="10" t="n">
        <f aca="false">IF(ISNUMBER(SEARCH("/",B1763)),DATE(VALUE(RIGHT(B1763,4)),VALUE(MID(B1763,4,2)),VALUE(LEFT(B1763,2))),IF(MID(B1763,5,1)="-",DATE(VALUE(LEFT(B1763,4)),VALUE(MID(B1763,6,2)),VALUE(RIGHT(B1763,2))),DATE(VALUE(RIGHT(B1763,4)),MATCH(MID(B1763,4,3),{"Jan","Feb","Mar","Apr","May","Jun","Jul","Aug","Sep","Oct","Nov","Dec"},0),VALUE(LEFT(B1763,2)))))</f>
        <v>45927</v>
      </c>
    </row>
    <row r="1764" customFormat="false" ht="15" hidden="false" customHeight="false" outlineLevel="0" collapsed="false">
      <c r="A1764" s="7" t="s">
        <v>4372</v>
      </c>
      <c r="B1764" s="7" t="s">
        <v>4373</v>
      </c>
      <c r="C1764" s="7" t="s">
        <v>1674</v>
      </c>
      <c r="D1764" s="7" t="s">
        <v>3428</v>
      </c>
      <c r="E1764" s="7" t="s">
        <v>2379</v>
      </c>
      <c r="F1764" s="7" t="s">
        <v>146</v>
      </c>
      <c r="G1764" s="7" t="s">
        <v>123</v>
      </c>
      <c r="H1764" s="7" t="n">
        <v>3</v>
      </c>
      <c r="I1764" s="7" t="n">
        <v>345</v>
      </c>
      <c r="J1764" s="7" t="n">
        <v>0</v>
      </c>
      <c r="K1764" s="7" t="s">
        <v>93</v>
      </c>
      <c r="L1764" s="7" t="s">
        <v>194</v>
      </c>
      <c r="M1764" s="7" t="n">
        <v>33</v>
      </c>
      <c r="N1764" s="7" t="n">
        <v>4</v>
      </c>
      <c r="O1764" s="7" t="str">
        <f aca="false">A1764&amp;"|"&amp;B1764&amp;"|"&amp;C1764&amp;"|"&amp;D1764&amp;"|"&amp;E1764&amp;"|"&amp;F1764&amp;"|"&amp;G1764&amp;"|"&amp;H1764&amp;"|"&amp;I1764&amp;"|"&amp;J1764&amp;"|"&amp;K1764&amp;"|"&amp;L1764&amp;"|"&amp;M1764&amp;"|"&amp;N1764</f>
        <v>ORD12479|2025-11-07|17:34|C1156|CHEESY SLICE|Ahmedabad|Pizza|3|345|0|Credit Card|Delivered|33|4</v>
      </c>
      <c r="P1764" s="7" t="str">
        <f aca="false">IF(COUNTIF($O$2:O1764,O1764)&gt;1,"DUP","OK")</f>
        <v>OK</v>
      </c>
      <c r="Q1764" s="7" t="n">
        <f aca="false">COUNTBLANK(A1764:N1764)</f>
        <v>0</v>
      </c>
      <c r="R1764" s="7" t="n">
        <f aca="false">IF(A1764="",0,COUNTIFS($A$2:$A$3058,A1764,$P$2:$P$3058,"OK"))</f>
        <v>1</v>
      </c>
      <c r="S1764" s="7" t="str">
        <f aca="false">IF(OR(A1764="",P1764="DUP",R1764&lt;2),"",IF(Q1764=_xlfn.MINIFS($Q$2:$Q$3058,$A$2:$A$3058,A1764,$P$2:$P$3058,"OK"),"KEEP","DROP"))</f>
        <v/>
      </c>
      <c r="T1764" s="9" t="n">
        <f aca="false">IF(A1764="",1,0)</f>
        <v>0</v>
      </c>
      <c r="U1764" s="9" t="n">
        <f aca="false">IF(D1764="",1,0)</f>
        <v>0</v>
      </c>
      <c r="V1764" s="9" t="n">
        <f aca="false">IF(E1764="",1,0)</f>
        <v>0</v>
      </c>
      <c r="W1764" s="9" t="n">
        <f aca="false">IF(OR(H1764&lt;1,H1764&gt;10),1,0)</f>
        <v>0</v>
      </c>
      <c r="X1764" s="9" t="n">
        <f aca="false">IF(OR(I1764&lt;=0,I1764&gt;1500),1,0)</f>
        <v>0</v>
      </c>
      <c r="Y1764" s="9" t="n">
        <f aca="false">IF(J1764&gt;H1764*I1764,1,0)</f>
        <v>0</v>
      </c>
      <c r="Z1764" s="9" t="n">
        <f aca="false">IF(AND(N1764&lt;&gt;"",OR(N1764&lt;1,N1764&gt;5)),1,0)</f>
        <v>0</v>
      </c>
      <c r="AA1764" s="9" t="n">
        <f aca="false">IF(AND(M1764&lt;&gt;"",OR(M1764&lt;5,M1764&gt;180)),1,0)</f>
        <v>0</v>
      </c>
      <c r="AB1764" s="7" t="str">
        <f aca="false">IF(P1764="DUP","Exact duplicate row",IF(T1764=1,"Missing Order ID",IF(S1764="DROP","Duplicate Order ID (less complete row)",IF(U1764=1,"Missing Customer ID",IF(V1764=1,"Missing Restaurant name",IF(W1764=1,"Invalid/outlier quantity",IF(X1764=1,"Invalid/outlier unit price",IF(Y1764=1,"Discount greater than order value",""))))))))</f>
        <v/>
      </c>
      <c r="AC1764" s="7" t="str">
        <f aca="false">IF(AB1764="","KEEP","DROP")</f>
        <v>KEEP</v>
      </c>
      <c r="AD1764" s="7" t="str">
        <f aca="false">IF(TRIM(F1764)="",IFERROR(INDEX(Map_Tables!$I$4:$I$37,MATCH(TRIM(E1764),Map_Tables!$G$4:$G$37,0)),""),IFERROR(INDEX(Map_Tables!$B$4:$B$18,MATCH(TRIM(F1764),Map_Tables!$A$4:$A$18,0)),"CHECK"))</f>
        <v>Ahmedabad</v>
      </c>
      <c r="AE1764" s="7" t="str">
        <f aca="false">IF(TRIM(E1764)="","",IFERROR(INDEX(Map_Tables!$H$4:$H$37,MATCH(TRIM(E1764),Map_Tables!$G$4:$G$37,0)),"CHECK"))</f>
        <v>Cheesy Slice</v>
      </c>
      <c r="AF1764" s="7" t="str">
        <f aca="false">IF(TRIM(K1764)="","Unknown",IFERROR(INDEX(Map_Tables!$E$4:$E$15,MATCH(TRIM(K1764),Map_Tables!$D$4:$D$15,0)),"CHECK"))</f>
        <v>Credit Card</v>
      </c>
      <c r="AG1764" s="7" t="str">
        <f aca="false">IF(LEFT(LOWER(TRIM(L1764)),6)="cancel","Cancelled","Delivered")</f>
        <v>Delivered</v>
      </c>
      <c r="AH1764" s="10" t="n">
        <f aca="false">IF(ISNUMBER(SEARCH("/",B1764)),DATE(VALUE(RIGHT(B1764,4)),VALUE(MID(B1764,4,2)),VALUE(LEFT(B1764,2))),IF(MID(B1764,5,1)="-",DATE(VALUE(LEFT(B1764,4)),VALUE(MID(B1764,6,2)),VALUE(RIGHT(B1764,2))),DATE(VALUE(RIGHT(B1764,4)),MATCH(MID(B1764,4,3),{"Jan","Feb","Mar","Apr","May","Jun","Jul","Aug","Sep","Oct","Nov","Dec"},0),VALUE(LEFT(B1764,2)))))</f>
        <v>45968</v>
      </c>
    </row>
    <row r="1765" customFormat="false" ht="15" hidden="false" customHeight="false" outlineLevel="0" collapsed="false">
      <c r="A1765" s="7" t="s">
        <v>4374</v>
      </c>
      <c r="B1765" s="7" t="s">
        <v>528</v>
      </c>
      <c r="C1765" s="7" t="s">
        <v>1620</v>
      </c>
      <c r="D1765" s="7" t="s">
        <v>4237</v>
      </c>
      <c r="E1765" s="7" t="s">
        <v>144</v>
      </c>
      <c r="F1765" s="7" t="s">
        <v>119</v>
      </c>
      <c r="G1765" s="7" t="s">
        <v>99</v>
      </c>
      <c r="H1765" s="7" t="n">
        <v>1</v>
      </c>
      <c r="I1765" s="7" t="n">
        <v>340</v>
      </c>
      <c r="J1765" s="7" t="n">
        <v>0</v>
      </c>
      <c r="K1765" s="7"/>
      <c r="L1765" s="7" t="s">
        <v>194</v>
      </c>
      <c r="M1765" s="7" t="n">
        <v>26</v>
      </c>
      <c r="N1765" s="7" t="n">
        <v>4</v>
      </c>
      <c r="O1765" s="7" t="str">
        <f aca="false">A1765&amp;"|"&amp;B1765&amp;"|"&amp;C1765&amp;"|"&amp;D1765&amp;"|"&amp;E1765&amp;"|"&amp;F1765&amp;"|"&amp;G1765&amp;"|"&amp;H1765&amp;"|"&amp;I1765&amp;"|"&amp;J1765&amp;"|"&amp;K1765&amp;"|"&amp;L1765&amp;"|"&amp;M1765&amp;"|"&amp;N1765</f>
        <v>ORD12120|2025-09-29|21:37|C0683|Hyderabad Dum Biryani|Hyderabad|Biryani|1|340|0||Delivered|26|4</v>
      </c>
      <c r="P1765" s="7" t="str">
        <f aca="false">IF(COUNTIF($O$2:O1765,O1765)&gt;1,"DUP","OK")</f>
        <v>OK</v>
      </c>
      <c r="Q1765" s="7" t="n">
        <f aca="false">COUNTBLANK(A1765:N1765)</f>
        <v>1</v>
      </c>
      <c r="R1765" s="7" t="n">
        <f aca="false">IF(A1765="",0,COUNTIFS($A$2:$A$3058,A1765,$P$2:$P$3058,"OK"))</f>
        <v>1</v>
      </c>
      <c r="S1765" s="7" t="str">
        <f aca="false">IF(OR(A1765="",P1765="DUP",R1765&lt;2),"",IF(Q1765=_xlfn.MINIFS($Q$2:$Q$3058,$A$2:$A$3058,A1765,$P$2:$P$3058,"OK"),"KEEP","DROP"))</f>
        <v/>
      </c>
      <c r="T1765" s="9" t="n">
        <f aca="false">IF(A1765="",1,0)</f>
        <v>0</v>
      </c>
      <c r="U1765" s="9" t="n">
        <f aca="false">IF(D1765="",1,0)</f>
        <v>0</v>
      </c>
      <c r="V1765" s="9" t="n">
        <f aca="false">IF(E1765="",1,0)</f>
        <v>0</v>
      </c>
      <c r="W1765" s="9" t="n">
        <f aca="false">IF(OR(H1765&lt;1,H1765&gt;10),1,0)</f>
        <v>0</v>
      </c>
      <c r="X1765" s="9" t="n">
        <f aca="false">IF(OR(I1765&lt;=0,I1765&gt;1500),1,0)</f>
        <v>0</v>
      </c>
      <c r="Y1765" s="9" t="n">
        <f aca="false">IF(J1765&gt;H1765*I1765,1,0)</f>
        <v>0</v>
      </c>
      <c r="Z1765" s="9" t="n">
        <f aca="false">IF(AND(N1765&lt;&gt;"",OR(N1765&lt;1,N1765&gt;5)),1,0)</f>
        <v>0</v>
      </c>
      <c r="AA1765" s="9" t="n">
        <f aca="false">IF(AND(M1765&lt;&gt;"",OR(M1765&lt;5,M1765&gt;180)),1,0)</f>
        <v>0</v>
      </c>
      <c r="AB1765" s="7" t="str">
        <f aca="false">IF(P1765="DUP","Exact duplicate row",IF(T1765=1,"Missing Order ID",IF(S1765="DROP","Duplicate Order ID (less complete row)",IF(U1765=1,"Missing Customer ID",IF(V1765=1,"Missing Restaurant name",IF(W1765=1,"Invalid/outlier quantity",IF(X1765=1,"Invalid/outlier unit price",IF(Y1765=1,"Discount greater than order value",""))))))))</f>
        <v/>
      </c>
      <c r="AC1765" s="7" t="str">
        <f aca="false">IF(AB1765="","KEEP","DROP")</f>
        <v>KEEP</v>
      </c>
      <c r="AD1765" s="7" t="str">
        <f aca="false">IF(TRIM(F1765)="",IFERROR(INDEX(Map_Tables!$I$4:$I$37,MATCH(TRIM(E1765),Map_Tables!$G$4:$G$37,0)),""),IFERROR(INDEX(Map_Tables!$B$4:$B$18,MATCH(TRIM(F1765),Map_Tables!$A$4:$A$18,0)),"CHECK"))</f>
        <v>Hyderabad</v>
      </c>
      <c r="AE1765" s="7" t="str">
        <f aca="false">IF(TRIM(E1765)="","",IFERROR(INDEX(Map_Tables!$H$4:$H$37,MATCH(TRIM(E1765),Map_Tables!$G$4:$G$37,0)),"CHECK"))</f>
        <v>Hyderabad Dum Biryani</v>
      </c>
      <c r="AF1765" s="7" t="str">
        <f aca="false">IF(TRIM(K1765)="","Unknown",IFERROR(INDEX(Map_Tables!$E$4:$E$15,MATCH(TRIM(K1765),Map_Tables!$D$4:$D$15,0)),"CHECK"))</f>
        <v>Unknown</v>
      </c>
      <c r="AG1765" s="7" t="str">
        <f aca="false">IF(LEFT(LOWER(TRIM(L1765)),6)="cancel","Cancelled","Delivered")</f>
        <v>Delivered</v>
      </c>
      <c r="AH1765" s="10" t="n">
        <f aca="false">IF(ISNUMBER(SEARCH("/",B1765)),DATE(VALUE(RIGHT(B1765,4)),VALUE(MID(B1765,4,2)),VALUE(LEFT(B1765,2))),IF(MID(B1765,5,1)="-",DATE(VALUE(LEFT(B1765,4)),VALUE(MID(B1765,6,2)),VALUE(RIGHT(B1765,2))),DATE(VALUE(RIGHT(B1765,4)),MATCH(MID(B1765,4,3),{"Jan","Feb","Mar","Apr","May","Jun","Jul","Aug","Sep","Oct","Nov","Dec"},0),VALUE(LEFT(B1765,2)))))</f>
        <v>45929</v>
      </c>
    </row>
    <row r="1766" customFormat="false" ht="15" hidden="false" customHeight="false" outlineLevel="0" collapsed="false">
      <c r="A1766" s="7" t="s">
        <v>4375</v>
      </c>
      <c r="B1766" s="7" t="s">
        <v>2357</v>
      </c>
      <c r="C1766" s="7" t="s">
        <v>3725</v>
      </c>
      <c r="D1766" s="7" t="s">
        <v>2077</v>
      </c>
      <c r="E1766" s="7" t="s">
        <v>94</v>
      </c>
      <c r="F1766" s="7" t="s">
        <v>928</v>
      </c>
      <c r="G1766" s="7" t="s">
        <v>95</v>
      </c>
      <c r="H1766" s="7" t="n">
        <v>1</v>
      </c>
      <c r="I1766" s="7" t="n">
        <v>125</v>
      </c>
      <c r="J1766" s="7" t="n">
        <v>0</v>
      </c>
      <c r="K1766" s="7" t="s">
        <v>112</v>
      </c>
      <c r="L1766" s="7" t="s">
        <v>194</v>
      </c>
      <c r="M1766" s="7" t="n">
        <v>36</v>
      </c>
      <c r="N1766" s="7" t="n">
        <v>4</v>
      </c>
      <c r="O1766" s="7" t="str">
        <f aca="false">A1766&amp;"|"&amp;B1766&amp;"|"&amp;C1766&amp;"|"&amp;D1766&amp;"|"&amp;E1766&amp;"|"&amp;F1766&amp;"|"&amp;G1766&amp;"|"&amp;H1766&amp;"|"&amp;I1766&amp;"|"&amp;J1766&amp;"|"&amp;K1766&amp;"|"&amp;L1766&amp;"|"&amp;M1766&amp;"|"&amp;N1766</f>
        <v>ORD11894|2025-09-04|10:22|C0006|Dosa Darbar|Bangalore|South Indian|1|125|0|Cash on Delivery|Delivered|36|4</v>
      </c>
      <c r="P1766" s="7" t="str">
        <f aca="false">IF(COUNTIF($O$2:O1766,O1766)&gt;1,"DUP","OK")</f>
        <v>OK</v>
      </c>
      <c r="Q1766" s="7" t="n">
        <f aca="false">COUNTBLANK(A1766:N1766)</f>
        <v>0</v>
      </c>
      <c r="R1766" s="7" t="n">
        <f aca="false">IF(A1766="",0,COUNTIFS($A$2:$A$3058,A1766,$P$2:$P$3058,"OK"))</f>
        <v>1</v>
      </c>
      <c r="S1766" s="7" t="str">
        <f aca="false">IF(OR(A1766="",P1766="DUP",R1766&lt;2),"",IF(Q1766=_xlfn.MINIFS($Q$2:$Q$3058,$A$2:$A$3058,A1766,$P$2:$P$3058,"OK"),"KEEP","DROP"))</f>
        <v/>
      </c>
      <c r="T1766" s="9" t="n">
        <f aca="false">IF(A1766="",1,0)</f>
        <v>0</v>
      </c>
      <c r="U1766" s="9" t="n">
        <f aca="false">IF(D1766="",1,0)</f>
        <v>0</v>
      </c>
      <c r="V1766" s="9" t="n">
        <f aca="false">IF(E1766="",1,0)</f>
        <v>0</v>
      </c>
      <c r="W1766" s="9" t="n">
        <f aca="false">IF(OR(H1766&lt;1,H1766&gt;10),1,0)</f>
        <v>0</v>
      </c>
      <c r="X1766" s="9" t="n">
        <f aca="false">IF(OR(I1766&lt;=0,I1766&gt;1500),1,0)</f>
        <v>0</v>
      </c>
      <c r="Y1766" s="9" t="n">
        <f aca="false">IF(J1766&gt;H1766*I1766,1,0)</f>
        <v>0</v>
      </c>
      <c r="Z1766" s="9" t="n">
        <f aca="false">IF(AND(N1766&lt;&gt;"",OR(N1766&lt;1,N1766&gt;5)),1,0)</f>
        <v>0</v>
      </c>
      <c r="AA1766" s="9" t="n">
        <f aca="false">IF(AND(M1766&lt;&gt;"",OR(M1766&lt;5,M1766&gt;180)),1,0)</f>
        <v>0</v>
      </c>
      <c r="AB1766" s="7" t="str">
        <f aca="false">IF(P1766="DUP","Exact duplicate row",IF(T1766=1,"Missing Order ID",IF(S1766="DROP","Duplicate Order ID (less complete row)",IF(U1766=1,"Missing Customer ID",IF(V1766=1,"Missing Restaurant name",IF(W1766=1,"Invalid/outlier quantity",IF(X1766=1,"Invalid/outlier unit price",IF(Y1766=1,"Discount greater than order value",""))))))))</f>
        <v/>
      </c>
      <c r="AC1766" s="7" t="str">
        <f aca="false">IF(AB1766="","KEEP","DROP")</f>
        <v>KEEP</v>
      </c>
      <c r="AD1766" s="7" t="str">
        <f aca="false">IF(TRIM(F1766)="",IFERROR(INDEX(Map_Tables!$I$4:$I$37,MATCH(TRIM(E1766),Map_Tables!$G$4:$G$37,0)),""),IFERROR(INDEX(Map_Tables!$B$4:$B$18,MATCH(TRIM(F1766),Map_Tables!$A$4:$A$18,0)),"CHECK"))</f>
        <v>Bengaluru</v>
      </c>
      <c r="AE1766" s="7" t="str">
        <f aca="false">IF(TRIM(E1766)="","",IFERROR(INDEX(Map_Tables!$H$4:$H$37,MATCH(TRIM(E1766),Map_Tables!$G$4:$G$37,0)),"CHECK"))</f>
        <v>Dosa Darbar</v>
      </c>
      <c r="AF1766" s="7" t="str">
        <f aca="false">IF(TRIM(K1766)="","Unknown",IFERROR(INDEX(Map_Tables!$E$4:$E$15,MATCH(TRIM(K1766),Map_Tables!$D$4:$D$15,0)),"CHECK"))</f>
        <v>Cash on Delivery</v>
      </c>
      <c r="AG1766" s="7" t="str">
        <f aca="false">IF(LEFT(LOWER(TRIM(L1766)),6)="cancel","Cancelled","Delivered")</f>
        <v>Delivered</v>
      </c>
      <c r="AH1766" s="10" t="n">
        <f aca="false">IF(ISNUMBER(SEARCH("/",B1766)),DATE(VALUE(RIGHT(B1766,4)),VALUE(MID(B1766,4,2)),VALUE(LEFT(B1766,2))),IF(MID(B1766,5,1)="-",DATE(VALUE(LEFT(B1766,4)),VALUE(MID(B1766,6,2)),VALUE(RIGHT(B1766,2))),DATE(VALUE(RIGHT(B1766,4)),MATCH(MID(B1766,4,3),{"Jan","Feb","Mar","Apr","May","Jun","Jul","Aug","Sep","Oct","Nov","Dec"},0),VALUE(LEFT(B1766,2)))))</f>
        <v>45904</v>
      </c>
    </row>
    <row r="1767" customFormat="false" ht="15" hidden="false" customHeight="false" outlineLevel="0" collapsed="false">
      <c r="A1767" s="7" t="s">
        <v>4376</v>
      </c>
      <c r="B1767" s="7" t="s">
        <v>1894</v>
      </c>
      <c r="C1767" s="7" t="s">
        <v>4377</v>
      </c>
      <c r="D1767" s="7" t="s">
        <v>4378</v>
      </c>
      <c r="E1767" s="7" t="s">
        <v>154</v>
      </c>
      <c r="F1767" s="7" t="s">
        <v>806</v>
      </c>
      <c r="G1767" s="7" t="s">
        <v>99</v>
      </c>
      <c r="H1767" s="7" t="n">
        <v>4</v>
      </c>
      <c r="I1767" s="7" t="n">
        <v>300</v>
      </c>
      <c r="J1767" s="7" t="n">
        <v>50</v>
      </c>
      <c r="K1767" s="7" t="s">
        <v>133</v>
      </c>
      <c r="L1767" s="7" t="s">
        <v>194</v>
      </c>
      <c r="M1767" s="7" t="n">
        <v>33</v>
      </c>
      <c r="N1767" s="7" t="n">
        <v>4</v>
      </c>
      <c r="O1767" s="7" t="str">
        <f aca="false">A1767&amp;"|"&amp;B1767&amp;"|"&amp;C1767&amp;"|"&amp;D1767&amp;"|"&amp;E1767&amp;"|"&amp;F1767&amp;"|"&amp;G1767&amp;"|"&amp;H1767&amp;"|"&amp;I1767&amp;"|"&amp;J1767&amp;"|"&amp;K1767&amp;"|"&amp;L1767&amp;"|"&amp;M1767&amp;"|"&amp;N1767</f>
        <v>ORD10253|2025-02-02|15:44|C0791|Madras Biryani Co|Madras|Biryani|4|300|50|Net Banking|Delivered|33|4</v>
      </c>
      <c r="P1767" s="7" t="str">
        <f aca="false">IF(COUNTIF($O$2:O1767,O1767)&gt;1,"DUP","OK")</f>
        <v>OK</v>
      </c>
      <c r="Q1767" s="7" t="n">
        <f aca="false">COUNTBLANK(A1767:N1767)</f>
        <v>0</v>
      </c>
      <c r="R1767" s="7" t="n">
        <f aca="false">IF(A1767="",0,COUNTIFS($A$2:$A$3058,A1767,$P$2:$P$3058,"OK"))</f>
        <v>1</v>
      </c>
      <c r="S1767" s="7" t="str">
        <f aca="false">IF(OR(A1767="",P1767="DUP",R1767&lt;2),"",IF(Q1767=_xlfn.MINIFS($Q$2:$Q$3058,$A$2:$A$3058,A1767,$P$2:$P$3058,"OK"),"KEEP","DROP"))</f>
        <v/>
      </c>
      <c r="T1767" s="9" t="n">
        <f aca="false">IF(A1767="",1,0)</f>
        <v>0</v>
      </c>
      <c r="U1767" s="9" t="n">
        <f aca="false">IF(D1767="",1,0)</f>
        <v>0</v>
      </c>
      <c r="V1767" s="9" t="n">
        <f aca="false">IF(E1767="",1,0)</f>
        <v>0</v>
      </c>
      <c r="W1767" s="9" t="n">
        <f aca="false">IF(OR(H1767&lt;1,H1767&gt;10),1,0)</f>
        <v>0</v>
      </c>
      <c r="X1767" s="9" t="n">
        <f aca="false">IF(OR(I1767&lt;=0,I1767&gt;1500),1,0)</f>
        <v>0</v>
      </c>
      <c r="Y1767" s="9" t="n">
        <f aca="false">IF(J1767&gt;H1767*I1767,1,0)</f>
        <v>0</v>
      </c>
      <c r="Z1767" s="9" t="n">
        <f aca="false">IF(AND(N1767&lt;&gt;"",OR(N1767&lt;1,N1767&gt;5)),1,0)</f>
        <v>0</v>
      </c>
      <c r="AA1767" s="9" t="n">
        <f aca="false">IF(AND(M1767&lt;&gt;"",OR(M1767&lt;5,M1767&gt;180)),1,0)</f>
        <v>0</v>
      </c>
      <c r="AB1767" s="7" t="str">
        <f aca="false">IF(P1767="DUP","Exact duplicate row",IF(T1767=1,"Missing Order ID",IF(S1767="DROP","Duplicate Order ID (less complete row)",IF(U1767=1,"Missing Customer ID",IF(V1767=1,"Missing Restaurant name",IF(W1767=1,"Invalid/outlier quantity",IF(X1767=1,"Invalid/outlier unit price",IF(Y1767=1,"Discount greater than order value",""))))))))</f>
        <v/>
      </c>
      <c r="AC1767" s="7" t="str">
        <f aca="false">IF(AB1767="","KEEP","DROP")</f>
        <v>KEEP</v>
      </c>
      <c r="AD1767" s="7" t="str">
        <f aca="false">IF(TRIM(F1767)="",IFERROR(INDEX(Map_Tables!$I$4:$I$37,MATCH(TRIM(E1767),Map_Tables!$G$4:$G$37,0)),""),IFERROR(INDEX(Map_Tables!$B$4:$B$18,MATCH(TRIM(F1767),Map_Tables!$A$4:$A$18,0)),"CHECK"))</f>
        <v>Chennai</v>
      </c>
      <c r="AE1767" s="7" t="str">
        <f aca="false">IF(TRIM(E1767)="","",IFERROR(INDEX(Map_Tables!$H$4:$H$37,MATCH(TRIM(E1767),Map_Tables!$G$4:$G$37,0)),"CHECK"))</f>
        <v>Madras Biryani Co</v>
      </c>
      <c r="AF1767" s="7" t="str">
        <f aca="false">IF(TRIM(K1767)="","Unknown",IFERROR(INDEX(Map_Tables!$E$4:$E$15,MATCH(TRIM(K1767),Map_Tables!$D$4:$D$15,0)),"CHECK"))</f>
        <v>Net Banking</v>
      </c>
      <c r="AG1767" s="7" t="str">
        <f aca="false">IF(LEFT(LOWER(TRIM(L1767)),6)="cancel","Cancelled","Delivered")</f>
        <v>Delivered</v>
      </c>
      <c r="AH1767" s="10" t="n">
        <f aca="false">IF(ISNUMBER(SEARCH("/",B1767)),DATE(VALUE(RIGHT(B1767,4)),VALUE(MID(B1767,4,2)),VALUE(LEFT(B1767,2))),IF(MID(B1767,5,1)="-",DATE(VALUE(LEFT(B1767,4)),VALUE(MID(B1767,6,2)),VALUE(RIGHT(B1767,2))),DATE(VALUE(RIGHT(B1767,4)),MATCH(MID(B1767,4,3),{"Jan","Feb","Mar","Apr","May","Jun","Jul","Aug","Sep","Oct","Nov","Dec"},0),VALUE(LEFT(B1767,2)))))</f>
        <v>45690</v>
      </c>
    </row>
    <row r="1768" customFormat="false" ht="15" hidden="false" customHeight="false" outlineLevel="0" collapsed="false">
      <c r="A1768" s="7" t="s">
        <v>4379</v>
      </c>
      <c r="B1768" s="7" t="s">
        <v>2679</v>
      </c>
      <c r="C1768" s="7" t="s">
        <v>1779</v>
      </c>
      <c r="D1768" s="7" t="s">
        <v>4380</v>
      </c>
      <c r="E1768" s="7" t="s">
        <v>89</v>
      </c>
      <c r="F1768" s="7" t="s">
        <v>86</v>
      </c>
      <c r="G1768" s="7" t="s">
        <v>90</v>
      </c>
      <c r="H1768" s="7" t="n">
        <v>3</v>
      </c>
      <c r="I1768" s="7" t="n">
        <v>210</v>
      </c>
      <c r="J1768" s="7" t="n">
        <v>0</v>
      </c>
      <c r="K1768" s="7" t="s">
        <v>121</v>
      </c>
      <c r="L1768" s="7" t="s">
        <v>194</v>
      </c>
      <c r="M1768" s="7" t="n">
        <v>35</v>
      </c>
      <c r="N1768" s="7"/>
      <c r="O1768" s="7" t="str">
        <f aca="false">A1768&amp;"|"&amp;B1768&amp;"|"&amp;C1768&amp;"|"&amp;D1768&amp;"|"&amp;E1768&amp;"|"&amp;F1768&amp;"|"&amp;G1768&amp;"|"&amp;H1768&amp;"|"&amp;I1768&amp;"|"&amp;J1768&amp;"|"&amp;K1768&amp;"|"&amp;L1768&amp;"|"&amp;M1768&amp;"|"&amp;N1768</f>
        <v>ORD12514|11/11/2025|11:31|C0925|Spice Junction|Bengaluru|North Indian|3|210|0|Wallet|Delivered|35|</v>
      </c>
      <c r="P1768" s="7" t="str">
        <f aca="false">IF(COUNTIF($O$2:O1768,O1768)&gt;1,"DUP","OK")</f>
        <v>OK</v>
      </c>
      <c r="Q1768" s="7" t="n">
        <f aca="false">COUNTBLANK(A1768:N1768)</f>
        <v>1</v>
      </c>
      <c r="R1768" s="7" t="n">
        <f aca="false">IF(A1768="",0,COUNTIFS($A$2:$A$3058,A1768,$P$2:$P$3058,"OK"))</f>
        <v>1</v>
      </c>
      <c r="S1768" s="7" t="str">
        <f aca="false">IF(OR(A1768="",P1768="DUP",R1768&lt;2),"",IF(Q1768=_xlfn.MINIFS($Q$2:$Q$3058,$A$2:$A$3058,A1768,$P$2:$P$3058,"OK"),"KEEP","DROP"))</f>
        <v/>
      </c>
      <c r="T1768" s="9" t="n">
        <f aca="false">IF(A1768="",1,0)</f>
        <v>0</v>
      </c>
      <c r="U1768" s="9" t="n">
        <f aca="false">IF(D1768="",1,0)</f>
        <v>0</v>
      </c>
      <c r="V1768" s="9" t="n">
        <f aca="false">IF(E1768="",1,0)</f>
        <v>0</v>
      </c>
      <c r="W1768" s="9" t="n">
        <f aca="false">IF(OR(H1768&lt;1,H1768&gt;10),1,0)</f>
        <v>0</v>
      </c>
      <c r="X1768" s="9" t="n">
        <f aca="false">IF(OR(I1768&lt;=0,I1768&gt;1500),1,0)</f>
        <v>0</v>
      </c>
      <c r="Y1768" s="9" t="n">
        <f aca="false">IF(J1768&gt;H1768*I1768,1,0)</f>
        <v>0</v>
      </c>
      <c r="Z1768" s="9" t="n">
        <f aca="false">IF(AND(N1768&lt;&gt;"",OR(N1768&lt;1,N1768&gt;5)),1,0)</f>
        <v>0</v>
      </c>
      <c r="AA1768" s="9" t="n">
        <f aca="false">IF(AND(M1768&lt;&gt;"",OR(M1768&lt;5,M1768&gt;180)),1,0)</f>
        <v>0</v>
      </c>
      <c r="AB1768" s="7" t="str">
        <f aca="false">IF(P1768="DUP","Exact duplicate row",IF(T1768=1,"Missing Order ID",IF(S1768="DROP","Duplicate Order ID (less complete row)",IF(U1768=1,"Missing Customer ID",IF(V1768=1,"Missing Restaurant name",IF(W1768=1,"Invalid/outlier quantity",IF(X1768=1,"Invalid/outlier unit price",IF(Y1768=1,"Discount greater than order value",""))))))))</f>
        <v/>
      </c>
      <c r="AC1768" s="7" t="str">
        <f aca="false">IF(AB1768="","KEEP","DROP")</f>
        <v>KEEP</v>
      </c>
      <c r="AD1768" s="7" t="str">
        <f aca="false">IF(TRIM(F1768)="",IFERROR(INDEX(Map_Tables!$I$4:$I$37,MATCH(TRIM(E1768),Map_Tables!$G$4:$G$37,0)),""),IFERROR(INDEX(Map_Tables!$B$4:$B$18,MATCH(TRIM(F1768),Map_Tables!$A$4:$A$18,0)),"CHECK"))</f>
        <v>Bengaluru</v>
      </c>
      <c r="AE1768" s="7" t="str">
        <f aca="false">IF(TRIM(E1768)="","",IFERROR(INDEX(Map_Tables!$H$4:$H$37,MATCH(TRIM(E1768),Map_Tables!$G$4:$G$37,0)),"CHECK"))</f>
        <v>Spice Junction</v>
      </c>
      <c r="AF1768" s="7" t="str">
        <f aca="false">IF(TRIM(K1768)="","Unknown",IFERROR(INDEX(Map_Tables!$E$4:$E$15,MATCH(TRIM(K1768),Map_Tables!$D$4:$D$15,0)),"CHECK"))</f>
        <v>Wallet</v>
      </c>
      <c r="AG1768" s="7" t="str">
        <f aca="false">IF(LEFT(LOWER(TRIM(L1768)),6)="cancel","Cancelled","Delivered")</f>
        <v>Delivered</v>
      </c>
      <c r="AH1768" s="10" t="n">
        <f aca="false">IF(ISNUMBER(SEARCH("/",B1768)),DATE(VALUE(RIGHT(B1768,4)),VALUE(MID(B1768,4,2)),VALUE(LEFT(B1768,2))),IF(MID(B1768,5,1)="-",DATE(VALUE(LEFT(B1768,4)),VALUE(MID(B1768,6,2)),VALUE(RIGHT(B1768,2))),DATE(VALUE(RIGHT(B1768,4)),MATCH(MID(B1768,4,3),{"Jan","Feb","Mar","Apr","May","Jun","Jul","Aug","Sep","Oct","Nov","Dec"},0),VALUE(LEFT(B1768,2)))))</f>
        <v>45972</v>
      </c>
    </row>
    <row r="1769" customFormat="false" ht="15" hidden="false" customHeight="false" outlineLevel="0" collapsed="false">
      <c r="A1769" s="7" t="s">
        <v>4381</v>
      </c>
      <c r="B1769" s="7" t="s">
        <v>3614</v>
      </c>
      <c r="C1769" s="7" t="s">
        <v>280</v>
      </c>
      <c r="D1769" s="7" t="s">
        <v>2910</v>
      </c>
      <c r="E1769" s="7" t="s">
        <v>154</v>
      </c>
      <c r="F1769" s="7" t="s">
        <v>128</v>
      </c>
      <c r="G1769" s="7" t="s">
        <v>99</v>
      </c>
      <c r="H1769" s="7" t="n">
        <v>2</v>
      </c>
      <c r="I1769" s="7" t="n">
        <v>290</v>
      </c>
      <c r="J1769" s="7" t="n">
        <v>125</v>
      </c>
      <c r="K1769" s="7" t="s">
        <v>112</v>
      </c>
      <c r="L1769" s="7" t="s">
        <v>238</v>
      </c>
      <c r="M1769" s="7"/>
      <c r="N1769" s="7"/>
      <c r="O1769" s="7" t="str">
        <f aca="false">A1769&amp;"|"&amp;B1769&amp;"|"&amp;C1769&amp;"|"&amp;D1769&amp;"|"&amp;E1769&amp;"|"&amp;F1769&amp;"|"&amp;G1769&amp;"|"&amp;H1769&amp;"|"&amp;I1769&amp;"|"&amp;J1769&amp;"|"&amp;K1769&amp;"|"&amp;L1769&amp;"|"&amp;M1769&amp;"|"&amp;N1769</f>
        <v>ORD11439|05/07/2025|20:39|C1250|Madras Biryani Co|Chennai|Biryani|2|290|125|Cash on Delivery|Cancelled||</v>
      </c>
      <c r="P1769" s="7" t="str">
        <f aca="false">IF(COUNTIF($O$2:O1769,O1769)&gt;1,"DUP","OK")</f>
        <v>OK</v>
      </c>
      <c r="Q1769" s="7" t="n">
        <f aca="false">COUNTBLANK(A1769:N1769)</f>
        <v>2</v>
      </c>
      <c r="R1769" s="7" t="n">
        <f aca="false">IF(A1769="",0,COUNTIFS($A$2:$A$3058,A1769,$P$2:$P$3058,"OK"))</f>
        <v>1</v>
      </c>
      <c r="S1769" s="7" t="str">
        <f aca="false">IF(OR(A1769="",P1769="DUP",R1769&lt;2),"",IF(Q1769=_xlfn.MINIFS($Q$2:$Q$3058,$A$2:$A$3058,A1769,$P$2:$P$3058,"OK"),"KEEP","DROP"))</f>
        <v/>
      </c>
      <c r="T1769" s="9" t="n">
        <f aca="false">IF(A1769="",1,0)</f>
        <v>0</v>
      </c>
      <c r="U1769" s="9" t="n">
        <f aca="false">IF(D1769="",1,0)</f>
        <v>0</v>
      </c>
      <c r="V1769" s="9" t="n">
        <f aca="false">IF(E1769="",1,0)</f>
        <v>0</v>
      </c>
      <c r="W1769" s="9" t="n">
        <f aca="false">IF(OR(H1769&lt;1,H1769&gt;10),1,0)</f>
        <v>0</v>
      </c>
      <c r="X1769" s="9" t="n">
        <f aca="false">IF(OR(I1769&lt;=0,I1769&gt;1500),1,0)</f>
        <v>0</v>
      </c>
      <c r="Y1769" s="9" t="n">
        <f aca="false">IF(J1769&gt;H1769*I1769,1,0)</f>
        <v>0</v>
      </c>
      <c r="Z1769" s="9" t="n">
        <f aca="false">IF(AND(N1769&lt;&gt;"",OR(N1769&lt;1,N1769&gt;5)),1,0)</f>
        <v>0</v>
      </c>
      <c r="AA1769" s="9" t="n">
        <f aca="false">IF(AND(M1769&lt;&gt;"",OR(M1769&lt;5,M1769&gt;180)),1,0)</f>
        <v>0</v>
      </c>
      <c r="AB1769" s="7" t="str">
        <f aca="false">IF(P1769="DUP","Exact duplicate row",IF(T1769=1,"Missing Order ID",IF(S1769="DROP","Duplicate Order ID (less complete row)",IF(U1769=1,"Missing Customer ID",IF(V1769=1,"Missing Restaurant name",IF(W1769=1,"Invalid/outlier quantity",IF(X1769=1,"Invalid/outlier unit price",IF(Y1769=1,"Discount greater than order value",""))))))))</f>
        <v/>
      </c>
      <c r="AC1769" s="7" t="str">
        <f aca="false">IF(AB1769="","KEEP","DROP")</f>
        <v>KEEP</v>
      </c>
      <c r="AD1769" s="7" t="str">
        <f aca="false">IF(TRIM(F1769)="",IFERROR(INDEX(Map_Tables!$I$4:$I$37,MATCH(TRIM(E1769),Map_Tables!$G$4:$G$37,0)),""),IFERROR(INDEX(Map_Tables!$B$4:$B$18,MATCH(TRIM(F1769),Map_Tables!$A$4:$A$18,0)),"CHECK"))</f>
        <v>Chennai</v>
      </c>
      <c r="AE1769" s="7" t="str">
        <f aca="false">IF(TRIM(E1769)="","",IFERROR(INDEX(Map_Tables!$H$4:$H$37,MATCH(TRIM(E1769),Map_Tables!$G$4:$G$37,0)),"CHECK"))</f>
        <v>Madras Biryani Co</v>
      </c>
      <c r="AF1769" s="7" t="str">
        <f aca="false">IF(TRIM(K1769)="","Unknown",IFERROR(INDEX(Map_Tables!$E$4:$E$15,MATCH(TRIM(K1769),Map_Tables!$D$4:$D$15,0)),"CHECK"))</f>
        <v>Cash on Delivery</v>
      </c>
      <c r="AG1769" s="7" t="str">
        <f aca="false">IF(LEFT(LOWER(TRIM(L1769)),6)="cancel","Cancelled","Delivered")</f>
        <v>Cancelled</v>
      </c>
      <c r="AH1769" s="10" t="n">
        <f aca="false">IF(ISNUMBER(SEARCH("/",B1769)),DATE(VALUE(RIGHT(B1769,4)),VALUE(MID(B1769,4,2)),VALUE(LEFT(B1769,2))),IF(MID(B1769,5,1)="-",DATE(VALUE(LEFT(B1769,4)),VALUE(MID(B1769,6,2)),VALUE(RIGHT(B1769,2))),DATE(VALUE(RIGHT(B1769,4)),MATCH(MID(B1769,4,3),{"Jan","Feb","Mar","Apr","May","Jun","Jul","Aug","Sep","Oct","Nov","Dec"},0),VALUE(LEFT(B1769,2)))))</f>
        <v>45843</v>
      </c>
    </row>
    <row r="1770" customFormat="false" ht="15" hidden="false" customHeight="false" outlineLevel="0" collapsed="false">
      <c r="A1770" s="7" t="s">
        <v>4382</v>
      </c>
      <c r="B1770" s="7" t="s">
        <v>1814</v>
      </c>
      <c r="C1770" s="7" t="s">
        <v>4383</v>
      </c>
      <c r="D1770" s="7" t="s">
        <v>4384</v>
      </c>
      <c r="E1770" s="7" t="s">
        <v>144</v>
      </c>
      <c r="F1770" s="7" t="s">
        <v>119</v>
      </c>
      <c r="G1770" s="7" t="s">
        <v>99</v>
      </c>
      <c r="H1770" s="7" t="n">
        <v>3</v>
      </c>
      <c r="I1770" s="7" t="n">
        <v>300</v>
      </c>
      <c r="J1770" s="7" t="n">
        <v>0</v>
      </c>
      <c r="K1770" s="7" t="s">
        <v>88</v>
      </c>
      <c r="L1770" s="7" t="s">
        <v>238</v>
      </c>
      <c r="M1770" s="7"/>
      <c r="N1770" s="7"/>
      <c r="O1770" s="7" t="str">
        <f aca="false">A1770&amp;"|"&amp;B1770&amp;"|"&amp;C1770&amp;"|"&amp;D1770&amp;"|"&amp;E1770&amp;"|"&amp;F1770&amp;"|"&amp;G1770&amp;"|"&amp;H1770&amp;"|"&amp;I1770&amp;"|"&amp;J1770&amp;"|"&amp;K1770&amp;"|"&amp;L1770&amp;"|"&amp;M1770&amp;"|"&amp;N1770</f>
        <v>ORD10559|12/03/2025|13:53|C0755|Hyderabad Dum Biryani|Hyderabad|Biryani|3|300|0|UPI|Cancelled||</v>
      </c>
      <c r="P1770" s="7" t="str">
        <f aca="false">IF(COUNTIF($O$2:O1770,O1770)&gt;1,"DUP","OK")</f>
        <v>OK</v>
      </c>
      <c r="Q1770" s="7" t="n">
        <f aca="false">COUNTBLANK(A1770:N1770)</f>
        <v>2</v>
      </c>
      <c r="R1770" s="7" t="n">
        <f aca="false">IF(A1770="",0,COUNTIFS($A$2:$A$3058,A1770,$P$2:$P$3058,"OK"))</f>
        <v>1</v>
      </c>
      <c r="S1770" s="7" t="str">
        <f aca="false">IF(OR(A1770="",P1770="DUP",R1770&lt;2),"",IF(Q1770=_xlfn.MINIFS($Q$2:$Q$3058,$A$2:$A$3058,A1770,$P$2:$P$3058,"OK"),"KEEP","DROP"))</f>
        <v/>
      </c>
      <c r="T1770" s="9" t="n">
        <f aca="false">IF(A1770="",1,0)</f>
        <v>0</v>
      </c>
      <c r="U1770" s="9" t="n">
        <f aca="false">IF(D1770="",1,0)</f>
        <v>0</v>
      </c>
      <c r="V1770" s="9" t="n">
        <f aca="false">IF(E1770="",1,0)</f>
        <v>0</v>
      </c>
      <c r="W1770" s="9" t="n">
        <f aca="false">IF(OR(H1770&lt;1,H1770&gt;10),1,0)</f>
        <v>0</v>
      </c>
      <c r="X1770" s="9" t="n">
        <f aca="false">IF(OR(I1770&lt;=0,I1770&gt;1500),1,0)</f>
        <v>0</v>
      </c>
      <c r="Y1770" s="9" t="n">
        <f aca="false">IF(J1770&gt;H1770*I1770,1,0)</f>
        <v>0</v>
      </c>
      <c r="Z1770" s="9" t="n">
        <f aca="false">IF(AND(N1770&lt;&gt;"",OR(N1770&lt;1,N1770&gt;5)),1,0)</f>
        <v>0</v>
      </c>
      <c r="AA1770" s="9" t="n">
        <f aca="false">IF(AND(M1770&lt;&gt;"",OR(M1770&lt;5,M1770&gt;180)),1,0)</f>
        <v>0</v>
      </c>
      <c r="AB1770" s="7" t="str">
        <f aca="false">IF(P1770="DUP","Exact duplicate row",IF(T1770=1,"Missing Order ID",IF(S1770="DROP","Duplicate Order ID (less complete row)",IF(U1770=1,"Missing Customer ID",IF(V1770=1,"Missing Restaurant name",IF(W1770=1,"Invalid/outlier quantity",IF(X1770=1,"Invalid/outlier unit price",IF(Y1770=1,"Discount greater than order value",""))))))))</f>
        <v/>
      </c>
      <c r="AC1770" s="7" t="str">
        <f aca="false">IF(AB1770="","KEEP","DROP")</f>
        <v>KEEP</v>
      </c>
      <c r="AD1770" s="7" t="str">
        <f aca="false">IF(TRIM(F1770)="",IFERROR(INDEX(Map_Tables!$I$4:$I$37,MATCH(TRIM(E1770),Map_Tables!$G$4:$G$37,0)),""),IFERROR(INDEX(Map_Tables!$B$4:$B$18,MATCH(TRIM(F1770),Map_Tables!$A$4:$A$18,0)),"CHECK"))</f>
        <v>Hyderabad</v>
      </c>
      <c r="AE1770" s="7" t="str">
        <f aca="false">IF(TRIM(E1770)="","",IFERROR(INDEX(Map_Tables!$H$4:$H$37,MATCH(TRIM(E1770),Map_Tables!$G$4:$G$37,0)),"CHECK"))</f>
        <v>Hyderabad Dum Biryani</v>
      </c>
      <c r="AF1770" s="7" t="str">
        <f aca="false">IF(TRIM(K1770)="","Unknown",IFERROR(INDEX(Map_Tables!$E$4:$E$15,MATCH(TRIM(K1770),Map_Tables!$D$4:$D$15,0)),"CHECK"))</f>
        <v>UPI</v>
      </c>
      <c r="AG1770" s="7" t="str">
        <f aca="false">IF(LEFT(LOWER(TRIM(L1770)),6)="cancel","Cancelled","Delivered")</f>
        <v>Cancelled</v>
      </c>
      <c r="AH1770" s="10" t="n">
        <f aca="false">IF(ISNUMBER(SEARCH("/",B1770)),DATE(VALUE(RIGHT(B1770,4)),VALUE(MID(B1770,4,2)),VALUE(LEFT(B1770,2))),IF(MID(B1770,5,1)="-",DATE(VALUE(LEFT(B1770,4)),VALUE(MID(B1770,6,2)),VALUE(RIGHT(B1770,2))),DATE(VALUE(RIGHT(B1770,4)),MATCH(MID(B1770,4,3),{"Jan","Feb","Mar","Apr","May","Jun","Jul","Aug","Sep","Oct","Nov","Dec"},0),VALUE(LEFT(B1770,2)))))</f>
        <v>45728</v>
      </c>
    </row>
    <row r="1771" customFormat="false" ht="15" hidden="false" customHeight="false" outlineLevel="0" collapsed="false">
      <c r="A1771" s="7" t="s">
        <v>4385</v>
      </c>
      <c r="B1771" s="7" t="s">
        <v>1848</v>
      </c>
      <c r="C1771" s="7" t="s">
        <v>697</v>
      </c>
      <c r="D1771" s="7" t="s">
        <v>4386</v>
      </c>
      <c r="E1771" s="7" t="s">
        <v>98</v>
      </c>
      <c r="F1771" s="7" t="s">
        <v>729</v>
      </c>
      <c r="G1771" s="7" t="s">
        <v>99</v>
      </c>
      <c r="H1771" s="7" t="n">
        <v>1</v>
      </c>
      <c r="I1771" s="7" t="n">
        <v>260</v>
      </c>
      <c r="J1771" s="7" t="n">
        <v>0</v>
      </c>
      <c r="K1771" s="7" t="s">
        <v>88</v>
      </c>
      <c r="L1771" s="7" t="s">
        <v>194</v>
      </c>
      <c r="M1771" s="7" t="n">
        <v>49</v>
      </c>
      <c r="N1771" s="7" t="n">
        <v>5</v>
      </c>
      <c r="O1771" s="7" t="str">
        <f aca="false">A1771&amp;"|"&amp;B1771&amp;"|"&amp;C1771&amp;"|"&amp;D1771&amp;"|"&amp;E1771&amp;"|"&amp;F1771&amp;"|"&amp;G1771&amp;"|"&amp;H1771&amp;"|"&amp;I1771&amp;"|"&amp;J1771&amp;"|"&amp;K1771&amp;"|"&amp;L1771&amp;"|"&amp;M1771&amp;"|"&amp;N1771</f>
        <v>ORD11578|2025-07-25|11:46|C0272|Nawabi Biryani House|BENGALURU|Biryani|1|260|0|UPI|Delivered|49|5</v>
      </c>
      <c r="P1771" s="7" t="str">
        <f aca="false">IF(COUNTIF($O$2:O1771,O1771)&gt;1,"DUP","OK")</f>
        <v>OK</v>
      </c>
      <c r="Q1771" s="7" t="n">
        <f aca="false">COUNTBLANK(A1771:N1771)</f>
        <v>0</v>
      </c>
      <c r="R1771" s="7" t="n">
        <f aca="false">IF(A1771="",0,COUNTIFS($A$2:$A$3058,A1771,$P$2:$P$3058,"OK"))</f>
        <v>1</v>
      </c>
      <c r="S1771" s="7" t="str">
        <f aca="false">IF(OR(A1771="",P1771="DUP",R1771&lt;2),"",IF(Q1771=_xlfn.MINIFS($Q$2:$Q$3058,$A$2:$A$3058,A1771,$P$2:$P$3058,"OK"),"KEEP","DROP"))</f>
        <v/>
      </c>
      <c r="T1771" s="9" t="n">
        <f aca="false">IF(A1771="",1,0)</f>
        <v>0</v>
      </c>
      <c r="U1771" s="9" t="n">
        <f aca="false">IF(D1771="",1,0)</f>
        <v>0</v>
      </c>
      <c r="V1771" s="9" t="n">
        <f aca="false">IF(E1771="",1,0)</f>
        <v>0</v>
      </c>
      <c r="W1771" s="9" t="n">
        <f aca="false">IF(OR(H1771&lt;1,H1771&gt;10),1,0)</f>
        <v>0</v>
      </c>
      <c r="X1771" s="9" t="n">
        <f aca="false">IF(OR(I1771&lt;=0,I1771&gt;1500),1,0)</f>
        <v>0</v>
      </c>
      <c r="Y1771" s="9" t="n">
        <f aca="false">IF(J1771&gt;H1771*I1771,1,0)</f>
        <v>0</v>
      </c>
      <c r="Z1771" s="9" t="n">
        <f aca="false">IF(AND(N1771&lt;&gt;"",OR(N1771&lt;1,N1771&gt;5)),1,0)</f>
        <v>0</v>
      </c>
      <c r="AA1771" s="9" t="n">
        <f aca="false">IF(AND(M1771&lt;&gt;"",OR(M1771&lt;5,M1771&gt;180)),1,0)</f>
        <v>0</v>
      </c>
      <c r="AB1771" s="7" t="str">
        <f aca="false">IF(P1771="DUP","Exact duplicate row",IF(T1771=1,"Missing Order ID",IF(S1771="DROP","Duplicate Order ID (less complete row)",IF(U1771=1,"Missing Customer ID",IF(V1771=1,"Missing Restaurant name",IF(W1771=1,"Invalid/outlier quantity",IF(X1771=1,"Invalid/outlier unit price",IF(Y1771=1,"Discount greater than order value",""))))))))</f>
        <v/>
      </c>
      <c r="AC1771" s="7" t="str">
        <f aca="false">IF(AB1771="","KEEP","DROP")</f>
        <v>KEEP</v>
      </c>
      <c r="AD1771" s="7" t="str">
        <f aca="false">IF(TRIM(F1771)="",IFERROR(INDEX(Map_Tables!$I$4:$I$37,MATCH(TRIM(E1771),Map_Tables!$G$4:$G$37,0)),""),IFERROR(INDEX(Map_Tables!$B$4:$B$18,MATCH(TRIM(F1771),Map_Tables!$A$4:$A$18,0)),"CHECK"))</f>
        <v>Bengaluru</v>
      </c>
      <c r="AE1771" s="7" t="str">
        <f aca="false">IF(TRIM(E1771)="","",IFERROR(INDEX(Map_Tables!$H$4:$H$37,MATCH(TRIM(E1771),Map_Tables!$G$4:$G$37,0)),"CHECK"))</f>
        <v>Nawabi Biryani House</v>
      </c>
      <c r="AF1771" s="7" t="str">
        <f aca="false">IF(TRIM(K1771)="","Unknown",IFERROR(INDEX(Map_Tables!$E$4:$E$15,MATCH(TRIM(K1771),Map_Tables!$D$4:$D$15,0)),"CHECK"))</f>
        <v>UPI</v>
      </c>
      <c r="AG1771" s="7" t="str">
        <f aca="false">IF(LEFT(LOWER(TRIM(L1771)),6)="cancel","Cancelled","Delivered")</f>
        <v>Delivered</v>
      </c>
      <c r="AH1771" s="10" t="n">
        <f aca="false">IF(ISNUMBER(SEARCH("/",B1771)),DATE(VALUE(RIGHT(B1771,4)),VALUE(MID(B1771,4,2)),VALUE(LEFT(B1771,2))),IF(MID(B1771,5,1)="-",DATE(VALUE(LEFT(B1771,4)),VALUE(MID(B1771,6,2)),VALUE(RIGHT(B1771,2))),DATE(VALUE(RIGHT(B1771,4)),MATCH(MID(B1771,4,3),{"Jan","Feb","Mar","Apr","May","Jun","Jul","Aug","Sep","Oct","Nov","Dec"},0),VALUE(LEFT(B1771,2)))))</f>
        <v>45863</v>
      </c>
    </row>
    <row r="1772" customFormat="false" ht="15" hidden="false" customHeight="false" outlineLevel="0" collapsed="false">
      <c r="A1772" s="7" t="s">
        <v>4387</v>
      </c>
      <c r="B1772" s="7" t="s">
        <v>4388</v>
      </c>
      <c r="C1772" s="7" t="s">
        <v>4389</v>
      </c>
      <c r="D1772" s="7" t="s">
        <v>4390</v>
      </c>
      <c r="E1772" s="7" t="s">
        <v>144</v>
      </c>
      <c r="F1772" s="7" t="s">
        <v>119</v>
      </c>
      <c r="G1772" s="7" t="s">
        <v>99</v>
      </c>
      <c r="H1772" s="7" t="n">
        <v>1</v>
      </c>
      <c r="I1772" s="7" t="n">
        <v>245</v>
      </c>
      <c r="J1772" s="7" t="n">
        <v>0</v>
      </c>
      <c r="K1772" s="7" t="s">
        <v>88</v>
      </c>
      <c r="L1772" s="7" t="s">
        <v>194</v>
      </c>
      <c r="M1772" s="7" t="n">
        <v>33</v>
      </c>
      <c r="N1772" s="7" t="n">
        <v>5</v>
      </c>
      <c r="O1772" s="7" t="str">
        <f aca="false">A1772&amp;"|"&amp;B1772&amp;"|"&amp;C1772&amp;"|"&amp;D1772&amp;"|"&amp;E1772&amp;"|"&amp;F1772&amp;"|"&amp;G1772&amp;"|"&amp;H1772&amp;"|"&amp;I1772&amp;"|"&amp;J1772&amp;"|"&amp;K1772&amp;"|"&amp;L1772&amp;"|"&amp;M1772&amp;"|"&amp;N1772</f>
        <v>ORD12983|29/12/2025|21:11|C0369|Hyderabad Dum Biryani|Hyderabad|Biryani|1|245|0|UPI|Delivered|33|5</v>
      </c>
      <c r="P1772" s="7" t="str">
        <f aca="false">IF(COUNTIF($O$2:O1772,O1772)&gt;1,"DUP","OK")</f>
        <v>OK</v>
      </c>
      <c r="Q1772" s="7" t="n">
        <f aca="false">COUNTBLANK(A1772:N1772)</f>
        <v>0</v>
      </c>
      <c r="R1772" s="7" t="n">
        <f aca="false">IF(A1772="",0,COUNTIFS($A$2:$A$3058,A1772,$P$2:$P$3058,"OK"))</f>
        <v>1</v>
      </c>
      <c r="S1772" s="7" t="str">
        <f aca="false">IF(OR(A1772="",P1772="DUP",R1772&lt;2),"",IF(Q1772=_xlfn.MINIFS($Q$2:$Q$3058,$A$2:$A$3058,A1772,$P$2:$P$3058,"OK"),"KEEP","DROP"))</f>
        <v/>
      </c>
      <c r="T1772" s="9" t="n">
        <f aca="false">IF(A1772="",1,0)</f>
        <v>0</v>
      </c>
      <c r="U1772" s="9" t="n">
        <f aca="false">IF(D1772="",1,0)</f>
        <v>0</v>
      </c>
      <c r="V1772" s="9" t="n">
        <f aca="false">IF(E1772="",1,0)</f>
        <v>0</v>
      </c>
      <c r="W1772" s="9" t="n">
        <f aca="false">IF(OR(H1772&lt;1,H1772&gt;10),1,0)</f>
        <v>0</v>
      </c>
      <c r="X1772" s="9" t="n">
        <f aca="false">IF(OR(I1772&lt;=0,I1772&gt;1500),1,0)</f>
        <v>0</v>
      </c>
      <c r="Y1772" s="9" t="n">
        <f aca="false">IF(J1772&gt;H1772*I1772,1,0)</f>
        <v>0</v>
      </c>
      <c r="Z1772" s="9" t="n">
        <f aca="false">IF(AND(N1772&lt;&gt;"",OR(N1772&lt;1,N1772&gt;5)),1,0)</f>
        <v>0</v>
      </c>
      <c r="AA1772" s="9" t="n">
        <f aca="false">IF(AND(M1772&lt;&gt;"",OR(M1772&lt;5,M1772&gt;180)),1,0)</f>
        <v>0</v>
      </c>
      <c r="AB1772" s="7" t="str">
        <f aca="false">IF(P1772="DUP","Exact duplicate row",IF(T1772=1,"Missing Order ID",IF(S1772="DROP","Duplicate Order ID (less complete row)",IF(U1772=1,"Missing Customer ID",IF(V1772=1,"Missing Restaurant name",IF(W1772=1,"Invalid/outlier quantity",IF(X1772=1,"Invalid/outlier unit price",IF(Y1772=1,"Discount greater than order value",""))))))))</f>
        <v/>
      </c>
      <c r="AC1772" s="7" t="str">
        <f aca="false">IF(AB1772="","KEEP","DROP")</f>
        <v>KEEP</v>
      </c>
      <c r="AD1772" s="7" t="str">
        <f aca="false">IF(TRIM(F1772)="",IFERROR(INDEX(Map_Tables!$I$4:$I$37,MATCH(TRIM(E1772),Map_Tables!$G$4:$G$37,0)),""),IFERROR(INDEX(Map_Tables!$B$4:$B$18,MATCH(TRIM(F1772),Map_Tables!$A$4:$A$18,0)),"CHECK"))</f>
        <v>Hyderabad</v>
      </c>
      <c r="AE1772" s="7" t="str">
        <f aca="false">IF(TRIM(E1772)="","",IFERROR(INDEX(Map_Tables!$H$4:$H$37,MATCH(TRIM(E1772),Map_Tables!$G$4:$G$37,0)),"CHECK"))</f>
        <v>Hyderabad Dum Biryani</v>
      </c>
      <c r="AF1772" s="7" t="str">
        <f aca="false">IF(TRIM(K1772)="","Unknown",IFERROR(INDEX(Map_Tables!$E$4:$E$15,MATCH(TRIM(K1772),Map_Tables!$D$4:$D$15,0)),"CHECK"))</f>
        <v>UPI</v>
      </c>
      <c r="AG1772" s="7" t="str">
        <f aca="false">IF(LEFT(LOWER(TRIM(L1772)),6)="cancel","Cancelled","Delivered")</f>
        <v>Delivered</v>
      </c>
      <c r="AH1772" s="10" t="n">
        <f aca="false">IF(ISNUMBER(SEARCH("/",B1772)),DATE(VALUE(RIGHT(B1772,4)),VALUE(MID(B1772,4,2)),VALUE(LEFT(B1772,2))),IF(MID(B1772,5,1)="-",DATE(VALUE(LEFT(B1772,4)),VALUE(MID(B1772,6,2)),VALUE(RIGHT(B1772,2))),DATE(VALUE(RIGHT(B1772,4)),MATCH(MID(B1772,4,3),{"Jan","Feb","Mar","Apr","May","Jun","Jul","Aug","Sep","Oct","Nov","Dec"},0),VALUE(LEFT(B1772,2)))))</f>
        <v>46020</v>
      </c>
    </row>
    <row r="1773" customFormat="false" ht="15" hidden="false" customHeight="false" outlineLevel="0" collapsed="false">
      <c r="A1773" s="7" t="s">
        <v>4391</v>
      </c>
      <c r="B1773" s="7" t="s">
        <v>1190</v>
      </c>
      <c r="C1773" s="7" t="s">
        <v>2571</v>
      </c>
      <c r="D1773" s="7" t="s">
        <v>2639</v>
      </c>
      <c r="E1773" s="7" t="s">
        <v>130</v>
      </c>
      <c r="F1773" s="7" t="s">
        <v>110</v>
      </c>
      <c r="G1773" s="7" t="s">
        <v>90</v>
      </c>
      <c r="H1773" s="7" t="n">
        <v>1</v>
      </c>
      <c r="I1773" s="7" t="n">
        <v>285</v>
      </c>
      <c r="J1773" s="7" t="n">
        <v>0</v>
      </c>
      <c r="K1773" s="7" t="s">
        <v>88</v>
      </c>
      <c r="L1773" s="7" t="s">
        <v>194</v>
      </c>
      <c r="M1773" s="7"/>
      <c r="N1773" s="7" t="n">
        <v>4</v>
      </c>
      <c r="O1773" s="7" t="str">
        <f aca="false">A1773&amp;"|"&amp;B1773&amp;"|"&amp;C1773&amp;"|"&amp;D1773&amp;"|"&amp;E1773&amp;"|"&amp;F1773&amp;"|"&amp;G1773&amp;"|"&amp;H1773&amp;"|"&amp;I1773&amp;"|"&amp;J1773&amp;"|"&amp;K1773&amp;"|"&amp;L1773&amp;"|"&amp;M1773&amp;"|"&amp;N1773</f>
        <v>ORD10194|2025-01-26|18:09|C0408|Tandoor Tales|Delhi|North Indian|1|285|0|UPI|Delivered||4</v>
      </c>
      <c r="P1773" s="7" t="str">
        <f aca="false">IF(COUNTIF($O$2:O1773,O1773)&gt;1,"DUP","OK")</f>
        <v>OK</v>
      </c>
      <c r="Q1773" s="7" t="n">
        <f aca="false">COUNTBLANK(A1773:N1773)</f>
        <v>1</v>
      </c>
      <c r="R1773" s="7" t="n">
        <f aca="false">IF(A1773="",0,COUNTIFS($A$2:$A$3058,A1773,$P$2:$P$3058,"OK"))</f>
        <v>1</v>
      </c>
      <c r="S1773" s="7" t="str">
        <f aca="false">IF(OR(A1773="",P1773="DUP",R1773&lt;2),"",IF(Q1773=_xlfn.MINIFS($Q$2:$Q$3058,$A$2:$A$3058,A1773,$P$2:$P$3058,"OK"),"KEEP","DROP"))</f>
        <v/>
      </c>
      <c r="T1773" s="9" t="n">
        <f aca="false">IF(A1773="",1,0)</f>
        <v>0</v>
      </c>
      <c r="U1773" s="9" t="n">
        <f aca="false">IF(D1773="",1,0)</f>
        <v>0</v>
      </c>
      <c r="V1773" s="9" t="n">
        <f aca="false">IF(E1773="",1,0)</f>
        <v>0</v>
      </c>
      <c r="W1773" s="9" t="n">
        <f aca="false">IF(OR(H1773&lt;1,H1773&gt;10),1,0)</f>
        <v>0</v>
      </c>
      <c r="X1773" s="9" t="n">
        <f aca="false">IF(OR(I1773&lt;=0,I1773&gt;1500),1,0)</f>
        <v>0</v>
      </c>
      <c r="Y1773" s="9" t="n">
        <f aca="false">IF(J1773&gt;H1773*I1773,1,0)</f>
        <v>0</v>
      </c>
      <c r="Z1773" s="9" t="n">
        <f aca="false">IF(AND(N1773&lt;&gt;"",OR(N1773&lt;1,N1773&gt;5)),1,0)</f>
        <v>0</v>
      </c>
      <c r="AA1773" s="9" t="n">
        <f aca="false">IF(AND(M1773&lt;&gt;"",OR(M1773&lt;5,M1773&gt;180)),1,0)</f>
        <v>0</v>
      </c>
      <c r="AB1773" s="7" t="str">
        <f aca="false">IF(P1773="DUP","Exact duplicate row",IF(T1773=1,"Missing Order ID",IF(S1773="DROP","Duplicate Order ID (less complete row)",IF(U1773=1,"Missing Customer ID",IF(V1773=1,"Missing Restaurant name",IF(W1773=1,"Invalid/outlier quantity",IF(X1773=1,"Invalid/outlier unit price",IF(Y1773=1,"Discount greater than order value",""))))))))</f>
        <v/>
      </c>
      <c r="AC1773" s="7" t="str">
        <f aca="false">IF(AB1773="","KEEP","DROP")</f>
        <v>KEEP</v>
      </c>
      <c r="AD1773" s="7" t="str">
        <f aca="false">IF(TRIM(F1773)="",IFERROR(INDEX(Map_Tables!$I$4:$I$37,MATCH(TRIM(E1773),Map_Tables!$G$4:$G$37,0)),""),IFERROR(INDEX(Map_Tables!$B$4:$B$18,MATCH(TRIM(F1773),Map_Tables!$A$4:$A$18,0)),"CHECK"))</f>
        <v>Delhi</v>
      </c>
      <c r="AE1773" s="7" t="str">
        <f aca="false">IF(TRIM(E1773)="","",IFERROR(INDEX(Map_Tables!$H$4:$H$37,MATCH(TRIM(E1773),Map_Tables!$G$4:$G$37,0)),"CHECK"))</f>
        <v>Tandoor Tales</v>
      </c>
      <c r="AF1773" s="7" t="str">
        <f aca="false">IF(TRIM(K1773)="","Unknown",IFERROR(INDEX(Map_Tables!$E$4:$E$15,MATCH(TRIM(K1773),Map_Tables!$D$4:$D$15,0)),"CHECK"))</f>
        <v>UPI</v>
      </c>
      <c r="AG1773" s="7" t="str">
        <f aca="false">IF(LEFT(LOWER(TRIM(L1773)),6)="cancel","Cancelled","Delivered")</f>
        <v>Delivered</v>
      </c>
      <c r="AH1773" s="10" t="n">
        <f aca="false">IF(ISNUMBER(SEARCH("/",B1773)),DATE(VALUE(RIGHT(B1773,4)),VALUE(MID(B1773,4,2)),VALUE(LEFT(B1773,2))),IF(MID(B1773,5,1)="-",DATE(VALUE(LEFT(B1773,4)),VALUE(MID(B1773,6,2)),VALUE(RIGHT(B1773,2))),DATE(VALUE(RIGHT(B1773,4)),MATCH(MID(B1773,4,3),{"Jan","Feb","Mar","Apr","May","Jun","Jul","Aug","Sep","Oct","Nov","Dec"},0),VALUE(LEFT(B1773,2)))))</f>
        <v>45683</v>
      </c>
    </row>
    <row r="1774" customFormat="false" ht="15" hidden="false" customHeight="false" outlineLevel="0" collapsed="false">
      <c r="A1774" s="7" t="s">
        <v>4392</v>
      </c>
      <c r="B1774" s="7" t="s">
        <v>875</v>
      </c>
      <c r="C1774" s="7" t="s">
        <v>1288</v>
      </c>
      <c r="D1774" s="7" t="s">
        <v>4380</v>
      </c>
      <c r="E1774" s="7" t="s">
        <v>113</v>
      </c>
      <c r="F1774" s="7" t="s">
        <v>100</v>
      </c>
      <c r="G1774" s="7" t="s">
        <v>90</v>
      </c>
      <c r="H1774" s="7" t="n">
        <v>1</v>
      </c>
      <c r="I1774" s="7" t="n">
        <v>255</v>
      </c>
      <c r="J1774" s="7" t="n">
        <v>0</v>
      </c>
      <c r="K1774" s="7" t="s">
        <v>88</v>
      </c>
      <c r="L1774" s="7" t="s">
        <v>194</v>
      </c>
      <c r="M1774" s="7" t="n">
        <v>37</v>
      </c>
      <c r="N1774" s="7" t="n">
        <v>1</v>
      </c>
      <c r="O1774" s="7" t="str">
        <f aca="false">A1774&amp;"|"&amp;B1774&amp;"|"&amp;C1774&amp;"|"&amp;D1774&amp;"|"&amp;E1774&amp;"|"&amp;F1774&amp;"|"&amp;G1774&amp;"|"&amp;H1774&amp;"|"&amp;I1774&amp;"|"&amp;J1774&amp;"|"&amp;K1774&amp;"|"&amp;L1774&amp;"|"&amp;M1774&amp;"|"&amp;N1774</f>
        <v>ORD12928|2025-12-23|20:54|C0925|Curry Leaf Kitchen|mumbai|North Indian|1|255|0|UPI|Delivered|37|1</v>
      </c>
      <c r="P1774" s="7" t="str">
        <f aca="false">IF(COUNTIF($O$2:O1774,O1774)&gt;1,"DUP","OK")</f>
        <v>OK</v>
      </c>
      <c r="Q1774" s="7" t="n">
        <f aca="false">COUNTBLANK(A1774:N1774)</f>
        <v>0</v>
      </c>
      <c r="R1774" s="7" t="n">
        <f aca="false">IF(A1774="",0,COUNTIFS($A$2:$A$3058,A1774,$P$2:$P$3058,"OK"))</f>
        <v>1</v>
      </c>
      <c r="S1774" s="7" t="str">
        <f aca="false">IF(OR(A1774="",P1774="DUP",R1774&lt;2),"",IF(Q1774=_xlfn.MINIFS($Q$2:$Q$3058,$A$2:$A$3058,A1774,$P$2:$P$3058,"OK"),"KEEP","DROP"))</f>
        <v/>
      </c>
      <c r="T1774" s="9" t="n">
        <f aca="false">IF(A1774="",1,0)</f>
        <v>0</v>
      </c>
      <c r="U1774" s="9" t="n">
        <f aca="false">IF(D1774="",1,0)</f>
        <v>0</v>
      </c>
      <c r="V1774" s="9" t="n">
        <f aca="false">IF(E1774="",1,0)</f>
        <v>0</v>
      </c>
      <c r="W1774" s="9" t="n">
        <f aca="false">IF(OR(H1774&lt;1,H1774&gt;10),1,0)</f>
        <v>0</v>
      </c>
      <c r="X1774" s="9" t="n">
        <f aca="false">IF(OR(I1774&lt;=0,I1774&gt;1500),1,0)</f>
        <v>0</v>
      </c>
      <c r="Y1774" s="9" t="n">
        <f aca="false">IF(J1774&gt;H1774*I1774,1,0)</f>
        <v>0</v>
      </c>
      <c r="Z1774" s="9" t="n">
        <f aca="false">IF(AND(N1774&lt;&gt;"",OR(N1774&lt;1,N1774&gt;5)),1,0)</f>
        <v>0</v>
      </c>
      <c r="AA1774" s="9" t="n">
        <f aca="false">IF(AND(M1774&lt;&gt;"",OR(M1774&lt;5,M1774&gt;180)),1,0)</f>
        <v>0</v>
      </c>
      <c r="AB1774" s="7" t="str">
        <f aca="false">IF(P1774="DUP","Exact duplicate row",IF(T1774=1,"Missing Order ID",IF(S1774="DROP","Duplicate Order ID (less complete row)",IF(U1774=1,"Missing Customer ID",IF(V1774=1,"Missing Restaurant name",IF(W1774=1,"Invalid/outlier quantity",IF(X1774=1,"Invalid/outlier unit price",IF(Y1774=1,"Discount greater than order value",""))))))))</f>
        <v/>
      </c>
      <c r="AC1774" s="7" t="str">
        <f aca="false">IF(AB1774="","KEEP","DROP")</f>
        <v>KEEP</v>
      </c>
      <c r="AD1774" s="7" t="str">
        <f aca="false">IF(TRIM(F1774)="",IFERROR(INDEX(Map_Tables!$I$4:$I$37,MATCH(TRIM(E1774),Map_Tables!$G$4:$G$37,0)),""),IFERROR(INDEX(Map_Tables!$B$4:$B$18,MATCH(TRIM(F1774),Map_Tables!$A$4:$A$18,0)),"CHECK"))</f>
        <v>Mumbai</v>
      </c>
      <c r="AE1774" s="7" t="str">
        <f aca="false">IF(TRIM(E1774)="","",IFERROR(INDEX(Map_Tables!$H$4:$H$37,MATCH(TRIM(E1774),Map_Tables!$G$4:$G$37,0)),"CHECK"))</f>
        <v>Curry Leaf Kitchen</v>
      </c>
      <c r="AF1774" s="7" t="str">
        <f aca="false">IF(TRIM(K1774)="","Unknown",IFERROR(INDEX(Map_Tables!$E$4:$E$15,MATCH(TRIM(K1774),Map_Tables!$D$4:$D$15,0)),"CHECK"))</f>
        <v>UPI</v>
      </c>
      <c r="AG1774" s="7" t="str">
        <f aca="false">IF(LEFT(LOWER(TRIM(L1774)),6)="cancel","Cancelled","Delivered")</f>
        <v>Delivered</v>
      </c>
      <c r="AH1774" s="10" t="n">
        <f aca="false">IF(ISNUMBER(SEARCH("/",B1774)),DATE(VALUE(RIGHT(B1774,4)),VALUE(MID(B1774,4,2)),VALUE(LEFT(B1774,2))),IF(MID(B1774,5,1)="-",DATE(VALUE(LEFT(B1774,4)),VALUE(MID(B1774,6,2)),VALUE(RIGHT(B1774,2))),DATE(VALUE(RIGHT(B1774,4)),MATCH(MID(B1774,4,3),{"Jan","Feb","Mar","Apr","May","Jun","Jul","Aug","Sep","Oct","Nov","Dec"},0),VALUE(LEFT(B1774,2)))))</f>
        <v>46014</v>
      </c>
    </row>
    <row r="1775" customFormat="false" ht="15" hidden="false" customHeight="false" outlineLevel="0" collapsed="false">
      <c r="A1775" s="7" t="s">
        <v>4393</v>
      </c>
      <c r="B1775" s="7" t="s">
        <v>1316</v>
      </c>
      <c r="C1775" s="7" t="s">
        <v>3013</v>
      </c>
      <c r="D1775" s="7" t="s">
        <v>4394</v>
      </c>
      <c r="E1775" s="7" t="s">
        <v>151</v>
      </c>
      <c r="F1775" s="7" t="s">
        <v>128</v>
      </c>
      <c r="G1775" s="7" t="s">
        <v>95</v>
      </c>
      <c r="H1775" s="7" t="n">
        <v>1</v>
      </c>
      <c r="I1775" s="7" t="n">
        <v>215</v>
      </c>
      <c r="J1775" s="7" t="n">
        <v>75</v>
      </c>
      <c r="K1775" s="7" t="s">
        <v>87</v>
      </c>
      <c r="L1775" s="7" t="s">
        <v>194</v>
      </c>
      <c r="M1775" s="7" t="n">
        <v>25</v>
      </c>
      <c r="N1775" s="7"/>
      <c r="O1775" s="7" t="str">
        <f aca="false">A1775&amp;"|"&amp;B1775&amp;"|"&amp;C1775&amp;"|"&amp;D1775&amp;"|"&amp;E1775&amp;"|"&amp;F1775&amp;"|"&amp;G1775&amp;"|"&amp;H1775&amp;"|"&amp;I1775&amp;"|"&amp;J1775&amp;"|"&amp;K1775&amp;"|"&amp;L1775&amp;"|"&amp;M1775&amp;"|"&amp;N1775</f>
        <v>ORD11508|2025-07-15|11:18|C1091|Chettinad House|Chennai|South Indian|1|215|75|upi|Delivered|25|</v>
      </c>
      <c r="P1775" s="7" t="str">
        <f aca="false">IF(COUNTIF($O$2:O1775,O1775)&gt;1,"DUP","OK")</f>
        <v>OK</v>
      </c>
      <c r="Q1775" s="7" t="n">
        <f aca="false">COUNTBLANK(A1775:N1775)</f>
        <v>1</v>
      </c>
      <c r="R1775" s="7" t="n">
        <f aca="false">IF(A1775="",0,COUNTIFS($A$2:$A$3058,A1775,$P$2:$P$3058,"OK"))</f>
        <v>1</v>
      </c>
      <c r="S1775" s="7" t="str">
        <f aca="false">IF(OR(A1775="",P1775="DUP",R1775&lt;2),"",IF(Q1775=_xlfn.MINIFS($Q$2:$Q$3058,$A$2:$A$3058,A1775,$P$2:$P$3058,"OK"),"KEEP","DROP"))</f>
        <v/>
      </c>
      <c r="T1775" s="9" t="n">
        <f aca="false">IF(A1775="",1,0)</f>
        <v>0</v>
      </c>
      <c r="U1775" s="9" t="n">
        <f aca="false">IF(D1775="",1,0)</f>
        <v>0</v>
      </c>
      <c r="V1775" s="9" t="n">
        <f aca="false">IF(E1775="",1,0)</f>
        <v>0</v>
      </c>
      <c r="W1775" s="9" t="n">
        <f aca="false">IF(OR(H1775&lt;1,H1775&gt;10),1,0)</f>
        <v>0</v>
      </c>
      <c r="X1775" s="9" t="n">
        <f aca="false">IF(OR(I1775&lt;=0,I1775&gt;1500),1,0)</f>
        <v>0</v>
      </c>
      <c r="Y1775" s="9" t="n">
        <f aca="false">IF(J1775&gt;H1775*I1775,1,0)</f>
        <v>0</v>
      </c>
      <c r="Z1775" s="9" t="n">
        <f aca="false">IF(AND(N1775&lt;&gt;"",OR(N1775&lt;1,N1775&gt;5)),1,0)</f>
        <v>0</v>
      </c>
      <c r="AA1775" s="9" t="n">
        <f aca="false">IF(AND(M1775&lt;&gt;"",OR(M1775&lt;5,M1775&gt;180)),1,0)</f>
        <v>0</v>
      </c>
      <c r="AB1775" s="7" t="str">
        <f aca="false">IF(P1775="DUP","Exact duplicate row",IF(T1775=1,"Missing Order ID",IF(S1775="DROP","Duplicate Order ID (less complete row)",IF(U1775=1,"Missing Customer ID",IF(V1775=1,"Missing Restaurant name",IF(W1775=1,"Invalid/outlier quantity",IF(X1775=1,"Invalid/outlier unit price",IF(Y1775=1,"Discount greater than order value",""))))))))</f>
        <v/>
      </c>
      <c r="AC1775" s="7" t="str">
        <f aca="false">IF(AB1775="","KEEP","DROP")</f>
        <v>KEEP</v>
      </c>
      <c r="AD1775" s="7" t="str">
        <f aca="false">IF(TRIM(F1775)="",IFERROR(INDEX(Map_Tables!$I$4:$I$37,MATCH(TRIM(E1775),Map_Tables!$G$4:$G$37,0)),""),IFERROR(INDEX(Map_Tables!$B$4:$B$18,MATCH(TRIM(F1775),Map_Tables!$A$4:$A$18,0)),"CHECK"))</f>
        <v>Chennai</v>
      </c>
      <c r="AE1775" s="7" t="str">
        <f aca="false">IF(TRIM(E1775)="","",IFERROR(INDEX(Map_Tables!$H$4:$H$37,MATCH(TRIM(E1775),Map_Tables!$G$4:$G$37,0)),"CHECK"))</f>
        <v>Chettinad House</v>
      </c>
      <c r="AF1775" s="7" t="str">
        <f aca="false">IF(TRIM(K1775)="","Unknown",IFERROR(INDEX(Map_Tables!$E$4:$E$15,MATCH(TRIM(K1775),Map_Tables!$D$4:$D$15,0)),"CHECK"))</f>
        <v>UPI</v>
      </c>
      <c r="AG1775" s="7" t="str">
        <f aca="false">IF(LEFT(LOWER(TRIM(L1775)),6)="cancel","Cancelled","Delivered")</f>
        <v>Delivered</v>
      </c>
      <c r="AH1775" s="10" t="n">
        <f aca="false">IF(ISNUMBER(SEARCH("/",B1775)),DATE(VALUE(RIGHT(B1775,4)),VALUE(MID(B1775,4,2)),VALUE(LEFT(B1775,2))),IF(MID(B1775,5,1)="-",DATE(VALUE(LEFT(B1775,4)),VALUE(MID(B1775,6,2)),VALUE(RIGHT(B1775,2))),DATE(VALUE(RIGHT(B1775,4)),MATCH(MID(B1775,4,3),{"Jan","Feb","Mar","Apr","May","Jun","Jul","Aug","Sep","Oct","Nov","Dec"},0),VALUE(LEFT(B1775,2)))))</f>
        <v>45853</v>
      </c>
    </row>
    <row r="1776" customFormat="false" ht="15" hidden="false" customHeight="false" outlineLevel="0" collapsed="false">
      <c r="A1776" s="7" t="s">
        <v>4395</v>
      </c>
      <c r="B1776" s="7" t="s">
        <v>1287</v>
      </c>
      <c r="C1776" s="7" t="s">
        <v>846</v>
      </c>
      <c r="D1776" s="7" t="s">
        <v>2929</v>
      </c>
      <c r="E1776" s="7" t="s">
        <v>2294</v>
      </c>
      <c r="F1776" s="7" t="s">
        <v>110</v>
      </c>
      <c r="G1776" s="7" t="s">
        <v>139</v>
      </c>
      <c r="H1776" s="7" t="n">
        <v>2</v>
      </c>
      <c r="I1776" s="7" t="n">
        <v>205</v>
      </c>
      <c r="J1776" s="7" t="n">
        <v>75</v>
      </c>
      <c r="K1776" s="7" t="s">
        <v>88</v>
      </c>
      <c r="L1776" s="7" t="s">
        <v>194</v>
      </c>
      <c r="M1776" s="7" t="n">
        <v>30</v>
      </c>
      <c r="N1776" s="7" t="n">
        <v>5</v>
      </c>
      <c r="O1776" s="7" t="str">
        <f aca="false">A1776&amp;"|"&amp;B1776&amp;"|"&amp;C1776&amp;"|"&amp;D1776&amp;"|"&amp;E1776&amp;"|"&amp;F1776&amp;"|"&amp;G1776&amp;"|"&amp;H1776&amp;"|"&amp;I1776&amp;"|"&amp;J1776&amp;"|"&amp;K1776&amp;"|"&amp;L1776&amp;"|"&amp;M1776&amp;"|"&amp;N1776</f>
        <v>ORD12947|2025-12-26|11:27|C1432|burger barn|Delhi|Burgers|2|205|75|UPI|Delivered|30|5</v>
      </c>
      <c r="P1776" s="7" t="str">
        <f aca="false">IF(COUNTIF($O$2:O1776,O1776)&gt;1,"DUP","OK")</f>
        <v>OK</v>
      </c>
      <c r="Q1776" s="7" t="n">
        <f aca="false">COUNTBLANK(A1776:N1776)</f>
        <v>0</v>
      </c>
      <c r="R1776" s="7" t="n">
        <f aca="false">IF(A1776="",0,COUNTIFS($A$2:$A$3058,A1776,$P$2:$P$3058,"OK"))</f>
        <v>1</v>
      </c>
      <c r="S1776" s="7" t="str">
        <f aca="false">IF(OR(A1776="",P1776="DUP",R1776&lt;2),"",IF(Q1776=_xlfn.MINIFS($Q$2:$Q$3058,$A$2:$A$3058,A1776,$P$2:$P$3058,"OK"),"KEEP","DROP"))</f>
        <v/>
      </c>
      <c r="T1776" s="9" t="n">
        <f aca="false">IF(A1776="",1,0)</f>
        <v>0</v>
      </c>
      <c r="U1776" s="9" t="n">
        <f aca="false">IF(D1776="",1,0)</f>
        <v>0</v>
      </c>
      <c r="V1776" s="9" t="n">
        <f aca="false">IF(E1776="",1,0)</f>
        <v>0</v>
      </c>
      <c r="W1776" s="9" t="n">
        <f aca="false">IF(OR(H1776&lt;1,H1776&gt;10),1,0)</f>
        <v>0</v>
      </c>
      <c r="X1776" s="9" t="n">
        <f aca="false">IF(OR(I1776&lt;=0,I1776&gt;1500),1,0)</f>
        <v>0</v>
      </c>
      <c r="Y1776" s="9" t="n">
        <f aca="false">IF(J1776&gt;H1776*I1776,1,0)</f>
        <v>0</v>
      </c>
      <c r="Z1776" s="9" t="n">
        <f aca="false">IF(AND(N1776&lt;&gt;"",OR(N1776&lt;1,N1776&gt;5)),1,0)</f>
        <v>0</v>
      </c>
      <c r="AA1776" s="9" t="n">
        <f aca="false">IF(AND(M1776&lt;&gt;"",OR(M1776&lt;5,M1776&gt;180)),1,0)</f>
        <v>0</v>
      </c>
      <c r="AB1776" s="7" t="str">
        <f aca="false">IF(P1776="DUP","Exact duplicate row",IF(T1776=1,"Missing Order ID",IF(S1776="DROP","Duplicate Order ID (less complete row)",IF(U1776=1,"Missing Customer ID",IF(V1776=1,"Missing Restaurant name",IF(W1776=1,"Invalid/outlier quantity",IF(X1776=1,"Invalid/outlier unit price",IF(Y1776=1,"Discount greater than order value",""))))))))</f>
        <v/>
      </c>
      <c r="AC1776" s="7" t="str">
        <f aca="false">IF(AB1776="","KEEP","DROP")</f>
        <v>KEEP</v>
      </c>
      <c r="AD1776" s="7" t="str">
        <f aca="false">IF(TRIM(F1776)="",IFERROR(INDEX(Map_Tables!$I$4:$I$37,MATCH(TRIM(E1776),Map_Tables!$G$4:$G$37,0)),""),IFERROR(INDEX(Map_Tables!$B$4:$B$18,MATCH(TRIM(F1776),Map_Tables!$A$4:$A$18,0)),"CHECK"))</f>
        <v>Delhi</v>
      </c>
      <c r="AE1776" s="7" t="str">
        <f aca="false">IF(TRIM(E1776)="","",IFERROR(INDEX(Map_Tables!$H$4:$H$37,MATCH(TRIM(E1776),Map_Tables!$G$4:$G$37,0)),"CHECK"))</f>
        <v>Burger Barn</v>
      </c>
      <c r="AF1776" s="7" t="str">
        <f aca="false">IF(TRIM(K1776)="","Unknown",IFERROR(INDEX(Map_Tables!$E$4:$E$15,MATCH(TRIM(K1776),Map_Tables!$D$4:$D$15,0)),"CHECK"))</f>
        <v>UPI</v>
      </c>
      <c r="AG1776" s="7" t="str">
        <f aca="false">IF(LEFT(LOWER(TRIM(L1776)),6)="cancel","Cancelled","Delivered")</f>
        <v>Delivered</v>
      </c>
      <c r="AH1776" s="10" t="n">
        <f aca="false">IF(ISNUMBER(SEARCH("/",B1776)),DATE(VALUE(RIGHT(B1776,4)),VALUE(MID(B1776,4,2)),VALUE(LEFT(B1776,2))),IF(MID(B1776,5,1)="-",DATE(VALUE(LEFT(B1776,4)),VALUE(MID(B1776,6,2)),VALUE(RIGHT(B1776,2))),DATE(VALUE(RIGHT(B1776,4)),MATCH(MID(B1776,4,3),{"Jan","Feb","Mar","Apr","May","Jun","Jul","Aug","Sep","Oct","Nov","Dec"},0),VALUE(LEFT(B1776,2)))))</f>
        <v>46017</v>
      </c>
    </row>
    <row r="1777" customFormat="false" ht="15" hidden="false" customHeight="false" outlineLevel="0" collapsed="false">
      <c r="A1777" s="7" t="s">
        <v>4396</v>
      </c>
      <c r="B1777" s="7" t="s">
        <v>1972</v>
      </c>
      <c r="C1777" s="7" t="s">
        <v>588</v>
      </c>
      <c r="D1777" s="7" t="s">
        <v>752</v>
      </c>
      <c r="E1777" s="7" t="s">
        <v>98</v>
      </c>
      <c r="F1777" s="7" t="s">
        <v>86</v>
      </c>
      <c r="G1777" s="7" t="s">
        <v>99</v>
      </c>
      <c r="H1777" s="7" t="n">
        <v>2</v>
      </c>
      <c r="I1777" s="7" t="n">
        <v>270</v>
      </c>
      <c r="J1777" s="7" t="n">
        <v>0</v>
      </c>
      <c r="K1777" s="7" t="s">
        <v>88</v>
      </c>
      <c r="L1777" s="7" t="s">
        <v>194</v>
      </c>
      <c r="M1777" s="7" t="n">
        <v>40</v>
      </c>
      <c r="N1777" s="7" t="n">
        <v>5</v>
      </c>
      <c r="O1777" s="7" t="str">
        <f aca="false">A1777&amp;"|"&amp;B1777&amp;"|"&amp;C1777&amp;"|"&amp;D1777&amp;"|"&amp;E1777&amp;"|"&amp;F1777&amp;"|"&amp;G1777&amp;"|"&amp;H1777&amp;"|"&amp;I1777&amp;"|"&amp;J1777&amp;"|"&amp;K1777&amp;"|"&amp;L1777&amp;"|"&amp;M1777&amp;"|"&amp;N1777</f>
        <v>ORD12646|2025-11-23|12:31|C0685|Nawabi Biryani House|Bengaluru|Biryani|2|270|0|UPI|Delivered|40|5</v>
      </c>
      <c r="P1777" s="7" t="str">
        <f aca="false">IF(COUNTIF($O$2:O1777,O1777)&gt;1,"DUP","OK")</f>
        <v>OK</v>
      </c>
      <c r="Q1777" s="7" t="n">
        <f aca="false">COUNTBLANK(A1777:N1777)</f>
        <v>0</v>
      </c>
      <c r="R1777" s="7" t="n">
        <f aca="false">IF(A1777="",0,COUNTIFS($A$2:$A$3058,A1777,$P$2:$P$3058,"OK"))</f>
        <v>1</v>
      </c>
      <c r="S1777" s="7" t="str">
        <f aca="false">IF(OR(A1777="",P1777="DUP",R1777&lt;2),"",IF(Q1777=_xlfn.MINIFS($Q$2:$Q$3058,$A$2:$A$3058,A1777,$P$2:$P$3058,"OK"),"KEEP","DROP"))</f>
        <v/>
      </c>
      <c r="T1777" s="9" t="n">
        <f aca="false">IF(A1777="",1,0)</f>
        <v>0</v>
      </c>
      <c r="U1777" s="9" t="n">
        <f aca="false">IF(D1777="",1,0)</f>
        <v>0</v>
      </c>
      <c r="V1777" s="9" t="n">
        <f aca="false">IF(E1777="",1,0)</f>
        <v>0</v>
      </c>
      <c r="W1777" s="9" t="n">
        <f aca="false">IF(OR(H1777&lt;1,H1777&gt;10),1,0)</f>
        <v>0</v>
      </c>
      <c r="X1777" s="9" t="n">
        <f aca="false">IF(OR(I1777&lt;=0,I1777&gt;1500),1,0)</f>
        <v>0</v>
      </c>
      <c r="Y1777" s="9" t="n">
        <f aca="false">IF(J1777&gt;H1777*I1777,1,0)</f>
        <v>0</v>
      </c>
      <c r="Z1777" s="9" t="n">
        <f aca="false">IF(AND(N1777&lt;&gt;"",OR(N1777&lt;1,N1777&gt;5)),1,0)</f>
        <v>0</v>
      </c>
      <c r="AA1777" s="9" t="n">
        <f aca="false">IF(AND(M1777&lt;&gt;"",OR(M1777&lt;5,M1777&gt;180)),1,0)</f>
        <v>0</v>
      </c>
      <c r="AB1777" s="7" t="str">
        <f aca="false">IF(P1777="DUP","Exact duplicate row",IF(T1777=1,"Missing Order ID",IF(S1777="DROP","Duplicate Order ID (less complete row)",IF(U1777=1,"Missing Customer ID",IF(V1777=1,"Missing Restaurant name",IF(W1777=1,"Invalid/outlier quantity",IF(X1777=1,"Invalid/outlier unit price",IF(Y1777=1,"Discount greater than order value",""))))))))</f>
        <v/>
      </c>
      <c r="AC1777" s="7" t="str">
        <f aca="false">IF(AB1777="","KEEP","DROP")</f>
        <v>KEEP</v>
      </c>
      <c r="AD1777" s="7" t="str">
        <f aca="false">IF(TRIM(F1777)="",IFERROR(INDEX(Map_Tables!$I$4:$I$37,MATCH(TRIM(E1777),Map_Tables!$G$4:$G$37,0)),""),IFERROR(INDEX(Map_Tables!$B$4:$B$18,MATCH(TRIM(F1777),Map_Tables!$A$4:$A$18,0)),"CHECK"))</f>
        <v>Bengaluru</v>
      </c>
      <c r="AE1777" s="7" t="str">
        <f aca="false">IF(TRIM(E1777)="","",IFERROR(INDEX(Map_Tables!$H$4:$H$37,MATCH(TRIM(E1777),Map_Tables!$G$4:$G$37,0)),"CHECK"))</f>
        <v>Nawabi Biryani House</v>
      </c>
      <c r="AF1777" s="7" t="str">
        <f aca="false">IF(TRIM(K1777)="","Unknown",IFERROR(INDEX(Map_Tables!$E$4:$E$15,MATCH(TRIM(K1777),Map_Tables!$D$4:$D$15,0)),"CHECK"))</f>
        <v>UPI</v>
      </c>
      <c r="AG1777" s="7" t="str">
        <f aca="false">IF(LEFT(LOWER(TRIM(L1777)),6)="cancel","Cancelled","Delivered")</f>
        <v>Delivered</v>
      </c>
      <c r="AH1777" s="10" t="n">
        <f aca="false">IF(ISNUMBER(SEARCH("/",B1777)),DATE(VALUE(RIGHT(B1777,4)),VALUE(MID(B1777,4,2)),VALUE(LEFT(B1777,2))),IF(MID(B1777,5,1)="-",DATE(VALUE(LEFT(B1777,4)),VALUE(MID(B1777,6,2)),VALUE(RIGHT(B1777,2))),DATE(VALUE(RIGHT(B1777,4)),MATCH(MID(B1777,4,3),{"Jan","Feb","Mar","Apr","May","Jun","Jul","Aug","Sep","Oct","Nov","Dec"},0),VALUE(LEFT(B1777,2)))))</f>
        <v>45984</v>
      </c>
    </row>
    <row r="1778" customFormat="false" ht="15" hidden="false" customHeight="false" outlineLevel="0" collapsed="false">
      <c r="A1778" s="7" t="s">
        <v>4397</v>
      </c>
      <c r="B1778" s="7" t="s">
        <v>1894</v>
      </c>
      <c r="C1778" s="7" t="s">
        <v>4240</v>
      </c>
      <c r="D1778" s="7" t="s">
        <v>3584</v>
      </c>
      <c r="E1778" s="7" t="s">
        <v>168</v>
      </c>
      <c r="F1778" s="7" t="s">
        <v>146</v>
      </c>
      <c r="G1778" s="7" t="s">
        <v>123</v>
      </c>
      <c r="H1778" s="7" t="n">
        <v>2</v>
      </c>
      <c r="I1778" s="7" t="n">
        <v>310</v>
      </c>
      <c r="J1778" s="7" t="n">
        <v>125</v>
      </c>
      <c r="K1778" s="7" t="s">
        <v>93</v>
      </c>
      <c r="L1778" s="7" t="s">
        <v>194</v>
      </c>
      <c r="M1778" s="7" t="n">
        <v>18</v>
      </c>
      <c r="N1778" s="7" t="n">
        <v>5</v>
      </c>
      <c r="O1778" s="7" t="str">
        <f aca="false">A1778&amp;"|"&amp;B1778&amp;"|"&amp;C1778&amp;"|"&amp;D1778&amp;"|"&amp;E1778&amp;"|"&amp;F1778&amp;"|"&amp;G1778&amp;"|"&amp;H1778&amp;"|"&amp;I1778&amp;"|"&amp;J1778&amp;"|"&amp;K1778&amp;"|"&amp;L1778&amp;"|"&amp;M1778&amp;"|"&amp;N1778</f>
        <v>ORD10245|2025-02-02|09:07|C1188|Cheesy Slice|Ahmedabad|Pizza|2|310|125|Credit Card|Delivered|18|5</v>
      </c>
      <c r="P1778" s="7" t="str">
        <f aca="false">IF(COUNTIF($O$2:O1778,O1778)&gt;1,"DUP","OK")</f>
        <v>OK</v>
      </c>
      <c r="Q1778" s="7" t="n">
        <f aca="false">COUNTBLANK(A1778:N1778)</f>
        <v>0</v>
      </c>
      <c r="R1778" s="7" t="n">
        <f aca="false">IF(A1778="",0,COUNTIFS($A$2:$A$3058,A1778,$P$2:$P$3058,"OK"))</f>
        <v>1</v>
      </c>
      <c r="S1778" s="7" t="str">
        <f aca="false">IF(OR(A1778="",P1778="DUP",R1778&lt;2),"",IF(Q1778=_xlfn.MINIFS($Q$2:$Q$3058,$A$2:$A$3058,A1778,$P$2:$P$3058,"OK"),"KEEP","DROP"))</f>
        <v/>
      </c>
      <c r="T1778" s="9" t="n">
        <f aca="false">IF(A1778="",1,0)</f>
        <v>0</v>
      </c>
      <c r="U1778" s="9" t="n">
        <f aca="false">IF(D1778="",1,0)</f>
        <v>0</v>
      </c>
      <c r="V1778" s="9" t="n">
        <f aca="false">IF(E1778="",1,0)</f>
        <v>0</v>
      </c>
      <c r="W1778" s="9" t="n">
        <f aca="false">IF(OR(H1778&lt;1,H1778&gt;10),1,0)</f>
        <v>0</v>
      </c>
      <c r="X1778" s="9" t="n">
        <f aca="false">IF(OR(I1778&lt;=0,I1778&gt;1500),1,0)</f>
        <v>0</v>
      </c>
      <c r="Y1778" s="9" t="n">
        <f aca="false">IF(J1778&gt;H1778*I1778,1,0)</f>
        <v>0</v>
      </c>
      <c r="Z1778" s="9" t="n">
        <f aca="false">IF(AND(N1778&lt;&gt;"",OR(N1778&lt;1,N1778&gt;5)),1,0)</f>
        <v>0</v>
      </c>
      <c r="AA1778" s="9" t="n">
        <f aca="false">IF(AND(M1778&lt;&gt;"",OR(M1778&lt;5,M1778&gt;180)),1,0)</f>
        <v>0</v>
      </c>
      <c r="AB1778" s="7" t="str">
        <f aca="false">IF(P1778="DUP","Exact duplicate row",IF(T1778=1,"Missing Order ID",IF(S1778="DROP","Duplicate Order ID (less complete row)",IF(U1778=1,"Missing Customer ID",IF(V1778=1,"Missing Restaurant name",IF(W1778=1,"Invalid/outlier quantity",IF(X1778=1,"Invalid/outlier unit price",IF(Y1778=1,"Discount greater than order value",""))))))))</f>
        <v/>
      </c>
      <c r="AC1778" s="7" t="str">
        <f aca="false">IF(AB1778="","KEEP","DROP")</f>
        <v>KEEP</v>
      </c>
      <c r="AD1778" s="7" t="str">
        <f aca="false">IF(TRIM(F1778)="",IFERROR(INDEX(Map_Tables!$I$4:$I$37,MATCH(TRIM(E1778),Map_Tables!$G$4:$G$37,0)),""),IFERROR(INDEX(Map_Tables!$B$4:$B$18,MATCH(TRIM(F1778),Map_Tables!$A$4:$A$18,0)),"CHECK"))</f>
        <v>Ahmedabad</v>
      </c>
      <c r="AE1778" s="7" t="str">
        <f aca="false">IF(TRIM(E1778)="","",IFERROR(INDEX(Map_Tables!$H$4:$H$37,MATCH(TRIM(E1778),Map_Tables!$G$4:$G$37,0)),"CHECK"))</f>
        <v>Cheesy Slice</v>
      </c>
      <c r="AF1778" s="7" t="str">
        <f aca="false">IF(TRIM(K1778)="","Unknown",IFERROR(INDEX(Map_Tables!$E$4:$E$15,MATCH(TRIM(K1778),Map_Tables!$D$4:$D$15,0)),"CHECK"))</f>
        <v>Credit Card</v>
      </c>
      <c r="AG1778" s="7" t="str">
        <f aca="false">IF(LEFT(LOWER(TRIM(L1778)),6)="cancel","Cancelled","Delivered")</f>
        <v>Delivered</v>
      </c>
      <c r="AH1778" s="10" t="n">
        <f aca="false">IF(ISNUMBER(SEARCH("/",B1778)),DATE(VALUE(RIGHT(B1778,4)),VALUE(MID(B1778,4,2)),VALUE(LEFT(B1778,2))),IF(MID(B1778,5,1)="-",DATE(VALUE(LEFT(B1778,4)),VALUE(MID(B1778,6,2)),VALUE(RIGHT(B1778,2))),DATE(VALUE(RIGHT(B1778,4)),MATCH(MID(B1778,4,3),{"Jan","Feb","Mar","Apr","May","Jun","Jul","Aug","Sep","Oct","Nov","Dec"},0),VALUE(LEFT(B1778,2)))))</f>
        <v>45690</v>
      </c>
    </row>
    <row r="1779" customFormat="false" ht="15" hidden="false" customHeight="false" outlineLevel="0" collapsed="false">
      <c r="A1779" s="7" t="s">
        <v>4398</v>
      </c>
      <c r="B1779" s="7" t="s">
        <v>1292</v>
      </c>
      <c r="C1779" s="7" t="s">
        <v>2105</v>
      </c>
      <c r="D1779" s="7" t="s">
        <v>1510</v>
      </c>
      <c r="E1779" s="7" t="s">
        <v>138</v>
      </c>
      <c r="F1779" s="7" t="s">
        <v>110</v>
      </c>
      <c r="G1779" s="7" t="s">
        <v>251</v>
      </c>
      <c r="H1779" s="7" t="n">
        <v>3</v>
      </c>
      <c r="I1779" s="7" t="n">
        <v>185</v>
      </c>
      <c r="J1779" s="7" t="n">
        <v>30</v>
      </c>
      <c r="K1779" s="7" t="s">
        <v>112</v>
      </c>
      <c r="L1779" s="7" t="s">
        <v>194</v>
      </c>
      <c r="M1779" s="7" t="n">
        <v>49</v>
      </c>
      <c r="N1779" s="7" t="n">
        <v>4</v>
      </c>
      <c r="O1779" s="7" t="str">
        <f aca="false">A1779&amp;"|"&amp;B1779&amp;"|"&amp;C1779&amp;"|"&amp;D1779&amp;"|"&amp;E1779&amp;"|"&amp;F1779&amp;"|"&amp;G1779&amp;"|"&amp;H1779&amp;"|"&amp;I1779&amp;"|"&amp;J1779&amp;"|"&amp;K1779&amp;"|"&amp;L1779&amp;"|"&amp;M1779&amp;"|"&amp;N1779</f>
        <v>ORD10446|2025-03-01|12:12|C0287|Burger Barn|Delhi|burgers|3|185|30|Cash on Delivery|Delivered|49|4</v>
      </c>
      <c r="P1779" s="7" t="str">
        <f aca="false">IF(COUNTIF($O$2:O1779,O1779)&gt;1,"DUP","OK")</f>
        <v>OK</v>
      </c>
      <c r="Q1779" s="7" t="n">
        <f aca="false">COUNTBLANK(A1779:N1779)</f>
        <v>0</v>
      </c>
      <c r="R1779" s="7" t="n">
        <f aca="false">IF(A1779="",0,COUNTIFS($A$2:$A$3058,A1779,$P$2:$P$3058,"OK"))</f>
        <v>1</v>
      </c>
      <c r="S1779" s="7" t="str">
        <f aca="false">IF(OR(A1779="",P1779="DUP",R1779&lt;2),"",IF(Q1779=_xlfn.MINIFS($Q$2:$Q$3058,$A$2:$A$3058,A1779,$P$2:$P$3058,"OK"),"KEEP","DROP"))</f>
        <v/>
      </c>
      <c r="T1779" s="9" t="n">
        <f aca="false">IF(A1779="",1,0)</f>
        <v>0</v>
      </c>
      <c r="U1779" s="9" t="n">
        <f aca="false">IF(D1779="",1,0)</f>
        <v>0</v>
      </c>
      <c r="V1779" s="9" t="n">
        <f aca="false">IF(E1779="",1,0)</f>
        <v>0</v>
      </c>
      <c r="W1779" s="9" t="n">
        <f aca="false">IF(OR(H1779&lt;1,H1779&gt;10),1,0)</f>
        <v>0</v>
      </c>
      <c r="X1779" s="9" t="n">
        <f aca="false">IF(OR(I1779&lt;=0,I1779&gt;1500),1,0)</f>
        <v>0</v>
      </c>
      <c r="Y1779" s="9" t="n">
        <f aca="false">IF(J1779&gt;H1779*I1779,1,0)</f>
        <v>0</v>
      </c>
      <c r="Z1779" s="9" t="n">
        <f aca="false">IF(AND(N1779&lt;&gt;"",OR(N1779&lt;1,N1779&gt;5)),1,0)</f>
        <v>0</v>
      </c>
      <c r="AA1779" s="9" t="n">
        <f aca="false">IF(AND(M1779&lt;&gt;"",OR(M1779&lt;5,M1779&gt;180)),1,0)</f>
        <v>0</v>
      </c>
      <c r="AB1779" s="7" t="str">
        <f aca="false">IF(P1779="DUP","Exact duplicate row",IF(T1779=1,"Missing Order ID",IF(S1779="DROP","Duplicate Order ID (less complete row)",IF(U1779=1,"Missing Customer ID",IF(V1779=1,"Missing Restaurant name",IF(W1779=1,"Invalid/outlier quantity",IF(X1779=1,"Invalid/outlier unit price",IF(Y1779=1,"Discount greater than order value",""))))))))</f>
        <v/>
      </c>
      <c r="AC1779" s="7" t="str">
        <f aca="false">IF(AB1779="","KEEP","DROP")</f>
        <v>KEEP</v>
      </c>
      <c r="AD1779" s="7" t="str">
        <f aca="false">IF(TRIM(F1779)="",IFERROR(INDEX(Map_Tables!$I$4:$I$37,MATCH(TRIM(E1779),Map_Tables!$G$4:$G$37,0)),""),IFERROR(INDEX(Map_Tables!$B$4:$B$18,MATCH(TRIM(F1779),Map_Tables!$A$4:$A$18,0)),"CHECK"))</f>
        <v>Delhi</v>
      </c>
      <c r="AE1779" s="7" t="str">
        <f aca="false">IF(TRIM(E1779)="","",IFERROR(INDEX(Map_Tables!$H$4:$H$37,MATCH(TRIM(E1779),Map_Tables!$G$4:$G$37,0)),"CHECK"))</f>
        <v>Burger Barn</v>
      </c>
      <c r="AF1779" s="7" t="str">
        <f aca="false">IF(TRIM(K1779)="","Unknown",IFERROR(INDEX(Map_Tables!$E$4:$E$15,MATCH(TRIM(K1779),Map_Tables!$D$4:$D$15,0)),"CHECK"))</f>
        <v>Cash on Delivery</v>
      </c>
      <c r="AG1779" s="7" t="str">
        <f aca="false">IF(LEFT(LOWER(TRIM(L1779)),6)="cancel","Cancelled","Delivered")</f>
        <v>Delivered</v>
      </c>
      <c r="AH1779" s="10" t="n">
        <f aca="false">IF(ISNUMBER(SEARCH("/",B1779)),DATE(VALUE(RIGHT(B1779,4)),VALUE(MID(B1779,4,2)),VALUE(LEFT(B1779,2))),IF(MID(B1779,5,1)="-",DATE(VALUE(LEFT(B1779,4)),VALUE(MID(B1779,6,2)),VALUE(RIGHT(B1779,2))),DATE(VALUE(RIGHT(B1779,4)),MATCH(MID(B1779,4,3),{"Jan","Feb","Mar","Apr","May","Jun","Jul","Aug","Sep","Oct","Nov","Dec"},0),VALUE(LEFT(B1779,2)))))</f>
        <v>45717</v>
      </c>
    </row>
    <row r="1780" customFormat="false" ht="15" hidden="false" customHeight="false" outlineLevel="0" collapsed="false">
      <c r="A1780" s="7" t="s">
        <v>4399</v>
      </c>
      <c r="B1780" s="7" t="s">
        <v>4400</v>
      </c>
      <c r="C1780" s="7" t="s">
        <v>1725</v>
      </c>
      <c r="D1780" s="7" t="s">
        <v>4401</v>
      </c>
      <c r="E1780" s="7" t="s">
        <v>161</v>
      </c>
      <c r="F1780" s="7" t="s">
        <v>141</v>
      </c>
      <c r="G1780" s="7" t="s">
        <v>117</v>
      </c>
      <c r="H1780" s="7" t="n">
        <v>4</v>
      </c>
      <c r="I1780" s="7" t="n">
        <v>130</v>
      </c>
      <c r="J1780" s="7" t="n">
        <v>0</v>
      </c>
      <c r="K1780" s="7" t="s">
        <v>88</v>
      </c>
      <c r="L1780" s="7" t="s">
        <v>194</v>
      </c>
      <c r="M1780" s="7" t="n">
        <v>35</v>
      </c>
      <c r="N1780" s="7" t="n">
        <v>5</v>
      </c>
      <c r="O1780" s="7" t="str">
        <f aca="false">A1780&amp;"|"&amp;B1780&amp;"|"&amp;C1780&amp;"|"&amp;D1780&amp;"|"&amp;E1780&amp;"|"&amp;F1780&amp;"|"&amp;G1780&amp;"|"&amp;H1780&amp;"|"&amp;I1780&amp;"|"&amp;J1780&amp;"|"&amp;K1780&amp;"|"&amp;L1780&amp;"|"&amp;M1780&amp;"|"&amp;N1780</f>
        <v>ORD10477|04-Mar-2025|23:23|C0269|Bengal Bites|Kolkata|Street Food|4|130|0|UPI|Delivered|35|5</v>
      </c>
      <c r="P1780" s="7" t="str">
        <f aca="false">IF(COUNTIF($O$2:O1780,O1780)&gt;1,"DUP","OK")</f>
        <v>OK</v>
      </c>
      <c r="Q1780" s="7" t="n">
        <f aca="false">COUNTBLANK(A1780:N1780)</f>
        <v>0</v>
      </c>
      <c r="R1780" s="7" t="n">
        <f aca="false">IF(A1780="",0,COUNTIFS($A$2:$A$3058,A1780,$P$2:$P$3058,"OK"))</f>
        <v>1</v>
      </c>
      <c r="S1780" s="7" t="str">
        <f aca="false">IF(OR(A1780="",P1780="DUP",R1780&lt;2),"",IF(Q1780=_xlfn.MINIFS($Q$2:$Q$3058,$A$2:$A$3058,A1780,$P$2:$P$3058,"OK"),"KEEP","DROP"))</f>
        <v/>
      </c>
      <c r="T1780" s="9" t="n">
        <f aca="false">IF(A1780="",1,0)</f>
        <v>0</v>
      </c>
      <c r="U1780" s="9" t="n">
        <f aca="false">IF(D1780="",1,0)</f>
        <v>0</v>
      </c>
      <c r="V1780" s="9" t="n">
        <f aca="false">IF(E1780="",1,0)</f>
        <v>0</v>
      </c>
      <c r="W1780" s="9" t="n">
        <f aca="false">IF(OR(H1780&lt;1,H1780&gt;10),1,0)</f>
        <v>0</v>
      </c>
      <c r="X1780" s="9" t="n">
        <f aca="false">IF(OR(I1780&lt;=0,I1780&gt;1500),1,0)</f>
        <v>0</v>
      </c>
      <c r="Y1780" s="9" t="n">
        <f aca="false">IF(J1780&gt;H1780*I1780,1,0)</f>
        <v>0</v>
      </c>
      <c r="Z1780" s="9" t="n">
        <f aca="false">IF(AND(N1780&lt;&gt;"",OR(N1780&lt;1,N1780&gt;5)),1,0)</f>
        <v>0</v>
      </c>
      <c r="AA1780" s="9" t="n">
        <f aca="false">IF(AND(M1780&lt;&gt;"",OR(M1780&lt;5,M1780&gt;180)),1,0)</f>
        <v>0</v>
      </c>
      <c r="AB1780" s="7" t="str">
        <f aca="false">IF(P1780="DUP","Exact duplicate row",IF(T1780=1,"Missing Order ID",IF(S1780="DROP","Duplicate Order ID (less complete row)",IF(U1780=1,"Missing Customer ID",IF(V1780=1,"Missing Restaurant name",IF(W1780=1,"Invalid/outlier quantity",IF(X1780=1,"Invalid/outlier unit price",IF(Y1780=1,"Discount greater than order value",""))))))))</f>
        <v/>
      </c>
      <c r="AC1780" s="7" t="str">
        <f aca="false">IF(AB1780="","KEEP","DROP")</f>
        <v>KEEP</v>
      </c>
      <c r="AD1780" s="7" t="str">
        <f aca="false">IF(TRIM(F1780)="",IFERROR(INDEX(Map_Tables!$I$4:$I$37,MATCH(TRIM(E1780),Map_Tables!$G$4:$G$37,0)),""),IFERROR(INDEX(Map_Tables!$B$4:$B$18,MATCH(TRIM(F1780),Map_Tables!$A$4:$A$18,0)),"CHECK"))</f>
        <v>Kolkata</v>
      </c>
      <c r="AE1780" s="7" t="str">
        <f aca="false">IF(TRIM(E1780)="","",IFERROR(INDEX(Map_Tables!$H$4:$H$37,MATCH(TRIM(E1780),Map_Tables!$G$4:$G$37,0)),"CHECK"))</f>
        <v>Bengal Bites</v>
      </c>
      <c r="AF1780" s="7" t="str">
        <f aca="false">IF(TRIM(K1780)="","Unknown",IFERROR(INDEX(Map_Tables!$E$4:$E$15,MATCH(TRIM(K1780),Map_Tables!$D$4:$D$15,0)),"CHECK"))</f>
        <v>UPI</v>
      </c>
      <c r="AG1780" s="7" t="str">
        <f aca="false">IF(LEFT(LOWER(TRIM(L1780)),6)="cancel","Cancelled","Delivered")</f>
        <v>Delivered</v>
      </c>
      <c r="AH1780" s="10" t="n">
        <f aca="false">IF(ISNUMBER(SEARCH("/",B1780)),DATE(VALUE(RIGHT(B1780,4)),VALUE(MID(B1780,4,2)),VALUE(LEFT(B1780,2))),IF(MID(B1780,5,1)="-",DATE(VALUE(LEFT(B1780,4)),VALUE(MID(B1780,6,2)),VALUE(RIGHT(B1780,2))),DATE(VALUE(RIGHT(B1780,4)),MATCH(MID(B1780,4,3),{"Jan","Feb","Mar","Apr","May","Jun","Jul","Aug","Sep","Oct","Nov","Dec"},0),VALUE(LEFT(B1780,2)))))</f>
        <v>45720</v>
      </c>
    </row>
    <row r="1781" customFormat="false" ht="15" hidden="false" customHeight="false" outlineLevel="0" collapsed="false">
      <c r="A1781" s="7" t="s">
        <v>4402</v>
      </c>
      <c r="B1781" s="7" t="s">
        <v>4403</v>
      </c>
      <c r="C1781" s="7" t="s">
        <v>3152</v>
      </c>
      <c r="D1781" s="7" t="s">
        <v>1012</v>
      </c>
      <c r="E1781" s="7" t="s">
        <v>130</v>
      </c>
      <c r="F1781" s="7" t="s">
        <v>110</v>
      </c>
      <c r="G1781" s="7" t="s">
        <v>90</v>
      </c>
      <c r="H1781" s="7" t="n">
        <v>2</v>
      </c>
      <c r="I1781" s="7" t="n">
        <v>280</v>
      </c>
      <c r="J1781" s="7" t="n">
        <v>125</v>
      </c>
      <c r="K1781" s="7" t="s">
        <v>88</v>
      </c>
      <c r="L1781" s="7" t="s">
        <v>194</v>
      </c>
      <c r="M1781" s="7" t="n">
        <v>35</v>
      </c>
      <c r="N1781" s="7" t="n">
        <v>3</v>
      </c>
      <c r="O1781" s="7" t="str">
        <f aca="false">A1781&amp;"|"&amp;B1781&amp;"|"&amp;C1781&amp;"|"&amp;D1781&amp;"|"&amp;E1781&amp;"|"&amp;F1781&amp;"|"&amp;G1781&amp;"|"&amp;H1781&amp;"|"&amp;I1781&amp;"|"&amp;J1781&amp;"|"&amp;K1781&amp;"|"&amp;L1781&amp;"|"&amp;M1781&amp;"|"&amp;N1781</f>
        <v>ORD10539|10-Mar-2025|18:37|C0920|Tandoor Tales|Delhi|North Indian|2|280|125|UPI|Delivered|35|3</v>
      </c>
      <c r="P1781" s="7" t="str">
        <f aca="false">IF(COUNTIF($O$2:O1781,O1781)&gt;1,"DUP","OK")</f>
        <v>OK</v>
      </c>
      <c r="Q1781" s="7" t="n">
        <f aca="false">COUNTBLANK(A1781:N1781)</f>
        <v>0</v>
      </c>
      <c r="R1781" s="7" t="n">
        <f aca="false">IF(A1781="",0,COUNTIFS($A$2:$A$3058,A1781,$P$2:$P$3058,"OK"))</f>
        <v>1</v>
      </c>
      <c r="S1781" s="7" t="str">
        <f aca="false">IF(OR(A1781="",P1781="DUP",R1781&lt;2),"",IF(Q1781=_xlfn.MINIFS($Q$2:$Q$3058,$A$2:$A$3058,A1781,$P$2:$P$3058,"OK"),"KEEP","DROP"))</f>
        <v/>
      </c>
      <c r="T1781" s="9" t="n">
        <f aca="false">IF(A1781="",1,0)</f>
        <v>0</v>
      </c>
      <c r="U1781" s="9" t="n">
        <f aca="false">IF(D1781="",1,0)</f>
        <v>0</v>
      </c>
      <c r="V1781" s="9" t="n">
        <f aca="false">IF(E1781="",1,0)</f>
        <v>0</v>
      </c>
      <c r="W1781" s="9" t="n">
        <f aca="false">IF(OR(H1781&lt;1,H1781&gt;10),1,0)</f>
        <v>0</v>
      </c>
      <c r="X1781" s="9" t="n">
        <f aca="false">IF(OR(I1781&lt;=0,I1781&gt;1500),1,0)</f>
        <v>0</v>
      </c>
      <c r="Y1781" s="9" t="n">
        <f aca="false">IF(J1781&gt;H1781*I1781,1,0)</f>
        <v>0</v>
      </c>
      <c r="Z1781" s="9" t="n">
        <f aca="false">IF(AND(N1781&lt;&gt;"",OR(N1781&lt;1,N1781&gt;5)),1,0)</f>
        <v>0</v>
      </c>
      <c r="AA1781" s="9" t="n">
        <f aca="false">IF(AND(M1781&lt;&gt;"",OR(M1781&lt;5,M1781&gt;180)),1,0)</f>
        <v>0</v>
      </c>
      <c r="AB1781" s="7" t="str">
        <f aca="false">IF(P1781="DUP","Exact duplicate row",IF(T1781=1,"Missing Order ID",IF(S1781="DROP","Duplicate Order ID (less complete row)",IF(U1781=1,"Missing Customer ID",IF(V1781=1,"Missing Restaurant name",IF(W1781=1,"Invalid/outlier quantity",IF(X1781=1,"Invalid/outlier unit price",IF(Y1781=1,"Discount greater than order value",""))))))))</f>
        <v/>
      </c>
      <c r="AC1781" s="7" t="str">
        <f aca="false">IF(AB1781="","KEEP","DROP")</f>
        <v>KEEP</v>
      </c>
      <c r="AD1781" s="7" t="str">
        <f aca="false">IF(TRIM(F1781)="",IFERROR(INDEX(Map_Tables!$I$4:$I$37,MATCH(TRIM(E1781),Map_Tables!$G$4:$G$37,0)),""),IFERROR(INDEX(Map_Tables!$B$4:$B$18,MATCH(TRIM(F1781),Map_Tables!$A$4:$A$18,0)),"CHECK"))</f>
        <v>Delhi</v>
      </c>
      <c r="AE1781" s="7" t="str">
        <f aca="false">IF(TRIM(E1781)="","",IFERROR(INDEX(Map_Tables!$H$4:$H$37,MATCH(TRIM(E1781),Map_Tables!$G$4:$G$37,0)),"CHECK"))</f>
        <v>Tandoor Tales</v>
      </c>
      <c r="AF1781" s="7" t="str">
        <f aca="false">IF(TRIM(K1781)="","Unknown",IFERROR(INDEX(Map_Tables!$E$4:$E$15,MATCH(TRIM(K1781),Map_Tables!$D$4:$D$15,0)),"CHECK"))</f>
        <v>UPI</v>
      </c>
      <c r="AG1781" s="7" t="str">
        <f aca="false">IF(LEFT(LOWER(TRIM(L1781)),6)="cancel","Cancelled","Delivered")</f>
        <v>Delivered</v>
      </c>
      <c r="AH1781" s="10" t="n">
        <f aca="false">IF(ISNUMBER(SEARCH("/",B1781)),DATE(VALUE(RIGHT(B1781,4)),VALUE(MID(B1781,4,2)),VALUE(LEFT(B1781,2))),IF(MID(B1781,5,1)="-",DATE(VALUE(LEFT(B1781,4)),VALUE(MID(B1781,6,2)),VALUE(RIGHT(B1781,2))),DATE(VALUE(RIGHT(B1781,4)),MATCH(MID(B1781,4,3),{"Jan","Feb","Mar","Apr","May","Jun","Jul","Aug","Sep","Oct","Nov","Dec"},0),VALUE(LEFT(B1781,2)))))</f>
        <v>45726</v>
      </c>
    </row>
    <row r="1782" customFormat="false" ht="15" hidden="false" customHeight="false" outlineLevel="0" collapsed="false">
      <c r="A1782" s="7" t="s">
        <v>4404</v>
      </c>
      <c r="B1782" s="7" t="s">
        <v>2527</v>
      </c>
      <c r="C1782" s="7" t="s">
        <v>3728</v>
      </c>
      <c r="D1782" s="7" t="s">
        <v>1020</v>
      </c>
      <c r="E1782" s="7" t="s">
        <v>126</v>
      </c>
      <c r="F1782" s="7" t="s">
        <v>1557</v>
      </c>
      <c r="G1782" s="7" t="s">
        <v>105</v>
      </c>
      <c r="H1782" s="7" t="n">
        <v>3</v>
      </c>
      <c r="I1782" s="7" t="n">
        <v>205</v>
      </c>
      <c r="J1782" s="7" t="n">
        <v>0</v>
      </c>
      <c r="K1782" s="7" t="s">
        <v>88</v>
      </c>
      <c r="L1782" s="7" t="s">
        <v>194</v>
      </c>
      <c r="M1782" s="7" t="n">
        <v>44</v>
      </c>
      <c r="N1782" s="7" t="n">
        <v>4</v>
      </c>
      <c r="O1782" s="7" t="str">
        <f aca="false">A1782&amp;"|"&amp;B1782&amp;"|"&amp;C1782&amp;"|"&amp;D1782&amp;"|"&amp;E1782&amp;"|"&amp;F1782&amp;"|"&amp;G1782&amp;"|"&amp;H1782&amp;"|"&amp;I1782&amp;"|"&amp;J1782&amp;"|"&amp;K1782&amp;"|"&amp;L1782&amp;"|"&amp;M1782&amp;"|"&amp;N1782</f>
        <v>ORD11331|2025-06-21|13:57|C1422|Dragon Express|Mumbai |Chinese|3|205|0|UPI|Delivered|44|4</v>
      </c>
      <c r="P1782" s="7" t="str">
        <f aca="false">IF(COUNTIF($O$2:O1782,O1782)&gt;1,"DUP","OK")</f>
        <v>OK</v>
      </c>
      <c r="Q1782" s="7" t="n">
        <f aca="false">COUNTBLANK(A1782:N1782)</f>
        <v>0</v>
      </c>
      <c r="R1782" s="7" t="n">
        <f aca="false">IF(A1782="",0,COUNTIFS($A$2:$A$3058,A1782,$P$2:$P$3058,"OK"))</f>
        <v>1</v>
      </c>
      <c r="S1782" s="7" t="str">
        <f aca="false">IF(OR(A1782="",P1782="DUP",R1782&lt;2),"",IF(Q1782=_xlfn.MINIFS($Q$2:$Q$3058,$A$2:$A$3058,A1782,$P$2:$P$3058,"OK"),"KEEP","DROP"))</f>
        <v/>
      </c>
      <c r="T1782" s="9" t="n">
        <f aca="false">IF(A1782="",1,0)</f>
        <v>0</v>
      </c>
      <c r="U1782" s="9" t="n">
        <f aca="false">IF(D1782="",1,0)</f>
        <v>0</v>
      </c>
      <c r="V1782" s="9" t="n">
        <f aca="false">IF(E1782="",1,0)</f>
        <v>0</v>
      </c>
      <c r="W1782" s="9" t="n">
        <f aca="false">IF(OR(H1782&lt;1,H1782&gt;10),1,0)</f>
        <v>0</v>
      </c>
      <c r="X1782" s="9" t="n">
        <f aca="false">IF(OR(I1782&lt;=0,I1782&gt;1500),1,0)</f>
        <v>0</v>
      </c>
      <c r="Y1782" s="9" t="n">
        <f aca="false">IF(J1782&gt;H1782*I1782,1,0)</f>
        <v>0</v>
      </c>
      <c r="Z1782" s="9" t="n">
        <f aca="false">IF(AND(N1782&lt;&gt;"",OR(N1782&lt;1,N1782&gt;5)),1,0)</f>
        <v>0</v>
      </c>
      <c r="AA1782" s="9" t="n">
        <f aca="false">IF(AND(M1782&lt;&gt;"",OR(M1782&lt;5,M1782&gt;180)),1,0)</f>
        <v>0</v>
      </c>
      <c r="AB1782" s="7" t="str">
        <f aca="false">IF(P1782="DUP","Exact duplicate row",IF(T1782=1,"Missing Order ID",IF(S1782="DROP","Duplicate Order ID (less complete row)",IF(U1782=1,"Missing Customer ID",IF(V1782=1,"Missing Restaurant name",IF(W1782=1,"Invalid/outlier quantity",IF(X1782=1,"Invalid/outlier unit price",IF(Y1782=1,"Discount greater than order value",""))))))))</f>
        <v/>
      </c>
      <c r="AC1782" s="7" t="str">
        <f aca="false">IF(AB1782="","KEEP","DROP")</f>
        <v>KEEP</v>
      </c>
      <c r="AD1782" s="7" t="str">
        <f aca="false">IF(TRIM(F1782)="",IFERROR(INDEX(Map_Tables!$I$4:$I$37,MATCH(TRIM(E1782),Map_Tables!$G$4:$G$37,0)),""),IFERROR(INDEX(Map_Tables!$B$4:$B$18,MATCH(TRIM(F1782),Map_Tables!$A$4:$A$18,0)),"CHECK"))</f>
        <v>Mumbai</v>
      </c>
      <c r="AE1782" s="7" t="str">
        <f aca="false">IF(TRIM(E1782)="","",IFERROR(INDEX(Map_Tables!$H$4:$H$37,MATCH(TRIM(E1782),Map_Tables!$G$4:$G$37,0)),"CHECK"))</f>
        <v>Dragon Express</v>
      </c>
      <c r="AF1782" s="7" t="str">
        <f aca="false">IF(TRIM(K1782)="","Unknown",IFERROR(INDEX(Map_Tables!$E$4:$E$15,MATCH(TRIM(K1782),Map_Tables!$D$4:$D$15,0)),"CHECK"))</f>
        <v>UPI</v>
      </c>
      <c r="AG1782" s="7" t="str">
        <f aca="false">IF(LEFT(LOWER(TRIM(L1782)),6)="cancel","Cancelled","Delivered")</f>
        <v>Delivered</v>
      </c>
      <c r="AH1782" s="10" t="n">
        <f aca="false">IF(ISNUMBER(SEARCH("/",B1782)),DATE(VALUE(RIGHT(B1782,4)),VALUE(MID(B1782,4,2)),VALUE(LEFT(B1782,2))),IF(MID(B1782,5,1)="-",DATE(VALUE(LEFT(B1782,4)),VALUE(MID(B1782,6,2)),VALUE(RIGHT(B1782,2))),DATE(VALUE(RIGHT(B1782,4)),MATCH(MID(B1782,4,3),{"Jan","Feb","Mar","Apr","May","Jun","Jul","Aug","Sep","Oct","Nov","Dec"},0),VALUE(LEFT(B1782,2)))))</f>
        <v>45829</v>
      </c>
    </row>
    <row r="1783" customFormat="false" ht="15" hidden="false" customHeight="false" outlineLevel="0" collapsed="false">
      <c r="A1783" s="7" t="s">
        <v>4405</v>
      </c>
      <c r="B1783" s="7" t="s">
        <v>4406</v>
      </c>
      <c r="C1783" s="7" t="s">
        <v>4026</v>
      </c>
      <c r="D1783" s="7" t="s">
        <v>1981</v>
      </c>
      <c r="E1783" s="7" t="s">
        <v>147</v>
      </c>
      <c r="F1783" s="7" t="s">
        <v>119</v>
      </c>
      <c r="G1783" s="7" t="s">
        <v>95</v>
      </c>
      <c r="H1783" s="7" t="n">
        <v>4</v>
      </c>
      <c r="I1783" s="7" t="n">
        <v>160</v>
      </c>
      <c r="J1783" s="7" t="n">
        <v>125</v>
      </c>
      <c r="K1783" s="7" t="s">
        <v>115</v>
      </c>
      <c r="L1783" s="7" t="s">
        <v>194</v>
      </c>
      <c r="M1783" s="7" t="n">
        <v>41</v>
      </c>
      <c r="N1783" s="7" t="n">
        <v>4</v>
      </c>
      <c r="O1783" s="7" t="str">
        <f aca="false">A1783&amp;"|"&amp;B1783&amp;"|"&amp;C1783&amp;"|"&amp;D1783&amp;"|"&amp;E1783&amp;"|"&amp;F1783&amp;"|"&amp;G1783&amp;"|"&amp;H1783&amp;"|"&amp;I1783&amp;"|"&amp;J1783&amp;"|"&amp;K1783&amp;"|"&amp;L1783&amp;"|"&amp;M1783&amp;"|"&amp;N1783</f>
        <v>ORD10256|2025-02-03|21:29|C0607|Andhra Meals Mess|Hyderabad|South Indian|4|160|125|cash on delivery|Delivered|41|4</v>
      </c>
      <c r="P1783" s="7" t="str">
        <f aca="false">IF(COUNTIF($O$2:O1783,O1783)&gt;1,"DUP","OK")</f>
        <v>OK</v>
      </c>
      <c r="Q1783" s="7" t="n">
        <f aca="false">COUNTBLANK(A1783:N1783)</f>
        <v>0</v>
      </c>
      <c r="R1783" s="7" t="n">
        <f aca="false">IF(A1783="",0,COUNTIFS($A$2:$A$3058,A1783,$P$2:$P$3058,"OK"))</f>
        <v>1</v>
      </c>
      <c r="S1783" s="7" t="str">
        <f aca="false">IF(OR(A1783="",P1783="DUP",R1783&lt;2),"",IF(Q1783=_xlfn.MINIFS($Q$2:$Q$3058,$A$2:$A$3058,A1783,$P$2:$P$3058,"OK"),"KEEP","DROP"))</f>
        <v/>
      </c>
      <c r="T1783" s="9" t="n">
        <f aca="false">IF(A1783="",1,0)</f>
        <v>0</v>
      </c>
      <c r="U1783" s="9" t="n">
        <f aca="false">IF(D1783="",1,0)</f>
        <v>0</v>
      </c>
      <c r="V1783" s="9" t="n">
        <f aca="false">IF(E1783="",1,0)</f>
        <v>0</v>
      </c>
      <c r="W1783" s="9" t="n">
        <f aca="false">IF(OR(H1783&lt;1,H1783&gt;10),1,0)</f>
        <v>0</v>
      </c>
      <c r="X1783" s="9" t="n">
        <f aca="false">IF(OR(I1783&lt;=0,I1783&gt;1500),1,0)</f>
        <v>0</v>
      </c>
      <c r="Y1783" s="9" t="n">
        <f aca="false">IF(J1783&gt;H1783*I1783,1,0)</f>
        <v>0</v>
      </c>
      <c r="Z1783" s="9" t="n">
        <f aca="false">IF(AND(N1783&lt;&gt;"",OR(N1783&lt;1,N1783&gt;5)),1,0)</f>
        <v>0</v>
      </c>
      <c r="AA1783" s="9" t="n">
        <f aca="false">IF(AND(M1783&lt;&gt;"",OR(M1783&lt;5,M1783&gt;180)),1,0)</f>
        <v>0</v>
      </c>
      <c r="AB1783" s="7" t="str">
        <f aca="false">IF(P1783="DUP","Exact duplicate row",IF(T1783=1,"Missing Order ID",IF(S1783="DROP","Duplicate Order ID (less complete row)",IF(U1783=1,"Missing Customer ID",IF(V1783=1,"Missing Restaurant name",IF(W1783=1,"Invalid/outlier quantity",IF(X1783=1,"Invalid/outlier unit price",IF(Y1783=1,"Discount greater than order value",""))))))))</f>
        <v/>
      </c>
      <c r="AC1783" s="7" t="str">
        <f aca="false">IF(AB1783="","KEEP","DROP")</f>
        <v>KEEP</v>
      </c>
      <c r="AD1783" s="7" t="str">
        <f aca="false">IF(TRIM(F1783)="",IFERROR(INDEX(Map_Tables!$I$4:$I$37,MATCH(TRIM(E1783),Map_Tables!$G$4:$G$37,0)),""),IFERROR(INDEX(Map_Tables!$B$4:$B$18,MATCH(TRIM(F1783),Map_Tables!$A$4:$A$18,0)),"CHECK"))</f>
        <v>Hyderabad</v>
      </c>
      <c r="AE1783" s="7" t="str">
        <f aca="false">IF(TRIM(E1783)="","",IFERROR(INDEX(Map_Tables!$H$4:$H$37,MATCH(TRIM(E1783),Map_Tables!$G$4:$G$37,0)),"CHECK"))</f>
        <v>Andhra Meals Mess</v>
      </c>
      <c r="AF1783" s="7" t="str">
        <f aca="false">IF(TRIM(K1783)="","Unknown",IFERROR(INDEX(Map_Tables!$E$4:$E$15,MATCH(TRIM(K1783),Map_Tables!$D$4:$D$15,0)),"CHECK"))</f>
        <v>Cash on Delivery</v>
      </c>
      <c r="AG1783" s="7" t="str">
        <f aca="false">IF(LEFT(LOWER(TRIM(L1783)),6)="cancel","Cancelled","Delivered")</f>
        <v>Delivered</v>
      </c>
      <c r="AH1783" s="10" t="n">
        <f aca="false">IF(ISNUMBER(SEARCH("/",B1783)),DATE(VALUE(RIGHT(B1783,4)),VALUE(MID(B1783,4,2)),VALUE(LEFT(B1783,2))),IF(MID(B1783,5,1)="-",DATE(VALUE(LEFT(B1783,4)),VALUE(MID(B1783,6,2)),VALUE(RIGHT(B1783,2))),DATE(VALUE(RIGHT(B1783,4)),MATCH(MID(B1783,4,3),{"Jan","Feb","Mar","Apr","May","Jun","Jul","Aug","Sep","Oct","Nov","Dec"},0),VALUE(LEFT(B1783,2)))))</f>
        <v>45691</v>
      </c>
    </row>
    <row r="1784" customFormat="false" ht="15" hidden="false" customHeight="false" outlineLevel="0" collapsed="false">
      <c r="A1784" s="7" t="s">
        <v>4407</v>
      </c>
      <c r="B1784" s="7" t="s">
        <v>1292</v>
      </c>
      <c r="C1784" s="7" t="s">
        <v>788</v>
      </c>
      <c r="D1784" s="7" t="s">
        <v>3212</v>
      </c>
      <c r="E1784" s="7" t="s">
        <v>160</v>
      </c>
      <c r="F1784" s="7" t="s">
        <v>136</v>
      </c>
      <c r="G1784" s="7" t="s">
        <v>150</v>
      </c>
      <c r="H1784" s="7" t="n">
        <v>2</v>
      </c>
      <c r="I1784" s="7" t="n">
        <v>170</v>
      </c>
      <c r="J1784" s="7" t="n">
        <v>136</v>
      </c>
      <c r="K1784" s="7" t="s">
        <v>1739</v>
      </c>
      <c r="L1784" s="7" t="s">
        <v>194</v>
      </c>
      <c r="M1784" s="7" t="n">
        <v>22</v>
      </c>
      <c r="N1784" s="7" t="n">
        <v>4</v>
      </c>
      <c r="O1784" s="7" t="str">
        <f aca="false">A1784&amp;"|"&amp;B1784&amp;"|"&amp;C1784&amp;"|"&amp;D1784&amp;"|"&amp;E1784&amp;"|"&amp;F1784&amp;"|"&amp;G1784&amp;"|"&amp;H1784&amp;"|"&amp;I1784&amp;"|"&amp;J1784&amp;"|"&amp;K1784&amp;"|"&amp;L1784&amp;"|"&amp;M1784&amp;"|"&amp;N1784</f>
        <v>ORD10452|2025-03-01|19:35|C1322|Cake Walk|Pune|Desserts|2|170|136|CC|Delivered|22|4</v>
      </c>
      <c r="P1784" s="7" t="str">
        <f aca="false">IF(COUNTIF($O$2:O1784,O1784)&gt;1,"DUP","OK")</f>
        <v>OK</v>
      </c>
      <c r="Q1784" s="7" t="n">
        <f aca="false">COUNTBLANK(A1784:N1784)</f>
        <v>0</v>
      </c>
      <c r="R1784" s="7" t="n">
        <f aca="false">IF(A1784="",0,COUNTIFS($A$2:$A$3058,A1784,$P$2:$P$3058,"OK"))</f>
        <v>1</v>
      </c>
      <c r="S1784" s="7" t="str">
        <f aca="false">IF(OR(A1784="",P1784="DUP",R1784&lt;2),"",IF(Q1784=_xlfn.MINIFS($Q$2:$Q$3058,$A$2:$A$3058,A1784,$P$2:$P$3058,"OK"),"KEEP","DROP"))</f>
        <v/>
      </c>
      <c r="T1784" s="9" t="n">
        <f aca="false">IF(A1784="",1,0)</f>
        <v>0</v>
      </c>
      <c r="U1784" s="9" t="n">
        <f aca="false">IF(D1784="",1,0)</f>
        <v>0</v>
      </c>
      <c r="V1784" s="9" t="n">
        <f aca="false">IF(E1784="",1,0)</f>
        <v>0</v>
      </c>
      <c r="W1784" s="9" t="n">
        <f aca="false">IF(OR(H1784&lt;1,H1784&gt;10),1,0)</f>
        <v>0</v>
      </c>
      <c r="X1784" s="9" t="n">
        <f aca="false">IF(OR(I1784&lt;=0,I1784&gt;1500),1,0)</f>
        <v>0</v>
      </c>
      <c r="Y1784" s="9" t="n">
        <f aca="false">IF(J1784&gt;H1784*I1784,1,0)</f>
        <v>0</v>
      </c>
      <c r="Z1784" s="9" t="n">
        <f aca="false">IF(AND(N1784&lt;&gt;"",OR(N1784&lt;1,N1784&gt;5)),1,0)</f>
        <v>0</v>
      </c>
      <c r="AA1784" s="9" t="n">
        <f aca="false">IF(AND(M1784&lt;&gt;"",OR(M1784&lt;5,M1784&gt;180)),1,0)</f>
        <v>0</v>
      </c>
      <c r="AB1784" s="7" t="str">
        <f aca="false">IF(P1784="DUP","Exact duplicate row",IF(T1784=1,"Missing Order ID",IF(S1784="DROP","Duplicate Order ID (less complete row)",IF(U1784=1,"Missing Customer ID",IF(V1784=1,"Missing Restaurant name",IF(W1784=1,"Invalid/outlier quantity",IF(X1784=1,"Invalid/outlier unit price",IF(Y1784=1,"Discount greater than order value",""))))))))</f>
        <v/>
      </c>
      <c r="AC1784" s="7" t="str">
        <f aca="false">IF(AB1784="","KEEP","DROP")</f>
        <v>KEEP</v>
      </c>
      <c r="AD1784" s="7" t="str">
        <f aca="false">IF(TRIM(F1784)="",IFERROR(INDEX(Map_Tables!$I$4:$I$37,MATCH(TRIM(E1784),Map_Tables!$G$4:$G$37,0)),""),IFERROR(INDEX(Map_Tables!$B$4:$B$18,MATCH(TRIM(F1784),Map_Tables!$A$4:$A$18,0)),"CHECK"))</f>
        <v>Pune</v>
      </c>
      <c r="AE1784" s="7" t="str">
        <f aca="false">IF(TRIM(E1784)="","",IFERROR(INDEX(Map_Tables!$H$4:$H$37,MATCH(TRIM(E1784),Map_Tables!$G$4:$G$37,0)),"CHECK"))</f>
        <v>Cake Walk</v>
      </c>
      <c r="AF1784" s="7" t="str">
        <f aca="false">IF(TRIM(K1784)="","Unknown",IFERROR(INDEX(Map_Tables!$E$4:$E$15,MATCH(TRIM(K1784),Map_Tables!$D$4:$D$15,0)),"CHECK"))</f>
        <v>Credit Card</v>
      </c>
      <c r="AG1784" s="7" t="str">
        <f aca="false">IF(LEFT(LOWER(TRIM(L1784)),6)="cancel","Cancelled","Delivered")</f>
        <v>Delivered</v>
      </c>
      <c r="AH1784" s="10" t="n">
        <f aca="false">IF(ISNUMBER(SEARCH("/",B1784)),DATE(VALUE(RIGHT(B1784,4)),VALUE(MID(B1784,4,2)),VALUE(LEFT(B1784,2))),IF(MID(B1784,5,1)="-",DATE(VALUE(LEFT(B1784,4)),VALUE(MID(B1784,6,2)),VALUE(RIGHT(B1784,2))),DATE(VALUE(RIGHT(B1784,4)),MATCH(MID(B1784,4,3),{"Jan","Feb","Mar","Apr","May","Jun","Jul","Aug","Sep","Oct","Nov","Dec"},0),VALUE(LEFT(B1784,2)))))</f>
        <v>45717</v>
      </c>
    </row>
    <row r="1785" customFormat="false" ht="15" hidden="false" customHeight="false" outlineLevel="0" collapsed="false">
      <c r="A1785" s="7" t="s">
        <v>4408</v>
      </c>
      <c r="B1785" s="7" t="s">
        <v>222</v>
      </c>
      <c r="C1785" s="7" t="s">
        <v>4409</v>
      </c>
      <c r="D1785" s="7" t="s">
        <v>2566</v>
      </c>
      <c r="E1785" s="7" t="s">
        <v>162</v>
      </c>
      <c r="F1785" s="7" t="s">
        <v>141</v>
      </c>
      <c r="G1785" s="7" t="s">
        <v>117</v>
      </c>
      <c r="H1785" s="7" t="n">
        <v>5</v>
      </c>
      <c r="I1785" s="7" t="n">
        <v>110</v>
      </c>
      <c r="J1785" s="7" t="n">
        <v>50</v>
      </c>
      <c r="K1785" s="7" t="s">
        <v>88</v>
      </c>
      <c r="L1785" s="7" t="s">
        <v>194</v>
      </c>
      <c r="M1785" s="7" t="n">
        <v>34</v>
      </c>
      <c r="N1785" s="7" t="n">
        <v>4</v>
      </c>
      <c r="O1785" s="7" t="str">
        <f aca="false">A1785&amp;"|"&amp;B1785&amp;"|"&amp;C1785&amp;"|"&amp;D1785&amp;"|"&amp;E1785&amp;"|"&amp;F1785&amp;"|"&amp;G1785&amp;"|"&amp;H1785&amp;"|"&amp;I1785&amp;"|"&amp;J1785&amp;"|"&amp;K1785&amp;"|"&amp;L1785&amp;"|"&amp;M1785&amp;"|"&amp;N1785</f>
        <v>ORD12796|2025-12-07|23:21|C1302|Kolkata Roll Centre|Kolkata|Street Food|5|110|50|UPI|Delivered|34|4</v>
      </c>
      <c r="P1785" s="7" t="str">
        <f aca="false">IF(COUNTIF($O$2:O1785,O1785)&gt;1,"DUP","OK")</f>
        <v>OK</v>
      </c>
      <c r="Q1785" s="7" t="n">
        <f aca="false">COUNTBLANK(A1785:N1785)</f>
        <v>0</v>
      </c>
      <c r="R1785" s="7" t="n">
        <f aca="false">IF(A1785="",0,COUNTIFS($A$2:$A$3058,A1785,$P$2:$P$3058,"OK"))</f>
        <v>1</v>
      </c>
      <c r="S1785" s="7" t="str">
        <f aca="false">IF(OR(A1785="",P1785="DUP",R1785&lt;2),"",IF(Q1785=_xlfn.MINIFS($Q$2:$Q$3058,$A$2:$A$3058,A1785,$P$2:$P$3058,"OK"),"KEEP","DROP"))</f>
        <v/>
      </c>
      <c r="T1785" s="9" t="n">
        <f aca="false">IF(A1785="",1,0)</f>
        <v>0</v>
      </c>
      <c r="U1785" s="9" t="n">
        <f aca="false">IF(D1785="",1,0)</f>
        <v>0</v>
      </c>
      <c r="V1785" s="9" t="n">
        <f aca="false">IF(E1785="",1,0)</f>
        <v>0</v>
      </c>
      <c r="W1785" s="9" t="n">
        <f aca="false">IF(OR(H1785&lt;1,H1785&gt;10),1,0)</f>
        <v>0</v>
      </c>
      <c r="X1785" s="9" t="n">
        <f aca="false">IF(OR(I1785&lt;=0,I1785&gt;1500),1,0)</f>
        <v>0</v>
      </c>
      <c r="Y1785" s="9" t="n">
        <f aca="false">IF(J1785&gt;H1785*I1785,1,0)</f>
        <v>0</v>
      </c>
      <c r="Z1785" s="9" t="n">
        <f aca="false">IF(AND(N1785&lt;&gt;"",OR(N1785&lt;1,N1785&gt;5)),1,0)</f>
        <v>0</v>
      </c>
      <c r="AA1785" s="9" t="n">
        <f aca="false">IF(AND(M1785&lt;&gt;"",OR(M1785&lt;5,M1785&gt;180)),1,0)</f>
        <v>0</v>
      </c>
      <c r="AB1785" s="7" t="str">
        <f aca="false">IF(P1785="DUP","Exact duplicate row",IF(T1785=1,"Missing Order ID",IF(S1785="DROP","Duplicate Order ID (less complete row)",IF(U1785=1,"Missing Customer ID",IF(V1785=1,"Missing Restaurant name",IF(W1785=1,"Invalid/outlier quantity",IF(X1785=1,"Invalid/outlier unit price",IF(Y1785=1,"Discount greater than order value",""))))))))</f>
        <v/>
      </c>
      <c r="AC1785" s="7" t="str">
        <f aca="false">IF(AB1785="","KEEP","DROP")</f>
        <v>KEEP</v>
      </c>
      <c r="AD1785" s="7" t="str">
        <f aca="false">IF(TRIM(F1785)="",IFERROR(INDEX(Map_Tables!$I$4:$I$37,MATCH(TRIM(E1785),Map_Tables!$G$4:$G$37,0)),""),IFERROR(INDEX(Map_Tables!$B$4:$B$18,MATCH(TRIM(F1785),Map_Tables!$A$4:$A$18,0)),"CHECK"))</f>
        <v>Kolkata</v>
      </c>
      <c r="AE1785" s="7" t="str">
        <f aca="false">IF(TRIM(E1785)="","",IFERROR(INDEX(Map_Tables!$H$4:$H$37,MATCH(TRIM(E1785),Map_Tables!$G$4:$G$37,0)),"CHECK"))</f>
        <v>Kolkata Roll Centre</v>
      </c>
      <c r="AF1785" s="7" t="str">
        <f aca="false">IF(TRIM(K1785)="","Unknown",IFERROR(INDEX(Map_Tables!$E$4:$E$15,MATCH(TRIM(K1785),Map_Tables!$D$4:$D$15,0)),"CHECK"))</f>
        <v>UPI</v>
      </c>
      <c r="AG1785" s="7" t="str">
        <f aca="false">IF(LEFT(LOWER(TRIM(L1785)),6)="cancel","Cancelled","Delivered")</f>
        <v>Delivered</v>
      </c>
      <c r="AH1785" s="10" t="n">
        <f aca="false">IF(ISNUMBER(SEARCH("/",B1785)),DATE(VALUE(RIGHT(B1785,4)),VALUE(MID(B1785,4,2)),VALUE(LEFT(B1785,2))),IF(MID(B1785,5,1)="-",DATE(VALUE(LEFT(B1785,4)),VALUE(MID(B1785,6,2)),VALUE(RIGHT(B1785,2))),DATE(VALUE(RIGHT(B1785,4)),MATCH(MID(B1785,4,3),{"Jan","Feb","Mar","Apr","May","Jun","Jul","Aug","Sep","Oct","Nov","Dec"},0),VALUE(LEFT(B1785,2)))))</f>
        <v>45998</v>
      </c>
    </row>
    <row r="1786" customFormat="false" ht="15" hidden="false" customHeight="false" outlineLevel="0" collapsed="false">
      <c r="A1786" s="7" t="s">
        <v>4410</v>
      </c>
      <c r="B1786" s="7" t="s">
        <v>795</v>
      </c>
      <c r="C1786" s="7" t="s">
        <v>3456</v>
      </c>
      <c r="D1786" s="7" t="s">
        <v>1556</v>
      </c>
      <c r="E1786" s="7" t="s">
        <v>1912</v>
      </c>
      <c r="F1786" s="7" t="s">
        <v>110</v>
      </c>
      <c r="G1786" s="7" t="s">
        <v>139</v>
      </c>
      <c r="H1786" s="7" t="n">
        <v>1</v>
      </c>
      <c r="I1786" s="7" t="n">
        <v>165</v>
      </c>
      <c r="J1786" s="7" t="n">
        <v>0</v>
      </c>
      <c r="K1786" s="7" t="s">
        <v>112</v>
      </c>
      <c r="L1786" s="7" t="s">
        <v>194</v>
      </c>
      <c r="M1786" s="7" t="n">
        <v>40</v>
      </c>
      <c r="N1786" s="7" t="n">
        <v>5</v>
      </c>
      <c r="O1786" s="7" t="str">
        <f aca="false">A1786&amp;"|"&amp;B1786&amp;"|"&amp;C1786&amp;"|"&amp;D1786&amp;"|"&amp;E1786&amp;"|"&amp;F1786&amp;"|"&amp;G1786&amp;"|"&amp;H1786&amp;"|"&amp;I1786&amp;"|"&amp;J1786&amp;"|"&amp;K1786&amp;"|"&amp;L1786&amp;"|"&amp;M1786&amp;"|"&amp;N1786</f>
        <v>ORD11489|2025-07-12|20:36|C1362|Burger  Barn|Delhi|Burgers|1|165|0|Cash on Delivery|Delivered|40|5</v>
      </c>
      <c r="P1786" s="7" t="str">
        <f aca="false">IF(COUNTIF($O$2:O1786,O1786)&gt;1,"DUP","OK")</f>
        <v>OK</v>
      </c>
      <c r="Q1786" s="7" t="n">
        <f aca="false">COUNTBLANK(A1786:N1786)</f>
        <v>0</v>
      </c>
      <c r="R1786" s="7" t="n">
        <f aca="false">IF(A1786="",0,COUNTIFS($A$2:$A$3058,A1786,$P$2:$P$3058,"OK"))</f>
        <v>1</v>
      </c>
      <c r="S1786" s="7" t="str">
        <f aca="false">IF(OR(A1786="",P1786="DUP",R1786&lt;2),"",IF(Q1786=_xlfn.MINIFS($Q$2:$Q$3058,$A$2:$A$3058,A1786,$P$2:$P$3058,"OK"),"KEEP","DROP"))</f>
        <v/>
      </c>
      <c r="T1786" s="9" t="n">
        <f aca="false">IF(A1786="",1,0)</f>
        <v>0</v>
      </c>
      <c r="U1786" s="9" t="n">
        <f aca="false">IF(D1786="",1,0)</f>
        <v>0</v>
      </c>
      <c r="V1786" s="9" t="n">
        <f aca="false">IF(E1786="",1,0)</f>
        <v>0</v>
      </c>
      <c r="W1786" s="9" t="n">
        <f aca="false">IF(OR(H1786&lt;1,H1786&gt;10),1,0)</f>
        <v>0</v>
      </c>
      <c r="X1786" s="9" t="n">
        <f aca="false">IF(OR(I1786&lt;=0,I1786&gt;1500),1,0)</f>
        <v>0</v>
      </c>
      <c r="Y1786" s="9" t="n">
        <f aca="false">IF(J1786&gt;H1786*I1786,1,0)</f>
        <v>0</v>
      </c>
      <c r="Z1786" s="9" t="n">
        <f aca="false">IF(AND(N1786&lt;&gt;"",OR(N1786&lt;1,N1786&gt;5)),1,0)</f>
        <v>0</v>
      </c>
      <c r="AA1786" s="9" t="n">
        <f aca="false">IF(AND(M1786&lt;&gt;"",OR(M1786&lt;5,M1786&gt;180)),1,0)</f>
        <v>0</v>
      </c>
      <c r="AB1786" s="7" t="str">
        <f aca="false">IF(P1786="DUP","Exact duplicate row",IF(T1786=1,"Missing Order ID",IF(S1786="DROP","Duplicate Order ID (less complete row)",IF(U1786=1,"Missing Customer ID",IF(V1786=1,"Missing Restaurant name",IF(W1786=1,"Invalid/outlier quantity",IF(X1786=1,"Invalid/outlier unit price",IF(Y1786=1,"Discount greater than order value",""))))))))</f>
        <v/>
      </c>
      <c r="AC1786" s="7" t="str">
        <f aca="false">IF(AB1786="","KEEP","DROP")</f>
        <v>KEEP</v>
      </c>
      <c r="AD1786" s="7" t="str">
        <f aca="false">IF(TRIM(F1786)="",IFERROR(INDEX(Map_Tables!$I$4:$I$37,MATCH(TRIM(E1786),Map_Tables!$G$4:$G$37,0)),""),IFERROR(INDEX(Map_Tables!$B$4:$B$18,MATCH(TRIM(F1786),Map_Tables!$A$4:$A$18,0)),"CHECK"))</f>
        <v>Delhi</v>
      </c>
      <c r="AE1786" s="7" t="str">
        <f aca="false">IF(TRIM(E1786)="","",IFERROR(INDEX(Map_Tables!$H$4:$H$37,MATCH(TRIM(E1786),Map_Tables!$G$4:$G$37,0)),"CHECK"))</f>
        <v>Burger Barn</v>
      </c>
      <c r="AF1786" s="7" t="str">
        <f aca="false">IF(TRIM(K1786)="","Unknown",IFERROR(INDEX(Map_Tables!$E$4:$E$15,MATCH(TRIM(K1786),Map_Tables!$D$4:$D$15,0)),"CHECK"))</f>
        <v>Cash on Delivery</v>
      </c>
      <c r="AG1786" s="7" t="str">
        <f aca="false">IF(LEFT(LOWER(TRIM(L1786)),6)="cancel","Cancelled","Delivered")</f>
        <v>Delivered</v>
      </c>
      <c r="AH1786" s="10" t="n">
        <f aca="false">IF(ISNUMBER(SEARCH("/",B1786)),DATE(VALUE(RIGHT(B1786,4)),VALUE(MID(B1786,4,2)),VALUE(LEFT(B1786,2))),IF(MID(B1786,5,1)="-",DATE(VALUE(LEFT(B1786,4)),VALUE(MID(B1786,6,2)),VALUE(RIGHT(B1786,2))),DATE(VALUE(RIGHT(B1786,4)),MATCH(MID(B1786,4,3),{"Jan","Feb","Mar","Apr","May","Jun","Jul","Aug","Sep","Oct","Nov","Dec"},0),VALUE(LEFT(B1786,2)))))</f>
        <v>45850</v>
      </c>
    </row>
    <row r="1787" customFormat="false" ht="15" hidden="false" customHeight="false" outlineLevel="0" collapsed="false">
      <c r="A1787" s="7" t="s">
        <v>4411</v>
      </c>
      <c r="B1787" s="7" t="s">
        <v>625</v>
      </c>
      <c r="C1787" s="7" t="s">
        <v>1015</v>
      </c>
      <c r="D1787" s="7" t="s">
        <v>565</v>
      </c>
      <c r="E1787" s="7" t="s">
        <v>122</v>
      </c>
      <c r="F1787" s="7" t="s">
        <v>100</v>
      </c>
      <c r="G1787" s="7" t="s">
        <v>123</v>
      </c>
      <c r="H1787" s="7" t="n">
        <v>2</v>
      </c>
      <c r="I1787" s="7" t="n">
        <v>360</v>
      </c>
      <c r="J1787" s="7" t="n">
        <v>40</v>
      </c>
      <c r="K1787" s="7" t="s">
        <v>88</v>
      </c>
      <c r="L1787" s="7" t="s">
        <v>194</v>
      </c>
      <c r="M1787" s="7" t="n">
        <v>40</v>
      </c>
      <c r="N1787" s="7" t="n">
        <v>3</v>
      </c>
      <c r="O1787" s="7" t="str">
        <f aca="false">A1787&amp;"|"&amp;B1787&amp;"|"&amp;C1787&amp;"|"&amp;D1787&amp;"|"&amp;E1787&amp;"|"&amp;F1787&amp;"|"&amp;G1787&amp;"|"&amp;H1787&amp;"|"&amp;I1787&amp;"|"&amp;J1787&amp;"|"&amp;K1787&amp;"|"&amp;L1787&amp;"|"&amp;M1787&amp;"|"&amp;N1787</f>
        <v>ORD11745|2025-08-16|22:41|C1051|Mumbai Pizza Co|mumbai|Pizza|2|360|40|UPI|Delivered|40|3</v>
      </c>
      <c r="P1787" s="7" t="str">
        <f aca="false">IF(COUNTIF($O$2:O1787,O1787)&gt;1,"DUP","OK")</f>
        <v>OK</v>
      </c>
      <c r="Q1787" s="7" t="n">
        <f aca="false">COUNTBLANK(A1787:N1787)</f>
        <v>0</v>
      </c>
      <c r="R1787" s="7" t="n">
        <f aca="false">IF(A1787="",0,COUNTIFS($A$2:$A$3058,A1787,$P$2:$P$3058,"OK"))</f>
        <v>1</v>
      </c>
      <c r="S1787" s="7" t="str">
        <f aca="false">IF(OR(A1787="",P1787="DUP",R1787&lt;2),"",IF(Q1787=_xlfn.MINIFS($Q$2:$Q$3058,$A$2:$A$3058,A1787,$P$2:$P$3058,"OK"),"KEEP","DROP"))</f>
        <v/>
      </c>
      <c r="T1787" s="9" t="n">
        <f aca="false">IF(A1787="",1,0)</f>
        <v>0</v>
      </c>
      <c r="U1787" s="9" t="n">
        <f aca="false">IF(D1787="",1,0)</f>
        <v>0</v>
      </c>
      <c r="V1787" s="9" t="n">
        <f aca="false">IF(E1787="",1,0)</f>
        <v>0</v>
      </c>
      <c r="W1787" s="9" t="n">
        <f aca="false">IF(OR(H1787&lt;1,H1787&gt;10),1,0)</f>
        <v>0</v>
      </c>
      <c r="X1787" s="9" t="n">
        <f aca="false">IF(OR(I1787&lt;=0,I1787&gt;1500),1,0)</f>
        <v>0</v>
      </c>
      <c r="Y1787" s="9" t="n">
        <f aca="false">IF(J1787&gt;H1787*I1787,1,0)</f>
        <v>0</v>
      </c>
      <c r="Z1787" s="9" t="n">
        <f aca="false">IF(AND(N1787&lt;&gt;"",OR(N1787&lt;1,N1787&gt;5)),1,0)</f>
        <v>0</v>
      </c>
      <c r="AA1787" s="9" t="n">
        <f aca="false">IF(AND(M1787&lt;&gt;"",OR(M1787&lt;5,M1787&gt;180)),1,0)</f>
        <v>0</v>
      </c>
      <c r="AB1787" s="7" t="str">
        <f aca="false">IF(P1787="DUP","Exact duplicate row",IF(T1787=1,"Missing Order ID",IF(S1787="DROP","Duplicate Order ID (less complete row)",IF(U1787=1,"Missing Customer ID",IF(V1787=1,"Missing Restaurant name",IF(W1787=1,"Invalid/outlier quantity",IF(X1787=1,"Invalid/outlier unit price",IF(Y1787=1,"Discount greater than order value",""))))))))</f>
        <v/>
      </c>
      <c r="AC1787" s="7" t="str">
        <f aca="false">IF(AB1787="","KEEP","DROP")</f>
        <v>KEEP</v>
      </c>
      <c r="AD1787" s="7" t="str">
        <f aca="false">IF(TRIM(F1787)="",IFERROR(INDEX(Map_Tables!$I$4:$I$37,MATCH(TRIM(E1787),Map_Tables!$G$4:$G$37,0)),""),IFERROR(INDEX(Map_Tables!$B$4:$B$18,MATCH(TRIM(F1787),Map_Tables!$A$4:$A$18,0)),"CHECK"))</f>
        <v>Mumbai</v>
      </c>
      <c r="AE1787" s="7" t="str">
        <f aca="false">IF(TRIM(E1787)="","",IFERROR(INDEX(Map_Tables!$H$4:$H$37,MATCH(TRIM(E1787),Map_Tables!$G$4:$G$37,0)),"CHECK"))</f>
        <v>Mumbai Pizza Co</v>
      </c>
      <c r="AF1787" s="7" t="str">
        <f aca="false">IF(TRIM(K1787)="","Unknown",IFERROR(INDEX(Map_Tables!$E$4:$E$15,MATCH(TRIM(K1787),Map_Tables!$D$4:$D$15,0)),"CHECK"))</f>
        <v>UPI</v>
      </c>
      <c r="AG1787" s="7" t="str">
        <f aca="false">IF(LEFT(LOWER(TRIM(L1787)),6)="cancel","Cancelled","Delivered")</f>
        <v>Delivered</v>
      </c>
      <c r="AH1787" s="10" t="n">
        <f aca="false">IF(ISNUMBER(SEARCH("/",B1787)),DATE(VALUE(RIGHT(B1787,4)),VALUE(MID(B1787,4,2)),VALUE(LEFT(B1787,2))),IF(MID(B1787,5,1)="-",DATE(VALUE(LEFT(B1787,4)),VALUE(MID(B1787,6,2)),VALUE(RIGHT(B1787,2))),DATE(VALUE(RIGHT(B1787,4)),MATCH(MID(B1787,4,3),{"Jan","Feb","Mar","Apr","May","Jun","Jul","Aug","Sep","Oct","Nov","Dec"},0),VALUE(LEFT(B1787,2)))))</f>
        <v>45885</v>
      </c>
    </row>
    <row r="1788" customFormat="false" ht="15" hidden="false" customHeight="false" outlineLevel="0" collapsed="false">
      <c r="A1788" s="7" t="s">
        <v>4412</v>
      </c>
      <c r="B1788" s="7" t="s">
        <v>2351</v>
      </c>
      <c r="C1788" s="7" t="s">
        <v>3774</v>
      </c>
      <c r="D1788" s="7" t="s">
        <v>3354</v>
      </c>
      <c r="E1788" s="7" t="s">
        <v>144</v>
      </c>
      <c r="F1788" s="7" t="s">
        <v>119</v>
      </c>
      <c r="G1788" s="7" t="s">
        <v>99</v>
      </c>
      <c r="H1788" s="7" t="n">
        <v>1</v>
      </c>
      <c r="I1788" s="7" t="n">
        <v>320</v>
      </c>
      <c r="J1788" s="7" t="n">
        <v>30</v>
      </c>
      <c r="K1788" s="7" t="s">
        <v>88</v>
      </c>
      <c r="L1788" s="7" t="s">
        <v>194</v>
      </c>
      <c r="M1788" s="7" t="n">
        <v>30</v>
      </c>
      <c r="N1788" s="7"/>
      <c r="O1788" s="7" t="str">
        <f aca="false">A1788&amp;"|"&amp;B1788&amp;"|"&amp;C1788&amp;"|"&amp;D1788&amp;"|"&amp;E1788&amp;"|"&amp;F1788&amp;"|"&amp;G1788&amp;"|"&amp;H1788&amp;"|"&amp;I1788&amp;"|"&amp;J1788&amp;"|"&amp;K1788&amp;"|"&amp;L1788&amp;"|"&amp;M1788&amp;"|"&amp;N1788</f>
        <v>ORD12379|2025-10-27|12:52|C1323|Hyderabad Dum Biryani|Hyderabad|Biryani|1|320|30|UPI|Delivered|30|</v>
      </c>
      <c r="P1788" s="7" t="str">
        <f aca="false">IF(COUNTIF($O$2:O1788,O1788)&gt;1,"DUP","OK")</f>
        <v>OK</v>
      </c>
      <c r="Q1788" s="7" t="n">
        <f aca="false">COUNTBLANK(A1788:N1788)</f>
        <v>1</v>
      </c>
      <c r="R1788" s="7" t="n">
        <f aca="false">IF(A1788="",0,COUNTIFS($A$2:$A$3058,A1788,$P$2:$P$3058,"OK"))</f>
        <v>2</v>
      </c>
      <c r="S1788" s="7" t="str">
        <f aca="false">IF(OR(A1788="",P1788="DUP",R1788&lt;2),"",IF(Q1788=_xlfn.MINIFS($Q$2:$Q$3058,$A$2:$A$3058,A1788,$P$2:$P$3058,"OK"),"KEEP","DROP"))</f>
        <v>DROP</v>
      </c>
      <c r="T1788" s="9" t="n">
        <f aca="false">IF(A1788="",1,0)</f>
        <v>0</v>
      </c>
      <c r="U1788" s="9" t="n">
        <f aca="false">IF(D1788="",1,0)</f>
        <v>0</v>
      </c>
      <c r="V1788" s="9" t="n">
        <f aca="false">IF(E1788="",1,0)</f>
        <v>0</v>
      </c>
      <c r="W1788" s="9" t="n">
        <f aca="false">IF(OR(H1788&lt;1,H1788&gt;10),1,0)</f>
        <v>0</v>
      </c>
      <c r="X1788" s="9" t="n">
        <f aca="false">IF(OR(I1788&lt;=0,I1788&gt;1500),1,0)</f>
        <v>0</v>
      </c>
      <c r="Y1788" s="9" t="n">
        <f aca="false">IF(J1788&gt;H1788*I1788,1,0)</f>
        <v>0</v>
      </c>
      <c r="Z1788" s="9" t="n">
        <f aca="false">IF(AND(N1788&lt;&gt;"",OR(N1788&lt;1,N1788&gt;5)),1,0)</f>
        <v>0</v>
      </c>
      <c r="AA1788" s="9" t="n">
        <f aca="false">IF(AND(M1788&lt;&gt;"",OR(M1788&lt;5,M1788&gt;180)),1,0)</f>
        <v>0</v>
      </c>
      <c r="AB1788" s="7" t="str">
        <f aca="false">IF(P1788="DUP","Exact duplicate row",IF(T1788=1,"Missing Order ID",IF(S1788="DROP","Duplicate Order ID (less complete row)",IF(U1788=1,"Missing Customer ID",IF(V1788=1,"Missing Restaurant name",IF(W1788=1,"Invalid/outlier quantity",IF(X1788=1,"Invalid/outlier unit price",IF(Y1788=1,"Discount greater than order value",""))))))))</f>
        <v>Duplicate Order ID (less complete row)</v>
      </c>
      <c r="AC1788" s="7" t="str">
        <f aca="false">IF(AB1788="","KEEP","DROP")</f>
        <v>DROP</v>
      </c>
      <c r="AD1788" s="7" t="str">
        <f aca="false">IF(TRIM(F1788)="",IFERROR(INDEX(Map_Tables!$I$4:$I$37,MATCH(TRIM(E1788),Map_Tables!$G$4:$G$37,0)),""),IFERROR(INDEX(Map_Tables!$B$4:$B$18,MATCH(TRIM(F1788),Map_Tables!$A$4:$A$18,0)),"CHECK"))</f>
        <v>Hyderabad</v>
      </c>
      <c r="AE1788" s="7" t="str">
        <f aca="false">IF(TRIM(E1788)="","",IFERROR(INDEX(Map_Tables!$H$4:$H$37,MATCH(TRIM(E1788),Map_Tables!$G$4:$G$37,0)),"CHECK"))</f>
        <v>Hyderabad Dum Biryani</v>
      </c>
      <c r="AF1788" s="7" t="str">
        <f aca="false">IF(TRIM(K1788)="","Unknown",IFERROR(INDEX(Map_Tables!$E$4:$E$15,MATCH(TRIM(K1788),Map_Tables!$D$4:$D$15,0)),"CHECK"))</f>
        <v>UPI</v>
      </c>
      <c r="AG1788" s="7" t="str">
        <f aca="false">IF(LEFT(LOWER(TRIM(L1788)),6)="cancel","Cancelled","Delivered")</f>
        <v>Delivered</v>
      </c>
      <c r="AH1788" s="10" t="n">
        <f aca="false">IF(ISNUMBER(SEARCH("/",B1788)),DATE(VALUE(RIGHT(B1788,4)),VALUE(MID(B1788,4,2)),VALUE(LEFT(B1788,2))),IF(MID(B1788,5,1)="-",DATE(VALUE(LEFT(B1788,4)),VALUE(MID(B1788,6,2)),VALUE(RIGHT(B1788,2))),DATE(VALUE(RIGHT(B1788,4)),MATCH(MID(B1788,4,3),{"Jan","Feb","Mar","Apr","May","Jun","Jul","Aug","Sep","Oct","Nov","Dec"},0),VALUE(LEFT(B1788,2)))))</f>
        <v>45957</v>
      </c>
    </row>
    <row r="1789" customFormat="false" ht="15" hidden="false" customHeight="false" outlineLevel="0" collapsed="false">
      <c r="A1789" s="7" t="s">
        <v>4413</v>
      </c>
      <c r="B1789" s="7" t="s">
        <v>2568</v>
      </c>
      <c r="C1789" s="7" t="s">
        <v>249</v>
      </c>
      <c r="D1789" s="7" t="s">
        <v>3635</v>
      </c>
      <c r="E1789" s="7" t="s">
        <v>164</v>
      </c>
      <c r="F1789" s="7" t="s">
        <v>140</v>
      </c>
      <c r="G1789" s="7" t="s">
        <v>150</v>
      </c>
      <c r="H1789" s="7" t="n">
        <v>1</v>
      </c>
      <c r="I1789" s="7" t="n">
        <v>115</v>
      </c>
      <c r="J1789" s="7" t="n">
        <v>46</v>
      </c>
      <c r="K1789" s="7" t="s">
        <v>103</v>
      </c>
      <c r="L1789" s="7" t="s">
        <v>194</v>
      </c>
      <c r="M1789" s="7" t="n">
        <v>43</v>
      </c>
      <c r="N1789" s="7"/>
      <c r="O1789" s="7" t="str">
        <f aca="false">A1789&amp;"|"&amp;B1789&amp;"|"&amp;C1789&amp;"|"&amp;D1789&amp;"|"&amp;E1789&amp;"|"&amp;F1789&amp;"|"&amp;G1789&amp;"|"&amp;H1789&amp;"|"&amp;I1789&amp;"|"&amp;J1789&amp;"|"&amp;K1789&amp;"|"&amp;L1789&amp;"|"&amp;M1789&amp;"|"&amp;N1789</f>
        <v>ORD11912|2025-09-05|14:00|C0734|Mishti Mandir|kolkata|Desserts|1|115|46|Debit Card|Delivered|43|</v>
      </c>
      <c r="P1789" s="7" t="str">
        <f aca="false">IF(COUNTIF($O$2:O1789,O1789)&gt;1,"DUP","OK")</f>
        <v>OK</v>
      </c>
      <c r="Q1789" s="7" t="n">
        <f aca="false">COUNTBLANK(A1789:N1789)</f>
        <v>1</v>
      </c>
      <c r="R1789" s="7" t="n">
        <f aca="false">IF(A1789="",0,COUNTIFS($A$2:$A$3058,A1789,$P$2:$P$3058,"OK"))</f>
        <v>1</v>
      </c>
      <c r="S1789" s="7" t="str">
        <f aca="false">IF(OR(A1789="",P1789="DUP",R1789&lt;2),"",IF(Q1789=_xlfn.MINIFS($Q$2:$Q$3058,$A$2:$A$3058,A1789,$P$2:$P$3058,"OK"),"KEEP","DROP"))</f>
        <v/>
      </c>
      <c r="T1789" s="9" t="n">
        <f aca="false">IF(A1789="",1,0)</f>
        <v>0</v>
      </c>
      <c r="U1789" s="9" t="n">
        <f aca="false">IF(D1789="",1,0)</f>
        <v>0</v>
      </c>
      <c r="V1789" s="9" t="n">
        <f aca="false">IF(E1789="",1,0)</f>
        <v>0</v>
      </c>
      <c r="W1789" s="9" t="n">
        <f aca="false">IF(OR(H1789&lt;1,H1789&gt;10),1,0)</f>
        <v>0</v>
      </c>
      <c r="X1789" s="9" t="n">
        <f aca="false">IF(OR(I1789&lt;=0,I1789&gt;1500),1,0)</f>
        <v>0</v>
      </c>
      <c r="Y1789" s="9" t="n">
        <f aca="false">IF(J1789&gt;H1789*I1789,1,0)</f>
        <v>0</v>
      </c>
      <c r="Z1789" s="9" t="n">
        <f aca="false">IF(AND(N1789&lt;&gt;"",OR(N1789&lt;1,N1789&gt;5)),1,0)</f>
        <v>0</v>
      </c>
      <c r="AA1789" s="9" t="n">
        <f aca="false">IF(AND(M1789&lt;&gt;"",OR(M1789&lt;5,M1789&gt;180)),1,0)</f>
        <v>0</v>
      </c>
      <c r="AB1789" s="7" t="str">
        <f aca="false">IF(P1789="DUP","Exact duplicate row",IF(T1789=1,"Missing Order ID",IF(S1789="DROP","Duplicate Order ID (less complete row)",IF(U1789=1,"Missing Customer ID",IF(V1789=1,"Missing Restaurant name",IF(W1789=1,"Invalid/outlier quantity",IF(X1789=1,"Invalid/outlier unit price",IF(Y1789=1,"Discount greater than order value",""))))))))</f>
        <v/>
      </c>
      <c r="AC1789" s="7" t="str">
        <f aca="false">IF(AB1789="","KEEP","DROP")</f>
        <v>KEEP</v>
      </c>
      <c r="AD1789" s="7" t="str">
        <f aca="false">IF(TRIM(F1789)="",IFERROR(INDEX(Map_Tables!$I$4:$I$37,MATCH(TRIM(E1789),Map_Tables!$G$4:$G$37,0)),""),IFERROR(INDEX(Map_Tables!$B$4:$B$18,MATCH(TRIM(F1789),Map_Tables!$A$4:$A$18,0)),"CHECK"))</f>
        <v>Kolkata</v>
      </c>
      <c r="AE1789" s="7" t="str">
        <f aca="false">IF(TRIM(E1789)="","",IFERROR(INDEX(Map_Tables!$H$4:$H$37,MATCH(TRIM(E1789),Map_Tables!$G$4:$G$37,0)),"CHECK"))</f>
        <v>Mishti Mandir</v>
      </c>
      <c r="AF1789" s="7" t="str">
        <f aca="false">IF(TRIM(K1789)="","Unknown",IFERROR(INDEX(Map_Tables!$E$4:$E$15,MATCH(TRIM(K1789),Map_Tables!$D$4:$D$15,0)),"CHECK"))</f>
        <v>Debit Card</v>
      </c>
      <c r="AG1789" s="7" t="str">
        <f aca="false">IF(LEFT(LOWER(TRIM(L1789)),6)="cancel","Cancelled","Delivered")</f>
        <v>Delivered</v>
      </c>
      <c r="AH1789" s="10" t="n">
        <f aca="false">IF(ISNUMBER(SEARCH("/",B1789)),DATE(VALUE(RIGHT(B1789,4)),VALUE(MID(B1789,4,2)),VALUE(LEFT(B1789,2))),IF(MID(B1789,5,1)="-",DATE(VALUE(LEFT(B1789,4)),VALUE(MID(B1789,6,2)),VALUE(RIGHT(B1789,2))),DATE(VALUE(RIGHT(B1789,4)),MATCH(MID(B1789,4,3),{"Jan","Feb","Mar","Apr","May","Jun","Jul","Aug","Sep","Oct","Nov","Dec"},0),VALUE(LEFT(B1789,2)))))</f>
        <v>45905</v>
      </c>
    </row>
    <row r="1790" customFormat="false" ht="15" hidden="false" customHeight="false" outlineLevel="0" collapsed="false">
      <c r="A1790" s="7" t="s">
        <v>4414</v>
      </c>
      <c r="B1790" s="7" t="s">
        <v>643</v>
      </c>
      <c r="C1790" s="7" t="s">
        <v>1880</v>
      </c>
      <c r="D1790" s="7" t="s">
        <v>4415</v>
      </c>
      <c r="E1790" s="7" t="s">
        <v>147</v>
      </c>
      <c r="F1790" s="7" t="s">
        <v>312</v>
      </c>
      <c r="G1790" s="7" t="s">
        <v>95</v>
      </c>
      <c r="H1790" s="7" t="n">
        <v>1</v>
      </c>
      <c r="I1790" s="7" t="n">
        <v>150</v>
      </c>
      <c r="J1790" s="7" t="n">
        <v>60</v>
      </c>
      <c r="K1790" s="7" t="s">
        <v>88</v>
      </c>
      <c r="L1790" s="7" t="s">
        <v>194</v>
      </c>
      <c r="M1790" s="7" t="n">
        <v>46</v>
      </c>
      <c r="N1790" s="7" t="n">
        <v>4</v>
      </c>
      <c r="O1790" s="7" t="str">
        <f aca="false">A1790&amp;"|"&amp;B1790&amp;"|"&amp;C1790&amp;"|"&amp;D1790&amp;"|"&amp;E1790&amp;"|"&amp;F1790&amp;"|"&amp;G1790&amp;"|"&amp;H1790&amp;"|"&amp;I1790&amp;"|"&amp;J1790&amp;"|"&amp;K1790&amp;"|"&amp;L1790&amp;"|"&amp;M1790&amp;"|"&amp;N1790</f>
        <v>ORD12870|2025-12-17|22:15|C0329|Andhra Meals Mess|Hyd|South Indian|1|150|60|UPI|Delivered|46|4</v>
      </c>
      <c r="P1790" s="7" t="str">
        <f aca="false">IF(COUNTIF($O$2:O1790,O1790)&gt;1,"DUP","OK")</f>
        <v>OK</v>
      </c>
      <c r="Q1790" s="7" t="n">
        <f aca="false">COUNTBLANK(A1790:N1790)</f>
        <v>0</v>
      </c>
      <c r="R1790" s="7" t="n">
        <f aca="false">IF(A1790="",0,COUNTIFS($A$2:$A$3058,A1790,$P$2:$P$3058,"OK"))</f>
        <v>1</v>
      </c>
      <c r="S1790" s="7" t="str">
        <f aca="false">IF(OR(A1790="",P1790="DUP",R1790&lt;2),"",IF(Q1790=_xlfn.MINIFS($Q$2:$Q$3058,$A$2:$A$3058,A1790,$P$2:$P$3058,"OK"),"KEEP","DROP"))</f>
        <v/>
      </c>
      <c r="T1790" s="9" t="n">
        <f aca="false">IF(A1790="",1,0)</f>
        <v>0</v>
      </c>
      <c r="U1790" s="9" t="n">
        <f aca="false">IF(D1790="",1,0)</f>
        <v>0</v>
      </c>
      <c r="V1790" s="9" t="n">
        <f aca="false">IF(E1790="",1,0)</f>
        <v>0</v>
      </c>
      <c r="W1790" s="9" t="n">
        <f aca="false">IF(OR(H1790&lt;1,H1790&gt;10),1,0)</f>
        <v>0</v>
      </c>
      <c r="X1790" s="9" t="n">
        <f aca="false">IF(OR(I1790&lt;=0,I1790&gt;1500),1,0)</f>
        <v>0</v>
      </c>
      <c r="Y1790" s="9" t="n">
        <f aca="false">IF(J1790&gt;H1790*I1790,1,0)</f>
        <v>0</v>
      </c>
      <c r="Z1790" s="9" t="n">
        <f aca="false">IF(AND(N1790&lt;&gt;"",OR(N1790&lt;1,N1790&gt;5)),1,0)</f>
        <v>0</v>
      </c>
      <c r="AA1790" s="9" t="n">
        <f aca="false">IF(AND(M1790&lt;&gt;"",OR(M1790&lt;5,M1790&gt;180)),1,0)</f>
        <v>0</v>
      </c>
      <c r="AB1790" s="7" t="str">
        <f aca="false">IF(P1790="DUP","Exact duplicate row",IF(T1790=1,"Missing Order ID",IF(S1790="DROP","Duplicate Order ID (less complete row)",IF(U1790=1,"Missing Customer ID",IF(V1790=1,"Missing Restaurant name",IF(W1790=1,"Invalid/outlier quantity",IF(X1790=1,"Invalid/outlier unit price",IF(Y1790=1,"Discount greater than order value",""))))))))</f>
        <v/>
      </c>
      <c r="AC1790" s="7" t="str">
        <f aca="false">IF(AB1790="","KEEP","DROP")</f>
        <v>KEEP</v>
      </c>
      <c r="AD1790" s="7" t="str">
        <f aca="false">IF(TRIM(F1790)="",IFERROR(INDEX(Map_Tables!$I$4:$I$37,MATCH(TRIM(E1790),Map_Tables!$G$4:$G$37,0)),""),IFERROR(INDEX(Map_Tables!$B$4:$B$18,MATCH(TRIM(F1790),Map_Tables!$A$4:$A$18,0)),"CHECK"))</f>
        <v>Hyderabad</v>
      </c>
      <c r="AE1790" s="7" t="str">
        <f aca="false">IF(TRIM(E1790)="","",IFERROR(INDEX(Map_Tables!$H$4:$H$37,MATCH(TRIM(E1790),Map_Tables!$G$4:$G$37,0)),"CHECK"))</f>
        <v>Andhra Meals Mess</v>
      </c>
      <c r="AF1790" s="7" t="str">
        <f aca="false">IF(TRIM(K1790)="","Unknown",IFERROR(INDEX(Map_Tables!$E$4:$E$15,MATCH(TRIM(K1790),Map_Tables!$D$4:$D$15,0)),"CHECK"))</f>
        <v>UPI</v>
      </c>
      <c r="AG1790" s="7" t="str">
        <f aca="false">IF(LEFT(LOWER(TRIM(L1790)),6)="cancel","Cancelled","Delivered")</f>
        <v>Delivered</v>
      </c>
      <c r="AH1790" s="10" t="n">
        <f aca="false">IF(ISNUMBER(SEARCH("/",B1790)),DATE(VALUE(RIGHT(B1790,4)),VALUE(MID(B1790,4,2)),VALUE(LEFT(B1790,2))),IF(MID(B1790,5,1)="-",DATE(VALUE(LEFT(B1790,4)),VALUE(MID(B1790,6,2)),VALUE(RIGHT(B1790,2))),DATE(VALUE(RIGHT(B1790,4)),MATCH(MID(B1790,4,3),{"Jan","Feb","Mar","Apr","May","Jun","Jul","Aug","Sep","Oct","Nov","Dec"},0),VALUE(LEFT(B1790,2)))))</f>
        <v>46008</v>
      </c>
    </row>
    <row r="1791" customFormat="false" ht="15" hidden="false" customHeight="false" outlineLevel="0" collapsed="false">
      <c r="A1791" s="7" t="s">
        <v>4416</v>
      </c>
      <c r="B1791" s="7" t="s">
        <v>892</v>
      </c>
      <c r="C1791" s="7" t="s">
        <v>4417</v>
      </c>
      <c r="D1791" s="7" t="s">
        <v>3369</v>
      </c>
      <c r="E1791" s="7" t="s">
        <v>4418</v>
      </c>
      <c r="F1791" s="7" t="s">
        <v>128</v>
      </c>
      <c r="G1791" s="7" t="s">
        <v>95</v>
      </c>
      <c r="H1791" s="7" t="n">
        <v>1</v>
      </c>
      <c r="I1791" s="7" t="n">
        <v>160</v>
      </c>
      <c r="J1791" s="7" t="n">
        <v>0</v>
      </c>
      <c r="K1791" s="7" t="s">
        <v>93</v>
      </c>
      <c r="L1791" s="7" t="s">
        <v>194</v>
      </c>
      <c r="M1791" s="7" t="n">
        <v>32</v>
      </c>
      <c r="N1791" s="7" t="n">
        <v>3</v>
      </c>
      <c r="O1791" s="7" t="str">
        <f aca="false">A1791&amp;"|"&amp;B1791&amp;"|"&amp;C1791&amp;"|"&amp;D1791&amp;"|"&amp;E1791&amp;"|"&amp;F1791&amp;"|"&amp;G1791&amp;"|"&amp;H1791&amp;"|"&amp;I1791&amp;"|"&amp;J1791&amp;"|"&amp;K1791&amp;"|"&amp;L1791&amp;"|"&amp;M1791&amp;"|"&amp;N1791</f>
        <v>ORD12520|2025-11-12|08:42|C0771|chettinad house|Chennai|South Indian|1|160|0|Credit Card|Delivered|32|3</v>
      </c>
      <c r="P1791" s="7" t="str">
        <f aca="false">IF(COUNTIF($O$2:O1791,O1791)&gt;1,"DUP","OK")</f>
        <v>OK</v>
      </c>
      <c r="Q1791" s="7" t="n">
        <f aca="false">COUNTBLANK(A1791:N1791)</f>
        <v>0</v>
      </c>
      <c r="R1791" s="7" t="n">
        <f aca="false">IF(A1791="",0,COUNTIFS($A$2:$A$3058,A1791,$P$2:$P$3058,"OK"))</f>
        <v>1</v>
      </c>
      <c r="S1791" s="7" t="str">
        <f aca="false">IF(OR(A1791="",P1791="DUP",R1791&lt;2),"",IF(Q1791=_xlfn.MINIFS($Q$2:$Q$3058,$A$2:$A$3058,A1791,$P$2:$P$3058,"OK"),"KEEP","DROP"))</f>
        <v/>
      </c>
      <c r="T1791" s="9" t="n">
        <f aca="false">IF(A1791="",1,0)</f>
        <v>0</v>
      </c>
      <c r="U1791" s="9" t="n">
        <f aca="false">IF(D1791="",1,0)</f>
        <v>0</v>
      </c>
      <c r="V1791" s="9" t="n">
        <f aca="false">IF(E1791="",1,0)</f>
        <v>0</v>
      </c>
      <c r="W1791" s="9" t="n">
        <f aca="false">IF(OR(H1791&lt;1,H1791&gt;10),1,0)</f>
        <v>0</v>
      </c>
      <c r="X1791" s="9" t="n">
        <f aca="false">IF(OR(I1791&lt;=0,I1791&gt;1500),1,0)</f>
        <v>0</v>
      </c>
      <c r="Y1791" s="9" t="n">
        <f aca="false">IF(J1791&gt;H1791*I1791,1,0)</f>
        <v>0</v>
      </c>
      <c r="Z1791" s="9" t="n">
        <f aca="false">IF(AND(N1791&lt;&gt;"",OR(N1791&lt;1,N1791&gt;5)),1,0)</f>
        <v>0</v>
      </c>
      <c r="AA1791" s="9" t="n">
        <f aca="false">IF(AND(M1791&lt;&gt;"",OR(M1791&lt;5,M1791&gt;180)),1,0)</f>
        <v>0</v>
      </c>
      <c r="AB1791" s="7" t="str">
        <f aca="false">IF(P1791="DUP","Exact duplicate row",IF(T1791=1,"Missing Order ID",IF(S1791="DROP","Duplicate Order ID (less complete row)",IF(U1791=1,"Missing Customer ID",IF(V1791=1,"Missing Restaurant name",IF(W1791=1,"Invalid/outlier quantity",IF(X1791=1,"Invalid/outlier unit price",IF(Y1791=1,"Discount greater than order value",""))))))))</f>
        <v/>
      </c>
      <c r="AC1791" s="7" t="str">
        <f aca="false">IF(AB1791="","KEEP","DROP")</f>
        <v>KEEP</v>
      </c>
      <c r="AD1791" s="7" t="str">
        <f aca="false">IF(TRIM(F1791)="",IFERROR(INDEX(Map_Tables!$I$4:$I$37,MATCH(TRIM(E1791),Map_Tables!$G$4:$G$37,0)),""),IFERROR(INDEX(Map_Tables!$B$4:$B$18,MATCH(TRIM(F1791),Map_Tables!$A$4:$A$18,0)),"CHECK"))</f>
        <v>Chennai</v>
      </c>
      <c r="AE1791" s="7" t="str">
        <f aca="false">IF(TRIM(E1791)="","",IFERROR(INDEX(Map_Tables!$H$4:$H$37,MATCH(TRIM(E1791),Map_Tables!$G$4:$G$37,0)),"CHECK"))</f>
        <v>Chettinad House</v>
      </c>
      <c r="AF1791" s="7" t="str">
        <f aca="false">IF(TRIM(K1791)="","Unknown",IFERROR(INDEX(Map_Tables!$E$4:$E$15,MATCH(TRIM(K1791),Map_Tables!$D$4:$D$15,0)),"CHECK"))</f>
        <v>Credit Card</v>
      </c>
      <c r="AG1791" s="7" t="str">
        <f aca="false">IF(LEFT(LOWER(TRIM(L1791)),6)="cancel","Cancelled","Delivered")</f>
        <v>Delivered</v>
      </c>
      <c r="AH1791" s="10" t="n">
        <f aca="false">IF(ISNUMBER(SEARCH("/",B1791)),DATE(VALUE(RIGHT(B1791,4)),VALUE(MID(B1791,4,2)),VALUE(LEFT(B1791,2))),IF(MID(B1791,5,1)="-",DATE(VALUE(LEFT(B1791,4)),VALUE(MID(B1791,6,2)),VALUE(RIGHT(B1791,2))),DATE(VALUE(RIGHT(B1791,4)),MATCH(MID(B1791,4,3),{"Jan","Feb","Mar","Apr","May","Jun","Jul","Aug","Sep","Oct","Nov","Dec"},0),VALUE(LEFT(B1791,2)))))</f>
        <v>45973</v>
      </c>
    </row>
    <row r="1792" customFormat="false" ht="15" hidden="false" customHeight="false" outlineLevel="0" collapsed="false">
      <c r="A1792" s="7" t="s">
        <v>4419</v>
      </c>
      <c r="B1792" s="7" t="s">
        <v>1096</v>
      </c>
      <c r="C1792" s="7" t="s">
        <v>1427</v>
      </c>
      <c r="D1792" s="7" t="s">
        <v>2635</v>
      </c>
      <c r="E1792" s="7" t="s">
        <v>160</v>
      </c>
      <c r="F1792" s="7" t="s">
        <v>136</v>
      </c>
      <c r="G1792" s="7" t="s">
        <v>150</v>
      </c>
      <c r="H1792" s="7" t="n">
        <v>1</v>
      </c>
      <c r="I1792" s="7" t="n">
        <v>180</v>
      </c>
      <c r="J1792" s="7" t="n">
        <v>0</v>
      </c>
      <c r="K1792" s="7" t="s">
        <v>93</v>
      </c>
      <c r="L1792" s="7" t="s">
        <v>194</v>
      </c>
      <c r="M1792" s="7"/>
      <c r="N1792" s="7" t="n">
        <v>5</v>
      </c>
      <c r="O1792" s="7" t="str">
        <f aca="false">A1792&amp;"|"&amp;B1792&amp;"|"&amp;C1792&amp;"|"&amp;D1792&amp;"|"&amp;E1792&amp;"|"&amp;F1792&amp;"|"&amp;G1792&amp;"|"&amp;H1792&amp;"|"&amp;I1792&amp;"|"&amp;J1792&amp;"|"&amp;K1792&amp;"|"&amp;L1792&amp;"|"&amp;M1792&amp;"|"&amp;N1792</f>
        <v>ORD12368|2025-10-26|08:27|C0724|Cake Walk|Pune|Desserts|1|180|0|Credit Card|Delivered||5</v>
      </c>
      <c r="P1792" s="7" t="str">
        <f aca="false">IF(COUNTIF($O$2:O1792,O1792)&gt;1,"DUP","OK")</f>
        <v>OK</v>
      </c>
      <c r="Q1792" s="7" t="n">
        <f aca="false">COUNTBLANK(A1792:N1792)</f>
        <v>1</v>
      </c>
      <c r="R1792" s="7" t="n">
        <f aca="false">IF(A1792="",0,COUNTIFS($A$2:$A$3058,A1792,$P$2:$P$3058,"OK"))</f>
        <v>1</v>
      </c>
      <c r="S1792" s="7" t="str">
        <f aca="false">IF(OR(A1792="",P1792="DUP",R1792&lt;2),"",IF(Q1792=_xlfn.MINIFS($Q$2:$Q$3058,$A$2:$A$3058,A1792,$P$2:$P$3058,"OK"),"KEEP","DROP"))</f>
        <v/>
      </c>
      <c r="T1792" s="9" t="n">
        <f aca="false">IF(A1792="",1,0)</f>
        <v>0</v>
      </c>
      <c r="U1792" s="9" t="n">
        <f aca="false">IF(D1792="",1,0)</f>
        <v>0</v>
      </c>
      <c r="V1792" s="9" t="n">
        <f aca="false">IF(E1792="",1,0)</f>
        <v>0</v>
      </c>
      <c r="W1792" s="9" t="n">
        <f aca="false">IF(OR(H1792&lt;1,H1792&gt;10),1,0)</f>
        <v>0</v>
      </c>
      <c r="X1792" s="9" t="n">
        <f aca="false">IF(OR(I1792&lt;=0,I1792&gt;1500),1,0)</f>
        <v>0</v>
      </c>
      <c r="Y1792" s="9" t="n">
        <f aca="false">IF(J1792&gt;H1792*I1792,1,0)</f>
        <v>0</v>
      </c>
      <c r="Z1792" s="9" t="n">
        <f aca="false">IF(AND(N1792&lt;&gt;"",OR(N1792&lt;1,N1792&gt;5)),1,0)</f>
        <v>0</v>
      </c>
      <c r="AA1792" s="9" t="n">
        <f aca="false">IF(AND(M1792&lt;&gt;"",OR(M1792&lt;5,M1792&gt;180)),1,0)</f>
        <v>0</v>
      </c>
      <c r="AB1792" s="7" t="str">
        <f aca="false">IF(P1792="DUP","Exact duplicate row",IF(T1792=1,"Missing Order ID",IF(S1792="DROP","Duplicate Order ID (less complete row)",IF(U1792=1,"Missing Customer ID",IF(V1792=1,"Missing Restaurant name",IF(W1792=1,"Invalid/outlier quantity",IF(X1792=1,"Invalid/outlier unit price",IF(Y1792=1,"Discount greater than order value",""))))))))</f>
        <v/>
      </c>
      <c r="AC1792" s="7" t="str">
        <f aca="false">IF(AB1792="","KEEP","DROP")</f>
        <v>KEEP</v>
      </c>
      <c r="AD1792" s="7" t="str">
        <f aca="false">IF(TRIM(F1792)="",IFERROR(INDEX(Map_Tables!$I$4:$I$37,MATCH(TRIM(E1792),Map_Tables!$G$4:$G$37,0)),""),IFERROR(INDEX(Map_Tables!$B$4:$B$18,MATCH(TRIM(F1792),Map_Tables!$A$4:$A$18,0)),"CHECK"))</f>
        <v>Pune</v>
      </c>
      <c r="AE1792" s="7" t="str">
        <f aca="false">IF(TRIM(E1792)="","",IFERROR(INDEX(Map_Tables!$H$4:$H$37,MATCH(TRIM(E1792),Map_Tables!$G$4:$G$37,0)),"CHECK"))</f>
        <v>Cake Walk</v>
      </c>
      <c r="AF1792" s="7" t="str">
        <f aca="false">IF(TRIM(K1792)="","Unknown",IFERROR(INDEX(Map_Tables!$E$4:$E$15,MATCH(TRIM(K1792),Map_Tables!$D$4:$D$15,0)),"CHECK"))</f>
        <v>Credit Card</v>
      </c>
      <c r="AG1792" s="7" t="str">
        <f aca="false">IF(LEFT(LOWER(TRIM(L1792)),6)="cancel","Cancelled","Delivered")</f>
        <v>Delivered</v>
      </c>
      <c r="AH1792" s="10" t="n">
        <f aca="false">IF(ISNUMBER(SEARCH("/",B1792)),DATE(VALUE(RIGHT(B1792,4)),VALUE(MID(B1792,4,2)),VALUE(LEFT(B1792,2))),IF(MID(B1792,5,1)="-",DATE(VALUE(LEFT(B1792,4)),VALUE(MID(B1792,6,2)),VALUE(RIGHT(B1792,2))),DATE(VALUE(RIGHT(B1792,4)),MATCH(MID(B1792,4,3),{"Jan","Feb","Mar","Apr","May","Jun","Jul","Aug","Sep","Oct","Nov","Dec"},0),VALUE(LEFT(B1792,2)))))</f>
        <v>45956</v>
      </c>
    </row>
    <row r="1793" customFormat="false" ht="15" hidden="false" customHeight="false" outlineLevel="0" collapsed="false">
      <c r="A1793" s="7" t="s">
        <v>4420</v>
      </c>
      <c r="B1793" s="7" t="s">
        <v>2097</v>
      </c>
      <c r="C1793" s="7" t="s">
        <v>1788</v>
      </c>
      <c r="D1793" s="7" t="s">
        <v>603</v>
      </c>
      <c r="E1793" s="7" t="s">
        <v>161</v>
      </c>
      <c r="F1793" s="7" t="s">
        <v>141</v>
      </c>
      <c r="G1793" s="7" t="s">
        <v>117</v>
      </c>
      <c r="H1793" s="7" t="n">
        <v>1</v>
      </c>
      <c r="I1793" s="7" t="n">
        <v>120</v>
      </c>
      <c r="J1793" s="7" t="n">
        <v>0</v>
      </c>
      <c r="K1793" s="7" t="s">
        <v>93</v>
      </c>
      <c r="L1793" s="7" t="s">
        <v>194</v>
      </c>
      <c r="M1793" s="7" t="n">
        <v>39</v>
      </c>
      <c r="N1793" s="7" t="n">
        <v>4</v>
      </c>
      <c r="O1793" s="7" t="str">
        <f aca="false">A1793&amp;"|"&amp;B1793&amp;"|"&amp;C1793&amp;"|"&amp;D1793&amp;"|"&amp;E1793&amp;"|"&amp;F1793&amp;"|"&amp;G1793&amp;"|"&amp;H1793&amp;"|"&amp;I1793&amp;"|"&amp;J1793&amp;"|"&amp;K1793&amp;"|"&amp;L1793&amp;"|"&amp;M1793&amp;"|"&amp;N1793</f>
        <v>ORD12909|2025-12-21|20:33|C0743|Bengal Bites|Kolkata|Street Food|1|120|0|Credit Card|Delivered|39|4</v>
      </c>
      <c r="P1793" s="7" t="str">
        <f aca="false">IF(COUNTIF($O$2:O1793,O1793)&gt;1,"DUP","OK")</f>
        <v>OK</v>
      </c>
      <c r="Q1793" s="7" t="n">
        <f aca="false">COUNTBLANK(A1793:N1793)</f>
        <v>0</v>
      </c>
      <c r="R1793" s="7" t="n">
        <f aca="false">IF(A1793="",0,COUNTIFS($A$2:$A$3058,A1793,$P$2:$P$3058,"OK"))</f>
        <v>1</v>
      </c>
      <c r="S1793" s="7" t="str">
        <f aca="false">IF(OR(A1793="",P1793="DUP",R1793&lt;2),"",IF(Q1793=_xlfn.MINIFS($Q$2:$Q$3058,$A$2:$A$3058,A1793,$P$2:$P$3058,"OK"),"KEEP","DROP"))</f>
        <v/>
      </c>
      <c r="T1793" s="9" t="n">
        <f aca="false">IF(A1793="",1,0)</f>
        <v>0</v>
      </c>
      <c r="U1793" s="9" t="n">
        <f aca="false">IF(D1793="",1,0)</f>
        <v>0</v>
      </c>
      <c r="V1793" s="9" t="n">
        <f aca="false">IF(E1793="",1,0)</f>
        <v>0</v>
      </c>
      <c r="W1793" s="9" t="n">
        <f aca="false">IF(OR(H1793&lt;1,H1793&gt;10),1,0)</f>
        <v>0</v>
      </c>
      <c r="X1793" s="9" t="n">
        <f aca="false">IF(OR(I1793&lt;=0,I1793&gt;1500),1,0)</f>
        <v>0</v>
      </c>
      <c r="Y1793" s="9" t="n">
        <f aca="false">IF(J1793&gt;H1793*I1793,1,0)</f>
        <v>0</v>
      </c>
      <c r="Z1793" s="9" t="n">
        <f aca="false">IF(AND(N1793&lt;&gt;"",OR(N1793&lt;1,N1793&gt;5)),1,0)</f>
        <v>0</v>
      </c>
      <c r="AA1793" s="9" t="n">
        <f aca="false">IF(AND(M1793&lt;&gt;"",OR(M1793&lt;5,M1793&gt;180)),1,0)</f>
        <v>0</v>
      </c>
      <c r="AB1793" s="7" t="str">
        <f aca="false">IF(P1793="DUP","Exact duplicate row",IF(T1793=1,"Missing Order ID",IF(S1793="DROP","Duplicate Order ID (less complete row)",IF(U1793=1,"Missing Customer ID",IF(V1793=1,"Missing Restaurant name",IF(W1793=1,"Invalid/outlier quantity",IF(X1793=1,"Invalid/outlier unit price",IF(Y1793=1,"Discount greater than order value",""))))))))</f>
        <v/>
      </c>
      <c r="AC1793" s="7" t="str">
        <f aca="false">IF(AB1793="","KEEP","DROP")</f>
        <v>KEEP</v>
      </c>
      <c r="AD1793" s="7" t="str">
        <f aca="false">IF(TRIM(F1793)="",IFERROR(INDEX(Map_Tables!$I$4:$I$37,MATCH(TRIM(E1793),Map_Tables!$G$4:$G$37,0)),""),IFERROR(INDEX(Map_Tables!$B$4:$B$18,MATCH(TRIM(F1793),Map_Tables!$A$4:$A$18,0)),"CHECK"))</f>
        <v>Kolkata</v>
      </c>
      <c r="AE1793" s="7" t="str">
        <f aca="false">IF(TRIM(E1793)="","",IFERROR(INDEX(Map_Tables!$H$4:$H$37,MATCH(TRIM(E1793),Map_Tables!$G$4:$G$37,0)),"CHECK"))</f>
        <v>Bengal Bites</v>
      </c>
      <c r="AF1793" s="7" t="str">
        <f aca="false">IF(TRIM(K1793)="","Unknown",IFERROR(INDEX(Map_Tables!$E$4:$E$15,MATCH(TRIM(K1793),Map_Tables!$D$4:$D$15,0)),"CHECK"))</f>
        <v>Credit Card</v>
      </c>
      <c r="AG1793" s="7" t="str">
        <f aca="false">IF(LEFT(LOWER(TRIM(L1793)),6)="cancel","Cancelled","Delivered")</f>
        <v>Delivered</v>
      </c>
      <c r="AH1793" s="10" t="n">
        <f aca="false">IF(ISNUMBER(SEARCH("/",B1793)),DATE(VALUE(RIGHT(B1793,4)),VALUE(MID(B1793,4,2)),VALUE(LEFT(B1793,2))),IF(MID(B1793,5,1)="-",DATE(VALUE(LEFT(B1793,4)),VALUE(MID(B1793,6,2)),VALUE(RIGHT(B1793,2))),DATE(VALUE(RIGHT(B1793,4)),MATCH(MID(B1793,4,3),{"Jan","Feb","Mar","Apr","May","Jun","Jul","Aug","Sep","Oct","Nov","Dec"},0),VALUE(LEFT(B1793,2)))))</f>
        <v>46012</v>
      </c>
    </row>
    <row r="1794" customFormat="false" ht="15" hidden="false" customHeight="false" outlineLevel="0" collapsed="false">
      <c r="A1794" s="7" t="s">
        <v>4421</v>
      </c>
      <c r="B1794" s="7" t="s">
        <v>4422</v>
      </c>
      <c r="C1794" s="7" t="s">
        <v>996</v>
      </c>
      <c r="D1794" s="7" t="s">
        <v>4423</v>
      </c>
      <c r="E1794" s="7" t="s">
        <v>116</v>
      </c>
      <c r="F1794" s="7" t="s">
        <v>101</v>
      </c>
      <c r="G1794" s="7" t="s">
        <v>117</v>
      </c>
      <c r="H1794" s="7" t="n">
        <v>1</v>
      </c>
      <c r="I1794" s="7" t="n">
        <v>125</v>
      </c>
      <c r="J1794" s="7" t="n">
        <v>30</v>
      </c>
      <c r="K1794" s="7" t="s">
        <v>93</v>
      </c>
      <c r="L1794" s="7" t="s">
        <v>194</v>
      </c>
      <c r="M1794" s="7" t="n">
        <v>55</v>
      </c>
      <c r="N1794" s="7"/>
      <c r="O1794" s="7" t="str">
        <f aca="false">A1794&amp;"|"&amp;B1794&amp;"|"&amp;C1794&amp;"|"&amp;D1794&amp;"|"&amp;E1794&amp;"|"&amp;F1794&amp;"|"&amp;G1794&amp;"|"&amp;H1794&amp;"|"&amp;I1794&amp;"|"&amp;J1794&amp;"|"&amp;K1794&amp;"|"&amp;L1794&amp;"|"&amp;M1794&amp;"|"&amp;N1794</f>
        <v>ORD10949|30-Apr-2025|12:06|C0466|Pav Bhaji Point|Mumbai|Street Food|1|125|30|Credit Card|Delivered|55|</v>
      </c>
      <c r="P1794" s="7" t="str">
        <f aca="false">IF(COUNTIF($O$2:O1794,O1794)&gt;1,"DUP","OK")</f>
        <v>OK</v>
      </c>
      <c r="Q1794" s="7" t="n">
        <f aca="false">COUNTBLANK(A1794:N1794)</f>
        <v>1</v>
      </c>
      <c r="R1794" s="7" t="n">
        <f aca="false">IF(A1794="",0,COUNTIFS($A$2:$A$3058,A1794,$P$2:$P$3058,"OK"))</f>
        <v>2</v>
      </c>
      <c r="S1794" s="7" t="str">
        <f aca="false">IF(OR(A1794="",P1794="DUP",R1794&lt;2),"",IF(Q1794=_xlfn.MINIFS($Q$2:$Q$3058,$A$2:$A$3058,A1794,$P$2:$P$3058,"OK"),"KEEP","DROP"))</f>
        <v>DROP</v>
      </c>
      <c r="T1794" s="9" t="n">
        <f aca="false">IF(A1794="",1,0)</f>
        <v>0</v>
      </c>
      <c r="U1794" s="9" t="n">
        <f aca="false">IF(D1794="",1,0)</f>
        <v>0</v>
      </c>
      <c r="V1794" s="9" t="n">
        <f aca="false">IF(E1794="",1,0)</f>
        <v>0</v>
      </c>
      <c r="W1794" s="9" t="n">
        <f aca="false">IF(OR(H1794&lt;1,H1794&gt;10),1,0)</f>
        <v>0</v>
      </c>
      <c r="X1794" s="9" t="n">
        <f aca="false">IF(OR(I1794&lt;=0,I1794&gt;1500),1,0)</f>
        <v>0</v>
      </c>
      <c r="Y1794" s="9" t="n">
        <f aca="false">IF(J1794&gt;H1794*I1794,1,0)</f>
        <v>0</v>
      </c>
      <c r="Z1794" s="9" t="n">
        <f aca="false">IF(AND(N1794&lt;&gt;"",OR(N1794&lt;1,N1794&gt;5)),1,0)</f>
        <v>0</v>
      </c>
      <c r="AA1794" s="9" t="n">
        <f aca="false">IF(AND(M1794&lt;&gt;"",OR(M1794&lt;5,M1794&gt;180)),1,0)</f>
        <v>0</v>
      </c>
      <c r="AB1794" s="7" t="str">
        <f aca="false">IF(P1794="DUP","Exact duplicate row",IF(T1794=1,"Missing Order ID",IF(S1794="DROP","Duplicate Order ID (less complete row)",IF(U1794=1,"Missing Customer ID",IF(V1794=1,"Missing Restaurant name",IF(W1794=1,"Invalid/outlier quantity",IF(X1794=1,"Invalid/outlier unit price",IF(Y1794=1,"Discount greater than order value",""))))))))</f>
        <v>Duplicate Order ID (less complete row)</v>
      </c>
      <c r="AC1794" s="7" t="str">
        <f aca="false">IF(AB1794="","KEEP","DROP")</f>
        <v>DROP</v>
      </c>
      <c r="AD1794" s="7" t="str">
        <f aca="false">IF(TRIM(F1794)="",IFERROR(INDEX(Map_Tables!$I$4:$I$37,MATCH(TRIM(E1794),Map_Tables!$G$4:$G$37,0)),""),IFERROR(INDEX(Map_Tables!$B$4:$B$18,MATCH(TRIM(F1794),Map_Tables!$A$4:$A$18,0)),"CHECK"))</f>
        <v>Mumbai</v>
      </c>
      <c r="AE1794" s="7" t="str">
        <f aca="false">IF(TRIM(E1794)="","",IFERROR(INDEX(Map_Tables!$H$4:$H$37,MATCH(TRIM(E1794),Map_Tables!$G$4:$G$37,0)),"CHECK"))</f>
        <v>Pav Bhaji Point</v>
      </c>
      <c r="AF1794" s="7" t="str">
        <f aca="false">IF(TRIM(K1794)="","Unknown",IFERROR(INDEX(Map_Tables!$E$4:$E$15,MATCH(TRIM(K1794),Map_Tables!$D$4:$D$15,0)),"CHECK"))</f>
        <v>Credit Card</v>
      </c>
      <c r="AG1794" s="7" t="str">
        <f aca="false">IF(LEFT(LOWER(TRIM(L1794)),6)="cancel","Cancelled","Delivered")</f>
        <v>Delivered</v>
      </c>
      <c r="AH1794" s="10" t="n">
        <f aca="false">IF(ISNUMBER(SEARCH("/",B1794)),DATE(VALUE(RIGHT(B1794,4)),VALUE(MID(B1794,4,2)),VALUE(LEFT(B1794,2))),IF(MID(B1794,5,1)="-",DATE(VALUE(LEFT(B1794,4)),VALUE(MID(B1794,6,2)),VALUE(RIGHT(B1794,2))),DATE(VALUE(RIGHT(B1794,4)),MATCH(MID(B1794,4,3),{"Jan","Feb","Mar","Apr","May","Jun","Jul","Aug","Sep","Oct","Nov","Dec"},0),VALUE(LEFT(B1794,2)))))</f>
        <v>45777</v>
      </c>
    </row>
    <row r="1795" customFormat="false" ht="15" hidden="false" customHeight="false" outlineLevel="0" collapsed="false">
      <c r="A1795" s="7" t="s">
        <v>4424</v>
      </c>
      <c r="B1795" s="7" t="s">
        <v>1393</v>
      </c>
      <c r="C1795" s="7" t="s">
        <v>1615</v>
      </c>
      <c r="D1795" s="7" t="s">
        <v>3527</v>
      </c>
      <c r="E1795" s="7" t="s">
        <v>4425</v>
      </c>
      <c r="F1795" s="7" t="s">
        <v>86</v>
      </c>
      <c r="G1795" s="7" t="s">
        <v>105</v>
      </c>
      <c r="H1795" s="7" t="n">
        <v>1</v>
      </c>
      <c r="I1795" s="7" t="n">
        <v>280</v>
      </c>
      <c r="J1795" s="7" t="n">
        <v>40</v>
      </c>
      <c r="K1795" s="7" t="s">
        <v>88</v>
      </c>
      <c r="L1795" s="7" t="s">
        <v>194</v>
      </c>
      <c r="M1795" s="7" t="n">
        <v>45</v>
      </c>
      <c r="N1795" s="7"/>
      <c r="O1795" s="7" t="str">
        <f aca="false">A1795&amp;"|"&amp;B1795&amp;"|"&amp;C1795&amp;"|"&amp;D1795&amp;"|"&amp;E1795&amp;"|"&amp;F1795&amp;"|"&amp;G1795&amp;"|"&amp;H1795&amp;"|"&amp;I1795&amp;"|"&amp;J1795&amp;"|"&amp;K1795&amp;"|"&amp;L1795&amp;"|"&amp;M1795&amp;"|"&amp;N1795</f>
        <v>ORD10511|2025-03-08|13:07|C0996| Wok &amp; Roll|Bengaluru|Chinese|1|280|40|UPI|Delivered|45|</v>
      </c>
      <c r="P1795" s="7" t="str">
        <f aca="false">IF(COUNTIF($O$2:O1795,O1795)&gt;1,"DUP","OK")</f>
        <v>OK</v>
      </c>
      <c r="Q1795" s="7" t="n">
        <f aca="false">COUNTBLANK(A1795:N1795)</f>
        <v>1</v>
      </c>
      <c r="R1795" s="7" t="n">
        <f aca="false">IF(A1795="",0,COUNTIFS($A$2:$A$3058,A1795,$P$2:$P$3058,"OK"))</f>
        <v>1</v>
      </c>
      <c r="S1795" s="7" t="str">
        <f aca="false">IF(OR(A1795="",P1795="DUP",R1795&lt;2),"",IF(Q1795=_xlfn.MINIFS($Q$2:$Q$3058,$A$2:$A$3058,A1795,$P$2:$P$3058,"OK"),"KEEP","DROP"))</f>
        <v/>
      </c>
      <c r="T1795" s="9" t="n">
        <f aca="false">IF(A1795="",1,0)</f>
        <v>0</v>
      </c>
      <c r="U1795" s="9" t="n">
        <f aca="false">IF(D1795="",1,0)</f>
        <v>0</v>
      </c>
      <c r="V1795" s="9" t="n">
        <f aca="false">IF(E1795="",1,0)</f>
        <v>0</v>
      </c>
      <c r="W1795" s="9" t="n">
        <f aca="false">IF(OR(H1795&lt;1,H1795&gt;10),1,0)</f>
        <v>0</v>
      </c>
      <c r="X1795" s="9" t="n">
        <f aca="false">IF(OR(I1795&lt;=0,I1795&gt;1500),1,0)</f>
        <v>0</v>
      </c>
      <c r="Y1795" s="9" t="n">
        <f aca="false">IF(J1795&gt;H1795*I1795,1,0)</f>
        <v>0</v>
      </c>
      <c r="Z1795" s="9" t="n">
        <f aca="false">IF(AND(N1795&lt;&gt;"",OR(N1795&lt;1,N1795&gt;5)),1,0)</f>
        <v>0</v>
      </c>
      <c r="AA1795" s="9" t="n">
        <f aca="false">IF(AND(M1795&lt;&gt;"",OR(M1795&lt;5,M1795&gt;180)),1,0)</f>
        <v>0</v>
      </c>
      <c r="AB1795" s="7" t="str">
        <f aca="false">IF(P1795="DUP","Exact duplicate row",IF(T1795=1,"Missing Order ID",IF(S1795="DROP","Duplicate Order ID (less complete row)",IF(U1795=1,"Missing Customer ID",IF(V1795=1,"Missing Restaurant name",IF(W1795=1,"Invalid/outlier quantity",IF(X1795=1,"Invalid/outlier unit price",IF(Y1795=1,"Discount greater than order value",""))))))))</f>
        <v/>
      </c>
      <c r="AC1795" s="7" t="str">
        <f aca="false">IF(AB1795="","KEEP","DROP")</f>
        <v>KEEP</v>
      </c>
      <c r="AD1795" s="7" t="str">
        <f aca="false">IF(TRIM(F1795)="",IFERROR(INDEX(Map_Tables!$I$4:$I$37,MATCH(TRIM(E1795),Map_Tables!$G$4:$G$37,0)),""),IFERROR(INDEX(Map_Tables!$B$4:$B$18,MATCH(TRIM(F1795),Map_Tables!$A$4:$A$18,0)),"CHECK"))</f>
        <v>Bengaluru</v>
      </c>
      <c r="AE1795" s="7" t="str">
        <f aca="false">IF(TRIM(E1795)="","",IFERROR(INDEX(Map_Tables!$H$4:$H$37,MATCH(TRIM(E1795),Map_Tables!$G$4:$G$37,0)),"CHECK"))</f>
        <v>Wok &amp; Roll</v>
      </c>
      <c r="AF1795" s="7" t="str">
        <f aca="false">IF(TRIM(K1795)="","Unknown",IFERROR(INDEX(Map_Tables!$E$4:$E$15,MATCH(TRIM(K1795),Map_Tables!$D$4:$D$15,0)),"CHECK"))</f>
        <v>UPI</v>
      </c>
      <c r="AG1795" s="7" t="str">
        <f aca="false">IF(LEFT(LOWER(TRIM(L1795)),6)="cancel","Cancelled","Delivered")</f>
        <v>Delivered</v>
      </c>
      <c r="AH1795" s="10" t="n">
        <f aca="false">IF(ISNUMBER(SEARCH("/",B1795)),DATE(VALUE(RIGHT(B1795,4)),VALUE(MID(B1795,4,2)),VALUE(LEFT(B1795,2))),IF(MID(B1795,5,1)="-",DATE(VALUE(LEFT(B1795,4)),VALUE(MID(B1795,6,2)),VALUE(RIGHT(B1795,2))),DATE(VALUE(RIGHT(B1795,4)),MATCH(MID(B1795,4,3),{"Jan","Feb","Mar","Apr","May","Jun","Jul","Aug","Sep","Oct","Nov","Dec"},0),VALUE(LEFT(B1795,2)))))</f>
        <v>45724</v>
      </c>
    </row>
    <row r="1796" customFormat="false" ht="15" hidden="false" customHeight="false" outlineLevel="0" collapsed="false">
      <c r="A1796" s="7" t="s">
        <v>4426</v>
      </c>
      <c r="B1796" s="7" t="s">
        <v>1930</v>
      </c>
      <c r="C1796" s="7" t="s">
        <v>1654</v>
      </c>
      <c r="D1796" s="7" t="s">
        <v>4427</v>
      </c>
      <c r="E1796" s="7" t="s">
        <v>711</v>
      </c>
      <c r="F1796" s="7" t="s">
        <v>101</v>
      </c>
      <c r="G1796" s="7" t="s">
        <v>90</v>
      </c>
      <c r="H1796" s="7" t="n">
        <v>2</v>
      </c>
      <c r="I1796" s="7" t="n">
        <v>260</v>
      </c>
      <c r="J1796" s="7" t="n">
        <v>40</v>
      </c>
      <c r="K1796" s="7" t="s">
        <v>103</v>
      </c>
      <c r="L1796" s="7" t="s">
        <v>194</v>
      </c>
      <c r="M1796" s="7" t="n">
        <v>56</v>
      </c>
      <c r="N1796" s="7" t="n">
        <v>4</v>
      </c>
      <c r="O1796" s="7" t="str">
        <f aca="false">A1796&amp;"|"&amp;B1796&amp;"|"&amp;C1796&amp;"|"&amp;D1796&amp;"|"&amp;E1796&amp;"|"&amp;F1796&amp;"|"&amp;G1796&amp;"|"&amp;H1796&amp;"|"&amp;I1796&amp;"|"&amp;J1796&amp;"|"&amp;K1796&amp;"|"&amp;L1796&amp;"|"&amp;M1796&amp;"|"&amp;N1796</f>
        <v>ORD11394|2025-06-29|23:41|C0342|Curry  Leaf Kitchen|Mumbai|North Indian|2|260|40|Debit Card|Delivered|56|4</v>
      </c>
      <c r="P1796" s="7" t="str">
        <f aca="false">IF(COUNTIF($O$2:O1796,O1796)&gt;1,"DUP","OK")</f>
        <v>OK</v>
      </c>
      <c r="Q1796" s="7" t="n">
        <f aca="false">COUNTBLANK(A1796:N1796)</f>
        <v>0</v>
      </c>
      <c r="R1796" s="7" t="n">
        <f aca="false">IF(A1796="",0,COUNTIFS($A$2:$A$3058,A1796,$P$2:$P$3058,"OK"))</f>
        <v>1</v>
      </c>
      <c r="S1796" s="7" t="str">
        <f aca="false">IF(OR(A1796="",P1796="DUP",R1796&lt;2),"",IF(Q1796=_xlfn.MINIFS($Q$2:$Q$3058,$A$2:$A$3058,A1796,$P$2:$P$3058,"OK"),"KEEP","DROP"))</f>
        <v/>
      </c>
      <c r="T1796" s="9" t="n">
        <f aca="false">IF(A1796="",1,0)</f>
        <v>0</v>
      </c>
      <c r="U1796" s="9" t="n">
        <f aca="false">IF(D1796="",1,0)</f>
        <v>0</v>
      </c>
      <c r="V1796" s="9" t="n">
        <f aca="false">IF(E1796="",1,0)</f>
        <v>0</v>
      </c>
      <c r="W1796" s="9" t="n">
        <f aca="false">IF(OR(H1796&lt;1,H1796&gt;10),1,0)</f>
        <v>0</v>
      </c>
      <c r="X1796" s="9" t="n">
        <f aca="false">IF(OR(I1796&lt;=0,I1796&gt;1500),1,0)</f>
        <v>0</v>
      </c>
      <c r="Y1796" s="9" t="n">
        <f aca="false">IF(J1796&gt;H1796*I1796,1,0)</f>
        <v>0</v>
      </c>
      <c r="Z1796" s="9" t="n">
        <f aca="false">IF(AND(N1796&lt;&gt;"",OR(N1796&lt;1,N1796&gt;5)),1,0)</f>
        <v>0</v>
      </c>
      <c r="AA1796" s="9" t="n">
        <f aca="false">IF(AND(M1796&lt;&gt;"",OR(M1796&lt;5,M1796&gt;180)),1,0)</f>
        <v>0</v>
      </c>
      <c r="AB1796" s="7" t="str">
        <f aca="false">IF(P1796="DUP","Exact duplicate row",IF(T1796=1,"Missing Order ID",IF(S1796="DROP","Duplicate Order ID (less complete row)",IF(U1796=1,"Missing Customer ID",IF(V1796=1,"Missing Restaurant name",IF(W1796=1,"Invalid/outlier quantity",IF(X1796=1,"Invalid/outlier unit price",IF(Y1796=1,"Discount greater than order value",""))))))))</f>
        <v/>
      </c>
      <c r="AC1796" s="7" t="str">
        <f aca="false">IF(AB1796="","KEEP","DROP")</f>
        <v>KEEP</v>
      </c>
      <c r="AD1796" s="7" t="str">
        <f aca="false">IF(TRIM(F1796)="",IFERROR(INDEX(Map_Tables!$I$4:$I$37,MATCH(TRIM(E1796),Map_Tables!$G$4:$G$37,0)),""),IFERROR(INDEX(Map_Tables!$B$4:$B$18,MATCH(TRIM(F1796),Map_Tables!$A$4:$A$18,0)),"CHECK"))</f>
        <v>Mumbai</v>
      </c>
      <c r="AE1796" s="7" t="str">
        <f aca="false">IF(TRIM(E1796)="","",IFERROR(INDEX(Map_Tables!$H$4:$H$37,MATCH(TRIM(E1796),Map_Tables!$G$4:$G$37,0)),"CHECK"))</f>
        <v>Curry Leaf Kitchen</v>
      </c>
      <c r="AF1796" s="7" t="str">
        <f aca="false">IF(TRIM(K1796)="","Unknown",IFERROR(INDEX(Map_Tables!$E$4:$E$15,MATCH(TRIM(K1796),Map_Tables!$D$4:$D$15,0)),"CHECK"))</f>
        <v>Debit Card</v>
      </c>
      <c r="AG1796" s="7" t="str">
        <f aca="false">IF(LEFT(LOWER(TRIM(L1796)),6)="cancel","Cancelled","Delivered")</f>
        <v>Delivered</v>
      </c>
      <c r="AH1796" s="10" t="n">
        <f aca="false">IF(ISNUMBER(SEARCH("/",B1796)),DATE(VALUE(RIGHT(B1796,4)),VALUE(MID(B1796,4,2)),VALUE(LEFT(B1796,2))),IF(MID(B1796,5,1)="-",DATE(VALUE(LEFT(B1796,4)),VALUE(MID(B1796,6,2)),VALUE(RIGHT(B1796,2))),DATE(VALUE(RIGHT(B1796,4)),MATCH(MID(B1796,4,3),{"Jan","Feb","Mar","Apr","May","Jun","Jul","Aug","Sep","Oct","Nov","Dec"},0),VALUE(LEFT(B1796,2)))))</f>
        <v>45837</v>
      </c>
    </row>
    <row r="1797" customFormat="false" ht="15" hidden="false" customHeight="false" outlineLevel="0" collapsed="false">
      <c r="A1797" s="7" t="s">
        <v>4428</v>
      </c>
      <c r="B1797" s="7" t="s">
        <v>1316</v>
      </c>
      <c r="C1797" s="7" t="s">
        <v>4429</v>
      </c>
      <c r="D1797" s="7" t="s">
        <v>273</v>
      </c>
      <c r="E1797" s="7" t="s">
        <v>154</v>
      </c>
      <c r="F1797" s="7" t="s">
        <v>128</v>
      </c>
      <c r="G1797" s="7" t="s">
        <v>99</v>
      </c>
      <c r="H1797" s="7" t="n">
        <v>4</v>
      </c>
      <c r="I1797" s="7" t="n">
        <v>260</v>
      </c>
      <c r="J1797" s="7" t="n">
        <v>100</v>
      </c>
      <c r="K1797" s="7" t="s">
        <v>526</v>
      </c>
      <c r="L1797" s="7" t="s">
        <v>194</v>
      </c>
      <c r="M1797" s="7" t="n">
        <v>32</v>
      </c>
      <c r="N1797" s="7" t="n">
        <v>3</v>
      </c>
      <c r="O1797" s="7" t="str">
        <f aca="false">A1797&amp;"|"&amp;B1797&amp;"|"&amp;C1797&amp;"|"&amp;D1797&amp;"|"&amp;E1797&amp;"|"&amp;F1797&amp;"|"&amp;G1797&amp;"|"&amp;H1797&amp;"|"&amp;I1797&amp;"|"&amp;J1797&amp;"|"&amp;K1797&amp;"|"&amp;L1797&amp;"|"&amp;M1797&amp;"|"&amp;N1797</f>
        <v>ORD11509|2025-07-15|11:28|C1344|Madras Biryani Co|Chennai|Biryani|4|260|100|DC|Delivered|32|3</v>
      </c>
      <c r="P1797" s="7" t="str">
        <f aca="false">IF(COUNTIF($O$2:O1797,O1797)&gt;1,"DUP","OK")</f>
        <v>OK</v>
      </c>
      <c r="Q1797" s="7" t="n">
        <f aca="false">COUNTBLANK(A1797:N1797)</f>
        <v>0</v>
      </c>
      <c r="R1797" s="7" t="n">
        <f aca="false">IF(A1797="",0,COUNTIFS($A$2:$A$3058,A1797,$P$2:$P$3058,"OK"))</f>
        <v>1</v>
      </c>
      <c r="S1797" s="7" t="str">
        <f aca="false">IF(OR(A1797="",P1797="DUP",R1797&lt;2),"",IF(Q1797=_xlfn.MINIFS($Q$2:$Q$3058,$A$2:$A$3058,A1797,$P$2:$P$3058,"OK"),"KEEP","DROP"))</f>
        <v/>
      </c>
      <c r="T1797" s="9" t="n">
        <f aca="false">IF(A1797="",1,0)</f>
        <v>0</v>
      </c>
      <c r="U1797" s="9" t="n">
        <f aca="false">IF(D1797="",1,0)</f>
        <v>0</v>
      </c>
      <c r="V1797" s="9" t="n">
        <f aca="false">IF(E1797="",1,0)</f>
        <v>0</v>
      </c>
      <c r="W1797" s="9" t="n">
        <f aca="false">IF(OR(H1797&lt;1,H1797&gt;10),1,0)</f>
        <v>0</v>
      </c>
      <c r="X1797" s="9" t="n">
        <f aca="false">IF(OR(I1797&lt;=0,I1797&gt;1500),1,0)</f>
        <v>0</v>
      </c>
      <c r="Y1797" s="9" t="n">
        <f aca="false">IF(J1797&gt;H1797*I1797,1,0)</f>
        <v>0</v>
      </c>
      <c r="Z1797" s="9" t="n">
        <f aca="false">IF(AND(N1797&lt;&gt;"",OR(N1797&lt;1,N1797&gt;5)),1,0)</f>
        <v>0</v>
      </c>
      <c r="AA1797" s="9" t="n">
        <f aca="false">IF(AND(M1797&lt;&gt;"",OR(M1797&lt;5,M1797&gt;180)),1,0)</f>
        <v>0</v>
      </c>
      <c r="AB1797" s="7" t="str">
        <f aca="false">IF(P1797="DUP","Exact duplicate row",IF(T1797=1,"Missing Order ID",IF(S1797="DROP","Duplicate Order ID (less complete row)",IF(U1797=1,"Missing Customer ID",IF(V1797=1,"Missing Restaurant name",IF(W1797=1,"Invalid/outlier quantity",IF(X1797=1,"Invalid/outlier unit price",IF(Y1797=1,"Discount greater than order value",""))))))))</f>
        <v/>
      </c>
      <c r="AC1797" s="7" t="str">
        <f aca="false">IF(AB1797="","KEEP","DROP")</f>
        <v>KEEP</v>
      </c>
      <c r="AD1797" s="7" t="str">
        <f aca="false">IF(TRIM(F1797)="",IFERROR(INDEX(Map_Tables!$I$4:$I$37,MATCH(TRIM(E1797),Map_Tables!$G$4:$G$37,0)),""),IFERROR(INDEX(Map_Tables!$B$4:$B$18,MATCH(TRIM(F1797),Map_Tables!$A$4:$A$18,0)),"CHECK"))</f>
        <v>Chennai</v>
      </c>
      <c r="AE1797" s="7" t="str">
        <f aca="false">IF(TRIM(E1797)="","",IFERROR(INDEX(Map_Tables!$H$4:$H$37,MATCH(TRIM(E1797),Map_Tables!$G$4:$G$37,0)),"CHECK"))</f>
        <v>Madras Biryani Co</v>
      </c>
      <c r="AF1797" s="7" t="str">
        <f aca="false">IF(TRIM(K1797)="","Unknown",IFERROR(INDEX(Map_Tables!$E$4:$E$15,MATCH(TRIM(K1797),Map_Tables!$D$4:$D$15,0)),"CHECK"))</f>
        <v>Debit Card</v>
      </c>
      <c r="AG1797" s="7" t="str">
        <f aca="false">IF(LEFT(LOWER(TRIM(L1797)),6)="cancel","Cancelled","Delivered")</f>
        <v>Delivered</v>
      </c>
      <c r="AH1797" s="10" t="n">
        <f aca="false">IF(ISNUMBER(SEARCH("/",B1797)),DATE(VALUE(RIGHT(B1797,4)),VALUE(MID(B1797,4,2)),VALUE(LEFT(B1797,2))),IF(MID(B1797,5,1)="-",DATE(VALUE(LEFT(B1797,4)),VALUE(MID(B1797,6,2)),VALUE(RIGHT(B1797,2))),DATE(VALUE(RIGHT(B1797,4)),MATCH(MID(B1797,4,3),{"Jan","Feb","Mar","Apr","May","Jun","Jul","Aug","Sep","Oct","Nov","Dec"},0),VALUE(LEFT(B1797,2)))))</f>
        <v>45853</v>
      </c>
    </row>
    <row r="1798" customFormat="false" ht="15" hidden="false" customHeight="false" outlineLevel="0" collapsed="false">
      <c r="A1798" s="7" t="s">
        <v>4430</v>
      </c>
      <c r="B1798" s="7" t="s">
        <v>4431</v>
      </c>
      <c r="C1798" s="7" t="s">
        <v>4432</v>
      </c>
      <c r="D1798" s="7" t="s">
        <v>1055</v>
      </c>
      <c r="E1798" s="7" t="s">
        <v>94</v>
      </c>
      <c r="F1798" s="7" t="s">
        <v>86</v>
      </c>
      <c r="G1798" s="7" t="s">
        <v>95</v>
      </c>
      <c r="H1798" s="7" t="n">
        <v>1</v>
      </c>
      <c r="I1798" s="7" t="n">
        <v>145</v>
      </c>
      <c r="J1798" s="7" t="n">
        <v>0</v>
      </c>
      <c r="K1798" s="7" t="s">
        <v>93</v>
      </c>
      <c r="L1798" s="7" t="s">
        <v>194</v>
      </c>
      <c r="M1798" s="7" t="n">
        <v>34</v>
      </c>
      <c r="N1798" s="7" t="n">
        <v>3</v>
      </c>
      <c r="O1798" s="7" t="str">
        <f aca="false">A1798&amp;"|"&amp;B1798&amp;"|"&amp;C1798&amp;"|"&amp;D1798&amp;"|"&amp;E1798&amp;"|"&amp;F1798&amp;"|"&amp;G1798&amp;"|"&amp;H1798&amp;"|"&amp;I1798&amp;"|"&amp;J1798&amp;"|"&amp;K1798&amp;"|"&amp;L1798&amp;"|"&amp;M1798&amp;"|"&amp;N1798</f>
        <v>ORD12538|13/11/2025|15:01|C1458|Dosa Darbar|Bengaluru|South Indian|1|145|0|Credit Card|Delivered|34|3</v>
      </c>
      <c r="P1798" s="7" t="str">
        <f aca="false">IF(COUNTIF($O$2:O1798,O1798)&gt;1,"DUP","OK")</f>
        <v>OK</v>
      </c>
      <c r="Q1798" s="7" t="n">
        <f aca="false">COUNTBLANK(A1798:N1798)</f>
        <v>0</v>
      </c>
      <c r="R1798" s="7" t="n">
        <f aca="false">IF(A1798="",0,COUNTIFS($A$2:$A$3058,A1798,$P$2:$P$3058,"OK"))</f>
        <v>1</v>
      </c>
      <c r="S1798" s="7" t="str">
        <f aca="false">IF(OR(A1798="",P1798="DUP",R1798&lt;2),"",IF(Q1798=_xlfn.MINIFS($Q$2:$Q$3058,$A$2:$A$3058,A1798,$P$2:$P$3058,"OK"),"KEEP","DROP"))</f>
        <v/>
      </c>
      <c r="T1798" s="9" t="n">
        <f aca="false">IF(A1798="",1,0)</f>
        <v>0</v>
      </c>
      <c r="U1798" s="9" t="n">
        <f aca="false">IF(D1798="",1,0)</f>
        <v>0</v>
      </c>
      <c r="V1798" s="9" t="n">
        <f aca="false">IF(E1798="",1,0)</f>
        <v>0</v>
      </c>
      <c r="W1798" s="9" t="n">
        <f aca="false">IF(OR(H1798&lt;1,H1798&gt;10),1,0)</f>
        <v>0</v>
      </c>
      <c r="X1798" s="9" t="n">
        <f aca="false">IF(OR(I1798&lt;=0,I1798&gt;1500),1,0)</f>
        <v>0</v>
      </c>
      <c r="Y1798" s="9" t="n">
        <f aca="false">IF(J1798&gt;H1798*I1798,1,0)</f>
        <v>0</v>
      </c>
      <c r="Z1798" s="9" t="n">
        <f aca="false">IF(AND(N1798&lt;&gt;"",OR(N1798&lt;1,N1798&gt;5)),1,0)</f>
        <v>0</v>
      </c>
      <c r="AA1798" s="9" t="n">
        <f aca="false">IF(AND(M1798&lt;&gt;"",OR(M1798&lt;5,M1798&gt;180)),1,0)</f>
        <v>0</v>
      </c>
      <c r="AB1798" s="7" t="str">
        <f aca="false">IF(P1798="DUP","Exact duplicate row",IF(T1798=1,"Missing Order ID",IF(S1798="DROP","Duplicate Order ID (less complete row)",IF(U1798=1,"Missing Customer ID",IF(V1798=1,"Missing Restaurant name",IF(W1798=1,"Invalid/outlier quantity",IF(X1798=1,"Invalid/outlier unit price",IF(Y1798=1,"Discount greater than order value",""))))))))</f>
        <v/>
      </c>
      <c r="AC1798" s="7" t="str">
        <f aca="false">IF(AB1798="","KEEP","DROP")</f>
        <v>KEEP</v>
      </c>
      <c r="AD1798" s="7" t="str">
        <f aca="false">IF(TRIM(F1798)="",IFERROR(INDEX(Map_Tables!$I$4:$I$37,MATCH(TRIM(E1798),Map_Tables!$G$4:$G$37,0)),""),IFERROR(INDEX(Map_Tables!$B$4:$B$18,MATCH(TRIM(F1798),Map_Tables!$A$4:$A$18,0)),"CHECK"))</f>
        <v>Bengaluru</v>
      </c>
      <c r="AE1798" s="7" t="str">
        <f aca="false">IF(TRIM(E1798)="","",IFERROR(INDEX(Map_Tables!$H$4:$H$37,MATCH(TRIM(E1798),Map_Tables!$G$4:$G$37,0)),"CHECK"))</f>
        <v>Dosa Darbar</v>
      </c>
      <c r="AF1798" s="7" t="str">
        <f aca="false">IF(TRIM(K1798)="","Unknown",IFERROR(INDEX(Map_Tables!$E$4:$E$15,MATCH(TRIM(K1798),Map_Tables!$D$4:$D$15,0)),"CHECK"))</f>
        <v>Credit Card</v>
      </c>
      <c r="AG1798" s="7" t="str">
        <f aca="false">IF(LEFT(LOWER(TRIM(L1798)),6)="cancel","Cancelled","Delivered")</f>
        <v>Delivered</v>
      </c>
      <c r="AH1798" s="10" t="n">
        <f aca="false">IF(ISNUMBER(SEARCH("/",B1798)),DATE(VALUE(RIGHT(B1798,4)),VALUE(MID(B1798,4,2)),VALUE(LEFT(B1798,2))),IF(MID(B1798,5,1)="-",DATE(VALUE(LEFT(B1798,4)),VALUE(MID(B1798,6,2)),VALUE(RIGHT(B1798,2))),DATE(VALUE(RIGHT(B1798,4)),MATCH(MID(B1798,4,3),{"Jan","Feb","Mar","Apr","May","Jun","Jul","Aug","Sep","Oct","Nov","Dec"},0),VALUE(LEFT(B1798,2)))))</f>
        <v>45974</v>
      </c>
    </row>
    <row r="1799" customFormat="false" ht="15" hidden="false" customHeight="false" outlineLevel="0" collapsed="false">
      <c r="A1799" s="7" t="s">
        <v>4433</v>
      </c>
      <c r="B1799" s="7" t="s">
        <v>1835</v>
      </c>
      <c r="C1799" s="7" t="s">
        <v>870</v>
      </c>
      <c r="D1799" s="7" t="s">
        <v>4434</v>
      </c>
      <c r="E1799" s="7" t="s">
        <v>113</v>
      </c>
      <c r="F1799" s="7" t="s">
        <v>101</v>
      </c>
      <c r="G1799" s="7" t="s">
        <v>90</v>
      </c>
      <c r="H1799" s="7" t="n">
        <v>3</v>
      </c>
      <c r="I1799" s="7" t="n">
        <v>205</v>
      </c>
      <c r="J1799" s="7" t="n">
        <v>0</v>
      </c>
      <c r="K1799" s="7" t="s">
        <v>88</v>
      </c>
      <c r="L1799" s="7" t="s">
        <v>194</v>
      </c>
      <c r="M1799" s="7" t="n">
        <v>48</v>
      </c>
      <c r="N1799" s="7" t="n">
        <v>2</v>
      </c>
      <c r="O1799" s="7" t="str">
        <f aca="false">A1799&amp;"|"&amp;B1799&amp;"|"&amp;C1799&amp;"|"&amp;D1799&amp;"|"&amp;E1799&amp;"|"&amp;F1799&amp;"|"&amp;G1799&amp;"|"&amp;H1799&amp;"|"&amp;I1799&amp;"|"&amp;J1799&amp;"|"&amp;K1799&amp;"|"&amp;L1799&amp;"|"&amp;M1799&amp;"|"&amp;N1799</f>
        <v>ORD12289|2025-10-16|22:14|C0576|Curry Leaf Kitchen|Mumbai|North Indian|3|205|0|UPI|Delivered|48|2</v>
      </c>
      <c r="P1799" s="7" t="str">
        <f aca="false">IF(COUNTIF($O$2:O1799,O1799)&gt;1,"DUP","OK")</f>
        <v>OK</v>
      </c>
      <c r="Q1799" s="7" t="n">
        <f aca="false">COUNTBLANK(A1799:N1799)</f>
        <v>0</v>
      </c>
      <c r="R1799" s="7" t="n">
        <f aca="false">IF(A1799="",0,COUNTIFS($A$2:$A$3058,A1799,$P$2:$P$3058,"OK"))</f>
        <v>1</v>
      </c>
      <c r="S1799" s="7" t="str">
        <f aca="false">IF(OR(A1799="",P1799="DUP",R1799&lt;2),"",IF(Q1799=_xlfn.MINIFS($Q$2:$Q$3058,$A$2:$A$3058,A1799,$P$2:$P$3058,"OK"),"KEEP","DROP"))</f>
        <v/>
      </c>
      <c r="T1799" s="9" t="n">
        <f aca="false">IF(A1799="",1,0)</f>
        <v>0</v>
      </c>
      <c r="U1799" s="9" t="n">
        <f aca="false">IF(D1799="",1,0)</f>
        <v>0</v>
      </c>
      <c r="V1799" s="9" t="n">
        <f aca="false">IF(E1799="",1,0)</f>
        <v>0</v>
      </c>
      <c r="W1799" s="9" t="n">
        <f aca="false">IF(OR(H1799&lt;1,H1799&gt;10),1,0)</f>
        <v>0</v>
      </c>
      <c r="X1799" s="9" t="n">
        <f aca="false">IF(OR(I1799&lt;=0,I1799&gt;1500),1,0)</f>
        <v>0</v>
      </c>
      <c r="Y1799" s="9" t="n">
        <f aca="false">IF(J1799&gt;H1799*I1799,1,0)</f>
        <v>0</v>
      </c>
      <c r="Z1799" s="9" t="n">
        <f aca="false">IF(AND(N1799&lt;&gt;"",OR(N1799&lt;1,N1799&gt;5)),1,0)</f>
        <v>0</v>
      </c>
      <c r="AA1799" s="9" t="n">
        <f aca="false">IF(AND(M1799&lt;&gt;"",OR(M1799&lt;5,M1799&gt;180)),1,0)</f>
        <v>0</v>
      </c>
      <c r="AB1799" s="7" t="str">
        <f aca="false">IF(P1799="DUP","Exact duplicate row",IF(T1799=1,"Missing Order ID",IF(S1799="DROP","Duplicate Order ID (less complete row)",IF(U1799=1,"Missing Customer ID",IF(V1799=1,"Missing Restaurant name",IF(W1799=1,"Invalid/outlier quantity",IF(X1799=1,"Invalid/outlier unit price",IF(Y1799=1,"Discount greater than order value",""))))))))</f>
        <v/>
      </c>
      <c r="AC1799" s="7" t="str">
        <f aca="false">IF(AB1799="","KEEP","DROP")</f>
        <v>KEEP</v>
      </c>
      <c r="AD1799" s="7" t="str">
        <f aca="false">IF(TRIM(F1799)="",IFERROR(INDEX(Map_Tables!$I$4:$I$37,MATCH(TRIM(E1799),Map_Tables!$G$4:$G$37,0)),""),IFERROR(INDEX(Map_Tables!$B$4:$B$18,MATCH(TRIM(F1799),Map_Tables!$A$4:$A$18,0)),"CHECK"))</f>
        <v>Mumbai</v>
      </c>
      <c r="AE1799" s="7" t="str">
        <f aca="false">IF(TRIM(E1799)="","",IFERROR(INDEX(Map_Tables!$H$4:$H$37,MATCH(TRIM(E1799),Map_Tables!$G$4:$G$37,0)),"CHECK"))</f>
        <v>Curry Leaf Kitchen</v>
      </c>
      <c r="AF1799" s="7" t="str">
        <f aca="false">IF(TRIM(K1799)="","Unknown",IFERROR(INDEX(Map_Tables!$E$4:$E$15,MATCH(TRIM(K1799),Map_Tables!$D$4:$D$15,0)),"CHECK"))</f>
        <v>UPI</v>
      </c>
      <c r="AG1799" s="7" t="str">
        <f aca="false">IF(LEFT(LOWER(TRIM(L1799)),6)="cancel","Cancelled","Delivered")</f>
        <v>Delivered</v>
      </c>
      <c r="AH1799" s="10" t="n">
        <f aca="false">IF(ISNUMBER(SEARCH("/",B1799)),DATE(VALUE(RIGHT(B1799,4)),VALUE(MID(B1799,4,2)),VALUE(LEFT(B1799,2))),IF(MID(B1799,5,1)="-",DATE(VALUE(LEFT(B1799,4)),VALUE(MID(B1799,6,2)),VALUE(RIGHT(B1799,2))),DATE(VALUE(RIGHT(B1799,4)),MATCH(MID(B1799,4,3),{"Jan","Feb","Mar","Apr","May","Jun","Jul","Aug","Sep","Oct","Nov","Dec"},0),VALUE(LEFT(B1799,2)))))</f>
        <v>45946</v>
      </c>
    </row>
    <row r="1800" customFormat="false" ht="15" hidden="false" customHeight="false" outlineLevel="0" collapsed="false">
      <c r="A1800" s="7" t="s">
        <v>4435</v>
      </c>
      <c r="B1800" s="7" t="s">
        <v>2527</v>
      </c>
      <c r="C1800" s="7" t="s">
        <v>1219</v>
      </c>
      <c r="D1800" s="7" t="s">
        <v>4436</v>
      </c>
      <c r="E1800" s="7" t="s">
        <v>113</v>
      </c>
      <c r="F1800" s="7" t="s">
        <v>101</v>
      </c>
      <c r="G1800" s="7" t="s">
        <v>90</v>
      </c>
      <c r="H1800" s="7" t="n">
        <v>2</v>
      </c>
      <c r="I1800" s="7" t="n">
        <v>265</v>
      </c>
      <c r="J1800" s="7" t="n">
        <v>30</v>
      </c>
      <c r="K1800" s="7" t="s">
        <v>93</v>
      </c>
      <c r="L1800" s="7" t="s">
        <v>194</v>
      </c>
      <c r="M1800" s="7" t="n">
        <v>35</v>
      </c>
      <c r="N1800" s="7" t="n">
        <v>5</v>
      </c>
      <c r="O1800" s="7" t="str">
        <f aca="false">A1800&amp;"|"&amp;B1800&amp;"|"&amp;C1800&amp;"|"&amp;D1800&amp;"|"&amp;E1800&amp;"|"&amp;F1800&amp;"|"&amp;G1800&amp;"|"&amp;H1800&amp;"|"&amp;I1800&amp;"|"&amp;J1800&amp;"|"&amp;K1800&amp;"|"&amp;L1800&amp;"|"&amp;M1800&amp;"|"&amp;N1800</f>
        <v>ORD11332|2025-06-21|17:07|C0251|Curry Leaf Kitchen|Mumbai|North Indian|2|265|30|Credit Card|Delivered|35|5</v>
      </c>
      <c r="P1800" s="7" t="str">
        <f aca="false">IF(COUNTIF($O$2:O1800,O1800)&gt;1,"DUP","OK")</f>
        <v>OK</v>
      </c>
      <c r="Q1800" s="7" t="n">
        <f aca="false">COUNTBLANK(A1800:N1800)</f>
        <v>0</v>
      </c>
      <c r="R1800" s="7" t="n">
        <f aca="false">IF(A1800="",0,COUNTIFS($A$2:$A$3058,A1800,$P$2:$P$3058,"OK"))</f>
        <v>1</v>
      </c>
      <c r="S1800" s="7" t="str">
        <f aca="false">IF(OR(A1800="",P1800="DUP",R1800&lt;2),"",IF(Q1800=_xlfn.MINIFS($Q$2:$Q$3058,$A$2:$A$3058,A1800,$P$2:$P$3058,"OK"),"KEEP","DROP"))</f>
        <v/>
      </c>
      <c r="T1800" s="9" t="n">
        <f aca="false">IF(A1800="",1,0)</f>
        <v>0</v>
      </c>
      <c r="U1800" s="9" t="n">
        <f aca="false">IF(D1800="",1,0)</f>
        <v>0</v>
      </c>
      <c r="V1800" s="9" t="n">
        <f aca="false">IF(E1800="",1,0)</f>
        <v>0</v>
      </c>
      <c r="W1800" s="9" t="n">
        <f aca="false">IF(OR(H1800&lt;1,H1800&gt;10),1,0)</f>
        <v>0</v>
      </c>
      <c r="X1800" s="9" t="n">
        <f aca="false">IF(OR(I1800&lt;=0,I1800&gt;1500),1,0)</f>
        <v>0</v>
      </c>
      <c r="Y1800" s="9" t="n">
        <f aca="false">IF(J1800&gt;H1800*I1800,1,0)</f>
        <v>0</v>
      </c>
      <c r="Z1800" s="9" t="n">
        <f aca="false">IF(AND(N1800&lt;&gt;"",OR(N1800&lt;1,N1800&gt;5)),1,0)</f>
        <v>0</v>
      </c>
      <c r="AA1800" s="9" t="n">
        <f aca="false">IF(AND(M1800&lt;&gt;"",OR(M1800&lt;5,M1800&gt;180)),1,0)</f>
        <v>0</v>
      </c>
      <c r="AB1800" s="7" t="str">
        <f aca="false">IF(P1800="DUP","Exact duplicate row",IF(T1800=1,"Missing Order ID",IF(S1800="DROP","Duplicate Order ID (less complete row)",IF(U1800=1,"Missing Customer ID",IF(V1800=1,"Missing Restaurant name",IF(W1800=1,"Invalid/outlier quantity",IF(X1800=1,"Invalid/outlier unit price",IF(Y1800=1,"Discount greater than order value",""))))))))</f>
        <v/>
      </c>
      <c r="AC1800" s="7" t="str">
        <f aca="false">IF(AB1800="","KEEP","DROP")</f>
        <v>KEEP</v>
      </c>
      <c r="AD1800" s="7" t="str">
        <f aca="false">IF(TRIM(F1800)="",IFERROR(INDEX(Map_Tables!$I$4:$I$37,MATCH(TRIM(E1800),Map_Tables!$G$4:$G$37,0)),""),IFERROR(INDEX(Map_Tables!$B$4:$B$18,MATCH(TRIM(F1800),Map_Tables!$A$4:$A$18,0)),"CHECK"))</f>
        <v>Mumbai</v>
      </c>
      <c r="AE1800" s="7" t="str">
        <f aca="false">IF(TRIM(E1800)="","",IFERROR(INDEX(Map_Tables!$H$4:$H$37,MATCH(TRIM(E1800),Map_Tables!$G$4:$G$37,0)),"CHECK"))</f>
        <v>Curry Leaf Kitchen</v>
      </c>
      <c r="AF1800" s="7" t="str">
        <f aca="false">IF(TRIM(K1800)="","Unknown",IFERROR(INDEX(Map_Tables!$E$4:$E$15,MATCH(TRIM(K1800),Map_Tables!$D$4:$D$15,0)),"CHECK"))</f>
        <v>Credit Card</v>
      </c>
      <c r="AG1800" s="7" t="str">
        <f aca="false">IF(LEFT(LOWER(TRIM(L1800)),6)="cancel","Cancelled","Delivered")</f>
        <v>Delivered</v>
      </c>
      <c r="AH1800" s="10" t="n">
        <f aca="false">IF(ISNUMBER(SEARCH("/",B1800)),DATE(VALUE(RIGHT(B1800,4)),VALUE(MID(B1800,4,2)),VALUE(LEFT(B1800,2))),IF(MID(B1800,5,1)="-",DATE(VALUE(LEFT(B1800,4)),VALUE(MID(B1800,6,2)),VALUE(RIGHT(B1800,2))),DATE(VALUE(RIGHT(B1800,4)),MATCH(MID(B1800,4,3),{"Jan","Feb","Mar","Apr","May","Jun","Jul","Aug","Sep","Oct","Nov","Dec"},0),VALUE(LEFT(B1800,2)))))</f>
        <v>45829</v>
      </c>
    </row>
    <row r="1801" customFormat="false" ht="15" hidden="false" customHeight="false" outlineLevel="0" collapsed="false">
      <c r="A1801" s="7" t="s">
        <v>4437</v>
      </c>
      <c r="B1801" s="7" t="s">
        <v>869</v>
      </c>
      <c r="C1801" s="7" t="s">
        <v>2051</v>
      </c>
      <c r="D1801" s="7" t="s">
        <v>4438</v>
      </c>
      <c r="E1801" s="7" t="s">
        <v>94</v>
      </c>
      <c r="F1801" s="7" t="s">
        <v>86</v>
      </c>
      <c r="G1801" s="7" t="s">
        <v>95</v>
      </c>
      <c r="H1801" s="7" t="n">
        <v>1</v>
      </c>
      <c r="I1801" s="7" t="n">
        <v>135</v>
      </c>
      <c r="J1801" s="7" t="n">
        <v>0</v>
      </c>
      <c r="K1801" s="7" t="s">
        <v>133</v>
      </c>
      <c r="L1801" s="7" t="s">
        <v>457</v>
      </c>
      <c r="M1801" s="7" t="n">
        <v>34</v>
      </c>
      <c r="N1801" s="7" t="n">
        <v>5</v>
      </c>
      <c r="O1801" s="7" t="str">
        <f aca="false">A1801&amp;"|"&amp;B1801&amp;"|"&amp;C1801&amp;"|"&amp;D1801&amp;"|"&amp;E1801&amp;"|"&amp;F1801&amp;"|"&amp;G1801&amp;"|"&amp;H1801&amp;"|"&amp;I1801&amp;"|"&amp;J1801&amp;"|"&amp;K1801&amp;"|"&amp;L1801&amp;"|"&amp;M1801&amp;"|"&amp;N1801</f>
        <v>ORD11310|2025-06-19|08:09|C0134|Dosa Darbar|Bengaluru|South Indian|1|135|0|Net Banking|Delivered |34|5</v>
      </c>
      <c r="P1801" s="7" t="str">
        <f aca="false">IF(COUNTIF($O$2:O1801,O1801)&gt;1,"DUP","OK")</f>
        <v>OK</v>
      </c>
      <c r="Q1801" s="7" t="n">
        <f aca="false">COUNTBLANK(A1801:N1801)</f>
        <v>0</v>
      </c>
      <c r="R1801" s="7" t="n">
        <f aca="false">IF(A1801="",0,COUNTIFS($A$2:$A$3058,A1801,$P$2:$P$3058,"OK"))</f>
        <v>1</v>
      </c>
      <c r="S1801" s="7" t="str">
        <f aca="false">IF(OR(A1801="",P1801="DUP",R1801&lt;2),"",IF(Q1801=_xlfn.MINIFS($Q$2:$Q$3058,$A$2:$A$3058,A1801,$P$2:$P$3058,"OK"),"KEEP","DROP"))</f>
        <v/>
      </c>
      <c r="T1801" s="9" t="n">
        <f aca="false">IF(A1801="",1,0)</f>
        <v>0</v>
      </c>
      <c r="U1801" s="9" t="n">
        <f aca="false">IF(D1801="",1,0)</f>
        <v>0</v>
      </c>
      <c r="V1801" s="9" t="n">
        <f aca="false">IF(E1801="",1,0)</f>
        <v>0</v>
      </c>
      <c r="W1801" s="9" t="n">
        <f aca="false">IF(OR(H1801&lt;1,H1801&gt;10),1,0)</f>
        <v>0</v>
      </c>
      <c r="X1801" s="9" t="n">
        <f aca="false">IF(OR(I1801&lt;=0,I1801&gt;1500),1,0)</f>
        <v>0</v>
      </c>
      <c r="Y1801" s="9" t="n">
        <f aca="false">IF(J1801&gt;H1801*I1801,1,0)</f>
        <v>0</v>
      </c>
      <c r="Z1801" s="9" t="n">
        <f aca="false">IF(AND(N1801&lt;&gt;"",OR(N1801&lt;1,N1801&gt;5)),1,0)</f>
        <v>0</v>
      </c>
      <c r="AA1801" s="9" t="n">
        <f aca="false">IF(AND(M1801&lt;&gt;"",OR(M1801&lt;5,M1801&gt;180)),1,0)</f>
        <v>0</v>
      </c>
      <c r="AB1801" s="7" t="str">
        <f aca="false">IF(P1801="DUP","Exact duplicate row",IF(T1801=1,"Missing Order ID",IF(S1801="DROP","Duplicate Order ID (less complete row)",IF(U1801=1,"Missing Customer ID",IF(V1801=1,"Missing Restaurant name",IF(W1801=1,"Invalid/outlier quantity",IF(X1801=1,"Invalid/outlier unit price",IF(Y1801=1,"Discount greater than order value",""))))))))</f>
        <v/>
      </c>
      <c r="AC1801" s="7" t="str">
        <f aca="false">IF(AB1801="","KEEP","DROP")</f>
        <v>KEEP</v>
      </c>
      <c r="AD1801" s="7" t="str">
        <f aca="false">IF(TRIM(F1801)="",IFERROR(INDEX(Map_Tables!$I$4:$I$37,MATCH(TRIM(E1801),Map_Tables!$G$4:$G$37,0)),""),IFERROR(INDEX(Map_Tables!$B$4:$B$18,MATCH(TRIM(F1801),Map_Tables!$A$4:$A$18,0)),"CHECK"))</f>
        <v>Bengaluru</v>
      </c>
      <c r="AE1801" s="7" t="str">
        <f aca="false">IF(TRIM(E1801)="","",IFERROR(INDEX(Map_Tables!$H$4:$H$37,MATCH(TRIM(E1801),Map_Tables!$G$4:$G$37,0)),"CHECK"))</f>
        <v>Dosa Darbar</v>
      </c>
      <c r="AF1801" s="7" t="str">
        <f aca="false">IF(TRIM(K1801)="","Unknown",IFERROR(INDEX(Map_Tables!$E$4:$E$15,MATCH(TRIM(K1801),Map_Tables!$D$4:$D$15,0)),"CHECK"))</f>
        <v>Net Banking</v>
      </c>
      <c r="AG1801" s="7" t="str">
        <f aca="false">IF(LEFT(LOWER(TRIM(L1801)),6)="cancel","Cancelled","Delivered")</f>
        <v>Delivered</v>
      </c>
      <c r="AH1801" s="10" t="n">
        <f aca="false">IF(ISNUMBER(SEARCH("/",B1801)),DATE(VALUE(RIGHT(B1801,4)),VALUE(MID(B1801,4,2)),VALUE(LEFT(B1801,2))),IF(MID(B1801,5,1)="-",DATE(VALUE(LEFT(B1801,4)),VALUE(MID(B1801,6,2)),VALUE(RIGHT(B1801,2))),DATE(VALUE(RIGHT(B1801,4)),MATCH(MID(B1801,4,3),{"Jan","Feb","Mar","Apr","May","Jun","Jul","Aug","Sep","Oct","Nov","Dec"},0),VALUE(LEFT(B1801,2)))))</f>
        <v>45827</v>
      </c>
    </row>
    <row r="1802" customFormat="false" ht="15" hidden="false" customHeight="false" outlineLevel="0" collapsed="false">
      <c r="A1802" s="7" t="s">
        <v>4439</v>
      </c>
      <c r="B1802" s="7" t="s">
        <v>859</v>
      </c>
      <c r="C1802" s="7" t="s">
        <v>4440</v>
      </c>
      <c r="D1802" s="7" t="s">
        <v>2008</v>
      </c>
      <c r="E1802" s="7" t="s">
        <v>116</v>
      </c>
      <c r="F1802" s="7" t="s">
        <v>101</v>
      </c>
      <c r="G1802" s="7" t="s">
        <v>117</v>
      </c>
      <c r="H1802" s="7" t="n">
        <v>3</v>
      </c>
      <c r="I1802" s="7" t="n">
        <v>145</v>
      </c>
      <c r="J1802" s="7" t="n">
        <v>0</v>
      </c>
      <c r="K1802" s="7" t="s">
        <v>121</v>
      </c>
      <c r="L1802" s="7" t="s">
        <v>194</v>
      </c>
      <c r="M1802" s="7" t="n">
        <v>58</v>
      </c>
      <c r="N1802" s="7" t="n">
        <v>2</v>
      </c>
      <c r="O1802" s="7" t="str">
        <f aca="false">A1802&amp;"|"&amp;B1802&amp;"|"&amp;C1802&amp;"|"&amp;D1802&amp;"|"&amp;E1802&amp;"|"&amp;F1802&amp;"|"&amp;G1802&amp;"|"&amp;H1802&amp;"|"&amp;I1802&amp;"|"&amp;J1802&amp;"|"&amp;K1802&amp;"|"&amp;L1802&amp;"|"&amp;M1802&amp;"|"&amp;N1802</f>
        <v>ORD11877|2025-09-01|21:12|C1399|Pav Bhaji Point|Mumbai|Street Food|3|145|0|Wallet|Delivered|58|2</v>
      </c>
      <c r="P1802" s="7" t="str">
        <f aca="false">IF(COUNTIF($O$2:O1802,O1802)&gt;1,"DUP","OK")</f>
        <v>OK</v>
      </c>
      <c r="Q1802" s="7" t="n">
        <f aca="false">COUNTBLANK(A1802:N1802)</f>
        <v>0</v>
      </c>
      <c r="R1802" s="7" t="n">
        <f aca="false">IF(A1802="",0,COUNTIFS($A$2:$A$3058,A1802,$P$2:$P$3058,"OK"))</f>
        <v>1</v>
      </c>
      <c r="S1802" s="7" t="str">
        <f aca="false">IF(OR(A1802="",P1802="DUP",R1802&lt;2),"",IF(Q1802=_xlfn.MINIFS($Q$2:$Q$3058,$A$2:$A$3058,A1802,$P$2:$P$3058,"OK"),"KEEP","DROP"))</f>
        <v/>
      </c>
      <c r="T1802" s="9" t="n">
        <f aca="false">IF(A1802="",1,0)</f>
        <v>0</v>
      </c>
      <c r="U1802" s="9" t="n">
        <f aca="false">IF(D1802="",1,0)</f>
        <v>0</v>
      </c>
      <c r="V1802" s="9" t="n">
        <f aca="false">IF(E1802="",1,0)</f>
        <v>0</v>
      </c>
      <c r="W1802" s="9" t="n">
        <f aca="false">IF(OR(H1802&lt;1,H1802&gt;10),1,0)</f>
        <v>0</v>
      </c>
      <c r="X1802" s="9" t="n">
        <f aca="false">IF(OR(I1802&lt;=0,I1802&gt;1500),1,0)</f>
        <v>0</v>
      </c>
      <c r="Y1802" s="9" t="n">
        <f aca="false">IF(J1802&gt;H1802*I1802,1,0)</f>
        <v>0</v>
      </c>
      <c r="Z1802" s="9" t="n">
        <f aca="false">IF(AND(N1802&lt;&gt;"",OR(N1802&lt;1,N1802&gt;5)),1,0)</f>
        <v>0</v>
      </c>
      <c r="AA1802" s="9" t="n">
        <f aca="false">IF(AND(M1802&lt;&gt;"",OR(M1802&lt;5,M1802&gt;180)),1,0)</f>
        <v>0</v>
      </c>
      <c r="AB1802" s="7" t="str">
        <f aca="false">IF(P1802="DUP","Exact duplicate row",IF(T1802=1,"Missing Order ID",IF(S1802="DROP","Duplicate Order ID (less complete row)",IF(U1802=1,"Missing Customer ID",IF(V1802=1,"Missing Restaurant name",IF(W1802=1,"Invalid/outlier quantity",IF(X1802=1,"Invalid/outlier unit price",IF(Y1802=1,"Discount greater than order value",""))))))))</f>
        <v/>
      </c>
      <c r="AC1802" s="7" t="str">
        <f aca="false">IF(AB1802="","KEEP","DROP")</f>
        <v>KEEP</v>
      </c>
      <c r="AD1802" s="7" t="str">
        <f aca="false">IF(TRIM(F1802)="",IFERROR(INDEX(Map_Tables!$I$4:$I$37,MATCH(TRIM(E1802),Map_Tables!$G$4:$G$37,0)),""),IFERROR(INDEX(Map_Tables!$B$4:$B$18,MATCH(TRIM(F1802),Map_Tables!$A$4:$A$18,0)),"CHECK"))</f>
        <v>Mumbai</v>
      </c>
      <c r="AE1802" s="7" t="str">
        <f aca="false">IF(TRIM(E1802)="","",IFERROR(INDEX(Map_Tables!$H$4:$H$37,MATCH(TRIM(E1802),Map_Tables!$G$4:$G$37,0)),"CHECK"))</f>
        <v>Pav Bhaji Point</v>
      </c>
      <c r="AF1802" s="7" t="str">
        <f aca="false">IF(TRIM(K1802)="","Unknown",IFERROR(INDEX(Map_Tables!$E$4:$E$15,MATCH(TRIM(K1802),Map_Tables!$D$4:$D$15,0)),"CHECK"))</f>
        <v>Wallet</v>
      </c>
      <c r="AG1802" s="7" t="str">
        <f aca="false">IF(LEFT(LOWER(TRIM(L1802)),6)="cancel","Cancelled","Delivered")</f>
        <v>Delivered</v>
      </c>
      <c r="AH1802" s="10" t="n">
        <f aca="false">IF(ISNUMBER(SEARCH("/",B1802)),DATE(VALUE(RIGHT(B1802,4)),VALUE(MID(B1802,4,2)),VALUE(LEFT(B1802,2))),IF(MID(B1802,5,1)="-",DATE(VALUE(LEFT(B1802,4)),VALUE(MID(B1802,6,2)),VALUE(RIGHT(B1802,2))),DATE(VALUE(RIGHT(B1802,4)),MATCH(MID(B1802,4,3),{"Jan","Feb","Mar","Apr","May","Jun","Jul","Aug","Sep","Oct","Nov","Dec"},0),VALUE(LEFT(B1802,2)))))</f>
        <v>45901</v>
      </c>
    </row>
    <row r="1803" customFormat="false" ht="15" hidden="false" customHeight="false" outlineLevel="0" collapsed="false">
      <c r="A1803" s="7" t="s">
        <v>4441</v>
      </c>
      <c r="B1803" s="7" t="s">
        <v>2568</v>
      </c>
      <c r="C1803" s="7" t="s">
        <v>4383</v>
      </c>
      <c r="D1803" s="7" t="s">
        <v>2990</v>
      </c>
      <c r="E1803" s="7" t="s">
        <v>138</v>
      </c>
      <c r="F1803" s="7" t="s">
        <v>110</v>
      </c>
      <c r="G1803" s="7" t="s">
        <v>139</v>
      </c>
      <c r="H1803" s="7" t="n">
        <v>1</v>
      </c>
      <c r="I1803" s="7" t="n">
        <v>210</v>
      </c>
      <c r="J1803" s="7" t="n">
        <v>50</v>
      </c>
      <c r="K1803" s="7" t="s">
        <v>92</v>
      </c>
      <c r="L1803" s="7" t="s">
        <v>194</v>
      </c>
      <c r="M1803" s="7" t="n">
        <v>50</v>
      </c>
      <c r="N1803" s="7" t="n">
        <v>3</v>
      </c>
      <c r="O1803" s="7" t="str">
        <f aca="false">A1803&amp;"|"&amp;B1803&amp;"|"&amp;C1803&amp;"|"&amp;D1803&amp;"|"&amp;E1803&amp;"|"&amp;F1803&amp;"|"&amp;G1803&amp;"|"&amp;H1803&amp;"|"&amp;I1803&amp;"|"&amp;J1803&amp;"|"&amp;K1803&amp;"|"&amp;L1803&amp;"|"&amp;M1803&amp;"|"&amp;N1803</f>
        <v>ORD11911|2025-09-05|13:53|C0189|Burger Barn|Delhi|Burgers|1|210|50|credit card|Delivered|50|3</v>
      </c>
      <c r="P1803" s="7" t="str">
        <f aca="false">IF(COUNTIF($O$2:O1803,O1803)&gt;1,"DUP","OK")</f>
        <v>OK</v>
      </c>
      <c r="Q1803" s="7" t="n">
        <f aca="false">COUNTBLANK(A1803:N1803)</f>
        <v>0</v>
      </c>
      <c r="R1803" s="7" t="n">
        <f aca="false">IF(A1803="",0,COUNTIFS($A$2:$A$3058,A1803,$P$2:$P$3058,"OK"))</f>
        <v>1</v>
      </c>
      <c r="S1803" s="7" t="str">
        <f aca="false">IF(OR(A1803="",P1803="DUP",R1803&lt;2),"",IF(Q1803=_xlfn.MINIFS($Q$2:$Q$3058,$A$2:$A$3058,A1803,$P$2:$P$3058,"OK"),"KEEP","DROP"))</f>
        <v/>
      </c>
      <c r="T1803" s="9" t="n">
        <f aca="false">IF(A1803="",1,0)</f>
        <v>0</v>
      </c>
      <c r="U1803" s="9" t="n">
        <f aca="false">IF(D1803="",1,0)</f>
        <v>0</v>
      </c>
      <c r="V1803" s="9" t="n">
        <f aca="false">IF(E1803="",1,0)</f>
        <v>0</v>
      </c>
      <c r="W1803" s="9" t="n">
        <f aca="false">IF(OR(H1803&lt;1,H1803&gt;10),1,0)</f>
        <v>0</v>
      </c>
      <c r="X1803" s="9" t="n">
        <f aca="false">IF(OR(I1803&lt;=0,I1803&gt;1500),1,0)</f>
        <v>0</v>
      </c>
      <c r="Y1803" s="9" t="n">
        <f aca="false">IF(J1803&gt;H1803*I1803,1,0)</f>
        <v>0</v>
      </c>
      <c r="Z1803" s="9" t="n">
        <f aca="false">IF(AND(N1803&lt;&gt;"",OR(N1803&lt;1,N1803&gt;5)),1,0)</f>
        <v>0</v>
      </c>
      <c r="AA1803" s="9" t="n">
        <f aca="false">IF(AND(M1803&lt;&gt;"",OR(M1803&lt;5,M1803&gt;180)),1,0)</f>
        <v>0</v>
      </c>
      <c r="AB1803" s="7" t="str">
        <f aca="false">IF(P1803="DUP","Exact duplicate row",IF(T1803=1,"Missing Order ID",IF(S1803="DROP","Duplicate Order ID (less complete row)",IF(U1803=1,"Missing Customer ID",IF(V1803=1,"Missing Restaurant name",IF(W1803=1,"Invalid/outlier quantity",IF(X1803=1,"Invalid/outlier unit price",IF(Y1803=1,"Discount greater than order value",""))))))))</f>
        <v/>
      </c>
      <c r="AC1803" s="7" t="str">
        <f aca="false">IF(AB1803="","KEEP","DROP")</f>
        <v>KEEP</v>
      </c>
      <c r="AD1803" s="7" t="str">
        <f aca="false">IF(TRIM(F1803)="",IFERROR(INDEX(Map_Tables!$I$4:$I$37,MATCH(TRIM(E1803),Map_Tables!$G$4:$G$37,0)),""),IFERROR(INDEX(Map_Tables!$B$4:$B$18,MATCH(TRIM(F1803),Map_Tables!$A$4:$A$18,0)),"CHECK"))</f>
        <v>Delhi</v>
      </c>
      <c r="AE1803" s="7" t="str">
        <f aca="false">IF(TRIM(E1803)="","",IFERROR(INDEX(Map_Tables!$H$4:$H$37,MATCH(TRIM(E1803),Map_Tables!$G$4:$G$37,0)),"CHECK"))</f>
        <v>Burger Barn</v>
      </c>
      <c r="AF1803" s="7" t="str">
        <f aca="false">IF(TRIM(K1803)="","Unknown",IFERROR(INDEX(Map_Tables!$E$4:$E$15,MATCH(TRIM(K1803),Map_Tables!$D$4:$D$15,0)),"CHECK"))</f>
        <v>Credit Card</v>
      </c>
      <c r="AG1803" s="7" t="str">
        <f aca="false">IF(LEFT(LOWER(TRIM(L1803)),6)="cancel","Cancelled","Delivered")</f>
        <v>Delivered</v>
      </c>
      <c r="AH1803" s="10" t="n">
        <f aca="false">IF(ISNUMBER(SEARCH("/",B1803)),DATE(VALUE(RIGHT(B1803,4)),VALUE(MID(B1803,4,2)),VALUE(LEFT(B1803,2))),IF(MID(B1803,5,1)="-",DATE(VALUE(LEFT(B1803,4)),VALUE(MID(B1803,6,2)),VALUE(RIGHT(B1803,2))),DATE(VALUE(RIGHT(B1803,4)),MATCH(MID(B1803,4,3),{"Jan","Feb","Mar","Apr","May","Jun","Jul","Aug","Sep","Oct","Nov","Dec"},0),VALUE(LEFT(B1803,2)))))</f>
        <v>45905</v>
      </c>
    </row>
    <row r="1804" customFormat="false" ht="15" hidden="false" customHeight="false" outlineLevel="0" collapsed="false">
      <c r="A1804" s="7" t="s">
        <v>4442</v>
      </c>
      <c r="B1804" s="7" t="s">
        <v>196</v>
      </c>
      <c r="C1804" s="7" t="s">
        <v>2545</v>
      </c>
      <c r="D1804" s="7" t="s">
        <v>1039</v>
      </c>
      <c r="E1804" s="7" t="s">
        <v>130</v>
      </c>
      <c r="F1804" s="7" t="s">
        <v>110</v>
      </c>
      <c r="G1804" s="7" t="s">
        <v>90</v>
      </c>
      <c r="H1804" s="7" t="n">
        <v>2</v>
      </c>
      <c r="I1804" s="7" t="n">
        <v>260</v>
      </c>
      <c r="J1804" s="7" t="n">
        <v>20</v>
      </c>
      <c r="K1804" s="7" t="s">
        <v>88</v>
      </c>
      <c r="L1804" s="7" t="s">
        <v>194</v>
      </c>
      <c r="M1804" s="7" t="n">
        <v>36</v>
      </c>
      <c r="N1804" s="7" t="n">
        <v>4</v>
      </c>
      <c r="O1804" s="7" t="str">
        <f aca="false">A1804&amp;"|"&amp;B1804&amp;"|"&amp;C1804&amp;"|"&amp;D1804&amp;"|"&amp;E1804&amp;"|"&amp;F1804&amp;"|"&amp;G1804&amp;"|"&amp;H1804&amp;"|"&amp;I1804&amp;"|"&amp;J1804&amp;"|"&amp;K1804&amp;"|"&amp;L1804&amp;"|"&amp;M1804&amp;"|"&amp;N1804</f>
        <v>ORD12662|2025-11-24|17:11|C0107|Tandoor Tales|Delhi|North Indian|2|260|20|UPI|Delivered|36|4</v>
      </c>
      <c r="P1804" s="7" t="str">
        <f aca="false">IF(COUNTIF($O$2:O1804,O1804)&gt;1,"DUP","OK")</f>
        <v>OK</v>
      </c>
      <c r="Q1804" s="7" t="n">
        <f aca="false">COUNTBLANK(A1804:N1804)</f>
        <v>0</v>
      </c>
      <c r="R1804" s="7" t="n">
        <f aca="false">IF(A1804="",0,COUNTIFS($A$2:$A$3058,A1804,$P$2:$P$3058,"OK"))</f>
        <v>1</v>
      </c>
      <c r="S1804" s="7" t="str">
        <f aca="false">IF(OR(A1804="",P1804="DUP",R1804&lt;2),"",IF(Q1804=_xlfn.MINIFS($Q$2:$Q$3058,$A$2:$A$3058,A1804,$P$2:$P$3058,"OK"),"KEEP","DROP"))</f>
        <v/>
      </c>
      <c r="T1804" s="9" t="n">
        <f aca="false">IF(A1804="",1,0)</f>
        <v>0</v>
      </c>
      <c r="U1804" s="9" t="n">
        <f aca="false">IF(D1804="",1,0)</f>
        <v>0</v>
      </c>
      <c r="V1804" s="9" t="n">
        <f aca="false">IF(E1804="",1,0)</f>
        <v>0</v>
      </c>
      <c r="W1804" s="9" t="n">
        <f aca="false">IF(OR(H1804&lt;1,H1804&gt;10),1,0)</f>
        <v>0</v>
      </c>
      <c r="X1804" s="9" t="n">
        <f aca="false">IF(OR(I1804&lt;=0,I1804&gt;1500),1,0)</f>
        <v>0</v>
      </c>
      <c r="Y1804" s="9" t="n">
        <f aca="false">IF(J1804&gt;H1804*I1804,1,0)</f>
        <v>0</v>
      </c>
      <c r="Z1804" s="9" t="n">
        <f aca="false">IF(AND(N1804&lt;&gt;"",OR(N1804&lt;1,N1804&gt;5)),1,0)</f>
        <v>0</v>
      </c>
      <c r="AA1804" s="9" t="n">
        <f aca="false">IF(AND(M1804&lt;&gt;"",OR(M1804&lt;5,M1804&gt;180)),1,0)</f>
        <v>0</v>
      </c>
      <c r="AB1804" s="7" t="str">
        <f aca="false">IF(P1804="DUP","Exact duplicate row",IF(T1804=1,"Missing Order ID",IF(S1804="DROP","Duplicate Order ID (less complete row)",IF(U1804=1,"Missing Customer ID",IF(V1804=1,"Missing Restaurant name",IF(W1804=1,"Invalid/outlier quantity",IF(X1804=1,"Invalid/outlier unit price",IF(Y1804=1,"Discount greater than order value",""))))))))</f>
        <v/>
      </c>
      <c r="AC1804" s="7" t="str">
        <f aca="false">IF(AB1804="","KEEP","DROP")</f>
        <v>KEEP</v>
      </c>
      <c r="AD1804" s="7" t="str">
        <f aca="false">IF(TRIM(F1804)="",IFERROR(INDEX(Map_Tables!$I$4:$I$37,MATCH(TRIM(E1804),Map_Tables!$G$4:$G$37,0)),""),IFERROR(INDEX(Map_Tables!$B$4:$B$18,MATCH(TRIM(F1804),Map_Tables!$A$4:$A$18,0)),"CHECK"))</f>
        <v>Delhi</v>
      </c>
      <c r="AE1804" s="7" t="str">
        <f aca="false">IF(TRIM(E1804)="","",IFERROR(INDEX(Map_Tables!$H$4:$H$37,MATCH(TRIM(E1804),Map_Tables!$G$4:$G$37,0)),"CHECK"))</f>
        <v>Tandoor Tales</v>
      </c>
      <c r="AF1804" s="7" t="str">
        <f aca="false">IF(TRIM(K1804)="","Unknown",IFERROR(INDEX(Map_Tables!$E$4:$E$15,MATCH(TRIM(K1804),Map_Tables!$D$4:$D$15,0)),"CHECK"))</f>
        <v>UPI</v>
      </c>
      <c r="AG1804" s="7" t="str">
        <f aca="false">IF(LEFT(LOWER(TRIM(L1804)),6)="cancel","Cancelled","Delivered")</f>
        <v>Delivered</v>
      </c>
      <c r="AH1804" s="10" t="n">
        <f aca="false">IF(ISNUMBER(SEARCH("/",B1804)),DATE(VALUE(RIGHT(B1804,4)),VALUE(MID(B1804,4,2)),VALUE(LEFT(B1804,2))),IF(MID(B1804,5,1)="-",DATE(VALUE(LEFT(B1804,4)),VALUE(MID(B1804,6,2)),VALUE(RIGHT(B1804,2))),DATE(VALUE(RIGHT(B1804,4)),MATCH(MID(B1804,4,3),{"Jan","Feb","Mar","Apr","May","Jun","Jul","Aug","Sep","Oct","Nov","Dec"},0),VALUE(LEFT(B1804,2)))))</f>
        <v>45985</v>
      </c>
    </row>
    <row r="1805" customFormat="false" ht="15" hidden="false" customHeight="false" outlineLevel="0" collapsed="false">
      <c r="A1805" s="7" t="s">
        <v>4443</v>
      </c>
      <c r="B1805" s="7" t="s">
        <v>4444</v>
      </c>
      <c r="C1805" s="7" t="s">
        <v>2992</v>
      </c>
      <c r="D1805" s="7" t="s">
        <v>2718</v>
      </c>
      <c r="E1805" s="7" t="s">
        <v>154</v>
      </c>
      <c r="F1805" s="7" t="s">
        <v>128</v>
      </c>
      <c r="G1805" s="7" t="s">
        <v>99</v>
      </c>
      <c r="H1805" s="7" t="n">
        <v>3</v>
      </c>
      <c r="I1805" s="7" t="n">
        <v>245</v>
      </c>
      <c r="J1805" s="7" t="n">
        <v>150</v>
      </c>
      <c r="K1805" s="7" t="s">
        <v>112</v>
      </c>
      <c r="L1805" s="7" t="s">
        <v>194</v>
      </c>
      <c r="M1805" s="7" t="n">
        <v>40</v>
      </c>
      <c r="N1805" s="7" t="n">
        <v>3</v>
      </c>
      <c r="O1805" s="7" t="str">
        <f aca="false">A1805&amp;"|"&amp;B1805&amp;"|"&amp;C1805&amp;"|"&amp;D1805&amp;"|"&amp;E1805&amp;"|"&amp;F1805&amp;"|"&amp;G1805&amp;"|"&amp;H1805&amp;"|"&amp;I1805&amp;"|"&amp;J1805&amp;"|"&amp;K1805&amp;"|"&amp;L1805&amp;"|"&amp;M1805&amp;"|"&amp;N1805</f>
        <v>ORD12465|06-Nov-2025|09:30|C0155|Madras Biryani Co|Chennai|Biryani|3|245|150|Cash on Delivery|Delivered|40|3</v>
      </c>
      <c r="P1805" s="7" t="str">
        <f aca="false">IF(COUNTIF($O$2:O1805,O1805)&gt;1,"DUP","OK")</f>
        <v>OK</v>
      </c>
      <c r="Q1805" s="7" t="n">
        <f aca="false">COUNTBLANK(A1805:N1805)</f>
        <v>0</v>
      </c>
      <c r="R1805" s="7" t="n">
        <f aca="false">IF(A1805="",0,COUNTIFS($A$2:$A$3058,A1805,$P$2:$P$3058,"OK"))</f>
        <v>1</v>
      </c>
      <c r="S1805" s="7" t="str">
        <f aca="false">IF(OR(A1805="",P1805="DUP",R1805&lt;2),"",IF(Q1805=_xlfn.MINIFS($Q$2:$Q$3058,$A$2:$A$3058,A1805,$P$2:$P$3058,"OK"),"KEEP","DROP"))</f>
        <v/>
      </c>
      <c r="T1805" s="9" t="n">
        <f aca="false">IF(A1805="",1,0)</f>
        <v>0</v>
      </c>
      <c r="U1805" s="9" t="n">
        <f aca="false">IF(D1805="",1,0)</f>
        <v>0</v>
      </c>
      <c r="V1805" s="9" t="n">
        <f aca="false">IF(E1805="",1,0)</f>
        <v>0</v>
      </c>
      <c r="W1805" s="9" t="n">
        <f aca="false">IF(OR(H1805&lt;1,H1805&gt;10),1,0)</f>
        <v>0</v>
      </c>
      <c r="X1805" s="9" t="n">
        <f aca="false">IF(OR(I1805&lt;=0,I1805&gt;1500),1,0)</f>
        <v>0</v>
      </c>
      <c r="Y1805" s="9" t="n">
        <f aca="false">IF(J1805&gt;H1805*I1805,1,0)</f>
        <v>0</v>
      </c>
      <c r="Z1805" s="9" t="n">
        <f aca="false">IF(AND(N1805&lt;&gt;"",OR(N1805&lt;1,N1805&gt;5)),1,0)</f>
        <v>0</v>
      </c>
      <c r="AA1805" s="9" t="n">
        <f aca="false">IF(AND(M1805&lt;&gt;"",OR(M1805&lt;5,M1805&gt;180)),1,0)</f>
        <v>0</v>
      </c>
      <c r="AB1805" s="7" t="str">
        <f aca="false">IF(P1805="DUP","Exact duplicate row",IF(T1805=1,"Missing Order ID",IF(S1805="DROP","Duplicate Order ID (less complete row)",IF(U1805=1,"Missing Customer ID",IF(V1805=1,"Missing Restaurant name",IF(W1805=1,"Invalid/outlier quantity",IF(X1805=1,"Invalid/outlier unit price",IF(Y1805=1,"Discount greater than order value",""))))))))</f>
        <v/>
      </c>
      <c r="AC1805" s="7" t="str">
        <f aca="false">IF(AB1805="","KEEP","DROP")</f>
        <v>KEEP</v>
      </c>
      <c r="AD1805" s="7" t="str">
        <f aca="false">IF(TRIM(F1805)="",IFERROR(INDEX(Map_Tables!$I$4:$I$37,MATCH(TRIM(E1805),Map_Tables!$G$4:$G$37,0)),""),IFERROR(INDEX(Map_Tables!$B$4:$B$18,MATCH(TRIM(F1805),Map_Tables!$A$4:$A$18,0)),"CHECK"))</f>
        <v>Chennai</v>
      </c>
      <c r="AE1805" s="7" t="str">
        <f aca="false">IF(TRIM(E1805)="","",IFERROR(INDEX(Map_Tables!$H$4:$H$37,MATCH(TRIM(E1805),Map_Tables!$G$4:$G$37,0)),"CHECK"))</f>
        <v>Madras Biryani Co</v>
      </c>
      <c r="AF1805" s="7" t="str">
        <f aca="false">IF(TRIM(K1805)="","Unknown",IFERROR(INDEX(Map_Tables!$E$4:$E$15,MATCH(TRIM(K1805),Map_Tables!$D$4:$D$15,0)),"CHECK"))</f>
        <v>Cash on Delivery</v>
      </c>
      <c r="AG1805" s="7" t="str">
        <f aca="false">IF(LEFT(LOWER(TRIM(L1805)),6)="cancel","Cancelled","Delivered")</f>
        <v>Delivered</v>
      </c>
      <c r="AH1805" s="10" t="n">
        <f aca="false">IF(ISNUMBER(SEARCH("/",B1805)),DATE(VALUE(RIGHT(B1805,4)),VALUE(MID(B1805,4,2)),VALUE(LEFT(B1805,2))),IF(MID(B1805,5,1)="-",DATE(VALUE(LEFT(B1805,4)),VALUE(MID(B1805,6,2)),VALUE(RIGHT(B1805,2))),DATE(VALUE(RIGHT(B1805,4)),MATCH(MID(B1805,4,3),{"Jan","Feb","Mar","Apr","May","Jun","Jul","Aug","Sep","Oct","Nov","Dec"},0),VALUE(LEFT(B1805,2)))))</f>
        <v>45967</v>
      </c>
    </row>
    <row r="1806" customFormat="false" ht="15" hidden="false" customHeight="false" outlineLevel="0" collapsed="false">
      <c r="A1806" s="7" t="s">
        <v>4445</v>
      </c>
      <c r="B1806" s="7" t="s">
        <v>212</v>
      </c>
      <c r="C1806" s="7" t="s">
        <v>4446</v>
      </c>
      <c r="D1806" s="7" t="s">
        <v>2378</v>
      </c>
      <c r="E1806" s="7" t="s">
        <v>122</v>
      </c>
      <c r="F1806" s="7" t="s">
        <v>498</v>
      </c>
      <c r="G1806" s="7" t="s">
        <v>123</v>
      </c>
      <c r="H1806" s="7" t="n">
        <v>4</v>
      </c>
      <c r="I1806" s="7" t="n">
        <v>340</v>
      </c>
      <c r="J1806" s="7" t="n">
        <v>0</v>
      </c>
      <c r="K1806" s="7" t="s">
        <v>88</v>
      </c>
      <c r="L1806" s="7" t="s">
        <v>194</v>
      </c>
      <c r="M1806" s="7" t="n">
        <v>46</v>
      </c>
      <c r="N1806" s="7"/>
      <c r="O1806" s="7" t="str">
        <f aca="false">A1806&amp;"|"&amp;B1806&amp;"|"&amp;C1806&amp;"|"&amp;D1806&amp;"|"&amp;E1806&amp;"|"&amp;F1806&amp;"|"&amp;G1806&amp;"|"&amp;H1806&amp;"|"&amp;I1806&amp;"|"&amp;J1806&amp;"|"&amp;K1806&amp;"|"&amp;L1806&amp;"|"&amp;M1806&amp;"|"&amp;N1806</f>
        <v>ORD12727|2025-12-01|08:37|C0559|Mumbai Pizza Co|Bombay|Pizza|4|340|0|UPI|Delivered|46|</v>
      </c>
      <c r="P1806" s="7" t="str">
        <f aca="false">IF(COUNTIF($O$2:O1806,O1806)&gt;1,"DUP","OK")</f>
        <v>OK</v>
      </c>
      <c r="Q1806" s="7" t="n">
        <f aca="false">COUNTBLANK(A1806:N1806)</f>
        <v>1</v>
      </c>
      <c r="R1806" s="7" t="n">
        <f aca="false">IF(A1806="",0,COUNTIFS($A$2:$A$3058,A1806,$P$2:$P$3058,"OK"))</f>
        <v>1</v>
      </c>
      <c r="S1806" s="7" t="str">
        <f aca="false">IF(OR(A1806="",P1806="DUP",R1806&lt;2),"",IF(Q1806=_xlfn.MINIFS($Q$2:$Q$3058,$A$2:$A$3058,A1806,$P$2:$P$3058,"OK"),"KEEP","DROP"))</f>
        <v/>
      </c>
      <c r="T1806" s="9" t="n">
        <f aca="false">IF(A1806="",1,0)</f>
        <v>0</v>
      </c>
      <c r="U1806" s="9" t="n">
        <f aca="false">IF(D1806="",1,0)</f>
        <v>0</v>
      </c>
      <c r="V1806" s="9" t="n">
        <f aca="false">IF(E1806="",1,0)</f>
        <v>0</v>
      </c>
      <c r="W1806" s="9" t="n">
        <f aca="false">IF(OR(H1806&lt;1,H1806&gt;10),1,0)</f>
        <v>0</v>
      </c>
      <c r="X1806" s="9" t="n">
        <f aca="false">IF(OR(I1806&lt;=0,I1806&gt;1500),1,0)</f>
        <v>0</v>
      </c>
      <c r="Y1806" s="9" t="n">
        <f aca="false">IF(J1806&gt;H1806*I1806,1,0)</f>
        <v>0</v>
      </c>
      <c r="Z1806" s="9" t="n">
        <f aca="false">IF(AND(N1806&lt;&gt;"",OR(N1806&lt;1,N1806&gt;5)),1,0)</f>
        <v>0</v>
      </c>
      <c r="AA1806" s="9" t="n">
        <f aca="false">IF(AND(M1806&lt;&gt;"",OR(M1806&lt;5,M1806&gt;180)),1,0)</f>
        <v>0</v>
      </c>
      <c r="AB1806" s="7" t="str">
        <f aca="false">IF(P1806="DUP","Exact duplicate row",IF(T1806=1,"Missing Order ID",IF(S1806="DROP","Duplicate Order ID (less complete row)",IF(U1806=1,"Missing Customer ID",IF(V1806=1,"Missing Restaurant name",IF(W1806=1,"Invalid/outlier quantity",IF(X1806=1,"Invalid/outlier unit price",IF(Y1806=1,"Discount greater than order value",""))))))))</f>
        <v/>
      </c>
      <c r="AC1806" s="7" t="str">
        <f aca="false">IF(AB1806="","KEEP","DROP")</f>
        <v>KEEP</v>
      </c>
      <c r="AD1806" s="7" t="str">
        <f aca="false">IF(TRIM(F1806)="",IFERROR(INDEX(Map_Tables!$I$4:$I$37,MATCH(TRIM(E1806),Map_Tables!$G$4:$G$37,0)),""),IFERROR(INDEX(Map_Tables!$B$4:$B$18,MATCH(TRIM(F1806),Map_Tables!$A$4:$A$18,0)),"CHECK"))</f>
        <v>Mumbai</v>
      </c>
      <c r="AE1806" s="7" t="str">
        <f aca="false">IF(TRIM(E1806)="","",IFERROR(INDEX(Map_Tables!$H$4:$H$37,MATCH(TRIM(E1806),Map_Tables!$G$4:$G$37,0)),"CHECK"))</f>
        <v>Mumbai Pizza Co</v>
      </c>
      <c r="AF1806" s="7" t="str">
        <f aca="false">IF(TRIM(K1806)="","Unknown",IFERROR(INDEX(Map_Tables!$E$4:$E$15,MATCH(TRIM(K1806),Map_Tables!$D$4:$D$15,0)),"CHECK"))</f>
        <v>UPI</v>
      </c>
      <c r="AG1806" s="7" t="str">
        <f aca="false">IF(LEFT(LOWER(TRIM(L1806)),6)="cancel","Cancelled","Delivered")</f>
        <v>Delivered</v>
      </c>
      <c r="AH1806" s="10" t="n">
        <f aca="false">IF(ISNUMBER(SEARCH("/",B1806)),DATE(VALUE(RIGHT(B1806,4)),VALUE(MID(B1806,4,2)),VALUE(LEFT(B1806,2))),IF(MID(B1806,5,1)="-",DATE(VALUE(LEFT(B1806,4)),VALUE(MID(B1806,6,2)),VALUE(RIGHT(B1806,2))),DATE(VALUE(RIGHT(B1806,4)),MATCH(MID(B1806,4,3),{"Jan","Feb","Mar","Apr","May","Jun","Jul","Aug","Sep","Oct","Nov","Dec"},0),VALUE(LEFT(B1806,2)))))</f>
        <v>45992</v>
      </c>
    </row>
    <row r="1807" customFormat="false" ht="15" hidden="false" customHeight="false" outlineLevel="0" collapsed="false">
      <c r="A1807" s="7" t="s">
        <v>4447</v>
      </c>
      <c r="B1807" s="7" t="s">
        <v>1592</v>
      </c>
      <c r="C1807" s="7" t="s">
        <v>4448</v>
      </c>
      <c r="D1807" s="7" t="s">
        <v>2746</v>
      </c>
      <c r="E1807" s="7" t="s">
        <v>104</v>
      </c>
      <c r="F1807" s="7" t="s">
        <v>86</v>
      </c>
      <c r="G1807" s="7" t="s">
        <v>105</v>
      </c>
      <c r="H1807" s="7" t="n">
        <v>1</v>
      </c>
      <c r="I1807" s="7" t="n">
        <v>205</v>
      </c>
      <c r="J1807" s="7" t="n">
        <v>82</v>
      </c>
      <c r="K1807" s="7" t="s">
        <v>112</v>
      </c>
      <c r="L1807" s="7" t="s">
        <v>238</v>
      </c>
      <c r="M1807" s="7"/>
      <c r="N1807" s="7"/>
      <c r="O1807" s="7" t="str">
        <f aca="false">A1807&amp;"|"&amp;B1807&amp;"|"&amp;C1807&amp;"|"&amp;D1807&amp;"|"&amp;E1807&amp;"|"&amp;F1807&amp;"|"&amp;G1807&amp;"|"&amp;H1807&amp;"|"&amp;I1807&amp;"|"&amp;J1807&amp;"|"&amp;K1807&amp;"|"&amp;L1807&amp;"|"&amp;M1807&amp;"|"&amp;N1807</f>
        <v>ORD12324|2025-10-20|14:53|C0129|Wok &amp; Roll|Bengaluru|Chinese|1|205|82|Cash on Delivery|Cancelled||</v>
      </c>
      <c r="P1807" s="7" t="str">
        <f aca="false">IF(COUNTIF($O$2:O1807,O1807)&gt;1,"DUP","OK")</f>
        <v>OK</v>
      </c>
      <c r="Q1807" s="7" t="n">
        <f aca="false">COUNTBLANK(A1807:N1807)</f>
        <v>2</v>
      </c>
      <c r="R1807" s="7" t="n">
        <f aca="false">IF(A1807="",0,COUNTIFS($A$2:$A$3058,A1807,$P$2:$P$3058,"OK"))</f>
        <v>1</v>
      </c>
      <c r="S1807" s="7" t="str">
        <f aca="false">IF(OR(A1807="",P1807="DUP",R1807&lt;2),"",IF(Q1807=_xlfn.MINIFS($Q$2:$Q$3058,$A$2:$A$3058,A1807,$P$2:$P$3058,"OK"),"KEEP","DROP"))</f>
        <v/>
      </c>
      <c r="T1807" s="9" t="n">
        <f aca="false">IF(A1807="",1,0)</f>
        <v>0</v>
      </c>
      <c r="U1807" s="9" t="n">
        <f aca="false">IF(D1807="",1,0)</f>
        <v>0</v>
      </c>
      <c r="V1807" s="9" t="n">
        <f aca="false">IF(E1807="",1,0)</f>
        <v>0</v>
      </c>
      <c r="W1807" s="9" t="n">
        <f aca="false">IF(OR(H1807&lt;1,H1807&gt;10),1,0)</f>
        <v>0</v>
      </c>
      <c r="X1807" s="9" t="n">
        <f aca="false">IF(OR(I1807&lt;=0,I1807&gt;1500),1,0)</f>
        <v>0</v>
      </c>
      <c r="Y1807" s="9" t="n">
        <f aca="false">IF(J1807&gt;H1807*I1807,1,0)</f>
        <v>0</v>
      </c>
      <c r="Z1807" s="9" t="n">
        <f aca="false">IF(AND(N1807&lt;&gt;"",OR(N1807&lt;1,N1807&gt;5)),1,0)</f>
        <v>0</v>
      </c>
      <c r="AA1807" s="9" t="n">
        <f aca="false">IF(AND(M1807&lt;&gt;"",OR(M1807&lt;5,M1807&gt;180)),1,0)</f>
        <v>0</v>
      </c>
      <c r="AB1807" s="7" t="str">
        <f aca="false">IF(P1807="DUP","Exact duplicate row",IF(T1807=1,"Missing Order ID",IF(S1807="DROP","Duplicate Order ID (less complete row)",IF(U1807=1,"Missing Customer ID",IF(V1807=1,"Missing Restaurant name",IF(W1807=1,"Invalid/outlier quantity",IF(X1807=1,"Invalid/outlier unit price",IF(Y1807=1,"Discount greater than order value",""))))))))</f>
        <v/>
      </c>
      <c r="AC1807" s="7" t="str">
        <f aca="false">IF(AB1807="","KEEP","DROP")</f>
        <v>KEEP</v>
      </c>
      <c r="AD1807" s="7" t="str">
        <f aca="false">IF(TRIM(F1807)="",IFERROR(INDEX(Map_Tables!$I$4:$I$37,MATCH(TRIM(E1807),Map_Tables!$G$4:$G$37,0)),""),IFERROR(INDEX(Map_Tables!$B$4:$B$18,MATCH(TRIM(F1807),Map_Tables!$A$4:$A$18,0)),"CHECK"))</f>
        <v>Bengaluru</v>
      </c>
      <c r="AE1807" s="7" t="str">
        <f aca="false">IF(TRIM(E1807)="","",IFERROR(INDEX(Map_Tables!$H$4:$H$37,MATCH(TRIM(E1807),Map_Tables!$G$4:$G$37,0)),"CHECK"))</f>
        <v>Wok &amp; Roll</v>
      </c>
      <c r="AF1807" s="7" t="str">
        <f aca="false">IF(TRIM(K1807)="","Unknown",IFERROR(INDEX(Map_Tables!$E$4:$E$15,MATCH(TRIM(K1807),Map_Tables!$D$4:$D$15,0)),"CHECK"))</f>
        <v>Cash on Delivery</v>
      </c>
      <c r="AG1807" s="7" t="str">
        <f aca="false">IF(LEFT(LOWER(TRIM(L1807)),6)="cancel","Cancelled","Delivered")</f>
        <v>Cancelled</v>
      </c>
      <c r="AH1807" s="10" t="n">
        <f aca="false">IF(ISNUMBER(SEARCH("/",B1807)),DATE(VALUE(RIGHT(B1807,4)),VALUE(MID(B1807,4,2)),VALUE(LEFT(B1807,2))),IF(MID(B1807,5,1)="-",DATE(VALUE(LEFT(B1807,4)),VALUE(MID(B1807,6,2)),VALUE(RIGHT(B1807,2))),DATE(VALUE(RIGHT(B1807,4)),MATCH(MID(B1807,4,3),{"Jan","Feb","Mar","Apr","May","Jun","Jul","Aug","Sep","Oct","Nov","Dec"},0),VALUE(LEFT(B1807,2)))))</f>
        <v>45950</v>
      </c>
    </row>
    <row r="1808" customFormat="false" ht="15" hidden="false" customHeight="false" outlineLevel="0" collapsed="false">
      <c r="A1808" s="7" t="s">
        <v>4449</v>
      </c>
      <c r="B1808" s="7" t="s">
        <v>1528</v>
      </c>
      <c r="C1808" s="7" t="s">
        <v>280</v>
      </c>
      <c r="D1808" s="7" t="s">
        <v>4450</v>
      </c>
      <c r="E1808" s="7" t="s">
        <v>104</v>
      </c>
      <c r="F1808" s="7" t="s">
        <v>86</v>
      </c>
      <c r="G1808" s="7" t="s">
        <v>105</v>
      </c>
      <c r="H1808" s="7" t="n">
        <v>2</v>
      </c>
      <c r="I1808" s="7" t="n">
        <v>180</v>
      </c>
      <c r="J1808" s="7" t="n">
        <v>50</v>
      </c>
      <c r="K1808" s="7" t="s">
        <v>112</v>
      </c>
      <c r="L1808" s="7" t="s">
        <v>194</v>
      </c>
      <c r="M1808" s="7" t="n">
        <v>27</v>
      </c>
      <c r="N1808" s="7" t="n">
        <v>5</v>
      </c>
      <c r="O1808" s="7" t="str">
        <f aca="false">A1808&amp;"|"&amp;B1808&amp;"|"&amp;C1808&amp;"|"&amp;D1808&amp;"|"&amp;E1808&amp;"|"&amp;F1808&amp;"|"&amp;G1808&amp;"|"&amp;H1808&amp;"|"&amp;I1808&amp;"|"&amp;J1808&amp;"|"&amp;K1808&amp;"|"&amp;L1808&amp;"|"&amp;M1808&amp;"|"&amp;N1808</f>
        <v>ORD12462|2025-11-05|20:39|C0261|Wok &amp; Roll|Bengaluru|Chinese|2|180|50|Cash on Delivery|Delivered|27|5</v>
      </c>
      <c r="P1808" s="7" t="str">
        <f aca="false">IF(COUNTIF($O$2:O1808,O1808)&gt;1,"DUP","OK")</f>
        <v>OK</v>
      </c>
      <c r="Q1808" s="7" t="n">
        <f aca="false">COUNTBLANK(A1808:N1808)</f>
        <v>0</v>
      </c>
      <c r="R1808" s="7" t="n">
        <f aca="false">IF(A1808="",0,COUNTIFS($A$2:$A$3058,A1808,$P$2:$P$3058,"OK"))</f>
        <v>1</v>
      </c>
      <c r="S1808" s="7" t="str">
        <f aca="false">IF(OR(A1808="",P1808="DUP",R1808&lt;2),"",IF(Q1808=_xlfn.MINIFS($Q$2:$Q$3058,$A$2:$A$3058,A1808,$P$2:$P$3058,"OK"),"KEEP","DROP"))</f>
        <v/>
      </c>
      <c r="T1808" s="9" t="n">
        <f aca="false">IF(A1808="",1,0)</f>
        <v>0</v>
      </c>
      <c r="U1808" s="9" t="n">
        <f aca="false">IF(D1808="",1,0)</f>
        <v>0</v>
      </c>
      <c r="V1808" s="9" t="n">
        <f aca="false">IF(E1808="",1,0)</f>
        <v>0</v>
      </c>
      <c r="W1808" s="9" t="n">
        <f aca="false">IF(OR(H1808&lt;1,H1808&gt;10),1,0)</f>
        <v>0</v>
      </c>
      <c r="X1808" s="9" t="n">
        <f aca="false">IF(OR(I1808&lt;=0,I1808&gt;1500),1,0)</f>
        <v>0</v>
      </c>
      <c r="Y1808" s="9" t="n">
        <f aca="false">IF(J1808&gt;H1808*I1808,1,0)</f>
        <v>0</v>
      </c>
      <c r="Z1808" s="9" t="n">
        <f aca="false">IF(AND(N1808&lt;&gt;"",OR(N1808&lt;1,N1808&gt;5)),1,0)</f>
        <v>0</v>
      </c>
      <c r="AA1808" s="9" t="n">
        <f aca="false">IF(AND(M1808&lt;&gt;"",OR(M1808&lt;5,M1808&gt;180)),1,0)</f>
        <v>0</v>
      </c>
      <c r="AB1808" s="7" t="str">
        <f aca="false">IF(P1808="DUP","Exact duplicate row",IF(T1808=1,"Missing Order ID",IF(S1808="DROP","Duplicate Order ID (less complete row)",IF(U1808=1,"Missing Customer ID",IF(V1808=1,"Missing Restaurant name",IF(W1808=1,"Invalid/outlier quantity",IF(X1808=1,"Invalid/outlier unit price",IF(Y1808=1,"Discount greater than order value",""))))))))</f>
        <v/>
      </c>
      <c r="AC1808" s="7" t="str">
        <f aca="false">IF(AB1808="","KEEP","DROP")</f>
        <v>KEEP</v>
      </c>
      <c r="AD1808" s="7" t="str">
        <f aca="false">IF(TRIM(F1808)="",IFERROR(INDEX(Map_Tables!$I$4:$I$37,MATCH(TRIM(E1808),Map_Tables!$G$4:$G$37,0)),""),IFERROR(INDEX(Map_Tables!$B$4:$B$18,MATCH(TRIM(F1808),Map_Tables!$A$4:$A$18,0)),"CHECK"))</f>
        <v>Bengaluru</v>
      </c>
      <c r="AE1808" s="7" t="str">
        <f aca="false">IF(TRIM(E1808)="","",IFERROR(INDEX(Map_Tables!$H$4:$H$37,MATCH(TRIM(E1808),Map_Tables!$G$4:$G$37,0)),"CHECK"))</f>
        <v>Wok &amp; Roll</v>
      </c>
      <c r="AF1808" s="7" t="str">
        <f aca="false">IF(TRIM(K1808)="","Unknown",IFERROR(INDEX(Map_Tables!$E$4:$E$15,MATCH(TRIM(K1808),Map_Tables!$D$4:$D$15,0)),"CHECK"))</f>
        <v>Cash on Delivery</v>
      </c>
      <c r="AG1808" s="7" t="str">
        <f aca="false">IF(LEFT(LOWER(TRIM(L1808)),6)="cancel","Cancelled","Delivered")</f>
        <v>Delivered</v>
      </c>
      <c r="AH1808" s="10" t="n">
        <f aca="false">IF(ISNUMBER(SEARCH("/",B1808)),DATE(VALUE(RIGHT(B1808,4)),VALUE(MID(B1808,4,2)),VALUE(LEFT(B1808,2))),IF(MID(B1808,5,1)="-",DATE(VALUE(LEFT(B1808,4)),VALUE(MID(B1808,6,2)),VALUE(RIGHT(B1808,2))),DATE(VALUE(RIGHT(B1808,4)),MATCH(MID(B1808,4,3),{"Jan","Feb","Mar","Apr","May","Jun","Jul","Aug","Sep","Oct","Nov","Dec"},0),VALUE(LEFT(B1808,2)))))</f>
        <v>45966</v>
      </c>
    </row>
    <row r="1809" customFormat="false" ht="15" hidden="false" customHeight="false" outlineLevel="0" collapsed="false">
      <c r="A1809" s="7" t="s">
        <v>4451</v>
      </c>
      <c r="B1809" s="7" t="s">
        <v>4452</v>
      </c>
      <c r="C1809" s="7" t="s">
        <v>1820</v>
      </c>
      <c r="D1809" s="7" t="s">
        <v>4216</v>
      </c>
      <c r="E1809" s="7" t="s">
        <v>134</v>
      </c>
      <c r="F1809" s="7" t="s">
        <v>110</v>
      </c>
      <c r="G1809" s="7" t="s">
        <v>117</v>
      </c>
      <c r="H1809" s="7" t="n">
        <v>1</v>
      </c>
      <c r="I1809" s="7" t="n">
        <v>130</v>
      </c>
      <c r="J1809" s="7" t="n">
        <v>50</v>
      </c>
      <c r="K1809" s="7" t="s">
        <v>103</v>
      </c>
      <c r="L1809" s="7" t="s">
        <v>194</v>
      </c>
      <c r="M1809" s="7" t="n">
        <v>31</v>
      </c>
      <c r="N1809" s="7" t="n">
        <v>5</v>
      </c>
      <c r="O1809" s="7" t="str">
        <f aca="false">A1809&amp;"|"&amp;B1809&amp;"|"&amp;C1809&amp;"|"&amp;D1809&amp;"|"&amp;E1809&amp;"|"&amp;F1809&amp;"|"&amp;G1809&amp;"|"&amp;H1809&amp;"|"&amp;I1809&amp;"|"&amp;J1809&amp;"|"&amp;K1809&amp;"|"&amp;L1809&amp;"|"&amp;M1809&amp;"|"&amp;N1809</f>
        <v>ORD12420|01/11/2025|12:34|C1080|Chaat Corner|Delhi|Street Food|1|130|50|Debit Card|Delivered|31|5</v>
      </c>
      <c r="P1809" s="7" t="str">
        <f aca="false">IF(COUNTIF($O$2:O1809,O1809)&gt;1,"DUP","OK")</f>
        <v>OK</v>
      </c>
      <c r="Q1809" s="7" t="n">
        <f aca="false">COUNTBLANK(A1809:N1809)</f>
        <v>0</v>
      </c>
      <c r="R1809" s="7" t="n">
        <f aca="false">IF(A1809="",0,COUNTIFS($A$2:$A$3058,A1809,$P$2:$P$3058,"OK"))</f>
        <v>1</v>
      </c>
      <c r="S1809" s="7" t="str">
        <f aca="false">IF(OR(A1809="",P1809="DUP",R1809&lt;2),"",IF(Q1809=_xlfn.MINIFS($Q$2:$Q$3058,$A$2:$A$3058,A1809,$P$2:$P$3058,"OK"),"KEEP","DROP"))</f>
        <v/>
      </c>
      <c r="T1809" s="9" t="n">
        <f aca="false">IF(A1809="",1,0)</f>
        <v>0</v>
      </c>
      <c r="U1809" s="9" t="n">
        <f aca="false">IF(D1809="",1,0)</f>
        <v>0</v>
      </c>
      <c r="V1809" s="9" t="n">
        <f aca="false">IF(E1809="",1,0)</f>
        <v>0</v>
      </c>
      <c r="W1809" s="9" t="n">
        <f aca="false">IF(OR(H1809&lt;1,H1809&gt;10),1,0)</f>
        <v>0</v>
      </c>
      <c r="X1809" s="9" t="n">
        <f aca="false">IF(OR(I1809&lt;=0,I1809&gt;1500),1,0)</f>
        <v>0</v>
      </c>
      <c r="Y1809" s="9" t="n">
        <f aca="false">IF(J1809&gt;H1809*I1809,1,0)</f>
        <v>0</v>
      </c>
      <c r="Z1809" s="9" t="n">
        <f aca="false">IF(AND(N1809&lt;&gt;"",OR(N1809&lt;1,N1809&gt;5)),1,0)</f>
        <v>0</v>
      </c>
      <c r="AA1809" s="9" t="n">
        <f aca="false">IF(AND(M1809&lt;&gt;"",OR(M1809&lt;5,M1809&gt;180)),1,0)</f>
        <v>0</v>
      </c>
      <c r="AB1809" s="7" t="str">
        <f aca="false">IF(P1809="DUP","Exact duplicate row",IF(T1809=1,"Missing Order ID",IF(S1809="DROP","Duplicate Order ID (less complete row)",IF(U1809=1,"Missing Customer ID",IF(V1809=1,"Missing Restaurant name",IF(W1809=1,"Invalid/outlier quantity",IF(X1809=1,"Invalid/outlier unit price",IF(Y1809=1,"Discount greater than order value",""))))))))</f>
        <v/>
      </c>
      <c r="AC1809" s="7" t="str">
        <f aca="false">IF(AB1809="","KEEP","DROP")</f>
        <v>KEEP</v>
      </c>
      <c r="AD1809" s="7" t="str">
        <f aca="false">IF(TRIM(F1809)="",IFERROR(INDEX(Map_Tables!$I$4:$I$37,MATCH(TRIM(E1809),Map_Tables!$G$4:$G$37,0)),""),IFERROR(INDEX(Map_Tables!$B$4:$B$18,MATCH(TRIM(F1809),Map_Tables!$A$4:$A$18,0)),"CHECK"))</f>
        <v>Delhi</v>
      </c>
      <c r="AE1809" s="7" t="str">
        <f aca="false">IF(TRIM(E1809)="","",IFERROR(INDEX(Map_Tables!$H$4:$H$37,MATCH(TRIM(E1809),Map_Tables!$G$4:$G$37,0)),"CHECK"))</f>
        <v>Chaat Corner</v>
      </c>
      <c r="AF1809" s="7" t="str">
        <f aca="false">IF(TRIM(K1809)="","Unknown",IFERROR(INDEX(Map_Tables!$E$4:$E$15,MATCH(TRIM(K1809),Map_Tables!$D$4:$D$15,0)),"CHECK"))</f>
        <v>Debit Card</v>
      </c>
      <c r="AG1809" s="7" t="str">
        <f aca="false">IF(LEFT(LOWER(TRIM(L1809)),6)="cancel","Cancelled","Delivered")</f>
        <v>Delivered</v>
      </c>
      <c r="AH1809" s="10" t="n">
        <f aca="false">IF(ISNUMBER(SEARCH("/",B1809)),DATE(VALUE(RIGHT(B1809,4)),VALUE(MID(B1809,4,2)),VALUE(LEFT(B1809,2))),IF(MID(B1809,5,1)="-",DATE(VALUE(LEFT(B1809,4)),VALUE(MID(B1809,6,2)),VALUE(RIGHT(B1809,2))),DATE(VALUE(RIGHT(B1809,4)),MATCH(MID(B1809,4,3),{"Jan","Feb","Mar","Apr","May","Jun","Jul","Aug","Sep","Oct","Nov","Dec"},0),VALUE(LEFT(B1809,2)))))</f>
        <v>45962</v>
      </c>
    </row>
    <row r="1810" customFormat="false" ht="15" hidden="false" customHeight="false" outlineLevel="0" collapsed="false">
      <c r="A1810" s="7" t="s">
        <v>4453</v>
      </c>
      <c r="B1810" s="7" t="s">
        <v>3399</v>
      </c>
      <c r="C1810" s="7" t="s">
        <v>1164</v>
      </c>
      <c r="D1810" s="7" t="s">
        <v>1176</v>
      </c>
      <c r="E1810" s="7" t="s">
        <v>4454</v>
      </c>
      <c r="F1810" s="7" t="s">
        <v>128</v>
      </c>
      <c r="G1810" s="7" t="s">
        <v>95</v>
      </c>
      <c r="H1810" s="7" t="n">
        <v>2</v>
      </c>
      <c r="I1810" s="7" t="n">
        <v>115</v>
      </c>
      <c r="J1810" s="7" t="n">
        <v>0</v>
      </c>
      <c r="K1810" s="7" t="s">
        <v>112</v>
      </c>
      <c r="L1810" s="7" t="s">
        <v>194</v>
      </c>
      <c r="M1810" s="7" t="n">
        <v>54</v>
      </c>
      <c r="N1810" s="7" t="n">
        <v>5</v>
      </c>
      <c r="O1810" s="7" t="str">
        <f aca="false">A1810&amp;"|"&amp;B1810&amp;"|"&amp;C1810&amp;"|"&amp;D1810&amp;"|"&amp;E1810&amp;"|"&amp;F1810&amp;"|"&amp;G1810&amp;"|"&amp;H1810&amp;"|"&amp;I1810&amp;"|"&amp;J1810&amp;"|"&amp;K1810&amp;"|"&amp;L1810&amp;"|"&amp;M1810&amp;"|"&amp;N1810</f>
        <v>ORD10622|2025-03-20|13:25|C1077|FILTER COFFEE &amp; TIFFIN|Chennai|South Indian|2|115|0|Cash on Delivery|Delivered|54|5</v>
      </c>
      <c r="P1810" s="7" t="str">
        <f aca="false">IF(COUNTIF($O$2:O1810,O1810)&gt;1,"DUP","OK")</f>
        <v>OK</v>
      </c>
      <c r="Q1810" s="7" t="n">
        <f aca="false">COUNTBLANK(A1810:N1810)</f>
        <v>0</v>
      </c>
      <c r="R1810" s="7" t="n">
        <f aca="false">IF(A1810="",0,COUNTIFS($A$2:$A$3058,A1810,$P$2:$P$3058,"OK"))</f>
        <v>1</v>
      </c>
      <c r="S1810" s="7" t="str">
        <f aca="false">IF(OR(A1810="",P1810="DUP",R1810&lt;2),"",IF(Q1810=_xlfn.MINIFS($Q$2:$Q$3058,$A$2:$A$3058,A1810,$P$2:$P$3058,"OK"),"KEEP","DROP"))</f>
        <v/>
      </c>
      <c r="T1810" s="9" t="n">
        <f aca="false">IF(A1810="",1,0)</f>
        <v>0</v>
      </c>
      <c r="U1810" s="9" t="n">
        <f aca="false">IF(D1810="",1,0)</f>
        <v>0</v>
      </c>
      <c r="V1810" s="9" t="n">
        <f aca="false">IF(E1810="",1,0)</f>
        <v>0</v>
      </c>
      <c r="W1810" s="9" t="n">
        <f aca="false">IF(OR(H1810&lt;1,H1810&gt;10),1,0)</f>
        <v>0</v>
      </c>
      <c r="X1810" s="9" t="n">
        <f aca="false">IF(OR(I1810&lt;=0,I1810&gt;1500),1,0)</f>
        <v>0</v>
      </c>
      <c r="Y1810" s="9" t="n">
        <f aca="false">IF(J1810&gt;H1810*I1810,1,0)</f>
        <v>0</v>
      </c>
      <c r="Z1810" s="9" t="n">
        <f aca="false">IF(AND(N1810&lt;&gt;"",OR(N1810&lt;1,N1810&gt;5)),1,0)</f>
        <v>0</v>
      </c>
      <c r="AA1810" s="9" t="n">
        <f aca="false">IF(AND(M1810&lt;&gt;"",OR(M1810&lt;5,M1810&gt;180)),1,0)</f>
        <v>0</v>
      </c>
      <c r="AB1810" s="7" t="str">
        <f aca="false">IF(P1810="DUP","Exact duplicate row",IF(T1810=1,"Missing Order ID",IF(S1810="DROP","Duplicate Order ID (less complete row)",IF(U1810=1,"Missing Customer ID",IF(V1810=1,"Missing Restaurant name",IF(W1810=1,"Invalid/outlier quantity",IF(X1810=1,"Invalid/outlier unit price",IF(Y1810=1,"Discount greater than order value",""))))))))</f>
        <v/>
      </c>
      <c r="AC1810" s="7" t="str">
        <f aca="false">IF(AB1810="","KEEP","DROP")</f>
        <v>KEEP</v>
      </c>
      <c r="AD1810" s="7" t="str">
        <f aca="false">IF(TRIM(F1810)="",IFERROR(INDEX(Map_Tables!$I$4:$I$37,MATCH(TRIM(E1810),Map_Tables!$G$4:$G$37,0)),""),IFERROR(INDEX(Map_Tables!$B$4:$B$18,MATCH(TRIM(F1810),Map_Tables!$A$4:$A$18,0)),"CHECK"))</f>
        <v>Chennai</v>
      </c>
      <c r="AE1810" s="7" t="str">
        <f aca="false">IF(TRIM(E1810)="","",IFERROR(INDEX(Map_Tables!$H$4:$H$37,MATCH(TRIM(E1810),Map_Tables!$G$4:$G$37,0)),"CHECK"))</f>
        <v>Filter Coffee &amp; Tiffin</v>
      </c>
      <c r="AF1810" s="7" t="str">
        <f aca="false">IF(TRIM(K1810)="","Unknown",IFERROR(INDEX(Map_Tables!$E$4:$E$15,MATCH(TRIM(K1810),Map_Tables!$D$4:$D$15,0)),"CHECK"))</f>
        <v>Cash on Delivery</v>
      </c>
      <c r="AG1810" s="7" t="str">
        <f aca="false">IF(LEFT(LOWER(TRIM(L1810)),6)="cancel","Cancelled","Delivered")</f>
        <v>Delivered</v>
      </c>
      <c r="AH1810" s="10" t="n">
        <f aca="false">IF(ISNUMBER(SEARCH("/",B1810)),DATE(VALUE(RIGHT(B1810,4)),VALUE(MID(B1810,4,2)),VALUE(LEFT(B1810,2))),IF(MID(B1810,5,1)="-",DATE(VALUE(LEFT(B1810,4)),VALUE(MID(B1810,6,2)),VALUE(RIGHT(B1810,2))),DATE(VALUE(RIGHT(B1810,4)),MATCH(MID(B1810,4,3),{"Jan","Feb","Mar","Apr","May","Jun","Jul","Aug","Sep","Oct","Nov","Dec"},0),VALUE(LEFT(B1810,2)))))</f>
        <v>45736</v>
      </c>
    </row>
    <row r="1811" customFormat="false" ht="15" hidden="false" customHeight="false" outlineLevel="0" collapsed="false">
      <c r="A1811" s="7" t="s">
        <v>4455</v>
      </c>
      <c r="B1811" s="7" t="s">
        <v>1316</v>
      </c>
      <c r="C1811" s="7" t="s">
        <v>3083</v>
      </c>
      <c r="D1811" s="7" t="s">
        <v>2826</v>
      </c>
      <c r="E1811" s="7" t="s">
        <v>163</v>
      </c>
      <c r="F1811" s="7" t="s">
        <v>141</v>
      </c>
      <c r="G1811" s="7" t="s">
        <v>99</v>
      </c>
      <c r="H1811" s="7" t="n">
        <v>1</v>
      </c>
      <c r="I1811" s="7" t="n">
        <v>235</v>
      </c>
      <c r="J1811" s="7" t="n">
        <v>0</v>
      </c>
      <c r="K1811" s="7" t="s">
        <v>229</v>
      </c>
      <c r="L1811" s="7" t="s">
        <v>194</v>
      </c>
      <c r="M1811" s="7" t="n">
        <v>29</v>
      </c>
      <c r="N1811" s="7"/>
      <c r="O1811" s="7" t="str">
        <f aca="false">A1811&amp;"|"&amp;B1811&amp;"|"&amp;C1811&amp;"|"&amp;D1811&amp;"|"&amp;E1811&amp;"|"&amp;F1811&amp;"|"&amp;G1811&amp;"|"&amp;H1811&amp;"|"&amp;I1811&amp;"|"&amp;J1811&amp;"|"&amp;K1811&amp;"|"&amp;L1811&amp;"|"&amp;M1811&amp;"|"&amp;N1811</f>
        <v>ORD11511|2025-07-15|18:15|C0032|Biryani Baadshah|Kolkata|Biryani|1|235|0|Upi|Delivered|29|</v>
      </c>
      <c r="P1811" s="7" t="str">
        <f aca="false">IF(COUNTIF($O$2:O1811,O1811)&gt;1,"DUP","OK")</f>
        <v>OK</v>
      </c>
      <c r="Q1811" s="7" t="n">
        <f aca="false">COUNTBLANK(A1811:N1811)</f>
        <v>1</v>
      </c>
      <c r="R1811" s="7" t="n">
        <f aca="false">IF(A1811="",0,COUNTIFS($A$2:$A$3058,A1811,$P$2:$P$3058,"OK"))</f>
        <v>1</v>
      </c>
      <c r="S1811" s="7" t="str">
        <f aca="false">IF(OR(A1811="",P1811="DUP",R1811&lt;2),"",IF(Q1811=_xlfn.MINIFS($Q$2:$Q$3058,$A$2:$A$3058,A1811,$P$2:$P$3058,"OK"),"KEEP","DROP"))</f>
        <v/>
      </c>
      <c r="T1811" s="9" t="n">
        <f aca="false">IF(A1811="",1,0)</f>
        <v>0</v>
      </c>
      <c r="U1811" s="9" t="n">
        <f aca="false">IF(D1811="",1,0)</f>
        <v>0</v>
      </c>
      <c r="V1811" s="9" t="n">
        <f aca="false">IF(E1811="",1,0)</f>
        <v>0</v>
      </c>
      <c r="W1811" s="9" t="n">
        <f aca="false">IF(OR(H1811&lt;1,H1811&gt;10),1,0)</f>
        <v>0</v>
      </c>
      <c r="X1811" s="9" t="n">
        <f aca="false">IF(OR(I1811&lt;=0,I1811&gt;1500),1,0)</f>
        <v>0</v>
      </c>
      <c r="Y1811" s="9" t="n">
        <f aca="false">IF(J1811&gt;H1811*I1811,1,0)</f>
        <v>0</v>
      </c>
      <c r="Z1811" s="9" t="n">
        <f aca="false">IF(AND(N1811&lt;&gt;"",OR(N1811&lt;1,N1811&gt;5)),1,0)</f>
        <v>0</v>
      </c>
      <c r="AA1811" s="9" t="n">
        <f aca="false">IF(AND(M1811&lt;&gt;"",OR(M1811&lt;5,M1811&gt;180)),1,0)</f>
        <v>0</v>
      </c>
      <c r="AB1811" s="7" t="str">
        <f aca="false">IF(P1811="DUP","Exact duplicate row",IF(T1811=1,"Missing Order ID",IF(S1811="DROP","Duplicate Order ID (less complete row)",IF(U1811=1,"Missing Customer ID",IF(V1811=1,"Missing Restaurant name",IF(W1811=1,"Invalid/outlier quantity",IF(X1811=1,"Invalid/outlier unit price",IF(Y1811=1,"Discount greater than order value",""))))))))</f>
        <v/>
      </c>
      <c r="AC1811" s="7" t="str">
        <f aca="false">IF(AB1811="","KEEP","DROP")</f>
        <v>KEEP</v>
      </c>
      <c r="AD1811" s="7" t="str">
        <f aca="false">IF(TRIM(F1811)="",IFERROR(INDEX(Map_Tables!$I$4:$I$37,MATCH(TRIM(E1811),Map_Tables!$G$4:$G$37,0)),""),IFERROR(INDEX(Map_Tables!$B$4:$B$18,MATCH(TRIM(F1811),Map_Tables!$A$4:$A$18,0)),"CHECK"))</f>
        <v>Kolkata</v>
      </c>
      <c r="AE1811" s="7" t="str">
        <f aca="false">IF(TRIM(E1811)="","",IFERROR(INDEX(Map_Tables!$H$4:$H$37,MATCH(TRIM(E1811),Map_Tables!$G$4:$G$37,0)),"CHECK"))</f>
        <v>Biryani Baadshah</v>
      </c>
      <c r="AF1811" s="7" t="str">
        <f aca="false">IF(TRIM(K1811)="","Unknown",IFERROR(INDEX(Map_Tables!$E$4:$E$15,MATCH(TRIM(K1811),Map_Tables!$D$4:$D$15,0)),"CHECK"))</f>
        <v>UPI</v>
      </c>
      <c r="AG1811" s="7" t="str">
        <f aca="false">IF(LEFT(LOWER(TRIM(L1811)),6)="cancel","Cancelled","Delivered")</f>
        <v>Delivered</v>
      </c>
      <c r="AH1811" s="10" t="n">
        <f aca="false">IF(ISNUMBER(SEARCH("/",B1811)),DATE(VALUE(RIGHT(B1811,4)),VALUE(MID(B1811,4,2)),VALUE(LEFT(B1811,2))),IF(MID(B1811,5,1)="-",DATE(VALUE(LEFT(B1811,4)),VALUE(MID(B1811,6,2)),VALUE(RIGHT(B1811,2))),DATE(VALUE(RIGHT(B1811,4)),MATCH(MID(B1811,4,3),{"Jan","Feb","Mar","Apr","May","Jun","Jul","Aug","Sep","Oct","Nov","Dec"},0),VALUE(LEFT(B1811,2)))))</f>
        <v>45853</v>
      </c>
    </row>
    <row r="1812" customFormat="false" ht="15" hidden="false" customHeight="false" outlineLevel="0" collapsed="false">
      <c r="A1812" s="7" t="s">
        <v>4456</v>
      </c>
      <c r="B1812" s="7" t="s">
        <v>1972</v>
      </c>
      <c r="C1812" s="7" t="s">
        <v>944</v>
      </c>
      <c r="D1812" s="7" t="s">
        <v>4457</v>
      </c>
      <c r="E1812" s="7" t="s">
        <v>126</v>
      </c>
      <c r="F1812" s="7" t="s">
        <v>101</v>
      </c>
      <c r="G1812" s="7" t="s">
        <v>105</v>
      </c>
      <c r="H1812" s="7" t="n">
        <v>1</v>
      </c>
      <c r="I1812" s="7" t="n">
        <v>205</v>
      </c>
      <c r="J1812" s="7" t="n">
        <v>30</v>
      </c>
      <c r="K1812" s="7" t="s">
        <v>229</v>
      </c>
      <c r="L1812" s="7" t="s">
        <v>194</v>
      </c>
      <c r="M1812" s="7" t="n">
        <v>49</v>
      </c>
      <c r="N1812" s="7" t="n">
        <v>4</v>
      </c>
      <c r="O1812" s="7" t="str">
        <f aca="false">A1812&amp;"|"&amp;B1812&amp;"|"&amp;C1812&amp;"|"&amp;D1812&amp;"|"&amp;E1812&amp;"|"&amp;F1812&amp;"|"&amp;G1812&amp;"|"&amp;H1812&amp;"|"&amp;I1812&amp;"|"&amp;J1812&amp;"|"&amp;K1812&amp;"|"&amp;L1812&amp;"|"&amp;M1812&amp;"|"&amp;N1812</f>
        <v>ORD12656|2025-11-23|21:57|C1086|Dragon Express|Mumbai|Chinese|1|205|30|Upi|Delivered|49|4</v>
      </c>
      <c r="P1812" s="7" t="str">
        <f aca="false">IF(COUNTIF($O$2:O1812,O1812)&gt;1,"DUP","OK")</f>
        <v>OK</v>
      </c>
      <c r="Q1812" s="7" t="n">
        <f aca="false">COUNTBLANK(A1812:N1812)</f>
        <v>0</v>
      </c>
      <c r="R1812" s="7" t="n">
        <f aca="false">IF(A1812="",0,COUNTIFS($A$2:$A$3058,A1812,$P$2:$P$3058,"OK"))</f>
        <v>1</v>
      </c>
      <c r="S1812" s="7" t="str">
        <f aca="false">IF(OR(A1812="",P1812="DUP",R1812&lt;2),"",IF(Q1812=_xlfn.MINIFS($Q$2:$Q$3058,$A$2:$A$3058,A1812,$P$2:$P$3058,"OK"),"KEEP","DROP"))</f>
        <v/>
      </c>
      <c r="T1812" s="9" t="n">
        <f aca="false">IF(A1812="",1,0)</f>
        <v>0</v>
      </c>
      <c r="U1812" s="9" t="n">
        <f aca="false">IF(D1812="",1,0)</f>
        <v>0</v>
      </c>
      <c r="V1812" s="9" t="n">
        <f aca="false">IF(E1812="",1,0)</f>
        <v>0</v>
      </c>
      <c r="W1812" s="9" t="n">
        <f aca="false">IF(OR(H1812&lt;1,H1812&gt;10),1,0)</f>
        <v>0</v>
      </c>
      <c r="X1812" s="9" t="n">
        <f aca="false">IF(OR(I1812&lt;=0,I1812&gt;1500),1,0)</f>
        <v>0</v>
      </c>
      <c r="Y1812" s="9" t="n">
        <f aca="false">IF(J1812&gt;H1812*I1812,1,0)</f>
        <v>0</v>
      </c>
      <c r="Z1812" s="9" t="n">
        <f aca="false">IF(AND(N1812&lt;&gt;"",OR(N1812&lt;1,N1812&gt;5)),1,0)</f>
        <v>0</v>
      </c>
      <c r="AA1812" s="9" t="n">
        <f aca="false">IF(AND(M1812&lt;&gt;"",OR(M1812&lt;5,M1812&gt;180)),1,0)</f>
        <v>0</v>
      </c>
      <c r="AB1812" s="7" t="str">
        <f aca="false">IF(P1812="DUP","Exact duplicate row",IF(T1812=1,"Missing Order ID",IF(S1812="DROP","Duplicate Order ID (less complete row)",IF(U1812=1,"Missing Customer ID",IF(V1812=1,"Missing Restaurant name",IF(W1812=1,"Invalid/outlier quantity",IF(X1812=1,"Invalid/outlier unit price",IF(Y1812=1,"Discount greater than order value",""))))))))</f>
        <v/>
      </c>
      <c r="AC1812" s="7" t="str">
        <f aca="false">IF(AB1812="","KEEP","DROP")</f>
        <v>KEEP</v>
      </c>
      <c r="AD1812" s="7" t="str">
        <f aca="false">IF(TRIM(F1812)="",IFERROR(INDEX(Map_Tables!$I$4:$I$37,MATCH(TRIM(E1812),Map_Tables!$G$4:$G$37,0)),""),IFERROR(INDEX(Map_Tables!$B$4:$B$18,MATCH(TRIM(F1812),Map_Tables!$A$4:$A$18,0)),"CHECK"))</f>
        <v>Mumbai</v>
      </c>
      <c r="AE1812" s="7" t="str">
        <f aca="false">IF(TRIM(E1812)="","",IFERROR(INDEX(Map_Tables!$H$4:$H$37,MATCH(TRIM(E1812),Map_Tables!$G$4:$G$37,0)),"CHECK"))</f>
        <v>Dragon Express</v>
      </c>
      <c r="AF1812" s="7" t="str">
        <f aca="false">IF(TRIM(K1812)="","Unknown",IFERROR(INDEX(Map_Tables!$E$4:$E$15,MATCH(TRIM(K1812),Map_Tables!$D$4:$D$15,0)),"CHECK"))</f>
        <v>UPI</v>
      </c>
      <c r="AG1812" s="7" t="str">
        <f aca="false">IF(LEFT(LOWER(TRIM(L1812)),6)="cancel","Cancelled","Delivered")</f>
        <v>Delivered</v>
      </c>
      <c r="AH1812" s="10" t="n">
        <f aca="false">IF(ISNUMBER(SEARCH("/",B1812)),DATE(VALUE(RIGHT(B1812,4)),VALUE(MID(B1812,4,2)),VALUE(LEFT(B1812,2))),IF(MID(B1812,5,1)="-",DATE(VALUE(LEFT(B1812,4)),VALUE(MID(B1812,6,2)),VALUE(RIGHT(B1812,2))),DATE(VALUE(RIGHT(B1812,4)),MATCH(MID(B1812,4,3),{"Jan","Feb","Mar","Apr","May","Jun","Jul","Aug","Sep","Oct","Nov","Dec"},0),VALUE(LEFT(B1812,2)))))</f>
        <v>45984</v>
      </c>
    </row>
    <row r="1813" customFormat="false" ht="15" hidden="false" customHeight="false" outlineLevel="0" collapsed="false">
      <c r="A1813" s="7" t="s">
        <v>4458</v>
      </c>
      <c r="B1813" s="7" t="s">
        <v>3504</v>
      </c>
      <c r="C1813" s="7" t="s">
        <v>1805</v>
      </c>
      <c r="D1813" s="7" t="s">
        <v>2934</v>
      </c>
      <c r="E1813" s="7" t="s">
        <v>1616</v>
      </c>
      <c r="F1813" s="7" t="s">
        <v>86</v>
      </c>
      <c r="G1813" s="7" t="s">
        <v>105</v>
      </c>
      <c r="H1813" s="7" t="n">
        <v>1</v>
      </c>
      <c r="I1813" s="7" t="n">
        <v>205</v>
      </c>
      <c r="J1813" s="7" t="n">
        <v>0</v>
      </c>
      <c r="K1813" s="7" t="s">
        <v>112</v>
      </c>
      <c r="L1813" s="7" t="s">
        <v>194</v>
      </c>
      <c r="M1813" s="7" t="n">
        <v>49</v>
      </c>
      <c r="N1813" s="7" t="n">
        <v>4</v>
      </c>
      <c r="O1813" s="7" t="str">
        <f aca="false">A1813&amp;"|"&amp;B1813&amp;"|"&amp;C1813&amp;"|"&amp;D1813&amp;"|"&amp;E1813&amp;"|"&amp;F1813&amp;"|"&amp;G1813&amp;"|"&amp;H1813&amp;"|"&amp;I1813&amp;"|"&amp;J1813&amp;"|"&amp;K1813&amp;"|"&amp;L1813&amp;"|"&amp;M1813&amp;"|"&amp;N1813</f>
        <v>ORD11672|2025-08-06|19:30|C0098|wok &amp; roll|Bengaluru|Chinese|1|205|0|Cash on Delivery|Delivered|49|4</v>
      </c>
      <c r="P1813" s="7" t="str">
        <f aca="false">IF(COUNTIF($O$2:O1813,O1813)&gt;1,"DUP","OK")</f>
        <v>OK</v>
      </c>
      <c r="Q1813" s="7" t="n">
        <f aca="false">COUNTBLANK(A1813:N1813)</f>
        <v>0</v>
      </c>
      <c r="R1813" s="7" t="n">
        <f aca="false">IF(A1813="",0,COUNTIFS($A$2:$A$3058,A1813,$P$2:$P$3058,"OK"))</f>
        <v>1</v>
      </c>
      <c r="S1813" s="7" t="str">
        <f aca="false">IF(OR(A1813="",P1813="DUP",R1813&lt;2),"",IF(Q1813=_xlfn.MINIFS($Q$2:$Q$3058,$A$2:$A$3058,A1813,$P$2:$P$3058,"OK"),"KEEP","DROP"))</f>
        <v/>
      </c>
      <c r="T1813" s="9" t="n">
        <f aca="false">IF(A1813="",1,0)</f>
        <v>0</v>
      </c>
      <c r="U1813" s="9" t="n">
        <f aca="false">IF(D1813="",1,0)</f>
        <v>0</v>
      </c>
      <c r="V1813" s="9" t="n">
        <f aca="false">IF(E1813="",1,0)</f>
        <v>0</v>
      </c>
      <c r="W1813" s="9" t="n">
        <f aca="false">IF(OR(H1813&lt;1,H1813&gt;10),1,0)</f>
        <v>0</v>
      </c>
      <c r="X1813" s="9" t="n">
        <f aca="false">IF(OR(I1813&lt;=0,I1813&gt;1500),1,0)</f>
        <v>0</v>
      </c>
      <c r="Y1813" s="9" t="n">
        <f aca="false">IF(J1813&gt;H1813*I1813,1,0)</f>
        <v>0</v>
      </c>
      <c r="Z1813" s="9" t="n">
        <f aca="false">IF(AND(N1813&lt;&gt;"",OR(N1813&lt;1,N1813&gt;5)),1,0)</f>
        <v>0</v>
      </c>
      <c r="AA1813" s="9" t="n">
        <f aca="false">IF(AND(M1813&lt;&gt;"",OR(M1813&lt;5,M1813&gt;180)),1,0)</f>
        <v>0</v>
      </c>
      <c r="AB1813" s="7" t="str">
        <f aca="false">IF(P1813="DUP","Exact duplicate row",IF(T1813=1,"Missing Order ID",IF(S1813="DROP","Duplicate Order ID (less complete row)",IF(U1813=1,"Missing Customer ID",IF(V1813=1,"Missing Restaurant name",IF(W1813=1,"Invalid/outlier quantity",IF(X1813=1,"Invalid/outlier unit price",IF(Y1813=1,"Discount greater than order value",""))))))))</f>
        <v/>
      </c>
      <c r="AC1813" s="7" t="str">
        <f aca="false">IF(AB1813="","KEEP","DROP")</f>
        <v>KEEP</v>
      </c>
      <c r="AD1813" s="7" t="str">
        <f aca="false">IF(TRIM(F1813)="",IFERROR(INDEX(Map_Tables!$I$4:$I$37,MATCH(TRIM(E1813),Map_Tables!$G$4:$G$37,0)),""),IFERROR(INDEX(Map_Tables!$B$4:$B$18,MATCH(TRIM(F1813),Map_Tables!$A$4:$A$18,0)),"CHECK"))</f>
        <v>Bengaluru</v>
      </c>
      <c r="AE1813" s="7" t="str">
        <f aca="false">IF(TRIM(E1813)="","",IFERROR(INDEX(Map_Tables!$H$4:$H$37,MATCH(TRIM(E1813),Map_Tables!$G$4:$G$37,0)),"CHECK"))</f>
        <v>Wok &amp; Roll</v>
      </c>
      <c r="AF1813" s="7" t="str">
        <f aca="false">IF(TRIM(K1813)="","Unknown",IFERROR(INDEX(Map_Tables!$E$4:$E$15,MATCH(TRIM(K1813),Map_Tables!$D$4:$D$15,0)),"CHECK"))</f>
        <v>Cash on Delivery</v>
      </c>
      <c r="AG1813" s="7" t="str">
        <f aca="false">IF(LEFT(LOWER(TRIM(L1813)),6)="cancel","Cancelled","Delivered")</f>
        <v>Delivered</v>
      </c>
      <c r="AH1813" s="10" t="n">
        <f aca="false">IF(ISNUMBER(SEARCH("/",B1813)),DATE(VALUE(RIGHT(B1813,4)),VALUE(MID(B1813,4,2)),VALUE(LEFT(B1813,2))),IF(MID(B1813,5,1)="-",DATE(VALUE(LEFT(B1813,4)),VALUE(MID(B1813,6,2)),VALUE(RIGHT(B1813,2))),DATE(VALUE(RIGHT(B1813,4)),MATCH(MID(B1813,4,3),{"Jan","Feb","Mar","Apr","May","Jun","Jul","Aug","Sep","Oct","Nov","Dec"},0),VALUE(LEFT(B1813,2)))))</f>
        <v>45875</v>
      </c>
    </row>
    <row r="1814" customFormat="false" ht="15" hidden="false" customHeight="false" outlineLevel="0" collapsed="false">
      <c r="A1814" s="7" t="s">
        <v>4459</v>
      </c>
      <c r="B1814" s="7" t="s">
        <v>1368</v>
      </c>
      <c r="C1814" s="7" t="s">
        <v>2083</v>
      </c>
      <c r="D1814" s="7" t="s">
        <v>2887</v>
      </c>
      <c r="E1814" s="7" t="s">
        <v>160</v>
      </c>
      <c r="F1814" s="7" t="s">
        <v>136</v>
      </c>
      <c r="G1814" s="7" t="s">
        <v>150</v>
      </c>
      <c r="H1814" s="7" t="n">
        <v>3</v>
      </c>
      <c r="I1814" s="7" t="n">
        <v>180</v>
      </c>
      <c r="J1814" s="7" t="n">
        <v>0</v>
      </c>
      <c r="K1814" s="7" t="s">
        <v>88</v>
      </c>
      <c r="L1814" s="7" t="s">
        <v>194</v>
      </c>
      <c r="M1814" s="7" t="n">
        <v>40</v>
      </c>
      <c r="N1814" s="7" t="n">
        <v>5</v>
      </c>
      <c r="O1814" s="7" t="str">
        <f aca="false">A1814&amp;"|"&amp;B1814&amp;"|"&amp;C1814&amp;"|"&amp;D1814&amp;"|"&amp;E1814&amp;"|"&amp;F1814&amp;"|"&amp;G1814&amp;"|"&amp;H1814&amp;"|"&amp;I1814&amp;"|"&amp;J1814&amp;"|"&amp;K1814&amp;"|"&amp;L1814&amp;"|"&amp;M1814&amp;"|"&amp;N1814</f>
        <v>ORD11701|2025-08-11|21:13|C1210|Cake Walk|Pune|Desserts|3|180|0|UPI|Delivered|40|5</v>
      </c>
      <c r="P1814" s="7" t="str">
        <f aca="false">IF(COUNTIF($O$2:O1814,O1814)&gt;1,"DUP","OK")</f>
        <v>OK</v>
      </c>
      <c r="Q1814" s="7" t="n">
        <f aca="false">COUNTBLANK(A1814:N1814)</f>
        <v>0</v>
      </c>
      <c r="R1814" s="7" t="n">
        <f aca="false">IF(A1814="",0,COUNTIFS($A$2:$A$3058,A1814,$P$2:$P$3058,"OK"))</f>
        <v>1</v>
      </c>
      <c r="S1814" s="7" t="str">
        <f aca="false">IF(OR(A1814="",P1814="DUP",R1814&lt;2),"",IF(Q1814=_xlfn.MINIFS($Q$2:$Q$3058,$A$2:$A$3058,A1814,$P$2:$P$3058,"OK"),"KEEP","DROP"))</f>
        <v/>
      </c>
      <c r="T1814" s="9" t="n">
        <f aca="false">IF(A1814="",1,0)</f>
        <v>0</v>
      </c>
      <c r="U1814" s="9" t="n">
        <f aca="false">IF(D1814="",1,0)</f>
        <v>0</v>
      </c>
      <c r="V1814" s="9" t="n">
        <f aca="false">IF(E1814="",1,0)</f>
        <v>0</v>
      </c>
      <c r="W1814" s="9" t="n">
        <f aca="false">IF(OR(H1814&lt;1,H1814&gt;10),1,0)</f>
        <v>0</v>
      </c>
      <c r="X1814" s="9" t="n">
        <f aca="false">IF(OR(I1814&lt;=0,I1814&gt;1500),1,0)</f>
        <v>0</v>
      </c>
      <c r="Y1814" s="9" t="n">
        <f aca="false">IF(J1814&gt;H1814*I1814,1,0)</f>
        <v>0</v>
      </c>
      <c r="Z1814" s="9" t="n">
        <f aca="false">IF(AND(N1814&lt;&gt;"",OR(N1814&lt;1,N1814&gt;5)),1,0)</f>
        <v>0</v>
      </c>
      <c r="AA1814" s="9" t="n">
        <f aca="false">IF(AND(M1814&lt;&gt;"",OR(M1814&lt;5,M1814&gt;180)),1,0)</f>
        <v>0</v>
      </c>
      <c r="AB1814" s="7" t="str">
        <f aca="false">IF(P1814="DUP","Exact duplicate row",IF(T1814=1,"Missing Order ID",IF(S1814="DROP","Duplicate Order ID (less complete row)",IF(U1814=1,"Missing Customer ID",IF(V1814=1,"Missing Restaurant name",IF(W1814=1,"Invalid/outlier quantity",IF(X1814=1,"Invalid/outlier unit price",IF(Y1814=1,"Discount greater than order value",""))))))))</f>
        <v/>
      </c>
      <c r="AC1814" s="7" t="str">
        <f aca="false">IF(AB1814="","KEEP","DROP")</f>
        <v>KEEP</v>
      </c>
      <c r="AD1814" s="7" t="str">
        <f aca="false">IF(TRIM(F1814)="",IFERROR(INDEX(Map_Tables!$I$4:$I$37,MATCH(TRIM(E1814),Map_Tables!$G$4:$G$37,0)),""),IFERROR(INDEX(Map_Tables!$B$4:$B$18,MATCH(TRIM(F1814),Map_Tables!$A$4:$A$18,0)),"CHECK"))</f>
        <v>Pune</v>
      </c>
      <c r="AE1814" s="7" t="str">
        <f aca="false">IF(TRIM(E1814)="","",IFERROR(INDEX(Map_Tables!$H$4:$H$37,MATCH(TRIM(E1814),Map_Tables!$G$4:$G$37,0)),"CHECK"))</f>
        <v>Cake Walk</v>
      </c>
      <c r="AF1814" s="7" t="str">
        <f aca="false">IF(TRIM(K1814)="","Unknown",IFERROR(INDEX(Map_Tables!$E$4:$E$15,MATCH(TRIM(K1814),Map_Tables!$D$4:$D$15,0)),"CHECK"))</f>
        <v>UPI</v>
      </c>
      <c r="AG1814" s="7" t="str">
        <f aca="false">IF(LEFT(LOWER(TRIM(L1814)),6)="cancel","Cancelled","Delivered")</f>
        <v>Delivered</v>
      </c>
      <c r="AH1814" s="10" t="n">
        <f aca="false">IF(ISNUMBER(SEARCH("/",B1814)),DATE(VALUE(RIGHT(B1814,4)),VALUE(MID(B1814,4,2)),VALUE(LEFT(B1814,2))),IF(MID(B1814,5,1)="-",DATE(VALUE(LEFT(B1814,4)),VALUE(MID(B1814,6,2)),VALUE(RIGHT(B1814,2))),DATE(VALUE(RIGHT(B1814,4)),MATCH(MID(B1814,4,3),{"Jan","Feb","Mar","Apr","May","Jun","Jul","Aug","Sep","Oct","Nov","Dec"},0),VALUE(LEFT(B1814,2)))))</f>
        <v>45880</v>
      </c>
    </row>
    <row r="1815" customFormat="false" ht="15" hidden="false" customHeight="false" outlineLevel="0" collapsed="false">
      <c r="A1815" s="7" t="s">
        <v>4460</v>
      </c>
      <c r="B1815" s="7" t="s">
        <v>1835</v>
      </c>
      <c r="C1815" s="7" t="s">
        <v>4461</v>
      </c>
      <c r="D1815" s="7" t="s">
        <v>4237</v>
      </c>
      <c r="E1815" s="7" t="s">
        <v>147</v>
      </c>
      <c r="F1815" s="7" t="s">
        <v>2488</v>
      </c>
      <c r="G1815" s="7" t="s">
        <v>95</v>
      </c>
      <c r="H1815" s="7" t="n">
        <v>2</v>
      </c>
      <c r="I1815" s="7" t="n">
        <v>145</v>
      </c>
      <c r="J1815" s="7" t="n">
        <v>0</v>
      </c>
      <c r="K1815" s="7" t="s">
        <v>112</v>
      </c>
      <c r="L1815" s="7" t="s">
        <v>194</v>
      </c>
      <c r="M1815" s="7" t="n">
        <v>36</v>
      </c>
      <c r="N1815" s="7" t="n">
        <v>5</v>
      </c>
      <c r="O1815" s="7" t="str">
        <f aca="false">A1815&amp;"|"&amp;B1815&amp;"|"&amp;C1815&amp;"|"&amp;D1815&amp;"|"&amp;E1815&amp;"|"&amp;F1815&amp;"|"&amp;G1815&amp;"|"&amp;H1815&amp;"|"&amp;I1815&amp;"|"&amp;J1815&amp;"|"&amp;K1815&amp;"|"&amp;L1815&amp;"|"&amp;M1815&amp;"|"&amp;N1815</f>
        <v>ORD12286|2025-10-16|14:29|C0683|Andhra Meals Mess|HYDERABAD|South Indian|2|145|0|Cash on Delivery|Delivered|36|5</v>
      </c>
      <c r="P1815" s="7" t="str">
        <f aca="false">IF(COUNTIF($O$2:O1815,O1815)&gt;1,"DUP","OK")</f>
        <v>OK</v>
      </c>
      <c r="Q1815" s="7" t="n">
        <f aca="false">COUNTBLANK(A1815:N1815)</f>
        <v>0</v>
      </c>
      <c r="R1815" s="7" t="n">
        <f aca="false">IF(A1815="",0,COUNTIFS($A$2:$A$3058,A1815,$P$2:$P$3058,"OK"))</f>
        <v>1</v>
      </c>
      <c r="S1815" s="7" t="str">
        <f aca="false">IF(OR(A1815="",P1815="DUP",R1815&lt;2),"",IF(Q1815=_xlfn.MINIFS($Q$2:$Q$3058,$A$2:$A$3058,A1815,$P$2:$P$3058,"OK"),"KEEP","DROP"))</f>
        <v/>
      </c>
      <c r="T1815" s="9" t="n">
        <f aca="false">IF(A1815="",1,0)</f>
        <v>0</v>
      </c>
      <c r="U1815" s="9" t="n">
        <f aca="false">IF(D1815="",1,0)</f>
        <v>0</v>
      </c>
      <c r="V1815" s="9" t="n">
        <f aca="false">IF(E1815="",1,0)</f>
        <v>0</v>
      </c>
      <c r="W1815" s="9" t="n">
        <f aca="false">IF(OR(H1815&lt;1,H1815&gt;10),1,0)</f>
        <v>0</v>
      </c>
      <c r="X1815" s="9" t="n">
        <f aca="false">IF(OR(I1815&lt;=0,I1815&gt;1500),1,0)</f>
        <v>0</v>
      </c>
      <c r="Y1815" s="9" t="n">
        <f aca="false">IF(J1815&gt;H1815*I1815,1,0)</f>
        <v>0</v>
      </c>
      <c r="Z1815" s="9" t="n">
        <f aca="false">IF(AND(N1815&lt;&gt;"",OR(N1815&lt;1,N1815&gt;5)),1,0)</f>
        <v>0</v>
      </c>
      <c r="AA1815" s="9" t="n">
        <f aca="false">IF(AND(M1815&lt;&gt;"",OR(M1815&lt;5,M1815&gt;180)),1,0)</f>
        <v>0</v>
      </c>
      <c r="AB1815" s="7" t="str">
        <f aca="false">IF(P1815="DUP","Exact duplicate row",IF(T1815=1,"Missing Order ID",IF(S1815="DROP","Duplicate Order ID (less complete row)",IF(U1815=1,"Missing Customer ID",IF(V1815=1,"Missing Restaurant name",IF(W1815=1,"Invalid/outlier quantity",IF(X1815=1,"Invalid/outlier unit price",IF(Y1815=1,"Discount greater than order value",""))))))))</f>
        <v/>
      </c>
      <c r="AC1815" s="7" t="str">
        <f aca="false">IF(AB1815="","KEEP","DROP")</f>
        <v>KEEP</v>
      </c>
      <c r="AD1815" s="7" t="str">
        <f aca="false">IF(TRIM(F1815)="",IFERROR(INDEX(Map_Tables!$I$4:$I$37,MATCH(TRIM(E1815),Map_Tables!$G$4:$G$37,0)),""),IFERROR(INDEX(Map_Tables!$B$4:$B$18,MATCH(TRIM(F1815),Map_Tables!$A$4:$A$18,0)),"CHECK"))</f>
        <v>Hyderabad</v>
      </c>
      <c r="AE1815" s="7" t="str">
        <f aca="false">IF(TRIM(E1815)="","",IFERROR(INDEX(Map_Tables!$H$4:$H$37,MATCH(TRIM(E1815),Map_Tables!$G$4:$G$37,0)),"CHECK"))</f>
        <v>Andhra Meals Mess</v>
      </c>
      <c r="AF1815" s="7" t="str">
        <f aca="false">IF(TRIM(K1815)="","Unknown",IFERROR(INDEX(Map_Tables!$E$4:$E$15,MATCH(TRIM(K1815),Map_Tables!$D$4:$D$15,0)),"CHECK"))</f>
        <v>Cash on Delivery</v>
      </c>
      <c r="AG1815" s="7" t="str">
        <f aca="false">IF(LEFT(LOWER(TRIM(L1815)),6)="cancel","Cancelled","Delivered")</f>
        <v>Delivered</v>
      </c>
      <c r="AH1815" s="10" t="n">
        <f aca="false">IF(ISNUMBER(SEARCH("/",B1815)),DATE(VALUE(RIGHT(B1815,4)),VALUE(MID(B1815,4,2)),VALUE(LEFT(B1815,2))),IF(MID(B1815,5,1)="-",DATE(VALUE(LEFT(B1815,4)),VALUE(MID(B1815,6,2)),VALUE(RIGHT(B1815,2))),DATE(VALUE(RIGHT(B1815,4)),MATCH(MID(B1815,4,3),{"Jan","Feb","Mar","Apr","May","Jun","Jul","Aug","Sep","Oct","Nov","Dec"},0),VALUE(LEFT(B1815,2)))))</f>
        <v>45946</v>
      </c>
    </row>
    <row r="1816" customFormat="false" ht="15" hidden="false" customHeight="false" outlineLevel="0" collapsed="false">
      <c r="A1816" s="7" t="s">
        <v>4462</v>
      </c>
      <c r="B1816" s="7" t="s">
        <v>1389</v>
      </c>
      <c r="C1816" s="7" t="s">
        <v>1864</v>
      </c>
      <c r="D1816" s="7" t="s">
        <v>1981</v>
      </c>
      <c r="E1816" s="7" t="s">
        <v>160</v>
      </c>
      <c r="F1816" s="7" t="s">
        <v>303</v>
      </c>
      <c r="G1816" s="7" t="s">
        <v>150</v>
      </c>
      <c r="H1816" s="7" t="n">
        <v>1</v>
      </c>
      <c r="I1816" s="7" t="n">
        <v>145</v>
      </c>
      <c r="J1816" s="7" t="n">
        <v>0</v>
      </c>
      <c r="K1816" s="7" t="s">
        <v>88</v>
      </c>
      <c r="L1816" s="7" t="s">
        <v>238</v>
      </c>
      <c r="M1816" s="7"/>
      <c r="N1816" s="7"/>
      <c r="O1816" s="7" t="str">
        <f aca="false">A1816&amp;"|"&amp;B1816&amp;"|"&amp;C1816&amp;"|"&amp;D1816&amp;"|"&amp;E1816&amp;"|"&amp;F1816&amp;"|"&amp;G1816&amp;"|"&amp;H1816&amp;"|"&amp;I1816&amp;"|"&amp;J1816&amp;"|"&amp;K1816&amp;"|"&amp;L1816&amp;"|"&amp;M1816&amp;"|"&amp;N1816</f>
        <v>ORD11201|2025-06-01|18:49|C0607|Cake Walk|PUNE|Desserts|1|145|0|UPI|Cancelled||</v>
      </c>
      <c r="P1816" s="7" t="str">
        <f aca="false">IF(COUNTIF($O$2:O1816,O1816)&gt;1,"DUP","OK")</f>
        <v>OK</v>
      </c>
      <c r="Q1816" s="7" t="n">
        <f aca="false">COUNTBLANK(A1816:N1816)</f>
        <v>2</v>
      </c>
      <c r="R1816" s="7" t="n">
        <f aca="false">IF(A1816="",0,COUNTIFS($A$2:$A$3058,A1816,$P$2:$P$3058,"OK"))</f>
        <v>1</v>
      </c>
      <c r="S1816" s="7" t="str">
        <f aca="false">IF(OR(A1816="",P1816="DUP",R1816&lt;2),"",IF(Q1816=_xlfn.MINIFS($Q$2:$Q$3058,$A$2:$A$3058,A1816,$P$2:$P$3058,"OK"),"KEEP","DROP"))</f>
        <v/>
      </c>
      <c r="T1816" s="9" t="n">
        <f aca="false">IF(A1816="",1,0)</f>
        <v>0</v>
      </c>
      <c r="U1816" s="9" t="n">
        <f aca="false">IF(D1816="",1,0)</f>
        <v>0</v>
      </c>
      <c r="V1816" s="9" t="n">
        <f aca="false">IF(E1816="",1,0)</f>
        <v>0</v>
      </c>
      <c r="W1816" s="9" t="n">
        <f aca="false">IF(OR(H1816&lt;1,H1816&gt;10),1,0)</f>
        <v>0</v>
      </c>
      <c r="X1816" s="9" t="n">
        <f aca="false">IF(OR(I1816&lt;=0,I1816&gt;1500),1,0)</f>
        <v>0</v>
      </c>
      <c r="Y1816" s="9" t="n">
        <f aca="false">IF(J1816&gt;H1816*I1816,1,0)</f>
        <v>0</v>
      </c>
      <c r="Z1816" s="9" t="n">
        <f aca="false">IF(AND(N1816&lt;&gt;"",OR(N1816&lt;1,N1816&gt;5)),1,0)</f>
        <v>0</v>
      </c>
      <c r="AA1816" s="9" t="n">
        <f aca="false">IF(AND(M1816&lt;&gt;"",OR(M1816&lt;5,M1816&gt;180)),1,0)</f>
        <v>0</v>
      </c>
      <c r="AB1816" s="7" t="str">
        <f aca="false">IF(P1816="DUP","Exact duplicate row",IF(T1816=1,"Missing Order ID",IF(S1816="DROP","Duplicate Order ID (less complete row)",IF(U1816=1,"Missing Customer ID",IF(V1816=1,"Missing Restaurant name",IF(W1816=1,"Invalid/outlier quantity",IF(X1816=1,"Invalid/outlier unit price",IF(Y1816=1,"Discount greater than order value",""))))))))</f>
        <v/>
      </c>
      <c r="AC1816" s="7" t="str">
        <f aca="false">IF(AB1816="","KEEP","DROP")</f>
        <v>KEEP</v>
      </c>
      <c r="AD1816" s="7" t="str">
        <f aca="false">IF(TRIM(F1816)="",IFERROR(INDEX(Map_Tables!$I$4:$I$37,MATCH(TRIM(E1816),Map_Tables!$G$4:$G$37,0)),""),IFERROR(INDEX(Map_Tables!$B$4:$B$18,MATCH(TRIM(F1816),Map_Tables!$A$4:$A$18,0)),"CHECK"))</f>
        <v>Pune</v>
      </c>
      <c r="AE1816" s="7" t="str">
        <f aca="false">IF(TRIM(E1816)="","",IFERROR(INDEX(Map_Tables!$H$4:$H$37,MATCH(TRIM(E1816),Map_Tables!$G$4:$G$37,0)),"CHECK"))</f>
        <v>Cake Walk</v>
      </c>
      <c r="AF1816" s="7" t="str">
        <f aca="false">IF(TRIM(K1816)="","Unknown",IFERROR(INDEX(Map_Tables!$E$4:$E$15,MATCH(TRIM(K1816),Map_Tables!$D$4:$D$15,0)),"CHECK"))</f>
        <v>UPI</v>
      </c>
      <c r="AG1816" s="7" t="str">
        <f aca="false">IF(LEFT(LOWER(TRIM(L1816)),6)="cancel","Cancelled","Delivered")</f>
        <v>Cancelled</v>
      </c>
      <c r="AH1816" s="10" t="n">
        <f aca="false">IF(ISNUMBER(SEARCH("/",B1816)),DATE(VALUE(RIGHT(B1816,4)),VALUE(MID(B1816,4,2)),VALUE(LEFT(B1816,2))),IF(MID(B1816,5,1)="-",DATE(VALUE(LEFT(B1816,4)),VALUE(MID(B1816,6,2)),VALUE(RIGHT(B1816,2))),DATE(VALUE(RIGHT(B1816,4)),MATCH(MID(B1816,4,3),{"Jan","Feb","Mar","Apr","May","Jun","Jul","Aug","Sep","Oct","Nov","Dec"},0),VALUE(LEFT(B1816,2)))))</f>
        <v>45809</v>
      </c>
    </row>
    <row r="1817" customFormat="false" ht="15" hidden="false" customHeight="false" outlineLevel="0" collapsed="false">
      <c r="A1817" s="7" t="s">
        <v>4463</v>
      </c>
      <c r="B1817" s="7" t="s">
        <v>231</v>
      </c>
      <c r="C1817" s="7" t="s">
        <v>979</v>
      </c>
      <c r="D1817" s="7" t="s">
        <v>4464</v>
      </c>
      <c r="E1817" s="7" t="s">
        <v>152</v>
      </c>
      <c r="F1817" s="7" t="s">
        <v>128</v>
      </c>
      <c r="G1817" s="7" t="s">
        <v>95</v>
      </c>
      <c r="H1817" s="7" t="n">
        <v>-1</v>
      </c>
      <c r="I1817" s="7" t="n">
        <v>110</v>
      </c>
      <c r="J1817" s="7" t="n">
        <v>0</v>
      </c>
      <c r="K1817" s="7" t="s">
        <v>88</v>
      </c>
      <c r="L1817" s="7" t="s">
        <v>194</v>
      </c>
      <c r="M1817" s="7" t="n">
        <v>33</v>
      </c>
      <c r="N1817" s="7" t="n">
        <v>5</v>
      </c>
      <c r="O1817" s="7" t="str">
        <f aca="false">A1817&amp;"|"&amp;B1817&amp;"|"&amp;C1817&amp;"|"&amp;D1817&amp;"|"&amp;E1817&amp;"|"&amp;F1817&amp;"|"&amp;G1817&amp;"|"&amp;H1817&amp;"|"&amp;I1817&amp;"|"&amp;J1817&amp;"|"&amp;K1817&amp;"|"&amp;L1817&amp;"|"&amp;M1817&amp;"|"&amp;N1817</f>
        <v>ORD12717|2025-11-30|17:14|C1232|Filter Coffee &amp; Tiffin|Chennai|South Indian|-1|110|0|UPI|Delivered|33|5</v>
      </c>
      <c r="P1817" s="7" t="str">
        <f aca="false">IF(COUNTIF($O$2:O1817,O1817)&gt;1,"DUP","OK")</f>
        <v>OK</v>
      </c>
      <c r="Q1817" s="7" t="n">
        <f aca="false">COUNTBLANK(A1817:N1817)</f>
        <v>0</v>
      </c>
      <c r="R1817" s="7" t="n">
        <f aca="false">IF(A1817="",0,COUNTIFS($A$2:$A$3058,A1817,$P$2:$P$3058,"OK"))</f>
        <v>1</v>
      </c>
      <c r="S1817" s="7" t="str">
        <f aca="false">IF(OR(A1817="",P1817="DUP",R1817&lt;2),"",IF(Q1817=_xlfn.MINIFS($Q$2:$Q$3058,$A$2:$A$3058,A1817,$P$2:$P$3058,"OK"),"KEEP","DROP"))</f>
        <v/>
      </c>
      <c r="T1817" s="9" t="n">
        <f aca="false">IF(A1817="",1,0)</f>
        <v>0</v>
      </c>
      <c r="U1817" s="9" t="n">
        <f aca="false">IF(D1817="",1,0)</f>
        <v>0</v>
      </c>
      <c r="V1817" s="9" t="n">
        <f aca="false">IF(E1817="",1,0)</f>
        <v>0</v>
      </c>
      <c r="W1817" s="9" t="n">
        <f aca="false">IF(OR(H1817&lt;1,H1817&gt;10),1,0)</f>
        <v>1</v>
      </c>
      <c r="X1817" s="9" t="n">
        <f aca="false">IF(OR(I1817&lt;=0,I1817&gt;1500),1,0)</f>
        <v>0</v>
      </c>
      <c r="Y1817" s="9" t="n">
        <f aca="false">IF(J1817&gt;H1817*I1817,1,0)</f>
        <v>1</v>
      </c>
      <c r="Z1817" s="9" t="n">
        <f aca="false">IF(AND(N1817&lt;&gt;"",OR(N1817&lt;1,N1817&gt;5)),1,0)</f>
        <v>0</v>
      </c>
      <c r="AA1817" s="9" t="n">
        <f aca="false">IF(AND(M1817&lt;&gt;"",OR(M1817&lt;5,M1817&gt;180)),1,0)</f>
        <v>0</v>
      </c>
      <c r="AB1817" s="7" t="str">
        <f aca="false">IF(P1817="DUP","Exact duplicate row",IF(T1817=1,"Missing Order ID",IF(S1817="DROP","Duplicate Order ID (less complete row)",IF(U1817=1,"Missing Customer ID",IF(V1817=1,"Missing Restaurant name",IF(W1817=1,"Invalid/outlier quantity",IF(X1817=1,"Invalid/outlier unit price",IF(Y1817=1,"Discount greater than order value",""))))))))</f>
        <v>Invalid/outlier quantity</v>
      </c>
      <c r="AC1817" s="7" t="str">
        <f aca="false">IF(AB1817="","KEEP","DROP")</f>
        <v>DROP</v>
      </c>
      <c r="AD1817" s="7" t="str">
        <f aca="false">IF(TRIM(F1817)="",IFERROR(INDEX(Map_Tables!$I$4:$I$37,MATCH(TRIM(E1817),Map_Tables!$G$4:$G$37,0)),""),IFERROR(INDEX(Map_Tables!$B$4:$B$18,MATCH(TRIM(F1817),Map_Tables!$A$4:$A$18,0)),"CHECK"))</f>
        <v>Chennai</v>
      </c>
      <c r="AE1817" s="7" t="str">
        <f aca="false">IF(TRIM(E1817)="","",IFERROR(INDEX(Map_Tables!$H$4:$H$37,MATCH(TRIM(E1817),Map_Tables!$G$4:$G$37,0)),"CHECK"))</f>
        <v>Filter Coffee &amp; Tiffin</v>
      </c>
      <c r="AF1817" s="7" t="str">
        <f aca="false">IF(TRIM(K1817)="","Unknown",IFERROR(INDEX(Map_Tables!$E$4:$E$15,MATCH(TRIM(K1817),Map_Tables!$D$4:$D$15,0)),"CHECK"))</f>
        <v>UPI</v>
      </c>
      <c r="AG1817" s="7" t="str">
        <f aca="false">IF(LEFT(LOWER(TRIM(L1817)),6)="cancel","Cancelled","Delivered")</f>
        <v>Delivered</v>
      </c>
      <c r="AH1817" s="10" t="n">
        <f aca="false">IF(ISNUMBER(SEARCH("/",B1817)),DATE(VALUE(RIGHT(B1817,4)),VALUE(MID(B1817,4,2)),VALUE(LEFT(B1817,2))),IF(MID(B1817,5,1)="-",DATE(VALUE(LEFT(B1817,4)),VALUE(MID(B1817,6,2)),VALUE(RIGHT(B1817,2))),DATE(VALUE(RIGHT(B1817,4)),MATCH(MID(B1817,4,3),{"Jan","Feb","Mar","Apr","May","Jun","Jul","Aug","Sep","Oct","Nov","Dec"},0),VALUE(LEFT(B1817,2)))))</f>
        <v>45991</v>
      </c>
    </row>
    <row r="1818" customFormat="false" ht="15" hidden="false" customHeight="false" outlineLevel="0" collapsed="false">
      <c r="A1818" s="7" t="s">
        <v>4465</v>
      </c>
      <c r="B1818" s="7" t="s">
        <v>4466</v>
      </c>
      <c r="C1818" s="7" t="s">
        <v>720</v>
      </c>
      <c r="D1818" s="7" t="s">
        <v>1232</v>
      </c>
      <c r="E1818" s="7" t="s">
        <v>94</v>
      </c>
      <c r="F1818" s="7" t="s">
        <v>86</v>
      </c>
      <c r="G1818" s="7" t="s">
        <v>95</v>
      </c>
      <c r="H1818" s="7" t="n">
        <v>1</v>
      </c>
      <c r="I1818" s="7" t="n">
        <v>120</v>
      </c>
      <c r="J1818" s="7" t="n">
        <v>0</v>
      </c>
      <c r="K1818" s="7" t="s">
        <v>133</v>
      </c>
      <c r="L1818" s="7" t="s">
        <v>194</v>
      </c>
      <c r="M1818" s="7" t="n">
        <v>43</v>
      </c>
      <c r="N1818" s="7" t="n">
        <v>3</v>
      </c>
      <c r="O1818" s="7" t="str">
        <f aca="false">A1818&amp;"|"&amp;B1818&amp;"|"&amp;C1818&amp;"|"&amp;D1818&amp;"|"&amp;E1818&amp;"|"&amp;F1818&amp;"|"&amp;G1818&amp;"|"&amp;H1818&amp;"|"&amp;I1818&amp;"|"&amp;J1818&amp;"|"&amp;K1818&amp;"|"&amp;L1818&amp;"|"&amp;M1818&amp;"|"&amp;N1818</f>
        <v>ORD10664|26/03/2025|12:26|C0512|Dosa Darbar|Bengaluru|South Indian|1|120|0|Net Banking|Delivered|43|3</v>
      </c>
      <c r="P1818" s="7" t="str">
        <f aca="false">IF(COUNTIF($O$2:O1818,O1818)&gt;1,"DUP","OK")</f>
        <v>OK</v>
      </c>
      <c r="Q1818" s="7" t="n">
        <f aca="false">COUNTBLANK(A1818:N1818)</f>
        <v>0</v>
      </c>
      <c r="R1818" s="7" t="n">
        <f aca="false">IF(A1818="",0,COUNTIFS($A$2:$A$3058,A1818,$P$2:$P$3058,"OK"))</f>
        <v>1</v>
      </c>
      <c r="S1818" s="7" t="str">
        <f aca="false">IF(OR(A1818="",P1818="DUP",R1818&lt;2),"",IF(Q1818=_xlfn.MINIFS($Q$2:$Q$3058,$A$2:$A$3058,A1818,$P$2:$P$3058,"OK"),"KEEP","DROP"))</f>
        <v/>
      </c>
      <c r="T1818" s="9" t="n">
        <f aca="false">IF(A1818="",1,0)</f>
        <v>0</v>
      </c>
      <c r="U1818" s="9" t="n">
        <f aca="false">IF(D1818="",1,0)</f>
        <v>0</v>
      </c>
      <c r="V1818" s="9" t="n">
        <f aca="false">IF(E1818="",1,0)</f>
        <v>0</v>
      </c>
      <c r="W1818" s="9" t="n">
        <f aca="false">IF(OR(H1818&lt;1,H1818&gt;10),1,0)</f>
        <v>0</v>
      </c>
      <c r="X1818" s="9" t="n">
        <f aca="false">IF(OR(I1818&lt;=0,I1818&gt;1500),1,0)</f>
        <v>0</v>
      </c>
      <c r="Y1818" s="9" t="n">
        <f aca="false">IF(J1818&gt;H1818*I1818,1,0)</f>
        <v>0</v>
      </c>
      <c r="Z1818" s="9" t="n">
        <f aca="false">IF(AND(N1818&lt;&gt;"",OR(N1818&lt;1,N1818&gt;5)),1,0)</f>
        <v>0</v>
      </c>
      <c r="AA1818" s="9" t="n">
        <f aca="false">IF(AND(M1818&lt;&gt;"",OR(M1818&lt;5,M1818&gt;180)),1,0)</f>
        <v>0</v>
      </c>
      <c r="AB1818" s="7" t="str">
        <f aca="false">IF(P1818="DUP","Exact duplicate row",IF(T1818=1,"Missing Order ID",IF(S1818="DROP","Duplicate Order ID (less complete row)",IF(U1818=1,"Missing Customer ID",IF(V1818=1,"Missing Restaurant name",IF(W1818=1,"Invalid/outlier quantity",IF(X1818=1,"Invalid/outlier unit price",IF(Y1818=1,"Discount greater than order value",""))))))))</f>
        <v/>
      </c>
      <c r="AC1818" s="7" t="str">
        <f aca="false">IF(AB1818="","KEEP","DROP")</f>
        <v>KEEP</v>
      </c>
      <c r="AD1818" s="7" t="str">
        <f aca="false">IF(TRIM(F1818)="",IFERROR(INDEX(Map_Tables!$I$4:$I$37,MATCH(TRIM(E1818),Map_Tables!$G$4:$G$37,0)),""),IFERROR(INDEX(Map_Tables!$B$4:$B$18,MATCH(TRIM(F1818),Map_Tables!$A$4:$A$18,0)),"CHECK"))</f>
        <v>Bengaluru</v>
      </c>
      <c r="AE1818" s="7" t="str">
        <f aca="false">IF(TRIM(E1818)="","",IFERROR(INDEX(Map_Tables!$H$4:$H$37,MATCH(TRIM(E1818),Map_Tables!$G$4:$G$37,0)),"CHECK"))</f>
        <v>Dosa Darbar</v>
      </c>
      <c r="AF1818" s="7" t="str">
        <f aca="false">IF(TRIM(K1818)="","Unknown",IFERROR(INDEX(Map_Tables!$E$4:$E$15,MATCH(TRIM(K1818),Map_Tables!$D$4:$D$15,0)),"CHECK"))</f>
        <v>Net Banking</v>
      </c>
      <c r="AG1818" s="7" t="str">
        <f aca="false">IF(LEFT(LOWER(TRIM(L1818)),6)="cancel","Cancelled","Delivered")</f>
        <v>Delivered</v>
      </c>
      <c r="AH1818" s="10" t="n">
        <f aca="false">IF(ISNUMBER(SEARCH("/",B1818)),DATE(VALUE(RIGHT(B1818,4)),VALUE(MID(B1818,4,2)),VALUE(LEFT(B1818,2))),IF(MID(B1818,5,1)="-",DATE(VALUE(LEFT(B1818,4)),VALUE(MID(B1818,6,2)),VALUE(RIGHT(B1818,2))),DATE(VALUE(RIGHT(B1818,4)),MATCH(MID(B1818,4,3),{"Jan","Feb","Mar","Apr","May","Jun","Jul","Aug","Sep","Oct","Nov","Dec"},0),VALUE(LEFT(B1818,2)))))</f>
        <v>45742</v>
      </c>
    </row>
    <row r="1819" customFormat="false" ht="15" hidden="false" customHeight="false" outlineLevel="0" collapsed="false">
      <c r="A1819" s="7" t="s">
        <v>4467</v>
      </c>
      <c r="B1819" s="7" t="s">
        <v>1324</v>
      </c>
      <c r="C1819" s="7" t="s">
        <v>686</v>
      </c>
      <c r="D1819" s="7" t="s">
        <v>1705</v>
      </c>
      <c r="E1819" s="7" t="s">
        <v>130</v>
      </c>
      <c r="F1819" s="7" t="s">
        <v>294</v>
      </c>
      <c r="G1819" s="7" t="s">
        <v>90</v>
      </c>
      <c r="H1819" s="7" t="n">
        <v>1</v>
      </c>
      <c r="I1819" s="7" t="n">
        <v>270</v>
      </c>
      <c r="J1819" s="7" t="n">
        <v>108</v>
      </c>
      <c r="K1819" s="7" t="s">
        <v>112</v>
      </c>
      <c r="L1819" s="7" t="s">
        <v>194</v>
      </c>
      <c r="M1819" s="7" t="n">
        <v>37</v>
      </c>
      <c r="N1819" s="7" t="n">
        <v>4</v>
      </c>
      <c r="O1819" s="7" t="str">
        <f aca="false">A1819&amp;"|"&amp;B1819&amp;"|"&amp;C1819&amp;"|"&amp;D1819&amp;"|"&amp;E1819&amp;"|"&amp;F1819&amp;"|"&amp;G1819&amp;"|"&amp;H1819&amp;"|"&amp;I1819&amp;"|"&amp;J1819&amp;"|"&amp;K1819&amp;"|"&amp;L1819&amp;"|"&amp;M1819&amp;"|"&amp;N1819</f>
        <v>ORD10775|2025-04-08|19:57|C1181|Tandoor Tales|New Delhi|North Indian|1|270|108|Cash on Delivery|Delivered|37|4</v>
      </c>
      <c r="P1819" s="7" t="str">
        <f aca="false">IF(COUNTIF($O$2:O1819,O1819)&gt;1,"DUP","OK")</f>
        <v>OK</v>
      </c>
      <c r="Q1819" s="7" t="n">
        <f aca="false">COUNTBLANK(A1819:N1819)</f>
        <v>0</v>
      </c>
      <c r="R1819" s="7" t="n">
        <f aca="false">IF(A1819="",0,COUNTIFS($A$2:$A$3058,A1819,$P$2:$P$3058,"OK"))</f>
        <v>1</v>
      </c>
      <c r="S1819" s="7" t="str">
        <f aca="false">IF(OR(A1819="",P1819="DUP",R1819&lt;2),"",IF(Q1819=_xlfn.MINIFS($Q$2:$Q$3058,$A$2:$A$3058,A1819,$P$2:$P$3058,"OK"),"KEEP","DROP"))</f>
        <v/>
      </c>
      <c r="T1819" s="9" t="n">
        <f aca="false">IF(A1819="",1,0)</f>
        <v>0</v>
      </c>
      <c r="U1819" s="9" t="n">
        <f aca="false">IF(D1819="",1,0)</f>
        <v>0</v>
      </c>
      <c r="V1819" s="9" t="n">
        <f aca="false">IF(E1819="",1,0)</f>
        <v>0</v>
      </c>
      <c r="W1819" s="9" t="n">
        <f aca="false">IF(OR(H1819&lt;1,H1819&gt;10),1,0)</f>
        <v>0</v>
      </c>
      <c r="X1819" s="9" t="n">
        <f aca="false">IF(OR(I1819&lt;=0,I1819&gt;1500),1,0)</f>
        <v>0</v>
      </c>
      <c r="Y1819" s="9" t="n">
        <f aca="false">IF(J1819&gt;H1819*I1819,1,0)</f>
        <v>0</v>
      </c>
      <c r="Z1819" s="9" t="n">
        <f aca="false">IF(AND(N1819&lt;&gt;"",OR(N1819&lt;1,N1819&gt;5)),1,0)</f>
        <v>0</v>
      </c>
      <c r="AA1819" s="9" t="n">
        <f aca="false">IF(AND(M1819&lt;&gt;"",OR(M1819&lt;5,M1819&gt;180)),1,0)</f>
        <v>0</v>
      </c>
      <c r="AB1819" s="7" t="str">
        <f aca="false">IF(P1819="DUP","Exact duplicate row",IF(T1819=1,"Missing Order ID",IF(S1819="DROP","Duplicate Order ID (less complete row)",IF(U1819=1,"Missing Customer ID",IF(V1819=1,"Missing Restaurant name",IF(W1819=1,"Invalid/outlier quantity",IF(X1819=1,"Invalid/outlier unit price",IF(Y1819=1,"Discount greater than order value",""))))))))</f>
        <v/>
      </c>
      <c r="AC1819" s="7" t="str">
        <f aca="false">IF(AB1819="","KEEP","DROP")</f>
        <v>KEEP</v>
      </c>
      <c r="AD1819" s="7" t="str">
        <f aca="false">IF(TRIM(F1819)="",IFERROR(INDEX(Map_Tables!$I$4:$I$37,MATCH(TRIM(E1819),Map_Tables!$G$4:$G$37,0)),""),IFERROR(INDEX(Map_Tables!$B$4:$B$18,MATCH(TRIM(F1819),Map_Tables!$A$4:$A$18,0)),"CHECK"))</f>
        <v>Delhi</v>
      </c>
      <c r="AE1819" s="7" t="str">
        <f aca="false">IF(TRIM(E1819)="","",IFERROR(INDEX(Map_Tables!$H$4:$H$37,MATCH(TRIM(E1819),Map_Tables!$G$4:$G$37,0)),"CHECK"))</f>
        <v>Tandoor Tales</v>
      </c>
      <c r="AF1819" s="7" t="str">
        <f aca="false">IF(TRIM(K1819)="","Unknown",IFERROR(INDEX(Map_Tables!$E$4:$E$15,MATCH(TRIM(K1819),Map_Tables!$D$4:$D$15,0)),"CHECK"))</f>
        <v>Cash on Delivery</v>
      </c>
      <c r="AG1819" s="7" t="str">
        <f aca="false">IF(LEFT(LOWER(TRIM(L1819)),6)="cancel","Cancelled","Delivered")</f>
        <v>Delivered</v>
      </c>
      <c r="AH1819" s="10" t="n">
        <f aca="false">IF(ISNUMBER(SEARCH("/",B1819)),DATE(VALUE(RIGHT(B1819,4)),VALUE(MID(B1819,4,2)),VALUE(LEFT(B1819,2))),IF(MID(B1819,5,1)="-",DATE(VALUE(LEFT(B1819,4)),VALUE(MID(B1819,6,2)),VALUE(RIGHT(B1819,2))),DATE(VALUE(RIGHT(B1819,4)),MATCH(MID(B1819,4,3),{"Jan","Feb","Mar","Apr","May","Jun","Jul","Aug","Sep","Oct","Nov","Dec"},0),VALUE(LEFT(B1819,2)))))</f>
        <v>45755</v>
      </c>
    </row>
    <row r="1820" customFormat="false" ht="15" hidden="false" customHeight="false" outlineLevel="0" collapsed="false">
      <c r="A1820" s="7" t="s">
        <v>4468</v>
      </c>
      <c r="B1820" s="7" t="s">
        <v>4469</v>
      </c>
      <c r="C1820" s="7" t="s">
        <v>889</v>
      </c>
      <c r="D1820" s="7" t="s">
        <v>2062</v>
      </c>
      <c r="E1820" s="7" t="s">
        <v>144</v>
      </c>
      <c r="F1820" s="7" t="s">
        <v>119</v>
      </c>
      <c r="G1820" s="7" t="s">
        <v>99</v>
      </c>
      <c r="H1820" s="7" t="n">
        <v>2</v>
      </c>
      <c r="I1820" s="7" t="n">
        <v>330</v>
      </c>
      <c r="J1820" s="7" t="n">
        <v>0</v>
      </c>
      <c r="K1820" s="7" t="s">
        <v>103</v>
      </c>
      <c r="L1820" s="7" t="s">
        <v>194</v>
      </c>
      <c r="M1820" s="7" t="n">
        <v>39</v>
      </c>
      <c r="N1820" s="7" t="n">
        <v>4</v>
      </c>
      <c r="O1820" s="7" t="str">
        <f aca="false">A1820&amp;"|"&amp;B1820&amp;"|"&amp;C1820&amp;"|"&amp;D1820&amp;"|"&amp;E1820&amp;"|"&amp;F1820&amp;"|"&amp;G1820&amp;"|"&amp;H1820&amp;"|"&amp;I1820&amp;"|"&amp;J1820&amp;"|"&amp;K1820&amp;"|"&amp;L1820&amp;"|"&amp;M1820&amp;"|"&amp;N1820</f>
        <v>ORD10574|14/03/2025|21:27|C1052|Hyderabad Dum Biryani|Hyderabad|Biryani|2|330|0|Debit Card|Delivered|39|4</v>
      </c>
      <c r="P1820" s="7" t="str">
        <f aca="false">IF(COUNTIF($O$2:O1820,O1820)&gt;1,"DUP","OK")</f>
        <v>OK</v>
      </c>
      <c r="Q1820" s="7" t="n">
        <f aca="false">COUNTBLANK(A1820:N1820)</f>
        <v>0</v>
      </c>
      <c r="R1820" s="7" t="n">
        <f aca="false">IF(A1820="",0,COUNTIFS($A$2:$A$3058,A1820,$P$2:$P$3058,"OK"))</f>
        <v>1</v>
      </c>
      <c r="S1820" s="7" t="str">
        <f aca="false">IF(OR(A1820="",P1820="DUP",R1820&lt;2),"",IF(Q1820=_xlfn.MINIFS($Q$2:$Q$3058,$A$2:$A$3058,A1820,$P$2:$P$3058,"OK"),"KEEP","DROP"))</f>
        <v/>
      </c>
      <c r="T1820" s="9" t="n">
        <f aca="false">IF(A1820="",1,0)</f>
        <v>0</v>
      </c>
      <c r="U1820" s="9" t="n">
        <f aca="false">IF(D1820="",1,0)</f>
        <v>0</v>
      </c>
      <c r="V1820" s="9" t="n">
        <f aca="false">IF(E1820="",1,0)</f>
        <v>0</v>
      </c>
      <c r="W1820" s="9" t="n">
        <f aca="false">IF(OR(H1820&lt;1,H1820&gt;10),1,0)</f>
        <v>0</v>
      </c>
      <c r="X1820" s="9" t="n">
        <f aca="false">IF(OR(I1820&lt;=0,I1820&gt;1500),1,0)</f>
        <v>0</v>
      </c>
      <c r="Y1820" s="9" t="n">
        <f aca="false">IF(J1820&gt;H1820*I1820,1,0)</f>
        <v>0</v>
      </c>
      <c r="Z1820" s="9" t="n">
        <f aca="false">IF(AND(N1820&lt;&gt;"",OR(N1820&lt;1,N1820&gt;5)),1,0)</f>
        <v>0</v>
      </c>
      <c r="AA1820" s="9" t="n">
        <f aca="false">IF(AND(M1820&lt;&gt;"",OR(M1820&lt;5,M1820&gt;180)),1,0)</f>
        <v>0</v>
      </c>
      <c r="AB1820" s="7" t="str">
        <f aca="false">IF(P1820="DUP","Exact duplicate row",IF(T1820=1,"Missing Order ID",IF(S1820="DROP","Duplicate Order ID (less complete row)",IF(U1820=1,"Missing Customer ID",IF(V1820=1,"Missing Restaurant name",IF(W1820=1,"Invalid/outlier quantity",IF(X1820=1,"Invalid/outlier unit price",IF(Y1820=1,"Discount greater than order value",""))))))))</f>
        <v/>
      </c>
      <c r="AC1820" s="7" t="str">
        <f aca="false">IF(AB1820="","KEEP","DROP")</f>
        <v>KEEP</v>
      </c>
      <c r="AD1820" s="7" t="str">
        <f aca="false">IF(TRIM(F1820)="",IFERROR(INDEX(Map_Tables!$I$4:$I$37,MATCH(TRIM(E1820),Map_Tables!$G$4:$G$37,0)),""),IFERROR(INDEX(Map_Tables!$B$4:$B$18,MATCH(TRIM(F1820),Map_Tables!$A$4:$A$18,0)),"CHECK"))</f>
        <v>Hyderabad</v>
      </c>
      <c r="AE1820" s="7" t="str">
        <f aca="false">IF(TRIM(E1820)="","",IFERROR(INDEX(Map_Tables!$H$4:$H$37,MATCH(TRIM(E1820),Map_Tables!$G$4:$G$37,0)),"CHECK"))</f>
        <v>Hyderabad Dum Biryani</v>
      </c>
      <c r="AF1820" s="7" t="str">
        <f aca="false">IF(TRIM(K1820)="","Unknown",IFERROR(INDEX(Map_Tables!$E$4:$E$15,MATCH(TRIM(K1820),Map_Tables!$D$4:$D$15,0)),"CHECK"))</f>
        <v>Debit Card</v>
      </c>
      <c r="AG1820" s="7" t="str">
        <f aca="false">IF(LEFT(LOWER(TRIM(L1820)),6)="cancel","Cancelled","Delivered")</f>
        <v>Delivered</v>
      </c>
      <c r="AH1820" s="10" t="n">
        <f aca="false">IF(ISNUMBER(SEARCH("/",B1820)),DATE(VALUE(RIGHT(B1820,4)),VALUE(MID(B1820,4,2)),VALUE(LEFT(B1820,2))),IF(MID(B1820,5,1)="-",DATE(VALUE(LEFT(B1820,4)),VALUE(MID(B1820,6,2)),VALUE(RIGHT(B1820,2))),DATE(VALUE(RIGHT(B1820,4)),MATCH(MID(B1820,4,3),{"Jan","Feb","Mar","Apr","May","Jun","Jul","Aug","Sep","Oct","Nov","Dec"},0),VALUE(LEFT(B1820,2)))))</f>
        <v>45730</v>
      </c>
    </row>
    <row r="1821" customFormat="false" ht="15" hidden="false" customHeight="false" outlineLevel="0" collapsed="false">
      <c r="A1821" s="7" t="s">
        <v>4470</v>
      </c>
      <c r="B1821" s="7" t="s">
        <v>4471</v>
      </c>
      <c r="C1821" s="7" t="s">
        <v>2033</v>
      </c>
      <c r="D1821" s="7" t="s">
        <v>4368</v>
      </c>
      <c r="E1821" s="7" t="s">
        <v>113</v>
      </c>
      <c r="F1821" s="7" t="s">
        <v>101</v>
      </c>
      <c r="G1821" s="7" t="s">
        <v>90</v>
      </c>
      <c r="H1821" s="7" t="n">
        <v>1</v>
      </c>
      <c r="I1821" s="7" t="n">
        <v>250</v>
      </c>
      <c r="J1821" s="7" t="n">
        <v>0</v>
      </c>
      <c r="K1821" s="7" t="s">
        <v>88</v>
      </c>
      <c r="L1821" s="7" t="s">
        <v>194</v>
      </c>
      <c r="M1821" s="7" t="n">
        <v>50</v>
      </c>
      <c r="N1821" s="7" t="n">
        <v>4</v>
      </c>
      <c r="O1821" s="7" t="str">
        <f aca="false">A1821&amp;"|"&amp;B1821&amp;"|"&amp;C1821&amp;"|"&amp;D1821&amp;"|"&amp;E1821&amp;"|"&amp;F1821&amp;"|"&amp;G1821&amp;"|"&amp;H1821&amp;"|"&amp;I1821&amp;"|"&amp;J1821&amp;"|"&amp;K1821&amp;"|"&amp;L1821&amp;"|"&amp;M1821&amp;"|"&amp;N1821</f>
        <v>ORD11950|10/09/2025|19:02|C0424|Curry Leaf Kitchen|Mumbai|North Indian|1|250|0|UPI|Delivered|50|4</v>
      </c>
      <c r="P1821" s="7" t="str">
        <f aca="false">IF(COUNTIF($O$2:O1821,O1821)&gt;1,"DUP","OK")</f>
        <v>OK</v>
      </c>
      <c r="Q1821" s="7" t="n">
        <f aca="false">COUNTBLANK(A1821:N1821)</f>
        <v>0</v>
      </c>
      <c r="R1821" s="7" t="n">
        <f aca="false">IF(A1821="",0,COUNTIFS($A$2:$A$3058,A1821,$P$2:$P$3058,"OK"))</f>
        <v>1</v>
      </c>
      <c r="S1821" s="7" t="str">
        <f aca="false">IF(OR(A1821="",P1821="DUP",R1821&lt;2),"",IF(Q1821=_xlfn.MINIFS($Q$2:$Q$3058,$A$2:$A$3058,A1821,$P$2:$P$3058,"OK"),"KEEP","DROP"))</f>
        <v/>
      </c>
      <c r="T1821" s="9" t="n">
        <f aca="false">IF(A1821="",1,0)</f>
        <v>0</v>
      </c>
      <c r="U1821" s="9" t="n">
        <f aca="false">IF(D1821="",1,0)</f>
        <v>0</v>
      </c>
      <c r="V1821" s="9" t="n">
        <f aca="false">IF(E1821="",1,0)</f>
        <v>0</v>
      </c>
      <c r="W1821" s="9" t="n">
        <f aca="false">IF(OR(H1821&lt;1,H1821&gt;10),1,0)</f>
        <v>0</v>
      </c>
      <c r="X1821" s="9" t="n">
        <f aca="false">IF(OR(I1821&lt;=0,I1821&gt;1500),1,0)</f>
        <v>0</v>
      </c>
      <c r="Y1821" s="9" t="n">
        <f aca="false">IF(J1821&gt;H1821*I1821,1,0)</f>
        <v>0</v>
      </c>
      <c r="Z1821" s="9" t="n">
        <f aca="false">IF(AND(N1821&lt;&gt;"",OR(N1821&lt;1,N1821&gt;5)),1,0)</f>
        <v>0</v>
      </c>
      <c r="AA1821" s="9" t="n">
        <f aca="false">IF(AND(M1821&lt;&gt;"",OR(M1821&lt;5,M1821&gt;180)),1,0)</f>
        <v>0</v>
      </c>
      <c r="AB1821" s="7" t="str">
        <f aca="false">IF(P1821="DUP","Exact duplicate row",IF(T1821=1,"Missing Order ID",IF(S1821="DROP","Duplicate Order ID (less complete row)",IF(U1821=1,"Missing Customer ID",IF(V1821=1,"Missing Restaurant name",IF(W1821=1,"Invalid/outlier quantity",IF(X1821=1,"Invalid/outlier unit price",IF(Y1821=1,"Discount greater than order value",""))))))))</f>
        <v/>
      </c>
      <c r="AC1821" s="7" t="str">
        <f aca="false">IF(AB1821="","KEEP","DROP")</f>
        <v>KEEP</v>
      </c>
      <c r="AD1821" s="7" t="str">
        <f aca="false">IF(TRIM(F1821)="",IFERROR(INDEX(Map_Tables!$I$4:$I$37,MATCH(TRIM(E1821),Map_Tables!$G$4:$G$37,0)),""),IFERROR(INDEX(Map_Tables!$B$4:$B$18,MATCH(TRIM(F1821),Map_Tables!$A$4:$A$18,0)),"CHECK"))</f>
        <v>Mumbai</v>
      </c>
      <c r="AE1821" s="7" t="str">
        <f aca="false">IF(TRIM(E1821)="","",IFERROR(INDEX(Map_Tables!$H$4:$H$37,MATCH(TRIM(E1821),Map_Tables!$G$4:$G$37,0)),"CHECK"))</f>
        <v>Curry Leaf Kitchen</v>
      </c>
      <c r="AF1821" s="7" t="str">
        <f aca="false">IF(TRIM(K1821)="","Unknown",IFERROR(INDEX(Map_Tables!$E$4:$E$15,MATCH(TRIM(K1821),Map_Tables!$D$4:$D$15,0)),"CHECK"))</f>
        <v>UPI</v>
      </c>
      <c r="AG1821" s="7" t="str">
        <f aca="false">IF(LEFT(LOWER(TRIM(L1821)),6)="cancel","Cancelled","Delivered")</f>
        <v>Delivered</v>
      </c>
      <c r="AH1821" s="10" t="n">
        <f aca="false">IF(ISNUMBER(SEARCH("/",B1821)),DATE(VALUE(RIGHT(B1821,4)),VALUE(MID(B1821,4,2)),VALUE(LEFT(B1821,2))),IF(MID(B1821,5,1)="-",DATE(VALUE(LEFT(B1821,4)),VALUE(MID(B1821,6,2)),VALUE(RIGHT(B1821,2))),DATE(VALUE(RIGHT(B1821,4)),MATCH(MID(B1821,4,3),{"Jan","Feb","Mar","Apr","May","Jun","Jul","Aug","Sep","Oct","Nov","Dec"},0),VALUE(LEFT(B1821,2)))))</f>
        <v>45910</v>
      </c>
    </row>
    <row r="1822" customFormat="false" ht="15" hidden="false" customHeight="false" outlineLevel="0" collapsed="false">
      <c r="A1822" s="7" t="s">
        <v>4472</v>
      </c>
      <c r="B1822" s="7" t="s">
        <v>1167</v>
      </c>
      <c r="C1822" s="7" t="s">
        <v>3141</v>
      </c>
      <c r="D1822" s="7" t="s">
        <v>4473</v>
      </c>
      <c r="E1822" s="7" t="s">
        <v>144</v>
      </c>
      <c r="F1822" s="7" t="s">
        <v>119</v>
      </c>
      <c r="G1822" s="7" t="s">
        <v>99</v>
      </c>
      <c r="H1822" s="7" t="n">
        <v>3</v>
      </c>
      <c r="I1822" s="7" t="n">
        <v>235</v>
      </c>
      <c r="J1822" s="7" t="n">
        <v>20</v>
      </c>
      <c r="K1822" s="7" t="s">
        <v>88</v>
      </c>
      <c r="L1822" s="7" t="s">
        <v>194</v>
      </c>
      <c r="M1822" s="7" t="n">
        <v>35</v>
      </c>
      <c r="N1822" s="7" t="n">
        <v>3</v>
      </c>
      <c r="O1822" s="7" t="str">
        <f aca="false">A1822&amp;"|"&amp;B1822&amp;"|"&amp;C1822&amp;"|"&amp;D1822&amp;"|"&amp;E1822&amp;"|"&amp;F1822&amp;"|"&amp;G1822&amp;"|"&amp;H1822&amp;"|"&amp;I1822&amp;"|"&amp;J1822&amp;"|"&amp;K1822&amp;"|"&amp;L1822&amp;"|"&amp;M1822&amp;"|"&amp;N1822</f>
        <v>ORD12358|2025-10-23|23:09|C0611|Hyderabad Dum Biryani|Hyderabad|Biryani|3|235|20|UPI|Delivered|35|3</v>
      </c>
      <c r="P1822" s="7" t="str">
        <f aca="false">IF(COUNTIF($O$2:O1822,O1822)&gt;1,"DUP","OK")</f>
        <v>OK</v>
      </c>
      <c r="Q1822" s="7" t="n">
        <f aca="false">COUNTBLANK(A1822:N1822)</f>
        <v>0</v>
      </c>
      <c r="R1822" s="7" t="n">
        <f aca="false">IF(A1822="",0,COUNTIFS($A$2:$A$3058,A1822,$P$2:$P$3058,"OK"))</f>
        <v>1</v>
      </c>
      <c r="S1822" s="7" t="str">
        <f aca="false">IF(OR(A1822="",P1822="DUP",R1822&lt;2),"",IF(Q1822=_xlfn.MINIFS($Q$2:$Q$3058,$A$2:$A$3058,A1822,$P$2:$P$3058,"OK"),"KEEP","DROP"))</f>
        <v/>
      </c>
      <c r="T1822" s="9" t="n">
        <f aca="false">IF(A1822="",1,0)</f>
        <v>0</v>
      </c>
      <c r="U1822" s="9" t="n">
        <f aca="false">IF(D1822="",1,0)</f>
        <v>0</v>
      </c>
      <c r="V1822" s="9" t="n">
        <f aca="false">IF(E1822="",1,0)</f>
        <v>0</v>
      </c>
      <c r="W1822" s="9" t="n">
        <f aca="false">IF(OR(H1822&lt;1,H1822&gt;10),1,0)</f>
        <v>0</v>
      </c>
      <c r="X1822" s="9" t="n">
        <f aca="false">IF(OR(I1822&lt;=0,I1822&gt;1500),1,0)</f>
        <v>0</v>
      </c>
      <c r="Y1822" s="9" t="n">
        <f aca="false">IF(J1822&gt;H1822*I1822,1,0)</f>
        <v>0</v>
      </c>
      <c r="Z1822" s="9" t="n">
        <f aca="false">IF(AND(N1822&lt;&gt;"",OR(N1822&lt;1,N1822&gt;5)),1,0)</f>
        <v>0</v>
      </c>
      <c r="AA1822" s="9" t="n">
        <f aca="false">IF(AND(M1822&lt;&gt;"",OR(M1822&lt;5,M1822&gt;180)),1,0)</f>
        <v>0</v>
      </c>
      <c r="AB1822" s="7" t="str">
        <f aca="false">IF(P1822="DUP","Exact duplicate row",IF(T1822=1,"Missing Order ID",IF(S1822="DROP","Duplicate Order ID (less complete row)",IF(U1822=1,"Missing Customer ID",IF(V1822=1,"Missing Restaurant name",IF(W1822=1,"Invalid/outlier quantity",IF(X1822=1,"Invalid/outlier unit price",IF(Y1822=1,"Discount greater than order value",""))))))))</f>
        <v/>
      </c>
      <c r="AC1822" s="7" t="str">
        <f aca="false">IF(AB1822="","KEEP","DROP")</f>
        <v>KEEP</v>
      </c>
      <c r="AD1822" s="7" t="str">
        <f aca="false">IF(TRIM(F1822)="",IFERROR(INDEX(Map_Tables!$I$4:$I$37,MATCH(TRIM(E1822),Map_Tables!$G$4:$G$37,0)),""),IFERROR(INDEX(Map_Tables!$B$4:$B$18,MATCH(TRIM(F1822),Map_Tables!$A$4:$A$18,0)),"CHECK"))</f>
        <v>Hyderabad</v>
      </c>
      <c r="AE1822" s="7" t="str">
        <f aca="false">IF(TRIM(E1822)="","",IFERROR(INDEX(Map_Tables!$H$4:$H$37,MATCH(TRIM(E1822),Map_Tables!$G$4:$G$37,0)),"CHECK"))</f>
        <v>Hyderabad Dum Biryani</v>
      </c>
      <c r="AF1822" s="7" t="str">
        <f aca="false">IF(TRIM(K1822)="","Unknown",IFERROR(INDEX(Map_Tables!$E$4:$E$15,MATCH(TRIM(K1822),Map_Tables!$D$4:$D$15,0)),"CHECK"))</f>
        <v>UPI</v>
      </c>
      <c r="AG1822" s="7" t="str">
        <f aca="false">IF(LEFT(LOWER(TRIM(L1822)),6)="cancel","Cancelled","Delivered")</f>
        <v>Delivered</v>
      </c>
      <c r="AH1822" s="10" t="n">
        <f aca="false">IF(ISNUMBER(SEARCH("/",B1822)),DATE(VALUE(RIGHT(B1822,4)),VALUE(MID(B1822,4,2)),VALUE(LEFT(B1822,2))),IF(MID(B1822,5,1)="-",DATE(VALUE(LEFT(B1822,4)),VALUE(MID(B1822,6,2)),VALUE(RIGHT(B1822,2))),DATE(VALUE(RIGHT(B1822,4)),MATCH(MID(B1822,4,3),{"Jan","Feb","Mar","Apr","May","Jun","Jul","Aug","Sep","Oct","Nov","Dec"},0),VALUE(LEFT(B1822,2)))))</f>
        <v>45953</v>
      </c>
    </row>
    <row r="1823" customFormat="false" ht="15" hidden="false" customHeight="false" outlineLevel="0" collapsed="false">
      <c r="A1823" s="7" t="s">
        <v>4474</v>
      </c>
      <c r="B1823" s="7" t="s">
        <v>1538</v>
      </c>
      <c r="C1823" s="7" t="s">
        <v>2917</v>
      </c>
      <c r="D1823" s="7" t="s">
        <v>2614</v>
      </c>
      <c r="E1823" s="7" t="s">
        <v>138</v>
      </c>
      <c r="F1823" s="7" t="s">
        <v>110</v>
      </c>
      <c r="G1823" s="7" t="s">
        <v>139</v>
      </c>
      <c r="H1823" s="7" t="n">
        <v>1</v>
      </c>
      <c r="I1823" s="7" t="n">
        <v>-175</v>
      </c>
      <c r="J1823" s="7" t="n">
        <v>70</v>
      </c>
      <c r="K1823" s="7" t="s">
        <v>103</v>
      </c>
      <c r="L1823" s="7" t="s">
        <v>194</v>
      </c>
      <c r="M1823" s="7" t="n">
        <v>36</v>
      </c>
      <c r="N1823" s="7" t="n">
        <v>4</v>
      </c>
      <c r="O1823" s="7" t="str">
        <f aca="false">A1823&amp;"|"&amp;B1823&amp;"|"&amp;C1823&amp;"|"&amp;D1823&amp;"|"&amp;E1823&amp;"|"&amp;F1823&amp;"|"&amp;G1823&amp;"|"&amp;H1823&amp;"|"&amp;I1823&amp;"|"&amp;J1823&amp;"|"&amp;K1823&amp;"|"&amp;L1823&amp;"|"&amp;M1823&amp;"|"&amp;N1823</f>
        <v>ORD11848|2025-08-28|21:45|C1313|Burger Barn|Delhi|Burgers|1|-175|70|Debit Card|Delivered|36|4</v>
      </c>
      <c r="P1823" s="7" t="str">
        <f aca="false">IF(COUNTIF($O$2:O1823,O1823)&gt;1,"DUP","OK")</f>
        <v>OK</v>
      </c>
      <c r="Q1823" s="7" t="n">
        <f aca="false">COUNTBLANK(A1823:N1823)</f>
        <v>0</v>
      </c>
      <c r="R1823" s="7" t="n">
        <f aca="false">IF(A1823="",0,COUNTIFS($A$2:$A$3058,A1823,$P$2:$P$3058,"OK"))</f>
        <v>1</v>
      </c>
      <c r="S1823" s="7" t="str">
        <f aca="false">IF(OR(A1823="",P1823="DUP",R1823&lt;2),"",IF(Q1823=_xlfn.MINIFS($Q$2:$Q$3058,$A$2:$A$3058,A1823,$P$2:$P$3058,"OK"),"KEEP","DROP"))</f>
        <v/>
      </c>
      <c r="T1823" s="9" t="n">
        <f aca="false">IF(A1823="",1,0)</f>
        <v>0</v>
      </c>
      <c r="U1823" s="9" t="n">
        <f aca="false">IF(D1823="",1,0)</f>
        <v>0</v>
      </c>
      <c r="V1823" s="9" t="n">
        <f aca="false">IF(E1823="",1,0)</f>
        <v>0</v>
      </c>
      <c r="W1823" s="9" t="n">
        <f aca="false">IF(OR(H1823&lt;1,H1823&gt;10),1,0)</f>
        <v>0</v>
      </c>
      <c r="X1823" s="9" t="n">
        <f aca="false">IF(OR(I1823&lt;=0,I1823&gt;1500),1,0)</f>
        <v>1</v>
      </c>
      <c r="Y1823" s="9" t="n">
        <f aca="false">IF(J1823&gt;H1823*I1823,1,0)</f>
        <v>1</v>
      </c>
      <c r="Z1823" s="9" t="n">
        <f aca="false">IF(AND(N1823&lt;&gt;"",OR(N1823&lt;1,N1823&gt;5)),1,0)</f>
        <v>0</v>
      </c>
      <c r="AA1823" s="9" t="n">
        <f aca="false">IF(AND(M1823&lt;&gt;"",OR(M1823&lt;5,M1823&gt;180)),1,0)</f>
        <v>0</v>
      </c>
      <c r="AB1823" s="7" t="str">
        <f aca="false">IF(P1823="DUP","Exact duplicate row",IF(T1823=1,"Missing Order ID",IF(S1823="DROP","Duplicate Order ID (less complete row)",IF(U1823=1,"Missing Customer ID",IF(V1823=1,"Missing Restaurant name",IF(W1823=1,"Invalid/outlier quantity",IF(X1823=1,"Invalid/outlier unit price",IF(Y1823=1,"Discount greater than order value",""))))))))</f>
        <v>Invalid/outlier unit price</v>
      </c>
      <c r="AC1823" s="7" t="str">
        <f aca="false">IF(AB1823="","KEEP","DROP")</f>
        <v>DROP</v>
      </c>
      <c r="AD1823" s="7" t="str">
        <f aca="false">IF(TRIM(F1823)="",IFERROR(INDEX(Map_Tables!$I$4:$I$37,MATCH(TRIM(E1823),Map_Tables!$G$4:$G$37,0)),""),IFERROR(INDEX(Map_Tables!$B$4:$B$18,MATCH(TRIM(F1823),Map_Tables!$A$4:$A$18,0)),"CHECK"))</f>
        <v>Delhi</v>
      </c>
      <c r="AE1823" s="7" t="str">
        <f aca="false">IF(TRIM(E1823)="","",IFERROR(INDEX(Map_Tables!$H$4:$H$37,MATCH(TRIM(E1823),Map_Tables!$G$4:$G$37,0)),"CHECK"))</f>
        <v>Burger Barn</v>
      </c>
      <c r="AF1823" s="7" t="str">
        <f aca="false">IF(TRIM(K1823)="","Unknown",IFERROR(INDEX(Map_Tables!$E$4:$E$15,MATCH(TRIM(K1823),Map_Tables!$D$4:$D$15,0)),"CHECK"))</f>
        <v>Debit Card</v>
      </c>
      <c r="AG1823" s="7" t="str">
        <f aca="false">IF(LEFT(LOWER(TRIM(L1823)),6)="cancel","Cancelled","Delivered")</f>
        <v>Delivered</v>
      </c>
      <c r="AH1823" s="10" t="n">
        <f aca="false">IF(ISNUMBER(SEARCH("/",B1823)),DATE(VALUE(RIGHT(B1823,4)),VALUE(MID(B1823,4,2)),VALUE(LEFT(B1823,2))),IF(MID(B1823,5,1)="-",DATE(VALUE(LEFT(B1823,4)),VALUE(MID(B1823,6,2)),VALUE(RIGHT(B1823,2))),DATE(VALUE(RIGHT(B1823,4)),MATCH(MID(B1823,4,3),{"Jan","Feb","Mar","Apr","May","Jun","Jul","Aug","Sep","Oct","Nov","Dec"},0),VALUE(LEFT(B1823,2)))))</f>
        <v>45897</v>
      </c>
    </row>
    <row r="1824" customFormat="false" ht="15" hidden="false" customHeight="false" outlineLevel="0" collapsed="false">
      <c r="A1824" s="7" t="s">
        <v>4475</v>
      </c>
      <c r="B1824" s="7" t="s">
        <v>1972</v>
      </c>
      <c r="C1824" s="7" t="s">
        <v>1520</v>
      </c>
      <c r="D1824" s="7" t="s">
        <v>4476</v>
      </c>
      <c r="E1824" s="7" t="s">
        <v>122</v>
      </c>
      <c r="F1824" s="7" t="s">
        <v>101</v>
      </c>
      <c r="G1824" s="7" t="s">
        <v>123</v>
      </c>
      <c r="H1824" s="7" t="n">
        <v>1</v>
      </c>
      <c r="I1824" s="7" t="n">
        <v>300</v>
      </c>
      <c r="J1824" s="7" t="n">
        <v>75</v>
      </c>
      <c r="K1824" s="7" t="s">
        <v>115</v>
      </c>
      <c r="L1824" s="7" t="s">
        <v>194</v>
      </c>
      <c r="M1824" s="7" t="n">
        <v>58</v>
      </c>
      <c r="N1824" s="7" t="n">
        <v>2</v>
      </c>
      <c r="O1824" s="7" t="str">
        <f aca="false">A1824&amp;"|"&amp;B1824&amp;"|"&amp;C1824&amp;"|"&amp;D1824&amp;"|"&amp;E1824&amp;"|"&amp;F1824&amp;"|"&amp;G1824&amp;"|"&amp;H1824&amp;"|"&amp;I1824&amp;"|"&amp;J1824&amp;"|"&amp;K1824&amp;"|"&amp;L1824&amp;"|"&amp;M1824&amp;"|"&amp;N1824</f>
        <v>ORD12645|2025-11-23|12:11|C0224|Mumbai Pizza Co|Mumbai|Pizza|1|300|75|cash on delivery|Delivered|58|2</v>
      </c>
      <c r="P1824" s="7" t="str">
        <f aca="false">IF(COUNTIF($O$2:O1824,O1824)&gt;1,"DUP","OK")</f>
        <v>OK</v>
      </c>
      <c r="Q1824" s="7" t="n">
        <f aca="false">COUNTBLANK(A1824:N1824)</f>
        <v>0</v>
      </c>
      <c r="R1824" s="7" t="n">
        <f aca="false">IF(A1824="",0,COUNTIFS($A$2:$A$3058,A1824,$P$2:$P$3058,"OK"))</f>
        <v>1</v>
      </c>
      <c r="S1824" s="7" t="str">
        <f aca="false">IF(OR(A1824="",P1824="DUP",R1824&lt;2),"",IF(Q1824=_xlfn.MINIFS($Q$2:$Q$3058,$A$2:$A$3058,A1824,$P$2:$P$3058,"OK"),"KEEP","DROP"))</f>
        <v/>
      </c>
      <c r="T1824" s="9" t="n">
        <f aca="false">IF(A1824="",1,0)</f>
        <v>0</v>
      </c>
      <c r="U1824" s="9" t="n">
        <f aca="false">IF(D1824="",1,0)</f>
        <v>0</v>
      </c>
      <c r="V1824" s="9" t="n">
        <f aca="false">IF(E1824="",1,0)</f>
        <v>0</v>
      </c>
      <c r="W1824" s="9" t="n">
        <f aca="false">IF(OR(H1824&lt;1,H1824&gt;10),1,0)</f>
        <v>0</v>
      </c>
      <c r="X1824" s="9" t="n">
        <f aca="false">IF(OR(I1824&lt;=0,I1824&gt;1500),1,0)</f>
        <v>0</v>
      </c>
      <c r="Y1824" s="9" t="n">
        <f aca="false">IF(J1824&gt;H1824*I1824,1,0)</f>
        <v>0</v>
      </c>
      <c r="Z1824" s="9" t="n">
        <f aca="false">IF(AND(N1824&lt;&gt;"",OR(N1824&lt;1,N1824&gt;5)),1,0)</f>
        <v>0</v>
      </c>
      <c r="AA1824" s="9" t="n">
        <f aca="false">IF(AND(M1824&lt;&gt;"",OR(M1824&lt;5,M1824&gt;180)),1,0)</f>
        <v>0</v>
      </c>
      <c r="AB1824" s="7" t="str">
        <f aca="false">IF(P1824="DUP","Exact duplicate row",IF(T1824=1,"Missing Order ID",IF(S1824="DROP","Duplicate Order ID (less complete row)",IF(U1824=1,"Missing Customer ID",IF(V1824=1,"Missing Restaurant name",IF(W1824=1,"Invalid/outlier quantity",IF(X1824=1,"Invalid/outlier unit price",IF(Y1824=1,"Discount greater than order value",""))))))))</f>
        <v/>
      </c>
      <c r="AC1824" s="7" t="str">
        <f aca="false">IF(AB1824="","KEEP","DROP")</f>
        <v>KEEP</v>
      </c>
      <c r="AD1824" s="7" t="str">
        <f aca="false">IF(TRIM(F1824)="",IFERROR(INDEX(Map_Tables!$I$4:$I$37,MATCH(TRIM(E1824),Map_Tables!$G$4:$G$37,0)),""),IFERROR(INDEX(Map_Tables!$B$4:$B$18,MATCH(TRIM(F1824),Map_Tables!$A$4:$A$18,0)),"CHECK"))</f>
        <v>Mumbai</v>
      </c>
      <c r="AE1824" s="7" t="str">
        <f aca="false">IF(TRIM(E1824)="","",IFERROR(INDEX(Map_Tables!$H$4:$H$37,MATCH(TRIM(E1824),Map_Tables!$G$4:$G$37,0)),"CHECK"))</f>
        <v>Mumbai Pizza Co</v>
      </c>
      <c r="AF1824" s="7" t="str">
        <f aca="false">IF(TRIM(K1824)="","Unknown",IFERROR(INDEX(Map_Tables!$E$4:$E$15,MATCH(TRIM(K1824),Map_Tables!$D$4:$D$15,0)),"CHECK"))</f>
        <v>Cash on Delivery</v>
      </c>
      <c r="AG1824" s="7" t="str">
        <f aca="false">IF(LEFT(LOWER(TRIM(L1824)),6)="cancel","Cancelled","Delivered")</f>
        <v>Delivered</v>
      </c>
      <c r="AH1824" s="10" t="n">
        <f aca="false">IF(ISNUMBER(SEARCH("/",B1824)),DATE(VALUE(RIGHT(B1824,4)),VALUE(MID(B1824,4,2)),VALUE(LEFT(B1824,2))),IF(MID(B1824,5,1)="-",DATE(VALUE(LEFT(B1824,4)),VALUE(MID(B1824,6,2)),VALUE(RIGHT(B1824,2))),DATE(VALUE(RIGHT(B1824,4)),MATCH(MID(B1824,4,3),{"Jan","Feb","Mar","Apr","May","Jun","Jul","Aug","Sep","Oct","Nov","Dec"},0),VALUE(LEFT(B1824,2)))))</f>
        <v>45984</v>
      </c>
    </row>
    <row r="1825" customFormat="false" ht="15" hidden="false" customHeight="false" outlineLevel="0" collapsed="false">
      <c r="A1825" s="7" t="s">
        <v>4477</v>
      </c>
      <c r="B1825" s="7" t="s">
        <v>2104</v>
      </c>
      <c r="C1825" s="7" t="s">
        <v>2672</v>
      </c>
      <c r="D1825" s="7" t="s">
        <v>4478</v>
      </c>
      <c r="E1825" s="7" t="s">
        <v>113</v>
      </c>
      <c r="F1825" s="7" t="s">
        <v>101</v>
      </c>
      <c r="G1825" s="7" t="s">
        <v>90</v>
      </c>
      <c r="H1825" s="7" t="n">
        <v>2</v>
      </c>
      <c r="I1825" s="7" t="n">
        <v>250</v>
      </c>
      <c r="J1825" s="7" t="n">
        <v>150</v>
      </c>
      <c r="K1825" s="7" t="s">
        <v>93</v>
      </c>
      <c r="L1825" s="7" t="s">
        <v>194</v>
      </c>
      <c r="M1825" s="7" t="n">
        <v>39</v>
      </c>
      <c r="N1825" s="7" t="n">
        <v>3</v>
      </c>
      <c r="O1825" s="7" t="str">
        <f aca="false">A1825&amp;"|"&amp;B1825&amp;"|"&amp;C1825&amp;"|"&amp;D1825&amp;"|"&amp;E1825&amp;"|"&amp;F1825&amp;"|"&amp;G1825&amp;"|"&amp;H1825&amp;"|"&amp;I1825&amp;"|"&amp;J1825&amp;"|"&amp;K1825&amp;"|"&amp;L1825&amp;"|"&amp;M1825&amp;"|"&amp;N1825</f>
        <v>ORD11938|2025-09-09|12:09|C0579|Curry Leaf Kitchen|Mumbai|North Indian|2|250|150|Credit Card|Delivered|39|3</v>
      </c>
      <c r="P1825" s="7" t="str">
        <f aca="false">IF(COUNTIF($O$2:O1825,O1825)&gt;1,"DUP","OK")</f>
        <v>OK</v>
      </c>
      <c r="Q1825" s="7" t="n">
        <f aca="false">COUNTBLANK(A1825:N1825)</f>
        <v>0</v>
      </c>
      <c r="R1825" s="7" t="n">
        <f aca="false">IF(A1825="",0,COUNTIFS($A$2:$A$3058,A1825,$P$2:$P$3058,"OK"))</f>
        <v>1</v>
      </c>
      <c r="S1825" s="7" t="str">
        <f aca="false">IF(OR(A1825="",P1825="DUP",R1825&lt;2),"",IF(Q1825=_xlfn.MINIFS($Q$2:$Q$3058,$A$2:$A$3058,A1825,$P$2:$P$3058,"OK"),"KEEP","DROP"))</f>
        <v/>
      </c>
      <c r="T1825" s="9" t="n">
        <f aca="false">IF(A1825="",1,0)</f>
        <v>0</v>
      </c>
      <c r="U1825" s="9" t="n">
        <f aca="false">IF(D1825="",1,0)</f>
        <v>0</v>
      </c>
      <c r="V1825" s="9" t="n">
        <f aca="false">IF(E1825="",1,0)</f>
        <v>0</v>
      </c>
      <c r="W1825" s="9" t="n">
        <f aca="false">IF(OR(H1825&lt;1,H1825&gt;10),1,0)</f>
        <v>0</v>
      </c>
      <c r="X1825" s="9" t="n">
        <f aca="false">IF(OR(I1825&lt;=0,I1825&gt;1500),1,0)</f>
        <v>0</v>
      </c>
      <c r="Y1825" s="9" t="n">
        <f aca="false">IF(J1825&gt;H1825*I1825,1,0)</f>
        <v>0</v>
      </c>
      <c r="Z1825" s="9" t="n">
        <f aca="false">IF(AND(N1825&lt;&gt;"",OR(N1825&lt;1,N1825&gt;5)),1,0)</f>
        <v>0</v>
      </c>
      <c r="AA1825" s="9" t="n">
        <f aca="false">IF(AND(M1825&lt;&gt;"",OR(M1825&lt;5,M1825&gt;180)),1,0)</f>
        <v>0</v>
      </c>
      <c r="AB1825" s="7" t="str">
        <f aca="false">IF(P1825="DUP","Exact duplicate row",IF(T1825=1,"Missing Order ID",IF(S1825="DROP","Duplicate Order ID (less complete row)",IF(U1825=1,"Missing Customer ID",IF(V1825=1,"Missing Restaurant name",IF(W1825=1,"Invalid/outlier quantity",IF(X1825=1,"Invalid/outlier unit price",IF(Y1825=1,"Discount greater than order value",""))))))))</f>
        <v/>
      </c>
      <c r="AC1825" s="7" t="str">
        <f aca="false">IF(AB1825="","KEEP","DROP")</f>
        <v>KEEP</v>
      </c>
      <c r="AD1825" s="7" t="str">
        <f aca="false">IF(TRIM(F1825)="",IFERROR(INDEX(Map_Tables!$I$4:$I$37,MATCH(TRIM(E1825),Map_Tables!$G$4:$G$37,0)),""),IFERROR(INDEX(Map_Tables!$B$4:$B$18,MATCH(TRIM(F1825),Map_Tables!$A$4:$A$18,0)),"CHECK"))</f>
        <v>Mumbai</v>
      </c>
      <c r="AE1825" s="7" t="str">
        <f aca="false">IF(TRIM(E1825)="","",IFERROR(INDEX(Map_Tables!$H$4:$H$37,MATCH(TRIM(E1825),Map_Tables!$G$4:$G$37,0)),"CHECK"))</f>
        <v>Curry Leaf Kitchen</v>
      </c>
      <c r="AF1825" s="7" t="str">
        <f aca="false">IF(TRIM(K1825)="","Unknown",IFERROR(INDEX(Map_Tables!$E$4:$E$15,MATCH(TRIM(K1825),Map_Tables!$D$4:$D$15,0)),"CHECK"))</f>
        <v>Credit Card</v>
      </c>
      <c r="AG1825" s="7" t="str">
        <f aca="false">IF(LEFT(LOWER(TRIM(L1825)),6)="cancel","Cancelled","Delivered")</f>
        <v>Delivered</v>
      </c>
      <c r="AH1825" s="10" t="n">
        <f aca="false">IF(ISNUMBER(SEARCH("/",B1825)),DATE(VALUE(RIGHT(B1825,4)),VALUE(MID(B1825,4,2)),VALUE(LEFT(B1825,2))),IF(MID(B1825,5,1)="-",DATE(VALUE(LEFT(B1825,4)),VALUE(MID(B1825,6,2)),VALUE(RIGHT(B1825,2))),DATE(VALUE(RIGHT(B1825,4)),MATCH(MID(B1825,4,3),{"Jan","Feb","Mar","Apr","May","Jun","Jul","Aug","Sep","Oct","Nov","Dec"},0),VALUE(LEFT(B1825,2)))))</f>
        <v>45909</v>
      </c>
    </row>
    <row r="1826" customFormat="false" ht="15" hidden="false" customHeight="false" outlineLevel="0" collapsed="false">
      <c r="A1826" s="7" t="s">
        <v>4479</v>
      </c>
      <c r="B1826" s="7" t="s">
        <v>3020</v>
      </c>
      <c r="C1826" s="7" t="s">
        <v>2901</v>
      </c>
      <c r="D1826" s="7" t="s">
        <v>4480</v>
      </c>
      <c r="E1826" s="7" t="s">
        <v>94</v>
      </c>
      <c r="F1826" s="7" t="s">
        <v>86</v>
      </c>
      <c r="G1826" s="7" t="s">
        <v>95</v>
      </c>
      <c r="H1826" s="7" t="n">
        <v>2</v>
      </c>
      <c r="I1826" s="7" t="n">
        <v>135</v>
      </c>
      <c r="J1826" s="7" t="n">
        <v>108</v>
      </c>
      <c r="K1826" s="7" t="s">
        <v>121</v>
      </c>
      <c r="L1826" s="7" t="s">
        <v>194</v>
      </c>
      <c r="M1826" s="7" t="n">
        <v>44</v>
      </c>
      <c r="N1826" s="7" t="n">
        <v>4</v>
      </c>
      <c r="O1826" s="7" t="str">
        <f aca="false">A1826&amp;"|"&amp;B1826&amp;"|"&amp;C1826&amp;"|"&amp;D1826&amp;"|"&amp;E1826&amp;"|"&amp;F1826&amp;"|"&amp;G1826&amp;"|"&amp;H1826&amp;"|"&amp;I1826&amp;"|"&amp;J1826&amp;"|"&amp;K1826&amp;"|"&amp;L1826&amp;"|"&amp;M1826&amp;"|"&amp;N1826</f>
        <v>ORD11122|23/05/2025|09:49|C0473|Dosa Darbar|Bengaluru|South Indian|2|135|108|Wallet|Delivered|44|4</v>
      </c>
      <c r="P1826" s="7" t="str">
        <f aca="false">IF(COUNTIF($O$2:O1826,O1826)&gt;1,"DUP","OK")</f>
        <v>OK</v>
      </c>
      <c r="Q1826" s="7" t="n">
        <f aca="false">COUNTBLANK(A1826:N1826)</f>
        <v>0</v>
      </c>
      <c r="R1826" s="7" t="n">
        <f aca="false">IF(A1826="",0,COUNTIFS($A$2:$A$3058,A1826,$P$2:$P$3058,"OK"))</f>
        <v>1</v>
      </c>
      <c r="S1826" s="7" t="str">
        <f aca="false">IF(OR(A1826="",P1826="DUP",R1826&lt;2),"",IF(Q1826=_xlfn.MINIFS($Q$2:$Q$3058,$A$2:$A$3058,A1826,$P$2:$P$3058,"OK"),"KEEP","DROP"))</f>
        <v/>
      </c>
      <c r="T1826" s="9" t="n">
        <f aca="false">IF(A1826="",1,0)</f>
        <v>0</v>
      </c>
      <c r="U1826" s="9" t="n">
        <f aca="false">IF(D1826="",1,0)</f>
        <v>0</v>
      </c>
      <c r="V1826" s="9" t="n">
        <f aca="false">IF(E1826="",1,0)</f>
        <v>0</v>
      </c>
      <c r="W1826" s="9" t="n">
        <f aca="false">IF(OR(H1826&lt;1,H1826&gt;10),1,0)</f>
        <v>0</v>
      </c>
      <c r="X1826" s="9" t="n">
        <f aca="false">IF(OR(I1826&lt;=0,I1826&gt;1500),1,0)</f>
        <v>0</v>
      </c>
      <c r="Y1826" s="9" t="n">
        <f aca="false">IF(J1826&gt;H1826*I1826,1,0)</f>
        <v>0</v>
      </c>
      <c r="Z1826" s="9" t="n">
        <f aca="false">IF(AND(N1826&lt;&gt;"",OR(N1826&lt;1,N1826&gt;5)),1,0)</f>
        <v>0</v>
      </c>
      <c r="AA1826" s="9" t="n">
        <f aca="false">IF(AND(M1826&lt;&gt;"",OR(M1826&lt;5,M1826&gt;180)),1,0)</f>
        <v>0</v>
      </c>
      <c r="AB1826" s="7" t="str">
        <f aca="false">IF(P1826="DUP","Exact duplicate row",IF(T1826=1,"Missing Order ID",IF(S1826="DROP","Duplicate Order ID (less complete row)",IF(U1826=1,"Missing Customer ID",IF(V1826=1,"Missing Restaurant name",IF(W1826=1,"Invalid/outlier quantity",IF(X1826=1,"Invalid/outlier unit price",IF(Y1826=1,"Discount greater than order value",""))))))))</f>
        <v/>
      </c>
      <c r="AC1826" s="7" t="str">
        <f aca="false">IF(AB1826="","KEEP","DROP")</f>
        <v>KEEP</v>
      </c>
      <c r="AD1826" s="7" t="str">
        <f aca="false">IF(TRIM(F1826)="",IFERROR(INDEX(Map_Tables!$I$4:$I$37,MATCH(TRIM(E1826),Map_Tables!$G$4:$G$37,0)),""),IFERROR(INDEX(Map_Tables!$B$4:$B$18,MATCH(TRIM(F1826),Map_Tables!$A$4:$A$18,0)),"CHECK"))</f>
        <v>Bengaluru</v>
      </c>
      <c r="AE1826" s="7" t="str">
        <f aca="false">IF(TRIM(E1826)="","",IFERROR(INDEX(Map_Tables!$H$4:$H$37,MATCH(TRIM(E1826),Map_Tables!$G$4:$G$37,0)),"CHECK"))</f>
        <v>Dosa Darbar</v>
      </c>
      <c r="AF1826" s="7" t="str">
        <f aca="false">IF(TRIM(K1826)="","Unknown",IFERROR(INDEX(Map_Tables!$E$4:$E$15,MATCH(TRIM(K1826),Map_Tables!$D$4:$D$15,0)),"CHECK"))</f>
        <v>Wallet</v>
      </c>
      <c r="AG1826" s="7" t="str">
        <f aca="false">IF(LEFT(LOWER(TRIM(L1826)),6)="cancel","Cancelled","Delivered")</f>
        <v>Delivered</v>
      </c>
      <c r="AH1826" s="10" t="n">
        <f aca="false">IF(ISNUMBER(SEARCH("/",B1826)),DATE(VALUE(RIGHT(B1826,4)),VALUE(MID(B1826,4,2)),VALUE(LEFT(B1826,2))),IF(MID(B1826,5,1)="-",DATE(VALUE(LEFT(B1826,4)),VALUE(MID(B1826,6,2)),VALUE(RIGHT(B1826,2))),DATE(VALUE(RIGHT(B1826,4)),MATCH(MID(B1826,4,3),{"Jan","Feb","Mar","Apr","May","Jun","Jul","Aug","Sep","Oct","Nov","Dec"},0),VALUE(LEFT(B1826,2)))))</f>
        <v>45800</v>
      </c>
    </row>
    <row r="1827" customFormat="false" ht="15" hidden="false" customHeight="false" outlineLevel="0" collapsed="false">
      <c r="A1827" s="7" t="s">
        <v>4481</v>
      </c>
      <c r="B1827" s="7" t="s">
        <v>1160</v>
      </c>
      <c r="C1827" s="7" t="s">
        <v>2080</v>
      </c>
      <c r="D1827" s="7" t="s">
        <v>3074</v>
      </c>
      <c r="E1827" s="7" t="s">
        <v>104</v>
      </c>
      <c r="F1827" s="7" t="s">
        <v>85</v>
      </c>
      <c r="G1827" s="7" t="s">
        <v>105</v>
      </c>
      <c r="H1827" s="7" t="n">
        <v>1</v>
      </c>
      <c r="I1827" s="7" t="n">
        <v>215</v>
      </c>
      <c r="J1827" s="7" t="n">
        <v>0</v>
      </c>
      <c r="K1827" s="7" t="s">
        <v>93</v>
      </c>
      <c r="L1827" s="7" t="s">
        <v>194</v>
      </c>
      <c r="M1827" s="7" t="n">
        <v>31</v>
      </c>
      <c r="N1827" s="7" t="n">
        <v>3</v>
      </c>
      <c r="O1827" s="7" t="str">
        <f aca="false">A1827&amp;"|"&amp;B1827&amp;"|"&amp;C1827&amp;"|"&amp;D1827&amp;"|"&amp;E1827&amp;"|"&amp;F1827&amp;"|"&amp;G1827&amp;"|"&amp;H1827&amp;"|"&amp;I1827&amp;"|"&amp;J1827&amp;"|"&amp;K1827&amp;"|"&amp;L1827&amp;"|"&amp;M1827&amp;"|"&amp;N1827</f>
        <v>ORD10551|2025-03-11|20:18|C0941|Wok &amp; Roll|bangalore|Chinese|1|215|0|Credit Card|Delivered|31|3</v>
      </c>
      <c r="P1827" s="7" t="str">
        <f aca="false">IF(COUNTIF($O$2:O1827,O1827)&gt;1,"DUP","OK")</f>
        <v>OK</v>
      </c>
      <c r="Q1827" s="7" t="n">
        <f aca="false">COUNTBLANK(A1827:N1827)</f>
        <v>0</v>
      </c>
      <c r="R1827" s="7" t="n">
        <f aca="false">IF(A1827="",0,COUNTIFS($A$2:$A$3058,A1827,$P$2:$P$3058,"OK"))</f>
        <v>1</v>
      </c>
      <c r="S1827" s="7" t="str">
        <f aca="false">IF(OR(A1827="",P1827="DUP",R1827&lt;2),"",IF(Q1827=_xlfn.MINIFS($Q$2:$Q$3058,$A$2:$A$3058,A1827,$P$2:$P$3058,"OK"),"KEEP","DROP"))</f>
        <v/>
      </c>
      <c r="T1827" s="9" t="n">
        <f aca="false">IF(A1827="",1,0)</f>
        <v>0</v>
      </c>
      <c r="U1827" s="9" t="n">
        <f aca="false">IF(D1827="",1,0)</f>
        <v>0</v>
      </c>
      <c r="V1827" s="9" t="n">
        <f aca="false">IF(E1827="",1,0)</f>
        <v>0</v>
      </c>
      <c r="W1827" s="9" t="n">
        <f aca="false">IF(OR(H1827&lt;1,H1827&gt;10),1,0)</f>
        <v>0</v>
      </c>
      <c r="X1827" s="9" t="n">
        <f aca="false">IF(OR(I1827&lt;=0,I1827&gt;1500),1,0)</f>
        <v>0</v>
      </c>
      <c r="Y1827" s="9" t="n">
        <f aca="false">IF(J1827&gt;H1827*I1827,1,0)</f>
        <v>0</v>
      </c>
      <c r="Z1827" s="9" t="n">
        <f aca="false">IF(AND(N1827&lt;&gt;"",OR(N1827&lt;1,N1827&gt;5)),1,0)</f>
        <v>0</v>
      </c>
      <c r="AA1827" s="9" t="n">
        <f aca="false">IF(AND(M1827&lt;&gt;"",OR(M1827&lt;5,M1827&gt;180)),1,0)</f>
        <v>0</v>
      </c>
      <c r="AB1827" s="7" t="str">
        <f aca="false">IF(P1827="DUP","Exact duplicate row",IF(T1827=1,"Missing Order ID",IF(S1827="DROP","Duplicate Order ID (less complete row)",IF(U1827=1,"Missing Customer ID",IF(V1827=1,"Missing Restaurant name",IF(W1827=1,"Invalid/outlier quantity",IF(X1827=1,"Invalid/outlier unit price",IF(Y1827=1,"Discount greater than order value",""))))))))</f>
        <v/>
      </c>
      <c r="AC1827" s="7" t="str">
        <f aca="false">IF(AB1827="","KEEP","DROP")</f>
        <v>KEEP</v>
      </c>
      <c r="AD1827" s="7" t="str">
        <f aca="false">IF(TRIM(F1827)="",IFERROR(INDEX(Map_Tables!$I$4:$I$37,MATCH(TRIM(E1827),Map_Tables!$G$4:$G$37,0)),""),IFERROR(INDEX(Map_Tables!$B$4:$B$18,MATCH(TRIM(F1827),Map_Tables!$A$4:$A$18,0)),"CHECK"))</f>
        <v>Bengaluru</v>
      </c>
      <c r="AE1827" s="7" t="str">
        <f aca="false">IF(TRIM(E1827)="","",IFERROR(INDEX(Map_Tables!$H$4:$H$37,MATCH(TRIM(E1827),Map_Tables!$G$4:$G$37,0)),"CHECK"))</f>
        <v>Wok &amp; Roll</v>
      </c>
      <c r="AF1827" s="7" t="str">
        <f aca="false">IF(TRIM(K1827)="","Unknown",IFERROR(INDEX(Map_Tables!$E$4:$E$15,MATCH(TRIM(K1827),Map_Tables!$D$4:$D$15,0)),"CHECK"))</f>
        <v>Credit Card</v>
      </c>
      <c r="AG1827" s="7" t="str">
        <f aca="false">IF(LEFT(LOWER(TRIM(L1827)),6)="cancel","Cancelled","Delivered")</f>
        <v>Delivered</v>
      </c>
      <c r="AH1827" s="10" t="n">
        <f aca="false">IF(ISNUMBER(SEARCH("/",B1827)),DATE(VALUE(RIGHT(B1827,4)),VALUE(MID(B1827,4,2)),VALUE(LEFT(B1827,2))),IF(MID(B1827,5,1)="-",DATE(VALUE(LEFT(B1827,4)),VALUE(MID(B1827,6,2)),VALUE(RIGHT(B1827,2))),DATE(VALUE(RIGHT(B1827,4)),MATCH(MID(B1827,4,3),{"Jan","Feb","Mar","Apr","May","Jun","Jul","Aug","Sep","Oct","Nov","Dec"},0),VALUE(LEFT(B1827,2)))))</f>
        <v>45727</v>
      </c>
    </row>
    <row r="1828" customFormat="false" ht="15" hidden="false" customHeight="false" outlineLevel="0" collapsed="false">
      <c r="A1828" s="7" t="s">
        <v>4482</v>
      </c>
      <c r="B1828" s="7" t="s">
        <v>671</v>
      </c>
      <c r="C1828" s="7" t="s">
        <v>3400</v>
      </c>
      <c r="D1828" s="7" t="s">
        <v>214</v>
      </c>
      <c r="E1828" s="7" t="s">
        <v>159</v>
      </c>
      <c r="F1828" s="7" t="s">
        <v>136</v>
      </c>
      <c r="G1828" s="7" t="s">
        <v>90</v>
      </c>
      <c r="H1828" s="7" t="n">
        <v>5</v>
      </c>
      <c r="I1828" s="7" t="n">
        <v>255</v>
      </c>
      <c r="J1828" s="7" t="n">
        <v>0</v>
      </c>
      <c r="K1828" s="7" t="s">
        <v>93</v>
      </c>
      <c r="L1828" s="7" t="s">
        <v>194</v>
      </c>
      <c r="M1828" s="7" t="n">
        <v>39</v>
      </c>
      <c r="N1828" s="7" t="n">
        <v>5</v>
      </c>
      <c r="O1828" s="7" t="str">
        <f aca="false">A1828&amp;"|"&amp;B1828&amp;"|"&amp;C1828&amp;"|"&amp;D1828&amp;"|"&amp;E1828&amp;"|"&amp;F1828&amp;"|"&amp;G1828&amp;"|"&amp;H1828&amp;"|"&amp;I1828&amp;"|"&amp;J1828&amp;"|"&amp;K1828&amp;"|"&amp;L1828&amp;"|"&amp;M1828&amp;"|"&amp;N1828</f>
        <v>ORD12553|2025-11-14|12:56|C0481|Maratha Thali House|Pune|North Indian|5|255|0|Credit Card|Delivered|39|5</v>
      </c>
      <c r="P1828" s="7" t="str">
        <f aca="false">IF(COUNTIF($O$2:O1828,O1828)&gt;1,"DUP","OK")</f>
        <v>OK</v>
      </c>
      <c r="Q1828" s="7" t="n">
        <f aca="false">COUNTBLANK(A1828:N1828)</f>
        <v>0</v>
      </c>
      <c r="R1828" s="7" t="n">
        <f aca="false">IF(A1828="",0,COUNTIFS($A$2:$A$3058,A1828,$P$2:$P$3058,"OK"))</f>
        <v>1</v>
      </c>
      <c r="S1828" s="7" t="str">
        <f aca="false">IF(OR(A1828="",P1828="DUP",R1828&lt;2),"",IF(Q1828=_xlfn.MINIFS($Q$2:$Q$3058,$A$2:$A$3058,A1828,$P$2:$P$3058,"OK"),"KEEP","DROP"))</f>
        <v/>
      </c>
      <c r="T1828" s="9" t="n">
        <f aca="false">IF(A1828="",1,0)</f>
        <v>0</v>
      </c>
      <c r="U1828" s="9" t="n">
        <f aca="false">IF(D1828="",1,0)</f>
        <v>0</v>
      </c>
      <c r="V1828" s="9" t="n">
        <f aca="false">IF(E1828="",1,0)</f>
        <v>0</v>
      </c>
      <c r="W1828" s="9" t="n">
        <f aca="false">IF(OR(H1828&lt;1,H1828&gt;10),1,0)</f>
        <v>0</v>
      </c>
      <c r="X1828" s="9" t="n">
        <f aca="false">IF(OR(I1828&lt;=0,I1828&gt;1500),1,0)</f>
        <v>0</v>
      </c>
      <c r="Y1828" s="9" t="n">
        <f aca="false">IF(J1828&gt;H1828*I1828,1,0)</f>
        <v>0</v>
      </c>
      <c r="Z1828" s="9" t="n">
        <f aca="false">IF(AND(N1828&lt;&gt;"",OR(N1828&lt;1,N1828&gt;5)),1,0)</f>
        <v>0</v>
      </c>
      <c r="AA1828" s="9" t="n">
        <f aca="false">IF(AND(M1828&lt;&gt;"",OR(M1828&lt;5,M1828&gt;180)),1,0)</f>
        <v>0</v>
      </c>
      <c r="AB1828" s="7" t="str">
        <f aca="false">IF(P1828="DUP","Exact duplicate row",IF(T1828=1,"Missing Order ID",IF(S1828="DROP","Duplicate Order ID (less complete row)",IF(U1828=1,"Missing Customer ID",IF(V1828=1,"Missing Restaurant name",IF(W1828=1,"Invalid/outlier quantity",IF(X1828=1,"Invalid/outlier unit price",IF(Y1828=1,"Discount greater than order value",""))))))))</f>
        <v/>
      </c>
      <c r="AC1828" s="7" t="str">
        <f aca="false">IF(AB1828="","KEEP","DROP")</f>
        <v>KEEP</v>
      </c>
      <c r="AD1828" s="7" t="str">
        <f aca="false">IF(TRIM(F1828)="",IFERROR(INDEX(Map_Tables!$I$4:$I$37,MATCH(TRIM(E1828),Map_Tables!$G$4:$G$37,0)),""),IFERROR(INDEX(Map_Tables!$B$4:$B$18,MATCH(TRIM(F1828),Map_Tables!$A$4:$A$18,0)),"CHECK"))</f>
        <v>Pune</v>
      </c>
      <c r="AE1828" s="7" t="str">
        <f aca="false">IF(TRIM(E1828)="","",IFERROR(INDEX(Map_Tables!$H$4:$H$37,MATCH(TRIM(E1828),Map_Tables!$G$4:$G$37,0)),"CHECK"))</f>
        <v>Maratha Thali House</v>
      </c>
      <c r="AF1828" s="7" t="str">
        <f aca="false">IF(TRIM(K1828)="","Unknown",IFERROR(INDEX(Map_Tables!$E$4:$E$15,MATCH(TRIM(K1828),Map_Tables!$D$4:$D$15,0)),"CHECK"))</f>
        <v>Credit Card</v>
      </c>
      <c r="AG1828" s="7" t="str">
        <f aca="false">IF(LEFT(LOWER(TRIM(L1828)),6)="cancel","Cancelled","Delivered")</f>
        <v>Delivered</v>
      </c>
      <c r="AH1828" s="10" t="n">
        <f aca="false">IF(ISNUMBER(SEARCH("/",B1828)),DATE(VALUE(RIGHT(B1828,4)),VALUE(MID(B1828,4,2)),VALUE(LEFT(B1828,2))),IF(MID(B1828,5,1)="-",DATE(VALUE(LEFT(B1828,4)),VALUE(MID(B1828,6,2)),VALUE(RIGHT(B1828,2))),DATE(VALUE(RIGHT(B1828,4)),MATCH(MID(B1828,4,3),{"Jan","Feb","Mar","Apr","May","Jun","Jul","Aug","Sep","Oct","Nov","Dec"},0),VALUE(LEFT(B1828,2)))))</f>
        <v>45975</v>
      </c>
    </row>
    <row r="1829" customFormat="false" ht="15" hidden="false" customHeight="false" outlineLevel="0" collapsed="false">
      <c r="A1829" s="7" t="s">
        <v>4483</v>
      </c>
      <c r="B1829" s="7" t="s">
        <v>1535</v>
      </c>
      <c r="C1829" s="7" t="s">
        <v>433</v>
      </c>
      <c r="D1829" s="7" t="s">
        <v>997</v>
      </c>
      <c r="E1829" s="7" t="s">
        <v>130</v>
      </c>
      <c r="F1829" s="7" t="s">
        <v>110</v>
      </c>
      <c r="G1829" s="7" t="s">
        <v>90</v>
      </c>
      <c r="H1829" s="7" t="n">
        <v>3</v>
      </c>
      <c r="I1829" s="7" t="n">
        <v>195</v>
      </c>
      <c r="J1829" s="7" t="n">
        <v>100</v>
      </c>
      <c r="K1829" s="7" t="s">
        <v>88</v>
      </c>
      <c r="L1829" s="7" t="s">
        <v>194</v>
      </c>
      <c r="M1829" s="7" t="n">
        <v>37</v>
      </c>
      <c r="N1829" s="7" t="n">
        <v>5</v>
      </c>
      <c r="O1829" s="7" t="str">
        <f aca="false">A1829&amp;"|"&amp;B1829&amp;"|"&amp;C1829&amp;"|"&amp;D1829&amp;"|"&amp;E1829&amp;"|"&amp;F1829&amp;"|"&amp;G1829&amp;"|"&amp;H1829&amp;"|"&amp;I1829&amp;"|"&amp;J1829&amp;"|"&amp;K1829&amp;"|"&amp;L1829&amp;"|"&amp;M1829&amp;"|"&amp;N1829</f>
        <v>ORD12020|2025-09-18|19:43|C1190|Tandoor Tales|Delhi|North Indian|3|195|100|UPI|Delivered|37|5</v>
      </c>
      <c r="P1829" s="7" t="str">
        <f aca="false">IF(COUNTIF($O$2:O1829,O1829)&gt;1,"DUP","OK")</f>
        <v>OK</v>
      </c>
      <c r="Q1829" s="7" t="n">
        <f aca="false">COUNTBLANK(A1829:N1829)</f>
        <v>0</v>
      </c>
      <c r="R1829" s="7" t="n">
        <f aca="false">IF(A1829="",0,COUNTIFS($A$2:$A$3058,A1829,$P$2:$P$3058,"OK"))</f>
        <v>1</v>
      </c>
      <c r="S1829" s="7" t="str">
        <f aca="false">IF(OR(A1829="",P1829="DUP",R1829&lt;2),"",IF(Q1829=_xlfn.MINIFS($Q$2:$Q$3058,$A$2:$A$3058,A1829,$P$2:$P$3058,"OK"),"KEEP","DROP"))</f>
        <v/>
      </c>
      <c r="T1829" s="9" t="n">
        <f aca="false">IF(A1829="",1,0)</f>
        <v>0</v>
      </c>
      <c r="U1829" s="9" t="n">
        <f aca="false">IF(D1829="",1,0)</f>
        <v>0</v>
      </c>
      <c r="V1829" s="9" t="n">
        <f aca="false">IF(E1829="",1,0)</f>
        <v>0</v>
      </c>
      <c r="W1829" s="9" t="n">
        <f aca="false">IF(OR(H1829&lt;1,H1829&gt;10),1,0)</f>
        <v>0</v>
      </c>
      <c r="X1829" s="9" t="n">
        <f aca="false">IF(OR(I1829&lt;=0,I1829&gt;1500),1,0)</f>
        <v>0</v>
      </c>
      <c r="Y1829" s="9" t="n">
        <f aca="false">IF(J1829&gt;H1829*I1829,1,0)</f>
        <v>0</v>
      </c>
      <c r="Z1829" s="9" t="n">
        <f aca="false">IF(AND(N1829&lt;&gt;"",OR(N1829&lt;1,N1829&gt;5)),1,0)</f>
        <v>0</v>
      </c>
      <c r="AA1829" s="9" t="n">
        <f aca="false">IF(AND(M1829&lt;&gt;"",OR(M1829&lt;5,M1829&gt;180)),1,0)</f>
        <v>0</v>
      </c>
      <c r="AB1829" s="7" t="str">
        <f aca="false">IF(P1829="DUP","Exact duplicate row",IF(T1829=1,"Missing Order ID",IF(S1829="DROP","Duplicate Order ID (less complete row)",IF(U1829=1,"Missing Customer ID",IF(V1829=1,"Missing Restaurant name",IF(W1829=1,"Invalid/outlier quantity",IF(X1829=1,"Invalid/outlier unit price",IF(Y1829=1,"Discount greater than order value",""))))))))</f>
        <v/>
      </c>
      <c r="AC1829" s="7" t="str">
        <f aca="false">IF(AB1829="","KEEP","DROP")</f>
        <v>KEEP</v>
      </c>
      <c r="AD1829" s="7" t="str">
        <f aca="false">IF(TRIM(F1829)="",IFERROR(INDEX(Map_Tables!$I$4:$I$37,MATCH(TRIM(E1829),Map_Tables!$G$4:$G$37,0)),""),IFERROR(INDEX(Map_Tables!$B$4:$B$18,MATCH(TRIM(F1829),Map_Tables!$A$4:$A$18,0)),"CHECK"))</f>
        <v>Delhi</v>
      </c>
      <c r="AE1829" s="7" t="str">
        <f aca="false">IF(TRIM(E1829)="","",IFERROR(INDEX(Map_Tables!$H$4:$H$37,MATCH(TRIM(E1829),Map_Tables!$G$4:$G$37,0)),"CHECK"))</f>
        <v>Tandoor Tales</v>
      </c>
      <c r="AF1829" s="7" t="str">
        <f aca="false">IF(TRIM(K1829)="","Unknown",IFERROR(INDEX(Map_Tables!$E$4:$E$15,MATCH(TRIM(K1829),Map_Tables!$D$4:$D$15,0)),"CHECK"))</f>
        <v>UPI</v>
      </c>
      <c r="AG1829" s="7" t="str">
        <f aca="false">IF(LEFT(LOWER(TRIM(L1829)),6)="cancel","Cancelled","Delivered")</f>
        <v>Delivered</v>
      </c>
      <c r="AH1829" s="10" t="n">
        <f aca="false">IF(ISNUMBER(SEARCH("/",B1829)),DATE(VALUE(RIGHT(B1829,4)),VALUE(MID(B1829,4,2)),VALUE(LEFT(B1829,2))),IF(MID(B1829,5,1)="-",DATE(VALUE(LEFT(B1829,4)),VALUE(MID(B1829,6,2)),VALUE(RIGHT(B1829,2))),DATE(VALUE(RIGHT(B1829,4)),MATCH(MID(B1829,4,3),{"Jan","Feb","Mar","Apr","May","Jun","Jul","Aug","Sep","Oct","Nov","Dec"},0),VALUE(LEFT(B1829,2)))))</f>
        <v>45918</v>
      </c>
    </row>
    <row r="1830" customFormat="false" ht="15" hidden="false" customHeight="false" outlineLevel="0" collapsed="false">
      <c r="A1830" s="7" t="s">
        <v>4484</v>
      </c>
      <c r="B1830" s="7" t="s">
        <v>4485</v>
      </c>
      <c r="C1830" s="7" t="s">
        <v>4486</v>
      </c>
      <c r="D1830" s="7" t="s">
        <v>281</v>
      </c>
      <c r="E1830" s="7" t="s">
        <v>138</v>
      </c>
      <c r="F1830" s="7" t="s">
        <v>110</v>
      </c>
      <c r="G1830" s="7" t="s">
        <v>139</v>
      </c>
      <c r="H1830" s="7" t="n">
        <v>1</v>
      </c>
      <c r="I1830" s="7" t="n">
        <v>175</v>
      </c>
      <c r="J1830" s="7" t="n">
        <v>40</v>
      </c>
      <c r="K1830" s="7" t="s">
        <v>88</v>
      </c>
      <c r="L1830" s="7" t="s">
        <v>194</v>
      </c>
      <c r="M1830" s="7" t="n">
        <v>36</v>
      </c>
      <c r="N1830" s="7"/>
      <c r="O1830" s="7" t="str">
        <f aca="false">A1830&amp;"|"&amp;B1830&amp;"|"&amp;C1830&amp;"|"&amp;D1830&amp;"|"&amp;E1830&amp;"|"&amp;F1830&amp;"|"&amp;G1830&amp;"|"&amp;H1830&amp;"|"&amp;I1830&amp;"|"&amp;J1830&amp;"|"&amp;K1830&amp;"|"&amp;L1830&amp;"|"&amp;M1830&amp;"|"&amp;N1830</f>
        <v>ORD10140|18/01/2025|22:44|C0984|Burger Barn|Delhi|Burgers|1|175|40|UPI|Delivered|36|</v>
      </c>
      <c r="P1830" s="7" t="str">
        <f aca="false">IF(COUNTIF($O$2:O1830,O1830)&gt;1,"DUP","OK")</f>
        <v>OK</v>
      </c>
      <c r="Q1830" s="7" t="n">
        <f aca="false">COUNTBLANK(A1830:N1830)</f>
        <v>1</v>
      </c>
      <c r="R1830" s="7" t="n">
        <f aca="false">IF(A1830="",0,COUNTIFS($A$2:$A$3058,A1830,$P$2:$P$3058,"OK"))</f>
        <v>1</v>
      </c>
      <c r="S1830" s="7" t="str">
        <f aca="false">IF(OR(A1830="",P1830="DUP",R1830&lt;2),"",IF(Q1830=_xlfn.MINIFS($Q$2:$Q$3058,$A$2:$A$3058,A1830,$P$2:$P$3058,"OK"),"KEEP","DROP"))</f>
        <v/>
      </c>
      <c r="T1830" s="9" t="n">
        <f aca="false">IF(A1830="",1,0)</f>
        <v>0</v>
      </c>
      <c r="U1830" s="9" t="n">
        <f aca="false">IF(D1830="",1,0)</f>
        <v>0</v>
      </c>
      <c r="V1830" s="9" t="n">
        <f aca="false">IF(E1830="",1,0)</f>
        <v>0</v>
      </c>
      <c r="W1830" s="9" t="n">
        <f aca="false">IF(OR(H1830&lt;1,H1830&gt;10),1,0)</f>
        <v>0</v>
      </c>
      <c r="X1830" s="9" t="n">
        <f aca="false">IF(OR(I1830&lt;=0,I1830&gt;1500),1,0)</f>
        <v>0</v>
      </c>
      <c r="Y1830" s="9" t="n">
        <f aca="false">IF(J1830&gt;H1830*I1830,1,0)</f>
        <v>0</v>
      </c>
      <c r="Z1830" s="9" t="n">
        <f aca="false">IF(AND(N1830&lt;&gt;"",OR(N1830&lt;1,N1830&gt;5)),1,0)</f>
        <v>0</v>
      </c>
      <c r="AA1830" s="9" t="n">
        <f aca="false">IF(AND(M1830&lt;&gt;"",OR(M1830&lt;5,M1830&gt;180)),1,0)</f>
        <v>0</v>
      </c>
      <c r="AB1830" s="7" t="str">
        <f aca="false">IF(P1830="DUP","Exact duplicate row",IF(T1830=1,"Missing Order ID",IF(S1830="DROP","Duplicate Order ID (less complete row)",IF(U1830=1,"Missing Customer ID",IF(V1830=1,"Missing Restaurant name",IF(W1830=1,"Invalid/outlier quantity",IF(X1830=1,"Invalid/outlier unit price",IF(Y1830=1,"Discount greater than order value",""))))))))</f>
        <v/>
      </c>
      <c r="AC1830" s="7" t="str">
        <f aca="false">IF(AB1830="","KEEP","DROP")</f>
        <v>KEEP</v>
      </c>
      <c r="AD1830" s="7" t="str">
        <f aca="false">IF(TRIM(F1830)="",IFERROR(INDEX(Map_Tables!$I$4:$I$37,MATCH(TRIM(E1830),Map_Tables!$G$4:$G$37,0)),""),IFERROR(INDEX(Map_Tables!$B$4:$B$18,MATCH(TRIM(F1830),Map_Tables!$A$4:$A$18,0)),"CHECK"))</f>
        <v>Delhi</v>
      </c>
      <c r="AE1830" s="7" t="str">
        <f aca="false">IF(TRIM(E1830)="","",IFERROR(INDEX(Map_Tables!$H$4:$H$37,MATCH(TRIM(E1830),Map_Tables!$G$4:$G$37,0)),"CHECK"))</f>
        <v>Burger Barn</v>
      </c>
      <c r="AF1830" s="7" t="str">
        <f aca="false">IF(TRIM(K1830)="","Unknown",IFERROR(INDEX(Map_Tables!$E$4:$E$15,MATCH(TRIM(K1830),Map_Tables!$D$4:$D$15,0)),"CHECK"))</f>
        <v>UPI</v>
      </c>
      <c r="AG1830" s="7" t="str">
        <f aca="false">IF(LEFT(LOWER(TRIM(L1830)),6)="cancel","Cancelled","Delivered")</f>
        <v>Delivered</v>
      </c>
      <c r="AH1830" s="10" t="n">
        <f aca="false">IF(ISNUMBER(SEARCH("/",B1830)),DATE(VALUE(RIGHT(B1830,4)),VALUE(MID(B1830,4,2)),VALUE(LEFT(B1830,2))),IF(MID(B1830,5,1)="-",DATE(VALUE(LEFT(B1830,4)),VALUE(MID(B1830,6,2)),VALUE(RIGHT(B1830,2))),DATE(VALUE(RIGHT(B1830,4)),MATCH(MID(B1830,4,3),{"Jan","Feb","Mar","Apr","May","Jun","Jul","Aug","Sep","Oct","Nov","Dec"},0),VALUE(LEFT(B1830,2)))))</f>
        <v>45675</v>
      </c>
    </row>
    <row r="1831" customFormat="false" ht="15" hidden="false" customHeight="false" outlineLevel="0" collapsed="false">
      <c r="A1831" s="7" t="s">
        <v>4487</v>
      </c>
      <c r="B1831" s="7" t="s">
        <v>1433</v>
      </c>
      <c r="C1831" s="7" t="s">
        <v>679</v>
      </c>
      <c r="D1831" s="7" t="s">
        <v>4488</v>
      </c>
      <c r="E1831" s="7" t="s">
        <v>122</v>
      </c>
      <c r="F1831" s="7" t="s">
        <v>1557</v>
      </c>
      <c r="G1831" s="7" t="s">
        <v>123</v>
      </c>
      <c r="H1831" s="7" t="n">
        <v>4</v>
      </c>
      <c r="I1831" s="7" t="n">
        <v>390</v>
      </c>
      <c r="J1831" s="7" t="n">
        <v>0</v>
      </c>
      <c r="K1831" s="7" t="s">
        <v>93</v>
      </c>
      <c r="L1831" s="7" t="s">
        <v>194</v>
      </c>
      <c r="M1831" s="7" t="n">
        <v>42</v>
      </c>
      <c r="N1831" s="7" t="n">
        <v>3</v>
      </c>
      <c r="O1831" s="7" t="str">
        <f aca="false">A1831&amp;"|"&amp;B1831&amp;"|"&amp;C1831&amp;"|"&amp;D1831&amp;"|"&amp;E1831&amp;"|"&amp;F1831&amp;"|"&amp;G1831&amp;"|"&amp;H1831&amp;"|"&amp;I1831&amp;"|"&amp;J1831&amp;"|"&amp;K1831&amp;"|"&amp;L1831&amp;"|"&amp;M1831&amp;"|"&amp;N1831</f>
        <v>ORD12057|2025-09-23|11:00|C0970|Mumbai Pizza Co|Mumbai |Pizza|4|390|0|Credit Card|Delivered|42|3</v>
      </c>
      <c r="P1831" s="7" t="str">
        <f aca="false">IF(COUNTIF($O$2:O1831,O1831)&gt;1,"DUP","OK")</f>
        <v>OK</v>
      </c>
      <c r="Q1831" s="7" t="n">
        <f aca="false">COUNTBLANK(A1831:N1831)</f>
        <v>0</v>
      </c>
      <c r="R1831" s="7" t="n">
        <f aca="false">IF(A1831="",0,COUNTIFS($A$2:$A$3058,A1831,$P$2:$P$3058,"OK"))</f>
        <v>1</v>
      </c>
      <c r="S1831" s="7" t="str">
        <f aca="false">IF(OR(A1831="",P1831="DUP",R1831&lt;2),"",IF(Q1831=_xlfn.MINIFS($Q$2:$Q$3058,$A$2:$A$3058,A1831,$P$2:$P$3058,"OK"),"KEEP","DROP"))</f>
        <v/>
      </c>
      <c r="T1831" s="9" t="n">
        <f aca="false">IF(A1831="",1,0)</f>
        <v>0</v>
      </c>
      <c r="U1831" s="9" t="n">
        <f aca="false">IF(D1831="",1,0)</f>
        <v>0</v>
      </c>
      <c r="V1831" s="9" t="n">
        <f aca="false">IF(E1831="",1,0)</f>
        <v>0</v>
      </c>
      <c r="W1831" s="9" t="n">
        <f aca="false">IF(OR(H1831&lt;1,H1831&gt;10),1,0)</f>
        <v>0</v>
      </c>
      <c r="X1831" s="9" t="n">
        <f aca="false">IF(OR(I1831&lt;=0,I1831&gt;1500),1,0)</f>
        <v>0</v>
      </c>
      <c r="Y1831" s="9" t="n">
        <f aca="false">IF(J1831&gt;H1831*I1831,1,0)</f>
        <v>0</v>
      </c>
      <c r="Z1831" s="9" t="n">
        <f aca="false">IF(AND(N1831&lt;&gt;"",OR(N1831&lt;1,N1831&gt;5)),1,0)</f>
        <v>0</v>
      </c>
      <c r="AA1831" s="9" t="n">
        <f aca="false">IF(AND(M1831&lt;&gt;"",OR(M1831&lt;5,M1831&gt;180)),1,0)</f>
        <v>0</v>
      </c>
      <c r="AB1831" s="7" t="str">
        <f aca="false">IF(P1831="DUP","Exact duplicate row",IF(T1831=1,"Missing Order ID",IF(S1831="DROP","Duplicate Order ID (less complete row)",IF(U1831=1,"Missing Customer ID",IF(V1831=1,"Missing Restaurant name",IF(W1831=1,"Invalid/outlier quantity",IF(X1831=1,"Invalid/outlier unit price",IF(Y1831=1,"Discount greater than order value",""))))))))</f>
        <v/>
      </c>
      <c r="AC1831" s="7" t="str">
        <f aca="false">IF(AB1831="","KEEP","DROP")</f>
        <v>KEEP</v>
      </c>
      <c r="AD1831" s="7" t="str">
        <f aca="false">IF(TRIM(F1831)="",IFERROR(INDEX(Map_Tables!$I$4:$I$37,MATCH(TRIM(E1831),Map_Tables!$G$4:$G$37,0)),""),IFERROR(INDEX(Map_Tables!$B$4:$B$18,MATCH(TRIM(F1831),Map_Tables!$A$4:$A$18,0)),"CHECK"))</f>
        <v>Mumbai</v>
      </c>
      <c r="AE1831" s="7" t="str">
        <f aca="false">IF(TRIM(E1831)="","",IFERROR(INDEX(Map_Tables!$H$4:$H$37,MATCH(TRIM(E1831),Map_Tables!$G$4:$G$37,0)),"CHECK"))</f>
        <v>Mumbai Pizza Co</v>
      </c>
      <c r="AF1831" s="7" t="str">
        <f aca="false">IF(TRIM(K1831)="","Unknown",IFERROR(INDEX(Map_Tables!$E$4:$E$15,MATCH(TRIM(K1831),Map_Tables!$D$4:$D$15,0)),"CHECK"))</f>
        <v>Credit Card</v>
      </c>
      <c r="AG1831" s="7" t="str">
        <f aca="false">IF(LEFT(LOWER(TRIM(L1831)),6)="cancel","Cancelled","Delivered")</f>
        <v>Delivered</v>
      </c>
      <c r="AH1831" s="10" t="n">
        <f aca="false">IF(ISNUMBER(SEARCH("/",B1831)),DATE(VALUE(RIGHT(B1831,4)),VALUE(MID(B1831,4,2)),VALUE(LEFT(B1831,2))),IF(MID(B1831,5,1)="-",DATE(VALUE(LEFT(B1831,4)),VALUE(MID(B1831,6,2)),VALUE(RIGHT(B1831,2))),DATE(VALUE(RIGHT(B1831,4)),MATCH(MID(B1831,4,3),{"Jan","Feb","Mar","Apr","May","Jun","Jul","Aug","Sep","Oct","Nov","Dec"},0),VALUE(LEFT(B1831,2)))))</f>
        <v>45923</v>
      </c>
    </row>
    <row r="1832" customFormat="false" ht="15" hidden="false" customHeight="false" outlineLevel="0" collapsed="false">
      <c r="A1832" s="7" t="s">
        <v>703</v>
      </c>
      <c r="B1832" s="7" t="s">
        <v>704</v>
      </c>
      <c r="C1832" s="7" t="s">
        <v>705</v>
      </c>
      <c r="D1832" s="7" t="s">
        <v>706</v>
      </c>
      <c r="E1832" s="7" t="s">
        <v>707</v>
      </c>
      <c r="F1832" s="7" t="s">
        <v>110</v>
      </c>
      <c r="G1832" s="7" t="s">
        <v>105</v>
      </c>
      <c r="H1832" s="7" t="n">
        <v>2</v>
      </c>
      <c r="I1832" s="7" t="n">
        <v>195</v>
      </c>
      <c r="J1832" s="7" t="n">
        <v>20</v>
      </c>
      <c r="K1832" s="7" t="s">
        <v>121</v>
      </c>
      <c r="L1832" s="7" t="s">
        <v>194</v>
      </c>
      <c r="M1832" s="7" t="n">
        <v>36</v>
      </c>
      <c r="N1832" s="7" t="n">
        <v>4</v>
      </c>
      <c r="O1832" s="7" t="str">
        <f aca="false">A1832&amp;"|"&amp;B1832&amp;"|"&amp;C1832&amp;"|"&amp;D1832&amp;"|"&amp;E1832&amp;"|"&amp;F1832&amp;"|"&amp;G1832&amp;"|"&amp;H1832&amp;"|"&amp;I1832&amp;"|"&amp;J1832&amp;"|"&amp;K1832&amp;"|"&amp;L1832&amp;"|"&amp;M1832&amp;"|"&amp;N1832</f>
        <v>ORD10283|2025-02-08|00:53|C0874|Momo Magic |Delhi|Chinese|2|195|20|Wallet|Delivered|36|4</v>
      </c>
      <c r="P1832" s="7" t="str">
        <f aca="false">IF(COUNTIF($O$2:O1832,O1832)&gt;1,"DUP","OK")</f>
        <v>DUP</v>
      </c>
      <c r="Q1832" s="7" t="n">
        <f aca="false">COUNTBLANK(A1832:N1832)</f>
        <v>0</v>
      </c>
      <c r="R1832" s="7" t="n">
        <f aca="false">IF(A1832="",0,COUNTIFS($A$2:$A$3058,A1832,$P$2:$P$3058,"OK"))</f>
        <v>1</v>
      </c>
      <c r="S1832" s="7" t="str">
        <f aca="false">IF(OR(A1832="",P1832="DUP",R1832&lt;2),"",IF(Q1832=_xlfn.MINIFS($Q$2:$Q$3058,$A$2:$A$3058,A1832,$P$2:$P$3058,"OK"),"KEEP","DROP"))</f>
        <v/>
      </c>
      <c r="T1832" s="9" t="n">
        <f aca="false">IF(A1832="",1,0)</f>
        <v>0</v>
      </c>
      <c r="U1832" s="9" t="n">
        <f aca="false">IF(D1832="",1,0)</f>
        <v>0</v>
      </c>
      <c r="V1832" s="9" t="n">
        <f aca="false">IF(E1832="",1,0)</f>
        <v>0</v>
      </c>
      <c r="W1832" s="9" t="n">
        <f aca="false">IF(OR(H1832&lt;1,H1832&gt;10),1,0)</f>
        <v>0</v>
      </c>
      <c r="X1832" s="9" t="n">
        <f aca="false">IF(OR(I1832&lt;=0,I1832&gt;1500),1,0)</f>
        <v>0</v>
      </c>
      <c r="Y1832" s="9" t="n">
        <f aca="false">IF(J1832&gt;H1832*I1832,1,0)</f>
        <v>0</v>
      </c>
      <c r="Z1832" s="9" t="n">
        <f aca="false">IF(AND(N1832&lt;&gt;"",OR(N1832&lt;1,N1832&gt;5)),1,0)</f>
        <v>0</v>
      </c>
      <c r="AA1832" s="9" t="n">
        <f aca="false">IF(AND(M1832&lt;&gt;"",OR(M1832&lt;5,M1832&gt;180)),1,0)</f>
        <v>0</v>
      </c>
      <c r="AB1832" s="7" t="str">
        <f aca="false">IF(P1832="DUP","Exact duplicate row",IF(T1832=1,"Missing Order ID",IF(S1832="DROP","Duplicate Order ID (less complete row)",IF(U1832=1,"Missing Customer ID",IF(V1832=1,"Missing Restaurant name",IF(W1832=1,"Invalid/outlier quantity",IF(X1832=1,"Invalid/outlier unit price",IF(Y1832=1,"Discount greater than order value",""))))))))</f>
        <v>Exact duplicate row</v>
      </c>
      <c r="AC1832" s="7" t="str">
        <f aca="false">IF(AB1832="","KEEP","DROP")</f>
        <v>DROP</v>
      </c>
      <c r="AD1832" s="7" t="str">
        <f aca="false">IF(TRIM(F1832)="",IFERROR(INDEX(Map_Tables!$I$4:$I$37,MATCH(TRIM(E1832),Map_Tables!$G$4:$G$37,0)),""),IFERROR(INDEX(Map_Tables!$B$4:$B$18,MATCH(TRIM(F1832),Map_Tables!$A$4:$A$18,0)),"CHECK"))</f>
        <v>Delhi</v>
      </c>
      <c r="AE1832" s="7" t="str">
        <f aca="false">IF(TRIM(E1832)="","",IFERROR(INDEX(Map_Tables!$H$4:$H$37,MATCH(TRIM(E1832),Map_Tables!$G$4:$G$37,0)),"CHECK"))</f>
        <v>Momo Magic</v>
      </c>
      <c r="AF1832" s="7" t="str">
        <f aca="false">IF(TRIM(K1832)="","Unknown",IFERROR(INDEX(Map_Tables!$E$4:$E$15,MATCH(TRIM(K1832),Map_Tables!$D$4:$D$15,0)),"CHECK"))</f>
        <v>Wallet</v>
      </c>
      <c r="AG1832" s="7" t="str">
        <f aca="false">IF(LEFT(LOWER(TRIM(L1832)),6)="cancel","Cancelled","Delivered")</f>
        <v>Delivered</v>
      </c>
      <c r="AH1832" s="10" t="n">
        <f aca="false">IF(ISNUMBER(SEARCH("/",B1832)),DATE(VALUE(RIGHT(B1832,4)),VALUE(MID(B1832,4,2)),VALUE(LEFT(B1832,2))),IF(MID(B1832,5,1)="-",DATE(VALUE(LEFT(B1832,4)),VALUE(MID(B1832,6,2)),VALUE(RIGHT(B1832,2))),DATE(VALUE(RIGHT(B1832,4)),MATCH(MID(B1832,4,3),{"Jan","Feb","Mar","Apr","May","Jun","Jul","Aug","Sep","Oct","Nov","Dec"},0),VALUE(LEFT(B1832,2)))))</f>
        <v>45696</v>
      </c>
    </row>
    <row r="1833" customFormat="false" ht="15" hidden="false" customHeight="false" outlineLevel="0" collapsed="false">
      <c r="A1833" s="7" t="s">
        <v>4489</v>
      </c>
      <c r="B1833" s="7" t="s">
        <v>4490</v>
      </c>
      <c r="C1833" s="7" t="s">
        <v>1091</v>
      </c>
      <c r="D1833" s="7" t="s">
        <v>1229</v>
      </c>
      <c r="E1833" s="7" t="s">
        <v>89</v>
      </c>
      <c r="F1833" s="7" t="s">
        <v>86</v>
      </c>
      <c r="G1833" s="7" t="s">
        <v>90</v>
      </c>
      <c r="H1833" s="7" t="n">
        <v>2</v>
      </c>
      <c r="I1833" s="7" t="n">
        <v>280</v>
      </c>
      <c r="J1833" s="7" t="n">
        <v>0</v>
      </c>
      <c r="K1833" s="7" t="s">
        <v>112</v>
      </c>
      <c r="L1833" s="7" t="s">
        <v>194</v>
      </c>
      <c r="M1833" s="7" t="n">
        <v>42</v>
      </c>
      <c r="N1833" s="7" t="n">
        <v>3</v>
      </c>
      <c r="O1833" s="7" t="str">
        <f aca="false">A1833&amp;"|"&amp;B1833&amp;"|"&amp;C1833&amp;"|"&amp;D1833&amp;"|"&amp;E1833&amp;"|"&amp;F1833&amp;"|"&amp;G1833&amp;"|"&amp;H1833&amp;"|"&amp;I1833&amp;"|"&amp;J1833&amp;"|"&amp;K1833&amp;"|"&amp;L1833&amp;"|"&amp;M1833&amp;"|"&amp;N1833</f>
        <v>ORD10259|04/02/2025|10:37|C1324|Spice Junction|Bengaluru|North Indian|2|280|0|Cash on Delivery|Delivered|42|3</v>
      </c>
      <c r="P1833" s="7" t="str">
        <f aca="false">IF(COUNTIF($O$2:O1833,O1833)&gt;1,"DUP","OK")</f>
        <v>OK</v>
      </c>
      <c r="Q1833" s="7" t="n">
        <f aca="false">COUNTBLANK(A1833:N1833)</f>
        <v>0</v>
      </c>
      <c r="R1833" s="7" t="n">
        <f aca="false">IF(A1833="",0,COUNTIFS($A$2:$A$3058,A1833,$P$2:$P$3058,"OK"))</f>
        <v>1</v>
      </c>
      <c r="S1833" s="7" t="str">
        <f aca="false">IF(OR(A1833="",P1833="DUP",R1833&lt;2),"",IF(Q1833=_xlfn.MINIFS($Q$2:$Q$3058,$A$2:$A$3058,A1833,$P$2:$P$3058,"OK"),"KEEP","DROP"))</f>
        <v/>
      </c>
      <c r="T1833" s="9" t="n">
        <f aca="false">IF(A1833="",1,0)</f>
        <v>0</v>
      </c>
      <c r="U1833" s="9" t="n">
        <f aca="false">IF(D1833="",1,0)</f>
        <v>0</v>
      </c>
      <c r="V1833" s="9" t="n">
        <f aca="false">IF(E1833="",1,0)</f>
        <v>0</v>
      </c>
      <c r="W1833" s="9" t="n">
        <f aca="false">IF(OR(H1833&lt;1,H1833&gt;10),1,0)</f>
        <v>0</v>
      </c>
      <c r="X1833" s="9" t="n">
        <f aca="false">IF(OR(I1833&lt;=0,I1833&gt;1500),1,0)</f>
        <v>0</v>
      </c>
      <c r="Y1833" s="9" t="n">
        <f aca="false">IF(J1833&gt;H1833*I1833,1,0)</f>
        <v>0</v>
      </c>
      <c r="Z1833" s="9" t="n">
        <f aca="false">IF(AND(N1833&lt;&gt;"",OR(N1833&lt;1,N1833&gt;5)),1,0)</f>
        <v>0</v>
      </c>
      <c r="AA1833" s="9" t="n">
        <f aca="false">IF(AND(M1833&lt;&gt;"",OR(M1833&lt;5,M1833&gt;180)),1,0)</f>
        <v>0</v>
      </c>
      <c r="AB1833" s="7" t="str">
        <f aca="false">IF(P1833="DUP","Exact duplicate row",IF(T1833=1,"Missing Order ID",IF(S1833="DROP","Duplicate Order ID (less complete row)",IF(U1833=1,"Missing Customer ID",IF(V1833=1,"Missing Restaurant name",IF(W1833=1,"Invalid/outlier quantity",IF(X1833=1,"Invalid/outlier unit price",IF(Y1833=1,"Discount greater than order value",""))))))))</f>
        <v/>
      </c>
      <c r="AC1833" s="7" t="str">
        <f aca="false">IF(AB1833="","KEEP","DROP")</f>
        <v>KEEP</v>
      </c>
      <c r="AD1833" s="7" t="str">
        <f aca="false">IF(TRIM(F1833)="",IFERROR(INDEX(Map_Tables!$I$4:$I$37,MATCH(TRIM(E1833),Map_Tables!$G$4:$G$37,0)),""),IFERROR(INDEX(Map_Tables!$B$4:$B$18,MATCH(TRIM(F1833),Map_Tables!$A$4:$A$18,0)),"CHECK"))</f>
        <v>Bengaluru</v>
      </c>
      <c r="AE1833" s="7" t="str">
        <f aca="false">IF(TRIM(E1833)="","",IFERROR(INDEX(Map_Tables!$H$4:$H$37,MATCH(TRIM(E1833),Map_Tables!$G$4:$G$37,0)),"CHECK"))</f>
        <v>Spice Junction</v>
      </c>
      <c r="AF1833" s="7" t="str">
        <f aca="false">IF(TRIM(K1833)="","Unknown",IFERROR(INDEX(Map_Tables!$E$4:$E$15,MATCH(TRIM(K1833),Map_Tables!$D$4:$D$15,0)),"CHECK"))</f>
        <v>Cash on Delivery</v>
      </c>
      <c r="AG1833" s="7" t="str">
        <f aca="false">IF(LEFT(LOWER(TRIM(L1833)),6)="cancel","Cancelled","Delivered")</f>
        <v>Delivered</v>
      </c>
      <c r="AH1833" s="10" t="n">
        <f aca="false">IF(ISNUMBER(SEARCH("/",B1833)),DATE(VALUE(RIGHT(B1833,4)),VALUE(MID(B1833,4,2)),VALUE(LEFT(B1833,2))),IF(MID(B1833,5,1)="-",DATE(VALUE(LEFT(B1833,4)),VALUE(MID(B1833,6,2)),VALUE(RIGHT(B1833,2))),DATE(VALUE(RIGHT(B1833,4)),MATCH(MID(B1833,4,3),{"Jan","Feb","Mar","Apr","May","Jun","Jul","Aug","Sep","Oct","Nov","Dec"},0),VALUE(LEFT(B1833,2)))))</f>
        <v>45692</v>
      </c>
    </row>
    <row r="1834" customFormat="false" ht="15" hidden="false" customHeight="false" outlineLevel="0" collapsed="false">
      <c r="A1834" s="7" t="s">
        <v>4491</v>
      </c>
      <c r="B1834" s="7" t="s">
        <v>984</v>
      </c>
      <c r="C1834" s="7" t="s">
        <v>1660</v>
      </c>
      <c r="D1834" s="7" t="s">
        <v>336</v>
      </c>
      <c r="E1834" s="7" t="s">
        <v>89</v>
      </c>
      <c r="F1834" s="7" t="s">
        <v>86</v>
      </c>
      <c r="G1834" s="7" t="s">
        <v>90</v>
      </c>
      <c r="H1834" s="7" t="n">
        <v>4</v>
      </c>
      <c r="I1834" s="7" t="n">
        <v>205</v>
      </c>
      <c r="J1834" s="7" t="n">
        <v>0</v>
      </c>
      <c r="K1834" s="7" t="s">
        <v>88</v>
      </c>
      <c r="L1834" s="7" t="s">
        <v>194</v>
      </c>
      <c r="M1834" s="7" t="n">
        <v>42</v>
      </c>
      <c r="N1834" s="7" t="n">
        <v>5</v>
      </c>
      <c r="O1834" s="7" t="str">
        <f aca="false">A1834&amp;"|"&amp;B1834&amp;"|"&amp;C1834&amp;"|"&amp;D1834&amp;"|"&amp;E1834&amp;"|"&amp;F1834&amp;"|"&amp;G1834&amp;"|"&amp;H1834&amp;"|"&amp;I1834&amp;"|"&amp;J1834&amp;"|"&amp;K1834&amp;"|"&amp;L1834&amp;"|"&amp;M1834&amp;"|"&amp;N1834</f>
        <v>ORD10617|2025-03-19|13:45|C1223|Spice Junction|Bengaluru|North Indian|4|205|0|UPI|Delivered|42|5</v>
      </c>
      <c r="P1834" s="7" t="str">
        <f aca="false">IF(COUNTIF($O$2:O1834,O1834)&gt;1,"DUP","OK")</f>
        <v>OK</v>
      </c>
      <c r="Q1834" s="7" t="n">
        <f aca="false">COUNTBLANK(A1834:N1834)</f>
        <v>0</v>
      </c>
      <c r="R1834" s="7" t="n">
        <f aca="false">IF(A1834="",0,COUNTIFS($A$2:$A$3058,A1834,$P$2:$P$3058,"OK"))</f>
        <v>1</v>
      </c>
      <c r="S1834" s="7" t="str">
        <f aca="false">IF(OR(A1834="",P1834="DUP",R1834&lt;2),"",IF(Q1834=_xlfn.MINIFS($Q$2:$Q$3058,$A$2:$A$3058,A1834,$P$2:$P$3058,"OK"),"KEEP","DROP"))</f>
        <v/>
      </c>
      <c r="T1834" s="9" t="n">
        <f aca="false">IF(A1834="",1,0)</f>
        <v>0</v>
      </c>
      <c r="U1834" s="9" t="n">
        <f aca="false">IF(D1834="",1,0)</f>
        <v>0</v>
      </c>
      <c r="V1834" s="9" t="n">
        <f aca="false">IF(E1834="",1,0)</f>
        <v>0</v>
      </c>
      <c r="W1834" s="9" t="n">
        <f aca="false">IF(OR(H1834&lt;1,H1834&gt;10),1,0)</f>
        <v>0</v>
      </c>
      <c r="X1834" s="9" t="n">
        <f aca="false">IF(OR(I1834&lt;=0,I1834&gt;1500),1,0)</f>
        <v>0</v>
      </c>
      <c r="Y1834" s="9" t="n">
        <f aca="false">IF(J1834&gt;H1834*I1834,1,0)</f>
        <v>0</v>
      </c>
      <c r="Z1834" s="9" t="n">
        <f aca="false">IF(AND(N1834&lt;&gt;"",OR(N1834&lt;1,N1834&gt;5)),1,0)</f>
        <v>0</v>
      </c>
      <c r="AA1834" s="9" t="n">
        <f aca="false">IF(AND(M1834&lt;&gt;"",OR(M1834&lt;5,M1834&gt;180)),1,0)</f>
        <v>0</v>
      </c>
      <c r="AB1834" s="7" t="str">
        <f aca="false">IF(P1834="DUP","Exact duplicate row",IF(T1834=1,"Missing Order ID",IF(S1834="DROP","Duplicate Order ID (less complete row)",IF(U1834=1,"Missing Customer ID",IF(V1834=1,"Missing Restaurant name",IF(W1834=1,"Invalid/outlier quantity",IF(X1834=1,"Invalid/outlier unit price",IF(Y1834=1,"Discount greater than order value",""))))))))</f>
        <v/>
      </c>
      <c r="AC1834" s="7" t="str">
        <f aca="false">IF(AB1834="","KEEP","DROP")</f>
        <v>KEEP</v>
      </c>
      <c r="AD1834" s="7" t="str">
        <f aca="false">IF(TRIM(F1834)="",IFERROR(INDEX(Map_Tables!$I$4:$I$37,MATCH(TRIM(E1834),Map_Tables!$G$4:$G$37,0)),""),IFERROR(INDEX(Map_Tables!$B$4:$B$18,MATCH(TRIM(F1834),Map_Tables!$A$4:$A$18,0)),"CHECK"))</f>
        <v>Bengaluru</v>
      </c>
      <c r="AE1834" s="7" t="str">
        <f aca="false">IF(TRIM(E1834)="","",IFERROR(INDEX(Map_Tables!$H$4:$H$37,MATCH(TRIM(E1834),Map_Tables!$G$4:$G$37,0)),"CHECK"))</f>
        <v>Spice Junction</v>
      </c>
      <c r="AF1834" s="7" t="str">
        <f aca="false">IF(TRIM(K1834)="","Unknown",IFERROR(INDEX(Map_Tables!$E$4:$E$15,MATCH(TRIM(K1834),Map_Tables!$D$4:$D$15,0)),"CHECK"))</f>
        <v>UPI</v>
      </c>
      <c r="AG1834" s="7" t="str">
        <f aca="false">IF(LEFT(LOWER(TRIM(L1834)),6)="cancel","Cancelled","Delivered")</f>
        <v>Delivered</v>
      </c>
      <c r="AH1834" s="10" t="n">
        <f aca="false">IF(ISNUMBER(SEARCH("/",B1834)),DATE(VALUE(RIGHT(B1834,4)),VALUE(MID(B1834,4,2)),VALUE(LEFT(B1834,2))),IF(MID(B1834,5,1)="-",DATE(VALUE(LEFT(B1834,4)),VALUE(MID(B1834,6,2)),VALUE(RIGHT(B1834,2))),DATE(VALUE(RIGHT(B1834,4)),MATCH(MID(B1834,4,3),{"Jan","Feb","Mar","Apr","May","Jun","Jul","Aug","Sep","Oct","Nov","Dec"},0),VALUE(LEFT(B1834,2)))))</f>
        <v>45735</v>
      </c>
    </row>
    <row r="1835" customFormat="false" ht="15" hidden="false" customHeight="false" outlineLevel="0" collapsed="false">
      <c r="A1835" s="7" t="s">
        <v>4492</v>
      </c>
      <c r="B1835" s="7" t="s">
        <v>432</v>
      </c>
      <c r="C1835" s="7" t="s">
        <v>437</v>
      </c>
      <c r="D1835" s="7" t="s">
        <v>4427</v>
      </c>
      <c r="E1835" s="7" t="s">
        <v>113</v>
      </c>
      <c r="F1835" s="7" t="s">
        <v>101</v>
      </c>
      <c r="G1835" s="7" t="s">
        <v>90</v>
      </c>
      <c r="H1835" s="7" t="n">
        <v>2</v>
      </c>
      <c r="I1835" s="7" t="n">
        <v>255</v>
      </c>
      <c r="J1835" s="7" t="n">
        <v>560</v>
      </c>
      <c r="K1835" s="7" t="s">
        <v>112</v>
      </c>
      <c r="L1835" s="7" t="s">
        <v>194</v>
      </c>
      <c r="M1835" s="7" t="n">
        <v>41</v>
      </c>
      <c r="N1835" s="7" t="n">
        <v>5</v>
      </c>
      <c r="O1835" s="7" t="str">
        <f aca="false">A1835&amp;"|"&amp;B1835&amp;"|"&amp;C1835&amp;"|"&amp;D1835&amp;"|"&amp;E1835&amp;"|"&amp;F1835&amp;"|"&amp;G1835&amp;"|"&amp;H1835&amp;"|"&amp;I1835&amp;"|"&amp;J1835&amp;"|"&amp;K1835&amp;"|"&amp;L1835&amp;"|"&amp;M1835&amp;"|"&amp;N1835</f>
        <v>ORD11812|2025-08-24|22:59|C0342|Curry Leaf Kitchen|Mumbai|North Indian|2|255|560|Cash on Delivery|Delivered|41|5</v>
      </c>
      <c r="P1835" s="7" t="str">
        <f aca="false">IF(COUNTIF($O$2:O1835,O1835)&gt;1,"DUP","OK")</f>
        <v>OK</v>
      </c>
      <c r="Q1835" s="7" t="n">
        <f aca="false">COUNTBLANK(A1835:N1835)</f>
        <v>0</v>
      </c>
      <c r="R1835" s="7" t="n">
        <f aca="false">IF(A1835="",0,COUNTIFS($A$2:$A$3058,A1835,$P$2:$P$3058,"OK"))</f>
        <v>1</v>
      </c>
      <c r="S1835" s="7" t="str">
        <f aca="false">IF(OR(A1835="",P1835="DUP",R1835&lt;2),"",IF(Q1835=_xlfn.MINIFS($Q$2:$Q$3058,$A$2:$A$3058,A1835,$P$2:$P$3058,"OK"),"KEEP","DROP"))</f>
        <v/>
      </c>
      <c r="T1835" s="9" t="n">
        <f aca="false">IF(A1835="",1,0)</f>
        <v>0</v>
      </c>
      <c r="U1835" s="9" t="n">
        <f aca="false">IF(D1835="",1,0)</f>
        <v>0</v>
      </c>
      <c r="V1835" s="9" t="n">
        <f aca="false">IF(E1835="",1,0)</f>
        <v>0</v>
      </c>
      <c r="W1835" s="9" t="n">
        <f aca="false">IF(OR(H1835&lt;1,H1835&gt;10),1,0)</f>
        <v>0</v>
      </c>
      <c r="X1835" s="9" t="n">
        <f aca="false">IF(OR(I1835&lt;=0,I1835&gt;1500),1,0)</f>
        <v>0</v>
      </c>
      <c r="Y1835" s="9" t="n">
        <f aca="false">IF(J1835&gt;H1835*I1835,1,0)</f>
        <v>1</v>
      </c>
      <c r="Z1835" s="9" t="n">
        <f aca="false">IF(AND(N1835&lt;&gt;"",OR(N1835&lt;1,N1835&gt;5)),1,0)</f>
        <v>0</v>
      </c>
      <c r="AA1835" s="9" t="n">
        <f aca="false">IF(AND(M1835&lt;&gt;"",OR(M1835&lt;5,M1835&gt;180)),1,0)</f>
        <v>0</v>
      </c>
      <c r="AB1835" s="7" t="str">
        <f aca="false">IF(P1835="DUP","Exact duplicate row",IF(T1835=1,"Missing Order ID",IF(S1835="DROP","Duplicate Order ID (less complete row)",IF(U1835=1,"Missing Customer ID",IF(V1835=1,"Missing Restaurant name",IF(W1835=1,"Invalid/outlier quantity",IF(X1835=1,"Invalid/outlier unit price",IF(Y1835=1,"Discount greater than order value",""))))))))</f>
        <v>Discount greater than order value</v>
      </c>
      <c r="AC1835" s="7" t="str">
        <f aca="false">IF(AB1835="","KEEP","DROP")</f>
        <v>DROP</v>
      </c>
      <c r="AD1835" s="7" t="str">
        <f aca="false">IF(TRIM(F1835)="",IFERROR(INDEX(Map_Tables!$I$4:$I$37,MATCH(TRIM(E1835),Map_Tables!$G$4:$G$37,0)),""),IFERROR(INDEX(Map_Tables!$B$4:$B$18,MATCH(TRIM(F1835),Map_Tables!$A$4:$A$18,0)),"CHECK"))</f>
        <v>Mumbai</v>
      </c>
      <c r="AE1835" s="7" t="str">
        <f aca="false">IF(TRIM(E1835)="","",IFERROR(INDEX(Map_Tables!$H$4:$H$37,MATCH(TRIM(E1835),Map_Tables!$G$4:$G$37,0)),"CHECK"))</f>
        <v>Curry Leaf Kitchen</v>
      </c>
      <c r="AF1835" s="7" t="str">
        <f aca="false">IF(TRIM(K1835)="","Unknown",IFERROR(INDEX(Map_Tables!$E$4:$E$15,MATCH(TRIM(K1835),Map_Tables!$D$4:$D$15,0)),"CHECK"))</f>
        <v>Cash on Delivery</v>
      </c>
      <c r="AG1835" s="7" t="str">
        <f aca="false">IF(LEFT(LOWER(TRIM(L1835)),6)="cancel","Cancelled","Delivered")</f>
        <v>Delivered</v>
      </c>
      <c r="AH1835" s="10" t="n">
        <f aca="false">IF(ISNUMBER(SEARCH("/",B1835)),DATE(VALUE(RIGHT(B1835,4)),VALUE(MID(B1835,4,2)),VALUE(LEFT(B1835,2))),IF(MID(B1835,5,1)="-",DATE(VALUE(LEFT(B1835,4)),VALUE(MID(B1835,6,2)),VALUE(RIGHT(B1835,2))),DATE(VALUE(RIGHT(B1835,4)),MATCH(MID(B1835,4,3),{"Jan","Feb","Mar","Apr","May","Jun","Jul","Aug","Sep","Oct","Nov","Dec"},0),VALUE(LEFT(B1835,2)))))</f>
        <v>45893</v>
      </c>
    </row>
    <row r="1836" customFormat="false" ht="15" hidden="false" customHeight="false" outlineLevel="0" collapsed="false">
      <c r="A1836" s="7" t="s">
        <v>4493</v>
      </c>
      <c r="B1836" s="7" t="s">
        <v>1304</v>
      </c>
      <c r="C1836" s="7" t="s">
        <v>4312</v>
      </c>
      <c r="D1836" s="7" t="s">
        <v>4494</v>
      </c>
      <c r="E1836" s="7" t="s">
        <v>1862</v>
      </c>
      <c r="F1836" s="7" t="s">
        <v>86</v>
      </c>
      <c r="G1836" s="7" t="s">
        <v>90</v>
      </c>
      <c r="H1836" s="7" t="n">
        <v>1</v>
      </c>
      <c r="I1836" s="7" t="n">
        <v>205</v>
      </c>
      <c r="J1836" s="7" t="n">
        <v>0</v>
      </c>
      <c r="K1836" s="7" t="s">
        <v>112</v>
      </c>
      <c r="L1836" s="7" t="s">
        <v>194</v>
      </c>
      <c r="M1836" s="7" t="n">
        <v>54</v>
      </c>
      <c r="N1836" s="7" t="n">
        <v>4</v>
      </c>
      <c r="O1836" s="7" t="str">
        <f aca="false">A1836&amp;"|"&amp;B1836&amp;"|"&amp;C1836&amp;"|"&amp;D1836&amp;"|"&amp;E1836&amp;"|"&amp;F1836&amp;"|"&amp;G1836&amp;"|"&amp;H1836&amp;"|"&amp;I1836&amp;"|"&amp;J1836&amp;"|"&amp;K1836&amp;"|"&amp;L1836&amp;"|"&amp;M1836&amp;"|"&amp;N1836</f>
        <v>ORD11798|2025-08-22|21:18|C0142|Spice Junction |Bengaluru|North Indian|1|205|0|Cash on Delivery|Delivered|54|4</v>
      </c>
      <c r="P1836" s="7" t="str">
        <f aca="false">IF(COUNTIF($O$2:O1836,O1836)&gt;1,"DUP","OK")</f>
        <v>OK</v>
      </c>
      <c r="Q1836" s="7" t="n">
        <f aca="false">COUNTBLANK(A1836:N1836)</f>
        <v>0</v>
      </c>
      <c r="R1836" s="7" t="n">
        <f aca="false">IF(A1836="",0,COUNTIFS($A$2:$A$3058,A1836,$P$2:$P$3058,"OK"))</f>
        <v>1</v>
      </c>
      <c r="S1836" s="7" t="str">
        <f aca="false">IF(OR(A1836="",P1836="DUP",R1836&lt;2),"",IF(Q1836=_xlfn.MINIFS($Q$2:$Q$3058,$A$2:$A$3058,A1836,$P$2:$P$3058,"OK"),"KEEP","DROP"))</f>
        <v/>
      </c>
      <c r="T1836" s="9" t="n">
        <f aca="false">IF(A1836="",1,0)</f>
        <v>0</v>
      </c>
      <c r="U1836" s="9" t="n">
        <f aca="false">IF(D1836="",1,0)</f>
        <v>0</v>
      </c>
      <c r="V1836" s="9" t="n">
        <f aca="false">IF(E1836="",1,0)</f>
        <v>0</v>
      </c>
      <c r="W1836" s="9" t="n">
        <f aca="false">IF(OR(H1836&lt;1,H1836&gt;10),1,0)</f>
        <v>0</v>
      </c>
      <c r="X1836" s="9" t="n">
        <f aca="false">IF(OR(I1836&lt;=0,I1836&gt;1500),1,0)</f>
        <v>0</v>
      </c>
      <c r="Y1836" s="9" t="n">
        <f aca="false">IF(J1836&gt;H1836*I1836,1,0)</f>
        <v>0</v>
      </c>
      <c r="Z1836" s="9" t="n">
        <f aca="false">IF(AND(N1836&lt;&gt;"",OR(N1836&lt;1,N1836&gt;5)),1,0)</f>
        <v>0</v>
      </c>
      <c r="AA1836" s="9" t="n">
        <f aca="false">IF(AND(M1836&lt;&gt;"",OR(M1836&lt;5,M1836&gt;180)),1,0)</f>
        <v>0</v>
      </c>
      <c r="AB1836" s="7" t="str">
        <f aca="false">IF(P1836="DUP","Exact duplicate row",IF(T1836=1,"Missing Order ID",IF(S1836="DROP","Duplicate Order ID (less complete row)",IF(U1836=1,"Missing Customer ID",IF(V1836=1,"Missing Restaurant name",IF(W1836=1,"Invalid/outlier quantity",IF(X1836=1,"Invalid/outlier unit price",IF(Y1836=1,"Discount greater than order value",""))))))))</f>
        <v/>
      </c>
      <c r="AC1836" s="7" t="str">
        <f aca="false">IF(AB1836="","KEEP","DROP")</f>
        <v>KEEP</v>
      </c>
      <c r="AD1836" s="7" t="str">
        <f aca="false">IF(TRIM(F1836)="",IFERROR(INDEX(Map_Tables!$I$4:$I$37,MATCH(TRIM(E1836),Map_Tables!$G$4:$G$37,0)),""),IFERROR(INDEX(Map_Tables!$B$4:$B$18,MATCH(TRIM(F1836),Map_Tables!$A$4:$A$18,0)),"CHECK"))</f>
        <v>Bengaluru</v>
      </c>
      <c r="AE1836" s="7" t="str">
        <f aca="false">IF(TRIM(E1836)="","",IFERROR(INDEX(Map_Tables!$H$4:$H$37,MATCH(TRIM(E1836),Map_Tables!$G$4:$G$37,0)),"CHECK"))</f>
        <v>Spice Junction</v>
      </c>
      <c r="AF1836" s="7" t="str">
        <f aca="false">IF(TRIM(K1836)="","Unknown",IFERROR(INDEX(Map_Tables!$E$4:$E$15,MATCH(TRIM(K1836),Map_Tables!$D$4:$D$15,0)),"CHECK"))</f>
        <v>Cash on Delivery</v>
      </c>
      <c r="AG1836" s="7" t="str">
        <f aca="false">IF(LEFT(LOWER(TRIM(L1836)),6)="cancel","Cancelled","Delivered")</f>
        <v>Delivered</v>
      </c>
      <c r="AH1836" s="10" t="n">
        <f aca="false">IF(ISNUMBER(SEARCH("/",B1836)),DATE(VALUE(RIGHT(B1836,4)),VALUE(MID(B1836,4,2)),VALUE(LEFT(B1836,2))),IF(MID(B1836,5,1)="-",DATE(VALUE(LEFT(B1836,4)),VALUE(MID(B1836,6,2)),VALUE(RIGHT(B1836,2))),DATE(VALUE(RIGHT(B1836,4)),MATCH(MID(B1836,4,3),{"Jan","Feb","Mar","Apr","May","Jun","Jul","Aug","Sep","Oct","Nov","Dec"},0),VALUE(LEFT(B1836,2)))))</f>
        <v>45891</v>
      </c>
    </row>
    <row r="1837" customFormat="false" ht="15" hidden="false" customHeight="false" outlineLevel="0" collapsed="false">
      <c r="A1837" s="7" t="s">
        <v>4495</v>
      </c>
      <c r="B1837" s="7" t="s">
        <v>4496</v>
      </c>
      <c r="C1837" s="7" t="s">
        <v>4497</v>
      </c>
      <c r="D1837" s="7" t="s">
        <v>4498</v>
      </c>
      <c r="E1837" s="7" t="s">
        <v>138</v>
      </c>
      <c r="F1837" s="7" t="s">
        <v>110</v>
      </c>
      <c r="G1837" s="7" t="s">
        <v>139</v>
      </c>
      <c r="H1837" s="7" t="n">
        <v>2</v>
      </c>
      <c r="I1837" s="7" t="n">
        <v>205</v>
      </c>
      <c r="J1837" s="7" t="n">
        <v>0</v>
      </c>
      <c r="K1837" s="7" t="s">
        <v>88</v>
      </c>
      <c r="L1837" s="7" t="s">
        <v>194</v>
      </c>
      <c r="M1837" s="7" t="n">
        <v>39</v>
      </c>
      <c r="N1837" s="7" t="n">
        <v>2</v>
      </c>
      <c r="O1837" s="7" t="str">
        <f aca="false">A1837&amp;"|"&amp;B1837&amp;"|"&amp;C1837&amp;"|"&amp;D1837&amp;"|"&amp;E1837&amp;"|"&amp;F1837&amp;"|"&amp;G1837&amp;"|"&amp;H1837&amp;"|"&amp;I1837&amp;"|"&amp;J1837&amp;"|"&amp;K1837&amp;"|"&amp;L1837&amp;"|"&amp;M1837&amp;"|"&amp;N1837</f>
        <v>ORD12145|02/10/2025|08:13|C1396|Burger Barn|Delhi|Burgers|2|205|0|UPI|Delivered|39|2</v>
      </c>
      <c r="P1837" s="7" t="str">
        <f aca="false">IF(COUNTIF($O$2:O1837,O1837)&gt;1,"DUP","OK")</f>
        <v>OK</v>
      </c>
      <c r="Q1837" s="7" t="n">
        <f aca="false">COUNTBLANK(A1837:N1837)</f>
        <v>0</v>
      </c>
      <c r="R1837" s="7" t="n">
        <f aca="false">IF(A1837="",0,COUNTIFS($A$2:$A$3058,A1837,$P$2:$P$3058,"OK"))</f>
        <v>1</v>
      </c>
      <c r="S1837" s="7" t="str">
        <f aca="false">IF(OR(A1837="",P1837="DUP",R1837&lt;2),"",IF(Q1837=_xlfn.MINIFS($Q$2:$Q$3058,$A$2:$A$3058,A1837,$P$2:$P$3058,"OK"),"KEEP","DROP"))</f>
        <v/>
      </c>
      <c r="T1837" s="9" t="n">
        <f aca="false">IF(A1837="",1,0)</f>
        <v>0</v>
      </c>
      <c r="U1837" s="9" t="n">
        <f aca="false">IF(D1837="",1,0)</f>
        <v>0</v>
      </c>
      <c r="V1837" s="9" t="n">
        <f aca="false">IF(E1837="",1,0)</f>
        <v>0</v>
      </c>
      <c r="W1837" s="9" t="n">
        <f aca="false">IF(OR(H1837&lt;1,H1837&gt;10),1,0)</f>
        <v>0</v>
      </c>
      <c r="X1837" s="9" t="n">
        <f aca="false">IF(OR(I1837&lt;=0,I1837&gt;1500),1,0)</f>
        <v>0</v>
      </c>
      <c r="Y1837" s="9" t="n">
        <f aca="false">IF(J1837&gt;H1837*I1837,1,0)</f>
        <v>0</v>
      </c>
      <c r="Z1837" s="9" t="n">
        <f aca="false">IF(AND(N1837&lt;&gt;"",OR(N1837&lt;1,N1837&gt;5)),1,0)</f>
        <v>0</v>
      </c>
      <c r="AA1837" s="9" t="n">
        <f aca="false">IF(AND(M1837&lt;&gt;"",OR(M1837&lt;5,M1837&gt;180)),1,0)</f>
        <v>0</v>
      </c>
      <c r="AB1837" s="7" t="str">
        <f aca="false">IF(P1837="DUP","Exact duplicate row",IF(T1837=1,"Missing Order ID",IF(S1837="DROP","Duplicate Order ID (less complete row)",IF(U1837=1,"Missing Customer ID",IF(V1837=1,"Missing Restaurant name",IF(W1837=1,"Invalid/outlier quantity",IF(X1837=1,"Invalid/outlier unit price",IF(Y1837=1,"Discount greater than order value",""))))))))</f>
        <v/>
      </c>
      <c r="AC1837" s="7" t="str">
        <f aca="false">IF(AB1837="","KEEP","DROP")</f>
        <v>KEEP</v>
      </c>
      <c r="AD1837" s="7" t="str">
        <f aca="false">IF(TRIM(F1837)="",IFERROR(INDEX(Map_Tables!$I$4:$I$37,MATCH(TRIM(E1837),Map_Tables!$G$4:$G$37,0)),""),IFERROR(INDEX(Map_Tables!$B$4:$B$18,MATCH(TRIM(F1837),Map_Tables!$A$4:$A$18,0)),"CHECK"))</f>
        <v>Delhi</v>
      </c>
      <c r="AE1837" s="7" t="str">
        <f aca="false">IF(TRIM(E1837)="","",IFERROR(INDEX(Map_Tables!$H$4:$H$37,MATCH(TRIM(E1837),Map_Tables!$G$4:$G$37,0)),"CHECK"))</f>
        <v>Burger Barn</v>
      </c>
      <c r="AF1837" s="7" t="str">
        <f aca="false">IF(TRIM(K1837)="","Unknown",IFERROR(INDEX(Map_Tables!$E$4:$E$15,MATCH(TRIM(K1837),Map_Tables!$D$4:$D$15,0)),"CHECK"))</f>
        <v>UPI</v>
      </c>
      <c r="AG1837" s="7" t="str">
        <f aca="false">IF(LEFT(LOWER(TRIM(L1837)),6)="cancel","Cancelled","Delivered")</f>
        <v>Delivered</v>
      </c>
      <c r="AH1837" s="10" t="n">
        <f aca="false">IF(ISNUMBER(SEARCH("/",B1837)),DATE(VALUE(RIGHT(B1837,4)),VALUE(MID(B1837,4,2)),VALUE(LEFT(B1837,2))),IF(MID(B1837,5,1)="-",DATE(VALUE(LEFT(B1837,4)),VALUE(MID(B1837,6,2)),VALUE(RIGHT(B1837,2))),DATE(VALUE(RIGHT(B1837,4)),MATCH(MID(B1837,4,3),{"Jan","Feb","Mar","Apr","May","Jun","Jul","Aug","Sep","Oct","Nov","Dec"},0),VALUE(LEFT(B1837,2)))))</f>
        <v>45932</v>
      </c>
    </row>
    <row r="1838" customFormat="false" ht="15" hidden="false" customHeight="false" outlineLevel="0" collapsed="false">
      <c r="A1838" s="7" t="s">
        <v>4499</v>
      </c>
      <c r="B1838" s="7" t="s">
        <v>1970</v>
      </c>
      <c r="C1838" s="7" t="s">
        <v>4500</v>
      </c>
      <c r="D1838" s="7" t="s">
        <v>1632</v>
      </c>
      <c r="E1838" s="7" t="s">
        <v>154</v>
      </c>
      <c r="F1838" s="7" t="s">
        <v>128</v>
      </c>
      <c r="G1838" s="7" t="s">
        <v>99</v>
      </c>
      <c r="H1838" s="7" t="n">
        <v>3</v>
      </c>
      <c r="I1838" s="7" t="n">
        <v>245</v>
      </c>
      <c r="J1838" s="7" t="n">
        <v>0</v>
      </c>
      <c r="K1838" s="7" t="s">
        <v>88</v>
      </c>
      <c r="L1838" s="7" t="s">
        <v>194</v>
      </c>
      <c r="M1838" s="7" t="n">
        <v>35</v>
      </c>
      <c r="N1838" s="7" t="n">
        <v>4</v>
      </c>
      <c r="O1838" s="7" t="str">
        <f aca="false">A1838&amp;"|"&amp;B1838&amp;"|"&amp;C1838&amp;"|"&amp;D1838&amp;"|"&amp;E1838&amp;"|"&amp;F1838&amp;"|"&amp;G1838&amp;"|"&amp;H1838&amp;"|"&amp;I1838&amp;"|"&amp;J1838&amp;"|"&amp;K1838&amp;"|"&amp;L1838&amp;"|"&amp;M1838&amp;"|"&amp;N1838</f>
        <v>ORD12132|2025-10-01|09:55|C0540|Madras Biryani Co|Chennai|Biryani|3|245|0|UPI|Delivered|35|4</v>
      </c>
      <c r="P1838" s="7" t="str">
        <f aca="false">IF(COUNTIF($O$2:O1838,O1838)&gt;1,"DUP","OK")</f>
        <v>OK</v>
      </c>
      <c r="Q1838" s="7" t="n">
        <f aca="false">COUNTBLANK(A1838:N1838)</f>
        <v>0</v>
      </c>
      <c r="R1838" s="7" t="n">
        <f aca="false">IF(A1838="",0,COUNTIFS($A$2:$A$3058,A1838,$P$2:$P$3058,"OK"))</f>
        <v>1</v>
      </c>
      <c r="S1838" s="7" t="str">
        <f aca="false">IF(OR(A1838="",P1838="DUP",R1838&lt;2),"",IF(Q1838=_xlfn.MINIFS($Q$2:$Q$3058,$A$2:$A$3058,A1838,$P$2:$P$3058,"OK"),"KEEP","DROP"))</f>
        <v/>
      </c>
      <c r="T1838" s="9" t="n">
        <f aca="false">IF(A1838="",1,0)</f>
        <v>0</v>
      </c>
      <c r="U1838" s="9" t="n">
        <f aca="false">IF(D1838="",1,0)</f>
        <v>0</v>
      </c>
      <c r="V1838" s="9" t="n">
        <f aca="false">IF(E1838="",1,0)</f>
        <v>0</v>
      </c>
      <c r="W1838" s="9" t="n">
        <f aca="false">IF(OR(H1838&lt;1,H1838&gt;10),1,0)</f>
        <v>0</v>
      </c>
      <c r="X1838" s="9" t="n">
        <f aca="false">IF(OR(I1838&lt;=0,I1838&gt;1500),1,0)</f>
        <v>0</v>
      </c>
      <c r="Y1838" s="9" t="n">
        <f aca="false">IF(J1838&gt;H1838*I1838,1,0)</f>
        <v>0</v>
      </c>
      <c r="Z1838" s="9" t="n">
        <f aca="false">IF(AND(N1838&lt;&gt;"",OR(N1838&lt;1,N1838&gt;5)),1,0)</f>
        <v>0</v>
      </c>
      <c r="AA1838" s="9" t="n">
        <f aca="false">IF(AND(M1838&lt;&gt;"",OR(M1838&lt;5,M1838&gt;180)),1,0)</f>
        <v>0</v>
      </c>
      <c r="AB1838" s="7" t="str">
        <f aca="false">IF(P1838="DUP","Exact duplicate row",IF(T1838=1,"Missing Order ID",IF(S1838="DROP","Duplicate Order ID (less complete row)",IF(U1838=1,"Missing Customer ID",IF(V1838=1,"Missing Restaurant name",IF(W1838=1,"Invalid/outlier quantity",IF(X1838=1,"Invalid/outlier unit price",IF(Y1838=1,"Discount greater than order value",""))))))))</f>
        <v/>
      </c>
      <c r="AC1838" s="7" t="str">
        <f aca="false">IF(AB1838="","KEEP","DROP")</f>
        <v>KEEP</v>
      </c>
      <c r="AD1838" s="7" t="str">
        <f aca="false">IF(TRIM(F1838)="",IFERROR(INDEX(Map_Tables!$I$4:$I$37,MATCH(TRIM(E1838),Map_Tables!$G$4:$G$37,0)),""),IFERROR(INDEX(Map_Tables!$B$4:$B$18,MATCH(TRIM(F1838),Map_Tables!$A$4:$A$18,0)),"CHECK"))</f>
        <v>Chennai</v>
      </c>
      <c r="AE1838" s="7" t="str">
        <f aca="false">IF(TRIM(E1838)="","",IFERROR(INDEX(Map_Tables!$H$4:$H$37,MATCH(TRIM(E1838),Map_Tables!$G$4:$G$37,0)),"CHECK"))</f>
        <v>Madras Biryani Co</v>
      </c>
      <c r="AF1838" s="7" t="str">
        <f aca="false">IF(TRIM(K1838)="","Unknown",IFERROR(INDEX(Map_Tables!$E$4:$E$15,MATCH(TRIM(K1838),Map_Tables!$D$4:$D$15,0)),"CHECK"))</f>
        <v>UPI</v>
      </c>
      <c r="AG1838" s="7" t="str">
        <f aca="false">IF(LEFT(LOWER(TRIM(L1838)),6)="cancel","Cancelled","Delivered")</f>
        <v>Delivered</v>
      </c>
      <c r="AH1838" s="10" t="n">
        <f aca="false">IF(ISNUMBER(SEARCH("/",B1838)),DATE(VALUE(RIGHT(B1838,4)),VALUE(MID(B1838,4,2)),VALUE(LEFT(B1838,2))),IF(MID(B1838,5,1)="-",DATE(VALUE(LEFT(B1838,4)),VALUE(MID(B1838,6,2)),VALUE(RIGHT(B1838,2))),DATE(VALUE(RIGHT(B1838,4)),MATCH(MID(B1838,4,3),{"Jan","Feb","Mar","Apr","May","Jun","Jul","Aug","Sep","Oct","Nov","Dec"},0),VALUE(LEFT(B1838,2)))))</f>
        <v>45931</v>
      </c>
    </row>
    <row r="1839" customFormat="false" ht="15" hidden="false" customHeight="false" outlineLevel="0" collapsed="false">
      <c r="A1839" s="7" t="s">
        <v>4501</v>
      </c>
      <c r="B1839" s="7" t="s">
        <v>4502</v>
      </c>
      <c r="C1839" s="7" t="s">
        <v>914</v>
      </c>
      <c r="D1839" s="7" t="s">
        <v>4503</v>
      </c>
      <c r="E1839" s="7" t="s">
        <v>142</v>
      </c>
      <c r="F1839" s="7" t="s">
        <v>110</v>
      </c>
      <c r="G1839" s="7" t="s">
        <v>105</v>
      </c>
      <c r="H1839" s="7" t="n">
        <v>1</v>
      </c>
      <c r="I1839" s="7" t="n">
        <v>165</v>
      </c>
      <c r="J1839" s="7" t="n">
        <v>0</v>
      </c>
      <c r="K1839" s="7" t="s">
        <v>88</v>
      </c>
      <c r="L1839" s="7" t="s">
        <v>194</v>
      </c>
      <c r="M1839" s="7" t="n">
        <v>45</v>
      </c>
      <c r="N1839" s="7" t="n">
        <v>5</v>
      </c>
      <c r="O1839" s="7" t="str">
        <f aca="false">A1839&amp;"|"&amp;B1839&amp;"|"&amp;C1839&amp;"|"&amp;D1839&amp;"|"&amp;E1839&amp;"|"&amp;F1839&amp;"|"&amp;G1839&amp;"|"&amp;H1839&amp;"|"&amp;I1839&amp;"|"&amp;J1839&amp;"|"&amp;K1839&amp;"|"&amp;L1839&amp;"|"&amp;M1839&amp;"|"&amp;N1839</f>
        <v>ORD10726|02/04/2025|20:15|C1353|Momo Magic|Delhi|Chinese|1|165|0|UPI|Delivered|45|5</v>
      </c>
      <c r="P1839" s="7" t="str">
        <f aca="false">IF(COUNTIF($O$2:O1839,O1839)&gt;1,"DUP","OK")</f>
        <v>OK</v>
      </c>
      <c r="Q1839" s="7" t="n">
        <f aca="false">COUNTBLANK(A1839:N1839)</f>
        <v>0</v>
      </c>
      <c r="R1839" s="7" t="n">
        <f aca="false">IF(A1839="",0,COUNTIFS($A$2:$A$3058,A1839,$P$2:$P$3058,"OK"))</f>
        <v>1</v>
      </c>
      <c r="S1839" s="7" t="str">
        <f aca="false">IF(OR(A1839="",P1839="DUP",R1839&lt;2),"",IF(Q1839=_xlfn.MINIFS($Q$2:$Q$3058,$A$2:$A$3058,A1839,$P$2:$P$3058,"OK"),"KEEP","DROP"))</f>
        <v/>
      </c>
      <c r="T1839" s="9" t="n">
        <f aca="false">IF(A1839="",1,0)</f>
        <v>0</v>
      </c>
      <c r="U1839" s="9" t="n">
        <f aca="false">IF(D1839="",1,0)</f>
        <v>0</v>
      </c>
      <c r="V1839" s="9" t="n">
        <f aca="false">IF(E1839="",1,0)</f>
        <v>0</v>
      </c>
      <c r="W1839" s="9" t="n">
        <f aca="false">IF(OR(H1839&lt;1,H1839&gt;10),1,0)</f>
        <v>0</v>
      </c>
      <c r="X1839" s="9" t="n">
        <f aca="false">IF(OR(I1839&lt;=0,I1839&gt;1500),1,0)</f>
        <v>0</v>
      </c>
      <c r="Y1839" s="9" t="n">
        <f aca="false">IF(J1839&gt;H1839*I1839,1,0)</f>
        <v>0</v>
      </c>
      <c r="Z1839" s="9" t="n">
        <f aca="false">IF(AND(N1839&lt;&gt;"",OR(N1839&lt;1,N1839&gt;5)),1,0)</f>
        <v>0</v>
      </c>
      <c r="AA1839" s="9" t="n">
        <f aca="false">IF(AND(M1839&lt;&gt;"",OR(M1839&lt;5,M1839&gt;180)),1,0)</f>
        <v>0</v>
      </c>
      <c r="AB1839" s="7" t="str">
        <f aca="false">IF(P1839="DUP","Exact duplicate row",IF(T1839=1,"Missing Order ID",IF(S1839="DROP","Duplicate Order ID (less complete row)",IF(U1839=1,"Missing Customer ID",IF(V1839=1,"Missing Restaurant name",IF(W1839=1,"Invalid/outlier quantity",IF(X1839=1,"Invalid/outlier unit price",IF(Y1839=1,"Discount greater than order value",""))))))))</f>
        <v/>
      </c>
      <c r="AC1839" s="7" t="str">
        <f aca="false">IF(AB1839="","KEEP","DROP")</f>
        <v>KEEP</v>
      </c>
      <c r="AD1839" s="7" t="str">
        <f aca="false">IF(TRIM(F1839)="",IFERROR(INDEX(Map_Tables!$I$4:$I$37,MATCH(TRIM(E1839),Map_Tables!$G$4:$G$37,0)),""),IFERROR(INDEX(Map_Tables!$B$4:$B$18,MATCH(TRIM(F1839),Map_Tables!$A$4:$A$18,0)),"CHECK"))</f>
        <v>Delhi</v>
      </c>
      <c r="AE1839" s="7" t="str">
        <f aca="false">IF(TRIM(E1839)="","",IFERROR(INDEX(Map_Tables!$H$4:$H$37,MATCH(TRIM(E1839),Map_Tables!$G$4:$G$37,0)),"CHECK"))</f>
        <v>Momo Magic</v>
      </c>
      <c r="AF1839" s="7" t="str">
        <f aca="false">IF(TRIM(K1839)="","Unknown",IFERROR(INDEX(Map_Tables!$E$4:$E$15,MATCH(TRIM(K1839),Map_Tables!$D$4:$D$15,0)),"CHECK"))</f>
        <v>UPI</v>
      </c>
      <c r="AG1839" s="7" t="str">
        <f aca="false">IF(LEFT(LOWER(TRIM(L1839)),6)="cancel","Cancelled","Delivered")</f>
        <v>Delivered</v>
      </c>
      <c r="AH1839" s="10" t="n">
        <f aca="false">IF(ISNUMBER(SEARCH("/",B1839)),DATE(VALUE(RIGHT(B1839,4)),VALUE(MID(B1839,4,2)),VALUE(LEFT(B1839,2))),IF(MID(B1839,5,1)="-",DATE(VALUE(LEFT(B1839,4)),VALUE(MID(B1839,6,2)),VALUE(RIGHT(B1839,2))),DATE(VALUE(RIGHT(B1839,4)),MATCH(MID(B1839,4,3),{"Jan","Feb","Mar","Apr","May","Jun","Jul","Aug","Sep","Oct","Nov","Dec"},0),VALUE(LEFT(B1839,2)))))</f>
        <v>45749</v>
      </c>
    </row>
    <row r="1840" customFormat="false" ht="15" hidden="false" customHeight="false" outlineLevel="0" collapsed="false">
      <c r="A1840" s="7" t="s">
        <v>4504</v>
      </c>
      <c r="B1840" s="7" t="s">
        <v>4505</v>
      </c>
      <c r="C1840" s="7" t="s">
        <v>3566</v>
      </c>
      <c r="D1840" s="7" t="s">
        <v>4064</v>
      </c>
      <c r="E1840" s="7" t="s">
        <v>126</v>
      </c>
      <c r="F1840" s="7" t="s">
        <v>101</v>
      </c>
      <c r="G1840" s="7" t="s">
        <v>105</v>
      </c>
      <c r="H1840" s="7" t="n">
        <v>2</v>
      </c>
      <c r="I1840" s="7" t="n">
        <v>220</v>
      </c>
      <c r="J1840" s="7" t="n">
        <v>150</v>
      </c>
      <c r="K1840" s="7" t="s">
        <v>121</v>
      </c>
      <c r="L1840" s="7" t="s">
        <v>194</v>
      </c>
      <c r="M1840" s="7" t="n">
        <v>53</v>
      </c>
      <c r="N1840" s="7" t="n">
        <v>4</v>
      </c>
      <c r="O1840" s="7" t="str">
        <f aca="false">A1840&amp;"|"&amp;B1840&amp;"|"&amp;C1840&amp;"|"&amp;D1840&amp;"|"&amp;E1840&amp;"|"&amp;F1840&amp;"|"&amp;G1840&amp;"|"&amp;H1840&amp;"|"&amp;I1840&amp;"|"&amp;J1840&amp;"|"&amp;K1840&amp;"|"&amp;L1840&amp;"|"&amp;M1840&amp;"|"&amp;N1840</f>
        <v>ORD11637|02/08/2025|11:06|C1093|Dragon Express|Mumbai|Chinese|2|220|150|Wallet|Delivered|53|4</v>
      </c>
      <c r="P1840" s="7" t="str">
        <f aca="false">IF(COUNTIF($O$2:O1840,O1840)&gt;1,"DUP","OK")</f>
        <v>OK</v>
      </c>
      <c r="Q1840" s="7" t="n">
        <f aca="false">COUNTBLANK(A1840:N1840)</f>
        <v>0</v>
      </c>
      <c r="R1840" s="7" t="n">
        <f aca="false">IF(A1840="",0,COUNTIFS($A$2:$A$3058,A1840,$P$2:$P$3058,"OK"))</f>
        <v>1</v>
      </c>
      <c r="S1840" s="7" t="str">
        <f aca="false">IF(OR(A1840="",P1840="DUP",R1840&lt;2),"",IF(Q1840=_xlfn.MINIFS($Q$2:$Q$3058,$A$2:$A$3058,A1840,$P$2:$P$3058,"OK"),"KEEP","DROP"))</f>
        <v/>
      </c>
      <c r="T1840" s="9" t="n">
        <f aca="false">IF(A1840="",1,0)</f>
        <v>0</v>
      </c>
      <c r="U1840" s="9" t="n">
        <f aca="false">IF(D1840="",1,0)</f>
        <v>0</v>
      </c>
      <c r="V1840" s="9" t="n">
        <f aca="false">IF(E1840="",1,0)</f>
        <v>0</v>
      </c>
      <c r="W1840" s="9" t="n">
        <f aca="false">IF(OR(H1840&lt;1,H1840&gt;10),1,0)</f>
        <v>0</v>
      </c>
      <c r="X1840" s="9" t="n">
        <f aca="false">IF(OR(I1840&lt;=0,I1840&gt;1500),1,0)</f>
        <v>0</v>
      </c>
      <c r="Y1840" s="9" t="n">
        <f aca="false">IF(J1840&gt;H1840*I1840,1,0)</f>
        <v>0</v>
      </c>
      <c r="Z1840" s="9" t="n">
        <f aca="false">IF(AND(N1840&lt;&gt;"",OR(N1840&lt;1,N1840&gt;5)),1,0)</f>
        <v>0</v>
      </c>
      <c r="AA1840" s="9" t="n">
        <f aca="false">IF(AND(M1840&lt;&gt;"",OR(M1840&lt;5,M1840&gt;180)),1,0)</f>
        <v>0</v>
      </c>
      <c r="AB1840" s="7" t="str">
        <f aca="false">IF(P1840="DUP","Exact duplicate row",IF(T1840=1,"Missing Order ID",IF(S1840="DROP","Duplicate Order ID (less complete row)",IF(U1840=1,"Missing Customer ID",IF(V1840=1,"Missing Restaurant name",IF(W1840=1,"Invalid/outlier quantity",IF(X1840=1,"Invalid/outlier unit price",IF(Y1840=1,"Discount greater than order value",""))))))))</f>
        <v/>
      </c>
      <c r="AC1840" s="7" t="str">
        <f aca="false">IF(AB1840="","KEEP","DROP")</f>
        <v>KEEP</v>
      </c>
      <c r="AD1840" s="7" t="str">
        <f aca="false">IF(TRIM(F1840)="",IFERROR(INDEX(Map_Tables!$I$4:$I$37,MATCH(TRIM(E1840),Map_Tables!$G$4:$G$37,0)),""),IFERROR(INDEX(Map_Tables!$B$4:$B$18,MATCH(TRIM(F1840),Map_Tables!$A$4:$A$18,0)),"CHECK"))</f>
        <v>Mumbai</v>
      </c>
      <c r="AE1840" s="7" t="str">
        <f aca="false">IF(TRIM(E1840)="","",IFERROR(INDEX(Map_Tables!$H$4:$H$37,MATCH(TRIM(E1840),Map_Tables!$G$4:$G$37,0)),"CHECK"))</f>
        <v>Dragon Express</v>
      </c>
      <c r="AF1840" s="7" t="str">
        <f aca="false">IF(TRIM(K1840)="","Unknown",IFERROR(INDEX(Map_Tables!$E$4:$E$15,MATCH(TRIM(K1840),Map_Tables!$D$4:$D$15,0)),"CHECK"))</f>
        <v>Wallet</v>
      </c>
      <c r="AG1840" s="7" t="str">
        <f aca="false">IF(LEFT(LOWER(TRIM(L1840)),6)="cancel","Cancelled","Delivered")</f>
        <v>Delivered</v>
      </c>
      <c r="AH1840" s="10" t="n">
        <f aca="false">IF(ISNUMBER(SEARCH("/",B1840)),DATE(VALUE(RIGHT(B1840,4)),VALUE(MID(B1840,4,2)),VALUE(LEFT(B1840,2))),IF(MID(B1840,5,1)="-",DATE(VALUE(LEFT(B1840,4)),VALUE(MID(B1840,6,2)),VALUE(RIGHT(B1840,2))),DATE(VALUE(RIGHT(B1840,4)),MATCH(MID(B1840,4,3),{"Jan","Feb","Mar","Apr","May","Jun","Jul","Aug","Sep","Oct","Nov","Dec"},0),VALUE(LEFT(B1840,2)))))</f>
        <v>45871</v>
      </c>
    </row>
    <row r="1841" customFormat="false" ht="15" hidden="false" customHeight="false" outlineLevel="0" collapsed="false">
      <c r="A1841" s="7" t="s">
        <v>4506</v>
      </c>
      <c r="B1841" s="7" t="s">
        <v>2032</v>
      </c>
      <c r="C1841" s="7" t="s">
        <v>2304</v>
      </c>
      <c r="D1841" s="7" t="s">
        <v>1355</v>
      </c>
      <c r="E1841" s="7" t="s">
        <v>154</v>
      </c>
      <c r="F1841" s="7" t="s">
        <v>128</v>
      </c>
      <c r="G1841" s="7" t="s">
        <v>99</v>
      </c>
      <c r="H1841" s="7" t="n">
        <v>5</v>
      </c>
      <c r="I1841" s="7" t="n">
        <v>280</v>
      </c>
      <c r="J1841" s="7" t="n">
        <v>0</v>
      </c>
      <c r="K1841" s="7" t="s">
        <v>526</v>
      </c>
      <c r="L1841" s="7" t="s">
        <v>194</v>
      </c>
      <c r="M1841" s="7" t="n">
        <v>36</v>
      </c>
      <c r="N1841" s="7" t="n">
        <v>3</v>
      </c>
      <c r="O1841" s="7" t="str">
        <f aca="false">A1841&amp;"|"&amp;B1841&amp;"|"&amp;C1841&amp;"|"&amp;D1841&amp;"|"&amp;E1841&amp;"|"&amp;F1841&amp;"|"&amp;G1841&amp;"|"&amp;H1841&amp;"|"&amp;I1841&amp;"|"&amp;J1841&amp;"|"&amp;K1841&amp;"|"&amp;L1841&amp;"|"&amp;M1841&amp;"|"&amp;N1841</f>
        <v>ORD12798|2025-12-08|13:23|C0752|Madras Biryani Co|Chennai|Biryani|5|280|0|DC|Delivered|36|3</v>
      </c>
      <c r="P1841" s="7" t="str">
        <f aca="false">IF(COUNTIF($O$2:O1841,O1841)&gt;1,"DUP","OK")</f>
        <v>OK</v>
      </c>
      <c r="Q1841" s="7" t="n">
        <f aca="false">COUNTBLANK(A1841:N1841)</f>
        <v>0</v>
      </c>
      <c r="R1841" s="7" t="n">
        <f aca="false">IF(A1841="",0,COUNTIFS($A$2:$A$3058,A1841,$P$2:$P$3058,"OK"))</f>
        <v>1</v>
      </c>
      <c r="S1841" s="7" t="str">
        <f aca="false">IF(OR(A1841="",P1841="DUP",R1841&lt;2),"",IF(Q1841=_xlfn.MINIFS($Q$2:$Q$3058,$A$2:$A$3058,A1841,$P$2:$P$3058,"OK"),"KEEP","DROP"))</f>
        <v/>
      </c>
      <c r="T1841" s="9" t="n">
        <f aca="false">IF(A1841="",1,0)</f>
        <v>0</v>
      </c>
      <c r="U1841" s="9" t="n">
        <f aca="false">IF(D1841="",1,0)</f>
        <v>0</v>
      </c>
      <c r="V1841" s="9" t="n">
        <f aca="false">IF(E1841="",1,0)</f>
        <v>0</v>
      </c>
      <c r="W1841" s="9" t="n">
        <f aca="false">IF(OR(H1841&lt;1,H1841&gt;10),1,0)</f>
        <v>0</v>
      </c>
      <c r="X1841" s="9" t="n">
        <f aca="false">IF(OR(I1841&lt;=0,I1841&gt;1500),1,0)</f>
        <v>0</v>
      </c>
      <c r="Y1841" s="9" t="n">
        <f aca="false">IF(J1841&gt;H1841*I1841,1,0)</f>
        <v>0</v>
      </c>
      <c r="Z1841" s="9" t="n">
        <f aca="false">IF(AND(N1841&lt;&gt;"",OR(N1841&lt;1,N1841&gt;5)),1,0)</f>
        <v>0</v>
      </c>
      <c r="AA1841" s="9" t="n">
        <f aca="false">IF(AND(M1841&lt;&gt;"",OR(M1841&lt;5,M1841&gt;180)),1,0)</f>
        <v>0</v>
      </c>
      <c r="AB1841" s="7" t="str">
        <f aca="false">IF(P1841="DUP","Exact duplicate row",IF(T1841=1,"Missing Order ID",IF(S1841="DROP","Duplicate Order ID (less complete row)",IF(U1841=1,"Missing Customer ID",IF(V1841=1,"Missing Restaurant name",IF(W1841=1,"Invalid/outlier quantity",IF(X1841=1,"Invalid/outlier unit price",IF(Y1841=1,"Discount greater than order value",""))))))))</f>
        <v/>
      </c>
      <c r="AC1841" s="7" t="str">
        <f aca="false">IF(AB1841="","KEEP","DROP")</f>
        <v>KEEP</v>
      </c>
      <c r="AD1841" s="7" t="str">
        <f aca="false">IF(TRIM(F1841)="",IFERROR(INDEX(Map_Tables!$I$4:$I$37,MATCH(TRIM(E1841),Map_Tables!$G$4:$G$37,0)),""),IFERROR(INDEX(Map_Tables!$B$4:$B$18,MATCH(TRIM(F1841),Map_Tables!$A$4:$A$18,0)),"CHECK"))</f>
        <v>Chennai</v>
      </c>
      <c r="AE1841" s="7" t="str">
        <f aca="false">IF(TRIM(E1841)="","",IFERROR(INDEX(Map_Tables!$H$4:$H$37,MATCH(TRIM(E1841),Map_Tables!$G$4:$G$37,0)),"CHECK"))</f>
        <v>Madras Biryani Co</v>
      </c>
      <c r="AF1841" s="7" t="str">
        <f aca="false">IF(TRIM(K1841)="","Unknown",IFERROR(INDEX(Map_Tables!$E$4:$E$15,MATCH(TRIM(K1841),Map_Tables!$D$4:$D$15,0)),"CHECK"))</f>
        <v>Debit Card</v>
      </c>
      <c r="AG1841" s="7" t="str">
        <f aca="false">IF(LEFT(LOWER(TRIM(L1841)),6)="cancel","Cancelled","Delivered")</f>
        <v>Delivered</v>
      </c>
      <c r="AH1841" s="10" t="n">
        <f aca="false">IF(ISNUMBER(SEARCH("/",B1841)),DATE(VALUE(RIGHT(B1841,4)),VALUE(MID(B1841,4,2)),VALUE(LEFT(B1841,2))),IF(MID(B1841,5,1)="-",DATE(VALUE(LEFT(B1841,4)),VALUE(MID(B1841,6,2)),VALUE(RIGHT(B1841,2))),DATE(VALUE(RIGHT(B1841,4)),MATCH(MID(B1841,4,3),{"Jan","Feb","Mar","Apr","May","Jun","Jul","Aug","Sep","Oct","Nov","Dec"},0),VALUE(LEFT(B1841,2)))))</f>
        <v>45999</v>
      </c>
    </row>
    <row r="1842" customFormat="false" ht="15" hidden="false" customHeight="false" outlineLevel="0" collapsed="false">
      <c r="A1842" s="7" t="s">
        <v>4507</v>
      </c>
      <c r="B1842" s="7" t="s">
        <v>190</v>
      </c>
      <c r="C1842" s="7" t="s">
        <v>1817</v>
      </c>
      <c r="D1842" s="7" t="s">
        <v>884</v>
      </c>
      <c r="E1842" s="7" t="s">
        <v>147</v>
      </c>
      <c r="F1842" s="7" t="s">
        <v>119</v>
      </c>
      <c r="G1842" s="7" t="s">
        <v>95</v>
      </c>
      <c r="H1842" s="7" t="n">
        <v>2</v>
      </c>
      <c r="I1842" s="7" t="n">
        <v>135</v>
      </c>
      <c r="J1842" s="7" t="n">
        <v>0</v>
      </c>
      <c r="K1842" s="7" t="s">
        <v>133</v>
      </c>
      <c r="L1842" s="7" t="s">
        <v>220</v>
      </c>
      <c r="M1842" s="7" t="n">
        <v>28</v>
      </c>
      <c r="N1842" s="7" t="n">
        <v>5</v>
      </c>
      <c r="O1842" s="7" t="str">
        <f aca="false">A1842&amp;"|"&amp;B1842&amp;"|"&amp;C1842&amp;"|"&amp;D1842&amp;"|"&amp;E1842&amp;"|"&amp;F1842&amp;"|"&amp;G1842&amp;"|"&amp;H1842&amp;"|"&amp;I1842&amp;"|"&amp;J1842&amp;"|"&amp;K1842&amp;"|"&amp;L1842&amp;"|"&amp;M1842&amp;"|"&amp;N1842</f>
        <v>ORD10678|2025-03-27|20:47|C0114|Andhra Meals Mess|Hyderabad|South Indian|2|135|0|Net Banking|DELIVERED|28|5</v>
      </c>
      <c r="P1842" s="7" t="str">
        <f aca="false">IF(COUNTIF($O$2:O1842,O1842)&gt;1,"DUP","OK")</f>
        <v>OK</v>
      </c>
      <c r="Q1842" s="7" t="n">
        <f aca="false">COUNTBLANK(A1842:N1842)</f>
        <v>0</v>
      </c>
      <c r="R1842" s="7" t="n">
        <f aca="false">IF(A1842="",0,COUNTIFS($A$2:$A$3058,A1842,$P$2:$P$3058,"OK"))</f>
        <v>1</v>
      </c>
      <c r="S1842" s="7" t="str">
        <f aca="false">IF(OR(A1842="",P1842="DUP",R1842&lt;2),"",IF(Q1842=_xlfn.MINIFS($Q$2:$Q$3058,$A$2:$A$3058,A1842,$P$2:$P$3058,"OK"),"KEEP","DROP"))</f>
        <v/>
      </c>
      <c r="T1842" s="9" t="n">
        <f aca="false">IF(A1842="",1,0)</f>
        <v>0</v>
      </c>
      <c r="U1842" s="9" t="n">
        <f aca="false">IF(D1842="",1,0)</f>
        <v>0</v>
      </c>
      <c r="V1842" s="9" t="n">
        <f aca="false">IF(E1842="",1,0)</f>
        <v>0</v>
      </c>
      <c r="W1842" s="9" t="n">
        <f aca="false">IF(OR(H1842&lt;1,H1842&gt;10),1,0)</f>
        <v>0</v>
      </c>
      <c r="X1842" s="9" t="n">
        <f aca="false">IF(OR(I1842&lt;=0,I1842&gt;1500),1,0)</f>
        <v>0</v>
      </c>
      <c r="Y1842" s="9" t="n">
        <f aca="false">IF(J1842&gt;H1842*I1842,1,0)</f>
        <v>0</v>
      </c>
      <c r="Z1842" s="9" t="n">
        <f aca="false">IF(AND(N1842&lt;&gt;"",OR(N1842&lt;1,N1842&gt;5)),1,0)</f>
        <v>0</v>
      </c>
      <c r="AA1842" s="9" t="n">
        <f aca="false">IF(AND(M1842&lt;&gt;"",OR(M1842&lt;5,M1842&gt;180)),1,0)</f>
        <v>0</v>
      </c>
      <c r="AB1842" s="7" t="str">
        <f aca="false">IF(P1842="DUP","Exact duplicate row",IF(T1842=1,"Missing Order ID",IF(S1842="DROP","Duplicate Order ID (less complete row)",IF(U1842=1,"Missing Customer ID",IF(V1842=1,"Missing Restaurant name",IF(W1842=1,"Invalid/outlier quantity",IF(X1842=1,"Invalid/outlier unit price",IF(Y1842=1,"Discount greater than order value",""))))))))</f>
        <v/>
      </c>
      <c r="AC1842" s="7" t="str">
        <f aca="false">IF(AB1842="","KEEP","DROP")</f>
        <v>KEEP</v>
      </c>
      <c r="AD1842" s="7" t="str">
        <f aca="false">IF(TRIM(F1842)="",IFERROR(INDEX(Map_Tables!$I$4:$I$37,MATCH(TRIM(E1842),Map_Tables!$G$4:$G$37,0)),""),IFERROR(INDEX(Map_Tables!$B$4:$B$18,MATCH(TRIM(F1842),Map_Tables!$A$4:$A$18,0)),"CHECK"))</f>
        <v>Hyderabad</v>
      </c>
      <c r="AE1842" s="7" t="str">
        <f aca="false">IF(TRIM(E1842)="","",IFERROR(INDEX(Map_Tables!$H$4:$H$37,MATCH(TRIM(E1842),Map_Tables!$G$4:$G$37,0)),"CHECK"))</f>
        <v>Andhra Meals Mess</v>
      </c>
      <c r="AF1842" s="7" t="str">
        <f aca="false">IF(TRIM(K1842)="","Unknown",IFERROR(INDEX(Map_Tables!$E$4:$E$15,MATCH(TRIM(K1842),Map_Tables!$D$4:$D$15,0)),"CHECK"))</f>
        <v>Net Banking</v>
      </c>
      <c r="AG1842" s="7" t="str">
        <f aca="false">IF(LEFT(LOWER(TRIM(L1842)),6)="cancel","Cancelled","Delivered")</f>
        <v>Delivered</v>
      </c>
      <c r="AH1842" s="10" t="n">
        <f aca="false">IF(ISNUMBER(SEARCH("/",B1842)),DATE(VALUE(RIGHT(B1842,4)),VALUE(MID(B1842,4,2)),VALUE(LEFT(B1842,2))),IF(MID(B1842,5,1)="-",DATE(VALUE(LEFT(B1842,4)),VALUE(MID(B1842,6,2)),VALUE(RIGHT(B1842,2))),DATE(VALUE(RIGHT(B1842,4)),MATCH(MID(B1842,4,3),{"Jan","Feb","Mar","Apr","May","Jun","Jul","Aug","Sep","Oct","Nov","Dec"},0),VALUE(LEFT(B1842,2)))))</f>
        <v>45743</v>
      </c>
    </row>
    <row r="1843" customFormat="false" ht="15" hidden="false" customHeight="false" outlineLevel="0" collapsed="false">
      <c r="A1843" s="7" t="s">
        <v>2409</v>
      </c>
      <c r="B1843" s="7" t="s">
        <v>1946</v>
      </c>
      <c r="C1843" s="7" t="s">
        <v>2410</v>
      </c>
      <c r="D1843" s="7" t="s">
        <v>2411</v>
      </c>
      <c r="E1843" s="7" t="s">
        <v>98</v>
      </c>
      <c r="F1843" s="7" t="s">
        <v>86</v>
      </c>
      <c r="G1843" s="7" t="s">
        <v>99</v>
      </c>
      <c r="H1843" s="7" t="n">
        <v>3</v>
      </c>
      <c r="I1843" s="7" t="n">
        <v>215</v>
      </c>
      <c r="J1843" s="7" t="n">
        <v>0</v>
      </c>
      <c r="K1843" s="7"/>
      <c r="L1843" s="7" t="s">
        <v>194</v>
      </c>
      <c r="M1843" s="7" t="n">
        <v>36</v>
      </c>
      <c r="N1843" s="7" t="n">
        <v>4</v>
      </c>
      <c r="O1843" s="7" t="str">
        <f aca="false">A1843&amp;"|"&amp;B1843&amp;"|"&amp;C1843&amp;"|"&amp;D1843&amp;"|"&amp;E1843&amp;"|"&amp;F1843&amp;"|"&amp;G1843&amp;"|"&amp;H1843&amp;"|"&amp;I1843&amp;"|"&amp;J1843&amp;"|"&amp;K1843&amp;"|"&amp;L1843&amp;"|"&amp;M1843&amp;"|"&amp;N1843</f>
        <v>ORD12028|2025-09-19|12:50|C0477|Nawabi Biryani House|Bengaluru|Biryani|3|215|0||Delivered|36|4</v>
      </c>
      <c r="P1843" s="7" t="str">
        <f aca="false">IF(COUNTIF($O$2:O1843,O1843)&gt;1,"DUP","OK")</f>
        <v>DUP</v>
      </c>
      <c r="Q1843" s="7" t="n">
        <f aca="false">COUNTBLANK(A1843:N1843)</f>
        <v>1</v>
      </c>
      <c r="R1843" s="7" t="n">
        <f aca="false">IF(A1843="",0,COUNTIFS($A$2:$A$3058,A1843,$P$2:$P$3058,"OK"))</f>
        <v>1</v>
      </c>
      <c r="S1843" s="7" t="str">
        <f aca="false">IF(OR(A1843="",P1843="DUP",R1843&lt;2),"",IF(Q1843=_xlfn.MINIFS($Q$2:$Q$3058,$A$2:$A$3058,A1843,$P$2:$P$3058,"OK"),"KEEP","DROP"))</f>
        <v/>
      </c>
      <c r="T1843" s="9" t="n">
        <f aca="false">IF(A1843="",1,0)</f>
        <v>0</v>
      </c>
      <c r="U1843" s="9" t="n">
        <f aca="false">IF(D1843="",1,0)</f>
        <v>0</v>
      </c>
      <c r="V1843" s="9" t="n">
        <f aca="false">IF(E1843="",1,0)</f>
        <v>0</v>
      </c>
      <c r="W1843" s="9" t="n">
        <f aca="false">IF(OR(H1843&lt;1,H1843&gt;10),1,0)</f>
        <v>0</v>
      </c>
      <c r="X1843" s="9" t="n">
        <f aca="false">IF(OR(I1843&lt;=0,I1843&gt;1500),1,0)</f>
        <v>0</v>
      </c>
      <c r="Y1843" s="9" t="n">
        <f aca="false">IF(J1843&gt;H1843*I1843,1,0)</f>
        <v>0</v>
      </c>
      <c r="Z1843" s="9" t="n">
        <f aca="false">IF(AND(N1843&lt;&gt;"",OR(N1843&lt;1,N1843&gt;5)),1,0)</f>
        <v>0</v>
      </c>
      <c r="AA1843" s="9" t="n">
        <f aca="false">IF(AND(M1843&lt;&gt;"",OR(M1843&lt;5,M1843&gt;180)),1,0)</f>
        <v>0</v>
      </c>
      <c r="AB1843" s="7" t="str">
        <f aca="false">IF(P1843="DUP","Exact duplicate row",IF(T1843=1,"Missing Order ID",IF(S1843="DROP","Duplicate Order ID (less complete row)",IF(U1843=1,"Missing Customer ID",IF(V1843=1,"Missing Restaurant name",IF(W1843=1,"Invalid/outlier quantity",IF(X1843=1,"Invalid/outlier unit price",IF(Y1843=1,"Discount greater than order value",""))))))))</f>
        <v>Exact duplicate row</v>
      </c>
      <c r="AC1843" s="7" t="str">
        <f aca="false">IF(AB1843="","KEEP","DROP")</f>
        <v>DROP</v>
      </c>
      <c r="AD1843" s="7" t="str">
        <f aca="false">IF(TRIM(F1843)="",IFERROR(INDEX(Map_Tables!$I$4:$I$37,MATCH(TRIM(E1843),Map_Tables!$G$4:$G$37,0)),""),IFERROR(INDEX(Map_Tables!$B$4:$B$18,MATCH(TRIM(F1843),Map_Tables!$A$4:$A$18,0)),"CHECK"))</f>
        <v>Bengaluru</v>
      </c>
      <c r="AE1843" s="7" t="str">
        <f aca="false">IF(TRIM(E1843)="","",IFERROR(INDEX(Map_Tables!$H$4:$H$37,MATCH(TRIM(E1843),Map_Tables!$G$4:$G$37,0)),"CHECK"))</f>
        <v>Nawabi Biryani House</v>
      </c>
      <c r="AF1843" s="7" t="str">
        <f aca="false">IF(TRIM(K1843)="","Unknown",IFERROR(INDEX(Map_Tables!$E$4:$E$15,MATCH(TRIM(K1843),Map_Tables!$D$4:$D$15,0)),"CHECK"))</f>
        <v>Unknown</v>
      </c>
      <c r="AG1843" s="7" t="str">
        <f aca="false">IF(LEFT(LOWER(TRIM(L1843)),6)="cancel","Cancelled","Delivered")</f>
        <v>Delivered</v>
      </c>
      <c r="AH1843" s="10" t="n">
        <f aca="false">IF(ISNUMBER(SEARCH("/",B1843)),DATE(VALUE(RIGHT(B1843,4)),VALUE(MID(B1843,4,2)),VALUE(LEFT(B1843,2))),IF(MID(B1843,5,1)="-",DATE(VALUE(LEFT(B1843,4)),VALUE(MID(B1843,6,2)),VALUE(RIGHT(B1843,2))),DATE(VALUE(RIGHT(B1843,4)),MATCH(MID(B1843,4,3),{"Jan","Feb","Mar","Apr","May","Jun","Jul","Aug","Sep","Oct","Nov","Dec"},0),VALUE(LEFT(B1843,2)))))</f>
        <v>45919</v>
      </c>
    </row>
    <row r="1844" customFormat="false" ht="15" hidden="false" customHeight="false" outlineLevel="0" collapsed="false">
      <c r="A1844" s="7" t="s">
        <v>4508</v>
      </c>
      <c r="B1844" s="7" t="s">
        <v>355</v>
      </c>
      <c r="C1844" s="7" t="s">
        <v>4509</v>
      </c>
      <c r="D1844" s="7" t="s">
        <v>4510</v>
      </c>
      <c r="E1844" s="7" t="s">
        <v>2702</v>
      </c>
      <c r="F1844" s="7" t="s">
        <v>110</v>
      </c>
      <c r="G1844" s="7" t="s">
        <v>139</v>
      </c>
      <c r="H1844" s="7" t="n">
        <v>3</v>
      </c>
      <c r="I1844" s="7" t="n">
        <v>160</v>
      </c>
      <c r="J1844" s="7" t="n">
        <v>150</v>
      </c>
      <c r="K1844" s="7" t="s">
        <v>103</v>
      </c>
      <c r="L1844" s="7" t="s">
        <v>194</v>
      </c>
      <c r="M1844" s="7" t="n">
        <v>25</v>
      </c>
      <c r="N1844" s="7" t="n">
        <v>4</v>
      </c>
      <c r="O1844" s="7" t="str">
        <f aca="false">A1844&amp;"|"&amp;B1844&amp;"|"&amp;C1844&amp;"|"&amp;D1844&amp;"|"&amp;E1844&amp;"|"&amp;F1844&amp;"|"&amp;G1844&amp;"|"&amp;H1844&amp;"|"&amp;I1844&amp;"|"&amp;J1844&amp;"|"&amp;K1844&amp;"|"&amp;L1844&amp;"|"&amp;M1844&amp;"|"&amp;N1844</f>
        <v>ORD11153|2025-05-27|15:20|C0811|Burger Barn |Delhi|Burgers|3|160|150|Debit Card|Delivered|25|4</v>
      </c>
      <c r="P1844" s="7" t="str">
        <f aca="false">IF(COUNTIF($O$2:O1844,O1844)&gt;1,"DUP","OK")</f>
        <v>OK</v>
      </c>
      <c r="Q1844" s="7" t="n">
        <f aca="false">COUNTBLANK(A1844:N1844)</f>
        <v>0</v>
      </c>
      <c r="R1844" s="7" t="n">
        <f aca="false">IF(A1844="",0,COUNTIFS($A$2:$A$3058,A1844,$P$2:$P$3058,"OK"))</f>
        <v>1</v>
      </c>
      <c r="S1844" s="7" t="str">
        <f aca="false">IF(OR(A1844="",P1844="DUP",R1844&lt;2),"",IF(Q1844=_xlfn.MINIFS($Q$2:$Q$3058,$A$2:$A$3058,A1844,$P$2:$P$3058,"OK"),"KEEP","DROP"))</f>
        <v/>
      </c>
      <c r="T1844" s="9" t="n">
        <f aca="false">IF(A1844="",1,0)</f>
        <v>0</v>
      </c>
      <c r="U1844" s="9" t="n">
        <f aca="false">IF(D1844="",1,0)</f>
        <v>0</v>
      </c>
      <c r="V1844" s="9" t="n">
        <f aca="false">IF(E1844="",1,0)</f>
        <v>0</v>
      </c>
      <c r="W1844" s="9" t="n">
        <f aca="false">IF(OR(H1844&lt;1,H1844&gt;10),1,0)</f>
        <v>0</v>
      </c>
      <c r="X1844" s="9" t="n">
        <f aca="false">IF(OR(I1844&lt;=0,I1844&gt;1500),1,0)</f>
        <v>0</v>
      </c>
      <c r="Y1844" s="9" t="n">
        <f aca="false">IF(J1844&gt;H1844*I1844,1,0)</f>
        <v>0</v>
      </c>
      <c r="Z1844" s="9" t="n">
        <f aca="false">IF(AND(N1844&lt;&gt;"",OR(N1844&lt;1,N1844&gt;5)),1,0)</f>
        <v>0</v>
      </c>
      <c r="AA1844" s="9" t="n">
        <f aca="false">IF(AND(M1844&lt;&gt;"",OR(M1844&lt;5,M1844&gt;180)),1,0)</f>
        <v>0</v>
      </c>
      <c r="AB1844" s="7" t="str">
        <f aca="false">IF(P1844="DUP","Exact duplicate row",IF(T1844=1,"Missing Order ID",IF(S1844="DROP","Duplicate Order ID (less complete row)",IF(U1844=1,"Missing Customer ID",IF(V1844=1,"Missing Restaurant name",IF(W1844=1,"Invalid/outlier quantity",IF(X1844=1,"Invalid/outlier unit price",IF(Y1844=1,"Discount greater than order value",""))))))))</f>
        <v/>
      </c>
      <c r="AC1844" s="7" t="str">
        <f aca="false">IF(AB1844="","KEEP","DROP")</f>
        <v>KEEP</v>
      </c>
      <c r="AD1844" s="7" t="str">
        <f aca="false">IF(TRIM(F1844)="",IFERROR(INDEX(Map_Tables!$I$4:$I$37,MATCH(TRIM(E1844),Map_Tables!$G$4:$G$37,0)),""),IFERROR(INDEX(Map_Tables!$B$4:$B$18,MATCH(TRIM(F1844),Map_Tables!$A$4:$A$18,0)),"CHECK"))</f>
        <v>Delhi</v>
      </c>
      <c r="AE1844" s="7" t="str">
        <f aca="false">IF(TRIM(E1844)="","",IFERROR(INDEX(Map_Tables!$H$4:$H$37,MATCH(TRIM(E1844),Map_Tables!$G$4:$G$37,0)),"CHECK"))</f>
        <v>Burger Barn</v>
      </c>
      <c r="AF1844" s="7" t="str">
        <f aca="false">IF(TRIM(K1844)="","Unknown",IFERROR(INDEX(Map_Tables!$E$4:$E$15,MATCH(TRIM(K1844),Map_Tables!$D$4:$D$15,0)),"CHECK"))</f>
        <v>Debit Card</v>
      </c>
      <c r="AG1844" s="7" t="str">
        <f aca="false">IF(LEFT(LOWER(TRIM(L1844)),6)="cancel","Cancelled","Delivered")</f>
        <v>Delivered</v>
      </c>
      <c r="AH1844" s="10" t="n">
        <f aca="false">IF(ISNUMBER(SEARCH("/",B1844)),DATE(VALUE(RIGHT(B1844,4)),VALUE(MID(B1844,4,2)),VALUE(LEFT(B1844,2))),IF(MID(B1844,5,1)="-",DATE(VALUE(LEFT(B1844,4)),VALUE(MID(B1844,6,2)),VALUE(RIGHT(B1844,2))),DATE(VALUE(RIGHT(B1844,4)),MATCH(MID(B1844,4,3),{"Jan","Feb","Mar","Apr","May","Jun","Jul","Aug","Sep","Oct","Nov","Dec"},0),VALUE(LEFT(B1844,2)))))</f>
        <v>45804</v>
      </c>
    </row>
    <row r="1845" customFormat="false" ht="15" hidden="false" customHeight="false" outlineLevel="0" collapsed="false">
      <c r="A1845" s="7" t="s">
        <v>4511</v>
      </c>
      <c r="B1845" s="7" t="s">
        <v>584</v>
      </c>
      <c r="C1845" s="7" t="s">
        <v>886</v>
      </c>
      <c r="D1845" s="7" t="s">
        <v>3569</v>
      </c>
      <c r="E1845" s="7" t="s">
        <v>147</v>
      </c>
      <c r="F1845" s="7" t="s">
        <v>119</v>
      </c>
      <c r="G1845" s="7" t="s">
        <v>95</v>
      </c>
      <c r="H1845" s="7" t="n">
        <v>2</v>
      </c>
      <c r="I1845" s="7" t="n">
        <v>180</v>
      </c>
      <c r="J1845" s="7" t="n">
        <v>40</v>
      </c>
      <c r="K1845" s="7" t="s">
        <v>112</v>
      </c>
      <c r="L1845" s="7" t="s">
        <v>194</v>
      </c>
      <c r="M1845" s="7" t="n">
        <v>34</v>
      </c>
      <c r="N1845" s="7"/>
      <c r="O1845" s="7" t="str">
        <f aca="false">A1845&amp;"|"&amp;B1845&amp;"|"&amp;C1845&amp;"|"&amp;D1845&amp;"|"&amp;E1845&amp;"|"&amp;F1845&amp;"|"&amp;G1845&amp;"|"&amp;H1845&amp;"|"&amp;I1845&amp;"|"&amp;J1845&amp;"|"&amp;K1845&amp;"|"&amp;L1845&amp;"|"&amp;M1845&amp;"|"&amp;N1845</f>
        <v>ORD11917|2025-09-06|12:47|C0992|Andhra Meals Mess|Hyderabad|South Indian|2|180|40|Cash on Delivery|Delivered|34|</v>
      </c>
      <c r="P1845" s="7" t="str">
        <f aca="false">IF(COUNTIF($O$2:O1845,O1845)&gt;1,"DUP","OK")</f>
        <v>OK</v>
      </c>
      <c r="Q1845" s="7" t="n">
        <f aca="false">COUNTBLANK(A1845:N1845)</f>
        <v>1</v>
      </c>
      <c r="R1845" s="7" t="n">
        <f aca="false">IF(A1845="",0,COUNTIFS($A$2:$A$3058,A1845,$P$2:$P$3058,"OK"))</f>
        <v>1</v>
      </c>
      <c r="S1845" s="7" t="str">
        <f aca="false">IF(OR(A1845="",P1845="DUP",R1845&lt;2),"",IF(Q1845=_xlfn.MINIFS($Q$2:$Q$3058,$A$2:$A$3058,A1845,$P$2:$P$3058,"OK"),"KEEP","DROP"))</f>
        <v/>
      </c>
      <c r="T1845" s="9" t="n">
        <f aca="false">IF(A1845="",1,0)</f>
        <v>0</v>
      </c>
      <c r="U1845" s="9" t="n">
        <f aca="false">IF(D1845="",1,0)</f>
        <v>0</v>
      </c>
      <c r="V1845" s="9" t="n">
        <f aca="false">IF(E1845="",1,0)</f>
        <v>0</v>
      </c>
      <c r="W1845" s="9" t="n">
        <f aca="false">IF(OR(H1845&lt;1,H1845&gt;10),1,0)</f>
        <v>0</v>
      </c>
      <c r="X1845" s="9" t="n">
        <f aca="false">IF(OR(I1845&lt;=0,I1845&gt;1500),1,0)</f>
        <v>0</v>
      </c>
      <c r="Y1845" s="9" t="n">
        <f aca="false">IF(J1845&gt;H1845*I1845,1,0)</f>
        <v>0</v>
      </c>
      <c r="Z1845" s="9" t="n">
        <f aca="false">IF(AND(N1845&lt;&gt;"",OR(N1845&lt;1,N1845&gt;5)),1,0)</f>
        <v>0</v>
      </c>
      <c r="AA1845" s="9" t="n">
        <f aca="false">IF(AND(M1845&lt;&gt;"",OR(M1845&lt;5,M1845&gt;180)),1,0)</f>
        <v>0</v>
      </c>
      <c r="AB1845" s="7" t="str">
        <f aca="false">IF(P1845="DUP","Exact duplicate row",IF(T1845=1,"Missing Order ID",IF(S1845="DROP","Duplicate Order ID (less complete row)",IF(U1845=1,"Missing Customer ID",IF(V1845=1,"Missing Restaurant name",IF(W1845=1,"Invalid/outlier quantity",IF(X1845=1,"Invalid/outlier unit price",IF(Y1845=1,"Discount greater than order value",""))))))))</f>
        <v/>
      </c>
      <c r="AC1845" s="7" t="str">
        <f aca="false">IF(AB1845="","KEEP","DROP")</f>
        <v>KEEP</v>
      </c>
      <c r="AD1845" s="7" t="str">
        <f aca="false">IF(TRIM(F1845)="",IFERROR(INDEX(Map_Tables!$I$4:$I$37,MATCH(TRIM(E1845),Map_Tables!$G$4:$G$37,0)),""),IFERROR(INDEX(Map_Tables!$B$4:$B$18,MATCH(TRIM(F1845),Map_Tables!$A$4:$A$18,0)),"CHECK"))</f>
        <v>Hyderabad</v>
      </c>
      <c r="AE1845" s="7" t="str">
        <f aca="false">IF(TRIM(E1845)="","",IFERROR(INDEX(Map_Tables!$H$4:$H$37,MATCH(TRIM(E1845),Map_Tables!$G$4:$G$37,0)),"CHECK"))</f>
        <v>Andhra Meals Mess</v>
      </c>
      <c r="AF1845" s="7" t="str">
        <f aca="false">IF(TRIM(K1845)="","Unknown",IFERROR(INDEX(Map_Tables!$E$4:$E$15,MATCH(TRIM(K1845),Map_Tables!$D$4:$D$15,0)),"CHECK"))</f>
        <v>Cash on Delivery</v>
      </c>
      <c r="AG1845" s="7" t="str">
        <f aca="false">IF(LEFT(LOWER(TRIM(L1845)),6)="cancel","Cancelled","Delivered")</f>
        <v>Delivered</v>
      </c>
      <c r="AH1845" s="10" t="n">
        <f aca="false">IF(ISNUMBER(SEARCH("/",B1845)),DATE(VALUE(RIGHT(B1845,4)),VALUE(MID(B1845,4,2)),VALUE(LEFT(B1845,2))),IF(MID(B1845,5,1)="-",DATE(VALUE(LEFT(B1845,4)),VALUE(MID(B1845,6,2)),VALUE(RIGHT(B1845,2))),DATE(VALUE(RIGHT(B1845,4)),MATCH(MID(B1845,4,3),{"Jan","Feb","Mar","Apr","May","Jun","Jul","Aug","Sep","Oct","Nov","Dec"},0),VALUE(LEFT(B1845,2)))))</f>
        <v>45906</v>
      </c>
    </row>
    <row r="1846" customFormat="false" ht="15" hidden="false" customHeight="false" outlineLevel="0" collapsed="false">
      <c r="A1846" s="7" t="s">
        <v>4512</v>
      </c>
      <c r="B1846" s="7" t="s">
        <v>1907</v>
      </c>
      <c r="C1846" s="7" t="s">
        <v>4513</v>
      </c>
      <c r="D1846" s="7" t="s">
        <v>1216</v>
      </c>
      <c r="E1846" s="7" t="s">
        <v>122</v>
      </c>
      <c r="F1846" s="7" t="s">
        <v>498</v>
      </c>
      <c r="G1846" s="7" t="s">
        <v>123</v>
      </c>
      <c r="H1846" s="7" t="n">
        <v>2</v>
      </c>
      <c r="I1846" s="7" t="n">
        <v>350</v>
      </c>
      <c r="J1846" s="7" t="n">
        <v>0</v>
      </c>
      <c r="K1846" s="7" t="s">
        <v>121</v>
      </c>
      <c r="L1846" s="7" t="s">
        <v>194</v>
      </c>
      <c r="M1846" s="7" t="n">
        <v>45</v>
      </c>
      <c r="N1846" s="7" t="n">
        <v>4</v>
      </c>
      <c r="O1846" s="7" t="str">
        <f aca="false">A1846&amp;"|"&amp;B1846&amp;"|"&amp;C1846&amp;"|"&amp;D1846&amp;"|"&amp;E1846&amp;"|"&amp;F1846&amp;"|"&amp;G1846&amp;"|"&amp;H1846&amp;"|"&amp;I1846&amp;"|"&amp;J1846&amp;"|"&amp;K1846&amp;"|"&amp;L1846&amp;"|"&amp;M1846&amp;"|"&amp;N1846</f>
        <v>ORD10056|2025-01-08|23:31|C0460|Mumbai Pizza Co|Bombay|Pizza|2|350|0|Wallet|Delivered|45|4</v>
      </c>
      <c r="P1846" s="7" t="str">
        <f aca="false">IF(COUNTIF($O$2:O1846,O1846)&gt;1,"DUP","OK")</f>
        <v>OK</v>
      </c>
      <c r="Q1846" s="7" t="n">
        <f aca="false">COUNTBLANK(A1846:N1846)</f>
        <v>0</v>
      </c>
      <c r="R1846" s="7" t="n">
        <f aca="false">IF(A1846="",0,COUNTIFS($A$2:$A$3058,A1846,$P$2:$P$3058,"OK"))</f>
        <v>1</v>
      </c>
      <c r="S1846" s="7" t="str">
        <f aca="false">IF(OR(A1846="",P1846="DUP",R1846&lt;2),"",IF(Q1846=_xlfn.MINIFS($Q$2:$Q$3058,$A$2:$A$3058,A1846,$P$2:$P$3058,"OK"),"KEEP","DROP"))</f>
        <v/>
      </c>
      <c r="T1846" s="9" t="n">
        <f aca="false">IF(A1846="",1,0)</f>
        <v>0</v>
      </c>
      <c r="U1846" s="9" t="n">
        <f aca="false">IF(D1846="",1,0)</f>
        <v>0</v>
      </c>
      <c r="V1846" s="9" t="n">
        <f aca="false">IF(E1846="",1,0)</f>
        <v>0</v>
      </c>
      <c r="W1846" s="9" t="n">
        <f aca="false">IF(OR(H1846&lt;1,H1846&gt;10),1,0)</f>
        <v>0</v>
      </c>
      <c r="X1846" s="9" t="n">
        <f aca="false">IF(OR(I1846&lt;=0,I1846&gt;1500),1,0)</f>
        <v>0</v>
      </c>
      <c r="Y1846" s="9" t="n">
        <f aca="false">IF(J1846&gt;H1846*I1846,1,0)</f>
        <v>0</v>
      </c>
      <c r="Z1846" s="9" t="n">
        <f aca="false">IF(AND(N1846&lt;&gt;"",OR(N1846&lt;1,N1846&gt;5)),1,0)</f>
        <v>0</v>
      </c>
      <c r="AA1846" s="9" t="n">
        <f aca="false">IF(AND(M1846&lt;&gt;"",OR(M1846&lt;5,M1846&gt;180)),1,0)</f>
        <v>0</v>
      </c>
      <c r="AB1846" s="7" t="str">
        <f aca="false">IF(P1846="DUP","Exact duplicate row",IF(T1846=1,"Missing Order ID",IF(S1846="DROP","Duplicate Order ID (less complete row)",IF(U1846=1,"Missing Customer ID",IF(V1846=1,"Missing Restaurant name",IF(W1846=1,"Invalid/outlier quantity",IF(X1846=1,"Invalid/outlier unit price",IF(Y1846=1,"Discount greater than order value",""))))))))</f>
        <v/>
      </c>
      <c r="AC1846" s="7" t="str">
        <f aca="false">IF(AB1846="","KEEP","DROP")</f>
        <v>KEEP</v>
      </c>
      <c r="AD1846" s="7" t="str">
        <f aca="false">IF(TRIM(F1846)="",IFERROR(INDEX(Map_Tables!$I$4:$I$37,MATCH(TRIM(E1846),Map_Tables!$G$4:$G$37,0)),""),IFERROR(INDEX(Map_Tables!$B$4:$B$18,MATCH(TRIM(F1846),Map_Tables!$A$4:$A$18,0)),"CHECK"))</f>
        <v>Mumbai</v>
      </c>
      <c r="AE1846" s="7" t="str">
        <f aca="false">IF(TRIM(E1846)="","",IFERROR(INDEX(Map_Tables!$H$4:$H$37,MATCH(TRIM(E1846),Map_Tables!$G$4:$G$37,0)),"CHECK"))</f>
        <v>Mumbai Pizza Co</v>
      </c>
      <c r="AF1846" s="7" t="str">
        <f aca="false">IF(TRIM(K1846)="","Unknown",IFERROR(INDEX(Map_Tables!$E$4:$E$15,MATCH(TRIM(K1846),Map_Tables!$D$4:$D$15,0)),"CHECK"))</f>
        <v>Wallet</v>
      </c>
      <c r="AG1846" s="7" t="str">
        <f aca="false">IF(LEFT(LOWER(TRIM(L1846)),6)="cancel","Cancelled","Delivered")</f>
        <v>Delivered</v>
      </c>
      <c r="AH1846" s="10" t="n">
        <f aca="false">IF(ISNUMBER(SEARCH("/",B1846)),DATE(VALUE(RIGHT(B1846,4)),VALUE(MID(B1846,4,2)),VALUE(LEFT(B1846,2))),IF(MID(B1846,5,1)="-",DATE(VALUE(LEFT(B1846,4)),VALUE(MID(B1846,6,2)),VALUE(RIGHT(B1846,2))),DATE(VALUE(RIGHT(B1846,4)),MATCH(MID(B1846,4,3),{"Jan","Feb","Mar","Apr","May","Jun","Jul","Aug","Sep","Oct","Nov","Dec"},0),VALUE(LEFT(B1846,2)))))</f>
        <v>45665</v>
      </c>
    </row>
    <row r="1847" customFormat="false" ht="15" hidden="false" customHeight="false" outlineLevel="0" collapsed="false">
      <c r="A1847" s="7" t="s">
        <v>4514</v>
      </c>
      <c r="B1847" s="7" t="s">
        <v>1946</v>
      </c>
      <c r="C1847" s="7" t="s">
        <v>2963</v>
      </c>
      <c r="D1847" s="7" t="s">
        <v>3139</v>
      </c>
      <c r="E1847" s="7" t="s">
        <v>148</v>
      </c>
      <c r="F1847" s="7" t="s">
        <v>119</v>
      </c>
      <c r="G1847" s="7" t="s">
        <v>123</v>
      </c>
      <c r="H1847" s="7" t="n">
        <v>2</v>
      </c>
      <c r="I1847" s="7" t="n">
        <v>325</v>
      </c>
      <c r="J1847" s="7" t="n">
        <v>150</v>
      </c>
      <c r="K1847" s="7" t="s">
        <v>88</v>
      </c>
      <c r="L1847" s="7" t="s">
        <v>194</v>
      </c>
      <c r="M1847" s="7" t="n">
        <v>16</v>
      </c>
      <c r="N1847" s="7" t="n">
        <v>5</v>
      </c>
      <c r="O1847" s="7" t="str">
        <f aca="false">A1847&amp;"|"&amp;B1847&amp;"|"&amp;C1847&amp;"|"&amp;D1847&amp;"|"&amp;E1847&amp;"|"&amp;F1847&amp;"|"&amp;G1847&amp;"|"&amp;H1847&amp;"|"&amp;I1847&amp;"|"&amp;J1847&amp;"|"&amp;K1847&amp;"|"&amp;L1847&amp;"|"&amp;M1847&amp;"|"&amp;N1847</f>
        <v>ORD12029|2025-09-19|18:05|C0993|Pizza Palace|Hyderabad|Pizza|2|325|150|UPI|Delivered|16|5</v>
      </c>
      <c r="P1847" s="7" t="str">
        <f aca="false">IF(COUNTIF($O$2:O1847,O1847)&gt;1,"DUP","OK")</f>
        <v>OK</v>
      </c>
      <c r="Q1847" s="7" t="n">
        <f aca="false">COUNTBLANK(A1847:N1847)</f>
        <v>0</v>
      </c>
      <c r="R1847" s="7" t="n">
        <f aca="false">IF(A1847="",0,COUNTIFS($A$2:$A$3058,A1847,$P$2:$P$3058,"OK"))</f>
        <v>1</v>
      </c>
      <c r="S1847" s="7" t="str">
        <f aca="false">IF(OR(A1847="",P1847="DUP",R1847&lt;2),"",IF(Q1847=_xlfn.MINIFS($Q$2:$Q$3058,$A$2:$A$3058,A1847,$P$2:$P$3058,"OK"),"KEEP","DROP"))</f>
        <v/>
      </c>
      <c r="T1847" s="9" t="n">
        <f aca="false">IF(A1847="",1,0)</f>
        <v>0</v>
      </c>
      <c r="U1847" s="9" t="n">
        <f aca="false">IF(D1847="",1,0)</f>
        <v>0</v>
      </c>
      <c r="V1847" s="9" t="n">
        <f aca="false">IF(E1847="",1,0)</f>
        <v>0</v>
      </c>
      <c r="W1847" s="9" t="n">
        <f aca="false">IF(OR(H1847&lt;1,H1847&gt;10),1,0)</f>
        <v>0</v>
      </c>
      <c r="X1847" s="9" t="n">
        <f aca="false">IF(OR(I1847&lt;=0,I1847&gt;1500),1,0)</f>
        <v>0</v>
      </c>
      <c r="Y1847" s="9" t="n">
        <f aca="false">IF(J1847&gt;H1847*I1847,1,0)</f>
        <v>0</v>
      </c>
      <c r="Z1847" s="9" t="n">
        <f aca="false">IF(AND(N1847&lt;&gt;"",OR(N1847&lt;1,N1847&gt;5)),1,0)</f>
        <v>0</v>
      </c>
      <c r="AA1847" s="9" t="n">
        <f aca="false">IF(AND(M1847&lt;&gt;"",OR(M1847&lt;5,M1847&gt;180)),1,0)</f>
        <v>0</v>
      </c>
      <c r="AB1847" s="7" t="str">
        <f aca="false">IF(P1847="DUP","Exact duplicate row",IF(T1847=1,"Missing Order ID",IF(S1847="DROP","Duplicate Order ID (less complete row)",IF(U1847=1,"Missing Customer ID",IF(V1847=1,"Missing Restaurant name",IF(W1847=1,"Invalid/outlier quantity",IF(X1847=1,"Invalid/outlier unit price",IF(Y1847=1,"Discount greater than order value",""))))))))</f>
        <v/>
      </c>
      <c r="AC1847" s="7" t="str">
        <f aca="false">IF(AB1847="","KEEP","DROP")</f>
        <v>KEEP</v>
      </c>
      <c r="AD1847" s="7" t="str">
        <f aca="false">IF(TRIM(F1847)="",IFERROR(INDEX(Map_Tables!$I$4:$I$37,MATCH(TRIM(E1847),Map_Tables!$G$4:$G$37,0)),""),IFERROR(INDEX(Map_Tables!$B$4:$B$18,MATCH(TRIM(F1847),Map_Tables!$A$4:$A$18,0)),"CHECK"))</f>
        <v>Hyderabad</v>
      </c>
      <c r="AE1847" s="7" t="str">
        <f aca="false">IF(TRIM(E1847)="","",IFERROR(INDEX(Map_Tables!$H$4:$H$37,MATCH(TRIM(E1847),Map_Tables!$G$4:$G$37,0)),"CHECK"))</f>
        <v>Pizza Palace</v>
      </c>
      <c r="AF1847" s="7" t="str">
        <f aca="false">IF(TRIM(K1847)="","Unknown",IFERROR(INDEX(Map_Tables!$E$4:$E$15,MATCH(TRIM(K1847),Map_Tables!$D$4:$D$15,0)),"CHECK"))</f>
        <v>UPI</v>
      </c>
      <c r="AG1847" s="7" t="str">
        <f aca="false">IF(LEFT(LOWER(TRIM(L1847)),6)="cancel","Cancelled","Delivered")</f>
        <v>Delivered</v>
      </c>
      <c r="AH1847" s="10" t="n">
        <f aca="false">IF(ISNUMBER(SEARCH("/",B1847)),DATE(VALUE(RIGHT(B1847,4)),VALUE(MID(B1847,4,2)),VALUE(LEFT(B1847,2))),IF(MID(B1847,5,1)="-",DATE(VALUE(LEFT(B1847,4)),VALUE(MID(B1847,6,2)),VALUE(RIGHT(B1847,2))),DATE(VALUE(RIGHT(B1847,4)),MATCH(MID(B1847,4,3),{"Jan","Feb","Mar","Apr","May","Jun","Jul","Aug","Sep","Oct","Nov","Dec"},0),VALUE(LEFT(B1847,2)))))</f>
        <v>45919</v>
      </c>
    </row>
    <row r="1848" customFormat="false" ht="15" hidden="false" customHeight="false" outlineLevel="0" collapsed="false">
      <c r="A1848" s="7" t="s">
        <v>4515</v>
      </c>
      <c r="B1848" s="7" t="s">
        <v>2920</v>
      </c>
      <c r="C1848" s="7" t="s">
        <v>4516</v>
      </c>
      <c r="D1848" s="7" t="s">
        <v>4517</v>
      </c>
      <c r="E1848" s="7" t="s">
        <v>94</v>
      </c>
      <c r="F1848" s="7" t="s">
        <v>86</v>
      </c>
      <c r="G1848" s="7" t="s">
        <v>95</v>
      </c>
      <c r="H1848" s="7" t="n">
        <v>2</v>
      </c>
      <c r="I1848" s="7" t="n">
        <v>110</v>
      </c>
      <c r="J1848" s="7" t="n">
        <v>0</v>
      </c>
      <c r="K1848" s="7" t="s">
        <v>133</v>
      </c>
      <c r="L1848" s="7" t="s">
        <v>194</v>
      </c>
      <c r="M1848" s="7" t="n">
        <v>44</v>
      </c>
      <c r="N1848" s="7" t="n">
        <v>5</v>
      </c>
      <c r="O1848" s="7" t="str">
        <f aca="false">A1848&amp;"|"&amp;B1848&amp;"|"&amp;C1848&amp;"|"&amp;D1848&amp;"|"&amp;E1848&amp;"|"&amp;F1848&amp;"|"&amp;G1848&amp;"|"&amp;H1848&amp;"|"&amp;I1848&amp;"|"&amp;J1848&amp;"|"&amp;K1848&amp;"|"&amp;L1848&amp;"|"&amp;M1848&amp;"|"&amp;N1848</f>
        <v>ORD12857|2025-12-16|12:41|C0795|Dosa Darbar|Bengaluru|South Indian|2|110|0|Net Banking|Delivered|44|5</v>
      </c>
      <c r="P1848" s="7" t="str">
        <f aca="false">IF(COUNTIF($O$2:O1848,O1848)&gt;1,"DUP","OK")</f>
        <v>OK</v>
      </c>
      <c r="Q1848" s="7" t="n">
        <f aca="false">COUNTBLANK(A1848:N1848)</f>
        <v>0</v>
      </c>
      <c r="R1848" s="7" t="n">
        <f aca="false">IF(A1848="",0,COUNTIFS($A$2:$A$3058,A1848,$P$2:$P$3058,"OK"))</f>
        <v>1</v>
      </c>
      <c r="S1848" s="7" t="str">
        <f aca="false">IF(OR(A1848="",P1848="DUP",R1848&lt;2),"",IF(Q1848=_xlfn.MINIFS($Q$2:$Q$3058,$A$2:$A$3058,A1848,$P$2:$P$3058,"OK"),"KEEP","DROP"))</f>
        <v/>
      </c>
      <c r="T1848" s="9" t="n">
        <f aca="false">IF(A1848="",1,0)</f>
        <v>0</v>
      </c>
      <c r="U1848" s="9" t="n">
        <f aca="false">IF(D1848="",1,0)</f>
        <v>0</v>
      </c>
      <c r="V1848" s="9" t="n">
        <f aca="false">IF(E1848="",1,0)</f>
        <v>0</v>
      </c>
      <c r="W1848" s="9" t="n">
        <f aca="false">IF(OR(H1848&lt;1,H1848&gt;10),1,0)</f>
        <v>0</v>
      </c>
      <c r="X1848" s="9" t="n">
        <f aca="false">IF(OR(I1848&lt;=0,I1848&gt;1500),1,0)</f>
        <v>0</v>
      </c>
      <c r="Y1848" s="9" t="n">
        <f aca="false">IF(J1848&gt;H1848*I1848,1,0)</f>
        <v>0</v>
      </c>
      <c r="Z1848" s="9" t="n">
        <f aca="false">IF(AND(N1848&lt;&gt;"",OR(N1848&lt;1,N1848&gt;5)),1,0)</f>
        <v>0</v>
      </c>
      <c r="AA1848" s="9" t="n">
        <f aca="false">IF(AND(M1848&lt;&gt;"",OR(M1848&lt;5,M1848&gt;180)),1,0)</f>
        <v>0</v>
      </c>
      <c r="AB1848" s="7" t="str">
        <f aca="false">IF(P1848="DUP","Exact duplicate row",IF(T1848=1,"Missing Order ID",IF(S1848="DROP","Duplicate Order ID (less complete row)",IF(U1848=1,"Missing Customer ID",IF(V1848=1,"Missing Restaurant name",IF(W1848=1,"Invalid/outlier quantity",IF(X1848=1,"Invalid/outlier unit price",IF(Y1848=1,"Discount greater than order value",""))))))))</f>
        <v/>
      </c>
      <c r="AC1848" s="7" t="str">
        <f aca="false">IF(AB1848="","KEEP","DROP")</f>
        <v>KEEP</v>
      </c>
      <c r="AD1848" s="7" t="str">
        <f aca="false">IF(TRIM(F1848)="",IFERROR(INDEX(Map_Tables!$I$4:$I$37,MATCH(TRIM(E1848),Map_Tables!$G$4:$G$37,0)),""),IFERROR(INDEX(Map_Tables!$B$4:$B$18,MATCH(TRIM(F1848),Map_Tables!$A$4:$A$18,0)),"CHECK"))</f>
        <v>Bengaluru</v>
      </c>
      <c r="AE1848" s="7" t="str">
        <f aca="false">IF(TRIM(E1848)="","",IFERROR(INDEX(Map_Tables!$H$4:$H$37,MATCH(TRIM(E1848),Map_Tables!$G$4:$G$37,0)),"CHECK"))</f>
        <v>Dosa Darbar</v>
      </c>
      <c r="AF1848" s="7" t="str">
        <f aca="false">IF(TRIM(K1848)="","Unknown",IFERROR(INDEX(Map_Tables!$E$4:$E$15,MATCH(TRIM(K1848),Map_Tables!$D$4:$D$15,0)),"CHECK"))</f>
        <v>Net Banking</v>
      </c>
      <c r="AG1848" s="7" t="str">
        <f aca="false">IF(LEFT(LOWER(TRIM(L1848)),6)="cancel","Cancelled","Delivered")</f>
        <v>Delivered</v>
      </c>
      <c r="AH1848" s="10" t="n">
        <f aca="false">IF(ISNUMBER(SEARCH("/",B1848)),DATE(VALUE(RIGHT(B1848,4)),VALUE(MID(B1848,4,2)),VALUE(LEFT(B1848,2))),IF(MID(B1848,5,1)="-",DATE(VALUE(LEFT(B1848,4)),VALUE(MID(B1848,6,2)),VALUE(RIGHT(B1848,2))),DATE(VALUE(RIGHT(B1848,4)),MATCH(MID(B1848,4,3),{"Jan","Feb","Mar","Apr","May","Jun","Jul","Aug","Sep","Oct","Nov","Dec"},0),VALUE(LEFT(B1848,2)))))</f>
        <v>46007</v>
      </c>
    </row>
    <row r="1849" customFormat="false" ht="15" hidden="false" customHeight="false" outlineLevel="0" collapsed="false">
      <c r="A1849" s="7" t="s">
        <v>4518</v>
      </c>
      <c r="B1849" s="7" t="s">
        <v>4519</v>
      </c>
      <c r="C1849" s="7" t="s">
        <v>1812</v>
      </c>
      <c r="D1849" s="7" t="s">
        <v>4100</v>
      </c>
      <c r="E1849" s="7" t="s">
        <v>130</v>
      </c>
      <c r="F1849" s="7" t="s">
        <v>110</v>
      </c>
      <c r="G1849" s="7" t="s">
        <v>90</v>
      </c>
      <c r="H1849" s="7" t="n">
        <v>5</v>
      </c>
      <c r="I1849" s="7" t="n">
        <v>255</v>
      </c>
      <c r="J1849" s="7" t="n">
        <v>100</v>
      </c>
      <c r="K1849" s="7" t="s">
        <v>93</v>
      </c>
      <c r="L1849" s="7" t="s">
        <v>194</v>
      </c>
      <c r="M1849" s="7" t="n">
        <v>36</v>
      </c>
      <c r="N1849" s="7" t="n">
        <v>5</v>
      </c>
      <c r="O1849" s="7" t="str">
        <f aca="false">A1849&amp;"|"&amp;B1849&amp;"|"&amp;C1849&amp;"|"&amp;D1849&amp;"|"&amp;E1849&amp;"|"&amp;F1849&amp;"|"&amp;G1849&amp;"|"&amp;H1849&amp;"|"&amp;I1849&amp;"|"&amp;J1849&amp;"|"&amp;K1849&amp;"|"&amp;L1849&amp;"|"&amp;M1849&amp;"|"&amp;N1849</f>
        <v>ORD11412|03-Jul-2025|12:28|C0508|Tandoor Tales|Delhi|North Indian|5|255|100|Credit Card|Delivered|36|5</v>
      </c>
      <c r="P1849" s="7" t="str">
        <f aca="false">IF(COUNTIF($O$2:O1849,O1849)&gt;1,"DUP","OK")</f>
        <v>OK</v>
      </c>
      <c r="Q1849" s="7" t="n">
        <f aca="false">COUNTBLANK(A1849:N1849)</f>
        <v>0</v>
      </c>
      <c r="R1849" s="7" t="n">
        <f aca="false">IF(A1849="",0,COUNTIFS($A$2:$A$3058,A1849,$P$2:$P$3058,"OK"))</f>
        <v>1</v>
      </c>
      <c r="S1849" s="7" t="str">
        <f aca="false">IF(OR(A1849="",P1849="DUP",R1849&lt;2),"",IF(Q1849=_xlfn.MINIFS($Q$2:$Q$3058,$A$2:$A$3058,A1849,$P$2:$P$3058,"OK"),"KEEP","DROP"))</f>
        <v/>
      </c>
      <c r="T1849" s="9" t="n">
        <f aca="false">IF(A1849="",1,0)</f>
        <v>0</v>
      </c>
      <c r="U1849" s="9" t="n">
        <f aca="false">IF(D1849="",1,0)</f>
        <v>0</v>
      </c>
      <c r="V1849" s="9" t="n">
        <f aca="false">IF(E1849="",1,0)</f>
        <v>0</v>
      </c>
      <c r="W1849" s="9" t="n">
        <f aca="false">IF(OR(H1849&lt;1,H1849&gt;10),1,0)</f>
        <v>0</v>
      </c>
      <c r="X1849" s="9" t="n">
        <f aca="false">IF(OR(I1849&lt;=0,I1849&gt;1500),1,0)</f>
        <v>0</v>
      </c>
      <c r="Y1849" s="9" t="n">
        <f aca="false">IF(J1849&gt;H1849*I1849,1,0)</f>
        <v>0</v>
      </c>
      <c r="Z1849" s="9" t="n">
        <f aca="false">IF(AND(N1849&lt;&gt;"",OR(N1849&lt;1,N1849&gt;5)),1,0)</f>
        <v>0</v>
      </c>
      <c r="AA1849" s="9" t="n">
        <f aca="false">IF(AND(M1849&lt;&gt;"",OR(M1849&lt;5,M1849&gt;180)),1,0)</f>
        <v>0</v>
      </c>
      <c r="AB1849" s="7" t="str">
        <f aca="false">IF(P1849="DUP","Exact duplicate row",IF(T1849=1,"Missing Order ID",IF(S1849="DROP","Duplicate Order ID (less complete row)",IF(U1849=1,"Missing Customer ID",IF(V1849=1,"Missing Restaurant name",IF(W1849=1,"Invalid/outlier quantity",IF(X1849=1,"Invalid/outlier unit price",IF(Y1849=1,"Discount greater than order value",""))))))))</f>
        <v/>
      </c>
      <c r="AC1849" s="7" t="str">
        <f aca="false">IF(AB1849="","KEEP","DROP")</f>
        <v>KEEP</v>
      </c>
      <c r="AD1849" s="7" t="str">
        <f aca="false">IF(TRIM(F1849)="",IFERROR(INDEX(Map_Tables!$I$4:$I$37,MATCH(TRIM(E1849),Map_Tables!$G$4:$G$37,0)),""),IFERROR(INDEX(Map_Tables!$B$4:$B$18,MATCH(TRIM(F1849),Map_Tables!$A$4:$A$18,0)),"CHECK"))</f>
        <v>Delhi</v>
      </c>
      <c r="AE1849" s="7" t="str">
        <f aca="false">IF(TRIM(E1849)="","",IFERROR(INDEX(Map_Tables!$H$4:$H$37,MATCH(TRIM(E1849),Map_Tables!$G$4:$G$37,0)),"CHECK"))</f>
        <v>Tandoor Tales</v>
      </c>
      <c r="AF1849" s="7" t="str">
        <f aca="false">IF(TRIM(K1849)="","Unknown",IFERROR(INDEX(Map_Tables!$E$4:$E$15,MATCH(TRIM(K1849),Map_Tables!$D$4:$D$15,0)),"CHECK"))</f>
        <v>Credit Card</v>
      </c>
      <c r="AG1849" s="7" t="str">
        <f aca="false">IF(LEFT(LOWER(TRIM(L1849)),6)="cancel","Cancelled","Delivered")</f>
        <v>Delivered</v>
      </c>
      <c r="AH1849" s="10" t="n">
        <f aca="false">IF(ISNUMBER(SEARCH("/",B1849)),DATE(VALUE(RIGHT(B1849,4)),VALUE(MID(B1849,4,2)),VALUE(LEFT(B1849,2))),IF(MID(B1849,5,1)="-",DATE(VALUE(LEFT(B1849,4)),VALUE(MID(B1849,6,2)),VALUE(RIGHT(B1849,2))),DATE(VALUE(RIGHT(B1849,4)),MATCH(MID(B1849,4,3),{"Jan","Feb","Mar","Apr","May","Jun","Jul","Aug","Sep","Oct","Nov","Dec"},0),VALUE(LEFT(B1849,2)))))</f>
        <v>45841</v>
      </c>
    </row>
    <row r="1850" customFormat="false" ht="15" hidden="false" customHeight="false" outlineLevel="0" collapsed="false">
      <c r="A1850" s="7" t="s">
        <v>4520</v>
      </c>
      <c r="B1850" s="7" t="s">
        <v>1897</v>
      </c>
      <c r="C1850" s="7" t="s">
        <v>1699</v>
      </c>
      <c r="D1850" s="7" t="s">
        <v>4521</v>
      </c>
      <c r="E1850" s="7" t="s">
        <v>89</v>
      </c>
      <c r="F1850" s="7" t="s">
        <v>86</v>
      </c>
      <c r="G1850" s="7" t="s">
        <v>90</v>
      </c>
      <c r="H1850" s="7" t="n">
        <v>3</v>
      </c>
      <c r="I1850" s="7" t="n">
        <v>250</v>
      </c>
      <c r="J1850" s="7" t="n">
        <v>0</v>
      </c>
      <c r="K1850" s="7" t="s">
        <v>133</v>
      </c>
      <c r="L1850" s="7" t="s">
        <v>194</v>
      </c>
      <c r="M1850" s="7" t="n">
        <v>49</v>
      </c>
      <c r="N1850" s="7" t="n">
        <v>4</v>
      </c>
      <c r="O1850" s="7" t="str">
        <f aca="false">A1850&amp;"|"&amp;B1850&amp;"|"&amp;C1850&amp;"|"&amp;D1850&amp;"|"&amp;E1850&amp;"|"&amp;F1850&amp;"|"&amp;G1850&amp;"|"&amp;H1850&amp;"|"&amp;I1850&amp;"|"&amp;J1850&amp;"|"&amp;K1850&amp;"|"&amp;L1850&amp;"|"&amp;M1850&amp;"|"&amp;N1850</f>
        <v>ORD12243|12/10/2025|08:11|C0526|Spice Junction|Bengaluru|North Indian|3|250|0|Net Banking|Delivered|49|4</v>
      </c>
      <c r="P1850" s="7" t="str">
        <f aca="false">IF(COUNTIF($O$2:O1850,O1850)&gt;1,"DUP","OK")</f>
        <v>OK</v>
      </c>
      <c r="Q1850" s="7" t="n">
        <f aca="false">COUNTBLANK(A1850:N1850)</f>
        <v>0</v>
      </c>
      <c r="R1850" s="7" t="n">
        <f aca="false">IF(A1850="",0,COUNTIFS($A$2:$A$3058,A1850,$P$2:$P$3058,"OK"))</f>
        <v>1</v>
      </c>
      <c r="S1850" s="7" t="str">
        <f aca="false">IF(OR(A1850="",P1850="DUP",R1850&lt;2),"",IF(Q1850=_xlfn.MINIFS($Q$2:$Q$3058,$A$2:$A$3058,A1850,$P$2:$P$3058,"OK"),"KEEP","DROP"))</f>
        <v/>
      </c>
      <c r="T1850" s="9" t="n">
        <f aca="false">IF(A1850="",1,0)</f>
        <v>0</v>
      </c>
      <c r="U1850" s="9" t="n">
        <f aca="false">IF(D1850="",1,0)</f>
        <v>0</v>
      </c>
      <c r="V1850" s="9" t="n">
        <f aca="false">IF(E1850="",1,0)</f>
        <v>0</v>
      </c>
      <c r="W1850" s="9" t="n">
        <f aca="false">IF(OR(H1850&lt;1,H1850&gt;10),1,0)</f>
        <v>0</v>
      </c>
      <c r="X1850" s="9" t="n">
        <f aca="false">IF(OR(I1850&lt;=0,I1850&gt;1500),1,0)</f>
        <v>0</v>
      </c>
      <c r="Y1850" s="9" t="n">
        <f aca="false">IF(J1850&gt;H1850*I1850,1,0)</f>
        <v>0</v>
      </c>
      <c r="Z1850" s="9" t="n">
        <f aca="false">IF(AND(N1850&lt;&gt;"",OR(N1850&lt;1,N1850&gt;5)),1,0)</f>
        <v>0</v>
      </c>
      <c r="AA1850" s="9" t="n">
        <f aca="false">IF(AND(M1850&lt;&gt;"",OR(M1850&lt;5,M1850&gt;180)),1,0)</f>
        <v>0</v>
      </c>
      <c r="AB1850" s="7" t="str">
        <f aca="false">IF(P1850="DUP","Exact duplicate row",IF(T1850=1,"Missing Order ID",IF(S1850="DROP","Duplicate Order ID (less complete row)",IF(U1850=1,"Missing Customer ID",IF(V1850=1,"Missing Restaurant name",IF(W1850=1,"Invalid/outlier quantity",IF(X1850=1,"Invalid/outlier unit price",IF(Y1850=1,"Discount greater than order value",""))))))))</f>
        <v/>
      </c>
      <c r="AC1850" s="7" t="str">
        <f aca="false">IF(AB1850="","KEEP","DROP")</f>
        <v>KEEP</v>
      </c>
      <c r="AD1850" s="7" t="str">
        <f aca="false">IF(TRIM(F1850)="",IFERROR(INDEX(Map_Tables!$I$4:$I$37,MATCH(TRIM(E1850),Map_Tables!$G$4:$G$37,0)),""),IFERROR(INDEX(Map_Tables!$B$4:$B$18,MATCH(TRIM(F1850),Map_Tables!$A$4:$A$18,0)),"CHECK"))</f>
        <v>Bengaluru</v>
      </c>
      <c r="AE1850" s="7" t="str">
        <f aca="false">IF(TRIM(E1850)="","",IFERROR(INDEX(Map_Tables!$H$4:$H$37,MATCH(TRIM(E1850),Map_Tables!$G$4:$G$37,0)),"CHECK"))</f>
        <v>Spice Junction</v>
      </c>
      <c r="AF1850" s="7" t="str">
        <f aca="false">IF(TRIM(K1850)="","Unknown",IFERROR(INDEX(Map_Tables!$E$4:$E$15,MATCH(TRIM(K1850),Map_Tables!$D$4:$D$15,0)),"CHECK"))</f>
        <v>Net Banking</v>
      </c>
      <c r="AG1850" s="7" t="str">
        <f aca="false">IF(LEFT(LOWER(TRIM(L1850)),6)="cancel","Cancelled","Delivered")</f>
        <v>Delivered</v>
      </c>
      <c r="AH1850" s="10" t="n">
        <f aca="false">IF(ISNUMBER(SEARCH("/",B1850)),DATE(VALUE(RIGHT(B1850,4)),VALUE(MID(B1850,4,2)),VALUE(LEFT(B1850,2))),IF(MID(B1850,5,1)="-",DATE(VALUE(LEFT(B1850,4)),VALUE(MID(B1850,6,2)),VALUE(RIGHT(B1850,2))),DATE(VALUE(RIGHT(B1850,4)),MATCH(MID(B1850,4,3),{"Jan","Feb","Mar","Apr","May","Jun","Jul","Aug","Sep","Oct","Nov","Dec"},0),VALUE(LEFT(B1850,2)))))</f>
        <v>45942</v>
      </c>
    </row>
    <row r="1851" customFormat="false" ht="15" hidden="false" customHeight="false" outlineLevel="0" collapsed="false">
      <c r="A1851" s="7" t="s">
        <v>4522</v>
      </c>
      <c r="B1851" s="7" t="s">
        <v>3572</v>
      </c>
      <c r="C1851" s="7" t="s">
        <v>2860</v>
      </c>
      <c r="D1851" s="7" t="s">
        <v>1954</v>
      </c>
      <c r="E1851" s="7" t="s">
        <v>94</v>
      </c>
      <c r="F1851" s="7" t="s">
        <v>86</v>
      </c>
      <c r="G1851" s="7" t="s">
        <v>1828</v>
      </c>
      <c r="H1851" s="7" t="n">
        <v>1</v>
      </c>
      <c r="I1851" s="7" t="n">
        <v>110</v>
      </c>
      <c r="J1851" s="7" t="n">
        <v>44</v>
      </c>
      <c r="K1851" s="7" t="s">
        <v>112</v>
      </c>
      <c r="L1851" s="7" t="s">
        <v>194</v>
      </c>
      <c r="M1851" s="7" t="n">
        <v>44</v>
      </c>
      <c r="N1851" s="7" t="n">
        <v>4</v>
      </c>
      <c r="O1851" s="7" t="str">
        <f aca="false">A1851&amp;"|"&amp;B1851&amp;"|"&amp;C1851&amp;"|"&amp;D1851&amp;"|"&amp;E1851&amp;"|"&amp;F1851&amp;"|"&amp;G1851&amp;"|"&amp;H1851&amp;"|"&amp;I1851&amp;"|"&amp;J1851&amp;"|"&amp;K1851&amp;"|"&amp;L1851&amp;"|"&amp;M1851&amp;"|"&amp;N1851</f>
        <v>ORD11289|2025-06-13|17:39|C1044|Dosa Darbar|Bengaluru|south indian|1|110|44|Cash on Delivery|Delivered|44|4</v>
      </c>
      <c r="P1851" s="7" t="str">
        <f aca="false">IF(COUNTIF($O$2:O1851,O1851)&gt;1,"DUP","OK")</f>
        <v>OK</v>
      </c>
      <c r="Q1851" s="7" t="n">
        <f aca="false">COUNTBLANK(A1851:N1851)</f>
        <v>0</v>
      </c>
      <c r="R1851" s="7" t="n">
        <f aca="false">IF(A1851="",0,COUNTIFS($A$2:$A$3058,A1851,$P$2:$P$3058,"OK"))</f>
        <v>1</v>
      </c>
      <c r="S1851" s="7" t="str">
        <f aca="false">IF(OR(A1851="",P1851="DUP",R1851&lt;2),"",IF(Q1851=_xlfn.MINIFS($Q$2:$Q$3058,$A$2:$A$3058,A1851,$P$2:$P$3058,"OK"),"KEEP","DROP"))</f>
        <v/>
      </c>
      <c r="T1851" s="9" t="n">
        <f aca="false">IF(A1851="",1,0)</f>
        <v>0</v>
      </c>
      <c r="U1851" s="9" t="n">
        <f aca="false">IF(D1851="",1,0)</f>
        <v>0</v>
      </c>
      <c r="V1851" s="9" t="n">
        <f aca="false">IF(E1851="",1,0)</f>
        <v>0</v>
      </c>
      <c r="W1851" s="9" t="n">
        <f aca="false">IF(OR(H1851&lt;1,H1851&gt;10),1,0)</f>
        <v>0</v>
      </c>
      <c r="X1851" s="9" t="n">
        <f aca="false">IF(OR(I1851&lt;=0,I1851&gt;1500),1,0)</f>
        <v>0</v>
      </c>
      <c r="Y1851" s="9" t="n">
        <f aca="false">IF(J1851&gt;H1851*I1851,1,0)</f>
        <v>0</v>
      </c>
      <c r="Z1851" s="9" t="n">
        <f aca="false">IF(AND(N1851&lt;&gt;"",OR(N1851&lt;1,N1851&gt;5)),1,0)</f>
        <v>0</v>
      </c>
      <c r="AA1851" s="9" t="n">
        <f aca="false">IF(AND(M1851&lt;&gt;"",OR(M1851&lt;5,M1851&gt;180)),1,0)</f>
        <v>0</v>
      </c>
      <c r="AB1851" s="7" t="str">
        <f aca="false">IF(P1851="DUP","Exact duplicate row",IF(T1851=1,"Missing Order ID",IF(S1851="DROP","Duplicate Order ID (less complete row)",IF(U1851=1,"Missing Customer ID",IF(V1851=1,"Missing Restaurant name",IF(W1851=1,"Invalid/outlier quantity",IF(X1851=1,"Invalid/outlier unit price",IF(Y1851=1,"Discount greater than order value",""))))))))</f>
        <v/>
      </c>
      <c r="AC1851" s="7" t="str">
        <f aca="false">IF(AB1851="","KEEP","DROP")</f>
        <v>KEEP</v>
      </c>
      <c r="AD1851" s="7" t="str">
        <f aca="false">IF(TRIM(F1851)="",IFERROR(INDEX(Map_Tables!$I$4:$I$37,MATCH(TRIM(E1851),Map_Tables!$G$4:$G$37,0)),""),IFERROR(INDEX(Map_Tables!$B$4:$B$18,MATCH(TRIM(F1851),Map_Tables!$A$4:$A$18,0)),"CHECK"))</f>
        <v>Bengaluru</v>
      </c>
      <c r="AE1851" s="7" t="str">
        <f aca="false">IF(TRIM(E1851)="","",IFERROR(INDEX(Map_Tables!$H$4:$H$37,MATCH(TRIM(E1851),Map_Tables!$G$4:$G$37,0)),"CHECK"))</f>
        <v>Dosa Darbar</v>
      </c>
      <c r="AF1851" s="7" t="str">
        <f aca="false">IF(TRIM(K1851)="","Unknown",IFERROR(INDEX(Map_Tables!$E$4:$E$15,MATCH(TRIM(K1851),Map_Tables!$D$4:$D$15,0)),"CHECK"))</f>
        <v>Cash on Delivery</v>
      </c>
      <c r="AG1851" s="7" t="str">
        <f aca="false">IF(LEFT(LOWER(TRIM(L1851)),6)="cancel","Cancelled","Delivered")</f>
        <v>Delivered</v>
      </c>
      <c r="AH1851" s="10" t="n">
        <f aca="false">IF(ISNUMBER(SEARCH("/",B1851)),DATE(VALUE(RIGHT(B1851,4)),VALUE(MID(B1851,4,2)),VALUE(LEFT(B1851,2))),IF(MID(B1851,5,1)="-",DATE(VALUE(LEFT(B1851,4)),VALUE(MID(B1851,6,2)),VALUE(RIGHT(B1851,2))),DATE(VALUE(RIGHT(B1851,4)),MATCH(MID(B1851,4,3),{"Jan","Feb","Mar","Apr","May","Jun","Jul","Aug","Sep","Oct","Nov","Dec"},0),VALUE(LEFT(B1851,2)))))</f>
        <v>45821</v>
      </c>
    </row>
    <row r="1852" customFormat="false" ht="15" hidden="false" customHeight="false" outlineLevel="0" collapsed="false">
      <c r="A1852" s="7" t="s">
        <v>4523</v>
      </c>
      <c r="B1852" s="7" t="s">
        <v>3753</v>
      </c>
      <c r="C1852" s="7" t="s">
        <v>1664</v>
      </c>
      <c r="D1852" s="7" t="s">
        <v>4524</v>
      </c>
      <c r="E1852" s="7" t="s">
        <v>116</v>
      </c>
      <c r="F1852" s="7" t="s">
        <v>101</v>
      </c>
      <c r="G1852" s="7" t="s">
        <v>117</v>
      </c>
      <c r="H1852" s="7" t="n">
        <v>2</v>
      </c>
      <c r="I1852" s="7" t="n">
        <v>120</v>
      </c>
      <c r="J1852" s="7" t="n">
        <v>75</v>
      </c>
      <c r="K1852" s="7" t="s">
        <v>298</v>
      </c>
      <c r="L1852" s="7" t="s">
        <v>194</v>
      </c>
      <c r="M1852" s="7" t="n">
        <v>38</v>
      </c>
      <c r="N1852" s="7" t="n">
        <v>3</v>
      </c>
      <c r="O1852" s="7" t="str">
        <f aca="false">A1852&amp;"|"&amp;B1852&amp;"|"&amp;C1852&amp;"|"&amp;D1852&amp;"|"&amp;E1852&amp;"|"&amp;F1852&amp;"|"&amp;G1852&amp;"|"&amp;H1852&amp;"|"&amp;I1852&amp;"|"&amp;J1852&amp;"|"&amp;K1852&amp;"|"&amp;L1852&amp;"|"&amp;M1852&amp;"|"&amp;N1852</f>
        <v>ORD10167|2025-01-22|18:35|C1474|Pav Bhaji Point|Mumbai|Street Food|2|120|75|Cash On Delivery|Delivered|38|3</v>
      </c>
      <c r="P1852" s="7" t="str">
        <f aca="false">IF(COUNTIF($O$2:O1852,O1852)&gt;1,"DUP","OK")</f>
        <v>OK</v>
      </c>
      <c r="Q1852" s="7" t="n">
        <f aca="false">COUNTBLANK(A1852:N1852)</f>
        <v>0</v>
      </c>
      <c r="R1852" s="7" t="n">
        <f aca="false">IF(A1852="",0,COUNTIFS($A$2:$A$3058,A1852,$P$2:$P$3058,"OK"))</f>
        <v>1</v>
      </c>
      <c r="S1852" s="7" t="str">
        <f aca="false">IF(OR(A1852="",P1852="DUP",R1852&lt;2),"",IF(Q1852=_xlfn.MINIFS($Q$2:$Q$3058,$A$2:$A$3058,A1852,$P$2:$P$3058,"OK"),"KEEP","DROP"))</f>
        <v/>
      </c>
      <c r="T1852" s="9" t="n">
        <f aca="false">IF(A1852="",1,0)</f>
        <v>0</v>
      </c>
      <c r="U1852" s="9" t="n">
        <f aca="false">IF(D1852="",1,0)</f>
        <v>0</v>
      </c>
      <c r="V1852" s="9" t="n">
        <f aca="false">IF(E1852="",1,0)</f>
        <v>0</v>
      </c>
      <c r="W1852" s="9" t="n">
        <f aca="false">IF(OR(H1852&lt;1,H1852&gt;10),1,0)</f>
        <v>0</v>
      </c>
      <c r="X1852" s="9" t="n">
        <f aca="false">IF(OR(I1852&lt;=0,I1852&gt;1500),1,0)</f>
        <v>0</v>
      </c>
      <c r="Y1852" s="9" t="n">
        <f aca="false">IF(J1852&gt;H1852*I1852,1,0)</f>
        <v>0</v>
      </c>
      <c r="Z1852" s="9" t="n">
        <f aca="false">IF(AND(N1852&lt;&gt;"",OR(N1852&lt;1,N1852&gt;5)),1,0)</f>
        <v>0</v>
      </c>
      <c r="AA1852" s="9" t="n">
        <f aca="false">IF(AND(M1852&lt;&gt;"",OR(M1852&lt;5,M1852&gt;180)),1,0)</f>
        <v>0</v>
      </c>
      <c r="AB1852" s="7" t="str">
        <f aca="false">IF(P1852="DUP","Exact duplicate row",IF(T1852=1,"Missing Order ID",IF(S1852="DROP","Duplicate Order ID (less complete row)",IF(U1852=1,"Missing Customer ID",IF(V1852=1,"Missing Restaurant name",IF(W1852=1,"Invalid/outlier quantity",IF(X1852=1,"Invalid/outlier unit price",IF(Y1852=1,"Discount greater than order value",""))))))))</f>
        <v/>
      </c>
      <c r="AC1852" s="7" t="str">
        <f aca="false">IF(AB1852="","KEEP","DROP")</f>
        <v>KEEP</v>
      </c>
      <c r="AD1852" s="7" t="str">
        <f aca="false">IF(TRIM(F1852)="",IFERROR(INDEX(Map_Tables!$I$4:$I$37,MATCH(TRIM(E1852),Map_Tables!$G$4:$G$37,0)),""),IFERROR(INDEX(Map_Tables!$B$4:$B$18,MATCH(TRIM(F1852),Map_Tables!$A$4:$A$18,0)),"CHECK"))</f>
        <v>Mumbai</v>
      </c>
      <c r="AE1852" s="7" t="str">
        <f aca="false">IF(TRIM(E1852)="","",IFERROR(INDEX(Map_Tables!$H$4:$H$37,MATCH(TRIM(E1852),Map_Tables!$G$4:$G$37,0)),"CHECK"))</f>
        <v>Pav Bhaji Point</v>
      </c>
      <c r="AF1852" s="7" t="str">
        <f aca="false">IF(TRIM(K1852)="","Unknown",IFERROR(INDEX(Map_Tables!$E$4:$E$15,MATCH(TRIM(K1852),Map_Tables!$D$4:$D$15,0)),"CHECK"))</f>
        <v>Cash on Delivery</v>
      </c>
      <c r="AG1852" s="7" t="str">
        <f aca="false">IF(LEFT(LOWER(TRIM(L1852)),6)="cancel","Cancelled","Delivered")</f>
        <v>Delivered</v>
      </c>
      <c r="AH1852" s="10" t="n">
        <f aca="false">IF(ISNUMBER(SEARCH("/",B1852)),DATE(VALUE(RIGHT(B1852,4)),VALUE(MID(B1852,4,2)),VALUE(LEFT(B1852,2))),IF(MID(B1852,5,1)="-",DATE(VALUE(LEFT(B1852,4)),VALUE(MID(B1852,6,2)),VALUE(RIGHT(B1852,2))),DATE(VALUE(RIGHT(B1852,4)),MATCH(MID(B1852,4,3),{"Jan","Feb","Mar","Apr","May","Jun","Jul","Aug","Sep","Oct","Nov","Dec"},0),VALUE(LEFT(B1852,2)))))</f>
        <v>45679</v>
      </c>
    </row>
    <row r="1853" customFormat="false" ht="15" hidden="false" customHeight="false" outlineLevel="0" collapsed="false">
      <c r="A1853" s="7" t="s">
        <v>4525</v>
      </c>
      <c r="B1853" s="7" t="s">
        <v>1429</v>
      </c>
      <c r="C1853" s="7" t="s">
        <v>1926</v>
      </c>
      <c r="D1853" s="7" t="s">
        <v>339</v>
      </c>
      <c r="E1853" s="7" t="s">
        <v>116</v>
      </c>
      <c r="F1853" s="7" t="s">
        <v>498</v>
      </c>
      <c r="G1853" s="7" t="s">
        <v>117</v>
      </c>
      <c r="H1853" s="7" t="n">
        <v>3</v>
      </c>
      <c r="I1853" s="7" t="n">
        <v>140</v>
      </c>
      <c r="J1853" s="7" t="n">
        <v>75</v>
      </c>
      <c r="K1853" s="7" t="s">
        <v>88</v>
      </c>
      <c r="L1853" s="7" t="s">
        <v>194</v>
      </c>
      <c r="M1853" s="7" t="n">
        <v>39</v>
      </c>
      <c r="N1853" s="7" t="n">
        <v>4</v>
      </c>
      <c r="O1853" s="7" t="str">
        <f aca="false">A1853&amp;"|"&amp;B1853&amp;"|"&amp;C1853&amp;"|"&amp;D1853&amp;"|"&amp;E1853&amp;"|"&amp;F1853&amp;"|"&amp;G1853&amp;"|"&amp;H1853&amp;"|"&amp;I1853&amp;"|"&amp;J1853&amp;"|"&amp;K1853&amp;"|"&amp;L1853&amp;"|"&amp;M1853&amp;"|"&amp;N1853</f>
        <v>ORD12897|2025-12-20|22:56|C0245|Pav Bhaji Point|Bombay|Street Food|3|140|75|UPI|Delivered|39|4</v>
      </c>
      <c r="P1853" s="7" t="str">
        <f aca="false">IF(COUNTIF($O$2:O1853,O1853)&gt;1,"DUP","OK")</f>
        <v>OK</v>
      </c>
      <c r="Q1853" s="7" t="n">
        <f aca="false">COUNTBLANK(A1853:N1853)</f>
        <v>0</v>
      </c>
      <c r="R1853" s="7" t="n">
        <f aca="false">IF(A1853="",0,COUNTIFS($A$2:$A$3058,A1853,$P$2:$P$3058,"OK"))</f>
        <v>1</v>
      </c>
      <c r="S1853" s="7" t="str">
        <f aca="false">IF(OR(A1853="",P1853="DUP",R1853&lt;2),"",IF(Q1853=_xlfn.MINIFS($Q$2:$Q$3058,$A$2:$A$3058,A1853,$P$2:$P$3058,"OK"),"KEEP","DROP"))</f>
        <v/>
      </c>
      <c r="T1853" s="9" t="n">
        <f aca="false">IF(A1853="",1,0)</f>
        <v>0</v>
      </c>
      <c r="U1853" s="9" t="n">
        <f aca="false">IF(D1853="",1,0)</f>
        <v>0</v>
      </c>
      <c r="V1853" s="9" t="n">
        <f aca="false">IF(E1853="",1,0)</f>
        <v>0</v>
      </c>
      <c r="W1853" s="9" t="n">
        <f aca="false">IF(OR(H1853&lt;1,H1853&gt;10),1,0)</f>
        <v>0</v>
      </c>
      <c r="X1853" s="9" t="n">
        <f aca="false">IF(OR(I1853&lt;=0,I1853&gt;1500),1,0)</f>
        <v>0</v>
      </c>
      <c r="Y1853" s="9" t="n">
        <f aca="false">IF(J1853&gt;H1853*I1853,1,0)</f>
        <v>0</v>
      </c>
      <c r="Z1853" s="9" t="n">
        <f aca="false">IF(AND(N1853&lt;&gt;"",OR(N1853&lt;1,N1853&gt;5)),1,0)</f>
        <v>0</v>
      </c>
      <c r="AA1853" s="9" t="n">
        <f aca="false">IF(AND(M1853&lt;&gt;"",OR(M1853&lt;5,M1853&gt;180)),1,0)</f>
        <v>0</v>
      </c>
      <c r="AB1853" s="7" t="str">
        <f aca="false">IF(P1853="DUP","Exact duplicate row",IF(T1853=1,"Missing Order ID",IF(S1853="DROP","Duplicate Order ID (less complete row)",IF(U1853=1,"Missing Customer ID",IF(V1853=1,"Missing Restaurant name",IF(W1853=1,"Invalid/outlier quantity",IF(X1853=1,"Invalid/outlier unit price",IF(Y1853=1,"Discount greater than order value",""))))))))</f>
        <v/>
      </c>
      <c r="AC1853" s="7" t="str">
        <f aca="false">IF(AB1853="","KEEP","DROP")</f>
        <v>KEEP</v>
      </c>
      <c r="AD1853" s="7" t="str">
        <f aca="false">IF(TRIM(F1853)="",IFERROR(INDEX(Map_Tables!$I$4:$I$37,MATCH(TRIM(E1853),Map_Tables!$G$4:$G$37,0)),""),IFERROR(INDEX(Map_Tables!$B$4:$B$18,MATCH(TRIM(F1853),Map_Tables!$A$4:$A$18,0)),"CHECK"))</f>
        <v>Mumbai</v>
      </c>
      <c r="AE1853" s="7" t="str">
        <f aca="false">IF(TRIM(E1853)="","",IFERROR(INDEX(Map_Tables!$H$4:$H$37,MATCH(TRIM(E1853),Map_Tables!$G$4:$G$37,0)),"CHECK"))</f>
        <v>Pav Bhaji Point</v>
      </c>
      <c r="AF1853" s="7" t="str">
        <f aca="false">IF(TRIM(K1853)="","Unknown",IFERROR(INDEX(Map_Tables!$E$4:$E$15,MATCH(TRIM(K1853),Map_Tables!$D$4:$D$15,0)),"CHECK"))</f>
        <v>UPI</v>
      </c>
      <c r="AG1853" s="7" t="str">
        <f aca="false">IF(LEFT(LOWER(TRIM(L1853)),6)="cancel","Cancelled","Delivered")</f>
        <v>Delivered</v>
      </c>
      <c r="AH1853" s="10" t="n">
        <f aca="false">IF(ISNUMBER(SEARCH("/",B1853)),DATE(VALUE(RIGHT(B1853,4)),VALUE(MID(B1853,4,2)),VALUE(LEFT(B1853,2))),IF(MID(B1853,5,1)="-",DATE(VALUE(LEFT(B1853,4)),VALUE(MID(B1853,6,2)),VALUE(RIGHT(B1853,2))),DATE(VALUE(RIGHT(B1853,4)),MATCH(MID(B1853,4,3),{"Jan","Feb","Mar","Apr","May","Jun","Jul","Aug","Sep","Oct","Nov","Dec"},0),VALUE(LEFT(B1853,2)))))</f>
        <v>46011</v>
      </c>
    </row>
    <row r="1854" customFormat="false" ht="15" hidden="false" customHeight="false" outlineLevel="0" collapsed="false">
      <c r="A1854" s="7" t="s">
        <v>4526</v>
      </c>
      <c r="B1854" s="7" t="s">
        <v>938</v>
      </c>
      <c r="C1854" s="7" t="s">
        <v>2212</v>
      </c>
      <c r="D1854" s="7" t="s">
        <v>3925</v>
      </c>
      <c r="E1854" s="7" t="s">
        <v>161</v>
      </c>
      <c r="F1854" s="7" t="s">
        <v>141</v>
      </c>
      <c r="G1854" s="7" t="s">
        <v>117</v>
      </c>
      <c r="H1854" s="7" t="n">
        <v>2</v>
      </c>
      <c r="I1854" s="7" t="n">
        <v>155</v>
      </c>
      <c r="J1854" s="7" t="n">
        <v>0</v>
      </c>
      <c r="K1854" s="7" t="s">
        <v>103</v>
      </c>
      <c r="L1854" s="7" t="s">
        <v>194</v>
      </c>
      <c r="M1854" s="7" t="n">
        <v>46</v>
      </c>
      <c r="N1854" s="7" t="n">
        <v>4</v>
      </c>
      <c r="O1854" s="7" t="str">
        <f aca="false">A1854&amp;"|"&amp;B1854&amp;"|"&amp;C1854&amp;"|"&amp;D1854&amp;"|"&amp;E1854&amp;"|"&amp;F1854&amp;"|"&amp;G1854&amp;"|"&amp;H1854&amp;"|"&amp;I1854&amp;"|"&amp;J1854&amp;"|"&amp;K1854&amp;"|"&amp;L1854&amp;"|"&amp;M1854&amp;"|"&amp;N1854</f>
        <v>ORD10873|2025-04-20|20:05|C1194|Bengal Bites|Kolkata|Street Food|2|155|0|Debit Card|Delivered|46|4</v>
      </c>
      <c r="P1854" s="7" t="str">
        <f aca="false">IF(COUNTIF($O$2:O1854,O1854)&gt;1,"DUP","OK")</f>
        <v>OK</v>
      </c>
      <c r="Q1854" s="7" t="n">
        <f aca="false">COUNTBLANK(A1854:N1854)</f>
        <v>0</v>
      </c>
      <c r="R1854" s="7" t="n">
        <f aca="false">IF(A1854="",0,COUNTIFS($A$2:$A$3058,A1854,$P$2:$P$3058,"OK"))</f>
        <v>1</v>
      </c>
      <c r="S1854" s="7" t="str">
        <f aca="false">IF(OR(A1854="",P1854="DUP",R1854&lt;2),"",IF(Q1854=_xlfn.MINIFS($Q$2:$Q$3058,$A$2:$A$3058,A1854,$P$2:$P$3058,"OK"),"KEEP","DROP"))</f>
        <v/>
      </c>
      <c r="T1854" s="9" t="n">
        <f aca="false">IF(A1854="",1,0)</f>
        <v>0</v>
      </c>
      <c r="U1854" s="9" t="n">
        <f aca="false">IF(D1854="",1,0)</f>
        <v>0</v>
      </c>
      <c r="V1854" s="9" t="n">
        <f aca="false">IF(E1854="",1,0)</f>
        <v>0</v>
      </c>
      <c r="W1854" s="9" t="n">
        <f aca="false">IF(OR(H1854&lt;1,H1854&gt;10),1,0)</f>
        <v>0</v>
      </c>
      <c r="X1854" s="9" t="n">
        <f aca="false">IF(OR(I1854&lt;=0,I1854&gt;1500),1,0)</f>
        <v>0</v>
      </c>
      <c r="Y1854" s="9" t="n">
        <f aca="false">IF(J1854&gt;H1854*I1854,1,0)</f>
        <v>0</v>
      </c>
      <c r="Z1854" s="9" t="n">
        <f aca="false">IF(AND(N1854&lt;&gt;"",OR(N1854&lt;1,N1854&gt;5)),1,0)</f>
        <v>0</v>
      </c>
      <c r="AA1854" s="9" t="n">
        <f aca="false">IF(AND(M1854&lt;&gt;"",OR(M1854&lt;5,M1854&gt;180)),1,0)</f>
        <v>0</v>
      </c>
      <c r="AB1854" s="7" t="str">
        <f aca="false">IF(P1854="DUP","Exact duplicate row",IF(T1854=1,"Missing Order ID",IF(S1854="DROP","Duplicate Order ID (less complete row)",IF(U1854=1,"Missing Customer ID",IF(V1854=1,"Missing Restaurant name",IF(W1854=1,"Invalid/outlier quantity",IF(X1854=1,"Invalid/outlier unit price",IF(Y1854=1,"Discount greater than order value",""))))))))</f>
        <v/>
      </c>
      <c r="AC1854" s="7" t="str">
        <f aca="false">IF(AB1854="","KEEP","DROP")</f>
        <v>KEEP</v>
      </c>
      <c r="AD1854" s="7" t="str">
        <f aca="false">IF(TRIM(F1854)="",IFERROR(INDEX(Map_Tables!$I$4:$I$37,MATCH(TRIM(E1854),Map_Tables!$G$4:$G$37,0)),""),IFERROR(INDEX(Map_Tables!$B$4:$B$18,MATCH(TRIM(F1854),Map_Tables!$A$4:$A$18,0)),"CHECK"))</f>
        <v>Kolkata</v>
      </c>
      <c r="AE1854" s="7" t="str">
        <f aca="false">IF(TRIM(E1854)="","",IFERROR(INDEX(Map_Tables!$H$4:$H$37,MATCH(TRIM(E1854),Map_Tables!$G$4:$G$37,0)),"CHECK"))</f>
        <v>Bengal Bites</v>
      </c>
      <c r="AF1854" s="7" t="str">
        <f aca="false">IF(TRIM(K1854)="","Unknown",IFERROR(INDEX(Map_Tables!$E$4:$E$15,MATCH(TRIM(K1854),Map_Tables!$D$4:$D$15,0)),"CHECK"))</f>
        <v>Debit Card</v>
      </c>
      <c r="AG1854" s="7" t="str">
        <f aca="false">IF(LEFT(LOWER(TRIM(L1854)),6)="cancel","Cancelled","Delivered")</f>
        <v>Delivered</v>
      </c>
      <c r="AH1854" s="10" t="n">
        <f aca="false">IF(ISNUMBER(SEARCH("/",B1854)),DATE(VALUE(RIGHT(B1854,4)),VALUE(MID(B1854,4,2)),VALUE(LEFT(B1854,2))),IF(MID(B1854,5,1)="-",DATE(VALUE(LEFT(B1854,4)),VALUE(MID(B1854,6,2)),VALUE(RIGHT(B1854,2))),DATE(VALUE(RIGHT(B1854,4)),MATCH(MID(B1854,4,3),{"Jan","Feb","Mar","Apr","May","Jun","Jul","Aug","Sep","Oct","Nov","Dec"},0),VALUE(LEFT(B1854,2)))))</f>
        <v>45767</v>
      </c>
    </row>
    <row r="1855" customFormat="false" ht="15" hidden="false" customHeight="false" outlineLevel="0" collapsed="false">
      <c r="A1855" s="7" t="s">
        <v>4527</v>
      </c>
      <c r="B1855" s="7" t="s">
        <v>500</v>
      </c>
      <c r="C1855" s="7" t="s">
        <v>2205</v>
      </c>
      <c r="D1855" s="7" t="s">
        <v>487</v>
      </c>
      <c r="E1855" s="7" t="s">
        <v>94</v>
      </c>
      <c r="F1855" s="7"/>
      <c r="G1855" s="7" t="s">
        <v>95</v>
      </c>
      <c r="H1855" s="7" t="n">
        <v>3</v>
      </c>
      <c r="I1855" s="7" t="n">
        <v>120</v>
      </c>
      <c r="J1855" s="7" t="n">
        <v>0</v>
      </c>
      <c r="K1855" s="7" t="s">
        <v>88</v>
      </c>
      <c r="L1855" s="7" t="s">
        <v>194</v>
      </c>
      <c r="M1855" s="7" t="n">
        <v>37</v>
      </c>
      <c r="N1855" s="7" t="n">
        <v>3</v>
      </c>
      <c r="O1855" s="7" t="str">
        <f aca="false">A1855&amp;"|"&amp;B1855&amp;"|"&amp;C1855&amp;"|"&amp;D1855&amp;"|"&amp;E1855&amp;"|"&amp;F1855&amp;"|"&amp;G1855&amp;"|"&amp;H1855&amp;"|"&amp;I1855&amp;"|"&amp;J1855&amp;"|"&amp;K1855&amp;"|"&amp;L1855&amp;"|"&amp;M1855&amp;"|"&amp;N1855</f>
        <v>ORD11362|2025-06-24|19:08|C0170|Dosa Darbar||South Indian|3|120|0|UPI|Delivered|37|3</v>
      </c>
      <c r="P1855" s="7" t="str">
        <f aca="false">IF(COUNTIF($O$2:O1855,O1855)&gt;1,"DUP","OK")</f>
        <v>OK</v>
      </c>
      <c r="Q1855" s="7" t="n">
        <f aca="false">COUNTBLANK(A1855:N1855)</f>
        <v>1</v>
      </c>
      <c r="R1855" s="7" t="n">
        <f aca="false">IF(A1855="",0,COUNTIFS($A$2:$A$3058,A1855,$P$2:$P$3058,"OK"))</f>
        <v>1</v>
      </c>
      <c r="S1855" s="7" t="str">
        <f aca="false">IF(OR(A1855="",P1855="DUP",R1855&lt;2),"",IF(Q1855=_xlfn.MINIFS($Q$2:$Q$3058,$A$2:$A$3058,A1855,$P$2:$P$3058,"OK"),"KEEP","DROP"))</f>
        <v/>
      </c>
      <c r="T1855" s="9" t="n">
        <f aca="false">IF(A1855="",1,0)</f>
        <v>0</v>
      </c>
      <c r="U1855" s="9" t="n">
        <f aca="false">IF(D1855="",1,0)</f>
        <v>0</v>
      </c>
      <c r="V1855" s="9" t="n">
        <f aca="false">IF(E1855="",1,0)</f>
        <v>0</v>
      </c>
      <c r="W1855" s="9" t="n">
        <f aca="false">IF(OR(H1855&lt;1,H1855&gt;10),1,0)</f>
        <v>0</v>
      </c>
      <c r="X1855" s="9" t="n">
        <f aca="false">IF(OR(I1855&lt;=0,I1855&gt;1500),1,0)</f>
        <v>0</v>
      </c>
      <c r="Y1855" s="9" t="n">
        <f aca="false">IF(J1855&gt;H1855*I1855,1,0)</f>
        <v>0</v>
      </c>
      <c r="Z1855" s="9" t="n">
        <f aca="false">IF(AND(N1855&lt;&gt;"",OR(N1855&lt;1,N1855&gt;5)),1,0)</f>
        <v>0</v>
      </c>
      <c r="AA1855" s="9" t="n">
        <f aca="false">IF(AND(M1855&lt;&gt;"",OR(M1855&lt;5,M1855&gt;180)),1,0)</f>
        <v>0</v>
      </c>
      <c r="AB1855" s="7" t="str">
        <f aca="false">IF(P1855="DUP","Exact duplicate row",IF(T1855=1,"Missing Order ID",IF(S1855="DROP","Duplicate Order ID (less complete row)",IF(U1855=1,"Missing Customer ID",IF(V1855=1,"Missing Restaurant name",IF(W1855=1,"Invalid/outlier quantity",IF(X1855=1,"Invalid/outlier unit price",IF(Y1855=1,"Discount greater than order value",""))))))))</f>
        <v/>
      </c>
      <c r="AC1855" s="7" t="str">
        <f aca="false">IF(AB1855="","KEEP","DROP")</f>
        <v>KEEP</v>
      </c>
      <c r="AD1855" s="7" t="str">
        <f aca="false">IF(TRIM(F1855)="",IFERROR(INDEX(Map_Tables!$I$4:$I$37,MATCH(TRIM(E1855),Map_Tables!$G$4:$G$37,0)),""),IFERROR(INDEX(Map_Tables!$B$4:$B$18,MATCH(TRIM(F1855),Map_Tables!$A$4:$A$18,0)),"CHECK"))</f>
        <v>Bengaluru</v>
      </c>
      <c r="AE1855" s="7" t="str">
        <f aca="false">IF(TRIM(E1855)="","",IFERROR(INDEX(Map_Tables!$H$4:$H$37,MATCH(TRIM(E1855),Map_Tables!$G$4:$G$37,0)),"CHECK"))</f>
        <v>Dosa Darbar</v>
      </c>
      <c r="AF1855" s="7" t="str">
        <f aca="false">IF(TRIM(K1855)="","Unknown",IFERROR(INDEX(Map_Tables!$E$4:$E$15,MATCH(TRIM(K1855),Map_Tables!$D$4:$D$15,0)),"CHECK"))</f>
        <v>UPI</v>
      </c>
      <c r="AG1855" s="7" t="str">
        <f aca="false">IF(LEFT(LOWER(TRIM(L1855)),6)="cancel","Cancelled","Delivered")</f>
        <v>Delivered</v>
      </c>
      <c r="AH1855" s="10" t="n">
        <f aca="false">IF(ISNUMBER(SEARCH("/",B1855)),DATE(VALUE(RIGHT(B1855,4)),VALUE(MID(B1855,4,2)),VALUE(LEFT(B1855,2))),IF(MID(B1855,5,1)="-",DATE(VALUE(LEFT(B1855,4)),VALUE(MID(B1855,6,2)),VALUE(RIGHT(B1855,2))),DATE(VALUE(RIGHT(B1855,4)),MATCH(MID(B1855,4,3),{"Jan","Feb","Mar","Apr","May","Jun","Jul","Aug","Sep","Oct","Nov","Dec"},0),VALUE(LEFT(B1855,2)))))</f>
        <v>45832</v>
      </c>
    </row>
    <row r="1856" customFormat="false" ht="15" hidden="false" customHeight="false" outlineLevel="0" collapsed="false">
      <c r="A1856" s="7" t="s">
        <v>4528</v>
      </c>
      <c r="B1856" s="7" t="s">
        <v>345</v>
      </c>
      <c r="C1856" s="7" t="s">
        <v>2571</v>
      </c>
      <c r="D1856" s="7" t="s">
        <v>2284</v>
      </c>
      <c r="E1856" s="7" t="s">
        <v>104</v>
      </c>
      <c r="F1856" s="7" t="s">
        <v>86</v>
      </c>
      <c r="G1856" s="7" t="s">
        <v>105</v>
      </c>
      <c r="H1856" s="7" t="n">
        <v>2</v>
      </c>
      <c r="I1856" s="7" t="n">
        <v>210</v>
      </c>
      <c r="J1856" s="7" t="n">
        <v>0</v>
      </c>
      <c r="K1856" s="7" t="s">
        <v>88</v>
      </c>
      <c r="L1856" s="7" t="s">
        <v>194</v>
      </c>
      <c r="M1856" s="7" t="n">
        <v>40</v>
      </c>
      <c r="N1856" s="7" t="n">
        <v>3</v>
      </c>
      <c r="O1856" s="7" t="str">
        <f aca="false">A1856&amp;"|"&amp;B1856&amp;"|"&amp;C1856&amp;"|"&amp;D1856&amp;"|"&amp;E1856&amp;"|"&amp;F1856&amp;"|"&amp;G1856&amp;"|"&amp;H1856&amp;"|"&amp;I1856&amp;"|"&amp;J1856&amp;"|"&amp;K1856&amp;"|"&amp;L1856&amp;"|"&amp;M1856&amp;"|"&amp;N1856</f>
        <v>ORD10888|2025-04-22|18:09|C1209|Wok &amp; Roll|Bengaluru|Chinese|2|210|0|UPI|Delivered|40|3</v>
      </c>
      <c r="P1856" s="7" t="str">
        <f aca="false">IF(COUNTIF($O$2:O1856,O1856)&gt;1,"DUP","OK")</f>
        <v>OK</v>
      </c>
      <c r="Q1856" s="7" t="n">
        <f aca="false">COUNTBLANK(A1856:N1856)</f>
        <v>0</v>
      </c>
      <c r="R1856" s="7" t="n">
        <f aca="false">IF(A1856="",0,COUNTIFS($A$2:$A$3058,A1856,$P$2:$P$3058,"OK"))</f>
        <v>1</v>
      </c>
      <c r="S1856" s="7" t="str">
        <f aca="false">IF(OR(A1856="",P1856="DUP",R1856&lt;2),"",IF(Q1856=_xlfn.MINIFS($Q$2:$Q$3058,$A$2:$A$3058,A1856,$P$2:$P$3058,"OK"),"KEEP","DROP"))</f>
        <v/>
      </c>
      <c r="T1856" s="9" t="n">
        <f aca="false">IF(A1856="",1,0)</f>
        <v>0</v>
      </c>
      <c r="U1856" s="9" t="n">
        <f aca="false">IF(D1856="",1,0)</f>
        <v>0</v>
      </c>
      <c r="V1856" s="9" t="n">
        <f aca="false">IF(E1856="",1,0)</f>
        <v>0</v>
      </c>
      <c r="W1856" s="9" t="n">
        <f aca="false">IF(OR(H1856&lt;1,H1856&gt;10),1,0)</f>
        <v>0</v>
      </c>
      <c r="X1856" s="9" t="n">
        <f aca="false">IF(OR(I1856&lt;=0,I1856&gt;1500),1,0)</f>
        <v>0</v>
      </c>
      <c r="Y1856" s="9" t="n">
        <f aca="false">IF(J1856&gt;H1856*I1856,1,0)</f>
        <v>0</v>
      </c>
      <c r="Z1856" s="9" t="n">
        <f aca="false">IF(AND(N1856&lt;&gt;"",OR(N1856&lt;1,N1856&gt;5)),1,0)</f>
        <v>0</v>
      </c>
      <c r="AA1856" s="9" t="n">
        <f aca="false">IF(AND(M1856&lt;&gt;"",OR(M1856&lt;5,M1856&gt;180)),1,0)</f>
        <v>0</v>
      </c>
      <c r="AB1856" s="7" t="str">
        <f aca="false">IF(P1856="DUP","Exact duplicate row",IF(T1856=1,"Missing Order ID",IF(S1856="DROP","Duplicate Order ID (less complete row)",IF(U1856=1,"Missing Customer ID",IF(V1856=1,"Missing Restaurant name",IF(W1856=1,"Invalid/outlier quantity",IF(X1856=1,"Invalid/outlier unit price",IF(Y1856=1,"Discount greater than order value",""))))))))</f>
        <v/>
      </c>
      <c r="AC1856" s="7" t="str">
        <f aca="false">IF(AB1856="","KEEP","DROP")</f>
        <v>KEEP</v>
      </c>
      <c r="AD1856" s="7" t="str">
        <f aca="false">IF(TRIM(F1856)="",IFERROR(INDEX(Map_Tables!$I$4:$I$37,MATCH(TRIM(E1856),Map_Tables!$G$4:$G$37,0)),""),IFERROR(INDEX(Map_Tables!$B$4:$B$18,MATCH(TRIM(F1856),Map_Tables!$A$4:$A$18,0)),"CHECK"))</f>
        <v>Bengaluru</v>
      </c>
      <c r="AE1856" s="7" t="str">
        <f aca="false">IF(TRIM(E1856)="","",IFERROR(INDEX(Map_Tables!$H$4:$H$37,MATCH(TRIM(E1856),Map_Tables!$G$4:$G$37,0)),"CHECK"))</f>
        <v>Wok &amp; Roll</v>
      </c>
      <c r="AF1856" s="7" t="str">
        <f aca="false">IF(TRIM(K1856)="","Unknown",IFERROR(INDEX(Map_Tables!$E$4:$E$15,MATCH(TRIM(K1856),Map_Tables!$D$4:$D$15,0)),"CHECK"))</f>
        <v>UPI</v>
      </c>
      <c r="AG1856" s="7" t="str">
        <f aca="false">IF(LEFT(LOWER(TRIM(L1856)),6)="cancel","Cancelled","Delivered")</f>
        <v>Delivered</v>
      </c>
      <c r="AH1856" s="10" t="n">
        <f aca="false">IF(ISNUMBER(SEARCH("/",B1856)),DATE(VALUE(RIGHT(B1856,4)),VALUE(MID(B1856,4,2)),VALUE(LEFT(B1856,2))),IF(MID(B1856,5,1)="-",DATE(VALUE(LEFT(B1856,4)),VALUE(MID(B1856,6,2)),VALUE(RIGHT(B1856,2))),DATE(VALUE(RIGHT(B1856,4)),MATCH(MID(B1856,4,3),{"Jan","Feb","Mar","Apr","May","Jun","Jul","Aug","Sep","Oct","Nov","Dec"},0),VALUE(LEFT(B1856,2)))))</f>
        <v>45769</v>
      </c>
    </row>
    <row r="1857" customFormat="false" ht="15" hidden="false" customHeight="false" outlineLevel="0" collapsed="false">
      <c r="A1857" s="7" t="s">
        <v>4529</v>
      </c>
      <c r="B1857" s="7" t="s">
        <v>345</v>
      </c>
      <c r="C1857" s="7" t="s">
        <v>1784</v>
      </c>
      <c r="D1857" s="7" t="s">
        <v>1459</v>
      </c>
      <c r="E1857" s="7" t="s">
        <v>147</v>
      </c>
      <c r="F1857" s="7" t="s">
        <v>119</v>
      </c>
      <c r="G1857" s="7" t="s">
        <v>95</v>
      </c>
      <c r="H1857" s="7" t="n">
        <v>2</v>
      </c>
      <c r="I1857" s="7" t="n">
        <v>175</v>
      </c>
      <c r="J1857" s="7" t="n">
        <v>0</v>
      </c>
      <c r="K1857" s="7" t="s">
        <v>93</v>
      </c>
      <c r="L1857" s="7" t="s">
        <v>194</v>
      </c>
      <c r="M1857" s="7" t="n">
        <v>39</v>
      </c>
      <c r="N1857" s="7" t="n">
        <v>4</v>
      </c>
      <c r="O1857" s="7" t="str">
        <f aca="false">A1857&amp;"|"&amp;B1857&amp;"|"&amp;C1857&amp;"|"&amp;D1857&amp;"|"&amp;E1857&amp;"|"&amp;F1857&amp;"|"&amp;G1857&amp;"|"&amp;H1857&amp;"|"&amp;I1857&amp;"|"&amp;J1857&amp;"|"&amp;K1857&amp;"|"&amp;L1857&amp;"|"&amp;M1857&amp;"|"&amp;N1857</f>
        <v>ORD10889|2025-04-22|18:23|C1177|Andhra Meals Mess|Hyderabad|South Indian|2|175|0|Credit Card|Delivered|39|4</v>
      </c>
      <c r="P1857" s="7" t="str">
        <f aca="false">IF(COUNTIF($O$2:O1857,O1857)&gt;1,"DUP","OK")</f>
        <v>OK</v>
      </c>
      <c r="Q1857" s="7" t="n">
        <f aca="false">COUNTBLANK(A1857:N1857)</f>
        <v>0</v>
      </c>
      <c r="R1857" s="7" t="n">
        <f aca="false">IF(A1857="",0,COUNTIFS($A$2:$A$3058,A1857,$P$2:$P$3058,"OK"))</f>
        <v>1</v>
      </c>
      <c r="S1857" s="7" t="str">
        <f aca="false">IF(OR(A1857="",P1857="DUP",R1857&lt;2),"",IF(Q1857=_xlfn.MINIFS($Q$2:$Q$3058,$A$2:$A$3058,A1857,$P$2:$P$3058,"OK"),"KEEP","DROP"))</f>
        <v/>
      </c>
      <c r="T1857" s="9" t="n">
        <f aca="false">IF(A1857="",1,0)</f>
        <v>0</v>
      </c>
      <c r="U1857" s="9" t="n">
        <f aca="false">IF(D1857="",1,0)</f>
        <v>0</v>
      </c>
      <c r="V1857" s="9" t="n">
        <f aca="false">IF(E1857="",1,0)</f>
        <v>0</v>
      </c>
      <c r="W1857" s="9" t="n">
        <f aca="false">IF(OR(H1857&lt;1,H1857&gt;10),1,0)</f>
        <v>0</v>
      </c>
      <c r="X1857" s="9" t="n">
        <f aca="false">IF(OR(I1857&lt;=0,I1857&gt;1500),1,0)</f>
        <v>0</v>
      </c>
      <c r="Y1857" s="9" t="n">
        <f aca="false">IF(J1857&gt;H1857*I1857,1,0)</f>
        <v>0</v>
      </c>
      <c r="Z1857" s="9" t="n">
        <f aca="false">IF(AND(N1857&lt;&gt;"",OR(N1857&lt;1,N1857&gt;5)),1,0)</f>
        <v>0</v>
      </c>
      <c r="AA1857" s="9" t="n">
        <f aca="false">IF(AND(M1857&lt;&gt;"",OR(M1857&lt;5,M1857&gt;180)),1,0)</f>
        <v>0</v>
      </c>
      <c r="AB1857" s="7" t="str">
        <f aca="false">IF(P1857="DUP","Exact duplicate row",IF(T1857=1,"Missing Order ID",IF(S1857="DROP","Duplicate Order ID (less complete row)",IF(U1857=1,"Missing Customer ID",IF(V1857=1,"Missing Restaurant name",IF(W1857=1,"Invalid/outlier quantity",IF(X1857=1,"Invalid/outlier unit price",IF(Y1857=1,"Discount greater than order value",""))))))))</f>
        <v/>
      </c>
      <c r="AC1857" s="7" t="str">
        <f aca="false">IF(AB1857="","KEEP","DROP")</f>
        <v>KEEP</v>
      </c>
      <c r="AD1857" s="7" t="str">
        <f aca="false">IF(TRIM(F1857)="",IFERROR(INDEX(Map_Tables!$I$4:$I$37,MATCH(TRIM(E1857),Map_Tables!$G$4:$G$37,0)),""),IFERROR(INDEX(Map_Tables!$B$4:$B$18,MATCH(TRIM(F1857),Map_Tables!$A$4:$A$18,0)),"CHECK"))</f>
        <v>Hyderabad</v>
      </c>
      <c r="AE1857" s="7" t="str">
        <f aca="false">IF(TRIM(E1857)="","",IFERROR(INDEX(Map_Tables!$H$4:$H$37,MATCH(TRIM(E1857),Map_Tables!$G$4:$G$37,0)),"CHECK"))</f>
        <v>Andhra Meals Mess</v>
      </c>
      <c r="AF1857" s="7" t="str">
        <f aca="false">IF(TRIM(K1857)="","Unknown",IFERROR(INDEX(Map_Tables!$E$4:$E$15,MATCH(TRIM(K1857),Map_Tables!$D$4:$D$15,0)),"CHECK"))</f>
        <v>Credit Card</v>
      </c>
      <c r="AG1857" s="7" t="str">
        <f aca="false">IF(LEFT(LOWER(TRIM(L1857)),6)="cancel","Cancelled","Delivered")</f>
        <v>Delivered</v>
      </c>
      <c r="AH1857" s="10" t="n">
        <f aca="false">IF(ISNUMBER(SEARCH("/",B1857)),DATE(VALUE(RIGHT(B1857,4)),VALUE(MID(B1857,4,2)),VALUE(LEFT(B1857,2))),IF(MID(B1857,5,1)="-",DATE(VALUE(LEFT(B1857,4)),VALUE(MID(B1857,6,2)),VALUE(RIGHT(B1857,2))),DATE(VALUE(RIGHT(B1857,4)),MATCH(MID(B1857,4,3),{"Jan","Feb","Mar","Apr","May","Jun","Jul","Aug","Sep","Oct","Nov","Dec"},0),VALUE(LEFT(B1857,2)))))</f>
        <v>45769</v>
      </c>
    </row>
    <row r="1858" customFormat="false" ht="15" hidden="false" customHeight="false" outlineLevel="0" collapsed="false">
      <c r="A1858" s="7" t="s">
        <v>4530</v>
      </c>
      <c r="B1858" s="7" t="s">
        <v>1623</v>
      </c>
      <c r="C1858" s="7" t="s">
        <v>4531</v>
      </c>
      <c r="D1858" s="7" t="s">
        <v>599</v>
      </c>
      <c r="E1858" s="7" t="s">
        <v>142</v>
      </c>
      <c r="F1858" s="7" t="s">
        <v>110</v>
      </c>
      <c r="G1858" s="7" t="s">
        <v>105</v>
      </c>
      <c r="H1858" s="7" t="n">
        <v>4</v>
      </c>
      <c r="I1858" s="7" t="n">
        <v>160</v>
      </c>
      <c r="J1858" s="7" t="n">
        <v>20</v>
      </c>
      <c r="K1858" s="7" t="s">
        <v>298</v>
      </c>
      <c r="L1858" s="7" t="s">
        <v>194</v>
      </c>
      <c r="M1858" s="7" t="n">
        <v>29</v>
      </c>
      <c r="N1858" s="7" t="n">
        <v>5</v>
      </c>
      <c r="O1858" s="7" t="str">
        <f aca="false">A1858&amp;"|"&amp;B1858&amp;"|"&amp;C1858&amp;"|"&amp;D1858&amp;"|"&amp;E1858&amp;"|"&amp;F1858&amp;"|"&amp;G1858&amp;"|"&amp;H1858&amp;"|"&amp;I1858&amp;"|"&amp;J1858&amp;"|"&amp;K1858&amp;"|"&amp;L1858&amp;"|"&amp;M1858&amp;"|"&amp;N1858</f>
        <v>ORD12391|2025-10-28|21:17|C0004|Momo Magic|Delhi|Chinese|4|160|20|Cash On Delivery|Delivered|29|5</v>
      </c>
      <c r="P1858" s="7" t="str">
        <f aca="false">IF(COUNTIF($O$2:O1858,O1858)&gt;1,"DUP","OK")</f>
        <v>OK</v>
      </c>
      <c r="Q1858" s="7" t="n">
        <f aca="false">COUNTBLANK(A1858:N1858)</f>
        <v>0</v>
      </c>
      <c r="R1858" s="7" t="n">
        <f aca="false">IF(A1858="",0,COUNTIFS($A$2:$A$3058,A1858,$P$2:$P$3058,"OK"))</f>
        <v>1</v>
      </c>
      <c r="S1858" s="7" t="str">
        <f aca="false">IF(OR(A1858="",P1858="DUP",R1858&lt;2),"",IF(Q1858=_xlfn.MINIFS($Q$2:$Q$3058,$A$2:$A$3058,A1858,$P$2:$P$3058,"OK"),"KEEP","DROP"))</f>
        <v/>
      </c>
      <c r="T1858" s="9" t="n">
        <f aca="false">IF(A1858="",1,0)</f>
        <v>0</v>
      </c>
      <c r="U1858" s="9" t="n">
        <f aca="false">IF(D1858="",1,0)</f>
        <v>0</v>
      </c>
      <c r="V1858" s="9" t="n">
        <f aca="false">IF(E1858="",1,0)</f>
        <v>0</v>
      </c>
      <c r="W1858" s="9" t="n">
        <f aca="false">IF(OR(H1858&lt;1,H1858&gt;10),1,0)</f>
        <v>0</v>
      </c>
      <c r="X1858" s="9" t="n">
        <f aca="false">IF(OR(I1858&lt;=0,I1858&gt;1500),1,0)</f>
        <v>0</v>
      </c>
      <c r="Y1858" s="9" t="n">
        <f aca="false">IF(J1858&gt;H1858*I1858,1,0)</f>
        <v>0</v>
      </c>
      <c r="Z1858" s="9" t="n">
        <f aca="false">IF(AND(N1858&lt;&gt;"",OR(N1858&lt;1,N1858&gt;5)),1,0)</f>
        <v>0</v>
      </c>
      <c r="AA1858" s="9" t="n">
        <f aca="false">IF(AND(M1858&lt;&gt;"",OR(M1858&lt;5,M1858&gt;180)),1,0)</f>
        <v>0</v>
      </c>
      <c r="AB1858" s="7" t="str">
        <f aca="false">IF(P1858="DUP","Exact duplicate row",IF(T1858=1,"Missing Order ID",IF(S1858="DROP","Duplicate Order ID (less complete row)",IF(U1858=1,"Missing Customer ID",IF(V1858=1,"Missing Restaurant name",IF(W1858=1,"Invalid/outlier quantity",IF(X1858=1,"Invalid/outlier unit price",IF(Y1858=1,"Discount greater than order value",""))))))))</f>
        <v/>
      </c>
      <c r="AC1858" s="7" t="str">
        <f aca="false">IF(AB1858="","KEEP","DROP")</f>
        <v>KEEP</v>
      </c>
      <c r="AD1858" s="7" t="str">
        <f aca="false">IF(TRIM(F1858)="",IFERROR(INDEX(Map_Tables!$I$4:$I$37,MATCH(TRIM(E1858),Map_Tables!$G$4:$G$37,0)),""),IFERROR(INDEX(Map_Tables!$B$4:$B$18,MATCH(TRIM(F1858),Map_Tables!$A$4:$A$18,0)),"CHECK"))</f>
        <v>Delhi</v>
      </c>
      <c r="AE1858" s="7" t="str">
        <f aca="false">IF(TRIM(E1858)="","",IFERROR(INDEX(Map_Tables!$H$4:$H$37,MATCH(TRIM(E1858),Map_Tables!$G$4:$G$37,0)),"CHECK"))</f>
        <v>Momo Magic</v>
      </c>
      <c r="AF1858" s="7" t="str">
        <f aca="false">IF(TRIM(K1858)="","Unknown",IFERROR(INDEX(Map_Tables!$E$4:$E$15,MATCH(TRIM(K1858),Map_Tables!$D$4:$D$15,0)),"CHECK"))</f>
        <v>Cash on Delivery</v>
      </c>
      <c r="AG1858" s="7" t="str">
        <f aca="false">IF(LEFT(LOWER(TRIM(L1858)),6)="cancel","Cancelled","Delivered")</f>
        <v>Delivered</v>
      </c>
      <c r="AH1858" s="10" t="n">
        <f aca="false">IF(ISNUMBER(SEARCH("/",B1858)),DATE(VALUE(RIGHT(B1858,4)),VALUE(MID(B1858,4,2)),VALUE(LEFT(B1858,2))),IF(MID(B1858,5,1)="-",DATE(VALUE(LEFT(B1858,4)),VALUE(MID(B1858,6,2)),VALUE(RIGHT(B1858,2))),DATE(VALUE(RIGHT(B1858,4)),MATCH(MID(B1858,4,3),{"Jan","Feb","Mar","Apr","May","Jun","Jul","Aug","Sep","Oct","Nov","Dec"},0),VALUE(LEFT(B1858,2)))))</f>
        <v>45958</v>
      </c>
    </row>
    <row r="1859" customFormat="false" ht="15" hidden="false" customHeight="false" outlineLevel="0" collapsed="false">
      <c r="A1859" s="7" t="s">
        <v>4532</v>
      </c>
      <c r="B1859" s="7" t="s">
        <v>283</v>
      </c>
      <c r="C1859" s="7" t="s">
        <v>3769</v>
      </c>
      <c r="D1859" s="7" t="s">
        <v>4533</v>
      </c>
      <c r="E1859" s="7" t="s">
        <v>1608</v>
      </c>
      <c r="F1859" s="7" t="s">
        <v>110</v>
      </c>
      <c r="G1859" s="7" t="s">
        <v>105</v>
      </c>
      <c r="H1859" s="7" t="n">
        <v>1</v>
      </c>
      <c r="I1859" s="7" t="n">
        <v>165</v>
      </c>
      <c r="J1859" s="7" t="n">
        <v>50</v>
      </c>
      <c r="K1859" s="7" t="s">
        <v>112</v>
      </c>
      <c r="L1859" s="7" t="s">
        <v>194</v>
      </c>
      <c r="M1859" s="7" t="n">
        <v>27</v>
      </c>
      <c r="N1859" s="7" t="n">
        <v>2</v>
      </c>
      <c r="O1859" s="7" t="str">
        <f aca="false">A1859&amp;"|"&amp;B1859&amp;"|"&amp;C1859&amp;"|"&amp;D1859&amp;"|"&amp;E1859&amp;"|"&amp;F1859&amp;"|"&amp;G1859&amp;"|"&amp;H1859&amp;"|"&amp;I1859&amp;"|"&amp;J1859&amp;"|"&amp;K1859&amp;"|"&amp;L1859&amp;"|"&amp;M1859&amp;"|"&amp;N1859</f>
        <v>ORD12438|2025-11-03|09:50|C0068|Momo  Magic|Delhi|Chinese|1|165|50|Cash on Delivery|Delivered|27|2</v>
      </c>
      <c r="P1859" s="7" t="str">
        <f aca="false">IF(COUNTIF($O$2:O1859,O1859)&gt;1,"DUP","OK")</f>
        <v>OK</v>
      </c>
      <c r="Q1859" s="7" t="n">
        <f aca="false">COUNTBLANK(A1859:N1859)</f>
        <v>0</v>
      </c>
      <c r="R1859" s="7" t="n">
        <f aca="false">IF(A1859="",0,COUNTIFS($A$2:$A$3058,A1859,$P$2:$P$3058,"OK"))</f>
        <v>1</v>
      </c>
      <c r="S1859" s="7" t="str">
        <f aca="false">IF(OR(A1859="",P1859="DUP",R1859&lt;2),"",IF(Q1859=_xlfn.MINIFS($Q$2:$Q$3058,$A$2:$A$3058,A1859,$P$2:$P$3058,"OK"),"KEEP","DROP"))</f>
        <v/>
      </c>
      <c r="T1859" s="9" t="n">
        <f aca="false">IF(A1859="",1,0)</f>
        <v>0</v>
      </c>
      <c r="U1859" s="9" t="n">
        <f aca="false">IF(D1859="",1,0)</f>
        <v>0</v>
      </c>
      <c r="V1859" s="9" t="n">
        <f aca="false">IF(E1859="",1,0)</f>
        <v>0</v>
      </c>
      <c r="W1859" s="9" t="n">
        <f aca="false">IF(OR(H1859&lt;1,H1859&gt;10),1,0)</f>
        <v>0</v>
      </c>
      <c r="X1859" s="9" t="n">
        <f aca="false">IF(OR(I1859&lt;=0,I1859&gt;1500),1,0)</f>
        <v>0</v>
      </c>
      <c r="Y1859" s="9" t="n">
        <f aca="false">IF(J1859&gt;H1859*I1859,1,0)</f>
        <v>0</v>
      </c>
      <c r="Z1859" s="9" t="n">
        <f aca="false">IF(AND(N1859&lt;&gt;"",OR(N1859&lt;1,N1859&gt;5)),1,0)</f>
        <v>0</v>
      </c>
      <c r="AA1859" s="9" t="n">
        <f aca="false">IF(AND(M1859&lt;&gt;"",OR(M1859&lt;5,M1859&gt;180)),1,0)</f>
        <v>0</v>
      </c>
      <c r="AB1859" s="7" t="str">
        <f aca="false">IF(P1859="DUP","Exact duplicate row",IF(T1859=1,"Missing Order ID",IF(S1859="DROP","Duplicate Order ID (less complete row)",IF(U1859=1,"Missing Customer ID",IF(V1859=1,"Missing Restaurant name",IF(W1859=1,"Invalid/outlier quantity",IF(X1859=1,"Invalid/outlier unit price",IF(Y1859=1,"Discount greater than order value",""))))))))</f>
        <v/>
      </c>
      <c r="AC1859" s="7" t="str">
        <f aca="false">IF(AB1859="","KEEP","DROP")</f>
        <v>KEEP</v>
      </c>
      <c r="AD1859" s="7" t="str">
        <f aca="false">IF(TRIM(F1859)="",IFERROR(INDEX(Map_Tables!$I$4:$I$37,MATCH(TRIM(E1859),Map_Tables!$G$4:$G$37,0)),""),IFERROR(INDEX(Map_Tables!$B$4:$B$18,MATCH(TRIM(F1859),Map_Tables!$A$4:$A$18,0)),"CHECK"))</f>
        <v>Delhi</v>
      </c>
      <c r="AE1859" s="7" t="str">
        <f aca="false">IF(TRIM(E1859)="","",IFERROR(INDEX(Map_Tables!$H$4:$H$37,MATCH(TRIM(E1859),Map_Tables!$G$4:$G$37,0)),"CHECK"))</f>
        <v>Momo Magic</v>
      </c>
      <c r="AF1859" s="7" t="str">
        <f aca="false">IF(TRIM(K1859)="","Unknown",IFERROR(INDEX(Map_Tables!$E$4:$E$15,MATCH(TRIM(K1859),Map_Tables!$D$4:$D$15,0)),"CHECK"))</f>
        <v>Cash on Delivery</v>
      </c>
      <c r="AG1859" s="7" t="str">
        <f aca="false">IF(LEFT(LOWER(TRIM(L1859)),6)="cancel","Cancelled","Delivered")</f>
        <v>Delivered</v>
      </c>
      <c r="AH1859" s="10" t="n">
        <f aca="false">IF(ISNUMBER(SEARCH("/",B1859)),DATE(VALUE(RIGHT(B1859,4)),VALUE(MID(B1859,4,2)),VALUE(LEFT(B1859,2))),IF(MID(B1859,5,1)="-",DATE(VALUE(LEFT(B1859,4)),VALUE(MID(B1859,6,2)),VALUE(RIGHT(B1859,2))),DATE(VALUE(RIGHT(B1859,4)),MATCH(MID(B1859,4,3),{"Jan","Feb","Mar","Apr","May","Jun","Jul","Aug","Sep","Oct","Nov","Dec"},0),VALUE(LEFT(B1859,2)))))</f>
        <v>45964</v>
      </c>
    </row>
    <row r="1860" customFormat="false" ht="15" hidden="false" customHeight="false" outlineLevel="0" collapsed="false">
      <c r="A1860" s="7" t="s">
        <v>1866</v>
      </c>
      <c r="B1860" s="7" t="s">
        <v>427</v>
      </c>
      <c r="C1860" s="7" t="s">
        <v>1243</v>
      </c>
      <c r="D1860" s="7" t="s">
        <v>1867</v>
      </c>
      <c r="E1860" s="7" t="s">
        <v>113</v>
      </c>
      <c r="F1860" s="7" t="s">
        <v>100</v>
      </c>
      <c r="G1860" s="7" t="s">
        <v>90</v>
      </c>
      <c r="H1860" s="7" t="n">
        <v>1</v>
      </c>
      <c r="I1860" s="7" t="n">
        <v>260</v>
      </c>
      <c r="J1860" s="7" t="n">
        <v>0</v>
      </c>
      <c r="K1860" s="7" t="s">
        <v>88</v>
      </c>
      <c r="L1860" s="7" t="s">
        <v>194</v>
      </c>
      <c r="M1860" s="7" t="n">
        <v>50</v>
      </c>
      <c r="N1860" s="7"/>
      <c r="O1860" s="7" t="str">
        <f aca="false">A1860&amp;"|"&amp;B1860&amp;"|"&amp;C1860&amp;"|"&amp;D1860&amp;"|"&amp;E1860&amp;"|"&amp;F1860&amp;"|"&amp;G1860&amp;"|"&amp;H1860&amp;"|"&amp;I1860&amp;"|"&amp;J1860&amp;"|"&amp;K1860&amp;"|"&amp;L1860&amp;"|"&amp;M1860&amp;"|"&amp;N1860</f>
        <v>ORD11820|2025-08-25|21:46|C1364|Curry Leaf Kitchen|mumbai|North Indian|1|260|0|UPI|Delivered|50|</v>
      </c>
      <c r="P1860" s="7" t="str">
        <f aca="false">IF(COUNTIF($O$2:O1860,O1860)&gt;1,"DUP","OK")</f>
        <v>OK</v>
      </c>
      <c r="Q1860" s="7" t="n">
        <f aca="false">COUNTBLANK(A1860:N1860)</f>
        <v>1</v>
      </c>
      <c r="R1860" s="7" t="n">
        <f aca="false">IF(A1860="",0,COUNTIFS($A$2:$A$3058,A1860,$P$2:$P$3058,"OK"))</f>
        <v>2</v>
      </c>
      <c r="S1860" s="7" t="str">
        <f aca="false">IF(OR(A1860="",P1860="DUP",R1860&lt;2),"",IF(Q1860=_xlfn.MINIFS($Q$2:$Q$3058,$A$2:$A$3058,A1860,$P$2:$P$3058,"OK"),"KEEP","DROP"))</f>
        <v>DROP</v>
      </c>
      <c r="T1860" s="9" t="n">
        <f aca="false">IF(A1860="",1,0)</f>
        <v>0</v>
      </c>
      <c r="U1860" s="9" t="n">
        <f aca="false">IF(D1860="",1,0)</f>
        <v>0</v>
      </c>
      <c r="V1860" s="9" t="n">
        <f aca="false">IF(E1860="",1,0)</f>
        <v>0</v>
      </c>
      <c r="W1860" s="9" t="n">
        <f aca="false">IF(OR(H1860&lt;1,H1860&gt;10),1,0)</f>
        <v>0</v>
      </c>
      <c r="X1860" s="9" t="n">
        <f aca="false">IF(OR(I1860&lt;=0,I1860&gt;1500),1,0)</f>
        <v>0</v>
      </c>
      <c r="Y1860" s="9" t="n">
        <f aca="false">IF(J1860&gt;H1860*I1860,1,0)</f>
        <v>0</v>
      </c>
      <c r="Z1860" s="9" t="n">
        <f aca="false">IF(AND(N1860&lt;&gt;"",OR(N1860&lt;1,N1860&gt;5)),1,0)</f>
        <v>0</v>
      </c>
      <c r="AA1860" s="9" t="n">
        <f aca="false">IF(AND(M1860&lt;&gt;"",OR(M1860&lt;5,M1860&gt;180)),1,0)</f>
        <v>0</v>
      </c>
      <c r="AB1860" s="7" t="str">
        <f aca="false">IF(P1860="DUP","Exact duplicate row",IF(T1860=1,"Missing Order ID",IF(S1860="DROP","Duplicate Order ID (less complete row)",IF(U1860=1,"Missing Customer ID",IF(V1860=1,"Missing Restaurant name",IF(W1860=1,"Invalid/outlier quantity",IF(X1860=1,"Invalid/outlier unit price",IF(Y1860=1,"Discount greater than order value",""))))))))</f>
        <v>Duplicate Order ID (less complete row)</v>
      </c>
      <c r="AC1860" s="7" t="str">
        <f aca="false">IF(AB1860="","KEEP","DROP")</f>
        <v>DROP</v>
      </c>
      <c r="AD1860" s="7" t="str">
        <f aca="false">IF(TRIM(F1860)="",IFERROR(INDEX(Map_Tables!$I$4:$I$37,MATCH(TRIM(E1860),Map_Tables!$G$4:$G$37,0)),""),IFERROR(INDEX(Map_Tables!$B$4:$B$18,MATCH(TRIM(F1860),Map_Tables!$A$4:$A$18,0)),"CHECK"))</f>
        <v>Mumbai</v>
      </c>
      <c r="AE1860" s="7" t="str">
        <f aca="false">IF(TRIM(E1860)="","",IFERROR(INDEX(Map_Tables!$H$4:$H$37,MATCH(TRIM(E1860),Map_Tables!$G$4:$G$37,0)),"CHECK"))</f>
        <v>Curry Leaf Kitchen</v>
      </c>
      <c r="AF1860" s="7" t="str">
        <f aca="false">IF(TRIM(K1860)="","Unknown",IFERROR(INDEX(Map_Tables!$E$4:$E$15,MATCH(TRIM(K1860),Map_Tables!$D$4:$D$15,0)),"CHECK"))</f>
        <v>UPI</v>
      </c>
      <c r="AG1860" s="7" t="str">
        <f aca="false">IF(LEFT(LOWER(TRIM(L1860)),6)="cancel","Cancelled","Delivered")</f>
        <v>Delivered</v>
      </c>
      <c r="AH1860" s="10" t="n">
        <f aca="false">IF(ISNUMBER(SEARCH("/",B1860)),DATE(VALUE(RIGHT(B1860,4)),VALUE(MID(B1860,4,2)),VALUE(LEFT(B1860,2))),IF(MID(B1860,5,1)="-",DATE(VALUE(LEFT(B1860,4)),VALUE(MID(B1860,6,2)),VALUE(RIGHT(B1860,2))),DATE(VALUE(RIGHT(B1860,4)),MATCH(MID(B1860,4,3),{"Jan","Feb","Mar","Apr","May","Jun","Jul","Aug","Sep","Oct","Nov","Dec"},0),VALUE(LEFT(B1860,2)))))</f>
        <v>45894</v>
      </c>
    </row>
    <row r="1861" customFormat="false" ht="15" hidden="false" customHeight="false" outlineLevel="0" collapsed="false">
      <c r="A1861" s="7" t="s">
        <v>4534</v>
      </c>
      <c r="B1861" s="7" t="s">
        <v>2097</v>
      </c>
      <c r="C1861" s="7" t="s">
        <v>2939</v>
      </c>
      <c r="D1861" s="7" t="s">
        <v>4535</v>
      </c>
      <c r="E1861" s="7" t="s">
        <v>149</v>
      </c>
      <c r="F1861" s="7" t="s">
        <v>119</v>
      </c>
      <c r="G1861" s="7" t="s">
        <v>150</v>
      </c>
      <c r="H1861" s="7" t="n">
        <v>1</v>
      </c>
      <c r="I1861" s="7" t="n">
        <v>165</v>
      </c>
      <c r="J1861" s="7" t="n">
        <v>0</v>
      </c>
      <c r="K1861" s="7" t="s">
        <v>103</v>
      </c>
      <c r="L1861" s="7" t="s">
        <v>194</v>
      </c>
      <c r="M1861" s="7" t="n">
        <v>31</v>
      </c>
      <c r="N1861" s="7" t="n">
        <v>1</v>
      </c>
      <c r="O1861" s="7" t="str">
        <f aca="false">A1861&amp;"|"&amp;B1861&amp;"|"&amp;C1861&amp;"|"&amp;D1861&amp;"|"&amp;E1861&amp;"|"&amp;F1861&amp;"|"&amp;G1861&amp;"|"&amp;H1861&amp;"|"&amp;I1861&amp;"|"&amp;J1861&amp;"|"&amp;K1861&amp;"|"&amp;L1861&amp;"|"&amp;M1861&amp;"|"&amp;N1861</f>
        <v>ORD12907|2025-12-21|17:33|C0694|Sweet Tooth Studio|Hyderabad|Desserts|1|165|0|Debit Card|Delivered|31|1</v>
      </c>
      <c r="P1861" s="7" t="str">
        <f aca="false">IF(COUNTIF($O$2:O1861,O1861)&gt;1,"DUP","OK")</f>
        <v>OK</v>
      </c>
      <c r="Q1861" s="7" t="n">
        <f aca="false">COUNTBLANK(A1861:N1861)</f>
        <v>0</v>
      </c>
      <c r="R1861" s="7" t="n">
        <f aca="false">IF(A1861="",0,COUNTIFS($A$2:$A$3058,A1861,$P$2:$P$3058,"OK"))</f>
        <v>1</v>
      </c>
      <c r="S1861" s="7" t="str">
        <f aca="false">IF(OR(A1861="",P1861="DUP",R1861&lt;2),"",IF(Q1861=_xlfn.MINIFS($Q$2:$Q$3058,$A$2:$A$3058,A1861,$P$2:$P$3058,"OK"),"KEEP","DROP"))</f>
        <v/>
      </c>
      <c r="T1861" s="9" t="n">
        <f aca="false">IF(A1861="",1,0)</f>
        <v>0</v>
      </c>
      <c r="U1861" s="9" t="n">
        <f aca="false">IF(D1861="",1,0)</f>
        <v>0</v>
      </c>
      <c r="V1861" s="9" t="n">
        <f aca="false">IF(E1861="",1,0)</f>
        <v>0</v>
      </c>
      <c r="W1861" s="9" t="n">
        <f aca="false">IF(OR(H1861&lt;1,H1861&gt;10),1,0)</f>
        <v>0</v>
      </c>
      <c r="X1861" s="9" t="n">
        <f aca="false">IF(OR(I1861&lt;=0,I1861&gt;1500),1,0)</f>
        <v>0</v>
      </c>
      <c r="Y1861" s="9" t="n">
        <f aca="false">IF(J1861&gt;H1861*I1861,1,0)</f>
        <v>0</v>
      </c>
      <c r="Z1861" s="9" t="n">
        <f aca="false">IF(AND(N1861&lt;&gt;"",OR(N1861&lt;1,N1861&gt;5)),1,0)</f>
        <v>0</v>
      </c>
      <c r="AA1861" s="9" t="n">
        <f aca="false">IF(AND(M1861&lt;&gt;"",OR(M1861&lt;5,M1861&gt;180)),1,0)</f>
        <v>0</v>
      </c>
      <c r="AB1861" s="7" t="str">
        <f aca="false">IF(P1861="DUP","Exact duplicate row",IF(T1861=1,"Missing Order ID",IF(S1861="DROP","Duplicate Order ID (less complete row)",IF(U1861=1,"Missing Customer ID",IF(V1861=1,"Missing Restaurant name",IF(W1861=1,"Invalid/outlier quantity",IF(X1861=1,"Invalid/outlier unit price",IF(Y1861=1,"Discount greater than order value",""))))))))</f>
        <v/>
      </c>
      <c r="AC1861" s="7" t="str">
        <f aca="false">IF(AB1861="","KEEP","DROP")</f>
        <v>KEEP</v>
      </c>
      <c r="AD1861" s="7" t="str">
        <f aca="false">IF(TRIM(F1861)="",IFERROR(INDEX(Map_Tables!$I$4:$I$37,MATCH(TRIM(E1861),Map_Tables!$G$4:$G$37,0)),""),IFERROR(INDEX(Map_Tables!$B$4:$B$18,MATCH(TRIM(F1861),Map_Tables!$A$4:$A$18,0)),"CHECK"))</f>
        <v>Hyderabad</v>
      </c>
      <c r="AE1861" s="7" t="str">
        <f aca="false">IF(TRIM(E1861)="","",IFERROR(INDEX(Map_Tables!$H$4:$H$37,MATCH(TRIM(E1861),Map_Tables!$G$4:$G$37,0)),"CHECK"))</f>
        <v>Sweet Tooth Studio</v>
      </c>
      <c r="AF1861" s="7" t="str">
        <f aca="false">IF(TRIM(K1861)="","Unknown",IFERROR(INDEX(Map_Tables!$E$4:$E$15,MATCH(TRIM(K1861),Map_Tables!$D$4:$D$15,0)),"CHECK"))</f>
        <v>Debit Card</v>
      </c>
      <c r="AG1861" s="7" t="str">
        <f aca="false">IF(LEFT(LOWER(TRIM(L1861)),6)="cancel","Cancelled","Delivered")</f>
        <v>Delivered</v>
      </c>
      <c r="AH1861" s="10" t="n">
        <f aca="false">IF(ISNUMBER(SEARCH("/",B1861)),DATE(VALUE(RIGHT(B1861,4)),VALUE(MID(B1861,4,2)),VALUE(LEFT(B1861,2))),IF(MID(B1861,5,1)="-",DATE(VALUE(LEFT(B1861,4)),VALUE(MID(B1861,6,2)),VALUE(RIGHT(B1861,2))),DATE(VALUE(RIGHT(B1861,4)),MATCH(MID(B1861,4,3),{"Jan","Feb","Mar","Apr","May","Jun","Jul","Aug","Sep","Oct","Nov","Dec"},0),VALUE(LEFT(B1861,2)))))</f>
        <v>46012</v>
      </c>
    </row>
    <row r="1862" customFormat="false" ht="15" hidden="false" customHeight="false" outlineLevel="0" collapsed="false">
      <c r="A1862" s="7" t="s">
        <v>4536</v>
      </c>
      <c r="B1862" s="7" t="s">
        <v>2598</v>
      </c>
      <c r="C1862" s="7" t="s">
        <v>2607</v>
      </c>
      <c r="D1862" s="7" t="s">
        <v>339</v>
      </c>
      <c r="E1862" s="7" t="s">
        <v>168</v>
      </c>
      <c r="F1862" s="7" t="s">
        <v>146</v>
      </c>
      <c r="G1862" s="7" t="s">
        <v>123</v>
      </c>
      <c r="H1862" s="7" t="n">
        <v>1</v>
      </c>
      <c r="I1862" s="7" t="n">
        <v>305</v>
      </c>
      <c r="J1862" s="7" t="n">
        <v>0</v>
      </c>
      <c r="K1862" s="7" t="s">
        <v>112</v>
      </c>
      <c r="L1862" s="7" t="s">
        <v>194</v>
      </c>
      <c r="M1862" s="7" t="n">
        <v>26</v>
      </c>
      <c r="N1862" s="7" t="n">
        <v>4</v>
      </c>
      <c r="O1862" s="7" t="str">
        <f aca="false">A1862&amp;"|"&amp;B1862&amp;"|"&amp;C1862&amp;"|"&amp;D1862&amp;"|"&amp;E1862&amp;"|"&amp;F1862&amp;"|"&amp;G1862&amp;"|"&amp;H1862&amp;"|"&amp;I1862&amp;"|"&amp;J1862&amp;"|"&amp;K1862&amp;"|"&amp;L1862&amp;"|"&amp;M1862&amp;"|"&amp;N1862</f>
        <v>ORD10499|2025-03-07|12:01|C0245|Cheesy Slice|Ahmedabad|Pizza|1|305|0|Cash on Delivery|Delivered|26|4</v>
      </c>
      <c r="P1862" s="7" t="str">
        <f aca="false">IF(COUNTIF($O$2:O1862,O1862)&gt;1,"DUP","OK")</f>
        <v>OK</v>
      </c>
      <c r="Q1862" s="7" t="n">
        <f aca="false">COUNTBLANK(A1862:N1862)</f>
        <v>0</v>
      </c>
      <c r="R1862" s="7" t="n">
        <f aca="false">IF(A1862="",0,COUNTIFS($A$2:$A$3058,A1862,$P$2:$P$3058,"OK"))</f>
        <v>1</v>
      </c>
      <c r="S1862" s="7" t="str">
        <f aca="false">IF(OR(A1862="",P1862="DUP",R1862&lt;2),"",IF(Q1862=_xlfn.MINIFS($Q$2:$Q$3058,$A$2:$A$3058,A1862,$P$2:$P$3058,"OK"),"KEEP","DROP"))</f>
        <v/>
      </c>
      <c r="T1862" s="9" t="n">
        <f aca="false">IF(A1862="",1,0)</f>
        <v>0</v>
      </c>
      <c r="U1862" s="9" t="n">
        <f aca="false">IF(D1862="",1,0)</f>
        <v>0</v>
      </c>
      <c r="V1862" s="9" t="n">
        <f aca="false">IF(E1862="",1,0)</f>
        <v>0</v>
      </c>
      <c r="W1862" s="9" t="n">
        <f aca="false">IF(OR(H1862&lt;1,H1862&gt;10),1,0)</f>
        <v>0</v>
      </c>
      <c r="X1862" s="9" t="n">
        <f aca="false">IF(OR(I1862&lt;=0,I1862&gt;1500),1,0)</f>
        <v>0</v>
      </c>
      <c r="Y1862" s="9" t="n">
        <f aca="false">IF(J1862&gt;H1862*I1862,1,0)</f>
        <v>0</v>
      </c>
      <c r="Z1862" s="9" t="n">
        <f aca="false">IF(AND(N1862&lt;&gt;"",OR(N1862&lt;1,N1862&gt;5)),1,0)</f>
        <v>0</v>
      </c>
      <c r="AA1862" s="9" t="n">
        <f aca="false">IF(AND(M1862&lt;&gt;"",OR(M1862&lt;5,M1862&gt;180)),1,0)</f>
        <v>0</v>
      </c>
      <c r="AB1862" s="7" t="str">
        <f aca="false">IF(P1862="DUP","Exact duplicate row",IF(T1862=1,"Missing Order ID",IF(S1862="DROP","Duplicate Order ID (less complete row)",IF(U1862=1,"Missing Customer ID",IF(V1862=1,"Missing Restaurant name",IF(W1862=1,"Invalid/outlier quantity",IF(X1862=1,"Invalid/outlier unit price",IF(Y1862=1,"Discount greater than order value",""))))))))</f>
        <v/>
      </c>
      <c r="AC1862" s="7" t="str">
        <f aca="false">IF(AB1862="","KEEP","DROP")</f>
        <v>KEEP</v>
      </c>
      <c r="AD1862" s="7" t="str">
        <f aca="false">IF(TRIM(F1862)="",IFERROR(INDEX(Map_Tables!$I$4:$I$37,MATCH(TRIM(E1862),Map_Tables!$G$4:$G$37,0)),""),IFERROR(INDEX(Map_Tables!$B$4:$B$18,MATCH(TRIM(F1862),Map_Tables!$A$4:$A$18,0)),"CHECK"))</f>
        <v>Ahmedabad</v>
      </c>
      <c r="AE1862" s="7" t="str">
        <f aca="false">IF(TRIM(E1862)="","",IFERROR(INDEX(Map_Tables!$H$4:$H$37,MATCH(TRIM(E1862),Map_Tables!$G$4:$G$37,0)),"CHECK"))</f>
        <v>Cheesy Slice</v>
      </c>
      <c r="AF1862" s="7" t="str">
        <f aca="false">IF(TRIM(K1862)="","Unknown",IFERROR(INDEX(Map_Tables!$E$4:$E$15,MATCH(TRIM(K1862),Map_Tables!$D$4:$D$15,0)),"CHECK"))</f>
        <v>Cash on Delivery</v>
      </c>
      <c r="AG1862" s="7" t="str">
        <f aca="false">IF(LEFT(LOWER(TRIM(L1862)),6)="cancel","Cancelled","Delivered")</f>
        <v>Delivered</v>
      </c>
      <c r="AH1862" s="10" t="n">
        <f aca="false">IF(ISNUMBER(SEARCH("/",B1862)),DATE(VALUE(RIGHT(B1862,4)),VALUE(MID(B1862,4,2)),VALUE(LEFT(B1862,2))),IF(MID(B1862,5,1)="-",DATE(VALUE(LEFT(B1862,4)),VALUE(MID(B1862,6,2)),VALUE(RIGHT(B1862,2))),DATE(VALUE(RIGHT(B1862,4)),MATCH(MID(B1862,4,3),{"Jan","Feb","Mar","Apr","May","Jun","Jul","Aug","Sep","Oct","Nov","Dec"},0),VALUE(LEFT(B1862,2)))))</f>
        <v>45723</v>
      </c>
    </row>
    <row r="1863" customFormat="false" ht="15" hidden="false" customHeight="false" outlineLevel="0" collapsed="false">
      <c r="A1863" s="7" t="s">
        <v>4537</v>
      </c>
      <c r="B1863" s="7" t="s">
        <v>406</v>
      </c>
      <c r="C1863" s="7" t="s">
        <v>2594</v>
      </c>
      <c r="D1863" s="7" t="s">
        <v>4538</v>
      </c>
      <c r="E1863" s="7" t="s">
        <v>89</v>
      </c>
      <c r="F1863" s="7" t="s">
        <v>86</v>
      </c>
      <c r="G1863" s="7" t="s">
        <v>90</v>
      </c>
      <c r="H1863" s="7" t="n">
        <v>3</v>
      </c>
      <c r="I1863" s="7" t="n">
        <v>230</v>
      </c>
      <c r="J1863" s="7" t="n">
        <v>30</v>
      </c>
      <c r="K1863" s="7" t="s">
        <v>121</v>
      </c>
      <c r="L1863" s="7" t="s">
        <v>194</v>
      </c>
      <c r="M1863" s="7" t="n">
        <v>41</v>
      </c>
      <c r="N1863" s="7" t="n">
        <v>5</v>
      </c>
      <c r="O1863" s="7" t="str">
        <f aca="false">A1863&amp;"|"&amp;B1863&amp;"|"&amp;C1863&amp;"|"&amp;D1863&amp;"|"&amp;E1863&amp;"|"&amp;F1863&amp;"|"&amp;G1863&amp;"|"&amp;H1863&amp;"|"&amp;I1863&amp;"|"&amp;J1863&amp;"|"&amp;K1863&amp;"|"&amp;L1863&amp;"|"&amp;M1863&amp;"|"&amp;N1863</f>
        <v>ORD10715|2025-04-01|19:51|C1355|Spice Junction|Bengaluru|North Indian|3|230|30|Wallet|Delivered|41|5</v>
      </c>
      <c r="P1863" s="7" t="str">
        <f aca="false">IF(COUNTIF($O$2:O1863,O1863)&gt;1,"DUP","OK")</f>
        <v>OK</v>
      </c>
      <c r="Q1863" s="7" t="n">
        <f aca="false">COUNTBLANK(A1863:N1863)</f>
        <v>0</v>
      </c>
      <c r="R1863" s="7" t="n">
        <f aca="false">IF(A1863="",0,COUNTIFS($A$2:$A$3058,A1863,$P$2:$P$3058,"OK"))</f>
        <v>1</v>
      </c>
      <c r="S1863" s="7" t="str">
        <f aca="false">IF(OR(A1863="",P1863="DUP",R1863&lt;2),"",IF(Q1863=_xlfn.MINIFS($Q$2:$Q$3058,$A$2:$A$3058,A1863,$P$2:$P$3058,"OK"),"KEEP","DROP"))</f>
        <v/>
      </c>
      <c r="T1863" s="9" t="n">
        <f aca="false">IF(A1863="",1,0)</f>
        <v>0</v>
      </c>
      <c r="U1863" s="9" t="n">
        <f aca="false">IF(D1863="",1,0)</f>
        <v>0</v>
      </c>
      <c r="V1863" s="9" t="n">
        <f aca="false">IF(E1863="",1,0)</f>
        <v>0</v>
      </c>
      <c r="W1863" s="9" t="n">
        <f aca="false">IF(OR(H1863&lt;1,H1863&gt;10),1,0)</f>
        <v>0</v>
      </c>
      <c r="X1863" s="9" t="n">
        <f aca="false">IF(OR(I1863&lt;=0,I1863&gt;1500),1,0)</f>
        <v>0</v>
      </c>
      <c r="Y1863" s="9" t="n">
        <f aca="false">IF(J1863&gt;H1863*I1863,1,0)</f>
        <v>0</v>
      </c>
      <c r="Z1863" s="9" t="n">
        <f aca="false">IF(AND(N1863&lt;&gt;"",OR(N1863&lt;1,N1863&gt;5)),1,0)</f>
        <v>0</v>
      </c>
      <c r="AA1863" s="9" t="n">
        <f aca="false">IF(AND(M1863&lt;&gt;"",OR(M1863&lt;5,M1863&gt;180)),1,0)</f>
        <v>0</v>
      </c>
      <c r="AB1863" s="7" t="str">
        <f aca="false">IF(P1863="DUP","Exact duplicate row",IF(T1863=1,"Missing Order ID",IF(S1863="DROP","Duplicate Order ID (less complete row)",IF(U1863=1,"Missing Customer ID",IF(V1863=1,"Missing Restaurant name",IF(W1863=1,"Invalid/outlier quantity",IF(X1863=1,"Invalid/outlier unit price",IF(Y1863=1,"Discount greater than order value",""))))))))</f>
        <v/>
      </c>
      <c r="AC1863" s="7" t="str">
        <f aca="false">IF(AB1863="","KEEP","DROP")</f>
        <v>KEEP</v>
      </c>
      <c r="AD1863" s="7" t="str">
        <f aca="false">IF(TRIM(F1863)="",IFERROR(INDEX(Map_Tables!$I$4:$I$37,MATCH(TRIM(E1863),Map_Tables!$G$4:$G$37,0)),""),IFERROR(INDEX(Map_Tables!$B$4:$B$18,MATCH(TRIM(F1863),Map_Tables!$A$4:$A$18,0)),"CHECK"))</f>
        <v>Bengaluru</v>
      </c>
      <c r="AE1863" s="7" t="str">
        <f aca="false">IF(TRIM(E1863)="","",IFERROR(INDEX(Map_Tables!$H$4:$H$37,MATCH(TRIM(E1863),Map_Tables!$G$4:$G$37,0)),"CHECK"))</f>
        <v>Spice Junction</v>
      </c>
      <c r="AF1863" s="7" t="str">
        <f aca="false">IF(TRIM(K1863)="","Unknown",IFERROR(INDEX(Map_Tables!$E$4:$E$15,MATCH(TRIM(K1863),Map_Tables!$D$4:$D$15,0)),"CHECK"))</f>
        <v>Wallet</v>
      </c>
      <c r="AG1863" s="7" t="str">
        <f aca="false">IF(LEFT(LOWER(TRIM(L1863)),6)="cancel","Cancelled","Delivered")</f>
        <v>Delivered</v>
      </c>
      <c r="AH1863" s="10" t="n">
        <f aca="false">IF(ISNUMBER(SEARCH("/",B1863)),DATE(VALUE(RIGHT(B1863,4)),VALUE(MID(B1863,4,2)),VALUE(LEFT(B1863,2))),IF(MID(B1863,5,1)="-",DATE(VALUE(LEFT(B1863,4)),VALUE(MID(B1863,6,2)),VALUE(RIGHT(B1863,2))),DATE(VALUE(RIGHT(B1863,4)),MATCH(MID(B1863,4,3),{"Jan","Feb","Mar","Apr","May","Jun","Jul","Aug","Sep","Oct","Nov","Dec"},0),VALUE(LEFT(B1863,2)))))</f>
        <v>45748</v>
      </c>
    </row>
    <row r="1864" customFormat="false" ht="15" hidden="false" customHeight="false" outlineLevel="0" collapsed="false">
      <c r="A1864" s="7" t="s">
        <v>4539</v>
      </c>
      <c r="B1864" s="7" t="s">
        <v>637</v>
      </c>
      <c r="C1864" s="7" t="s">
        <v>4540</v>
      </c>
      <c r="D1864" s="7" t="s">
        <v>4541</v>
      </c>
      <c r="E1864" s="7" t="s">
        <v>116</v>
      </c>
      <c r="F1864" s="7" t="s">
        <v>101</v>
      </c>
      <c r="G1864" s="7" t="s">
        <v>117</v>
      </c>
      <c r="H1864" s="7" t="n">
        <v>4</v>
      </c>
      <c r="I1864" s="7" t="n">
        <v>105</v>
      </c>
      <c r="J1864" s="7" t="n">
        <v>0</v>
      </c>
      <c r="K1864" s="7" t="s">
        <v>88</v>
      </c>
      <c r="L1864" s="7" t="s">
        <v>194</v>
      </c>
      <c r="M1864" s="7" t="n">
        <v>28</v>
      </c>
      <c r="N1864" s="7" t="n">
        <v>4</v>
      </c>
      <c r="O1864" s="7" t="str">
        <f aca="false">A1864&amp;"|"&amp;B1864&amp;"|"&amp;C1864&amp;"|"&amp;D1864&amp;"|"&amp;E1864&amp;"|"&amp;F1864&amp;"|"&amp;G1864&amp;"|"&amp;H1864&amp;"|"&amp;I1864&amp;"|"&amp;J1864&amp;"|"&amp;K1864&amp;"|"&amp;L1864&amp;"|"&amp;M1864&amp;"|"&amp;N1864</f>
        <v>ORD12750|2025-12-02|18:45|C0924|Pav Bhaji Point|Mumbai|Street Food|4|105|0|UPI|Delivered|28|4</v>
      </c>
      <c r="P1864" s="7" t="str">
        <f aca="false">IF(COUNTIF($O$2:O1864,O1864)&gt;1,"DUP","OK")</f>
        <v>OK</v>
      </c>
      <c r="Q1864" s="7" t="n">
        <f aca="false">COUNTBLANK(A1864:N1864)</f>
        <v>0</v>
      </c>
      <c r="R1864" s="7" t="n">
        <f aca="false">IF(A1864="",0,COUNTIFS($A$2:$A$3058,A1864,$P$2:$P$3058,"OK"))</f>
        <v>1</v>
      </c>
      <c r="S1864" s="7" t="str">
        <f aca="false">IF(OR(A1864="",P1864="DUP",R1864&lt;2),"",IF(Q1864=_xlfn.MINIFS($Q$2:$Q$3058,$A$2:$A$3058,A1864,$P$2:$P$3058,"OK"),"KEEP","DROP"))</f>
        <v/>
      </c>
      <c r="T1864" s="9" t="n">
        <f aca="false">IF(A1864="",1,0)</f>
        <v>0</v>
      </c>
      <c r="U1864" s="9" t="n">
        <f aca="false">IF(D1864="",1,0)</f>
        <v>0</v>
      </c>
      <c r="V1864" s="9" t="n">
        <f aca="false">IF(E1864="",1,0)</f>
        <v>0</v>
      </c>
      <c r="W1864" s="9" t="n">
        <f aca="false">IF(OR(H1864&lt;1,H1864&gt;10),1,0)</f>
        <v>0</v>
      </c>
      <c r="X1864" s="9" t="n">
        <f aca="false">IF(OR(I1864&lt;=0,I1864&gt;1500),1,0)</f>
        <v>0</v>
      </c>
      <c r="Y1864" s="9" t="n">
        <f aca="false">IF(J1864&gt;H1864*I1864,1,0)</f>
        <v>0</v>
      </c>
      <c r="Z1864" s="9" t="n">
        <f aca="false">IF(AND(N1864&lt;&gt;"",OR(N1864&lt;1,N1864&gt;5)),1,0)</f>
        <v>0</v>
      </c>
      <c r="AA1864" s="9" t="n">
        <f aca="false">IF(AND(M1864&lt;&gt;"",OR(M1864&lt;5,M1864&gt;180)),1,0)</f>
        <v>0</v>
      </c>
      <c r="AB1864" s="7" t="str">
        <f aca="false">IF(P1864="DUP","Exact duplicate row",IF(T1864=1,"Missing Order ID",IF(S1864="DROP","Duplicate Order ID (less complete row)",IF(U1864=1,"Missing Customer ID",IF(V1864=1,"Missing Restaurant name",IF(W1864=1,"Invalid/outlier quantity",IF(X1864=1,"Invalid/outlier unit price",IF(Y1864=1,"Discount greater than order value",""))))))))</f>
        <v/>
      </c>
      <c r="AC1864" s="7" t="str">
        <f aca="false">IF(AB1864="","KEEP","DROP")</f>
        <v>KEEP</v>
      </c>
      <c r="AD1864" s="7" t="str">
        <f aca="false">IF(TRIM(F1864)="",IFERROR(INDEX(Map_Tables!$I$4:$I$37,MATCH(TRIM(E1864),Map_Tables!$G$4:$G$37,0)),""),IFERROR(INDEX(Map_Tables!$B$4:$B$18,MATCH(TRIM(F1864),Map_Tables!$A$4:$A$18,0)),"CHECK"))</f>
        <v>Mumbai</v>
      </c>
      <c r="AE1864" s="7" t="str">
        <f aca="false">IF(TRIM(E1864)="","",IFERROR(INDEX(Map_Tables!$H$4:$H$37,MATCH(TRIM(E1864),Map_Tables!$G$4:$G$37,0)),"CHECK"))</f>
        <v>Pav Bhaji Point</v>
      </c>
      <c r="AF1864" s="7" t="str">
        <f aca="false">IF(TRIM(K1864)="","Unknown",IFERROR(INDEX(Map_Tables!$E$4:$E$15,MATCH(TRIM(K1864),Map_Tables!$D$4:$D$15,0)),"CHECK"))</f>
        <v>UPI</v>
      </c>
      <c r="AG1864" s="7" t="str">
        <f aca="false">IF(LEFT(LOWER(TRIM(L1864)),6)="cancel","Cancelled","Delivered")</f>
        <v>Delivered</v>
      </c>
      <c r="AH1864" s="10" t="n">
        <f aca="false">IF(ISNUMBER(SEARCH("/",B1864)),DATE(VALUE(RIGHT(B1864,4)),VALUE(MID(B1864,4,2)),VALUE(LEFT(B1864,2))),IF(MID(B1864,5,1)="-",DATE(VALUE(LEFT(B1864,4)),VALUE(MID(B1864,6,2)),VALUE(RIGHT(B1864,2))),DATE(VALUE(RIGHT(B1864,4)),MATCH(MID(B1864,4,3),{"Jan","Feb","Mar","Apr","May","Jun","Jul","Aug","Sep","Oct","Nov","Dec"},0),VALUE(LEFT(B1864,2)))))</f>
        <v>45993</v>
      </c>
    </row>
    <row r="1865" customFormat="false" ht="15" hidden="false" customHeight="false" outlineLevel="0" collapsed="false">
      <c r="A1865" s="7" t="s">
        <v>4542</v>
      </c>
      <c r="B1865" s="7" t="s">
        <v>322</v>
      </c>
      <c r="C1865" s="7" t="s">
        <v>2659</v>
      </c>
      <c r="D1865" s="7" t="s">
        <v>4543</v>
      </c>
      <c r="E1865" s="7" t="s">
        <v>113</v>
      </c>
      <c r="F1865" s="7" t="s">
        <v>101</v>
      </c>
      <c r="G1865" s="7" t="s">
        <v>90</v>
      </c>
      <c r="H1865" s="7" t="n">
        <v>2</v>
      </c>
      <c r="I1865" s="7" t="n">
        <v>260</v>
      </c>
      <c r="J1865" s="7" t="n">
        <v>0</v>
      </c>
      <c r="K1865" s="7" t="s">
        <v>88</v>
      </c>
      <c r="L1865" s="7" t="s">
        <v>194</v>
      </c>
      <c r="M1865" s="7" t="n">
        <v>47</v>
      </c>
      <c r="N1865" s="7" t="n">
        <v>5</v>
      </c>
      <c r="O1865" s="7" t="str">
        <f aca="false">A1865&amp;"|"&amp;B1865&amp;"|"&amp;C1865&amp;"|"&amp;D1865&amp;"|"&amp;E1865&amp;"|"&amp;F1865&amp;"|"&amp;G1865&amp;"|"&amp;H1865&amp;"|"&amp;I1865&amp;"|"&amp;J1865&amp;"|"&amp;K1865&amp;"|"&amp;L1865&amp;"|"&amp;M1865&amp;"|"&amp;N1865</f>
        <v>ORD11057|2025-05-13|19:31|C1107|Curry Leaf Kitchen|Mumbai|North Indian|2|260|0|UPI|Delivered|47|5</v>
      </c>
      <c r="P1865" s="7" t="str">
        <f aca="false">IF(COUNTIF($O$2:O1865,O1865)&gt;1,"DUP","OK")</f>
        <v>OK</v>
      </c>
      <c r="Q1865" s="7" t="n">
        <f aca="false">COUNTBLANK(A1865:N1865)</f>
        <v>0</v>
      </c>
      <c r="R1865" s="7" t="n">
        <f aca="false">IF(A1865="",0,COUNTIFS($A$2:$A$3058,A1865,$P$2:$P$3058,"OK"))</f>
        <v>1</v>
      </c>
      <c r="S1865" s="7" t="str">
        <f aca="false">IF(OR(A1865="",P1865="DUP",R1865&lt;2),"",IF(Q1865=_xlfn.MINIFS($Q$2:$Q$3058,$A$2:$A$3058,A1865,$P$2:$P$3058,"OK"),"KEEP","DROP"))</f>
        <v/>
      </c>
      <c r="T1865" s="9" t="n">
        <f aca="false">IF(A1865="",1,0)</f>
        <v>0</v>
      </c>
      <c r="U1865" s="9" t="n">
        <f aca="false">IF(D1865="",1,0)</f>
        <v>0</v>
      </c>
      <c r="V1865" s="9" t="n">
        <f aca="false">IF(E1865="",1,0)</f>
        <v>0</v>
      </c>
      <c r="W1865" s="9" t="n">
        <f aca="false">IF(OR(H1865&lt;1,H1865&gt;10),1,0)</f>
        <v>0</v>
      </c>
      <c r="X1865" s="9" t="n">
        <f aca="false">IF(OR(I1865&lt;=0,I1865&gt;1500),1,0)</f>
        <v>0</v>
      </c>
      <c r="Y1865" s="9" t="n">
        <f aca="false">IF(J1865&gt;H1865*I1865,1,0)</f>
        <v>0</v>
      </c>
      <c r="Z1865" s="9" t="n">
        <f aca="false">IF(AND(N1865&lt;&gt;"",OR(N1865&lt;1,N1865&gt;5)),1,0)</f>
        <v>0</v>
      </c>
      <c r="AA1865" s="9" t="n">
        <f aca="false">IF(AND(M1865&lt;&gt;"",OR(M1865&lt;5,M1865&gt;180)),1,0)</f>
        <v>0</v>
      </c>
      <c r="AB1865" s="7" t="str">
        <f aca="false">IF(P1865="DUP","Exact duplicate row",IF(T1865=1,"Missing Order ID",IF(S1865="DROP","Duplicate Order ID (less complete row)",IF(U1865=1,"Missing Customer ID",IF(V1865=1,"Missing Restaurant name",IF(W1865=1,"Invalid/outlier quantity",IF(X1865=1,"Invalid/outlier unit price",IF(Y1865=1,"Discount greater than order value",""))))))))</f>
        <v/>
      </c>
      <c r="AC1865" s="7" t="str">
        <f aca="false">IF(AB1865="","KEEP","DROP")</f>
        <v>KEEP</v>
      </c>
      <c r="AD1865" s="7" t="str">
        <f aca="false">IF(TRIM(F1865)="",IFERROR(INDEX(Map_Tables!$I$4:$I$37,MATCH(TRIM(E1865),Map_Tables!$G$4:$G$37,0)),""),IFERROR(INDEX(Map_Tables!$B$4:$B$18,MATCH(TRIM(F1865),Map_Tables!$A$4:$A$18,0)),"CHECK"))</f>
        <v>Mumbai</v>
      </c>
      <c r="AE1865" s="7" t="str">
        <f aca="false">IF(TRIM(E1865)="","",IFERROR(INDEX(Map_Tables!$H$4:$H$37,MATCH(TRIM(E1865),Map_Tables!$G$4:$G$37,0)),"CHECK"))</f>
        <v>Curry Leaf Kitchen</v>
      </c>
      <c r="AF1865" s="7" t="str">
        <f aca="false">IF(TRIM(K1865)="","Unknown",IFERROR(INDEX(Map_Tables!$E$4:$E$15,MATCH(TRIM(K1865),Map_Tables!$D$4:$D$15,0)),"CHECK"))</f>
        <v>UPI</v>
      </c>
      <c r="AG1865" s="7" t="str">
        <f aca="false">IF(LEFT(LOWER(TRIM(L1865)),6)="cancel","Cancelled","Delivered")</f>
        <v>Delivered</v>
      </c>
      <c r="AH1865" s="10" t="n">
        <f aca="false">IF(ISNUMBER(SEARCH("/",B1865)),DATE(VALUE(RIGHT(B1865,4)),VALUE(MID(B1865,4,2)),VALUE(LEFT(B1865,2))),IF(MID(B1865,5,1)="-",DATE(VALUE(LEFT(B1865,4)),VALUE(MID(B1865,6,2)),VALUE(RIGHT(B1865,2))),DATE(VALUE(RIGHT(B1865,4)),MATCH(MID(B1865,4,3),{"Jan","Feb","Mar","Apr","May","Jun","Jul","Aug","Sep","Oct","Nov","Dec"},0),VALUE(LEFT(B1865,2)))))</f>
        <v>45790</v>
      </c>
    </row>
    <row r="1866" customFormat="false" ht="15" hidden="false" customHeight="false" outlineLevel="0" collapsed="false">
      <c r="A1866" s="7" t="s">
        <v>4544</v>
      </c>
      <c r="B1866" s="7" t="s">
        <v>1127</v>
      </c>
      <c r="C1866" s="7" t="s">
        <v>732</v>
      </c>
      <c r="D1866" s="7" t="s">
        <v>3087</v>
      </c>
      <c r="E1866" s="7" t="s">
        <v>126</v>
      </c>
      <c r="F1866" s="7" t="s">
        <v>101</v>
      </c>
      <c r="G1866" s="7" t="s">
        <v>105</v>
      </c>
      <c r="H1866" s="7" t="n">
        <v>3</v>
      </c>
      <c r="I1866" s="7" t="n">
        <v>225</v>
      </c>
      <c r="J1866" s="7" t="n">
        <v>0</v>
      </c>
      <c r="K1866" s="7" t="s">
        <v>88</v>
      </c>
      <c r="L1866" s="7" t="s">
        <v>194</v>
      </c>
      <c r="M1866" s="7" t="n">
        <v>44</v>
      </c>
      <c r="N1866" s="7" t="n">
        <v>5</v>
      </c>
      <c r="O1866" s="7" t="str">
        <f aca="false">A1866&amp;"|"&amp;B1866&amp;"|"&amp;C1866&amp;"|"&amp;D1866&amp;"|"&amp;E1866&amp;"|"&amp;F1866&amp;"|"&amp;G1866&amp;"|"&amp;H1866&amp;"|"&amp;I1866&amp;"|"&amp;J1866&amp;"|"&amp;K1866&amp;"|"&amp;L1866&amp;"|"&amp;M1866&amp;"|"&amp;N1866</f>
        <v>ORD12763|2025-12-03|19:07|C1307|Dragon Express|Mumbai|Chinese|3|225|0|UPI|Delivered|44|5</v>
      </c>
      <c r="P1866" s="7" t="str">
        <f aca="false">IF(COUNTIF($O$2:O1866,O1866)&gt;1,"DUP","OK")</f>
        <v>OK</v>
      </c>
      <c r="Q1866" s="7" t="n">
        <f aca="false">COUNTBLANK(A1866:N1866)</f>
        <v>0</v>
      </c>
      <c r="R1866" s="7" t="n">
        <f aca="false">IF(A1866="",0,COUNTIFS($A$2:$A$3058,A1866,$P$2:$P$3058,"OK"))</f>
        <v>1</v>
      </c>
      <c r="S1866" s="7" t="str">
        <f aca="false">IF(OR(A1866="",P1866="DUP",R1866&lt;2),"",IF(Q1866=_xlfn.MINIFS($Q$2:$Q$3058,$A$2:$A$3058,A1866,$P$2:$P$3058,"OK"),"KEEP","DROP"))</f>
        <v/>
      </c>
      <c r="T1866" s="9" t="n">
        <f aca="false">IF(A1866="",1,0)</f>
        <v>0</v>
      </c>
      <c r="U1866" s="9" t="n">
        <f aca="false">IF(D1866="",1,0)</f>
        <v>0</v>
      </c>
      <c r="V1866" s="9" t="n">
        <f aca="false">IF(E1866="",1,0)</f>
        <v>0</v>
      </c>
      <c r="W1866" s="9" t="n">
        <f aca="false">IF(OR(H1866&lt;1,H1866&gt;10),1,0)</f>
        <v>0</v>
      </c>
      <c r="X1866" s="9" t="n">
        <f aca="false">IF(OR(I1866&lt;=0,I1866&gt;1500),1,0)</f>
        <v>0</v>
      </c>
      <c r="Y1866" s="9" t="n">
        <f aca="false">IF(J1866&gt;H1866*I1866,1,0)</f>
        <v>0</v>
      </c>
      <c r="Z1866" s="9" t="n">
        <f aca="false">IF(AND(N1866&lt;&gt;"",OR(N1866&lt;1,N1866&gt;5)),1,0)</f>
        <v>0</v>
      </c>
      <c r="AA1866" s="9" t="n">
        <f aca="false">IF(AND(M1866&lt;&gt;"",OR(M1866&lt;5,M1866&gt;180)),1,0)</f>
        <v>0</v>
      </c>
      <c r="AB1866" s="7" t="str">
        <f aca="false">IF(P1866="DUP","Exact duplicate row",IF(T1866=1,"Missing Order ID",IF(S1866="DROP","Duplicate Order ID (less complete row)",IF(U1866=1,"Missing Customer ID",IF(V1866=1,"Missing Restaurant name",IF(W1866=1,"Invalid/outlier quantity",IF(X1866=1,"Invalid/outlier unit price",IF(Y1866=1,"Discount greater than order value",""))))))))</f>
        <v/>
      </c>
      <c r="AC1866" s="7" t="str">
        <f aca="false">IF(AB1866="","KEEP","DROP")</f>
        <v>KEEP</v>
      </c>
      <c r="AD1866" s="7" t="str">
        <f aca="false">IF(TRIM(F1866)="",IFERROR(INDEX(Map_Tables!$I$4:$I$37,MATCH(TRIM(E1866),Map_Tables!$G$4:$G$37,0)),""),IFERROR(INDEX(Map_Tables!$B$4:$B$18,MATCH(TRIM(F1866),Map_Tables!$A$4:$A$18,0)),"CHECK"))</f>
        <v>Mumbai</v>
      </c>
      <c r="AE1866" s="7" t="str">
        <f aca="false">IF(TRIM(E1866)="","",IFERROR(INDEX(Map_Tables!$H$4:$H$37,MATCH(TRIM(E1866),Map_Tables!$G$4:$G$37,0)),"CHECK"))</f>
        <v>Dragon Express</v>
      </c>
      <c r="AF1866" s="7" t="str">
        <f aca="false">IF(TRIM(K1866)="","Unknown",IFERROR(INDEX(Map_Tables!$E$4:$E$15,MATCH(TRIM(K1866),Map_Tables!$D$4:$D$15,0)),"CHECK"))</f>
        <v>UPI</v>
      </c>
      <c r="AG1866" s="7" t="str">
        <f aca="false">IF(LEFT(LOWER(TRIM(L1866)),6)="cancel","Cancelled","Delivered")</f>
        <v>Delivered</v>
      </c>
      <c r="AH1866" s="10" t="n">
        <f aca="false">IF(ISNUMBER(SEARCH("/",B1866)),DATE(VALUE(RIGHT(B1866,4)),VALUE(MID(B1866,4,2)),VALUE(LEFT(B1866,2))),IF(MID(B1866,5,1)="-",DATE(VALUE(LEFT(B1866,4)),VALUE(MID(B1866,6,2)),VALUE(RIGHT(B1866,2))),DATE(VALUE(RIGHT(B1866,4)),MATCH(MID(B1866,4,3),{"Jan","Feb","Mar","Apr","May","Jun","Jul","Aug","Sep","Oct","Nov","Dec"},0),VALUE(LEFT(B1866,2)))))</f>
        <v>45994</v>
      </c>
    </row>
    <row r="1867" customFormat="false" ht="15" hidden="false" customHeight="false" outlineLevel="0" collapsed="false">
      <c r="A1867" s="7" t="s">
        <v>4545</v>
      </c>
      <c r="B1867" s="7" t="s">
        <v>3831</v>
      </c>
      <c r="C1867" s="7" t="s">
        <v>573</v>
      </c>
      <c r="D1867" s="7" t="s">
        <v>3892</v>
      </c>
      <c r="E1867" s="7" t="s">
        <v>130</v>
      </c>
      <c r="F1867" s="7" t="s">
        <v>110</v>
      </c>
      <c r="G1867" s="7" t="s">
        <v>90</v>
      </c>
      <c r="H1867" s="7" t="n">
        <v>4</v>
      </c>
      <c r="I1867" s="7" t="n">
        <v>260</v>
      </c>
      <c r="J1867" s="7" t="n">
        <v>100</v>
      </c>
      <c r="K1867" s="7" t="s">
        <v>88</v>
      </c>
      <c r="L1867" s="7" t="s">
        <v>238</v>
      </c>
      <c r="M1867" s="7"/>
      <c r="N1867" s="7"/>
      <c r="O1867" s="7" t="str">
        <f aca="false">A1867&amp;"|"&amp;B1867&amp;"|"&amp;C1867&amp;"|"&amp;D1867&amp;"|"&amp;E1867&amp;"|"&amp;F1867&amp;"|"&amp;G1867&amp;"|"&amp;H1867&amp;"|"&amp;I1867&amp;"|"&amp;J1867&amp;"|"&amp;K1867&amp;"|"&amp;L1867&amp;"|"&amp;M1867&amp;"|"&amp;N1867</f>
        <v>ORD10365|17/02/2025|21:43|C1072|Tandoor Tales|Delhi|North Indian|4|260|100|UPI|Cancelled||</v>
      </c>
      <c r="P1867" s="7" t="str">
        <f aca="false">IF(COUNTIF($O$2:O1867,O1867)&gt;1,"DUP","OK")</f>
        <v>OK</v>
      </c>
      <c r="Q1867" s="7" t="n">
        <f aca="false">COUNTBLANK(A1867:N1867)</f>
        <v>2</v>
      </c>
      <c r="R1867" s="7" t="n">
        <f aca="false">IF(A1867="",0,COUNTIFS($A$2:$A$3058,A1867,$P$2:$P$3058,"OK"))</f>
        <v>1</v>
      </c>
      <c r="S1867" s="7" t="str">
        <f aca="false">IF(OR(A1867="",P1867="DUP",R1867&lt;2),"",IF(Q1867=_xlfn.MINIFS($Q$2:$Q$3058,$A$2:$A$3058,A1867,$P$2:$P$3058,"OK"),"KEEP","DROP"))</f>
        <v/>
      </c>
      <c r="T1867" s="9" t="n">
        <f aca="false">IF(A1867="",1,0)</f>
        <v>0</v>
      </c>
      <c r="U1867" s="9" t="n">
        <f aca="false">IF(D1867="",1,0)</f>
        <v>0</v>
      </c>
      <c r="V1867" s="9" t="n">
        <f aca="false">IF(E1867="",1,0)</f>
        <v>0</v>
      </c>
      <c r="W1867" s="9" t="n">
        <f aca="false">IF(OR(H1867&lt;1,H1867&gt;10),1,0)</f>
        <v>0</v>
      </c>
      <c r="X1867" s="9" t="n">
        <f aca="false">IF(OR(I1867&lt;=0,I1867&gt;1500),1,0)</f>
        <v>0</v>
      </c>
      <c r="Y1867" s="9" t="n">
        <f aca="false">IF(J1867&gt;H1867*I1867,1,0)</f>
        <v>0</v>
      </c>
      <c r="Z1867" s="9" t="n">
        <f aca="false">IF(AND(N1867&lt;&gt;"",OR(N1867&lt;1,N1867&gt;5)),1,0)</f>
        <v>0</v>
      </c>
      <c r="AA1867" s="9" t="n">
        <f aca="false">IF(AND(M1867&lt;&gt;"",OR(M1867&lt;5,M1867&gt;180)),1,0)</f>
        <v>0</v>
      </c>
      <c r="AB1867" s="7" t="str">
        <f aca="false">IF(P1867="DUP","Exact duplicate row",IF(T1867=1,"Missing Order ID",IF(S1867="DROP","Duplicate Order ID (less complete row)",IF(U1867=1,"Missing Customer ID",IF(V1867=1,"Missing Restaurant name",IF(W1867=1,"Invalid/outlier quantity",IF(X1867=1,"Invalid/outlier unit price",IF(Y1867=1,"Discount greater than order value",""))))))))</f>
        <v/>
      </c>
      <c r="AC1867" s="7" t="str">
        <f aca="false">IF(AB1867="","KEEP","DROP")</f>
        <v>KEEP</v>
      </c>
      <c r="AD1867" s="7" t="str">
        <f aca="false">IF(TRIM(F1867)="",IFERROR(INDEX(Map_Tables!$I$4:$I$37,MATCH(TRIM(E1867),Map_Tables!$G$4:$G$37,0)),""),IFERROR(INDEX(Map_Tables!$B$4:$B$18,MATCH(TRIM(F1867),Map_Tables!$A$4:$A$18,0)),"CHECK"))</f>
        <v>Delhi</v>
      </c>
      <c r="AE1867" s="7" t="str">
        <f aca="false">IF(TRIM(E1867)="","",IFERROR(INDEX(Map_Tables!$H$4:$H$37,MATCH(TRIM(E1867),Map_Tables!$G$4:$G$37,0)),"CHECK"))</f>
        <v>Tandoor Tales</v>
      </c>
      <c r="AF1867" s="7" t="str">
        <f aca="false">IF(TRIM(K1867)="","Unknown",IFERROR(INDEX(Map_Tables!$E$4:$E$15,MATCH(TRIM(K1867),Map_Tables!$D$4:$D$15,0)),"CHECK"))</f>
        <v>UPI</v>
      </c>
      <c r="AG1867" s="7" t="str">
        <f aca="false">IF(LEFT(LOWER(TRIM(L1867)),6)="cancel","Cancelled","Delivered")</f>
        <v>Cancelled</v>
      </c>
      <c r="AH1867" s="10" t="n">
        <f aca="false">IF(ISNUMBER(SEARCH("/",B1867)),DATE(VALUE(RIGHT(B1867,4)),VALUE(MID(B1867,4,2)),VALUE(LEFT(B1867,2))),IF(MID(B1867,5,1)="-",DATE(VALUE(LEFT(B1867,4)),VALUE(MID(B1867,6,2)),VALUE(RIGHT(B1867,2))),DATE(VALUE(RIGHT(B1867,4)),MATCH(MID(B1867,4,3),{"Jan","Feb","Mar","Apr","May","Jun","Jul","Aug","Sep","Oct","Nov","Dec"},0),VALUE(LEFT(B1867,2)))))</f>
        <v>45705</v>
      </c>
    </row>
    <row r="1868" customFormat="false" ht="15" hidden="false" customHeight="false" outlineLevel="0" collapsed="false">
      <c r="A1868" s="7" t="s">
        <v>4546</v>
      </c>
      <c r="B1868" s="7" t="s">
        <v>1171</v>
      </c>
      <c r="C1868" s="7" t="s">
        <v>2083</v>
      </c>
      <c r="D1868" s="7" t="s">
        <v>1181</v>
      </c>
      <c r="E1868" s="7" t="s">
        <v>161</v>
      </c>
      <c r="F1868" s="7" t="s">
        <v>141</v>
      </c>
      <c r="G1868" s="7" t="s">
        <v>117</v>
      </c>
      <c r="H1868" s="7" t="n">
        <v>2</v>
      </c>
      <c r="I1868" s="7" t="n">
        <v>150</v>
      </c>
      <c r="J1868" s="7" t="n">
        <v>100</v>
      </c>
      <c r="K1868" s="7" t="s">
        <v>103</v>
      </c>
      <c r="L1868" s="7" t="s">
        <v>194</v>
      </c>
      <c r="M1868" s="7" t="n">
        <v>43</v>
      </c>
      <c r="N1868" s="7" t="n">
        <v>4</v>
      </c>
      <c r="O1868" s="7" t="str">
        <f aca="false">A1868&amp;"|"&amp;B1868&amp;"|"&amp;C1868&amp;"|"&amp;D1868&amp;"|"&amp;E1868&amp;"|"&amp;F1868&amp;"|"&amp;G1868&amp;"|"&amp;H1868&amp;"|"&amp;I1868&amp;"|"&amp;J1868&amp;"|"&amp;K1868&amp;"|"&amp;L1868&amp;"|"&amp;M1868&amp;"|"&amp;N1868</f>
        <v>ORD12178|2025-10-04|21:13|C0857|Bengal Bites|Kolkata|Street Food|2|150|100|Debit Card|Delivered|43|4</v>
      </c>
      <c r="P1868" s="7" t="str">
        <f aca="false">IF(COUNTIF($O$2:O1868,O1868)&gt;1,"DUP","OK")</f>
        <v>OK</v>
      </c>
      <c r="Q1868" s="7" t="n">
        <f aca="false">COUNTBLANK(A1868:N1868)</f>
        <v>0</v>
      </c>
      <c r="R1868" s="7" t="n">
        <f aca="false">IF(A1868="",0,COUNTIFS($A$2:$A$3058,A1868,$P$2:$P$3058,"OK"))</f>
        <v>1</v>
      </c>
      <c r="S1868" s="7" t="str">
        <f aca="false">IF(OR(A1868="",P1868="DUP",R1868&lt;2),"",IF(Q1868=_xlfn.MINIFS($Q$2:$Q$3058,$A$2:$A$3058,A1868,$P$2:$P$3058,"OK"),"KEEP","DROP"))</f>
        <v/>
      </c>
      <c r="T1868" s="9" t="n">
        <f aca="false">IF(A1868="",1,0)</f>
        <v>0</v>
      </c>
      <c r="U1868" s="9" t="n">
        <f aca="false">IF(D1868="",1,0)</f>
        <v>0</v>
      </c>
      <c r="V1868" s="9" t="n">
        <f aca="false">IF(E1868="",1,0)</f>
        <v>0</v>
      </c>
      <c r="W1868" s="9" t="n">
        <f aca="false">IF(OR(H1868&lt;1,H1868&gt;10),1,0)</f>
        <v>0</v>
      </c>
      <c r="X1868" s="9" t="n">
        <f aca="false">IF(OR(I1868&lt;=0,I1868&gt;1500),1,0)</f>
        <v>0</v>
      </c>
      <c r="Y1868" s="9" t="n">
        <f aca="false">IF(J1868&gt;H1868*I1868,1,0)</f>
        <v>0</v>
      </c>
      <c r="Z1868" s="9" t="n">
        <f aca="false">IF(AND(N1868&lt;&gt;"",OR(N1868&lt;1,N1868&gt;5)),1,0)</f>
        <v>0</v>
      </c>
      <c r="AA1868" s="9" t="n">
        <f aca="false">IF(AND(M1868&lt;&gt;"",OR(M1868&lt;5,M1868&gt;180)),1,0)</f>
        <v>0</v>
      </c>
      <c r="AB1868" s="7" t="str">
        <f aca="false">IF(P1868="DUP","Exact duplicate row",IF(T1868=1,"Missing Order ID",IF(S1868="DROP","Duplicate Order ID (less complete row)",IF(U1868=1,"Missing Customer ID",IF(V1868=1,"Missing Restaurant name",IF(W1868=1,"Invalid/outlier quantity",IF(X1868=1,"Invalid/outlier unit price",IF(Y1868=1,"Discount greater than order value",""))))))))</f>
        <v/>
      </c>
      <c r="AC1868" s="7" t="str">
        <f aca="false">IF(AB1868="","KEEP","DROP")</f>
        <v>KEEP</v>
      </c>
      <c r="AD1868" s="7" t="str">
        <f aca="false">IF(TRIM(F1868)="",IFERROR(INDEX(Map_Tables!$I$4:$I$37,MATCH(TRIM(E1868),Map_Tables!$G$4:$G$37,0)),""),IFERROR(INDEX(Map_Tables!$B$4:$B$18,MATCH(TRIM(F1868),Map_Tables!$A$4:$A$18,0)),"CHECK"))</f>
        <v>Kolkata</v>
      </c>
      <c r="AE1868" s="7" t="str">
        <f aca="false">IF(TRIM(E1868)="","",IFERROR(INDEX(Map_Tables!$H$4:$H$37,MATCH(TRIM(E1868),Map_Tables!$G$4:$G$37,0)),"CHECK"))</f>
        <v>Bengal Bites</v>
      </c>
      <c r="AF1868" s="7" t="str">
        <f aca="false">IF(TRIM(K1868)="","Unknown",IFERROR(INDEX(Map_Tables!$E$4:$E$15,MATCH(TRIM(K1868),Map_Tables!$D$4:$D$15,0)),"CHECK"))</f>
        <v>Debit Card</v>
      </c>
      <c r="AG1868" s="7" t="str">
        <f aca="false">IF(LEFT(LOWER(TRIM(L1868)),6)="cancel","Cancelled","Delivered")</f>
        <v>Delivered</v>
      </c>
      <c r="AH1868" s="10" t="n">
        <f aca="false">IF(ISNUMBER(SEARCH("/",B1868)),DATE(VALUE(RIGHT(B1868,4)),VALUE(MID(B1868,4,2)),VALUE(LEFT(B1868,2))),IF(MID(B1868,5,1)="-",DATE(VALUE(LEFT(B1868,4)),VALUE(MID(B1868,6,2)),VALUE(RIGHT(B1868,2))),DATE(VALUE(RIGHT(B1868,4)),MATCH(MID(B1868,4,3),{"Jan","Feb","Mar","Apr","May","Jun","Jul","Aug","Sep","Oct","Nov","Dec"},0),VALUE(LEFT(B1868,2)))))</f>
        <v>45934</v>
      </c>
    </row>
    <row r="1869" customFormat="false" ht="15" hidden="false" customHeight="false" outlineLevel="0" collapsed="false">
      <c r="A1869" s="7" t="s">
        <v>4547</v>
      </c>
      <c r="B1869" s="7" t="s">
        <v>542</v>
      </c>
      <c r="C1869" s="7" t="s">
        <v>2390</v>
      </c>
      <c r="D1869" s="7" t="s">
        <v>475</v>
      </c>
      <c r="E1869" s="7" t="s">
        <v>151</v>
      </c>
      <c r="F1869" s="7" t="s">
        <v>128</v>
      </c>
      <c r="G1869" s="7" t="s">
        <v>95</v>
      </c>
      <c r="H1869" s="7" t="n">
        <v>1</v>
      </c>
      <c r="I1869" s="7" t="n">
        <v>195</v>
      </c>
      <c r="J1869" s="7" t="n">
        <v>0</v>
      </c>
      <c r="K1869" s="7" t="s">
        <v>88</v>
      </c>
      <c r="L1869" s="7" t="s">
        <v>194</v>
      </c>
      <c r="M1869" s="7" t="n">
        <v>44</v>
      </c>
      <c r="N1869" s="7" t="n">
        <v>3</v>
      </c>
      <c r="O1869" s="7" t="str">
        <f aca="false">A1869&amp;"|"&amp;B1869&amp;"|"&amp;C1869&amp;"|"&amp;D1869&amp;"|"&amp;E1869&amp;"|"&amp;F1869&amp;"|"&amp;G1869&amp;"|"&amp;H1869&amp;"|"&amp;I1869&amp;"|"&amp;J1869&amp;"|"&amp;K1869&amp;"|"&amp;L1869&amp;"|"&amp;M1869&amp;"|"&amp;N1869</f>
        <v>ORD12330|2025-10-21|12:42|C0757|Chettinad House|Chennai|South Indian|1|195|0|UPI|Delivered|44|3</v>
      </c>
      <c r="P1869" s="7" t="str">
        <f aca="false">IF(COUNTIF($O$2:O1869,O1869)&gt;1,"DUP","OK")</f>
        <v>OK</v>
      </c>
      <c r="Q1869" s="7" t="n">
        <f aca="false">COUNTBLANK(A1869:N1869)</f>
        <v>0</v>
      </c>
      <c r="R1869" s="7" t="n">
        <f aca="false">IF(A1869="",0,COUNTIFS($A$2:$A$3058,A1869,$P$2:$P$3058,"OK"))</f>
        <v>1</v>
      </c>
      <c r="S1869" s="7" t="str">
        <f aca="false">IF(OR(A1869="",P1869="DUP",R1869&lt;2),"",IF(Q1869=_xlfn.MINIFS($Q$2:$Q$3058,$A$2:$A$3058,A1869,$P$2:$P$3058,"OK"),"KEEP","DROP"))</f>
        <v/>
      </c>
      <c r="T1869" s="9" t="n">
        <f aca="false">IF(A1869="",1,0)</f>
        <v>0</v>
      </c>
      <c r="U1869" s="9" t="n">
        <f aca="false">IF(D1869="",1,0)</f>
        <v>0</v>
      </c>
      <c r="V1869" s="9" t="n">
        <f aca="false">IF(E1869="",1,0)</f>
        <v>0</v>
      </c>
      <c r="W1869" s="9" t="n">
        <f aca="false">IF(OR(H1869&lt;1,H1869&gt;10),1,0)</f>
        <v>0</v>
      </c>
      <c r="X1869" s="9" t="n">
        <f aca="false">IF(OR(I1869&lt;=0,I1869&gt;1500),1,0)</f>
        <v>0</v>
      </c>
      <c r="Y1869" s="9" t="n">
        <f aca="false">IF(J1869&gt;H1869*I1869,1,0)</f>
        <v>0</v>
      </c>
      <c r="Z1869" s="9" t="n">
        <f aca="false">IF(AND(N1869&lt;&gt;"",OR(N1869&lt;1,N1869&gt;5)),1,0)</f>
        <v>0</v>
      </c>
      <c r="AA1869" s="9" t="n">
        <f aca="false">IF(AND(M1869&lt;&gt;"",OR(M1869&lt;5,M1869&gt;180)),1,0)</f>
        <v>0</v>
      </c>
      <c r="AB1869" s="7" t="str">
        <f aca="false">IF(P1869="DUP","Exact duplicate row",IF(T1869=1,"Missing Order ID",IF(S1869="DROP","Duplicate Order ID (less complete row)",IF(U1869=1,"Missing Customer ID",IF(V1869=1,"Missing Restaurant name",IF(W1869=1,"Invalid/outlier quantity",IF(X1869=1,"Invalid/outlier unit price",IF(Y1869=1,"Discount greater than order value",""))))))))</f>
        <v/>
      </c>
      <c r="AC1869" s="7" t="str">
        <f aca="false">IF(AB1869="","KEEP","DROP")</f>
        <v>KEEP</v>
      </c>
      <c r="AD1869" s="7" t="str">
        <f aca="false">IF(TRIM(F1869)="",IFERROR(INDEX(Map_Tables!$I$4:$I$37,MATCH(TRIM(E1869),Map_Tables!$G$4:$G$37,0)),""),IFERROR(INDEX(Map_Tables!$B$4:$B$18,MATCH(TRIM(F1869),Map_Tables!$A$4:$A$18,0)),"CHECK"))</f>
        <v>Chennai</v>
      </c>
      <c r="AE1869" s="7" t="str">
        <f aca="false">IF(TRIM(E1869)="","",IFERROR(INDEX(Map_Tables!$H$4:$H$37,MATCH(TRIM(E1869),Map_Tables!$G$4:$G$37,0)),"CHECK"))</f>
        <v>Chettinad House</v>
      </c>
      <c r="AF1869" s="7" t="str">
        <f aca="false">IF(TRIM(K1869)="","Unknown",IFERROR(INDEX(Map_Tables!$E$4:$E$15,MATCH(TRIM(K1869),Map_Tables!$D$4:$D$15,0)),"CHECK"))</f>
        <v>UPI</v>
      </c>
      <c r="AG1869" s="7" t="str">
        <f aca="false">IF(LEFT(LOWER(TRIM(L1869)),6)="cancel","Cancelled","Delivered")</f>
        <v>Delivered</v>
      </c>
      <c r="AH1869" s="10" t="n">
        <f aca="false">IF(ISNUMBER(SEARCH("/",B1869)),DATE(VALUE(RIGHT(B1869,4)),VALUE(MID(B1869,4,2)),VALUE(LEFT(B1869,2))),IF(MID(B1869,5,1)="-",DATE(VALUE(LEFT(B1869,4)),VALUE(MID(B1869,6,2)),VALUE(RIGHT(B1869,2))),DATE(VALUE(RIGHT(B1869,4)),MATCH(MID(B1869,4,3),{"Jan","Feb","Mar","Apr","May","Jun","Jul","Aug","Sep","Oct","Nov","Dec"},0),VALUE(LEFT(B1869,2)))))</f>
        <v>45951</v>
      </c>
    </row>
    <row r="1870" customFormat="false" ht="15" hidden="false" customHeight="false" outlineLevel="0" collapsed="false">
      <c r="A1870" s="7" t="s">
        <v>4548</v>
      </c>
      <c r="B1870" s="7" t="s">
        <v>1561</v>
      </c>
      <c r="C1870" s="7" t="s">
        <v>1250</v>
      </c>
      <c r="D1870" s="7" t="s">
        <v>4549</v>
      </c>
      <c r="E1870" s="7" t="s">
        <v>157</v>
      </c>
      <c r="F1870" s="7" t="s">
        <v>136</v>
      </c>
      <c r="G1870" s="7" t="s">
        <v>117</v>
      </c>
      <c r="H1870" s="7" t="n">
        <v>1</v>
      </c>
      <c r="I1870" s="7" t="n">
        <v>125</v>
      </c>
      <c r="J1870" s="7" t="n">
        <v>40</v>
      </c>
      <c r="K1870" s="7" t="s">
        <v>103</v>
      </c>
      <c r="L1870" s="7" t="s">
        <v>194</v>
      </c>
      <c r="M1870" s="7" t="n">
        <v>33</v>
      </c>
      <c r="N1870" s="7" t="n">
        <v>2</v>
      </c>
      <c r="O1870" s="7" t="str">
        <f aca="false">A1870&amp;"|"&amp;B1870&amp;"|"&amp;C1870&amp;"|"&amp;D1870&amp;"|"&amp;E1870&amp;"|"&amp;F1870&amp;"|"&amp;G1870&amp;"|"&amp;H1870&amp;"|"&amp;I1870&amp;"|"&amp;J1870&amp;"|"&amp;K1870&amp;"|"&amp;L1870&amp;"|"&amp;M1870&amp;"|"&amp;N1870</f>
        <v>ORD11728|2025-08-15|12:02|C0336|Misal Mantra|Pune|Street Food|1|125|40|Debit Card|Delivered|33|2</v>
      </c>
      <c r="P1870" s="7" t="str">
        <f aca="false">IF(COUNTIF($O$2:O1870,O1870)&gt;1,"DUP","OK")</f>
        <v>OK</v>
      </c>
      <c r="Q1870" s="7" t="n">
        <f aca="false">COUNTBLANK(A1870:N1870)</f>
        <v>0</v>
      </c>
      <c r="R1870" s="7" t="n">
        <f aca="false">IF(A1870="",0,COUNTIFS($A$2:$A$3058,A1870,$P$2:$P$3058,"OK"))</f>
        <v>1</v>
      </c>
      <c r="S1870" s="7" t="str">
        <f aca="false">IF(OR(A1870="",P1870="DUP",R1870&lt;2),"",IF(Q1870=_xlfn.MINIFS($Q$2:$Q$3058,$A$2:$A$3058,A1870,$P$2:$P$3058,"OK"),"KEEP","DROP"))</f>
        <v/>
      </c>
      <c r="T1870" s="9" t="n">
        <f aca="false">IF(A1870="",1,0)</f>
        <v>0</v>
      </c>
      <c r="U1870" s="9" t="n">
        <f aca="false">IF(D1870="",1,0)</f>
        <v>0</v>
      </c>
      <c r="V1870" s="9" t="n">
        <f aca="false">IF(E1870="",1,0)</f>
        <v>0</v>
      </c>
      <c r="W1870" s="9" t="n">
        <f aca="false">IF(OR(H1870&lt;1,H1870&gt;10),1,0)</f>
        <v>0</v>
      </c>
      <c r="X1870" s="9" t="n">
        <f aca="false">IF(OR(I1870&lt;=0,I1870&gt;1500),1,0)</f>
        <v>0</v>
      </c>
      <c r="Y1870" s="9" t="n">
        <f aca="false">IF(J1870&gt;H1870*I1870,1,0)</f>
        <v>0</v>
      </c>
      <c r="Z1870" s="9" t="n">
        <f aca="false">IF(AND(N1870&lt;&gt;"",OR(N1870&lt;1,N1870&gt;5)),1,0)</f>
        <v>0</v>
      </c>
      <c r="AA1870" s="9" t="n">
        <f aca="false">IF(AND(M1870&lt;&gt;"",OR(M1870&lt;5,M1870&gt;180)),1,0)</f>
        <v>0</v>
      </c>
      <c r="AB1870" s="7" t="str">
        <f aca="false">IF(P1870="DUP","Exact duplicate row",IF(T1870=1,"Missing Order ID",IF(S1870="DROP","Duplicate Order ID (less complete row)",IF(U1870=1,"Missing Customer ID",IF(V1870=1,"Missing Restaurant name",IF(W1870=1,"Invalid/outlier quantity",IF(X1870=1,"Invalid/outlier unit price",IF(Y1870=1,"Discount greater than order value",""))))))))</f>
        <v/>
      </c>
      <c r="AC1870" s="7" t="str">
        <f aca="false">IF(AB1870="","KEEP","DROP")</f>
        <v>KEEP</v>
      </c>
      <c r="AD1870" s="7" t="str">
        <f aca="false">IF(TRIM(F1870)="",IFERROR(INDEX(Map_Tables!$I$4:$I$37,MATCH(TRIM(E1870),Map_Tables!$G$4:$G$37,0)),""),IFERROR(INDEX(Map_Tables!$B$4:$B$18,MATCH(TRIM(F1870),Map_Tables!$A$4:$A$18,0)),"CHECK"))</f>
        <v>Pune</v>
      </c>
      <c r="AE1870" s="7" t="str">
        <f aca="false">IF(TRIM(E1870)="","",IFERROR(INDEX(Map_Tables!$H$4:$H$37,MATCH(TRIM(E1870),Map_Tables!$G$4:$G$37,0)),"CHECK"))</f>
        <v>Misal Mantra</v>
      </c>
      <c r="AF1870" s="7" t="str">
        <f aca="false">IF(TRIM(K1870)="","Unknown",IFERROR(INDEX(Map_Tables!$E$4:$E$15,MATCH(TRIM(K1870),Map_Tables!$D$4:$D$15,0)),"CHECK"))</f>
        <v>Debit Card</v>
      </c>
      <c r="AG1870" s="7" t="str">
        <f aca="false">IF(LEFT(LOWER(TRIM(L1870)),6)="cancel","Cancelled","Delivered")</f>
        <v>Delivered</v>
      </c>
      <c r="AH1870" s="10" t="n">
        <f aca="false">IF(ISNUMBER(SEARCH("/",B1870)),DATE(VALUE(RIGHT(B1870,4)),VALUE(MID(B1870,4,2)),VALUE(LEFT(B1870,2))),IF(MID(B1870,5,1)="-",DATE(VALUE(LEFT(B1870,4)),VALUE(MID(B1870,6,2)),VALUE(RIGHT(B1870,2))),DATE(VALUE(RIGHT(B1870,4)),MATCH(MID(B1870,4,3),{"Jan","Feb","Mar","Apr","May","Jun","Jul","Aug","Sep","Oct","Nov","Dec"},0),VALUE(LEFT(B1870,2)))))</f>
        <v>45884</v>
      </c>
    </row>
    <row r="1871" customFormat="false" ht="15" hidden="false" customHeight="false" outlineLevel="0" collapsed="false">
      <c r="A1871" s="7" t="s">
        <v>4550</v>
      </c>
      <c r="B1871" s="7" t="s">
        <v>2333</v>
      </c>
      <c r="C1871" s="7" t="s">
        <v>3378</v>
      </c>
      <c r="D1871" s="7" t="s">
        <v>4551</v>
      </c>
      <c r="E1871" s="7" t="s">
        <v>157</v>
      </c>
      <c r="F1871" s="7" t="s">
        <v>136</v>
      </c>
      <c r="G1871" s="7" t="s">
        <v>117</v>
      </c>
      <c r="H1871" s="7" t="n">
        <v>1</v>
      </c>
      <c r="I1871" s="7" t="n">
        <v>135</v>
      </c>
      <c r="J1871" s="7" t="n">
        <v>0</v>
      </c>
      <c r="K1871" s="7" t="s">
        <v>2596</v>
      </c>
      <c r="L1871" s="7" t="s">
        <v>238</v>
      </c>
      <c r="M1871" s="7"/>
      <c r="N1871" s="7"/>
      <c r="O1871" s="7" t="str">
        <f aca="false">A1871&amp;"|"&amp;B1871&amp;"|"&amp;C1871&amp;"|"&amp;D1871&amp;"|"&amp;E1871&amp;"|"&amp;F1871&amp;"|"&amp;G1871&amp;"|"&amp;H1871&amp;"|"&amp;I1871&amp;"|"&amp;J1871&amp;"|"&amp;K1871&amp;"|"&amp;L1871&amp;"|"&amp;M1871&amp;"|"&amp;N1871</f>
        <v>ORD11173|2025-05-29|13:41|C0908|Misal Mantra|Pune|Street Food|1|135|0|COD|Cancelled||</v>
      </c>
      <c r="P1871" s="7" t="str">
        <f aca="false">IF(COUNTIF($O$2:O1871,O1871)&gt;1,"DUP","OK")</f>
        <v>OK</v>
      </c>
      <c r="Q1871" s="7" t="n">
        <f aca="false">COUNTBLANK(A1871:N1871)</f>
        <v>2</v>
      </c>
      <c r="R1871" s="7" t="n">
        <f aca="false">IF(A1871="",0,COUNTIFS($A$2:$A$3058,A1871,$P$2:$P$3058,"OK"))</f>
        <v>1</v>
      </c>
      <c r="S1871" s="7" t="str">
        <f aca="false">IF(OR(A1871="",P1871="DUP",R1871&lt;2),"",IF(Q1871=_xlfn.MINIFS($Q$2:$Q$3058,$A$2:$A$3058,A1871,$P$2:$P$3058,"OK"),"KEEP","DROP"))</f>
        <v/>
      </c>
      <c r="T1871" s="9" t="n">
        <f aca="false">IF(A1871="",1,0)</f>
        <v>0</v>
      </c>
      <c r="U1871" s="9" t="n">
        <f aca="false">IF(D1871="",1,0)</f>
        <v>0</v>
      </c>
      <c r="V1871" s="9" t="n">
        <f aca="false">IF(E1871="",1,0)</f>
        <v>0</v>
      </c>
      <c r="W1871" s="9" t="n">
        <f aca="false">IF(OR(H1871&lt;1,H1871&gt;10),1,0)</f>
        <v>0</v>
      </c>
      <c r="X1871" s="9" t="n">
        <f aca="false">IF(OR(I1871&lt;=0,I1871&gt;1500),1,0)</f>
        <v>0</v>
      </c>
      <c r="Y1871" s="9" t="n">
        <f aca="false">IF(J1871&gt;H1871*I1871,1,0)</f>
        <v>0</v>
      </c>
      <c r="Z1871" s="9" t="n">
        <f aca="false">IF(AND(N1871&lt;&gt;"",OR(N1871&lt;1,N1871&gt;5)),1,0)</f>
        <v>0</v>
      </c>
      <c r="AA1871" s="9" t="n">
        <f aca="false">IF(AND(M1871&lt;&gt;"",OR(M1871&lt;5,M1871&gt;180)),1,0)</f>
        <v>0</v>
      </c>
      <c r="AB1871" s="7" t="str">
        <f aca="false">IF(P1871="DUP","Exact duplicate row",IF(T1871=1,"Missing Order ID",IF(S1871="DROP","Duplicate Order ID (less complete row)",IF(U1871=1,"Missing Customer ID",IF(V1871=1,"Missing Restaurant name",IF(W1871=1,"Invalid/outlier quantity",IF(X1871=1,"Invalid/outlier unit price",IF(Y1871=1,"Discount greater than order value",""))))))))</f>
        <v/>
      </c>
      <c r="AC1871" s="7" t="str">
        <f aca="false">IF(AB1871="","KEEP","DROP")</f>
        <v>KEEP</v>
      </c>
      <c r="AD1871" s="7" t="str">
        <f aca="false">IF(TRIM(F1871)="",IFERROR(INDEX(Map_Tables!$I$4:$I$37,MATCH(TRIM(E1871),Map_Tables!$G$4:$G$37,0)),""),IFERROR(INDEX(Map_Tables!$B$4:$B$18,MATCH(TRIM(F1871),Map_Tables!$A$4:$A$18,0)),"CHECK"))</f>
        <v>Pune</v>
      </c>
      <c r="AE1871" s="7" t="str">
        <f aca="false">IF(TRIM(E1871)="","",IFERROR(INDEX(Map_Tables!$H$4:$H$37,MATCH(TRIM(E1871),Map_Tables!$G$4:$G$37,0)),"CHECK"))</f>
        <v>Misal Mantra</v>
      </c>
      <c r="AF1871" s="7" t="str">
        <f aca="false">IF(TRIM(K1871)="","Unknown",IFERROR(INDEX(Map_Tables!$E$4:$E$15,MATCH(TRIM(K1871),Map_Tables!$D$4:$D$15,0)),"CHECK"))</f>
        <v>Cash on Delivery</v>
      </c>
      <c r="AG1871" s="7" t="str">
        <f aca="false">IF(LEFT(LOWER(TRIM(L1871)),6)="cancel","Cancelled","Delivered")</f>
        <v>Cancelled</v>
      </c>
      <c r="AH1871" s="10" t="n">
        <f aca="false">IF(ISNUMBER(SEARCH("/",B1871)),DATE(VALUE(RIGHT(B1871,4)),VALUE(MID(B1871,4,2)),VALUE(LEFT(B1871,2))),IF(MID(B1871,5,1)="-",DATE(VALUE(LEFT(B1871,4)),VALUE(MID(B1871,6,2)),VALUE(RIGHT(B1871,2))),DATE(VALUE(RIGHT(B1871,4)),MATCH(MID(B1871,4,3),{"Jan","Feb","Mar","Apr","May","Jun","Jul","Aug","Sep","Oct","Nov","Dec"},0),VALUE(LEFT(B1871,2)))))</f>
        <v>45806</v>
      </c>
    </row>
    <row r="1872" customFormat="false" ht="15" hidden="false" customHeight="false" outlineLevel="0" collapsed="false">
      <c r="A1872" s="7" t="s">
        <v>4552</v>
      </c>
      <c r="B1872" s="7" t="s">
        <v>2795</v>
      </c>
      <c r="C1872" s="7" t="s">
        <v>2398</v>
      </c>
      <c r="D1872" s="7" t="s">
        <v>2477</v>
      </c>
      <c r="E1872" s="7" t="s">
        <v>134</v>
      </c>
      <c r="F1872" s="7" t="s">
        <v>110</v>
      </c>
      <c r="G1872" s="7" t="s">
        <v>117</v>
      </c>
      <c r="H1872" s="7" t="n">
        <v>4</v>
      </c>
      <c r="I1872" s="7" t="n">
        <v>105</v>
      </c>
      <c r="J1872" s="7" t="n">
        <v>20</v>
      </c>
      <c r="K1872" s="7" t="s">
        <v>88</v>
      </c>
      <c r="L1872" s="7" t="s">
        <v>194</v>
      </c>
      <c r="M1872" s="7" t="n">
        <v>48</v>
      </c>
      <c r="N1872" s="7" t="n">
        <v>5</v>
      </c>
      <c r="O1872" s="7" t="str">
        <f aca="false">A1872&amp;"|"&amp;B1872&amp;"|"&amp;C1872&amp;"|"&amp;D1872&amp;"|"&amp;E1872&amp;"|"&amp;F1872&amp;"|"&amp;G1872&amp;"|"&amp;H1872&amp;"|"&amp;I1872&amp;"|"&amp;J1872&amp;"|"&amp;K1872&amp;"|"&amp;L1872&amp;"|"&amp;M1872&amp;"|"&amp;N1872</f>
        <v>ORD12049|2025-09-22|12:14|C0825|Chaat Corner|Delhi|Street Food|4|105|20|UPI|Delivered|48|5</v>
      </c>
      <c r="P1872" s="7" t="str">
        <f aca="false">IF(COUNTIF($O$2:O1872,O1872)&gt;1,"DUP","OK")</f>
        <v>OK</v>
      </c>
      <c r="Q1872" s="7" t="n">
        <f aca="false">COUNTBLANK(A1872:N1872)</f>
        <v>0</v>
      </c>
      <c r="R1872" s="7" t="n">
        <f aca="false">IF(A1872="",0,COUNTIFS($A$2:$A$3058,A1872,$P$2:$P$3058,"OK"))</f>
        <v>1</v>
      </c>
      <c r="S1872" s="7" t="str">
        <f aca="false">IF(OR(A1872="",P1872="DUP",R1872&lt;2),"",IF(Q1872=_xlfn.MINIFS($Q$2:$Q$3058,$A$2:$A$3058,A1872,$P$2:$P$3058,"OK"),"KEEP","DROP"))</f>
        <v/>
      </c>
      <c r="T1872" s="9" t="n">
        <f aca="false">IF(A1872="",1,0)</f>
        <v>0</v>
      </c>
      <c r="U1872" s="9" t="n">
        <f aca="false">IF(D1872="",1,0)</f>
        <v>0</v>
      </c>
      <c r="V1872" s="9" t="n">
        <f aca="false">IF(E1872="",1,0)</f>
        <v>0</v>
      </c>
      <c r="W1872" s="9" t="n">
        <f aca="false">IF(OR(H1872&lt;1,H1872&gt;10),1,0)</f>
        <v>0</v>
      </c>
      <c r="X1872" s="9" t="n">
        <f aca="false">IF(OR(I1872&lt;=0,I1872&gt;1500),1,0)</f>
        <v>0</v>
      </c>
      <c r="Y1872" s="9" t="n">
        <f aca="false">IF(J1872&gt;H1872*I1872,1,0)</f>
        <v>0</v>
      </c>
      <c r="Z1872" s="9" t="n">
        <f aca="false">IF(AND(N1872&lt;&gt;"",OR(N1872&lt;1,N1872&gt;5)),1,0)</f>
        <v>0</v>
      </c>
      <c r="AA1872" s="9" t="n">
        <f aca="false">IF(AND(M1872&lt;&gt;"",OR(M1872&lt;5,M1872&gt;180)),1,0)</f>
        <v>0</v>
      </c>
      <c r="AB1872" s="7" t="str">
        <f aca="false">IF(P1872="DUP","Exact duplicate row",IF(T1872=1,"Missing Order ID",IF(S1872="DROP","Duplicate Order ID (less complete row)",IF(U1872=1,"Missing Customer ID",IF(V1872=1,"Missing Restaurant name",IF(W1872=1,"Invalid/outlier quantity",IF(X1872=1,"Invalid/outlier unit price",IF(Y1872=1,"Discount greater than order value",""))))))))</f>
        <v/>
      </c>
      <c r="AC1872" s="7" t="str">
        <f aca="false">IF(AB1872="","KEEP","DROP")</f>
        <v>KEEP</v>
      </c>
      <c r="AD1872" s="7" t="str">
        <f aca="false">IF(TRIM(F1872)="",IFERROR(INDEX(Map_Tables!$I$4:$I$37,MATCH(TRIM(E1872),Map_Tables!$G$4:$G$37,0)),""),IFERROR(INDEX(Map_Tables!$B$4:$B$18,MATCH(TRIM(F1872),Map_Tables!$A$4:$A$18,0)),"CHECK"))</f>
        <v>Delhi</v>
      </c>
      <c r="AE1872" s="7" t="str">
        <f aca="false">IF(TRIM(E1872)="","",IFERROR(INDEX(Map_Tables!$H$4:$H$37,MATCH(TRIM(E1872),Map_Tables!$G$4:$G$37,0)),"CHECK"))</f>
        <v>Chaat Corner</v>
      </c>
      <c r="AF1872" s="7" t="str">
        <f aca="false">IF(TRIM(K1872)="","Unknown",IFERROR(INDEX(Map_Tables!$E$4:$E$15,MATCH(TRIM(K1872),Map_Tables!$D$4:$D$15,0)),"CHECK"))</f>
        <v>UPI</v>
      </c>
      <c r="AG1872" s="7" t="str">
        <f aca="false">IF(LEFT(LOWER(TRIM(L1872)),6)="cancel","Cancelled","Delivered")</f>
        <v>Delivered</v>
      </c>
      <c r="AH1872" s="10" t="n">
        <f aca="false">IF(ISNUMBER(SEARCH("/",B1872)),DATE(VALUE(RIGHT(B1872,4)),VALUE(MID(B1872,4,2)),VALUE(LEFT(B1872,2))),IF(MID(B1872,5,1)="-",DATE(VALUE(LEFT(B1872,4)),VALUE(MID(B1872,6,2)),VALUE(RIGHT(B1872,2))),DATE(VALUE(RIGHT(B1872,4)),MATCH(MID(B1872,4,3),{"Jan","Feb","Mar","Apr","May","Jun","Jul","Aug","Sep","Oct","Nov","Dec"},0),VALUE(LEFT(B1872,2)))))</f>
        <v>45922</v>
      </c>
    </row>
    <row r="1873" customFormat="false" ht="15" hidden="false" customHeight="false" outlineLevel="0" collapsed="false">
      <c r="A1873" s="7" t="s">
        <v>4553</v>
      </c>
      <c r="B1873" s="7" t="s">
        <v>739</v>
      </c>
      <c r="C1873" s="7" t="s">
        <v>1985</v>
      </c>
      <c r="D1873" s="7" t="s">
        <v>843</v>
      </c>
      <c r="E1873" s="7" t="s">
        <v>113</v>
      </c>
      <c r="F1873" s="7" t="s">
        <v>101</v>
      </c>
      <c r="G1873" s="7" t="s">
        <v>90</v>
      </c>
      <c r="H1873" s="7" t="n">
        <v>5</v>
      </c>
      <c r="I1873" s="7" t="n">
        <v>195</v>
      </c>
      <c r="J1873" s="7" t="n">
        <v>0</v>
      </c>
      <c r="K1873" s="7" t="s">
        <v>229</v>
      </c>
      <c r="L1873" s="7" t="s">
        <v>238</v>
      </c>
      <c r="M1873" s="7"/>
      <c r="N1873" s="7"/>
      <c r="O1873" s="7" t="str">
        <f aca="false">A1873&amp;"|"&amp;B1873&amp;"|"&amp;C1873&amp;"|"&amp;D1873&amp;"|"&amp;E1873&amp;"|"&amp;F1873&amp;"|"&amp;G1873&amp;"|"&amp;H1873&amp;"|"&amp;I1873&amp;"|"&amp;J1873&amp;"|"&amp;K1873&amp;"|"&amp;L1873&amp;"|"&amp;M1873&amp;"|"&amp;N1873</f>
        <v>ORD10801|2025-04-11|21:55|C0923|Curry Leaf Kitchen|Mumbai|North Indian|5|195|0|Upi|Cancelled||</v>
      </c>
      <c r="P1873" s="7" t="str">
        <f aca="false">IF(COUNTIF($O$2:O1873,O1873)&gt;1,"DUP","OK")</f>
        <v>OK</v>
      </c>
      <c r="Q1873" s="7" t="n">
        <f aca="false">COUNTBLANK(A1873:N1873)</f>
        <v>2</v>
      </c>
      <c r="R1873" s="7" t="n">
        <f aca="false">IF(A1873="",0,COUNTIFS($A$2:$A$3058,A1873,$P$2:$P$3058,"OK"))</f>
        <v>1</v>
      </c>
      <c r="S1873" s="7" t="str">
        <f aca="false">IF(OR(A1873="",P1873="DUP",R1873&lt;2),"",IF(Q1873=_xlfn.MINIFS($Q$2:$Q$3058,$A$2:$A$3058,A1873,$P$2:$P$3058,"OK"),"KEEP","DROP"))</f>
        <v/>
      </c>
      <c r="T1873" s="9" t="n">
        <f aca="false">IF(A1873="",1,0)</f>
        <v>0</v>
      </c>
      <c r="U1873" s="9" t="n">
        <f aca="false">IF(D1873="",1,0)</f>
        <v>0</v>
      </c>
      <c r="V1873" s="9" t="n">
        <f aca="false">IF(E1873="",1,0)</f>
        <v>0</v>
      </c>
      <c r="W1873" s="9" t="n">
        <f aca="false">IF(OR(H1873&lt;1,H1873&gt;10),1,0)</f>
        <v>0</v>
      </c>
      <c r="X1873" s="9" t="n">
        <f aca="false">IF(OR(I1873&lt;=0,I1873&gt;1500),1,0)</f>
        <v>0</v>
      </c>
      <c r="Y1873" s="9" t="n">
        <f aca="false">IF(J1873&gt;H1873*I1873,1,0)</f>
        <v>0</v>
      </c>
      <c r="Z1873" s="9" t="n">
        <f aca="false">IF(AND(N1873&lt;&gt;"",OR(N1873&lt;1,N1873&gt;5)),1,0)</f>
        <v>0</v>
      </c>
      <c r="AA1873" s="9" t="n">
        <f aca="false">IF(AND(M1873&lt;&gt;"",OR(M1873&lt;5,M1873&gt;180)),1,0)</f>
        <v>0</v>
      </c>
      <c r="AB1873" s="7" t="str">
        <f aca="false">IF(P1873="DUP","Exact duplicate row",IF(T1873=1,"Missing Order ID",IF(S1873="DROP","Duplicate Order ID (less complete row)",IF(U1873=1,"Missing Customer ID",IF(V1873=1,"Missing Restaurant name",IF(W1873=1,"Invalid/outlier quantity",IF(X1873=1,"Invalid/outlier unit price",IF(Y1873=1,"Discount greater than order value",""))))))))</f>
        <v/>
      </c>
      <c r="AC1873" s="7" t="str">
        <f aca="false">IF(AB1873="","KEEP","DROP")</f>
        <v>KEEP</v>
      </c>
      <c r="AD1873" s="7" t="str">
        <f aca="false">IF(TRIM(F1873)="",IFERROR(INDEX(Map_Tables!$I$4:$I$37,MATCH(TRIM(E1873),Map_Tables!$G$4:$G$37,0)),""),IFERROR(INDEX(Map_Tables!$B$4:$B$18,MATCH(TRIM(F1873),Map_Tables!$A$4:$A$18,0)),"CHECK"))</f>
        <v>Mumbai</v>
      </c>
      <c r="AE1873" s="7" t="str">
        <f aca="false">IF(TRIM(E1873)="","",IFERROR(INDEX(Map_Tables!$H$4:$H$37,MATCH(TRIM(E1873),Map_Tables!$G$4:$G$37,0)),"CHECK"))</f>
        <v>Curry Leaf Kitchen</v>
      </c>
      <c r="AF1873" s="7" t="str">
        <f aca="false">IF(TRIM(K1873)="","Unknown",IFERROR(INDEX(Map_Tables!$E$4:$E$15,MATCH(TRIM(K1873),Map_Tables!$D$4:$D$15,0)),"CHECK"))</f>
        <v>UPI</v>
      </c>
      <c r="AG1873" s="7" t="str">
        <f aca="false">IF(LEFT(LOWER(TRIM(L1873)),6)="cancel","Cancelled","Delivered")</f>
        <v>Cancelled</v>
      </c>
      <c r="AH1873" s="10" t="n">
        <f aca="false">IF(ISNUMBER(SEARCH("/",B1873)),DATE(VALUE(RIGHT(B1873,4)),VALUE(MID(B1873,4,2)),VALUE(LEFT(B1873,2))),IF(MID(B1873,5,1)="-",DATE(VALUE(LEFT(B1873,4)),VALUE(MID(B1873,6,2)),VALUE(RIGHT(B1873,2))),DATE(VALUE(RIGHT(B1873,4)),MATCH(MID(B1873,4,3),{"Jan","Feb","Mar","Apr","May","Jun","Jul","Aug","Sep","Oct","Nov","Dec"},0),VALUE(LEFT(B1873,2)))))</f>
        <v>45758</v>
      </c>
    </row>
    <row r="1874" customFormat="false" ht="15" hidden="false" customHeight="false" outlineLevel="0" collapsed="false">
      <c r="A1874" s="7" t="s">
        <v>4554</v>
      </c>
      <c r="B1874" s="7" t="s">
        <v>984</v>
      </c>
      <c r="C1874" s="7" t="s">
        <v>3005</v>
      </c>
      <c r="D1874" s="7" t="s">
        <v>3471</v>
      </c>
      <c r="E1874" s="7" t="s">
        <v>165</v>
      </c>
      <c r="F1874" s="7" t="s">
        <v>146</v>
      </c>
      <c r="G1874" s="7" t="s">
        <v>90</v>
      </c>
      <c r="H1874" s="7" t="n">
        <v>1</v>
      </c>
      <c r="I1874" s="7" t="n">
        <v>195</v>
      </c>
      <c r="J1874" s="7" t="n">
        <v>0</v>
      </c>
      <c r="K1874" s="7"/>
      <c r="L1874" s="7" t="s">
        <v>194</v>
      </c>
      <c r="M1874" s="7" t="n">
        <v>48</v>
      </c>
      <c r="N1874" s="7" t="n">
        <v>4</v>
      </c>
      <c r="O1874" s="7" t="str">
        <f aca="false">A1874&amp;"|"&amp;B1874&amp;"|"&amp;C1874&amp;"|"&amp;D1874&amp;"|"&amp;E1874&amp;"|"&amp;F1874&amp;"|"&amp;G1874&amp;"|"&amp;H1874&amp;"|"&amp;I1874&amp;"|"&amp;J1874&amp;"|"&amp;K1874&amp;"|"&amp;L1874&amp;"|"&amp;M1874&amp;"|"&amp;N1874</f>
        <v>ORD10618|2025-03-19|18:19|C0614|Gujarati Thali Ghar|Ahmedabad|North Indian|1|195|0||Delivered|48|4</v>
      </c>
      <c r="P1874" s="7" t="str">
        <f aca="false">IF(COUNTIF($O$2:O1874,O1874)&gt;1,"DUP","OK")</f>
        <v>OK</v>
      </c>
      <c r="Q1874" s="7" t="n">
        <f aca="false">COUNTBLANK(A1874:N1874)</f>
        <v>1</v>
      </c>
      <c r="R1874" s="7" t="n">
        <f aca="false">IF(A1874="",0,COUNTIFS($A$2:$A$3058,A1874,$P$2:$P$3058,"OK"))</f>
        <v>1</v>
      </c>
      <c r="S1874" s="7" t="str">
        <f aca="false">IF(OR(A1874="",P1874="DUP",R1874&lt;2),"",IF(Q1874=_xlfn.MINIFS($Q$2:$Q$3058,$A$2:$A$3058,A1874,$P$2:$P$3058,"OK"),"KEEP","DROP"))</f>
        <v/>
      </c>
      <c r="T1874" s="9" t="n">
        <f aca="false">IF(A1874="",1,0)</f>
        <v>0</v>
      </c>
      <c r="U1874" s="9" t="n">
        <f aca="false">IF(D1874="",1,0)</f>
        <v>0</v>
      </c>
      <c r="V1874" s="9" t="n">
        <f aca="false">IF(E1874="",1,0)</f>
        <v>0</v>
      </c>
      <c r="W1874" s="9" t="n">
        <f aca="false">IF(OR(H1874&lt;1,H1874&gt;10),1,0)</f>
        <v>0</v>
      </c>
      <c r="X1874" s="9" t="n">
        <f aca="false">IF(OR(I1874&lt;=0,I1874&gt;1500),1,0)</f>
        <v>0</v>
      </c>
      <c r="Y1874" s="9" t="n">
        <f aca="false">IF(J1874&gt;H1874*I1874,1,0)</f>
        <v>0</v>
      </c>
      <c r="Z1874" s="9" t="n">
        <f aca="false">IF(AND(N1874&lt;&gt;"",OR(N1874&lt;1,N1874&gt;5)),1,0)</f>
        <v>0</v>
      </c>
      <c r="AA1874" s="9" t="n">
        <f aca="false">IF(AND(M1874&lt;&gt;"",OR(M1874&lt;5,M1874&gt;180)),1,0)</f>
        <v>0</v>
      </c>
      <c r="AB1874" s="7" t="str">
        <f aca="false">IF(P1874="DUP","Exact duplicate row",IF(T1874=1,"Missing Order ID",IF(S1874="DROP","Duplicate Order ID (less complete row)",IF(U1874=1,"Missing Customer ID",IF(V1874=1,"Missing Restaurant name",IF(W1874=1,"Invalid/outlier quantity",IF(X1874=1,"Invalid/outlier unit price",IF(Y1874=1,"Discount greater than order value",""))))))))</f>
        <v/>
      </c>
      <c r="AC1874" s="7" t="str">
        <f aca="false">IF(AB1874="","KEEP","DROP")</f>
        <v>KEEP</v>
      </c>
      <c r="AD1874" s="7" t="str">
        <f aca="false">IF(TRIM(F1874)="",IFERROR(INDEX(Map_Tables!$I$4:$I$37,MATCH(TRIM(E1874),Map_Tables!$G$4:$G$37,0)),""),IFERROR(INDEX(Map_Tables!$B$4:$B$18,MATCH(TRIM(F1874),Map_Tables!$A$4:$A$18,0)),"CHECK"))</f>
        <v>Ahmedabad</v>
      </c>
      <c r="AE1874" s="7" t="str">
        <f aca="false">IF(TRIM(E1874)="","",IFERROR(INDEX(Map_Tables!$H$4:$H$37,MATCH(TRIM(E1874),Map_Tables!$G$4:$G$37,0)),"CHECK"))</f>
        <v>Gujarati Thali Ghar</v>
      </c>
      <c r="AF1874" s="7" t="str">
        <f aca="false">IF(TRIM(K1874)="","Unknown",IFERROR(INDEX(Map_Tables!$E$4:$E$15,MATCH(TRIM(K1874),Map_Tables!$D$4:$D$15,0)),"CHECK"))</f>
        <v>Unknown</v>
      </c>
      <c r="AG1874" s="7" t="str">
        <f aca="false">IF(LEFT(LOWER(TRIM(L1874)),6)="cancel","Cancelled","Delivered")</f>
        <v>Delivered</v>
      </c>
      <c r="AH1874" s="10" t="n">
        <f aca="false">IF(ISNUMBER(SEARCH("/",B1874)),DATE(VALUE(RIGHT(B1874,4)),VALUE(MID(B1874,4,2)),VALUE(LEFT(B1874,2))),IF(MID(B1874,5,1)="-",DATE(VALUE(LEFT(B1874,4)),VALUE(MID(B1874,6,2)),VALUE(RIGHT(B1874,2))),DATE(VALUE(RIGHT(B1874,4)),MATCH(MID(B1874,4,3),{"Jan","Feb","Mar","Apr","May","Jun","Jul","Aug","Sep","Oct","Nov","Dec"},0),VALUE(LEFT(B1874,2)))))</f>
        <v>45735</v>
      </c>
    </row>
    <row r="1875" customFormat="false" ht="15" hidden="false" customHeight="false" outlineLevel="0" collapsed="false">
      <c r="A1875" s="7" t="s">
        <v>4555</v>
      </c>
      <c r="B1875" s="7" t="s">
        <v>4556</v>
      </c>
      <c r="C1875" s="7" t="s">
        <v>1449</v>
      </c>
      <c r="D1875" s="7" t="s">
        <v>4557</v>
      </c>
      <c r="E1875" s="7" t="s">
        <v>138</v>
      </c>
      <c r="F1875" s="7" t="s">
        <v>110</v>
      </c>
      <c r="G1875" s="7" t="s">
        <v>139</v>
      </c>
      <c r="H1875" s="7" t="n">
        <v>1</v>
      </c>
      <c r="I1875" s="7" t="n">
        <v>155</v>
      </c>
      <c r="J1875" s="7" t="n">
        <v>30</v>
      </c>
      <c r="K1875" s="7" t="s">
        <v>88</v>
      </c>
      <c r="L1875" s="7" t="s">
        <v>194</v>
      </c>
      <c r="M1875" s="7" t="n">
        <v>38</v>
      </c>
      <c r="N1875" s="7" t="n">
        <v>3</v>
      </c>
      <c r="O1875" s="7" t="str">
        <f aca="false">A1875&amp;"|"&amp;B1875&amp;"|"&amp;C1875&amp;"|"&amp;D1875&amp;"|"&amp;E1875&amp;"|"&amp;F1875&amp;"|"&amp;G1875&amp;"|"&amp;H1875&amp;"|"&amp;I1875&amp;"|"&amp;J1875&amp;"|"&amp;K1875&amp;"|"&amp;L1875&amp;"|"&amp;M1875&amp;"|"&amp;N1875</f>
        <v>ORD12034|20/09/2025|11:58|C0954|Burger Barn|Delhi|Burgers|1|155|30|UPI|Delivered|38|3</v>
      </c>
      <c r="P1875" s="7" t="str">
        <f aca="false">IF(COUNTIF($O$2:O1875,O1875)&gt;1,"DUP","OK")</f>
        <v>OK</v>
      </c>
      <c r="Q1875" s="7" t="n">
        <f aca="false">COUNTBLANK(A1875:N1875)</f>
        <v>0</v>
      </c>
      <c r="R1875" s="7" t="n">
        <f aca="false">IF(A1875="",0,COUNTIFS($A$2:$A$3058,A1875,$P$2:$P$3058,"OK"))</f>
        <v>1</v>
      </c>
      <c r="S1875" s="7" t="str">
        <f aca="false">IF(OR(A1875="",P1875="DUP",R1875&lt;2),"",IF(Q1875=_xlfn.MINIFS($Q$2:$Q$3058,$A$2:$A$3058,A1875,$P$2:$P$3058,"OK"),"KEEP","DROP"))</f>
        <v/>
      </c>
      <c r="T1875" s="9" t="n">
        <f aca="false">IF(A1875="",1,0)</f>
        <v>0</v>
      </c>
      <c r="U1875" s="9" t="n">
        <f aca="false">IF(D1875="",1,0)</f>
        <v>0</v>
      </c>
      <c r="V1875" s="9" t="n">
        <f aca="false">IF(E1875="",1,0)</f>
        <v>0</v>
      </c>
      <c r="W1875" s="9" t="n">
        <f aca="false">IF(OR(H1875&lt;1,H1875&gt;10),1,0)</f>
        <v>0</v>
      </c>
      <c r="X1875" s="9" t="n">
        <f aca="false">IF(OR(I1875&lt;=0,I1875&gt;1500),1,0)</f>
        <v>0</v>
      </c>
      <c r="Y1875" s="9" t="n">
        <f aca="false">IF(J1875&gt;H1875*I1875,1,0)</f>
        <v>0</v>
      </c>
      <c r="Z1875" s="9" t="n">
        <f aca="false">IF(AND(N1875&lt;&gt;"",OR(N1875&lt;1,N1875&gt;5)),1,0)</f>
        <v>0</v>
      </c>
      <c r="AA1875" s="9" t="n">
        <f aca="false">IF(AND(M1875&lt;&gt;"",OR(M1875&lt;5,M1875&gt;180)),1,0)</f>
        <v>0</v>
      </c>
      <c r="AB1875" s="7" t="str">
        <f aca="false">IF(P1875="DUP","Exact duplicate row",IF(T1875=1,"Missing Order ID",IF(S1875="DROP","Duplicate Order ID (less complete row)",IF(U1875=1,"Missing Customer ID",IF(V1875=1,"Missing Restaurant name",IF(W1875=1,"Invalid/outlier quantity",IF(X1875=1,"Invalid/outlier unit price",IF(Y1875=1,"Discount greater than order value",""))))))))</f>
        <v/>
      </c>
      <c r="AC1875" s="7" t="str">
        <f aca="false">IF(AB1875="","KEEP","DROP")</f>
        <v>KEEP</v>
      </c>
      <c r="AD1875" s="7" t="str">
        <f aca="false">IF(TRIM(F1875)="",IFERROR(INDEX(Map_Tables!$I$4:$I$37,MATCH(TRIM(E1875),Map_Tables!$G$4:$G$37,0)),""),IFERROR(INDEX(Map_Tables!$B$4:$B$18,MATCH(TRIM(F1875),Map_Tables!$A$4:$A$18,0)),"CHECK"))</f>
        <v>Delhi</v>
      </c>
      <c r="AE1875" s="7" t="str">
        <f aca="false">IF(TRIM(E1875)="","",IFERROR(INDEX(Map_Tables!$H$4:$H$37,MATCH(TRIM(E1875),Map_Tables!$G$4:$G$37,0)),"CHECK"))</f>
        <v>Burger Barn</v>
      </c>
      <c r="AF1875" s="7" t="str">
        <f aca="false">IF(TRIM(K1875)="","Unknown",IFERROR(INDEX(Map_Tables!$E$4:$E$15,MATCH(TRIM(K1875),Map_Tables!$D$4:$D$15,0)),"CHECK"))</f>
        <v>UPI</v>
      </c>
      <c r="AG1875" s="7" t="str">
        <f aca="false">IF(LEFT(LOWER(TRIM(L1875)),6)="cancel","Cancelled","Delivered")</f>
        <v>Delivered</v>
      </c>
      <c r="AH1875" s="10" t="n">
        <f aca="false">IF(ISNUMBER(SEARCH("/",B1875)),DATE(VALUE(RIGHT(B1875,4)),VALUE(MID(B1875,4,2)),VALUE(LEFT(B1875,2))),IF(MID(B1875,5,1)="-",DATE(VALUE(LEFT(B1875,4)),VALUE(MID(B1875,6,2)),VALUE(RIGHT(B1875,2))),DATE(VALUE(RIGHT(B1875,4)),MATCH(MID(B1875,4,3),{"Jan","Feb","Mar","Apr","May","Jun","Jul","Aug","Sep","Oct","Nov","Dec"},0),VALUE(LEFT(B1875,2)))))</f>
        <v>45920</v>
      </c>
    </row>
    <row r="1876" customFormat="false" ht="15" hidden="false" customHeight="false" outlineLevel="0" collapsed="false">
      <c r="A1876" s="7" t="s">
        <v>4558</v>
      </c>
      <c r="B1876" s="7" t="s">
        <v>442</v>
      </c>
      <c r="C1876" s="7" t="s">
        <v>1624</v>
      </c>
      <c r="D1876" s="7" t="s">
        <v>4559</v>
      </c>
      <c r="E1876" s="7" t="s">
        <v>94</v>
      </c>
      <c r="F1876" s="7" t="s">
        <v>86</v>
      </c>
      <c r="G1876" s="7" t="s">
        <v>95</v>
      </c>
      <c r="H1876" s="7" t="n">
        <v>2</v>
      </c>
      <c r="I1876" s="7" t="n">
        <v>90</v>
      </c>
      <c r="J1876" s="7" t="n">
        <v>0</v>
      </c>
      <c r="K1876" s="7" t="s">
        <v>87</v>
      </c>
      <c r="L1876" s="7" t="s">
        <v>194</v>
      </c>
      <c r="M1876" s="7" t="n">
        <v>57</v>
      </c>
      <c r="N1876" s="7" t="n">
        <v>4</v>
      </c>
      <c r="O1876" s="7" t="str">
        <f aca="false">A1876&amp;"|"&amp;B1876&amp;"|"&amp;C1876&amp;"|"&amp;D1876&amp;"|"&amp;E1876&amp;"|"&amp;F1876&amp;"|"&amp;G1876&amp;"|"&amp;H1876&amp;"|"&amp;I1876&amp;"|"&amp;J1876&amp;"|"&amp;K1876&amp;"|"&amp;L1876&amp;"|"&amp;M1876&amp;"|"&amp;N1876</f>
        <v>ORD10601|2025-03-17|20:31|C0956|Dosa Darbar|Bengaluru|South Indian|2|90|0|upi|Delivered|57|4</v>
      </c>
      <c r="P1876" s="7" t="str">
        <f aca="false">IF(COUNTIF($O$2:O1876,O1876)&gt;1,"DUP","OK")</f>
        <v>OK</v>
      </c>
      <c r="Q1876" s="7" t="n">
        <f aca="false">COUNTBLANK(A1876:N1876)</f>
        <v>0</v>
      </c>
      <c r="R1876" s="7" t="n">
        <f aca="false">IF(A1876="",0,COUNTIFS($A$2:$A$3058,A1876,$P$2:$P$3058,"OK"))</f>
        <v>1</v>
      </c>
      <c r="S1876" s="7" t="str">
        <f aca="false">IF(OR(A1876="",P1876="DUP",R1876&lt;2),"",IF(Q1876=_xlfn.MINIFS($Q$2:$Q$3058,$A$2:$A$3058,A1876,$P$2:$P$3058,"OK"),"KEEP","DROP"))</f>
        <v/>
      </c>
      <c r="T1876" s="9" t="n">
        <f aca="false">IF(A1876="",1,0)</f>
        <v>0</v>
      </c>
      <c r="U1876" s="9" t="n">
        <f aca="false">IF(D1876="",1,0)</f>
        <v>0</v>
      </c>
      <c r="V1876" s="9" t="n">
        <f aca="false">IF(E1876="",1,0)</f>
        <v>0</v>
      </c>
      <c r="W1876" s="9" t="n">
        <f aca="false">IF(OR(H1876&lt;1,H1876&gt;10),1,0)</f>
        <v>0</v>
      </c>
      <c r="X1876" s="9" t="n">
        <f aca="false">IF(OR(I1876&lt;=0,I1876&gt;1500),1,0)</f>
        <v>0</v>
      </c>
      <c r="Y1876" s="9" t="n">
        <f aca="false">IF(J1876&gt;H1876*I1876,1,0)</f>
        <v>0</v>
      </c>
      <c r="Z1876" s="9" t="n">
        <f aca="false">IF(AND(N1876&lt;&gt;"",OR(N1876&lt;1,N1876&gt;5)),1,0)</f>
        <v>0</v>
      </c>
      <c r="AA1876" s="9" t="n">
        <f aca="false">IF(AND(M1876&lt;&gt;"",OR(M1876&lt;5,M1876&gt;180)),1,0)</f>
        <v>0</v>
      </c>
      <c r="AB1876" s="7" t="str">
        <f aca="false">IF(P1876="DUP","Exact duplicate row",IF(T1876=1,"Missing Order ID",IF(S1876="DROP","Duplicate Order ID (less complete row)",IF(U1876=1,"Missing Customer ID",IF(V1876=1,"Missing Restaurant name",IF(W1876=1,"Invalid/outlier quantity",IF(X1876=1,"Invalid/outlier unit price",IF(Y1876=1,"Discount greater than order value",""))))))))</f>
        <v/>
      </c>
      <c r="AC1876" s="7" t="str">
        <f aca="false">IF(AB1876="","KEEP","DROP")</f>
        <v>KEEP</v>
      </c>
      <c r="AD1876" s="7" t="str">
        <f aca="false">IF(TRIM(F1876)="",IFERROR(INDEX(Map_Tables!$I$4:$I$37,MATCH(TRIM(E1876),Map_Tables!$G$4:$G$37,0)),""),IFERROR(INDEX(Map_Tables!$B$4:$B$18,MATCH(TRIM(F1876),Map_Tables!$A$4:$A$18,0)),"CHECK"))</f>
        <v>Bengaluru</v>
      </c>
      <c r="AE1876" s="7" t="str">
        <f aca="false">IF(TRIM(E1876)="","",IFERROR(INDEX(Map_Tables!$H$4:$H$37,MATCH(TRIM(E1876),Map_Tables!$G$4:$G$37,0)),"CHECK"))</f>
        <v>Dosa Darbar</v>
      </c>
      <c r="AF1876" s="7" t="str">
        <f aca="false">IF(TRIM(K1876)="","Unknown",IFERROR(INDEX(Map_Tables!$E$4:$E$15,MATCH(TRIM(K1876),Map_Tables!$D$4:$D$15,0)),"CHECK"))</f>
        <v>UPI</v>
      </c>
      <c r="AG1876" s="7" t="str">
        <f aca="false">IF(LEFT(LOWER(TRIM(L1876)),6)="cancel","Cancelled","Delivered")</f>
        <v>Delivered</v>
      </c>
      <c r="AH1876" s="10" t="n">
        <f aca="false">IF(ISNUMBER(SEARCH("/",B1876)),DATE(VALUE(RIGHT(B1876,4)),VALUE(MID(B1876,4,2)),VALUE(LEFT(B1876,2))),IF(MID(B1876,5,1)="-",DATE(VALUE(LEFT(B1876,4)),VALUE(MID(B1876,6,2)),VALUE(RIGHT(B1876,2))),DATE(VALUE(RIGHT(B1876,4)),MATCH(MID(B1876,4,3),{"Jan","Feb","Mar","Apr","May","Jun","Jul","Aug","Sep","Oct","Nov","Dec"},0),VALUE(LEFT(B1876,2)))))</f>
        <v>45733</v>
      </c>
    </row>
    <row r="1877" customFormat="false" ht="15" hidden="false" customHeight="false" outlineLevel="0" collapsed="false">
      <c r="A1877" s="7" t="s">
        <v>4560</v>
      </c>
      <c r="B1877" s="7" t="s">
        <v>275</v>
      </c>
      <c r="C1877" s="7" t="s">
        <v>369</v>
      </c>
      <c r="D1877" s="7" t="s">
        <v>4561</v>
      </c>
      <c r="E1877" s="7" t="s">
        <v>122</v>
      </c>
      <c r="F1877" s="7" t="s">
        <v>101</v>
      </c>
      <c r="G1877" s="7" t="s">
        <v>123</v>
      </c>
      <c r="H1877" s="7" t="n">
        <v>3</v>
      </c>
      <c r="I1877" s="7" t="n">
        <v>315</v>
      </c>
      <c r="J1877" s="7" t="n">
        <v>0</v>
      </c>
      <c r="K1877" s="7" t="s">
        <v>93</v>
      </c>
      <c r="L1877" s="7" t="s">
        <v>194</v>
      </c>
      <c r="M1877" s="7" t="n">
        <v>39</v>
      </c>
      <c r="N1877" s="7" t="n">
        <v>4</v>
      </c>
      <c r="O1877" s="7" t="str">
        <f aca="false">A1877&amp;"|"&amp;B1877&amp;"|"&amp;C1877&amp;"|"&amp;D1877&amp;"|"&amp;E1877&amp;"|"&amp;F1877&amp;"|"&amp;G1877&amp;"|"&amp;H1877&amp;"|"&amp;I1877&amp;"|"&amp;J1877&amp;"|"&amp;K1877&amp;"|"&amp;L1877&amp;"|"&amp;M1877&amp;"|"&amp;N1877</f>
        <v>ORD10124|2025-01-16|19:29|C1359|Mumbai Pizza Co|Mumbai|Pizza|3|315|0|Credit Card|Delivered|39|4</v>
      </c>
      <c r="P1877" s="7" t="str">
        <f aca="false">IF(COUNTIF($O$2:O1877,O1877)&gt;1,"DUP","OK")</f>
        <v>OK</v>
      </c>
      <c r="Q1877" s="7" t="n">
        <f aca="false">COUNTBLANK(A1877:N1877)</f>
        <v>0</v>
      </c>
      <c r="R1877" s="7" t="n">
        <f aca="false">IF(A1877="",0,COUNTIFS($A$2:$A$3058,A1877,$P$2:$P$3058,"OK"))</f>
        <v>1</v>
      </c>
      <c r="S1877" s="7" t="str">
        <f aca="false">IF(OR(A1877="",P1877="DUP",R1877&lt;2),"",IF(Q1877=_xlfn.MINIFS($Q$2:$Q$3058,$A$2:$A$3058,A1877,$P$2:$P$3058,"OK"),"KEEP","DROP"))</f>
        <v/>
      </c>
      <c r="T1877" s="9" t="n">
        <f aca="false">IF(A1877="",1,0)</f>
        <v>0</v>
      </c>
      <c r="U1877" s="9" t="n">
        <f aca="false">IF(D1877="",1,0)</f>
        <v>0</v>
      </c>
      <c r="V1877" s="9" t="n">
        <f aca="false">IF(E1877="",1,0)</f>
        <v>0</v>
      </c>
      <c r="W1877" s="9" t="n">
        <f aca="false">IF(OR(H1877&lt;1,H1877&gt;10),1,0)</f>
        <v>0</v>
      </c>
      <c r="X1877" s="9" t="n">
        <f aca="false">IF(OR(I1877&lt;=0,I1877&gt;1500),1,0)</f>
        <v>0</v>
      </c>
      <c r="Y1877" s="9" t="n">
        <f aca="false">IF(J1877&gt;H1877*I1877,1,0)</f>
        <v>0</v>
      </c>
      <c r="Z1877" s="9" t="n">
        <f aca="false">IF(AND(N1877&lt;&gt;"",OR(N1877&lt;1,N1877&gt;5)),1,0)</f>
        <v>0</v>
      </c>
      <c r="AA1877" s="9" t="n">
        <f aca="false">IF(AND(M1877&lt;&gt;"",OR(M1877&lt;5,M1877&gt;180)),1,0)</f>
        <v>0</v>
      </c>
      <c r="AB1877" s="7" t="str">
        <f aca="false">IF(P1877="DUP","Exact duplicate row",IF(T1877=1,"Missing Order ID",IF(S1877="DROP","Duplicate Order ID (less complete row)",IF(U1877=1,"Missing Customer ID",IF(V1877=1,"Missing Restaurant name",IF(W1877=1,"Invalid/outlier quantity",IF(X1877=1,"Invalid/outlier unit price",IF(Y1877=1,"Discount greater than order value",""))))))))</f>
        <v/>
      </c>
      <c r="AC1877" s="7" t="str">
        <f aca="false">IF(AB1877="","KEEP","DROP")</f>
        <v>KEEP</v>
      </c>
      <c r="AD1877" s="7" t="str">
        <f aca="false">IF(TRIM(F1877)="",IFERROR(INDEX(Map_Tables!$I$4:$I$37,MATCH(TRIM(E1877),Map_Tables!$G$4:$G$37,0)),""),IFERROR(INDEX(Map_Tables!$B$4:$B$18,MATCH(TRIM(F1877),Map_Tables!$A$4:$A$18,0)),"CHECK"))</f>
        <v>Mumbai</v>
      </c>
      <c r="AE1877" s="7" t="str">
        <f aca="false">IF(TRIM(E1877)="","",IFERROR(INDEX(Map_Tables!$H$4:$H$37,MATCH(TRIM(E1877),Map_Tables!$G$4:$G$37,0)),"CHECK"))</f>
        <v>Mumbai Pizza Co</v>
      </c>
      <c r="AF1877" s="7" t="str">
        <f aca="false">IF(TRIM(K1877)="","Unknown",IFERROR(INDEX(Map_Tables!$E$4:$E$15,MATCH(TRIM(K1877),Map_Tables!$D$4:$D$15,0)),"CHECK"))</f>
        <v>Credit Card</v>
      </c>
      <c r="AG1877" s="7" t="str">
        <f aca="false">IF(LEFT(LOWER(TRIM(L1877)),6)="cancel","Cancelled","Delivered")</f>
        <v>Delivered</v>
      </c>
      <c r="AH1877" s="10" t="n">
        <f aca="false">IF(ISNUMBER(SEARCH("/",B1877)),DATE(VALUE(RIGHT(B1877,4)),VALUE(MID(B1877,4,2)),VALUE(LEFT(B1877,2))),IF(MID(B1877,5,1)="-",DATE(VALUE(LEFT(B1877,4)),VALUE(MID(B1877,6,2)),VALUE(RIGHT(B1877,2))),DATE(VALUE(RIGHT(B1877,4)),MATCH(MID(B1877,4,3),{"Jan","Feb","Mar","Apr","May","Jun","Jul","Aug","Sep","Oct","Nov","Dec"},0),VALUE(LEFT(B1877,2)))))</f>
        <v>45673</v>
      </c>
    </row>
    <row r="1878" customFormat="false" ht="15" hidden="false" customHeight="false" outlineLevel="0" collapsed="false">
      <c r="A1878" s="7" t="s">
        <v>4562</v>
      </c>
      <c r="B1878" s="7" t="s">
        <v>1645</v>
      </c>
      <c r="C1878" s="7" t="s">
        <v>1761</v>
      </c>
      <c r="D1878" s="7" t="s">
        <v>4563</v>
      </c>
      <c r="E1878" s="7" t="s">
        <v>160</v>
      </c>
      <c r="F1878" s="7" t="s">
        <v>136</v>
      </c>
      <c r="G1878" s="7" t="s">
        <v>150</v>
      </c>
      <c r="H1878" s="7" t="n">
        <v>1</v>
      </c>
      <c r="I1878" s="7" t="n">
        <v>200</v>
      </c>
      <c r="J1878" s="7" t="n">
        <v>50</v>
      </c>
      <c r="K1878" s="7" t="s">
        <v>88</v>
      </c>
      <c r="L1878" s="7" t="s">
        <v>1265</v>
      </c>
      <c r="M1878" s="7" t="n">
        <v>26</v>
      </c>
      <c r="N1878" s="7" t="n">
        <v>4</v>
      </c>
      <c r="O1878" s="7" t="str">
        <f aca="false">A1878&amp;"|"&amp;B1878&amp;"|"&amp;C1878&amp;"|"&amp;D1878&amp;"|"&amp;E1878&amp;"|"&amp;F1878&amp;"|"&amp;G1878&amp;"|"&amp;H1878&amp;"|"&amp;I1878&amp;"|"&amp;J1878&amp;"|"&amp;K1878&amp;"|"&amp;L1878&amp;"|"&amp;M1878&amp;"|"&amp;N1878</f>
        <v>ORD11598|2025-07-27|20:21|C1171|Cake Walk|Pune|Desserts|1|200|50|UPI|delivered|26|4</v>
      </c>
      <c r="P1878" s="7" t="str">
        <f aca="false">IF(COUNTIF($O$2:O1878,O1878)&gt;1,"DUP","OK")</f>
        <v>OK</v>
      </c>
      <c r="Q1878" s="7" t="n">
        <f aca="false">COUNTBLANK(A1878:N1878)</f>
        <v>0</v>
      </c>
      <c r="R1878" s="7" t="n">
        <f aca="false">IF(A1878="",0,COUNTIFS($A$2:$A$3058,A1878,$P$2:$P$3058,"OK"))</f>
        <v>1</v>
      </c>
      <c r="S1878" s="7" t="str">
        <f aca="false">IF(OR(A1878="",P1878="DUP",R1878&lt;2),"",IF(Q1878=_xlfn.MINIFS($Q$2:$Q$3058,$A$2:$A$3058,A1878,$P$2:$P$3058,"OK"),"KEEP","DROP"))</f>
        <v/>
      </c>
      <c r="T1878" s="9" t="n">
        <f aca="false">IF(A1878="",1,0)</f>
        <v>0</v>
      </c>
      <c r="U1878" s="9" t="n">
        <f aca="false">IF(D1878="",1,0)</f>
        <v>0</v>
      </c>
      <c r="V1878" s="9" t="n">
        <f aca="false">IF(E1878="",1,0)</f>
        <v>0</v>
      </c>
      <c r="W1878" s="9" t="n">
        <f aca="false">IF(OR(H1878&lt;1,H1878&gt;10),1,0)</f>
        <v>0</v>
      </c>
      <c r="X1878" s="9" t="n">
        <f aca="false">IF(OR(I1878&lt;=0,I1878&gt;1500),1,0)</f>
        <v>0</v>
      </c>
      <c r="Y1878" s="9" t="n">
        <f aca="false">IF(J1878&gt;H1878*I1878,1,0)</f>
        <v>0</v>
      </c>
      <c r="Z1878" s="9" t="n">
        <f aca="false">IF(AND(N1878&lt;&gt;"",OR(N1878&lt;1,N1878&gt;5)),1,0)</f>
        <v>0</v>
      </c>
      <c r="AA1878" s="9" t="n">
        <f aca="false">IF(AND(M1878&lt;&gt;"",OR(M1878&lt;5,M1878&gt;180)),1,0)</f>
        <v>0</v>
      </c>
      <c r="AB1878" s="7" t="str">
        <f aca="false">IF(P1878="DUP","Exact duplicate row",IF(T1878=1,"Missing Order ID",IF(S1878="DROP","Duplicate Order ID (less complete row)",IF(U1878=1,"Missing Customer ID",IF(V1878=1,"Missing Restaurant name",IF(W1878=1,"Invalid/outlier quantity",IF(X1878=1,"Invalid/outlier unit price",IF(Y1878=1,"Discount greater than order value",""))))))))</f>
        <v/>
      </c>
      <c r="AC1878" s="7" t="str">
        <f aca="false">IF(AB1878="","KEEP","DROP")</f>
        <v>KEEP</v>
      </c>
      <c r="AD1878" s="7" t="str">
        <f aca="false">IF(TRIM(F1878)="",IFERROR(INDEX(Map_Tables!$I$4:$I$37,MATCH(TRIM(E1878),Map_Tables!$G$4:$G$37,0)),""),IFERROR(INDEX(Map_Tables!$B$4:$B$18,MATCH(TRIM(F1878),Map_Tables!$A$4:$A$18,0)),"CHECK"))</f>
        <v>Pune</v>
      </c>
      <c r="AE1878" s="7" t="str">
        <f aca="false">IF(TRIM(E1878)="","",IFERROR(INDEX(Map_Tables!$H$4:$H$37,MATCH(TRIM(E1878),Map_Tables!$G$4:$G$37,0)),"CHECK"))</f>
        <v>Cake Walk</v>
      </c>
      <c r="AF1878" s="7" t="str">
        <f aca="false">IF(TRIM(K1878)="","Unknown",IFERROR(INDEX(Map_Tables!$E$4:$E$15,MATCH(TRIM(K1878),Map_Tables!$D$4:$D$15,0)),"CHECK"))</f>
        <v>UPI</v>
      </c>
      <c r="AG1878" s="7" t="str">
        <f aca="false">IF(LEFT(LOWER(TRIM(L1878)),6)="cancel","Cancelled","Delivered")</f>
        <v>Delivered</v>
      </c>
      <c r="AH1878" s="10" t="n">
        <f aca="false">IF(ISNUMBER(SEARCH("/",B1878)),DATE(VALUE(RIGHT(B1878,4)),VALUE(MID(B1878,4,2)),VALUE(LEFT(B1878,2))),IF(MID(B1878,5,1)="-",DATE(VALUE(LEFT(B1878,4)),VALUE(MID(B1878,6,2)),VALUE(RIGHT(B1878,2))),DATE(VALUE(RIGHT(B1878,4)),MATCH(MID(B1878,4,3),{"Jan","Feb","Mar","Apr","May","Jun","Jul","Aug","Sep","Oct","Nov","Dec"},0),VALUE(LEFT(B1878,2)))))</f>
        <v>45865</v>
      </c>
    </row>
    <row r="1879" customFormat="false" ht="15" hidden="false" customHeight="false" outlineLevel="0" collapsed="false">
      <c r="A1879" s="7" t="s">
        <v>4564</v>
      </c>
      <c r="B1879" s="7" t="s">
        <v>4565</v>
      </c>
      <c r="C1879" s="7" t="s">
        <v>2263</v>
      </c>
      <c r="D1879" s="7" t="s">
        <v>4566</v>
      </c>
      <c r="E1879" s="7" t="s">
        <v>160</v>
      </c>
      <c r="F1879" s="7" t="s">
        <v>136</v>
      </c>
      <c r="G1879" s="7" t="s">
        <v>150</v>
      </c>
      <c r="H1879" s="7" t="n">
        <v>3</v>
      </c>
      <c r="I1879" s="7" t="n">
        <v>225</v>
      </c>
      <c r="J1879" s="7" t="n">
        <v>0</v>
      </c>
      <c r="K1879" s="7" t="s">
        <v>93</v>
      </c>
      <c r="L1879" s="7" t="s">
        <v>194</v>
      </c>
      <c r="M1879" s="7" t="n">
        <v>49</v>
      </c>
      <c r="N1879" s="7"/>
      <c r="O1879" s="7" t="str">
        <f aca="false">A1879&amp;"|"&amp;B1879&amp;"|"&amp;C1879&amp;"|"&amp;D1879&amp;"|"&amp;E1879&amp;"|"&amp;F1879&amp;"|"&amp;G1879&amp;"|"&amp;H1879&amp;"|"&amp;I1879&amp;"|"&amp;J1879&amp;"|"&amp;K1879&amp;"|"&amp;L1879&amp;"|"&amp;M1879&amp;"|"&amp;N1879</f>
        <v>ORD10335|13-Feb-2025|21:41|C0794|Cake Walk|Pune|Desserts|3|225|0|Credit Card|Delivered|49|</v>
      </c>
      <c r="P1879" s="7" t="str">
        <f aca="false">IF(COUNTIF($O$2:O1879,O1879)&gt;1,"DUP","OK")</f>
        <v>OK</v>
      </c>
      <c r="Q1879" s="7" t="n">
        <f aca="false">COUNTBLANK(A1879:N1879)</f>
        <v>1</v>
      </c>
      <c r="R1879" s="7" t="n">
        <f aca="false">IF(A1879="",0,COUNTIFS($A$2:$A$3058,A1879,$P$2:$P$3058,"OK"))</f>
        <v>1</v>
      </c>
      <c r="S1879" s="7" t="str">
        <f aca="false">IF(OR(A1879="",P1879="DUP",R1879&lt;2),"",IF(Q1879=_xlfn.MINIFS($Q$2:$Q$3058,$A$2:$A$3058,A1879,$P$2:$P$3058,"OK"),"KEEP","DROP"))</f>
        <v/>
      </c>
      <c r="T1879" s="9" t="n">
        <f aca="false">IF(A1879="",1,0)</f>
        <v>0</v>
      </c>
      <c r="U1879" s="9" t="n">
        <f aca="false">IF(D1879="",1,0)</f>
        <v>0</v>
      </c>
      <c r="V1879" s="9" t="n">
        <f aca="false">IF(E1879="",1,0)</f>
        <v>0</v>
      </c>
      <c r="W1879" s="9" t="n">
        <f aca="false">IF(OR(H1879&lt;1,H1879&gt;10),1,0)</f>
        <v>0</v>
      </c>
      <c r="X1879" s="9" t="n">
        <f aca="false">IF(OR(I1879&lt;=0,I1879&gt;1500),1,0)</f>
        <v>0</v>
      </c>
      <c r="Y1879" s="9" t="n">
        <f aca="false">IF(J1879&gt;H1879*I1879,1,0)</f>
        <v>0</v>
      </c>
      <c r="Z1879" s="9" t="n">
        <f aca="false">IF(AND(N1879&lt;&gt;"",OR(N1879&lt;1,N1879&gt;5)),1,0)</f>
        <v>0</v>
      </c>
      <c r="AA1879" s="9" t="n">
        <f aca="false">IF(AND(M1879&lt;&gt;"",OR(M1879&lt;5,M1879&gt;180)),1,0)</f>
        <v>0</v>
      </c>
      <c r="AB1879" s="7" t="str">
        <f aca="false">IF(P1879="DUP","Exact duplicate row",IF(T1879=1,"Missing Order ID",IF(S1879="DROP","Duplicate Order ID (less complete row)",IF(U1879=1,"Missing Customer ID",IF(V1879=1,"Missing Restaurant name",IF(W1879=1,"Invalid/outlier quantity",IF(X1879=1,"Invalid/outlier unit price",IF(Y1879=1,"Discount greater than order value",""))))))))</f>
        <v/>
      </c>
      <c r="AC1879" s="7" t="str">
        <f aca="false">IF(AB1879="","KEEP","DROP")</f>
        <v>KEEP</v>
      </c>
      <c r="AD1879" s="7" t="str">
        <f aca="false">IF(TRIM(F1879)="",IFERROR(INDEX(Map_Tables!$I$4:$I$37,MATCH(TRIM(E1879),Map_Tables!$G$4:$G$37,0)),""),IFERROR(INDEX(Map_Tables!$B$4:$B$18,MATCH(TRIM(F1879),Map_Tables!$A$4:$A$18,0)),"CHECK"))</f>
        <v>Pune</v>
      </c>
      <c r="AE1879" s="7" t="str">
        <f aca="false">IF(TRIM(E1879)="","",IFERROR(INDEX(Map_Tables!$H$4:$H$37,MATCH(TRIM(E1879),Map_Tables!$G$4:$G$37,0)),"CHECK"))</f>
        <v>Cake Walk</v>
      </c>
      <c r="AF1879" s="7" t="str">
        <f aca="false">IF(TRIM(K1879)="","Unknown",IFERROR(INDEX(Map_Tables!$E$4:$E$15,MATCH(TRIM(K1879),Map_Tables!$D$4:$D$15,0)),"CHECK"))</f>
        <v>Credit Card</v>
      </c>
      <c r="AG1879" s="7" t="str">
        <f aca="false">IF(LEFT(LOWER(TRIM(L1879)),6)="cancel","Cancelled","Delivered")</f>
        <v>Delivered</v>
      </c>
      <c r="AH1879" s="10" t="n">
        <f aca="false">IF(ISNUMBER(SEARCH("/",B1879)),DATE(VALUE(RIGHT(B1879,4)),VALUE(MID(B1879,4,2)),VALUE(LEFT(B1879,2))),IF(MID(B1879,5,1)="-",DATE(VALUE(LEFT(B1879,4)),VALUE(MID(B1879,6,2)),VALUE(RIGHT(B1879,2))),DATE(VALUE(RIGHT(B1879,4)),MATCH(MID(B1879,4,3),{"Jan","Feb","Mar","Apr","May","Jun","Jul","Aug","Sep","Oct","Nov","Dec"},0),VALUE(LEFT(B1879,2)))))</f>
        <v>45701</v>
      </c>
    </row>
    <row r="1880" customFormat="false" ht="15" hidden="false" customHeight="false" outlineLevel="0" collapsed="false">
      <c r="A1880" s="7" t="s">
        <v>4567</v>
      </c>
      <c r="B1880" s="7" t="s">
        <v>4236</v>
      </c>
      <c r="C1880" s="7" t="s">
        <v>3402</v>
      </c>
      <c r="D1880" s="7" t="s">
        <v>1962</v>
      </c>
      <c r="E1880" s="7" t="s">
        <v>122</v>
      </c>
      <c r="F1880" s="7" t="s">
        <v>101</v>
      </c>
      <c r="G1880" s="7" t="s">
        <v>123</v>
      </c>
      <c r="H1880" s="7" t="n">
        <v>4</v>
      </c>
      <c r="I1880" s="7" t="n">
        <v>0</v>
      </c>
      <c r="J1880" s="7" t="n">
        <v>50</v>
      </c>
      <c r="K1880" s="7" t="s">
        <v>93</v>
      </c>
      <c r="L1880" s="7" t="s">
        <v>194</v>
      </c>
      <c r="M1880" s="7" t="n">
        <v>40</v>
      </c>
      <c r="N1880" s="7" t="n">
        <v>2</v>
      </c>
      <c r="O1880" s="7" t="str">
        <f aca="false">A1880&amp;"|"&amp;B1880&amp;"|"&amp;C1880&amp;"|"&amp;D1880&amp;"|"&amp;E1880&amp;"|"&amp;F1880&amp;"|"&amp;G1880&amp;"|"&amp;H1880&amp;"|"&amp;I1880&amp;"|"&amp;J1880&amp;"|"&amp;K1880&amp;"|"&amp;L1880&amp;"|"&amp;M1880&amp;"|"&amp;N1880</f>
        <v>ORD11858|2025-08-30|23:52|C0762|Mumbai Pizza Co|Mumbai|Pizza|4|0|50|Credit Card|Delivered|40|2</v>
      </c>
      <c r="P1880" s="7" t="str">
        <f aca="false">IF(COUNTIF($O$2:O1880,O1880)&gt;1,"DUP","OK")</f>
        <v>OK</v>
      </c>
      <c r="Q1880" s="7" t="n">
        <f aca="false">COUNTBLANK(A1880:N1880)</f>
        <v>0</v>
      </c>
      <c r="R1880" s="7" t="n">
        <f aca="false">IF(A1880="",0,COUNTIFS($A$2:$A$3058,A1880,$P$2:$P$3058,"OK"))</f>
        <v>1</v>
      </c>
      <c r="S1880" s="7" t="str">
        <f aca="false">IF(OR(A1880="",P1880="DUP",R1880&lt;2),"",IF(Q1880=_xlfn.MINIFS($Q$2:$Q$3058,$A$2:$A$3058,A1880,$P$2:$P$3058,"OK"),"KEEP","DROP"))</f>
        <v/>
      </c>
      <c r="T1880" s="9" t="n">
        <f aca="false">IF(A1880="",1,0)</f>
        <v>0</v>
      </c>
      <c r="U1880" s="9" t="n">
        <f aca="false">IF(D1880="",1,0)</f>
        <v>0</v>
      </c>
      <c r="V1880" s="9" t="n">
        <f aca="false">IF(E1880="",1,0)</f>
        <v>0</v>
      </c>
      <c r="W1880" s="9" t="n">
        <f aca="false">IF(OR(H1880&lt;1,H1880&gt;10),1,0)</f>
        <v>0</v>
      </c>
      <c r="X1880" s="9" t="n">
        <f aca="false">IF(OR(I1880&lt;=0,I1880&gt;1500),1,0)</f>
        <v>1</v>
      </c>
      <c r="Y1880" s="9" t="n">
        <f aca="false">IF(J1880&gt;H1880*I1880,1,0)</f>
        <v>1</v>
      </c>
      <c r="Z1880" s="9" t="n">
        <f aca="false">IF(AND(N1880&lt;&gt;"",OR(N1880&lt;1,N1880&gt;5)),1,0)</f>
        <v>0</v>
      </c>
      <c r="AA1880" s="9" t="n">
        <f aca="false">IF(AND(M1880&lt;&gt;"",OR(M1880&lt;5,M1880&gt;180)),1,0)</f>
        <v>0</v>
      </c>
      <c r="AB1880" s="7" t="str">
        <f aca="false">IF(P1880="DUP","Exact duplicate row",IF(T1880=1,"Missing Order ID",IF(S1880="DROP","Duplicate Order ID (less complete row)",IF(U1880=1,"Missing Customer ID",IF(V1880=1,"Missing Restaurant name",IF(W1880=1,"Invalid/outlier quantity",IF(X1880=1,"Invalid/outlier unit price",IF(Y1880=1,"Discount greater than order value",""))))))))</f>
        <v>Invalid/outlier unit price</v>
      </c>
      <c r="AC1880" s="7" t="str">
        <f aca="false">IF(AB1880="","KEEP","DROP")</f>
        <v>DROP</v>
      </c>
      <c r="AD1880" s="7" t="str">
        <f aca="false">IF(TRIM(F1880)="",IFERROR(INDEX(Map_Tables!$I$4:$I$37,MATCH(TRIM(E1880),Map_Tables!$G$4:$G$37,0)),""),IFERROR(INDEX(Map_Tables!$B$4:$B$18,MATCH(TRIM(F1880),Map_Tables!$A$4:$A$18,0)),"CHECK"))</f>
        <v>Mumbai</v>
      </c>
      <c r="AE1880" s="7" t="str">
        <f aca="false">IF(TRIM(E1880)="","",IFERROR(INDEX(Map_Tables!$H$4:$H$37,MATCH(TRIM(E1880),Map_Tables!$G$4:$G$37,0)),"CHECK"))</f>
        <v>Mumbai Pizza Co</v>
      </c>
      <c r="AF1880" s="7" t="str">
        <f aca="false">IF(TRIM(K1880)="","Unknown",IFERROR(INDEX(Map_Tables!$E$4:$E$15,MATCH(TRIM(K1880),Map_Tables!$D$4:$D$15,0)),"CHECK"))</f>
        <v>Credit Card</v>
      </c>
      <c r="AG1880" s="7" t="str">
        <f aca="false">IF(LEFT(LOWER(TRIM(L1880)),6)="cancel","Cancelled","Delivered")</f>
        <v>Delivered</v>
      </c>
      <c r="AH1880" s="10" t="n">
        <f aca="false">IF(ISNUMBER(SEARCH("/",B1880)),DATE(VALUE(RIGHT(B1880,4)),VALUE(MID(B1880,4,2)),VALUE(LEFT(B1880,2))),IF(MID(B1880,5,1)="-",DATE(VALUE(LEFT(B1880,4)),VALUE(MID(B1880,6,2)),VALUE(RIGHT(B1880,2))),DATE(VALUE(RIGHT(B1880,4)),MATCH(MID(B1880,4,3),{"Jan","Feb","Mar","Apr","May","Jun","Jul","Aug","Sep","Oct","Nov","Dec"},0),VALUE(LEFT(B1880,2)))))</f>
        <v>45899</v>
      </c>
    </row>
    <row r="1881" customFormat="false" ht="15" hidden="false" customHeight="false" outlineLevel="0" collapsed="false">
      <c r="A1881" s="7" t="s">
        <v>4568</v>
      </c>
      <c r="B1881" s="7" t="s">
        <v>2303</v>
      </c>
      <c r="C1881" s="7" t="s">
        <v>1660</v>
      </c>
      <c r="D1881" s="7" t="s">
        <v>3732</v>
      </c>
      <c r="E1881" s="7" t="s">
        <v>126</v>
      </c>
      <c r="F1881" s="7" t="s">
        <v>215</v>
      </c>
      <c r="G1881" s="7" t="s">
        <v>105</v>
      </c>
      <c r="H1881" s="7" t="n">
        <v>4</v>
      </c>
      <c r="I1881" s="7" t="n">
        <v>175</v>
      </c>
      <c r="J1881" s="7" t="n">
        <v>150</v>
      </c>
      <c r="K1881" s="7" t="s">
        <v>88</v>
      </c>
      <c r="L1881" s="7" t="s">
        <v>194</v>
      </c>
      <c r="M1881" s="7" t="n">
        <v>38</v>
      </c>
      <c r="N1881" s="7" t="n">
        <v>4</v>
      </c>
      <c r="O1881" s="7" t="str">
        <f aca="false">A1881&amp;"|"&amp;B1881&amp;"|"&amp;C1881&amp;"|"&amp;D1881&amp;"|"&amp;E1881&amp;"|"&amp;F1881&amp;"|"&amp;G1881&amp;"|"&amp;H1881&amp;"|"&amp;I1881&amp;"|"&amp;J1881&amp;"|"&amp;K1881&amp;"|"&amp;L1881&amp;"|"&amp;M1881&amp;"|"&amp;N1881</f>
        <v>ORD12294|2025-10-17|13:45|C0991|Dragon Express|MUMBAI|Chinese|4|175|150|UPI|Delivered|38|4</v>
      </c>
      <c r="P1881" s="7" t="str">
        <f aca="false">IF(COUNTIF($O$2:O1881,O1881)&gt;1,"DUP","OK")</f>
        <v>OK</v>
      </c>
      <c r="Q1881" s="7" t="n">
        <f aca="false">COUNTBLANK(A1881:N1881)</f>
        <v>0</v>
      </c>
      <c r="R1881" s="7" t="n">
        <f aca="false">IF(A1881="",0,COUNTIFS($A$2:$A$3058,A1881,$P$2:$P$3058,"OK"))</f>
        <v>1</v>
      </c>
      <c r="S1881" s="7" t="str">
        <f aca="false">IF(OR(A1881="",P1881="DUP",R1881&lt;2),"",IF(Q1881=_xlfn.MINIFS($Q$2:$Q$3058,$A$2:$A$3058,A1881,$P$2:$P$3058,"OK"),"KEEP","DROP"))</f>
        <v/>
      </c>
      <c r="T1881" s="9" t="n">
        <f aca="false">IF(A1881="",1,0)</f>
        <v>0</v>
      </c>
      <c r="U1881" s="9" t="n">
        <f aca="false">IF(D1881="",1,0)</f>
        <v>0</v>
      </c>
      <c r="V1881" s="9" t="n">
        <f aca="false">IF(E1881="",1,0)</f>
        <v>0</v>
      </c>
      <c r="W1881" s="9" t="n">
        <f aca="false">IF(OR(H1881&lt;1,H1881&gt;10),1,0)</f>
        <v>0</v>
      </c>
      <c r="X1881" s="9" t="n">
        <f aca="false">IF(OR(I1881&lt;=0,I1881&gt;1500),1,0)</f>
        <v>0</v>
      </c>
      <c r="Y1881" s="9" t="n">
        <f aca="false">IF(J1881&gt;H1881*I1881,1,0)</f>
        <v>0</v>
      </c>
      <c r="Z1881" s="9" t="n">
        <f aca="false">IF(AND(N1881&lt;&gt;"",OR(N1881&lt;1,N1881&gt;5)),1,0)</f>
        <v>0</v>
      </c>
      <c r="AA1881" s="9" t="n">
        <f aca="false">IF(AND(M1881&lt;&gt;"",OR(M1881&lt;5,M1881&gt;180)),1,0)</f>
        <v>0</v>
      </c>
      <c r="AB1881" s="7" t="str">
        <f aca="false">IF(P1881="DUP","Exact duplicate row",IF(T1881=1,"Missing Order ID",IF(S1881="DROP","Duplicate Order ID (less complete row)",IF(U1881=1,"Missing Customer ID",IF(V1881=1,"Missing Restaurant name",IF(W1881=1,"Invalid/outlier quantity",IF(X1881=1,"Invalid/outlier unit price",IF(Y1881=1,"Discount greater than order value",""))))))))</f>
        <v/>
      </c>
      <c r="AC1881" s="7" t="str">
        <f aca="false">IF(AB1881="","KEEP","DROP")</f>
        <v>KEEP</v>
      </c>
      <c r="AD1881" s="7" t="str">
        <f aca="false">IF(TRIM(F1881)="",IFERROR(INDEX(Map_Tables!$I$4:$I$37,MATCH(TRIM(E1881),Map_Tables!$G$4:$G$37,0)),""),IFERROR(INDEX(Map_Tables!$B$4:$B$18,MATCH(TRIM(F1881),Map_Tables!$A$4:$A$18,0)),"CHECK"))</f>
        <v>Mumbai</v>
      </c>
      <c r="AE1881" s="7" t="str">
        <f aca="false">IF(TRIM(E1881)="","",IFERROR(INDEX(Map_Tables!$H$4:$H$37,MATCH(TRIM(E1881),Map_Tables!$G$4:$G$37,0)),"CHECK"))</f>
        <v>Dragon Express</v>
      </c>
      <c r="AF1881" s="7" t="str">
        <f aca="false">IF(TRIM(K1881)="","Unknown",IFERROR(INDEX(Map_Tables!$E$4:$E$15,MATCH(TRIM(K1881),Map_Tables!$D$4:$D$15,0)),"CHECK"))</f>
        <v>UPI</v>
      </c>
      <c r="AG1881" s="7" t="str">
        <f aca="false">IF(LEFT(LOWER(TRIM(L1881)),6)="cancel","Cancelled","Delivered")</f>
        <v>Delivered</v>
      </c>
      <c r="AH1881" s="10" t="n">
        <f aca="false">IF(ISNUMBER(SEARCH("/",B1881)),DATE(VALUE(RIGHT(B1881,4)),VALUE(MID(B1881,4,2)),VALUE(LEFT(B1881,2))),IF(MID(B1881,5,1)="-",DATE(VALUE(LEFT(B1881,4)),VALUE(MID(B1881,6,2)),VALUE(RIGHT(B1881,2))),DATE(VALUE(RIGHT(B1881,4)),MATCH(MID(B1881,4,3),{"Jan","Feb","Mar","Apr","May","Jun","Jul","Aug","Sep","Oct","Nov","Dec"},0),VALUE(LEFT(B1881,2)))))</f>
        <v>45947</v>
      </c>
    </row>
    <row r="1882" customFormat="false" ht="15" hidden="false" customHeight="false" outlineLevel="0" collapsed="false">
      <c r="A1882" s="7" t="s">
        <v>4569</v>
      </c>
      <c r="B1882" s="7" t="s">
        <v>1029</v>
      </c>
      <c r="C1882" s="7" t="s">
        <v>4570</v>
      </c>
      <c r="D1882" s="7" t="s">
        <v>3998</v>
      </c>
      <c r="E1882" s="7" t="s">
        <v>98</v>
      </c>
      <c r="F1882" s="7" t="s">
        <v>86</v>
      </c>
      <c r="G1882" s="7" t="s">
        <v>99</v>
      </c>
      <c r="H1882" s="7" t="n">
        <v>1</v>
      </c>
      <c r="I1882" s="7" t="n">
        <v>315</v>
      </c>
      <c r="J1882" s="7" t="n">
        <v>125</v>
      </c>
      <c r="K1882" s="7" t="s">
        <v>121</v>
      </c>
      <c r="L1882" s="7" t="s">
        <v>194</v>
      </c>
      <c r="M1882" s="7" t="n">
        <v>43</v>
      </c>
      <c r="N1882" s="7" t="n">
        <v>4</v>
      </c>
      <c r="O1882" s="7" t="str">
        <f aca="false">A1882&amp;"|"&amp;B1882&amp;"|"&amp;C1882&amp;"|"&amp;D1882&amp;"|"&amp;E1882&amp;"|"&amp;F1882&amp;"|"&amp;G1882&amp;"|"&amp;H1882&amp;"|"&amp;I1882&amp;"|"&amp;J1882&amp;"|"&amp;K1882&amp;"|"&amp;L1882&amp;"|"&amp;M1882&amp;"|"&amp;N1882</f>
        <v>ORD10305|2025-02-11|09:29|C0398|Nawabi Biryani House|Bengaluru|Biryani|1|315|125|Wallet|Delivered|43|4</v>
      </c>
      <c r="P1882" s="7" t="str">
        <f aca="false">IF(COUNTIF($O$2:O1882,O1882)&gt;1,"DUP","OK")</f>
        <v>OK</v>
      </c>
      <c r="Q1882" s="7" t="n">
        <f aca="false">COUNTBLANK(A1882:N1882)</f>
        <v>0</v>
      </c>
      <c r="R1882" s="7" t="n">
        <f aca="false">IF(A1882="",0,COUNTIFS($A$2:$A$3058,A1882,$P$2:$P$3058,"OK"))</f>
        <v>1</v>
      </c>
      <c r="S1882" s="7" t="str">
        <f aca="false">IF(OR(A1882="",P1882="DUP",R1882&lt;2),"",IF(Q1882=_xlfn.MINIFS($Q$2:$Q$3058,$A$2:$A$3058,A1882,$P$2:$P$3058,"OK"),"KEEP","DROP"))</f>
        <v/>
      </c>
      <c r="T1882" s="9" t="n">
        <f aca="false">IF(A1882="",1,0)</f>
        <v>0</v>
      </c>
      <c r="U1882" s="9" t="n">
        <f aca="false">IF(D1882="",1,0)</f>
        <v>0</v>
      </c>
      <c r="V1882" s="9" t="n">
        <f aca="false">IF(E1882="",1,0)</f>
        <v>0</v>
      </c>
      <c r="W1882" s="9" t="n">
        <f aca="false">IF(OR(H1882&lt;1,H1882&gt;10),1,0)</f>
        <v>0</v>
      </c>
      <c r="X1882" s="9" t="n">
        <f aca="false">IF(OR(I1882&lt;=0,I1882&gt;1500),1,0)</f>
        <v>0</v>
      </c>
      <c r="Y1882" s="9" t="n">
        <f aca="false">IF(J1882&gt;H1882*I1882,1,0)</f>
        <v>0</v>
      </c>
      <c r="Z1882" s="9" t="n">
        <f aca="false">IF(AND(N1882&lt;&gt;"",OR(N1882&lt;1,N1882&gt;5)),1,0)</f>
        <v>0</v>
      </c>
      <c r="AA1882" s="9" t="n">
        <f aca="false">IF(AND(M1882&lt;&gt;"",OR(M1882&lt;5,M1882&gt;180)),1,0)</f>
        <v>0</v>
      </c>
      <c r="AB1882" s="7" t="str">
        <f aca="false">IF(P1882="DUP","Exact duplicate row",IF(T1882=1,"Missing Order ID",IF(S1882="DROP","Duplicate Order ID (less complete row)",IF(U1882=1,"Missing Customer ID",IF(V1882=1,"Missing Restaurant name",IF(W1882=1,"Invalid/outlier quantity",IF(X1882=1,"Invalid/outlier unit price",IF(Y1882=1,"Discount greater than order value",""))))))))</f>
        <v/>
      </c>
      <c r="AC1882" s="7" t="str">
        <f aca="false">IF(AB1882="","KEEP","DROP")</f>
        <v>KEEP</v>
      </c>
      <c r="AD1882" s="7" t="str">
        <f aca="false">IF(TRIM(F1882)="",IFERROR(INDEX(Map_Tables!$I$4:$I$37,MATCH(TRIM(E1882),Map_Tables!$G$4:$G$37,0)),""),IFERROR(INDEX(Map_Tables!$B$4:$B$18,MATCH(TRIM(F1882),Map_Tables!$A$4:$A$18,0)),"CHECK"))</f>
        <v>Bengaluru</v>
      </c>
      <c r="AE1882" s="7" t="str">
        <f aca="false">IF(TRIM(E1882)="","",IFERROR(INDEX(Map_Tables!$H$4:$H$37,MATCH(TRIM(E1882),Map_Tables!$G$4:$G$37,0)),"CHECK"))</f>
        <v>Nawabi Biryani House</v>
      </c>
      <c r="AF1882" s="7" t="str">
        <f aca="false">IF(TRIM(K1882)="","Unknown",IFERROR(INDEX(Map_Tables!$E$4:$E$15,MATCH(TRIM(K1882),Map_Tables!$D$4:$D$15,0)),"CHECK"))</f>
        <v>Wallet</v>
      </c>
      <c r="AG1882" s="7" t="str">
        <f aca="false">IF(LEFT(LOWER(TRIM(L1882)),6)="cancel","Cancelled","Delivered")</f>
        <v>Delivered</v>
      </c>
      <c r="AH1882" s="10" t="n">
        <f aca="false">IF(ISNUMBER(SEARCH("/",B1882)),DATE(VALUE(RIGHT(B1882,4)),VALUE(MID(B1882,4,2)),VALUE(LEFT(B1882,2))),IF(MID(B1882,5,1)="-",DATE(VALUE(LEFT(B1882,4)),VALUE(MID(B1882,6,2)),VALUE(RIGHT(B1882,2))),DATE(VALUE(RIGHT(B1882,4)),MATCH(MID(B1882,4,3),{"Jan","Feb","Mar","Apr","May","Jun","Jul","Aug","Sep","Oct","Nov","Dec"},0),VALUE(LEFT(B1882,2)))))</f>
        <v>45699</v>
      </c>
    </row>
    <row r="1883" customFormat="false" ht="15" hidden="false" customHeight="false" outlineLevel="0" collapsed="false">
      <c r="A1883" s="7"/>
      <c r="B1883" s="7" t="s">
        <v>326</v>
      </c>
      <c r="C1883" s="7" t="s">
        <v>4571</v>
      </c>
      <c r="D1883" s="7" t="s">
        <v>2807</v>
      </c>
      <c r="E1883" s="7" t="s">
        <v>168</v>
      </c>
      <c r="F1883" s="7" t="s">
        <v>146</v>
      </c>
      <c r="G1883" s="7" t="s">
        <v>123</v>
      </c>
      <c r="H1883" s="7" t="n">
        <v>4</v>
      </c>
      <c r="I1883" s="7" t="n">
        <v>295</v>
      </c>
      <c r="J1883" s="7" t="n">
        <v>150</v>
      </c>
      <c r="K1883" s="7" t="s">
        <v>88</v>
      </c>
      <c r="L1883" s="7" t="s">
        <v>194</v>
      </c>
      <c r="M1883" s="7" t="n">
        <v>35</v>
      </c>
      <c r="N1883" s="7" t="n">
        <v>4</v>
      </c>
      <c r="O1883" s="7" t="str">
        <f aca="false">A1883&amp;"|"&amp;B1883&amp;"|"&amp;C1883&amp;"|"&amp;D1883&amp;"|"&amp;E1883&amp;"|"&amp;F1883&amp;"|"&amp;G1883&amp;"|"&amp;H1883&amp;"|"&amp;I1883&amp;"|"&amp;J1883&amp;"|"&amp;K1883&amp;"|"&amp;L1883&amp;"|"&amp;M1883&amp;"|"&amp;N1883</f>
        <v>|2025-11-02|00:07|C1387|Cheesy Slice|Ahmedabad|Pizza|4|295|150|UPI|Delivered|35|4</v>
      </c>
      <c r="P1883" s="7" t="str">
        <f aca="false">IF(COUNTIF($O$2:O1883,O1883)&gt;1,"DUP","OK")</f>
        <v>OK</v>
      </c>
      <c r="Q1883" s="7" t="n">
        <f aca="false">COUNTBLANK(A1883:N1883)</f>
        <v>1</v>
      </c>
      <c r="R1883" s="7" t="n">
        <f aca="false">IF(A1883="",0,COUNTIFS($A$2:$A$3058,A1883,$P$2:$P$3058,"OK"))</f>
        <v>0</v>
      </c>
      <c r="S1883" s="7" t="str">
        <f aca="false">IF(OR(A1883="",P1883="DUP",R1883&lt;2),"",IF(Q1883=_xlfn.MINIFS($Q$2:$Q$3058,$A$2:$A$3058,A1883,$P$2:$P$3058,"OK"),"KEEP","DROP"))</f>
        <v/>
      </c>
      <c r="T1883" s="9" t="n">
        <f aca="false">IF(A1883="",1,0)</f>
        <v>1</v>
      </c>
      <c r="U1883" s="9" t="n">
        <f aca="false">IF(D1883="",1,0)</f>
        <v>0</v>
      </c>
      <c r="V1883" s="9" t="n">
        <f aca="false">IF(E1883="",1,0)</f>
        <v>0</v>
      </c>
      <c r="W1883" s="9" t="n">
        <f aca="false">IF(OR(H1883&lt;1,H1883&gt;10),1,0)</f>
        <v>0</v>
      </c>
      <c r="X1883" s="9" t="n">
        <f aca="false">IF(OR(I1883&lt;=0,I1883&gt;1500),1,0)</f>
        <v>0</v>
      </c>
      <c r="Y1883" s="9" t="n">
        <f aca="false">IF(J1883&gt;H1883*I1883,1,0)</f>
        <v>0</v>
      </c>
      <c r="Z1883" s="9" t="n">
        <f aca="false">IF(AND(N1883&lt;&gt;"",OR(N1883&lt;1,N1883&gt;5)),1,0)</f>
        <v>0</v>
      </c>
      <c r="AA1883" s="9" t="n">
        <f aca="false">IF(AND(M1883&lt;&gt;"",OR(M1883&lt;5,M1883&gt;180)),1,0)</f>
        <v>0</v>
      </c>
      <c r="AB1883" s="7" t="str">
        <f aca="false">IF(P1883="DUP","Exact duplicate row",IF(T1883=1,"Missing Order ID",IF(S1883="DROP","Duplicate Order ID (less complete row)",IF(U1883=1,"Missing Customer ID",IF(V1883=1,"Missing Restaurant name",IF(W1883=1,"Invalid/outlier quantity",IF(X1883=1,"Invalid/outlier unit price",IF(Y1883=1,"Discount greater than order value",""))))))))</f>
        <v>Missing Order ID</v>
      </c>
      <c r="AC1883" s="7" t="str">
        <f aca="false">IF(AB1883="","KEEP","DROP")</f>
        <v>DROP</v>
      </c>
      <c r="AD1883" s="7" t="str">
        <f aca="false">IF(TRIM(F1883)="",IFERROR(INDEX(Map_Tables!$I$4:$I$37,MATCH(TRIM(E1883),Map_Tables!$G$4:$G$37,0)),""),IFERROR(INDEX(Map_Tables!$B$4:$B$18,MATCH(TRIM(F1883),Map_Tables!$A$4:$A$18,0)),"CHECK"))</f>
        <v>Ahmedabad</v>
      </c>
      <c r="AE1883" s="7" t="str">
        <f aca="false">IF(TRIM(E1883)="","",IFERROR(INDEX(Map_Tables!$H$4:$H$37,MATCH(TRIM(E1883),Map_Tables!$G$4:$G$37,0)),"CHECK"))</f>
        <v>Cheesy Slice</v>
      </c>
      <c r="AF1883" s="7" t="str">
        <f aca="false">IF(TRIM(K1883)="","Unknown",IFERROR(INDEX(Map_Tables!$E$4:$E$15,MATCH(TRIM(K1883),Map_Tables!$D$4:$D$15,0)),"CHECK"))</f>
        <v>UPI</v>
      </c>
      <c r="AG1883" s="7" t="str">
        <f aca="false">IF(LEFT(LOWER(TRIM(L1883)),6)="cancel","Cancelled","Delivered")</f>
        <v>Delivered</v>
      </c>
      <c r="AH1883" s="10" t="n">
        <f aca="false">IF(ISNUMBER(SEARCH("/",B1883)),DATE(VALUE(RIGHT(B1883,4)),VALUE(MID(B1883,4,2)),VALUE(LEFT(B1883,2))),IF(MID(B1883,5,1)="-",DATE(VALUE(LEFT(B1883,4)),VALUE(MID(B1883,6,2)),VALUE(RIGHT(B1883,2))),DATE(VALUE(RIGHT(B1883,4)),MATCH(MID(B1883,4,3),{"Jan","Feb","Mar","Apr","May","Jun","Jul","Aug","Sep","Oct","Nov","Dec"},0),VALUE(LEFT(B1883,2)))))</f>
        <v>45963</v>
      </c>
    </row>
    <row r="1884" customFormat="false" ht="15" hidden="false" customHeight="false" outlineLevel="0" collapsed="false">
      <c r="A1884" s="7" t="s">
        <v>4572</v>
      </c>
      <c r="B1884" s="7" t="s">
        <v>2713</v>
      </c>
      <c r="C1884" s="7" t="s">
        <v>1758</v>
      </c>
      <c r="D1884" s="7" t="s">
        <v>4480</v>
      </c>
      <c r="E1884" s="7" t="s">
        <v>126</v>
      </c>
      <c r="F1884" s="7" t="s">
        <v>215</v>
      </c>
      <c r="G1884" s="7" t="s">
        <v>105</v>
      </c>
      <c r="H1884" s="7" t="n">
        <v>5</v>
      </c>
      <c r="I1884" s="7" t="n">
        <v>240</v>
      </c>
      <c r="J1884" s="7" t="n">
        <v>0</v>
      </c>
      <c r="K1884" s="7" t="s">
        <v>93</v>
      </c>
      <c r="L1884" s="7" t="s">
        <v>194</v>
      </c>
      <c r="M1884" s="7" t="n">
        <v>40</v>
      </c>
      <c r="N1884" s="7" t="n">
        <v>3</v>
      </c>
      <c r="O1884" s="7" t="str">
        <f aca="false">A1884&amp;"|"&amp;B1884&amp;"|"&amp;C1884&amp;"|"&amp;D1884&amp;"|"&amp;E1884&amp;"|"&amp;F1884&amp;"|"&amp;G1884&amp;"|"&amp;H1884&amp;"|"&amp;I1884&amp;"|"&amp;J1884&amp;"|"&amp;K1884&amp;"|"&amp;L1884&amp;"|"&amp;M1884&amp;"|"&amp;N1884</f>
        <v>ORD10981|2025-05-04|20:10|C0473|Dragon Express|MUMBAI|Chinese|5|240|0|Credit Card|Delivered|40|3</v>
      </c>
      <c r="P1884" s="7" t="str">
        <f aca="false">IF(COUNTIF($O$2:O1884,O1884)&gt;1,"DUP","OK")</f>
        <v>OK</v>
      </c>
      <c r="Q1884" s="7" t="n">
        <f aca="false">COUNTBLANK(A1884:N1884)</f>
        <v>0</v>
      </c>
      <c r="R1884" s="7" t="n">
        <f aca="false">IF(A1884="",0,COUNTIFS($A$2:$A$3058,A1884,$P$2:$P$3058,"OK"))</f>
        <v>1</v>
      </c>
      <c r="S1884" s="7" t="str">
        <f aca="false">IF(OR(A1884="",P1884="DUP",R1884&lt;2),"",IF(Q1884=_xlfn.MINIFS($Q$2:$Q$3058,$A$2:$A$3058,A1884,$P$2:$P$3058,"OK"),"KEEP","DROP"))</f>
        <v/>
      </c>
      <c r="T1884" s="9" t="n">
        <f aca="false">IF(A1884="",1,0)</f>
        <v>0</v>
      </c>
      <c r="U1884" s="9" t="n">
        <f aca="false">IF(D1884="",1,0)</f>
        <v>0</v>
      </c>
      <c r="V1884" s="9" t="n">
        <f aca="false">IF(E1884="",1,0)</f>
        <v>0</v>
      </c>
      <c r="W1884" s="9" t="n">
        <f aca="false">IF(OR(H1884&lt;1,H1884&gt;10),1,0)</f>
        <v>0</v>
      </c>
      <c r="X1884" s="9" t="n">
        <f aca="false">IF(OR(I1884&lt;=0,I1884&gt;1500),1,0)</f>
        <v>0</v>
      </c>
      <c r="Y1884" s="9" t="n">
        <f aca="false">IF(J1884&gt;H1884*I1884,1,0)</f>
        <v>0</v>
      </c>
      <c r="Z1884" s="9" t="n">
        <f aca="false">IF(AND(N1884&lt;&gt;"",OR(N1884&lt;1,N1884&gt;5)),1,0)</f>
        <v>0</v>
      </c>
      <c r="AA1884" s="9" t="n">
        <f aca="false">IF(AND(M1884&lt;&gt;"",OR(M1884&lt;5,M1884&gt;180)),1,0)</f>
        <v>0</v>
      </c>
      <c r="AB1884" s="7" t="str">
        <f aca="false">IF(P1884="DUP","Exact duplicate row",IF(T1884=1,"Missing Order ID",IF(S1884="DROP","Duplicate Order ID (less complete row)",IF(U1884=1,"Missing Customer ID",IF(V1884=1,"Missing Restaurant name",IF(W1884=1,"Invalid/outlier quantity",IF(X1884=1,"Invalid/outlier unit price",IF(Y1884=1,"Discount greater than order value",""))))))))</f>
        <v/>
      </c>
      <c r="AC1884" s="7" t="str">
        <f aca="false">IF(AB1884="","KEEP","DROP")</f>
        <v>KEEP</v>
      </c>
      <c r="AD1884" s="7" t="str">
        <f aca="false">IF(TRIM(F1884)="",IFERROR(INDEX(Map_Tables!$I$4:$I$37,MATCH(TRIM(E1884),Map_Tables!$G$4:$G$37,0)),""),IFERROR(INDEX(Map_Tables!$B$4:$B$18,MATCH(TRIM(F1884),Map_Tables!$A$4:$A$18,0)),"CHECK"))</f>
        <v>Mumbai</v>
      </c>
      <c r="AE1884" s="7" t="str">
        <f aca="false">IF(TRIM(E1884)="","",IFERROR(INDEX(Map_Tables!$H$4:$H$37,MATCH(TRIM(E1884),Map_Tables!$G$4:$G$37,0)),"CHECK"))</f>
        <v>Dragon Express</v>
      </c>
      <c r="AF1884" s="7" t="str">
        <f aca="false">IF(TRIM(K1884)="","Unknown",IFERROR(INDEX(Map_Tables!$E$4:$E$15,MATCH(TRIM(K1884),Map_Tables!$D$4:$D$15,0)),"CHECK"))</f>
        <v>Credit Card</v>
      </c>
      <c r="AG1884" s="7" t="str">
        <f aca="false">IF(LEFT(LOWER(TRIM(L1884)),6)="cancel","Cancelled","Delivered")</f>
        <v>Delivered</v>
      </c>
      <c r="AH1884" s="10" t="n">
        <f aca="false">IF(ISNUMBER(SEARCH("/",B1884)),DATE(VALUE(RIGHT(B1884,4)),VALUE(MID(B1884,4,2)),VALUE(LEFT(B1884,2))),IF(MID(B1884,5,1)="-",DATE(VALUE(LEFT(B1884,4)),VALUE(MID(B1884,6,2)),VALUE(RIGHT(B1884,2))),DATE(VALUE(RIGHT(B1884,4)),MATCH(MID(B1884,4,3),{"Jan","Feb","Mar","Apr","May","Jun","Jul","Aug","Sep","Oct","Nov","Dec"},0),VALUE(LEFT(B1884,2)))))</f>
        <v>45781</v>
      </c>
    </row>
    <row r="1885" customFormat="false" ht="15" hidden="false" customHeight="false" outlineLevel="0" collapsed="false">
      <c r="A1885" s="7" t="s">
        <v>4573</v>
      </c>
      <c r="B1885" s="7" t="s">
        <v>1276</v>
      </c>
      <c r="C1885" s="7" t="s">
        <v>2405</v>
      </c>
      <c r="D1885" s="7" t="s">
        <v>620</v>
      </c>
      <c r="E1885" s="7" t="s">
        <v>113</v>
      </c>
      <c r="F1885" s="7" t="s">
        <v>101</v>
      </c>
      <c r="G1885" s="7" t="s">
        <v>90</v>
      </c>
      <c r="H1885" s="7" t="n">
        <v>2</v>
      </c>
      <c r="I1885" s="7" t="n">
        <v>260</v>
      </c>
      <c r="J1885" s="7" t="n">
        <v>0</v>
      </c>
      <c r="K1885" s="7" t="s">
        <v>103</v>
      </c>
      <c r="L1885" s="7" t="s">
        <v>194</v>
      </c>
      <c r="M1885" s="7" t="n">
        <v>53</v>
      </c>
      <c r="N1885" s="7" t="n">
        <v>5</v>
      </c>
      <c r="O1885" s="7" t="str">
        <f aca="false">A1885&amp;"|"&amp;B1885&amp;"|"&amp;C1885&amp;"|"&amp;D1885&amp;"|"&amp;E1885&amp;"|"&amp;F1885&amp;"|"&amp;G1885&amp;"|"&amp;H1885&amp;"|"&amp;I1885&amp;"|"&amp;J1885&amp;"|"&amp;K1885&amp;"|"&amp;L1885&amp;"|"&amp;M1885&amp;"|"&amp;N1885</f>
        <v>ORD11689|2025-08-09|13:48|C0255|Curry Leaf Kitchen|Mumbai|North Indian|2|260|0|Debit Card|Delivered|53|5</v>
      </c>
      <c r="P1885" s="7" t="str">
        <f aca="false">IF(COUNTIF($O$2:O1885,O1885)&gt;1,"DUP","OK")</f>
        <v>OK</v>
      </c>
      <c r="Q1885" s="7" t="n">
        <f aca="false">COUNTBLANK(A1885:N1885)</f>
        <v>0</v>
      </c>
      <c r="R1885" s="7" t="n">
        <f aca="false">IF(A1885="",0,COUNTIFS($A$2:$A$3058,A1885,$P$2:$P$3058,"OK"))</f>
        <v>1</v>
      </c>
      <c r="S1885" s="7" t="str">
        <f aca="false">IF(OR(A1885="",P1885="DUP",R1885&lt;2),"",IF(Q1885=_xlfn.MINIFS($Q$2:$Q$3058,$A$2:$A$3058,A1885,$P$2:$P$3058,"OK"),"KEEP","DROP"))</f>
        <v/>
      </c>
      <c r="T1885" s="9" t="n">
        <f aca="false">IF(A1885="",1,0)</f>
        <v>0</v>
      </c>
      <c r="U1885" s="9" t="n">
        <f aca="false">IF(D1885="",1,0)</f>
        <v>0</v>
      </c>
      <c r="V1885" s="9" t="n">
        <f aca="false">IF(E1885="",1,0)</f>
        <v>0</v>
      </c>
      <c r="W1885" s="9" t="n">
        <f aca="false">IF(OR(H1885&lt;1,H1885&gt;10),1,0)</f>
        <v>0</v>
      </c>
      <c r="X1885" s="9" t="n">
        <f aca="false">IF(OR(I1885&lt;=0,I1885&gt;1500),1,0)</f>
        <v>0</v>
      </c>
      <c r="Y1885" s="9" t="n">
        <f aca="false">IF(J1885&gt;H1885*I1885,1,0)</f>
        <v>0</v>
      </c>
      <c r="Z1885" s="9" t="n">
        <f aca="false">IF(AND(N1885&lt;&gt;"",OR(N1885&lt;1,N1885&gt;5)),1,0)</f>
        <v>0</v>
      </c>
      <c r="AA1885" s="9" t="n">
        <f aca="false">IF(AND(M1885&lt;&gt;"",OR(M1885&lt;5,M1885&gt;180)),1,0)</f>
        <v>0</v>
      </c>
      <c r="AB1885" s="7" t="str">
        <f aca="false">IF(P1885="DUP","Exact duplicate row",IF(T1885=1,"Missing Order ID",IF(S1885="DROP","Duplicate Order ID (less complete row)",IF(U1885=1,"Missing Customer ID",IF(V1885=1,"Missing Restaurant name",IF(W1885=1,"Invalid/outlier quantity",IF(X1885=1,"Invalid/outlier unit price",IF(Y1885=1,"Discount greater than order value",""))))))))</f>
        <v/>
      </c>
      <c r="AC1885" s="7" t="str">
        <f aca="false">IF(AB1885="","KEEP","DROP")</f>
        <v>KEEP</v>
      </c>
      <c r="AD1885" s="7" t="str">
        <f aca="false">IF(TRIM(F1885)="",IFERROR(INDEX(Map_Tables!$I$4:$I$37,MATCH(TRIM(E1885),Map_Tables!$G$4:$G$37,0)),""),IFERROR(INDEX(Map_Tables!$B$4:$B$18,MATCH(TRIM(F1885),Map_Tables!$A$4:$A$18,0)),"CHECK"))</f>
        <v>Mumbai</v>
      </c>
      <c r="AE1885" s="7" t="str">
        <f aca="false">IF(TRIM(E1885)="","",IFERROR(INDEX(Map_Tables!$H$4:$H$37,MATCH(TRIM(E1885),Map_Tables!$G$4:$G$37,0)),"CHECK"))</f>
        <v>Curry Leaf Kitchen</v>
      </c>
      <c r="AF1885" s="7" t="str">
        <f aca="false">IF(TRIM(K1885)="","Unknown",IFERROR(INDEX(Map_Tables!$E$4:$E$15,MATCH(TRIM(K1885),Map_Tables!$D$4:$D$15,0)),"CHECK"))</f>
        <v>Debit Card</v>
      </c>
      <c r="AG1885" s="7" t="str">
        <f aca="false">IF(LEFT(LOWER(TRIM(L1885)),6)="cancel","Cancelled","Delivered")</f>
        <v>Delivered</v>
      </c>
      <c r="AH1885" s="10" t="n">
        <f aca="false">IF(ISNUMBER(SEARCH("/",B1885)),DATE(VALUE(RIGHT(B1885,4)),VALUE(MID(B1885,4,2)),VALUE(LEFT(B1885,2))),IF(MID(B1885,5,1)="-",DATE(VALUE(LEFT(B1885,4)),VALUE(MID(B1885,6,2)),VALUE(RIGHT(B1885,2))),DATE(VALUE(RIGHT(B1885,4)),MATCH(MID(B1885,4,3),{"Jan","Feb","Mar","Apr","May","Jun","Jul","Aug","Sep","Oct","Nov","Dec"},0),VALUE(LEFT(B1885,2)))))</f>
        <v>45878</v>
      </c>
    </row>
    <row r="1886" customFormat="false" ht="15" hidden="false" customHeight="false" outlineLevel="0" collapsed="false">
      <c r="A1886" s="7" t="s">
        <v>4574</v>
      </c>
      <c r="B1886" s="7" t="s">
        <v>2026</v>
      </c>
      <c r="C1886" s="7" t="s">
        <v>4575</v>
      </c>
      <c r="D1886" s="7" t="s">
        <v>4576</v>
      </c>
      <c r="E1886" s="7" t="s">
        <v>388</v>
      </c>
      <c r="F1886" s="7" t="s">
        <v>136</v>
      </c>
      <c r="G1886" s="7" t="s">
        <v>90</v>
      </c>
      <c r="H1886" s="7" t="n">
        <v>1</v>
      </c>
      <c r="I1886" s="7" t="n">
        <v>280</v>
      </c>
      <c r="J1886" s="7" t="n">
        <v>100</v>
      </c>
      <c r="K1886" s="7" t="s">
        <v>112</v>
      </c>
      <c r="L1886" s="7" t="s">
        <v>194</v>
      </c>
      <c r="M1886" s="7" t="n">
        <v>21</v>
      </c>
      <c r="N1886" s="7" t="n">
        <v>5</v>
      </c>
      <c r="O1886" s="7" t="str">
        <f aca="false">A1886&amp;"|"&amp;B1886&amp;"|"&amp;C1886&amp;"|"&amp;D1886&amp;"|"&amp;E1886&amp;"|"&amp;F1886&amp;"|"&amp;G1886&amp;"|"&amp;H1886&amp;"|"&amp;I1886&amp;"|"&amp;J1886&amp;"|"&amp;K1886&amp;"|"&amp;L1886&amp;"|"&amp;M1886&amp;"|"&amp;N1886</f>
        <v>ORD12692|2025-11-28|01:48|C0235|Maratha Thali House |Pune|North Indian|1|280|100|Cash on Delivery|Delivered|21|5</v>
      </c>
      <c r="P1886" s="7" t="str">
        <f aca="false">IF(COUNTIF($O$2:O1886,O1886)&gt;1,"DUP","OK")</f>
        <v>OK</v>
      </c>
      <c r="Q1886" s="7" t="n">
        <f aca="false">COUNTBLANK(A1886:N1886)</f>
        <v>0</v>
      </c>
      <c r="R1886" s="7" t="n">
        <f aca="false">IF(A1886="",0,COUNTIFS($A$2:$A$3058,A1886,$P$2:$P$3058,"OK"))</f>
        <v>1</v>
      </c>
      <c r="S1886" s="7" t="str">
        <f aca="false">IF(OR(A1886="",P1886="DUP",R1886&lt;2),"",IF(Q1886=_xlfn.MINIFS($Q$2:$Q$3058,$A$2:$A$3058,A1886,$P$2:$P$3058,"OK"),"KEEP","DROP"))</f>
        <v/>
      </c>
      <c r="T1886" s="9" t="n">
        <f aca="false">IF(A1886="",1,0)</f>
        <v>0</v>
      </c>
      <c r="U1886" s="9" t="n">
        <f aca="false">IF(D1886="",1,0)</f>
        <v>0</v>
      </c>
      <c r="V1886" s="9" t="n">
        <f aca="false">IF(E1886="",1,0)</f>
        <v>0</v>
      </c>
      <c r="W1886" s="9" t="n">
        <f aca="false">IF(OR(H1886&lt;1,H1886&gt;10),1,0)</f>
        <v>0</v>
      </c>
      <c r="X1886" s="9" t="n">
        <f aca="false">IF(OR(I1886&lt;=0,I1886&gt;1500),1,0)</f>
        <v>0</v>
      </c>
      <c r="Y1886" s="9" t="n">
        <f aca="false">IF(J1886&gt;H1886*I1886,1,0)</f>
        <v>0</v>
      </c>
      <c r="Z1886" s="9" t="n">
        <f aca="false">IF(AND(N1886&lt;&gt;"",OR(N1886&lt;1,N1886&gt;5)),1,0)</f>
        <v>0</v>
      </c>
      <c r="AA1886" s="9" t="n">
        <f aca="false">IF(AND(M1886&lt;&gt;"",OR(M1886&lt;5,M1886&gt;180)),1,0)</f>
        <v>0</v>
      </c>
      <c r="AB1886" s="7" t="str">
        <f aca="false">IF(P1886="DUP","Exact duplicate row",IF(T1886=1,"Missing Order ID",IF(S1886="DROP","Duplicate Order ID (less complete row)",IF(U1886=1,"Missing Customer ID",IF(V1886=1,"Missing Restaurant name",IF(W1886=1,"Invalid/outlier quantity",IF(X1886=1,"Invalid/outlier unit price",IF(Y1886=1,"Discount greater than order value",""))))))))</f>
        <v/>
      </c>
      <c r="AC1886" s="7" t="str">
        <f aca="false">IF(AB1886="","KEEP","DROP")</f>
        <v>KEEP</v>
      </c>
      <c r="AD1886" s="7" t="str">
        <f aca="false">IF(TRIM(F1886)="",IFERROR(INDEX(Map_Tables!$I$4:$I$37,MATCH(TRIM(E1886),Map_Tables!$G$4:$G$37,0)),""),IFERROR(INDEX(Map_Tables!$B$4:$B$18,MATCH(TRIM(F1886),Map_Tables!$A$4:$A$18,0)),"CHECK"))</f>
        <v>Pune</v>
      </c>
      <c r="AE1886" s="7" t="str">
        <f aca="false">IF(TRIM(E1886)="","",IFERROR(INDEX(Map_Tables!$H$4:$H$37,MATCH(TRIM(E1886),Map_Tables!$G$4:$G$37,0)),"CHECK"))</f>
        <v>Maratha Thali House</v>
      </c>
      <c r="AF1886" s="7" t="str">
        <f aca="false">IF(TRIM(K1886)="","Unknown",IFERROR(INDEX(Map_Tables!$E$4:$E$15,MATCH(TRIM(K1886),Map_Tables!$D$4:$D$15,0)),"CHECK"))</f>
        <v>Cash on Delivery</v>
      </c>
      <c r="AG1886" s="7" t="str">
        <f aca="false">IF(LEFT(LOWER(TRIM(L1886)),6)="cancel","Cancelled","Delivered")</f>
        <v>Delivered</v>
      </c>
      <c r="AH1886" s="10" t="n">
        <f aca="false">IF(ISNUMBER(SEARCH("/",B1886)),DATE(VALUE(RIGHT(B1886,4)),VALUE(MID(B1886,4,2)),VALUE(LEFT(B1886,2))),IF(MID(B1886,5,1)="-",DATE(VALUE(LEFT(B1886,4)),VALUE(MID(B1886,6,2)),VALUE(RIGHT(B1886,2))),DATE(VALUE(RIGHT(B1886,4)),MATCH(MID(B1886,4,3),{"Jan","Feb","Mar","Apr","May","Jun","Jul","Aug","Sep","Oct","Nov","Dec"},0),VALUE(LEFT(B1886,2)))))</f>
        <v>45989</v>
      </c>
    </row>
    <row r="1887" customFormat="false" ht="15" hidden="false" customHeight="false" outlineLevel="0" collapsed="false">
      <c r="A1887" s="7" t="s">
        <v>4577</v>
      </c>
      <c r="B1887" s="7" t="s">
        <v>1711</v>
      </c>
      <c r="C1887" s="7" t="s">
        <v>2898</v>
      </c>
      <c r="D1887" s="7" t="s">
        <v>1815</v>
      </c>
      <c r="E1887" s="7" t="s">
        <v>98</v>
      </c>
      <c r="F1887" s="7" t="s">
        <v>86</v>
      </c>
      <c r="G1887" s="7" t="s">
        <v>99</v>
      </c>
      <c r="H1887" s="7" t="n">
        <v>1</v>
      </c>
      <c r="I1887" s="7" t="n">
        <v>230</v>
      </c>
      <c r="J1887" s="7" t="n">
        <v>0</v>
      </c>
      <c r="K1887" s="7" t="s">
        <v>88</v>
      </c>
      <c r="L1887" s="7" t="s">
        <v>238</v>
      </c>
      <c r="M1887" s="7"/>
      <c r="N1887" s="7"/>
      <c r="O1887" s="7" t="str">
        <f aca="false">A1887&amp;"|"&amp;B1887&amp;"|"&amp;C1887&amp;"|"&amp;D1887&amp;"|"&amp;E1887&amp;"|"&amp;F1887&amp;"|"&amp;G1887&amp;"|"&amp;H1887&amp;"|"&amp;I1887&amp;"|"&amp;J1887&amp;"|"&amp;K1887&amp;"|"&amp;L1887&amp;"|"&amp;M1887&amp;"|"&amp;N1887</f>
        <v>ORD12126|2025-09-30|13:54|C0231|Nawabi Biryani House|Bengaluru|Biryani|1|230|0|UPI|Cancelled||</v>
      </c>
      <c r="P1887" s="7" t="str">
        <f aca="false">IF(COUNTIF($O$2:O1887,O1887)&gt;1,"DUP","OK")</f>
        <v>OK</v>
      </c>
      <c r="Q1887" s="7" t="n">
        <f aca="false">COUNTBLANK(A1887:N1887)</f>
        <v>2</v>
      </c>
      <c r="R1887" s="7" t="n">
        <f aca="false">IF(A1887="",0,COUNTIFS($A$2:$A$3058,A1887,$P$2:$P$3058,"OK"))</f>
        <v>1</v>
      </c>
      <c r="S1887" s="7" t="str">
        <f aca="false">IF(OR(A1887="",P1887="DUP",R1887&lt;2),"",IF(Q1887=_xlfn.MINIFS($Q$2:$Q$3058,$A$2:$A$3058,A1887,$P$2:$P$3058,"OK"),"KEEP","DROP"))</f>
        <v/>
      </c>
      <c r="T1887" s="9" t="n">
        <f aca="false">IF(A1887="",1,0)</f>
        <v>0</v>
      </c>
      <c r="U1887" s="9" t="n">
        <f aca="false">IF(D1887="",1,0)</f>
        <v>0</v>
      </c>
      <c r="V1887" s="9" t="n">
        <f aca="false">IF(E1887="",1,0)</f>
        <v>0</v>
      </c>
      <c r="W1887" s="9" t="n">
        <f aca="false">IF(OR(H1887&lt;1,H1887&gt;10),1,0)</f>
        <v>0</v>
      </c>
      <c r="X1887" s="9" t="n">
        <f aca="false">IF(OR(I1887&lt;=0,I1887&gt;1500),1,0)</f>
        <v>0</v>
      </c>
      <c r="Y1887" s="9" t="n">
        <f aca="false">IF(J1887&gt;H1887*I1887,1,0)</f>
        <v>0</v>
      </c>
      <c r="Z1887" s="9" t="n">
        <f aca="false">IF(AND(N1887&lt;&gt;"",OR(N1887&lt;1,N1887&gt;5)),1,0)</f>
        <v>0</v>
      </c>
      <c r="AA1887" s="9" t="n">
        <f aca="false">IF(AND(M1887&lt;&gt;"",OR(M1887&lt;5,M1887&gt;180)),1,0)</f>
        <v>0</v>
      </c>
      <c r="AB1887" s="7" t="str">
        <f aca="false">IF(P1887="DUP","Exact duplicate row",IF(T1887=1,"Missing Order ID",IF(S1887="DROP","Duplicate Order ID (less complete row)",IF(U1887=1,"Missing Customer ID",IF(V1887=1,"Missing Restaurant name",IF(W1887=1,"Invalid/outlier quantity",IF(X1887=1,"Invalid/outlier unit price",IF(Y1887=1,"Discount greater than order value",""))))))))</f>
        <v/>
      </c>
      <c r="AC1887" s="7" t="str">
        <f aca="false">IF(AB1887="","KEEP","DROP")</f>
        <v>KEEP</v>
      </c>
      <c r="AD1887" s="7" t="str">
        <f aca="false">IF(TRIM(F1887)="",IFERROR(INDEX(Map_Tables!$I$4:$I$37,MATCH(TRIM(E1887),Map_Tables!$G$4:$G$37,0)),""),IFERROR(INDEX(Map_Tables!$B$4:$B$18,MATCH(TRIM(F1887),Map_Tables!$A$4:$A$18,0)),"CHECK"))</f>
        <v>Bengaluru</v>
      </c>
      <c r="AE1887" s="7" t="str">
        <f aca="false">IF(TRIM(E1887)="","",IFERROR(INDEX(Map_Tables!$H$4:$H$37,MATCH(TRIM(E1887),Map_Tables!$G$4:$G$37,0)),"CHECK"))</f>
        <v>Nawabi Biryani House</v>
      </c>
      <c r="AF1887" s="7" t="str">
        <f aca="false">IF(TRIM(K1887)="","Unknown",IFERROR(INDEX(Map_Tables!$E$4:$E$15,MATCH(TRIM(K1887),Map_Tables!$D$4:$D$15,0)),"CHECK"))</f>
        <v>UPI</v>
      </c>
      <c r="AG1887" s="7" t="str">
        <f aca="false">IF(LEFT(LOWER(TRIM(L1887)),6)="cancel","Cancelled","Delivered")</f>
        <v>Cancelled</v>
      </c>
      <c r="AH1887" s="10" t="n">
        <f aca="false">IF(ISNUMBER(SEARCH("/",B1887)),DATE(VALUE(RIGHT(B1887,4)),VALUE(MID(B1887,4,2)),VALUE(LEFT(B1887,2))),IF(MID(B1887,5,1)="-",DATE(VALUE(LEFT(B1887,4)),VALUE(MID(B1887,6,2)),VALUE(RIGHT(B1887,2))),DATE(VALUE(RIGHT(B1887,4)),MATCH(MID(B1887,4,3),{"Jan","Feb","Mar","Apr","May","Jun","Jul","Aug","Sep","Oct","Nov","Dec"},0),VALUE(LEFT(B1887,2)))))</f>
        <v>45930</v>
      </c>
    </row>
    <row r="1888" customFormat="false" ht="15" hidden="false" customHeight="false" outlineLevel="0" collapsed="false">
      <c r="A1888" s="7" t="s">
        <v>4578</v>
      </c>
      <c r="B1888" s="7" t="s">
        <v>4579</v>
      </c>
      <c r="C1888" s="7" t="s">
        <v>4580</v>
      </c>
      <c r="D1888" s="7" t="s">
        <v>4581</v>
      </c>
      <c r="E1888" s="7" t="s">
        <v>104</v>
      </c>
      <c r="F1888" s="7" t="s">
        <v>86</v>
      </c>
      <c r="G1888" s="7" t="s">
        <v>105</v>
      </c>
      <c r="H1888" s="7" t="n">
        <v>2</v>
      </c>
      <c r="I1888" s="7" t="n">
        <v>215</v>
      </c>
      <c r="J1888" s="7" t="n">
        <v>125</v>
      </c>
      <c r="K1888" s="7" t="s">
        <v>93</v>
      </c>
      <c r="L1888" s="7" t="s">
        <v>220</v>
      </c>
      <c r="M1888" s="7" t="n">
        <v>44</v>
      </c>
      <c r="N1888" s="7" t="n">
        <v>3</v>
      </c>
      <c r="O1888" s="7" t="str">
        <f aca="false">A1888&amp;"|"&amp;B1888&amp;"|"&amp;C1888&amp;"|"&amp;D1888&amp;"|"&amp;E1888&amp;"|"&amp;F1888&amp;"|"&amp;G1888&amp;"|"&amp;H1888&amp;"|"&amp;I1888&amp;"|"&amp;J1888&amp;"|"&amp;K1888&amp;"|"&amp;L1888&amp;"|"&amp;M1888&amp;"|"&amp;N1888</f>
        <v>ORD10919|2025-04-26|08:52|C0891|Wok &amp; Roll|Bengaluru|Chinese|2|215|125|Credit Card|DELIVERED|44|3</v>
      </c>
      <c r="P1888" s="7" t="str">
        <f aca="false">IF(COUNTIF($O$2:O1888,O1888)&gt;1,"DUP","OK")</f>
        <v>OK</v>
      </c>
      <c r="Q1888" s="7" t="n">
        <f aca="false">COUNTBLANK(A1888:N1888)</f>
        <v>0</v>
      </c>
      <c r="R1888" s="7" t="n">
        <f aca="false">IF(A1888="",0,COUNTIFS($A$2:$A$3058,A1888,$P$2:$P$3058,"OK"))</f>
        <v>1</v>
      </c>
      <c r="S1888" s="7" t="str">
        <f aca="false">IF(OR(A1888="",P1888="DUP",R1888&lt;2),"",IF(Q1888=_xlfn.MINIFS($Q$2:$Q$3058,$A$2:$A$3058,A1888,$P$2:$P$3058,"OK"),"KEEP","DROP"))</f>
        <v/>
      </c>
      <c r="T1888" s="9" t="n">
        <f aca="false">IF(A1888="",1,0)</f>
        <v>0</v>
      </c>
      <c r="U1888" s="9" t="n">
        <f aca="false">IF(D1888="",1,0)</f>
        <v>0</v>
      </c>
      <c r="V1888" s="9" t="n">
        <f aca="false">IF(E1888="",1,0)</f>
        <v>0</v>
      </c>
      <c r="W1888" s="9" t="n">
        <f aca="false">IF(OR(H1888&lt;1,H1888&gt;10),1,0)</f>
        <v>0</v>
      </c>
      <c r="X1888" s="9" t="n">
        <f aca="false">IF(OR(I1888&lt;=0,I1888&gt;1500),1,0)</f>
        <v>0</v>
      </c>
      <c r="Y1888" s="9" t="n">
        <f aca="false">IF(J1888&gt;H1888*I1888,1,0)</f>
        <v>0</v>
      </c>
      <c r="Z1888" s="9" t="n">
        <f aca="false">IF(AND(N1888&lt;&gt;"",OR(N1888&lt;1,N1888&gt;5)),1,0)</f>
        <v>0</v>
      </c>
      <c r="AA1888" s="9" t="n">
        <f aca="false">IF(AND(M1888&lt;&gt;"",OR(M1888&lt;5,M1888&gt;180)),1,0)</f>
        <v>0</v>
      </c>
      <c r="AB1888" s="7" t="str">
        <f aca="false">IF(P1888="DUP","Exact duplicate row",IF(T1888=1,"Missing Order ID",IF(S1888="DROP","Duplicate Order ID (less complete row)",IF(U1888=1,"Missing Customer ID",IF(V1888=1,"Missing Restaurant name",IF(W1888=1,"Invalid/outlier quantity",IF(X1888=1,"Invalid/outlier unit price",IF(Y1888=1,"Discount greater than order value",""))))))))</f>
        <v/>
      </c>
      <c r="AC1888" s="7" t="str">
        <f aca="false">IF(AB1888="","KEEP","DROP")</f>
        <v>KEEP</v>
      </c>
      <c r="AD1888" s="7" t="str">
        <f aca="false">IF(TRIM(F1888)="",IFERROR(INDEX(Map_Tables!$I$4:$I$37,MATCH(TRIM(E1888),Map_Tables!$G$4:$G$37,0)),""),IFERROR(INDEX(Map_Tables!$B$4:$B$18,MATCH(TRIM(F1888),Map_Tables!$A$4:$A$18,0)),"CHECK"))</f>
        <v>Bengaluru</v>
      </c>
      <c r="AE1888" s="7" t="str">
        <f aca="false">IF(TRIM(E1888)="","",IFERROR(INDEX(Map_Tables!$H$4:$H$37,MATCH(TRIM(E1888),Map_Tables!$G$4:$G$37,0)),"CHECK"))</f>
        <v>Wok &amp; Roll</v>
      </c>
      <c r="AF1888" s="7" t="str">
        <f aca="false">IF(TRIM(K1888)="","Unknown",IFERROR(INDEX(Map_Tables!$E$4:$E$15,MATCH(TRIM(K1888),Map_Tables!$D$4:$D$15,0)),"CHECK"))</f>
        <v>Credit Card</v>
      </c>
      <c r="AG1888" s="7" t="str">
        <f aca="false">IF(LEFT(LOWER(TRIM(L1888)),6)="cancel","Cancelled","Delivered")</f>
        <v>Delivered</v>
      </c>
      <c r="AH1888" s="10" t="n">
        <f aca="false">IF(ISNUMBER(SEARCH("/",B1888)),DATE(VALUE(RIGHT(B1888,4)),VALUE(MID(B1888,4,2)),VALUE(LEFT(B1888,2))),IF(MID(B1888,5,1)="-",DATE(VALUE(LEFT(B1888,4)),VALUE(MID(B1888,6,2)),VALUE(RIGHT(B1888,2))),DATE(VALUE(RIGHT(B1888,4)),MATCH(MID(B1888,4,3),{"Jan","Feb","Mar","Apr","May","Jun","Jul","Aug","Sep","Oct","Nov","Dec"},0),VALUE(LEFT(B1888,2)))))</f>
        <v>45773</v>
      </c>
    </row>
    <row r="1889" customFormat="false" ht="15" hidden="false" customHeight="false" outlineLevel="0" collapsed="false">
      <c r="A1889" s="7" t="s">
        <v>4582</v>
      </c>
      <c r="B1889" s="7" t="s">
        <v>1663</v>
      </c>
      <c r="C1889" s="7" t="s">
        <v>4261</v>
      </c>
      <c r="D1889" s="7" t="s">
        <v>2883</v>
      </c>
      <c r="E1889" s="7" t="s">
        <v>149</v>
      </c>
      <c r="F1889" s="7" t="s">
        <v>119</v>
      </c>
      <c r="G1889" s="7" t="s">
        <v>150</v>
      </c>
      <c r="H1889" s="7" t="n">
        <v>1</v>
      </c>
      <c r="I1889" s="7" t="n">
        <v>150</v>
      </c>
      <c r="J1889" s="7" t="n">
        <v>0</v>
      </c>
      <c r="K1889" s="7" t="s">
        <v>112</v>
      </c>
      <c r="L1889" s="7" t="s">
        <v>194</v>
      </c>
      <c r="M1889" s="7" t="n">
        <v>40</v>
      </c>
      <c r="N1889" s="7" t="n">
        <v>5</v>
      </c>
      <c r="O1889" s="7" t="str">
        <f aca="false">A1889&amp;"|"&amp;B1889&amp;"|"&amp;C1889&amp;"|"&amp;D1889&amp;"|"&amp;E1889&amp;"|"&amp;F1889&amp;"|"&amp;G1889&amp;"|"&amp;H1889&amp;"|"&amp;I1889&amp;"|"&amp;J1889&amp;"|"&amp;K1889&amp;"|"&amp;L1889&amp;"|"&amp;M1889&amp;"|"&amp;N1889</f>
        <v>ORD11080|2025-05-17|16:36|C1272|Sweet Tooth Studio|Hyderabad|Desserts|1|150|0|Cash on Delivery|Delivered|40|5</v>
      </c>
      <c r="P1889" s="7" t="str">
        <f aca="false">IF(COUNTIF($O$2:O1889,O1889)&gt;1,"DUP","OK")</f>
        <v>OK</v>
      </c>
      <c r="Q1889" s="7" t="n">
        <f aca="false">COUNTBLANK(A1889:N1889)</f>
        <v>0</v>
      </c>
      <c r="R1889" s="7" t="n">
        <f aca="false">IF(A1889="",0,COUNTIFS($A$2:$A$3058,A1889,$P$2:$P$3058,"OK"))</f>
        <v>1</v>
      </c>
      <c r="S1889" s="7" t="str">
        <f aca="false">IF(OR(A1889="",P1889="DUP",R1889&lt;2),"",IF(Q1889=_xlfn.MINIFS($Q$2:$Q$3058,$A$2:$A$3058,A1889,$P$2:$P$3058,"OK"),"KEEP","DROP"))</f>
        <v/>
      </c>
      <c r="T1889" s="9" t="n">
        <f aca="false">IF(A1889="",1,0)</f>
        <v>0</v>
      </c>
      <c r="U1889" s="9" t="n">
        <f aca="false">IF(D1889="",1,0)</f>
        <v>0</v>
      </c>
      <c r="V1889" s="9" t="n">
        <f aca="false">IF(E1889="",1,0)</f>
        <v>0</v>
      </c>
      <c r="W1889" s="9" t="n">
        <f aca="false">IF(OR(H1889&lt;1,H1889&gt;10),1,0)</f>
        <v>0</v>
      </c>
      <c r="X1889" s="9" t="n">
        <f aca="false">IF(OR(I1889&lt;=0,I1889&gt;1500),1,0)</f>
        <v>0</v>
      </c>
      <c r="Y1889" s="9" t="n">
        <f aca="false">IF(J1889&gt;H1889*I1889,1,0)</f>
        <v>0</v>
      </c>
      <c r="Z1889" s="9" t="n">
        <f aca="false">IF(AND(N1889&lt;&gt;"",OR(N1889&lt;1,N1889&gt;5)),1,0)</f>
        <v>0</v>
      </c>
      <c r="AA1889" s="9" t="n">
        <f aca="false">IF(AND(M1889&lt;&gt;"",OR(M1889&lt;5,M1889&gt;180)),1,0)</f>
        <v>0</v>
      </c>
      <c r="AB1889" s="7" t="str">
        <f aca="false">IF(P1889="DUP","Exact duplicate row",IF(T1889=1,"Missing Order ID",IF(S1889="DROP","Duplicate Order ID (less complete row)",IF(U1889=1,"Missing Customer ID",IF(V1889=1,"Missing Restaurant name",IF(W1889=1,"Invalid/outlier quantity",IF(X1889=1,"Invalid/outlier unit price",IF(Y1889=1,"Discount greater than order value",""))))))))</f>
        <v/>
      </c>
      <c r="AC1889" s="7" t="str">
        <f aca="false">IF(AB1889="","KEEP","DROP")</f>
        <v>KEEP</v>
      </c>
      <c r="AD1889" s="7" t="str">
        <f aca="false">IF(TRIM(F1889)="",IFERROR(INDEX(Map_Tables!$I$4:$I$37,MATCH(TRIM(E1889),Map_Tables!$G$4:$G$37,0)),""),IFERROR(INDEX(Map_Tables!$B$4:$B$18,MATCH(TRIM(F1889),Map_Tables!$A$4:$A$18,0)),"CHECK"))</f>
        <v>Hyderabad</v>
      </c>
      <c r="AE1889" s="7" t="str">
        <f aca="false">IF(TRIM(E1889)="","",IFERROR(INDEX(Map_Tables!$H$4:$H$37,MATCH(TRIM(E1889),Map_Tables!$G$4:$G$37,0)),"CHECK"))</f>
        <v>Sweet Tooth Studio</v>
      </c>
      <c r="AF1889" s="7" t="str">
        <f aca="false">IF(TRIM(K1889)="","Unknown",IFERROR(INDEX(Map_Tables!$E$4:$E$15,MATCH(TRIM(K1889),Map_Tables!$D$4:$D$15,0)),"CHECK"))</f>
        <v>Cash on Delivery</v>
      </c>
      <c r="AG1889" s="7" t="str">
        <f aca="false">IF(LEFT(LOWER(TRIM(L1889)),6)="cancel","Cancelled","Delivered")</f>
        <v>Delivered</v>
      </c>
      <c r="AH1889" s="10" t="n">
        <f aca="false">IF(ISNUMBER(SEARCH("/",B1889)),DATE(VALUE(RIGHT(B1889,4)),VALUE(MID(B1889,4,2)),VALUE(LEFT(B1889,2))),IF(MID(B1889,5,1)="-",DATE(VALUE(LEFT(B1889,4)),VALUE(MID(B1889,6,2)),VALUE(RIGHT(B1889,2))),DATE(VALUE(RIGHT(B1889,4)),MATCH(MID(B1889,4,3),{"Jan","Feb","Mar","Apr","May","Jun","Jul","Aug","Sep","Oct","Nov","Dec"},0),VALUE(LEFT(B1889,2)))))</f>
        <v>45794</v>
      </c>
    </row>
    <row r="1890" customFormat="false" ht="15" hidden="false" customHeight="false" outlineLevel="0" collapsed="false">
      <c r="A1890" s="7" t="s">
        <v>4583</v>
      </c>
      <c r="B1890" s="7" t="s">
        <v>196</v>
      </c>
      <c r="C1890" s="7" t="s">
        <v>1228</v>
      </c>
      <c r="D1890" s="7" t="s">
        <v>4584</v>
      </c>
      <c r="E1890" s="7" t="s">
        <v>166</v>
      </c>
      <c r="F1890" s="7" t="s">
        <v>146</v>
      </c>
      <c r="G1890" s="7" t="s">
        <v>117</v>
      </c>
      <c r="H1890" s="7" t="n">
        <v>2</v>
      </c>
      <c r="I1890" s="7" t="n">
        <v>95</v>
      </c>
      <c r="J1890" s="7" t="n">
        <v>240</v>
      </c>
      <c r="K1890" s="7" t="s">
        <v>88</v>
      </c>
      <c r="L1890" s="7" t="s">
        <v>194</v>
      </c>
      <c r="M1890" s="7" t="n">
        <v>35</v>
      </c>
      <c r="N1890" s="7" t="n">
        <v>4</v>
      </c>
      <c r="O1890" s="7" t="str">
        <f aca="false">A1890&amp;"|"&amp;B1890&amp;"|"&amp;C1890&amp;"|"&amp;D1890&amp;"|"&amp;E1890&amp;"|"&amp;F1890&amp;"|"&amp;G1890&amp;"|"&amp;H1890&amp;"|"&amp;I1890&amp;"|"&amp;J1890&amp;"|"&amp;K1890&amp;"|"&amp;L1890&amp;"|"&amp;M1890&amp;"|"&amp;N1890</f>
        <v>ORD12669|2025-11-24|21:00|C0529|Dhokla Delight|Ahmedabad|Street Food|2|95|240|UPI|Delivered|35|4</v>
      </c>
      <c r="P1890" s="7" t="str">
        <f aca="false">IF(COUNTIF($O$2:O1890,O1890)&gt;1,"DUP","OK")</f>
        <v>OK</v>
      </c>
      <c r="Q1890" s="7" t="n">
        <f aca="false">COUNTBLANK(A1890:N1890)</f>
        <v>0</v>
      </c>
      <c r="R1890" s="7" t="n">
        <f aca="false">IF(A1890="",0,COUNTIFS($A$2:$A$3058,A1890,$P$2:$P$3058,"OK"))</f>
        <v>2</v>
      </c>
      <c r="S1890" s="7" t="str">
        <f aca="false">IF(OR(A1890="",P1890="DUP",R1890&lt;2),"",IF(Q1890=_xlfn.MINIFS($Q$2:$Q$3058,$A$2:$A$3058,A1890,$P$2:$P$3058,"OK"),"KEEP","DROP"))</f>
        <v>KEEP</v>
      </c>
      <c r="T1890" s="9" t="n">
        <f aca="false">IF(A1890="",1,0)</f>
        <v>0</v>
      </c>
      <c r="U1890" s="9" t="n">
        <f aca="false">IF(D1890="",1,0)</f>
        <v>0</v>
      </c>
      <c r="V1890" s="9" t="n">
        <f aca="false">IF(E1890="",1,0)</f>
        <v>0</v>
      </c>
      <c r="W1890" s="9" t="n">
        <f aca="false">IF(OR(H1890&lt;1,H1890&gt;10),1,0)</f>
        <v>0</v>
      </c>
      <c r="X1890" s="9" t="n">
        <f aca="false">IF(OR(I1890&lt;=0,I1890&gt;1500),1,0)</f>
        <v>0</v>
      </c>
      <c r="Y1890" s="9" t="n">
        <f aca="false">IF(J1890&gt;H1890*I1890,1,0)</f>
        <v>1</v>
      </c>
      <c r="Z1890" s="9" t="n">
        <f aca="false">IF(AND(N1890&lt;&gt;"",OR(N1890&lt;1,N1890&gt;5)),1,0)</f>
        <v>0</v>
      </c>
      <c r="AA1890" s="9" t="n">
        <f aca="false">IF(AND(M1890&lt;&gt;"",OR(M1890&lt;5,M1890&gt;180)),1,0)</f>
        <v>0</v>
      </c>
      <c r="AB1890" s="7" t="str">
        <f aca="false">IF(P1890="DUP","Exact duplicate row",IF(T1890=1,"Missing Order ID",IF(S1890="DROP","Duplicate Order ID (less complete row)",IF(U1890=1,"Missing Customer ID",IF(V1890=1,"Missing Restaurant name",IF(W1890=1,"Invalid/outlier quantity",IF(X1890=1,"Invalid/outlier unit price",IF(Y1890=1,"Discount greater than order value",""))))))))</f>
        <v>Discount greater than order value</v>
      </c>
      <c r="AC1890" s="7" t="str">
        <f aca="false">IF(AB1890="","KEEP","DROP")</f>
        <v>DROP</v>
      </c>
      <c r="AD1890" s="7" t="str">
        <f aca="false">IF(TRIM(F1890)="",IFERROR(INDEX(Map_Tables!$I$4:$I$37,MATCH(TRIM(E1890),Map_Tables!$G$4:$G$37,0)),""),IFERROR(INDEX(Map_Tables!$B$4:$B$18,MATCH(TRIM(F1890),Map_Tables!$A$4:$A$18,0)),"CHECK"))</f>
        <v>Ahmedabad</v>
      </c>
      <c r="AE1890" s="7" t="str">
        <f aca="false">IF(TRIM(E1890)="","",IFERROR(INDEX(Map_Tables!$H$4:$H$37,MATCH(TRIM(E1890),Map_Tables!$G$4:$G$37,0)),"CHECK"))</f>
        <v>Dhokla Delight</v>
      </c>
      <c r="AF1890" s="7" t="str">
        <f aca="false">IF(TRIM(K1890)="","Unknown",IFERROR(INDEX(Map_Tables!$E$4:$E$15,MATCH(TRIM(K1890),Map_Tables!$D$4:$D$15,0)),"CHECK"))</f>
        <v>UPI</v>
      </c>
      <c r="AG1890" s="7" t="str">
        <f aca="false">IF(LEFT(LOWER(TRIM(L1890)),6)="cancel","Cancelled","Delivered")</f>
        <v>Delivered</v>
      </c>
      <c r="AH1890" s="10" t="n">
        <f aca="false">IF(ISNUMBER(SEARCH("/",B1890)),DATE(VALUE(RIGHT(B1890,4)),VALUE(MID(B1890,4,2)),VALUE(LEFT(B1890,2))),IF(MID(B1890,5,1)="-",DATE(VALUE(LEFT(B1890,4)),VALUE(MID(B1890,6,2)),VALUE(RIGHT(B1890,2))),DATE(VALUE(RIGHT(B1890,4)),MATCH(MID(B1890,4,3),{"Jan","Feb","Mar","Apr","May","Jun","Jul","Aug","Sep","Oct","Nov","Dec"},0),VALUE(LEFT(B1890,2)))))</f>
        <v>45985</v>
      </c>
    </row>
    <row r="1891" customFormat="false" ht="15" hidden="false" customHeight="false" outlineLevel="0" collapsed="false">
      <c r="A1891" s="7" t="s">
        <v>4585</v>
      </c>
      <c r="B1891" s="7" t="s">
        <v>271</v>
      </c>
      <c r="C1891" s="7" t="s">
        <v>655</v>
      </c>
      <c r="D1891" s="7" t="s">
        <v>4586</v>
      </c>
      <c r="E1891" s="7" t="s">
        <v>104</v>
      </c>
      <c r="F1891" s="7" t="s">
        <v>86</v>
      </c>
      <c r="G1891" s="7" t="s">
        <v>105</v>
      </c>
      <c r="H1891" s="7" t="n">
        <v>1</v>
      </c>
      <c r="I1891" s="7" t="n">
        <v>220</v>
      </c>
      <c r="J1891" s="7" t="n">
        <v>0</v>
      </c>
      <c r="K1891" s="7" t="s">
        <v>88</v>
      </c>
      <c r="L1891" s="7" t="s">
        <v>194</v>
      </c>
      <c r="M1891" s="7" t="n">
        <v>34</v>
      </c>
      <c r="N1891" s="7"/>
      <c r="O1891" s="7" t="str">
        <f aca="false">A1891&amp;"|"&amp;B1891&amp;"|"&amp;C1891&amp;"|"&amp;D1891&amp;"|"&amp;E1891&amp;"|"&amp;F1891&amp;"|"&amp;G1891&amp;"|"&amp;H1891&amp;"|"&amp;I1891&amp;"|"&amp;J1891&amp;"|"&amp;K1891&amp;"|"&amp;L1891&amp;"|"&amp;M1891&amp;"|"&amp;N1891</f>
        <v>ORD10582|2025-03-15|19:22|C1329|Wok &amp; Roll|Bengaluru|Chinese|1|220|0|UPI|Delivered|34|</v>
      </c>
      <c r="P1891" s="7" t="str">
        <f aca="false">IF(COUNTIF($O$2:O1891,O1891)&gt;1,"DUP","OK")</f>
        <v>OK</v>
      </c>
      <c r="Q1891" s="7" t="n">
        <f aca="false">COUNTBLANK(A1891:N1891)</f>
        <v>1</v>
      </c>
      <c r="R1891" s="7" t="n">
        <f aca="false">IF(A1891="",0,COUNTIFS($A$2:$A$3058,A1891,$P$2:$P$3058,"OK"))</f>
        <v>1</v>
      </c>
      <c r="S1891" s="7" t="str">
        <f aca="false">IF(OR(A1891="",P1891="DUP",R1891&lt;2),"",IF(Q1891=_xlfn.MINIFS($Q$2:$Q$3058,$A$2:$A$3058,A1891,$P$2:$P$3058,"OK"),"KEEP","DROP"))</f>
        <v/>
      </c>
      <c r="T1891" s="9" t="n">
        <f aca="false">IF(A1891="",1,0)</f>
        <v>0</v>
      </c>
      <c r="U1891" s="9" t="n">
        <f aca="false">IF(D1891="",1,0)</f>
        <v>0</v>
      </c>
      <c r="V1891" s="9" t="n">
        <f aca="false">IF(E1891="",1,0)</f>
        <v>0</v>
      </c>
      <c r="W1891" s="9" t="n">
        <f aca="false">IF(OR(H1891&lt;1,H1891&gt;10),1,0)</f>
        <v>0</v>
      </c>
      <c r="X1891" s="9" t="n">
        <f aca="false">IF(OR(I1891&lt;=0,I1891&gt;1500),1,0)</f>
        <v>0</v>
      </c>
      <c r="Y1891" s="9" t="n">
        <f aca="false">IF(J1891&gt;H1891*I1891,1,0)</f>
        <v>0</v>
      </c>
      <c r="Z1891" s="9" t="n">
        <f aca="false">IF(AND(N1891&lt;&gt;"",OR(N1891&lt;1,N1891&gt;5)),1,0)</f>
        <v>0</v>
      </c>
      <c r="AA1891" s="9" t="n">
        <f aca="false">IF(AND(M1891&lt;&gt;"",OR(M1891&lt;5,M1891&gt;180)),1,0)</f>
        <v>0</v>
      </c>
      <c r="AB1891" s="7" t="str">
        <f aca="false">IF(P1891="DUP","Exact duplicate row",IF(T1891=1,"Missing Order ID",IF(S1891="DROP","Duplicate Order ID (less complete row)",IF(U1891=1,"Missing Customer ID",IF(V1891=1,"Missing Restaurant name",IF(W1891=1,"Invalid/outlier quantity",IF(X1891=1,"Invalid/outlier unit price",IF(Y1891=1,"Discount greater than order value",""))))))))</f>
        <v/>
      </c>
      <c r="AC1891" s="7" t="str">
        <f aca="false">IF(AB1891="","KEEP","DROP")</f>
        <v>KEEP</v>
      </c>
      <c r="AD1891" s="7" t="str">
        <f aca="false">IF(TRIM(F1891)="",IFERROR(INDEX(Map_Tables!$I$4:$I$37,MATCH(TRIM(E1891),Map_Tables!$G$4:$G$37,0)),""),IFERROR(INDEX(Map_Tables!$B$4:$B$18,MATCH(TRIM(F1891),Map_Tables!$A$4:$A$18,0)),"CHECK"))</f>
        <v>Bengaluru</v>
      </c>
      <c r="AE1891" s="7" t="str">
        <f aca="false">IF(TRIM(E1891)="","",IFERROR(INDEX(Map_Tables!$H$4:$H$37,MATCH(TRIM(E1891),Map_Tables!$G$4:$G$37,0)),"CHECK"))</f>
        <v>Wok &amp; Roll</v>
      </c>
      <c r="AF1891" s="7" t="str">
        <f aca="false">IF(TRIM(K1891)="","Unknown",IFERROR(INDEX(Map_Tables!$E$4:$E$15,MATCH(TRIM(K1891),Map_Tables!$D$4:$D$15,0)),"CHECK"))</f>
        <v>UPI</v>
      </c>
      <c r="AG1891" s="7" t="str">
        <f aca="false">IF(LEFT(LOWER(TRIM(L1891)),6)="cancel","Cancelled","Delivered")</f>
        <v>Delivered</v>
      </c>
      <c r="AH1891" s="10" t="n">
        <f aca="false">IF(ISNUMBER(SEARCH("/",B1891)),DATE(VALUE(RIGHT(B1891,4)),VALUE(MID(B1891,4,2)),VALUE(LEFT(B1891,2))),IF(MID(B1891,5,1)="-",DATE(VALUE(LEFT(B1891,4)),VALUE(MID(B1891,6,2)),VALUE(RIGHT(B1891,2))),DATE(VALUE(RIGHT(B1891,4)),MATCH(MID(B1891,4,3),{"Jan","Feb","Mar","Apr","May","Jun","Jul","Aug","Sep","Oct","Nov","Dec"},0),VALUE(LEFT(B1891,2)))))</f>
        <v>45731</v>
      </c>
    </row>
    <row r="1892" customFormat="false" ht="15" hidden="false" customHeight="false" outlineLevel="0" collapsed="false">
      <c r="A1892" s="7" t="s">
        <v>4587</v>
      </c>
      <c r="B1892" s="7" t="s">
        <v>3836</v>
      </c>
      <c r="C1892" s="7" t="s">
        <v>3632</v>
      </c>
      <c r="D1892" s="7" t="s">
        <v>4588</v>
      </c>
      <c r="E1892" s="7" t="s">
        <v>130</v>
      </c>
      <c r="F1892" s="7" t="s">
        <v>110</v>
      </c>
      <c r="G1892" s="7" t="s">
        <v>90</v>
      </c>
      <c r="H1892" s="7" t="n">
        <v>1</v>
      </c>
      <c r="I1892" s="7" t="n">
        <v>260</v>
      </c>
      <c r="J1892" s="7" t="n">
        <v>0</v>
      </c>
      <c r="K1892" s="7" t="s">
        <v>112</v>
      </c>
      <c r="L1892" s="7" t="s">
        <v>194</v>
      </c>
      <c r="M1892" s="7" t="n">
        <v>48</v>
      </c>
      <c r="N1892" s="7" t="n">
        <v>4</v>
      </c>
      <c r="O1892" s="7" t="str">
        <f aca="false">A1892&amp;"|"&amp;B1892&amp;"|"&amp;C1892&amp;"|"&amp;D1892&amp;"|"&amp;E1892&amp;"|"&amp;F1892&amp;"|"&amp;G1892&amp;"|"&amp;H1892&amp;"|"&amp;I1892&amp;"|"&amp;J1892&amp;"|"&amp;K1892&amp;"|"&amp;L1892&amp;"|"&amp;M1892&amp;"|"&amp;N1892</f>
        <v>ORD12804|2025-12-09|13:12|C1231|Tandoor Tales|Delhi|North Indian|1|260|0|Cash on Delivery|Delivered|48|4</v>
      </c>
      <c r="P1892" s="7" t="str">
        <f aca="false">IF(COUNTIF($O$2:O1892,O1892)&gt;1,"DUP","OK")</f>
        <v>OK</v>
      </c>
      <c r="Q1892" s="7" t="n">
        <f aca="false">COUNTBLANK(A1892:N1892)</f>
        <v>0</v>
      </c>
      <c r="R1892" s="7" t="n">
        <f aca="false">IF(A1892="",0,COUNTIFS($A$2:$A$3058,A1892,$P$2:$P$3058,"OK"))</f>
        <v>1</v>
      </c>
      <c r="S1892" s="7" t="str">
        <f aca="false">IF(OR(A1892="",P1892="DUP",R1892&lt;2),"",IF(Q1892=_xlfn.MINIFS($Q$2:$Q$3058,$A$2:$A$3058,A1892,$P$2:$P$3058,"OK"),"KEEP","DROP"))</f>
        <v/>
      </c>
      <c r="T1892" s="9" t="n">
        <f aca="false">IF(A1892="",1,0)</f>
        <v>0</v>
      </c>
      <c r="U1892" s="9" t="n">
        <f aca="false">IF(D1892="",1,0)</f>
        <v>0</v>
      </c>
      <c r="V1892" s="9" t="n">
        <f aca="false">IF(E1892="",1,0)</f>
        <v>0</v>
      </c>
      <c r="W1892" s="9" t="n">
        <f aca="false">IF(OR(H1892&lt;1,H1892&gt;10),1,0)</f>
        <v>0</v>
      </c>
      <c r="X1892" s="9" t="n">
        <f aca="false">IF(OR(I1892&lt;=0,I1892&gt;1500),1,0)</f>
        <v>0</v>
      </c>
      <c r="Y1892" s="9" t="n">
        <f aca="false">IF(J1892&gt;H1892*I1892,1,0)</f>
        <v>0</v>
      </c>
      <c r="Z1892" s="9" t="n">
        <f aca="false">IF(AND(N1892&lt;&gt;"",OR(N1892&lt;1,N1892&gt;5)),1,0)</f>
        <v>0</v>
      </c>
      <c r="AA1892" s="9" t="n">
        <f aca="false">IF(AND(M1892&lt;&gt;"",OR(M1892&lt;5,M1892&gt;180)),1,0)</f>
        <v>0</v>
      </c>
      <c r="AB1892" s="7" t="str">
        <f aca="false">IF(P1892="DUP","Exact duplicate row",IF(T1892=1,"Missing Order ID",IF(S1892="DROP","Duplicate Order ID (less complete row)",IF(U1892=1,"Missing Customer ID",IF(V1892=1,"Missing Restaurant name",IF(W1892=1,"Invalid/outlier quantity",IF(X1892=1,"Invalid/outlier unit price",IF(Y1892=1,"Discount greater than order value",""))))))))</f>
        <v/>
      </c>
      <c r="AC1892" s="7" t="str">
        <f aca="false">IF(AB1892="","KEEP","DROP")</f>
        <v>KEEP</v>
      </c>
      <c r="AD1892" s="7" t="str">
        <f aca="false">IF(TRIM(F1892)="",IFERROR(INDEX(Map_Tables!$I$4:$I$37,MATCH(TRIM(E1892),Map_Tables!$G$4:$G$37,0)),""),IFERROR(INDEX(Map_Tables!$B$4:$B$18,MATCH(TRIM(F1892),Map_Tables!$A$4:$A$18,0)),"CHECK"))</f>
        <v>Delhi</v>
      </c>
      <c r="AE1892" s="7" t="str">
        <f aca="false">IF(TRIM(E1892)="","",IFERROR(INDEX(Map_Tables!$H$4:$H$37,MATCH(TRIM(E1892),Map_Tables!$G$4:$G$37,0)),"CHECK"))</f>
        <v>Tandoor Tales</v>
      </c>
      <c r="AF1892" s="7" t="str">
        <f aca="false">IF(TRIM(K1892)="","Unknown",IFERROR(INDEX(Map_Tables!$E$4:$E$15,MATCH(TRIM(K1892),Map_Tables!$D$4:$D$15,0)),"CHECK"))</f>
        <v>Cash on Delivery</v>
      </c>
      <c r="AG1892" s="7" t="str">
        <f aca="false">IF(LEFT(LOWER(TRIM(L1892)),6)="cancel","Cancelled","Delivered")</f>
        <v>Delivered</v>
      </c>
      <c r="AH1892" s="10" t="n">
        <f aca="false">IF(ISNUMBER(SEARCH("/",B1892)),DATE(VALUE(RIGHT(B1892,4)),VALUE(MID(B1892,4,2)),VALUE(LEFT(B1892,2))),IF(MID(B1892,5,1)="-",DATE(VALUE(LEFT(B1892,4)),VALUE(MID(B1892,6,2)),VALUE(RIGHT(B1892,2))),DATE(VALUE(RIGHT(B1892,4)),MATCH(MID(B1892,4,3),{"Jan","Feb","Mar","Apr","May","Jun","Jul","Aug","Sep","Oct","Nov","Dec"},0),VALUE(LEFT(B1892,2)))))</f>
        <v>46000</v>
      </c>
    </row>
    <row r="1893" customFormat="false" ht="15" hidden="false" customHeight="false" outlineLevel="0" collapsed="false">
      <c r="A1893" s="7" t="s">
        <v>4589</v>
      </c>
      <c r="B1893" s="7" t="s">
        <v>1249</v>
      </c>
      <c r="C1893" s="7" t="s">
        <v>306</v>
      </c>
      <c r="D1893" s="7" t="s">
        <v>733</v>
      </c>
      <c r="E1893" s="7" t="s">
        <v>154</v>
      </c>
      <c r="F1893" s="7" t="s">
        <v>128</v>
      </c>
      <c r="G1893" s="7" t="s">
        <v>99</v>
      </c>
      <c r="H1893" s="7" t="n">
        <v>2</v>
      </c>
      <c r="I1893" s="7" t="n">
        <v>265</v>
      </c>
      <c r="J1893" s="7" t="n">
        <v>20</v>
      </c>
      <c r="K1893" s="7" t="s">
        <v>93</v>
      </c>
      <c r="L1893" s="7" t="s">
        <v>194</v>
      </c>
      <c r="M1893" s="7" t="n">
        <v>39</v>
      </c>
      <c r="N1893" s="7" t="n">
        <v>4</v>
      </c>
      <c r="O1893" s="7" t="str">
        <f aca="false">A1893&amp;"|"&amp;B1893&amp;"|"&amp;C1893&amp;"|"&amp;D1893&amp;"|"&amp;E1893&amp;"|"&amp;F1893&amp;"|"&amp;G1893&amp;"|"&amp;H1893&amp;"|"&amp;I1893&amp;"|"&amp;J1893&amp;"|"&amp;K1893&amp;"|"&amp;L1893&amp;"|"&amp;M1893&amp;"|"&amp;N1893</f>
        <v>ORD11617|2025-07-29|20:06|C0325|Madras Biryani Co|Chennai|Biryani|2|265|20|Credit Card|Delivered|39|4</v>
      </c>
      <c r="P1893" s="7" t="str">
        <f aca="false">IF(COUNTIF($O$2:O1893,O1893)&gt;1,"DUP","OK")</f>
        <v>OK</v>
      </c>
      <c r="Q1893" s="7" t="n">
        <f aca="false">COUNTBLANK(A1893:N1893)</f>
        <v>0</v>
      </c>
      <c r="R1893" s="7" t="n">
        <f aca="false">IF(A1893="",0,COUNTIFS($A$2:$A$3058,A1893,$P$2:$P$3058,"OK"))</f>
        <v>1</v>
      </c>
      <c r="S1893" s="7" t="str">
        <f aca="false">IF(OR(A1893="",P1893="DUP",R1893&lt;2),"",IF(Q1893=_xlfn.MINIFS($Q$2:$Q$3058,$A$2:$A$3058,A1893,$P$2:$P$3058,"OK"),"KEEP","DROP"))</f>
        <v/>
      </c>
      <c r="T1893" s="9" t="n">
        <f aca="false">IF(A1893="",1,0)</f>
        <v>0</v>
      </c>
      <c r="U1893" s="9" t="n">
        <f aca="false">IF(D1893="",1,0)</f>
        <v>0</v>
      </c>
      <c r="V1893" s="9" t="n">
        <f aca="false">IF(E1893="",1,0)</f>
        <v>0</v>
      </c>
      <c r="W1893" s="9" t="n">
        <f aca="false">IF(OR(H1893&lt;1,H1893&gt;10),1,0)</f>
        <v>0</v>
      </c>
      <c r="X1893" s="9" t="n">
        <f aca="false">IF(OR(I1893&lt;=0,I1893&gt;1500),1,0)</f>
        <v>0</v>
      </c>
      <c r="Y1893" s="9" t="n">
        <f aca="false">IF(J1893&gt;H1893*I1893,1,0)</f>
        <v>0</v>
      </c>
      <c r="Z1893" s="9" t="n">
        <f aca="false">IF(AND(N1893&lt;&gt;"",OR(N1893&lt;1,N1893&gt;5)),1,0)</f>
        <v>0</v>
      </c>
      <c r="AA1893" s="9" t="n">
        <f aca="false">IF(AND(M1893&lt;&gt;"",OR(M1893&lt;5,M1893&gt;180)),1,0)</f>
        <v>0</v>
      </c>
      <c r="AB1893" s="7" t="str">
        <f aca="false">IF(P1893="DUP","Exact duplicate row",IF(T1893=1,"Missing Order ID",IF(S1893="DROP","Duplicate Order ID (less complete row)",IF(U1893=1,"Missing Customer ID",IF(V1893=1,"Missing Restaurant name",IF(W1893=1,"Invalid/outlier quantity",IF(X1893=1,"Invalid/outlier unit price",IF(Y1893=1,"Discount greater than order value",""))))))))</f>
        <v/>
      </c>
      <c r="AC1893" s="7" t="str">
        <f aca="false">IF(AB1893="","KEEP","DROP")</f>
        <v>KEEP</v>
      </c>
      <c r="AD1893" s="7" t="str">
        <f aca="false">IF(TRIM(F1893)="",IFERROR(INDEX(Map_Tables!$I$4:$I$37,MATCH(TRIM(E1893),Map_Tables!$G$4:$G$37,0)),""),IFERROR(INDEX(Map_Tables!$B$4:$B$18,MATCH(TRIM(F1893),Map_Tables!$A$4:$A$18,0)),"CHECK"))</f>
        <v>Chennai</v>
      </c>
      <c r="AE1893" s="7" t="str">
        <f aca="false">IF(TRIM(E1893)="","",IFERROR(INDEX(Map_Tables!$H$4:$H$37,MATCH(TRIM(E1893),Map_Tables!$G$4:$G$37,0)),"CHECK"))</f>
        <v>Madras Biryani Co</v>
      </c>
      <c r="AF1893" s="7" t="str">
        <f aca="false">IF(TRIM(K1893)="","Unknown",IFERROR(INDEX(Map_Tables!$E$4:$E$15,MATCH(TRIM(K1893),Map_Tables!$D$4:$D$15,0)),"CHECK"))</f>
        <v>Credit Card</v>
      </c>
      <c r="AG1893" s="7" t="str">
        <f aca="false">IF(LEFT(LOWER(TRIM(L1893)),6)="cancel","Cancelled","Delivered")</f>
        <v>Delivered</v>
      </c>
      <c r="AH1893" s="10" t="n">
        <f aca="false">IF(ISNUMBER(SEARCH("/",B1893)),DATE(VALUE(RIGHT(B1893,4)),VALUE(MID(B1893,4,2)),VALUE(LEFT(B1893,2))),IF(MID(B1893,5,1)="-",DATE(VALUE(LEFT(B1893,4)),VALUE(MID(B1893,6,2)),VALUE(RIGHT(B1893,2))),DATE(VALUE(RIGHT(B1893,4)),MATCH(MID(B1893,4,3),{"Jan","Feb","Mar","Apr","May","Jun","Jul","Aug","Sep","Oct","Nov","Dec"},0),VALUE(LEFT(B1893,2)))))</f>
        <v>45867</v>
      </c>
    </row>
    <row r="1894" customFormat="false" ht="15" hidden="false" customHeight="false" outlineLevel="0" collapsed="false">
      <c r="A1894" s="7" t="s">
        <v>4590</v>
      </c>
      <c r="B1894" s="7" t="s">
        <v>715</v>
      </c>
      <c r="C1894" s="7" t="s">
        <v>4591</v>
      </c>
      <c r="D1894" s="7" t="s">
        <v>4159</v>
      </c>
      <c r="E1894" s="7" t="s">
        <v>113</v>
      </c>
      <c r="F1894" s="7" t="s">
        <v>101</v>
      </c>
      <c r="G1894" s="7" t="s">
        <v>90</v>
      </c>
      <c r="H1894" s="7" t="n">
        <v>1</v>
      </c>
      <c r="I1894" s="7" t="n">
        <v>255</v>
      </c>
      <c r="J1894" s="7" t="n">
        <v>102</v>
      </c>
      <c r="K1894" s="7" t="s">
        <v>87</v>
      </c>
      <c r="L1894" s="7" t="s">
        <v>194</v>
      </c>
      <c r="M1894" s="7" t="n">
        <v>52</v>
      </c>
      <c r="N1894" s="7" t="n">
        <v>3</v>
      </c>
      <c r="O1894" s="7" t="str">
        <f aca="false">A1894&amp;"|"&amp;B1894&amp;"|"&amp;C1894&amp;"|"&amp;D1894&amp;"|"&amp;E1894&amp;"|"&amp;F1894&amp;"|"&amp;G1894&amp;"|"&amp;H1894&amp;"|"&amp;I1894&amp;"|"&amp;J1894&amp;"|"&amp;K1894&amp;"|"&amp;L1894&amp;"|"&amp;M1894&amp;"|"&amp;N1894</f>
        <v>ORD11275|2025-06-11|21:50|C1081|Curry Leaf Kitchen|Mumbai|North Indian|1|255|102|upi|Delivered|52|3</v>
      </c>
      <c r="P1894" s="7" t="str">
        <f aca="false">IF(COUNTIF($O$2:O1894,O1894)&gt;1,"DUP","OK")</f>
        <v>OK</v>
      </c>
      <c r="Q1894" s="7" t="n">
        <f aca="false">COUNTBLANK(A1894:N1894)</f>
        <v>0</v>
      </c>
      <c r="R1894" s="7" t="n">
        <f aca="false">IF(A1894="",0,COUNTIFS($A$2:$A$3058,A1894,$P$2:$P$3058,"OK"))</f>
        <v>1</v>
      </c>
      <c r="S1894" s="7" t="str">
        <f aca="false">IF(OR(A1894="",P1894="DUP",R1894&lt;2),"",IF(Q1894=_xlfn.MINIFS($Q$2:$Q$3058,$A$2:$A$3058,A1894,$P$2:$P$3058,"OK"),"KEEP","DROP"))</f>
        <v/>
      </c>
      <c r="T1894" s="9" t="n">
        <f aca="false">IF(A1894="",1,0)</f>
        <v>0</v>
      </c>
      <c r="U1894" s="9" t="n">
        <f aca="false">IF(D1894="",1,0)</f>
        <v>0</v>
      </c>
      <c r="V1894" s="9" t="n">
        <f aca="false">IF(E1894="",1,0)</f>
        <v>0</v>
      </c>
      <c r="W1894" s="9" t="n">
        <f aca="false">IF(OR(H1894&lt;1,H1894&gt;10),1,0)</f>
        <v>0</v>
      </c>
      <c r="X1894" s="9" t="n">
        <f aca="false">IF(OR(I1894&lt;=0,I1894&gt;1500),1,0)</f>
        <v>0</v>
      </c>
      <c r="Y1894" s="9" t="n">
        <f aca="false">IF(J1894&gt;H1894*I1894,1,0)</f>
        <v>0</v>
      </c>
      <c r="Z1894" s="9" t="n">
        <f aca="false">IF(AND(N1894&lt;&gt;"",OR(N1894&lt;1,N1894&gt;5)),1,0)</f>
        <v>0</v>
      </c>
      <c r="AA1894" s="9" t="n">
        <f aca="false">IF(AND(M1894&lt;&gt;"",OR(M1894&lt;5,M1894&gt;180)),1,0)</f>
        <v>0</v>
      </c>
      <c r="AB1894" s="7" t="str">
        <f aca="false">IF(P1894="DUP","Exact duplicate row",IF(T1894=1,"Missing Order ID",IF(S1894="DROP","Duplicate Order ID (less complete row)",IF(U1894=1,"Missing Customer ID",IF(V1894=1,"Missing Restaurant name",IF(W1894=1,"Invalid/outlier quantity",IF(X1894=1,"Invalid/outlier unit price",IF(Y1894=1,"Discount greater than order value",""))))))))</f>
        <v/>
      </c>
      <c r="AC1894" s="7" t="str">
        <f aca="false">IF(AB1894="","KEEP","DROP")</f>
        <v>KEEP</v>
      </c>
      <c r="AD1894" s="7" t="str">
        <f aca="false">IF(TRIM(F1894)="",IFERROR(INDEX(Map_Tables!$I$4:$I$37,MATCH(TRIM(E1894),Map_Tables!$G$4:$G$37,0)),""),IFERROR(INDEX(Map_Tables!$B$4:$B$18,MATCH(TRIM(F1894),Map_Tables!$A$4:$A$18,0)),"CHECK"))</f>
        <v>Mumbai</v>
      </c>
      <c r="AE1894" s="7" t="str">
        <f aca="false">IF(TRIM(E1894)="","",IFERROR(INDEX(Map_Tables!$H$4:$H$37,MATCH(TRIM(E1894),Map_Tables!$G$4:$G$37,0)),"CHECK"))</f>
        <v>Curry Leaf Kitchen</v>
      </c>
      <c r="AF1894" s="7" t="str">
        <f aca="false">IF(TRIM(K1894)="","Unknown",IFERROR(INDEX(Map_Tables!$E$4:$E$15,MATCH(TRIM(K1894),Map_Tables!$D$4:$D$15,0)),"CHECK"))</f>
        <v>UPI</v>
      </c>
      <c r="AG1894" s="7" t="str">
        <f aca="false">IF(LEFT(LOWER(TRIM(L1894)),6)="cancel","Cancelled","Delivered")</f>
        <v>Delivered</v>
      </c>
      <c r="AH1894" s="10" t="n">
        <f aca="false">IF(ISNUMBER(SEARCH("/",B1894)),DATE(VALUE(RIGHT(B1894,4)),VALUE(MID(B1894,4,2)),VALUE(LEFT(B1894,2))),IF(MID(B1894,5,1)="-",DATE(VALUE(LEFT(B1894,4)),VALUE(MID(B1894,6,2)),VALUE(RIGHT(B1894,2))),DATE(VALUE(RIGHT(B1894,4)),MATCH(MID(B1894,4,3),{"Jan","Feb","Mar","Apr","May","Jun","Jul","Aug","Sep","Oct","Nov","Dec"},0),VALUE(LEFT(B1894,2)))))</f>
        <v>45819</v>
      </c>
    </row>
    <row r="1895" customFormat="false" ht="15" hidden="false" customHeight="false" outlineLevel="0" collapsed="false">
      <c r="A1895" s="7" t="s">
        <v>4592</v>
      </c>
      <c r="B1895" s="7" t="s">
        <v>3572</v>
      </c>
      <c r="C1895" s="7" t="s">
        <v>4516</v>
      </c>
      <c r="D1895" s="7" t="s">
        <v>4593</v>
      </c>
      <c r="E1895" s="7" t="s">
        <v>98</v>
      </c>
      <c r="F1895" s="7" t="s">
        <v>86</v>
      </c>
      <c r="G1895" s="7" t="s">
        <v>99</v>
      </c>
      <c r="H1895" s="7" t="n">
        <v>2</v>
      </c>
      <c r="I1895" s="7" t="n">
        <v>285</v>
      </c>
      <c r="J1895" s="7" t="n">
        <v>40</v>
      </c>
      <c r="K1895" s="7" t="s">
        <v>88</v>
      </c>
      <c r="L1895" s="7" t="s">
        <v>194</v>
      </c>
      <c r="M1895" s="7" t="n">
        <v>32</v>
      </c>
      <c r="N1895" s="7" t="n">
        <v>4</v>
      </c>
      <c r="O1895" s="7" t="str">
        <f aca="false">A1895&amp;"|"&amp;B1895&amp;"|"&amp;C1895&amp;"|"&amp;D1895&amp;"|"&amp;E1895&amp;"|"&amp;F1895&amp;"|"&amp;G1895&amp;"|"&amp;H1895&amp;"|"&amp;I1895&amp;"|"&amp;J1895&amp;"|"&amp;K1895&amp;"|"&amp;L1895&amp;"|"&amp;M1895&amp;"|"&amp;N1895</f>
        <v>ORD11285|2025-06-13|12:41|C1444|Nawabi Biryani House|Bengaluru|Biryani|2|285|40|UPI|Delivered|32|4</v>
      </c>
      <c r="P1895" s="7" t="str">
        <f aca="false">IF(COUNTIF($O$2:O1895,O1895)&gt;1,"DUP","OK")</f>
        <v>OK</v>
      </c>
      <c r="Q1895" s="7" t="n">
        <f aca="false">COUNTBLANK(A1895:N1895)</f>
        <v>0</v>
      </c>
      <c r="R1895" s="7" t="n">
        <f aca="false">IF(A1895="",0,COUNTIFS($A$2:$A$3058,A1895,$P$2:$P$3058,"OK"))</f>
        <v>1</v>
      </c>
      <c r="S1895" s="7" t="str">
        <f aca="false">IF(OR(A1895="",P1895="DUP",R1895&lt;2),"",IF(Q1895=_xlfn.MINIFS($Q$2:$Q$3058,$A$2:$A$3058,A1895,$P$2:$P$3058,"OK"),"KEEP","DROP"))</f>
        <v/>
      </c>
      <c r="T1895" s="9" t="n">
        <f aca="false">IF(A1895="",1,0)</f>
        <v>0</v>
      </c>
      <c r="U1895" s="9" t="n">
        <f aca="false">IF(D1895="",1,0)</f>
        <v>0</v>
      </c>
      <c r="V1895" s="9" t="n">
        <f aca="false">IF(E1895="",1,0)</f>
        <v>0</v>
      </c>
      <c r="W1895" s="9" t="n">
        <f aca="false">IF(OR(H1895&lt;1,H1895&gt;10),1,0)</f>
        <v>0</v>
      </c>
      <c r="X1895" s="9" t="n">
        <f aca="false">IF(OR(I1895&lt;=0,I1895&gt;1500),1,0)</f>
        <v>0</v>
      </c>
      <c r="Y1895" s="9" t="n">
        <f aca="false">IF(J1895&gt;H1895*I1895,1,0)</f>
        <v>0</v>
      </c>
      <c r="Z1895" s="9" t="n">
        <f aca="false">IF(AND(N1895&lt;&gt;"",OR(N1895&lt;1,N1895&gt;5)),1,0)</f>
        <v>0</v>
      </c>
      <c r="AA1895" s="9" t="n">
        <f aca="false">IF(AND(M1895&lt;&gt;"",OR(M1895&lt;5,M1895&gt;180)),1,0)</f>
        <v>0</v>
      </c>
      <c r="AB1895" s="7" t="str">
        <f aca="false">IF(P1895="DUP","Exact duplicate row",IF(T1895=1,"Missing Order ID",IF(S1895="DROP","Duplicate Order ID (less complete row)",IF(U1895=1,"Missing Customer ID",IF(V1895=1,"Missing Restaurant name",IF(W1895=1,"Invalid/outlier quantity",IF(X1895=1,"Invalid/outlier unit price",IF(Y1895=1,"Discount greater than order value",""))))))))</f>
        <v/>
      </c>
      <c r="AC1895" s="7" t="str">
        <f aca="false">IF(AB1895="","KEEP","DROP")</f>
        <v>KEEP</v>
      </c>
      <c r="AD1895" s="7" t="str">
        <f aca="false">IF(TRIM(F1895)="",IFERROR(INDEX(Map_Tables!$I$4:$I$37,MATCH(TRIM(E1895),Map_Tables!$G$4:$G$37,0)),""),IFERROR(INDEX(Map_Tables!$B$4:$B$18,MATCH(TRIM(F1895),Map_Tables!$A$4:$A$18,0)),"CHECK"))</f>
        <v>Bengaluru</v>
      </c>
      <c r="AE1895" s="7" t="str">
        <f aca="false">IF(TRIM(E1895)="","",IFERROR(INDEX(Map_Tables!$H$4:$H$37,MATCH(TRIM(E1895),Map_Tables!$G$4:$G$37,0)),"CHECK"))</f>
        <v>Nawabi Biryani House</v>
      </c>
      <c r="AF1895" s="7" t="str">
        <f aca="false">IF(TRIM(K1895)="","Unknown",IFERROR(INDEX(Map_Tables!$E$4:$E$15,MATCH(TRIM(K1895),Map_Tables!$D$4:$D$15,0)),"CHECK"))</f>
        <v>UPI</v>
      </c>
      <c r="AG1895" s="7" t="str">
        <f aca="false">IF(LEFT(LOWER(TRIM(L1895)),6)="cancel","Cancelled","Delivered")</f>
        <v>Delivered</v>
      </c>
      <c r="AH1895" s="10" t="n">
        <f aca="false">IF(ISNUMBER(SEARCH("/",B1895)),DATE(VALUE(RIGHT(B1895,4)),VALUE(MID(B1895,4,2)),VALUE(LEFT(B1895,2))),IF(MID(B1895,5,1)="-",DATE(VALUE(LEFT(B1895,4)),VALUE(MID(B1895,6,2)),VALUE(RIGHT(B1895,2))),DATE(VALUE(RIGHT(B1895,4)),MATCH(MID(B1895,4,3),{"Jan","Feb","Mar","Apr","May","Jun","Jul","Aug","Sep","Oct","Nov","Dec"},0),VALUE(LEFT(B1895,2)))))</f>
        <v>45821</v>
      </c>
    </row>
    <row r="1896" customFormat="false" ht="15" hidden="false" customHeight="false" outlineLevel="0" collapsed="false">
      <c r="A1896" s="7" t="s">
        <v>4594</v>
      </c>
      <c r="B1896" s="7" t="s">
        <v>1389</v>
      </c>
      <c r="C1896" s="7" t="s">
        <v>736</v>
      </c>
      <c r="D1896" s="7" t="s">
        <v>3282</v>
      </c>
      <c r="E1896" s="7" t="s">
        <v>168</v>
      </c>
      <c r="F1896" s="7" t="s">
        <v>146</v>
      </c>
      <c r="G1896" s="7" t="s">
        <v>123</v>
      </c>
      <c r="H1896" s="7" t="n">
        <v>2</v>
      </c>
      <c r="I1896" s="7" t="n">
        <v>280</v>
      </c>
      <c r="J1896" s="7" t="n">
        <v>100</v>
      </c>
      <c r="K1896" s="7" t="s">
        <v>103</v>
      </c>
      <c r="L1896" s="7" t="s">
        <v>194</v>
      </c>
      <c r="M1896" s="7" t="n">
        <v>38</v>
      </c>
      <c r="N1896" s="7" t="n">
        <v>4</v>
      </c>
      <c r="O1896" s="7" t="str">
        <f aca="false">A1896&amp;"|"&amp;B1896&amp;"|"&amp;C1896&amp;"|"&amp;D1896&amp;"|"&amp;E1896&amp;"|"&amp;F1896&amp;"|"&amp;G1896&amp;"|"&amp;H1896&amp;"|"&amp;I1896&amp;"|"&amp;J1896&amp;"|"&amp;K1896&amp;"|"&amp;L1896&amp;"|"&amp;M1896&amp;"|"&amp;N1896</f>
        <v>ORD11195|2025-06-01|11:14|C0395|Cheesy Slice|Ahmedabad|Pizza|2|280|100|Debit Card|Delivered|38|4</v>
      </c>
      <c r="P1896" s="7" t="str">
        <f aca="false">IF(COUNTIF($O$2:O1896,O1896)&gt;1,"DUP","OK")</f>
        <v>OK</v>
      </c>
      <c r="Q1896" s="7" t="n">
        <f aca="false">COUNTBLANK(A1896:N1896)</f>
        <v>0</v>
      </c>
      <c r="R1896" s="7" t="n">
        <f aca="false">IF(A1896="",0,COUNTIFS($A$2:$A$3058,A1896,$P$2:$P$3058,"OK"))</f>
        <v>1</v>
      </c>
      <c r="S1896" s="7" t="str">
        <f aca="false">IF(OR(A1896="",P1896="DUP",R1896&lt;2),"",IF(Q1896=_xlfn.MINIFS($Q$2:$Q$3058,$A$2:$A$3058,A1896,$P$2:$P$3058,"OK"),"KEEP","DROP"))</f>
        <v/>
      </c>
      <c r="T1896" s="9" t="n">
        <f aca="false">IF(A1896="",1,0)</f>
        <v>0</v>
      </c>
      <c r="U1896" s="9" t="n">
        <f aca="false">IF(D1896="",1,0)</f>
        <v>0</v>
      </c>
      <c r="V1896" s="9" t="n">
        <f aca="false">IF(E1896="",1,0)</f>
        <v>0</v>
      </c>
      <c r="W1896" s="9" t="n">
        <f aca="false">IF(OR(H1896&lt;1,H1896&gt;10),1,0)</f>
        <v>0</v>
      </c>
      <c r="X1896" s="9" t="n">
        <f aca="false">IF(OR(I1896&lt;=0,I1896&gt;1500),1,0)</f>
        <v>0</v>
      </c>
      <c r="Y1896" s="9" t="n">
        <f aca="false">IF(J1896&gt;H1896*I1896,1,0)</f>
        <v>0</v>
      </c>
      <c r="Z1896" s="9" t="n">
        <f aca="false">IF(AND(N1896&lt;&gt;"",OR(N1896&lt;1,N1896&gt;5)),1,0)</f>
        <v>0</v>
      </c>
      <c r="AA1896" s="9" t="n">
        <f aca="false">IF(AND(M1896&lt;&gt;"",OR(M1896&lt;5,M1896&gt;180)),1,0)</f>
        <v>0</v>
      </c>
      <c r="AB1896" s="7" t="str">
        <f aca="false">IF(P1896="DUP","Exact duplicate row",IF(T1896=1,"Missing Order ID",IF(S1896="DROP","Duplicate Order ID (less complete row)",IF(U1896=1,"Missing Customer ID",IF(V1896=1,"Missing Restaurant name",IF(W1896=1,"Invalid/outlier quantity",IF(X1896=1,"Invalid/outlier unit price",IF(Y1896=1,"Discount greater than order value",""))))))))</f>
        <v/>
      </c>
      <c r="AC1896" s="7" t="str">
        <f aca="false">IF(AB1896="","KEEP","DROP")</f>
        <v>KEEP</v>
      </c>
      <c r="AD1896" s="7" t="str">
        <f aca="false">IF(TRIM(F1896)="",IFERROR(INDEX(Map_Tables!$I$4:$I$37,MATCH(TRIM(E1896),Map_Tables!$G$4:$G$37,0)),""),IFERROR(INDEX(Map_Tables!$B$4:$B$18,MATCH(TRIM(F1896),Map_Tables!$A$4:$A$18,0)),"CHECK"))</f>
        <v>Ahmedabad</v>
      </c>
      <c r="AE1896" s="7" t="str">
        <f aca="false">IF(TRIM(E1896)="","",IFERROR(INDEX(Map_Tables!$H$4:$H$37,MATCH(TRIM(E1896),Map_Tables!$G$4:$G$37,0)),"CHECK"))</f>
        <v>Cheesy Slice</v>
      </c>
      <c r="AF1896" s="7" t="str">
        <f aca="false">IF(TRIM(K1896)="","Unknown",IFERROR(INDEX(Map_Tables!$E$4:$E$15,MATCH(TRIM(K1896),Map_Tables!$D$4:$D$15,0)),"CHECK"))</f>
        <v>Debit Card</v>
      </c>
      <c r="AG1896" s="7" t="str">
        <f aca="false">IF(LEFT(LOWER(TRIM(L1896)),6)="cancel","Cancelled","Delivered")</f>
        <v>Delivered</v>
      </c>
      <c r="AH1896" s="10" t="n">
        <f aca="false">IF(ISNUMBER(SEARCH("/",B1896)),DATE(VALUE(RIGHT(B1896,4)),VALUE(MID(B1896,4,2)),VALUE(LEFT(B1896,2))),IF(MID(B1896,5,1)="-",DATE(VALUE(LEFT(B1896,4)),VALUE(MID(B1896,6,2)),VALUE(RIGHT(B1896,2))),DATE(VALUE(RIGHT(B1896,4)),MATCH(MID(B1896,4,3),{"Jan","Feb","Mar","Apr","May","Jun","Jul","Aug","Sep","Oct","Nov","Dec"},0),VALUE(LEFT(B1896,2)))))</f>
        <v>45809</v>
      </c>
    </row>
    <row r="1897" customFormat="false" ht="15" hidden="false" customHeight="false" outlineLevel="0" collapsed="false">
      <c r="A1897" s="7" t="s">
        <v>4595</v>
      </c>
      <c r="B1897" s="7" t="s">
        <v>4596</v>
      </c>
      <c r="C1897" s="7" t="s">
        <v>893</v>
      </c>
      <c r="D1897" s="7" t="s">
        <v>505</v>
      </c>
      <c r="E1897" s="7" t="s">
        <v>160</v>
      </c>
      <c r="F1897" s="7" t="s">
        <v>136</v>
      </c>
      <c r="G1897" s="7" t="s">
        <v>150</v>
      </c>
      <c r="H1897" s="7" t="n">
        <v>1</v>
      </c>
      <c r="I1897" s="7" t="n">
        <v>210</v>
      </c>
      <c r="J1897" s="7" t="n">
        <v>0</v>
      </c>
      <c r="K1897" s="7" t="s">
        <v>112</v>
      </c>
      <c r="L1897" s="7" t="s">
        <v>194</v>
      </c>
      <c r="M1897" s="7" t="n">
        <v>41</v>
      </c>
      <c r="N1897" s="7" t="n">
        <v>2</v>
      </c>
      <c r="O1897" s="7" t="str">
        <f aca="false">A1897&amp;"|"&amp;B1897&amp;"|"&amp;C1897&amp;"|"&amp;D1897&amp;"|"&amp;E1897&amp;"|"&amp;F1897&amp;"|"&amp;G1897&amp;"|"&amp;H1897&amp;"|"&amp;I1897&amp;"|"&amp;J1897&amp;"|"&amp;K1897&amp;"|"&amp;L1897&amp;"|"&amp;M1897&amp;"|"&amp;N1897</f>
        <v>ORD10829|2025-04-15|21:15|C0856|Cake Walk|Pune|Desserts|1|210|0|Cash on Delivery|Delivered|41|2</v>
      </c>
      <c r="P1897" s="7" t="str">
        <f aca="false">IF(COUNTIF($O$2:O1897,O1897)&gt;1,"DUP","OK")</f>
        <v>OK</v>
      </c>
      <c r="Q1897" s="7" t="n">
        <f aca="false">COUNTBLANK(A1897:N1897)</f>
        <v>0</v>
      </c>
      <c r="R1897" s="7" t="n">
        <f aca="false">IF(A1897="",0,COUNTIFS($A$2:$A$3058,A1897,$P$2:$P$3058,"OK"))</f>
        <v>1</v>
      </c>
      <c r="S1897" s="7" t="str">
        <f aca="false">IF(OR(A1897="",P1897="DUP",R1897&lt;2),"",IF(Q1897=_xlfn.MINIFS($Q$2:$Q$3058,$A$2:$A$3058,A1897,$P$2:$P$3058,"OK"),"KEEP","DROP"))</f>
        <v/>
      </c>
      <c r="T1897" s="9" t="n">
        <f aca="false">IF(A1897="",1,0)</f>
        <v>0</v>
      </c>
      <c r="U1897" s="9" t="n">
        <f aca="false">IF(D1897="",1,0)</f>
        <v>0</v>
      </c>
      <c r="V1897" s="9" t="n">
        <f aca="false">IF(E1897="",1,0)</f>
        <v>0</v>
      </c>
      <c r="W1897" s="9" t="n">
        <f aca="false">IF(OR(H1897&lt;1,H1897&gt;10),1,0)</f>
        <v>0</v>
      </c>
      <c r="X1897" s="9" t="n">
        <f aca="false">IF(OR(I1897&lt;=0,I1897&gt;1500),1,0)</f>
        <v>0</v>
      </c>
      <c r="Y1897" s="9" t="n">
        <f aca="false">IF(J1897&gt;H1897*I1897,1,0)</f>
        <v>0</v>
      </c>
      <c r="Z1897" s="9" t="n">
        <f aca="false">IF(AND(N1897&lt;&gt;"",OR(N1897&lt;1,N1897&gt;5)),1,0)</f>
        <v>0</v>
      </c>
      <c r="AA1897" s="9" t="n">
        <f aca="false">IF(AND(M1897&lt;&gt;"",OR(M1897&lt;5,M1897&gt;180)),1,0)</f>
        <v>0</v>
      </c>
      <c r="AB1897" s="7" t="str">
        <f aca="false">IF(P1897="DUP","Exact duplicate row",IF(T1897=1,"Missing Order ID",IF(S1897="DROP","Duplicate Order ID (less complete row)",IF(U1897=1,"Missing Customer ID",IF(V1897=1,"Missing Restaurant name",IF(W1897=1,"Invalid/outlier quantity",IF(X1897=1,"Invalid/outlier unit price",IF(Y1897=1,"Discount greater than order value",""))))))))</f>
        <v/>
      </c>
      <c r="AC1897" s="7" t="str">
        <f aca="false">IF(AB1897="","KEEP","DROP")</f>
        <v>KEEP</v>
      </c>
      <c r="AD1897" s="7" t="str">
        <f aca="false">IF(TRIM(F1897)="",IFERROR(INDEX(Map_Tables!$I$4:$I$37,MATCH(TRIM(E1897),Map_Tables!$G$4:$G$37,0)),""),IFERROR(INDEX(Map_Tables!$B$4:$B$18,MATCH(TRIM(F1897),Map_Tables!$A$4:$A$18,0)),"CHECK"))</f>
        <v>Pune</v>
      </c>
      <c r="AE1897" s="7" t="str">
        <f aca="false">IF(TRIM(E1897)="","",IFERROR(INDEX(Map_Tables!$H$4:$H$37,MATCH(TRIM(E1897),Map_Tables!$G$4:$G$37,0)),"CHECK"))</f>
        <v>Cake Walk</v>
      </c>
      <c r="AF1897" s="7" t="str">
        <f aca="false">IF(TRIM(K1897)="","Unknown",IFERROR(INDEX(Map_Tables!$E$4:$E$15,MATCH(TRIM(K1897),Map_Tables!$D$4:$D$15,0)),"CHECK"))</f>
        <v>Cash on Delivery</v>
      </c>
      <c r="AG1897" s="7" t="str">
        <f aca="false">IF(LEFT(LOWER(TRIM(L1897)),6)="cancel","Cancelled","Delivered")</f>
        <v>Delivered</v>
      </c>
      <c r="AH1897" s="10" t="n">
        <f aca="false">IF(ISNUMBER(SEARCH("/",B1897)),DATE(VALUE(RIGHT(B1897,4)),VALUE(MID(B1897,4,2)),VALUE(LEFT(B1897,2))),IF(MID(B1897,5,1)="-",DATE(VALUE(LEFT(B1897,4)),VALUE(MID(B1897,6,2)),VALUE(RIGHT(B1897,2))),DATE(VALUE(RIGHT(B1897,4)),MATCH(MID(B1897,4,3),{"Jan","Feb","Mar","Apr","May","Jun","Jul","Aug","Sep","Oct","Nov","Dec"},0),VALUE(LEFT(B1897,2)))))</f>
        <v>45762</v>
      </c>
    </row>
    <row r="1898" customFormat="false" ht="15" hidden="false" customHeight="false" outlineLevel="0" collapsed="false">
      <c r="A1898" s="7" t="s">
        <v>4597</v>
      </c>
      <c r="B1898" s="7" t="s">
        <v>964</v>
      </c>
      <c r="C1898" s="7" t="s">
        <v>4149</v>
      </c>
      <c r="D1898" s="7" t="s">
        <v>4237</v>
      </c>
      <c r="E1898" s="7" t="s">
        <v>164</v>
      </c>
      <c r="F1898" s="7" t="s">
        <v>140</v>
      </c>
      <c r="G1898" s="7" t="s">
        <v>150</v>
      </c>
      <c r="H1898" s="7" t="n">
        <v>2</v>
      </c>
      <c r="I1898" s="7" t="n">
        <v>130</v>
      </c>
      <c r="J1898" s="7" t="n">
        <v>0</v>
      </c>
      <c r="K1898" s="7" t="s">
        <v>121</v>
      </c>
      <c r="L1898" s="7" t="s">
        <v>194</v>
      </c>
      <c r="M1898" s="7" t="n">
        <v>31</v>
      </c>
      <c r="N1898" s="7" t="n">
        <v>5</v>
      </c>
      <c r="O1898" s="7" t="str">
        <f aca="false">A1898&amp;"|"&amp;B1898&amp;"|"&amp;C1898&amp;"|"&amp;D1898&amp;"|"&amp;E1898&amp;"|"&amp;F1898&amp;"|"&amp;G1898&amp;"|"&amp;H1898&amp;"|"&amp;I1898&amp;"|"&amp;J1898&amp;"|"&amp;K1898&amp;"|"&amp;L1898&amp;"|"&amp;M1898&amp;"|"&amp;N1898</f>
        <v>ORD10992|2025-05-06|15:31|C0683|Mishti Mandir|kolkata|Desserts|2|130|0|Wallet|Delivered|31|5</v>
      </c>
      <c r="P1898" s="7" t="str">
        <f aca="false">IF(COUNTIF($O$2:O1898,O1898)&gt;1,"DUP","OK")</f>
        <v>OK</v>
      </c>
      <c r="Q1898" s="7" t="n">
        <f aca="false">COUNTBLANK(A1898:N1898)</f>
        <v>0</v>
      </c>
      <c r="R1898" s="7" t="n">
        <f aca="false">IF(A1898="",0,COUNTIFS($A$2:$A$3058,A1898,$P$2:$P$3058,"OK"))</f>
        <v>1</v>
      </c>
      <c r="S1898" s="7" t="str">
        <f aca="false">IF(OR(A1898="",P1898="DUP",R1898&lt;2),"",IF(Q1898=_xlfn.MINIFS($Q$2:$Q$3058,$A$2:$A$3058,A1898,$P$2:$P$3058,"OK"),"KEEP","DROP"))</f>
        <v/>
      </c>
      <c r="T1898" s="9" t="n">
        <f aca="false">IF(A1898="",1,0)</f>
        <v>0</v>
      </c>
      <c r="U1898" s="9" t="n">
        <f aca="false">IF(D1898="",1,0)</f>
        <v>0</v>
      </c>
      <c r="V1898" s="9" t="n">
        <f aca="false">IF(E1898="",1,0)</f>
        <v>0</v>
      </c>
      <c r="W1898" s="9" t="n">
        <f aca="false">IF(OR(H1898&lt;1,H1898&gt;10),1,0)</f>
        <v>0</v>
      </c>
      <c r="X1898" s="9" t="n">
        <f aca="false">IF(OR(I1898&lt;=0,I1898&gt;1500),1,0)</f>
        <v>0</v>
      </c>
      <c r="Y1898" s="9" t="n">
        <f aca="false">IF(J1898&gt;H1898*I1898,1,0)</f>
        <v>0</v>
      </c>
      <c r="Z1898" s="9" t="n">
        <f aca="false">IF(AND(N1898&lt;&gt;"",OR(N1898&lt;1,N1898&gt;5)),1,0)</f>
        <v>0</v>
      </c>
      <c r="AA1898" s="9" t="n">
        <f aca="false">IF(AND(M1898&lt;&gt;"",OR(M1898&lt;5,M1898&gt;180)),1,0)</f>
        <v>0</v>
      </c>
      <c r="AB1898" s="7" t="str">
        <f aca="false">IF(P1898="DUP","Exact duplicate row",IF(T1898=1,"Missing Order ID",IF(S1898="DROP","Duplicate Order ID (less complete row)",IF(U1898=1,"Missing Customer ID",IF(V1898=1,"Missing Restaurant name",IF(W1898=1,"Invalid/outlier quantity",IF(X1898=1,"Invalid/outlier unit price",IF(Y1898=1,"Discount greater than order value",""))))))))</f>
        <v/>
      </c>
      <c r="AC1898" s="7" t="str">
        <f aca="false">IF(AB1898="","KEEP","DROP")</f>
        <v>KEEP</v>
      </c>
      <c r="AD1898" s="7" t="str">
        <f aca="false">IF(TRIM(F1898)="",IFERROR(INDEX(Map_Tables!$I$4:$I$37,MATCH(TRIM(E1898),Map_Tables!$G$4:$G$37,0)),""),IFERROR(INDEX(Map_Tables!$B$4:$B$18,MATCH(TRIM(F1898),Map_Tables!$A$4:$A$18,0)),"CHECK"))</f>
        <v>Kolkata</v>
      </c>
      <c r="AE1898" s="7" t="str">
        <f aca="false">IF(TRIM(E1898)="","",IFERROR(INDEX(Map_Tables!$H$4:$H$37,MATCH(TRIM(E1898),Map_Tables!$G$4:$G$37,0)),"CHECK"))</f>
        <v>Mishti Mandir</v>
      </c>
      <c r="AF1898" s="7" t="str">
        <f aca="false">IF(TRIM(K1898)="","Unknown",IFERROR(INDEX(Map_Tables!$E$4:$E$15,MATCH(TRIM(K1898),Map_Tables!$D$4:$D$15,0)),"CHECK"))</f>
        <v>Wallet</v>
      </c>
      <c r="AG1898" s="7" t="str">
        <f aca="false">IF(LEFT(LOWER(TRIM(L1898)),6)="cancel","Cancelled","Delivered")</f>
        <v>Delivered</v>
      </c>
      <c r="AH1898" s="10" t="n">
        <f aca="false">IF(ISNUMBER(SEARCH("/",B1898)),DATE(VALUE(RIGHT(B1898,4)),VALUE(MID(B1898,4,2)),VALUE(LEFT(B1898,2))),IF(MID(B1898,5,1)="-",DATE(VALUE(LEFT(B1898,4)),VALUE(MID(B1898,6,2)),VALUE(RIGHT(B1898,2))),DATE(VALUE(RIGHT(B1898,4)),MATCH(MID(B1898,4,3),{"Jan","Feb","Mar","Apr","May","Jun","Jul","Aug","Sep","Oct","Nov","Dec"},0),VALUE(LEFT(B1898,2)))))</f>
        <v>45783</v>
      </c>
    </row>
    <row r="1899" customFormat="false" ht="15" hidden="false" customHeight="false" outlineLevel="0" collapsed="false">
      <c r="A1899" s="7" t="s">
        <v>4598</v>
      </c>
      <c r="B1899" s="7" t="s">
        <v>1389</v>
      </c>
      <c r="C1899" s="7" t="s">
        <v>779</v>
      </c>
      <c r="D1899" s="7" t="s">
        <v>4339</v>
      </c>
      <c r="E1899" s="7" t="s">
        <v>98</v>
      </c>
      <c r="F1899" s="7" t="s">
        <v>86</v>
      </c>
      <c r="G1899" s="7" t="s">
        <v>99</v>
      </c>
      <c r="H1899" s="7" t="n">
        <v>1</v>
      </c>
      <c r="I1899" s="7" t="n">
        <v>245</v>
      </c>
      <c r="J1899" s="7" t="n">
        <v>98</v>
      </c>
      <c r="K1899" s="7" t="s">
        <v>93</v>
      </c>
      <c r="L1899" s="7" t="s">
        <v>194</v>
      </c>
      <c r="M1899" s="7" t="n">
        <v>35</v>
      </c>
      <c r="N1899" s="7" t="n">
        <v>5</v>
      </c>
      <c r="O1899" s="7" t="str">
        <f aca="false">A1899&amp;"|"&amp;B1899&amp;"|"&amp;C1899&amp;"|"&amp;D1899&amp;"|"&amp;E1899&amp;"|"&amp;F1899&amp;"|"&amp;G1899&amp;"|"&amp;H1899&amp;"|"&amp;I1899&amp;"|"&amp;J1899&amp;"|"&amp;K1899&amp;"|"&amp;L1899&amp;"|"&amp;M1899&amp;"|"&amp;N1899</f>
        <v>ORD11198|2025-06-01|18:28|C1468|Nawabi Biryani House|Bengaluru|Biryani|1|245|98|Credit Card|Delivered|35|5</v>
      </c>
      <c r="P1899" s="7" t="str">
        <f aca="false">IF(COUNTIF($O$2:O1899,O1899)&gt;1,"DUP","OK")</f>
        <v>OK</v>
      </c>
      <c r="Q1899" s="7" t="n">
        <f aca="false">COUNTBLANK(A1899:N1899)</f>
        <v>0</v>
      </c>
      <c r="R1899" s="7" t="n">
        <f aca="false">IF(A1899="",0,COUNTIFS($A$2:$A$3058,A1899,$P$2:$P$3058,"OK"))</f>
        <v>1</v>
      </c>
      <c r="S1899" s="7" t="str">
        <f aca="false">IF(OR(A1899="",P1899="DUP",R1899&lt;2),"",IF(Q1899=_xlfn.MINIFS($Q$2:$Q$3058,$A$2:$A$3058,A1899,$P$2:$P$3058,"OK"),"KEEP","DROP"))</f>
        <v/>
      </c>
      <c r="T1899" s="9" t="n">
        <f aca="false">IF(A1899="",1,0)</f>
        <v>0</v>
      </c>
      <c r="U1899" s="9" t="n">
        <f aca="false">IF(D1899="",1,0)</f>
        <v>0</v>
      </c>
      <c r="V1899" s="9" t="n">
        <f aca="false">IF(E1899="",1,0)</f>
        <v>0</v>
      </c>
      <c r="W1899" s="9" t="n">
        <f aca="false">IF(OR(H1899&lt;1,H1899&gt;10),1,0)</f>
        <v>0</v>
      </c>
      <c r="X1899" s="9" t="n">
        <f aca="false">IF(OR(I1899&lt;=0,I1899&gt;1500),1,0)</f>
        <v>0</v>
      </c>
      <c r="Y1899" s="9" t="n">
        <f aca="false">IF(J1899&gt;H1899*I1899,1,0)</f>
        <v>0</v>
      </c>
      <c r="Z1899" s="9" t="n">
        <f aca="false">IF(AND(N1899&lt;&gt;"",OR(N1899&lt;1,N1899&gt;5)),1,0)</f>
        <v>0</v>
      </c>
      <c r="AA1899" s="9" t="n">
        <f aca="false">IF(AND(M1899&lt;&gt;"",OR(M1899&lt;5,M1899&gt;180)),1,0)</f>
        <v>0</v>
      </c>
      <c r="AB1899" s="7" t="str">
        <f aca="false">IF(P1899="DUP","Exact duplicate row",IF(T1899=1,"Missing Order ID",IF(S1899="DROP","Duplicate Order ID (less complete row)",IF(U1899=1,"Missing Customer ID",IF(V1899=1,"Missing Restaurant name",IF(W1899=1,"Invalid/outlier quantity",IF(X1899=1,"Invalid/outlier unit price",IF(Y1899=1,"Discount greater than order value",""))))))))</f>
        <v/>
      </c>
      <c r="AC1899" s="7" t="str">
        <f aca="false">IF(AB1899="","KEEP","DROP")</f>
        <v>KEEP</v>
      </c>
      <c r="AD1899" s="7" t="str">
        <f aca="false">IF(TRIM(F1899)="",IFERROR(INDEX(Map_Tables!$I$4:$I$37,MATCH(TRIM(E1899),Map_Tables!$G$4:$G$37,0)),""),IFERROR(INDEX(Map_Tables!$B$4:$B$18,MATCH(TRIM(F1899),Map_Tables!$A$4:$A$18,0)),"CHECK"))</f>
        <v>Bengaluru</v>
      </c>
      <c r="AE1899" s="7" t="str">
        <f aca="false">IF(TRIM(E1899)="","",IFERROR(INDEX(Map_Tables!$H$4:$H$37,MATCH(TRIM(E1899),Map_Tables!$G$4:$G$37,0)),"CHECK"))</f>
        <v>Nawabi Biryani House</v>
      </c>
      <c r="AF1899" s="7" t="str">
        <f aca="false">IF(TRIM(K1899)="","Unknown",IFERROR(INDEX(Map_Tables!$E$4:$E$15,MATCH(TRIM(K1899),Map_Tables!$D$4:$D$15,0)),"CHECK"))</f>
        <v>Credit Card</v>
      </c>
      <c r="AG1899" s="7" t="str">
        <f aca="false">IF(LEFT(LOWER(TRIM(L1899)),6)="cancel","Cancelled","Delivered")</f>
        <v>Delivered</v>
      </c>
      <c r="AH1899" s="10" t="n">
        <f aca="false">IF(ISNUMBER(SEARCH("/",B1899)),DATE(VALUE(RIGHT(B1899,4)),VALUE(MID(B1899,4,2)),VALUE(LEFT(B1899,2))),IF(MID(B1899,5,1)="-",DATE(VALUE(LEFT(B1899,4)),VALUE(MID(B1899,6,2)),VALUE(RIGHT(B1899,2))),DATE(VALUE(RIGHT(B1899,4)),MATCH(MID(B1899,4,3),{"Jan","Feb","Mar","Apr","May","Jun","Jul","Aug","Sep","Oct","Nov","Dec"},0),VALUE(LEFT(B1899,2)))))</f>
        <v>45809</v>
      </c>
    </row>
    <row r="1900" customFormat="false" ht="15" hidden="false" customHeight="false" outlineLevel="0" collapsed="false">
      <c r="A1900" s="7" t="s">
        <v>4599</v>
      </c>
      <c r="B1900" s="7" t="s">
        <v>1389</v>
      </c>
      <c r="C1900" s="7" t="s">
        <v>2016</v>
      </c>
      <c r="D1900" s="7" t="s">
        <v>4600</v>
      </c>
      <c r="E1900" s="7" t="s">
        <v>98</v>
      </c>
      <c r="F1900" s="7" t="s">
        <v>86</v>
      </c>
      <c r="G1900" s="7" t="s">
        <v>99</v>
      </c>
      <c r="H1900" s="7" t="n">
        <v>5</v>
      </c>
      <c r="I1900" s="7" t="n">
        <v>320</v>
      </c>
      <c r="J1900" s="7" t="n">
        <v>0</v>
      </c>
      <c r="K1900" s="7" t="s">
        <v>88</v>
      </c>
      <c r="L1900" s="7" t="s">
        <v>194</v>
      </c>
      <c r="M1900" s="7" t="n">
        <v>38</v>
      </c>
      <c r="N1900" s="7" t="n">
        <v>4</v>
      </c>
      <c r="O1900" s="7" t="str">
        <f aca="false">A1900&amp;"|"&amp;B1900&amp;"|"&amp;C1900&amp;"|"&amp;D1900&amp;"|"&amp;E1900&amp;"|"&amp;F1900&amp;"|"&amp;G1900&amp;"|"&amp;H1900&amp;"|"&amp;I1900&amp;"|"&amp;J1900&amp;"|"&amp;K1900&amp;"|"&amp;L1900&amp;"|"&amp;M1900&amp;"|"&amp;N1900</f>
        <v>ORD11196|2025-06-01|11:54|C0549|Nawabi Biryani House|Bengaluru|Biryani|5|320|0|UPI|Delivered|38|4</v>
      </c>
      <c r="P1900" s="7" t="str">
        <f aca="false">IF(COUNTIF($O$2:O1900,O1900)&gt;1,"DUP","OK")</f>
        <v>OK</v>
      </c>
      <c r="Q1900" s="7" t="n">
        <f aca="false">COUNTBLANK(A1900:N1900)</f>
        <v>0</v>
      </c>
      <c r="R1900" s="7" t="n">
        <f aca="false">IF(A1900="",0,COUNTIFS($A$2:$A$3058,A1900,$P$2:$P$3058,"OK"))</f>
        <v>1</v>
      </c>
      <c r="S1900" s="7" t="str">
        <f aca="false">IF(OR(A1900="",P1900="DUP",R1900&lt;2),"",IF(Q1900=_xlfn.MINIFS($Q$2:$Q$3058,$A$2:$A$3058,A1900,$P$2:$P$3058,"OK"),"KEEP","DROP"))</f>
        <v/>
      </c>
      <c r="T1900" s="9" t="n">
        <f aca="false">IF(A1900="",1,0)</f>
        <v>0</v>
      </c>
      <c r="U1900" s="9" t="n">
        <f aca="false">IF(D1900="",1,0)</f>
        <v>0</v>
      </c>
      <c r="V1900" s="9" t="n">
        <f aca="false">IF(E1900="",1,0)</f>
        <v>0</v>
      </c>
      <c r="W1900" s="9" t="n">
        <f aca="false">IF(OR(H1900&lt;1,H1900&gt;10),1,0)</f>
        <v>0</v>
      </c>
      <c r="X1900" s="9" t="n">
        <f aca="false">IF(OR(I1900&lt;=0,I1900&gt;1500),1,0)</f>
        <v>0</v>
      </c>
      <c r="Y1900" s="9" t="n">
        <f aca="false">IF(J1900&gt;H1900*I1900,1,0)</f>
        <v>0</v>
      </c>
      <c r="Z1900" s="9" t="n">
        <f aca="false">IF(AND(N1900&lt;&gt;"",OR(N1900&lt;1,N1900&gt;5)),1,0)</f>
        <v>0</v>
      </c>
      <c r="AA1900" s="9" t="n">
        <f aca="false">IF(AND(M1900&lt;&gt;"",OR(M1900&lt;5,M1900&gt;180)),1,0)</f>
        <v>0</v>
      </c>
      <c r="AB1900" s="7" t="str">
        <f aca="false">IF(P1900="DUP","Exact duplicate row",IF(T1900=1,"Missing Order ID",IF(S1900="DROP","Duplicate Order ID (less complete row)",IF(U1900=1,"Missing Customer ID",IF(V1900=1,"Missing Restaurant name",IF(W1900=1,"Invalid/outlier quantity",IF(X1900=1,"Invalid/outlier unit price",IF(Y1900=1,"Discount greater than order value",""))))))))</f>
        <v/>
      </c>
      <c r="AC1900" s="7" t="str">
        <f aca="false">IF(AB1900="","KEEP","DROP")</f>
        <v>KEEP</v>
      </c>
      <c r="AD1900" s="7" t="str">
        <f aca="false">IF(TRIM(F1900)="",IFERROR(INDEX(Map_Tables!$I$4:$I$37,MATCH(TRIM(E1900),Map_Tables!$G$4:$G$37,0)),""),IFERROR(INDEX(Map_Tables!$B$4:$B$18,MATCH(TRIM(F1900),Map_Tables!$A$4:$A$18,0)),"CHECK"))</f>
        <v>Bengaluru</v>
      </c>
      <c r="AE1900" s="7" t="str">
        <f aca="false">IF(TRIM(E1900)="","",IFERROR(INDEX(Map_Tables!$H$4:$H$37,MATCH(TRIM(E1900),Map_Tables!$G$4:$G$37,0)),"CHECK"))</f>
        <v>Nawabi Biryani House</v>
      </c>
      <c r="AF1900" s="7" t="str">
        <f aca="false">IF(TRIM(K1900)="","Unknown",IFERROR(INDEX(Map_Tables!$E$4:$E$15,MATCH(TRIM(K1900),Map_Tables!$D$4:$D$15,0)),"CHECK"))</f>
        <v>UPI</v>
      </c>
      <c r="AG1900" s="7" t="str">
        <f aca="false">IF(LEFT(LOWER(TRIM(L1900)),6)="cancel","Cancelled","Delivered")</f>
        <v>Delivered</v>
      </c>
      <c r="AH1900" s="10" t="n">
        <f aca="false">IF(ISNUMBER(SEARCH("/",B1900)),DATE(VALUE(RIGHT(B1900,4)),VALUE(MID(B1900,4,2)),VALUE(LEFT(B1900,2))),IF(MID(B1900,5,1)="-",DATE(VALUE(LEFT(B1900,4)),VALUE(MID(B1900,6,2)),VALUE(RIGHT(B1900,2))),DATE(VALUE(RIGHT(B1900,4)),MATCH(MID(B1900,4,3),{"Jan","Feb","Mar","Apr","May","Jun","Jul","Aug","Sep","Oct","Nov","Dec"},0),VALUE(LEFT(B1900,2)))))</f>
        <v>45809</v>
      </c>
    </row>
    <row r="1901" customFormat="false" ht="15" hidden="false" customHeight="false" outlineLevel="0" collapsed="false">
      <c r="A1901" s="7" t="s">
        <v>4601</v>
      </c>
      <c r="B1901" s="7" t="s">
        <v>2162</v>
      </c>
      <c r="C1901" s="7" t="s">
        <v>4602</v>
      </c>
      <c r="D1901" s="7" t="s">
        <v>277</v>
      </c>
      <c r="E1901" s="7" t="s">
        <v>158</v>
      </c>
      <c r="F1901" s="7" t="s">
        <v>136</v>
      </c>
      <c r="G1901" s="7" t="s">
        <v>139</v>
      </c>
      <c r="H1901" s="7" t="n">
        <v>3</v>
      </c>
      <c r="I1901" s="7" t="n">
        <v>185</v>
      </c>
      <c r="J1901" s="7" t="n">
        <v>0</v>
      </c>
      <c r="K1901" s="7" t="s">
        <v>93</v>
      </c>
      <c r="L1901" s="7" t="s">
        <v>194</v>
      </c>
      <c r="M1901" s="7" t="n">
        <v>36</v>
      </c>
      <c r="N1901" s="7" t="n">
        <v>4</v>
      </c>
      <c r="O1901" s="7" t="str">
        <f aca="false">A1901&amp;"|"&amp;B1901&amp;"|"&amp;C1901&amp;"|"&amp;D1901&amp;"|"&amp;E1901&amp;"|"&amp;F1901&amp;"|"&amp;G1901&amp;"|"&amp;H1901&amp;"|"&amp;I1901&amp;"|"&amp;J1901&amp;"|"&amp;K1901&amp;"|"&amp;L1901&amp;"|"&amp;M1901&amp;"|"&amp;N1901</f>
        <v>ORD11825|2025-08-26|16:44|C0365|Pune Burger Hub|Pune|Burgers|3|185|0|Credit Card|Delivered|36|4</v>
      </c>
      <c r="P1901" s="7" t="str">
        <f aca="false">IF(COUNTIF($O$2:O1901,O1901)&gt;1,"DUP","OK")</f>
        <v>OK</v>
      </c>
      <c r="Q1901" s="7" t="n">
        <f aca="false">COUNTBLANK(A1901:N1901)</f>
        <v>0</v>
      </c>
      <c r="R1901" s="7" t="n">
        <f aca="false">IF(A1901="",0,COUNTIFS($A$2:$A$3058,A1901,$P$2:$P$3058,"OK"))</f>
        <v>1</v>
      </c>
      <c r="S1901" s="7" t="str">
        <f aca="false">IF(OR(A1901="",P1901="DUP",R1901&lt;2),"",IF(Q1901=_xlfn.MINIFS($Q$2:$Q$3058,$A$2:$A$3058,A1901,$P$2:$P$3058,"OK"),"KEEP","DROP"))</f>
        <v/>
      </c>
      <c r="T1901" s="9" t="n">
        <f aca="false">IF(A1901="",1,0)</f>
        <v>0</v>
      </c>
      <c r="U1901" s="9" t="n">
        <f aca="false">IF(D1901="",1,0)</f>
        <v>0</v>
      </c>
      <c r="V1901" s="9" t="n">
        <f aca="false">IF(E1901="",1,0)</f>
        <v>0</v>
      </c>
      <c r="W1901" s="9" t="n">
        <f aca="false">IF(OR(H1901&lt;1,H1901&gt;10),1,0)</f>
        <v>0</v>
      </c>
      <c r="X1901" s="9" t="n">
        <f aca="false">IF(OR(I1901&lt;=0,I1901&gt;1500),1,0)</f>
        <v>0</v>
      </c>
      <c r="Y1901" s="9" t="n">
        <f aca="false">IF(J1901&gt;H1901*I1901,1,0)</f>
        <v>0</v>
      </c>
      <c r="Z1901" s="9" t="n">
        <f aca="false">IF(AND(N1901&lt;&gt;"",OR(N1901&lt;1,N1901&gt;5)),1,0)</f>
        <v>0</v>
      </c>
      <c r="AA1901" s="9" t="n">
        <f aca="false">IF(AND(M1901&lt;&gt;"",OR(M1901&lt;5,M1901&gt;180)),1,0)</f>
        <v>0</v>
      </c>
      <c r="AB1901" s="7" t="str">
        <f aca="false">IF(P1901="DUP","Exact duplicate row",IF(T1901=1,"Missing Order ID",IF(S1901="DROP","Duplicate Order ID (less complete row)",IF(U1901=1,"Missing Customer ID",IF(V1901=1,"Missing Restaurant name",IF(W1901=1,"Invalid/outlier quantity",IF(X1901=1,"Invalid/outlier unit price",IF(Y1901=1,"Discount greater than order value",""))))))))</f>
        <v/>
      </c>
      <c r="AC1901" s="7" t="str">
        <f aca="false">IF(AB1901="","KEEP","DROP")</f>
        <v>KEEP</v>
      </c>
      <c r="AD1901" s="7" t="str">
        <f aca="false">IF(TRIM(F1901)="",IFERROR(INDEX(Map_Tables!$I$4:$I$37,MATCH(TRIM(E1901),Map_Tables!$G$4:$G$37,0)),""),IFERROR(INDEX(Map_Tables!$B$4:$B$18,MATCH(TRIM(F1901),Map_Tables!$A$4:$A$18,0)),"CHECK"))</f>
        <v>Pune</v>
      </c>
      <c r="AE1901" s="7" t="str">
        <f aca="false">IF(TRIM(E1901)="","",IFERROR(INDEX(Map_Tables!$H$4:$H$37,MATCH(TRIM(E1901),Map_Tables!$G$4:$G$37,0)),"CHECK"))</f>
        <v>Pune Burger Hub</v>
      </c>
      <c r="AF1901" s="7" t="str">
        <f aca="false">IF(TRIM(K1901)="","Unknown",IFERROR(INDEX(Map_Tables!$E$4:$E$15,MATCH(TRIM(K1901),Map_Tables!$D$4:$D$15,0)),"CHECK"))</f>
        <v>Credit Card</v>
      </c>
      <c r="AG1901" s="7" t="str">
        <f aca="false">IF(LEFT(LOWER(TRIM(L1901)),6)="cancel","Cancelled","Delivered")</f>
        <v>Delivered</v>
      </c>
      <c r="AH1901" s="10" t="n">
        <f aca="false">IF(ISNUMBER(SEARCH("/",B1901)),DATE(VALUE(RIGHT(B1901,4)),VALUE(MID(B1901,4,2)),VALUE(LEFT(B1901,2))),IF(MID(B1901,5,1)="-",DATE(VALUE(LEFT(B1901,4)),VALUE(MID(B1901,6,2)),VALUE(RIGHT(B1901,2))),DATE(VALUE(RIGHT(B1901,4)),MATCH(MID(B1901,4,3),{"Jan","Feb","Mar","Apr","May","Jun","Jul","Aug","Sep","Oct","Nov","Dec"},0),VALUE(LEFT(B1901,2)))))</f>
        <v>45895</v>
      </c>
    </row>
    <row r="1902" customFormat="false" ht="15" hidden="false" customHeight="false" outlineLevel="0" collapsed="false">
      <c r="A1902" s="7" t="s">
        <v>4603</v>
      </c>
      <c r="B1902" s="7" t="s">
        <v>2283</v>
      </c>
      <c r="C1902" s="7" t="s">
        <v>3209</v>
      </c>
      <c r="D1902" s="7" t="s">
        <v>2585</v>
      </c>
      <c r="E1902" s="7" t="s">
        <v>94</v>
      </c>
      <c r="F1902" s="7" t="s">
        <v>85</v>
      </c>
      <c r="G1902" s="7" t="s">
        <v>95</v>
      </c>
      <c r="H1902" s="7" t="n">
        <v>3</v>
      </c>
      <c r="I1902" s="7" t="n">
        <v>135</v>
      </c>
      <c r="J1902" s="7" t="n">
        <v>150</v>
      </c>
      <c r="K1902" s="7" t="s">
        <v>88</v>
      </c>
      <c r="L1902" s="7" t="s">
        <v>194</v>
      </c>
      <c r="M1902" s="7" t="n">
        <v>36</v>
      </c>
      <c r="N1902" s="7" t="n">
        <v>4</v>
      </c>
      <c r="O1902" s="7" t="str">
        <f aca="false">A1902&amp;"|"&amp;B1902&amp;"|"&amp;C1902&amp;"|"&amp;D1902&amp;"|"&amp;E1902&amp;"|"&amp;F1902&amp;"|"&amp;G1902&amp;"|"&amp;H1902&amp;"|"&amp;I1902&amp;"|"&amp;J1902&amp;"|"&amp;K1902&amp;"|"&amp;L1902&amp;"|"&amp;M1902&amp;"|"&amp;N1902</f>
        <v>ORD11880|2025-09-02|20:08|C1248|Dosa Darbar|bangalore|South Indian|3|135|150|UPI|Delivered|36|4</v>
      </c>
      <c r="P1902" s="7" t="str">
        <f aca="false">IF(COUNTIF($O$2:O1902,O1902)&gt;1,"DUP","OK")</f>
        <v>OK</v>
      </c>
      <c r="Q1902" s="7" t="n">
        <f aca="false">COUNTBLANK(A1902:N1902)</f>
        <v>0</v>
      </c>
      <c r="R1902" s="7" t="n">
        <f aca="false">IF(A1902="",0,COUNTIFS($A$2:$A$3058,A1902,$P$2:$P$3058,"OK"))</f>
        <v>1</v>
      </c>
      <c r="S1902" s="7" t="str">
        <f aca="false">IF(OR(A1902="",P1902="DUP",R1902&lt;2),"",IF(Q1902=_xlfn.MINIFS($Q$2:$Q$3058,$A$2:$A$3058,A1902,$P$2:$P$3058,"OK"),"KEEP","DROP"))</f>
        <v/>
      </c>
      <c r="T1902" s="9" t="n">
        <f aca="false">IF(A1902="",1,0)</f>
        <v>0</v>
      </c>
      <c r="U1902" s="9" t="n">
        <f aca="false">IF(D1902="",1,0)</f>
        <v>0</v>
      </c>
      <c r="V1902" s="9" t="n">
        <f aca="false">IF(E1902="",1,0)</f>
        <v>0</v>
      </c>
      <c r="W1902" s="9" t="n">
        <f aca="false">IF(OR(H1902&lt;1,H1902&gt;10),1,0)</f>
        <v>0</v>
      </c>
      <c r="X1902" s="9" t="n">
        <f aca="false">IF(OR(I1902&lt;=0,I1902&gt;1500),1,0)</f>
        <v>0</v>
      </c>
      <c r="Y1902" s="9" t="n">
        <f aca="false">IF(J1902&gt;H1902*I1902,1,0)</f>
        <v>0</v>
      </c>
      <c r="Z1902" s="9" t="n">
        <f aca="false">IF(AND(N1902&lt;&gt;"",OR(N1902&lt;1,N1902&gt;5)),1,0)</f>
        <v>0</v>
      </c>
      <c r="AA1902" s="9" t="n">
        <f aca="false">IF(AND(M1902&lt;&gt;"",OR(M1902&lt;5,M1902&gt;180)),1,0)</f>
        <v>0</v>
      </c>
      <c r="AB1902" s="7" t="str">
        <f aca="false">IF(P1902="DUP","Exact duplicate row",IF(T1902=1,"Missing Order ID",IF(S1902="DROP","Duplicate Order ID (less complete row)",IF(U1902=1,"Missing Customer ID",IF(V1902=1,"Missing Restaurant name",IF(W1902=1,"Invalid/outlier quantity",IF(X1902=1,"Invalid/outlier unit price",IF(Y1902=1,"Discount greater than order value",""))))))))</f>
        <v/>
      </c>
      <c r="AC1902" s="7" t="str">
        <f aca="false">IF(AB1902="","KEEP","DROP")</f>
        <v>KEEP</v>
      </c>
      <c r="AD1902" s="7" t="str">
        <f aca="false">IF(TRIM(F1902)="",IFERROR(INDEX(Map_Tables!$I$4:$I$37,MATCH(TRIM(E1902),Map_Tables!$G$4:$G$37,0)),""),IFERROR(INDEX(Map_Tables!$B$4:$B$18,MATCH(TRIM(F1902),Map_Tables!$A$4:$A$18,0)),"CHECK"))</f>
        <v>Bengaluru</v>
      </c>
      <c r="AE1902" s="7" t="str">
        <f aca="false">IF(TRIM(E1902)="","",IFERROR(INDEX(Map_Tables!$H$4:$H$37,MATCH(TRIM(E1902),Map_Tables!$G$4:$G$37,0)),"CHECK"))</f>
        <v>Dosa Darbar</v>
      </c>
      <c r="AF1902" s="7" t="str">
        <f aca="false">IF(TRIM(K1902)="","Unknown",IFERROR(INDEX(Map_Tables!$E$4:$E$15,MATCH(TRIM(K1902),Map_Tables!$D$4:$D$15,0)),"CHECK"))</f>
        <v>UPI</v>
      </c>
      <c r="AG1902" s="7" t="str">
        <f aca="false">IF(LEFT(LOWER(TRIM(L1902)),6)="cancel","Cancelled","Delivered")</f>
        <v>Delivered</v>
      </c>
      <c r="AH1902" s="10" t="n">
        <f aca="false">IF(ISNUMBER(SEARCH("/",B1902)),DATE(VALUE(RIGHT(B1902,4)),VALUE(MID(B1902,4,2)),VALUE(LEFT(B1902,2))),IF(MID(B1902,5,1)="-",DATE(VALUE(LEFT(B1902,4)),VALUE(MID(B1902,6,2)),VALUE(RIGHT(B1902,2))),DATE(VALUE(RIGHT(B1902,4)),MATCH(MID(B1902,4,3),{"Jan","Feb","Mar","Apr","May","Jun","Jul","Aug","Sep","Oct","Nov","Dec"},0),VALUE(LEFT(B1902,2)))))</f>
        <v>45902</v>
      </c>
    </row>
    <row r="1903" customFormat="false" ht="15" hidden="false" customHeight="false" outlineLevel="0" collapsed="false">
      <c r="A1903" s="7" t="s">
        <v>4604</v>
      </c>
      <c r="B1903" s="7" t="s">
        <v>1657</v>
      </c>
      <c r="C1903" s="7" t="s">
        <v>327</v>
      </c>
      <c r="D1903" s="7" t="s">
        <v>1141</v>
      </c>
      <c r="E1903" s="7" t="s">
        <v>116</v>
      </c>
      <c r="F1903" s="7" t="s">
        <v>101</v>
      </c>
      <c r="G1903" s="7" t="s">
        <v>844</v>
      </c>
      <c r="H1903" s="7" t="n">
        <v>2</v>
      </c>
      <c r="I1903" s="7" t="n">
        <v>135</v>
      </c>
      <c r="J1903" s="7" t="n">
        <v>40</v>
      </c>
      <c r="K1903" s="7" t="s">
        <v>93</v>
      </c>
      <c r="L1903" s="7" t="s">
        <v>194</v>
      </c>
      <c r="M1903" s="7" t="n">
        <v>38</v>
      </c>
      <c r="N1903" s="7" t="n">
        <v>3</v>
      </c>
      <c r="O1903" s="7" t="str">
        <f aca="false">A1903&amp;"|"&amp;B1903&amp;"|"&amp;C1903&amp;"|"&amp;D1903&amp;"|"&amp;E1903&amp;"|"&amp;F1903&amp;"|"&amp;G1903&amp;"|"&amp;H1903&amp;"|"&amp;I1903&amp;"|"&amp;J1903&amp;"|"&amp;K1903&amp;"|"&amp;L1903&amp;"|"&amp;M1903&amp;"|"&amp;N1903</f>
        <v>ORD11862|2025-08-31|19:10|C1393|Pav Bhaji Point|Mumbai|STREET FOOD|2|135|40|Credit Card|Delivered|38|3</v>
      </c>
      <c r="P1903" s="7" t="str">
        <f aca="false">IF(COUNTIF($O$2:O1903,O1903)&gt;1,"DUP","OK")</f>
        <v>OK</v>
      </c>
      <c r="Q1903" s="7" t="n">
        <f aca="false">COUNTBLANK(A1903:N1903)</f>
        <v>0</v>
      </c>
      <c r="R1903" s="7" t="n">
        <f aca="false">IF(A1903="",0,COUNTIFS($A$2:$A$3058,A1903,$P$2:$P$3058,"OK"))</f>
        <v>1</v>
      </c>
      <c r="S1903" s="7" t="str">
        <f aca="false">IF(OR(A1903="",P1903="DUP",R1903&lt;2),"",IF(Q1903=_xlfn.MINIFS($Q$2:$Q$3058,$A$2:$A$3058,A1903,$P$2:$P$3058,"OK"),"KEEP","DROP"))</f>
        <v/>
      </c>
      <c r="T1903" s="9" t="n">
        <f aca="false">IF(A1903="",1,0)</f>
        <v>0</v>
      </c>
      <c r="U1903" s="9" t="n">
        <f aca="false">IF(D1903="",1,0)</f>
        <v>0</v>
      </c>
      <c r="V1903" s="9" t="n">
        <f aca="false">IF(E1903="",1,0)</f>
        <v>0</v>
      </c>
      <c r="W1903" s="9" t="n">
        <f aca="false">IF(OR(H1903&lt;1,H1903&gt;10),1,0)</f>
        <v>0</v>
      </c>
      <c r="X1903" s="9" t="n">
        <f aca="false">IF(OR(I1903&lt;=0,I1903&gt;1500),1,0)</f>
        <v>0</v>
      </c>
      <c r="Y1903" s="9" t="n">
        <f aca="false">IF(J1903&gt;H1903*I1903,1,0)</f>
        <v>0</v>
      </c>
      <c r="Z1903" s="9" t="n">
        <f aca="false">IF(AND(N1903&lt;&gt;"",OR(N1903&lt;1,N1903&gt;5)),1,0)</f>
        <v>0</v>
      </c>
      <c r="AA1903" s="9" t="n">
        <f aca="false">IF(AND(M1903&lt;&gt;"",OR(M1903&lt;5,M1903&gt;180)),1,0)</f>
        <v>0</v>
      </c>
      <c r="AB1903" s="7" t="str">
        <f aca="false">IF(P1903="DUP","Exact duplicate row",IF(T1903=1,"Missing Order ID",IF(S1903="DROP","Duplicate Order ID (less complete row)",IF(U1903=1,"Missing Customer ID",IF(V1903=1,"Missing Restaurant name",IF(W1903=1,"Invalid/outlier quantity",IF(X1903=1,"Invalid/outlier unit price",IF(Y1903=1,"Discount greater than order value",""))))))))</f>
        <v/>
      </c>
      <c r="AC1903" s="7" t="str">
        <f aca="false">IF(AB1903="","KEEP","DROP")</f>
        <v>KEEP</v>
      </c>
      <c r="AD1903" s="7" t="str">
        <f aca="false">IF(TRIM(F1903)="",IFERROR(INDEX(Map_Tables!$I$4:$I$37,MATCH(TRIM(E1903),Map_Tables!$G$4:$G$37,0)),""),IFERROR(INDEX(Map_Tables!$B$4:$B$18,MATCH(TRIM(F1903),Map_Tables!$A$4:$A$18,0)),"CHECK"))</f>
        <v>Mumbai</v>
      </c>
      <c r="AE1903" s="7" t="str">
        <f aca="false">IF(TRIM(E1903)="","",IFERROR(INDEX(Map_Tables!$H$4:$H$37,MATCH(TRIM(E1903),Map_Tables!$G$4:$G$37,0)),"CHECK"))</f>
        <v>Pav Bhaji Point</v>
      </c>
      <c r="AF1903" s="7" t="str">
        <f aca="false">IF(TRIM(K1903)="","Unknown",IFERROR(INDEX(Map_Tables!$E$4:$E$15,MATCH(TRIM(K1903),Map_Tables!$D$4:$D$15,0)),"CHECK"))</f>
        <v>Credit Card</v>
      </c>
      <c r="AG1903" s="7" t="str">
        <f aca="false">IF(LEFT(LOWER(TRIM(L1903)),6)="cancel","Cancelled","Delivered")</f>
        <v>Delivered</v>
      </c>
      <c r="AH1903" s="10" t="n">
        <f aca="false">IF(ISNUMBER(SEARCH("/",B1903)),DATE(VALUE(RIGHT(B1903,4)),VALUE(MID(B1903,4,2)),VALUE(LEFT(B1903,2))),IF(MID(B1903,5,1)="-",DATE(VALUE(LEFT(B1903,4)),VALUE(MID(B1903,6,2)),VALUE(RIGHT(B1903,2))),DATE(VALUE(RIGHT(B1903,4)),MATCH(MID(B1903,4,3),{"Jan","Feb","Mar","Apr","May","Jun","Jul","Aug","Sep","Oct","Nov","Dec"},0),VALUE(LEFT(B1903,2)))))</f>
        <v>45900</v>
      </c>
    </row>
    <row r="1904" customFormat="false" ht="15" hidden="false" customHeight="false" outlineLevel="0" collapsed="false">
      <c r="A1904" s="7" t="s">
        <v>4605</v>
      </c>
      <c r="B1904" s="7" t="s">
        <v>2069</v>
      </c>
      <c r="C1904" s="7" t="s">
        <v>4316</v>
      </c>
      <c r="D1904" s="7" t="s">
        <v>922</v>
      </c>
      <c r="E1904" s="7" t="s">
        <v>126</v>
      </c>
      <c r="F1904" s="7" t="s">
        <v>101</v>
      </c>
      <c r="G1904" s="7" t="s">
        <v>105</v>
      </c>
      <c r="H1904" s="7" t="n">
        <v>3</v>
      </c>
      <c r="I1904" s="7" t="n">
        <v>200</v>
      </c>
      <c r="J1904" s="7" t="n">
        <v>0</v>
      </c>
      <c r="K1904" s="7" t="s">
        <v>103</v>
      </c>
      <c r="L1904" s="7" t="s">
        <v>1265</v>
      </c>
      <c r="M1904" s="7" t="n">
        <v>36</v>
      </c>
      <c r="N1904" s="7" t="n">
        <v>4</v>
      </c>
      <c r="O1904" s="7" t="str">
        <f aca="false">A1904&amp;"|"&amp;B1904&amp;"|"&amp;C1904&amp;"|"&amp;D1904&amp;"|"&amp;E1904&amp;"|"&amp;F1904&amp;"|"&amp;G1904&amp;"|"&amp;H1904&amp;"|"&amp;I1904&amp;"|"&amp;J1904&amp;"|"&amp;K1904&amp;"|"&amp;L1904&amp;"|"&amp;M1904&amp;"|"&amp;N1904</f>
        <v>ORD11351|2025-06-23|14:16|C0562|Dragon Express|Mumbai|Chinese|3|200|0|Debit Card|delivered|36|4</v>
      </c>
      <c r="P1904" s="7" t="str">
        <f aca="false">IF(COUNTIF($O$2:O1904,O1904)&gt;1,"DUP","OK")</f>
        <v>OK</v>
      </c>
      <c r="Q1904" s="7" t="n">
        <f aca="false">COUNTBLANK(A1904:N1904)</f>
        <v>0</v>
      </c>
      <c r="R1904" s="7" t="n">
        <f aca="false">IF(A1904="",0,COUNTIFS($A$2:$A$3058,A1904,$P$2:$P$3058,"OK"))</f>
        <v>1</v>
      </c>
      <c r="S1904" s="7" t="str">
        <f aca="false">IF(OR(A1904="",P1904="DUP",R1904&lt;2),"",IF(Q1904=_xlfn.MINIFS($Q$2:$Q$3058,$A$2:$A$3058,A1904,$P$2:$P$3058,"OK"),"KEEP","DROP"))</f>
        <v/>
      </c>
      <c r="T1904" s="9" t="n">
        <f aca="false">IF(A1904="",1,0)</f>
        <v>0</v>
      </c>
      <c r="U1904" s="9" t="n">
        <f aca="false">IF(D1904="",1,0)</f>
        <v>0</v>
      </c>
      <c r="V1904" s="9" t="n">
        <f aca="false">IF(E1904="",1,0)</f>
        <v>0</v>
      </c>
      <c r="W1904" s="9" t="n">
        <f aca="false">IF(OR(H1904&lt;1,H1904&gt;10),1,0)</f>
        <v>0</v>
      </c>
      <c r="X1904" s="9" t="n">
        <f aca="false">IF(OR(I1904&lt;=0,I1904&gt;1500),1,0)</f>
        <v>0</v>
      </c>
      <c r="Y1904" s="9" t="n">
        <f aca="false">IF(J1904&gt;H1904*I1904,1,0)</f>
        <v>0</v>
      </c>
      <c r="Z1904" s="9" t="n">
        <f aca="false">IF(AND(N1904&lt;&gt;"",OR(N1904&lt;1,N1904&gt;5)),1,0)</f>
        <v>0</v>
      </c>
      <c r="AA1904" s="9" t="n">
        <f aca="false">IF(AND(M1904&lt;&gt;"",OR(M1904&lt;5,M1904&gt;180)),1,0)</f>
        <v>0</v>
      </c>
      <c r="AB1904" s="7" t="str">
        <f aca="false">IF(P1904="DUP","Exact duplicate row",IF(T1904=1,"Missing Order ID",IF(S1904="DROP","Duplicate Order ID (less complete row)",IF(U1904=1,"Missing Customer ID",IF(V1904=1,"Missing Restaurant name",IF(W1904=1,"Invalid/outlier quantity",IF(X1904=1,"Invalid/outlier unit price",IF(Y1904=1,"Discount greater than order value",""))))))))</f>
        <v/>
      </c>
      <c r="AC1904" s="7" t="str">
        <f aca="false">IF(AB1904="","KEEP","DROP")</f>
        <v>KEEP</v>
      </c>
      <c r="AD1904" s="7" t="str">
        <f aca="false">IF(TRIM(F1904)="",IFERROR(INDEX(Map_Tables!$I$4:$I$37,MATCH(TRIM(E1904),Map_Tables!$G$4:$G$37,0)),""),IFERROR(INDEX(Map_Tables!$B$4:$B$18,MATCH(TRIM(F1904),Map_Tables!$A$4:$A$18,0)),"CHECK"))</f>
        <v>Mumbai</v>
      </c>
      <c r="AE1904" s="7" t="str">
        <f aca="false">IF(TRIM(E1904)="","",IFERROR(INDEX(Map_Tables!$H$4:$H$37,MATCH(TRIM(E1904),Map_Tables!$G$4:$G$37,0)),"CHECK"))</f>
        <v>Dragon Express</v>
      </c>
      <c r="AF1904" s="7" t="str">
        <f aca="false">IF(TRIM(K1904)="","Unknown",IFERROR(INDEX(Map_Tables!$E$4:$E$15,MATCH(TRIM(K1904),Map_Tables!$D$4:$D$15,0)),"CHECK"))</f>
        <v>Debit Card</v>
      </c>
      <c r="AG1904" s="7" t="str">
        <f aca="false">IF(LEFT(LOWER(TRIM(L1904)),6)="cancel","Cancelled","Delivered")</f>
        <v>Delivered</v>
      </c>
      <c r="AH1904" s="10" t="n">
        <f aca="false">IF(ISNUMBER(SEARCH("/",B1904)),DATE(VALUE(RIGHT(B1904,4)),VALUE(MID(B1904,4,2)),VALUE(LEFT(B1904,2))),IF(MID(B1904,5,1)="-",DATE(VALUE(LEFT(B1904,4)),VALUE(MID(B1904,6,2)),VALUE(RIGHT(B1904,2))),DATE(VALUE(RIGHT(B1904,4)),MATCH(MID(B1904,4,3),{"Jan","Feb","Mar","Apr","May","Jun","Jul","Aug","Sep","Oct","Nov","Dec"},0),VALUE(LEFT(B1904,2)))))</f>
        <v>45831</v>
      </c>
    </row>
    <row r="1905" customFormat="false" ht="15" hidden="false" customHeight="false" outlineLevel="0" collapsed="false">
      <c r="A1905" s="7" t="s">
        <v>4606</v>
      </c>
      <c r="B1905" s="7" t="s">
        <v>451</v>
      </c>
      <c r="C1905" s="7" t="s">
        <v>1313</v>
      </c>
      <c r="D1905" s="7" t="s">
        <v>673</v>
      </c>
      <c r="E1905" s="7" t="s">
        <v>113</v>
      </c>
      <c r="F1905" s="7" t="s">
        <v>101</v>
      </c>
      <c r="G1905" s="7" t="s">
        <v>90</v>
      </c>
      <c r="H1905" s="7" t="n">
        <v>4</v>
      </c>
      <c r="I1905" s="7" t="n">
        <v>240</v>
      </c>
      <c r="J1905" s="7" t="n">
        <v>75</v>
      </c>
      <c r="K1905" s="7" t="s">
        <v>88</v>
      </c>
      <c r="L1905" s="7" t="s">
        <v>194</v>
      </c>
      <c r="M1905" s="7" t="n">
        <v>54</v>
      </c>
      <c r="N1905" s="7" t="n">
        <v>2</v>
      </c>
      <c r="O1905" s="7" t="str">
        <f aca="false">A1905&amp;"|"&amp;B1905&amp;"|"&amp;C1905&amp;"|"&amp;D1905&amp;"|"&amp;E1905&amp;"|"&amp;F1905&amp;"|"&amp;G1905&amp;"|"&amp;H1905&amp;"|"&amp;I1905&amp;"|"&amp;J1905&amp;"|"&amp;K1905&amp;"|"&amp;L1905&amp;"|"&amp;M1905&amp;"|"&amp;N1905</f>
        <v>ORD11528|2025-07-17|20:52|C1316|Curry Leaf Kitchen|Mumbai|North Indian|4|240|75|UPI|Delivered|54|2</v>
      </c>
      <c r="P1905" s="7" t="str">
        <f aca="false">IF(COUNTIF($O$2:O1905,O1905)&gt;1,"DUP","OK")</f>
        <v>OK</v>
      </c>
      <c r="Q1905" s="7" t="n">
        <f aca="false">COUNTBLANK(A1905:N1905)</f>
        <v>0</v>
      </c>
      <c r="R1905" s="7" t="n">
        <f aca="false">IF(A1905="",0,COUNTIFS($A$2:$A$3058,A1905,$P$2:$P$3058,"OK"))</f>
        <v>1</v>
      </c>
      <c r="S1905" s="7" t="str">
        <f aca="false">IF(OR(A1905="",P1905="DUP",R1905&lt;2),"",IF(Q1905=_xlfn.MINIFS($Q$2:$Q$3058,$A$2:$A$3058,A1905,$P$2:$P$3058,"OK"),"KEEP","DROP"))</f>
        <v/>
      </c>
      <c r="T1905" s="9" t="n">
        <f aca="false">IF(A1905="",1,0)</f>
        <v>0</v>
      </c>
      <c r="U1905" s="9" t="n">
        <f aca="false">IF(D1905="",1,0)</f>
        <v>0</v>
      </c>
      <c r="V1905" s="9" t="n">
        <f aca="false">IF(E1905="",1,0)</f>
        <v>0</v>
      </c>
      <c r="W1905" s="9" t="n">
        <f aca="false">IF(OR(H1905&lt;1,H1905&gt;10),1,0)</f>
        <v>0</v>
      </c>
      <c r="X1905" s="9" t="n">
        <f aca="false">IF(OR(I1905&lt;=0,I1905&gt;1500),1,0)</f>
        <v>0</v>
      </c>
      <c r="Y1905" s="9" t="n">
        <f aca="false">IF(J1905&gt;H1905*I1905,1,0)</f>
        <v>0</v>
      </c>
      <c r="Z1905" s="9" t="n">
        <f aca="false">IF(AND(N1905&lt;&gt;"",OR(N1905&lt;1,N1905&gt;5)),1,0)</f>
        <v>0</v>
      </c>
      <c r="AA1905" s="9" t="n">
        <f aca="false">IF(AND(M1905&lt;&gt;"",OR(M1905&lt;5,M1905&gt;180)),1,0)</f>
        <v>0</v>
      </c>
      <c r="AB1905" s="7" t="str">
        <f aca="false">IF(P1905="DUP","Exact duplicate row",IF(T1905=1,"Missing Order ID",IF(S1905="DROP","Duplicate Order ID (less complete row)",IF(U1905=1,"Missing Customer ID",IF(V1905=1,"Missing Restaurant name",IF(W1905=1,"Invalid/outlier quantity",IF(X1905=1,"Invalid/outlier unit price",IF(Y1905=1,"Discount greater than order value",""))))))))</f>
        <v/>
      </c>
      <c r="AC1905" s="7" t="str">
        <f aca="false">IF(AB1905="","KEEP","DROP")</f>
        <v>KEEP</v>
      </c>
      <c r="AD1905" s="7" t="str">
        <f aca="false">IF(TRIM(F1905)="",IFERROR(INDEX(Map_Tables!$I$4:$I$37,MATCH(TRIM(E1905),Map_Tables!$G$4:$G$37,0)),""),IFERROR(INDEX(Map_Tables!$B$4:$B$18,MATCH(TRIM(F1905),Map_Tables!$A$4:$A$18,0)),"CHECK"))</f>
        <v>Mumbai</v>
      </c>
      <c r="AE1905" s="7" t="str">
        <f aca="false">IF(TRIM(E1905)="","",IFERROR(INDEX(Map_Tables!$H$4:$H$37,MATCH(TRIM(E1905),Map_Tables!$G$4:$G$37,0)),"CHECK"))</f>
        <v>Curry Leaf Kitchen</v>
      </c>
      <c r="AF1905" s="7" t="str">
        <f aca="false">IF(TRIM(K1905)="","Unknown",IFERROR(INDEX(Map_Tables!$E$4:$E$15,MATCH(TRIM(K1905),Map_Tables!$D$4:$D$15,0)),"CHECK"))</f>
        <v>UPI</v>
      </c>
      <c r="AG1905" s="7" t="str">
        <f aca="false">IF(LEFT(LOWER(TRIM(L1905)),6)="cancel","Cancelled","Delivered")</f>
        <v>Delivered</v>
      </c>
      <c r="AH1905" s="10" t="n">
        <f aca="false">IF(ISNUMBER(SEARCH("/",B1905)),DATE(VALUE(RIGHT(B1905,4)),VALUE(MID(B1905,4,2)),VALUE(LEFT(B1905,2))),IF(MID(B1905,5,1)="-",DATE(VALUE(LEFT(B1905,4)),VALUE(MID(B1905,6,2)),VALUE(RIGHT(B1905,2))),DATE(VALUE(RIGHT(B1905,4)),MATCH(MID(B1905,4,3),{"Jan","Feb","Mar","Apr","May","Jun","Jul","Aug","Sep","Oct","Nov","Dec"},0),VALUE(LEFT(B1905,2)))))</f>
        <v>45855</v>
      </c>
    </row>
    <row r="1906" customFormat="false" ht="15" hidden="false" customHeight="false" outlineLevel="0" collapsed="false">
      <c r="A1906" s="7" t="s">
        <v>4607</v>
      </c>
      <c r="B1906" s="7" t="s">
        <v>4276</v>
      </c>
      <c r="C1906" s="7" t="s">
        <v>4026</v>
      </c>
      <c r="D1906" s="7" t="s">
        <v>4386</v>
      </c>
      <c r="E1906" s="7" t="s">
        <v>104</v>
      </c>
      <c r="F1906" s="7" t="s">
        <v>86</v>
      </c>
      <c r="G1906" s="7" t="s">
        <v>105</v>
      </c>
      <c r="H1906" s="7" t="n">
        <v>3</v>
      </c>
      <c r="I1906" s="7" t="n">
        <v>210</v>
      </c>
      <c r="J1906" s="7" t="n">
        <v>50</v>
      </c>
      <c r="K1906" s="7" t="s">
        <v>121</v>
      </c>
      <c r="L1906" s="7" t="s">
        <v>194</v>
      </c>
      <c r="M1906" s="7" t="n">
        <v>54</v>
      </c>
      <c r="N1906" s="7" t="n">
        <v>4</v>
      </c>
      <c r="O1906" s="7" t="str">
        <f aca="false">A1906&amp;"|"&amp;B1906&amp;"|"&amp;C1906&amp;"|"&amp;D1906&amp;"|"&amp;E1906&amp;"|"&amp;F1906&amp;"|"&amp;G1906&amp;"|"&amp;H1906&amp;"|"&amp;I1906&amp;"|"&amp;J1906&amp;"|"&amp;K1906&amp;"|"&amp;L1906&amp;"|"&amp;M1906&amp;"|"&amp;N1906</f>
        <v>ORD11559|2025-07-22|21:29|C0272|Wok &amp; Roll|Bengaluru|Chinese|3|210|50|Wallet|Delivered|54|4</v>
      </c>
      <c r="P1906" s="7" t="str">
        <f aca="false">IF(COUNTIF($O$2:O1906,O1906)&gt;1,"DUP","OK")</f>
        <v>OK</v>
      </c>
      <c r="Q1906" s="7" t="n">
        <f aca="false">COUNTBLANK(A1906:N1906)</f>
        <v>0</v>
      </c>
      <c r="R1906" s="7" t="n">
        <f aca="false">IF(A1906="",0,COUNTIFS($A$2:$A$3058,A1906,$P$2:$P$3058,"OK"))</f>
        <v>1</v>
      </c>
      <c r="S1906" s="7" t="str">
        <f aca="false">IF(OR(A1906="",P1906="DUP",R1906&lt;2),"",IF(Q1906=_xlfn.MINIFS($Q$2:$Q$3058,$A$2:$A$3058,A1906,$P$2:$P$3058,"OK"),"KEEP","DROP"))</f>
        <v/>
      </c>
      <c r="T1906" s="9" t="n">
        <f aca="false">IF(A1906="",1,0)</f>
        <v>0</v>
      </c>
      <c r="U1906" s="9" t="n">
        <f aca="false">IF(D1906="",1,0)</f>
        <v>0</v>
      </c>
      <c r="V1906" s="9" t="n">
        <f aca="false">IF(E1906="",1,0)</f>
        <v>0</v>
      </c>
      <c r="W1906" s="9" t="n">
        <f aca="false">IF(OR(H1906&lt;1,H1906&gt;10),1,0)</f>
        <v>0</v>
      </c>
      <c r="X1906" s="9" t="n">
        <f aca="false">IF(OR(I1906&lt;=0,I1906&gt;1500),1,0)</f>
        <v>0</v>
      </c>
      <c r="Y1906" s="9" t="n">
        <f aca="false">IF(J1906&gt;H1906*I1906,1,0)</f>
        <v>0</v>
      </c>
      <c r="Z1906" s="9" t="n">
        <f aca="false">IF(AND(N1906&lt;&gt;"",OR(N1906&lt;1,N1906&gt;5)),1,0)</f>
        <v>0</v>
      </c>
      <c r="AA1906" s="9" t="n">
        <f aca="false">IF(AND(M1906&lt;&gt;"",OR(M1906&lt;5,M1906&gt;180)),1,0)</f>
        <v>0</v>
      </c>
      <c r="AB1906" s="7" t="str">
        <f aca="false">IF(P1906="DUP","Exact duplicate row",IF(T1906=1,"Missing Order ID",IF(S1906="DROP","Duplicate Order ID (less complete row)",IF(U1906=1,"Missing Customer ID",IF(V1906=1,"Missing Restaurant name",IF(W1906=1,"Invalid/outlier quantity",IF(X1906=1,"Invalid/outlier unit price",IF(Y1906=1,"Discount greater than order value",""))))))))</f>
        <v/>
      </c>
      <c r="AC1906" s="7" t="str">
        <f aca="false">IF(AB1906="","KEEP","DROP")</f>
        <v>KEEP</v>
      </c>
      <c r="AD1906" s="7" t="str">
        <f aca="false">IF(TRIM(F1906)="",IFERROR(INDEX(Map_Tables!$I$4:$I$37,MATCH(TRIM(E1906),Map_Tables!$G$4:$G$37,0)),""),IFERROR(INDEX(Map_Tables!$B$4:$B$18,MATCH(TRIM(F1906),Map_Tables!$A$4:$A$18,0)),"CHECK"))</f>
        <v>Bengaluru</v>
      </c>
      <c r="AE1906" s="7" t="str">
        <f aca="false">IF(TRIM(E1906)="","",IFERROR(INDEX(Map_Tables!$H$4:$H$37,MATCH(TRIM(E1906),Map_Tables!$G$4:$G$37,0)),"CHECK"))</f>
        <v>Wok &amp; Roll</v>
      </c>
      <c r="AF1906" s="7" t="str">
        <f aca="false">IF(TRIM(K1906)="","Unknown",IFERROR(INDEX(Map_Tables!$E$4:$E$15,MATCH(TRIM(K1906),Map_Tables!$D$4:$D$15,0)),"CHECK"))</f>
        <v>Wallet</v>
      </c>
      <c r="AG1906" s="7" t="str">
        <f aca="false">IF(LEFT(LOWER(TRIM(L1906)),6)="cancel","Cancelled","Delivered")</f>
        <v>Delivered</v>
      </c>
      <c r="AH1906" s="10" t="n">
        <f aca="false">IF(ISNUMBER(SEARCH("/",B1906)),DATE(VALUE(RIGHT(B1906,4)),VALUE(MID(B1906,4,2)),VALUE(LEFT(B1906,2))),IF(MID(B1906,5,1)="-",DATE(VALUE(LEFT(B1906,4)),VALUE(MID(B1906,6,2)),VALUE(RIGHT(B1906,2))),DATE(VALUE(RIGHT(B1906,4)),MATCH(MID(B1906,4,3),{"Jan","Feb","Mar","Apr","May","Jun","Jul","Aug","Sep","Oct","Nov","Dec"},0),VALUE(LEFT(B1906,2)))))</f>
        <v>45860</v>
      </c>
    </row>
    <row r="1907" customFormat="false" ht="15" hidden="false" customHeight="false" outlineLevel="0" collapsed="false">
      <c r="A1907" s="7" t="s">
        <v>4608</v>
      </c>
      <c r="B1907" s="7" t="s">
        <v>2312</v>
      </c>
      <c r="C1907" s="7" t="s">
        <v>4609</v>
      </c>
      <c r="D1907" s="7" t="s">
        <v>4610</v>
      </c>
      <c r="E1907" s="7" t="s">
        <v>89</v>
      </c>
      <c r="F1907" s="7" t="s">
        <v>86</v>
      </c>
      <c r="G1907" s="7" t="s">
        <v>90</v>
      </c>
      <c r="H1907" s="7" t="n">
        <v>2</v>
      </c>
      <c r="I1907" s="7" t="n">
        <v>255</v>
      </c>
      <c r="J1907" s="7" t="n">
        <v>0</v>
      </c>
      <c r="K1907" s="7" t="s">
        <v>121</v>
      </c>
      <c r="L1907" s="7" t="s">
        <v>194</v>
      </c>
      <c r="M1907" s="7" t="n">
        <v>34</v>
      </c>
      <c r="N1907" s="7" t="n">
        <v>5</v>
      </c>
      <c r="O1907" s="7" t="str">
        <f aca="false">A1907&amp;"|"&amp;B1907&amp;"|"&amp;C1907&amp;"|"&amp;D1907&amp;"|"&amp;E1907&amp;"|"&amp;F1907&amp;"|"&amp;G1907&amp;"|"&amp;H1907&amp;"|"&amp;I1907&amp;"|"&amp;J1907&amp;"|"&amp;K1907&amp;"|"&amp;L1907&amp;"|"&amp;M1907&amp;"|"&amp;N1907</f>
        <v>ORD12418|2025-11-01|09:44|C1221|Spice Junction|Bengaluru|North Indian|2|255|0|Wallet|Delivered|34|5</v>
      </c>
      <c r="P1907" s="7" t="str">
        <f aca="false">IF(COUNTIF($O$2:O1907,O1907)&gt;1,"DUP","OK")</f>
        <v>OK</v>
      </c>
      <c r="Q1907" s="7" t="n">
        <f aca="false">COUNTBLANK(A1907:N1907)</f>
        <v>0</v>
      </c>
      <c r="R1907" s="7" t="n">
        <f aca="false">IF(A1907="",0,COUNTIFS($A$2:$A$3058,A1907,$P$2:$P$3058,"OK"))</f>
        <v>1</v>
      </c>
      <c r="S1907" s="7" t="str">
        <f aca="false">IF(OR(A1907="",P1907="DUP",R1907&lt;2),"",IF(Q1907=_xlfn.MINIFS($Q$2:$Q$3058,$A$2:$A$3058,A1907,$P$2:$P$3058,"OK"),"KEEP","DROP"))</f>
        <v/>
      </c>
      <c r="T1907" s="9" t="n">
        <f aca="false">IF(A1907="",1,0)</f>
        <v>0</v>
      </c>
      <c r="U1907" s="9" t="n">
        <f aca="false">IF(D1907="",1,0)</f>
        <v>0</v>
      </c>
      <c r="V1907" s="9" t="n">
        <f aca="false">IF(E1907="",1,0)</f>
        <v>0</v>
      </c>
      <c r="W1907" s="9" t="n">
        <f aca="false">IF(OR(H1907&lt;1,H1907&gt;10),1,0)</f>
        <v>0</v>
      </c>
      <c r="X1907" s="9" t="n">
        <f aca="false">IF(OR(I1907&lt;=0,I1907&gt;1500),1,0)</f>
        <v>0</v>
      </c>
      <c r="Y1907" s="9" t="n">
        <f aca="false">IF(J1907&gt;H1907*I1907,1,0)</f>
        <v>0</v>
      </c>
      <c r="Z1907" s="9" t="n">
        <f aca="false">IF(AND(N1907&lt;&gt;"",OR(N1907&lt;1,N1907&gt;5)),1,0)</f>
        <v>0</v>
      </c>
      <c r="AA1907" s="9" t="n">
        <f aca="false">IF(AND(M1907&lt;&gt;"",OR(M1907&lt;5,M1907&gt;180)),1,0)</f>
        <v>0</v>
      </c>
      <c r="AB1907" s="7" t="str">
        <f aca="false">IF(P1907="DUP","Exact duplicate row",IF(T1907=1,"Missing Order ID",IF(S1907="DROP","Duplicate Order ID (less complete row)",IF(U1907=1,"Missing Customer ID",IF(V1907=1,"Missing Restaurant name",IF(W1907=1,"Invalid/outlier quantity",IF(X1907=1,"Invalid/outlier unit price",IF(Y1907=1,"Discount greater than order value",""))))))))</f>
        <v/>
      </c>
      <c r="AC1907" s="7" t="str">
        <f aca="false">IF(AB1907="","KEEP","DROP")</f>
        <v>KEEP</v>
      </c>
      <c r="AD1907" s="7" t="str">
        <f aca="false">IF(TRIM(F1907)="",IFERROR(INDEX(Map_Tables!$I$4:$I$37,MATCH(TRIM(E1907),Map_Tables!$G$4:$G$37,0)),""),IFERROR(INDEX(Map_Tables!$B$4:$B$18,MATCH(TRIM(F1907),Map_Tables!$A$4:$A$18,0)),"CHECK"))</f>
        <v>Bengaluru</v>
      </c>
      <c r="AE1907" s="7" t="str">
        <f aca="false">IF(TRIM(E1907)="","",IFERROR(INDEX(Map_Tables!$H$4:$H$37,MATCH(TRIM(E1907),Map_Tables!$G$4:$G$37,0)),"CHECK"))</f>
        <v>Spice Junction</v>
      </c>
      <c r="AF1907" s="7" t="str">
        <f aca="false">IF(TRIM(K1907)="","Unknown",IFERROR(INDEX(Map_Tables!$E$4:$E$15,MATCH(TRIM(K1907),Map_Tables!$D$4:$D$15,0)),"CHECK"))</f>
        <v>Wallet</v>
      </c>
      <c r="AG1907" s="7" t="str">
        <f aca="false">IF(LEFT(LOWER(TRIM(L1907)),6)="cancel","Cancelled","Delivered")</f>
        <v>Delivered</v>
      </c>
      <c r="AH1907" s="10" t="n">
        <f aca="false">IF(ISNUMBER(SEARCH("/",B1907)),DATE(VALUE(RIGHT(B1907,4)),VALUE(MID(B1907,4,2)),VALUE(LEFT(B1907,2))),IF(MID(B1907,5,1)="-",DATE(VALUE(LEFT(B1907,4)),VALUE(MID(B1907,6,2)),VALUE(RIGHT(B1907,2))),DATE(VALUE(RIGHT(B1907,4)),MATCH(MID(B1907,4,3),{"Jan","Feb","Mar","Apr","May","Jun","Jul","Aug","Sep","Oct","Nov","Dec"},0),VALUE(LEFT(B1907,2)))))</f>
        <v>45962</v>
      </c>
    </row>
    <row r="1908" customFormat="false" ht="15" hidden="false" customHeight="false" outlineLevel="0" collapsed="false">
      <c r="A1908" s="7" t="s">
        <v>4611</v>
      </c>
      <c r="B1908" s="7" t="s">
        <v>558</v>
      </c>
      <c r="C1908" s="7" t="s">
        <v>403</v>
      </c>
      <c r="D1908" s="7" t="s">
        <v>1590</v>
      </c>
      <c r="E1908" s="7" t="s">
        <v>154</v>
      </c>
      <c r="F1908" s="7" t="s">
        <v>128</v>
      </c>
      <c r="G1908" s="7" t="s">
        <v>99</v>
      </c>
      <c r="H1908" s="7" t="n">
        <v>1</v>
      </c>
      <c r="I1908" s="7" t="n">
        <v>275</v>
      </c>
      <c r="J1908" s="7" t="n">
        <v>0</v>
      </c>
      <c r="K1908" s="7" t="s">
        <v>103</v>
      </c>
      <c r="L1908" s="7" t="s">
        <v>194</v>
      </c>
      <c r="M1908" s="7" t="n">
        <v>30</v>
      </c>
      <c r="N1908" s="7" t="n">
        <v>5</v>
      </c>
      <c r="O1908" s="7" t="str">
        <f aca="false">A1908&amp;"|"&amp;B1908&amp;"|"&amp;C1908&amp;"|"&amp;D1908&amp;"|"&amp;E1908&amp;"|"&amp;F1908&amp;"|"&amp;G1908&amp;"|"&amp;H1908&amp;"|"&amp;I1908&amp;"|"&amp;J1908&amp;"|"&amp;K1908&amp;"|"&amp;L1908&amp;"|"&amp;M1908&amp;"|"&amp;N1908</f>
        <v>ORD12409|2025-10-31|11:13|C1023|Madras Biryani Co|Chennai|Biryani|1|275|0|Debit Card|Delivered|30|5</v>
      </c>
      <c r="P1908" s="7" t="str">
        <f aca="false">IF(COUNTIF($O$2:O1908,O1908)&gt;1,"DUP","OK")</f>
        <v>OK</v>
      </c>
      <c r="Q1908" s="7" t="n">
        <f aca="false">COUNTBLANK(A1908:N1908)</f>
        <v>0</v>
      </c>
      <c r="R1908" s="7" t="n">
        <f aca="false">IF(A1908="",0,COUNTIFS($A$2:$A$3058,A1908,$P$2:$P$3058,"OK"))</f>
        <v>1</v>
      </c>
      <c r="S1908" s="7" t="str">
        <f aca="false">IF(OR(A1908="",P1908="DUP",R1908&lt;2),"",IF(Q1908=_xlfn.MINIFS($Q$2:$Q$3058,$A$2:$A$3058,A1908,$P$2:$P$3058,"OK"),"KEEP","DROP"))</f>
        <v/>
      </c>
      <c r="T1908" s="9" t="n">
        <f aca="false">IF(A1908="",1,0)</f>
        <v>0</v>
      </c>
      <c r="U1908" s="9" t="n">
        <f aca="false">IF(D1908="",1,0)</f>
        <v>0</v>
      </c>
      <c r="V1908" s="9" t="n">
        <f aca="false">IF(E1908="",1,0)</f>
        <v>0</v>
      </c>
      <c r="W1908" s="9" t="n">
        <f aca="false">IF(OR(H1908&lt;1,H1908&gt;10),1,0)</f>
        <v>0</v>
      </c>
      <c r="X1908" s="9" t="n">
        <f aca="false">IF(OR(I1908&lt;=0,I1908&gt;1500),1,0)</f>
        <v>0</v>
      </c>
      <c r="Y1908" s="9" t="n">
        <f aca="false">IF(J1908&gt;H1908*I1908,1,0)</f>
        <v>0</v>
      </c>
      <c r="Z1908" s="9" t="n">
        <f aca="false">IF(AND(N1908&lt;&gt;"",OR(N1908&lt;1,N1908&gt;5)),1,0)</f>
        <v>0</v>
      </c>
      <c r="AA1908" s="9" t="n">
        <f aca="false">IF(AND(M1908&lt;&gt;"",OR(M1908&lt;5,M1908&gt;180)),1,0)</f>
        <v>0</v>
      </c>
      <c r="AB1908" s="7" t="str">
        <f aca="false">IF(P1908="DUP","Exact duplicate row",IF(T1908=1,"Missing Order ID",IF(S1908="DROP","Duplicate Order ID (less complete row)",IF(U1908=1,"Missing Customer ID",IF(V1908=1,"Missing Restaurant name",IF(W1908=1,"Invalid/outlier quantity",IF(X1908=1,"Invalid/outlier unit price",IF(Y1908=1,"Discount greater than order value",""))))))))</f>
        <v/>
      </c>
      <c r="AC1908" s="7" t="str">
        <f aca="false">IF(AB1908="","KEEP","DROP")</f>
        <v>KEEP</v>
      </c>
      <c r="AD1908" s="7" t="str">
        <f aca="false">IF(TRIM(F1908)="",IFERROR(INDEX(Map_Tables!$I$4:$I$37,MATCH(TRIM(E1908),Map_Tables!$G$4:$G$37,0)),""),IFERROR(INDEX(Map_Tables!$B$4:$B$18,MATCH(TRIM(F1908),Map_Tables!$A$4:$A$18,0)),"CHECK"))</f>
        <v>Chennai</v>
      </c>
      <c r="AE1908" s="7" t="str">
        <f aca="false">IF(TRIM(E1908)="","",IFERROR(INDEX(Map_Tables!$H$4:$H$37,MATCH(TRIM(E1908),Map_Tables!$G$4:$G$37,0)),"CHECK"))</f>
        <v>Madras Biryani Co</v>
      </c>
      <c r="AF1908" s="7" t="str">
        <f aca="false">IF(TRIM(K1908)="","Unknown",IFERROR(INDEX(Map_Tables!$E$4:$E$15,MATCH(TRIM(K1908),Map_Tables!$D$4:$D$15,0)),"CHECK"))</f>
        <v>Debit Card</v>
      </c>
      <c r="AG1908" s="7" t="str">
        <f aca="false">IF(LEFT(LOWER(TRIM(L1908)),6)="cancel","Cancelled","Delivered")</f>
        <v>Delivered</v>
      </c>
      <c r="AH1908" s="10" t="n">
        <f aca="false">IF(ISNUMBER(SEARCH("/",B1908)),DATE(VALUE(RIGHT(B1908,4)),VALUE(MID(B1908,4,2)),VALUE(LEFT(B1908,2))),IF(MID(B1908,5,1)="-",DATE(VALUE(LEFT(B1908,4)),VALUE(MID(B1908,6,2)),VALUE(RIGHT(B1908,2))),DATE(VALUE(RIGHT(B1908,4)),MATCH(MID(B1908,4,3),{"Jan","Feb","Mar","Apr","May","Jun","Jul","Aug","Sep","Oct","Nov","Dec"},0),VALUE(LEFT(B1908,2)))))</f>
        <v>45961</v>
      </c>
    </row>
    <row r="1909" customFormat="false" ht="15" hidden="false" customHeight="false" outlineLevel="0" collapsed="false">
      <c r="A1909" s="7" t="s">
        <v>4612</v>
      </c>
      <c r="B1909" s="7" t="s">
        <v>2450</v>
      </c>
      <c r="C1909" s="7" t="s">
        <v>2733</v>
      </c>
      <c r="D1909" s="7" t="s">
        <v>1154</v>
      </c>
      <c r="E1909" s="7" t="s">
        <v>147</v>
      </c>
      <c r="F1909" s="7" t="s">
        <v>119</v>
      </c>
      <c r="G1909" s="7" t="s">
        <v>95</v>
      </c>
      <c r="H1909" s="7" t="n">
        <v>1</v>
      </c>
      <c r="I1909" s="7" t="n">
        <v>160</v>
      </c>
      <c r="J1909" s="7" t="n">
        <v>0</v>
      </c>
      <c r="K1909" s="7" t="s">
        <v>88</v>
      </c>
      <c r="L1909" s="7" t="s">
        <v>194</v>
      </c>
      <c r="M1909" s="7" t="n">
        <v>40</v>
      </c>
      <c r="N1909" s="7" t="n">
        <v>2</v>
      </c>
      <c r="O1909" s="7" t="str">
        <f aca="false">A1909&amp;"|"&amp;B1909&amp;"|"&amp;C1909&amp;"|"&amp;D1909&amp;"|"&amp;E1909&amp;"|"&amp;F1909&amp;"|"&amp;G1909&amp;"|"&amp;H1909&amp;"|"&amp;I1909&amp;"|"&amp;J1909&amp;"|"&amp;K1909&amp;"|"&amp;L1909&amp;"|"&amp;M1909&amp;"|"&amp;N1909</f>
        <v>ORD10410|2025-02-24|14:52|C1318|Andhra Meals Mess|Hyderabad|South Indian|1|160|0|UPI|Delivered|40|2</v>
      </c>
      <c r="P1909" s="7" t="str">
        <f aca="false">IF(COUNTIF($O$2:O1909,O1909)&gt;1,"DUP","OK")</f>
        <v>OK</v>
      </c>
      <c r="Q1909" s="7" t="n">
        <f aca="false">COUNTBLANK(A1909:N1909)</f>
        <v>0</v>
      </c>
      <c r="R1909" s="7" t="n">
        <f aca="false">IF(A1909="",0,COUNTIFS($A$2:$A$3058,A1909,$P$2:$P$3058,"OK"))</f>
        <v>1</v>
      </c>
      <c r="S1909" s="7" t="str">
        <f aca="false">IF(OR(A1909="",P1909="DUP",R1909&lt;2),"",IF(Q1909=_xlfn.MINIFS($Q$2:$Q$3058,$A$2:$A$3058,A1909,$P$2:$P$3058,"OK"),"KEEP","DROP"))</f>
        <v/>
      </c>
      <c r="T1909" s="9" t="n">
        <f aca="false">IF(A1909="",1,0)</f>
        <v>0</v>
      </c>
      <c r="U1909" s="9" t="n">
        <f aca="false">IF(D1909="",1,0)</f>
        <v>0</v>
      </c>
      <c r="V1909" s="9" t="n">
        <f aca="false">IF(E1909="",1,0)</f>
        <v>0</v>
      </c>
      <c r="W1909" s="9" t="n">
        <f aca="false">IF(OR(H1909&lt;1,H1909&gt;10),1,0)</f>
        <v>0</v>
      </c>
      <c r="X1909" s="9" t="n">
        <f aca="false">IF(OR(I1909&lt;=0,I1909&gt;1500),1,0)</f>
        <v>0</v>
      </c>
      <c r="Y1909" s="9" t="n">
        <f aca="false">IF(J1909&gt;H1909*I1909,1,0)</f>
        <v>0</v>
      </c>
      <c r="Z1909" s="9" t="n">
        <f aca="false">IF(AND(N1909&lt;&gt;"",OR(N1909&lt;1,N1909&gt;5)),1,0)</f>
        <v>0</v>
      </c>
      <c r="AA1909" s="9" t="n">
        <f aca="false">IF(AND(M1909&lt;&gt;"",OR(M1909&lt;5,M1909&gt;180)),1,0)</f>
        <v>0</v>
      </c>
      <c r="AB1909" s="7" t="str">
        <f aca="false">IF(P1909="DUP","Exact duplicate row",IF(T1909=1,"Missing Order ID",IF(S1909="DROP","Duplicate Order ID (less complete row)",IF(U1909=1,"Missing Customer ID",IF(V1909=1,"Missing Restaurant name",IF(W1909=1,"Invalid/outlier quantity",IF(X1909=1,"Invalid/outlier unit price",IF(Y1909=1,"Discount greater than order value",""))))))))</f>
        <v/>
      </c>
      <c r="AC1909" s="7" t="str">
        <f aca="false">IF(AB1909="","KEEP","DROP")</f>
        <v>KEEP</v>
      </c>
      <c r="AD1909" s="7" t="str">
        <f aca="false">IF(TRIM(F1909)="",IFERROR(INDEX(Map_Tables!$I$4:$I$37,MATCH(TRIM(E1909),Map_Tables!$G$4:$G$37,0)),""),IFERROR(INDEX(Map_Tables!$B$4:$B$18,MATCH(TRIM(F1909),Map_Tables!$A$4:$A$18,0)),"CHECK"))</f>
        <v>Hyderabad</v>
      </c>
      <c r="AE1909" s="7" t="str">
        <f aca="false">IF(TRIM(E1909)="","",IFERROR(INDEX(Map_Tables!$H$4:$H$37,MATCH(TRIM(E1909),Map_Tables!$G$4:$G$37,0)),"CHECK"))</f>
        <v>Andhra Meals Mess</v>
      </c>
      <c r="AF1909" s="7" t="str">
        <f aca="false">IF(TRIM(K1909)="","Unknown",IFERROR(INDEX(Map_Tables!$E$4:$E$15,MATCH(TRIM(K1909),Map_Tables!$D$4:$D$15,0)),"CHECK"))</f>
        <v>UPI</v>
      </c>
      <c r="AG1909" s="7" t="str">
        <f aca="false">IF(LEFT(LOWER(TRIM(L1909)),6)="cancel","Cancelled","Delivered")</f>
        <v>Delivered</v>
      </c>
      <c r="AH1909" s="10" t="n">
        <f aca="false">IF(ISNUMBER(SEARCH("/",B1909)),DATE(VALUE(RIGHT(B1909,4)),VALUE(MID(B1909,4,2)),VALUE(LEFT(B1909,2))),IF(MID(B1909,5,1)="-",DATE(VALUE(LEFT(B1909,4)),VALUE(MID(B1909,6,2)),VALUE(RIGHT(B1909,2))),DATE(VALUE(RIGHT(B1909,4)),MATCH(MID(B1909,4,3),{"Jan","Feb","Mar","Apr","May","Jun","Jul","Aug","Sep","Oct","Nov","Dec"},0),VALUE(LEFT(B1909,2)))))</f>
        <v>45712</v>
      </c>
    </row>
    <row r="1910" customFormat="false" ht="15" hidden="false" customHeight="false" outlineLevel="0" collapsed="false">
      <c r="A1910" s="7" t="s">
        <v>4613</v>
      </c>
      <c r="B1910" s="7" t="s">
        <v>190</v>
      </c>
      <c r="C1910" s="7" t="s">
        <v>622</v>
      </c>
      <c r="D1910" s="7" t="s">
        <v>1974</v>
      </c>
      <c r="E1910" s="7" t="s">
        <v>2702</v>
      </c>
      <c r="F1910" s="7" t="s">
        <v>110</v>
      </c>
      <c r="G1910" s="7" t="s">
        <v>139</v>
      </c>
      <c r="H1910" s="7" t="n">
        <v>1</v>
      </c>
      <c r="I1910" s="7" t="n">
        <v>180</v>
      </c>
      <c r="J1910" s="7" t="n">
        <v>0</v>
      </c>
      <c r="K1910" s="7" t="s">
        <v>133</v>
      </c>
      <c r="L1910" s="7" t="s">
        <v>194</v>
      </c>
      <c r="M1910" s="7" t="n">
        <v>44</v>
      </c>
      <c r="N1910" s="7" t="n">
        <v>3</v>
      </c>
      <c r="O1910" s="7" t="str">
        <f aca="false">A1910&amp;"|"&amp;B1910&amp;"|"&amp;C1910&amp;"|"&amp;D1910&amp;"|"&amp;E1910&amp;"|"&amp;F1910&amp;"|"&amp;G1910&amp;"|"&amp;H1910&amp;"|"&amp;I1910&amp;"|"&amp;J1910&amp;"|"&amp;K1910&amp;"|"&amp;L1910&amp;"|"&amp;M1910&amp;"|"&amp;N1910</f>
        <v>ORD10676|2025-03-27|19:04|C1017|Burger Barn |Delhi|Burgers|1|180|0|Net Banking|Delivered|44|3</v>
      </c>
      <c r="P1910" s="7" t="str">
        <f aca="false">IF(COUNTIF($O$2:O1910,O1910)&gt;1,"DUP","OK")</f>
        <v>OK</v>
      </c>
      <c r="Q1910" s="7" t="n">
        <f aca="false">COUNTBLANK(A1910:N1910)</f>
        <v>0</v>
      </c>
      <c r="R1910" s="7" t="n">
        <f aca="false">IF(A1910="",0,COUNTIFS($A$2:$A$3058,A1910,$P$2:$P$3058,"OK"))</f>
        <v>1</v>
      </c>
      <c r="S1910" s="7" t="str">
        <f aca="false">IF(OR(A1910="",P1910="DUP",R1910&lt;2),"",IF(Q1910=_xlfn.MINIFS($Q$2:$Q$3058,$A$2:$A$3058,A1910,$P$2:$P$3058,"OK"),"KEEP","DROP"))</f>
        <v/>
      </c>
      <c r="T1910" s="9" t="n">
        <f aca="false">IF(A1910="",1,0)</f>
        <v>0</v>
      </c>
      <c r="U1910" s="9" t="n">
        <f aca="false">IF(D1910="",1,0)</f>
        <v>0</v>
      </c>
      <c r="V1910" s="9" t="n">
        <f aca="false">IF(E1910="",1,0)</f>
        <v>0</v>
      </c>
      <c r="W1910" s="9" t="n">
        <f aca="false">IF(OR(H1910&lt;1,H1910&gt;10),1,0)</f>
        <v>0</v>
      </c>
      <c r="X1910" s="9" t="n">
        <f aca="false">IF(OR(I1910&lt;=0,I1910&gt;1500),1,0)</f>
        <v>0</v>
      </c>
      <c r="Y1910" s="9" t="n">
        <f aca="false">IF(J1910&gt;H1910*I1910,1,0)</f>
        <v>0</v>
      </c>
      <c r="Z1910" s="9" t="n">
        <f aca="false">IF(AND(N1910&lt;&gt;"",OR(N1910&lt;1,N1910&gt;5)),1,0)</f>
        <v>0</v>
      </c>
      <c r="AA1910" s="9" t="n">
        <f aca="false">IF(AND(M1910&lt;&gt;"",OR(M1910&lt;5,M1910&gt;180)),1,0)</f>
        <v>0</v>
      </c>
      <c r="AB1910" s="7" t="str">
        <f aca="false">IF(P1910="DUP","Exact duplicate row",IF(T1910=1,"Missing Order ID",IF(S1910="DROP","Duplicate Order ID (less complete row)",IF(U1910=1,"Missing Customer ID",IF(V1910=1,"Missing Restaurant name",IF(W1910=1,"Invalid/outlier quantity",IF(X1910=1,"Invalid/outlier unit price",IF(Y1910=1,"Discount greater than order value",""))))))))</f>
        <v/>
      </c>
      <c r="AC1910" s="7" t="str">
        <f aca="false">IF(AB1910="","KEEP","DROP")</f>
        <v>KEEP</v>
      </c>
      <c r="AD1910" s="7" t="str">
        <f aca="false">IF(TRIM(F1910)="",IFERROR(INDEX(Map_Tables!$I$4:$I$37,MATCH(TRIM(E1910),Map_Tables!$G$4:$G$37,0)),""),IFERROR(INDEX(Map_Tables!$B$4:$B$18,MATCH(TRIM(F1910),Map_Tables!$A$4:$A$18,0)),"CHECK"))</f>
        <v>Delhi</v>
      </c>
      <c r="AE1910" s="7" t="str">
        <f aca="false">IF(TRIM(E1910)="","",IFERROR(INDEX(Map_Tables!$H$4:$H$37,MATCH(TRIM(E1910),Map_Tables!$G$4:$G$37,0)),"CHECK"))</f>
        <v>Burger Barn</v>
      </c>
      <c r="AF1910" s="7" t="str">
        <f aca="false">IF(TRIM(K1910)="","Unknown",IFERROR(INDEX(Map_Tables!$E$4:$E$15,MATCH(TRIM(K1910),Map_Tables!$D$4:$D$15,0)),"CHECK"))</f>
        <v>Net Banking</v>
      </c>
      <c r="AG1910" s="7" t="str">
        <f aca="false">IF(LEFT(LOWER(TRIM(L1910)),6)="cancel","Cancelled","Delivered")</f>
        <v>Delivered</v>
      </c>
      <c r="AH1910" s="10" t="n">
        <f aca="false">IF(ISNUMBER(SEARCH("/",B1910)),DATE(VALUE(RIGHT(B1910,4)),VALUE(MID(B1910,4,2)),VALUE(LEFT(B1910,2))),IF(MID(B1910,5,1)="-",DATE(VALUE(LEFT(B1910,4)),VALUE(MID(B1910,6,2)),VALUE(RIGHT(B1910,2))),DATE(VALUE(RIGHT(B1910,4)),MATCH(MID(B1910,4,3),{"Jan","Feb","Mar","Apr","May","Jun","Jul","Aug","Sep","Oct","Nov","Dec"},0),VALUE(LEFT(B1910,2)))))</f>
        <v>45743</v>
      </c>
    </row>
    <row r="1911" customFormat="false" ht="15" hidden="false" customHeight="false" outlineLevel="0" collapsed="false">
      <c r="A1911" s="7" t="s">
        <v>4614</v>
      </c>
      <c r="B1911" s="7" t="s">
        <v>1923</v>
      </c>
      <c r="C1911" s="7" t="s">
        <v>2552</v>
      </c>
      <c r="D1911" s="7" t="s">
        <v>2310</v>
      </c>
      <c r="E1911" s="7" t="s">
        <v>138</v>
      </c>
      <c r="F1911" s="7" t="s">
        <v>110</v>
      </c>
      <c r="G1911" s="7" t="s">
        <v>139</v>
      </c>
      <c r="H1911" s="7" t="n">
        <v>1</v>
      </c>
      <c r="I1911" s="7" t="n">
        <v>165</v>
      </c>
      <c r="J1911" s="7" t="n">
        <v>20</v>
      </c>
      <c r="K1911" s="7" t="s">
        <v>112</v>
      </c>
      <c r="L1911" s="7" t="s">
        <v>194</v>
      </c>
      <c r="M1911" s="7" t="n">
        <v>48</v>
      </c>
      <c r="N1911" s="7" t="n">
        <v>5</v>
      </c>
      <c r="O1911" s="7" t="str">
        <f aca="false">A1911&amp;"|"&amp;B1911&amp;"|"&amp;C1911&amp;"|"&amp;D1911&amp;"|"&amp;E1911&amp;"|"&amp;F1911&amp;"|"&amp;G1911&amp;"|"&amp;H1911&amp;"|"&amp;I1911&amp;"|"&amp;J1911&amp;"|"&amp;K1911&amp;"|"&amp;L1911&amp;"|"&amp;M1911&amp;"|"&amp;N1911</f>
        <v>ORD10298|2025-02-10|10:38|C0240|Burger Barn|Delhi|Burgers|1|165|20|Cash on Delivery|Delivered|48|5</v>
      </c>
      <c r="P1911" s="7" t="str">
        <f aca="false">IF(COUNTIF($O$2:O1911,O1911)&gt;1,"DUP","OK")</f>
        <v>OK</v>
      </c>
      <c r="Q1911" s="7" t="n">
        <f aca="false">COUNTBLANK(A1911:N1911)</f>
        <v>0</v>
      </c>
      <c r="R1911" s="7" t="n">
        <f aca="false">IF(A1911="",0,COUNTIFS($A$2:$A$3058,A1911,$P$2:$P$3058,"OK"))</f>
        <v>1</v>
      </c>
      <c r="S1911" s="7" t="str">
        <f aca="false">IF(OR(A1911="",P1911="DUP",R1911&lt;2),"",IF(Q1911=_xlfn.MINIFS($Q$2:$Q$3058,$A$2:$A$3058,A1911,$P$2:$P$3058,"OK"),"KEEP","DROP"))</f>
        <v/>
      </c>
      <c r="T1911" s="9" t="n">
        <f aca="false">IF(A1911="",1,0)</f>
        <v>0</v>
      </c>
      <c r="U1911" s="9" t="n">
        <f aca="false">IF(D1911="",1,0)</f>
        <v>0</v>
      </c>
      <c r="V1911" s="9" t="n">
        <f aca="false">IF(E1911="",1,0)</f>
        <v>0</v>
      </c>
      <c r="W1911" s="9" t="n">
        <f aca="false">IF(OR(H1911&lt;1,H1911&gt;10),1,0)</f>
        <v>0</v>
      </c>
      <c r="X1911" s="9" t="n">
        <f aca="false">IF(OR(I1911&lt;=0,I1911&gt;1500),1,0)</f>
        <v>0</v>
      </c>
      <c r="Y1911" s="9" t="n">
        <f aca="false">IF(J1911&gt;H1911*I1911,1,0)</f>
        <v>0</v>
      </c>
      <c r="Z1911" s="9" t="n">
        <f aca="false">IF(AND(N1911&lt;&gt;"",OR(N1911&lt;1,N1911&gt;5)),1,0)</f>
        <v>0</v>
      </c>
      <c r="AA1911" s="9" t="n">
        <f aca="false">IF(AND(M1911&lt;&gt;"",OR(M1911&lt;5,M1911&gt;180)),1,0)</f>
        <v>0</v>
      </c>
      <c r="AB1911" s="7" t="str">
        <f aca="false">IF(P1911="DUP","Exact duplicate row",IF(T1911=1,"Missing Order ID",IF(S1911="DROP","Duplicate Order ID (less complete row)",IF(U1911=1,"Missing Customer ID",IF(V1911=1,"Missing Restaurant name",IF(W1911=1,"Invalid/outlier quantity",IF(X1911=1,"Invalid/outlier unit price",IF(Y1911=1,"Discount greater than order value",""))))))))</f>
        <v/>
      </c>
      <c r="AC1911" s="7" t="str">
        <f aca="false">IF(AB1911="","KEEP","DROP")</f>
        <v>KEEP</v>
      </c>
      <c r="AD1911" s="7" t="str">
        <f aca="false">IF(TRIM(F1911)="",IFERROR(INDEX(Map_Tables!$I$4:$I$37,MATCH(TRIM(E1911),Map_Tables!$G$4:$G$37,0)),""),IFERROR(INDEX(Map_Tables!$B$4:$B$18,MATCH(TRIM(F1911),Map_Tables!$A$4:$A$18,0)),"CHECK"))</f>
        <v>Delhi</v>
      </c>
      <c r="AE1911" s="7" t="str">
        <f aca="false">IF(TRIM(E1911)="","",IFERROR(INDEX(Map_Tables!$H$4:$H$37,MATCH(TRIM(E1911),Map_Tables!$G$4:$G$37,0)),"CHECK"))</f>
        <v>Burger Barn</v>
      </c>
      <c r="AF1911" s="7" t="str">
        <f aca="false">IF(TRIM(K1911)="","Unknown",IFERROR(INDEX(Map_Tables!$E$4:$E$15,MATCH(TRIM(K1911),Map_Tables!$D$4:$D$15,0)),"CHECK"))</f>
        <v>Cash on Delivery</v>
      </c>
      <c r="AG1911" s="7" t="str">
        <f aca="false">IF(LEFT(LOWER(TRIM(L1911)),6)="cancel","Cancelled","Delivered")</f>
        <v>Delivered</v>
      </c>
      <c r="AH1911" s="10" t="n">
        <f aca="false">IF(ISNUMBER(SEARCH("/",B1911)),DATE(VALUE(RIGHT(B1911,4)),VALUE(MID(B1911,4,2)),VALUE(LEFT(B1911,2))),IF(MID(B1911,5,1)="-",DATE(VALUE(LEFT(B1911,4)),VALUE(MID(B1911,6,2)),VALUE(RIGHT(B1911,2))),DATE(VALUE(RIGHT(B1911,4)),MATCH(MID(B1911,4,3),{"Jan","Feb","Mar","Apr","May","Jun","Jul","Aug","Sep","Oct","Nov","Dec"},0),VALUE(LEFT(B1911,2)))))</f>
        <v>45698</v>
      </c>
    </row>
    <row r="1912" customFormat="false" ht="15" hidden="false" customHeight="false" outlineLevel="0" collapsed="false">
      <c r="A1912" s="7" t="s">
        <v>4615</v>
      </c>
      <c r="B1912" s="7" t="s">
        <v>2535</v>
      </c>
      <c r="C1912" s="7" t="s">
        <v>947</v>
      </c>
      <c r="D1912" s="7" t="s">
        <v>4616</v>
      </c>
      <c r="E1912" s="7" t="s">
        <v>160</v>
      </c>
      <c r="F1912" s="7" t="s">
        <v>303</v>
      </c>
      <c r="G1912" s="7" t="s">
        <v>150</v>
      </c>
      <c r="H1912" s="7" t="n">
        <v>2</v>
      </c>
      <c r="I1912" s="7" t="n">
        <v>165</v>
      </c>
      <c r="J1912" s="7" t="n">
        <v>40</v>
      </c>
      <c r="K1912" s="7" t="s">
        <v>93</v>
      </c>
      <c r="L1912" s="7" t="s">
        <v>194</v>
      </c>
      <c r="M1912" s="7" t="n">
        <v>47</v>
      </c>
      <c r="N1912" s="7" t="n">
        <v>3</v>
      </c>
      <c r="O1912" s="7" t="str">
        <f aca="false">A1912&amp;"|"&amp;B1912&amp;"|"&amp;C1912&amp;"|"&amp;D1912&amp;"|"&amp;E1912&amp;"|"&amp;F1912&amp;"|"&amp;G1912&amp;"|"&amp;H1912&amp;"|"&amp;I1912&amp;"|"&amp;J1912&amp;"|"&amp;K1912&amp;"|"&amp;L1912&amp;"|"&amp;M1912&amp;"|"&amp;N1912</f>
        <v>ORD10926|2025-04-27|17:59|C0959|Cake Walk|PUNE|Desserts|2|165|40|Credit Card|Delivered|47|3</v>
      </c>
      <c r="P1912" s="7" t="str">
        <f aca="false">IF(COUNTIF($O$2:O1912,O1912)&gt;1,"DUP","OK")</f>
        <v>OK</v>
      </c>
      <c r="Q1912" s="7" t="n">
        <f aca="false">COUNTBLANK(A1912:N1912)</f>
        <v>0</v>
      </c>
      <c r="R1912" s="7" t="n">
        <f aca="false">IF(A1912="",0,COUNTIFS($A$2:$A$3058,A1912,$P$2:$P$3058,"OK"))</f>
        <v>1</v>
      </c>
      <c r="S1912" s="7" t="str">
        <f aca="false">IF(OR(A1912="",P1912="DUP",R1912&lt;2),"",IF(Q1912=_xlfn.MINIFS($Q$2:$Q$3058,$A$2:$A$3058,A1912,$P$2:$P$3058,"OK"),"KEEP","DROP"))</f>
        <v/>
      </c>
      <c r="T1912" s="9" t="n">
        <f aca="false">IF(A1912="",1,0)</f>
        <v>0</v>
      </c>
      <c r="U1912" s="9" t="n">
        <f aca="false">IF(D1912="",1,0)</f>
        <v>0</v>
      </c>
      <c r="V1912" s="9" t="n">
        <f aca="false">IF(E1912="",1,0)</f>
        <v>0</v>
      </c>
      <c r="W1912" s="9" t="n">
        <f aca="false">IF(OR(H1912&lt;1,H1912&gt;10),1,0)</f>
        <v>0</v>
      </c>
      <c r="X1912" s="9" t="n">
        <f aca="false">IF(OR(I1912&lt;=0,I1912&gt;1500),1,0)</f>
        <v>0</v>
      </c>
      <c r="Y1912" s="9" t="n">
        <f aca="false">IF(J1912&gt;H1912*I1912,1,0)</f>
        <v>0</v>
      </c>
      <c r="Z1912" s="9" t="n">
        <f aca="false">IF(AND(N1912&lt;&gt;"",OR(N1912&lt;1,N1912&gt;5)),1,0)</f>
        <v>0</v>
      </c>
      <c r="AA1912" s="9" t="n">
        <f aca="false">IF(AND(M1912&lt;&gt;"",OR(M1912&lt;5,M1912&gt;180)),1,0)</f>
        <v>0</v>
      </c>
      <c r="AB1912" s="7" t="str">
        <f aca="false">IF(P1912="DUP","Exact duplicate row",IF(T1912=1,"Missing Order ID",IF(S1912="DROP","Duplicate Order ID (less complete row)",IF(U1912=1,"Missing Customer ID",IF(V1912=1,"Missing Restaurant name",IF(W1912=1,"Invalid/outlier quantity",IF(X1912=1,"Invalid/outlier unit price",IF(Y1912=1,"Discount greater than order value",""))))))))</f>
        <v/>
      </c>
      <c r="AC1912" s="7" t="str">
        <f aca="false">IF(AB1912="","KEEP","DROP")</f>
        <v>KEEP</v>
      </c>
      <c r="AD1912" s="7" t="str">
        <f aca="false">IF(TRIM(F1912)="",IFERROR(INDEX(Map_Tables!$I$4:$I$37,MATCH(TRIM(E1912),Map_Tables!$G$4:$G$37,0)),""),IFERROR(INDEX(Map_Tables!$B$4:$B$18,MATCH(TRIM(F1912),Map_Tables!$A$4:$A$18,0)),"CHECK"))</f>
        <v>Pune</v>
      </c>
      <c r="AE1912" s="7" t="str">
        <f aca="false">IF(TRIM(E1912)="","",IFERROR(INDEX(Map_Tables!$H$4:$H$37,MATCH(TRIM(E1912),Map_Tables!$G$4:$G$37,0)),"CHECK"))</f>
        <v>Cake Walk</v>
      </c>
      <c r="AF1912" s="7" t="str">
        <f aca="false">IF(TRIM(K1912)="","Unknown",IFERROR(INDEX(Map_Tables!$E$4:$E$15,MATCH(TRIM(K1912),Map_Tables!$D$4:$D$15,0)),"CHECK"))</f>
        <v>Credit Card</v>
      </c>
      <c r="AG1912" s="7" t="str">
        <f aca="false">IF(LEFT(LOWER(TRIM(L1912)),6)="cancel","Cancelled","Delivered")</f>
        <v>Delivered</v>
      </c>
      <c r="AH1912" s="10" t="n">
        <f aca="false">IF(ISNUMBER(SEARCH("/",B1912)),DATE(VALUE(RIGHT(B1912,4)),VALUE(MID(B1912,4,2)),VALUE(LEFT(B1912,2))),IF(MID(B1912,5,1)="-",DATE(VALUE(LEFT(B1912,4)),VALUE(MID(B1912,6,2)),VALUE(RIGHT(B1912,2))),DATE(VALUE(RIGHT(B1912,4)),MATCH(MID(B1912,4,3),{"Jan","Feb","Mar","Apr","May","Jun","Jul","Aug","Sep","Oct","Nov","Dec"},0),VALUE(LEFT(B1912,2)))))</f>
        <v>45774</v>
      </c>
    </row>
    <row r="1913" customFormat="false" ht="15" hidden="false" customHeight="false" outlineLevel="0" collapsed="false">
      <c r="A1913" s="7" t="s">
        <v>4617</v>
      </c>
      <c r="B1913" s="7" t="s">
        <v>1687</v>
      </c>
      <c r="C1913" s="7" t="s">
        <v>762</v>
      </c>
      <c r="D1913" s="7" t="s">
        <v>4618</v>
      </c>
      <c r="E1913" s="7" t="s">
        <v>126</v>
      </c>
      <c r="F1913" s="7" t="s">
        <v>100</v>
      </c>
      <c r="G1913" s="7" t="s">
        <v>105</v>
      </c>
      <c r="H1913" s="7" t="n">
        <v>2</v>
      </c>
      <c r="I1913" s="7" t="n">
        <v>205</v>
      </c>
      <c r="J1913" s="7" t="n">
        <v>0</v>
      </c>
      <c r="K1913" s="7" t="s">
        <v>112</v>
      </c>
      <c r="L1913" s="7" t="s">
        <v>194</v>
      </c>
      <c r="M1913" s="7" t="n">
        <v>38</v>
      </c>
      <c r="N1913" s="7" t="n">
        <v>5</v>
      </c>
      <c r="O1913" s="7" t="str">
        <f aca="false">A1913&amp;"|"&amp;B1913&amp;"|"&amp;C1913&amp;"|"&amp;D1913&amp;"|"&amp;E1913&amp;"|"&amp;F1913&amp;"|"&amp;G1913&amp;"|"&amp;H1913&amp;"|"&amp;I1913&amp;"|"&amp;J1913&amp;"|"&amp;K1913&amp;"|"&amp;L1913&amp;"|"&amp;M1913&amp;"|"&amp;N1913</f>
        <v>ORD10023|2025-01-04|13:50|C1300|Dragon Express|mumbai|Chinese|2|205|0|Cash on Delivery|Delivered|38|5</v>
      </c>
      <c r="P1913" s="7" t="str">
        <f aca="false">IF(COUNTIF($O$2:O1913,O1913)&gt;1,"DUP","OK")</f>
        <v>OK</v>
      </c>
      <c r="Q1913" s="7" t="n">
        <f aca="false">COUNTBLANK(A1913:N1913)</f>
        <v>0</v>
      </c>
      <c r="R1913" s="7" t="n">
        <f aca="false">IF(A1913="",0,COUNTIFS($A$2:$A$3058,A1913,$P$2:$P$3058,"OK"))</f>
        <v>1</v>
      </c>
      <c r="S1913" s="7" t="str">
        <f aca="false">IF(OR(A1913="",P1913="DUP",R1913&lt;2),"",IF(Q1913=_xlfn.MINIFS($Q$2:$Q$3058,$A$2:$A$3058,A1913,$P$2:$P$3058,"OK"),"KEEP","DROP"))</f>
        <v/>
      </c>
      <c r="T1913" s="9" t="n">
        <f aca="false">IF(A1913="",1,0)</f>
        <v>0</v>
      </c>
      <c r="U1913" s="9" t="n">
        <f aca="false">IF(D1913="",1,0)</f>
        <v>0</v>
      </c>
      <c r="V1913" s="9" t="n">
        <f aca="false">IF(E1913="",1,0)</f>
        <v>0</v>
      </c>
      <c r="W1913" s="9" t="n">
        <f aca="false">IF(OR(H1913&lt;1,H1913&gt;10),1,0)</f>
        <v>0</v>
      </c>
      <c r="X1913" s="9" t="n">
        <f aca="false">IF(OR(I1913&lt;=0,I1913&gt;1500),1,0)</f>
        <v>0</v>
      </c>
      <c r="Y1913" s="9" t="n">
        <f aca="false">IF(J1913&gt;H1913*I1913,1,0)</f>
        <v>0</v>
      </c>
      <c r="Z1913" s="9" t="n">
        <f aca="false">IF(AND(N1913&lt;&gt;"",OR(N1913&lt;1,N1913&gt;5)),1,0)</f>
        <v>0</v>
      </c>
      <c r="AA1913" s="9" t="n">
        <f aca="false">IF(AND(M1913&lt;&gt;"",OR(M1913&lt;5,M1913&gt;180)),1,0)</f>
        <v>0</v>
      </c>
      <c r="AB1913" s="7" t="str">
        <f aca="false">IF(P1913="DUP","Exact duplicate row",IF(T1913=1,"Missing Order ID",IF(S1913="DROP","Duplicate Order ID (less complete row)",IF(U1913=1,"Missing Customer ID",IF(V1913=1,"Missing Restaurant name",IF(W1913=1,"Invalid/outlier quantity",IF(X1913=1,"Invalid/outlier unit price",IF(Y1913=1,"Discount greater than order value",""))))))))</f>
        <v/>
      </c>
      <c r="AC1913" s="7" t="str">
        <f aca="false">IF(AB1913="","KEEP","DROP")</f>
        <v>KEEP</v>
      </c>
      <c r="AD1913" s="7" t="str">
        <f aca="false">IF(TRIM(F1913)="",IFERROR(INDEX(Map_Tables!$I$4:$I$37,MATCH(TRIM(E1913),Map_Tables!$G$4:$G$37,0)),""),IFERROR(INDEX(Map_Tables!$B$4:$B$18,MATCH(TRIM(F1913),Map_Tables!$A$4:$A$18,0)),"CHECK"))</f>
        <v>Mumbai</v>
      </c>
      <c r="AE1913" s="7" t="str">
        <f aca="false">IF(TRIM(E1913)="","",IFERROR(INDEX(Map_Tables!$H$4:$H$37,MATCH(TRIM(E1913),Map_Tables!$G$4:$G$37,0)),"CHECK"))</f>
        <v>Dragon Express</v>
      </c>
      <c r="AF1913" s="7" t="str">
        <f aca="false">IF(TRIM(K1913)="","Unknown",IFERROR(INDEX(Map_Tables!$E$4:$E$15,MATCH(TRIM(K1913),Map_Tables!$D$4:$D$15,0)),"CHECK"))</f>
        <v>Cash on Delivery</v>
      </c>
      <c r="AG1913" s="7" t="str">
        <f aca="false">IF(LEFT(LOWER(TRIM(L1913)),6)="cancel","Cancelled","Delivered")</f>
        <v>Delivered</v>
      </c>
      <c r="AH1913" s="10" t="n">
        <f aca="false">IF(ISNUMBER(SEARCH("/",B1913)),DATE(VALUE(RIGHT(B1913,4)),VALUE(MID(B1913,4,2)),VALUE(LEFT(B1913,2))),IF(MID(B1913,5,1)="-",DATE(VALUE(LEFT(B1913,4)),VALUE(MID(B1913,6,2)),VALUE(RIGHT(B1913,2))),DATE(VALUE(RIGHT(B1913,4)),MATCH(MID(B1913,4,3),{"Jan","Feb","Mar","Apr","May","Jun","Jul","Aug","Sep","Oct","Nov","Dec"},0),VALUE(LEFT(B1913,2)))))</f>
        <v>45661</v>
      </c>
    </row>
    <row r="1914" customFormat="false" ht="15" hidden="false" customHeight="false" outlineLevel="0" collapsed="false">
      <c r="A1914" s="7" t="s">
        <v>4619</v>
      </c>
      <c r="B1914" s="7" t="s">
        <v>2045</v>
      </c>
      <c r="C1914" s="7" t="s">
        <v>3346</v>
      </c>
      <c r="D1914" s="7" t="s">
        <v>3687</v>
      </c>
      <c r="E1914" s="7" t="s">
        <v>147</v>
      </c>
      <c r="F1914" s="7" t="s">
        <v>119</v>
      </c>
      <c r="G1914" s="7" t="s">
        <v>95</v>
      </c>
      <c r="H1914" s="7" t="n">
        <v>2</v>
      </c>
      <c r="I1914" s="7" t="n">
        <v>170</v>
      </c>
      <c r="J1914" s="7" t="n">
        <v>40</v>
      </c>
      <c r="K1914" s="7" t="s">
        <v>88</v>
      </c>
      <c r="L1914" s="7" t="s">
        <v>194</v>
      </c>
      <c r="M1914" s="7" t="n">
        <v>44</v>
      </c>
      <c r="N1914" s="7" t="n">
        <v>3</v>
      </c>
      <c r="O1914" s="7" t="str">
        <f aca="false">A1914&amp;"|"&amp;B1914&amp;"|"&amp;C1914&amp;"|"&amp;D1914&amp;"|"&amp;E1914&amp;"|"&amp;F1914&amp;"|"&amp;G1914&amp;"|"&amp;H1914&amp;"|"&amp;I1914&amp;"|"&amp;J1914&amp;"|"&amp;K1914&amp;"|"&amp;L1914&amp;"|"&amp;M1914&amp;"|"&amp;N1914</f>
        <v>ORD12074|2025-09-24|21:33|C0912|Andhra Meals Mess|Hyderabad|South Indian|2|170|40|UPI|Delivered|44|3</v>
      </c>
      <c r="P1914" s="7" t="str">
        <f aca="false">IF(COUNTIF($O$2:O1914,O1914)&gt;1,"DUP","OK")</f>
        <v>OK</v>
      </c>
      <c r="Q1914" s="7" t="n">
        <f aca="false">COUNTBLANK(A1914:N1914)</f>
        <v>0</v>
      </c>
      <c r="R1914" s="7" t="n">
        <f aca="false">IF(A1914="",0,COUNTIFS($A$2:$A$3058,A1914,$P$2:$P$3058,"OK"))</f>
        <v>1</v>
      </c>
      <c r="S1914" s="7" t="str">
        <f aca="false">IF(OR(A1914="",P1914="DUP",R1914&lt;2),"",IF(Q1914=_xlfn.MINIFS($Q$2:$Q$3058,$A$2:$A$3058,A1914,$P$2:$P$3058,"OK"),"KEEP","DROP"))</f>
        <v/>
      </c>
      <c r="T1914" s="9" t="n">
        <f aca="false">IF(A1914="",1,0)</f>
        <v>0</v>
      </c>
      <c r="U1914" s="9" t="n">
        <f aca="false">IF(D1914="",1,0)</f>
        <v>0</v>
      </c>
      <c r="V1914" s="9" t="n">
        <f aca="false">IF(E1914="",1,0)</f>
        <v>0</v>
      </c>
      <c r="W1914" s="9" t="n">
        <f aca="false">IF(OR(H1914&lt;1,H1914&gt;10),1,0)</f>
        <v>0</v>
      </c>
      <c r="X1914" s="9" t="n">
        <f aca="false">IF(OR(I1914&lt;=0,I1914&gt;1500),1,0)</f>
        <v>0</v>
      </c>
      <c r="Y1914" s="9" t="n">
        <f aca="false">IF(J1914&gt;H1914*I1914,1,0)</f>
        <v>0</v>
      </c>
      <c r="Z1914" s="9" t="n">
        <f aca="false">IF(AND(N1914&lt;&gt;"",OR(N1914&lt;1,N1914&gt;5)),1,0)</f>
        <v>0</v>
      </c>
      <c r="AA1914" s="9" t="n">
        <f aca="false">IF(AND(M1914&lt;&gt;"",OR(M1914&lt;5,M1914&gt;180)),1,0)</f>
        <v>0</v>
      </c>
      <c r="AB1914" s="7" t="str">
        <f aca="false">IF(P1914="DUP","Exact duplicate row",IF(T1914=1,"Missing Order ID",IF(S1914="DROP","Duplicate Order ID (less complete row)",IF(U1914=1,"Missing Customer ID",IF(V1914=1,"Missing Restaurant name",IF(W1914=1,"Invalid/outlier quantity",IF(X1914=1,"Invalid/outlier unit price",IF(Y1914=1,"Discount greater than order value",""))))))))</f>
        <v/>
      </c>
      <c r="AC1914" s="7" t="str">
        <f aca="false">IF(AB1914="","KEEP","DROP")</f>
        <v>KEEP</v>
      </c>
      <c r="AD1914" s="7" t="str">
        <f aca="false">IF(TRIM(F1914)="",IFERROR(INDEX(Map_Tables!$I$4:$I$37,MATCH(TRIM(E1914),Map_Tables!$G$4:$G$37,0)),""),IFERROR(INDEX(Map_Tables!$B$4:$B$18,MATCH(TRIM(F1914),Map_Tables!$A$4:$A$18,0)),"CHECK"))</f>
        <v>Hyderabad</v>
      </c>
      <c r="AE1914" s="7" t="str">
        <f aca="false">IF(TRIM(E1914)="","",IFERROR(INDEX(Map_Tables!$H$4:$H$37,MATCH(TRIM(E1914),Map_Tables!$G$4:$G$37,0)),"CHECK"))</f>
        <v>Andhra Meals Mess</v>
      </c>
      <c r="AF1914" s="7" t="str">
        <f aca="false">IF(TRIM(K1914)="","Unknown",IFERROR(INDEX(Map_Tables!$E$4:$E$15,MATCH(TRIM(K1914),Map_Tables!$D$4:$D$15,0)),"CHECK"))</f>
        <v>UPI</v>
      </c>
      <c r="AG1914" s="7" t="str">
        <f aca="false">IF(LEFT(LOWER(TRIM(L1914)),6)="cancel","Cancelled","Delivered")</f>
        <v>Delivered</v>
      </c>
      <c r="AH1914" s="10" t="n">
        <f aca="false">IF(ISNUMBER(SEARCH("/",B1914)),DATE(VALUE(RIGHT(B1914,4)),VALUE(MID(B1914,4,2)),VALUE(LEFT(B1914,2))),IF(MID(B1914,5,1)="-",DATE(VALUE(LEFT(B1914,4)),VALUE(MID(B1914,6,2)),VALUE(RIGHT(B1914,2))),DATE(VALUE(RIGHT(B1914,4)),MATCH(MID(B1914,4,3),{"Jan","Feb","Mar","Apr","May","Jun","Jul","Aug","Sep","Oct","Nov","Dec"},0),VALUE(LEFT(B1914,2)))))</f>
        <v>45924</v>
      </c>
    </row>
    <row r="1915" customFormat="false" ht="15" hidden="false" customHeight="false" outlineLevel="0" collapsed="false">
      <c r="A1915" s="7" t="s">
        <v>4620</v>
      </c>
      <c r="B1915" s="7" t="s">
        <v>4621</v>
      </c>
      <c r="C1915" s="7" t="s">
        <v>1795</v>
      </c>
      <c r="D1915" s="7" t="s">
        <v>3984</v>
      </c>
      <c r="E1915" s="7" t="s">
        <v>138</v>
      </c>
      <c r="F1915" s="7" t="s">
        <v>110</v>
      </c>
      <c r="G1915" s="7" t="s">
        <v>139</v>
      </c>
      <c r="H1915" s="7" t="n">
        <v>4</v>
      </c>
      <c r="I1915" s="7" t="n">
        <v>175</v>
      </c>
      <c r="J1915" s="7" t="n">
        <v>0</v>
      </c>
      <c r="K1915" s="7" t="s">
        <v>112</v>
      </c>
      <c r="L1915" s="7" t="s">
        <v>194</v>
      </c>
      <c r="M1915" s="7" t="n">
        <v>39</v>
      </c>
      <c r="N1915" s="7" t="n">
        <v>5</v>
      </c>
      <c r="O1915" s="7" t="str">
        <f aca="false">A1915&amp;"|"&amp;B1915&amp;"|"&amp;C1915&amp;"|"&amp;D1915&amp;"|"&amp;E1915&amp;"|"&amp;F1915&amp;"|"&amp;G1915&amp;"|"&amp;H1915&amp;"|"&amp;I1915&amp;"|"&amp;J1915&amp;"|"&amp;K1915&amp;"|"&amp;L1915&amp;"|"&amp;M1915&amp;"|"&amp;N1915</f>
        <v>ORD12012|18/09/2025|12:33|C1247|Burger Barn|Delhi|Burgers|4|175|0|Cash on Delivery|Delivered|39|5</v>
      </c>
      <c r="P1915" s="7" t="str">
        <f aca="false">IF(COUNTIF($O$2:O1915,O1915)&gt;1,"DUP","OK")</f>
        <v>OK</v>
      </c>
      <c r="Q1915" s="7" t="n">
        <f aca="false">COUNTBLANK(A1915:N1915)</f>
        <v>0</v>
      </c>
      <c r="R1915" s="7" t="n">
        <f aca="false">IF(A1915="",0,COUNTIFS($A$2:$A$3058,A1915,$P$2:$P$3058,"OK"))</f>
        <v>1</v>
      </c>
      <c r="S1915" s="7" t="str">
        <f aca="false">IF(OR(A1915="",P1915="DUP",R1915&lt;2),"",IF(Q1915=_xlfn.MINIFS($Q$2:$Q$3058,$A$2:$A$3058,A1915,$P$2:$P$3058,"OK"),"KEEP","DROP"))</f>
        <v/>
      </c>
      <c r="T1915" s="9" t="n">
        <f aca="false">IF(A1915="",1,0)</f>
        <v>0</v>
      </c>
      <c r="U1915" s="9" t="n">
        <f aca="false">IF(D1915="",1,0)</f>
        <v>0</v>
      </c>
      <c r="V1915" s="9" t="n">
        <f aca="false">IF(E1915="",1,0)</f>
        <v>0</v>
      </c>
      <c r="W1915" s="9" t="n">
        <f aca="false">IF(OR(H1915&lt;1,H1915&gt;10),1,0)</f>
        <v>0</v>
      </c>
      <c r="X1915" s="9" t="n">
        <f aca="false">IF(OR(I1915&lt;=0,I1915&gt;1500),1,0)</f>
        <v>0</v>
      </c>
      <c r="Y1915" s="9" t="n">
        <f aca="false">IF(J1915&gt;H1915*I1915,1,0)</f>
        <v>0</v>
      </c>
      <c r="Z1915" s="9" t="n">
        <f aca="false">IF(AND(N1915&lt;&gt;"",OR(N1915&lt;1,N1915&gt;5)),1,0)</f>
        <v>0</v>
      </c>
      <c r="AA1915" s="9" t="n">
        <f aca="false">IF(AND(M1915&lt;&gt;"",OR(M1915&lt;5,M1915&gt;180)),1,0)</f>
        <v>0</v>
      </c>
      <c r="AB1915" s="7" t="str">
        <f aca="false">IF(P1915="DUP","Exact duplicate row",IF(T1915=1,"Missing Order ID",IF(S1915="DROP","Duplicate Order ID (less complete row)",IF(U1915=1,"Missing Customer ID",IF(V1915=1,"Missing Restaurant name",IF(W1915=1,"Invalid/outlier quantity",IF(X1915=1,"Invalid/outlier unit price",IF(Y1915=1,"Discount greater than order value",""))))))))</f>
        <v/>
      </c>
      <c r="AC1915" s="7" t="str">
        <f aca="false">IF(AB1915="","KEEP","DROP")</f>
        <v>KEEP</v>
      </c>
      <c r="AD1915" s="7" t="str">
        <f aca="false">IF(TRIM(F1915)="",IFERROR(INDEX(Map_Tables!$I$4:$I$37,MATCH(TRIM(E1915),Map_Tables!$G$4:$G$37,0)),""),IFERROR(INDEX(Map_Tables!$B$4:$B$18,MATCH(TRIM(F1915),Map_Tables!$A$4:$A$18,0)),"CHECK"))</f>
        <v>Delhi</v>
      </c>
      <c r="AE1915" s="7" t="str">
        <f aca="false">IF(TRIM(E1915)="","",IFERROR(INDEX(Map_Tables!$H$4:$H$37,MATCH(TRIM(E1915),Map_Tables!$G$4:$G$37,0)),"CHECK"))</f>
        <v>Burger Barn</v>
      </c>
      <c r="AF1915" s="7" t="str">
        <f aca="false">IF(TRIM(K1915)="","Unknown",IFERROR(INDEX(Map_Tables!$E$4:$E$15,MATCH(TRIM(K1915),Map_Tables!$D$4:$D$15,0)),"CHECK"))</f>
        <v>Cash on Delivery</v>
      </c>
      <c r="AG1915" s="7" t="str">
        <f aca="false">IF(LEFT(LOWER(TRIM(L1915)),6)="cancel","Cancelled","Delivered")</f>
        <v>Delivered</v>
      </c>
      <c r="AH1915" s="10" t="n">
        <f aca="false">IF(ISNUMBER(SEARCH("/",B1915)),DATE(VALUE(RIGHT(B1915,4)),VALUE(MID(B1915,4,2)),VALUE(LEFT(B1915,2))),IF(MID(B1915,5,1)="-",DATE(VALUE(LEFT(B1915,4)),VALUE(MID(B1915,6,2)),VALUE(RIGHT(B1915,2))),DATE(VALUE(RIGHT(B1915,4)),MATCH(MID(B1915,4,3),{"Jan","Feb","Mar","Apr","May","Jun","Jul","Aug","Sep","Oct","Nov","Dec"},0),VALUE(LEFT(B1915,2)))))</f>
        <v>45918</v>
      </c>
    </row>
    <row r="1916" customFormat="false" ht="15" hidden="false" customHeight="false" outlineLevel="0" collapsed="false">
      <c r="A1916" s="7" t="s">
        <v>4622</v>
      </c>
      <c r="B1916" s="7" t="s">
        <v>4623</v>
      </c>
      <c r="C1916" s="7" t="s">
        <v>4624</v>
      </c>
      <c r="D1916" s="7" t="s">
        <v>4625</v>
      </c>
      <c r="E1916" s="7" t="s">
        <v>134</v>
      </c>
      <c r="F1916" s="7" t="s">
        <v>110</v>
      </c>
      <c r="G1916" s="7" t="s">
        <v>117</v>
      </c>
      <c r="H1916" s="7" t="n">
        <v>1</v>
      </c>
      <c r="I1916" s="7" t="n">
        <v>115</v>
      </c>
      <c r="J1916" s="7" t="n">
        <v>46</v>
      </c>
      <c r="K1916" s="7" t="s">
        <v>103</v>
      </c>
      <c r="L1916" s="7" t="s">
        <v>194</v>
      </c>
      <c r="M1916" s="7" t="n">
        <v>32</v>
      </c>
      <c r="N1916" s="7" t="n">
        <v>4</v>
      </c>
      <c r="O1916" s="7" t="str">
        <f aca="false">A1916&amp;"|"&amp;B1916&amp;"|"&amp;C1916&amp;"|"&amp;D1916&amp;"|"&amp;E1916&amp;"|"&amp;F1916&amp;"|"&amp;G1916&amp;"|"&amp;H1916&amp;"|"&amp;I1916&amp;"|"&amp;J1916&amp;"|"&amp;K1916&amp;"|"&amp;L1916&amp;"|"&amp;M1916&amp;"|"&amp;N1916</f>
        <v>ORD10729|03-Apr-2025|16:34|C1358|Chaat Corner|Delhi|Street Food|1|115|46|Debit Card|Delivered|32|4</v>
      </c>
      <c r="P1916" s="7" t="str">
        <f aca="false">IF(COUNTIF($O$2:O1916,O1916)&gt;1,"DUP","OK")</f>
        <v>OK</v>
      </c>
      <c r="Q1916" s="7" t="n">
        <f aca="false">COUNTBLANK(A1916:N1916)</f>
        <v>0</v>
      </c>
      <c r="R1916" s="7" t="n">
        <f aca="false">IF(A1916="",0,COUNTIFS($A$2:$A$3058,A1916,$P$2:$P$3058,"OK"))</f>
        <v>1</v>
      </c>
      <c r="S1916" s="7" t="str">
        <f aca="false">IF(OR(A1916="",P1916="DUP",R1916&lt;2),"",IF(Q1916=_xlfn.MINIFS($Q$2:$Q$3058,$A$2:$A$3058,A1916,$P$2:$P$3058,"OK"),"KEEP","DROP"))</f>
        <v/>
      </c>
      <c r="T1916" s="9" t="n">
        <f aca="false">IF(A1916="",1,0)</f>
        <v>0</v>
      </c>
      <c r="U1916" s="9" t="n">
        <f aca="false">IF(D1916="",1,0)</f>
        <v>0</v>
      </c>
      <c r="V1916" s="9" t="n">
        <f aca="false">IF(E1916="",1,0)</f>
        <v>0</v>
      </c>
      <c r="W1916" s="9" t="n">
        <f aca="false">IF(OR(H1916&lt;1,H1916&gt;10),1,0)</f>
        <v>0</v>
      </c>
      <c r="X1916" s="9" t="n">
        <f aca="false">IF(OR(I1916&lt;=0,I1916&gt;1500),1,0)</f>
        <v>0</v>
      </c>
      <c r="Y1916" s="9" t="n">
        <f aca="false">IF(J1916&gt;H1916*I1916,1,0)</f>
        <v>0</v>
      </c>
      <c r="Z1916" s="9" t="n">
        <f aca="false">IF(AND(N1916&lt;&gt;"",OR(N1916&lt;1,N1916&gt;5)),1,0)</f>
        <v>0</v>
      </c>
      <c r="AA1916" s="9" t="n">
        <f aca="false">IF(AND(M1916&lt;&gt;"",OR(M1916&lt;5,M1916&gt;180)),1,0)</f>
        <v>0</v>
      </c>
      <c r="AB1916" s="7" t="str">
        <f aca="false">IF(P1916="DUP","Exact duplicate row",IF(T1916=1,"Missing Order ID",IF(S1916="DROP","Duplicate Order ID (less complete row)",IF(U1916=1,"Missing Customer ID",IF(V1916=1,"Missing Restaurant name",IF(W1916=1,"Invalid/outlier quantity",IF(X1916=1,"Invalid/outlier unit price",IF(Y1916=1,"Discount greater than order value",""))))))))</f>
        <v/>
      </c>
      <c r="AC1916" s="7" t="str">
        <f aca="false">IF(AB1916="","KEEP","DROP")</f>
        <v>KEEP</v>
      </c>
      <c r="AD1916" s="7" t="str">
        <f aca="false">IF(TRIM(F1916)="",IFERROR(INDEX(Map_Tables!$I$4:$I$37,MATCH(TRIM(E1916),Map_Tables!$G$4:$G$37,0)),""),IFERROR(INDEX(Map_Tables!$B$4:$B$18,MATCH(TRIM(F1916),Map_Tables!$A$4:$A$18,0)),"CHECK"))</f>
        <v>Delhi</v>
      </c>
      <c r="AE1916" s="7" t="str">
        <f aca="false">IF(TRIM(E1916)="","",IFERROR(INDEX(Map_Tables!$H$4:$H$37,MATCH(TRIM(E1916),Map_Tables!$G$4:$G$37,0)),"CHECK"))</f>
        <v>Chaat Corner</v>
      </c>
      <c r="AF1916" s="7" t="str">
        <f aca="false">IF(TRIM(K1916)="","Unknown",IFERROR(INDEX(Map_Tables!$E$4:$E$15,MATCH(TRIM(K1916),Map_Tables!$D$4:$D$15,0)),"CHECK"))</f>
        <v>Debit Card</v>
      </c>
      <c r="AG1916" s="7" t="str">
        <f aca="false">IF(LEFT(LOWER(TRIM(L1916)),6)="cancel","Cancelled","Delivered")</f>
        <v>Delivered</v>
      </c>
      <c r="AH1916" s="10" t="n">
        <f aca="false">IF(ISNUMBER(SEARCH("/",B1916)),DATE(VALUE(RIGHT(B1916,4)),VALUE(MID(B1916,4,2)),VALUE(LEFT(B1916,2))),IF(MID(B1916,5,1)="-",DATE(VALUE(LEFT(B1916,4)),VALUE(MID(B1916,6,2)),VALUE(RIGHT(B1916,2))),DATE(VALUE(RIGHT(B1916,4)),MATCH(MID(B1916,4,3),{"Jan","Feb","Mar","Apr","May","Jun","Jul","Aug","Sep","Oct","Nov","Dec"},0),VALUE(LEFT(B1916,2)))))</f>
        <v>45750</v>
      </c>
    </row>
    <row r="1917" customFormat="false" ht="15" hidden="false" customHeight="false" outlineLevel="0" collapsed="false">
      <c r="A1917" s="7" t="s">
        <v>4626</v>
      </c>
      <c r="B1917" s="7" t="s">
        <v>507</v>
      </c>
      <c r="C1917" s="7" t="s">
        <v>331</v>
      </c>
      <c r="D1917" s="7" t="s">
        <v>1777</v>
      </c>
      <c r="E1917" s="7" t="s">
        <v>149</v>
      </c>
      <c r="F1917" s="7" t="s">
        <v>119</v>
      </c>
      <c r="G1917" s="7" t="s">
        <v>150</v>
      </c>
      <c r="H1917" s="7" t="n">
        <v>1</v>
      </c>
      <c r="I1917" s="7" t="n">
        <v>185</v>
      </c>
      <c r="J1917" s="7" t="n">
        <v>30</v>
      </c>
      <c r="K1917" s="7" t="s">
        <v>88</v>
      </c>
      <c r="L1917" s="7" t="s">
        <v>194</v>
      </c>
      <c r="M1917" s="7" t="n">
        <v>20</v>
      </c>
      <c r="N1917" s="7" t="n">
        <v>3</v>
      </c>
      <c r="O1917" s="7" t="str">
        <f aca="false">A1917&amp;"|"&amp;B1917&amp;"|"&amp;C1917&amp;"|"&amp;D1917&amp;"|"&amp;E1917&amp;"|"&amp;F1917&amp;"|"&amp;G1917&amp;"|"&amp;H1917&amp;"|"&amp;I1917&amp;"|"&amp;J1917&amp;"|"&amp;K1917&amp;"|"&amp;L1917&amp;"|"&amp;M1917&amp;"|"&amp;N1917</f>
        <v>ORD11622|2025-07-30|22:04|C0883|Sweet Tooth Studio|Hyderabad|Desserts|1|185|30|UPI|Delivered|20|3</v>
      </c>
      <c r="P1917" s="7" t="str">
        <f aca="false">IF(COUNTIF($O$2:O1917,O1917)&gt;1,"DUP","OK")</f>
        <v>OK</v>
      </c>
      <c r="Q1917" s="7" t="n">
        <f aca="false">COUNTBLANK(A1917:N1917)</f>
        <v>0</v>
      </c>
      <c r="R1917" s="7" t="n">
        <f aca="false">IF(A1917="",0,COUNTIFS($A$2:$A$3058,A1917,$P$2:$P$3058,"OK"))</f>
        <v>1</v>
      </c>
      <c r="S1917" s="7" t="str">
        <f aca="false">IF(OR(A1917="",P1917="DUP",R1917&lt;2),"",IF(Q1917=_xlfn.MINIFS($Q$2:$Q$3058,$A$2:$A$3058,A1917,$P$2:$P$3058,"OK"),"KEEP","DROP"))</f>
        <v/>
      </c>
      <c r="T1917" s="9" t="n">
        <f aca="false">IF(A1917="",1,0)</f>
        <v>0</v>
      </c>
      <c r="U1917" s="9" t="n">
        <f aca="false">IF(D1917="",1,0)</f>
        <v>0</v>
      </c>
      <c r="V1917" s="9" t="n">
        <f aca="false">IF(E1917="",1,0)</f>
        <v>0</v>
      </c>
      <c r="W1917" s="9" t="n">
        <f aca="false">IF(OR(H1917&lt;1,H1917&gt;10),1,0)</f>
        <v>0</v>
      </c>
      <c r="X1917" s="9" t="n">
        <f aca="false">IF(OR(I1917&lt;=0,I1917&gt;1500),1,0)</f>
        <v>0</v>
      </c>
      <c r="Y1917" s="9" t="n">
        <f aca="false">IF(J1917&gt;H1917*I1917,1,0)</f>
        <v>0</v>
      </c>
      <c r="Z1917" s="9" t="n">
        <f aca="false">IF(AND(N1917&lt;&gt;"",OR(N1917&lt;1,N1917&gt;5)),1,0)</f>
        <v>0</v>
      </c>
      <c r="AA1917" s="9" t="n">
        <f aca="false">IF(AND(M1917&lt;&gt;"",OR(M1917&lt;5,M1917&gt;180)),1,0)</f>
        <v>0</v>
      </c>
      <c r="AB1917" s="7" t="str">
        <f aca="false">IF(P1917="DUP","Exact duplicate row",IF(T1917=1,"Missing Order ID",IF(S1917="DROP","Duplicate Order ID (less complete row)",IF(U1917=1,"Missing Customer ID",IF(V1917=1,"Missing Restaurant name",IF(W1917=1,"Invalid/outlier quantity",IF(X1917=1,"Invalid/outlier unit price",IF(Y1917=1,"Discount greater than order value",""))))))))</f>
        <v/>
      </c>
      <c r="AC1917" s="7" t="str">
        <f aca="false">IF(AB1917="","KEEP","DROP")</f>
        <v>KEEP</v>
      </c>
      <c r="AD1917" s="7" t="str">
        <f aca="false">IF(TRIM(F1917)="",IFERROR(INDEX(Map_Tables!$I$4:$I$37,MATCH(TRIM(E1917),Map_Tables!$G$4:$G$37,0)),""),IFERROR(INDEX(Map_Tables!$B$4:$B$18,MATCH(TRIM(F1917),Map_Tables!$A$4:$A$18,0)),"CHECK"))</f>
        <v>Hyderabad</v>
      </c>
      <c r="AE1917" s="7" t="str">
        <f aca="false">IF(TRIM(E1917)="","",IFERROR(INDEX(Map_Tables!$H$4:$H$37,MATCH(TRIM(E1917),Map_Tables!$G$4:$G$37,0)),"CHECK"))</f>
        <v>Sweet Tooth Studio</v>
      </c>
      <c r="AF1917" s="7" t="str">
        <f aca="false">IF(TRIM(K1917)="","Unknown",IFERROR(INDEX(Map_Tables!$E$4:$E$15,MATCH(TRIM(K1917),Map_Tables!$D$4:$D$15,0)),"CHECK"))</f>
        <v>UPI</v>
      </c>
      <c r="AG1917" s="7" t="str">
        <f aca="false">IF(LEFT(LOWER(TRIM(L1917)),6)="cancel","Cancelled","Delivered")</f>
        <v>Delivered</v>
      </c>
      <c r="AH1917" s="10" t="n">
        <f aca="false">IF(ISNUMBER(SEARCH("/",B1917)),DATE(VALUE(RIGHT(B1917,4)),VALUE(MID(B1917,4,2)),VALUE(LEFT(B1917,2))),IF(MID(B1917,5,1)="-",DATE(VALUE(LEFT(B1917,4)),VALUE(MID(B1917,6,2)),VALUE(RIGHT(B1917,2))),DATE(VALUE(RIGHT(B1917,4)),MATCH(MID(B1917,4,3),{"Jan","Feb","Mar","Apr","May","Jun","Jul","Aug","Sep","Oct","Nov","Dec"},0),VALUE(LEFT(B1917,2)))))</f>
        <v>45868</v>
      </c>
    </row>
    <row r="1918" customFormat="false" ht="15" hidden="false" customHeight="false" outlineLevel="0" collapsed="false">
      <c r="A1918" s="7" t="s">
        <v>4627</v>
      </c>
      <c r="B1918" s="7" t="s">
        <v>262</v>
      </c>
      <c r="C1918" s="7" t="s">
        <v>3682</v>
      </c>
      <c r="D1918" s="7" t="s">
        <v>1341</v>
      </c>
      <c r="E1918" s="7" t="s">
        <v>126</v>
      </c>
      <c r="F1918" s="7" t="s">
        <v>101</v>
      </c>
      <c r="G1918" s="7" t="s">
        <v>105</v>
      </c>
      <c r="H1918" s="7" t="n">
        <v>3</v>
      </c>
      <c r="I1918" s="7" t="n">
        <v>170</v>
      </c>
      <c r="J1918" s="7" t="n">
        <v>40</v>
      </c>
      <c r="K1918" s="7" t="s">
        <v>87</v>
      </c>
      <c r="L1918" s="7" t="s">
        <v>194</v>
      </c>
      <c r="M1918" s="7" t="n">
        <v>30</v>
      </c>
      <c r="N1918" s="7"/>
      <c r="O1918" s="7" t="str">
        <f aca="false">A1918&amp;"|"&amp;B1918&amp;"|"&amp;C1918&amp;"|"&amp;D1918&amp;"|"&amp;E1918&amp;"|"&amp;F1918&amp;"|"&amp;G1918&amp;"|"&amp;H1918&amp;"|"&amp;I1918&amp;"|"&amp;J1918&amp;"|"&amp;K1918&amp;"|"&amp;L1918&amp;"|"&amp;M1918&amp;"|"&amp;N1918</f>
        <v>ORD11347|2025-06-22|23:13|C0804|Dragon Express|Mumbai|Chinese|3|170|40|upi|Delivered|30|</v>
      </c>
      <c r="P1918" s="7" t="str">
        <f aca="false">IF(COUNTIF($O$2:O1918,O1918)&gt;1,"DUP","OK")</f>
        <v>OK</v>
      </c>
      <c r="Q1918" s="7" t="n">
        <f aca="false">COUNTBLANK(A1918:N1918)</f>
        <v>1</v>
      </c>
      <c r="R1918" s="7" t="n">
        <f aca="false">IF(A1918="",0,COUNTIFS($A$2:$A$3058,A1918,$P$2:$P$3058,"OK"))</f>
        <v>1</v>
      </c>
      <c r="S1918" s="7" t="str">
        <f aca="false">IF(OR(A1918="",P1918="DUP",R1918&lt;2),"",IF(Q1918=_xlfn.MINIFS($Q$2:$Q$3058,$A$2:$A$3058,A1918,$P$2:$P$3058,"OK"),"KEEP","DROP"))</f>
        <v/>
      </c>
      <c r="T1918" s="9" t="n">
        <f aca="false">IF(A1918="",1,0)</f>
        <v>0</v>
      </c>
      <c r="U1918" s="9" t="n">
        <f aca="false">IF(D1918="",1,0)</f>
        <v>0</v>
      </c>
      <c r="V1918" s="9" t="n">
        <f aca="false">IF(E1918="",1,0)</f>
        <v>0</v>
      </c>
      <c r="W1918" s="9" t="n">
        <f aca="false">IF(OR(H1918&lt;1,H1918&gt;10),1,0)</f>
        <v>0</v>
      </c>
      <c r="X1918" s="9" t="n">
        <f aca="false">IF(OR(I1918&lt;=0,I1918&gt;1500),1,0)</f>
        <v>0</v>
      </c>
      <c r="Y1918" s="9" t="n">
        <f aca="false">IF(J1918&gt;H1918*I1918,1,0)</f>
        <v>0</v>
      </c>
      <c r="Z1918" s="9" t="n">
        <f aca="false">IF(AND(N1918&lt;&gt;"",OR(N1918&lt;1,N1918&gt;5)),1,0)</f>
        <v>0</v>
      </c>
      <c r="AA1918" s="9" t="n">
        <f aca="false">IF(AND(M1918&lt;&gt;"",OR(M1918&lt;5,M1918&gt;180)),1,0)</f>
        <v>0</v>
      </c>
      <c r="AB1918" s="7" t="str">
        <f aca="false">IF(P1918="DUP","Exact duplicate row",IF(T1918=1,"Missing Order ID",IF(S1918="DROP","Duplicate Order ID (less complete row)",IF(U1918=1,"Missing Customer ID",IF(V1918=1,"Missing Restaurant name",IF(W1918=1,"Invalid/outlier quantity",IF(X1918=1,"Invalid/outlier unit price",IF(Y1918=1,"Discount greater than order value",""))))))))</f>
        <v/>
      </c>
      <c r="AC1918" s="7" t="str">
        <f aca="false">IF(AB1918="","KEEP","DROP")</f>
        <v>KEEP</v>
      </c>
      <c r="AD1918" s="7" t="str">
        <f aca="false">IF(TRIM(F1918)="",IFERROR(INDEX(Map_Tables!$I$4:$I$37,MATCH(TRIM(E1918),Map_Tables!$G$4:$G$37,0)),""),IFERROR(INDEX(Map_Tables!$B$4:$B$18,MATCH(TRIM(F1918),Map_Tables!$A$4:$A$18,0)),"CHECK"))</f>
        <v>Mumbai</v>
      </c>
      <c r="AE1918" s="7" t="str">
        <f aca="false">IF(TRIM(E1918)="","",IFERROR(INDEX(Map_Tables!$H$4:$H$37,MATCH(TRIM(E1918),Map_Tables!$G$4:$G$37,0)),"CHECK"))</f>
        <v>Dragon Express</v>
      </c>
      <c r="AF1918" s="7" t="str">
        <f aca="false">IF(TRIM(K1918)="","Unknown",IFERROR(INDEX(Map_Tables!$E$4:$E$15,MATCH(TRIM(K1918),Map_Tables!$D$4:$D$15,0)),"CHECK"))</f>
        <v>UPI</v>
      </c>
      <c r="AG1918" s="7" t="str">
        <f aca="false">IF(LEFT(LOWER(TRIM(L1918)),6)="cancel","Cancelled","Delivered")</f>
        <v>Delivered</v>
      </c>
      <c r="AH1918" s="10" t="n">
        <f aca="false">IF(ISNUMBER(SEARCH("/",B1918)),DATE(VALUE(RIGHT(B1918,4)),VALUE(MID(B1918,4,2)),VALUE(LEFT(B1918,2))),IF(MID(B1918,5,1)="-",DATE(VALUE(LEFT(B1918,4)),VALUE(MID(B1918,6,2)),VALUE(RIGHT(B1918,2))),DATE(VALUE(RIGHT(B1918,4)),MATCH(MID(B1918,4,3),{"Jan","Feb","Mar","Apr","May","Jun","Jul","Aug","Sep","Oct","Nov","Dec"},0),VALUE(LEFT(B1918,2)))))</f>
        <v>45830</v>
      </c>
    </row>
    <row r="1919" customFormat="false" ht="15" hidden="false" customHeight="false" outlineLevel="0" collapsed="false">
      <c r="A1919" s="7" t="s">
        <v>4628</v>
      </c>
      <c r="B1919" s="7" t="s">
        <v>4629</v>
      </c>
      <c r="C1919" s="7" t="s">
        <v>1830</v>
      </c>
      <c r="D1919" s="7" t="s">
        <v>4630</v>
      </c>
      <c r="E1919" s="7" t="s">
        <v>138</v>
      </c>
      <c r="F1919" s="7" t="s">
        <v>110</v>
      </c>
      <c r="G1919" s="7" t="s">
        <v>139</v>
      </c>
      <c r="H1919" s="7" t="n">
        <v>1</v>
      </c>
      <c r="I1919" s="7" t="n">
        <v>225</v>
      </c>
      <c r="J1919" s="7" t="n">
        <v>30</v>
      </c>
      <c r="K1919" s="7" t="s">
        <v>121</v>
      </c>
      <c r="L1919" s="7" t="s">
        <v>194</v>
      </c>
      <c r="M1919" s="7" t="n">
        <v>35</v>
      </c>
      <c r="N1919" s="7" t="n">
        <v>4</v>
      </c>
      <c r="O1919" s="7" t="str">
        <f aca="false">A1919&amp;"|"&amp;B1919&amp;"|"&amp;C1919&amp;"|"&amp;D1919&amp;"|"&amp;E1919&amp;"|"&amp;F1919&amp;"|"&amp;G1919&amp;"|"&amp;H1919&amp;"|"&amp;I1919&amp;"|"&amp;J1919&amp;"|"&amp;K1919&amp;"|"&amp;L1919&amp;"|"&amp;M1919&amp;"|"&amp;N1919</f>
        <v>ORD11308|18/06/2025|18:27|C0714|Burger Barn|Delhi|Burgers|1|225|30|Wallet|Delivered|35|4</v>
      </c>
      <c r="P1919" s="7" t="str">
        <f aca="false">IF(COUNTIF($O$2:O1919,O1919)&gt;1,"DUP","OK")</f>
        <v>OK</v>
      </c>
      <c r="Q1919" s="7" t="n">
        <f aca="false">COUNTBLANK(A1919:N1919)</f>
        <v>0</v>
      </c>
      <c r="R1919" s="7" t="n">
        <f aca="false">IF(A1919="",0,COUNTIFS($A$2:$A$3058,A1919,$P$2:$P$3058,"OK"))</f>
        <v>1</v>
      </c>
      <c r="S1919" s="7" t="str">
        <f aca="false">IF(OR(A1919="",P1919="DUP",R1919&lt;2),"",IF(Q1919=_xlfn.MINIFS($Q$2:$Q$3058,$A$2:$A$3058,A1919,$P$2:$P$3058,"OK"),"KEEP","DROP"))</f>
        <v/>
      </c>
      <c r="T1919" s="9" t="n">
        <f aca="false">IF(A1919="",1,0)</f>
        <v>0</v>
      </c>
      <c r="U1919" s="9" t="n">
        <f aca="false">IF(D1919="",1,0)</f>
        <v>0</v>
      </c>
      <c r="V1919" s="9" t="n">
        <f aca="false">IF(E1919="",1,0)</f>
        <v>0</v>
      </c>
      <c r="W1919" s="9" t="n">
        <f aca="false">IF(OR(H1919&lt;1,H1919&gt;10),1,0)</f>
        <v>0</v>
      </c>
      <c r="X1919" s="9" t="n">
        <f aca="false">IF(OR(I1919&lt;=0,I1919&gt;1500),1,0)</f>
        <v>0</v>
      </c>
      <c r="Y1919" s="9" t="n">
        <f aca="false">IF(J1919&gt;H1919*I1919,1,0)</f>
        <v>0</v>
      </c>
      <c r="Z1919" s="9" t="n">
        <f aca="false">IF(AND(N1919&lt;&gt;"",OR(N1919&lt;1,N1919&gt;5)),1,0)</f>
        <v>0</v>
      </c>
      <c r="AA1919" s="9" t="n">
        <f aca="false">IF(AND(M1919&lt;&gt;"",OR(M1919&lt;5,M1919&gt;180)),1,0)</f>
        <v>0</v>
      </c>
      <c r="AB1919" s="7" t="str">
        <f aca="false">IF(P1919="DUP","Exact duplicate row",IF(T1919=1,"Missing Order ID",IF(S1919="DROP","Duplicate Order ID (less complete row)",IF(U1919=1,"Missing Customer ID",IF(V1919=1,"Missing Restaurant name",IF(W1919=1,"Invalid/outlier quantity",IF(X1919=1,"Invalid/outlier unit price",IF(Y1919=1,"Discount greater than order value",""))))))))</f>
        <v/>
      </c>
      <c r="AC1919" s="7" t="str">
        <f aca="false">IF(AB1919="","KEEP","DROP")</f>
        <v>KEEP</v>
      </c>
      <c r="AD1919" s="7" t="str">
        <f aca="false">IF(TRIM(F1919)="",IFERROR(INDEX(Map_Tables!$I$4:$I$37,MATCH(TRIM(E1919),Map_Tables!$G$4:$G$37,0)),""),IFERROR(INDEX(Map_Tables!$B$4:$B$18,MATCH(TRIM(F1919),Map_Tables!$A$4:$A$18,0)),"CHECK"))</f>
        <v>Delhi</v>
      </c>
      <c r="AE1919" s="7" t="str">
        <f aca="false">IF(TRIM(E1919)="","",IFERROR(INDEX(Map_Tables!$H$4:$H$37,MATCH(TRIM(E1919),Map_Tables!$G$4:$G$37,0)),"CHECK"))</f>
        <v>Burger Barn</v>
      </c>
      <c r="AF1919" s="7" t="str">
        <f aca="false">IF(TRIM(K1919)="","Unknown",IFERROR(INDEX(Map_Tables!$E$4:$E$15,MATCH(TRIM(K1919),Map_Tables!$D$4:$D$15,0)),"CHECK"))</f>
        <v>Wallet</v>
      </c>
      <c r="AG1919" s="7" t="str">
        <f aca="false">IF(LEFT(LOWER(TRIM(L1919)),6)="cancel","Cancelled","Delivered")</f>
        <v>Delivered</v>
      </c>
      <c r="AH1919" s="10" t="n">
        <f aca="false">IF(ISNUMBER(SEARCH("/",B1919)),DATE(VALUE(RIGHT(B1919,4)),VALUE(MID(B1919,4,2)),VALUE(LEFT(B1919,2))),IF(MID(B1919,5,1)="-",DATE(VALUE(LEFT(B1919,4)),VALUE(MID(B1919,6,2)),VALUE(RIGHT(B1919,2))),DATE(VALUE(RIGHT(B1919,4)),MATCH(MID(B1919,4,3),{"Jan","Feb","Mar","Apr","May","Jun","Jul","Aug","Sep","Oct","Nov","Dec"},0),VALUE(LEFT(B1919,2)))))</f>
        <v>45826</v>
      </c>
    </row>
    <row r="1920" customFormat="false" ht="15" hidden="false" customHeight="false" outlineLevel="0" collapsed="false">
      <c r="A1920" s="7" t="s">
        <v>4631</v>
      </c>
      <c r="B1920" s="7" t="s">
        <v>2308</v>
      </c>
      <c r="C1920" s="7" t="s">
        <v>1597</v>
      </c>
      <c r="D1920" s="7" t="s">
        <v>867</v>
      </c>
      <c r="E1920" s="7" t="s">
        <v>4632</v>
      </c>
      <c r="F1920" s="7" t="s">
        <v>110</v>
      </c>
      <c r="G1920" s="7" t="s">
        <v>117</v>
      </c>
      <c r="H1920" s="7" t="n">
        <v>1</v>
      </c>
      <c r="I1920" s="7" t="n">
        <v>115</v>
      </c>
      <c r="J1920" s="7" t="n">
        <v>0</v>
      </c>
      <c r="K1920" s="7" t="s">
        <v>88</v>
      </c>
      <c r="L1920" s="7" t="s">
        <v>194</v>
      </c>
      <c r="M1920" s="7" t="n">
        <v>44</v>
      </c>
      <c r="N1920" s="7" t="n">
        <v>4</v>
      </c>
      <c r="O1920" s="7" t="str">
        <f aca="false">A1920&amp;"|"&amp;B1920&amp;"|"&amp;C1920&amp;"|"&amp;D1920&amp;"|"&amp;E1920&amp;"|"&amp;F1920&amp;"|"&amp;G1920&amp;"|"&amp;H1920&amp;"|"&amp;I1920&amp;"|"&amp;J1920&amp;"|"&amp;K1920&amp;"|"&amp;L1920&amp;"|"&amp;M1920&amp;"|"&amp;N1920</f>
        <v>ORD10894|2025-04-23|09:58|C1014| Chaat Corner|Delhi|Street Food|1|115|0|UPI|Delivered|44|4</v>
      </c>
      <c r="P1920" s="7" t="str">
        <f aca="false">IF(COUNTIF($O$2:O1920,O1920)&gt;1,"DUP","OK")</f>
        <v>OK</v>
      </c>
      <c r="Q1920" s="7" t="n">
        <f aca="false">COUNTBLANK(A1920:N1920)</f>
        <v>0</v>
      </c>
      <c r="R1920" s="7" t="n">
        <f aca="false">IF(A1920="",0,COUNTIFS($A$2:$A$3058,A1920,$P$2:$P$3058,"OK"))</f>
        <v>1</v>
      </c>
      <c r="S1920" s="7" t="str">
        <f aca="false">IF(OR(A1920="",P1920="DUP",R1920&lt;2),"",IF(Q1920=_xlfn.MINIFS($Q$2:$Q$3058,$A$2:$A$3058,A1920,$P$2:$P$3058,"OK"),"KEEP","DROP"))</f>
        <v/>
      </c>
      <c r="T1920" s="9" t="n">
        <f aca="false">IF(A1920="",1,0)</f>
        <v>0</v>
      </c>
      <c r="U1920" s="9" t="n">
        <f aca="false">IF(D1920="",1,0)</f>
        <v>0</v>
      </c>
      <c r="V1920" s="9" t="n">
        <f aca="false">IF(E1920="",1,0)</f>
        <v>0</v>
      </c>
      <c r="W1920" s="9" t="n">
        <f aca="false">IF(OR(H1920&lt;1,H1920&gt;10),1,0)</f>
        <v>0</v>
      </c>
      <c r="X1920" s="9" t="n">
        <f aca="false">IF(OR(I1920&lt;=0,I1920&gt;1500),1,0)</f>
        <v>0</v>
      </c>
      <c r="Y1920" s="9" t="n">
        <f aca="false">IF(J1920&gt;H1920*I1920,1,0)</f>
        <v>0</v>
      </c>
      <c r="Z1920" s="9" t="n">
        <f aca="false">IF(AND(N1920&lt;&gt;"",OR(N1920&lt;1,N1920&gt;5)),1,0)</f>
        <v>0</v>
      </c>
      <c r="AA1920" s="9" t="n">
        <f aca="false">IF(AND(M1920&lt;&gt;"",OR(M1920&lt;5,M1920&gt;180)),1,0)</f>
        <v>0</v>
      </c>
      <c r="AB1920" s="7" t="str">
        <f aca="false">IF(P1920="DUP","Exact duplicate row",IF(T1920=1,"Missing Order ID",IF(S1920="DROP","Duplicate Order ID (less complete row)",IF(U1920=1,"Missing Customer ID",IF(V1920=1,"Missing Restaurant name",IF(W1920=1,"Invalid/outlier quantity",IF(X1920=1,"Invalid/outlier unit price",IF(Y1920=1,"Discount greater than order value",""))))))))</f>
        <v/>
      </c>
      <c r="AC1920" s="7" t="str">
        <f aca="false">IF(AB1920="","KEEP","DROP")</f>
        <v>KEEP</v>
      </c>
      <c r="AD1920" s="7" t="str">
        <f aca="false">IF(TRIM(F1920)="",IFERROR(INDEX(Map_Tables!$I$4:$I$37,MATCH(TRIM(E1920),Map_Tables!$G$4:$G$37,0)),""),IFERROR(INDEX(Map_Tables!$B$4:$B$18,MATCH(TRIM(F1920),Map_Tables!$A$4:$A$18,0)),"CHECK"))</f>
        <v>Delhi</v>
      </c>
      <c r="AE1920" s="7" t="str">
        <f aca="false">IF(TRIM(E1920)="","",IFERROR(INDEX(Map_Tables!$H$4:$H$37,MATCH(TRIM(E1920),Map_Tables!$G$4:$G$37,0)),"CHECK"))</f>
        <v>Chaat Corner</v>
      </c>
      <c r="AF1920" s="7" t="str">
        <f aca="false">IF(TRIM(K1920)="","Unknown",IFERROR(INDEX(Map_Tables!$E$4:$E$15,MATCH(TRIM(K1920),Map_Tables!$D$4:$D$15,0)),"CHECK"))</f>
        <v>UPI</v>
      </c>
      <c r="AG1920" s="7" t="str">
        <f aca="false">IF(LEFT(LOWER(TRIM(L1920)),6)="cancel","Cancelled","Delivered")</f>
        <v>Delivered</v>
      </c>
      <c r="AH1920" s="10" t="n">
        <f aca="false">IF(ISNUMBER(SEARCH("/",B1920)),DATE(VALUE(RIGHT(B1920,4)),VALUE(MID(B1920,4,2)),VALUE(LEFT(B1920,2))),IF(MID(B1920,5,1)="-",DATE(VALUE(LEFT(B1920,4)),VALUE(MID(B1920,6,2)),VALUE(RIGHT(B1920,2))),DATE(VALUE(RIGHT(B1920,4)),MATCH(MID(B1920,4,3),{"Jan","Feb","Mar","Apr","May","Jun","Jul","Aug","Sep","Oct","Nov","Dec"},0),VALUE(LEFT(B1920,2)))))</f>
        <v>45770</v>
      </c>
    </row>
    <row r="1921" customFormat="false" ht="15" hidden="false" customHeight="false" outlineLevel="0" collapsed="false">
      <c r="A1921" s="7" t="s">
        <v>4633</v>
      </c>
      <c r="B1921" s="7" t="s">
        <v>190</v>
      </c>
      <c r="C1921" s="7" t="s">
        <v>4634</v>
      </c>
      <c r="D1921" s="7" t="s">
        <v>2066</v>
      </c>
      <c r="E1921" s="7" t="s">
        <v>113</v>
      </c>
      <c r="F1921" s="7" t="s">
        <v>101</v>
      </c>
      <c r="G1921" s="7" t="s">
        <v>90</v>
      </c>
      <c r="H1921" s="7" t="n">
        <v>1</v>
      </c>
      <c r="I1921" s="7" t="n">
        <v>270</v>
      </c>
      <c r="J1921" s="7" t="n">
        <v>0</v>
      </c>
      <c r="K1921" s="7" t="s">
        <v>112</v>
      </c>
      <c r="L1921" s="7" t="s">
        <v>194</v>
      </c>
      <c r="M1921" s="7" t="n">
        <v>51</v>
      </c>
      <c r="N1921" s="7" t="n">
        <v>2</v>
      </c>
      <c r="O1921" s="7" t="str">
        <f aca="false">A1921&amp;"|"&amp;B1921&amp;"|"&amp;C1921&amp;"|"&amp;D1921&amp;"|"&amp;E1921&amp;"|"&amp;F1921&amp;"|"&amp;G1921&amp;"|"&amp;H1921&amp;"|"&amp;I1921&amp;"|"&amp;J1921&amp;"|"&amp;K1921&amp;"|"&amp;L1921&amp;"|"&amp;M1921&amp;"|"&amp;N1921</f>
        <v>ORD10672|2025-03-27|01:58|C0012|Curry Leaf Kitchen|Mumbai|North Indian|1|270|0|Cash on Delivery|Delivered|51|2</v>
      </c>
      <c r="P1921" s="7" t="str">
        <f aca="false">IF(COUNTIF($O$2:O1921,O1921)&gt;1,"DUP","OK")</f>
        <v>OK</v>
      </c>
      <c r="Q1921" s="7" t="n">
        <f aca="false">COUNTBLANK(A1921:N1921)</f>
        <v>0</v>
      </c>
      <c r="R1921" s="7" t="n">
        <f aca="false">IF(A1921="",0,COUNTIFS($A$2:$A$3058,A1921,$P$2:$P$3058,"OK"))</f>
        <v>1</v>
      </c>
      <c r="S1921" s="7" t="str">
        <f aca="false">IF(OR(A1921="",P1921="DUP",R1921&lt;2),"",IF(Q1921=_xlfn.MINIFS($Q$2:$Q$3058,$A$2:$A$3058,A1921,$P$2:$P$3058,"OK"),"KEEP","DROP"))</f>
        <v/>
      </c>
      <c r="T1921" s="9" t="n">
        <f aca="false">IF(A1921="",1,0)</f>
        <v>0</v>
      </c>
      <c r="U1921" s="9" t="n">
        <f aca="false">IF(D1921="",1,0)</f>
        <v>0</v>
      </c>
      <c r="V1921" s="9" t="n">
        <f aca="false">IF(E1921="",1,0)</f>
        <v>0</v>
      </c>
      <c r="W1921" s="9" t="n">
        <f aca="false">IF(OR(H1921&lt;1,H1921&gt;10),1,0)</f>
        <v>0</v>
      </c>
      <c r="X1921" s="9" t="n">
        <f aca="false">IF(OR(I1921&lt;=0,I1921&gt;1500),1,0)</f>
        <v>0</v>
      </c>
      <c r="Y1921" s="9" t="n">
        <f aca="false">IF(J1921&gt;H1921*I1921,1,0)</f>
        <v>0</v>
      </c>
      <c r="Z1921" s="9" t="n">
        <f aca="false">IF(AND(N1921&lt;&gt;"",OR(N1921&lt;1,N1921&gt;5)),1,0)</f>
        <v>0</v>
      </c>
      <c r="AA1921" s="9" t="n">
        <f aca="false">IF(AND(M1921&lt;&gt;"",OR(M1921&lt;5,M1921&gt;180)),1,0)</f>
        <v>0</v>
      </c>
      <c r="AB1921" s="7" t="str">
        <f aca="false">IF(P1921="DUP","Exact duplicate row",IF(T1921=1,"Missing Order ID",IF(S1921="DROP","Duplicate Order ID (less complete row)",IF(U1921=1,"Missing Customer ID",IF(V1921=1,"Missing Restaurant name",IF(W1921=1,"Invalid/outlier quantity",IF(X1921=1,"Invalid/outlier unit price",IF(Y1921=1,"Discount greater than order value",""))))))))</f>
        <v/>
      </c>
      <c r="AC1921" s="7" t="str">
        <f aca="false">IF(AB1921="","KEEP","DROP")</f>
        <v>KEEP</v>
      </c>
      <c r="AD1921" s="7" t="str">
        <f aca="false">IF(TRIM(F1921)="",IFERROR(INDEX(Map_Tables!$I$4:$I$37,MATCH(TRIM(E1921),Map_Tables!$G$4:$G$37,0)),""),IFERROR(INDEX(Map_Tables!$B$4:$B$18,MATCH(TRIM(F1921),Map_Tables!$A$4:$A$18,0)),"CHECK"))</f>
        <v>Mumbai</v>
      </c>
      <c r="AE1921" s="7" t="str">
        <f aca="false">IF(TRIM(E1921)="","",IFERROR(INDEX(Map_Tables!$H$4:$H$37,MATCH(TRIM(E1921),Map_Tables!$G$4:$G$37,0)),"CHECK"))</f>
        <v>Curry Leaf Kitchen</v>
      </c>
      <c r="AF1921" s="7" t="str">
        <f aca="false">IF(TRIM(K1921)="","Unknown",IFERROR(INDEX(Map_Tables!$E$4:$E$15,MATCH(TRIM(K1921),Map_Tables!$D$4:$D$15,0)),"CHECK"))</f>
        <v>Cash on Delivery</v>
      </c>
      <c r="AG1921" s="7" t="str">
        <f aca="false">IF(LEFT(LOWER(TRIM(L1921)),6)="cancel","Cancelled","Delivered")</f>
        <v>Delivered</v>
      </c>
      <c r="AH1921" s="10" t="n">
        <f aca="false">IF(ISNUMBER(SEARCH("/",B1921)),DATE(VALUE(RIGHT(B1921,4)),VALUE(MID(B1921,4,2)),VALUE(LEFT(B1921,2))),IF(MID(B1921,5,1)="-",DATE(VALUE(LEFT(B1921,4)),VALUE(MID(B1921,6,2)),VALUE(RIGHT(B1921,2))),DATE(VALUE(RIGHT(B1921,4)),MATCH(MID(B1921,4,3),{"Jan","Feb","Mar","Apr","May","Jun","Jul","Aug","Sep","Oct","Nov","Dec"},0),VALUE(LEFT(B1921,2)))))</f>
        <v>45743</v>
      </c>
    </row>
    <row r="1922" customFormat="false" ht="15" hidden="false" customHeight="false" outlineLevel="0" collapsed="false">
      <c r="A1922" s="7" t="s">
        <v>4635</v>
      </c>
      <c r="B1922" s="7" t="s">
        <v>3504</v>
      </c>
      <c r="C1922" s="7" t="s">
        <v>1412</v>
      </c>
      <c r="D1922" s="7" t="s">
        <v>4636</v>
      </c>
      <c r="E1922" s="7" t="s">
        <v>2752</v>
      </c>
      <c r="F1922" s="7" t="s">
        <v>110</v>
      </c>
      <c r="G1922" s="7" t="s">
        <v>90</v>
      </c>
      <c r="H1922" s="7" t="n">
        <v>2</v>
      </c>
      <c r="I1922" s="7" t="n">
        <v>280</v>
      </c>
      <c r="J1922" s="7" t="n">
        <v>20</v>
      </c>
      <c r="K1922" s="7" t="s">
        <v>88</v>
      </c>
      <c r="L1922" s="7" t="s">
        <v>194</v>
      </c>
      <c r="M1922" s="7" t="n">
        <v>52</v>
      </c>
      <c r="N1922" s="7" t="n">
        <v>3</v>
      </c>
      <c r="O1922" s="7" t="str">
        <f aca="false">A1922&amp;"|"&amp;B1922&amp;"|"&amp;C1922&amp;"|"&amp;D1922&amp;"|"&amp;E1922&amp;"|"&amp;F1922&amp;"|"&amp;G1922&amp;"|"&amp;H1922&amp;"|"&amp;I1922&amp;"|"&amp;J1922&amp;"|"&amp;K1922&amp;"|"&amp;L1922&amp;"|"&amp;M1922&amp;"|"&amp;N1922</f>
        <v>ORD11673|2025-08-06|22:25|C0242|Tandoor Tales |Delhi|North Indian|2|280|20|UPI|Delivered|52|3</v>
      </c>
      <c r="P1922" s="7" t="str">
        <f aca="false">IF(COUNTIF($O$2:O1922,O1922)&gt;1,"DUP","OK")</f>
        <v>OK</v>
      </c>
      <c r="Q1922" s="7" t="n">
        <f aca="false">COUNTBLANK(A1922:N1922)</f>
        <v>0</v>
      </c>
      <c r="R1922" s="7" t="n">
        <f aca="false">IF(A1922="",0,COUNTIFS($A$2:$A$3058,A1922,$P$2:$P$3058,"OK"))</f>
        <v>1</v>
      </c>
      <c r="S1922" s="7" t="str">
        <f aca="false">IF(OR(A1922="",P1922="DUP",R1922&lt;2),"",IF(Q1922=_xlfn.MINIFS($Q$2:$Q$3058,$A$2:$A$3058,A1922,$P$2:$P$3058,"OK"),"KEEP","DROP"))</f>
        <v/>
      </c>
      <c r="T1922" s="9" t="n">
        <f aca="false">IF(A1922="",1,0)</f>
        <v>0</v>
      </c>
      <c r="U1922" s="9" t="n">
        <f aca="false">IF(D1922="",1,0)</f>
        <v>0</v>
      </c>
      <c r="V1922" s="9" t="n">
        <f aca="false">IF(E1922="",1,0)</f>
        <v>0</v>
      </c>
      <c r="W1922" s="9" t="n">
        <f aca="false">IF(OR(H1922&lt;1,H1922&gt;10),1,0)</f>
        <v>0</v>
      </c>
      <c r="X1922" s="9" t="n">
        <f aca="false">IF(OR(I1922&lt;=0,I1922&gt;1500),1,0)</f>
        <v>0</v>
      </c>
      <c r="Y1922" s="9" t="n">
        <f aca="false">IF(J1922&gt;H1922*I1922,1,0)</f>
        <v>0</v>
      </c>
      <c r="Z1922" s="9" t="n">
        <f aca="false">IF(AND(N1922&lt;&gt;"",OR(N1922&lt;1,N1922&gt;5)),1,0)</f>
        <v>0</v>
      </c>
      <c r="AA1922" s="9" t="n">
        <f aca="false">IF(AND(M1922&lt;&gt;"",OR(M1922&lt;5,M1922&gt;180)),1,0)</f>
        <v>0</v>
      </c>
      <c r="AB1922" s="7" t="str">
        <f aca="false">IF(P1922="DUP","Exact duplicate row",IF(T1922=1,"Missing Order ID",IF(S1922="DROP","Duplicate Order ID (less complete row)",IF(U1922=1,"Missing Customer ID",IF(V1922=1,"Missing Restaurant name",IF(W1922=1,"Invalid/outlier quantity",IF(X1922=1,"Invalid/outlier unit price",IF(Y1922=1,"Discount greater than order value",""))))))))</f>
        <v/>
      </c>
      <c r="AC1922" s="7" t="str">
        <f aca="false">IF(AB1922="","KEEP","DROP")</f>
        <v>KEEP</v>
      </c>
      <c r="AD1922" s="7" t="str">
        <f aca="false">IF(TRIM(F1922)="",IFERROR(INDEX(Map_Tables!$I$4:$I$37,MATCH(TRIM(E1922),Map_Tables!$G$4:$G$37,0)),""),IFERROR(INDEX(Map_Tables!$B$4:$B$18,MATCH(TRIM(F1922),Map_Tables!$A$4:$A$18,0)),"CHECK"))</f>
        <v>Delhi</v>
      </c>
      <c r="AE1922" s="7" t="str">
        <f aca="false">IF(TRIM(E1922)="","",IFERROR(INDEX(Map_Tables!$H$4:$H$37,MATCH(TRIM(E1922),Map_Tables!$G$4:$G$37,0)),"CHECK"))</f>
        <v>Tandoor Tales</v>
      </c>
      <c r="AF1922" s="7" t="str">
        <f aca="false">IF(TRIM(K1922)="","Unknown",IFERROR(INDEX(Map_Tables!$E$4:$E$15,MATCH(TRIM(K1922),Map_Tables!$D$4:$D$15,0)),"CHECK"))</f>
        <v>UPI</v>
      </c>
      <c r="AG1922" s="7" t="str">
        <f aca="false">IF(LEFT(LOWER(TRIM(L1922)),6)="cancel","Cancelled","Delivered")</f>
        <v>Delivered</v>
      </c>
      <c r="AH1922" s="10" t="n">
        <f aca="false">IF(ISNUMBER(SEARCH("/",B1922)),DATE(VALUE(RIGHT(B1922,4)),VALUE(MID(B1922,4,2)),VALUE(LEFT(B1922,2))),IF(MID(B1922,5,1)="-",DATE(VALUE(LEFT(B1922,4)),VALUE(MID(B1922,6,2)),VALUE(RIGHT(B1922,2))),DATE(VALUE(RIGHT(B1922,4)),MATCH(MID(B1922,4,3),{"Jan","Feb","Mar","Apr","May","Jun","Jul","Aug","Sep","Oct","Nov","Dec"},0),VALUE(LEFT(B1922,2)))))</f>
        <v>45875</v>
      </c>
    </row>
    <row r="1923" customFormat="false" ht="15" hidden="false" customHeight="false" outlineLevel="0" collapsed="false">
      <c r="A1923" s="7" t="s">
        <v>4637</v>
      </c>
      <c r="B1923" s="7" t="s">
        <v>1389</v>
      </c>
      <c r="C1923" s="7" t="s">
        <v>709</v>
      </c>
      <c r="D1923" s="7" t="s">
        <v>922</v>
      </c>
      <c r="E1923" s="7" t="s">
        <v>138</v>
      </c>
      <c r="F1923" s="7" t="s">
        <v>110</v>
      </c>
      <c r="G1923" s="7" t="s">
        <v>139</v>
      </c>
      <c r="H1923" s="7" t="n">
        <v>2</v>
      </c>
      <c r="I1923" s="7" t="n">
        <v>205</v>
      </c>
      <c r="J1923" s="7" t="n">
        <v>0</v>
      </c>
      <c r="K1923" s="7" t="s">
        <v>112</v>
      </c>
      <c r="L1923" s="7" t="s">
        <v>194</v>
      </c>
      <c r="M1923" s="7" t="n">
        <v>40</v>
      </c>
      <c r="N1923" s="7" t="n">
        <v>4</v>
      </c>
      <c r="O1923" s="7" t="str">
        <f aca="false">A1923&amp;"|"&amp;B1923&amp;"|"&amp;C1923&amp;"|"&amp;D1923&amp;"|"&amp;E1923&amp;"|"&amp;F1923&amp;"|"&amp;G1923&amp;"|"&amp;H1923&amp;"|"&amp;I1923&amp;"|"&amp;J1923&amp;"|"&amp;K1923&amp;"|"&amp;L1923&amp;"|"&amp;M1923&amp;"|"&amp;N1923</f>
        <v>ORD11200|2025-06-01|18:48|C0562|Burger Barn|Delhi|Burgers|2|205|0|Cash on Delivery|Delivered|40|4</v>
      </c>
      <c r="P1923" s="7" t="str">
        <f aca="false">IF(COUNTIF($O$2:O1923,O1923)&gt;1,"DUP","OK")</f>
        <v>OK</v>
      </c>
      <c r="Q1923" s="7" t="n">
        <f aca="false">COUNTBLANK(A1923:N1923)</f>
        <v>0</v>
      </c>
      <c r="R1923" s="7" t="n">
        <f aca="false">IF(A1923="",0,COUNTIFS($A$2:$A$3058,A1923,$P$2:$P$3058,"OK"))</f>
        <v>1</v>
      </c>
      <c r="S1923" s="7" t="str">
        <f aca="false">IF(OR(A1923="",P1923="DUP",R1923&lt;2),"",IF(Q1923=_xlfn.MINIFS($Q$2:$Q$3058,$A$2:$A$3058,A1923,$P$2:$P$3058,"OK"),"KEEP","DROP"))</f>
        <v/>
      </c>
      <c r="T1923" s="9" t="n">
        <f aca="false">IF(A1923="",1,0)</f>
        <v>0</v>
      </c>
      <c r="U1923" s="9" t="n">
        <f aca="false">IF(D1923="",1,0)</f>
        <v>0</v>
      </c>
      <c r="V1923" s="9" t="n">
        <f aca="false">IF(E1923="",1,0)</f>
        <v>0</v>
      </c>
      <c r="W1923" s="9" t="n">
        <f aca="false">IF(OR(H1923&lt;1,H1923&gt;10),1,0)</f>
        <v>0</v>
      </c>
      <c r="X1923" s="9" t="n">
        <f aca="false">IF(OR(I1923&lt;=0,I1923&gt;1500),1,0)</f>
        <v>0</v>
      </c>
      <c r="Y1923" s="9" t="n">
        <f aca="false">IF(J1923&gt;H1923*I1923,1,0)</f>
        <v>0</v>
      </c>
      <c r="Z1923" s="9" t="n">
        <f aca="false">IF(AND(N1923&lt;&gt;"",OR(N1923&lt;1,N1923&gt;5)),1,0)</f>
        <v>0</v>
      </c>
      <c r="AA1923" s="9" t="n">
        <f aca="false">IF(AND(M1923&lt;&gt;"",OR(M1923&lt;5,M1923&gt;180)),1,0)</f>
        <v>0</v>
      </c>
      <c r="AB1923" s="7" t="str">
        <f aca="false">IF(P1923="DUP","Exact duplicate row",IF(T1923=1,"Missing Order ID",IF(S1923="DROP","Duplicate Order ID (less complete row)",IF(U1923=1,"Missing Customer ID",IF(V1923=1,"Missing Restaurant name",IF(W1923=1,"Invalid/outlier quantity",IF(X1923=1,"Invalid/outlier unit price",IF(Y1923=1,"Discount greater than order value",""))))))))</f>
        <v/>
      </c>
      <c r="AC1923" s="7" t="str">
        <f aca="false">IF(AB1923="","KEEP","DROP")</f>
        <v>KEEP</v>
      </c>
      <c r="AD1923" s="7" t="str">
        <f aca="false">IF(TRIM(F1923)="",IFERROR(INDEX(Map_Tables!$I$4:$I$37,MATCH(TRIM(E1923),Map_Tables!$G$4:$G$37,0)),""),IFERROR(INDEX(Map_Tables!$B$4:$B$18,MATCH(TRIM(F1923),Map_Tables!$A$4:$A$18,0)),"CHECK"))</f>
        <v>Delhi</v>
      </c>
      <c r="AE1923" s="7" t="str">
        <f aca="false">IF(TRIM(E1923)="","",IFERROR(INDEX(Map_Tables!$H$4:$H$37,MATCH(TRIM(E1923),Map_Tables!$G$4:$G$37,0)),"CHECK"))</f>
        <v>Burger Barn</v>
      </c>
      <c r="AF1923" s="7" t="str">
        <f aca="false">IF(TRIM(K1923)="","Unknown",IFERROR(INDEX(Map_Tables!$E$4:$E$15,MATCH(TRIM(K1923),Map_Tables!$D$4:$D$15,0)),"CHECK"))</f>
        <v>Cash on Delivery</v>
      </c>
      <c r="AG1923" s="7" t="str">
        <f aca="false">IF(LEFT(LOWER(TRIM(L1923)),6)="cancel","Cancelled","Delivered")</f>
        <v>Delivered</v>
      </c>
      <c r="AH1923" s="10" t="n">
        <f aca="false">IF(ISNUMBER(SEARCH("/",B1923)),DATE(VALUE(RIGHT(B1923,4)),VALUE(MID(B1923,4,2)),VALUE(LEFT(B1923,2))),IF(MID(B1923,5,1)="-",DATE(VALUE(LEFT(B1923,4)),VALUE(MID(B1923,6,2)),VALUE(RIGHT(B1923,2))),DATE(VALUE(RIGHT(B1923,4)),MATCH(MID(B1923,4,3),{"Jan","Feb","Mar","Apr","May","Jun","Jul","Aug","Sep","Oct","Nov","Dec"},0),VALUE(LEFT(B1923,2)))))</f>
        <v>45809</v>
      </c>
    </row>
    <row r="1924" customFormat="false" ht="15" hidden="false" customHeight="false" outlineLevel="0" collapsed="false">
      <c r="A1924" s="7" t="s">
        <v>4638</v>
      </c>
      <c r="B1924" s="7" t="s">
        <v>368</v>
      </c>
      <c r="C1924" s="7" t="s">
        <v>801</v>
      </c>
      <c r="D1924" s="7" t="s">
        <v>4639</v>
      </c>
      <c r="E1924" s="7" t="s">
        <v>570</v>
      </c>
      <c r="F1924" s="7" t="s">
        <v>101</v>
      </c>
      <c r="G1924" s="7" t="s">
        <v>123</v>
      </c>
      <c r="H1924" s="7" t="n">
        <v>4</v>
      </c>
      <c r="I1924" s="7" t="n">
        <v>395</v>
      </c>
      <c r="J1924" s="7" t="n">
        <v>0</v>
      </c>
      <c r="K1924" s="7" t="s">
        <v>112</v>
      </c>
      <c r="L1924" s="7" t="s">
        <v>194</v>
      </c>
      <c r="M1924" s="7" t="n">
        <v>45</v>
      </c>
      <c r="N1924" s="7" t="n">
        <v>3</v>
      </c>
      <c r="O1924" s="7" t="str">
        <f aca="false">A1924&amp;"|"&amp;B1924&amp;"|"&amp;C1924&amp;"|"&amp;D1924&amp;"|"&amp;E1924&amp;"|"&amp;F1924&amp;"|"&amp;G1924&amp;"|"&amp;H1924&amp;"|"&amp;I1924&amp;"|"&amp;J1924&amp;"|"&amp;K1924&amp;"|"&amp;L1924&amp;"|"&amp;M1924&amp;"|"&amp;N1924</f>
        <v>ORD10182|2025-01-24|21:24|C0557|MUMBAI PIZZA CO|Mumbai|Pizza|4|395|0|Cash on Delivery|Delivered|45|3</v>
      </c>
      <c r="P1924" s="7" t="str">
        <f aca="false">IF(COUNTIF($O$2:O1924,O1924)&gt;1,"DUP","OK")</f>
        <v>OK</v>
      </c>
      <c r="Q1924" s="7" t="n">
        <f aca="false">COUNTBLANK(A1924:N1924)</f>
        <v>0</v>
      </c>
      <c r="R1924" s="7" t="n">
        <f aca="false">IF(A1924="",0,COUNTIFS($A$2:$A$3058,A1924,$P$2:$P$3058,"OK"))</f>
        <v>1</v>
      </c>
      <c r="S1924" s="7" t="str">
        <f aca="false">IF(OR(A1924="",P1924="DUP",R1924&lt;2),"",IF(Q1924=_xlfn.MINIFS($Q$2:$Q$3058,$A$2:$A$3058,A1924,$P$2:$P$3058,"OK"),"KEEP","DROP"))</f>
        <v/>
      </c>
      <c r="T1924" s="9" t="n">
        <f aca="false">IF(A1924="",1,0)</f>
        <v>0</v>
      </c>
      <c r="U1924" s="9" t="n">
        <f aca="false">IF(D1924="",1,0)</f>
        <v>0</v>
      </c>
      <c r="V1924" s="9" t="n">
        <f aca="false">IF(E1924="",1,0)</f>
        <v>0</v>
      </c>
      <c r="W1924" s="9" t="n">
        <f aca="false">IF(OR(H1924&lt;1,H1924&gt;10),1,0)</f>
        <v>0</v>
      </c>
      <c r="X1924" s="9" t="n">
        <f aca="false">IF(OR(I1924&lt;=0,I1924&gt;1500),1,0)</f>
        <v>0</v>
      </c>
      <c r="Y1924" s="9" t="n">
        <f aca="false">IF(J1924&gt;H1924*I1924,1,0)</f>
        <v>0</v>
      </c>
      <c r="Z1924" s="9" t="n">
        <f aca="false">IF(AND(N1924&lt;&gt;"",OR(N1924&lt;1,N1924&gt;5)),1,0)</f>
        <v>0</v>
      </c>
      <c r="AA1924" s="9" t="n">
        <f aca="false">IF(AND(M1924&lt;&gt;"",OR(M1924&lt;5,M1924&gt;180)),1,0)</f>
        <v>0</v>
      </c>
      <c r="AB1924" s="7" t="str">
        <f aca="false">IF(P1924="DUP","Exact duplicate row",IF(T1924=1,"Missing Order ID",IF(S1924="DROP","Duplicate Order ID (less complete row)",IF(U1924=1,"Missing Customer ID",IF(V1924=1,"Missing Restaurant name",IF(W1924=1,"Invalid/outlier quantity",IF(X1924=1,"Invalid/outlier unit price",IF(Y1924=1,"Discount greater than order value",""))))))))</f>
        <v/>
      </c>
      <c r="AC1924" s="7" t="str">
        <f aca="false">IF(AB1924="","KEEP","DROP")</f>
        <v>KEEP</v>
      </c>
      <c r="AD1924" s="7" t="str">
        <f aca="false">IF(TRIM(F1924)="",IFERROR(INDEX(Map_Tables!$I$4:$I$37,MATCH(TRIM(E1924),Map_Tables!$G$4:$G$37,0)),""),IFERROR(INDEX(Map_Tables!$B$4:$B$18,MATCH(TRIM(F1924),Map_Tables!$A$4:$A$18,0)),"CHECK"))</f>
        <v>Mumbai</v>
      </c>
      <c r="AE1924" s="7" t="str">
        <f aca="false">IF(TRIM(E1924)="","",IFERROR(INDEX(Map_Tables!$H$4:$H$37,MATCH(TRIM(E1924),Map_Tables!$G$4:$G$37,0)),"CHECK"))</f>
        <v>Mumbai Pizza Co</v>
      </c>
      <c r="AF1924" s="7" t="str">
        <f aca="false">IF(TRIM(K1924)="","Unknown",IFERROR(INDEX(Map_Tables!$E$4:$E$15,MATCH(TRIM(K1924),Map_Tables!$D$4:$D$15,0)),"CHECK"))</f>
        <v>Cash on Delivery</v>
      </c>
      <c r="AG1924" s="7" t="str">
        <f aca="false">IF(LEFT(LOWER(TRIM(L1924)),6)="cancel","Cancelled","Delivered")</f>
        <v>Delivered</v>
      </c>
      <c r="AH1924" s="10" t="n">
        <f aca="false">IF(ISNUMBER(SEARCH("/",B1924)),DATE(VALUE(RIGHT(B1924,4)),VALUE(MID(B1924,4,2)),VALUE(LEFT(B1924,2))),IF(MID(B1924,5,1)="-",DATE(VALUE(LEFT(B1924,4)),VALUE(MID(B1924,6,2)),VALUE(RIGHT(B1924,2))),DATE(VALUE(RIGHT(B1924,4)),MATCH(MID(B1924,4,3),{"Jan","Feb","Mar","Apr","May","Jun","Jul","Aug","Sep","Oct","Nov","Dec"},0),VALUE(LEFT(B1924,2)))))</f>
        <v>45681</v>
      </c>
    </row>
    <row r="1925" customFormat="false" ht="15" hidden="false" customHeight="false" outlineLevel="0" collapsed="false">
      <c r="A1925" s="7" t="s">
        <v>4640</v>
      </c>
      <c r="B1925" s="7" t="s">
        <v>2182</v>
      </c>
      <c r="C1925" s="7" t="s">
        <v>2061</v>
      </c>
      <c r="D1925" s="7" t="s">
        <v>1479</v>
      </c>
      <c r="E1925" s="7" t="s">
        <v>142</v>
      </c>
      <c r="F1925" s="7" t="s">
        <v>110</v>
      </c>
      <c r="G1925" s="7" t="s">
        <v>105</v>
      </c>
      <c r="H1925" s="7" t="n">
        <v>3</v>
      </c>
      <c r="I1925" s="7" t="n">
        <v>150</v>
      </c>
      <c r="J1925" s="7" t="n">
        <v>125</v>
      </c>
      <c r="K1925" s="7"/>
      <c r="L1925" s="7" t="s">
        <v>194</v>
      </c>
      <c r="M1925" s="7" t="n">
        <v>37</v>
      </c>
      <c r="N1925" s="7" t="n">
        <v>5</v>
      </c>
      <c r="O1925" s="7" t="str">
        <f aca="false">A1925&amp;"|"&amp;B1925&amp;"|"&amp;C1925&amp;"|"&amp;D1925&amp;"|"&amp;E1925&amp;"|"&amp;F1925&amp;"|"&amp;G1925&amp;"|"&amp;H1925&amp;"|"&amp;I1925&amp;"|"&amp;J1925&amp;"|"&amp;K1925&amp;"|"&amp;L1925&amp;"|"&amp;M1925&amp;"|"&amp;N1925</f>
        <v>ORD11750|2025-08-17|13:51|C0931|Momo Magic|Delhi|Chinese|3|150|125||Delivered|37|5</v>
      </c>
      <c r="P1925" s="7" t="str">
        <f aca="false">IF(COUNTIF($O$2:O1925,O1925)&gt;1,"DUP","OK")</f>
        <v>OK</v>
      </c>
      <c r="Q1925" s="7" t="n">
        <f aca="false">COUNTBLANK(A1925:N1925)</f>
        <v>1</v>
      </c>
      <c r="R1925" s="7" t="n">
        <f aca="false">IF(A1925="",0,COUNTIFS($A$2:$A$3058,A1925,$P$2:$P$3058,"OK"))</f>
        <v>1</v>
      </c>
      <c r="S1925" s="7" t="str">
        <f aca="false">IF(OR(A1925="",P1925="DUP",R1925&lt;2),"",IF(Q1925=_xlfn.MINIFS($Q$2:$Q$3058,$A$2:$A$3058,A1925,$P$2:$P$3058,"OK"),"KEEP","DROP"))</f>
        <v/>
      </c>
      <c r="T1925" s="9" t="n">
        <f aca="false">IF(A1925="",1,0)</f>
        <v>0</v>
      </c>
      <c r="U1925" s="9" t="n">
        <f aca="false">IF(D1925="",1,0)</f>
        <v>0</v>
      </c>
      <c r="V1925" s="9" t="n">
        <f aca="false">IF(E1925="",1,0)</f>
        <v>0</v>
      </c>
      <c r="W1925" s="9" t="n">
        <f aca="false">IF(OR(H1925&lt;1,H1925&gt;10),1,0)</f>
        <v>0</v>
      </c>
      <c r="X1925" s="9" t="n">
        <f aca="false">IF(OR(I1925&lt;=0,I1925&gt;1500),1,0)</f>
        <v>0</v>
      </c>
      <c r="Y1925" s="9" t="n">
        <f aca="false">IF(J1925&gt;H1925*I1925,1,0)</f>
        <v>0</v>
      </c>
      <c r="Z1925" s="9" t="n">
        <f aca="false">IF(AND(N1925&lt;&gt;"",OR(N1925&lt;1,N1925&gt;5)),1,0)</f>
        <v>0</v>
      </c>
      <c r="AA1925" s="9" t="n">
        <f aca="false">IF(AND(M1925&lt;&gt;"",OR(M1925&lt;5,M1925&gt;180)),1,0)</f>
        <v>0</v>
      </c>
      <c r="AB1925" s="7" t="str">
        <f aca="false">IF(P1925="DUP","Exact duplicate row",IF(T1925=1,"Missing Order ID",IF(S1925="DROP","Duplicate Order ID (less complete row)",IF(U1925=1,"Missing Customer ID",IF(V1925=1,"Missing Restaurant name",IF(W1925=1,"Invalid/outlier quantity",IF(X1925=1,"Invalid/outlier unit price",IF(Y1925=1,"Discount greater than order value",""))))))))</f>
        <v/>
      </c>
      <c r="AC1925" s="7" t="str">
        <f aca="false">IF(AB1925="","KEEP","DROP")</f>
        <v>KEEP</v>
      </c>
      <c r="AD1925" s="7" t="str">
        <f aca="false">IF(TRIM(F1925)="",IFERROR(INDEX(Map_Tables!$I$4:$I$37,MATCH(TRIM(E1925),Map_Tables!$G$4:$G$37,0)),""),IFERROR(INDEX(Map_Tables!$B$4:$B$18,MATCH(TRIM(F1925),Map_Tables!$A$4:$A$18,0)),"CHECK"))</f>
        <v>Delhi</v>
      </c>
      <c r="AE1925" s="7" t="str">
        <f aca="false">IF(TRIM(E1925)="","",IFERROR(INDEX(Map_Tables!$H$4:$H$37,MATCH(TRIM(E1925),Map_Tables!$G$4:$G$37,0)),"CHECK"))</f>
        <v>Momo Magic</v>
      </c>
      <c r="AF1925" s="7" t="str">
        <f aca="false">IF(TRIM(K1925)="","Unknown",IFERROR(INDEX(Map_Tables!$E$4:$E$15,MATCH(TRIM(K1925),Map_Tables!$D$4:$D$15,0)),"CHECK"))</f>
        <v>Unknown</v>
      </c>
      <c r="AG1925" s="7" t="str">
        <f aca="false">IF(LEFT(LOWER(TRIM(L1925)),6)="cancel","Cancelled","Delivered")</f>
        <v>Delivered</v>
      </c>
      <c r="AH1925" s="10" t="n">
        <f aca="false">IF(ISNUMBER(SEARCH("/",B1925)),DATE(VALUE(RIGHT(B1925,4)),VALUE(MID(B1925,4,2)),VALUE(LEFT(B1925,2))),IF(MID(B1925,5,1)="-",DATE(VALUE(LEFT(B1925,4)),VALUE(MID(B1925,6,2)),VALUE(RIGHT(B1925,2))),DATE(VALUE(RIGHT(B1925,4)),MATCH(MID(B1925,4,3),{"Jan","Feb","Mar","Apr","May","Jun","Jul","Aug","Sep","Oct","Nov","Dec"},0),VALUE(LEFT(B1925,2)))))</f>
        <v>45886</v>
      </c>
    </row>
    <row r="1926" customFormat="false" ht="15" hidden="false" customHeight="false" outlineLevel="0" collapsed="false">
      <c r="A1926" s="7" t="s">
        <v>4641</v>
      </c>
      <c r="B1926" s="7" t="s">
        <v>1650</v>
      </c>
      <c r="C1926" s="7" t="s">
        <v>1481</v>
      </c>
      <c r="D1926" s="7" t="s">
        <v>3635</v>
      </c>
      <c r="E1926" s="7" t="s">
        <v>151</v>
      </c>
      <c r="F1926" s="7" t="s">
        <v>128</v>
      </c>
      <c r="G1926" s="7" t="s">
        <v>95</v>
      </c>
      <c r="H1926" s="7" t="n">
        <v>4</v>
      </c>
      <c r="I1926" s="7" t="n">
        <v>165</v>
      </c>
      <c r="J1926" s="7" t="n">
        <v>0</v>
      </c>
      <c r="K1926" s="7" t="s">
        <v>88</v>
      </c>
      <c r="L1926" s="7" t="s">
        <v>194</v>
      </c>
      <c r="M1926" s="7" t="n">
        <v>39</v>
      </c>
      <c r="N1926" s="7" t="n">
        <v>3</v>
      </c>
      <c r="O1926" s="7" t="str">
        <f aca="false">A1926&amp;"|"&amp;B1926&amp;"|"&amp;C1926&amp;"|"&amp;D1926&amp;"|"&amp;E1926&amp;"|"&amp;F1926&amp;"|"&amp;G1926&amp;"|"&amp;H1926&amp;"|"&amp;I1926&amp;"|"&amp;J1926&amp;"|"&amp;K1926&amp;"|"&amp;L1926&amp;"|"&amp;M1926&amp;"|"&amp;N1926</f>
        <v>ORD12955|2025-12-27|15:26|C0734|Chettinad House|Chennai|South Indian|4|165|0|UPI|Delivered|39|3</v>
      </c>
      <c r="P1926" s="7" t="str">
        <f aca="false">IF(COUNTIF($O$2:O1926,O1926)&gt;1,"DUP","OK")</f>
        <v>OK</v>
      </c>
      <c r="Q1926" s="7" t="n">
        <f aca="false">COUNTBLANK(A1926:N1926)</f>
        <v>0</v>
      </c>
      <c r="R1926" s="7" t="n">
        <f aca="false">IF(A1926="",0,COUNTIFS($A$2:$A$3058,A1926,$P$2:$P$3058,"OK"))</f>
        <v>1</v>
      </c>
      <c r="S1926" s="7" t="str">
        <f aca="false">IF(OR(A1926="",P1926="DUP",R1926&lt;2),"",IF(Q1926=_xlfn.MINIFS($Q$2:$Q$3058,$A$2:$A$3058,A1926,$P$2:$P$3058,"OK"),"KEEP","DROP"))</f>
        <v/>
      </c>
      <c r="T1926" s="9" t="n">
        <f aca="false">IF(A1926="",1,0)</f>
        <v>0</v>
      </c>
      <c r="U1926" s="9" t="n">
        <f aca="false">IF(D1926="",1,0)</f>
        <v>0</v>
      </c>
      <c r="V1926" s="9" t="n">
        <f aca="false">IF(E1926="",1,0)</f>
        <v>0</v>
      </c>
      <c r="W1926" s="9" t="n">
        <f aca="false">IF(OR(H1926&lt;1,H1926&gt;10),1,0)</f>
        <v>0</v>
      </c>
      <c r="X1926" s="9" t="n">
        <f aca="false">IF(OR(I1926&lt;=0,I1926&gt;1500),1,0)</f>
        <v>0</v>
      </c>
      <c r="Y1926" s="9" t="n">
        <f aca="false">IF(J1926&gt;H1926*I1926,1,0)</f>
        <v>0</v>
      </c>
      <c r="Z1926" s="9" t="n">
        <f aca="false">IF(AND(N1926&lt;&gt;"",OR(N1926&lt;1,N1926&gt;5)),1,0)</f>
        <v>0</v>
      </c>
      <c r="AA1926" s="9" t="n">
        <f aca="false">IF(AND(M1926&lt;&gt;"",OR(M1926&lt;5,M1926&gt;180)),1,0)</f>
        <v>0</v>
      </c>
      <c r="AB1926" s="7" t="str">
        <f aca="false">IF(P1926="DUP","Exact duplicate row",IF(T1926=1,"Missing Order ID",IF(S1926="DROP","Duplicate Order ID (less complete row)",IF(U1926=1,"Missing Customer ID",IF(V1926=1,"Missing Restaurant name",IF(W1926=1,"Invalid/outlier quantity",IF(X1926=1,"Invalid/outlier unit price",IF(Y1926=1,"Discount greater than order value",""))))))))</f>
        <v/>
      </c>
      <c r="AC1926" s="7" t="str">
        <f aca="false">IF(AB1926="","KEEP","DROP")</f>
        <v>KEEP</v>
      </c>
      <c r="AD1926" s="7" t="str">
        <f aca="false">IF(TRIM(F1926)="",IFERROR(INDEX(Map_Tables!$I$4:$I$37,MATCH(TRIM(E1926),Map_Tables!$G$4:$G$37,0)),""),IFERROR(INDEX(Map_Tables!$B$4:$B$18,MATCH(TRIM(F1926),Map_Tables!$A$4:$A$18,0)),"CHECK"))</f>
        <v>Chennai</v>
      </c>
      <c r="AE1926" s="7" t="str">
        <f aca="false">IF(TRIM(E1926)="","",IFERROR(INDEX(Map_Tables!$H$4:$H$37,MATCH(TRIM(E1926),Map_Tables!$G$4:$G$37,0)),"CHECK"))</f>
        <v>Chettinad House</v>
      </c>
      <c r="AF1926" s="7" t="str">
        <f aca="false">IF(TRIM(K1926)="","Unknown",IFERROR(INDEX(Map_Tables!$E$4:$E$15,MATCH(TRIM(K1926),Map_Tables!$D$4:$D$15,0)),"CHECK"))</f>
        <v>UPI</v>
      </c>
      <c r="AG1926" s="7" t="str">
        <f aca="false">IF(LEFT(LOWER(TRIM(L1926)),6)="cancel","Cancelled","Delivered")</f>
        <v>Delivered</v>
      </c>
      <c r="AH1926" s="10" t="n">
        <f aca="false">IF(ISNUMBER(SEARCH("/",B1926)),DATE(VALUE(RIGHT(B1926,4)),VALUE(MID(B1926,4,2)),VALUE(LEFT(B1926,2))),IF(MID(B1926,5,1)="-",DATE(VALUE(LEFT(B1926,4)),VALUE(MID(B1926,6,2)),VALUE(RIGHT(B1926,2))),DATE(VALUE(RIGHT(B1926,4)),MATCH(MID(B1926,4,3),{"Jan","Feb","Mar","Apr","May","Jun","Jul","Aug","Sep","Oct","Nov","Dec"},0),VALUE(LEFT(B1926,2)))))</f>
        <v>46018</v>
      </c>
    </row>
    <row r="1927" customFormat="false" ht="15" hidden="false" customHeight="false" outlineLevel="0" collapsed="false">
      <c r="A1927" s="7" t="s">
        <v>4642</v>
      </c>
      <c r="B1927" s="7" t="s">
        <v>704</v>
      </c>
      <c r="C1927" s="7" t="s">
        <v>1184</v>
      </c>
      <c r="D1927" s="7" t="s">
        <v>2148</v>
      </c>
      <c r="E1927" s="7" t="s">
        <v>104</v>
      </c>
      <c r="F1927" s="7" t="s">
        <v>86</v>
      </c>
      <c r="G1927" s="7" t="s">
        <v>105</v>
      </c>
      <c r="H1927" s="7" t="n">
        <v>1</v>
      </c>
      <c r="I1927" s="7" t="n">
        <v>175</v>
      </c>
      <c r="J1927" s="7" t="n">
        <v>0</v>
      </c>
      <c r="K1927" s="7" t="s">
        <v>88</v>
      </c>
      <c r="L1927" s="7" t="s">
        <v>194</v>
      </c>
      <c r="M1927" s="7" t="n">
        <v>40</v>
      </c>
      <c r="N1927" s="7" t="n">
        <v>10</v>
      </c>
      <c r="O1927" s="7" t="str">
        <f aca="false">A1927&amp;"|"&amp;B1927&amp;"|"&amp;C1927&amp;"|"&amp;D1927&amp;"|"&amp;E1927&amp;"|"&amp;F1927&amp;"|"&amp;G1927&amp;"|"&amp;H1927&amp;"|"&amp;I1927&amp;"|"&amp;J1927&amp;"|"&amp;K1927&amp;"|"&amp;L1927&amp;"|"&amp;M1927&amp;"|"&amp;N1927</f>
        <v>ORD10294|2025-02-08|23:35|C0948|Wok &amp; Roll|Bengaluru|Chinese|1|175|0|UPI|Delivered|40|10</v>
      </c>
      <c r="P1927" s="7" t="str">
        <f aca="false">IF(COUNTIF($O$2:O1927,O1927)&gt;1,"DUP","OK")</f>
        <v>OK</v>
      </c>
      <c r="Q1927" s="7" t="n">
        <f aca="false">COUNTBLANK(A1927:N1927)</f>
        <v>0</v>
      </c>
      <c r="R1927" s="7" t="n">
        <f aca="false">IF(A1927="",0,COUNTIFS($A$2:$A$3058,A1927,$P$2:$P$3058,"OK"))</f>
        <v>1</v>
      </c>
      <c r="S1927" s="7" t="str">
        <f aca="false">IF(OR(A1927="",P1927="DUP",R1927&lt;2),"",IF(Q1927=_xlfn.MINIFS($Q$2:$Q$3058,$A$2:$A$3058,A1927,$P$2:$P$3058,"OK"),"KEEP","DROP"))</f>
        <v/>
      </c>
      <c r="T1927" s="9" t="n">
        <f aca="false">IF(A1927="",1,0)</f>
        <v>0</v>
      </c>
      <c r="U1927" s="9" t="n">
        <f aca="false">IF(D1927="",1,0)</f>
        <v>0</v>
      </c>
      <c r="V1927" s="9" t="n">
        <f aca="false">IF(E1927="",1,0)</f>
        <v>0</v>
      </c>
      <c r="W1927" s="9" t="n">
        <f aca="false">IF(OR(H1927&lt;1,H1927&gt;10),1,0)</f>
        <v>0</v>
      </c>
      <c r="X1927" s="9" t="n">
        <f aca="false">IF(OR(I1927&lt;=0,I1927&gt;1500),1,0)</f>
        <v>0</v>
      </c>
      <c r="Y1927" s="9" t="n">
        <f aca="false">IF(J1927&gt;H1927*I1927,1,0)</f>
        <v>0</v>
      </c>
      <c r="Z1927" s="9" t="n">
        <f aca="false">IF(AND(N1927&lt;&gt;"",OR(N1927&lt;1,N1927&gt;5)),1,0)</f>
        <v>1</v>
      </c>
      <c r="AA1927" s="9" t="n">
        <f aca="false">IF(AND(M1927&lt;&gt;"",OR(M1927&lt;5,M1927&gt;180)),1,0)</f>
        <v>0</v>
      </c>
      <c r="AB1927" s="7" t="str">
        <f aca="false">IF(P1927="DUP","Exact duplicate row",IF(T1927=1,"Missing Order ID",IF(S1927="DROP","Duplicate Order ID (less complete row)",IF(U1927=1,"Missing Customer ID",IF(V1927=1,"Missing Restaurant name",IF(W1927=1,"Invalid/outlier quantity",IF(X1927=1,"Invalid/outlier unit price",IF(Y1927=1,"Discount greater than order value",""))))))))</f>
        <v/>
      </c>
      <c r="AC1927" s="7" t="str">
        <f aca="false">IF(AB1927="","KEEP","DROP")</f>
        <v>KEEP</v>
      </c>
      <c r="AD1927" s="7" t="str">
        <f aca="false">IF(TRIM(F1927)="",IFERROR(INDEX(Map_Tables!$I$4:$I$37,MATCH(TRIM(E1927),Map_Tables!$G$4:$G$37,0)),""),IFERROR(INDEX(Map_Tables!$B$4:$B$18,MATCH(TRIM(F1927),Map_Tables!$A$4:$A$18,0)),"CHECK"))</f>
        <v>Bengaluru</v>
      </c>
      <c r="AE1927" s="7" t="str">
        <f aca="false">IF(TRIM(E1927)="","",IFERROR(INDEX(Map_Tables!$H$4:$H$37,MATCH(TRIM(E1927),Map_Tables!$G$4:$G$37,0)),"CHECK"))</f>
        <v>Wok &amp; Roll</v>
      </c>
      <c r="AF1927" s="7" t="str">
        <f aca="false">IF(TRIM(K1927)="","Unknown",IFERROR(INDEX(Map_Tables!$E$4:$E$15,MATCH(TRIM(K1927),Map_Tables!$D$4:$D$15,0)),"CHECK"))</f>
        <v>UPI</v>
      </c>
      <c r="AG1927" s="7" t="str">
        <f aca="false">IF(LEFT(LOWER(TRIM(L1927)),6)="cancel","Cancelled","Delivered")</f>
        <v>Delivered</v>
      </c>
      <c r="AH1927" s="10" t="n">
        <f aca="false">IF(ISNUMBER(SEARCH("/",B1927)),DATE(VALUE(RIGHT(B1927,4)),VALUE(MID(B1927,4,2)),VALUE(LEFT(B1927,2))),IF(MID(B1927,5,1)="-",DATE(VALUE(LEFT(B1927,4)),VALUE(MID(B1927,6,2)),VALUE(RIGHT(B1927,2))),DATE(VALUE(RIGHT(B1927,4)),MATCH(MID(B1927,4,3),{"Jan","Feb","Mar","Apr","May","Jun","Jul","Aug","Sep","Oct","Nov","Dec"},0),VALUE(LEFT(B1927,2)))))</f>
        <v>45696</v>
      </c>
    </row>
    <row r="1928" customFormat="false" ht="15" hidden="false" customHeight="false" outlineLevel="0" collapsed="false">
      <c r="A1928" s="7" t="s">
        <v>4643</v>
      </c>
      <c r="B1928" s="7" t="s">
        <v>381</v>
      </c>
      <c r="C1928" s="7" t="s">
        <v>4644</v>
      </c>
      <c r="D1928" s="7" t="s">
        <v>1510</v>
      </c>
      <c r="E1928" s="7" t="s">
        <v>134</v>
      </c>
      <c r="F1928" s="7" t="s">
        <v>110</v>
      </c>
      <c r="G1928" s="7" t="s">
        <v>117</v>
      </c>
      <c r="H1928" s="7" t="n">
        <v>2</v>
      </c>
      <c r="I1928" s="7" t="n">
        <v>110</v>
      </c>
      <c r="J1928" s="7" t="n">
        <v>0</v>
      </c>
      <c r="K1928" s="7" t="s">
        <v>229</v>
      </c>
      <c r="L1928" s="7" t="s">
        <v>194</v>
      </c>
      <c r="M1928" s="7" t="n">
        <v>40</v>
      </c>
      <c r="N1928" s="7" t="n">
        <v>5</v>
      </c>
      <c r="O1928" s="7" t="str">
        <f aca="false">A1928&amp;"|"&amp;B1928&amp;"|"&amp;C1928&amp;"|"&amp;D1928&amp;"|"&amp;E1928&amp;"|"&amp;F1928&amp;"|"&amp;G1928&amp;"|"&amp;H1928&amp;"|"&amp;I1928&amp;"|"&amp;J1928&amp;"|"&amp;K1928&amp;"|"&amp;L1928&amp;"|"&amp;M1928&amp;"|"&amp;N1928</f>
        <v>ORD10202|2025-01-28|09:43|C0287|Chaat Corner|Delhi|Street Food|2|110|0|Upi|Delivered|40|5</v>
      </c>
      <c r="P1928" s="7" t="str">
        <f aca="false">IF(COUNTIF($O$2:O1928,O1928)&gt;1,"DUP","OK")</f>
        <v>OK</v>
      </c>
      <c r="Q1928" s="7" t="n">
        <f aca="false">COUNTBLANK(A1928:N1928)</f>
        <v>0</v>
      </c>
      <c r="R1928" s="7" t="n">
        <f aca="false">IF(A1928="",0,COUNTIFS($A$2:$A$3058,A1928,$P$2:$P$3058,"OK"))</f>
        <v>1</v>
      </c>
      <c r="S1928" s="7" t="str">
        <f aca="false">IF(OR(A1928="",P1928="DUP",R1928&lt;2),"",IF(Q1928=_xlfn.MINIFS($Q$2:$Q$3058,$A$2:$A$3058,A1928,$P$2:$P$3058,"OK"),"KEEP","DROP"))</f>
        <v/>
      </c>
      <c r="T1928" s="9" t="n">
        <f aca="false">IF(A1928="",1,0)</f>
        <v>0</v>
      </c>
      <c r="U1928" s="9" t="n">
        <f aca="false">IF(D1928="",1,0)</f>
        <v>0</v>
      </c>
      <c r="V1928" s="9" t="n">
        <f aca="false">IF(E1928="",1,0)</f>
        <v>0</v>
      </c>
      <c r="W1928" s="9" t="n">
        <f aca="false">IF(OR(H1928&lt;1,H1928&gt;10),1,0)</f>
        <v>0</v>
      </c>
      <c r="X1928" s="9" t="n">
        <f aca="false">IF(OR(I1928&lt;=0,I1928&gt;1500),1,0)</f>
        <v>0</v>
      </c>
      <c r="Y1928" s="9" t="n">
        <f aca="false">IF(J1928&gt;H1928*I1928,1,0)</f>
        <v>0</v>
      </c>
      <c r="Z1928" s="9" t="n">
        <f aca="false">IF(AND(N1928&lt;&gt;"",OR(N1928&lt;1,N1928&gt;5)),1,0)</f>
        <v>0</v>
      </c>
      <c r="AA1928" s="9" t="n">
        <f aca="false">IF(AND(M1928&lt;&gt;"",OR(M1928&lt;5,M1928&gt;180)),1,0)</f>
        <v>0</v>
      </c>
      <c r="AB1928" s="7" t="str">
        <f aca="false">IF(P1928="DUP","Exact duplicate row",IF(T1928=1,"Missing Order ID",IF(S1928="DROP","Duplicate Order ID (less complete row)",IF(U1928=1,"Missing Customer ID",IF(V1928=1,"Missing Restaurant name",IF(W1928=1,"Invalid/outlier quantity",IF(X1928=1,"Invalid/outlier unit price",IF(Y1928=1,"Discount greater than order value",""))))))))</f>
        <v/>
      </c>
      <c r="AC1928" s="7" t="str">
        <f aca="false">IF(AB1928="","KEEP","DROP")</f>
        <v>KEEP</v>
      </c>
      <c r="AD1928" s="7" t="str">
        <f aca="false">IF(TRIM(F1928)="",IFERROR(INDEX(Map_Tables!$I$4:$I$37,MATCH(TRIM(E1928),Map_Tables!$G$4:$G$37,0)),""),IFERROR(INDEX(Map_Tables!$B$4:$B$18,MATCH(TRIM(F1928),Map_Tables!$A$4:$A$18,0)),"CHECK"))</f>
        <v>Delhi</v>
      </c>
      <c r="AE1928" s="7" t="str">
        <f aca="false">IF(TRIM(E1928)="","",IFERROR(INDEX(Map_Tables!$H$4:$H$37,MATCH(TRIM(E1928),Map_Tables!$G$4:$G$37,0)),"CHECK"))</f>
        <v>Chaat Corner</v>
      </c>
      <c r="AF1928" s="7" t="str">
        <f aca="false">IF(TRIM(K1928)="","Unknown",IFERROR(INDEX(Map_Tables!$E$4:$E$15,MATCH(TRIM(K1928),Map_Tables!$D$4:$D$15,0)),"CHECK"))</f>
        <v>UPI</v>
      </c>
      <c r="AG1928" s="7" t="str">
        <f aca="false">IF(LEFT(LOWER(TRIM(L1928)),6)="cancel","Cancelled","Delivered")</f>
        <v>Delivered</v>
      </c>
      <c r="AH1928" s="10" t="n">
        <f aca="false">IF(ISNUMBER(SEARCH("/",B1928)),DATE(VALUE(RIGHT(B1928,4)),VALUE(MID(B1928,4,2)),VALUE(LEFT(B1928,2))),IF(MID(B1928,5,1)="-",DATE(VALUE(LEFT(B1928,4)),VALUE(MID(B1928,6,2)),VALUE(RIGHT(B1928,2))),DATE(VALUE(RIGHT(B1928,4)),MATCH(MID(B1928,4,3),{"Jan","Feb","Mar","Apr","May","Jun","Jul","Aug","Sep","Oct","Nov","Dec"},0),VALUE(LEFT(B1928,2)))))</f>
        <v>45685</v>
      </c>
    </row>
    <row r="1929" customFormat="false" ht="15" hidden="false" customHeight="false" outlineLevel="0" collapsed="false">
      <c r="A1929" s="7" t="s">
        <v>4645</v>
      </c>
      <c r="B1929" s="7" t="s">
        <v>758</v>
      </c>
      <c r="C1929" s="7" t="s">
        <v>3794</v>
      </c>
      <c r="D1929" s="7" t="s">
        <v>4646</v>
      </c>
      <c r="E1929" s="7" t="s">
        <v>1142</v>
      </c>
      <c r="F1929" s="7" t="s">
        <v>101</v>
      </c>
      <c r="G1929" s="7" t="s">
        <v>105</v>
      </c>
      <c r="H1929" s="7" t="n">
        <v>2</v>
      </c>
      <c r="I1929" s="7" t="n">
        <v>220</v>
      </c>
      <c r="J1929" s="7" t="n">
        <v>0</v>
      </c>
      <c r="K1929" s="7" t="s">
        <v>88</v>
      </c>
      <c r="L1929" s="7" t="s">
        <v>194</v>
      </c>
      <c r="M1929" s="7" t="n">
        <v>47</v>
      </c>
      <c r="N1929" s="7" t="n">
        <v>3</v>
      </c>
      <c r="O1929" s="7" t="str">
        <f aca="false">A1929&amp;"|"&amp;B1929&amp;"|"&amp;C1929&amp;"|"&amp;D1929&amp;"|"&amp;E1929&amp;"|"&amp;F1929&amp;"|"&amp;G1929&amp;"|"&amp;H1929&amp;"|"&amp;I1929&amp;"|"&amp;J1929&amp;"|"&amp;K1929&amp;"|"&amp;L1929&amp;"|"&amp;M1929&amp;"|"&amp;N1929</f>
        <v>ORD12815|2025-12-10|19:13|C1334|Dragon  Express|Mumbai|Chinese|2|220|0|UPI|Delivered|47|3</v>
      </c>
      <c r="P1929" s="7" t="str">
        <f aca="false">IF(COUNTIF($O$2:O1929,O1929)&gt;1,"DUP","OK")</f>
        <v>OK</v>
      </c>
      <c r="Q1929" s="7" t="n">
        <f aca="false">COUNTBLANK(A1929:N1929)</f>
        <v>0</v>
      </c>
      <c r="R1929" s="7" t="n">
        <f aca="false">IF(A1929="",0,COUNTIFS($A$2:$A$3058,A1929,$P$2:$P$3058,"OK"))</f>
        <v>1</v>
      </c>
      <c r="S1929" s="7" t="str">
        <f aca="false">IF(OR(A1929="",P1929="DUP",R1929&lt;2),"",IF(Q1929=_xlfn.MINIFS($Q$2:$Q$3058,$A$2:$A$3058,A1929,$P$2:$P$3058,"OK"),"KEEP","DROP"))</f>
        <v/>
      </c>
      <c r="T1929" s="9" t="n">
        <f aca="false">IF(A1929="",1,0)</f>
        <v>0</v>
      </c>
      <c r="U1929" s="9" t="n">
        <f aca="false">IF(D1929="",1,0)</f>
        <v>0</v>
      </c>
      <c r="V1929" s="9" t="n">
        <f aca="false">IF(E1929="",1,0)</f>
        <v>0</v>
      </c>
      <c r="W1929" s="9" t="n">
        <f aca="false">IF(OR(H1929&lt;1,H1929&gt;10),1,0)</f>
        <v>0</v>
      </c>
      <c r="X1929" s="9" t="n">
        <f aca="false">IF(OR(I1929&lt;=0,I1929&gt;1500),1,0)</f>
        <v>0</v>
      </c>
      <c r="Y1929" s="9" t="n">
        <f aca="false">IF(J1929&gt;H1929*I1929,1,0)</f>
        <v>0</v>
      </c>
      <c r="Z1929" s="9" t="n">
        <f aca="false">IF(AND(N1929&lt;&gt;"",OR(N1929&lt;1,N1929&gt;5)),1,0)</f>
        <v>0</v>
      </c>
      <c r="AA1929" s="9" t="n">
        <f aca="false">IF(AND(M1929&lt;&gt;"",OR(M1929&lt;5,M1929&gt;180)),1,0)</f>
        <v>0</v>
      </c>
      <c r="AB1929" s="7" t="str">
        <f aca="false">IF(P1929="DUP","Exact duplicate row",IF(T1929=1,"Missing Order ID",IF(S1929="DROP","Duplicate Order ID (less complete row)",IF(U1929=1,"Missing Customer ID",IF(V1929=1,"Missing Restaurant name",IF(W1929=1,"Invalid/outlier quantity",IF(X1929=1,"Invalid/outlier unit price",IF(Y1929=1,"Discount greater than order value",""))))))))</f>
        <v/>
      </c>
      <c r="AC1929" s="7" t="str">
        <f aca="false">IF(AB1929="","KEEP","DROP")</f>
        <v>KEEP</v>
      </c>
      <c r="AD1929" s="7" t="str">
        <f aca="false">IF(TRIM(F1929)="",IFERROR(INDEX(Map_Tables!$I$4:$I$37,MATCH(TRIM(E1929),Map_Tables!$G$4:$G$37,0)),""),IFERROR(INDEX(Map_Tables!$B$4:$B$18,MATCH(TRIM(F1929),Map_Tables!$A$4:$A$18,0)),"CHECK"))</f>
        <v>Mumbai</v>
      </c>
      <c r="AE1929" s="7" t="str">
        <f aca="false">IF(TRIM(E1929)="","",IFERROR(INDEX(Map_Tables!$H$4:$H$37,MATCH(TRIM(E1929),Map_Tables!$G$4:$G$37,0)),"CHECK"))</f>
        <v>Dragon Express</v>
      </c>
      <c r="AF1929" s="7" t="str">
        <f aca="false">IF(TRIM(K1929)="","Unknown",IFERROR(INDEX(Map_Tables!$E$4:$E$15,MATCH(TRIM(K1929),Map_Tables!$D$4:$D$15,0)),"CHECK"))</f>
        <v>UPI</v>
      </c>
      <c r="AG1929" s="7" t="str">
        <f aca="false">IF(LEFT(LOWER(TRIM(L1929)),6)="cancel","Cancelled","Delivered")</f>
        <v>Delivered</v>
      </c>
      <c r="AH1929" s="10" t="n">
        <f aca="false">IF(ISNUMBER(SEARCH("/",B1929)),DATE(VALUE(RIGHT(B1929,4)),VALUE(MID(B1929,4,2)),VALUE(LEFT(B1929,2))),IF(MID(B1929,5,1)="-",DATE(VALUE(LEFT(B1929,4)),VALUE(MID(B1929,6,2)),VALUE(RIGHT(B1929,2))),DATE(VALUE(RIGHT(B1929,4)),MATCH(MID(B1929,4,3),{"Jan","Feb","Mar","Apr","May","Jun","Jul","Aug","Sep","Oct","Nov","Dec"},0),VALUE(LEFT(B1929,2)))))</f>
        <v>46001</v>
      </c>
    </row>
    <row r="1930" customFormat="false" ht="15" hidden="false" customHeight="false" outlineLevel="0" collapsed="false">
      <c r="A1930" s="7" t="s">
        <v>3565</v>
      </c>
      <c r="B1930" s="7" t="s">
        <v>1773</v>
      </c>
      <c r="C1930" s="7" t="s">
        <v>3566</v>
      </c>
      <c r="D1930" s="7" t="s">
        <v>3567</v>
      </c>
      <c r="E1930" s="7" t="s">
        <v>151</v>
      </c>
      <c r="F1930" s="7" t="s">
        <v>128</v>
      </c>
      <c r="G1930" s="7" t="s">
        <v>95</v>
      </c>
      <c r="H1930" s="7" t="n">
        <v>3</v>
      </c>
      <c r="I1930" s="7" t="n">
        <v>150</v>
      </c>
      <c r="J1930" s="7" t="n">
        <v>20</v>
      </c>
      <c r="K1930" s="7" t="s">
        <v>88</v>
      </c>
      <c r="L1930" s="7" t="s">
        <v>194</v>
      </c>
      <c r="M1930" s="7" t="n">
        <v>41</v>
      </c>
      <c r="N1930" s="7" t="n">
        <v>5</v>
      </c>
      <c r="O1930" s="7" t="str">
        <f aca="false">A1930&amp;"|"&amp;B1930&amp;"|"&amp;C1930&amp;"|"&amp;D1930&amp;"|"&amp;E1930&amp;"|"&amp;F1930&amp;"|"&amp;G1930&amp;"|"&amp;H1930&amp;"|"&amp;I1930&amp;"|"&amp;J1930&amp;"|"&amp;K1930&amp;"|"&amp;L1930&amp;"|"&amp;M1930&amp;"|"&amp;N1930</f>
        <v>ORD10127|2025-01-17|11:06|C0361|Chettinad House|Chennai|South Indian|3|150|20|UPI|Delivered|41|5</v>
      </c>
      <c r="P1930" s="7" t="str">
        <f aca="false">IF(COUNTIF($O$2:O1930,O1930)&gt;1,"DUP","OK")</f>
        <v>DUP</v>
      </c>
      <c r="Q1930" s="7" t="n">
        <f aca="false">COUNTBLANK(A1930:N1930)</f>
        <v>0</v>
      </c>
      <c r="R1930" s="7" t="n">
        <f aca="false">IF(A1930="",0,COUNTIFS($A$2:$A$3058,A1930,$P$2:$P$3058,"OK"))</f>
        <v>1</v>
      </c>
      <c r="S1930" s="7" t="str">
        <f aca="false">IF(OR(A1930="",P1930="DUP",R1930&lt;2),"",IF(Q1930=_xlfn.MINIFS($Q$2:$Q$3058,$A$2:$A$3058,A1930,$P$2:$P$3058,"OK"),"KEEP","DROP"))</f>
        <v/>
      </c>
      <c r="T1930" s="9" t="n">
        <f aca="false">IF(A1930="",1,0)</f>
        <v>0</v>
      </c>
      <c r="U1930" s="9" t="n">
        <f aca="false">IF(D1930="",1,0)</f>
        <v>0</v>
      </c>
      <c r="V1930" s="9" t="n">
        <f aca="false">IF(E1930="",1,0)</f>
        <v>0</v>
      </c>
      <c r="W1930" s="9" t="n">
        <f aca="false">IF(OR(H1930&lt;1,H1930&gt;10),1,0)</f>
        <v>0</v>
      </c>
      <c r="X1930" s="9" t="n">
        <f aca="false">IF(OR(I1930&lt;=0,I1930&gt;1500),1,0)</f>
        <v>0</v>
      </c>
      <c r="Y1930" s="9" t="n">
        <f aca="false">IF(J1930&gt;H1930*I1930,1,0)</f>
        <v>0</v>
      </c>
      <c r="Z1930" s="9" t="n">
        <f aca="false">IF(AND(N1930&lt;&gt;"",OR(N1930&lt;1,N1930&gt;5)),1,0)</f>
        <v>0</v>
      </c>
      <c r="AA1930" s="9" t="n">
        <f aca="false">IF(AND(M1930&lt;&gt;"",OR(M1930&lt;5,M1930&gt;180)),1,0)</f>
        <v>0</v>
      </c>
      <c r="AB1930" s="7" t="str">
        <f aca="false">IF(P1930="DUP","Exact duplicate row",IF(T1930=1,"Missing Order ID",IF(S1930="DROP","Duplicate Order ID (less complete row)",IF(U1930=1,"Missing Customer ID",IF(V1930=1,"Missing Restaurant name",IF(W1930=1,"Invalid/outlier quantity",IF(X1930=1,"Invalid/outlier unit price",IF(Y1930=1,"Discount greater than order value",""))))))))</f>
        <v>Exact duplicate row</v>
      </c>
      <c r="AC1930" s="7" t="str">
        <f aca="false">IF(AB1930="","KEEP","DROP")</f>
        <v>DROP</v>
      </c>
      <c r="AD1930" s="7" t="str">
        <f aca="false">IF(TRIM(F1930)="",IFERROR(INDEX(Map_Tables!$I$4:$I$37,MATCH(TRIM(E1930),Map_Tables!$G$4:$G$37,0)),""),IFERROR(INDEX(Map_Tables!$B$4:$B$18,MATCH(TRIM(F1930),Map_Tables!$A$4:$A$18,0)),"CHECK"))</f>
        <v>Chennai</v>
      </c>
      <c r="AE1930" s="7" t="str">
        <f aca="false">IF(TRIM(E1930)="","",IFERROR(INDEX(Map_Tables!$H$4:$H$37,MATCH(TRIM(E1930),Map_Tables!$G$4:$G$37,0)),"CHECK"))</f>
        <v>Chettinad House</v>
      </c>
      <c r="AF1930" s="7" t="str">
        <f aca="false">IF(TRIM(K1930)="","Unknown",IFERROR(INDEX(Map_Tables!$E$4:$E$15,MATCH(TRIM(K1930),Map_Tables!$D$4:$D$15,0)),"CHECK"))</f>
        <v>UPI</v>
      </c>
      <c r="AG1930" s="7" t="str">
        <f aca="false">IF(LEFT(LOWER(TRIM(L1930)),6)="cancel","Cancelled","Delivered")</f>
        <v>Delivered</v>
      </c>
      <c r="AH1930" s="10" t="n">
        <f aca="false">IF(ISNUMBER(SEARCH("/",B1930)),DATE(VALUE(RIGHT(B1930,4)),VALUE(MID(B1930,4,2)),VALUE(LEFT(B1930,2))),IF(MID(B1930,5,1)="-",DATE(VALUE(LEFT(B1930,4)),VALUE(MID(B1930,6,2)),VALUE(RIGHT(B1930,2))),DATE(VALUE(RIGHT(B1930,4)),MATCH(MID(B1930,4,3),{"Jan","Feb","Mar","Apr","May","Jun","Jul","Aug","Sep","Oct","Nov","Dec"},0),VALUE(LEFT(B1930,2)))))</f>
        <v>45674</v>
      </c>
    </row>
    <row r="1931" customFormat="false" ht="15" hidden="false" customHeight="false" outlineLevel="0" collapsed="false">
      <c r="A1931" s="7" t="s">
        <v>4647</v>
      </c>
      <c r="B1931" s="7" t="s">
        <v>1150</v>
      </c>
      <c r="C1931" s="7" t="s">
        <v>1269</v>
      </c>
      <c r="D1931" s="7" t="s">
        <v>4498</v>
      </c>
      <c r="E1931" s="7" t="s">
        <v>116</v>
      </c>
      <c r="F1931" s="7" t="s">
        <v>101</v>
      </c>
      <c r="G1931" s="7" t="s">
        <v>117</v>
      </c>
      <c r="H1931" s="7" t="n">
        <v>1</v>
      </c>
      <c r="I1931" s="7" t="n">
        <v>115</v>
      </c>
      <c r="J1931" s="7" t="n">
        <v>0</v>
      </c>
      <c r="K1931" s="7" t="s">
        <v>88</v>
      </c>
      <c r="L1931" s="7" t="s">
        <v>194</v>
      </c>
      <c r="M1931" s="7" t="n">
        <v>57</v>
      </c>
      <c r="N1931" s="7" t="n">
        <v>3</v>
      </c>
      <c r="O1931" s="7" t="str">
        <f aca="false">A1931&amp;"|"&amp;B1931&amp;"|"&amp;C1931&amp;"|"&amp;D1931&amp;"|"&amp;E1931&amp;"|"&amp;F1931&amp;"|"&amp;G1931&amp;"|"&amp;H1931&amp;"|"&amp;I1931&amp;"|"&amp;J1931&amp;"|"&amp;K1931&amp;"|"&amp;L1931&amp;"|"&amp;M1931&amp;"|"&amp;N1931</f>
        <v>ORD10532|2025-03-10|10:42|C1396|Pav Bhaji Point|Mumbai|Street Food|1|115|0|UPI|Delivered|57|3</v>
      </c>
      <c r="P1931" s="7" t="str">
        <f aca="false">IF(COUNTIF($O$2:O1931,O1931)&gt;1,"DUP","OK")</f>
        <v>OK</v>
      </c>
      <c r="Q1931" s="7" t="n">
        <f aca="false">COUNTBLANK(A1931:N1931)</f>
        <v>0</v>
      </c>
      <c r="R1931" s="7" t="n">
        <f aca="false">IF(A1931="",0,COUNTIFS($A$2:$A$3058,A1931,$P$2:$P$3058,"OK"))</f>
        <v>1</v>
      </c>
      <c r="S1931" s="7" t="str">
        <f aca="false">IF(OR(A1931="",P1931="DUP",R1931&lt;2),"",IF(Q1931=_xlfn.MINIFS($Q$2:$Q$3058,$A$2:$A$3058,A1931,$P$2:$P$3058,"OK"),"KEEP","DROP"))</f>
        <v/>
      </c>
      <c r="T1931" s="9" t="n">
        <f aca="false">IF(A1931="",1,0)</f>
        <v>0</v>
      </c>
      <c r="U1931" s="9" t="n">
        <f aca="false">IF(D1931="",1,0)</f>
        <v>0</v>
      </c>
      <c r="V1931" s="9" t="n">
        <f aca="false">IF(E1931="",1,0)</f>
        <v>0</v>
      </c>
      <c r="W1931" s="9" t="n">
        <f aca="false">IF(OR(H1931&lt;1,H1931&gt;10),1,0)</f>
        <v>0</v>
      </c>
      <c r="X1931" s="9" t="n">
        <f aca="false">IF(OR(I1931&lt;=0,I1931&gt;1500),1,0)</f>
        <v>0</v>
      </c>
      <c r="Y1931" s="9" t="n">
        <f aca="false">IF(J1931&gt;H1931*I1931,1,0)</f>
        <v>0</v>
      </c>
      <c r="Z1931" s="9" t="n">
        <f aca="false">IF(AND(N1931&lt;&gt;"",OR(N1931&lt;1,N1931&gt;5)),1,0)</f>
        <v>0</v>
      </c>
      <c r="AA1931" s="9" t="n">
        <f aca="false">IF(AND(M1931&lt;&gt;"",OR(M1931&lt;5,M1931&gt;180)),1,0)</f>
        <v>0</v>
      </c>
      <c r="AB1931" s="7" t="str">
        <f aca="false">IF(P1931="DUP","Exact duplicate row",IF(T1931=1,"Missing Order ID",IF(S1931="DROP","Duplicate Order ID (less complete row)",IF(U1931=1,"Missing Customer ID",IF(V1931=1,"Missing Restaurant name",IF(W1931=1,"Invalid/outlier quantity",IF(X1931=1,"Invalid/outlier unit price",IF(Y1931=1,"Discount greater than order value",""))))))))</f>
        <v/>
      </c>
      <c r="AC1931" s="7" t="str">
        <f aca="false">IF(AB1931="","KEEP","DROP")</f>
        <v>KEEP</v>
      </c>
      <c r="AD1931" s="7" t="str">
        <f aca="false">IF(TRIM(F1931)="",IFERROR(INDEX(Map_Tables!$I$4:$I$37,MATCH(TRIM(E1931),Map_Tables!$G$4:$G$37,0)),""),IFERROR(INDEX(Map_Tables!$B$4:$B$18,MATCH(TRIM(F1931),Map_Tables!$A$4:$A$18,0)),"CHECK"))</f>
        <v>Mumbai</v>
      </c>
      <c r="AE1931" s="7" t="str">
        <f aca="false">IF(TRIM(E1931)="","",IFERROR(INDEX(Map_Tables!$H$4:$H$37,MATCH(TRIM(E1931),Map_Tables!$G$4:$G$37,0)),"CHECK"))</f>
        <v>Pav Bhaji Point</v>
      </c>
      <c r="AF1931" s="7" t="str">
        <f aca="false">IF(TRIM(K1931)="","Unknown",IFERROR(INDEX(Map_Tables!$E$4:$E$15,MATCH(TRIM(K1931),Map_Tables!$D$4:$D$15,0)),"CHECK"))</f>
        <v>UPI</v>
      </c>
      <c r="AG1931" s="7" t="str">
        <f aca="false">IF(LEFT(LOWER(TRIM(L1931)),6)="cancel","Cancelled","Delivered")</f>
        <v>Delivered</v>
      </c>
      <c r="AH1931" s="10" t="n">
        <f aca="false">IF(ISNUMBER(SEARCH("/",B1931)),DATE(VALUE(RIGHT(B1931,4)),VALUE(MID(B1931,4,2)),VALUE(LEFT(B1931,2))),IF(MID(B1931,5,1)="-",DATE(VALUE(LEFT(B1931,4)),VALUE(MID(B1931,6,2)),VALUE(RIGHT(B1931,2))),DATE(VALUE(RIGHT(B1931,4)),MATCH(MID(B1931,4,3),{"Jan","Feb","Mar","Apr","May","Jun","Jul","Aug","Sep","Oct","Nov","Dec"},0),VALUE(LEFT(B1931,2)))))</f>
        <v>45726</v>
      </c>
    </row>
    <row r="1932" customFormat="false" ht="15" hidden="false" customHeight="false" outlineLevel="0" collapsed="false">
      <c r="A1932" s="7" t="s">
        <v>4648</v>
      </c>
      <c r="B1932" s="7" t="s">
        <v>1144</v>
      </c>
      <c r="C1932" s="7" t="s">
        <v>2202</v>
      </c>
      <c r="D1932" s="7" t="s">
        <v>1881</v>
      </c>
      <c r="E1932" s="7" t="s">
        <v>126</v>
      </c>
      <c r="F1932" s="7" t="s">
        <v>101</v>
      </c>
      <c r="G1932" s="7" t="s">
        <v>105</v>
      </c>
      <c r="H1932" s="7" t="n">
        <v>1</v>
      </c>
      <c r="I1932" s="7" t="n">
        <v>235</v>
      </c>
      <c r="J1932" s="7" t="n">
        <v>0</v>
      </c>
      <c r="K1932" s="7" t="s">
        <v>112</v>
      </c>
      <c r="L1932" s="7" t="s">
        <v>194</v>
      </c>
      <c r="M1932" s="7" t="n">
        <v>35</v>
      </c>
      <c r="N1932" s="7" t="n">
        <v>3</v>
      </c>
      <c r="O1932" s="7" t="str">
        <f aca="false">A1932&amp;"|"&amp;B1932&amp;"|"&amp;C1932&amp;"|"&amp;D1932&amp;"|"&amp;E1932&amp;"|"&amp;F1932&amp;"|"&amp;G1932&amp;"|"&amp;H1932&amp;"|"&amp;I1932&amp;"|"&amp;J1932&amp;"|"&amp;K1932&amp;"|"&amp;L1932&amp;"|"&amp;M1932&amp;"|"&amp;N1932</f>
        <v>ORD11432|2025-07-05|12:40|C0159|Dragon Express|Mumbai|Chinese|1|235|0|Cash on Delivery|Delivered|35|3</v>
      </c>
      <c r="P1932" s="7" t="str">
        <f aca="false">IF(COUNTIF($O$2:O1932,O1932)&gt;1,"DUP","OK")</f>
        <v>OK</v>
      </c>
      <c r="Q1932" s="7" t="n">
        <f aca="false">COUNTBLANK(A1932:N1932)</f>
        <v>0</v>
      </c>
      <c r="R1932" s="7" t="n">
        <f aca="false">IF(A1932="",0,COUNTIFS($A$2:$A$3058,A1932,$P$2:$P$3058,"OK"))</f>
        <v>1</v>
      </c>
      <c r="S1932" s="7" t="str">
        <f aca="false">IF(OR(A1932="",P1932="DUP",R1932&lt;2),"",IF(Q1932=_xlfn.MINIFS($Q$2:$Q$3058,$A$2:$A$3058,A1932,$P$2:$P$3058,"OK"),"KEEP","DROP"))</f>
        <v/>
      </c>
      <c r="T1932" s="9" t="n">
        <f aca="false">IF(A1932="",1,0)</f>
        <v>0</v>
      </c>
      <c r="U1932" s="9" t="n">
        <f aca="false">IF(D1932="",1,0)</f>
        <v>0</v>
      </c>
      <c r="V1932" s="9" t="n">
        <f aca="false">IF(E1932="",1,0)</f>
        <v>0</v>
      </c>
      <c r="W1932" s="9" t="n">
        <f aca="false">IF(OR(H1932&lt;1,H1932&gt;10),1,0)</f>
        <v>0</v>
      </c>
      <c r="X1932" s="9" t="n">
        <f aca="false">IF(OR(I1932&lt;=0,I1932&gt;1500),1,0)</f>
        <v>0</v>
      </c>
      <c r="Y1932" s="9" t="n">
        <f aca="false">IF(J1932&gt;H1932*I1932,1,0)</f>
        <v>0</v>
      </c>
      <c r="Z1932" s="9" t="n">
        <f aca="false">IF(AND(N1932&lt;&gt;"",OR(N1932&lt;1,N1932&gt;5)),1,0)</f>
        <v>0</v>
      </c>
      <c r="AA1932" s="9" t="n">
        <f aca="false">IF(AND(M1932&lt;&gt;"",OR(M1932&lt;5,M1932&gt;180)),1,0)</f>
        <v>0</v>
      </c>
      <c r="AB1932" s="7" t="str">
        <f aca="false">IF(P1932="DUP","Exact duplicate row",IF(T1932=1,"Missing Order ID",IF(S1932="DROP","Duplicate Order ID (less complete row)",IF(U1932=1,"Missing Customer ID",IF(V1932=1,"Missing Restaurant name",IF(W1932=1,"Invalid/outlier quantity",IF(X1932=1,"Invalid/outlier unit price",IF(Y1932=1,"Discount greater than order value",""))))))))</f>
        <v/>
      </c>
      <c r="AC1932" s="7" t="str">
        <f aca="false">IF(AB1932="","KEEP","DROP")</f>
        <v>KEEP</v>
      </c>
      <c r="AD1932" s="7" t="str">
        <f aca="false">IF(TRIM(F1932)="",IFERROR(INDEX(Map_Tables!$I$4:$I$37,MATCH(TRIM(E1932),Map_Tables!$G$4:$G$37,0)),""),IFERROR(INDEX(Map_Tables!$B$4:$B$18,MATCH(TRIM(F1932),Map_Tables!$A$4:$A$18,0)),"CHECK"))</f>
        <v>Mumbai</v>
      </c>
      <c r="AE1932" s="7" t="str">
        <f aca="false">IF(TRIM(E1932)="","",IFERROR(INDEX(Map_Tables!$H$4:$H$37,MATCH(TRIM(E1932),Map_Tables!$G$4:$G$37,0)),"CHECK"))</f>
        <v>Dragon Express</v>
      </c>
      <c r="AF1932" s="7" t="str">
        <f aca="false">IF(TRIM(K1932)="","Unknown",IFERROR(INDEX(Map_Tables!$E$4:$E$15,MATCH(TRIM(K1932),Map_Tables!$D$4:$D$15,0)),"CHECK"))</f>
        <v>Cash on Delivery</v>
      </c>
      <c r="AG1932" s="7" t="str">
        <f aca="false">IF(LEFT(LOWER(TRIM(L1932)),6)="cancel","Cancelled","Delivered")</f>
        <v>Delivered</v>
      </c>
      <c r="AH1932" s="10" t="n">
        <f aca="false">IF(ISNUMBER(SEARCH("/",B1932)),DATE(VALUE(RIGHT(B1932,4)),VALUE(MID(B1932,4,2)),VALUE(LEFT(B1932,2))),IF(MID(B1932,5,1)="-",DATE(VALUE(LEFT(B1932,4)),VALUE(MID(B1932,6,2)),VALUE(RIGHT(B1932,2))),DATE(VALUE(RIGHT(B1932,4)),MATCH(MID(B1932,4,3),{"Jan","Feb","Mar","Apr","May","Jun","Jul","Aug","Sep","Oct","Nov","Dec"},0),VALUE(LEFT(B1932,2)))))</f>
        <v>45843</v>
      </c>
    </row>
    <row r="1933" customFormat="false" ht="15" hidden="false" customHeight="false" outlineLevel="0" collapsed="false">
      <c r="A1933" s="7" t="s">
        <v>4649</v>
      </c>
      <c r="B1933" s="7" t="s">
        <v>4650</v>
      </c>
      <c r="C1933" s="7" t="s">
        <v>1288</v>
      </c>
      <c r="D1933" s="7" t="s">
        <v>4549</v>
      </c>
      <c r="E1933" s="7" t="s">
        <v>130</v>
      </c>
      <c r="F1933" s="7" t="s">
        <v>110</v>
      </c>
      <c r="G1933" s="7" t="s">
        <v>90</v>
      </c>
      <c r="H1933" s="7" t="n">
        <v>1</v>
      </c>
      <c r="I1933" s="7" t="n">
        <v>235</v>
      </c>
      <c r="J1933" s="7" t="n">
        <v>0</v>
      </c>
      <c r="K1933" s="7" t="s">
        <v>88</v>
      </c>
      <c r="L1933" s="7" t="s">
        <v>194</v>
      </c>
      <c r="M1933" s="7" t="n">
        <v>47</v>
      </c>
      <c r="N1933" s="7" t="n">
        <v>3</v>
      </c>
      <c r="O1933" s="7" t="str">
        <f aca="false">A1933&amp;"|"&amp;B1933&amp;"|"&amp;C1933&amp;"|"&amp;D1933&amp;"|"&amp;E1933&amp;"|"&amp;F1933&amp;"|"&amp;G1933&amp;"|"&amp;H1933&amp;"|"&amp;I1933&amp;"|"&amp;J1933&amp;"|"&amp;K1933&amp;"|"&amp;L1933&amp;"|"&amp;M1933&amp;"|"&amp;N1933</f>
        <v>ORD10200|27-Jan-2025|20:54|C0336|Tandoor Tales|Delhi|North Indian|1|235|0|UPI|Delivered|47|3</v>
      </c>
      <c r="P1933" s="7" t="str">
        <f aca="false">IF(COUNTIF($O$2:O1933,O1933)&gt;1,"DUP","OK")</f>
        <v>OK</v>
      </c>
      <c r="Q1933" s="7" t="n">
        <f aca="false">COUNTBLANK(A1933:N1933)</f>
        <v>0</v>
      </c>
      <c r="R1933" s="7" t="n">
        <f aca="false">IF(A1933="",0,COUNTIFS($A$2:$A$3058,A1933,$P$2:$P$3058,"OK"))</f>
        <v>1</v>
      </c>
      <c r="S1933" s="7" t="str">
        <f aca="false">IF(OR(A1933="",P1933="DUP",R1933&lt;2),"",IF(Q1933=_xlfn.MINIFS($Q$2:$Q$3058,$A$2:$A$3058,A1933,$P$2:$P$3058,"OK"),"KEEP","DROP"))</f>
        <v/>
      </c>
      <c r="T1933" s="9" t="n">
        <f aca="false">IF(A1933="",1,0)</f>
        <v>0</v>
      </c>
      <c r="U1933" s="9" t="n">
        <f aca="false">IF(D1933="",1,0)</f>
        <v>0</v>
      </c>
      <c r="V1933" s="9" t="n">
        <f aca="false">IF(E1933="",1,0)</f>
        <v>0</v>
      </c>
      <c r="W1933" s="9" t="n">
        <f aca="false">IF(OR(H1933&lt;1,H1933&gt;10),1,0)</f>
        <v>0</v>
      </c>
      <c r="X1933" s="9" t="n">
        <f aca="false">IF(OR(I1933&lt;=0,I1933&gt;1500),1,0)</f>
        <v>0</v>
      </c>
      <c r="Y1933" s="9" t="n">
        <f aca="false">IF(J1933&gt;H1933*I1933,1,0)</f>
        <v>0</v>
      </c>
      <c r="Z1933" s="9" t="n">
        <f aca="false">IF(AND(N1933&lt;&gt;"",OR(N1933&lt;1,N1933&gt;5)),1,0)</f>
        <v>0</v>
      </c>
      <c r="AA1933" s="9" t="n">
        <f aca="false">IF(AND(M1933&lt;&gt;"",OR(M1933&lt;5,M1933&gt;180)),1,0)</f>
        <v>0</v>
      </c>
      <c r="AB1933" s="7" t="str">
        <f aca="false">IF(P1933="DUP","Exact duplicate row",IF(T1933=1,"Missing Order ID",IF(S1933="DROP","Duplicate Order ID (less complete row)",IF(U1933=1,"Missing Customer ID",IF(V1933=1,"Missing Restaurant name",IF(W1933=1,"Invalid/outlier quantity",IF(X1933=1,"Invalid/outlier unit price",IF(Y1933=1,"Discount greater than order value",""))))))))</f>
        <v/>
      </c>
      <c r="AC1933" s="7" t="str">
        <f aca="false">IF(AB1933="","KEEP","DROP")</f>
        <v>KEEP</v>
      </c>
      <c r="AD1933" s="7" t="str">
        <f aca="false">IF(TRIM(F1933)="",IFERROR(INDEX(Map_Tables!$I$4:$I$37,MATCH(TRIM(E1933),Map_Tables!$G$4:$G$37,0)),""),IFERROR(INDEX(Map_Tables!$B$4:$B$18,MATCH(TRIM(F1933),Map_Tables!$A$4:$A$18,0)),"CHECK"))</f>
        <v>Delhi</v>
      </c>
      <c r="AE1933" s="7" t="str">
        <f aca="false">IF(TRIM(E1933)="","",IFERROR(INDEX(Map_Tables!$H$4:$H$37,MATCH(TRIM(E1933),Map_Tables!$G$4:$G$37,0)),"CHECK"))</f>
        <v>Tandoor Tales</v>
      </c>
      <c r="AF1933" s="7" t="str">
        <f aca="false">IF(TRIM(K1933)="","Unknown",IFERROR(INDEX(Map_Tables!$E$4:$E$15,MATCH(TRIM(K1933),Map_Tables!$D$4:$D$15,0)),"CHECK"))</f>
        <v>UPI</v>
      </c>
      <c r="AG1933" s="7" t="str">
        <f aca="false">IF(LEFT(LOWER(TRIM(L1933)),6)="cancel","Cancelled","Delivered")</f>
        <v>Delivered</v>
      </c>
      <c r="AH1933" s="10" t="n">
        <f aca="false">IF(ISNUMBER(SEARCH("/",B1933)),DATE(VALUE(RIGHT(B1933,4)),VALUE(MID(B1933,4,2)),VALUE(LEFT(B1933,2))),IF(MID(B1933,5,1)="-",DATE(VALUE(LEFT(B1933,4)),VALUE(MID(B1933,6,2)),VALUE(RIGHT(B1933,2))),DATE(VALUE(RIGHT(B1933,4)),MATCH(MID(B1933,4,3),{"Jan","Feb","Mar","Apr","May","Jun","Jul","Aug","Sep","Oct","Nov","Dec"},0),VALUE(LEFT(B1933,2)))))</f>
        <v>45684</v>
      </c>
    </row>
    <row r="1934" customFormat="false" ht="15" hidden="false" customHeight="false" outlineLevel="0" collapsed="false">
      <c r="A1934" s="7" t="s">
        <v>4651</v>
      </c>
      <c r="B1934" s="7" t="s">
        <v>4652</v>
      </c>
      <c r="C1934" s="7" t="s">
        <v>1280</v>
      </c>
      <c r="D1934" s="7" t="s">
        <v>2682</v>
      </c>
      <c r="E1934" s="7" t="s">
        <v>157</v>
      </c>
      <c r="F1934" s="7" t="s">
        <v>136</v>
      </c>
      <c r="G1934" s="7" t="s">
        <v>117</v>
      </c>
      <c r="H1934" s="7" t="n">
        <v>1</v>
      </c>
      <c r="I1934" s="7" t="n">
        <v>120</v>
      </c>
      <c r="J1934" s="7" t="n">
        <v>0</v>
      </c>
      <c r="K1934" s="7" t="s">
        <v>88</v>
      </c>
      <c r="L1934" s="7" t="s">
        <v>238</v>
      </c>
      <c r="M1934" s="7"/>
      <c r="N1934" s="7"/>
      <c r="O1934" s="7" t="str">
        <f aca="false">A1934&amp;"|"&amp;B1934&amp;"|"&amp;C1934&amp;"|"&amp;D1934&amp;"|"&amp;E1934&amp;"|"&amp;F1934&amp;"|"&amp;G1934&amp;"|"&amp;H1934&amp;"|"&amp;I1934&amp;"|"&amp;J1934&amp;"|"&amp;K1934&amp;"|"&amp;L1934&amp;"|"&amp;M1934&amp;"|"&amp;N1934</f>
        <v>ORD11498|14/07/2025|12:21|C0492|Misal Mantra|Pune|Street Food|1|120|0|UPI|Cancelled||</v>
      </c>
      <c r="P1934" s="7" t="str">
        <f aca="false">IF(COUNTIF($O$2:O1934,O1934)&gt;1,"DUP","OK")</f>
        <v>OK</v>
      </c>
      <c r="Q1934" s="7" t="n">
        <f aca="false">COUNTBLANK(A1934:N1934)</f>
        <v>2</v>
      </c>
      <c r="R1934" s="7" t="n">
        <f aca="false">IF(A1934="",0,COUNTIFS($A$2:$A$3058,A1934,$P$2:$P$3058,"OK"))</f>
        <v>1</v>
      </c>
      <c r="S1934" s="7" t="str">
        <f aca="false">IF(OR(A1934="",P1934="DUP",R1934&lt;2),"",IF(Q1934=_xlfn.MINIFS($Q$2:$Q$3058,$A$2:$A$3058,A1934,$P$2:$P$3058,"OK"),"KEEP","DROP"))</f>
        <v/>
      </c>
      <c r="T1934" s="9" t="n">
        <f aca="false">IF(A1934="",1,0)</f>
        <v>0</v>
      </c>
      <c r="U1934" s="9" t="n">
        <f aca="false">IF(D1934="",1,0)</f>
        <v>0</v>
      </c>
      <c r="V1934" s="9" t="n">
        <f aca="false">IF(E1934="",1,0)</f>
        <v>0</v>
      </c>
      <c r="W1934" s="9" t="n">
        <f aca="false">IF(OR(H1934&lt;1,H1934&gt;10),1,0)</f>
        <v>0</v>
      </c>
      <c r="X1934" s="9" t="n">
        <f aca="false">IF(OR(I1934&lt;=0,I1934&gt;1500),1,0)</f>
        <v>0</v>
      </c>
      <c r="Y1934" s="9" t="n">
        <f aca="false">IF(J1934&gt;H1934*I1934,1,0)</f>
        <v>0</v>
      </c>
      <c r="Z1934" s="9" t="n">
        <f aca="false">IF(AND(N1934&lt;&gt;"",OR(N1934&lt;1,N1934&gt;5)),1,0)</f>
        <v>0</v>
      </c>
      <c r="AA1934" s="9" t="n">
        <f aca="false">IF(AND(M1934&lt;&gt;"",OR(M1934&lt;5,M1934&gt;180)),1,0)</f>
        <v>0</v>
      </c>
      <c r="AB1934" s="7" t="str">
        <f aca="false">IF(P1934="DUP","Exact duplicate row",IF(T1934=1,"Missing Order ID",IF(S1934="DROP","Duplicate Order ID (less complete row)",IF(U1934=1,"Missing Customer ID",IF(V1934=1,"Missing Restaurant name",IF(W1934=1,"Invalid/outlier quantity",IF(X1934=1,"Invalid/outlier unit price",IF(Y1934=1,"Discount greater than order value",""))))))))</f>
        <v/>
      </c>
      <c r="AC1934" s="7" t="str">
        <f aca="false">IF(AB1934="","KEEP","DROP")</f>
        <v>KEEP</v>
      </c>
      <c r="AD1934" s="7" t="str">
        <f aca="false">IF(TRIM(F1934)="",IFERROR(INDEX(Map_Tables!$I$4:$I$37,MATCH(TRIM(E1934),Map_Tables!$G$4:$G$37,0)),""),IFERROR(INDEX(Map_Tables!$B$4:$B$18,MATCH(TRIM(F1934),Map_Tables!$A$4:$A$18,0)),"CHECK"))</f>
        <v>Pune</v>
      </c>
      <c r="AE1934" s="7" t="str">
        <f aca="false">IF(TRIM(E1934)="","",IFERROR(INDEX(Map_Tables!$H$4:$H$37,MATCH(TRIM(E1934),Map_Tables!$G$4:$G$37,0)),"CHECK"))</f>
        <v>Misal Mantra</v>
      </c>
      <c r="AF1934" s="7" t="str">
        <f aca="false">IF(TRIM(K1934)="","Unknown",IFERROR(INDEX(Map_Tables!$E$4:$E$15,MATCH(TRIM(K1934),Map_Tables!$D$4:$D$15,0)),"CHECK"))</f>
        <v>UPI</v>
      </c>
      <c r="AG1934" s="7" t="str">
        <f aca="false">IF(LEFT(LOWER(TRIM(L1934)),6)="cancel","Cancelled","Delivered")</f>
        <v>Cancelled</v>
      </c>
      <c r="AH1934" s="10" t="n">
        <f aca="false">IF(ISNUMBER(SEARCH("/",B1934)),DATE(VALUE(RIGHT(B1934,4)),VALUE(MID(B1934,4,2)),VALUE(LEFT(B1934,2))),IF(MID(B1934,5,1)="-",DATE(VALUE(LEFT(B1934,4)),VALUE(MID(B1934,6,2)),VALUE(RIGHT(B1934,2))),DATE(VALUE(RIGHT(B1934,4)),MATCH(MID(B1934,4,3),{"Jan","Feb","Mar","Apr","May","Jun","Jul","Aug","Sep","Oct","Nov","Dec"},0),VALUE(LEFT(B1934,2)))))</f>
        <v>45852</v>
      </c>
    </row>
    <row r="1935" customFormat="false" ht="15" hidden="false" customHeight="false" outlineLevel="0" collapsed="false">
      <c r="A1935" s="7" t="s">
        <v>4653</v>
      </c>
      <c r="B1935" s="7" t="s">
        <v>4654</v>
      </c>
      <c r="C1935" s="7" t="s">
        <v>1552</v>
      </c>
      <c r="D1935" s="7" t="s">
        <v>698</v>
      </c>
      <c r="E1935" s="7" t="s">
        <v>154</v>
      </c>
      <c r="F1935" s="7" t="s">
        <v>128</v>
      </c>
      <c r="G1935" s="7" t="s">
        <v>99</v>
      </c>
      <c r="H1935" s="7" t="n">
        <v>2</v>
      </c>
      <c r="I1935" s="7" t="n">
        <v>230</v>
      </c>
      <c r="J1935" s="7" t="n">
        <v>40</v>
      </c>
      <c r="K1935" s="7" t="s">
        <v>112</v>
      </c>
      <c r="L1935" s="7" t="s">
        <v>194</v>
      </c>
      <c r="M1935" s="7" t="n">
        <v>22</v>
      </c>
      <c r="N1935" s="7" t="n">
        <v>3</v>
      </c>
      <c r="O1935" s="7" t="str">
        <f aca="false">A1935&amp;"|"&amp;B1935&amp;"|"&amp;C1935&amp;"|"&amp;D1935&amp;"|"&amp;E1935&amp;"|"&amp;F1935&amp;"|"&amp;G1935&amp;"|"&amp;H1935&amp;"|"&amp;I1935&amp;"|"&amp;J1935&amp;"|"&amp;K1935&amp;"|"&amp;L1935&amp;"|"&amp;M1935&amp;"|"&amp;N1935</f>
        <v>ORD12712|30/11/2025|11:25|C1028|Madras Biryani Co|Chennai|Biryani|2|230|40|Cash on Delivery|Delivered|22|3</v>
      </c>
      <c r="P1935" s="7" t="str">
        <f aca="false">IF(COUNTIF($O$2:O1935,O1935)&gt;1,"DUP","OK")</f>
        <v>OK</v>
      </c>
      <c r="Q1935" s="7" t="n">
        <f aca="false">COUNTBLANK(A1935:N1935)</f>
        <v>0</v>
      </c>
      <c r="R1935" s="7" t="n">
        <f aca="false">IF(A1935="",0,COUNTIFS($A$2:$A$3058,A1935,$P$2:$P$3058,"OK"))</f>
        <v>1</v>
      </c>
      <c r="S1935" s="7" t="str">
        <f aca="false">IF(OR(A1935="",P1935="DUP",R1935&lt;2),"",IF(Q1935=_xlfn.MINIFS($Q$2:$Q$3058,$A$2:$A$3058,A1935,$P$2:$P$3058,"OK"),"KEEP","DROP"))</f>
        <v/>
      </c>
      <c r="T1935" s="9" t="n">
        <f aca="false">IF(A1935="",1,0)</f>
        <v>0</v>
      </c>
      <c r="U1935" s="9" t="n">
        <f aca="false">IF(D1935="",1,0)</f>
        <v>0</v>
      </c>
      <c r="V1935" s="9" t="n">
        <f aca="false">IF(E1935="",1,0)</f>
        <v>0</v>
      </c>
      <c r="W1935" s="9" t="n">
        <f aca="false">IF(OR(H1935&lt;1,H1935&gt;10),1,0)</f>
        <v>0</v>
      </c>
      <c r="X1935" s="9" t="n">
        <f aca="false">IF(OR(I1935&lt;=0,I1935&gt;1500),1,0)</f>
        <v>0</v>
      </c>
      <c r="Y1935" s="9" t="n">
        <f aca="false">IF(J1935&gt;H1935*I1935,1,0)</f>
        <v>0</v>
      </c>
      <c r="Z1935" s="9" t="n">
        <f aca="false">IF(AND(N1935&lt;&gt;"",OR(N1935&lt;1,N1935&gt;5)),1,0)</f>
        <v>0</v>
      </c>
      <c r="AA1935" s="9" t="n">
        <f aca="false">IF(AND(M1935&lt;&gt;"",OR(M1935&lt;5,M1935&gt;180)),1,0)</f>
        <v>0</v>
      </c>
      <c r="AB1935" s="7" t="str">
        <f aca="false">IF(P1935="DUP","Exact duplicate row",IF(T1935=1,"Missing Order ID",IF(S1935="DROP","Duplicate Order ID (less complete row)",IF(U1935=1,"Missing Customer ID",IF(V1935=1,"Missing Restaurant name",IF(W1935=1,"Invalid/outlier quantity",IF(X1935=1,"Invalid/outlier unit price",IF(Y1935=1,"Discount greater than order value",""))))))))</f>
        <v/>
      </c>
      <c r="AC1935" s="7" t="str">
        <f aca="false">IF(AB1935="","KEEP","DROP")</f>
        <v>KEEP</v>
      </c>
      <c r="AD1935" s="7" t="str">
        <f aca="false">IF(TRIM(F1935)="",IFERROR(INDEX(Map_Tables!$I$4:$I$37,MATCH(TRIM(E1935),Map_Tables!$G$4:$G$37,0)),""),IFERROR(INDEX(Map_Tables!$B$4:$B$18,MATCH(TRIM(F1935),Map_Tables!$A$4:$A$18,0)),"CHECK"))</f>
        <v>Chennai</v>
      </c>
      <c r="AE1935" s="7" t="str">
        <f aca="false">IF(TRIM(E1935)="","",IFERROR(INDEX(Map_Tables!$H$4:$H$37,MATCH(TRIM(E1935),Map_Tables!$G$4:$G$37,0)),"CHECK"))</f>
        <v>Madras Biryani Co</v>
      </c>
      <c r="AF1935" s="7" t="str">
        <f aca="false">IF(TRIM(K1935)="","Unknown",IFERROR(INDEX(Map_Tables!$E$4:$E$15,MATCH(TRIM(K1935),Map_Tables!$D$4:$D$15,0)),"CHECK"))</f>
        <v>Cash on Delivery</v>
      </c>
      <c r="AG1935" s="7" t="str">
        <f aca="false">IF(LEFT(LOWER(TRIM(L1935)),6)="cancel","Cancelled","Delivered")</f>
        <v>Delivered</v>
      </c>
      <c r="AH1935" s="10" t="n">
        <f aca="false">IF(ISNUMBER(SEARCH("/",B1935)),DATE(VALUE(RIGHT(B1935,4)),VALUE(MID(B1935,4,2)),VALUE(LEFT(B1935,2))),IF(MID(B1935,5,1)="-",DATE(VALUE(LEFT(B1935,4)),VALUE(MID(B1935,6,2)),VALUE(RIGHT(B1935,2))),DATE(VALUE(RIGHT(B1935,4)),MATCH(MID(B1935,4,3),{"Jan","Feb","Mar","Apr","May","Jun","Jul","Aug","Sep","Oct","Nov","Dec"},0),VALUE(LEFT(B1935,2)))))</f>
        <v>45991</v>
      </c>
    </row>
    <row r="1936" customFormat="false" ht="15" hidden="false" customHeight="false" outlineLevel="0" collapsed="false">
      <c r="A1936" s="7" t="s">
        <v>4655</v>
      </c>
      <c r="B1936" s="7" t="s">
        <v>1845</v>
      </c>
      <c r="C1936" s="7" t="s">
        <v>1542</v>
      </c>
      <c r="D1936" s="7" t="s">
        <v>255</v>
      </c>
      <c r="E1936" s="7" t="s">
        <v>94</v>
      </c>
      <c r="F1936" s="7" t="s">
        <v>86</v>
      </c>
      <c r="G1936" s="7" t="s">
        <v>95</v>
      </c>
      <c r="H1936" s="7" t="n">
        <v>4</v>
      </c>
      <c r="I1936" s="7" t="n">
        <v>125</v>
      </c>
      <c r="J1936" s="7" t="n">
        <v>40</v>
      </c>
      <c r="K1936" s="7" t="s">
        <v>103</v>
      </c>
      <c r="L1936" s="7" t="s">
        <v>194</v>
      </c>
      <c r="M1936" s="7" t="n">
        <v>41</v>
      </c>
      <c r="N1936" s="7" t="n">
        <v>3</v>
      </c>
      <c r="O1936" s="7" t="str">
        <f aca="false">A1936&amp;"|"&amp;B1936&amp;"|"&amp;C1936&amp;"|"&amp;D1936&amp;"|"&amp;E1936&amp;"|"&amp;F1936&amp;"|"&amp;G1936&amp;"|"&amp;H1936&amp;"|"&amp;I1936&amp;"|"&amp;J1936&amp;"|"&amp;K1936&amp;"|"&amp;L1936&amp;"|"&amp;M1936&amp;"|"&amp;N1936</f>
        <v>ORD11992|2025-09-15|09:53|C0821|Dosa Darbar|Bengaluru|South Indian|4|125|40|Debit Card|Delivered|41|3</v>
      </c>
      <c r="P1936" s="7" t="str">
        <f aca="false">IF(COUNTIF($O$2:O1936,O1936)&gt;1,"DUP","OK")</f>
        <v>OK</v>
      </c>
      <c r="Q1936" s="7" t="n">
        <f aca="false">COUNTBLANK(A1936:N1936)</f>
        <v>0</v>
      </c>
      <c r="R1936" s="7" t="n">
        <f aca="false">IF(A1936="",0,COUNTIFS($A$2:$A$3058,A1936,$P$2:$P$3058,"OK"))</f>
        <v>1</v>
      </c>
      <c r="S1936" s="7" t="str">
        <f aca="false">IF(OR(A1936="",P1936="DUP",R1936&lt;2),"",IF(Q1936=_xlfn.MINIFS($Q$2:$Q$3058,$A$2:$A$3058,A1936,$P$2:$P$3058,"OK"),"KEEP","DROP"))</f>
        <v/>
      </c>
      <c r="T1936" s="9" t="n">
        <f aca="false">IF(A1936="",1,0)</f>
        <v>0</v>
      </c>
      <c r="U1936" s="9" t="n">
        <f aca="false">IF(D1936="",1,0)</f>
        <v>0</v>
      </c>
      <c r="V1936" s="9" t="n">
        <f aca="false">IF(E1936="",1,0)</f>
        <v>0</v>
      </c>
      <c r="W1936" s="9" t="n">
        <f aca="false">IF(OR(H1936&lt;1,H1936&gt;10),1,0)</f>
        <v>0</v>
      </c>
      <c r="X1936" s="9" t="n">
        <f aca="false">IF(OR(I1936&lt;=0,I1936&gt;1500),1,0)</f>
        <v>0</v>
      </c>
      <c r="Y1936" s="9" t="n">
        <f aca="false">IF(J1936&gt;H1936*I1936,1,0)</f>
        <v>0</v>
      </c>
      <c r="Z1936" s="9" t="n">
        <f aca="false">IF(AND(N1936&lt;&gt;"",OR(N1936&lt;1,N1936&gt;5)),1,0)</f>
        <v>0</v>
      </c>
      <c r="AA1936" s="9" t="n">
        <f aca="false">IF(AND(M1936&lt;&gt;"",OR(M1936&lt;5,M1936&gt;180)),1,0)</f>
        <v>0</v>
      </c>
      <c r="AB1936" s="7" t="str">
        <f aca="false">IF(P1936="DUP","Exact duplicate row",IF(T1936=1,"Missing Order ID",IF(S1936="DROP","Duplicate Order ID (less complete row)",IF(U1936=1,"Missing Customer ID",IF(V1936=1,"Missing Restaurant name",IF(W1936=1,"Invalid/outlier quantity",IF(X1936=1,"Invalid/outlier unit price",IF(Y1936=1,"Discount greater than order value",""))))))))</f>
        <v/>
      </c>
      <c r="AC1936" s="7" t="str">
        <f aca="false">IF(AB1936="","KEEP","DROP")</f>
        <v>KEEP</v>
      </c>
      <c r="AD1936" s="7" t="str">
        <f aca="false">IF(TRIM(F1936)="",IFERROR(INDEX(Map_Tables!$I$4:$I$37,MATCH(TRIM(E1936),Map_Tables!$G$4:$G$37,0)),""),IFERROR(INDEX(Map_Tables!$B$4:$B$18,MATCH(TRIM(F1936),Map_Tables!$A$4:$A$18,0)),"CHECK"))</f>
        <v>Bengaluru</v>
      </c>
      <c r="AE1936" s="7" t="str">
        <f aca="false">IF(TRIM(E1936)="","",IFERROR(INDEX(Map_Tables!$H$4:$H$37,MATCH(TRIM(E1936),Map_Tables!$G$4:$G$37,0)),"CHECK"))</f>
        <v>Dosa Darbar</v>
      </c>
      <c r="AF1936" s="7" t="str">
        <f aca="false">IF(TRIM(K1936)="","Unknown",IFERROR(INDEX(Map_Tables!$E$4:$E$15,MATCH(TRIM(K1936),Map_Tables!$D$4:$D$15,0)),"CHECK"))</f>
        <v>Debit Card</v>
      </c>
      <c r="AG1936" s="7" t="str">
        <f aca="false">IF(LEFT(LOWER(TRIM(L1936)),6)="cancel","Cancelled","Delivered")</f>
        <v>Delivered</v>
      </c>
      <c r="AH1936" s="10" t="n">
        <f aca="false">IF(ISNUMBER(SEARCH("/",B1936)),DATE(VALUE(RIGHT(B1936,4)),VALUE(MID(B1936,4,2)),VALUE(LEFT(B1936,2))),IF(MID(B1936,5,1)="-",DATE(VALUE(LEFT(B1936,4)),VALUE(MID(B1936,6,2)),VALUE(RIGHT(B1936,2))),DATE(VALUE(RIGHT(B1936,4)),MATCH(MID(B1936,4,3),{"Jan","Feb","Mar","Apr","May","Jun","Jul","Aug","Sep","Oct","Nov","Dec"},0),VALUE(LEFT(B1936,2)))))</f>
        <v>45915</v>
      </c>
    </row>
    <row r="1937" customFormat="false" ht="15" hidden="false" customHeight="false" outlineLevel="0" collapsed="false">
      <c r="A1937" s="7" t="s">
        <v>4656</v>
      </c>
      <c r="B1937" s="7" t="s">
        <v>350</v>
      </c>
      <c r="C1937" s="7" t="s">
        <v>2966</v>
      </c>
      <c r="D1937" s="7" t="s">
        <v>1314</v>
      </c>
      <c r="E1937" s="7" t="s">
        <v>164</v>
      </c>
      <c r="F1937" s="7" t="s">
        <v>141</v>
      </c>
      <c r="G1937" s="7" t="s">
        <v>150</v>
      </c>
      <c r="H1937" s="7" t="n">
        <v>2</v>
      </c>
      <c r="I1937" s="7" t="n">
        <v>120</v>
      </c>
      <c r="J1937" s="7" t="n">
        <v>0</v>
      </c>
      <c r="K1937" s="7" t="s">
        <v>379</v>
      </c>
      <c r="L1937" s="7" t="s">
        <v>194</v>
      </c>
      <c r="M1937" s="7" t="n">
        <v>15</v>
      </c>
      <c r="N1937" s="7"/>
      <c r="O1937" s="7" t="str">
        <f aca="false">A1937&amp;"|"&amp;B1937&amp;"|"&amp;C1937&amp;"|"&amp;D1937&amp;"|"&amp;E1937&amp;"|"&amp;F1937&amp;"|"&amp;G1937&amp;"|"&amp;H1937&amp;"|"&amp;I1937&amp;"|"&amp;J1937&amp;"|"&amp;K1937&amp;"|"&amp;L1937&amp;"|"&amp;M1937&amp;"|"&amp;N1937</f>
        <v>ORD10693|2025-03-29|09:31|C1120|Mishti Mandir|Kolkata|Desserts|2|120|0|Credit card|Delivered|15|</v>
      </c>
      <c r="P1937" s="7" t="str">
        <f aca="false">IF(COUNTIF($O$2:O1937,O1937)&gt;1,"DUP","OK")</f>
        <v>OK</v>
      </c>
      <c r="Q1937" s="7" t="n">
        <f aca="false">COUNTBLANK(A1937:N1937)</f>
        <v>1</v>
      </c>
      <c r="R1937" s="7" t="n">
        <f aca="false">IF(A1937="",0,COUNTIFS($A$2:$A$3058,A1937,$P$2:$P$3058,"OK"))</f>
        <v>1</v>
      </c>
      <c r="S1937" s="7" t="str">
        <f aca="false">IF(OR(A1937="",P1937="DUP",R1937&lt;2),"",IF(Q1937=_xlfn.MINIFS($Q$2:$Q$3058,$A$2:$A$3058,A1937,$P$2:$P$3058,"OK"),"KEEP","DROP"))</f>
        <v/>
      </c>
      <c r="T1937" s="9" t="n">
        <f aca="false">IF(A1937="",1,0)</f>
        <v>0</v>
      </c>
      <c r="U1937" s="9" t="n">
        <f aca="false">IF(D1937="",1,0)</f>
        <v>0</v>
      </c>
      <c r="V1937" s="9" t="n">
        <f aca="false">IF(E1937="",1,0)</f>
        <v>0</v>
      </c>
      <c r="W1937" s="9" t="n">
        <f aca="false">IF(OR(H1937&lt;1,H1937&gt;10),1,0)</f>
        <v>0</v>
      </c>
      <c r="X1937" s="9" t="n">
        <f aca="false">IF(OR(I1937&lt;=0,I1937&gt;1500),1,0)</f>
        <v>0</v>
      </c>
      <c r="Y1937" s="9" t="n">
        <f aca="false">IF(J1937&gt;H1937*I1937,1,0)</f>
        <v>0</v>
      </c>
      <c r="Z1937" s="9" t="n">
        <f aca="false">IF(AND(N1937&lt;&gt;"",OR(N1937&lt;1,N1937&gt;5)),1,0)</f>
        <v>0</v>
      </c>
      <c r="AA1937" s="9" t="n">
        <f aca="false">IF(AND(M1937&lt;&gt;"",OR(M1937&lt;5,M1937&gt;180)),1,0)</f>
        <v>0</v>
      </c>
      <c r="AB1937" s="7" t="str">
        <f aca="false">IF(P1937="DUP","Exact duplicate row",IF(T1937=1,"Missing Order ID",IF(S1937="DROP","Duplicate Order ID (less complete row)",IF(U1937=1,"Missing Customer ID",IF(V1937=1,"Missing Restaurant name",IF(W1937=1,"Invalid/outlier quantity",IF(X1937=1,"Invalid/outlier unit price",IF(Y1937=1,"Discount greater than order value",""))))))))</f>
        <v/>
      </c>
      <c r="AC1937" s="7" t="str">
        <f aca="false">IF(AB1937="","KEEP","DROP")</f>
        <v>KEEP</v>
      </c>
      <c r="AD1937" s="7" t="str">
        <f aca="false">IF(TRIM(F1937)="",IFERROR(INDEX(Map_Tables!$I$4:$I$37,MATCH(TRIM(E1937),Map_Tables!$G$4:$G$37,0)),""),IFERROR(INDEX(Map_Tables!$B$4:$B$18,MATCH(TRIM(F1937),Map_Tables!$A$4:$A$18,0)),"CHECK"))</f>
        <v>Kolkata</v>
      </c>
      <c r="AE1937" s="7" t="str">
        <f aca="false">IF(TRIM(E1937)="","",IFERROR(INDEX(Map_Tables!$H$4:$H$37,MATCH(TRIM(E1937),Map_Tables!$G$4:$G$37,0)),"CHECK"))</f>
        <v>Mishti Mandir</v>
      </c>
      <c r="AF1937" s="7" t="str">
        <f aca="false">IF(TRIM(K1937)="","Unknown",IFERROR(INDEX(Map_Tables!$E$4:$E$15,MATCH(TRIM(K1937),Map_Tables!$D$4:$D$15,0)),"CHECK"))</f>
        <v>Credit Card</v>
      </c>
      <c r="AG1937" s="7" t="str">
        <f aca="false">IF(LEFT(LOWER(TRIM(L1937)),6)="cancel","Cancelled","Delivered")</f>
        <v>Delivered</v>
      </c>
      <c r="AH1937" s="10" t="n">
        <f aca="false">IF(ISNUMBER(SEARCH("/",B1937)),DATE(VALUE(RIGHT(B1937,4)),VALUE(MID(B1937,4,2)),VALUE(LEFT(B1937,2))),IF(MID(B1937,5,1)="-",DATE(VALUE(LEFT(B1937,4)),VALUE(MID(B1937,6,2)),VALUE(RIGHT(B1937,2))),DATE(VALUE(RIGHT(B1937,4)),MATCH(MID(B1937,4,3),{"Jan","Feb","Mar","Apr","May","Jun","Jul","Aug","Sep","Oct","Nov","Dec"},0),VALUE(LEFT(B1937,2)))))</f>
        <v>45745</v>
      </c>
    </row>
    <row r="1938" customFormat="false" ht="15" hidden="false" customHeight="false" outlineLevel="0" collapsed="false">
      <c r="A1938" s="7" t="s">
        <v>4657</v>
      </c>
      <c r="B1938" s="7" t="s">
        <v>960</v>
      </c>
      <c r="C1938" s="7" t="s">
        <v>3038</v>
      </c>
      <c r="D1938" s="7" t="s">
        <v>3184</v>
      </c>
      <c r="E1938" s="7" t="s">
        <v>160</v>
      </c>
      <c r="F1938" s="7" t="s">
        <v>1226</v>
      </c>
      <c r="G1938" s="7" t="s">
        <v>150</v>
      </c>
      <c r="H1938" s="7" t="n">
        <v>3</v>
      </c>
      <c r="I1938" s="7" t="n">
        <v>185</v>
      </c>
      <c r="J1938" s="7" t="n">
        <v>0</v>
      </c>
      <c r="K1938" s="7" t="s">
        <v>88</v>
      </c>
      <c r="L1938" s="7" t="s">
        <v>194</v>
      </c>
      <c r="M1938" s="7" t="n">
        <v>40</v>
      </c>
      <c r="N1938" s="7" t="n">
        <v>4</v>
      </c>
      <c r="O1938" s="7" t="str">
        <f aca="false">A1938&amp;"|"&amp;B1938&amp;"|"&amp;C1938&amp;"|"&amp;D1938&amp;"|"&amp;E1938&amp;"|"&amp;F1938&amp;"|"&amp;G1938&amp;"|"&amp;H1938&amp;"|"&amp;I1938&amp;"|"&amp;J1938&amp;"|"&amp;K1938&amp;"|"&amp;L1938&amp;"|"&amp;M1938&amp;"|"&amp;N1938</f>
        <v>ORD10935|2025-04-28|19:15|C1265|Cake Walk|Pune |Desserts|3|185|0|UPI|Delivered|40|4</v>
      </c>
      <c r="P1938" s="7" t="str">
        <f aca="false">IF(COUNTIF($O$2:O1938,O1938)&gt;1,"DUP","OK")</f>
        <v>OK</v>
      </c>
      <c r="Q1938" s="7" t="n">
        <f aca="false">COUNTBLANK(A1938:N1938)</f>
        <v>0</v>
      </c>
      <c r="R1938" s="7" t="n">
        <f aca="false">IF(A1938="",0,COUNTIFS($A$2:$A$3058,A1938,$P$2:$P$3058,"OK"))</f>
        <v>1</v>
      </c>
      <c r="S1938" s="7" t="str">
        <f aca="false">IF(OR(A1938="",P1938="DUP",R1938&lt;2),"",IF(Q1938=_xlfn.MINIFS($Q$2:$Q$3058,$A$2:$A$3058,A1938,$P$2:$P$3058,"OK"),"KEEP","DROP"))</f>
        <v/>
      </c>
      <c r="T1938" s="9" t="n">
        <f aca="false">IF(A1938="",1,0)</f>
        <v>0</v>
      </c>
      <c r="U1938" s="9" t="n">
        <f aca="false">IF(D1938="",1,0)</f>
        <v>0</v>
      </c>
      <c r="V1938" s="9" t="n">
        <f aca="false">IF(E1938="",1,0)</f>
        <v>0</v>
      </c>
      <c r="W1938" s="9" t="n">
        <f aca="false">IF(OR(H1938&lt;1,H1938&gt;10),1,0)</f>
        <v>0</v>
      </c>
      <c r="X1938" s="9" t="n">
        <f aca="false">IF(OR(I1938&lt;=0,I1938&gt;1500),1,0)</f>
        <v>0</v>
      </c>
      <c r="Y1938" s="9" t="n">
        <f aca="false">IF(J1938&gt;H1938*I1938,1,0)</f>
        <v>0</v>
      </c>
      <c r="Z1938" s="9" t="n">
        <f aca="false">IF(AND(N1938&lt;&gt;"",OR(N1938&lt;1,N1938&gt;5)),1,0)</f>
        <v>0</v>
      </c>
      <c r="AA1938" s="9" t="n">
        <f aca="false">IF(AND(M1938&lt;&gt;"",OR(M1938&lt;5,M1938&gt;180)),1,0)</f>
        <v>0</v>
      </c>
      <c r="AB1938" s="7" t="str">
        <f aca="false">IF(P1938="DUP","Exact duplicate row",IF(T1938=1,"Missing Order ID",IF(S1938="DROP","Duplicate Order ID (less complete row)",IF(U1938=1,"Missing Customer ID",IF(V1938=1,"Missing Restaurant name",IF(W1938=1,"Invalid/outlier quantity",IF(X1938=1,"Invalid/outlier unit price",IF(Y1938=1,"Discount greater than order value",""))))))))</f>
        <v/>
      </c>
      <c r="AC1938" s="7" t="str">
        <f aca="false">IF(AB1938="","KEEP","DROP")</f>
        <v>KEEP</v>
      </c>
      <c r="AD1938" s="7" t="str">
        <f aca="false">IF(TRIM(F1938)="",IFERROR(INDEX(Map_Tables!$I$4:$I$37,MATCH(TRIM(E1938),Map_Tables!$G$4:$G$37,0)),""),IFERROR(INDEX(Map_Tables!$B$4:$B$18,MATCH(TRIM(F1938),Map_Tables!$A$4:$A$18,0)),"CHECK"))</f>
        <v>Pune</v>
      </c>
      <c r="AE1938" s="7" t="str">
        <f aca="false">IF(TRIM(E1938)="","",IFERROR(INDEX(Map_Tables!$H$4:$H$37,MATCH(TRIM(E1938),Map_Tables!$G$4:$G$37,0)),"CHECK"))</f>
        <v>Cake Walk</v>
      </c>
      <c r="AF1938" s="7" t="str">
        <f aca="false">IF(TRIM(K1938)="","Unknown",IFERROR(INDEX(Map_Tables!$E$4:$E$15,MATCH(TRIM(K1938),Map_Tables!$D$4:$D$15,0)),"CHECK"))</f>
        <v>UPI</v>
      </c>
      <c r="AG1938" s="7" t="str">
        <f aca="false">IF(LEFT(LOWER(TRIM(L1938)),6)="cancel","Cancelled","Delivered")</f>
        <v>Delivered</v>
      </c>
      <c r="AH1938" s="10" t="n">
        <f aca="false">IF(ISNUMBER(SEARCH("/",B1938)),DATE(VALUE(RIGHT(B1938,4)),VALUE(MID(B1938,4,2)),VALUE(LEFT(B1938,2))),IF(MID(B1938,5,1)="-",DATE(VALUE(LEFT(B1938,4)),VALUE(MID(B1938,6,2)),VALUE(RIGHT(B1938,2))),DATE(VALUE(RIGHT(B1938,4)),MATCH(MID(B1938,4,3),{"Jan","Feb","Mar","Apr","May","Jun","Jul","Aug","Sep","Oct","Nov","Dec"},0),VALUE(LEFT(B1938,2)))))</f>
        <v>45775</v>
      </c>
    </row>
    <row r="1939" customFormat="false" ht="15" hidden="false" customHeight="false" outlineLevel="0" collapsed="false">
      <c r="A1939" s="7" t="s">
        <v>4658</v>
      </c>
      <c r="B1939" s="7" t="s">
        <v>1132</v>
      </c>
      <c r="C1939" s="7" t="s">
        <v>1734</v>
      </c>
      <c r="D1939" s="7" t="s">
        <v>1878</v>
      </c>
      <c r="E1939" s="7" t="s">
        <v>134</v>
      </c>
      <c r="F1939" s="7" t="s">
        <v>110</v>
      </c>
      <c r="G1939" s="7" t="s">
        <v>117</v>
      </c>
      <c r="H1939" s="7" t="n">
        <v>2</v>
      </c>
      <c r="I1939" s="7" t="n">
        <v>85</v>
      </c>
      <c r="J1939" s="7" t="n">
        <v>0</v>
      </c>
      <c r="K1939" s="7" t="s">
        <v>93</v>
      </c>
      <c r="L1939" s="7" t="s">
        <v>194</v>
      </c>
      <c r="M1939" s="7" t="n">
        <v>39</v>
      </c>
      <c r="N1939" s="7" t="n">
        <v>4</v>
      </c>
      <c r="O1939" s="7" t="str">
        <f aca="false">A1939&amp;"|"&amp;B1939&amp;"|"&amp;C1939&amp;"|"&amp;D1939&amp;"|"&amp;E1939&amp;"|"&amp;F1939&amp;"|"&amp;G1939&amp;"|"&amp;H1939&amp;"|"&amp;I1939&amp;"|"&amp;J1939&amp;"|"&amp;K1939&amp;"|"&amp;L1939&amp;"|"&amp;M1939&amp;"|"&amp;N1939</f>
        <v>ORD10687|2025-03-28|17:16|C0020|Chaat Corner|Delhi|Street Food|2|85|0|Credit Card|Delivered|39|4</v>
      </c>
      <c r="P1939" s="7" t="str">
        <f aca="false">IF(COUNTIF($O$2:O1939,O1939)&gt;1,"DUP","OK")</f>
        <v>OK</v>
      </c>
      <c r="Q1939" s="7" t="n">
        <f aca="false">COUNTBLANK(A1939:N1939)</f>
        <v>0</v>
      </c>
      <c r="R1939" s="7" t="n">
        <f aca="false">IF(A1939="",0,COUNTIFS($A$2:$A$3058,A1939,$P$2:$P$3058,"OK"))</f>
        <v>1</v>
      </c>
      <c r="S1939" s="7" t="str">
        <f aca="false">IF(OR(A1939="",P1939="DUP",R1939&lt;2),"",IF(Q1939=_xlfn.MINIFS($Q$2:$Q$3058,$A$2:$A$3058,A1939,$P$2:$P$3058,"OK"),"KEEP","DROP"))</f>
        <v/>
      </c>
      <c r="T1939" s="9" t="n">
        <f aca="false">IF(A1939="",1,0)</f>
        <v>0</v>
      </c>
      <c r="U1939" s="9" t="n">
        <f aca="false">IF(D1939="",1,0)</f>
        <v>0</v>
      </c>
      <c r="V1939" s="9" t="n">
        <f aca="false">IF(E1939="",1,0)</f>
        <v>0</v>
      </c>
      <c r="W1939" s="9" t="n">
        <f aca="false">IF(OR(H1939&lt;1,H1939&gt;10),1,0)</f>
        <v>0</v>
      </c>
      <c r="X1939" s="9" t="n">
        <f aca="false">IF(OR(I1939&lt;=0,I1939&gt;1500),1,0)</f>
        <v>0</v>
      </c>
      <c r="Y1939" s="9" t="n">
        <f aca="false">IF(J1939&gt;H1939*I1939,1,0)</f>
        <v>0</v>
      </c>
      <c r="Z1939" s="9" t="n">
        <f aca="false">IF(AND(N1939&lt;&gt;"",OR(N1939&lt;1,N1939&gt;5)),1,0)</f>
        <v>0</v>
      </c>
      <c r="AA1939" s="9" t="n">
        <f aca="false">IF(AND(M1939&lt;&gt;"",OR(M1939&lt;5,M1939&gt;180)),1,0)</f>
        <v>0</v>
      </c>
      <c r="AB1939" s="7" t="str">
        <f aca="false">IF(P1939="DUP","Exact duplicate row",IF(T1939=1,"Missing Order ID",IF(S1939="DROP","Duplicate Order ID (less complete row)",IF(U1939=1,"Missing Customer ID",IF(V1939=1,"Missing Restaurant name",IF(W1939=1,"Invalid/outlier quantity",IF(X1939=1,"Invalid/outlier unit price",IF(Y1939=1,"Discount greater than order value",""))))))))</f>
        <v/>
      </c>
      <c r="AC1939" s="7" t="str">
        <f aca="false">IF(AB1939="","KEEP","DROP")</f>
        <v>KEEP</v>
      </c>
      <c r="AD1939" s="7" t="str">
        <f aca="false">IF(TRIM(F1939)="",IFERROR(INDEX(Map_Tables!$I$4:$I$37,MATCH(TRIM(E1939),Map_Tables!$G$4:$G$37,0)),""),IFERROR(INDEX(Map_Tables!$B$4:$B$18,MATCH(TRIM(F1939),Map_Tables!$A$4:$A$18,0)),"CHECK"))</f>
        <v>Delhi</v>
      </c>
      <c r="AE1939" s="7" t="str">
        <f aca="false">IF(TRIM(E1939)="","",IFERROR(INDEX(Map_Tables!$H$4:$H$37,MATCH(TRIM(E1939),Map_Tables!$G$4:$G$37,0)),"CHECK"))</f>
        <v>Chaat Corner</v>
      </c>
      <c r="AF1939" s="7" t="str">
        <f aca="false">IF(TRIM(K1939)="","Unknown",IFERROR(INDEX(Map_Tables!$E$4:$E$15,MATCH(TRIM(K1939),Map_Tables!$D$4:$D$15,0)),"CHECK"))</f>
        <v>Credit Card</v>
      </c>
      <c r="AG1939" s="7" t="str">
        <f aca="false">IF(LEFT(LOWER(TRIM(L1939)),6)="cancel","Cancelled","Delivered")</f>
        <v>Delivered</v>
      </c>
      <c r="AH1939" s="10" t="n">
        <f aca="false">IF(ISNUMBER(SEARCH("/",B1939)),DATE(VALUE(RIGHT(B1939,4)),VALUE(MID(B1939,4,2)),VALUE(LEFT(B1939,2))),IF(MID(B1939,5,1)="-",DATE(VALUE(LEFT(B1939,4)),VALUE(MID(B1939,6,2)),VALUE(RIGHT(B1939,2))),DATE(VALUE(RIGHT(B1939,4)),MATCH(MID(B1939,4,3),{"Jan","Feb","Mar","Apr","May","Jun","Jul","Aug","Sep","Oct","Nov","Dec"},0),VALUE(LEFT(B1939,2)))))</f>
        <v>45744</v>
      </c>
    </row>
    <row r="1940" customFormat="false" ht="15" hidden="false" customHeight="false" outlineLevel="0" collapsed="false">
      <c r="A1940" s="7" t="s">
        <v>4659</v>
      </c>
      <c r="B1940" s="7" t="s">
        <v>473</v>
      </c>
      <c r="C1940" s="7" t="s">
        <v>1250</v>
      </c>
      <c r="D1940" s="7" t="s">
        <v>1232</v>
      </c>
      <c r="E1940" s="7" t="s">
        <v>260</v>
      </c>
      <c r="F1940" s="7" t="s">
        <v>110</v>
      </c>
      <c r="G1940" s="7" t="s">
        <v>139</v>
      </c>
      <c r="H1940" s="7" t="n">
        <v>2</v>
      </c>
      <c r="I1940" s="7" t="n">
        <v>210</v>
      </c>
      <c r="J1940" s="7" t="n">
        <v>0</v>
      </c>
      <c r="K1940" s="7" t="s">
        <v>112</v>
      </c>
      <c r="L1940" s="7" t="s">
        <v>194</v>
      </c>
      <c r="M1940" s="7" t="n">
        <v>52</v>
      </c>
      <c r="N1940" s="7" t="n">
        <v>2</v>
      </c>
      <c r="O1940" s="7" t="str">
        <f aca="false">A1940&amp;"|"&amp;B1940&amp;"|"&amp;C1940&amp;"|"&amp;D1940&amp;"|"&amp;E1940&amp;"|"&amp;F1940&amp;"|"&amp;G1940&amp;"|"&amp;H1940&amp;"|"&amp;I1940&amp;"|"&amp;J1940&amp;"|"&amp;K1940&amp;"|"&amp;L1940&amp;"|"&amp;M1940&amp;"|"&amp;N1940</f>
        <v>ORD10818|2025-04-14|12:02|C0512| Burger Barn|Delhi|Burgers|2|210|0|Cash on Delivery|Delivered|52|2</v>
      </c>
      <c r="P1940" s="7" t="str">
        <f aca="false">IF(COUNTIF($O$2:O1940,O1940)&gt;1,"DUP","OK")</f>
        <v>OK</v>
      </c>
      <c r="Q1940" s="7" t="n">
        <f aca="false">COUNTBLANK(A1940:N1940)</f>
        <v>0</v>
      </c>
      <c r="R1940" s="7" t="n">
        <f aca="false">IF(A1940="",0,COUNTIFS($A$2:$A$3058,A1940,$P$2:$P$3058,"OK"))</f>
        <v>1</v>
      </c>
      <c r="S1940" s="7" t="str">
        <f aca="false">IF(OR(A1940="",P1940="DUP",R1940&lt;2),"",IF(Q1940=_xlfn.MINIFS($Q$2:$Q$3058,$A$2:$A$3058,A1940,$P$2:$P$3058,"OK"),"KEEP","DROP"))</f>
        <v/>
      </c>
      <c r="T1940" s="9" t="n">
        <f aca="false">IF(A1940="",1,0)</f>
        <v>0</v>
      </c>
      <c r="U1940" s="9" t="n">
        <f aca="false">IF(D1940="",1,0)</f>
        <v>0</v>
      </c>
      <c r="V1940" s="9" t="n">
        <f aca="false">IF(E1940="",1,0)</f>
        <v>0</v>
      </c>
      <c r="W1940" s="9" t="n">
        <f aca="false">IF(OR(H1940&lt;1,H1940&gt;10),1,0)</f>
        <v>0</v>
      </c>
      <c r="X1940" s="9" t="n">
        <f aca="false">IF(OR(I1940&lt;=0,I1940&gt;1500),1,0)</f>
        <v>0</v>
      </c>
      <c r="Y1940" s="9" t="n">
        <f aca="false">IF(J1940&gt;H1940*I1940,1,0)</f>
        <v>0</v>
      </c>
      <c r="Z1940" s="9" t="n">
        <f aca="false">IF(AND(N1940&lt;&gt;"",OR(N1940&lt;1,N1940&gt;5)),1,0)</f>
        <v>0</v>
      </c>
      <c r="AA1940" s="9" t="n">
        <f aca="false">IF(AND(M1940&lt;&gt;"",OR(M1940&lt;5,M1940&gt;180)),1,0)</f>
        <v>0</v>
      </c>
      <c r="AB1940" s="7" t="str">
        <f aca="false">IF(P1940="DUP","Exact duplicate row",IF(T1940=1,"Missing Order ID",IF(S1940="DROP","Duplicate Order ID (less complete row)",IF(U1940=1,"Missing Customer ID",IF(V1940=1,"Missing Restaurant name",IF(W1940=1,"Invalid/outlier quantity",IF(X1940=1,"Invalid/outlier unit price",IF(Y1940=1,"Discount greater than order value",""))))))))</f>
        <v/>
      </c>
      <c r="AC1940" s="7" t="str">
        <f aca="false">IF(AB1940="","KEEP","DROP")</f>
        <v>KEEP</v>
      </c>
      <c r="AD1940" s="7" t="str">
        <f aca="false">IF(TRIM(F1940)="",IFERROR(INDEX(Map_Tables!$I$4:$I$37,MATCH(TRIM(E1940),Map_Tables!$G$4:$G$37,0)),""),IFERROR(INDEX(Map_Tables!$B$4:$B$18,MATCH(TRIM(F1940),Map_Tables!$A$4:$A$18,0)),"CHECK"))</f>
        <v>Delhi</v>
      </c>
      <c r="AE1940" s="7" t="str">
        <f aca="false">IF(TRIM(E1940)="","",IFERROR(INDEX(Map_Tables!$H$4:$H$37,MATCH(TRIM(E1940),Map_Tables!$G$4:$G$37,0)),"CHECK"))</f>
        <v>Burger Barn</v>
      </c>
      <c r="AF1940" s="7" t="str">
        <f aca="false">IF(TRIM(K1940)="","Unknown",IFERROR(INDEX(Map_Tables!$E$4:$E$15,MATCH(TRIM(K1940),Map_Tables!$D$4:$D$15,0)),"CHECK"))</f>
        <v>Cash on Delivery</v>
      </c>
      <c r="AG1940" s="7" t="str">
        <f aca="false">IF(LEFT(LOWER(TRIM(L1940)),6)="cancel","Cancelled","Delivered")</f>
        <v>Delivered</v>
      </c>
      <c r="AH1940" s="10" t="n">
        <f aca="false">IF(ISNUMBER(SEARCH("/",B1940)),DATE(VALUE(RIGHT(B1940,4)),VALUE(MID(B1940,4,2)),VALUE(LEFT(B1940,2))),IF(MID(B1940,5,1)="-",DATE(VALUE(LEFT(B1940,4)),VALUE(MID(B1940,6,2)),VALUE(RIGHT(B1940,2))),DATE(VALUE(RIGHT(B1940,4)),MATCH(MID(B1940,4,3),{"Jan","Feb","Mar","Apr","May","Jun","Jul","Aug","Sep","Oct","Nov","Dec"},0),VALUE(LEFT(B1940,2)))))</f>
        <v>45761</v>
      </c>
    </row>
    <row r="1941" customFormat="false" ht="15" hidden="false" customHeight="false" outlineLevel="0" collapsed="false">
      <c r="A1941" s="7" t="s">
        <v>4660</v>
      </c>
      <c r="B1941" s="7" t="s">
        <v>2050</v>
      </c>
      <c r="C1941" s="7" t="s">
        <v>4661</v>
      </c>
      <c r="D1941" s="7" t="s">
        <v>4662</v>
      </c>
      <c r="E1941" s="7" t="s">
        <v>138</v>
      </c>
      <c r="F1941" s="7" t="s">
        <v>110</v>
      </c>
      <c r="G1941" s="7" t="s">
        <v>139</v>
      </c>
      <c r="H1941" s="7" t="n">
        <v>1</v>
      </c>
      <c r="I1941" s="7" t="n">
        <v>185</v>
      </c>
      <c r="J1941" s="7" t="n">
        <v>74</v>
      </c>
      <c r="K1941" s="7" t="s">
        <v>88</v>
      </c>
      <c r="L1941" s="7" t="s">
        <v>194</v>
      </c>
      <c r="M1941" s="7" t="n">
        <v>39</v>
      </c>
      <c r="N1941" s="7"/>
      <c r="O1941" s="7" t="str">
        <f aca="false">A1941&amp;"|"&amp;B1941&amp;"|"&amp;C1941&amp;"|"&amp;D1941&amp;"|"&amp;E1941&amp;"|"&amp;F1941&amp;"|"&amp;G1941&amp;"|"&amp;H1941&amp;"|"&amp;I1941&amp;"|"&amp;J1941&amp;"|"&amp;K1941&amp;"|"&amp;L1941&amp;"|"&amp;M1941&amp;"|"&amp;N1941</f>
        <v>ORD10217|2025-01-29|22:20|C0371|Burger Barn|Delhi|Burgers|1|185|74|UPI|Delivered|39|</v>
      </c>
      <c r="P1941" s="7" t="str">
        <f aca="false">IF(COUNTIF($O$2:O1941,O1941)&gt;1,"DUP","OK")</f>
        <v>OK</v>
      </c>
      <c r="Q1941" s="7" t="n">
        <f aca="false">COUNTBLANK(A1941:N1941)</f>
        <v>1</v>
      </c>
      <c r="R1941" s="7" t="n">
        <f aca="false">IF(A1941="",0,COUNTIFS($A$2:$A$3058,A1941,$P$2:$P$3058,"OK"))</f>
        <v>1</v>
      </c>
      <c r="S1941" s="7" t="str">
        <f aca="false">IF(OR(A1941="",P1941="DUP",R1941&lt;2),"",IF(Q1941=_xlfn.MINIFS($Q$2:$Q$3058,$A$2:$A$3058,A1941,$P$2:$P$3058,"OK"),"KEEP","DROP"))</f>
        <v/>
      </c>
      <c r="T1941" s="9" t="n">
        <f aca="false">IF(A1941="",1,0)</f>
        <v>0</v>
      </c>
      <c r="U1941" s="9" t="n">
        <f aca="false">IF(D1941="",1,0)</f>
        <v>0</v>
      </c>
      <c r="V1941" s="9" t="n">
        <f aca="false">IF(E1941="",1,0)</f>
        <v>0</v>
      </c>
      <c r="W1941" s="9" t="n">
        <f aca="false">IF(OR(H1941&lt;1,H1941&gt;10),1,0)</f>
        <v>0</v>
      </c>
      <c r="X1941" s="9" t="n">
        <f aca="false">IF(OR(I1941&lt;=0,I1941&gt;1500),1,0)</f>
        <v>0</v>
      </c>
      <c r="Y1941" s="9" t="n">
        <f aca="false">IF(J1941&gt;H1941*I1941,1,0)</f>
        <v>0</v>
      </c>
      <c r="Z1941" s="9" t="n">
        <f aca="false">IF(AND(N1941&lt;&gt;"",OR(N1941&lt;1,N1941&gt;5)),1,0)</f>
        <v>0</v>
      </c>
      <c r="AA1941" s="9" t="n">
        <f aca="false">IF(AND(M1941&lt;&gt;"",OR(M1941&lt;5,M1941&gt;180)),1,0)</f>
        <v>0</v>
      </c>
      <c r="AB1941" s="7" t="str">
        <f aca="false">IF(P1941="DUP","Exact duplicate row",IF(T1941=1,"Missing Order ID",IF(S1941="DROP","Duplicate Order ID (less complete row)",IF(U1941=1,"Missing Customer ID",IF(V1941=1,"Missing Restaurant name",IF(W1941=1,"Invalid/outlier quantity",IF(X1941=1,"Invalid/outlier unit price",IF(Y1941=1,"Discount greater than order value",""))))))))</f>
        <v/>
      </c>
      <c r="AC1941" s="7" t="str">
        <f aca="false">IF(AB1941="","KEEP","DROP")</f>
        <v>KEEP</v>
      </c>
      <c r="AD1941" s="7" t="str">
        <f aca="false">IF(TRIM(F1941)="",IFERROR(INDEX(Map_Tables!$I$4:$I$37,MATCH(TRIM(E1941),Map_Tables!$G$4:$G$37,0)),""),IFERROR(INDEX(Map_Tables!$B$4:$B$18,MATCH(TRIM(F1941),Map_Tables!$A$4:$A$18,0)),"CHECK"))</f>
        <v>Delhi</v>
      </c>
      <c r="AE1941" s="7" t="str">
        <f aca="false">IF(TRIM(E1941)="","",IFERROR(INDEX(Map_Tables!$H$4:$H$37,MATCH(TRIM(E1941),Map_Tables!$G$4:$G$37,0)),"CHECK"))</f>
        <v>Burger Barn</v>
      </c>
      <c r="AF1941" s="7" t="str">
        <f aca="false">IF(TRIM(K1941)="","Unknown",IFERROR(INDEX(Map_Tables!$E$4:$E$15,MATCH(TRIM(K1941),Map_Tables!$D$4:$D$15,0)),"CHECK"))</f>
        <v>UPI</v>
      </c>
      <c r="AG1941" s="7" t="str">
        <f aca="false">IF(LEFT(LOWER(TRIM(L1941)),6)="cancel","Cancelled","Delivered")</f>
        <v>Delivered</v>
      </c>
      <c r="AH1941" s="10" t="n">
        <f aca="false">IF(ISNUMBER(SEARCH("/",B1941)),DATE(VALUE(RIGHT(B1941,4)),VALUE(MID(B1941,4,2)),VALUE(LEFT(B1941,2))),IF(MID(B1941,5,1)="-",DATE(VALUE(LEFT(B1941,4)),VALUE(MID(B1941,6,2)),VALUE(RIGHT(B1941,2))),DATE(VALUE(RIGHT(B1941,4)),MATCH(MID(B1941,4,3),{"Jan","Feb","Mar","Apr","May","Jun","Jul","Aug","Sep","Oct","Nov","Dec"},0),VALUE(LEFT(B1941,2)))))</f>
        <v>45686</v>
      </c>
    </row>
    <row r="1942" customFormat="false" ht="15" hidden="false" customHeight="false" outlineLevel="0" collapsed="false">
      <c r="A1942" s="7" t="s">
        <v>4663</v>
      </c>
      <c r="B1942" s="7" t="s">
        <v>330</v>
      </c>
      <c r="C1942" s="7" t="s">
        <v>1725</v>
      </c>
      <c r="D1942" s="7" t="s">
        <v>2153</v>
      </c>
      <c r="E1942" s="7" t="s">
        <v>159</v>
      </c>
      <c r="F1942" s="7" t="s">
        <v>136</v>
      </c>
      <c r="G1942" s="7" t="s">
        <v>90</v>
      </c>
      <c r="H1942" s="7" t="n">
        <v>1</v>
      </c>
      <c r="I1942" s="7" t="n">
        <v>220</v>
      </c>
      <c r="J1942" s="7" t="n">
        <v>50</v>
      </c>
      <c r="K1942" s="7" t="s">
        <v>112</v>
      </c>
      <c r="L1942" s="7" t="s">
        <v>194</v>
      </c>
      <c r="M1942" s="7" t="n">
        <v>25</v>
      </c>
      <c r="N1942" s="7" t="n">
        <v>4</v>
      </c>
      <c r="O1942" s="7" t="str">
        <f aca="false">A1942&amp;"|"&amp;B1942&amp;"|"&amp;C1942&amp;"|"&amp;D1942&amp;"|"&amp;E1942&amp;"|"&amp;F1942&amp;"|"&amp;G1942&amp;"|"&amp;H1942&amp;"|"&amp;I1942&amp;"|"&amp;J1942&amp;"|"&amp;K1942&amp;"|"&amp;L1942&amp;"|"&amp;M1942&amp;"|"&amp;N1942</f>
        <v>ORD12842|2025-12-13|23:23|C0192|Maratha Thali House|Pune|North Indian|1|220|50|Cash on Delivery|Delivered|25|4</v>
      </c>
      <c r="P1942" s="7" t="str">
        <f aca="false">IF(COUNTIF($O$2:O1942,O1942)&gt;1,"DUP","OK")</f>
        <v>OK</v>
      </c>
      <c r="Q1942" s="7" t="n">
        <f aca="false">COUNTBLANK(A1942:N1942)</f>
        <v>0</v>
      </c>
      <c r="R1942" s="7" t="n">
        <f aca="false">IF(A1942="",0,COUNTIFS($A$2:$A$3058,A1942,$P$2:$P$3058,"OK"))</f>
        <v>1</v>
      </c>
      <c r="S1942" s="7" t="str">
        <f aca="false">IF(OR(A1942="",P1942="DUP",R1942&lt;2),"",IF(Q1942=_xlfn.MINIFS($Q$2:$Q$3058,$A$2:$A$3058,A1942,$P$2:$P$3058,"OK"),"KEEP","DROP"))</f>
        <v/>
      </c>
      <c r="T1942" s="9" t="n">
        <f aca="false">IF(A1942="",1,0)</f>
        <v>0</v>
      </c>
      <c r="U1942" s="9" t="n">
        <f aca="false">IF(D1942="",1,0)</f>
        <v>0</v>
      </c>
      <c r="V1942" s="9" t="n">
        <f aca="false">IF(E1942="",1,0)</f>
        <v>0</v>
      </c>
      <c r="W1942" s="9" t="n">
        <f aca="false">IF(OR(H1942&lt;1,H1942&gt;10),1,0)</f>
        <v>0</v>
      </c>
      <c r="X1942" s="9" t="n">
        <f aca="false">IF(OR(I1942&lt;=0,I1942&gt;1500),1,0)</f>
        <v>0</v>
      </c>
      <c r="Y1942" s="9" t="n">
        <f aca="false">IF(J1942&gt;H1942*I1942,1,0)</f>
        <v>0</v>
      </c>
      <c r="Z1942" s="9" t="n">
        <f aca="false">IF(AND(N1942&lt;&gt;"",OR(N1942&lt;1,N1942&gt;5)),1,0)</f>
        <v>0</v>
      </c>
      <c r="AA1942" s="9" t="n">
        <f aca="false">IF(AND(M1942&lt;&gt;"",OR(M1942&lt;5,M1942&gt;180)),1,0)</f>
        <v>0</v>
      </c>
      <c r="AB1942" s="7" t="str">
        <f aca="false">IF(P1942="DUP","Exact duplicate row",IF(T1942=1,"Missing Order ID",IF(S1942="DROP","Duplicate Order ID (less complete row)",IF(U1942=1,"Missing Customer ID",IF(V1942=1,"Missing Restaurant name",IF(W1942=1,"Invalid/outlier quantity",IF(X1942=1,"Invalid/outlier unit price",IF(Y1942=1,"Discount greater than order value",""))))))))</f>
        <v/>
      </c>
      <c r="AC1942" s="7" t="str">
        <f aca="false">IF(AB1942="","KEEP","DROP")</f>
        <v>KEEP</v>
      </c>
      <c r="AD1942" s="7" t="str">
        <f aca="false">IF(TRIM(F1942)="",IFERROR(INDEX(Map_Tables!$I$4:$I$37,MATCH(TRIM(E1942),Map_Tables!$G$4:$G$37,0)),""),IFERROR(INDEX(Map_Tables!$B$4:$B$18,MATCH(TRIM(F1942),Map_Tables!$A$4:$A$18,0)),"CHECK"))</f>
        <v>Pune</v>
      </c>
      <c r="AE1942" s="7" t="str">
        <f aca="false">IF(TRIM(E1942)="","",IFERROR(INDEX(Map_Tables!$H$4:$H$37,MATCH(TRIM(E1942),Map_Tables!$G$4:$G$37,0)),"CHECK"))</f>
        <v>Maratha Thali House</v>
      </c>
      <c r="AF1942" s="7" t="str">
        <f aca="false">IF(TRIM(K1942)="","Unknown",IFERROR(INDEX(Map_Tables!$E$4:$E$15,MATCH(TRIM(K1942),Map_Tables!$D$4:$D$15,0)),"CHECK"))</f>
        <v>Cash on Delivery</v>
      </c>
      <c r="AG1942" s="7" t="str">
        <f aca="false">IF(LEFT(LOWER(TRIM(L1942)),6)="cancel","Cancelled","Delivered")</f>
        <v>Delivered</v>
      </c>
      <c r="AH1942" s="10" t="n">
        <f aca="false">IF(ISNUMBER(SEARCH("/",B1942)),DATE(VALUE(RIGHT(B1942,4)),VALUE(MID(B1942,4,2)),VALUE(LEFT(B1942,2))),IF(MID(B1942,5,1)="-",DATE(VALUE(LEFT(B1942,4)),VALUE(MID(B1942,6,2)),VALUE(RIGHT(B1942,2))),DATE(VALUE(RIGHT(B1942,4)),MATCH(MID(B1942,4,3),{"Jan","Feb","Mar","Apr","May","Jun","Jul","Aug","Sep","Oct","Nov","Dec"},0),VALUE(LEFT(B1942,2)))))</f>
        <v>46004</v>
      </c>
    </row>
    <row r="1943" customFormat="false" ht="15" hidden="false" customHeight="false" outlineLevel="0" collapsed="false">
      <c r="A1943" s="7" t="s">
        <v>4664</v>
      </c>
      <c r="B1943" s="7" t="s">
        <v>4665</v>
      </c>
      <c r="C1943" s="7" t="s">
        <v>1374</v>
      </c>
      <c r="D1943" s="7" t="s">
        <v>1742</v>
      </c>
      <c r="E1943" s="7" t="s">
        <v>130</v>
      </c>
      <c r="F1943" s="7" t="s">
        <v>110</v>
      </c>
      <c r="G1943" s="7" t="s">
        <v>90</v>
      </c>
      <c r="H1943" s="7" t="n">
        <v>5</v>
      </c>
      <c r="I1943" s="7" t="n">
        <v>230</v>
      </c>
      <c r="J1943" s="7" t="n">
        <v>0</v>
      </c>
      <c r="K1943" s="7" t="s">
        <v>88</v>
      </c>
      <c r="L1943" s="7" t="s">
        <v>194</v>
      </c>
      <c r="M1943" s="7" t="n">
        <v>50</v>
      </c>
      <c r="N1943" s="7" t="n">
        <v>5</v>
      </c>
      <c r="O1943" s="7" t="str">
        <f aca="false">A1943&amp;"|"&amp;B1943&amp;"|"&amp;C1943&amp;"|"&amp;D1943&amp;"|"&amp;E1943&amp;"|"&amp;F1943&amp;"|"&amp;G1943&amp;"|"&amp;H1943&amp;"|"&amp;I1943&amp;"|"&amp;J1943&amp;"|"&amp;K1943&amp;"|"&amp;L1943&amp;"|"&amp;M1943&amp;"|"&amp;N1943</f>
        <v>ORD11278|12-Jun-2025|13:55|C1102|Tandoor Tales|Delhi|North Indian|5|230|0|UPI|Delivered|50|5</v>
      </c>
      <c r="P1943" s="7" t="str">
        <f aca="false">IF(COUNTIF($O$2:O1943,O1943)&gt;1,"DUP","OK")</f>
        <v>OK</v>
      </c>
      <c r="Q1943" s="7" t="n">
        <f aca="false">COUNTBLANK(A1943:N1943)</f>
        <v>0</v>
      </c>
      <c r="R1943" s="7" t="n">
        <f aca="false">IF(A1943="",0,COUNTIFS($A$2:$A$3058,A1943,$P$2:$P$3058,"OK"))</f>
        <v>1</v>
      </c>
      <c r="S1943" s="7" t="str">
        <f aca="false">IF(OR(A1943="",P1943="DUP",R1943&lt;2),"",IF(Q1943=_xlfn.MINIFS($Q$2:$Q$3058,$A$2:$A$3058,A1943,$P$2:$P$3058,"OK"),"KEEP","DROP"))</f>
        <v/>
      </c>
      <c r="T1943" s="9" t="n">
        <f aca="false">IF(A1943="",1,0)</f>
        <v>0</v>
      </c>
      <c r="U1943" s="9" t="n">
        <f aca="false">IF(D1943="",1,0)</f>
        <v>0</v>
      </c>
      <c r="V1943" s="9" t="n">
        <f aca="false">IF(E1943="",1,0)</f>
        <v>0</v>
      </c>
      <c r="W1943" s="9" t="n">
        <f aca="false">IF(OR(H1943&lt;1,H1943&gt;10),1,0)</f>
        <v>0</v>
      </c>
      <c r="X1943" s="9" t="n">
        <f aca="false">IF(OR(I1943&lt;=0,I1943&gt;1500),1,0)</f>
        <v>0</v>
      </c>
      <c r="Y1943" s="9" t="n">
        <f aca="false">IF(J1943&gt;H1943*I1943,1,0)</f>
        <v>0</v>
      </c>
      <c r="Z1943" s="9" t="n">
        <f aca="false">IF(AND(N1943&lt;&gt;"",OR(N1943&lt;1,N1943&gt;5)),1,0)</f>
        <v>0</v>
      </c>
      <c r="AA1943" s="9" t="n">
        <f aca="false">IF(AND(M1943&lt;&gt;"",OR(M1943&lt;5,M1943&gt;180)),1,0)</f>
        <v>0</v>
      </c>
      <c r="AB1943" s="7" t="str">
        <f aca="false">IF(P1943="DUP","Exact duplicate row",IF(T1943=1,"Missing Order ID",IF(S1943="DROP","Duplicate Order ID (less complete row)",IF(U1943=1,"Missing Customer ID",IF(V1943=1,"Missing Restaurant name",IF(W1943=1,"Invalid/outlier quantity",IF(X1943=1,"Invalid/outlier unit price",IF(Y1943=1,"Discount greater than order value",""))))))))</f>
        <v/>
      </c>
      <c r="AC1943" s="7" t="str">
        <f aca="false">IF(AB1943="","KEEP","DROP")</f>
        <v>KEEP</v>
      </c>
      <c r="AD1943" s="7" t="str">
        <f aca="false">IF(TRIM(F1943)="",IFERROR(INDEX(Map_Tables!$I$4:$I$37,MATCH(TRIM(E1943),Map_Tables!$G$4:$G$37,0)),""),IFERROR(INDEX(Map_Tables!$B$4:$B$18,MATCH(TRIM(F1943),Map_Tables!$A$4:$A$18,0)),"CHECK"))</f>
        <v>Delhi</v>
      </c>
      <c r="AE1943" s="7" t="str">
        <f aca="false">IF(TRIM(E1943)="","",IFERROR(INDEX(Map_Tables!$H$4:$H$37,MATCH(TRIM(E1943),Map_Tables!$G$4:$G$37,0)),"CHECK"))</f>
        <v>Tandoor Tales</v>
      </c>
      <c r="AF1943" s="7" t="str">
        <f aca="false">IF(TRIM(K1943)="","Unknown",IFERROR(INDEX(Map_Tables!$E$4:$E$15,MATCH(TRIM(K1943),Map_Tables!$D$4:$D$15,0)),"CHECK"))</f>
        <v>UPI</v>
      </c>
      <c r="AG1943" s="7" t="str">
        <f aca="false">IF(LEFT(LOWER(TRIM(L1943)),6)="cancel","Cancelled","Delivered")</f>
        <v>Delivered</v>
      </c>
      <c r="AH1943" s="10" t="n">
        <f aca="false">IF(ISNUMBER(SEARCH("/",B1943)),DATE(VALUE(RIGHT(B1943,4)),VALUE(MID(B1943,4,2)),VALUE(LEFT(B1943,2))),IF(MID(B1943,5,1)="-",DATE(VALUE(LEFT(B1943,4)),VALUE(MID(B1943,6,2)),VALUE(RIGHT(B1943,2))),DATE(VALUE(RIGHT(B1943,4)),MATCH(MID(B1943,4,3),{"Jan","Feb","Mar","Apr","May","Jun","Jul","Aug","Sep","Oct","Nov","Dec"},0),VALUE(LEFT(B1943,2)))))</f>
        <v>45820</v>
      </c>
    </row>
    <row r="1944" customFormat="false" ht="15" hidden="false" customHeight="false" outlineLevel="0" collapsed="false">
      <c r="A1944" s="7" t="s">
        <v>4666</v>
      </c>
      <c r="B1944" s="7" t="s">
        <v>3662</v>
      </c>
      <c r="C1944" s="7" t="s">
        <v>2202</v>
      </c>
      <c r="D1944" s="7" t="s">
        <v>3977</v>
      </c>
      <c r="E1944" s="7" t="s">
        <v>134</v>
      </c>
      <c r="F1944" s="7" t="s">
        <v>110</v>
      </c>
      <c r="G1944" s="7" t="s">
        <v>117</v>
      </c>
      <c r="H1944" s="7" t="n">
        <v>2</v>
      </c>
      <c r="I1944" s="7" t="n">
        <v>125</v>
      </c>
      <c r="J1944" s="7" t="n">
        <v>75</v>
      </c>
      <c r="K1944" s="7" t="s">
        <v>88</v>
      </c>
      <c r="L1944" s="7" t="s">
        <v>194</v>
      </c>
      <c r="M1944" s="7" t="n">
        <v>48</v>
      </c>
      <c r="N1944" s="7"/>
      <c r="O1944" s="7" t="str">
        <f aca="false">A1944&amp;"|"&amp;B1944&amp;"|"&amp;C1944&amp;"|"&amp;D1944&amp;"|"&amp;E1944&amp;"|"&amp;F1944&amp;"|"&amp;G1944&amp;"|"&amp;H1944&amp;"|"&amp;I1944&amp;"|"&amp;J1944&amp;"|"&amp;K1944&amp;"|"&amp;L1944&amp;"|"&amp;M1944&amp;"|"&amp;N1944</f>
        <v>ORD10153|20/01/2025|12:40|C0947|Chaat Corner|Delhi|Street Food|2|125|75|UPI|Delivered|48|</v>
      </c>
      <c r="P1944" s="7" t="str">
        <f aca="false">IF(COUNTIF($O$2:O1944,O1944)&gt;1,"DUP","OK")</f>
        <v>OK</v>
      </c>
      <c r="Q1944" s="7" t="n">
        <f aca="false">COUNTBLANK(A1944:N1944)</f>
        <v>1</v>
      </c>
      <c r="R1944" s="7" t="n">
        <f aca="false">IF(A1944="",0,COUNTIFS($A$2:$A$3058,A1944,$P$2:$P$3058,"OK"))</f>
        <v>1</v>
      </c>
      <c r="S1944" s="7" t="str">
        <f aca="false">IF(OR(A1944="",P1944="DUP",R1944&lt;2),"",IF(Q1944=_xlfn.MINIFS($Q$2:$Q$3058,$A$2:$A$3058,A1944,$P$2:$P$3058,"OK"),"KEEP","DROP"))</f>
        <v/>
      </c>
      <c r="T1944" s="9" t="n">
        <f aca="false">IF(A1944="",1,0)</f>
        <v>0</v>
      </c>
      <c r="U1944" s="9" t="n">
        <f aca="false">IF(D1944="",1,0)</f>
        <v>0</v>
      </c>
      <c r="V1944" s="9" t="n">
        <f aca="false">IF(E1944="",1,0)</f>
        <v>0</v>
      </c>
      <c r="W1944" s="9" t="n">
        <f aca="false">IF(OR(H1944&lt;1,H1944&gt;10),1,0)</f>
        <v>0</v>
      </c>
      <c r="X1944" s="9" t="n">
        <f aca="false">IF(OR(I1944&lt;=0,I1944&gt;1500),1,0)</f>
        <v>0</v>
      </c>
      <c r="Y1944" s="9" t="n">
        <f aca="false">IF(J1944&gt;H1944*I1944,1,0)</f>
        <v>0</v>
      </c>
      <c r="Z1944" s="9" t="n">
        <f aca="false">IF(AND(N1944&lt;&gt;"",OR(N1944&lt;1,N1944&gt;5)),1,0)</f>
        <v>0</v>
      </c>
      <c r="AA1944" s="9" t="n">
        <f aca="false">IF(AND(M1944&lt;&gt;"",OR(M1944&lt;5,M1944&gt;180)),1,0)</f>
        <v>0</v>
      </c>
      <c r="AB1944" s="7" t="str">
        <f aca="false">IF(P1944="DUP","Exact duplicate row",IF(T1944=1,"Missing Order ID",IF(S1944="DROP","Duplicate Order ID (less complete row)",IF(U1944=1,"Missing Customer ID",IF(V1944=1,"Missing Restaurant name",IF(W1944=1,"Invalid/outlier quantity",IF(X1944=1,"Invalid/outlier unit price",IF(Y1944=1,"Discount greater than order value",""))))))))</f>
        <v/>
      </c>
      <c r="AC1944" s="7" t="str">
        <f aca="false">IF(AB1944="","KEEP","DROP")</f>
        <v>KEEP</v>
      </c>
      <c r="AD1944" s="7" t="str">
        <f aca="false">IF(TRIM(F1944)="",IFERROR(INDEX(Map_Tables!$I$4:$I$37,MATCH(TRIM(E1944),Map_Tables!$G$4:$G$37,0)),""),IFERROR(INDEX(Map_Tables!$B$4:$B$18,MATCH(TRIM(F1944),Map_Tables!$A$4:$A$18,0)),"CHECK"))</f>
        <v>Delhi</v>
      </c>
      <c r="AE1944" s="7" t="str">
        <f aca="false">IF(TRIM(E1944)="","",IFERROR(INDEX(Map_Tables!$H$4:$H$37,MATCH(TRIM(E1944),Map_Tables!$G$4:$G$37,0)),"CHECK"))</f>
        <v>Chaat Corner</v>
      </c>
      <c r="AF1944" s="7" t="str">
        <f aca="false">IF(TRIM(K1944)="","Unknown",IFERROR(INDEX(Map_Tables!$E$4:$E$15,MATCH(TRIM(K1944),Map_Tables!$D$4:$D$15,0)),"CHECK"))</f>
        <v>UPI</v>
      </c>
      <c r="AG1944" s="7" t="str">
        <f aca="false">IF(LEFT(LOWER(TRIM(L1944)),6)="cancel","Cancelled","Delivered")</f>
        <v>Delivered</v>
      </c>
      <c r="AH1944" s="10" t="n">
        <f aca="false">IF(ISNUMBER(SEARCH("/",B1944)),DATE(VALUE(RIGHT(B1944,4)),VALUE(MID(B1944,4,2)),VALUE(LEFT(B1944,2))),IF(MID(B1944,5,1)="-",DATE(VALUE(LEFT(B1944,4)),VALUE(MID(B1944,6,2)),VALUE(RIGHT(B1944,2))),DATE(VALUE(RIGHT(B1944,4)),MATCH(MID(B1944,4,3),{"Jan","Feb","Mar","Apr","May","Jun","Jul","Aug","Sep","Oct","Nov","Dec"},0),VALUE(LEFT(B1944,2)))))</f>
        <v>45677</v>
      </c>
    </row>
    <row r="1945" customFormat="false" ht="15" hidden="false" customHeight="false" outlineLevel="0" collapsed="false">
      <c r="A1945" s="7" t="s">
        <v>4667</v>
      </c>
      <c r="B1945" s="7" t="s">
        <v>4668</v>
      </c>
      <c r="C1945" s="7" t="s">
        <v>4571</v>
      </c>
      <c r="D1945" s="7" t="s">
        <v>1931</v>
      </c>
      <c r="E1945" s="7" t="s">
        <v>113</v>
      </c>
      <c r="F1945" s="7" t="s">
        <v>101</v>
      </c>
      <c r="G1945" s="7" t="s">
        <v>90</v>
      </c>
      <c r="H1945" s="7" t="n">
        <v>1</v>
      </c>
      <c r="I1945" s="7" t="n">
        <v>245</v>
      </c>
      <c r="J1945" s="7" t="n">
        <v>0</v>
      </c>
      <c r="K1945" s="7" t="s">
        <v>88</v>
      </c>
      <c r="L1945" s="7" t="s">
        <v>238</v>
      </c>
      <c r="M1945" s="7"/>
      <c r="N1945" s="7"/>
      <c r="O1945" s="7" t="str">
        <f aca="false">A1945&amp;"|"&amp;B1945&amp;"|"&amp;C1945&amp;"|"&amp;D1945&amp;"|"&amp;E1945&amp;"|"&amp;F1945&amp;"|"&amp;G1945&amp;"|"&amp;H1945&amp;"|"&amp;I1945&amp;"|"&amp;J1945&amp;"|"&amp;K1945&amp;"|"&amp;L1945&amp;"|"&amp;M1945&amp;"|"&amp;N1945</f>
        <v>ORD12437|03/11/2025|00:07|C0318|Curry Leaf Kitchen|Mumbai|North Indian|1|245|0|UPI|Cancelled||</v>
      </c>
      <c r="P1945" s="7" t="str">
        <f aca="false">IF(COUNTIF($O$2:O1945,O1945)&gt;1,"DUP","OK")</f>
        <v>OK</v>
      </c>
      <c r="Q1945" s="7" t="n">
        <f aca="false">COUNTBLANK(A1945:N1945)</f>
        <v>2</v>
      </c>
      <c r="R1945" s="7" t="n">
        <f aca="false">IF(A1945="",0,COUNTIFS($A$2:$A$3058,A1945,$P$2:$P$3058,"OK"))</f>
        <v>1</v>
      </c>
      <c r="S1945" s="7" t="str">
        <f aca="false">IF(OR(A1945="",P1945="DUP",R1945&lt;2),"",IF(Q1945=_xlfn.MINIFS($Q$2:$Q$3058,$A$2:$A$3058,A1945,$P$2:$P$3058,"OK"),"KEEP","DROP"))</f>
        <v/>
      </c>
      <c r="T1945" s="9" t="n">
        <f aca="false">IF(A1945="",1,0)</f>
        <v>0</v>
      </c>
      <c r="U1945" s="9" t="n">
        <f aca="false">IF(D1945="",1,0)</f>
        <v>0</v>
      </c>
      <c r="V1945" s="9" t="n">
        <f aca="false">IF(E1945="",1,0)</f>
        <v>0</v>
      </c>
      <c r="W1945" s="9" t="n">
        <f aca="false">IF(OR(H1945&lt;1,H1945&gt;10),1,0)</f>
        <v>0</v>
      </c>
      <c r="X1945" s="9" t="n">
        <f aca="false">IF(OR(I1945&lt;=0,I1945&gt;1500),1,0)</f>
        <v>0</v>
      </c>
      <c r="Y1945" s="9" t="n">
        <f aca="false">IF(J1945&gt;H1945*I1945,1,0)</f>
        <v>0</v>
      </c>
      <c r="Z1945" s="9" t="n">
        <f aca="false">IF(AND(N1945&lt;&gt;"",OR(N1945&lt;1,N1945&gt;5)),1,0)</f>
        <v>0</v>
      </c>
      <c r="AA1945" s="9" t="n">
        <f aca="false">IF(AND(M1945&lt;&gt;"",OR(M1945&lt;5,M1945&gt;180)),1,0)</f>
        <v>0</v>
      </c>
      <c r="AB1945" s="7" t="str">
        <f aca="false">IF(P1945="DUP","Exact duplicate row",IF(T1945=1,"Missing Order ID",IF(S1945="DROP","Duplicate Order ID (less complete row)",IF(U1945=1,"Missing Customer ID",IF(V1945=1,"Missing Restaurant name",IF(W1945=1,"Invalid/outlier quantity",IF(X1945=1,"Invalid/outlier unit price",IF(Y1945=1,"Discount greater than order value",""))))))))</f>
        <v/>
      </c>
      <c r="AC1945" s="7" t="str">
        <f aca="false">IF(AB1945="","KEEP","DROP")</f>
        <v>KEEP</v>
      </c>
      <c r="AD1945" s="7" t="str">
        <f aca="false">IF(TRIM(F1945)="",IFERROR(INDEX(Map_Tables!$I$4:$I$37,MATCH(TRIM(E1945),Map_Tables!$G$4:$G$37,0)),""),IFERROR(INDEX(Map_Tables!$B$4:$B$18,MATCH(TRIM(F1945),Map_Tables!$A$4:$A$18,0)),"CHECK"))</f>
        <v>Mumbai</v>
      </c>
      <c r="AE1945" s="7" t="str">
        <f aca="false">IF(TRIM(E1945)="","",IFERROR(INDEX(Map_Tables!$H$4:$H$37,MATCH(TRIM(E1945),Map_Tables!$G$4:$G$37,0)),"CHECK"))</f>
        <v>Curry Leaf Kitchen</v>
      </c>
      <c r="AF1945" s="7" t="str">
        <f aca="false">IF(TRIM(K1945)="","Unknown",IFERROR(INDEX(Map_Tables!$E$4:$E$15,MATCH(TRIM(K1945),Map_Tables!$D$4:$D$15,0)),"CHECK"))</f>
        <v>UPI</v>
      </c>
      <c r="AG1945" s="7" t="str">
        <f aca="false">IF(LEFT(LOWER(TRIM(L1945)),6)="cancel","Cancelled","Delivered")</f>
        <v>Cancelled</v>
      </c>
      <c r="AH1945" s="10" t="n">
        <f aca="false">IF(ISNUMBER(SEARCH("/",B1945)),DATE(VALUE(RIGHT(B1945,4)),VALUE(MID(B1945,4,2)),VALUE(LEFT(B1945,2))),IF(MID(B1945,5,1)="-",DATE(VALUE(LEFT(B1945,4)),VALUE(MID(B1945,6,2)),VALUE(RIGHT(B1945,2))),DATE(VALUE(RIGHT(B1945,4)),MATCH(MID(B1945,4,3),{"Jan","Feb","Mar","Apr","May","Jun","Jul","Aug","Sep","Oct","Nov","Dec"},0),VALUE(LEFT(B1945,2)))))</f>
        <v>45964</v>
      </c>
    </row>
    <row r="1946" customFormat="false" ht="15" hidden="false" customHeight="false" outlineLevel="0" collapsed="false">
      <c r="A1946" s="7" t="s">
        <v>4669</v>
      </c>
      <c r="B1946" s="7" t="s">
        <v>1538</v>
      </c>
      <c r="C1946" s="7" t="s">
        <v>644</v>
      </c>
      <c r="D1946" s="7" t="s">
        <v>4566</v>
      </c>
      <c r="E1946" s="7" t="s">
        <v>126</v>
      </c>
      <c r="F1946" s="7" t="s">
        <v>101</v>
      </c>
      <c r="G1946" s="7" t="s">
        <v>105</v>
      </c>
      <c r="H1946" s="7" t="n">
        <v>3</v>
      </c>
      <c r="I1946" s="7" t="n">
        <v>205</v>
      </c>
      <c r="J1946" s="7" t="n">
        <v>0</v>
      </c>
      <c r="K1946" s="7" t="s">
        <v>112</v>
      </c>
      <c r="L1946" s="7" t="s">
        <v>194</v>
      </c>
      <c r="M1946" s="7" t="n">
        <v>28</v>
      </c>
      <c r="N1946" s="7" t="n">
        <v>4</v>
      </c>
      <c r="O1946" s="7" t="str">
        <f aca="false">A1946&amp;"|"&amp;B1946&amp;"|"&amp;C1946&amp;"|"&amp;D1946&amp;"|"&amp;E1946&amp;"|"&amp;F1946&amp;"|"&amp;G1946&amp;"|"&amp;H1946&amp;"|"&amp;I1946&amp;"|"&amp;J1946&amp;"|"&amp;K1946&amp;"|"&amp;L1946&amp;"|"&amp;M1946&amp;"|"&amp;N1946</f>
        <v>ORD11842|2025-08-28|13:27|C0794|Dragon Express|Mumbai|Chinese|3|205|0|Cash on Delivery|Delivered|28|4</v>
      </c>
      <c r="P1946" s="7" t="str">
        <f aca="false">IF(COUNTIF($O$2:O1946,O1946)&gt;1,"DUP","OK")</f>
        <v>OK</v>
      </c>
      <c r="Q1946" s="7" t="n">
        <f aca="false">COUNTBLANK(A1946:N1946)</f>
        <v>0</v>
      </c>
      <c r="R1946" s="7" t="n">
        <f aca="false">IF(A1946="",0,COUNTIFS($A$2:$A$3058,A1946,$P$2:$P$3058,"OK"))</f>
        <v>1</v>
      </c>
      <c r="S1946" s="7" t="str">
        <f aca="false">IF(OR(A1946="",P1946="DUP",R1946&lt;2),"",IF(Q1946=_xlfn.MINIFS($Q$2:$Q$3058,$A$2:$A$3058,A1946,$P$2:$P$3058,"OK"),"KEEP","DROP"))</f>
        <v/>
      </c>
      <c r="T1946" s="9" t="n">
        <f aca="false">IF(A1946="",1,0)</f>
        <v>0</v>
      </c>
      <c r="U1946" s="9" t="n">
        <f aca="false">IF(D1946="",1,0)</f>
        <v>0</v>
      </c>
      <c r="V1946" s="9" t="n">
        <f aca="false">IF(E1946="",1,0)</f>
        <v>0</v>
      </c>
      <c r="W1946" s="9" t="n">
        <f aca="false">IF(OR(H1946&lt;1,H1946&gt;10),1,0)</f>
        <v>0</v>
      </c>
      <c r="X1946" s="9" t="n">
        <f aca="false">IF(OR(I1946&lt;=0,I1946&gt;1500),1,0)</f>
        <v>0</v>
      </c>
      <c r="Y1946" s="9" t="n">
        <f aca="false">IF(J1946&gt;H1946*I1946,1,0)</f>
        <v>0</v>
      </c>
      <c r="Z1946" s="9" t="n">
        <f aca="false">IF(AND(N1946&lt;&gt;"",OR(N1946&lt;1,N1946&gt;5)),1,0)</f>
        <v>0</v>
      </c>
      <c r="AA1946" s="9" t="n">
        <f aca="false">IF(AND(M1946&lt;&gt;"",OR(M1946&lt;5,M1946&gt;180)),1,0)</f>
        <v>0</v>
      </c>
      <c r="AB1946" s="7" t="str">
        <f aca="false">IF(P1946="DUP","Exact duplicate row",IF(T1946=1,"Missing Order ID",IF(S1946="DROP","Duplicate Order ID (less complete row)",IF(U1946=1,"Missing Customer ID",IF(V1946=1,"Missing Restaurant name",IF(W1946=1,"Invalid/outlier quantity",IF(X1946=1,"Invalid/outlier unit price",IF(Y1946=1,"Discount greater than order value",""))))))))</f>
        <v/>
      </c>
      <c r="AC1946" s="7" t="str">
        <f aca="false">IF(AB1946="","KEEP","DROP")</f>
        <v>KEEP</v>
      </c>
      <c r="AD1946" s="7" t="str">
        <f aca="false">IF(TRIM(F1946)="",IFERROR(INDEX(Map_Tables!$I$4:$I$37,MATCH(TRIM(E1946),Map_Tables!$G$4:$G$37,0)),""),IFERROR(INDEX(Map_Tables!$B$4:$B$18,MATCH(TRIM(F1946),Map_Tables!$A$4:$A$18,0)),"CHECK"))</f>
        <v>Mumbai</v>
      </c>
      <c r="AE1946" s="7" t="str">
        <f aca="false">IF(TRIM(E1946)="","",IFERROR(INDEX(Map_Tables!$H$4:$H$37,MATCH(TRIM(E1946),Map_Tables!$G$4:$G$37,0)),"CHECK"))</f>
        <v>Dragon Express</v>
      </c>
      <c r="AF1946" s="7" t="str">
        <f aca="false">IF(TRIM(K1946)="","Unknown",IFERROR(INDEX(Map_Tables!$E$4:$E$15,MATCH(TRIM(K1946),Map_Tables!$D$4:$D$15,0)),"CHECK"))</f>
        <v>Cash on Delivery</v>
      </c>
      <c r="AG1946" s="7" t="str">
        <f aca="false">IF(LEFT(LOWER(TRIM(L1946)),6)="cancel","Cancelled","Delivered")</f>
        <v>Delivered</v>
      </c>
      <c r="AH1946" s="10" t="n">
        <f aca="false">IF(ISNUMBER(SEARCH("/",B1946)),DATE(VALUE(RIGHT(B1946,4)),VALUE(MID(B1946,4,2)),VALUE(LEFT(B1946,2))),IF(MID(B1946,5,1)="-",DATE(VALUE(LEFT(B1946,4)),VALUE(MID(B1946,6,2)),VALUE(RIGHT(B1946,2))),DATE(VALUE(RIGHT(B1946,4)),MATCH(MID(B1946,4,3),{"Jan","Feb","Mar","Apr","May","Jun","Jul","Aug","Sep","Oct","Nov","Dec"},0),VALUE(LEFT(B1946,2)))))</f>
        <v>45897</v>
      </c>
    </row>
    <row r="1947" customFormat="false" ht="15" hidden="false" customHeight="false" outlineLevel="0" collapsed="false">
      <c r="A1947" s="7" t="s">
        <v>4670</v>
      </c>
      <c r="B1947" s="7" t="s">
        <v>1711</v>
      </c>
      <c r="C1947" s="7" t="s">
        <v>661</v>
      </c>
      <c r="D1947" s="7" t="s">
        <v>789</v>
      </c>
      <c r="E1947" s="7" t="s">
        <v>89</v>
      </c>
      <c r="F1947" s="7" t="s">
        <v>86</v>
      </c>
      <c r="G1947" s="7" t="s">
        <v>1391</v>
      </c>
      <c r="H1947" s="7" t="n">
        <v>3</v>
      </c>
      <c r="I1947" s="7" t="n">
        <v>205</v>
      </c>
      <c r="J1947" s="7" t="n">
        <v>0</v>
      </c>
      <c r="K1947" s="7" t="s">
        <v>93</v>
      </c>
      <c r="L1947" s="7" t="s">
        <v>194</v>
      </c>
      <c r="M1947" s="7" t="n">
        <v>41</v>
      </c>
      <c r="N1947" s="7" t="n">
        <v>3</v>
      </c>
      <c r="O1947" s="7" t="str">
        <f aca="false">A1947&amp;"|"&amp;B1947&amp;"|"&amp;C1947&amp;"|"&amp;D1947&amp;"|"&amp;E1947&amp;"|"&amp;F1947&amp;"|"&amp;G1947&amp;"|"&amp;H1947&amp;"|"&amp;I1947&amp;"|"&amp;J1947&amp;"|"&amp;K1947&amp;"|"&amp;L1947&amp;"|"&amp;M1947&amp;"|"&amp;N1947</f>
        <v>ORD12124|2025-09-30|12:35|C0060|Spice Junction|Bengaluru|NORTH INDIAN|3|205|0|Credit Card|Delivered|41|3</v>
      </c>
      <c r="P1947" s="7" t="str">
        <f aca="false">IF(COUNTIF($O$2:O1947,O1947)&gt;1,"DUP","OK")</f>
        <v>OK</v>
      </c>
      <c r="Q1947" s="7" t="n">
        <f aca="false">COUNTBLANK(A1947:N1947)</f>
        <v>0</v>
      </c>
      <c r="R1947" s="7" t="n">
        <f aca="false">IF(A1947="",0,COUNTIFS($A$2:$A$3058,A1947,$P$2:$P$3058,"OK"))</f>
        <v>1</v>
      </c>
      <c r="S1947" s="7" t="str">
        <f aca="false">IF(OR(A1947="",P1947="DUP",R1947&lt;2),"",IF(Q1947=_xlfn.MINIFS($Q$2:$Q$3058,$A$2:$A$3058,A1947,$P$2:$P$3058,"OK"),"KEEP","DROP"))</f>
        <v/>
      </c>
      <c r="T1947" s="9" t="n">
        <f aca="false">IF(A1947="",1,0)</f>
        <v>0</v>
      </c>
      <c r="U1947" s="9" t="n">
        <f aca="false">IF(D1947="",1,0)</f>
        <v>0</v>
      </c>
      <c r="V1947" s="9" t="n">
        <f aca="false">IF(E1947="",1,0)</f>
        <v>0</v>
      </c>
      <c r="W1947" s="9" t="n">
        <f aca="false">IF(OR(H1947&lt;1,H1947&gt;10),1,0)</f>
        <v>0</v>
      </c>
      <c r="X1947" s="9" t="n">
        <f aca="false">IF(OR(I1947&lt;=0,I1947&gt;1500),1,0)</f>
        <v>0</v>
      </c>
      <c r="Y1947" s="9" t="n">
        <f aca="false">IF(J1947&gt;H1947*I1947,1,0)</f>
        <v>0</v>
      </c>
      <c r="Z1947" s="9" t="n">
        <f aca="false">IF(AND(N1947&lt;&gt;"",OR(N1947&lt;1,N1947&gt;5)),1,0)</f>
        <v>0</v>
      </c>
      <c r="AA1947" s="9" t="n">
        <f aca="false">IF(AND(M1947&lt;&gt;"",OR(M1947&lt;5,M1947&gt;180)),1,0)</f>
        <v>0</v>
      </c>
      <c r="AB1947" s="7" t="str">
        <f aca="false">IF(P1947="DUP","Exact duplicate row",IF(T1947=1,"Missing Order ID",IF(S1947="DROP","Duplicate Order ID (less complete row)",IF(U1947=1,"Missing Customer ID",IF(V1947=1,"Missing Restaurant name",IF(W1947=1,"Invalid/outlier quantity",IF(X1947=1,"Invalid/outlier unit price",IF(Y1947=1,"Discount greater than order value",""))))))))</f>
        <v/>
      </c>
      <c r="AC1947" s="7" t="str">
        <f aca="false">IF(AB1947="","KEEP","DROP")</f>
        <v>KEEP</v>
      </c>
      <c r="AD1947" s="7" t="str">
        <f aca="false">IF(TRIM(F1947)="",IFERROR(INDEX(Map_Tables!$I$4:$I$37,MATCH(TRIM(E1947),Map_Tables!$G$4:$G$37,0)),""),IFERROR(INDEX(Map_Tables!$B$4:$B$18,MATCH(TRIM(F1947),Map_Tables!$A$4:$A$18,0)),"CHECK"))</f>
        <v>Bengaluru</v>
      </c>
      <c r="AE1947" s="7" t="str">
        <f aca="false">IF(TRIM(E1947)="","",IFERROR(INDEX(Map_Tables!$H$4:$H$37,MATCH(TRIM(E1947),Map_Tables!$G$4:$G$37,0)),"CHECK"))</f>
        <v>Spice Junction</v>
      </c>
      <c r="AF1947" s="7" t="str">
        <f aca="false">IF(TRIM(K1947)="","Unknown",IFERROR(INDEX(Map_Tables!$E$4:$E$15,MATCH(TRIM(K1947),Map_Tables!$D$4:$D$15,0)),"CHECK"))</f>
        <v>Credit Card</v>
      </c>
      <c r="AG1947" s="7" t="str">
        <f aca="false">IF(LEFT(LOWER(TRIM(L1947)),6)="cancel","Cancelled","Delivered")</f>
        <v>Delivered</v>
      </c>
      <c r="AH1947" s="10" t="n">
        <f aca="false">IF(ISNUMBER(SEARCH("/",B1947)),DATE(VALUE(RIGHT(B1947,4)),VALUE(MID(B1947,4,2)),VALUE(LEFT(B1947,2))),IF(MID(B1947,5,1)="-",DATE(VALUE(LEFT(B1947,4)),VALUE(MID(B1947,6,2)),VALUE(RIGHT(B1947,2))),DATE(VALUE(RIGHT(B1947,4)),MATCH(MID(B1947,4,3),{"Jan","Feb","Mar","Apr","May","Jun","Jul","Aug","Sep","Oct","Nov","Dec"},0),VALUE(LEFT(B1947,2)))))</f>
        <v>45930</v>
      </c>
    </row>
    <row r="1948" customFormat="false" ht="15" hidden="false" customHeight="false" outlineLevel="0" collapsed="false">
      <c r="A1948" s="7" t="s">
        <v>4671</v>
      </c>
      <c r="B1948" s="7" t="s">
        <v>2461</v>
      </c>
      <c r="C1948" s="7" t="s">
        <v>2337</v>
      </c>
      <c r="D1948" s="7" t="s">
        <v>3992</v>
      </c>
      <c r="E1948" s="7" t="s">
        <v>104</v>
      </c>
      <c r="F1948" s="7" t="s">
        <v>86</v>
      </c>
      <c r="G1948" s="7" t="s">
        <v>105</v>
      </c>
      <c r="H1948" s="7" t="n">
        <v>1</v>
      </c>
      <c r="I1948" s="7" t="n">
        <v>225</v>
      </c>
      <c r="J1948" s="7" t="n">
        <v>90</v>
      </c>
      <c r="K1948" s="7" t="s">
        <v>88</v>
      </c>
      <c r="L1948" s="7" t="s">
        <v>194</v>
      </c>
      <c r="M1948" s="7" t="n">
        <v>28</v>
      </c>
      <c r="N1948" s="7" t="n">
        <v>4</v>
      </c>
      <c r="O1948" s="7" t="str">
        <f aca="false">A1948&amp;"|"&amp;B1948&amp;"|"&amp;C1948&amp;"|"&amp;D1948&amp;"|"&amp;E1948&amp;"|"&amp;F1948&amp;"|"&amp;G1948&amp;"|"&amp;H1948&amp;"|"&amp;I1948&amp;"|"&amp;J1948&amp;"|"&amp;K1948&amp;"|"&amp;L1948&amp;"|"&amp;M1948&amp;"|"&amp;N1948</f>
        <v>ORD10966|2025-05-02|18:29|C0089|Wok &amp; Roll|Bengaluru|Chinese|1|225|90|UPI|Delivered|28|4</v>
      </c>
      <c r="P1948" s="7" t="str">
        <f aca="false">IF(COUNTIF($O$2:O1948,O1948)&gt;1,"DUP","OK")</f>
        <v>OK</v>
      </c>
      <c r="Q1948" s="7" t="n">
        <f aca="false">COUNTBLANK(A1948:N1948)</f>
        <v>0</v>
      </c>
      <c r="R1948" s="7" t="n">
        <f aca="false">IF(A1948="",0,COUNTIFS($A$2:$A$3058,A1948,$P$2:$P$3058,"OK"))</f>
        <v>1</v>
      </c>
      <c r="S1948" s="7" t="str">
        <f aca="false">IF(OR(A1948="",P1948="DUP",R1948&lt;2),"",IF(Q1948=_xlfn.MINIFS($Q$2:$Q$3058,$A$2:$A$3058,A1948,$P$2:$P$3058,"OK"),"KEEP","DROP"))</f>
        <v/>
      </c>
      <c r="T1948" s="9" t="n">
        <f aca="false">IF(A1948="",1,0)</f>
        <v>0</v>
      </c>
      <c r="U1948" s="9" t="n">
        <f aca="false">IF(D1948="",1,0)</f>
        <v>0</v>
      </c>
      <c r="V1948" s="9" t="n">
        <f aca="false">IF(E1948="",1,0)</f>
        <v>0</v>
      </c>
      <c r="W1948" s="9" t="n">
        <f aca="false">IF(OR(H1948&lt;1,H1948&gt;10),1,0)</f>
        <v>0</v>
      </c>
      <c r="X1948" s="9" t="n">
        <f aca="false">IF(OR(I1948&lt;=0,I1948&gt;1500),1,0)</f>
        <v>0</v>
      </c>
      <c r="Y1948" s="9" t="n">
        <f aca="false">IF(J1948&gt;H1948*I1948,1,0)</f>
        <v>0</v>
      </c>
      <c r="Z1948" s="9" t="n">
        <f aca="false">IF(AND(N1948&lt;&gt;"",OR(N1948&lt;1,N1948&gt;5)),1,0)</f>
        <v>0</v>
      </c>
      <c r="AA1948" s="9" t="n">
        <f aca="false">IF(AND(M1948&lt;&gt;"",OR(M1948&lt;5,M1948&gt;180)),1,0)</f>
        <v>0</v>
      </c>
      <c r="AB1948" s="7" t="str">
        <f aca="false">IF(P1948="DUP","Exact duplicate row",IF(T1948=1,"Missing Order ID",IF(S1948="DROP","Duplicate Order ID (less complete row)",IF(U1948=1,"Missing Customer ID",IF(V1948=1,"Missing Restaurant name",IF(W1948=1,"Invalid/outlier quantity",IF(X1948=1,"Invalid/outlier unit price",IF(Y1948=1,"Discount greater than order value",""))))))))</f>
        <v/>
      </c>
      <c r="AC1948" s="7" t="str">
        <f aca="false">IF(AB1948="","KEEP","DROP")</f>
        <v>KEEP</v>
      </c>
      <c r="AD1948" s="7" t="str">
        <f aca="false">IF(TRIM(F1948)="",IFERROR(INDEX(Map_Tables!$I$4:$I$37,MATCH(TRIM(E1948),Map_Tables!$G$4:$G$37,0)),""),IFERROR(INDEX(Map_Tables!$B$4:$B$18,MATCH(TRIM(F1948),Map_Tables!$A$4:$A$18,0)),"CHECK"))</f>
        <v>Bengaluru</v>
      </c>
      <c r="AE1948" s="7" t="str">
        <f aca="false">IF(TRIM(E1948)="","",IFERROR(INDEX(Map_Tables!$H$4:$H$37,MATCH(TRIM(E1948),Map_Tables!$G$4:$G$37,0)),"CHECK"))</f>
        <v>Wok &amp; Roll</v>
      </c>
      <c r="AF1948" s="7" t="str">
        <f aca="false">IF(TRIM(K1948)="","Unknown",IFERROR(INDEX(Map_Tables!$E$4:$E$15,MATCH(TRIM(K1948),Map_Tables!$D$4:$D$15,0)),"CHECK"))</f>
        <v>UPI</v>
      </c>
      <c r="AG1948" s="7" t="str">
        <f aca="false">IF(LEFT(LOWER(TRIM(L1948)),6)="cancel","Cancelled","Delivered")</f>
        <v>Delivered</v>
      </c>
      <c r="AH1948" s="10" t="n">
        <f aca="false">IF(ISNUMBER(SEARCH("/",B1948)),DATE(VALUE(RIGHT(B1948,4)),VALUE(MID(B1948,4,2)),VALUE(LEFT(B1948,2))),IF(MID(B1948,5,1)="-",DATE(VALUE(LEFT(B1948,4)),VALUE(MID(B1948,6,2)),VALUE(RIGHT(B1948,2))),DATE(VALUE(RIGHT(B1948,4)),MATCH(MID(B1948,4,3),{"Jan","Feb","Mar","Apr","May","Jun","Jul","Aug","Sep","Oct","Nov","Dec"},0),VALUE(LEFT(B1948,2)))))</f>
        <v>45779</v>
      </c>
    </row>
    <row r="1949" customFormat="false" ht="15" hidden="false" customHeight="false" outlineLevel="0" collapsed="false">
      <c r="A1949" s="7" t="s">
        <v>4672</v>
      </c>
      <c r="B1949" s="7" t="s">
        <v>1267</v>
      </c>
      <c r="C1949" s="7" t="s">
        <v>3944</v>
      </c>
      <c r="D1949" s="7" t="s">
        <v>4673</v>
      </c>
      <c r="E1949" s="7" t="s">
        <v>89</v>
      </c>
      <c r="F1949" s="7" t="s">
        <v>86</v>
      </c>
      <c r="G1949" s="7" t="s">
        <v>90</v>
      </c>
      <c r="H1949" s="7" t="n">
        <v>1</v>
      </c>
      <c r="I1949" s="7" t="n">
        <v>255</v>
      </c>
      <c r="J1949" s="7" t="n">
        <v>40</v>
      </c>
      <c r="K1949" s="7" t="s">
        <v>121</v>
      </c>
      <c r="L1949" s="7" t="s">
        <v>194</v>
      </c>
      <c r="M1949" s="7" t="n">
        <v>45</v>
      </c>
      <c r="N1949" s="7" t="n">
        <v>3</v>
      </c>
      <c r="O1949" s="7" t="str">
        <f aca="false">A1949&amp;"|"&amp;B1949&amp;"|"&amp;C1949&amp;"|"&amp;D1949&amp;"|"&amp;E1949&amp;"|"&amp;F1949&amp;"|"&amp;G1949&amp;"|"&amp;H1949&amp;"|"&amp;I1949&amp;"|"&amp;J1949&amp;"|"&amp;K1949&amp;"|"&amp;L1949&amp;"|"&amp;M1949&amp;"|"&amp;N1949</f>
        <v>ORD10479|2025-03-05|10:17|C1029|Spice Junction|Bengaluru|North Indian|1|255|40|Wallet|Delivered|45|3</v>
      </c>
      <c r="P1949" s="7" t="str">
        <f aca="false">IF(COUNTIF($O$2:O1949,O1949)&gt;1,"DUP","OK")</f>
        <v>OK</v>
      </c>
      <c r="Q1949" s="7" t="n">
        <f aca="false">COUNTBLANK(A1949:N1949)</f>
        <v>0</v>
      </c>
      <c r="R1949" s="7" t="n">
        <f aca="false">IF(A1949="",0,COUNTIFS($A$2:$A$3058,A1949,$P$2:$P$3058,"OK"))</f>
        <v>1</v>
      </c>
      <c r="S1949" s="7" t="str">
        <f aca="false">IF(OR(A1949="",P1949="DUP",R1949&lt;2),"",IF(Q1949=_xlfn.MINIFS($Q$2:$Q$3058,$A$2:$A$3058,A1949,$P$2:$P$3058,"OK"),"KEEP","DROP"))</f>
        <v/>
      </c>
      <c r="T1949" s="9" t="n">
        <f aca="false">IF(A1949="",1,0)</f>
        <v>0</v>
      </c>
      <c r="U1949" s="9" t="n">
        <f aca="false">IF(D1949="",1,0)</f>
        <v>0</v>
      </c>
      <c r="V1949" s="9" t="n">
        <f aca="false">IF(E1949="",1,0)</f>
        <v>0</v>
      </c>
      <c r="W1949" s="9" t="n">
        <f aca="false">IF(OR(H1949&lt;1,H1949&gt;10),1,0)</f>
        <v>0</v>
      </c>
      <c r="X1949" s="9" t="n">
        <f aca="false">IF(OR(I1949&lt;=0,I1949&gt;1500),1,0)</f>
        <v>0</v>
      </c>
      <c r="Y1949" s="9" t="n">
        <f aca="false">IF(J1949&gt;H1949*I1949,1,0)</f>
        <v>0</v>
      </c>
      <c r="Z1949" s="9" t="n">
        <f aca="false">IF(AND(N1949&lt;&gt;"",OR(N1949&lt;1,N1949&gt;5)),1,0)</f>
        <v>0</v>
      </c>
      <c r="AA1949" s="9" t="n">
        <f aca="false">IF(AND(M1949&lt;&gt;"",OR(M1949&lt;5,M1949&gt;180)),1,0)</f>
        <v>0</v>
      </c>
      <c r="AB1949" s="7" t="str">
        <f aca="false">IF(P1949="DUP","Exact duplicate row",IF(T1949=1,"Missing Order ID",IF(S1949="DROP","Duplicate Order ID (less complete row)",IF(U1949=1,"Missing Customer ID",IF(V1949=1,"Missing Restaurant name",IF(W1949=1,"Invalid/outlier quantity",IF(X1949=1,"Invalid/outlier unit price",IF(Y1949=1,"Discount greater than order value",""))))))))</f>
        <v/>
      </c>
      <c r="AC1949" s="7" t="str">
        <f aca="false">IF(AB1949="","KEEP","DROP")</f>
        <v>KEEP</v>
      </c>
      <c r="AD1949" s="7" t="str">
        <f aca="false">IF(TRIM(F1949)="",IFERROR(INDEX(Map_Tables!$I$4:$I$37,MATCH(TRIM(E1949),Map_Tables!$G$4:$G$37,0)),""),IFERROR(INDEX(Map_Tables!$B$4:$B$18,MATCH(TRIM(F1949),Map_Tables!$A$4:$A$18,0)),"CHECK"))</f>
        <v>Bengaluru</v>
      </c>
      <c r="AE1949" s="7" t="str">
        <f aca="false">IF(TRIM(E1949)="","",IFERROR(INDEX(Map_Tables!$H$4:$H$37,MATCH(TRIM(E1949),Map_Tables!$G$4:$G$37,0)),"CHECK"))</f>
        <v>Spice Junction</v>
      </c>
      <c r="AF1949" s="7" t="str">
        <f aca="false">IF(TRIM(K1949)="","Unknown",IFERROR(INDEX(Map_Tables!$E$4:$E$15,MATCH(TRIM(K1949),Map_Tables!$D$4:$D$15,0)),"CHECK"))</f>
        <v>Wallet</v>
      </c>
      <c r="AG1949" s="7" t="str">
        <f aca="false">IF(LEFT(LOWER(TRIM(L1949)),6)="cancel","Cancelled","Delivered")</f>
        <v>Delivered</v>
      </c>
      <c r="AH1949" s="10" t="n">
        <f aca="false">IF(ISNUMBER(SEARCH("/",B1949)),DATE(VALUE(RIGHT(B1949,4)),VALUE(MID(B1949,4,2)),VALUE(LEFT(B1949,2))),IF(MID(B1949,5,1)="-",DATE(VALUE(LEFT(B1949,4)),VALUE(MID(B1949,6,2)),VALUE(RIGHT(B1949,2))),DATE(VALUE(RIGHT(B1949,4)),MATCH(MID(B1949,4,3),{"Jan","Feb","Mar","Apr","May","Jun","Jul","Aug","Sep","Oct","Nov","Dec"},0),VALUE(LEFT(B1949,2)))))</f>
        <v>45721</v>
      </c>
    </row>
    <row r="1950" customFormat="false" ht="15" hidden="false" customHeight="false" outlineLevel="0" collapsed="false">
      <c r="A1950" s="7" t="s">
        <v>4674</v>
      </c>
      <c r="B1950" s="7" t="s">
        <v>3572</v>
      </c>
      <c r="C1950" s="7" t="s">
        <v>2588</v>
      </c>
      <c r="D1950" s="7" t="s">
        <v>2994</v>
      </c>
      <c r="E1950" s="7" t="s">
        <v>1319</v>
      </c>
      <c r="F1950" s="7" t="s">
        <v>86</v>
      </c>
      <c r="G1950" s="7" t="s">
        <v>95</v>
      </c>
      <c r="H1950" s="7" t="n">
        <v>1</v>
      </c>
      <c r="I1950" s="7" t="n">
        <v>125</v>
      </c>
      <c r="J1950" s="7" t="n">
        <v>0</v>
      </c>
      <c r="K1950" s="7" t="s">
        <v>112</v>
      </c>
      <c r="L1950" s="7" t="s">
        <v>194</v>
      </c>
      <c r="M1950" s="7" t="n">
        <v>31</v>
      </c>
      <c r="N1950" s="7"/>
      <c r="O1950" s="7" t="str">
        <f aca="false">A1950&amp;"|"&amp;B1950&amp;"|"&amp;C1950&amp;"|"&amp;D1950&amp;"|"&amp;E1950&amp;"|"&amp;F1950&amp;"|"&amp;G1950&amp;"|"&amp;H1950&amp;"|"&amp;I1950&amp;"|"&amp;J1950&amp;"|"&amp;K1950&amp;"|"&amp;L1950&amp;"|"&amp;M1950&amp;"|"&amp;N1950</f>
        <v>ORD11283|2025-06-13|11:01|C0967|DOSA DARBAR|Bengaluru|South Indian|1|125|0|Cash on Delivery|Delivered|31|</v>
      </c>
      <c r="P1950" s="7" t="str">
        <f aca="false">IF(COUNTIF($O$2:O1950,O1950)&gt;1,"DUP","OK")</f>
        <v>OK</v>
      </c>
      <c r="Q1950" s="7" t="n">
        <f aca="false">COUNTBLANK(A1950:N1950)</f>
        <v>1</v>
      </c>
      <c r="R1950" s="7" t="n">
        <f aca="false">IF(A1950="",0,COUNTIFS($A$2:$A$3058,A1950,$P$2:$P$3058,"OK"))</f>
        <v>1</v>
      </c>
      <c r="S1950" s="7" t="str">
        <f aca="false">IF(OR(A1950="",P1950="DUP",R1950&lt;2),"",IF(Q1950=_xlfn.MINIFS($Q$2:$Q$3058,$A$2:$A$3058,A1950,$P$2:$P$3058,"OK"),"KEEP","DROP"))</f>
        <v/>
      </c>
      <c r="T1950" s="9" t="n">
        <f aca="false">IF(A1950="",1,0)</f>
        <v>0</v>
      </c>
      <c r="U1950" s="9" t="n">
        <f aca="false">IF(D1950="",1,0)</f>
        <v>0</v>
      </c>
      <c r="V1950" s="9" t="n">
        <f aca="false">IF(E1950="",1,0)</f>
        <v>0</v>
      </c>
      <c r="W1950" s="9" t="n">
        <f aca="false">IF(OR(H1950&lt;1,H1950&gt;10),1,0)</f>
        <v>0</v>
      </c>
      <c r="X1950" s="9" t="n">
        <f aca="false">IF(OR(I1950&lt;=0,I1950&gt;1500),1,0)</f>
        <v>0</v>
      </c>
      <c r="Y1950" s="9" t="n">
        <f aca="false">IF(J1950&gt;H1950*I1950,1,0)</f>
        <v>0</v>
      </c>
      <c r="Z1950" s="9" t="n">
        <f aca="false">IF(AND(N1950&lt;&gt;"",OR(N1950&lt;1,N1950&gt;5)),1,0)</f>
        <v>0</v>
      </c>
      <c r="AA1950" s="9" t="n">
        <f aca="false">IF(AND(M1950&lt;&gt;"",OR(M1950&lt;5,M1950&gt;180)),1,0)</f>
        <v>0</v>
      </c>
      <c r="AB1950" s="7" t="str">
        <f aca="false">IF(P1950="DUP","Exact duplicate row",IF(T1950=1,"Missing Order ID",IF(S1950="DROP","Duplicate Order ID (less complete row)",IF(U1950=1,"Missing Customer ID",IF(V1950=1,"Missing Restaurant name",IF(W1950=1,"Invalid/outlier quantity",IF(X1950=1,"Invalid/outlier unit price",IF(Y1950=1,"Discount greater than order value",""))))))))</f>
        <v/>
      </c>
      <c r="AC1950" s="7" t="str">
        <f aca="false">IF(AB1950="","KEEP","DROP")</f>
        <v>KEEP</v>
      </c>
      <c r="AD1950" s="7" t="str">
        <f aca="false">IF(TRIM(F1950)="",IFERROR(INDEX(Map_Tables!$I$4:$I$37,MATCH(TRIM(E1950),Map_Tables!$G$4:$G$37,0)),""),IFERROR(INDEX(Map_Tables!$B$4:$B$18,MATCH(TRIM(F1950),Map_Tables!$A$4:$A$18,0)),"CHECK"))</f>
        <v>Bengaluru</v>
      </c>
      <c r="AE1950" s="7" t="str">
        <f aca="false">IF(TRIM(E1950)="","",IFERROR(INDEX(Map_Tables!$H$4:$H$37,MATCH(TRIM(E1950),Map_Tables!$G$4:$G$37,0)),"CHECK"))</f>
        <v>Dosa Darbar</v>
      </c>
      <c r="AF1950" s="7" t="str">
        <f aca="false">IF(TRIM(K1950)="","Unknown",IFERROR(INDEX(Map_Tables!$E$4:$E$15,MATCH(TRIM(K1950),Map_Tables!$D$4:$D$15,0)),"CHECK"))</f>
        <v>Cash on Delivery</v>
      </c>
      <c r="AG1950" s="7" t="str">
        <f aca="false">IF(LEFT(LOWER(TRIM(L1950)),6)="cancel","Cancelled","Delivered")</f>
        <v>Delivered</v>
      </c>
      <c r="AH1950" s="10" t="n">
        <f aca="false">IF(ISNUMBER(SEARCH("/",B1950)),DATE(VALUE(RIGHT(B1950,4)),VALUE(MID(B1950,4,2)),VALUE(LEFT(B1950,2))),IF(MID(B1950,5,1)="-",DATE(VALUE(LEFT(B1950,4)),VALUE(MID(B1950,6,2)),VALUE(RIGHT(B1950,2))),DATE(VALUE(RIGHT(B1950,4)),MATCH(MID(B1950,4,3),{"Jan","Feb","Mar","Apr","May","Jun","Jul","Aug","Sep","Oct","Nov","Dec"},0),VALUE(LEFT(B1950,2)))))</f>
        <v>45821</v>
      </c>
    </row>
    <row r="1951" customFormat="false" ht="15" hidden="false" customHeight="false" outlineLevel="0" collapsed="false">
      <c r="A1951" s="7" t="s">
        <v>4675</v>
      </c>
      <c r="B1951" s="7" t="s">
        <v>4676</v>
      </c>
      <c r="C1951" s="7" t="s">
        <v>1842</v>
      </c>
      <c r="D1951" s="7" t="s">
        <v>4677</v>
      </c>
      <c r="E1951" s="7" t="s">
        <v>130</v>
      </c>
      <c r="F1951" s="7" t="s">
        <v>110</v>
      </c>
      <c r="G1951" s="7" t="s">
        <v>90</v>
      </c>
      <c r="H1951" s="7" t="n">
        <v>3</v>
      </c>
      <c r="I1951" s="7" t="n">
        <v>260</v>
      </c>
      <c r="J1951" s="7" t="n">
        <v>50</v>
      </c>
      <c r="K1951" s="7" t="s">
        <v>88</v>
      </c>
      <c r="L1951" s="7" t="s">
        <v>194</v>
      </c>
      <c r="M1951" s="7" t="n">
        <v>37</v>
      </c>
      <c r="N1951" s="7" t="n">
        <v>3</v>
      </c>
      <c r="O1951" s="7" t="str">
        <f aca="false">A1951&amp;"|"&amp;B1951&amp;"|"&amp;C1951&amp;"|"&amp;D1951&amp;"|"&amp;E1951&amp;"|"&amp;F1951&amp;"|"&amp;G1951&amp;"|"&amp;H1951&amp;"|"&amp;I1951&amp;"|"&amp;J1951&amp;"|"&amp;K1951&amp;"|"&amp;L1951&amp;"|"&amp;M1951&amp;"|"&amp;N1951</f>
        <v>ORD11605|28/07/2025|20:48|C1019|Tandoor Tales|Delhi|North Indian|3|260|50|UPI|Delivered|37|3</v>
      </c>
      <c r="P1951" s="7" t="str">
        <f aca="false">IF(COUNTIF($O$2:O1951,O1951)&gt;1,"DUP","OK")</f>
        <v>OK</v>
      </c>
      <c r="Q1951" s="7" t="n">
        <f aca="false">COUNTBLANK(A1951:N1951)</f>
        <v>0</v>
      </c>
      <c r="R1951" s="7" t="n">
        <f aca="false">IF(A1951="",0,COUNTIFS($A$2:$A$3058,A1951,$P$2:$P$3058,"OK"))</f>
        <v>1</v>
      </c>
      <c r="S1951" s="7" t="str">
        <f aca="false">IF(OR(A1951="",P1951="DUP",R1951&lt;2),"",IF(Q1951=_xlfn.MINIFS($Q$2:$Q$3058,$A$2:$A$3058,A1951,$P$2:$P$3058,"OK"),"KEEP","DROP"))</f>
        <v/>
      </c>
      <c r="T1951" s="9" t="n">
        <f aca="false">IF(A1951="",1,0)</f>
        <v>0</v>
      </c>
      <c r="U1951" s="9" t="n">
        <f aca="false">IF(D1951="",1,0)</f>
        <v>0</v>
      </c>
      <c r="V1951" s="9" t="n">
        <f aca="false">IF(E1951="",1,0)</f>
        <v>0</v>
      </c>
      <c r="W1951" s="9" t="n">
        <f aca="false">IF(OR(H1951&lt;1,H1951&gt;10),1,0)</f>
        <v>0</v>
      </c>
      <c r="X1951" s="9" t="n">
        <f aca="false">IF(OR(I1951&lt;=0,I1951&gt;1500),1,0)</f>
        <v>0</v>
      </c>
      <c r="Y1951" s="9" t="n">
        <f aca="false">IF(J1951&gt;H1951*I1951,1,0)</f>
        <v>0</v>
      </c>
      <c r="Z1951" s="9" t="n">
        <f aca="false">IF(AND(N1951&lt;&gt;"",OR(N1951&lt;1,N1951&gt;5)),1,0)</f>
        <v>0</v>
      </c>
      <c r="AA1951" s="9" t="n">
        <f aca="false">IF(AND(M1951&lt;&gt;"",OR(M1951&lt;5,M1951&gt;180)),1,0)</f>
        <v>0</v>
      </c>
      <c r="AB1951" s="7" t="str">
        <f aca="false">IF(P1951="DUP","Exact duplicate row",IF(T1951=1,"Missing Order ID",IF(S1951="DROP","Duplicate Order ID (less complete row)",IF(U1951=1,"Missing Customer ID",IF(V1951=1,"Missing Restaurant name",IF(W1951=1,"Invalid/outlier quantity",IF(X1951=1,"Invalid/outlier unit price",IF(Y1951=1,"Discount greater than order value",""))))))))</f>
        <v/>
      </c>
      <c r="AC1951" s="7" t="str">
        <f aca="false">IF(AB1951="","KEEP","DROP")</f>
        <v>KEEP</v>
      </c>
      <c r="AD1951" s="7" t="str">
        <f aca="false">IF(TRIM(F1951)="",IFERROR(INDEX(Map_Tables!$I$4:$I$37,MATCH(TRIM(E1951),Map_Tables!$G$4:$G$37,0)),""),IFERROR(INDEX(Map_Tables!$B$4:$B$18,MATCH(TRIM(F1951),Map_Tables!$A$4:$A$18,0)),"CHECK"))</f>
        <v>Delhi</v>
      </c>
      <c r="AE1951" s="7" t="str">
        <f aca="false">IF(TRIM(E1951)="","",IFERROR(INDEX(Map_Tables!$H$4:$H$37,MATCH(TRIM(E1951),Map_Tables!$G$4:$G$37,0)),"CHECK"))</f>
        <v>Tandoor Tales</v>
      </c>
      <c r="AF1951" s="7" t="str">
        <f aca="false">IF(TRIM(K1951)="","Unknown",IFERROR(INDEX(Map_Tables!$E$4:$E$15,MATCH(TRIM(K1951),Map_Tables!$D$4:$D$15,0)),"CHECK"))</f>
        <v>UPI</v>
      </c>
      <c r="AG1951" s="7" t="str">
        <f aca="false">IF(LEFT(LOWER(TRIM(L1951)),6)="cancel","Cancelled","Delivered")</f>
        <v>Delivered</v>
      </c>
      <c r="AH1951" s="10" t="n">
        <f aca="false">IF(ISNUMBER(SEARCH("/",B1951)),DATE(VALUE(RIGHT(B1951,4)),VALUE(MID(B1951,4,2)),VALUE(LEFT(B1951,2))),IF(MID(B1951,5,1)="-",DATE(VALUE(LEFT(B1951,4)),VALUE(MID(B1951,6,2)),VALUE(RIGHT(B1951,2))),DATE(VALUE(RIGHT(B1951,4)),MATCH(MID(B1951,4,3),{"Jan","Feb","Mar","Apr","May","Jun","Jul","Aug","Sep","Oct","Nov","Dec"},0),VALUE(LEFT(B1951,2)))))</f>
        <v>45866</v>
      </c>
    </row>
    <row r="1952" customFormat="false" ht="15" hidden="false" customHeight="false" outlineLevel="0" collapsed="false">
      <c r="A1952" s="7" t="s">
        <v>4678</v>
      </c>
      <c r="B1952" s="7" t="s">
        <v>1433</v>
      </c>
      <c r="C1952" s="7" t="s">
        <v>4679</v>
      </c>
      <c r="D1952" s="7" t="s">
        <v>4680</v>
      </c>
      <c r="E1952" s="7" t="s">
        <v>122</v>
      </c>
      <c r="F1952" s="7" t="s">
        <v>101</v>
      </c>
      <c r="G1952" s="7" t="s">
        <v>123</v>
      </c>
      <c r="H1952" s="7" t="n">
        <v>2</v>
      </c>
      <c r="I1952" s="7" t="n">
        <v>420</v>
      </c>
      <c r="J1952" s="7" t="n">
        <v>0</v>
      </c>
      <c r="K1952" s="7" t="s">
        <v>112</v>
      </c>
      <c r="L1952" s="7" t="s">
        <v>194</v>
      </c>
      <c r="M1952" s="7" t="n">
        <v>41</v>
      </c>
      <c r="N1952" s="7" t="n">
        <v>4</v>
      </c>
      <c r="O1952" s="7" t="str">
        <f aca="false">A1952&amp;"|"&amp;B1952&amp;"|"&amp;C1952&amp;"|"&amp;D1952&amp;"|"&amp;E1952&amp;"|"&amp;F1952&amp;"|"&amp;G1952&amp;"|"&amp;H1952&amp;"|"&amp;I1952&amp;"|"&amp;J1952&amp;"|"&amp;K1952&amp;"|"&amp;L1952&amp;"|"&amp;M1952&amp;"|"&amp;N1952</f>
        <v>ORD12060|2025-09-23|15:58|C0504|Mumbai Pizza Co|Mumbai|Pizza|2|420|0|Cash on Delivery|Delivered|41|4</v>
      </c>
      <c r="P1952" s="7" t="str">
        <f aca="false">IF(COUNTIF($O$2:O1952,O1952)&gt;1,"DUP","OK")</f>
        <v>OK</v>
      </c>
      <c r="Q1952" s="7" t="n">
        <f aca="false">COUNTBLANK(A1952:N1952)</f>
        <v>0</v>
      </c>
      <c r="R1952" s="7" t="n">
        <f aca="false">IF(A1952="",0,COUNTIFS($A$2:$A$3058,A1952,$P$2:$P$3058,"OK"))</f>
        <v>1</v>
      </c>
      <c r="S1952" s="7" t="str">
        <f aca="false">IF(OR(A1952="",P1952="DUP",R1952&lt;2),"",IF(Q1952=_xlfn.MINIFS($Q$2:$Q$3058,$A$2:$A$3058,A1952,$P$2:$P$3058,"OK"),"KEEP","DROP"))</f>
        <v/>
      </c>
      <c r="T1952" s="9" t="n">
        <f aca="false">IF(A1952="",1,0)</f>
        <v>0</v>
      </c>
      <c r="U1952" s="9" t="n">
        <f aca="false">IF(D1952="",1,0)</f>
        <v>0</v>
      </c>
      <c r="V1952" s="9" t="n">
        <f aca="false">IF(E1952="",1,0)</f>
        <v>0</v>
      </c>
      <c r="W1952" s="9" t="n">
        <f aca="false">IF(OR(H1952&lt;1,H1952&gt;10),1,0)</f>
        <v>0</v>
      </c>
      <c r="X1952" s="9" t="n">
        <f aca="false">IF(OR(I1952&lt;=0,I1952&gt;1500),1,0)</f>
        <v>0</v>
      </c>
      <c r="Y1952" s="9" t="n">
        <f aca="false">IF(J1952&gt;H1952*I1952,1,0)</f>
        <v>0</v>
      </c>
      <c r="Z1952" s="9" t="n">
        <f aca="false">IF(AND(N1952&lt;&gt;"",OR(N1952&lt;1,N1952&gt;5)),1,0)</f>
        <v>0</v>
      </c>
      <c r="AA1952" s="9" t="n">
        <f aca="false">IF(AND(M1952&lt;&gt;"",OR(M1952&lt;5,M1952&gt;180)),1,0)</f>
        <v>0</v>
      </c>
      <c r="AB1952" s="7" t="str">
        <f aca="false">IF(P1952="DUP","Exact duplicate row",IF(T1952=1,"Missing Order ID",IF(S1952="DROP","Duplicate Order ID (less complete row)",IF(U1952=1,"Missing Customer ID",IF(V1952=1,"Missing Restaurant name",IF(W1952=1,"Invalid/outlier quantity",IF(X1952=1,"Invalid/outlier unit price",IF(Y1952=1,"Discount greater than order value",""))))))))</f>
        <v/>
      </c>
      <c r="AC1952" s="7" t="str">
        <f aca="false">IF(AB1952="","KEEP","DROP")</f>
        <v>KEEP</v>
      </c>
      <c r="AD1952" s="7" t="str">
        <f aca="false">IF(TRIM(F1952)="",IFERROR(INDEX(Map_Tables!$I$4:$I$37,MATCH(TRIM(E1952),Map_Tables!$G$4:$G$37,0)),""),IFERROR(INDEX(Map_Tables!$B$4:$B$18,MATCH(TRIM(F1952),Map_Tables!$A$4:$A$18,0)),"CHECK"))</f>
        <v>Mumbai</v>
      </c>
      <c r="AE1952" s="7" t="str">
        <f aca="false">IF(TRIM(E1952)="","",IFERROR(INDEX(Map_Tables!$H$4:$H$37,MATCH(TRIM(E1952),Map_Tables!$G$4:$G$37,0)),"CHECK"))</f>
        <v>Mumbai Pizza Co</v>
      </c>
      <c r="AF1952" s="7" t="str">
        <f aca="false">IF(TRIM(K1952)="","Unknown",IFERROR(INDEX(Map_Tables!$E$4:$E$15,MATCH(TRIM(K1952),Map_Tables!$D$4:$D$15,0)),"CHECK"))</f>
        <v>Cash on Delivery</v>
      </c>
      <c r="AG1952" s="7" t="str">
        <f aca="false">IF(LEFT(LOWER(TRIM(L1952)),6)="cancel","Cancelled","Delivered")</f>
        <v>Delivered</v>
      </c>
      <c r="AH1952" s="10" t="n">
        <f aca="false">IF(ISNUMBER(SEARCH("/",B1952)),DATE(VALUE(RIGHT(B1952,4)),VALUE(MID(B1952,4,2)),VALUE(LEFT(B1952,2))),IF(MID(B1952,5,1)="-",DATE(VALUE(LEFT(B1952,4)),VALUE(MID(B1952,6,2)),VALUE(RIGHT(B1952,2))),DATE(VALUE(RIGHT(B1952,4)),MATCH(MID(B1952,4,3),{"Jan","Feb","Mar","Apr","May","Jun","Jul","Aug","Sep","Oct","Nov","Dec"},0),VALUE(LEFT(B1952,2)))))</f>
        <v>45923</v>
      </c>
    </row>
    <row r="1953" customFormat="false" ht="15" hidden="false" customHeight="false" outlineLevel="0" collapsed="false">
      <c r="A1953" s="7" t="s">
        <v>4681</v>
      </c>
      <c r="B1953" s="7" t="s">
        <v>4682</v>
      </c>
      <c r="C1953" s="7" t="s">
        <v>2869</v>
      </c>
      <c r="D1953" s="7" t="s">
        <v>4683</v>
      </c>
      <c r="E1953" s="7" t="s">
        <v>168</v>
      </c>
      <c r="F1953" s="7" t="s">
        <v>146</v>
      </c>
      <c r="G1953" s="7" t="s">
        <v>123</v>
      </c>
      <c r="H1953" s="7" t="n">
        <v>2</v>
      </c>
      <c r="I1953" s="7" t="n">
        <v>345</v>
      </c>
      <c r="J1953" s="7" t="n">
        <v>0</v>
      </c>
      <c r="K1953" s="7" t="s">
        <v>93</v>
      </c>
      <c r="L1953" s="7" t="s">
        <v>194</v>
      </c>
      <c r="M1953" s="7" t="n">
        <v>24</v>
      </c>
      <c r="N1953" s="7" t="n">
        <v>4</v>
      </c>
      <c r="O1953" s="7" t="str">
        <f aca="false">A1953&amp;"|"&amp;B1953&amp;"|"&amp;C1953&amp;"|"&amp;D1953&amp;"|"&amp;E1953&amp;"|"&amp;F1953&amp;"|"&amp;G1953&amp;"|"&amp;H1953&amp;"|"&amp;I1953&amp;"|"&amp;J1953&amp;"|"&amp;K1953&amp;"|"&amp;L1953&amp;"|"&amp;M1953&amp;"|"&amp;N1953</f>
        <v>ORD11667|06/08/2025|09:35|C1088|Cheesy Slice|Ahmedabad|Pizza|2|345|0|Credit Card|Delivered|24|4</v>
      </c>
      <c r="P1953" s="7" t="str">
        <f aca="false">IF(COUNTIF($O$2:O1953,O1953)&gt;1,"DUP","OK")</f>
        <v>OK</v>
      </c>
      <c r="Q1953" s="7" t="n">
        <f aca="false">COUNTBLANK(A1953:N1953)</f>
        <v>0</v>
      </c>
      <c r="R1953" s="7" t="n">
        <f aca="false">IF(A1953="",0,COUNTIFS($A$2:$A$3058,A1953,$P$2:$P$3058,"OK"))</f>
        <v>1</v>
      </c>
      <c r="S1953" s="7" t="str">
        <f aca="false">IF(OR(A1953="",P1953="DUP",R1953&lt;2),"",IF(Q1953=_xlfn.MINIFS($Q$2:$Q$3058,$A$2:$A$3058,A1953,$P$2:$P$3058,"OK"),"KEEP","DROP"))</f>
        <v/>
      </c>
      <c r="T1953" s="9" t="n">
        <f aca="false">IF(A1953="",1,0)</f>
        <v>0</v>
      </c>
      <c r="U1953" s="9" t="n">
        <f aca="false">IF(D1953="",1,0)</f>
        <v>0</v>
      </c>
      <c r="V1953" s="9" t="n">
        <f aca="false">IF(E1953="",1,0)</f>
        <v>0</v>
      </c>
      <c r="W1953" s="9" t="n">
        <f aca="false">IF(OR(H1953&lt;1,H1953&gt;10),1,0)</f>
        <v>0</v>
      </c>
      <c r="X1953" s="9" t="n">
        <f aca="false">IF(OR(I1953&lt;=0,I1953&gt;1500),1,0)</f>
        <v>0</v>
      </c>
      <c r="Y1953" s="9" t="n">
        <f aca="false">IF(J1953&gt;H1953*I1953,1,0)</f>
        <v>0</v>
      </c>
      <c r="Z1953" s="9" t="n">
        <f aca="false">IF(AND(N1953&lt;&gt;"",OR(N1953&lt;1,N1953&gt;5)),1,0)</f>
        <v>0</v>
      </c>
      <c r="AA1953" s="9" t="n">
        <f aca="false">IF(AND(M1953&lt;&gt;"",OR(M1953&lt;5,M1953&gt;180)),1,0)</f>
        <v>0</v>
      </c>
      <c r="AB1953" s="7" t="str">
        <f aca="false">IF(P1953="DUP","Exact duplicate row",IF(T1953=1,"Missing Order ID",IF(S1953="DROP","Duplicate Order ID (less complete row)",IF(U1953=1,"Missing Customer ID",IF(V1953=1,"Missing Restaurant name",IF(W1953=1,"Invalid/outlier quantity",IF(X1953=1,"Invalid/outlier unit price",IF(Y1953=1,"Discount greater than order value",""))))))))</f>
        <v/>
      </c>
      <c r="AC1953" s="7" t="str">
        <f aca="false">IF(AB1953="","KEEP","DROP")</f>
        <v>KEEP</v>
      </c>
      <c r="AD1953" s="7" t="str">
        <f aca="false">IF(TRIM(F1953)="",IFERROR(INDEX(Map_Tables!$I$4:$I$37,MATCH(TRIM(E1953),Map_Tables!$G$4:$G$37,0)),""),IFERROR(INDEX(Map_Tables!$B$4:$B$18,MATCH(TRIM(F1953),Map_Tables!$A$4:$A$18,0)),"CHECK"))</f>
        <v>Ahmedabad</v>
      </c>
      <c r="AE1953" s="7" t="str">
        <f aca="false">IF(TRIM(E1953)="","",IFERROR(INDEX(Map_Tables!$H$4:$H$37,MATCH(TRIM(E1953),Map_Tables!$G$4:$G$37,0)),"CHECK"))</f>
        <v>Cheesy Slice</v>
      </c>
      <c r="AF1953" s="7" t="str">
        <f aca="false">IF(TRIM(K1953)="","Unknown",IFERROR(INDEX(Map_Tables!$E$4:$E$15,MATCH(TRIM(K1953),Map_Tables!$D$4:$D$15,0)),"CHECK"))</f>
        <v>Credit Card</v>
      </c>
      <c r="AG1953" s="7" t="str">
        <f aca="false">IF(LEFT(LOWER(TRIM(L1953)),6)="cancel","Cancelled","Delivered")</f>
        <v>Delivered</v>
      </c>
      <c r="AH1953" s="10" t="n">
        <f aca="false">IF(ISNUMBER(SEARCH("/",B1953)),DATE(VALUE(RIGHT(B1953,4)),VALUE(MID(B1953,4,2)),VALUE(LEFT(B1953,2))),IF(MID(B1953,5,1)="-",DATE(VALUE(LEFT(B1953,4)),VALUE(MID(B1953,6,2)),VALUE(RIGHT(B1953,2))),DATE(VALUE(RIGHT(B1953,4)),MATCH(MID(B1953,4,3),{"Jan","Feb","Mar","Apr","May","Jun","Jul","Aug","Sep","Oct","Nov","Dec"},0),VALUE(LEFT(B1953,2)))))</f>
        <v>45875</v>
      </c>
    </row>
    <row r="1954" customFormat="false" ht="15" hidden="false" customHeight="false" outlineLevel="0" collapsed="false">
      <c r="A1954" s="7" t="s">
        <v>4684</v>
      </c>
      <c r="B1954" s="7" t="s">
        <v>643</v>
      </c>
      <c r="C1954" s="7" t="s">
        <v>1346</v>
      </c>
      <c r="D1954" s="7" t="s">
        <v>396</v>
      </c>
      <c r="E1954" s="7" t="s">
        <v>149</v>
      </c>
      <c r="F1954" s="7" t="s">
        <v>119</v>
      </c>
      <c r="G1954" s="7" t="s">
        <v>150</v>
      </c>
      <c r="H1954" s="7" t="n">
        <v>2</v>
      </c>
      <c r="I1954" s="7" t="n">
        <v>180</v>
      </c>
      <c r="J1954" s="7" t="n">
        <v>0</v>
      </c>
      <c r="K1954" s="7" t="s">
        <v>133</v>
      </c>
      <c r="L1954" s="7" t="s">
        <v>238</v>
      </c>
      <c r="M1954" s="7"/>
      <c r="N1954" s="7"/>
      <c r="O1954" s="7" t="str">
        <f aca="false">A1954&amp;"|"&amp;B1954&amp;"|"&amp;C1954&amp;"|"&amp;D1954&amp;"|"&amp;E1954&amp;"|"&amp;F1954&amp;"|"&amp;G1954&amp;"|"&amp;H1954&amp;"|"&amp;I1954&amp;"|"&amp;J1954&amp;"|"&amp;K1954&amp;"|"&amp;L1954&amp;"|"&amp;M1954&amp;"|"&amp;N1954</f>
        <v>ORD12863|2025-12-17|00:03|C0312|Sweet Tooth Studio|Hyderabad|Desserts|2|180|0|Net Banking|Cancelled||</v>
      </c>
      <c r="P1954" s="7" t="str">
        <f aca="false">IF(COUNTIF($O$2:O1954,O1954)&gt;1,"DUP","OK")</f>
        <v>OK</v>
      </c>
      <c r="Q1954" s="7" t="n">
        <f aca="false">COUNTBLANK(A1954:N1954)</f>
        <v>2</v>
      </c>
      <c r="R1954" s="7" t="n">
        <f aca="false">IF(A1954="",0,COUNTIFS($A$2:$A$3058,A1954,$P$2:$P$3058,"OK"))</f>
        <v>1</v>
      </c>
      <c r="S1954" s="7" t="str">
        <f aca="false">IF(OR(A1954="",P1954="DUP",R1954&lt;2),"",IF(Q1954=_xlfn.MINIFS($Q$2:$Q$3058,$A$2:$A$3058,A1954,$P$2:$P$3058,"OK"),"KEEP","DROP"))</f>
        <v/>
      </c>
      <c r="T1954" s="9" t="n">
        <f aca="false">IF(A1954="",1,0)</f>
        <v>0</v>
      </c>
      <c r="U1954" s="9" t="n">
        <f aca="false">IF(D1954="",1,0)</f>
        <v>0</v>
      </c>
      <c r="V1954" s="9" t="n">
        <f aca="false">IF(E1954="",1,0)</f>
        <v>0</v>
      </c>
      <c r="W1954" s="9" t="n">
        <f aca="false">IF(OR(H1954&lt;1,H1954&gt;10),1,0)</f>
        <v>0</v>
      </c>
      <c r="X1954" s="9" t="n">
        <f aca="false">IF(OR(I1954&lt;=0,I1954&gt;1500),1,0)</f>
        <v>0</v>
      </c>
      <c r="Y1954" s="9" t="n">
        <f aca="false">IF(J1954&gt;H1954*I1954,1,0)</f>
        <v>0</v>
      </c>
      <c r="Z1954" s="9" t="n">
        <f aca="false">IF(AND(N1954&lt;&gt;"",OR(N1954&lt;1,N1954&gt;5)),1,0)</f>
        <v>0</v>
      </c>
      <c r="AA1954" s="9" t="n">
        <f aca="false">IF(AND(M1954&lt;&gt;"",OR(M1954&lt;5,M1954&gt;180)),1,0)</f>
        <v>0</v>
      </c>
      <c r="AB1954" s="7" t="str">
        <f aca="false">IF(P1954="DUP","Exact duplicate row",IF(T1954=1,"Missing Order ID",IF(S1954="DROP","Duplicate Order ID (less complete row)",IF(U1954=1,"Missing Customer ID",IF(V1954=1,"Missing Restaurant name",IF(W1954=1,"Invalid/outlier quantity",IF(X1954=1,"Invalid/outlier unit price",IF(Y1954=1,"Discount greater than order value",""))))))))</f>
        <v/>
      </c>
      <c r="AC1954" s="7" t="str">
        <f aca="false">IF(AB1954="","KEEP","DROP")</f>
        <v>KEEP</v>
      </c>
      <c r="AD1954" s="7" t="str">
        <f aca="false">IF(TRIM(F1954)="",IFERROR(INDEX(Map_Tables!$I$4:$I$37,MATCH(TRIM(E1954),Map_Tables!$G$4:$G$37,0)),""),IFERROR(INDEX(Map_Tables!$B$4:$B$18,MATCH(TRIM(F1954),Map_Tables!$A$4:$A$18,0)),"CHECK"))</f>
        <v>Hyderabad</v>
      </c>
      <c r="AE1954" s="7" t="str">
        <f aca="false">IF(TRIM(E1954)="","",IFERROR(INDEX(Map_Tables!$H$4:$H$37,MATCH(TRIM(E1954),Map_Tables!$G$4:$G$37,0)),"CHECK"))</f>
        <v>Sweet Tooth Studio</v>
      </c>
      <c r="AF1954" s="7" t="str">
        <f aca="false">IF(TRIM(K1954)="","Unknown",IFERROR(INDEX(Map_Tables!$E$4:$E$15,MATCH(TRIM(K1954),Map_Tables!$D$4:$D$15,0)),"CHECK"))</f>
        <v>Net Banking</v>
      </c>
      <c r="AG1954" s="7" t="str">
        <f aca="false">IF(LEFT(LOWER(TRIM(L1954)),6)="cancel","Cancelled","Delivered")</f>
        <v>Cancelled</v>
      </c>
      <c r="AH1954" s="10" t="n">
        <f aca="false">IF(ISNUMBER(SEARCH("/",B1954)),DATE(VALUE(RIGHT(B1954,4)),VALUE(MID(B1954,4,2)),VALUE(LEFT(B1954,2))),IF(MID(B1954,5,1)="-",DATE(VALUE(LEFT(B1954,4)),VALUE(MID(B1954,6,2)),VALUE(RIGHT(B1954,2))),DATE(VALUE(RIGHT(B1954,4)),MATCH(MID(B1954,4,3),{"Jan","Feb","Mar","Apr","May","Jun","Jul","Aug","Sep","Oct","Nov","Dec"},0),VALUE(LEFT(B1954,2)))))</f>
        <v>46008</v>
      </c>
    </row>
    <row r="1955" customFormat="false" ht="15" hidden="false" customHeight="false" outlineLevel="0" collapsed="false">
      <c r="A1955" s="7" t="s">
        <v>4685</v>
      </c>
      <c r="B1955" s="7" t="s">
        <v>355</v>
      </c>
      <c r="C1955" s="7" t="s">
        <v>2377</v>
      </c>
      <c r="D1955" s="7" t="s">
        <v>4686</v>
      </c>
      <c r="E1955" s="7" t="s">
        <v>158</v>
      </c>
      <c r="F1955" s="7" t="s">
        <v>136</v>
      </c>
      <c r="G1955" s="7" t="s">
        <v>139</v>
      </c>
      <c r="H1955" s="7" t="n">
        <v>2</v>
      </c>
      <c r="I1955" s="7" t="n">
        <v>175</v>
      </c>
      <c r="J1955" s="7" t="n">
        <v>125</v>
      </c>
      <c r="K1955" s="7" t="s">
        <v>93</v>
      </c>
      <c r="L1955" s="7" t="s">
        <v>194</v>
      </c>
      <c r="M1955" s="7" t="n">
        <v>24</v>
      </c>
      <c r="N1955" s="7" t="n">
        <v>5</v>
      </c>
      <c r="O1955" s="7" t="str">
        <f aca="false">A1955&amp;"|"&amp;B1955&amp;"|"&amp;C1955&amp;"|"&amp;D1955&amp;"|"&amp;E1955&amp;"|"&amp;F1955&amp;"|"&amp;G1955&amp;"|"&amp;H1955&amp;"|"&amp;I1955&amp;"|"&amp;J1955&amp;"|"&amp;K1955&amp;"|"&amp;L1955&amp;"|"&amp;M1955&amp;"|"&amp;N1955</f>
        <v>ORD11151|2025-05-27|11:55|C1389|Pune Burger Hub|Pune|Burgers|2|175|125|Credit Card|Delivered|24|5</v>
      </c>
      <c r="P1955" s="7" t="str">
        <f aca="false">IF(COUNTIF($O$2:O1955,O1955)&gt;1,"DUP","OK")</f>
        <v>OK</v>
      </c>
      <c r="Q1955" s="7" t="n">
        <f aca="false">COUNTBLANK(A1955:N1955)</f>
        <v>0</v>
      </c>
      <c r="R1955" s="7" t="n">
        <f aca="false">IF(A1955="",0,COUNTIFS($A$2:$A$3058,A1955,$P$2:$P$3058,"OK"))</f>
        <v>1</v>
      </c>
      <c r="S1955" s="7" t="str">
        <f aca="false">IF(OR(A1955="",P1955="DUP",R1955&lt;2),"",IF(Q1955=_xlfn.MINIFS($Q$2:$Q$3058,$A$2:$A$3058,A1955,$P$2:$P$3058,"OK"),"KEEP","DROP"))</f>
        <v/>
      </c>
      <c r="T1955" s="9" t="n">
        <f aca="false">IF(A1955="",1,0)</f>
        <v>0</v>
      </c>
      <c r="U1955" s="9" t="n">
        <f aca="false">IF(D1955="",1,0)</f>
        <v>0</v>
      </c>
      <c r="V1955" s="9" t="n">
        <f aca="false">IF(E1955="",1,0)</f>
        <v>0</v>
      </c>
      <c r="W1955" s="9" t="n">
        <f aca="false">IF(OR(H1955&lt;1,H1955&gt;10),1,0)</f>
        <v>0</v>
      </c>
      <c r="X1955" s="9" t="n">
        <f aca="false">IF(OR(I1955&lt;=0,I1955&gt;1500),1,0)</f>
        <v>0</v>
      </c>
      <c r="Y1955" s="9" t="n">
        <f aca="false">IF(J1955&gt;H1955*I1955,1,0)</f>
        <v>0</v>
      </c>
      <c r="Z1955" s="9" t="n">
        <f aca="false">IF(AND(N1955&lt;&gt;"",OR(N1955&lt;1,N1955&gt;5)),1,0)</f>
        <v>0</v>
      </c>
      <c r="AA1955" s="9" t="n">
        <f aca="false">IF(AND(M1955&lt;&gt;"",OR(M1955&lt;5,M1955&gt;180)),1,0)</f>
        <v>0</v>
      </c>
      <c r="AB1955" s="7" t="str">
        <f aca="false">IF(P1955="DUP","Exact duplicate row",IF(T1955=1,"Missing Order ID",IF(S1955="DROP","Duplicate Order ID (less complete row)",IF(U1955=1,"Missing Customer ID",IF(V1955=1,"Missing Restaurant name",IF(W1955=1,"Invalid/outlier quantity",IF(X1955=1,"Invalid/outlier unit price",IF(Y1955=1,"Discount greater than order value",""))))))))</f>
        <v/>
      </c>
      <c r="AC1955" s="7" t="str">
        <f aca="false">IF(AB1955="","KEEP","DROP")</f>
        <v>KEEP</v>
      </c>
      <c r="AD1955" s="7" t="str">
        <f aca="false">IF(TRIM(F1955)="",IFERROR(INDEX(Map_Tables!$I$4:$I$37,MATCH(TRIM(E1955),Map_Tables!$G$4:$G$37,0)),""),IFERROR(INDEX(Map_Tables!$B$4:$B$18,MATCH(TRIM(F1955),Map_Tables!$A$4:$A$18,0)),"CHECK"))</f>
        <v>Pune</v>
      </c>
      <c r="AE1955" s="7" t="str">
        <f aca="false">IF(TRIM(E1955)="","",IFERROR(INDEX(Map_Tables!$H$4:$H$37,MATCH(TRIM(E1955),Map_Tables!$G$4:$G$37,0)),"CHECK"))</f>
        <v>Pune Burger Hub</v>
      </c>
      <c r="AF1955" s="7" t="str">
        <f aca="false">IF(TRIM(K1955)="","Unknown",IFERROR(INDEX(Map_Tables!$E$4:$E$15,MATCH(TRIM(K1955),Map_Tables!$D$4:$D$15,0)),"CHECK"))</f>
        <v>Credit Card</v>
      </c>
      <c r="AG1955" s="7" t="str">
        <f aca="false">IF(LEFT(LOWER(TRIM(L1955)),6)="cancel","Cancelled","Delivered")</f>
        <v>Delivered</v>
      </c>
      <c r="AH1955" s="10" t="n">
        <f aca="false">IF(ISNUMBER(SEARCH("/",B1955)),DATE(VALUE(RIGHT(B1955,4)),VALUE(MID(B1955,4,2)),VALUE(LEFT(B1955,2))),IF(MID(B1955,5,1)="-",DATE(VALUE(LEFT(B1955,4)),VALUE(MID(B1955,6,2)),VALUE(RIGHT(B1955,2))),DATE(VALUE(RIGHT(B1955,4)),MATCH(MID(B1955,4,3),{"Jan","Feb","Mar","Apr","May","Jun","Jul","Aug","Sep","Oct","Nov","Dec"},0),VALUE(LEFT(B1955,2)))))</f>
        <v>45804</v>
      </c>
    </row>
    <row r="1956" customFormat="false" ht="15" hidden="false" customHeight="false" outlineLevel="0" collapsed="false">
      <c r="A1956" s="7" t="s">
        <v>4687</v>
      </c>
      <c r="B1956" s="7" t="s">
        <v>3386</v>
      </c>
      <c r="C1956" s="7" t="s">
        <v>1718</v>
      </c>
      <c r="D1956" s="7" t="s">
        <v>1954</v>
      </c>
      <c r="E1956" s="7" t="s">
        <v>138</v>
      </c>
      <c r="F1956" s="7" t="s">
        <v>110</v>
      </c>
      <c r="G1956" s="7" t="s">
        <v>139</v>
      </c>
      <c r="H1956" s="7" t="n">
        <v>4</v>
      </c>
      <c r="I1956" s="7" t="n">
        <v>200</v>
      </c>
      <c r="J1956" s="7" t="n">
        <v>0</v>
      </c>
      <c r="K1956" s="7" t="s">
        <v>88</v>
      </c>
      <c r="L1956" s="7" t="s">
        <v>194</v>
      </c>
      <c r="M1956" s="7" t="n">
        <v>44</v>
      </c>
      <c r="N1956" s="7" t="n">
        <v>3</v>
      </c>
      <c r="O1956" s="7" t="str">
        <f aca="false">A1956&amp;"|"&amp;B1956&amp;"|"&amp;C1956&amp;"|"&amp;D1956&amp;"|"&amp;E1956&amp;"|"&amp;F1956&amp;"|"&amp;G1956&amp;"|"&amp;H1956&amp;"|"&amp;I1956&amp;"|"&amp;J1956&amp;"|"&amp;K1956&amp;"|"&amp;L1956&amp;"|"&amp;M1956&amp;"|"&amp;N1956</f>
        <v>ORD10813|2025-04-13|20:13|C1044|Burger Barn|Delhi|Burgers|4|200|0|UPI|Delivered|44|3</v>
      </c>
      <c r="P1956" s="7" t="str">
        <f aca="false">IF(COUNTIF($O$2:O1956,O1956)&gt;1,"DUP","OK")</f>
        <v>OK</v>
      </c>
      <c r="Q1956" s="7" t="n">
        <f aca="false">COUNTBLANK(A1956:N1956)</f>
        <v>0</v>
      </c>
      <c r="R1956" s="7" t="n">
        <f aca="false">IF(A1956="",0,COUNTIFS($A$2:$A$3058,A1956,$P$2:$P$3058,"OK"))</f>
        <v>1</v>
      </c>
      <c r="S1956" s="7" t="str">
        <f aca="false">IF(OR(A1956="",P1956="DUP",R1956&lt;2),"",IF(Q1956=_xlfn.MINIFS($Q$2:$Q$3058,$A$2:$A$3058,A1956,$P$2:$P$3058,"OK"),"KEEP","DROP"))</f>
        <v/>
      </c>
      <c r="T1956" s="9" t="n">
        <f aca="false">IF(A1956="",1,0)</f>
        <v>0</v>
      </c>
      <c r="U1956" s="9" t="n">
        <f aca="false">IF(D1956="",1,0)</f>
        <v>0</v>
      </c>
      <c r="V1956" s="9" t="n">
        <f aca="false">IF(E1956="",1,0)</f>
        <v>0</v>
      </c>
      <c r="W1956" s="9" t="n">
        <f aca="false">IF(OR(H1956&lt;1,H1956&gt;10),1,0)</f>
        <v>0</v>
      </c>
      <c r="X1956" s="9" t="n">
        <f aca="false">IF(OR(I1956&lt;=0,I1956&gt;1500),1,0)</f>
        <v>0</v>
      </c>
      <c r="Y1956" s="9" t="n">
        <f aca="false">IF(J1956&gt;H1956*I1956,1,0)</f>
        <v>0</v>
      </c>
      <c r="Z1956" s="9" t="n">
        <f aca="false">IF(AND(N1956&lt;&gt;"",OR(N1956&lt;1,N1956&gt;5)),1,0)</f>
        <v>0</v>
      </c>
      <c r="AA1956" s="9" t="n">
        <f aca="false">IF(AND(M1956&lt;&gt;"",OR(M1956&lt;5,M1956&gt;180)),1,0)</f>
        <v>0</v>
      </c>
      <c r="AB1956" s="7" t="str">
        <f aca="false">IF(P1956="DUP","Exact duplicate row",IF(T1956=1,"Missing Order ID",IF(S1956="DROP","Duplicate Order ID (less complete row)",IF(U1956=1,"Missing Customer ID",IF(V1956=1,"Missing Restaurant name",IF(W1956=1,"Invalid/outlier quantity",IF(X1956=1,"Invalid/outlier unit price",IF(Y1956=1,"Discount greater than order value",""))))))))</f>
        <v/>
      </c>
      <c r="AC1956" s="7" t="str">
        <f aca="false">IF(AB1956="","KEEP","DROP")</f>
        <v>KEEP</v>
      </c>
      <c r="AD1956" s="7" t="str">
        <f aca="false">IF(TRIM(F1956)="",IFERROR(INDEX(Map_Tables!$I$4:$I$37,MATCH(TRIM(E1956),Map_Tables!$G$4:$G$37,0)),""),IFERROR(INDEX(Map_Tables!$B$4:$B$18,MATCH(TRIM(F1956),Map_Tables!$A$4:$A$18,0)),"CHECK"))</f>
        <v>Delhi</v>
      </c>
      <c r="AE1956" s="7" t="str">
        <f aca="false">IF(TRIM(E1956)="","",IFERROR(INDEX(Map_Tables!$H$4:$H$37,MATCH(TRIM(E1956),Map_Tables!$G$4:$G$37,0)),"CHECK"))</f>
        <v>Burger Barn</v>
      </c>
      <c r="AF1956" s="7" t="str">
        <f aca="false">IF(TRIM(K1956)="","Unknown",IFERROR(INDEX(Map_Tables!$E$4:$E$15,MATCH(TRIM(K1956),Map_Tables!$D$4:$D$15,0)),"CHECK"))</f>
        <v>UPI</v>
      </c>
      <c r="AG1956" s="7" t="str">
        <f aca="false">IF(LEFT(LOWER(TRIM(L1956)),6)="cancel","Cancelled","Delivered")</f>
        <v>Delivered</v>
      </c>
      <c r="AH1956" s="10" t="n">
        <f aca="false">IF(ISNUMBER(SEARCH("/",B1956)),DATE(VALUE(RIGHT(B1956,4)),VALUE(MID(B1956,4,2)),VALUE(LEFT(B1956,2))),IF(MID(B1956,5,1)="-",DATE(VALUE(LEFT(B1956,4)),VALUE(MID(B1956,6,2)),VALUE(RIGHT(B1956,2))),DATE(VALUE(RIGHT(B1956,4)),MATCH(MID(B1956,4,3),{"Jan","Feb","Mar","Apr","May","Jun","Jul","Aug","Sep","Oct","Nov","Dec"},0),VALUE(LEFT(B1956,2)))))</f>
        <v>45760</v>
      </c>
    </row>
    <row r="1957" customFormat="false" ht="15" hidden="false" customHeight="false" outlineLevel="0" collapsed="false">
      <c r="A1957" s="7" t="s">
        <v>4688</v>
      </c>
      <c r="B1957" s="7" t="s">
        <v>212</v>
      </c>
      <c r="C1957" s="7" t="s">
        <v>769</v>
      </c>
      <c r="D1957" s="7" t="s">
        <v>3237</v>
      </c>
      <c r="E1957" s="7" t="s">
        <v>104</v>
      </c>
      <c r="F1957" s="7" t="s">
        <v>449</v>
      </c>
      <c r="G1957" s="7" t="s">
        <v>105</v>
      </c>
      <c r="H1957" s="7" t="n">
        <v>2</v>
      </c>
      <c r="I1957" s="7" t="n">
        <v>235</v>
      </c>
      <c r="J1957" s="7" t="n">
        <v>150</v>
      </c>
      <c r="K1957" s="7" t="s">
        <v>121</v>
      </c>
      <c r="L1957" s="7" t="s">
        <v>194</v>
      </c>
      <c r="M1957" s="7" t="n">
        <v>36</v>
      </c>
      <c r="N1957" s="7" t="n">
        <v>4</v>
      </c>
      <c r="O1957" s="7" t="str">
        <f aca="false">A1957&amp;"|"&amp;B1957&amp;"|"&amp;C1957&amp;"|"&amp;D1957&amp;"|"&amp;E1957&amp;"|"&amp;F1957&amp;"|"&amp;G1957&amp;"|"&amp;H1957&amp;"|"&amp;I1957&amp;"|"&amp;J1957&amp;"|"&amp;K1957&amp;"|"&amp;L1957&amp;"|"&amp;M1957&amp;"|"&amp;N1957</f>
        <v>ORD12738|2025-12-01|20:43|C1067|Wok &amp; Roll|BLR|Chinese|2|235|150|Wallet|Delivered|36|4</v>
      </c>
      <c r="P1957" s="7" t="str">
        <f aca="false">IF(COUNTIF($O$2:O1957,O1957)&gt;1,"DUP","OK")</f>
        <v>OK</v>
      </c>
      <c r="Q1957" s="7" t="n">
        <f aca="false">COUNTBLANK(A1957:N1957)</f>
        <v>0</v>
      </c>
      <c r="R1957" s="7" t="n">
        <f aca="false">IF(A1957="",0,COUNTIFS($A$2:$A$3058,A1957,$P$2:$P$3058,"OK"))</f>
        <v>1</v>
      </c>
      <c r="S1957" s="7" t="str">
        <f aca="false">IF(OR(A1957="",P1957="DUP",R1957&lt;2),"",IF(Q1957=_xlfn.MINIFS($Q$2:$Q$3058,$A$2:$A$3058,A1957,$P$2:$P$3058,"OK"),"KEEP","DROP"))</f>
        <v/>
      </c>
      <c r="T1957" s="9" t="n">
        <f aca="false">IF(A1957="",1,0)</f>
        <v>0</v>
      </c>
      <c r="U1957" s="9" t="n">
        <f aca="false">IF(D1957="",1,0)</f>
        <v>0</v>
      </c>
      <c r="V1957" s="9" t="n">
        <f aca="false">IF(E1957="",1,0)</f>
        <v>0</v>
      </c>
      <c r="W1957" s="9" t="n">
        <f aca="false">IF(OR(H1957&lt;1,H1957&gt;10),1,0)</f>
        <v>0</v>
      </c>
      <c r="X1957" s="9" t="n">
        <f aca="false">IF(OR(I1957&lt;=0,I1957&gt;1500),1,0)</f>
        <v>0</v>
      </c>
      <c r="Y1957" s="9" t="n">
        <f aca="false">IF(J1957&gt;H1957*I1957,1,0)</f>
        <v>0</v>
      </c>
      <c r="Z1957" s="9" t="n">
        <f aca="false">IF(AND(N1957&lt;&gt;"",OR(N1957&lt;1,N1957&gt;5)),1,0)</f>
        <v>0</v>
      </c>
      <c r="AA1957" s="9" t="n">
        <f aca="false">IF(AND(M1957&lt;&gt;"",OR(M1957&lt;5,M1957&gt;180)),1,0)</f>
        <v>0</v>
      </c>
      <c r="AB1957" s="7" t="str">
        <f aca="false">IF(P1957="DUP","Exact duplicate row",IF(T1957=1,"Missing Order ID",IF(S1957="DROP","Duplicate Order ID (less complete row)",IF(U1957=1,"Missing Customer ID",IF(V1957=1,"Missing Restaurant name",IF(W1957=1,"Invalid/outlier quantity",IF(X1957=1,"Invalid/outlier unit price",IF(Y1957=1,"Discount greater than order value",""))))))))</f>
        <v/>
      </c>
      <c r="AC1957" s="7" t="str">
        <f aca="false">IF(AB1957="","KEEP","DROP")</f>
        <v>KEEP</v>
      </c>
      <c r="AD1957" s="7" t="str">
        <f aca="false">IF(TRIM(F1957)="",IFERROR(INDEX(Map_Tables!$I$4:$I$37,MATCH(TRIM(E1957),Map_Tables!$G$4:$G$37,0)),""),IFERROR(INDEX(Map_Tables!$B$4:$B$18,MATCH(TRIM(F1957),Map_Tables!$A$4:$A$18,0)),"CHECK"))</f>
        <v>Bengaluru</v>
      </c>
      <c r="AE1957" s="7" t="str">
        <f aca="false">IF(TRIM(E1957)="","",IFERROR(INDEX(Map_Tables!$H$4:$H$37,MATCH(TRIM(E1957),Map_Tables!$G$4:$G$37,0)),"CHECK"))</f>
        <v>Wok &amp; Roll</v>
      </c>
      <c r="AF1957" s="7" t="str">
        <f aca="false">IF(TRIM(K1957)="","Unknown",IFERROR(INDEX(Map_Tables!$E$4:$E$15,MATCH(TRIM(K1957),Map_Tables!$D$4:$D$15,0)),"CHECK"))</f>
        <v>Wallet</v>
      </c>
      <c r="AG1957" s="7" t="str">
        <f aca="false">IF(LEFT(LOWER(TRIM(L1957)),6)="cancel","Cancelled","Delivered")</f>
        <v>Delivered</v>
      </c>
      <c r="AH1957" s="10" t="n">
        <f aca="false">IF(ISNUMBER(SEARCH("/",B1957)),DATE(VALUE(RIGHT(B1957,4)),VALUE(MID(B1957,4,2)),VALUE(LEFT(B1957,2))),IF(MID(B1957,5,1)="-",DATE(VALUE(LEFT(B1957,4)),VALUE(MID(B1957,6,2)),VALUE(RIGHT(B1957,2))),DATE(VALUE(RIGHT(B1957,4)),MATCH(MID(B1957,4,3),{"Jan","Feb","Mar","Apr","May","Jun","Jul","Aug","Sep","Oct","Nov","Dec"},0),VALUE(LEFT(B1957,2)))))</f>
        <v>45992</v>
      </c>
    </row>
    <row r="1958" customFormat="false" ht="15" hidden="false" customHeight="false" outlineLevel="0" collapsed="false">
      <c r="A1958" s="7" t="s">
        <v>4689</v>
      </c>
      <c r="B1958" s="7" t="s">
        <v>503</v>
      </c>
      <c r="C1958" s="7" t="s">
        <v>2083</v>
      </c>
      <c r="D1958" s="7" t="s">
        <v>4690</v>
      </c>
      <c r="E1958" s="7" t="s">
        <v>147</v>
      </c>
      <c r="F1958" s="7" t="s">
        <v>119</v>
      </c>
      <c r="G1958" s="7" t="s">
        <v>95</v>
      </c>
      <c r="H1958" s="7" t="n">
        <v>3</v>
      </c>
      <c r="I1958" s="7" t="n">
        <v>155</v>
      </c>
      <c r="J1958" s="7" t="n">
        <v>0</v>
      </c>
      <c r="K1958" s="7" t="s">
        <v>93</v>
      </c>
      <c r="L1958" s="7" t="s">
        <v>194</v>
      </c>
      <c r="M1958" s="7" t="n">
        <v>31</v>
      </c>
      <c r="N1958" s="7" t="n">
        <v>5</v>
      </c>
      <c r="O1958" s="7" t="str">
        <f aca="false">A1958&amp;"|"&amp;B1958&amp;"|"&amp;C1958&amp;"|"&amp;D1958&amp;"|"&amp;E1958&amp;"|"&amp;F1958&amp;"|"&amp;G1958&amp;"|"&amp;H1958&amp;"|"&amp;I1958&amp;"|"&amp;J1958&amp;"|"&amp;K1958&amp;"|"&amp;L1958&amp;"|"&amp;M1958&amp;"|"&amp;N1958</f>
        <v>ORD11555|2025-07-21|21:13|C0205|Andhra Meals Mess|Hyderabad|South Indian|3|155|0|Credit Card|Delivered|31|5</v>
      </c>
      <c r="P1958" s="7" t="str">
        <f aca="false">IF(COUNTIF($O$2:O1958,O1958)&gt;1,"DUP","OK")</f>
        <v>OK</v>
      </c>
      <c r="Q1958" s="7" t="n">
        <f aca="false">COUNTBLANK(A1958:N1958)</f>
        <v>0</v>
      </c>
      <c r="R1958" s="7" t="n">
        <f aca="false">IF(A1958="",0,COUNTIFS($A$2:$A$3058,A1958,$P$2:$P$3058,"OK"))</f>
        <v>1</v>
      </c>
      <c r="S1958" s="7" t="str">
        <f aca="false">IF(OR(A1958="",P1958="DUP",R1958&lt;2),"",IF(Q1958=_xlfn.MINIFS($Q$2:$Q$3058,$A$2:$A$3058,A1958,$P$2:$P$3058,"OK"),"KEEP","DROP"))</f>
        <v/>
      </c>
      <c r="T1958" s="9" t="n">
        <f aca="false">IF(A1958="",1,0)</f>
        <v>0</v>
      </c>
      <c r="U1958" s="9" t="n">
        <f aca="false">IF(D1958="",1,0)</f>
        <v>0</v>
      </c>
      <c r="V1958" s="9" t="n">
        <f aca="false">IF(E1958="",1,0)</f>
        <v>0</v>
      </c>
      <c r="W1958" s="9" t="n">
        <f aca="false">IF(OR(H1958&lt;1,H1958&gt;10),1,0)</f>
        <v>0</v>
      </c>
      <c r="X1958" s="9" t="n">
        <f aca="false">IF(OR(I1958&lt;=0,I1958&gt;1500),1,0)</f>
        <v>0</v>
      </c>
      <c r="Y1958" s="9" t="n">
        <f aca="false">IF(J1958&gt;H1958*I1958,1,0)</f>
        <v>0</v>
      </c>
      <c r="Z1958" s="9" t="n">
        <f aca="false">IF(AND(N1958&lt;&gt;"",OR(N1958&lt;1,N1958&gt;5)),1,0)</f>
        <v>0</v>
      </c>
      <c r="AA1958" s="9" t="n">
        <f aca="false">IF(AND(M1958&lt;&gt;"",OR(M1958&lt;5,M1958&gt;180)),1,0)</f>
        <v>0</v>
      </c>
      <c r="AB1958" s="7" t="str">
        <f aca="false">IF(P1958="DUP","Exact duplicate row",IF(T1958=1,"Missing Order ID",IF(S1958="DROP","Duplicate Order ID (less complete row)",IF(U1958=1,"Missing Customer ID",IF(V1958=1,"Missing Restaurant name",IF(W1958=1,"Invalid/outlier quantity",IF(X1958=1,"Invalid/outlier unit price",IF(Y1958=1,"Discount greater than order value",""))))))))</f>
        <v/>
      </c>
      <c r="AC1958" s="7" t="str">
        <f aca="false">IF(AB1958="","KEEP","DROP")</f>
        <v>KEEP</v>
      </c>
      <c r="AD1958" s="7" t="str">
        <f aca="false">IF(TRIM(F1958)="",IFERROR(INDEX(Map_Tables!$I$4:$I$37,MATCH(TRIM(E1958),Map_Tables!$G$4:$G$37,0)),""),IFERROR(INDEX(Map_Tables!$B$4:$B$18,MATCH(TRIM(F1958),Map_Tables!$A$4:$A$18,0)),"CHECK"))</f>
        <v>Hyderabad</v>
      </c>
      <c r="AE1958" s="7" t="str">
        <f aca="false">IF(TRIM(E1958)="","",IFERROR(INDEX(Map_Tables!$H$4:$H$37,MATCH(TRIM(E1958),Map_Tables!$G$4:$G$37,0)),"CHECK"))</f>
        <v>Andhra Meals Mess</v>
      </c>
      <c r="AF1958" s="7" t="str">
        <f aca="false">IF(TRIM(K1958)="","Unknown",IFERROR(INDEX(Map_Tables!$E$4:$E$15,MATCH(TRIM(K1958),Map_Tables!$D$4:$D$15,0)),"CHECK"))</f>
        <v>Credit Card</v>
      </c>
      <c r="AG1958" s="7" t="str">
        <f aca="false">IF(LEFT(LOWER(TRIM(L1958)),6)="cancel","Cancelled","Delivered")</f>
        <v>Delivered</v>
      </c>
      <c r="AH1958" s="10" t="n">
        <f aca="false">IF(ISNUMBER(SEARCH("/",B1958)),DATE(VALUE(RIGHT(B1958,4)),VALUE(MID(B1958,4,2)),VALUE(LEFT(B1958,2))),IF(MID(B1958,5,1)="-",DATE(VALUE(LEFT(B1958,4)),VALUE(MID(B1958,6,2)),VALUE(RIGHT(B1958,2))),DATE(VALUE(RIGHT(B1958,4)),MATCH(MID(B1958,4,3),{"Jan","Feb","Mar","Apr","May","Jun","Jul","Aug","Sep","Oct","Nov","Dec"},0),VALUE(LEFT(B1958,2)))))</f>
        <v>45859</v>
      </c>
    </row>
    <row r="1959" customFormat="false" ht="15" hidden="false" customHeight="false" outlineLevel="0" collapsed="false">
      <c r="A1959" s="7" t="s">
        <v>4691</v>
      </c>
      <c r="B1959" s="7" t="s">
        <v>1894</v>
      </c>
      <c r="C1959" s="7" t="s">
        <v>4016</v>
      </c>
      <c r="D1959" s="7" t="s">
        <v>3323</v>
      </c>
      <c r="E1959" s="7" t="s">
        <v>149</v>
      </c>
      <c r="F1959" s="7" t="s">
        <v>2488</v>
      </c>
      <c r="G1959" s="7" t="s">
        <v>150</v>
      </c>
      <c r="H1959" s="7" t="n">
        <v>2</v>
      </c>
      <c r="I1959" s="7" t="n">
        <v>165</v>
      </c>
      <c r="J1959" s="7" t="n">
        <v>0</v>
      </c>
      <c r="K1959" s="7" t="s">
        <v>133</v>
      </c>
      <c r="L1959" s="7" t="s">
        <v>194</v>
      </c>
      <c r="M1959" s="7" t="n">
        <v>36</v>
      </c>
      <c r="N1959" s="7" t="n">
        <v>3</v>
      </c>
      <c r="O1959" s="7" t="str">
        <f aca="false">A1959&amp;"|"&amp;B1959&amp;"|"&amp;C1959&amp;"|"&amp;D1959&amp;"|"&amp;E1959&amp;"|"&amp;F1959&amp;"|"&amp;G1959&amp;"|"&amp;H1959&amp;"|"&amp;I1959&amp;"|"&amp;J1959&amp;"|"&amp;K1959&amp;"|"&amp;L1959&amp;"|"&amp;M1959&amp;"|"&amp;N1959</f>
        <v>ORD10251|2025-02-02|14:04|C0628|Sweet Tooth Studio|HYDERABAD|Desserts|2|165|0|Net Banking|Delivered|36|3</v>
      </c>
      <c r="P1959" s="7" t="str">
        <f aca="false">IF(COUNTIF($O$2:O1959,O1959)&gt;1,"DUP","OK")</f>
        <v>OK</v>
      </c>
      <c r="Q1959" s="7" t="n">
        <f aca="false">COUNTBLANK(A1959:N1959)</f>
        <v>0</v>
      </c>
      <c r="R1959" s="7" t="n">
        <f aca="false">IF(A1959="",0,COUNTIFS($A$2:$A$3058,A1959,$P$2:$P$3058,"OK"))</f>
        <v>1</v>
      </c>
      <c r="S1959" s="7" t="str">
        <f aca="false">IF(OR(A1959="",P1959="DUP",R1959&lt;2),"",IF(Q1959=_xlfn.MINIFS($Q$2:$Q$3058,$A$2:$A$3058,A1959,$P$2:$P$3058,"OK"),"KEEP","DROP"))</f>
        <v/>
      </c>
      <c r="T1959" s="9" t="n">
        <f aca="false">IF(A1959="",1,0)</f>
        <v>0</v>
      </c>
      <c r="U1959" s="9" t="n">
        <f aca="false">IF(D1959="",1,0)</f>
        <v>0</v>
      </c>
      <c r="V1959" s="9" t="n">
        <f aca="false">IF(E1959="",1,0)</f>
        <v>0</v>
      </c>
      <c r="W1959" s="9" t="n">
        <f aca="false">IF(OR(H1959&lt;1,H1959&gt;10),1,0)</f>
        <v>0</v>
      </c>
      <c r="X1959" s="9" t="n">
        <f aca="false">IF(OR(I1959&lt;=0,I1959&gt;1500),1,0)</f>
        <v>0</v>
      </c>
      <c r="Y1959" s="9" t="n">
        <f aca="false">IF(J1959&gt;H1959*I1959,1,0)</f>
        <v>0</v>
      </c>
      <c r="Z1959" s="9" t="n">
        <f aca="false">IF(AND(N1959&lt;&gt;"",OR(N1959&lt;1,N1959&gt;5)),1,0)</f>
        <v>0</v>
      </c>
      <c r="AA1959" s="9" t="n">
        <f aca="false">IF(AND(M1959&lt;&gt;"",OR(M1959&lt;5,M1959&gt;180)),1,0)</f>
        <v>0</v>
      </c>
      <c r="AB1959" s="7" t="str">
        <f aca="false">IF(P1959="DUP","Exact duplicate row",IF(T1959=1,"Missing Order ID",IF(S1959="DROP","Duplicate Order ID (less complete row)",IF(U1959=1,"Missing Customer ID",IF(V1959=1,"Missing Restaurant name",IF(W1959=1,"Invalid/outlier quantity",IF(X1959=1,"Invalid/outlier unit price",IF(Y1959=1,"Discount greater than order value",""))))))))</f>
        <v/>
      </c>
      <c r="AC1959" s="7" t="str">
        <f aca="false">IF(AB1959="","KEEP","DROP")</f>
        <v>KEEP</v>
      </c>
      <c r="AD1959" s="7" t="str">
        <f aca="false">IF(TRIM(F1959)="",IFERROR(INDEX(Map_Tables!$I$4:$I$37,MATCH(TRIM(E1959),Map_Tables!$G$4:$G$37,0)),""),IFERROR(INDEX(Map_Tables!$B$4:$B$18,MATCH(TRIM(F1959),Map_Tables!$A$4:$A$18,0)),"CHECK"))</f>
        <v>Hyderabad</v>
      </c>
      <c r="AE1959" s="7" t="str">
        <f aca="false">IF(TRIM(E1959)="","",IFERROR(INDEX(Map_Tables!$H$4:$H$37,MATCH(TRIM(E1959),Map_Tables!$G$4:$G$37,0)),"CHECK"))</f>
        <v>Sweet Tooth Studio</v>
      </c>
      <c r="AF1959" s="7" t="str">
        <f aca="false">IF(TRIM(K1959)="","Unknown",IFERROR(INDEX(Map_Tables!$E$4:$E$15,MATCH(TRIM(K1959),Map_Tables!$D$4:$D$15,0)),"CHECK"))</f>
        <v>Net Banking</v>
      </c>
      <c r="AG1959" s="7" t="str">
        <f aca="false">IF(LEFT(LOWER(TRIM(L1959)),6)="cancel","Cancelled","Delivered")</f>
        <v>Delivered</v>
      </c>
      <c r="AH1959" s="10" t="n">
        <f aca="false">IF(ISNUMBER(SEARCH("/",B1959)),DATE(VALUE(RIGHT(B1959,4)),VALUE(MID(B1959,4,2)),VALUE(LEFT(B1959,2))),IF(MID(B1959,5,1)="-",DATE(VALUE(LEFT(B1959,4)),VALUE(MID(B1959,6,2)),VALUE(RIGHT(B1959,2))),DATE(VALUE(RIGHT(B1959,4)),MATCH(MID(B1959,4,3),{"Jan","Feb","Mar","Apr","May","Jun","Jul","Aug","Sep","Oct","Nov","Dec"},0),VALUE(LEFT(B1959,2)))))</f>
        <v>45690</v>
      </c>
    </row>
    <row r="1960" customFormat="false" ht="15" hidden="false" customHeight="false" outlineLevel="0" collapsed="false">
      <c r="A1960" s="7" t="s">
        <v>4692</v>
      </c>
      <c r="B1960" s="7" t="s">
        <v>1541</v>
      </c>
      <c r="C1960" s="7" t="s">
        <v>588</v>
      </c>
      <c r="D1960" s="7" t="s">
        <v>2346</v>
      </c>
      <c r="E1960" s="7" t="s">
        <v>1098</v>
      </c>
      <c r="F1960" s="7" t="s">
        <v>86</v>
      </c>
      <c r="G1960" s="7" t="s">
        <v>90</v>
      </c>
      <c r="H1960" s="7" t="n">
        <v>3</v>
      </c>
      <c r="I1960" s="7" t="n">
        <v>235</v>
      </c>
      <c r="J1960" s="7" t="n">
        <v>0</v>
      </c>
      <c r="K1960" s="7" t="s">
        <v>103</v>
      </c>
      <c r="L1960" s="7" t="s">
        <v>194</v>
      </c>
      <c r="M1960" s="7" t="n">
        <v>42</v>
      </c>
      <c r="N1960" s="7" t="n">
        <v>4</v>
      </c>
      <c r="O1960" s="7" t="str">
        <f aca="false">A1960&amp;"|"&amp;B1960&amp;"|"&amp;C1960&amp;"|"&amp;D1960&amp;"|"&amp;E1960&amp;"|"&amp;F1960&amp;"|"&amp;G1960&amp;"|"&amp;H1960&amp;"|"&amp;I1960&amp;"|"&amp;J1960&amp;"|"&amp;K1960&amp;"|"&amp;L1960&amp;"|"&amp;M1960&amp;"|"&amp;N1960</f>
        <v>ORD10844|2025-04-17|12:31|C0777|SPICE JUNCTION|Bengaluru|North Indian|3|235|0|Debit Card|Delivered|42|4</v>
      </c>
      <c r="P1960" s="7" t="str">
        <f aca="false">IF(COUNTIF($O$2:O1960,O1960)&gt;1,"DUP","OK")</f>
        <v>OK</v>
      </c>
      <c r="Q1960" s="7" t="n">
        <f aca="false">COUNTBLANK(A1960:N1960)</f>
        <v>0</v>
      </c>
      <c r="R1960" s="7" t="n">
        <f aca="false">IF(A1960="",0,COUNTIFS($A$2:$A$3058,A1960,$P$2:$P$3058,"OK"))</f>
        <v>1</v>
      </c>
      <c r="S1960" s="7" t="str">
        <f aca="false">IF(OR(A1960="",P1960="DUP",R1960&lt;2),"",IF(Q1960=_xlfn.MINIFS($Q$2:$Q$3058,$A$2:$A$3058,A1960,$P$2:$P$3058,"OK"),"KEEP","DROP"))</f>
        <v/>
      </c>
      <c r="T1960" s="9" t="n">
        <f aca="false">IF(A1960="",1,0)</f>
        <v>0</v>
      </c>
      <c r="U1960" s="9" t="n">
        <f aca="false">IF(D1960="",1,0)</f>
        <v>0</v>
      </c>
      <c r="V1960" s="9" t="n">
        <f aca="false">IF(E1960="",1,0)</f>
        <v>0</v>
      </c>
      <c r="W1960" s="9" t="n">
        <f aca="false">IF(OR(H1960&lt;1,H1960&gt;10),1,0)</f>
        <v>0</v>
      </c>
      <c r="X1960" s="9" t="n">
        <f aca="false">IF(OR(I1960&lt;=0,I1960&gt;1500),1,0)</f>
        <v>0</v>
      </c>
      <c r="Y1960" s="9" t="n">
        <f aca="false">IF(J1960&gt;H1960*I1960,1,0)</f>
        <v>0</v>
      </c>
      <c r="Z1960" s="9" t="n">
        <f aca="false">IF(AND(N1960&lt;&gt;"",OR(N1960&lt;1,N1960&gt;5)),1,0)</f>
        <v>0</v>
      </c>
      <c r="AA1960" s="9" t="n">
        <f aca="false">IF(AND(M1960&lt;&gt;"",OR(M1960&lt;5,M1960&gt;180)),1,0)</f>
        <v>0</v>
      </c>
      <c r="AB1960" s="7" t="str">
        <f aca="false">IF(P1960="DUP","Exact duplicate row",IF(T1960=1,"Missing Order ID",IF(S1960="DROP","Duplicate Order ID (less complete row)",IF(U1960=1,"Missing Customer ID",IF(V1960=1,"Missing Restaurant name",IF(W1960=1,"Invalid/outlier quantity",IF(X1960=1,"Invalid/outlier unit price",IF(Y1960=1,"Discount greater than order value",""))))))))</f>
        <v/>
      </c>
      <c r="AC1960" s="7" t="str">
        <f aca="false">IF(AB1960="","KEEP","DROP")</f>
        <v>KEEP</v>
      </c>
      <c r="AD1960" s="7" t="str">
        <f aca="false">IF(TRIM(F1960)="",IFERROR(INDEX(Map_Tables!$I$4:$I$37,MATCH(TRIM(E1960),Map_Tables!$G$4:$G$37,0)),""),IFERROR(INDEX(Map_Tables!$B$4:$B$18,MATCH(TRIM(F1960),Map_Tables!$A$4:$A$18,0)),"CHECK"))</f>
        <v>Bengaluru</v>
      </c>
      <c r="AE1960" s="7" t="str">
        <f aca="false">IF(TRIM(E1960)="","",IFERROR(INDEX(Map_Tables!$H$4:$H$37,MATCH(TRIM(E1960),Map_Tables!$G$4:$G$37,0)),"CHECK"))</f>
        <v>Spice Junction</v>
      </c>
      <c r="AF1960" s="7" t="str">
        <f aca="false">IF(TRIM(K1960)="","Unknown",IFERROR(INDEX(Map_Tables!$E$4:$E$15,MATCH(TRIM(K1960),Map_Tables!$D$4:$D$15,0)),"CHECK"))</f>
        <v>Debit Card</v>
      </c>
      <c r="AG1960" s="7" t="str">
        <f aca="false">IF(LEFT(LOWER(TRIM(L1960)),6)="cancel","Cancelled","Delivered")</f>
        <v>Delivered</v>
      </c>
      <c r="AH1960" s="10" t="n">
        <f aca="false">IF(ISNUMBER(SEARCH("/",B1960)),DATE(VALUE(RIGHT(B1960,4)),VALUE(MID(B1960,4,2)),VALUE(LEFT(B1960,2))),IF(MID(B1960,5,1)="-",DATE(VALUE(LEFT(B1960,4)),VALUE(MID(B1960,6,2)),VALUE(RIGHT(B1960,2))),DATE(VALUE(RIGHT(B1960,4)),MATCH(MID(B1960,4,3),{"Jan","Feb","Mar","Apr","May","Jun","Jul","Aug","Sep","Oct","Nov","Dec"},0),VALUE(LEFT(B1960,2)))))</f>
        <v>45764</v>
      </c>
    </row>
    <row r="1961" customFormat="false" ht="15" hidden="false" customHeight="false" outlineLevel="0" collapsed="false">
      <c r="A1961" s="7" t="s">
        <v>4693</v>
      </c>
      <c r="B1961" s="7" t="s">
        <v>2312</v>
      </c>
      <c r="C1961" s="7" t="s">
        <v>508</v>
      </c>
      <c r="D1961" s="7" t="s">
        <v>4694</v>
      </c>
      <c r="E1961" s="7" t="s">
        <v>113</v>
      </c>
      <c r="F1961" s="7" t="s">
        <v>101</v>
      </c>
      <c r="G1961" s="7" t="s">
        <v>90</v>
      </c>
      <c r="H1961" s="7" t="n">
        <v>1</v>
      </c>
      <c r="I1961" s="7" t="n">
        <v>250</v>
      </c>
      <c r="J1961" s="7" t="n">
        <v>40</v>
      </c>
      <c r="K1961" s="7" t="s">
        <v>88</v>
      </c>
      <c r="L1961" s="7" t="s">
        <v>194</v>
      </c>
      <c r="M1961" s="7" t="n">
        <v>39</v>
      </c>
      <c r="N1961" s="7" t="n">
        <v>5</v>
      </c>
      <c r="O1961" s="7" t="str">
        <f aca="false">A1961&amp;"|"&amp;B1961&amp;"|"&amp;C1961&amp;"|"&amp;D1961&amp;"|"&amp;E1961&amp;"|"&amp;F1961&amp;"|"&amp;G1961&amp;"|"&amp;H1961&amp;"|"&amp;I1961&amp;"|"&amp;J1961&amp;"|"&amp;K1961&amp;"|"&amp;L1961&amp;"|"&amp;M1961&amp;"|"&amp;N1961</f>
        <v>ORD12419|2025-11-01|11:56|C0787|Curry Leaf Kitchen|Mumbai|North Indian|1|250|40|UPI|Delivered|39|5</v>
      </c>
      <c r="P1961" s="7" t="str">
        <f aca="false">IF(COUNTIF($O$2:O1961,O1961)&gt;1,"DUP","OK")</f>
        <v>OK</v>
      </c>
      <c r="Q1961" s="7" t="n">
        <f aca="false">COUNTBLANK(A1961:N1961)</f>
        <v>0</v>
      </c>
      <c r="R1961" s="7" t="n">
        <f aca="false">IF(A1961="",0,COUNTIFS($A$2:$A$3058,A1961,$P$2:$P$3058,"OK"))</f>
        <v>1</v>
      </c>
      <c r="S1961" s="7" t="str">
        <f aca="false">IF(OR(A1961="",P1961="DUP",R1961&lt;2),"",IF(Q1961=_xlfn.MINIFS($Q$2:$Q$3058,$A$2:$A$3058,A1961,$P$2:$P$3058,"OK"),"KEEP","DROP"))</f>
        <v/>
      </c>
      <c r="T1961" s="9" t="n">
        <f aca="false">IF(A1961="",1,0)</f>
        <v>0</v>
      </c>
      <c r="U1961" s="9" t="n">
        <f aca="false">IF(D1961="",1,0)</f>
        <v>0</v>
      </c>
      <c r="V1961" s="9" t="n">
        <f aca="false">IF(E1961="",1,0)</f>
        <v>0</v>
      </c>
      <c r="W1961" s="9" t="n">
        <f aca="false">IF(OR(H1961&lt;1,H1961&gt;10),1,0)</f>
        <v>0</v>
      </c>
      <c r="X1961" s="9" t="n">
        <f aca="false">IF(OR(I1961&lt;=0,I1961&gt;1500),1,0)</f>
        <v>0</v>
      </c>
      <c r="Y1961" s="9" t="n">
        <f aca="false">IF(J1961&gt;H1961*I1961,1,0)</f>
        <v>0</v>
      </c>
      <c r="Z1961" s="9" t="n">
        <f aca="false">IF(AND(N1961&lt;&gt;"",OR(N1961&lt;1,N1961&gt;5)),1,0)</f>
        <v>0</v>
      </c>
      <c r="AA1961" s="9" t="n">
        <f aca="false">IF(AND(M1961&lt;&gt;"",OR(M1961&lt;5,M1961&gt;180)),1,0)</f>
        <v>0</v>
      </c>
      <c r="AB1961" s="7" t="str">
        <f aca="false">IF(P1961="DUP","Exact duplicate row",IF(T1961=1,"Missing Order ID",IF(S1961="DROP","Duplicate Order ID (less complete row)",IF(U1961=1,"Missing Customer ID",IF(V1961=1,"Missing Restaurant name",IF(W1961=1,"Invalid/outlier quantity",IF(X1961=1,"Invalid/outlier unit price",IF(Y1961=1,"Discount greater than order value",""))))))))</f>
        <v/>
      </c>
      <c r="AC1961" s="7" t="str">
        <f aca="false">IF(AB1961="","KEEP","DROP")</f>
        <v>KEEP</v>
      </c>
      <c r="AD1961" s="7" t="str">
        <f aca="false">IF(TRIM(F1961)="",IFERROR(INDEX(Map_Tables!$I$4:$I$37,MATCH(TRIM(E1961),Map_Tables!$G$4:$G$37,0)),""),IFERROR(INDEX(Map_Tables!$B$4:$B$18,MATCH(TRIM(F1961),Map_Tables!$A$4:$A$18,0)),"CHECK"))</f>
        <v>Mumbai</v>
      </c>
      <c r="AE1961" s="7" t="str">
        <f aca="false">IF(TRIM(E1961)="","",IFERROR(INDEX(Map_Tables!$H$4:$H$37,MATCH(TRIM(E1961),Map_Tables!$G$4:$G$37,0)),"CHECK"))</f>
        <v>Curry Leaf Kitchen</v>
      </c>
      <c r="AF1961" s="7" t="str">
        <f aca="false">IF(TRIM(K1961)="","Unknown",IFERROR(INDEX(Map_Tables!$E$4:$E$15,MATCH(TRIM(K1961),Map_Tables!$D$4:$D$15,0)),"CHECK"))</f>
        <v>UPI</v>
      </c>
      <c r="AG1961" s="7" t="str">
        <f aca="false">IF(LEFT(LOWER(TRIM(L1961)),6)="cancel","Cancelled","Delivered")</f>
        <v>Delivered</v>
      </c>
      <c r="AH1961" s="10" t="n">
        <f aca="false">IF(ISNUMBER(SEARCH("/",B1961)),DATE(VALUE(RIGHT(B1961,4)),VALUE(MID(B1961,4,2)),VALUE(LEFT(B1961,2))),IF(MID(B1961,5,1)="-",DATE(VALUE(LEFT(B1961,4)),VALUE(MID(B1961,6,2)),VALUE(RIGHT(B1961,2))),DATE(VALUE(RIGHT(B1961,4)),MATCH(MID(B1961,4,3),{"Jan","Feb","Mar","Apr","May","Jun","Jul","Aug","Sep","Oct","Nov","Dec"},0),VALUE(LEFT(B1961,2)))))</f>
        <v>45962</v>
      </c>
    </row>
    <row r="1962" customFormat="false" ht="15" hidden="false" customHeight="false" outlineLevel="0" collapsed="false">
      <c r="A1962" s="7" t="s">
        <v>4695</v>
      </c>
      <c r="B1962" s="7" t="s">
        <v>715</v>
      </c>
      <c r="C1962" s="7" t="s">
        <v>223</v>
      </c>
      <c r="D1962" s="7" t="s">
        <v>2566</v>
      </c>
      <c r="E1962" s="7" t="s">
        <v>134</v>
      </c>
      <c r="F1962" s="7" t="s">
        <v>110</v>
      </c>
      <c r="G1962" s="7" t="s">
        <v>117</v>
      </c>
      <c r="H1962" s="7" t="n">
        <v>2</v>
      </c>
      <c r="I1962" s="7" t="n">
        <v>100</v>
      </c>
      <c r="J1962" s="7" t="n">
        <v>0</v>
      </c>
      <c r="K1962" s="7" t="s">
        <v>103</v>
      </c>
      <c r="L1962" s="7" t="s">
        <v>238</v>
      </c>
      <c r="M1962" s="7"/>
      <c r="N1962" s="7"/>
      <c r="O1962" s="7" t="str">
        <f aca="false">A1962&amp;"|"&amp;B1962&amp;"|"&amp;C1962&amp;"|"&amp;D1962&amp;"|"&amp;E1962&amp;"|"&amp;F1962&amp;"|"&amp;G1962&amp;"|"&amp;H1962&amp;"|"&amp;I1962&amp;"|"&amp;J1962&amp;"|"&amp;K1962&amp;"|"&amp;L1962&amp;"|"&amp;M1962&amp;"|"&amp;N1962</f>
        <v>ORD11265|2025-06-11|10:20|C1302|Chaat Corner|Delhi|Street Food|2|100|0|Debit Card|Cancelled||</v>
      </c>
      <c r="P1962" s="7" t="str">
        <f aca="false">IF(COUNTIF($O$2:O1962,O1962)&gt;1,"DUP","OK")</f>
        <v>OK</v>
      </c>
      <c r="Q1962" s="7" t="n">
        <f aca="false">COUNTBLANK(A1962:N1962)</f>
        <v>2</v>
      </c>
      <c r="R1962" s="7" t="n">
        <f aca="false">IF(A1962="",0,COUNTIFS($A$2:$A$3058,A1962,$P$2:$P$3058,"OK"))</f>
        <v>1</v>
      </c>
      <c r="S1962" s="7" t="str">
        <f aca="false">IF(OR(A1962="",P1962="DUP",R1962&lt;2),"",IF(Q1962=_xlfn.MINIFS($Q$2:$Q$3058,$A$2:$A$3058,A1962,$P$2:$P$3058,"OK"),"KEEP","DROP"))</f>
        <v/>
      </c>
      <c r="T1962" s="9" t="n">
        <f aca="false">IF(A1962="",1,0)</f>
        <v>0</v>
      </c>
      <c r="U1962" s="9" t="n">
        <f aca="false">IF(D1962="",1,0)</f>
        <v>0</v>
      </c>
      <c r="V1962" s="9" t="n">
        <f aca="false">IF(E1962="",1,0)</f>
        <v>0</v>
      </c>
      <c r="W1962" s="9" t="n">
        <f aca="false">IF(OR(H1962&lt;1,H1962&gt;10),1,0)</f>
        <v>0</v>
      </c>
      <c r="X1962" s="9" t="n">
        <f aca="false">IF(OR(I1962&lt;=0,I1962&gt;1500),1,0)</f>
        <v>0</v>
      </c>
      <c r="Y1962" s="9" t="n">
        <f aca="false">IF(J1962&gt;H1962*I1962,1,0)</f>
        <v>0</v>
      </c>
      <c r="Z1962" s="9" t="n">
        <f aca="false">IF(AND(N1962&lt;&gt;"",OR(N1962&lt;1,N1962&gt;5)),1,0)</f>
        <v>0</v>
      </c>
      <c r="AA1962" s="9" t="n">
        <f aca="false">IF(AND(M1962&lt;&gt;"",OR(M1962&lt;5,M1962&gt;180)),1,0)</f>
        <v>0</v>
      </c>
      <c r="AB1962" s="7" t="str">
        <f aca="false">IF(P1962="DUP","Exact duplicate row",IF(T1962=1,"Missing Order ID",IF(S1962="DROP","Duplicate Order ID (less complete row)",IF(U1962=1,"Missing Customer ID",IF(V1962=1,"Missing Restaurant name",IF(W1962=1,"Invalid/outlier quantity",IF(X1962=1,"Invalid/outlier unit price",IF(Y1962=1,"Discount greater than order value",""))))))))</f>
        <v/>
      </c>
      <c r="AC1962" s="7" t="str">
        <f aca="false">IF(AB1962="","KEEP","DROP")</f>
        <v>KEEP</v>
      </c>
      <c r="AD1962" s="7" t="str">
        <f aca="false">IF(TRIM(F1962)="",IFERROR(INDEX(Map_Tables!$I$4:$I$37,MATCH(TRIM(E1962),Map_Tables!$G$4:$G$37,0)),""),IFERROR(INDEX(Map_Tables!$B$4:$B$18,MATCH(TRIM(F1962),Map_Tables!$A$4:$A$18,0)),"CHECK"))</f>
        <v>Delhi</v>
      </c>
      <c r="AE1962" s="7" t="str">
        <f aca="false">IF(TRIM(E1962)="","",IFERROR(INDEX(Map_Tables!$H$4:$H$37,MATCH(TRIM(E1962),Map_Tables!$G$4:$G$37,0)),"CHECK"))</f>
        <v>Chaat Corner</v>
      </c>
      <c r="AF1962" s="7" t="str">
        <f aca="false">IF(TRIM(K1962)="","Unknown",IFERROR(INDEX(Map_Tables!$E$4:$E$15,MATCH(TRIM(K1962),Map_Tables!$D$4:$D$15,0)),"CHECK"))</f>
        <v>Debit Card</v>
      </c>
      <c r="AG1962" s="7" t="str">
        <f aca="false">IF(LEFT(LOWER(TRIM(L1962)),6)="cancel","Cancelled","Delivered")</f>
        <v>Cancelled</v>
      </c>
      <c r="AH1962" s="10" t="n">
        <f aca="false">IF(ISNUMBER(SEARCH("/",B1962)),DATE(VALUE(RIGHT(B1962,4)),VALUE(MID(B1962,4,2)),VALUE(LEFT(B1962,2))),IF(MID(B1962,5,1)="-",DATE(VALUE(LEFT(B1962,4)),VALUE(MID(B1962,6,2)),VALUE(RIGHT(B1962,2))),DATE(VALUE(RIGHT(B1962,4)),MATCH(MID(B1962,4,3),{"Jan","Feb","Mar","Apr","May","Jun","Jul","Aug","Sep","Oct","Nov","Dec"},0),VALUE(LEFT(B1962,2)))))</f>
        <v>45819</v>
      </c>
    </row>
    <row r="1963" customFormat="false" ht="15" hidden="false" customHeight="false" outlineLevel="0" collapsed="false">
      <c r="A1963" s="7" t="s">
        <v>4696</v>
      </c>
      <c r="B1963" s="7" t="s">
        <v>1721</v>
      </c>
      <c r="C1963" s="7" t="s">
        <v>3048</v>
      </c>
      <c r="D1963" s="7" t="s">
        <v>2394</v>
      </c>
      <c r="E1963" s="7" t="s">
        <v>89</v>
      </c>
      <c r="F1963" s="7" t="s">
        <v>86</v>
      </c>
      <c r="G1963" s="7" t="s">
        <v>90</v>
      </c>
      <c r="H1963" s="7" t="n">
        <v>4</v>
      </c>
      <c r="I1963" s="7" t="n">
        <v>250</v>
      </c>
      <c r="J1963" s="7" t="n">
        <v>0</v>
      </c>
      <c r="K1963" s="7" t="s">
        <v>93</v>
      </c>
      <c r="L1963" s="7" t="s">
        <v>194</v>
      </c>
      <c r="M1963" s="7" t="n">
        <v>45</v>
      </c>
      <c r="N1963" s="7"/>
      <c r="O1963" s="7" t="str">
        <f aca="false">A1963&amp;"|"&amp;B1963&amp;"|"&amp;C1963&amp;"|"&amp;D1963&amp;"|"&amp;E1963&amp;"|"&amp;F1963&amp;"|"&amp;G1963&amp;"|"&amp;H1963&amp;"|"&amp;I1963&amp;"|"&amp;J1963&amp;"|"&amp;K1963&amp;"|"&amp;L1963&amp;"|"&amp;M1963&amp;"|"&amp;N1963</f>
        <v>ORD11009|2025-05-08|14:42|C0451|Spice Junction|Bengaluru|North Indian|4|250|0|Credit Card|Delivered|45|</v>
      </c>
      <c r="P1963" s="7" t="str">
        <f aca="false">IF(COUNTIF($O$2:O1963,O1963)&gt;1,"DUP","OK")</f>
        <v>OK</v>
      </c>
      <c r="Q1963" s="7" t="n">
        <f aca="false">COUNTBLANK(A1963:N1963)</f>
        <v>1</v>
      </c>
      <c r="R1963" s="7" t="n">
        <f aca="false">IF(A1963="",0,COUNTIFS($A$2:$A$3058,A1963,$P$2:$P$3058,"OK"))</f>
        <v>1</v>
      </c>
      <c r="S1963" s="7" t="str">
        <f aca="false">IF(OR(A1963="",P1963="DUP",R1963&lt;2),"",IF(Q1963=_xlfn.MINIFS($Q$2:$Q$3058,$A$2:$A$3058,A1963,$P$2:$P$3058,"OK"),"KEEP","DROP"))</f>
        <v/>
      </c>
      <c r="T1963" s="9" t="n">
        <f aca="false">IF(A1963="",1,0)</f>
        <v>0</v>
      </c>
      <c r="U1963" s="9" t="n">
        <f aca="false">IF(D1963="",1,0)</f>
        <v>0</v>
      </c>
      <c r="V1963" s="9" t="n">
        <f aca="false">IF(E1963="",1,0)</f>
        <v>0</v>
      </c>
      <c r="W1963" s="9" t="n">
        <f aca="false">IF(OR(H1963&lt;1,H1963&gt;10),1,0)</f>
        <v>0</v>
      </c>
      <c r="X1963" s="9" t="n">
        <f aca="false">IF(OR(I1963&lt;=0,I1963&gt;1500),1,0)</f>
        <v>0</v>
      </c>
      <c r="Y1963" s="9" t="n">
        <f aca="false">IF(J1963&gt;H1963*I1963,1,0)</f>
        <v>0</v>
      </c>
      <c r="Z1963" s="9" t="n">
        <f aca="false">IF(AND(N1963&lt;&gt;"",OR(N1963&lt;1,N1963&gt;5)),1,0)</f>
        <v>0</v>
      </c>
      <c r="AA1963" s="9" t="n">
        <f aca="false">IF(AND(M1963&lt;&gt;"",OR(M1963&lt;5,M1963&gt;180)),1,0)</f>
        <v>0</v>
      </c>
      <c r="AB1963" s="7" t="str">
        <f aca="false">IF(P1963="DUP","Exact duplicate row",IF(T1963=1,"Missing Order ID",IF(S1963="DROP","Duplicate Order ID (less complete row)",IF(U1963=1,"Missing Customer ID",IF(V1963=1,"Missing Restaurant name",IF(W1963=1,"Invalid/outlier quantity",IF(X1963=1,"Invalid/outlier unit price",IF(Y1963=1,"Discount greater than order value",""))))))))</f>
        <v/>
      </c>
      <c r="AC1963" s="7" t="str">
        <f aca="false">IF(AB1963="","KEEP","DROP")</f>
        <v>KEEP</v>
      </c>
      <c r="AD1963" s="7" t="str">
        <f aca="false">IF(TRIM(F1963)="",IFERROR(INDEX(Map_Tables!$I$4:$I$37,MATCH(TRIM(E1963),Map_Tables!$G$4:$G$37,0)),""),IFERROR(INDEX(Map_Tables!$B$4:$B$18,MATCH(TRIM(F1963),Map_Tables!$A$4:$A$18,0)),"CHECK"))</f>
        <v>Bengaluru</v>
      </c>
      <c r="AE1963" s="7" t="str">
        <f aca="false">IF(TRIM(E1963)="","",IFERROR(INDEX(Map_Tables!$H$4:$H$37,MATCH(TRIM(E1963),Map_Tables!$G$4:$G$37,0)),"CHECK"))</f>
        <v>Spice Junction</v>
      </c>
      <c r="AF1963" s="7" t="str">
        <f aca="false">IF(TRIM(K1963)="","Unknown",IFERROR(INDEX(Map_Tables!$E$4:$E$15,MATCH(TRIM(K1963),Map_Tables!$D$4:$D$15,0)),"CHECK"))</f>
        <v>Credit Card</v>
      </c>
      <c r="AG1963" s="7" t="str">
        <f aca="false">IF(LEFT(LOWER(TRIM(L1963)),6)="cancel","Cancelled","Delivered")</f>
        <v>Delivered</v>
      </c>
      <c r="AH1963" s="10" t="n">
        <f aca="false">IF(ISNUMBER(SEARCH("/",B1963)),DATE(VALUE(RIGHT(B1963,4)),VALUE(MID(B1963,4,2)),VALUE(LEFT(B1963,2))),IF(MID(B1963,5,1)="-",DATE(VALUE(LEFT(B1963,4)),VALUE(MID(B1963,6,2)),VALUE(RIGHT(B1963,2))),DATE(VALUE(RIGHT(B1963,4)),MATCH(MID(B1963,4,3),{"Jan","Feb","Mar","Apr","May","Jun","Jul","Aug","Sep","Oct","Nov","Dec"},0),VALUE(LEFT(B1963,2)))))</f>
        <v>45785</v>
      </c>
    </row>
    <row r="1964" customFormat="false" ht="15" hidden="false" customHeight="false" outlineLevel="0" collapsed="false">
      <c r="A1964" s="7" t="s">
        <v>4697</v>
      </c>
      <c r="B1964" s="7" t="s">
        <v>341</v>
      </c>
      <c r="C1964" s="7" t="s">
        <v>3209</v>
      </c>
      <c r="D1964" s="7" t="s">
        <v>4698</v>
      </c>
      <c r="E1964" s="7" t="s">
        <v>89</v>
      </c>
      <c r="F1964" s="7" t="s">
        <v>86</v>
      </c>
      <c r="G1964" s="7" t="s">
        <v>90</v>
      </c>
      <c r="H1964" s="7" t="n">
        <v>2</v>
      </c>
      <c r="I1964" s="7" t="n">
        <v>215</v>
      </c>
      <c r="J1964" s="7" t="n">
        <v>150</v>
      </c>
      <c r="K1964" s="7" t="s">
        <v>88</v>
      </c>
      <c r="L1964" s="7" t="s">
        <v>194</v>
      </c>
      <c r="M1964" s="7" t="n">
        <v>50</v>
      </c>
      <c r="N1964" s="7" t="n">
        <v>4</v>
      </c>
      <c r="O1964" s="7" t="str">
        <f aca="false">A1964&amp;"|"&amp;B1964&amp;"|"&amp;C1964&amp;"|"&amp;D1964&amp;"|"&amp;E1964&amp;"|"&amp;F1964&amp;"|"&amp;G1964&amp;"|"&amp;H1964&amp;"|"&amp;I1964&amp;"|"&amp;J1964&amp;"|"&amp;K1964&amp;"|"&amp;L1964&amp;"|"&amp;M1964&amp;"|"&amp;N1964</f>
        <v>ORD10328|2025-02-12|20:08|C1317|Spice Junction|Bengaluru|North Indian|2|215|150|UPI|Delivered|50|4</v>
      </c>
      <c r="P1964" s="7" t="str">
        <f aca="false">IF(COUNTIF($O$2:O1964,O1964)&gt;1,"DUP","OK")</f>
        <v>OK</v>
      </c>
      <c r="Q1964" s="7" t="n">
        <f aca="false">COUNTBLANK(A1964:N1964)</f>
        <v>0</v>
      </c>
      <c r="R1964" s="7" t="n">
        <f aca="false">IF(A1964="",0,COUNTIFS($A$2:$A$3058,A1964,$P$2:$P$3058,"OK"))</f>
        <v>1</v>
      </c>
      <c r="S1964" s="7" t="str">
        <f aca="false">IF(OR(A1964="",P1964="DUP",R1964&lt;2),"",IF(Q1964=_xlfn.MINIFS($Q$2:$Q$3058,$A$2:$A$3058,A1964,$P$2:$P$3058,"OK"),"KEEP","DROP"))</f>
        <v/>
      </c>
      <c r="T1964" s="9" t="n">
        <f aca="false">IF(A1964="",1,0)</f>
        <v>0</v>
      </c>
      <c r="U1964" s="9" t="n">
        <f aca="false">IF(D1964="",1,0)</f>
        <v>0</v>
      </c>
      <c r="V1964" s="9" t="n">
        <f aca="false">IF(E1964="",1,0)</f>
        <v>0</v>
      </c>
      <c r="W1964" s="9" t="n">
        <f aca="false">IF(OR(H1964&lt;1,H1964&gt;10),1,0)</f>
        <v>0</v>
      </c>
      <c r="X1964" s="9" t="n">
        <f aca="false">IF(OR(I1964&lt;=0,I1964&gt;1500),1,0)</f>
        <v>0</v>
      </c>
      <c r="Y1964" s="9" t="n">
        <f aca="false">IF(J1964&gt;H1964*I1964,1,0)</f>
        <v>0</v>
      </c>
      <c r="Z1964" s="9" t="n">
        <f aca="false">IF(AND(N1964&lt;&gt;"",OR(N1964&lt;1,N1964&gt;5)),1,0)</f>
        <v>0</v>
      </c>
      <c r="AA1964" s="9" t="n">
        <f aca="false">IF(AND(M1964&lt;&gt;"",OR(M1964&lt;5,M1964&gt;180)),1,0)</f>
        <v>0</v>
      </c>
      <c r="AB1964" s="7" t="str">
        <f aca="false">IF(P1964="DUP","Exact duplicate row",IF(T1964=1,"Missing Order ID",IF(S1964="DROP","Duplicate Order ID (less complete row)",IF(U1964=1,"Missing Customer ID",IF(V1964=1,"Missing Restaurant name",IF(W1964=1,"Invalid/outlier quantity",IF(X1964=1,"Invalid/outlier unit price",IF(Y1964=1,"Discount greater than order value",""))))))))</f>
        <v/>
      </c>
      <c r="AC1964" s="7" t="str">
        <f aca="false">IF(AB1964="","KEEP","DROP")</f>
        <v>KEEP</v>
      </c>
      <c r="AD1964" s="7" t="str">
        <f aca="false">IF(TRIM(F1964)="",IFERROR(INDEX(Map_Tables!$I$4:$I$37,MATCH(TRIM(E1964),Map_Tables!$G$4:$G$37,0)),""),IFERROR(INDEX(Map_Tables!$B$4:$B$18,MATCH(TRIM(F1964),Map_Tables!$A$4:$A$18,0)),"CHECK"))</f>
        <v>Bengaluru</v>
      </c>
      <c r="AE1964" s="7" t="str">
        <f aca="false">IF(TRIM(E1964)="","",IFERROR(INDEX(Map_Tables!$H$4:$H$37,MATCH(TRIM(E1964),Map_Tables!$G$4:$G$37,0)),"CHECK"))</f>
        <v>Spice Junction</v>
      </c>
      <c r="AF1964" s="7" t="str">
        <f aca="false">IF(TRIM(K1964)="","Unknown",IFERROR(INDEX(Map_Tables!$E$4:$E$15,MATCH(TRIM(K1964),Map_Tables!$D$4:$D$15,0)),"CHECK"))</f>
        <v>UPI</v>
      </c>
      <c r="AG1964" s="7" t="str">
        <f aca="false">IF(LEFT(LOWER(TRIM(L1964)),6)="cancel","Cancelled","Delivered")</f>
        <v>Delivered</v>
      </c>
      <c r="AH1964" s="10" t="n">
        <f aca="false">IF(ISNUMBER(SEARCH("/",B1964)),DATE(VALUE(RIGHT(B1964,4)),VALUE(MID(B1964,4,2)),VALUE(LEFT(B1964,2))),IF(MID(B1964,5,1)="-",DATE(VALUE(LEFT(B1964,4)),VALUE(MID(B1964,6,2)),VALUE(RIGHT(B1964,2))),DATE(VALUE(RIGHT(B1964,4)),MATCH(MID(B1964,4,3),{"Jan","Feb","Mar","Apr","May","Jun","Jul","Aug","Sep","Oct","Nov","Dec"},0),VALUE(LEFT(B1964,2)))))</f>
        <v>45700</v>
      </c>
    </row>
    <row r="1965" customFormat="false" ht="15" hidden="false" customHeight="false" outlineLevel="0" collapsed="false">
      <c r="A1965" s="7" t="s">
        <v>4699</v>
      </c>
      <c r="B1965" s="7" t="s">
        <v>2461</v>
      </c>
      <c r="C1965" s="7" t="s">
        <v>1688</v>
      </c>
      <c r="D1965" s="7" t="s">
        <v>1216</v>
      </c>
      <c r="E1965" s="7" t="s">
        <v>163</v>
      </c>
      <c r="F1965" s="7" t="s">
        <v>141</v>
      </c>
      <c r="G1965" s="7" t="s">
        <v>99</v>
      </c>
      <c r="H1965" s="7" t="n">
        <v>1</v>
      </c>
      <c r="I1965" s="7" t="n">
        <v>280</v>
      </c>
      <c r="J1965" s="7" t="n">
        <v>75</v>
      </c>
      <c r="K1965" s="7" t="s">
        <v>133</v>
      </c>
      <c r="L1965" s="7" t="s">
        <v>194</v>
      </c>
      <c r="M1965" s="7" t="n">
        <v>33</v>
      </c>
      <c r="N1965" s="7" t="n">
        <v>4</v>
      </c>
      <c r="O1965" s="7" t="str">
        <f aca="false">A1965&amp;"|"&amp;B1965&amp;"|"&amp;C1965&amp;"|"&amp;D1965&amp;"|"&amp;E1965&amp;"|"&amp;F1965&amp;"|"&amp;G1965&amp;"|"&amp;H1965&amp;"|"&amp;I1965&amp;"|"&amp;J1965&amp;"|"&amp;K1965&amp;"|"&amp;L1965&amp;"|"&amp;M1965&amp;"|"&amp;N1965</f>
        <v>ORD10968|2025-05-02|19:44|C0460|Biryani Baadshah|Kolkata|Biryani|1|280|75|Net Banking|Delivered|33|4</v>
      </c>
      <c r="P1965" s="7" t="str">
        <f aca="false">IF(COUNTIF($O$2:O1965,O1965)&gt;1,"DUP","OK")</f>
        <v>OK</v>
      </c>
      <c r="Q1965" s="7" t="n">
        <f aca="false">COUNTBLANK(A1965:N1965)</f>
        <v>0</v>
      </c>
      <c r="R1965" s="7" t="n">
        <f aca="false">IF(A1965="",0,COUNTIFS($A$2:$A$3058,A1965,$P$2:$P$3058,"OK"))</f>
        <v>1</v>
      </c>
      <c r="S1965" s="7" t="str">
        <f aca="false">IF(OR(A1965="",P1965="DUP",R1965&lt;2),"",IF(Q1965=_xlfn.MINIFS($Q$2:$Q$3058,$A$2:$A$3058,A1965,$P$2:$P$3058,"OK"),"KEEP","DROP"))</f>
        <v/>
      </c>
      <c r="T1965" s="9" t="n">
        <f aca="false">IF(A1965="",1,0)</f>
        <v>0</v>
      </c>
      <c r="U1965" s="9" t="n">
        <f aca="false">IF(D1965="",1,0)</f>
        <v>0</v>
      </c>
      <c r="V1965" s="9" t="n">
        <f aca="false">IF(E1965="",1,0)</f>
        <v>0</v>
      </c>
      <c r="W1965" s="9" t="n">
        <f aca="false">IF(OR(H1965&lt;1,H1965&gt;10),1,0)</f>
        <v>0</v>
      </c>
      <c r="X1965" s="9" t="n">
        <f aca="false">IF(OR(I1965&lt;=0,I1965&gt;1500),1,0)</f>
        <v>0</v>
      </c>
      <c r="Y1965" s="9" t="n">
        <f aca="false">IF(J1965&gt;H1965*I1965,1,0)</f>
        <v>0</v>
      </c>
      <c r="Z1965" s="9" t="n">
        <f aca="false">IF(AND(N1965&lt;&gt;"",OR(N1965&lt;1,N1965&gt;5)),1,0)</f>
        <v>0</v>
      </c>
      <c r="AA1965" s="9" t="n">
        <f aca="false">IF(AND(M1965&lt;&gt;"",OR(M1965&lt;5,M1965&gt;180)),1,0)</f>
        <v>0</v>
      </c>
      <c r="AB1965" s="7" t="str">
        <f aca="false">IF(P1965="DUP","Exact duplicate row",IF(T1965=1,"Missing Order ID",IF(S1965="DROP","Duplicate Order ID (less complete row)",IF(U1965=1,"Missing Customer ID",IF(V1965=1,"Missing Restaurant name",IF(W1965=1,"Invalid/outlier quantity",IF(X1965=1,"Invalid/outlier unit price",IF(Y1965=1,"Discount greater than order value",""))))))))</f>
        <v/>
      </c>
      <c r="AC1965" s="7" t="str">
        <f aca="false">IF(AB1965="","KEEP","DROP")</f>
        <v>KEEP</v>
      </c>
      <c r="AD1965" s="7" t="str">
        <f aca="false">IF(TRIM(F1965)="",IFERROR(INDEX(Map_Tables!$I$4:$I$37,MATCH(TRIM(E1965),Map_Tables!$G$4:$G$37,0)),""),IFERROR(INDEX(Map_Tables!$B$4:$B$18,MATCH(TRIM(F1965),Map_Tables!$A$4:$A$18,0)),"CHECK"))</f>
        <v>Kolkata</v>
      </c>
      <c r="AE1965" s="7" t="str">
        <f aca="false">IF(TRIM(E1965)="","",IFERROR(INDEX(Map_Tables!$H$4:$H$37,MATCH(TRIM(E1965),Map_Tables!$G$4:$G$37,0)),"CHECK"))</f>
        <v>Biryani Baadshah</v>
      </c>
      <c r="AF1965" s="7" t="str">
        <f aca="false">IF(TRIM(K1965)="","Unknown",IFERROR(INDEX(Map_Tables!$E$4:$E$15,MATCH(TRIM(K1965),Map_Tables!$D$4:$D$15,0)),"CHECK"))</f>
        <v>Net Banking</v>
      </c>
      <c r="AG1965" s="7" t="str">
        <f aca="false">IF(LEFT(LOWER(TRIM(L1965)),6)="cancel","Cancelled","Delivered")</f>
        <v>Delivered</v>
      </c>
      <c r="AH1965" s="10" t="n">
        <f aca="false">IF(ISNUMBER(SEARCH("/",B1965)),DATE(VALUE(RIGHT(B1965,4)),VALUE(MID(B1965,4,2)),VALUE(LEFT(B1965,2))),IF(MID(B1965,5,1)="-",DATE(VALUE(LEFT(B1965,4)),VALUE(MID(B1965,6,2)),VALUE(RIGHT(B1965,2))),DATE(VALUE(RIGHT(B1965,4)),MATCH(MID(B1965,4,3),{"Jan","Feb","Mar","Apr","May","Jun","Jul","Aug","Sep","Oct","Nov","Dec"},0),VALUE(LEFT(B1965,2)))))</f>
        <v>45779</v>
      </c>
    </row>
    <row r="1966" customFormat="false" ht="15" hidden="false" customHeight="false" outlineLevel="0" collapsed="false">
      <c r="A1966" s="7" t="s">
        <v>4700</v>
      </c>
      <c r="B1966" s="7" t="s">
        <v>4701</v>
      </c>
      <c r="C1966" s="7" t="s">
        <v>651</v>
      </c>
      <c r="D1966" s="7" t="s">
        <v>3874</v>
      </c>
      <c r="E1966" s="7" t="s">
        <v>166</v>
      </c>
      <c r="F1966" s="7" t="s">
        <v>146</v>
      </c>
      <c r="G1966" s="7" t="s">
        <v>117</v>
      </c>
      <c r="H1966" s="7" t="n">
        <v>2</v>
      </c>
      <c r="I1966" s="7" t="n">
        <v>90</v>
      </c>
      <c r="J1966" s="7" t="n">
        <v>0</v>
      </c>
      <c r="K1966" s="7" t="s">
        <v>112</v>
      </c>
      <c r="L1966" s="7" t="s">
        <v>194</v>
      </c>
      <c r="M1966" s="7" t="n">
        <v>32</v>
      </c>
      <c r="N1966" s="7" t="n">
        <v>4</v>
      </c>
      <c r="O1966" s="7" t="str">
        <f aca="false">A1966&amp;"|"&amp;B1966&amp;"|"&amp;C1966&amp;"|"&amp;D1966&amp;"|"&amp;E1966&amp;"|"&amp;F1966&amp;"|"&amp;G1966&amp;"|"&amp;H1966&amp;"|"&amp;I1966&amp;"|"&amp;J1966&amp;"|"&amp;K1966&amp;"|"&amp;L1966&amp;"|"&amp;M1966&amp;"|"&amp;N1966</f>
        <v>ORD10950|30/04/2025|12:53|C1401|Dhokla Delight|Ahmedabad|Street Food|2|90|0|Cash on Delivery|Delivered|32|4</v>
      </c>
      <c r="P1966" s="7" t="str">
        <f aca="false">IF(COUNTIF($O$2:O1966,O1966)&gt;1,"DUP","OK")</f>
        <v>OK</v>
      </c>
      <c r="Q1966" s="7" t="n">
        <f aca="false">COUNTBLANK(A1966:N1966)</f>
        <v>0</v>
      </c>
      <c r="R1966" s="7" t="n">
        <f aca="false">IF(A1966="",0,COUNTIFS($A$2:$A$3058,A1966,$P$2:$P$3058,"OK"))</f>
        <v>1</v>
      </c>
      <c r="S1966" s="7" t="str">
        <f aca="false">IF(OR(A1966="",P1966="DUP",R1966&lt;2),"",IF(Q1966=_xlfn.MINIFS($Q$2:$Q$3058,$A$2:$A$3058,A1966,$P$2:$P$3058,"OK"),"KEEP","DROP"))</f>
        <v/>
      </c>
      <c r="T1966" s="9" t="n">
        <f aca="false">IF(A1966="",1,0)</f>
        <v>0</v>
      </c>
      <c r="U1966" s="9" t="n">
        <f aca="false">IF(D1966="",1,0)</f>
        <v>0</v>
      </c>
      <c r="V1966" s="9" t="n">
        <f aca="false">IF(E1966="",1,0)</f>
        <v>0</v>
      </c>
      <c r="W1966" s="9" t="n">
        <f aca="false">IF(OR(H1966&lt;1,H1966&gt;10),1,0)</f>
        <v>0</v>
      </c>
      <c r="X1966" s="9" t="n">
        <f aca="false">IF(OR(I1966&lt;=0,I1966&gt;1500),1,0)</f>
        <v>0</v>
      </c>
      <c r="Y1966" s="9" t="n">
        <f aca="false">IF(J1966&gt;H1966*I1966,1,0)</f>
        <v>0</v>
      </c>
      <c r="Z1966" s="9" t="n">
        <f aca="false">IF(AND(N1966&lt;&gt;"",OR(N1966&lt;1,N1966&gt;5)),1,0)</f>
        <v>0</v>
      </c>
      <c r="AA1966" s="9" t="n">
        <f aca="false">IF(AND(M1966&lt;&gt;"",OR(M1966&lt;5,M1966&gt;180)),1,0)</f>
        <v>0</v>
      </c>
      <c r="AB1966" s="7" t="str">
        <f aca="false">IF(P1966="DUP","Exact duplicate row",IF(T1966=1,"Missing Order ID",IF(S1966="DROP","Duplicate Order ID (less complete row)",IF(U1966=1,"Missing Customer ID",IF(V1966=1,"Missing Restaurant name",IF(W1966=1,"Invalid/outlier quantity",IF(X1966=1,"Invalid/outlier unit price",IF(Y1966=1,"Discount greater than order value",""))))))))</f>
        <v/>
      </c>
      <c r="AC1966" s="7" t="str">
        <f aca="false">IF(AB1966="","KEEP","DROP")</f>
        <v>KEEP</v>
      </c>
      <c r="AD1966" s="7" t="str">
        <f aca="false">IF(TRIM(F1966)="",IFERROR(INDEX(Map_Tables!$I$4:$I$37,MATCH(TRIM(E1966),Map_Tables!$G$4:$G$37,0)),""),IFERROR(INDEX(Map_Tables!$B$4:$B$18,MATCH(TRIM(F1966),Map_Tables!$A$4:$A$18,0)),"CHECK"))</f>
        <v>Ahmedabad</v>
      </c>
      <c r="AE1966" s="7" t="str">
        <f aca="false">IF(TRIM(E1966)="","",IFERROR(INDEX(Map_Tables!$H$4:$H$37,MATCH(TRIM(E1966),Map_Tables!$G$4:$G$37,0)),"CHECK"))</f>
        <v>Dhokla Delight</v>
      </c>
      <c r="AF1966" s="7" t="str">
        <f aca="false">IF(TRIM(K1966)="","Unknown",IFERROR(INDEX(Map_Tables!$E$4:$E$15,MATCH(TRIM(K1966),Map_Tables!$D$4:$D$15,0)),"CHECK"))</f>
        <v>Cash on Delivery</v>
      </c>
      <c r="AG1966" s="7" t="str">
        <f aca="false">IF(LEFT(LOWER(TRIM(L1966)),6)="cancel","Cancelled","Delivered")</f>
        <v>Delivered</v>
      </c>
      <c r="AH1966" s="10" t="n">
        <f aca="false">IF(ISNUMBER(SEARCH("/",B1966)),DATE(VALUE(RIGHT(B1966,4)),VALUE(MID(B1966,4,2)),VALUE(LEFT(B1966,2))),IF(MID(B1966,5,1)="-",DATE(VALUE(LEFT(B1966,4)),VALUE(MID(B1966,6,2)),VALUE(RIGHT(B1966,2))),DATE(VALUE(RIGHT(B1966,4)),MATCH(MID(B1966,4,3),{"Jan","Feb","Mar","Apr","May","Jun","Jul","Aug","Sep","Oct","Nov","Dec"},0),VALUE(LEFT(B1966,2)))))</f>
        <v>45777</v>
      </c>
    </row>
    <row r="1967" customFormat="false" ht="15" hidden="false" customHeight="false" outlineLevel="0" collapsed="false">
      <c r="A1967" s="7" t="s">
        <v>4702</v>
      </c>
      <c r="B1967" s="7" t="s">
        <v>1167</v>
      </c>
      <c r="C1967" s="7" t="s">
        <v>1626</v>
      </c>
      <c r="D1967" s="7" t="s">
        <v>1612</v>
      </c>
      <c r="E1967" s="7" t="s">
        <v>160</v>
      </c>
      <c r="F1967" s="7" t="s">
        <v>136</v>
      </c>
      <c r="G1967" s="7" t="s">
        <v>150</v>
      </c>
      <c r="H1967" s="7" t="n">
        <v>2</v>
      </c>
      <c r="I1967" s="7" t="n">
        <v>175</v>
      </c>
      <c r="J1967" s="7" t="n">
        <v>20</v>
      </c>
      <c r="K1967" s="7" t="s">
        <v>87</v>
      </c>
      <c r="L1967" s="7" t="s">
        <v>194</v>
      </c>
      <c r="M1967" s="7" t="n">
        <v>29</v>
      </c>
      <c r="N1967" s="7" t="n">
        <v>5</v>
      </c>
      <c r="O1967" s="7" t="str">
        <f aca="false">A1967&amp;"|"&amp;B1967&amp;"|"&amp;C1967&amp;"|"&amp;D1967&amp;"|"&amp;E1967&amp;"|"&amp;F1967&amp;"|"&amp;G1967&amp;"|"&amp;H1967&amp;"|"&amp;I1967&amp;"|"&amp;J1967&amp;"|"&amp;K1967&amp;"|"&amp;L1967&amp;"|"&amp;M1967&amp;"|"&amp;N1967</f>
        <v>ORD12351|2025-10-23|11:40|C1157|Cake Walk|Pune|Desserts|2|175|20|upi|Delivered|29|5</v>
      </c>
      <c r="P1967" s="7" t="str">
        <f aca="false">IF(COUNTIF($O$2:O1967,O1967)&gt;1,"DUP","OK")</f>
        <v>OK</v>
      </c>
      <c r="Q1967" s="7" t="n">
        <f aca="false">COUNTBLANK(A1967:N1967)</f>
        <v>0</v>
      </c>
      <c r="R1967" s="7" t="n">
        <f aca="false">IF(A1967="",0,COUNTIFS($A$2:$A$3058,A1967,$P$2:$P$3058,"OK"))</f>
        <v>1</v>
      </c>
      <c r="S1967" s="7" t="str">
        <f aca="false">IF(OR(A1967="",P1967="DUP",R1967&lt;2),"",IF(Q1967=_xlfn.MINIFS($Q$2:$Q$3058,$A$2:$A$3058,A1967,$P$2:$P$3058,"OK"),"KEEP","DROP"))</f>
        <v/>
      </c>
      <c r="T1967" s="9" t="n">
        <f aca="false">IF(A1967="",1,0)</f>
        <v>0</v>
      </c>
      <c r="U1967" s="9" t="n">
        <f aca="false">IF(D1967="",1,0)</f>
        <v>0</v>
      </c>
      <c r="V1967" s="9" t="n">
        <f aca="false">IF(E1967="",1,0)</f>
        <v>0</v>
      </c>
      <c r="W1967" s="9" t="n">
        <f aca="false">IF(OR(H1967&lt;1,H1967&gt;10),1,0)</f>
        <v>0</v>
      </c>
      <c r="X1967" s="9" t="n">
        <f aca="false">IF(OR(I1967&lt;=0,I1967&gt;1500),1,0)</f>
        <v>0</v>
      </c>
      <c r="Y1967" s="9" t="n">
        <f aca="false">IF(J1967&gt;H1967*I1967,1,0)</f>
        <v>0</v>
      </c>
      <c r="Z1967" s="9" t="n">
        <f aca="false">IF(AND(N1967&lt;&gt;"",OR(N1967&lt;1,N1967&gt;5)),1,0)</f>
        <v>0</v>
      </c>
      <c r="AA1967" s="9" t="n">
        <f aca="false">IF(AND(M1967&lt;&gt;"",OR(M1967&lt;5,M1967&gt;180)),1,0)</f>
        <v>0</v>
      </c>
      <c r="AB1967" s="7" t="str">
        <f aca="false">IF(P1967="DUP","Exact duplicate row",IF(T1967=1,"Missing Order ID",IF(S1967="DROP","Duplicate Order ID (less complete row)",IF(U1967=1,"Missing Customer ID",IF(V1967=1,"Missing Restaurant name",IF(W1967=1,"Invalid/outlier quantity",IF(X1967=1,"Invalid/outlier unit price",IF(Y1967=1,"Discount greater than order value",""))))))))</f>
        <v/>
      </c>
      <c r="AC1967" s="7" t="str">
        <f aca="false">IF(AB1967="","KEEP","DROP")</f>
        <v>KEEP</v>
      </c>
      <c r="AD1967" s="7" t="str">
        <f aca="false">IF(TRIM(F1967)="",IFERROR(INDEX(Map_Tables!$I$4:$I$37,MATCH(TRIM(E1967),Map_Tables!$G$4:$G$37,0)),""),IFERROR(INDEX(Map_Tables!$B$4:$B$18,MATCH(TRIM(F1967),Map_Tables!$A$4:$A$18,0)),"CHECK"))</f>
        <v>Pune</v>
      </c>
      <c r="AE1967" s="7" t="str">
        <f aca="false">IF(TRIM(E1967)="","",IFERROR(INDEX(Map_Tables!$H$4:$H$37,MATCH(TRIM(E1967),Map_Tables!$G$4:$G$37,0)),"CHECK"))</f>
        <v>Cake Walk</v>
      </c>
      <c r="AF1967" s="7" t="str">
        <f aca="false">IF(TRIM(K1967)="","Unknown",IFERROR(INDEX(Map_Tables!$E$4:$E$15,MATCH(TRIM(K1967),Map_Tables!$D$4:$D$15,0)),"CHECK"))</f>
        <v>UPI</v>
      </c>
      <c r="AG1967" s="7" t="str">
        <f aca="false">IF(LEFT(LOWER(TRIM(L1967)),6)="cancel","Cancelled","Delivered")</f>
        <v>Delivered</v>
      </c>
      <c r="AH1967" s="10" t="n">
        <f aca="false">IF(ISNUMBER(SEARCH("/",B1967)),DATE(VALUE(RIGHT(B1967,4)),VALUE(MID(B1967,4,2)),VALUE(LEFT(B1967,2))),IF(MID(B1967,5,1)="-",DATE(VALUE(LEFT(B1967,4)),VALUE(MID(B1967,6,2)),VALUE(RIGHT(B1967,2))),DATE(VALUE(RIGHT(B1967,4)),MATCH(MID(B1967,4,3),{"Jan","Feb","Mar","Apr","May","Jun","Jul","Aug","Sep","Oct","Nov","Dec"},0),VALUE(LEFT(B1967,2)))))</f>
        <v>45953</v>
      </c>
    </row>
    <row r="1968" customFormat="false" ht="15" hidden="false" customHeight="false" outlineLevel="0" collapsed="false">
      <c r="A1968" s="7" t="s">
        <v>4703</v>
      </c>
      <c r="B1968" s="7" t="s">
        <v>2095</v>
      </c>
      <c r="C1968" s="7" t="s">
        <v>1280</v>
      </c>
      <c r="D1968" s="7" t="s">
        <v>953</v>
      </c>
      <c r="E1968" s="7" t="s">
        <v>160</v>
      </c>
      <c r="F1968" s="7" t="s">
        <v>136</v>
      </c>
      <c r="G1968" s="7" t="s">
        <v>150</v>
      </c>
      <c r="H1968" s="7" t="n">
        <v>1</v>
      </c>
      <c r="I1968" s="7" t="n">
        <v>0</v>
      </c>
      <c r="J1968" s="7" t="n">
        <v>0</v>
      </c>
      <c r="K1968" s="7" t="s">
        <v>88</v>
      </c>
      <c r="L1968" s="7" t="s">
        <v>194</v>
      </c>
      <c r="M1968" s="7" t="n">
        <v>33</v>
      </c>
      <c r="N1968" s="7" t="n">
        <v>5</v>
      </c>
      <c r="O1968" s="7" t="str">
        <f aca="false">A1968&amp;"|"&amp;B1968&amp;"|"&amp;C1968&amp;"|"&amp;D1968&amp;"|"&amp;E1968&amp;"|"&amp;F1968&amp;"|"&amp;G1968&amp;"|"&amp;H1968&amp;"|"&amp;I1968&amp;"|"&amp;J1968&amp;"|"&amp;K1968&amp;"|"&amp;L1968&amp;"|"&amp;M1968&amp;"|"&amp;N1968</f>
        <v>ORD10973|2025-05-03|12:21|C0572|Cake Walk|Pune|Desserts|1|0|0|UPI|Delivered|33|5</v>
      </c>
      <c r="P1968" s="7" t="str">
        <f aca="false">IF(COUNTIF($O$2:O1968,O1968)&gt;1,"DUP","OK")</f>
        <v>OK</v>
      </c>
      <c r="Q1968" s="7" t="n">
        <f aca="false">COUNTBLANK(A1968:N1968)</f>
        <v>0</v>
      </c>
      <c r="R1968" s="7" t="n">
        <f aca="false">IF(A1968="",0,COUNTIFS($A$2:$A$3058,A1968,$P$2:$P$3058,"OK"))</f>
        <v>1</v>
      </c>
      <c r="S1968" s="7" t="str">
        <f aca="false">IF(OR(A1968="",P1968="DUP",R1968&lt;2),"",IF(Q1968=_xlfn.MINIFS($Q$2:$Q$3058,$A$2:$A$3058,A1968,$P$2:$P$3058,"OK"),"KEEP","DROP"))</f>
        <v/>
      </c>
      <c r="T1968" s="9" t="n">
        <f aca="false">IF(A1968="",1,0)</f>
        <v>0</v>
      </c>
      <c r="U1968" s="9" t="n">
        <f aca="false">IF(D1968="",1,0)</f>
        <v>0</v>
      </c>
      <c r="V1968" s="9" t="n">
        <f aca="false">IF(E1968="",1,0)</f>
        <v>0</v>
      </c>
      <c r="W1968" s="9" t="n">
        <f aca="false">IF(OR(H1968&lt;1,H1968&gt;10),1,0)</f>
        <v>0</v>
      </c>
      <c r="X1968" s="9" t="n">
        <f aca="false">IF(OR(I1968&lt;=0,I1968&gt;1500),1,0)</f>
        <v>1</v>
      </c>
      <c r="Y1968" s="9" t="n">
        <f aca="false">IF(J1968&gt;H1968*I1968,1,0)</f>
        <v>0</v>
      </c>
      <c r="Z1968" s="9" t="n">
        <f aca="false">IF(AND(N1968&lt;&gt;"",OR(N1968&lt;1,N1968&gt;5)),1,0)</f>
        <v>0</v>
      </c>
      <c r="AA1968" s="9" t="n">
        <f aca="false">IF(AND(M1968&lt;&gt;"",OR(M1968&lt;5,M1968&gt;180)),1,0)</f>
        <v>0</v>
      </c>
      <c r="AB1968" s="7" t="str">
        <f aca="false">IF(P1968="DUP","Exact duplicate row",IF(T1968=1,"Missing Order ID",IF(S1968="DROP","Duplicate Order ID (less complete row)",IF(U1968=1,"Missing Customer ID",IF(V1968=1,"Missing Restaurant name",IF(W1968=1,"Invalid/outlier quantity",IF(X1968=1,"Invalid/outlier unit price",IF(Y1968=1,"Discount greater than order value",""))))))))</f>
        <v>Invalid/outlier unit price</v>
      </c>
      <c r="AC1968" s="7" t="str">
        <f aca="false">IF(AB1968="","KEEP","DROP")</f>
        <v>DROP</v>
      </c>
      <c r="AD1968" s="7" t="str">
        <f aca="false">IF(TRIM(F1968)="",IFERROR(INDEX(Map_Tables!$I$4:$I$37,MATCH(TRIM(E1968),Map_Tables!$G$4:$G$37,0)),""),IFERROR(INDEX(Map_Tables!$B$4:$B$18,MATCH(TRIM(F1968),Map_Tables!$A$4:$A$18,0)),"CHECK"))</f>
        <v>Pune</v>
      </c>
      <c r="AE1968" s="7" t="str">
        <f aca="false">IF(TRIM(E1968)="","",IFERROR(INDEX(Map_Tables!$H$4:$H$37,MATCH(TRIM(E1968),Map_Tables!$G$4:$G$37,0)),"CHECK"))</f>
        <v>Cake Walk</v>
      </c>
      <c r="AF1968" s="7" t="str">
        <f aca="false">IF(TRIM(K1968)="","Unknown",IFERROR(INDEX(Map_Tables!$E$4:$E$15,MATCH(TRIM(K1968),Map_Tables!$D$4:$D$15,0)),"CHECK"))</f>
        <v>UPI</v>
      </c>
      <c r="AG1968" s="7" t="str">
        <f aca="false">IF(LEFT(LOWER(TRIM(L1968)),6)="cancel","Cancelled","Delivered")</f>
        <v>Delivered</v>
      </c>
      <c r="AH1968" s="10" t="n">
        <f aca="false">IF(ISNUMBER(SEARCH("/",B1968)),DATE(VALUE(RIGHT(B1968,4)),VALUE(MID(B1968,4,2)),VALUE(LEFT(B1968,2))),IF(MID(B1968,5,1)="-",DATE(VALUE(LEFT(B1968,4)),VALUE(MID(B1968,6,2)),VALUE(RIGHT(B1968,2))),DATE(VALUE(RIGHT(B1968,4)),MATCH(MID(B1968,4,3),{"Jan","Feb","Mar","Apr","May","Jun","Jul","Aug","Sep","Oct","Nov","Dec"},0),VALUE(LEFT(B1968,2)))))</f>
        <v>45780</v>
      </c>
    </row>
    <row r="1969" customFormat="false" ht="15" hidden="false" customHeight="false" outlineLevel="0" collapsed="false">
      <c r="A1969" s="7" t="s">
        <v>4704</v>
      </c>
      <c r="B1969" s="7" t="s">
        <v>2357</v>
      </c>
      <c r="C1969" s="7" t="s">
        <v>1005</v>
      </c>
      <c r="D1969" s="7" t="s">
        <v>4138</v>
      </c>
      <c r="E1969" s="7" t="s">
        <v>122</v>
      </c>
      <c r="F1969" s="7" t="s">
        <v>101</v>
      </c>
      <c r="G1969" s="7" t="s">
        <v>123</v>
      </c>
      <c r="H1969" s="7" t="n">
        <v>3</v>
      </c>
      <c r="I1969" s="7" t="n">
        <v>440</v>
      </c>
      <c r="J1969" s="7" t="n">
        <v>100</v>
      </c>
      <c r="K1969" s="7" t="s">
        <v>103</v>
      </c>
      <c r="L1969" s="7" t="s">
        <v>194</v>
      </c>
      <c r="M1969" s="7" t="n">
        <v>36</v>
      </c>
      <c r="N1969" s="7" t="n">
        <v>4</v>
      </c>
      <c r="O1969" s="7" t="str">
        <f aca="false">A1969&amp;"|"&amp;B1969&amp;"|"&amp;C1969&amp;"|"&amp;D1969&amp;"|"&amp;E1969&amp;"|"&amp;F1969&amp;"|"&amp;G1969&amp;"|"&amp;H1969&amp;"|"&amp;I1969&amp;"|"&amp;J1969&amp;"|"&amp;K1969&amp;"|"&amp;L1969&amp;"|"&amp;M1969&amp;"|"&amp;N1969</f>
        <v>ORD11897|2025-09-04|12:54|C0445|Mumbai Pizza Co|Mumbai|Pizza|3|440|100|Debit Card|Delivered|36|4</v>
      </c>
      <c r="P1969" s="7" t="str">
        <f aca="false">IF(COUNTIF($O$2:O1969,O1969)&gt;1,"DUP","OK")</f>
        <v>OK</v>
      </c>
      <c r="Q1969" s="7" t="n">
        <f aca="false">COUNTBLANK(A1969:N1969)</f>
        <v>0</v>
      </c>
      <c r="R1969" s="7" t="n">
        <f aca="false">IF(A1969="",0,COUNTIFS($A$2:$A$3058,A1969,$P$2:$P$3058,"OK"))</f>
        <v>1</v>
      </c>
      <c r="S1969" s="7" t="str">
        <f aca="false">IF(OR(A1969="",P1969="DUP",R1969&lt;2),"",IF(Q1969=_xlfn.MINIFS($Q$2:$Q$3058,$A$2:$A$3058,A1969,$P$2:$P$3058,"OK"),"KEEP","DROP"))</f>
        <v/>
      </c>
      <c r="T1969" s="9" t="n">
        <f aca="false">IF(A1969="",1,0)</f>
        <v>0</v>
      </c>
      <c r="U1969" s="9" t="n">
        <f aca="false">IF(D1969="",1,0)</f>
        <v>0</v>
      </c>
      <c r="V1969" s="9" t="n">
        <f aca="false">IF(E1969="",1,0)</f>
        <v>0</v>
      </c>
      <c r="W1969" s="9" t="n">
        <f aca="false">IF(OR(H1969&lt;1,H1969&gt;10),1,0)</f>
        <v>0</v>
      </c>
      <c r="X1969" s="9" t="n">
        <f aca="false">IF(OR(I1969&lt;=0,I1969&gt;1500),1,0)</f>
        <v>0</v>
      </c>
      <c r="Y1969" s="9" t="n">
        <f aca="false">IF(J1969&gt;H1969*I1969,1,0)</f>
        <v>0</v>
      </c>
      <c r="Z1969" s="9" t="n">
        <f aca="false">IF(AND(N1969&lt;&gt;"",OR(N1969&lt;1,N1969&gt;5)),1,0)</f>
        <v>0</v>
      </c>
      <c r="AA1969" s="9" t="n">
        <f aca="false">IF(AND(M1969&lt;&gt;"",OR(M1969&lt;5,M1969&gt;180)),1,0)</f>
        <v>0</v>
      </c>
      <c r="AB1969" s="7" t="str">
        <f aca="false">IF(P1969="DUP","Exact duplicate row",IF(T1969=1,"Missing Order ID",IF(S1969="DROP","Duplicate Order ID (less complete row)",IF(U1969=1,"Missing Customer ID",IF(V1969=1,"Missing Restaurant name",IF(W1969=1,"Invalid/outlier quantity",IF(X1969=1,"Invalid/outlier unit price",IF(Y1969=1,"Discount greater than order value",""))))))))</f>
        <v/>
      </c>
      <c r="AC1969" s="7" t="str">
        <f aca="false">IF(AB1969="","KEEP","DROP")</f>
        <v>KEEP</v>
      </c>
      <c r="AD1969" s="7" t="str">
        <f aca="false">IF(TRIM(F1969)="",IFERROR(INDEX(Map_Tables!$I$4:$I$37,MATCH(TRIM(E1969),Map_Tables!$G$4:$G$37,0)),""),IFERROR(INDEX(Map_Tables!$B$4:$B$18,MATCH(TRIM(F1969),Map_Tables!$A$4:$A$18,0)),"CHECK"))</f>
        <v>Mumbai</v>
      </c>
      <c r="AE1969" s="7" t="str">
        <f aca="false">IF(TRIM(E1969)="","",IFERROR(INDEX(Map_Tables!$H$4:$H$37,MATCH(TRIM(E1969),Map_Tables!$G$4:$G$37,0)),"CHECK"))</f>
        <v>Mumbai Pizza Co</v>
      </c>
      <c r="AF1969" s="7" t="str">
        <f aca="false">IF(TRIM(K1969)="","Unknown",IFERROR(INDEX(Map_Tables!$E$4:$E$15,MATCH(TRIM(K1969),Map_Tables!$D$4:$D$15,0)),"CHECK"))</f>
        <v>Debit Card</v>
      </c>
      <c r="AG1969" s="7" t="str">
        <f aca="false">IF(LEFT(LOWER(TRIM(L1969)),6)="cancel","Cancelled","Delivered")</f>
        <v>Delivered</v>
      </c>
      <c r="AH1969" s="10" t="n">
        <f aca="false">IF(ISNUMBER(SEARCH("/",B1969)),DATE(VALUE(RIGHT(B1969,4)),VALUE(MID(B1969,4,2)),VALUE(LEFT(B1969,2))),IF(MID(B1969,5,1)="-",DATE(VALUE(LEFT(B1969,4)),VALUE(MID(B1969,6,2)),VALUE(RIGHT(B1969,2))),DATE(VALUE(RIGHT(B1969,4)),MATCH(MID(B1969,4,3),{"Jan","Feb","Mar","Apr","May","Jun","Jul","Aug","Sep","Oct","Nov","Dec"},0),VALUE(LEFT(B1969,2)))))</f>
        <v>45904</v>
      </c>
    </row>
    <row r="1970" customFormat="false" ht="15" hidden="false" customHeight="false" outlineLevel="0" collapsed="false">
      <c r="A1970" s="7" t="s">
        <v>4705</v>
      </c>
      <c r="B1970" s="7" t="s">
        <v>3483</v>
      </c>
      <c r="C1970" s="7" t="s">
        <v>3259</v>
      </c>
      <c r="D1970" s="7" t="s">
        <v>4706</v>
      </c>
      <c r="E1970" s="7" t="s">
        <v>98</v>
      </c>
      <c r="F1970" s="7" t="s">
        <v>86</v>
      </c>
      <c r="G1970" s="7" t="s">
        <v>99</v>
      </c>
      <c r="H1970" s="7" t="n">
        <v>2</v>
      </c>
      <c r="I1970" s="7" t="n">
        <v>255</v>
      </c>
      <c r="J1970" s="7" t="n">
        <v>0</v>
      </c>
      <c r="K1970" s="7" t="s">
        <v>88</v>
      </c>
      <c r="L1970" s="7" t="s">
        <v>194</v>
      </c>
      <c r="M1970" s="7"/>
      <c r="N1970" s="7" t="n">
        <v>4</v>
      </c>
      <c r="O1970" s="7" t="str">
        <f aca="false">A1970&amp;"|"&amp;B1970&amp;"|"&amp;C1970&amp;"|"&amp;D1970&amp;"|"&amp;E1970&amp;"|"&amp;F1970&amp;"|"&amp;G1970&amp;"|"&amp;H1970&amp;"|"&amp;I1970&amp;"|"&amp;J1970&amp;"|"&amp;K1970&amp;"|"&amp;L1970&amp;"|"&amp;M1970&amp;"|"&amp;N1970</f>
        <v>ORD10188|2025-01-25|11:57|C1180|Nawabi Biryani House|Bengaluru|Biryani|2|255|0|UPI|Delivered||4</v>
      </c>
      <c r="P1970" s="7" t="str">
        <f aca="false">IF(COUNTIF($O$2:O1970,O1970)&gt;1,"DUP","OK")</f>
        <v>OK</v>
      </c>
      <c r="Q1970" s="7" t="n">
        <f aca="false">COUNTBLANK(A1970:N1970)</f>
        <v>1</v>
      </c>
      <c r="R1970" s="7" t="n">
        <f aca="false">IF(A1970="",0,COUNTIFS($A$2:$A$3058,A1970,$P$2:$P$3058,"OK"))</f>
        <v>1</v>
      </c>
      <c r="S1970" s="7" t="str">
        <f aca="false">IF(OR(A1970="",P1970="DUP",R1970&lt;2),"",IF(Q1970=_xlfn.MINIFS($Q$2:$Q$3058,$A$2:$A$3058,A1970,$P$2:$P$3058,"OK"),"KEEP","DROP"))</f>
        <v/>
      </c>
      <c r="T1970" s="9" t="n">
        <f aca="false">IF(A1970="",1,0)</f>
        <v>0</v>
      </c>
      <c r="U1970" s="9" t="n">
        <f aca="false">IF(D1970="",1,0)</f>
        <v>0</v>
      </c>
      <c r="V1970" s="9" t="n">
        <f aca="false">IF(E1970="",1,0)</f>
        <v>0</v>
      </c>
      <c r="W1970" s="9" t="n">
        <f aca="false">IF(OR(H1970&lt;1,H1970&gt;10),1,0)</f>
        <v>0</v>
      </c>
      <c r="X1970" s="9" t="n">
        <f aca="false">IF(OR(I1970&lt;=0,I1970&gt;1500),1,0)</f>
        <v>0</v>
      </c>
      <c r="Y1970" s="9" t="n">
        <f aca="false">IF(J1970&gt;H1970*I1970,1,0)</f>
        <v>0</v>
      </c>
      <c r="Z1970" s="9" t="n">
        <f aca="false">IF(AND(N1970&lt;&gt;"",OR(N1970&lt;1,N1970&gt;5)),1,0)</f>
        <v>0</v>
      </c>
      <c r="AA1970" s="9" t="n">
        <f aca="false">IF(AND(M1970&lt;&gt;"",OR(M1970&lt;5,M1970&gt;180)),1,0)</f>
        <v>0</v>
      </c>
      <c r="AB1970" s="7" t="str">
        <f aca="false">IF(P1970="DUP","Exact duplicate row",IF(T1970=1,"Missing Order ID",IF(S1970="DROP","Duplicate Order ID (less complete row)",IF(U1970=1,"Missing Customer ID",IF(V1970=1,"Missing Restaurant name",IF(W1970=1,"Invalid/outlier quantity",IF(X1970=1,"Invalid/outlier unit price",IF(Y1970=1,"Discount greater than order value",""))))))))</f>
        <v/>
      </c>
      <c r="AC1970" s="7" t="str">
        <f aca="false">IF(AB1970="","KEEP","DROP")</f>
        <v>KEEP</v>
      </c>
      <c r="AD1970" s="7" t="str">
        <f aca="false">IF(TRIM(F1970)="",IFERROR(INDEX(Map_Tables!$I$4:$I$37,MATCH(TRIM(E1970),Map_Tables!$G$4:$G$37,0)),""),IFERROR(INDEX(Map_Tables!$B$4:$B$18,MATCH(TRIM(F1970),Map_Tables!$A$4:$A$18,0)),"CHECK"))</f>
        <v>Bengaluru</v>
      </c>
      <c r="AE1970" s="7" t="str">
        <f aca="false">IF(TRIM(E1970)="","",IFERROR(INDEX(Map_Tables!$H$4:$H$37,MATCH(TRIM(E1970),Map_Tables!$G$4:$G$37,0)),"CHECK"))</f>
        <v>Nawabi Biryani House</v>
      </c>
      <c r="AF1970" s="7" t="str">
        <f aca="false">IF(TRIM(K1970)="","Unknown",IFERROR(INDEX(Map_Tables!$E$4:$E$15,MATCH(TRIM(K1970),Map_Tables!$D$4:$D$15,0)),"CHECK"))</f>
        <v>UPI</v>
      </c>
      <c r="AG1970" s="7" t="str">
        <f aca="false">IF(LEFT(LOWER(TRIM(L1970)),6)="cancel","Cancelled","Delivered")</f>
        <v>Delivered</v>
      </c>
      <c r="AH1970" s="10" t="n">
        <f aca="false">IF(ISNUMBER(SEARCH("/",B1970)),DATE(VALUE(RIGHT(B1970,4)),VALUE(MID(B1970,4,2)),VALUE(LEFT(B1970,2))),IF(MID(B1970,5,1)="-",DATE(VALUE(LEFT(B1970,4)),VALUE(MID(B1970,6,2)),VALUE(RIGHT(B1970,2))),DATE(VALUE(RIGHT(B1970,4)),MATCH(MID(B1970,4,3),{"Jan","Feb","Mar","Apr","May","Jun","Jul","Aug","Sep","Oct","Nov","Dec"},0),VALUE(LEFT(B1970,2)))))</f>
        <v>45682</v>
      </c>
    </row>
    <row r="1971" customFormat="false" ht="15" hidden="false" customHeight="false" outlineLevel="0" collapsed="false">
      <c r="A1971" s="7" t="s">
        <v>4707</v>
      </c>
      <c r="B1971" s="7" t="s">
        <v>1894</v>
      </c>
      <c r="C1971" s="7" t="s">
        <v>720</v>
      </c>
      <c r="D1971" s="7" t="s">
        <v>3584</v>
      </c>
      <c r="E1971" s="7" t="s">
        <v>4708</v>
      </c>
      <c r="F1971" s="7" t="s">
        <v>101</v>
      </c>
      <c r="G1971" s="7" t="s">
        <v>90</v>
      </c>
      <c r="H1971" s="7" t="n">
        <v>2</v>
      </c>
      <c r="I1971" s="7" t="n">
        <v>250</v>
      </c>
      <c r="J1971" s="7" t="n">
        <v>30</v>
      </c>
      <c r="K1971" s="7" t="s">
        <v>88</v>
      </c>
      <c r="L1971" s="7" t="s">
        <v>194</v>
      </c>
      <c r="M1971" s="7" t="n">
        <v>57</v>
      </c>
      <c r="N1971" s="7" t="n">
        <v>4</v>
      </c>
      <c r="O1971" s="7" t="str">
        <f aca="false">A1971&amp;"|"&amp;B1971&amp;"|"&amp;C1971&amp;"|"&amp;D1971&amp;"|"&amp;E1971&amp;"|"&amp;F1971&amp;"|"&amp;G1971&amp;"|"&amp;H1971&amp;"|"&amp;I1971&amp;"|"&amp;J1971&amp;"|"&amp;K1971&amp;"|"&amp;L1971&amp;"|"&amp;M1971&amp;"|"&amp;N1971</f>
        <v>ORD10247|2025-02-02|12:26|C1188| Curry Leaf Kitchen|Mumbai|North Indian|2|250|30|UPI|Delivered|57|4</v>
      </c>
      <c r="P1971" s="7" t="str">
        <f aca="false">IF(COUNTIF($O$2:O1971,O1971)&gt;1,"DUP","OK")</f>
        <v>OK</v>
      </c>
      <c r="Q1971" s="7" t="n">
        <f aca="false">COUNTBLANK(A1971:N1971)</f>
        <v>0</v>
      </c>
      <c r="R1971" s="7" t="n">
        <f aca="false">IF(A1971="",0,COUNTIFS($A$2:$A$3058,A1971,$P$2:$P$3058,"OK"))</f>
        <v>1</v>
      </c>
      <c r="S1971" s="7" t="str">
        <f aca="false">IF(OR(A1971="",P1971="DUP",R1971&lt;2),"",IF(Q1971=_xlfn.MINIFS($Q$2:$Q$3058,$A$2:$A$3058,A1971,$P$2:$P$3058,"OK"),"KEEP","DROP"))</f>
        <v/>
      </c>
      <c r="T1971" s="9" t="n">
        <f aca="false">IF(A1971="",1,0)</f>
        <v>0</v>
      </c>
      <c r="U1971" s="9" t="n">
        <f aca="false">IF(D1971="",1,0)</f>
        <v>0</v>
      </c>
      <c r="V1971" s="9" t="n">
        <f aca="false">IF(E1971="",1,0)</f>
        <v>0</v>
      </c>
      <c r="W1971" s="9" t="n">
        <f aca="false">IF(OR(H1971&lt;1,H1971&gt;10),1,0)</f>
        <v>0</v>
      </c>
      <c r="X1971" s="9" t="n">
        <f aca="false">IF(OR(I1971&lt;=0,I1971&gt;1500),1,0)</f>
        <v>0</v>
      </c>
      <c r="Y1971" s="9" t="n">
        <f aca="false">IF(J1971&gt;H1971*I1971,1,0)</f>
        <v>0</v>
      </c>
      <c r="Z1971" s="9" t="n">
        <f aca="false">IF(AND(N1971&lt;&gt;"",OR(N1971&lt;1,N1971&gt;5)),1,0)</f>
        <v>0</v>
      </c>
      <c r="AA1971" s="9" t="n">
        <f aca="false">IF(AND(M1971&lt;&gt;"",OR(M1971&lt;5,M1971&gt;180)),1,0)</f>
        <v>0</v>
      </c>
      <c r="AB1971" s="7" t="str">
        <f aca="false">IF(P1971="DUP","Exact duplicate row",IF(T1971=1,"Missing Order ID",IF(S1971="DROP","Duplicate Order ID (less complete row)",IF(U1971=1,"Missing Customer ID",IF(V1971=1,"Missing Restaurant name",IF(W1971=1,"Invalid/outlier quantity",IF(X1971=1,"Invalid/outlier unit price",IF(Y1971=1,"Discount greater than order value",""))))))))</f>
        <v/>
      </c>
      <c r="AC1971" s="7" t="str">
        <f aca="false">IF(AB1971="","KEEP","DROP")</f>
        <v>KEEP</v>
      </c>
      <c r="AD1971" s="7" t="str">
        <f aca="false">IF(TRIM(F1971)="",IFERROR(INDEX(Map_Tables!$I$4:$I$37,MATCH(TRIM(E1971),Map_Tables!$G$4:$G$37,0)),""),IFERROR(INDEX(Map_Tables!$B$4:$B$18,MATCH(TRIM(F1971),Map_Tables!$A$4:$A$18,0)),"CHECK"))</f>
        <v>Mumbai</v>
      </c>
      <c r="AE1971" s="7" t="str">
        <f aca="false">IF(TRIM(E1971)="","",IFERROR(INDEX(Map_Tables!$H$4:$H$37,MATCH(TRIM(E1971),Map_Tables!$G$4:$G$37,0)),"CHECK"))</f>
        <v>Curry Leaf Kitchen</v>
      </c>
      <c r="AF1971" s="7" t="str">
        <f aca="false">IF(TRIM(K1971)="","Unknown",IFERROR(INDEX(Map_Tables!$E$4:$E$15,MATCH(TRIM(K1971),Map_Tables!$D$4:$D$15,0)),"CHECK"))</f>
        <v>UPI</v>
      </c>
      <c r="AG1971" s="7" t="str">
        <f aca="false">IF(LEFT(LOWER(TRIM(L1971)),6)="cancel","Cancelled","Delivered")</f>
        <v>Delivered</v>
      </c>
      <c r="AH1971" s="10" t="n">
        <f aca="false">IF(ISNUMBER(SEARCH("/",B1971)),DATE(VALUE(RIGHT(B1971,4)),VALUE(MID(B1971,4,2)),VALUE(LEFT(B1971,2))),IF(MID(B1971,5,1)="-",DATE(VALUE(LEFT(B1971,4)),VALUE(MID(B1971,6,2)),VALUE(RIGHT(B1971,2))),DATE(VALUE(RIGHT(B1971,4)),MATCH(MID(B1971,4,3),{"Jan","Feb","Mar","Apr","May","Jun","Jul","Aug","Sep","Oct","Nov","Dec"},0),VALUE(LEFT(B1971,2)))))</f>
        <v>45690</v>
      </c>
    </row>
    <row r="1972" customFormat="false" ht="15" hidden="false" customHeight="false" outlineLevel="0" collapsed="false">
      <c r="A1972" s="7" t="s">
        <v>4709</v>
      </c>
      <c r="B1972" s="7" t="s">
        <v>402</v>
      </c>
      <c r="C1972" s="7" t="s">
        <v>3141</v>
      </c>
      <c r="D1972" s="7" t="s">
        <v>1627</v>
      </c>
      <c r="E1972" s="7" t="s">
        <v>154</v>
      </c>
      <c r="F1972" s="7" t="s">
        <v>128</v>
      </c>
      <c r="G1972" s="7" t="s">
        <v>99</v>
      </c>
      <c r="H1972" s="7" t="n">
        <v>4</v>
      </c>
      <c r="I1972" s="7" t="n">
        <v>240</v>
      </c>
      <c r="J1972" s="7" t="n">
        <v>0</v>
      </c>
      <c r="K1972" s="7" t="s">
        <v>88</v>
      </c>
      <c r="L1972" s="7" t="s">
        <v>194</v>
      </c>
      <c r="M1972" s="7" t="n">
        <v>36</v>
      </c>
      <c r="N1972" s="7" t="n">
        <v>2</v>
      </c>
      <c r="O1972" s="7" t="str">
        <f aca="false">A1972&amp;"|"&amp;B1972&amp;"|"&amp;C1972&amp;"|"&amp;D1972&amp;"|"&amp;E1972&amp;"|"&amp;F1972&amp;"|"&amp;G1972&amp;"|"&amp;H1972&amp;"|"&amp;I1972&amp;"|"&amp;J1972&amp;"|"&amp;K1972&amp;"|"&amp;L1972&amp;"|"&amp;M1972&amp;"|"&amp;N1972</f>
        <v>ORD12113|2025-09-28|23:09|C1420|Madras Biryani Co|Chennai|Biryani|4|240|0|UPI|Delivered|36|2</v>
      </c>
      <c r="P1972" s="7" t="str">
        <f aca="false">IF(COUNTIF($O$2:O1972,O1972)&gt;1,"DUP","OK")</f>
        <v>OK</v>
      </c>
      <c r="Q1972" s="7" t="n">
        <f aca="false">COUNTBLANK(A1972:N1972)</f>
        <v>0</v>
      </c>
      <c r="R1972" s="7" t="n">
        <f aca="false">IF(A1972="",0,COUNTIFS($A$2:$A$3058,A1972,$P$2:$P$3058,"OK"))</f>
        <v>1</v>
      </c>
      <c r="S1972" s="7" t="str">
        <f aca="false">IF(OR(A1972="",P1972="DUP",R1972&lt;2),"",IF(Q1972=_xlfn.MINIFS($Q$2:$Q$3058,$A$2:$A$3058,A1972,$P$2:$P$3058,"OK"),"KEEP","DROP"))</f>
        <v/>
      </c>
      <c r="T1972" s="9" t="n">
        <f aca="false">IF(A1972="",1,0)</f>
        <v>0</v>
      </c>
      <c r="U1972" s="9" t="n">
        <f aca="false">IF(D1972="",1,0)</f>
        <v>0</v>
      </c>
      <c r="V1972" s="9" t="n">
        <f aca="false">IF(E1972="",1,0)</f>
        <v>0</v>
      </c>
      <c r="W1972" s="9" t="n">
        <f aca="false">IF(OR(H1972&lt;1,H1972&gt;10),1,0)</f>
        <v>0</v>
      </c>
      <c r="X1972" s="9" t="n">
        <f aca="false">IF(OR(I1972&lt;=0,I1972&gt;1500),1,0)</f>
        <v>0</v>
      </c>
      <c r="Y1972" s="9" t="n">
        <f aca="false">IF(J1972&gt;H1972*I1972,1,0)</f>
        <v>0</v>
      </c>
      <c r="Z1972" s="9" t="n">
        <f aca="false">IF(AND(N1972&lt;&gt;"",OR(N1972&lt;1,N1972&gt;5)),1,0)</f>
        <v>0</v>
      </c>
      <c r="AA1972" s="9" t="n">
        <f aca="false">IF(AND(M1972&lt;&gt;"",OR(M1972&lt;5,M1972&gt;180)),1,0)</f>
        <v>0</v>
      </c>
      <c r="AB1972" s="7" t="str">
        <f aca="false">IF(P1972="DUP","Exact duplicate row",IF(T1972=1,"Missing Order ID",IF(S1972="DROP","Duplicate Order ID (less complete row)",IF(U1972=1,"Missing Customer ID",IF(V1972=1,"Missing Restaurant name",IF(W1972=1,"Invalid/outlier quantity",IF(X1972=1,"Invalid/outlier unit price",IF(Y1972=1,"Discount greater than order value",""))))))))</f>
        <v/>
      </c>
      <c r="AC1972" s="7" t="str">
        <f aca="false">IF(AB1972="","KEEP","DROP")</f>
        <v>KEEP</v>
      </c>
      <c r="AD1972" s="7" t="str">
        <f aca="false">IF(TRIM(F1972)="",IFERROR(INDEX(Map_Tables!$I$4:$I$37,MATCH(TRIM(E1972),Map_Tables!$G$4:$G$37,0)),""),IFERROR(INDEX(Map_Tables!$B$4:$B$18,MATCH(TRIM(F1972),Map_Tables!$A$4:$A$18,0)),"CHECK"))</f>
        <v>Chennai</v>
      </c>
      <c r="AE1972" s="7" t="str">
        <f aca="false">IF(TRIM(E1972)="","",IFERROR(INDEX(Map_Tables!$H$4:$H$37,MATCH(TRIM(E1972),Map_Tables!$G$4:$G$37,0)),"CHECK"))</f>
        <v>Madras Biryani Co</v>
      </c>
      <c r="AF1972" s="7" t="str">
        <f aca="false">IF(TRIM(K1972)="","Unknown",IFERROR(INDEX(Map_Tables!$E$4:$E$15,MATCH(TRIM(K1972),Map_Tables!$D$4:$D$15,0)),"CHECK"))</f>
        <v>UPI</v>
      </c>
      <c r="AG1972" s="7" t="str">
        <f aca="false">IF(LEFT(LOWER(TRIM(L1972)),6)="cancel","Cancelled","Delivered")</f>
        <v>Delivered</v>
      </c>
      <c r="AH1972" s="10" t="n">
        <f aca="false">IF(ISNUMBER(SEARCH("/",B1972)),DATE(VALUE(RIGHT(B1972,4)),VALUE(MID(B1972,4,2)),VALUE(LEFT(B1972,2))),IF(MID(B1972,5,1)="-",DATE(VALUE(LEFT(B1972,4)),VALUE(MID(B1972,6,2)),VALUE(RIGHT(B1972,2))),DATE(VALUE(RIGHT(B1972,4)),MATCH(MID(B1972,4,3),{"Jan","Feb","Mar","Apr","May","Jun","Jul","Aug","Sep","Oct","Nov","Dec"},0),VALUE(LEFT(B1972,2)))))</f>
        <v>45928</v>
      </c>
    </row>
    <row r="1973" customFormat="false" ht="15" hidden="false" customHeight="false" outlineLevel="0" collapsed="false">
      <c r="A1973" s="7" t="s">
        <v>4710</v>
      </c>
      <c r="B1973" s="7" t="s">
        <v>892</v>
      </c>
      <c r="C1973" s="7" t="s">
        <v>391</v>
      </c>
      <c r="D1973" s="7" t="s">
        <v>1553</v>
      </c>
      <c r="E1973" s="7" t="s">
        <v>2395</v>
      </c>
      <c r="F1973" s="7" t="s">
        <v>101</v>
      </c>
      <c r="G1973" s="7" t="s">
        <v>90</v>
      </c>
      <c r="H1973" s="7" t="n">
        <v>2</v>
      </c>
      <c r="I1973" s="7" t="n">
        <v>270</v>
      </c>
      <c r="J1973" s="7" t="n">
        <v>0</v>
      </c>
      <c r="K1973" s="7" t="s">
        <v>103</v>
      </c>
      <c r="L1973" s="7" t="s">
        <v>194</v>
      </c>
      <c r="M1973" s="7" t="n">
        <v>45</v>
      </c>
      <c r="N1973" s="7" t="n">
        <v>3</v>
      </c>
      <c r="O1973" s="7" t="str">
        <f aca="false">A1973&amp;"|"&amp;B1973&amp;"|"&amp;C1973&amp;"|"&amp;D1973&amp;"|"&amp;E1973&amp;"|"&amp;F1973&amp;"|"&amp;G1973&amp;"|"&amp;H1973&amp;"|"&amp;I1973&amp;"|"&amp;J1973&amp;"|"&amp;K1973&amp;"|"&amp;L1973&amp;"|"&amp;M1973&amp;"|"&amp;N1973</f>
        <v>ORD12534|2025-11-12|19:50|C1498|Curry Leaf Kitchen |Mumbai|North Indian|2|270|0|Debit Card|Delivered|45|3</v>
      </c>
      <c r="P1973" s="7" t="str">
        <f aca="false">IF(COUNTIF($O$2:O1973,O1973)&gt;1,"DUP","OK")</f>
        <v>OK</v>
      </c>
      <c r="Q1973" s="7" t="n">
        <f aca="false">COUNTBLANK(A1973:N1973)</f>
        <v>0</v>
      </c>
      <c r="R1973" s="7" t="n">
        <f aca="false">IF(A1973="",0,COUNTIFS($A$2:$A$3058,A1973,$P$2:$P$3058,"OK"))</f>
        <v>1</v>
      </c>
      <c r="S1973" s="7" t="str">
        <f aca="false">IF(OR(A1973="",P1973="DUP",R1973&lt;2),"",IF(Q1973=_xlfn.MINIFS($Q$2:$Q$3058,$A$2:$A$3058,A1973,$P$2:$P$3058,"OK"),"KEEP","DROP"))</f>
        <v/>
      </c>
      <c r="T1973" s="9" t="n">
        <f aca="false">IF(A1973="",1,0)</f>
        <v>0</v>
      </c>
      <c r="U1973" s="9" t="n">
        <f aca="false">IF(D1973="",1,0)</f>
        <v>0</v>
      </c>
      <c r="V1973" s="9" t="n">
        <f aca="false">IF(E1973="",1,0)</f>
        <v>0</v>
      </c>
      <c r="W1973" s="9" t="n">
        <f aca="false">IF(OR(H1973&lt;1,H1973&gt;10),1,0)</f>
        <v>0</v>
      </c>
      <c r="X1973" s="9" t="n">
        <f aca="false">IF(OR(I1973&lt;=0,I1973&gt;1500),1,0)</f>
        <v>0</v>
      </c>
      <c r="Y1973" s="9" t="n">
        <f aca="false">IF(J1973&gt;H1973*I1973,1,0)</f>
        <v>0</v>
      </c>
      <c r="Z1973" s="9" t="n">
        <f aca="false">IF(AND(N1973&lt;&gt;"",OR(N1973&lt;1,N1973&gt;5)),1,0)</f>
        <v>0</v>
      </c>
      <c r="AA1973" s="9" t="n">
        <f aca="false">IF(AND(M1973&lt;&gt;"",OR(M1973&lt;5,M1973&gt;180)),1,0)</f>
        <v>0</v>
      </c>
      <c r="AB1973" s="7" t="str">
        <f aca="false">IF(P1973="DUP","Exact duplicate row",IF(T1973=1,"Missing Order ID",IF(S1973="DROP","Duplicate Order ID (less complete row)",IF(U1973=1,"Missing Customer ID",IF(V1973=1,"Missing Restaurant name",IF(W1973=1,"Invalid/outlier quantity",IF(X1973=1,"Invalid/outlier unit price",IF(Y1973=1,"Discount greater than order value",""))))))))</f>
        <v/>
      </c>
      <c r="AC1973" s="7" t="str">
        <f aca="false">IF(AB1973="","KEEP","DROP")</f>
        <v>KEEP</v>
      </c>
      <c r="AD1973" s="7" t="str">
        <f aca="false">IF(TRIM(F1973)="",IFERROR(INDEX(Map_Tables!$I$4:$I$37,MATCH(TRIM(E1973),Map_Tables!$G$4:$G$37,0)),""),IFERROR(INDEX(Map_Tables!$B$4:$B$18,MATCH(TRIM(F1973),Map_Tables!$A$4:$A$18,0)),"CHECK"))</f>
        <v>Mumbai</v>
      </c>
      <c r="AE1973" s="7" t="str">
        <f aca="false">IF(TRIM(E1973)="","",IFERROR(INDEX(Map_Tables!$H$4:$H$37,MATCH(TRIM(E1973),Map_Tables!$G$4:$G$37,0)),"CHECK"))</f>
        <v>Curry Leaf Kitchen</v>
      </c>
      <c r="AF1973" s="7" t="str">
        <f aca="false">IF(TRIM(K1973)="","Unknown",IFERROR(INDEX(Map_Tables!$E$4:$E$15,MATCH(TRIM(K1973),Map_Tables!$D$4:$D$15,0)),"CHECK"))</f>
        <v>Debit Card</v>
      </c>
      <c r="AG1973" s="7" t="str">
        <f aca="false">IF(LEFT(LOWER(TRIM(L1973)),6)="cancel","Cancelled","Delivered")</f>
        <v>Delivered</v>
      </c>
      <c r="AH1973" s="10" t="n">
        <f aca="false">IF(ISNUMBER(SEARCH("/",B1973)),DATE(VALUE(RIGHT(B1973,4)),VALUE(MID(B1973,4,2)),VALUE(LEFT(B1973,2))),IF(MID(B1973,5,1)="-",DATE(VALUE(LEFT(B1973,4)),VALUE(MID(B1973,6,2)),VALUE(RIGHT(B1973,2))),DATE(VALUE(RIGHT(B1973,4)),MATCH(MID(B1973,4,3),{"Jan","Feb","Mar","Apr","May","Jun","Jul","Aug","Sep","Oct","Nov","Dec"},0),VALUE(LEFT(B1973,2)))))</f>
        <v>45973</v>
      </c>
    </row>
    <row r="1974" customFormat="false" ht="15" hidden="false" customHeight="false" outlineLevel="0" collapsed="false">
      <c r="A1974" s="7" t="s">
        <v>4711</v>
      </c>
      <c r="B1974" s="7" t="s">
        <v>1287</v>
      </c>
      <c r="C1974" s="7" t="s">
        <v>1050</v>
      </c>
      <c r="D1974" s="7" t="s">
        <v>4690</v>
      </c>
      <c r="E1974" s="7" t="s">
        <v>1862</v>
      </c>
      <c r="F1974" s="7" t="s">
        <v>86</v>
      </c>
      <c r="G1974" s="7" t="s">
        <v>90</v>
      </c>
      <c r="H1974" s="7" t="n">
        <v>1</v>
      </c>
      <c r="I1974" s="7" t="n">
        <v>230</v>
      </c>
      <c r="J1974" s="7" t="n">
        <v>50</v>
      </c>
      <c r="K1974" s="7" t="s">
        <v>133</v>
      </c>
      <c r="L1974" s="7" t="s">
        <v>194</v>
      </c>
      <c r="M1974" s="7" t="n">
        <v>39</v>
      </c>
      <c r="N1974" s="7" t="n">
        <v>4</v>
      </c>
      <c r="O1974" s="7" t="str">
        <f aca="false">A1974&amp;"|"&amp;B1974&amp;"|"&amp;C1974&amp;"|"&amp;D1974&amp;"|"&amp;E1974&amp;"|"&amp;F1974&amp;"|"&amp;G1974&amp;"|"&amp;H1974&amp;"|"&amp;I1974&amp;"|"&amp;J1974&amp;"|"&amp;K1974&amp;"|"&amp;L1974&amp;"|"&amp;M1974&amp;"|"&amp;N1974</f>
        <v>ORD12948|2025-12-26|12:29|C0205|Spice Junction |Bengaluru|North Indian|1|230|50|Net Banking|Delivered|39|4</v>
      </c>
      <c r="P1974" s="7" t="str">
        <f aca="false">IF(COUNTIF($O$2:O1974,O1974)&gt;1,"DUP","OK")</f>
        <v>OK</v>
      </c>
      <c r="Q1974" s="7" t="n">
        <f aca="false">COUNTBLANK(A1974:N1974)</f>
        <v>0</v>
      </c>
      <c r="R1974" s="7" t="n">
        <f aca="false">IF(A1974="",0,COUNTIFS($A$2:$A$3058,A1974,$P$2:$P$3058,"OK"))</f>
        <v>1</v>
      </c>
      <c r="S1974" s="7" t="str">
        <f aca="false">IF(OR(A1974="",P1974="DUP",R1974&lt;2),"",IF(Q1974=_xlfn.MINIFS($Q$2:$Q$3058,$A$2:$A$3058,A1974,$P$2:$P$3058,"OK"),"KEEP","DROP"))</f>
        <v/>
      </c>
      <c r="T1974" s="9" t="n">
        <f aca="false">IF(A1974="",1,0)</f>
        <v>0</v>
      </c>
      <c r="U1974" s="9" t="n">
        <f aca="false">IF(D1974="",1,0)</f>
        <v>0</v>
      </c>
      <c r="V1974" s="9" t="n">
        <f aca="false">IF(E1974="",1,0)</f>
        <v>0</v>
      </c>
      <c r="W1974" s="9" t="n">
        <f aca="false">IF(OR(H1974&lt;1,H1974&gt;10),1,0)</f>
        <v>0</v>
      </c>
      <c r="X1974" s="9" t="n">
        <f aca="false">IF(OR(I1974&lt;=0,I1974&gt;1500),1,0)</f>
        <v>0</v>
      </c>
      <c r="Y1974" s="9" t="n">
        <f aca="false">IF(J1974&gt;H1974*I1974,1,0)</f>
        <v>0</v>
      </c>
      <c r="Z1974" s="9" t="n">
        <f aca="false">IF(AND(N1974&lt;&gt;"",OR(N1974&lt;1,N1974&gt;5)),1,0)</f>
        <v>0</v>
      </c>
      <c r="AA1974" s="9" t="n">
        <f aca="false">IF(AND(M1974&lt;&gt;"",OR(M1974&lt;5,M1974&gt;180)),1,0)</f>
        <v>0</v>
      </c>
      <c r="AB1974" s="7" t="str">
        <f aca="false">IF(P1974="DUP","Exact duplicate row",IF(T1974=1,"Missing Order ID",IF(S1974="DROP","Duplicate Order ID (less complete row)",IF(U1974=1,"Missing Customer ID",IF(V1974=1,"Missing Restaurant name",IF(W1974=1,"Invalid/outlier quantity",IF(X1974=1,"Invalid/outlier unit price",IF(Y1974=1,"Discount greater than order value",""))))))))</f>
        <v/>
      </c>
      <c r="AC1974" s="7" t="str">
        <f aca="false">IF(AB1974="","KEEP","DROP")</f>
        <v>KEEP</v>
      </c>
      <c r="AD1974" s="7" t="str">
        <f aca="false">IF(TRIM(F1974)="",IFERROR(INDEX(Map_Tables!$I$4:$I$37,MATCH(TRIM(E1974),Map_Tables!$G$4:$G$37,0)),""),IFERROR(INDEX(Map_Tables!$B$4:$B$18,MATCH(TRIM(F1974),Map_Tables!$A$4:$A$18,0)),"CHECK"))</f>
        <v>Bengaluru</v>
      </c>
      <c r="AE1974" s="7" t="str">
        <f aca="false">IF(TRIM(E1974)="","",IFERROR(INDEX(Map_Tables!$H$4:$H$37,MATCH(TRIM(E1974),Map_Tables!$G$4:$G$37,0)),"CHECK"))</f>
        <v>Spice Junction</v>
      </c>
      <c r="AF1974" s="7" t="str">
        <f aca="false">IF(TRIM(K1974)="","Unknown",IFERROR(INDEX(Map_Tables!$E$4:$E$15,MATCH(TRIM(K1974),Map_Tables!$D$4:$D$15,0)),"CHECK"))</f>
        <v>Net Banking</v>
      </c>
      <c r="AG1974" s="7" t="str">
        <f aca="false">IF(LEFT(LOWER(TRIM(L1974)),6)="cancel","Cancelled","Delivered")</f>
        <v>Delivered</v>
      </c>
      <c r="AH1974" s="10" t="n">
        <f aca="false">IF(ISNUMBER(SEARCH("/",B1974)),DATE(VALUE(RIGHT(B1974,4)),VALUE(MID(B1974,4,2)),VALUE(LEFT(B1974,2))),IF(MID(B1974,5,1)="-",DATE(VALUE(LEFT(B1974,4)),VALUE(MID(B1974,6,2)),VALUE(RIGHT(B1974,2))),DATE(VALUE(RIGHT(B1974,4)),MATCH(MID(B1974,4,3),{"Jan","Feb","Mar","Apr","May","Jun","Jul","Aug","Sep","Oct","Nov","Dec"},0),VALUE(LEFT(B1974,2)))))</f>
        <v>46017</v>
      </c>
    </row>
    <row r="1975" customFormat="false" ht="15" hidden="false" customHeight="false" outlineLevel="0" collapsed="false">
      <c r="A1975" s="7" t="s">
        <v>4712</v>
      </c>
      <c r="B1975" s="7" t="s">
        <v>402</v>
      </c>
      <c r="C1975" s="7" t="s">
        <v>817</v>
      </c>
      <c r="D1975" s="7" t="s">
        <v>374</v>
      </c>
      <c r="E1975" s="7" t="s">
        <v>144</v>
      </c>
      <c r="F1975" s="7" t="s">
        <v>118</v>
      </c>
      <c r="G1975" s="7" t="s">
        <v>99</v>
      </c>
      <c r="H1975" s="7" t="n">
        <v>2</v>
      </c>
      <c r="I1975" s="7" t="n">
        <v>290</v>
      </c>
      <c r="J1975" s="7" t="n">
        <v>30</v>
      </c>
      <c r="K1975" s="7" t="s">
        <v>88</v>
      </c>
      <c r="L1975" s="7" t="s">
        <v>194</v>
      </c>
      <c r="M1975" s="7" t="n">
        <v>30</v>
      </c>
      <c r="N1975" s="7" t="n">
        <v>5</v>
      </c>
      <c r="O1975" s="7" t="str">
        <f aca="false">A1975&amp;"|"&amp;B1975&amp;"|"&amp;C1975&amp;"|"&amp;D1975&amp;"|"&amp;E1975&amp;"|"&amp;F1975&amp;"|"&amp;G1975&amp;"|"&amp;H1975&amp;"|"&amp;I1975&amp;"|"&amp;J1975&amp;"|"&amp;K1975&amp;"|"&amp;L1975&amp;"|"&amp;M1975&amp;"|"&amp;N1975</f>
        <v>ORD12110|2025-09-28|20:53|C0254|Hyderabad Dum Biryani|hyderabad|Biryani|2|290|30|UPI|Delivered|30|5</v>
      </c>
      <c r="P1975" s="7" t="str">
        <f aca="false">IF(COUNTIF($O$2:O1975,O1975)&gt;1,"DUP","OK")</f>
        <v>OK</v>
      </c>
      <c r="Q1975" s="7" t="n">
        <f aca="false">COUNTBLANK(A1975:N1975)</f>
        <v>0</v>
      </c>
      <c r="R1975" s="7" t="n">
        <f aca="false">IF(A1975="",0,COUNTIFS($A$2:$A$3058,A1975,$P$2:$P$3058,"OK"))</f>
        <v>1</v>
      </c>
      <c r="S1975" s="7" t="str">
        <f aca="false">IF(OR(A1975="",P1975="DUP",R1975&lt;2),"",IF(Q1975=_xlfn.MINIFS($Q$2:$Q$3058,$A$2:$A$3058,A1975,$P$2:$P$3058,"OK"),"KEEP","DROP"))</f>
        <v/>
      </c>
      <c r="T1975" s="9" t="n">
        <f aca="false">IF(A1975="",1,0)</f>
        <v>0</v>
      </c>
      <c r="U1975" s="9" t="n">
        <f aca="false">IF(D1975="",1,0)</f>
        <v>0</v>
      </c>
      <c r="V1975" s="9" t="n">
        <f aca="false">IF(E1975="",1,0)</f>
        <v>0</v>
      </c>
      <c r="W1975" s="9" t="n">
        <f aca="false">IF(OR(H1975&lt;1,H1975&gt;10),1,0)</f>
        <v>0</v>
      </c>
      <c r="X1975" s="9" t="n">
        <f aca="false">IF(OR(I1975&lt;=0,I1975&gt;1500),1,0)</f>
        <v>0</v>
      </c>
      <c r="Y1975" s="9" t="n">
        <f aca="false">IF(J1975&gt;H1975*I1975,1,0)</f>
        <v>0</v>
      </c>
      <c r="Z1975" s="9" t="n">
        <f aca="false">IF(AND(N1975&lt;&gt;"",OR(N1975&lt;1,N1975&gt;5)),1,0)</f>
        <v>0</v>
      </c>
      <c r="AA1975" s="9" t="n">
        <f aca="false">IF(AND(M1975&lt;&gt;"",OR(M1975&lt;5,M1975&gt;180)),1,0)</f>
        <v>0</v>
      </c>
      <c r="AB1975" s="7" t="str">
        <f aca="false">IF(P1975="DUP","Exact duplicate row",IF(T1975=1,"Missing Order ID",IF(S1975="DROP","Duplicate Order ID (less complete row)",IF(U1975=1,"Missing Customer ID",IF(V1975=1,"Missing Restaurant name",IF(W1975=1,"Invalid/outlier quantity",IF(X1975=1,"Invalid/outlier unit price",IF(Y1975=1,"Discount greater than order value",""))))))))</f>
        <v/>
      </c>
      <c r="AC1975" s="7" t="str">
        <f aca="false">IF(AB1975="","KEEP","DROP")</f>
        <v>KEEP</v>
      </c>
      <c r="AD1975" s="7" t="str">
        <f aca="false">IF(TRIM(F1975)="",IFERROR(INDEX(Map_Tables!$I$4:$I$37,MATCH(TRIM(E1975),Map_Tables!$G$4:$G$37,0)),""),IFERROR(INDEX(Map_Tables!$B$4:$B$18,MATCH(TRIM(F1975),Map_Tables!$A$4:$A$18,0)),"CHECK"))</f>
        <v>Hyderabad</v>
      </c>
      <c r="AE1975" s="7" t="str">
        <f aca="false">IF(TRIM(E1975)="","",IFERROR(INDEX(Map_Tables!$H$4:$H$37,MATCH(TRIM(E1975),Map_Tables!$G$4:$G$37,0)),"CHECK"))</f>
        <v>Hyderabad Dum Biryani</v>
      </c>
      <c r="AF1975" s="7" t="str">
        <f aca="false">IF(TRIM(K1975)="","Unknown",IFERROR(INDEX(Map_Tables!$E$4:$E$15,MATCH(TRIM(K1975),Map_Tables!$D$4:$D$15,0)),"CHECK"))</f>
        <v>UPI</v>
      </c>
      <c r="AG1975" s="7" t="str">
        <f aca="false">IF(LEFT(LOWER(TRIM(L1975)),6)="cancel","Cancelled","Delivered")</f>
        <v>Delivered</v>
      </c>
      <c r="AH1975" s="10" t="n">
        <f aca="false">IF(ISNUMBER(SEARCH("/",B1975)),DATE(VALUE(RIGHT(B1975,4)),VALUE(MID(B1975,4,2)),VALUE(LEFT(B1975,2))),IF(MID(B1975,5,1)="-",DATE(VALUE(LEFT(B1975,4)),VALUE(MID(B1975,6,2)),VALUE(RIGHT(B1975,2))),DATE(VALUE(RIGHT(B1975,4)),MATCH(MID(B1975,4,3),{"Jan","Feb","Mar","Apr","May","Jun","Jul","Aug","Sep","Oct","Nov","Dec"},0),VALUE(LEFT(B1975,2)))))</f>
        <v>45928</v>
      </c>
    </row>
    <row r="1976" customFormat="false" ht="15" hidden="false" customHeight="false" outlineLevel="0" collapsed="false">
      <c r="A1976" s="7" t="s">
        <v>4713</v>
      </c>
      <c r="B1976" s="7" t="s">
        <v>1167</v>
      </c>
      <c r="C1976" s="7" t="s">
        <v>4011</v>
      </c>
      <c r="D1976" s="7" t="s">
        <v>2091</v>
      </c>
      <c r="E1976" s="7" t="s">
        <v>130</v>
      </c>
      <c r="F1976" s="7" t="s">
        <v>294</v>
      </c>
      <c r="G1976" s="7" t="s">
        <v>90</v>
      </c>
      <c r="H1976" s="7" t="n">
        <v>2</v>
      </c>
      <c r="I1976" s="7" t="n">
        <v>235</v>
      </c>
      <c r="J1976" s="7" t="n">
        <v>0</v>
      </c>
      <c r="K1976" s="7" t="s">
        <v>88</v>
      </c>
      <c r="L1976" s="7" t="s">
        <v>194</v>
      </c>
      <c r="M1976" s="7" t="n">
        <v>22</v>
      </c>
      <c r="N1976" s="7" t="n">
        <v>5</v>
      </c>
      <c r="O1976" s="7" t="str">
        <f aca="false">A1976&amp;"|"&amp;B1976&amp;"|"&amp;C1976&amp;"|"&amp;D1976&amp;"|"&amp;E1976&amp;"|"&amp;F1976&amp;"|"&amp;G1976&amp;"|"&amp;H1976&amp;"|"&amp;I1976&amp;"|"&amp;J1976&amp;"|"&amp;K1976&amp;"|"&amp;L1976&amp;"|"&amp;M1976&amp;"|"&amp;N1976</f>
        <v>ORD12349|2025-10-23|01:04|C1463|Tandoor Tales|New Delhi|North Indian|2|235|0|UPI|Delivered|22|5</v>
      </c>
      <c r="P1976" s="7" t="str">
        <f aca="false">IF(COUNTIF($O$2:O1976,O1976)&gt;1,"DUP","OK")</f>
        <v>OK</v>
      </c>
      <c r="Q1976" s="7" t="n">
        <f aca="false">COUNTBLANK(A1976:N1976)</f>
        <v>0</v>
      </c>
      <c r="R1976" s="7" t="n">
        <f aca="false">IF(A1976="",0,COUNTIFS($A$2:$A$3058,A1976,$P$2:$P$3058,"OK"))</f>
        <v>1</v>
      </c>
      <c r="S1976" s="7" t="str">
        <f aca="false">IF(OR(A1976="",P1976="DUP",R1976&lt;2),"",IF(Q1976=_xlfn.MINIFS($Q$2:$Q$3058,$A$2:$A$3058,A1976,$P$2:$P$3058,"OK"),"KEEP","DROP"))</f>
        <v/>
      </c>
      <c r="T1976" s="9" t="n">
        <f aca="false">IF(A1976="",1,0)</f>
        <v>0</v>
      </c>
      <c r="U1976" s="9" t="n">
        <f aca="false">IF(D1976="",1,0)</f>
        <v>0</v>
      </c>
      <c r="V1976" s="9" t="n">
        <f aca="false">IF(E1976="",1,0)</f>
        <v>0</v>
      </c>
      <c r="W1976" s="9" t="n">
        <f aca="false">IF(OR(H1976&lt;1,H1976&gt;10),1,0)</f>
        <v>0</v>
      </c>
      <c r="X1976" s="9" t="n">
        <f aca="false">IF(OR(I1976&lt;=0,I1976&gt;1500),1,0)</f>
        <v>0</v>
      </c>
      <c r="Y1976" s="9" t="n">
        <f aca="false">IF(J1976&gt;H1976*I1976,1,0)</f>
        <v>0</v>
      </c>
      <c r="Z1976" s="9" t="n">
        <f aca="false">IF(AND(N1976&lt;&gt;"",OR(N1976&lt;1,N1976&gt;5)),1,0)</f>
        <v>0</v>
      </c>
      <c r="AA1976" s="9" t="n">
        <f aca="false">IF(AND(M1976&lt;&gt;"",OR(M1976&lt;5,M1976&gt;180)),1,0)</f>
        <v>0</v>
      </c>
      <c r="AB1976" s="7" t="str">
        <f aca="false">IF(P1976="DUP","Exact duplicate row",IF(T1976=1,"Missing Order ID",IF(S1976="DROP","Duplicate Order ID (less complete row)",IF(U1976=1,"Missing Customer ID",IF(V1976=1,"Missing Restaurant name",IF(W1976=1,"Invalid/outlier quantity",IF(X1976=1,"Invalid/outlier unit price",IF(Y1976=1,"Discount greater than order value",""))))))))</f>
        <v/>
      </c>
      <c r="AC1976" s="7" t="str">
        <f aca="false">IF(AB1976="","KEEP","DROP")</f>
        <v>KEEP</v>
      </c>
      <c r="AD1976" s="7" t="str">
        <f aca="false">IF(TRIM(F1976)="",IFERROR(INDEX(Map_Tables!$I$4:$I$37,MATCH(TRIM(E1976),Map_Tables!$G$4:$G$37,0)),""),IFERROR(INDEX(Map_Tables!$B$4:$B$18,MATCH(TRIM(F1976),Map_Tables!$A$4:$A$18,0)),"CHECK"))</f>
        <v>Delhi</v>
      </c>
      <c r="AE1976" s="7" t="str">
        <f aca="false">IF(TRIM(E1976)="","",IFERROR(INDEX(Map_Tables!$H$4:$H$37,MATCH(TRIM(E1976),Map_Tables!$G$4:$G$37,0)),"CHECK"))</f>
        <v>Tandoor Tales</v>
      </c>
      <c r="AF1976" s="7" t="str">
        <f aca="false">IF(TRIM(K1976)="","Unknown",IFERROR(INDEX(Map_Tables!$E$4:$E$15,MATCH(TRIM(K1976),Map_Tables!$D$4:$D$15,0)),"CHECK"))</f>
        <v>UPI</v>
      </c>
      <c r="AG1976" s="7" t="str">
        <f aca="false">IF(LEFT(LOWER(TRIM(L1976)),6)="cancel","Cancelled","Delivered")</f>
        <v>Delivered</v>
      </c>
      <c r="AH1976" s="10" t="n">
        <f aca="false">IF(ISNUMBER(SEARCH("/",B1976)),DATE(VALUE(RIGHT(B1976,4)),VALUE(MID(B1976,4,2)),VALUE(LEFT(B1976,2))),IF(MID(B1976,5,1)="-",DATE(VALUE(LEFT(B1976,4)),VALUE(MID(B1976,6,2)),VALUE(RIGHT(B1976,2))),DATE(VALUE(RIGHT(B1976,4)),MATCH(MID(B1976,4,3),{"Jan","Feb","Mar","Apr","May","Jun","Jul","Aug","Sep","Oct","Nov","Dec"},0),VALUE(LEFT(B1976,2)))))</f>
        <v>45953</v>
      </c>
    </row>
    <row r="1977" customFormat="false" ht="15" hidden="false" customHeight="false" outlineLevel="0" collapsed="false">
      <c r="A1977" s="7" t="s">
        <v>4714</v>
      </c>
      <c r="B1977" s="7" t="s">
        <v>594</v>
      </c>
      <c r="C1977" s="7" t="s">
        <v>4715</v>
      </c>
      <c r="D1977" s="7" t="s">
        <v>2918</v>
      </c>
      <c r="E1977" s="7" t="s">
        <v>148</v>
      </c>
      <c r="F1977" s="7" t="s">
        <v>119</v>
      </c>
      <c r="G1977" s="7" t="s">
        <v>764</v>
      </c>
      <c r="H1977" s="7" t="n">
        <v>2</v>
      </c>
      <c r="I1977" s="7" t="n">
        <v>325</v>
      </c>
      <c r="J1977" s="7" t="n">
        <v>125</v>
      </c>
      <c r="K1977" s="7" t="s">
        <v>133</v>
      </c>
      <c r="L1977" s="7" t="s">
        <v>194</v>
      </c>
      <c r="M1977" s="7" t="n">
        <v>43</v>
      </c>
      <c r="N1977" s="7"/>
      <c r="O1977" s="7" t="str">
        <f aca="false">A1977&amp;"|"&amp;B1977&amp;"|"&amp;C1977&amp;"|"&amp;D1977&amp;"|"&amp;E1977&amp;"|"&amp;F1977&amp;"|"&amp;G1977&amp;"|"&amp;H1977&amp;"|"&amp;I1977&amp;"|"&amp;J1977&amp;"|"&amp;K1977&amp;"|"&amp;L1977&amp;"|"&amp;M1977&amp;"|"&amp;N1977</f>
        <v>ORD11327|2025-06-20|17:55|C0914|Pizza Palace|Hyderabad|pizza|2|325|125|Net Banking|Delivered|43|</v>
      </c>
      <c r="P1977" s="7" t="str">
        <f aca="false">IF(COUNTIF($O$2:O1977,O1977)&gt;1,"DUP","OK")</f>
        <v>OK</v>
      </c>
      <c r="Q1977" s="7" t="n">
        <f aca="false">COUNTBLANK(A1977:N1977)</f>
        <v>1</v>
      </c>
      <c r="R1977" s="7" t="n">
        <f aca="false">IF(A1977="",0,COUNTIFS($A$2:$A$3058,A1977,$P$2:$P$3058,"OK"))</f>
        <v>1</v>
      </c>
      <c r="S1977" s="7" t="str">
        <f aca="false">IF(OR(A1977="",P1977="DUP",R1977&lt;2),"",IF(Q1977=_xlfn.MINIFS($Q$2:$Q$3058,$A$2:$A$3058,A1977,$P$2:$P$3058,"OK"),"KEEP","DROP"))</f>
        <v/>
      </c>
      <c r="T1977" s="9" t="n">
        <f aca="false">IF(A1977="",1,0)</f>
        <v>0</v>
      </c>
      <c r="U1977" s="9" t="n">
        <f aca="false">IF(D1977="",1,0)</f>
        <v>0</v>
      </c>
      <c r="V1977" s="9" t="n">
        <f aca="false">IF(E1977="",1,0)</f>
        <v>0</v>
      </c>
      <c r="W1977" s="9" t="n">
        <f aca="false">IF(OR(H1977&lt;1,H1977&gt;10),1,0)</f>
        <v>0</v>
      </c>
      <c r="X1977" s="9" t="n">
        <f aca="false">IF(OR(I1977&lt;=0,I1977&gt;1500),1,0)</f>
        <v>0</v>
      </c>
      <c r="Y1977" s="9" t="n">
        <f aca="false">IF(J1977&gt;H1977*I1977,1,0)</f>
        <v>0</v>
      </c>
      <c r="Z1977" s="9" t="n">
        <f aca="false">IF(AND(N1977&lt;&gt;"",OR(N1977&lt;1,N1977&gt;5)),1,0)</f>
        <v>0</v>
      </c>
      <c r="AA1977" s="9" t="n">
        <f aca="false">IF(AND(M1977&lt;&gt;"",OR(M1977&lt;5,M1977&gt;180)),1,0)</f>
        <v>0</v>
      </c>
      <c r="AB1977" s="7" t="str">
        <f aca="false">IF(P1977="DUP","Exact duplicate row",IF(T1977=1,"Missing Order ID",IF(S1977="DROP","Duplicate Order ID (less complete row)",IF(U1977=1,"Missing Customer ID",IF(V1977=1,"Missing Restaurant name",IF(W1977=1,"Invalid/outlier quantity",IF(X1977=1,"Invalid/outlier unit price",IF(Y1977=1,"Discount greater than order value",""))))))))</f>
        <v/>
      </c>
      <c r="AC1977" s="7" t="str">
        <f aca="false">IF(AB1977="","KEEP","DROP")</f>
        <v>KEEP</v>
      </c>
      <c r="AD1977" s="7" t="str">
        <f aca="false">IF(TRIM(F1977)="",IFERROR(INDEX(Map_Tables!$I$4:$I$37,MATCH(TRIM(E1977),Map_Tables!$G$4:$G$37,0)),""),IFERROR(INDEX(Map_Tables!$B$4:$B$18,MATCH(TRIM(F1977),Map_Tables!$A$4:$A$18,0)),"CHECK"))</f>
        <v>Hyderabad</v>
      </c>
      <c r="AE1977" s="7" t="str">
        <f aca="false">IF(TRIM(E1977)="","",IFERROR(INDEX(Map_Tables!$H$4:$H$37,MATCH(TRIM(E1977),Map_Tables!$G$4:$G$37,0)),"CHECK"))</f>
        <v>Pizza Palace</v>
      </c>
      <c r="AF1977" s="7" t="str">
        <f aca="false">IF(TRIM(K1977)="","Unknown",IFERROR(INDEX(Map_Tables!$E$4:$E$15,MATCH(TRIM(K1977),Map_Tables!$D$4:$D$15,0)),"CHECK"))</f>
        <v>Net Banking</v>
      </c>
      <c r="AG1977" s="7" t="str">
        <f aca="false">IF(LEFT(LOWER(TRIM(L1977)),6)="cancel","Cancelled","Delivered")</f>
        <v>Delivered</v>
      </c>
      <c r="AH1977" s="10" t="n">
        <f aca="false">IF(ISNUMBER(SEARCH("/",B1977)),DATE(VALUE(RIGHT(B1977,4)),VALUE(MID(B1977,4,2)),VALUE(LEFT(B1977,2))),IF(MID(B1977,5,1)="-",DATE(VALUE(LEFT(B1977,4)),VALUE(MID(B1977,6,2)),VALUE(RIGHT(B1977,2))),DATE(VALUE(RIGHT(B1977,4)),MATCH(MID(B1977,4,3),{"Jan","Feb","Mar","Apr","May","Jun","Jul","Aug","Sep","Oct","Nov","Dec"},0),VALUE(LEFT(B1977,2)))))</f>
        <v>45828</v>
      </c>
    </row>
    <row r="1978" customFormat="false" ht="15" hidden="false" customHeight="false" outlineLevel="0" collapsed="false">
      <c r="A1978" s="7" t="s">
        <v>4716</v>
      </c>
      <c r="B1978" s="7" t="s">
        <v>754</v>
      </c>
      <c r="C1978" s="7" t="s">
        <v>992</v>
      </c>
      <c r="D1978" s="7"/>
      <c r="E1978" s="7" t="s">
        <v>104</v>
      </c>
      <c r="F1978" s="7" t="s">
        <v>86</v>
      </c>
      <c r="G1978" s="7" t="s">
        <v>105</v>
      </c>
      <c r="H1978" s="7" t="n">
        <v>2</v>
      </c>
      <c r="I1978" s="7" t="n">
        <v>210</v>
      </c>
      <c r="J1978" s="7" t="n">
        <v>0</v>
      </c>
      <c r="K1978" s="7" t="s">
        <v>88</v>
      </c>
      <c r="L1978" s="7" t="s">
        <v>194</v>
      </c>
      <c r="M1978" s="7" t="n">
        <v>28</v>
      </c>
      <c r="N1978" s="7" t="n">
        <v>2</v>
      </c>
      <c r="O1978" s="7" t="str">
        <f aca="false">A1978&amp;"|"&amp;B1978&amp;"|"&amp;C1978&amp;"|"&amp;D1978&amp;"|"&amp;E1978&amp;"|"&amp;F1978&amp;"|"&amp;G1978&amp;"|"&amp;H1978&amp;"|"&amp;I1978&amp;"|"&amp;J1978&amp;"|"&amp;K1978&amp;"|"&amp;L1978&amp;"|"&amp;M1978&amp;"|"&amp;N1978</f>
        <v>ORD12076|2025-09-25|10:50||Wok &amp; Roll|Bengaluru|Chinese|2|210|0|UPI|Delivered|28|2</v>
      </c>
      <c r="P1978" s="7" t="str">
        <f aca="false">IF(COUNTIF($O$2:O1978,O1978)&gt;1,"DUP","OK")</f>
        <v>OK</v>
      </c>
      <c r="Q1978" s="7" t="n">
        <f aca="false">COUNTBLANK(A1978:N1978)</f>
        <v>1</v>
      </c>
      <c r="R1978" s="7" t="n">
        <f aca="false">IF(A1978="",0,COUNTIFS($A$2:$A$3058,A1978,$P$2:$P$3058,"OK"))</f>
        <v>1</v>
      </c>
      <c r="S1978" s="7" t="str">
        <f aca="false">IF(OR(A1978="",P1978="DUP",R1978&lt;2),"",IF(Q1978=_xlfn.MINIFS($Q$2:$Q$3058,$A$2:$A$3058,A1978,$P$2:$P$3058,"OK"),"KEEP","DROP"))</f>
        <v/>
      </c>
      <c r="T1978" s="9" t="n">
        <f aca="false">IF(A1978="",1,0)</f>
        <v>0</v>
      </c>
      <c r="U1978" s="9" t="n">
        <f aca="false">IF(D1978="",1,0)</f>
        <v>1</v>
      </c>
      <c r="V1978" s="9" t="n">
        <f aca="false">IF(E1978="",1,0)</f>
        <v>0</v>
      </c>
      <c r="W1978" s="9" t="n">
        <f aca="false">IF(OR(H1978&lt;1,H1978&gt;10),1,0)</f>
        <v>0</v>
      </c>
      <c r="X1978" s="9" t="n">
        <f aca="false">IF(OR(I1978&lt;=0,I1978&gt;1500),1,0)</f>
        <v>0</v>
      </c>
      <c r="Y1978" s="9" t="n">
        <f aca="false">IF(J1978&gt;H1978*I1978,1,0)</f>
        <v>0</v>
      </c>
      <c r="Z1978" s="9" t="n">
        <f aca="false">IF(AND(N1978&lt;&gt;"",OR(N1978&lt;1,N1978&gt;5)),1,0)</f>
        <v>0</v>
      </c>
      <c r="AA1978" s="9" t="n">
        <f aca="false">IF(AND(M1978&lt;&gt;"",OR(M1978&lt;5,M1978&gt;180)),1,0)</f>
        <v>0</v>
      </c>
      <c r="AB1978" s="7" t="str">
        <f aca="false">IF(P1978="DUP","Exact duplicate row",IF(T1978=1,"Missing Order ID",IF(S1978="DROP","Duplicate Order ID (less complete row)",IF(U1978=1,"Missing Customer ID",IF(V1978=1,"Missing Restaurant name",IF(W1978=1,"Invalid/outlier quantity",IF(X1978=1,"Invalid/outlier unit price",IF(Y1978=1,"Discount greater than order value",""))))))))</f>
        <v>Missing Customer ID</v>
      </c>
      <c r="AC1978" s="7" t="str">
        <f aca="false">IF(AB1978="","KEEP","DROP")</f>
        <v>DROP</v>
      </c>
      <c r="AD1978" s="7" t="str">
        <f aca="false">IF(TRIM(F1978)="",IFERROR(INDEX(Map_Tables!$I$4:$I$37,MATCH(TRIM(E1978),Map_Tables!$G$4:$G$37,0)),""),IFERROR(INDEX(Map_Tables!$B$4:$B$18,MATCH(TRIM(F1978),Map_Tables!$A$4:$A$18,0)),"CHECK"))</f>
        <v>Bengaluru</v>
      </c>
      <c r="AE1978" s="7" t="str">
        <f aca="false">IF(TRIM(E1978)="","",IFERROR(INDEX(Map_Tables!$H$4:$H$37,MATCH(TRIM(E1978),Map_Tables!$G$4:$G$37,0)),"CHECK"))</f>
        <v>Wok &amp; Roll</v>
      </c>
      <c r="AF1978" s="7" t="str">
        <f aca="false">IF(TRIM(K1978)="","Unknown",IFERROR(INDEX(Map_Tables!$E$4:$E$15,MATCH(TRIM(K1978),Map_Tables!$D$4:$D$15,0)),"CHECK"))</f>
        <v>UPI</v>
      </c>
      <c r="AG1978" s="7" t="str">
        <f aca="false">IF(LEFT(LOWER(TRIM(L1978)),6)="cancel","Cancelled","Delivered")</f>
        <v>Delivered</v>
      </c>
      <c r="AH1978" s="10" t="n">
        <f aca="false">IF(ISNUMBER(SEARCH("/",B1978)),DATE(VALUE(RIGHT(B1978,4)),VALUE(MID(B1978,4,2)),VALUE(LEFT(B1978,2))),IF(MID(B1978,5,1)="-",DATE(VALUE(LEFT(B1978,4)),VALUE(MID(B1978,6,2)),VALUE(RIGHT(B1978,2))),DATE(VALUE(RIGHT(B1978,4)),MATCH(MID(B1978,4,3),{"Jan","Feb","Mar","Apr","May","Jun","Jul","Aug","Sep","Oct","Nov","Dec"},0),VALUE(LEFT(B1978,2)))))</f>
        <v>45925</v>
      </c>
    </row>
    <row r="1979" customFormat="false" ht="15" hidden="false" customHeight="false" outlineLevel="0" collapsed="false">
      <c r="A1979" s="7" t="s">
        <v>4717</v>
      </c>
      <c r="B1979" s="7" t="s">
        <v>704</v>
      </c>
      <c r="C1979" s="7" t="s">
        <v>470</v>
      </c>
      <c r="D1979" s="7" t="s">
        <v>1668</v>
      </c>
      <c r="E1979" s="7" t="s">
        <v>89</v>
      </c>
      <c r="F1979" s="7" t="s">
        <v>86</v>
      </c>
      <c r="G1979" s="7" t="s">
        <v>90</v>
      </c>
      <c r="H1979" s="7" t="n">
        <v>2</v>
      </c>
      <c r="I1979" s="7" t="n">
        <v>265</v>
      </c>
      <c r="J1979" s="7" t="n">
        <v>125</v>
      </c>
      <c r="K1979" s="7" t="s">
        <v>88</v>
      </c>
      <c r="L1979" s="7" t="s">
        <v>194</v>
      </c>
      <c r="M1979" s="7" t="n">
        <v>40</v>
      </c>
      <c r="N1979" s="7" t="n">
        <v>4</v>
      </c>
      <c r="O1979" s="7" t="str">
        <f aca="false">A1979&amp;"|"&amp;B1979&amp;"|"&amp;C1979&amp;"|"&amp;D1979&amp;"|"&amp;E1979&amp;"|"&amp;F1979&amp;"|"&amp;G1979&amp;"|"&amp;H1979&amp;"|"&amp;I1979&amp;"|"&amp;J1979&amp;"|"&amp;K1979&amp;"|"&amp;L1979&amp;"|"&amp;M1979&amp;"|"&amp;N1979</f>
        <v>ORD10284|2025-02-08|11:29|C0221|Spice Junction|Bengaluru|North Indian|2|265|125|UPI|Delivered|40|4</v>
      </c>
      <c r="P1979" s="7" t="str">
        <f aca="false">IF(COUNTIF($O$2:O1979,O1979)&gt;1,"DUP","OK")</f>
        <v>OK</v>
      </c>
      <c r="Q1979" s="7" t="n">
        <f aca="false">COUNTBLANK(A1979:N1979)</f>
        <v>0</v>
      </c>
      <c r="R1979" s="7" t="n">
        <f aca="false">IF(A1979="",0,COUNTIFS($A$2:$A$3058,A1979,$P$2:$P$3058,"OK"))</f>
        <v>1</v>
      </c>
      <c r="S1979" s="7" t="str">
        <f aca="false">IF(OR(A1979="",P1979="DUP",R1979&lt;2),"",IF(Q1979=_xlfn.MINIFS($Q$2:$Q$3058,$A$2:$A$3058,A1979,$P$2:$P$3058,"OK"),"KEEP","DROP"))</f>
        <v/>
      </c>
      <c r="T1979" s="9" t="n">
        <f aca="false">IF(A1979="",1,0)</f>
        <v>0</v>
      </c>
      <c r="U1979" s="9" t="n">
        <f aca="false">IF(D1979="",1,0)</f>
        <v>0</v>
      </c>
      <c r="V1979" s="9" t="n">
        <f aca="false">IF(E1979="",1,0)</f>
        <v>0</v>
      </c>
      <c r="W1979" s="9" t="n">
        <f aca="false">IF(OR(H1979&lt;1,H1979&gt;10),1,0)</f>
        <v>0</v>
      </c>
      <c r="X1979" s="9" t="n">
        <f aca="false">IF(OR(I1979&lt;=0,I1979&gt;1500),1,0)</f>
        <v>0</v>
      </c>
      <c r="Y1979" s="9" t="n">
        <f aca="false">IF(J1979&gt;H1979*I1979,1,0)</f>
        <v>0</v>
      </c>
      <c r="Z1979" s="9" t="n">
        <f aca="false">IF(AND(N1979&lt;&gt;"",OR(N1979&lt;1,N1979&gt;5)),1,0)</f>
        <v>0</v>
      </c>
      <c r="AA1979" s="9" t="n">
        <f aca="false">IF(AND(M1979&lt;&gt;"",OR(M1979&lt;5,M1979&gt;180)),1,0)</f>
        <v>0</v>
      </c>
      <c r="AB1979" s="7" t="str">
        <f aca="false">IF(P1979="DUP","Exact duplicate row",IF(T1979=1,"Missing Order ID",IF(S1979="DROP","Duplicate Order ID (less complete row)",IF(U1979=1,"Missing Customer ID",IF(V1979=1,"Missing Restaurant name",IF(W1979=1,"Invalid/outlier quantity",IF(X1979=1,"Invalid/outlier unit price",IF(Y1979=1,"Discount greater than order value",""))))))))</f>
        <v/>
      </c>
      <c r="AC1979" s="7" t="str">
        <f aca="false">IF(AB1979="","KEEP","DROP")</f>
        <v>KEEP</v>
      </c>
      <c r="AD1979" s="7" t="str">
        <f aca="false">IF(TRIM(F1979)="",IFERROR(INDEX(Map_Tables!$I$4:$I$37,MATCH(TRIM(E1979),Map_Tables!$G$4:$G$37,0)),""),IFERROR(INDEX(Map_Tables!$B$4:$B$18,MATCH(TRIM(F1979),Map_Tables!$A$4:$A$18,0)),"CHECK"))</f>
        <v>Bengaluru</v>
      </c>
      <c r="AE1979" s="7" t="str">
        <f aca="false">IF(TRIM(E1979)="","",IFERROR(INDEX(Map_Tables!$H$4:$H$37,MATCH(TRIM(E1979),Map_Tables!$G$4:$G$37,0)),"CHECK"))</f>
        <v>Spice Junction</v>
      </c>
      <c r="AF1979" s="7" t="str">
        <f aca="false">IF(TRIM(K1979)="","Unknown",IFERROR(INDEX(Map_Tables!$E$4:$E$15,MATCH(TRIM(K1979),Map_Tables!$D$4:$D$15,0)),"CHECK"))</f>
        <v>UPI</v>
      </c>
      <c r="AG1979" s="7" t="str">
        <f aca="false">IF(LEFT(LOWER(TRIM(L1979)),6)="cancel","Cancelled","Delivered")</f>
        <v>Delivered</v>
      </c>
      <c r="AH1979" s="10" t="n">
        <f aca="false">IF(ISNUMBER(SEARCH("/",B1979)),DATE(VALUE(RIGHT(B1979,4)),VALUE(MID(B1979,4,2)),VALUE(LEFT(B1979,2))),IF(MID(B1979,5,1)="-",DATE(VALUE(LEFT(B1979,4)),VALUE(MID(B1979,6,2)),VALUE(RIGHT(B1979,2))),DATE(VALUE(RIGHT(B1979,4)),MATCH(MID(B1979,4,3),{"Jan","Feb","Mar","Apr","May","Jun","Jul","Aug","Sep","Oct","Nov","Dec"},0),VALUE(LEFT(B1979,2)))))</f>
        <v>45696</v>
      </c>
    </row>
    <row r="1980" customFormat="false" ht="15" hidden="false" customHeight="false" outlineLevel="0" collapsed="false">
      <c r="A1980" s="7" t="s">
        <v>4718</v>
      </c>
      <c r="B1980" s="7" t="s">
        <v>2231</v>
      </c>
      <c r="C1980" s="7" t="s">
        <v>4719</v>
      </c>
      <c r="D1980" s="7" t="s">
        <v>1675</v>
      </c>
      <c r="E1980" s="7" t="s">
        <v>148</v>
      </c>
      <c r="F1980" s="7" t="s">
        <v>119</v>
      </c>
      <c r="G1980" s="7" t="s">
        <v>123</v>
      </c>
      <c r="H1980" s="7" t="n">
        <v>1</v>
      </c>
      <c r="I1980" s="7" t="n">
        <v>365</v>
      </c>
      <c r="J1980" s="7" t="n">
        <v>146</v>
      </c>
      <c r="K1980" s="7" t="s">
        <v>112</v>
      </c>
      <c r="L1980" s="7" t="s">
        <v>194</v>
      </c>
      <c r="M1980" s="7" t="n">
        <v>39</v>
      </c>
      <c r="N1980" s="7" t="n">
        <v>3</v>
      </c>
      <c r="O1980" s="7" t="str">
        <f aca="false">A1980&amp;"|"&amp;B1980&amp;"|"&amp;C1980&amp;"|"&amp;D1980&amp;"|"&amp;E1980&amp;"|"&amp;F1980&amp;"|"&amp;G1980&amp;"|"&amp;H1980&amp;"|"&amp;I1980&amp;"|"&amp;J1980&amp;"|"&amp;K1980&amp;"|"&amp;L1980&amp;"|"&amp;M1980&amp;"|"&amp;N1980</f>
        <v>ORD12339|2025-10-22|16:14|C0015|Pizza Palace|Hyderabad|Pizza|1|365|146|Cash on Delivery|Delivered|39|3</v>
      </c>
      <c r="P1980" s="7" t="str">
        <f aca="false">IF(COUNTIF($O$2:O1980,O1980)&gt;1,"DUP","OK")</f>
        <v>OK</v>
      </c>
      <c r="Q1980" s="7" t="n">
        <f aca="false">COUNTBLANK(A1980:N1980)</f>
        <v>0</v>
      </c>
      <c r="R1980" s="7" t="n">
        <f aca="false">IF(A1980="",0,COUNTIFS($A$2:$A$3058,A1980,$P$2:$P$3058,"OK"))</f>
        <v>1</v>
      </c>
      <c r="S1980" s="7" t="str">
        <f aca="false">IF(OR(A1980="",P1980="DUP",R1980&lt;2),"",IF(Q1980=_xlfn.MINIFS($Q$2:$Q$3058,$A$2:$A$3058,A1980,$P$2:$P$3058,"OK"),"KEEP","DROP"))</f>
        <v/>
      </c>
      <c r="T1980" s="9" t="n">
        <f aca="false">IF(A1980="",1,0)</f>
        <v>0</v>
      </c>
      <c r="U1980" s="9" t="n">
        <f aca="false">IF(D1980="",1,0)</f>
        <v>0</v>
      </c>
      <c r="V1980" s="9" t="n">
        <f aca="false">IF(E1980="",1,0)</f>
        <v>0</v>
      </c>
      <c r="W1980" s="9" t="n">
        <f aca="false">IF(OR(H1980&lt;1,H1980&gt;10),1,0)</f>
        <v>0</v>
      </c>
      <c r="X1980" s="9" t="n">
        <f aca="false">IF(OR(I1980&lt;=0,I1980&gt;1500),1,0)</f>
        <v>0</v>
      </c>
      <c r="Y1980" s="9" t="n">
        <f aca="false">IF(J1980&gt;H1980*I1980,1,0)</f>
        <v>0</v>
      </c>
      <c r="Z1980" s="9" t="n">
        <f aca="false">IF(AND(N1980&lt;&gt;"",OR(N1980&lt;1,N1980&gt;5)),1,0)</f>
        <v>0</v>
      </c>
      <c r="AA1980" s="9" t="n">
        <f aca="false">IF(AND(M1980&lt;&gt;"",OR(M1980&lt;5,M1980&gt;180)),1,0)</f>
        <v>0</v>
      </c>
      <c r="AB1980" s="7" t="str">
        <f aca="false">IF(P1980="DUP","Exact duplicate row",IF(T1980=1,"Missing Order ID",IF(S1980="DROP","Duplicate Order ID (less complete row)",IF(U1980=1,"Missing Customer ID",IF(V1980=1,"Missing Restaurant name",IF(W1980=1,"Invalid/outlier quantity",IF(X1980=1,"Invalid/outlier unit price",IF(Y1980=1,"Discount greater than order value",""))))))))</f>
        <v/>
      </c>
      <c r="AC1980" s="7" t="str">
        <f aca="false">IF(AB1980="","KEEP","DROP")</f>
        <v>KEEP</v>
      </c>
      <c r="AD1980" s="7" t="str">
        <f aca="false">IF(TRIM(F1980)="",IFERROR(INDEX(Map_Tables!$I$4:$I$37,MATCH(TRIM(E1980),Map_Tables!$G$4:$G$37,0)),""),IFERROR(INDEX(Map_Tables!$B$4:$B$18,MATCH(TRIM(F1980),Map_Tables!$A$4:$A$18,0)),"CHECK"))</f>
        <v>Hyderabad</v>
      </c>
      <c r="AE1980" s="7" t="str">
        <f aca="false">IF(TRIM(E1980)="","",IFERROR(INDEX(Map_Tables!$H$4:$H$37,MATCH(TRIM(E1980),Map_Tables!$G$4:$G$37,0)),"CHECK"))</f>
        <v>Pizza Palace</v>
      </c>
      <c r="AF1980" s="7" t="str">
        <f aca="false">IF(TRIM(K1980)="","Unknown",IFERROR(INDEX(Map_Tables!$E$4:$E$15,MATCH(TRIM(K1980),Map_Tables!$D$4:$D$15,0)),"CHECK"))</f>
        <v>Cash on Delivery</v>
      </c>
      <c r="AG1980" s="7" t="str">
        <f aca="false">IF(LEFT(LOWER(TRIM(L1980)),6)="cancel","Cancelled","Delivered")</f>
        <v>Delivered</v>
      </c>
      <c r="AH1980" s="10" t="n">
        <f aca="false">IF(ISNUMBER(SEARCH("/",B1980)),DATE(VALUE(RIGHT(B1980,4)),VALUE(MID(B1980,4,2)),VALUE(LEFT(B1980,2))),IF(MID(B1980,5,1)="-",DATE(VALUE(LEFT(B1980,4)),VALUE(MID(B1980,6,2)),VALUE(RIGHT(B1980,2))),DATE(VALUE(RIGHT(B1980,4)),MATCH(MID(B1980,4,3),{"Jan","Feb","Mar","Apr","May","Jun","Jul","Aug","Sep","Oct","Nov","Dec"},0),VALUE(LEFT(B1980,2)))))</f>
        <v>45952</v>
      </c>
    </row>
    <row r="1981" customFormat="false" ht="15" hidden="false" customHeight="false" outlineLevel="0" collapsed="false">
      <c r="A1981" s="7" t="s">
        <v>4720</v>
      </c>
      <c r="B1981" s="7" t="s">
        <v>4721</v>
      </c>
      <c r="C1981" s="7" t="s">
        <v>2663</v>
      </c>
      <c r="D1981" s="7" t="s">
        <v>1981</v>
      </c>
      <c r="E1981" s="7" t="s">
        <v>122</v>
      </c>
      <c r="F1981" s="7" t="s">
        <v>101</v>
      </c>
      <c r="G1981" s="7" t="s">
        <v>123</v>
      </c>
      <c r="H1981" s="7" t="n">
        <v>2</v>
      </c>
      <c r="I1981" s="7" t="n">
        <v>325</v>
      </c>
      <c r="J1981" s="7" t="n">
        <v>75</v>
      </c>
      <c r="K1981" s="7" t="s">
        <v>103</v>
      </c>
      <c r="L1981" s="7" t="s">
        <v>194</v>
      </c>
      <c r="M1981" s="7" t="n">
        <v>33</v>
      </c>
      <c r="N1981" s="7" t="n">
        <v>5</v>
      </c>
      <c r="O1981" s="7" t="str">
        <f aca="false">A1981&amp;"|"&amp;B1981&amp;"|"&amp;C1981&amp;"|"&amp;D1981&amp;"|"&amp;E1981&amp;"|"&amp;F1981&amp;"|"&amp;G1981&amp;"|"&amp;H1981&amp;"|"&amp;I1981&amp;"|"&amp;J1981&amp;"|"&amp;K1981&amp;"|"&amp;L1981&amp;"|"&amp;M1981&amp;"|"&amp;N1981</f>
        <v>ORD10158|21-Jan-2025|11:37|C0607|Mumbai Pizza Co|Mumbai|Pizza|2|325|75|Debit Card|Delivered|33|5</v>
      </c>
      <c r="P1981" s="7" t="str">
        <f aca="false">IF(COUNTIF($O$2:O1981,O1981)&gt;1,"DUP","OK")</f>
        <v>OK</v>
      </c>
      <c r="Q1981" s="7" t="n">
        <f aca="false">COUNTBLANK(A1981:N1981)</f>
        <v>0</v>
      </c>
      <c r="R1981" s="7" t="n">
        <f aca="false">IF(A1981="",0,COUNTIFS($A$2:$A$3058,A1981,$P$2:$P$3058,"OK"))</f>
        <v>1</v>
      </c>
      <c r="S1981" s="7" t="str">
        <f aca="false">IF(OR(A1981="",P1981="DUP",R1981&lt;2),"",IF(Q1981=_xlfn.MINIFS($Q$2:$Q$3058,$A$2:$A$3058,A1981,$P$2:$P$3058,"OK"),"KEEP","DROP"))</f>
        <v/>
      </c>
      <c r="T1981" s="9" t="n">
        <f aca="false">IF(A1981="",1,0)</f>
        <v>0</v>
      </c>
      <c r="U1981" s="9" t="n">
        <f aca="false">IF(D1981="",1,0)</f>
        <v>0</v>
      </c>
      <c r="V1981" s="9" t="n">
        <f aca="false">IF(E1981="",1,0)</f>
        <v>0</v>
      </c>
      <c r="W1981" s="9" t="n">
        <f aca="false">IF(OR(H1981&lt;1,H1981&gt;10),1,0)</f>
        <v>0</v>
      </c>
      <c r="X1981" s="9" t="n">
        <f aca="false">IF(OR(I1981&lt;=0,I1981&gt;1500),1,0)</f>
        <v>0</v>
      </c>
      <c r="Y1981" s="9" t="n">
        <f aca="false">IF(J1981&gt;H1981*I1981,1,0)</f>
        <v>0</v>
      </c>
      <c r="Z1981" s="9" t="n">
        <f aca="false">IF(AND(N1981&lt;&gt;"",OR(N1981&lt;1,N1981&gt;5)),1,0)</f>
        <v>0</v>
      </c>
      <c r="AA1981" s="9" t="n">
        <f aca="false">IF(AND(M1981&lt;&gt;"",OR(M1981&lt;5,M1981&gt;180)),1,0)</f>
        <v>0</v>
      </c>
      <c r="AB1981" s="7" t="str">
        <f aca="false">IF(P1981="DUP","Exact duplicate row",IF(T1981=1,"Missing Order ID",IF(S1981="DROP","Duplicate Order ID (less complete row)",IF(U1981=1,"Missing Customer ID",IF(V1981=1,"Missing Restaurant name",IF(W1981=1,"Invalid/outlier quantity",IF(X1981=1,"Invalid/outlier unit price",IF(Y1981=1,"Discount greater than order value",""))))))))</f>
        <v/>
      </c>
      <c r="AC1981" s="7" t="str">
        <f aca="false">IF(AB1981="","KEEP","DROP")</f>
        <v>KEEP</v>
      </c>
      <c r="AD1981" s="7" t="str">
        <f aca="false">IF(TRIM(F1981)="",IFERROR(INDEX(Map_Tables!$I$4:$I$37,MATCH(TRIM(E1981),Map_Tables!$G$4:$G$37,0)),""),IFERROR(INDEX(Map_Tables!$B$4:$B$18,MATCH(TRIM(F1981),Map_Tables!$A$4:$A$18,0)),"CHECK"))</f>
        <v>Mumbai</v>
      </c>
      <c r="AE1981" s="7" t="str">
        <f aca="false">IF(TRIM(E1981)="","",IFERROR(INDEX(Map_Tables!$H$4:$H$37,MATCH(TRIM(E1981),Map_Tables!$G$4:$G$37,0)),"CHECK"))</f>
        <v>Mumbai Pizza Co</v>
      </c>
      <c r="AF1981" s="7" t="str">
        <f aca="false">IF(TRIM(K1981)="","Unknown",IFERROR(INDEX(Map_Tables!$E$4:$E$15,MATCH(TRIM(K1981),Map_Tables!$D$4:$D$15,0)),"CHECK"))</f>
        <v>Debit Card</v>
      </c>
      <c r="AG1981" s="7" t="str">
        <f aca="false">IF(LEFT(LOWER(TRIM(L1981)),6)="cancel","Cancelled","Delivered")</f>
        <v>Delivered</v>
      </c>
      <c r="AH1981" s="10" t="n">
        <f aca="false">IF(ISNUMBER(SEARCH("/",B1981)),DATE(VALUE(RIGHT(B1981,4)),VALUE(MID(B1981,4,2)),VALUE(LEFT(B1981,2))),IF(MID(B1981,5,1)="-",DATE(VALUE(LEFT(B1981,4)),VALUE(MID(B1981,6,2)),VALUE(RIGHT(B1981,2))),DATE(VALUE(RIGHT(B1981,4)),MATCH(MID(B1981,4,3),{"Jan","Feb","Mar","Apr","May","Jun","Jul","Aug","Sep","Oct","Nov","Dec"},0),VALUE(LEFT(B1981,2)))))</f>
        <v>45678</v>
      </c>
    </row>
    <row r="1982" customFormat="false" ht="15" hidden="false" customHeight="false" outlineLevel="0" collapsed="false">
      <c r="A1982" s="7" t="s">
        <v>4722</v>
      </c>
      <c r="B1982" s="7" t="s">
        <v>1592</v>
      </c>
      <c r="C1982" s="7" t="s">
        <v>1578</v>
      </c>
      <c r="D1982" s="7" t="s">
        <v>1827</v>
      </c>
      <c r="E1982" s="7" t="s">
        <v>160</v>
      </c>
      <c r="F1982" s="7" t="s">
        <v>1226</v>
      </c>
      <c r="G1982" s="7" t="s">
        <v>150</v>
      </c>
      <c r="H1982" s="7" t="n">
        <v>1</v>
      </c>
      <c r="I1982" s="7" t="n">
        <v>120</v>
      </c>
      <c r="J1982" s="7" t="n">
        <v>48</v>
      </c>
      <c r="K1982" s="7" t="s">
        <v>112</v>
      </c>
      <c r="L1982" s="7" t="s">
        <v>194</v>
      </c>
      <c r="M1982" s="7" t="n">
        <v>31</v>
      </c>
      <c r="N1982" s="7" t="n">
        <v>5</v>
      </c>
      <c r="O1982" s="7" t="str">
        <f aca="false">A1982&amp;"|"&amp;B1982&amp;"|"&amp;C1982&amp;"|"&amp;D1982&amp;"|"&amp;E1982&amp;"|"&amp;F1982&amp;"|"&amp;G1982&amp;"|"&amp;H1982&amp;"|"&amp;I1982&amp;"|"&amp;J1982&amp;"|"&amp;K1982&amp;"|"&amp;L1982&amp;"|"&amp;M1982&amp;"|"&amp;N1982</f>
        <v>ORD12326|2025-10-20|21:28|C1101|Cake Walk|Pune |Desserts|1|120|48|Cash on Delivery|Delivered|31|5</v>
      </c>
      <c r="P1982" s="7" t="str">
        <f aca="false">IF(COUNTIF($O$2:O1982,O1982)&gt;1,"DUP","OK")</f>
        <v>OK</v>
      </c>
      <c r="Q1982" s="7" t="n">
        <f aca="false">COUNTBLANK(A1982:N1982)</f>
        <v>0</v>
      </c>
      <c r="R1982" s="7" t="n">
        <f aca="false">IF(A1982="",0,COUNTIFS($A$2:$A$3058,A1982,$P$2:$P$3058,"OK"))</f>
        <v>1</v>
      </c>
      <c r="S1982" s="7" t="str">
        <f aca="false">IF(OR(A1982="",P1982="DUP",R1982&lt;2),"",IF(Q1982=_xlfn.MINIFS($Q$2:$Q$3058,$A$2:$A$3058,A1982,$P$2:$P$3058,"OK"),"KEEP","DROP"))</f>
        <v/>
      </c>
      <c r="T1982" s="9" t="n">
        <f aca="false">IF(A1982="",1,0)</f>
        <v>0</v>
      </c>
      <c r="U1982" s="9" t="n">
        <f aca="false">IF(D1982="",1,0)</f>
        <v>0</v>
      </c>
      <c r="V1982" s="9" t="n">
        <f aca="false">IF(E1982="",1,0)</f>
        <v>0</v>
      </c>
      <c r="W1982" s="9" t="n">
        <f aca="false">IF(OR(H1982&lt;1,H1982&gt;10),1,0)</f>
        <v>0</v>
      </c>
      <c r="X1982" s="9" t="n">
        <f aca="false">IF(OR(I1982&lt;=0,I1982&gt;1500),1,0)</f>
        <v>0</v>
      </c>
      <c r="Y1982" s="9" t="n">
        <f aca="false">IF(J1982&gt;H1982*I1982,1,0)</f>
        <v>0</v>
      </c>
      <c r="Z1982" s="9" t="n">
        <f aca="false">IF(AND(N1982&lt;&gt;"",OR(N1982&lt;1,N1982&gt;5)),1,0)</f>
        <v>0</v>
      </c>
      <c r="AA1982" s="9" t="n">
        <f aca="false">IF(AND(M1982&lt;&gt;"",OR(M1982&lt;5,M1982&gt;180)),1,0)</f>
        <v>0</v>
      </c>
      <c r="AB1982" s="7" t="str">
        <f aca="false">IF(P1982="DUP","Exact duplicate row",IF(T1982=1,"Missing Order ID",IF(S1982="DROP","Duplicate Order ID (less complete row)",IF(U1982=1,"Missing Customer ID",IF(V1982=1,"Missing Restaurant name",IF(W1982=1,"Invalid/outlier quantity",IF(X1982=1,"Invalid/outlier unit price",IF(Y1982=1,"Discount greater than order value",""))))))))</f>
        <v/>
      </c>
      <c r="AC1982" s="7" t="str">
        <f aca="false">IF(AB1982="","KEEP","DROP")</f>
        <v>KEEP</v>
      </c>
      <c r="AD1982" s="7" t="str">
        <f aca="false">IF(TRIM(F1982)="",IFERROR(INDEX(Map_Tables!$I$4:$I$37,MATCH(TRIM(E1982),Map_Tables!$G$4:$G$37,0)),""),IFERROR(INDEX(Map_Tables!$B$4:$B$18,MATCH(TRIM(F1982),Map_Tables!$A$4:$A$18,0)),"CHECK"))</f>
        <v>Pune</v>
      </c>
      <c r="AE1982" s="7" t="str">
        <f aca="false">IF(TRIM(E1982)="","",IFERROR(INDEX(Map_Tables!$H$4:$H$37,MATCH(TRIM(E1982),Map_Tables!$G$4:$G$37,0)),"CHECK"))</f>
        <v>Cake Walk</v>
      </c>
      <c r="AF1982" s="7" t="str">
        <f aca="false">IF(TRIM(K1982)="","Unknown",IFERROR(INDEX(Map_Tables!$E$4:$E$15,MATCH(TRIM(K1982),Map_Tables!$D$4:$D$15,0)),"CHECK"))</f>
        <v>Cash on Delivery</v>
      </c>
      <c r="AG1982" s="7" t="str">
        <f aca="false">IF(LEFT(LOWER(TRIM(L1982)),6)="cancel","Cancelled","Delivered")</f>
        <v>Delivered</v>
      </c>
      <c r="AH1982" s="10" t="n">
        <f aca="false">IF(ISNUMBER(SEARCH("/",B1982)),DATE(VALUE(RIGHT(B1982,4)),VALUE(MID(B1982,4,2)),VALUE(LEFT(B1982,2))),IF(MID(B1982,5,1)="-",DATE(VALUE(LEFT(B1982,4)),VALUE(MID(B1982,6,2)),VALUE(RIGHT(B1982,2))),DATE(VALUE(RIGHT(B1982,4)),MATCH(MID(B1982,4,3),{"Jan","Feb","Mar","Apr","May","Jun","Jul","Aug","Sep","Oct","Nov","Dec"},0),VALUE(LEFT(B1982,2)))))</f>
        <v>45950</v>
      </c>
    </row>
    <row r="1983" customFormat="false" ht="15" hidden="false" customHeight="false" outlineLevel="0" collapsed="false">
      <c r="A1983" s="7" t="s">
        <v>4723</v>
      </c>
      <c r="B1983" s="7" t="s">
        <v>376</v>
      </c>
      <c r="C1983" s="7" t="s">
        <v>276</v>
      </c>
      <c r="D1983" s="7" t="s">
        <v>2418</v>
      </c>
      <c r="E1983" s="7" t="s">
        <v>168</v>
      </c>
      <c r="F1983" s="7" t="s">
        <v>146</v>
      </c>
      <c r="G1983" s="7" t="s">
        <v>123</v>
      </c>
      <c r="H1983" s="7" t="n">
        <v>1</v>
      </c>
      <c r="I1983" s="7" t="n">
        <v>335</v>
      </c>
      <c r="J1983" s="7" t="n">
        <v>0</v>
      </c>
      <c r="K1983" s="7" t="s">
        <v>88</v>
      </c>
      <c r="L1983" s="7" t="s">
        <v>194</v>
      </c>
      <c r="M1983" s="7" t="n">
        <v>30</v>
      </c>
      <c r="N1983" s="7" t="n">
        <v>3</v>
      </c>
      <c r="O1983" s="7" t="str">
        <f aca="false">A1983&amp;"|"&amp;B1983&amp;"|"&amp;C1983&amp;"|"&amp;D1983&amp;"|"&amp;E1983&amp;"|"&amp;F1983&amp;"|"&amp;G1983&amp;"|"&amp;H1983&amp;"|"&amp;I1983&amp;"|"&amp;J1983&amp;"|"&amp;K1983&amp;"|"&amp;L1983&amp;"|"&amp;M1983&amp;"|"&amp;N1983</f>
        <v>ORD11506|2025-07-14|20:51|C0786|Cheesy Slice|Ahmedabad|Pizza|1|335|0|UPI|Delivered|30|3</v>
      </c>
      <c r="P1983" s="7" t="str">
        <f aca="false">IF(COUNTIF($O$2:O1983,O1983)&gt;1,"DUP","OK")</f>
        <v>OK</v>
      </c>
      <c r="Q1983" s="7" t="n">
        <f aca="false">COUNTBLANK(A1983:N1983)</f>
        <v>0</v>
      </c>
      <c r="R1983" s="7" t="n">
        <f aca="false">IF(A1983="",0,COUNTIFS($A$2:$A$3058,A1983,$P$2:$P$3058,"OK"))</f>
        <v>1</v>
      </c>
      <c r="S1983" s="7" t="str">
        <f aca="false">IF(OR(A1983="",P1983="DUP",R1983&lt;2),"",IF(Q1983=_xlfn.MINIFS($Q$2:$Q$3058,$A$2:$A$3058,A1983,$P$2:$P$3058,"OK"),"KEEP","DROP"))</f>
        <v/>
      </c>
      <c r="T1983" s="9" t="n">
        <f aca="false">IF(A1983="",1,0)</f>
        <v>0</v>
      </c>
      <c r="U1983" s="9" t="n">
        <f aca="false">IF(D1983="",1,0)</f>
        <v>0</v>
      </c>
      <c r="V1983" s="9" t="n">
        <f aca="false">IF(E1983="",1,0)</f>
        <v>0</v>
      </c>
      <c r="W1983" s="9" t="n">
        <f aca="false">IF(OR(H1983&lt;1,H1983&gt;10),1,0)</f>
        <v>0</v>
      </c>
      <c r="X1983" s="9" t="n">
        <f aca="false">IF(OR(I1983&lt;=0,I1983&gt;1500),1,0)</f>
        <v>0</v>
      </c>
      <c r="Y1983" s="9" t="n">
        <f aca="false">IF(J1983&gt;H1983*I1983,1,0)</f>
        <v>0</v>
      </c>
      <c r="Z1983" s="9" t="n">
        <f aca="false">IF(AND(N1983&lt;&gt;"",OR(N1983&lt;1,N1983&gt;5)),1,0)</f>
        <v>0</v>
      </c>
      <c r="AA1983" s="9" t="n">
        <f aca="false">IF(AND(M1983&lt;&gt;"",OR(M1983&lt;5,M1983&gt;180)),1,0)</f>
        <v>0</v>
      </c>
      <c r="AB1983" s="7" t="str">
        <f aca="false">IF(P1983="DUP","Exact duplicate row",IF(T1983=1,"Missing Order ID",IF(S1983="DROP","Duplicate Order ID (less complete row)",IF(U1983=1,"Missing Customer ID",IF(V1983=1,"Missing Restaurant name",IF(W1983=1,"Invalid/outlier quantity",IF(X1983=1,"Invalid/outlier unit price",IF(Y1983=1,"Discount greater than order value",""))))))))</f>
        <v/>
      </c>
      <c r="AC1983" s="7" t="str">
        <f aca="false">IF(AB1983="","KEEP","DROP")</f>
        <v>KEEP</v>
      </c>
      <c r="AD1983" s="7" t="str">
        <f aca="false">IF(TRIM(F1983)="",IFERROR(INDEX(Map_Tables!$I$4:$I$37,MATCH(TRIM(E1983),Map_Tables!$G$4:$G$37,0)),""),IFERROR(INDEX(Map_Tables!$B$4:$B$18,MATCH(TRIM(F1983),Map_Tables!$A$4:$A$18,0)),"CHECK"))</f>
        <v>Ahmedabad</v>
      </c>
      <c r="AE1983" s="7" t="str">
        <f aca="false">IF(TRIM(E1983)="","",IFERROR(INDEX(Map_Tables!$H$4:$H$37,MATCH(TRIM(E1983),Map_Tables!$G$4:$G$37,0)),"CHECK"))</f>
        <v>Cheesy Slice</v>
      </c>
      <c r="AF1983" s="7" t="str">
        <f aca="false">IF(TRIM(K1983)="","Unknown",IFERROR(INDEX(Map_Tables!$E$4:$E$15,MATCH(TRIM(K1983),Map_Tables!$D$4:$D$15,0)),"CHECK"))</f>
        <v>UPI</v>
      </c>
      <c r="AG1983" s="7" t="str">
        <f aca="false">IF(LEFT(LOWER(TRIM(L1983)),6)="cancel","Cancelled","Delivered")</f>
        <v>Delivered</v>
      </c>
      <c r="AH1983" s="10" t="n">
        <f aca="false">IF(ISNUMBER(SEARCH("/",B1983)),DATE(VALUE(RIGHT(B1983,4)),VALUE(MID(B1983,4,2)),VALUE(LEFT(B1983,2))),IF(MID(B1983,5,1)="-",DATE(VALUE(LEFT(B1983,4)),VALUE(MID(B1983,6,2)),VALUE(RIGHT(B1983,2))),DATE(VALUE(RIGHT(B1983,4)),MATCH(MID(B1983,4,3),{"Jan","Feb","Mar","Apr","May","Jun","Jul","Aug","Sep","Oct","Nov","Dec"},0),VALUE(LEFT(B1983,2)))))</f>
        <v>45852</v>
      </c>
    </row>
    <row r="1984" customFormat="false" ht="15" hidden="false" customHeight="false" outlineLevel="0" collapsed="false">
      <c r="A1984" s="7" t="s">
        <v>4724</v>
      </c>
      <c r="B1984" s="7" t="s">
        <v>2308</v>
      </c>
      <c r="C1984" s="7" t="s">
        <v>319</v>
      </c>
      <c r="D1984" s="7" t="s">
        <v>1416</v>
      </c>
      <c r="E1984" s="7" t="s">
        <v>126</v>
      </c>
      <c r="F1984" s="7" t="s">
        <v>100</v>
      </c>
      <c r="G1984" s="7" t="s">
        <v>105</v>
      </c>
      <c r="H1984" s="7" t="n">
        <v>2</v>
      </c>
      <c r="I1984" s="7" t="n">
        <v>245</v>
      </c>
      <c r="J1984" s="7" t="n">
        <v>0</v>
      </c>
      <c r="K1984" s="7" t="s">
        <v>88</v>
      </c>
      <c r="L1984" s="7" t="s">
        <v>238</v>
      </c>
      <c r="M1984" s="7"/>
      <c r="N1984" s="7"/>
      <c r="O1984" s="7" t="str">
        <f aca="false">A1984&amp;"|"&amp;B1984&amp;"|"&amp;C1984&amp;"|"&amp;D1984&amp;"|"&amp;E1984&amp;"|"&amp;F1984&amp;"|"&amp;G1984&amp;"|"&amp;H1984&amp;"|"&amp;I1984&amp;"|"&amp;J1984&amp;"|"&amp;K1984&amp;"|"&amp;L1984&amp;"|"&amp;M1984&amp;"|"&amp;N1984</f>
        <v>ORD10904|2025-04-23|21:52|C1461|Dragon Express|mumbai|Chinese|2|245|0|UPI|Cancelled||</v>
      </c>
      <c r="P1984" s="7" t="str">
        <f aca="false">IF(COUNTIF($O$2:O1984,O1984)&gt;1,"DUP","OK")</f>
        <v>OK</v>
      </c>
      <c r="Q1984" s="7" t="n">
        <f aca="false">COUNTBLANK(A1984:N1984)</f>
        <v>2</v>
      </c>
      <c r="R1984" s="7" t="n">
        <f aca="false">IF(A1984="",0,COUNTIFS($A$2:$A$3058,A1984,$P$2:$P$3058,"OK"))</f>
        <v>1</v>
      </c>
      <c r="S1984" s="7" t="str">
        <f aca="false">IF(OR(A1984="",P1984="DUP",R1984&lt;2),"",IF(Q1984=_xlfn.MINIFS($Q$2:$Q$3058,$A$2:$A$3058,A1984,$P$2:$P$3058,"OK"),"KEEP","DROP"))</f>
        <v/>
      </c>
      <c r="T1984" s="9" t="n">
        <f aca="false">IF(A1984="",1,0)</f>
        <v>0</v>
      </c>
      <c r="U1984" s="9" t="n">
        <f aca="false">IF(D1984="",1,0)</f>
        <v>0</v>
      </c>
      <c r="V1984" s="9" t="n">
        <f aca="false">IF(E1984="",1,0)</f>
        <v>0</v>
      </c>
      <c r="W1984" s="9" t="n">
        <f aca="false">IF(OR(H1984&lt;1,H1984&gt;10),1,0)</f>
        <v>0</v>
      </c>
      <c r="X1984" s="9" t="n">
        <f aca="false">IF(OR(I1984&lt;=0,I1984&gt;1500),1,0)</f>
        <v>0</v>
      </c>
      <c r="Y1984" s="9" t="n">
        <f aca="false">IF(J1984&gt;H1984*I1984,1,0)</f>
        <v>0</v>
      </c>
      <c r="Z1984" s="9" t="n">
        <f aca="false">IF(AND(N1984&lt;&gt;"",OR(N1984&lt;1,N1984&gt;5)),1,0)</f>
        <v>0</v>
      </c>
      <c r="AA1984" s="9" t="n">
        <f aca="false">IF(AND(M1984&lt;&gt;"",OR(M1984&lt;5,M1984&gt;180)),1,0)</f>
        <v>0</v>
      </c>
      <c r="AB1984" s="7" t="str">
        <f aca="false">IF(P1984="DUP","Exact duplicate row",IF(T1984=1,"Missing Order ID",IF(S1984="DROP","Duplicate Order ID (less complete row)",IF(U1984=1,"Missing Customer ID",IF(V1984=1,"Missing Restaurant name",IF(W1984=1,"Invalid/outlier quantity",IF(X1984=1,"Invalid/outlier unit price",IF(Y1984=1,"Discount greater than order value",""))))))))</f>
        <v/>
      </c>
      <c r="AC1984" s="7" t="str">
        <f aca="false">IF(AB1984="","KEEP","DROP")</f>
        <v>KEEP</v>
      </c>
      <c r="AD1984" s="7" t="str">
        <f aca="false">IF(TRIM(F1984)="",IFERROR(INDEX(Map_Tables!$I$4:$I$37,MATCH(TRIM(E1984),Map_Tables!$G$4:$G$37,0)),""),IFERROR(INDEX(Map_Tables!$B$4:$B$18,MATCH(TRIM(F1984),Map_Tables!$A$4:$A$18,0)),"CHECK"))</f>
        <v>Mumbai</v>
      </c>
      <c r="AE1984" s="7" t="str">
        <f aca="false">IF(TRIM(E1984)="","",IFERROR(INDEX(Map_Tables!$H$4:$H$37,MATCH(TRIM(E1984),Map_Tables!$G$4:$G$37,0)),"CHECK"))</f>
        <v>Dragon Express</v>
      </c>
      <c r="AF1984" s="7" t="str">
        <f aca="false">IF(TRIM(K1984)="","Unknown",IFERROR(INDEX(Map_Tables!$E$4:$E$15,MATCH(TRIM(K1984),Map_Tables!$D$4:$D$15,0)),"CHECK"))</f>
        <v>UPI</v>
      </c>
      <c r="AG1984" s="7" t="str">
        <f aca="false">IF(LEFT(LOWER(TRIM(L1984)),6)="cancel","Cancelled","Delivered")</f>
        <v>Cancelled</v>
      </c>
      <c r="AH1984" s="10" t="n">
        <f aca="false">IF(ISNUMBER(SEARCH("/",B1984)),DATE(VALUE(RIGHT(B1984,4)),VALUE(MID(B1984,4,2)),VALUE(LEFT(B1984,2))),IF(MID(B1984,5,1)="-",DATE(VALUE(LEFT(B1984,4)),VALUE(MID(B1984,6,2)),VALUE(RIGHT(B1984,2))),DATE(VALUE(RIGHT(B1984,4)),MATCH(MID(B1984,4,3),{"Jan","Feb","Mar","Apr","May","Jun","Jul","Aug","Sep","Oct","Nov","Dec"},0),VALUE(LEFT(B1984,2)))))</f>
        <v>45770</v>
      </c>
    </row>
    <row r="1985" customFormat="false" ht="15" hidden="false" customHeight="false" outlineLevel="0" collapsed="false">
      <c r="A1985" s="7" t="s">
        <v>4725</v>
      </c>
      <c r="B1985" s="7" t="s">
        <v>262</v>
      </c>
      <c r="C1985" s="7" t="s">
        <v>1228</v>
      </c>
      <c r="D1985" s="7" t="s">
        <v>4726</v>
      </c>
      <c r="E1985" s="7" t="s">
        <v>3287</v>
      </c>
      <c r="F1985" s="7" t="s">
        <v>119</v>
      </c>
      <c r="G1985" s="7" t="s">
        <v>95</v>
      </c>
      <c r="H1985" s="7" t="n">
        <v>3</v>
      </c>
      <c r="I1985" s="7" t="n">
        <v>135</v>
      </c>
      <c r="J1985" s="7" t="n">
        <v>0</v>
      </c>
      <c r="K1985" s="7" t="s">
        <v>93</v>
      </c>
      <c r="L1985" s="7" t="s">
        <v>194</v>
      </c>
      <c r="M1985" s="7" t="n">
        <v>30</v>
      </c>
      <c r="N1985" s="7" t="n">
        <v>4</v>
      </c>
      <c r="O1985" s="7" t="str">
        <f aca="false">A1985&amp;"|"&amp;B1985&amp;"|"&amp;C1985&amp;"|"&amp;D1985&amp;"|"&amp;E1985&amp;"|"&amp;F1985&amp;"|"&amp;G1985&amp;"|"&amp;H1985&amp;"|"&amp;I1985&amp;"|"&amp;J1985&amp;"|"&amp;K1985&amp;"|"&amp;L1985&amp;"|"&amp;M1985&amp;"|"&amp;N1985</f>
        <v>ORD11346|2025-06-22|21:00|C0175|Andhra  Meals Mess|Hyderabad|South Indian|3|135|0|Credit Card|Delivered|30|4</v>
      </c>
      <c r="P1985" s="7" t="str">
        <f aca="false">IF(COUNTIF($O$2:O1985,O1985)&gt;1,"DUP","OK")</f>
        <v>OK</v>
      </c>
      <c r="Q1985" s="7" t="n">
        <f aca="false">COUNTBLANK(A1985:N1985)</f>
        <v>0</v>
      </c>
      <c r="R1985" s="7" t="n">
        <f aca="false">IF(A1985="",0,COUNTIFS($A$2:$A$3058,A1985,$P$2:$P$3058,"OK"))</f>
        <v>1</v>
      </c>
      <c r="S1985" s="7" t="str">
        <f aca="false">IF(OR(A1985="",P1985="DUP",R1985&lt;2),"",IF(Q1985=_xlfn.MINIFS($Q$2:$Q$3058,$A$2:$A$3058,A1985,$P$2:$P$3058,"OK"),"KEEP","DROP"))</f>
        <v/>
      </c>
      <c r="T1985" s="9" t="n">
        <f aca="false">IF(A1985="",1,0)</f>
        <v>0</v>
      </c>
      <c r="U1985" s="9" t="n">
        <f aca="false">IF(D1985="",1,0)</f>
        <v>0</v>
      </c>
      <c r="V1985" s="9" t="n">
        <f aca="false">IF(E1985="",1,0)</f>
        <v>0</v>
      </c>
      <c r="W1985" s="9" t="n">
        <f aca="false">IF(OR(H1985&lt;1,H1985&gt;10),1,0)</f>
        <v>0</v>
      </c>
      <c r="X1985" s="9" t="n">
        <f aca="false">IF(OR(I1985&lt;=0,I1985&gt;1500),1,0)</f>
        <v>0</v>
      </c>
      <c r="Y1985" s="9" t="n">
        <f aca="false">IF(J1985&gt;H1985*I1985,1,0)</f>
        <v>0</v>
      </c>
      <c r="Z1985" s="9" t="n">
        <f aca="false">IF(AND(N1985&lt;&gt;"",OR(N1985&lt;1,N1985&gt;5)),1,0)</f>
        <v>0</v>
      </c>
      <c r="AA1985" s="9" t="n">
        <f aca="false">IF(AND(M1985&lt;&gt;"",OR(M1985&lt;5,M1985&gt;180)),1,0)</f>
        <v>0</v>
      </c>
      <c r="AB1985" s="7" t="str">
        <f aca="false">IF(P1985="DUP","Exact duplicate row",IF(T1985=1,"Missing Order ID",IF(S1985="DROP","Duplicate Order ID (less complete row)",IF(U1985=1,"Missing Customer ID",IF(V1985=1,"Missing Restaurant name",IF(W1985=1,"Invalid/outlier quantity",IF(X1985=1,"Invalid/outlier unit price",IF(Y1985=1,"Discount greater than order value",""))))))))</f>
        <v/>
      </c>
      <c r="AC1985" s="7" t="str">
        <f aca="false">IF(AB1985="","KEEP","DROP")</f>
        <v>KEEP</v>
      </c>
      <c r="AD1985" s="7" t="str">
        <f aca="false">IF(TRIM(F1985)="",IFERROR(INDEX(Map_Tables!$I$4:$I$37,MATCH(TRIM(E1985),Map_Tables!$G$4:$G$37,0)),""),IFERROR(INDEX(Map_Tables!$B$4:$B$18,MATCH(TRIM(F1985),Map_Tables!$A$4:$A$18,0)),"CHECK"))</f>
        <v>Hyderabad</v>
      </c>
      <c r="AE1985" s="7" t="str">
        <f aca="false">IF(TRIM(E1985)="","",IFERROR(INDEX(Map_Tables!$H$4:$H$37,MATCH(TRIM(E1985),Map_Tables!$G$4:$G$37,0)),"CHECK"))</f>
        <v>Andhra Meals Mess</v>
      </c>
      <c r="AF1985" s="7" t="str">
        <f aca="false">IF(TRIM(K1985)="","Unknown",IFERROR(INDEX(Map_Tables!$E$4:$E$15,MATCH(TRIM(K1985),Map_Tables!$D$4:$D$15,0)),"CHECK"))</f>
        <v>Credit Card</v>
      </c>
      <c r="AG1985" s="7" t="str">
        <f aca="false">IF(LEFT(LOWER(TRIM(L1985)),6)="cancel","Cancelled","Delivered")</f>
        <v>Delivered</v>
      </c>
      <c r="AH1985" s="10" t="n">
        <f aca="false">IF(ISNUMBER(SEARCH("/",B1985)),DATE(VALUE(RIGHT(B1985,4)),VALUE(MID(B1985,4,2)),VALUE(LEFT(B1985,2))),IF(MID(B1985,5,1)="-",DATE(VALUE(LEFT(B1985,4)),VALUE(MID(B1985,6,2)),VALUE(RIGHT(B1985,2))),DATE(VALUE(RIGHT(B1985,4)),MATCH(MID(B1985,4,3),{"Jan","Feb","Mar","Apr","May","Jun","Jul","Aug","Sep","Oct","Nov","Dec"},0),VALUE(LEFT(B1985,2)))))</f>
        <v>45830</v>
      </c>
    </row>
    <row r="1986" customFormat="false" ht="15" hidden="false" customHeight="false" outlineLevel="0" collapsed="false">
      <c r="A1986" s="7" t="s">
        <v>4727</v>
      </c>
      <c r="B1986" s="7" t="s">
        <v>715</v>
      </c>
      <c r="C1986" s="7" t="s">
        <v>709</v>
      </c>
      <c r="D1986" s="7" t="s">
        <v>4728</v>
      </c>
      <c r="E1986" s="7" t="s">
        <v>122</v>
      </c>
      <c r="F1986" s="7" t="s">
        <v>215</v>
      </c>
      <c r="G1986" s="7" t="s">
        <v>123</v>
      </c>
      <c r="H1986" s="7" t="n">
        <v>4</v>
      </c>
      <c r="I1986" s="7" t="n">
        <v>320</v>
      </c>
      <c r="J1986" s="7" t="n">
        <v>125</v>
      </c>
      <c r="K1986" s="7" t="s">
        <v>103</v>
      </c>
      <c r="L1986" s="7" t="s">
        <v>194</v>
      </c>
      <c r="M1986" s="7" t="n">
        <v>44</v>
      </c>
      <c r="N1986" s="7" t="n">
        <v>3</v>
      </c>
      <c r="O1986" s="7" t="str">
        <f aca="false">A1986&amp;"|"&amp;B1986&amp;"|"&amp;C1986&amp;"|"&amp;D1986&amp;"|"&amp;E1986&amp;"|"&amp;F1986&amp;"|"&amp;G1986&amp;"|"&amp;H1986&amp;"|"&amp;I1986&amp;"|"&amp;J1986&amp;"|"&amp;K1986&amp;"|"&amp;L1986&amp;"|"&amp;M1986&amp;"|"&amp;N1986</f>
        <v>ORD11270|2025-06-11|18:48|C0600|Mumbai Pizza Co|MUMBAI|Pizza|4|320|125|Debit Card|Delivered|44|3</v>
      </c>
      <c r="P1986" s="7" t="str">
        <f aca="false">IF(COUNTIF($O$2:O1986,O1986)&gt;1,"DUP","OK")</f>
        <v>OK</v>
      </c>
      <c r="Q1986" s="7" t="n">
        <f aca="false">COUNTBLANK(A1986:N1986)</f>
        <v>0</v>
      </c>
      <c r="R1986" s="7" t="n">
        <f aca="false">IF(A1986="",0,COUNTIFS($A$2:$A$3058,A1986,$P$2:$P$3058,"OK"))</f>
        <v>1</v>
      </c>
      <c r="S1986" s="7" t="str">
        <f aca="false">IF(OR(A1986="",P1986="DUP",R1986&lt;2),"",IF(Q1986=_xlfn.MINIFS($Q$2:$Q$3058,$A$2:$A$3058,A1986,$P$2:$P$3058,"OK"),"KEEP","DROP"))</f>
        <v/>
      </c>
      <c r="T1986" s="9" t="n">
        <f aca="false">IF(A1986="",1,0)</f>
        <v>0</v>
      </c>
      <c r="U1986" s="9" t="n">
        <f aca="false">IF(D1986="",1,0)</f>
        <v>0</v>
      </c>
      <c r="V1986" s="9" t="n">
        <f aca="false">IF(E1986="",1,0)</f>
        <v>0</v>
      </c>
      <c r="W1986" s="9" t="n">
        <f aca="false">IF(OR(H1986&lt;1,H1986&gt;10),1,0)</f>
        <v>0</v>
      </c>
      <c r="X1986" s="9" t="n">
        <f aca="false">IF(OR(I1986&lt;=0,I1986&gt;1500),1,0)</f>
        <v>0</v>
      </c>
      <c r="Y1986" s="9" t="n">
        <f aca="false">IF(J1986&gt;H1986*I1986,1,0)</f>
        <v>0</v>
      </c>
      <c r="Z1986" s="9" t="n">
        <f aca="false">IF(AND(N1986&lt;&gt;"",OR(N1986&lt;1,N1986&gt;5)),1,0)</f>
        <v>0</v>
      </c>
      <c r="AA1986" s="9" t="n">
        <f aca="false">IF(AND(M1986&lt;&gt;"",OR(M1986&lt;5,M1986&gt;180)),1,0)</f>
        <v>0</v>
      </c>
      <c r="AB1986" s="7" t="str">
        <f aca="false">IF(P1986="DUP","Exact duplicate row",IF(T1986=1,"Missing Order ID",IF(S1986="DROP","Duplicate Order ID (less complete row)",IF(U1986=1,"Missing Customer ID",IF(V1986=1,"Missing Restaurant name",IF(W1986=1,"Invalid/outlier quantity",IF(X1986=1,"Invalid/outlier unit price",IF(Y1986=1,"Discount greater than order value",""))))))))</f>
        <v/>
      </c>
      <c r="AC1986" s="7" t="str">
        <f aca="false">IF(AB1986="","KEEP","DROP")</f>
        <v>KEEP</v>
      </c>
      <c r="AD1986" s="7" t="str">
        <f aca="false">IF(TRIM(F1986)="",IFERROR(INDEX(Map_Tables!$I$4:$I$37,MATCH(TRIM(E1986),Map_Tables!$G$4:$G$37,0)),""),IFERROR(INDEX(Map_Tables!$B$4:$B$18,MATCH(TRIM(F1986),Map_Tables!$A$4:$A$18,0)),"CHECK"))</f>
        <v>Mumbai</v>
      </c>
      <c r="AE1986" s="7" t="str">
        <f aca="false">IF(TRIM(E1986)="","",IFERROR(INDEX(Map_Tables!$H$4:$H$37,MATCH(TRIM(E1986),Map_Tables!$G$4:$G$37,0)),"CHECK"))</f>
        <v>Mumbai Pizza Co</v>
      </c>
      <c r="AF1986" s="7" t="str">
        <f aca="false">IF(TRIM(K1986)="","Unknown",IFERROR(INDEX(Map_Tables!$E$4:$E$15,MATCH(TRIM(K1986),Map_Tables!$D$4:$D$15,0)),"CHECK"))</f>
        <v>Debit Card</v>
      </c>
      <c r="AG1986" s="7" t="str">
        <f aca="false">IF(LEFT(LOWER(TRIM(L1986)),6)="cancel","Cancelled","Delivered")</f>
        <v>Delivered</v>
      </c>
      <c r="AH1986" s="10" t="n">
        <f aca="false">IF(ISNUMBER(SEARCH("/",B1986)),DATE(VALUE(RIGHT(B1986,4)),VALUE(MID(B1986,4,2)),VALUE(LEFT(B1986,2))),IF(MID(B1986,5,1)="-",DATE(VALUE(LEFT(B1986,4)),VALUE(MID(B1986,6,2)),VALUE(RIGHT(B1986,2))),DATE(VALUE(RIGHT(B1986,4)),MATCH(MID(B1986,4,3),{"Jan","Feb","Mar","Apr","May","Jun","Jul","Aug","Sep","Oct","Nov","Dec"},0),VALUE(LEFT(B1986,2)))))</f>
        <v>45819</v>
      </c>
    </row>
    <row r="1987" customFormat="false" ht="15" hidden="false" customHeight="false" outlineLevel="0" collapsed="false">
      <c r="A1987" s="7" t="s">
        <v>4729</v>
      </c>
      <c r="B1987" s="7" t="s">
        <v>2312</v>
      </c>
      <c r="C1987" s="7" t="s">
        <v>2602</v>
      </c>
      <c r="D1987" s="7" t="s">
        <v>1738</v>
      </c>
      <c r="E1987" s="7" t="s">
        <v>4730</v>
      </c>
      <c r="F1987" s="7" t="s">
        <v>128</v>
      </c>
      <c r="G1987" s="7" t="s">
        <v>95</v>
      </c>
      <c r="H1987" s="7" t="n">
        <v>4</v>
      </c>
      <c r="I1987" s="7" t="n">
        <v>145</v>
      </c>
      <c r="J1987" s="7" t="n">
        <v>150</v>
      </c>
      <c r="K1987" s="7" t="s">
        <v>112</v>
      </c>
      <c r="L1987" s="7" t="s">
        <v>194</v>
      </c>
      <c r="M1987" s="7" t="n">
        <v>38</v>
      </c>
      <c r="N1987" s="7" t="n">
        <v>4</v>
      </c>
      <c r="O1987" s="7" t="str">
        <f aca="false">A1987&amp;"|"&amp;B1987&amp;"|"&amp;C1987&amp;"|"&amp;D1987&amp;"|"&amp;E1987&amp;"|"&amp;F1987&amp;"|"&amp;G1987&amp;"|"&amp;H1987&amp;"|"&amp;I1987&amp;"|"&amp;J1987&amp;"|"&amp;K1987&amp;"|"&amp;L1987&amp;"|"&amp;M1987&amp;"|"&amp;N1987</f>
        <v>ORD12425|2025-11-01|18:41|C0543| Chettinad House|Chennai|South Indian|4|145|150|Cash on Delivery|Delivered|38|4</v>
      </c>
      <c r="P1987" s="7" t="str">
        <f aca="false">IF(COUNTIF($O$2:O1987,O1987)&gt;1,"DUP","OK")</f>
        <v>OK</v>
      </c>
      <c r="Q1987" s="7" t="n">
        <f aca="false">COUNTBLANK(A1987:N1987)</f>
        <v>0</v>
      </c>
      <c r="R1987" s="7" t="n">
        <f aca="false">IF(A1987="",0,COUNTIFS($A$2:$A$3058,A1987,$P$2:$P$3058,"OK"))</f>
        <v>1</v>
      </c>
      <c r="S1987" s="7" t="str">
        <f aca="false">IF(OR(A1987="",P1987="DUP",R1987&lt;2),"",IF(Q1987=_xlfn.MINIFS($Q$2:$Q$3058,$A$2:$A$3058,A1987,$P$2:$P$3058,"OK"),"KEEP","DROP"))</f>
        <v/>
      </c>
      <c r="T1987" s="9" t="n">
        <f aca="false">IF(A1987="",1,0)</f>
        <v>0</v>
      </c>
      <c r="U1987" s="9" t="n">
        <f aca="false">IF(D1987="",1,0)</f>
        <v>0</v>
      </c>
      <c r="V1987" s="9" t="n">
        <f aca="false">IF(E1987="",1,0)</f>
        <v>0</v>
      </c>
      <c r="W1987" s="9" t="n">
        <f aca="false">IF(OR(H1987&lt;1,H1987&gt;10),1,0)</f>
        <v>0</v>
      </c>
      <c r="X1987" s="9" t="n">
        <f aca="false">IF(OR(I1987&lt;=0,I1987&gt;1500),1,0)</f>
        <v>0</v>
      </c>
      <c r="Y1987" s="9" t="n">
        <f aca="false">IF(J1987&gt;H1987*I1987,1,0)</f>
        <v>0</v>
      </c>
      <c r="Z1987" s="9" t="n">
        <f aca="false">IF(AND(N1987&lt;&gt;"",OR(N1987&lt;1,N1987&gt;5)),1,0)</f>
        <v>0</v>
      </c>
      <c r="AA1987" s="9" t="n">
        <f aca="false">IF(AND(M1987&lt;&gt;"",OR(M1987&lt;5,M1987&gt;180)),1,0)</f>
        <v>0</v>
      </c>
      <c r="AB1987" s="7" t="str">
        <f aca="false">IF(P1987="DUP","Exact duplicate row",IF(T1987=1,"Missing Order ID",IF(S1987="DROP","Duplicate Order ID (less complete row)",IF(U1987=1,"Missing Customer ID",IF(V1987=1,"Missing Restaurant name",IF(W1987=1,"Invalid/outlier quantity",IF(X1987=1,"Invalid/outlier unit price",IF(Y1987=1,"Discount greater than order value",""))))))))</f>
        <v/>
      </c>
      <c r="AC1987" s="7" t="str">
        <f aca="false">IF(AB1987="","KEEP","DROP")</f>
        <v>KEEP</v>
      </c>
      <c r="AD1987" s="7" t="str">
        <f aca="false">IF(TRIM(F1987)="",IFERROR(INDEX(Map_Tables!$I$4:$I$37,MATCH(TRIM(E1987),Map_Tables!$G$4:$G$37,0)),""),IFERROR(INDEX(Map_Tables!$B$4:$B$18,MATCH(TRIM(F1987),Map_Tables!$A$4:$A$18,0)),"CHECK"))</f>
        <v>Chennai</v>
      </c>
      <c r="AE1987" s="7" t="str">
        <f aca="false">IF(TRIM(E1987)="","",IFERROR(INDEX(Map_Tables!$H$4:$H$37,MATCH(TRIM(E1987),Map_Tables!$G$4:$G$37,0)),"CHECK"))</f>
        <v>Chettinad House</v>
      </c>
      <c r="AF1987" s="7" t="str">
        <f aca="false">IF(TRIM(K1987)="","Unknown",IFERROR(INDEX(Map_Tables!$E$4:$E$15,MATCH(TRIM(K1987),Map_Tables!$D$4:$D$15,0)),"CHECK"))</f>
        <v>Cash on Delivery</v>
      </c>
      <c r="AG1987" s="7" t="str">
        <f aca="false">IF(LEFT(LOWER(TRIM(L1987)),6)="cancel","Cancelled","Delivered")</f>
        <v>Delivered</v>
      </c>
      <c r="AH1987" s="10" t="n">
        <f aca="false">IF(ISNUMBER(SEARCH("/",B1987)),DATE(VALUE(RIGHT(B1987,4)),VALUE(MID(B1987,4,2)),VALUE(LEFT(B1987,2))),IF(MID(B1987,5,1)="-",DATE(VALUE(LEFT(B1987,4)),VALUE(MID(B1987,6,2)),VALUE(RIGHT(B1987,2))),DATE(VALUE(RIGHT(B1987,4)),MATCH(MID(B1987,4,3),{"Jan","Feb","Mar","Apr","May","Jun","Jul","Aug","Sep","Oct","Nov","Dec"},0),VALUE(LEFT(B1987,2)))))</f>
        <v>45962</v>
      </c>
    </row>
    <row r="1988" customFormat="false" ht="15" hidden="false" customHeight="false" outlineLevel="0" collapsed="false">
      <c r="A1988" s="7" t="s">
        <v>4731</v>
      </c>
      <c r="B1988" s="7" t="s">
        <v>2095</v>
      </c>
      <c r="C1988" s="7" t="s">
        <v>1301</v>
      </c>
      <c r="D1988" s="7" t="s">
        <v>3814</v>
      </c>
      <c r="E1988" s="7" t="s">
        <v>138</v>
      </c>
      <c r="F1988" s="7" t="s">
        <v>110</v>
      </c>
      <c r="G1988" s="7" t="s">
        <v>139</v>
      </c>
      <c r="H1988" s="7" t="n">
        <v>4</v>
      </c>
      <c r="I1988" s="7" t="n">
        <v>165</v>
      </c>
      <c r="J1988" s="7" t="n">
        <v>100</v>
      </c>
      <c r="K1988" s="7" t="s">
        <v>103</v>
      </c>
      <c r="L1988" s="7" t="s">
        <v>194</v>
      </c>
      <c r="M1988" s="7" t="n">
        <v>48</v>
      </c>
      <c r="N1988" s="7" t="n">
        <v>2</v>
      </c>
      <c r="O1988" s="7" t="str">
        <f aca="false">A1988&amp;"|"&amp;B1988&amp;"|"&amp;C1988&amp;"|"&amp;D1988&amp;"|"&amp;E1988&amp;"|"&amp;F1988&amp;"|"&amp;G1988&amp;"|"&amp;H1988&amp;"|"&amp;I1988&amp;"|"&amp;J1988&amp;"|"&amp;K1988&amp;"|"&amp;L1988&amp;"|"&amp;M1988&amp;"|"&amp;N1988</f>
        <v>ORD10976|2025-05-03|20:27|C0575|Burger Barn|Delhi|Burgers|4|165|100|Debit Card|Delivered|48|2</v>
      </c>
      <c r="P1988" s="7" t="str">
        <f aca="false">IF(COUNTIF($O$2:O1988,O1988)&gt;1,"DUP","OK")</f>
        <v>OK</v>
      </c>
      <c r="Q1988" s="7" t="n">
        <f aca="false">COUNTBLANK(A1988:N1988)</f>
        <v>0</v>
      </c>
      <c r="R1988" s="7" t="n">
        <f aca="false">IF(A1988="",0,COUNTIFS($A$2:$A$3058,A1988,$P$2:$P$3058,"OK"))</f>
        <v>1</v>
      </c>
      <c r="S1988" s="7" t="str">
        <f aca="false">IF(OR(A1988="",P1988="DUP",R1988&lt;2),"",IF(Q1988=_xlfn.MINIFS($Q$2:$Q$3058,$A$2:$A$3058,A1988,$P$2:$P$3058,"OK"),"KEEP","DROP"))</f>
        <v/>
      </c>
      <c r="T1988" s="9" t="n">
        <f aca="false">IF(A1988="",1,0)</f>
        <v>0</v>
      </c>
      <c r="U1988" s="9" t="n">
        <f aca="false">IF(D1988="",1,0)</f>
        <v>0</v>
      </c>
      <c r="V1988" s="9" t="n">
        <f aca="false">IF(E1988="",1,0)</f>
        <v>0</v>
      </c>
      <c r="W1988" s="9" t="n">
        <f aca="false">IF(OR(H1988&lt;1,H1988&gt;10),1,0)</f>
        <v>0</v>
      </c>
      <c r="X1988" s="9" t="n">
        <f aca="false">IF(OR(I1988&lt;=0,I1988&gt;1500),1,0)</f>
        <v>0</v>
      </c>
      <c r="Y1988" s="9" t="n">
        <f aca="false">IF(J1988&gt;H1988*I1988,1,0)</f>
        <v>0</v>
      </c>
      <c r="Z1988" s="9" t="n">
        <f aca="false">IF(AND(N1988&lt;&gt;"",OR(N1988&lt;1,N1988&gt;5)),1,0)</f>
        <v>0</v>
      </c>
      <c r="AA1988" s="9" t="n">
        <f aca="false">IF(AND(M1988&lt;&gt;"",OR(M1988&lt;5,M1988&gt;180)),1,0)</f>
        <v>0</v>
      </c>
      <c r="AB1988" s="7" t="str">
        <f aca="false">IF(P1988="DUP","Exact duplicate row",IF(T1988=1,"Missing Order ID",IF(S1988="DROP","Duplicate Order ID (less complete row)",IF(U1988=1,"Missing Customer ID",IF(V1988=1,"Missing Restaurant name",IF(W1988=1,"Invalid/outlier quantity",IF(X1988=1,"Invalid/outlier unit price",IF(Y1988=1,"Discount greater than order value",""))))))))</f>
        <v/>
      </c>
      <c r="AC1988" s="7" t="str">
        <f aca="false">IF(AB1988="","KEEP","DROP")</f>
        <v>KEEP</v>
      </c>
      <c r="AD1988" s="7" t="str">
        <f aca="false">IF(TRIM(F1988)="",IFERROR(INDEX(Map_Tables!$I$4:$I$37,MATCH(TRIM(E1988),Map_Tables!$G$4:$G$37,0)),""),IFERROR(INDEX(Map_Tables!$B$4:$B$18,MATCH(TRIM(F1988),Map_Tables!$A$4:$A$18,0)),"CHECK"))</f>
        <v>Delhi</v>
      </c>
      <c r="AE1988" s="7" t="str">
        <f aca="false">IF(TRIM(E1988)="","",IFERROR(INDEX(Map_Tables!$H$4:$H$37,MATCH(TRIM(E1988),Map_Tables!$G$4:$G$37,0)),"CHECK"))</f>
        <v>Burger Barn</v>
      </c>
      <c r="AF1988" s="7" t="str">
        <f aca="false">IF(TRIM(K1988)="","Unknown",IFERROR(INDEX(Map_Tables!$E$4:$E$15,MATCH(TRIM(K1988),Map_Tables!$D$4:$D$15,0)),"CHECK"))</f>
        <v>Debit Card</v>
      </c>
      <c r="AG1988" s="7" t="str">
        <f aca="false">IF(LEFT(LOWER(TRIM(L1988)),6)="cancel","Cancelled","Delivered")</f>
        <v>Delivered</v>
      </c>
      <c r="AH1988" s="10" t="n">
        <f aca="false">IF(ISNUMBER(SEARCH("/",B1988)),DATE(VALUE(RIGHT(B1988,4)),VALUE(MID(B1988,4,2)),VALUE(LEFT(B1988,2))),IF(MID(B1988,5,1)="-",DATE(VALUE(LEFT(B1988,4)),VALUE(MID(B1988,6,2)),VALUE(RIGHT(B1988,2))),DATE(VALUE(RIGHT(B1988,4)),MATCH(MID(B1988,4,3),{"Jan","Feb","Mar","Apr","May","Jun","Jul","Aug","Sep","Oct","Nov","Dec"},0),VALUE(LEFT(B1988,2)))))</f>
        <v>45780</v>
      </c>
    </row>
    <row r="1989" customFormat="false" ht="15" hidden="false" customHeight="false" outlineLevel="0" collapsed="false">
      <c r="A1989" s="7" t="s">
        <v>4732</v>
      </c>
      <c r="B1989" s="7" t="s">
        <v>1698</v>
      </c>
      <c r="C1989" s="7" t="s">
        <v>1211</v>
      </c>
      <c r="D1989" s="7" t="s">
        <v>3214</v>
      </c>
      <c r="E1989" s="7" t="s">
        <v>159</v>
      </c>
      <c r="F1989" s="7" t="s">
        <v>1226</v>
      </c>
      <c r="G1989" s="7" t="s">
        <v>90</v>
      </c>
      <c r="H1989" s="7" t="n">
        <v>2</v>
      </c>
      <c r="I1989" s="7" t="n">
        <v>305</v>
      </c>
      <c r="J1989" s="7" t="n">
        <v>125</v>
      </c>
      <c r="K1989" s="7" t="s">
        <v>112</v>
      </c>
      <c r="L1989" s="7" t="s">
        <v>194</v>
      </c>
      <c r="M1989" s="7" t="n">
        <v>29</v>
      </c>
      <c r="N1989" s="7"/>
      <c r="O1989" s="7" t="str">
        <f aca="false">A1989&amp;"|"&amp;B1989&amp;"|"&amp;C1989&amp;"|"&amp;D1989&amp;"|"&amp;E1989&amp;"|"&amp;F1989&amp;"|"&amp;G1989&amp;"|"&amp;H1989&amp;"|"&amp;I1989&amp;"|"&amp;J1989&amp;"|"&amp;K1989&amp;"|"&amp;L1989&amp;"|"&amp;M1989&amp;"|"&amp;N1989</f>
        <v>ORD12187|2025-10-05|20:42|C0585|Maratha Thali House|Pune |North Indian|2|305|125|Cash on Delivery|Delivered|29|</v>
      </c>
      <c r="P1989" s="7" t="str">
        <f aca="false">IF(COUNTIF($O$2:O1989,O1989)&gt;1,"DUP","OK")</f>
        <v>OK</v>
      </c>
      <c r="Q1989" s="7" t="n">
        <f aca="false">COUNTBLANK(A1989:N1989)</f>
        <v>1</v>
      </c>
      <c r="R1989" s="7" t="n">
        <f aca="false">IF(A1989="",0,COUNTIFS($A$2:$A$3058,A1989,$P$2:$P$3058,"OK"))</f>
        <v>1</v>
      </c>
      <c r="S1989" s="7" t="str">
        <f aca="false">IF(OR(A1989="",P1989="DUP",R1989&lt;2),"",IF(Q1989=_xlfn.MINIFS($Q$2:$Q$3058,$A$2:$A$3058,A1989,$P$2:$P$3058,"OK"),"KEEP","DROP"))</f>
        <v/>
      </c>
      <c r="T1989" s="9" t="n">
        <f aca="false">IF(A1989="",1,0)</f>
        <v>0</v>
      </c>
      <c r="U1989" s="9" t="n">
        <f aca="false">IF(D1989="",1,0)</f>
        <v>0</v>
      </c>
      <c r="V1989" s="9" t="n">
        <f aca="false">IF(E1989="",1,0)</f>
        <v>0</v>
      </c>
      <c r="W1989" s="9" t="n">
        <f aca="false">IF(OR(H1989&lt;1,H1989&gt;10),1,0)</f>
        <v>0</v>
      </c>
      <c r="X1989" s="9" t="n">
        <f aca="false">IF(OR(I1989&lt;=0,I1989&gt;1500),1,0)</f>
        <v>0</v>
      </c>
      <c r="Y1989" s="9" t="n">
        <f aca="false">IF(J1989&gt;H1989*I1989,1,0)</f>
        <v>0</v>
      </c>
      <c r="Z1989" s="9" t="n">
        <f aca="false">IF(AND(N1989&lt;&gt;"",OR(N1989&lt;1,N1989&gt;5)),1,0)</f>
        <v>0</v>
      </c>
      <c r="AA1989" s="9" t="n">
        <f aca="false">IF(AND(M1989&lt;&gt;"",OR(M1989&lt;5,M1989&gt;180)),1,0)</f>
        <v>0</v>
      </c>
      <c r="AB1989" s="7" t="str">
        <f aca="false">IF(P1989="DUP","Exact duplicate row",IF(T1989=1,"Missing Order ID",IF(S1989="DROP","Duplicate Order ID (less complete row)",IF(U1989=1,"Missing Customer ID",IF(V1989=1,"Missing Restaurant name",IF(W1989=1,"Invalid/outlier quantity",IF(X1989=1,"Invalid/outlier unit price",IF(Y1989=1,"Discount greater than order value",""))))))))</f>
        <v/>
      </c>
      <c r="AC1989" s="7" t="str">
        <f aca="false">IF(AB1989="","KEEP","DROP")</f>
        <v>KEEP</v>
      </c>
      <c r="AD1989" s="7" t="str">
        <f aca="false">IF(TRIM(F1989)="",IFERROR(INDEX(Map_Tables!$I$4:$I$37,MATCH(TRIM(E1989),Map_Tables!$G$4:$G$37,0)),""),IFERROR(INDEX(Map_Tables!$B$4:$B$18,MATCH(TRIM(F1989),Map_Tables!$A$4:$A$18,0)),"CHECK"))</f>
        <v>Pune</v>
      </c>
      <c r="AE1989" s="7" t="str">
        <f aca="false">IF(TRIM(E1989)="","",IFERROR(INDEX(Map_Tables!$H$4:$H$37,MATCH(TRIM(E1989),Map_Tables!$G$4:$G$37,0)),"CHECK"))</f>
        <v>Maratha Thali House</v>
      </c>
      <c r="AF1989" s="7" t="str">
        <f aca="false">IF(TRIM(K1989)="","Unknown",IFERROR(INDEX(Map_Tables!$E$4:$E$15,MATCH(TRIM(K1989),Map_Tables!$D$4:$D$15,0)),"CHECK"))</f>
        <v>Cash on Delivery</v>
      </c>
      <c r="AG1989" s="7" t="str">
        <f aca="false">IF(LEFT(LOWER(TRIM(L1989)),6)="cancel","Cancelled","Delivered")</f>
        <v>Delivered</v>
      </c>
      <c r="AH1989" s="10" t="n">
        <f aca="false">IF(ISNUMBER(SEARCH("/",B1989)),DATE(VALUE(RIGHT(B1989,4)),VALUE(MID(B1989,4,2)),VALUE(LEFT(B1989,2))),IF(MID(B1989,5,1)="-",DATE(VALUE(LEFT(B1989,4)),VALUE(MID(B1989,6,2)),VALUE(RIGHT(B1989,2))),DATE(VALUE(RIGHT(B1989,4)),MATCH(MID(B1989,4,3),{"Jan","Feb","Mar","Apr","May","Jun","Jul","Aug","Sep","Oct","Nov","Dec"},0),VALUE(LEFT(B1989,2)))))</f>
        <v>45935</v>
      </c>
    </row>
    <row r="1990" customFormat="false" ht="15" hidden="false" customHeight="false" outlineLevel="0" collapsed="false">
      <c r="A1990" s="7" t="s">
        <v>4733</v>
      </c>
      <c r="B1990" s="7" t="s">
        <v>1883</v>
      </c>
      <c r="C1990" s="7" t="s">
        <v>2978</v>
      </c>
      <c r="D1990" s="7" t="s">
        <v>302</v>
      </c>
      <c r="E1990" s="7" t="s">
        <v>122</v>
      </c>
      <c r="F1990" s="7" t="s">
        <v>101</v>
      </c>
      <c r="G1990" s="7" t="s">
        <v>123</v>
      </c>
      <c r="H1990" s="7" t="n">
        <v>2</v>
      </c>
      <c r="I1990" s="7" t="n">
        <v>255</v>
      </c>
      <c r="J1990" s="7" t="n">
        <v>100</v>
      </c>
      <c r="K1990" s="7" t="s">
        <v>112</v>
      </c>
      <c r="L1990" s="7" t="s">
        <v>194</v>
      </c>
      <c r="M1990" s="7" t="n">
        <v>50</v>
      </c>
      <c r="N1990" s="7" t="n">
        <v>4</v>
      </c>
      <c r="O1990" s="7" t="str">
        <f aca="false">A1990&amp;"|"&amp;B1990&amp;"|"&amp;C1990&amp;"|"&amp;D1990&amp;"|"&amp;E1990&amp;"|"&amp;F1990&amp;"|"&amp;G1990&amp;"|"&amp;H1990&amp;"|"&amp;I1990&amp;"|"&amp;J1990&amp;"|"&amp;K1990&amp;"|"&amp;L1990&amp;"|"&amp;M1990&amp;"|"&amp;N1990</f>
        <v>ORD11646|2025-08-03|17:45|C0169|Mumbai Pizza Co|Mumbai|Pizza|2|255|100|Cash on Delivery|Delivered|50|4</v>
      </c>
      <c r="P1990" s="7" t="str">
        <f aca="false">IF(COUNTIF($O$2:O1990,O1990)&gt;1,"DUP","OK")</f>
        <v>OK</v>
      </c>
      <c r="Q1990" s="7" t="n">
        <f aca="false">COUNTBLANK(A1990:N1990)</f>
        <v>0</v>
      </c>
      <c r="R1990" s="7" t="n">
        <f aca="false">IF(A1990="",0,COUNTIFS($A$2:$A$3058,A1990,$P$2:$P$3058,"OK"))</f>
        <v>1</v>
      </c>
      <c r="S1990" s="7" t="str">
        <f aca="false">IF(OR(A1990="",P1990="DUP",R1990&lt;2),"",IF(Q1990=_xlfn.MINIFS($Q$2:$Q$3058,$A$2:$A$3058,A1990,$P$2:$P$3058,"OK"),"KEEP","DROP"))</f>
        <v/>
      </c>
      <c r="T1990" s="9" t="n">
        <f aca="false">IF(A1990="",1,0)</f>
        <v>0</v>
      </c>
      <c r="U1990" s="9" t="n">
        <f aca="false">IF(D1990="",1,0)</f>
        <v>0</v>
      </c>
      <c r="V1990" s="9" t="n">
        <f aca="false">IF(E1990="",1,0)</f>
        <v>0</v>
      </c>
      <c r="W1990" s="9" t="n">
        <f aca="false">IF(OR(H1990&lt;1,H1990&gt;10),1,0)</f>
        <v>0</v>
      </c>
      <c r="X1990" s="9" t="n">
        <f aca="false">IF(OR(I1990&lt;=0,I1990&gt;1500),1,0)</f>
        <v>0</v>
      </c>
      <c r="Y1990" s="9" t="n">
        <f aca="false">IF(J1990&gt;H1990*I1990,1,0)</f>
        <v>0</v>
      </c>
      <c r="Z1990" s="9" t="n">
        <f aca="false">IF(AND(N1990&lt;&gt;"",OR(N1990&lt;1,N1990&gt;5)),1,0)</f>
        <v>0</v>
      </c>
      <c r="AA1990" s="9" t="n">
        <f aca="false">IF(AND(M1990&lt;&gt;"",OR(M1990&lt;5,M1990&gt;180)),1,0)</f>
        <v>0</v>
      </c>
      <c r="AB1990" s="7" t="str">
        <f aca="false">IF(P1990="DUP","Exact duplicate row",IF(T1990=1,"Missing Order ID",IF(S1990="DROP","Duplicate Order ID (less complete row)",IF(U1990=1,"Missing Customer ID",IF(V1990=1,"Missing Restaurant name",IF(W1990=1,"Invalid/outlier quantity",IF(X1990=1,"Invalid/outlier unit price",IF(Y1990=1,"Discount greater than order value",""))))))))</f>
        <v/>
      </c>
      <c r="AC1990" s="7" t="str">
        <f aca="false">IF(AB1990="","KEEP","DROP")</f>
        <v>KEEP</v>
      </c>
      <c r="AD1990" s="7" t="str">
        <f aca="false">IF(TRIM(F1990)="",IFERROR(INDEX(Map_Tables!$I$4:$I$37,MATCH(TRIM(E1990),Map_Tables!$G$4:$G$37,0)),""),IFERROR(INDEX(Map_Tables!$B$4:$B$18,MATCH(TRIM(F1990),Map_Tables!$A$4:$A$18,0)),"CHECK"))</f>
        <v>Mumbai</v>
      </c>
      <c r="AE1990" s="7" t="str">
        <f aca="false">IF(TRIM(E1990)="","",IFERROR(INDEX(Map_Tables!$H$4:$H$37,MATCH(TRIM(E1990),Map_Tables!$G$4:$G$37,0)),"CHECK"))</f>
        <v>Mumbai Pizza Co</v>
      </c>
      <c r="AF1990" s="7" t="str">
        <f aca="false">IF(TRIM(K1990)="","Unknown",IFERROR(INDEX(Map_Tables!$E$4:$E$15,MATCH(TRIM(K1990),Map_Tables!$D$4:$D$15,0)),"CHECK"))</f>
        <v>Cash on Delivery</v>
      </c>
      <c r="AG1990" s="7" t="str">
        <f aca="false">IF(LEFT(LOWER(TRIM(L1990)),6)="cancel","Cancelled","Delivered")</f>
        <v>Delivered</v>
      </c>
      <c r="AH1990" s="10" t="n">
        <f aca="false">IF(ISNUMBER(SEARCH("/",B1990)),DATE(VALUE(RIGHT(B1990,4)),VALUE(MID(B1990,4,2)),VALUE(LEFT(B1990,2))),IF(MID(B1990,5,1)="-",DATE(VALUE(LEFT(B1990,4)),VALUE(MID(B1990,6,2)),VALUE(RIGHT(B1990,2))),DATE(VALUE(RIGHT(B1990,4)),MATCH(MID(B1990,4,3),{"Jan","Feb","Mar","Apr","May","Jun","Jul","Aug","Sep","Oct","Nov","Dec"},0),VALUE(LEFT(B1990,2)))))</f>
        <v>45872</v>
      </c>
    </row>
    <row r="1991" customFormat="false" ht="15" hidden="false" customHeight="false" outlineLevel="0" collapsed="false">
      <c r="A1991" s="7" t="s">
        <v>4734</v>
      </c>
      <c r="B1991" s="7" t="s">
        <v>469</v>
      </c>
      <c r="C1991" s="7" t="s">
        <v>4735</v>
      </c>
      <c r="D1991" s="7" t="s">
        <v>482</v>
      </c>
      <c r="E1991" s="7" t="s">
        <v>130</v>
      </c>
      <c r="F1991" s="7" t="s">
        <v>109</v>
      </c>
      <c r="G1991" s="7" t="s">
        <v>90</v>
      </c>
      <c r="H1991" s="7" t="n">
        <v>2</v>
      </c>
      <c r="I1991" s="7" t="n">
        <v>255</v>
      </c>
      <c r="J1991" s="7" t="n">
        <v>0</v>
      </c>
      <c r="K1991" s="7" t="s">
        <v>88</v>
      </c>
      <c r="L1991" s="7" t="s">
        <v>194</v>
      </c>
      <c r="M1991" s="7" t="n">
        <v>31</v>
      </c>
      <c r="N1991" s="7"/>
      <c r="O1991" s="7" t="str">
        <f aca="false">A1991&amp;"|"&amp;B1991&amp;"|"&amp;C1991&amp;"|"&amp;D1991&amp;"|"&amp;E1991&amp;"|"&amp;F1991&amp;"|"&amp;G1991&amp;"|"&amp;H1991&amp;"|"&amp;I1991&amp;"|"&amp;J1991&amp;"|"&amp;K1991&amp;"|"&amp;L1991&amp;"|"&amp;M1991&amp;"|"&amp;N1991</f>
        <v>ORD11680|2025-08-08|00:20|C0476|Tandoor Tales|delhi|North Indian|2|255|0|UPI|Delivered|31|</v>
      </c>
      <c r="P1991" s="7" t="str">
        <f aca="false">IF(COUNTIF($O$2:O1991,O1991)&gt;1,"DUP","OK")</f>
        <v>OK</v>
      </c>
      <c r="Q1991" s="7" t="n">
        <f aca="false">COUNTBLANK(A1991:N1991)</f>
        <v>1</v>
      </c>
      <c r="R1991" s="7" t="n">
        <f aca="false">IF(A1991="",0,COUNTIFS($A$2:$A$3058,A1991,$P$2:$P$3058,"OK"))</f>
        <v>1</v>
      </c>
      <c r="S1991" s="7" t="str">
        <f aca="false">IF(OR(A1991="",P1991="DUP",R1991&lt;2),"",IF(Q1991=_xlfn.MINIFS($Q$2:$Q$3058,$A$2:$A$3058,A1991,$P$2:$P$3058,"OK"),"KEEP","DROP"))</f>
        <v/>
      </c>
      <c r="T1991" s="9" t="n">
        <f aca="false">IF(A1991="",1,0)</f>
        <v>0</v>
      </c>
      <c r="U1991" s="9" t="n">
        <f aca="false">IF(D1991="",1,0)</f>
        <v>0</v>
      </c>
      <c r="V1991" s="9" t="n">
        <f aca="false">IF(E1991="",1,0)</f>
        <v>0</v>
      </c>
      <c r="W1991" s="9" t="n">
        <f aca="false">IF(OR(H1991&lt;1,H1991&gt;10),1,0)</f>
        <v>0</v>
      </c>
      <c r="X1991" s="9" t="n">
        <f aca="false">IF(OR(I1991&lt;=0,I1991&gt;1500),1,0)</f>
        <v>0</v>
      </c>
      <c r="Y1991" s="9" t="n">
        <f aca="false">IF(J1991&gt;H1991*I1991,1,0)</f>
        <v>0</v>
      </c>
      <c r="Z1991" s="9" t="n">
        <f aca="false">IF(AND(N1991&lt;&gt;"",OR(N1991&lt;1,N1991&gt;5)),1,0)</f>
        <v>0</v>
      </c>
      <c r="AA1991" s="9" t="n">
        <f aca="false">IF(AND(M1991&lt;&gt;"",OR(M1991&lt;5,M1991&gt;180)),1,0)</f>
        <v>0</v>
      </c>
      <c r="AB1991" s="7" t="str">
        <f aca="false">IF(P1991="DUP","Exact duplicate row",IF(T1991=1,"Missing Order ID",IF(S1991="DROP","Duplicate Order ID (less complete row)",IF(U1991=1,"Missing Customer ID",IF(V1991=1,"Missing Restaurant name",IF(W1991=1,"Invalid/outlier quantity",IF(X1991=1,"Invalid/outlier unit price",IF(Y1991=1,"Discount greater than order value",""))))))))</f>
        <v/>
      </c>
      <c r="AC1991" s="7" t="str">
        <f aca="false">IF(AB1991="","KEEP","DROP")</f>
        <v>KEEP</v>
      </c>
      <c r="AD1991" s="7" t="str">
        <f aca="false">IF(TRIM(F1991)="",IFERROR(INDEX(Map_Tables!$I$4:$I$37,MATCH(TRIM(E1991),Map_Tables!$G$4:$G$37,0)),""),IFERROR(INDEX(Map_Tables!$B$4:$B$18,MATCH(TRIM(F1991),Map_Tables!$A$4:$A$18,0)),"CHECK"))</f>
        <v>Delhi</v>
      </c>
      <c r="AE1991" s="7" t="str">
        <f aca="false">IF(TRIM(E1991)="","",IFERROR(INDEX(Map_Tables!$H$4:$H$37,MATCH(TRIM(E1991),Map_Tables!$G$4:$G$37,0)),"CHECK"))</f>
        <v>Tandoor Tales</v>
      </c>
      <c r="AF1991" s="7" t="str">
        <f aca="false">IF(TRIM(K1991)="","Unknown",IFERROR(INDEX(Map_Tables!$E$4:$E$15,MATCH(TRIM(K1991),Map_Tables!$D$4:$D$15,0)),"CHECK"))</f>
        <v>UPI</v>
      </c>
      <c r="AG1991" s="7" t="str">
        <f aca="false">IF(LEFT(LOWER(TRIM(L1991)),6)="cancel","Cancelled","Delivered")</f>
        <v>Delivered</v>
      </c>
      <c r="AH1991" s="10" t="n">
        <f aca="false">IF(ISNUMBER(SEARCH("/",B1991)),DATE(VALUE(RIGHT(B1991,4)),VALUE(MID(B1991,4,2)),VALUE(LEFT(B1991,2))),IF(MID(B1991,5,1)="-",DATE(VALUE(LEFT(B1991,4)),VALUE(MID(B1991,6,2)),VALUE(RIGHT(B1991,2))),DATE(VALUE(RIGHT(B1991,4)),MATCH(MID(B1991,4,3),{"Jan","Feb","Mar","Apr","May","Jun","Jul","Aug","Sep","Oct","Nov","Dec"},0),VALUE(LEFT(B1991,2)))))</f>
        <v>45877</v>
      </c>
    </row>
    <row r="1992" customFormat="false" ht="15" hidden="false" customHeight="false" outlineLevel="0" collapsed="false">
      <c r="A1992" s="7" t="s">
        <v>4736</v>
      </c>
      <c r="B1992" s="7" t="s">
        <v>2324</v>
      </c>
      <c r="C1992" s="7" t="s">
        <v>1336</v>
      </c>
      <c r="D1992" s="7" t="s">
        <v>763</v>
      </c>
      <c r="E1992" s="7" t="s">
        <v>144</v>
      </c>
      <c r="F1992" s="7" t="s">
        <v>119</v>
      </c>
      <c r="G1992" s="7" t="s">
        <v>99</v>
      </c>
      <c r="H1992" s="7" t="n">
        <v>3</v>
      </c>
      <c r="I1992" s="7" t="n">
        <v>305</v>
      </c>
      <c r="J1992" s="7" t="n">
        <v>20</v>
      </c>
      <c r="K1992" s="7" t="s">
        <v>88</v>
      </c>
      <c r="L1992" s="7" t="s">
        <v>194</v>
      </c>
      <c r="M1992" s="7" t="n">
        <v>38</v>
      </c>
      <c r="N1992" s="7" t="n">
        <v>4</v>
      </c>
      <c r="O1992" s="7" t="str">
        <f aca="false">A1992&amp;"|"&amp;B1992&amp;"|"&amp;C1992&amp;"|"&amp;D1992&amp;"|"&amp;E1992&amp;"|"&amp;F1992&amp;"|"&amp;G1992&amp;"|"&amp;H1992&amp;"|"&amp;I1992&amp;"|"&amp;J1992&amp;"|"&amp;K1992&amp;"|"&amp;L1992&amp;"|"&amp;M1992&amp;"|"&amp;N1992</f>
        <v>ORD12195|2025-10-06|19:17|C0167|Hyderabad Dum Biryani|Hyderabad|Biryani|3|305|20|UPI|Delivered|38|4</v>
      </c>
      <c r="P1992" s="7" t="str">
        <f aca="false">IF(COUNTIF($O$2:O1992,O1992)&gt;1,"DUP","OK")</f>
        <v>OK</v>
      </c>
      <c r="Q1992" s="7" t="n">
        <f aca="false">COUNTBLANK(A1992:N1992)</f>
        <v>0</v>
      </c>
      <c r="R1992" s="7" t="n">
        <f aca="false">IF(A1992="",0,COUNTIFS($A$2:$A$3058,A1992,$P$2:$P$3058,"OK"))</f>
        <v>1</v>
      </c>
      <c r="S1992" s="7" t="str">
        <f aca="false">IF(OR(A1992="",P1992="DUP",R1992&lt;2),"",IF(Q1992=_xlfn.MINIFS($Q$2:$Q$3058,$A$2:$A$3058,A1992,$P$2:$P$3058,"OK"),"KEEP","DROP"))</f>
        <v/>
      </c>
      <c r="T1992" s="9" t="n">
        <f aca="false">IF(A1992="",1,0)</f>
        <v>0</v>
      </c>
      <c r="U1992" s="9" t="n">
        <f aca="false">IF(D1992="",1,0)</f>
        <v>0</v>
      </c>
      <c r="V1992" s="9" t="n">
        <f aca="false">IF(E1992="",1,0)</f>
        <v>0</v>
      </c>
      <c r="W1992" s="9" t="n">
        <f aca="false">IF(OR(H1992&lt;1,H1992&gt;10),1,0)</f>
        <v>0</v>
      </c>
      <c r="X1992" s="9" t="n">
        <f aca="false">IF(OR(I1992&lt;=0,I1992&gt;1500),1,0)</f>
        <v>0</v>
      </c>
      <c r="Y1992" s="9" t="n">
        <f aca="false">IF(J1992&gt;H1992*I1992,1,0)</f>
        <v>0</v>
      </c>
      <c r="Z1992" s="9" t="n">
        <f aca="false">IF(AND(N1992&lt;&gt;"",OR(N1992&lt;1,N1992&gt;5)),1,0)</f>
        <v>0</v>
      </c>
      <c r="AA1992" s="9" t="n">
        <f aca="false">IF(AND(M1992&lt;&gt;"",OR(M1992&lt;5,M1992&gt;180)),1,0)</f>
        <v>0</v>
      </c>
      <c r="AB1992" s="7" t="str">
        <f aca="false">IF(P1992="DUP","Exact duplicate row",IF(T1992=1,"Missing Order ID",IF(S1992="DROP","Duplicate Order ID (less complete row)",IF(U1992=1,"Missing Customer ID",IF(V1992=1,"Missing Restaurant name",IF(W1992=1,"Invalid/outlier quantity",IF(X1992=1,"Invalid/outlier unit price",IF(Y1992=1,"Discount greater than order value",""))))))))</f>
        <v/>
      </c>
      <c r="AC1992" s="7" t="str">
        <f aca="false">IF(AB1992="","KEEP","DROP")</f>
        <v>KEEP</v>
      </c>
      <c r="AD1992" s="7" t="str">
        <f aca="false">IF(TRIM(F1992)="",IFERROR(INDEX(Map_Tables!$I$4:$I$37,MATCH(TRIM(E1992),Map_Tables!$G$4:$G$37,0)),""),IFERROR(INDEX(Map_Tables!$B$4:$B$18,MATCH(TRIM(F1992),Map_Tables!$A$4:$A$18,0)),"CHECK"))</f>
        <v>Hyderabad</v>
      </c>
      <c r="AE1992" s="7" t="str">
        <f aca="false">IF(TRIM(E1992)="","",IFERROR(INDEX(Map_Tables!$H$4:$H$37,MATCH(TRIM(E1992),Map_Tables!$G$4:$G$37,0)),"CHECK"))</f>
        <v>Hyderabad Dum Biryani</v>
      </c>
      <c r="AF1992" s="7" t="str">
        <f aca="false">IF(TRIM(K1992)="","Unknown",IFERROR(INDEX(Map_Tables!$E$4:$E$15,MATCH(TRIM(K1992),Map_Tables!$D$4:$D$15,0)),"CHECK"))</f>
        <v>UPI</v>
      </c>
      <c r="AG1992" s="7" t="str">
        <f aca="false">IF(LEFT(LOWER(TRIM(L1992)),6)="cancel","Cancelled","Delivered")</f>
        <v>Delivered</v>
      </c>
      <c r="AH1992" s="10" t="n">
        <f aca="false">IF(ISNUMBER(SEARCH("/",B1992)),DATE(VALUE(RIGHT(B1992,4)),VALUE(MID(B1992,4,2)),VALUE(LEFT(B1992,2))),IF(MID(B1992,5,1)="-",DATE(VALUE(LEFT(B1992,4)),VALUE(MID(B1992,6,2)),VALUE(RIGHT(B1992,2))),DATE(VALUE(RIGHT(B1992,4)),MATCH(MID(B1992,4,3),{"Jan","Feb","Mar","Apr","May","Jun","Jul","Aug","Sep","Oct","Nov","Dec"},0),VALUE(LEFT(B1992,2)))))</f>
        <v>45936</v>
      </c>
    </row>
    <row r="1993" customFormat="false" ht="15" hidden="false" customHeight="false" outlineLevel="0" collapsed="false">
      <c r="A1993" s="7" t="s">
        <v>4737</v>
      </c>
      <c r="B1993" s="7" t="s">
        <v>275</v>
      </c>
      <c r="C1993" s="7" t="s">
        <v>1066</v>
      </c>
      <c r="D1993" s="7" t="s">
        <v>332</v>
      </c>
      <c r="E1993" s="7" t="s">
        <v>98</v>
      </c>
      <c r="F1993" s="7" t="s">
        <v>928</v>
      </c>
      <c r="G1993" s="7" t="s">
        <v>99</v>
      </c>
      <c r="H1993" s="7" t="n">
        <v>4</v>
      </c>
      <c r="I1993" s="7" t="n">
        <v>285</v>
      </c>
      <c r="J1993" s="7" t="n">
        <v>0</v>
      </c>
      <c r="K1993" s="7" t="s">
        <v>93</v>
      </c>
      <c r="L1993" s="7" t="s">
        <v>194</v>
      </c>
      <c r="M1993" s="7" t="n">
        <v>37</v>
      </c>
      <c r="N1993" s="7" t="n">
        <v>4</v>
      </c>
      <c r="O1993" s="7" t="str">
        <f aca="false">A1993&amp;"|"&amp;B1993&amp;"|"&amp;C1993&amp;"|"&amp;D1993&amp;"|"&amp;E1993&amp;"|"&amp;F1993&amp;"|"&amp;G1993&amp;"|"&amp;H1993&amp;"|"&amp;I1993&amp;"|"&amp;J1993&amp;"|"&amp;K1993&amp;"|"&amp;L1993&amp;"|"&amp;M1993&amp;"|"&amp;N1993</f>
        <v>ORD10123|2025-01-16|19:14|C1296|Nawabi Biryani House|Bangalore|Biryani|4|285|0|Credit Card|Delivered|37|4</v>
      </c>
      <c r="P1993" s="7" t="str">
        <f aca="false">IF(COUNTIF($O$2:O1993,O1993)&gt;1,"DUP","OK")</f>
        <v>OK</v>
      </c>
      <c r="Q1993" s="7" t="n">
        <f aca="false">COUNTBLANK(A1993:N1993)</f>
        <v>0</v>
      </c>
      <c r="R1993" s="7" t="n">
        <f aca="false">IF(A1993="",0,COUNTIFS($A$2:$A$3058,A1993,$P$2:$P$3058,"OK"))</f>
        <v>1</v>
      </c>
      <c r="S1993" s="7" t="str">
        <f aca="false">IF(OR(A1993="",P1993="DUP",R1993&lt;2),"",IF(Q1993=_xlfn.MINIFS($Q$2:$Q$3058,$A$2:$A$3058,A1993,$P$2:$P$3058,"OK"),"KEEP","DROP"))</f>
        <v/>
      </c>
      <c r="T1993" s="9" t="n">
        <f aca="false">IF(A1993="",1,0)</f>
        <v>0</v>
      </c>
      <c r="U1993" s="9" t="n">
        <f aca="false">IF(D1993="",1,0)</f>
        <v>0</v>
      </c>
      <c r="V1993" s="9" t="n">
        <f aca="false">IF(E1993="",1,0)</f>
        <v>0</v>
      </c>
      <c r="W1993" s="9" t="n">
        <f aca="false">IF(OR(H1993&lt;1,H1993&gt;10),1,0)</f>
        <v>0</v>
      </c>
      <c r="X1993" s="9" t="n">
        <f aca="false">IF(OR(I1993&lt;=0,I1993&gt;1500),1,0)</f>
        <v>0</v>
      </c>
      <c r="Y1993" s="9" t="n">
        <f aca="false">IF(J1993&gt;H1993*I1993,1,0)</f>
        <v>0</v>
      </c>
      <c r="Z1993" s="9" t="n">
        <f aca="false">IF(AND(N1993&lt;&gt;"",OR(N1993&lt;1,N1993&gt;5)),1,0)</f>
        <v>0</v>
      </c>
      <c r="AA1993" s="9" t="n">
        <f aca="false">IF(AND(M1993&lt;&gt;"",OR(M1993&lt;5,M1993&gt;180)),1,0)</f>
        <v>0</v>
      </c>
      <c r="AB1993" s="7" t="str">
        <f aca="false">IF(P1993="DUP","Exact duplicate row",IF(T1993=1,"Missing Order ID",IF(S1993="DROP","Duplicate Order ID (less complete row)",IF(U1993=1,"Missing Customer ID",IF(V1993=1,"Missing Restaurant name",IF(W1993=1,"Invalid/outlier quantity",IF(X1993=1,"Invalid/outlier unit price",IF(Y1993=1,"Discount greater than order value",""))))))))</f>
        <v/>
      </c>
      <c r="AC1993" s="7" t="str">
        <f aca="false">IF(AB1993="","KEEP","DROP")</f>
        <v>KEEP</v>
      </c>
      <c r="AD1993" s="7" t="str">
        <f aca="false">IF(TRIM(F1993)="",IFERROR(INDEX(Map_Tables!$I$4:$I$37,MATCH(TRIM(E1993),Map_Tables!$G$4:$G$37,0)),""),IFERROR(INDEX(Map_Tables!$B$4:$B$18,MATCH(TRIM(F1993),Map_Tables!$A$4:$A$18,0)),"CHECK"))</f>
        <v>Bengaluru</v>
      </c>
      <c r="AE1993" s="7" t="str">
        <f aca="false">IF(TRIM(E1993)="","",IFERROR(INDEX(Map_Tables!$H$4:$H$37,MATCH(TRIM(E1993),Map_Tables!$G$4:$G$37,0)),"CHECK"))</f>
        <v>Nawabi Biryani House</v>
      </c>
      <c r="AF1993" s="7" t="str">
        <f aca="false">IF(TRIM(K1993)="","Unknown",IFERROR(INDEX(Map_Tables!$E$4:$E$15,MATCH(TRIM(K1993),Map_Tables!$D$4:$D$15,0)),"CHECK"))</f>
        <v>Credit Card</v>
      </c>
      <c r="AG1993" s="7" t="str">
        <f aca="false">IF(LEFT(LOWER(TRIM(L1993)),6)="cancel","Cancelled","Delivered")</f>
        <v>Delivered</v>
      </c>
      <c r="AH1993" s="10" t="n">
        <f aca="false">IF(ISNUMBER(SEARCH("/",B1993)),DATE(VALUE(RIGHT(B1993,4)),VALUE(MID(B1993,4,2)),VALUE(LEFT(B1993,2))),IF(MID(B1993,5,1)="-",DATE(VALUE(LEFT(B1993,4)),VALUE(MID(B1993,6,2)),VALUE(RIGHT(B1993,2))),DATE(VALUE(RIGHT(B1993,4)),MATCH(MID(B1993,4,3),{"Jan","Feb","Mar","Apr","May","Jun","Jul","Aug","Sep","Oct","Nov","Dec"},0),VALUE(LEFT(B1993,2)))))</f>
        <v>45673</v>
      </c>
    </row>
    <row r="1994" customFormat="false" ht="15" hidden="false" customHeight="false" outlineLevel="0" collapsed="false">
      <c r="A1994" s="7" t="s">
        <v>4738</v>
      </c>
      <c r="B1994" s="7" t="s">
        <v>660</v>
      </c>
      <c r="C1994" s="7" t="s">
        <v>736</v>
      </c>
      <c r="D1994" s="7" t="s">
        <v>1181</v>
      </c>
      <c r="E1994" s="7" t="s">
        <v>162</v>
      </c>
      <c r="F1994" s="7" t="s">
        <v>141</v>
      </c>
      <c r="G1994" s="7" t="s">
        <v>117</v>
      </c>
      <c r="H1994" s="7" t="n">
        <v>3</v>
      </c>
      <c r="I1994" s="7" t="n">
        <v>110</v>
      </c>
      <c r="J1994" s="7" t="n">
        <v>40</v>
      </c>
      <c r="K1994" s="7" t="s">
        <v>93</v>
      </c>
      <c r="L1994" s="7" t="s">
        <v>194</v>
      </c>
      <c r="M1994" s="7" t="n">
        <v>23</v>
      </c>
      <c r="N1994" s="7" t="n">
        <v>5</v>
      </c>
      <c r="O1994" s="7" t="str">
        <f aca="false">A1994&amp;"|"&amp;B1994&amp;"|"&amp;C1994&amp;"|"&amp;D1994&amp;"|"&amp;E1994&amp;"|"&amp;F1994&amp;"|"&amp;G1994&amp;"|"&amp;H1994&amp;"|"&amp;I1994&amp;"|"&amp;J1994&amp;"|"&amp;K1994&amp;"|"&amp;L1994&amp;"|"&amp;M1994&amp;"|"&amp;N1994</f>
        <v>ORD12975|2025-12-29|11:14|C0857|Kolkata Roll Centre|Kolkata|Street Food|3|110|40|Credit Card|Delivered|23|5</v>
      </c>
      <c r="P1994" s="7" t="str">
        <f aca="false">IF(COUNTIF($O$2:O1994,O1994)&gt;1,"DUP","OK")</f>
        <v>OK</v>
      </c>
      <c r="Q1994" s="7" t="n">
        <f aca="false">COUNTBLANK(A1994:N1994)</f>
        <v>0</v>
      </c>
      <c r="R1994" s="7" t="n">
        <f aca="false">IF(A1994="",0,COUNTIFS($A$2:$A$3058,A1994,$P$2:$P$3058,"OK"))</f>
        <v>1</v>
      </c>
      <c r="S1994" s="7" t="str">
        <f aca="false">IF(OR(A1994="",P1994="DUP",R1994&lt;2),"",IF(Q1994=_xlfn.MINIFS($Q$2:$Q$3058,$A$2:$A$3058,A1994,$P$2:$P$3058,"OK"),"KEEP","DROP"))</f>
        <v/>
      </c>
      <c r="T1994" s="9" t="n">
        <f aca="false">IF(A1994="",1,0)</f>
        <v>0</v>
      </c>
      <c r="U1994" s="9" t="n">
        <f aca="false">IF(D1994="",1,0)</f>
        <v>0</v>
      </c>
      <c r="V1994" s="9" t="n">
        <f aca="false">IF(E1994="",1,0)</f>
        <v>0</v>
      </c>
      <c r="W1994" s="9" t="n">
        <f aca="false">IF(OR(H1994&lt;1,H1994&gt;10),1,0)</f>
        <v>0</v>
      </c>
      <c r="X1994" s="9" t="n">
        <f aca="false">IF(OR(I1994&lt;=0,I1994&gt;1500),1,0)</f>
        <v>0</v>
      </c>
      <c r="Y1994" s="9" t="n">
        <f aca="false">IF(J1994&gt;H1994*I1994,1,0)</f>
        <v>0</v>
      </c>
      <c r="Z1994" s="9" t="n">
        <f aca="false">IF(AND(N1994&lt;&gt;"",OR(N1994&lt;1,N1994&gt;5)),1,0)</f>
        <v>0</v>
      </c>
      <c r="AA1994" s="9" t="n">
        <f aca="false">IF(AND(M1994&lt;&gt;"",OR(M1994&lt;5,M1994&gt;180)),1,0)</f>
        <v>0</v>
      </c>
      <c r="AB1994" s="7" t="str">
        <f aca="false">IF(P1994="DUP","Exact duplicate row",IF(T1994=1,"Missing Order ID",IF(S1994="DROP","Duplicate Order ID (less complete row)",IF(U1994=1,"Missing Customer ID",IF(V1994=1,"Missing Restaurant name",IF(W1994=1,"Invalid/outlier quantity",IF(X1994=1,"Invalid/outlier unit price",IF(Y1994=1,"Discount greater than order value",""))))))))</f>
        <v/>
      </c>
      <c r="AC1994" s="7" t="str">
        <f aca="false">IF(AB1994="","KEEP","DROP")</f>
        <v>KEEP</v>
      </c>
      <c r="AD1994" s="7" t="str">
        <f aca="false">IF(TRIM(F1994)="",IFERROR(INDEX(Map_Tables!$I$4:$I$37,MATCH(TRIM(E1994),Map_Tables!$G$4:$G$37,0)),""),IFERROR(INDEX(Map_Tables!$B$4:$B$18,MATCH(TRIM(F1994),Map_Tables!$A$4:$A$18,0)),"CHECK"))</f>
        <v>Kolkata</v>
      </c>
      <c r="AE1994" s="7" t="str">
        <f aca="false">IF(TRIM(E1994)="","",IFERROR(INDEX(Map_Tables!$H$4:$H$37,MATCH(TRIM(E1994),Map_Tables!$G$4:$G$37,0)),"CHECK"))</f>
        <v>Kolkata Roll Centre</v>
      </c>
      <c r="AF1994" s="7" t="str">
        <f aca="false">IF(TRIM(K1994)="","Unknown",IFERROR(INDEX(Map_Tables!$E$4:$E$15,MATCH(TRIM(K1994),Map_Tables!$D$4:$D$15,0)),"CHECK"))</f>
        <v>Credit Card</v>
      </c>
      <c r="AG1994" s="7" t="str">
        <f aca="false">IF(LEFT(LOWER(TRIM(L1994)),6)="cancel","Cancelled","Delivered")</f>
        <v>Delivered</v>
      </c>
      <c r="AH1994" s="10" t="n">
        <f aca="false">IF(ISNUMBER(SEARCH("/",B1994)),DATE(VALUE(RIGHT(B1994,4)),VALUE(MID(B1994,4,2)),VALUE(LEFT(B1994,2))),IF(MID(B1994,5,1)="-",DATE(VALUE(LEFT(B1994,4)),VALUE(MID(B1994,6,2)),VALUE(RIGHT(B1994,2))),DATE(VALUE(RIGHT(B1994,4)),MATCH(MID(B1994,4,3),{"Jan","Feb","Mar","Apr","May","Jun","Jul","Aug","Sep","Oct","Nov","Dec"},0),VALUE(LEFT(B1994,2)))))</f>
        <v>46020</v>
      </c>
    </row>
    <row r="1995" customFormat="false" ht="15" hidden="false" customHeight="false" outlineLevel="0" collapsed="false">
      <c r="A1995" s="7" t="s">
        <v>4739</v>
      </c>
      <c r="B1995" s="7" t="s">
        <v>917</v>
      </c>
      <c r="C1995" s="7" t="s">
        <v>1161</v>
      </c>
      <c r="D1995" s="7" t="s">
        <v>3329</v>
      </c>
      <c r="E1995" s="7" t="s">
        <v>94</v>
      </c>
      <c r="F1995" s="7" t="s">
        <v>86</v>
      </c>
      <c r="G1995" s="7" t="s">
        <v>95</v>
      </c>
      <c r="H1995" s="7" t="n">
        <v>3</v>
      </c>
      <c r="I1995" s="7" t="n">
        <v>105</v>
      </c>
      <c r="J1995" s="7" t="n">
        <v>0</v>
      </c>
      <c r="K1995" s="7" t="s">
        <v>93</v>
      </c>
      <c r="L1995" s="7" t="s">
        <v>194</v>
      </c>
      <c r="M1995" s="7" t="n">
        <v>41</v>
      </c>
      <c r="N1995" s="7" t="n">
        <v>2</v>
      </c>
      <c r="O1995" s="7" t="str">
        <f aca="false">A1995&amp;"|"&amp;B1995&amp;"|"&amp;C1995&amp;"|"&amp;D1995&amp;"|"&amp;E1995&amp;"|"&amp;F1995&amp;"|"&amp;G1995&amp;"|"&amp;H1995&amp;"|"&amp;I1995&amp;"|"&amp;J1995&amp;"|"&amp;K1995&amp;"|"&amp;L1995&amp;"|"&amp;M1995&amp;"|"&amp;N1995</f>
        <v>ORD11073|2025-05-16|13:17|C0453|Dosa Darbar|Bengaluru|South Indian|3|105|0|Credit Card|Delivered|41|2</v>
      </c>
      <c r="P1995" s="7" t="str">
        <f aca="false">IF(COUNTIF($O$2:O1995,O1995)&gt;1,"DUP","OK")</f>
        <v>OK</v>
      </c>
      <c r="Q1995" s="7" t="n">
        <f aca="false">COUNTBLANK(A1995:N1995)</f>
        <v>0</v>
      </c>
      <c r="R1995" s="7" t="n">
        <f aca="false">IF(A1995="",0,COUNTIFS($A$2:$A$3058,A1995,$P$2:$P$3058,"OK"))</f>
        <v>1</v>
      </c>
      <c r="S1995" s="7" t="str">
        <f aca="false">IF(OR(A1995="",P1995="DUP",R1995&lt;2),"",IF(Q1995=_xlfn.MINIFS($Q$2:$Q$3058,$A$2:$A$3058,A1995,$P$2:$P$3058,"OK"),"KEEP","DROP"))</f>
        <v/>
      </c>
      <c r="T1995" s="9" t="n">
        <f aca="false">IF(A1995="",1,0)</f>
        <v>0</v>
      </c>
      <c r="U1995" s="9" t="n">
        <f aca="false">IF(D1995="",1,0)</f>
        <v>0</v>
      </c>
      <c r="V1995" s="9" t="n">
        <f aca="false">IF(E1995="",1,0)</f>
        <v>0</v>
      </c>
      <c r="W1995" s="9" t="n">
        <f aca="false">IF(OR(H1995&lt;1,H1995&gt;10),1,0)</f>
        <v>0</v>
      </c>
      <c r="X1995" s="9" t="n">
        <f aca="false">IF(OR(I1995&lt;=0,I1995&gt;1500),1,0)</f>
        <v>0</v>
      </c>
      <c r="Y1995" s="9" t="n">
        <f aca="false">IF(J1995&gt;H1995*I1995,1,0)</f>
        <v>0</v>
      </c>
      <c r="Z1995" s="9" t="n">
        <f aca="false">IF(AND(N1995&lt;&gt;"",OR(N1995&lt;1,N1995&gt;5)),1,0)</f>
        <v>0</v>
      </c>
      <c r="AA1995" s="9" t="n">
        <f aca="false">IF(AND(M1995&lt;&gt;"",OR(M1995&lt;5,M1995&gt;180)),1,0)</f>
        <v>0</v>
      </c>
      <c r="AB1995" s="7" t="str">
        <f aca="false">IF(P1995="DUP","Exact duplicate row",IF(T1995=1,"Missing Order ID",IF(S1995="DROP","Duplicate Order ID (less complete row)",IF(U1995=1,"Missing Customer ID",IF(V1995=1,"Missing Restaurant name",IF(W1995=1,"Invalid/outlier quantity",IF(X1995=1,"Invalid/outlier unit price",IF(Y1995=1,"Discount greater than order value",""))))))))</f>
        <v/>
      </c>
      <c r="AC1995" s="7" t="str">
        <f aca="false">IF(AB1995="","KEEP","DROP")</f>
        <v>KEEP</v>
      </c>
      <c r="AD1995" s="7" t="str">
        <f aca="false">IF(TRIM(F1995)="",IFERROR(INDEX(Map_Tables!$I$4:$I$37,MATCH(TRIM(E1995),Map_Tables!$G$4:$G$37,0)),""),IFERROR(INDEX(Map_Tables!$B$4:$B$18,MATCH(TRIM(F1995),Map_Tables!$A$4:$A$18,0)),"CHECK"))</f>
        <v>Bengaluru</v>
      </c>
      <c r="AE1995" s="7" t="str">
        <f aca="false">IF(TRIM(E1995)="","",IFERROR(INDEX(Map_Tables!$H$4:$H$37,MATCH(TRIM(E1995),Map_Tables!$G$4:$G$37,0)),"CHECK"))</f>
        <v>Dosa Darbar</v>
      </c>
      <c r="AF1995" s="7" t="str">
        <f aca="false">IF(TRIM(K1995)="","Unknown",IFERROR(INDEX(Map_Tables!$E$4:$E$15,MATCH(TRIM(K1995),Map_Tables!$D$4:$D$15,0)),"CHECK"))</f>
        <v>Credit Card</v>
      </c>
      <c r="AG1995" s="7" t="str">
        <f aca="false">IF(LEFT(LOWER(TRIM(L1995)),6)="cancel","Cancelled","Delivered")</f>
        <v>Delivered</v>
      </c>
      <c r="AH1995" s="10" t="n">
        <f aca="false">IF(ISNUMBER(SEARCH("/",B1995)),DATE(VALUE(RIGHT(B1995,4)),VALUE(MID(B1995,4,2)),VALUE(LEFT(B1995,2))),IF(MID(B1995,5,1)="-",DATE(VALUE(LEFT(B1995,4)),VALUE(MID(B1995,6,2)),VALUE(RIGHT(B1995,2))),DATE(VALUE(RIGHT(B1995,4)),MATCH(MID(B1995,4,3),{"Jan","Feb","Mar","Apr","May","Jun","Jul","Aug","Sep","Oct","Nov","Dec"},0),VALUE(LEFT(B1995,2)))))</f>
        <v>45793</v>
      </c>
    </row>
    <row r="1996" customFormat="false" ht="15" hidden="false" customHeight="false" outlineLevel="0" collapsed="false">
      <c r="A1996" s="7" t="s">
        <v>4740</v>
      </c>
      <c r="B1996" s="7" t="s">
        <v>385</v>
      </c>
      <c r="C1996" s="7" t="s">
        <v>4741</v>
      </c>
      <c r="D1996" s="7" t="s">
        <v>4742</v>
      </c>
      <c r="E1996" s="7" t="s">
        <v>149</v>
      </c>
      <c r="F1996" s="7" t="s">
        <v>119</v>
      </c>
      <c r="G1996" s="7" t="s">
        <v>150</v>
      </c>
      <c r="H1996" s="7" t="n">
        <v>2</v>
      </c>
      <c r="I1996" s="7" t="n">
        <v>160</v>
      </c>
      <c r="J1996" s="7" t="n">
        <v>0</v>
      </c>
      <c r="K1996" s="7" t="s">
        <v>229</v>
      </c>
      <c r="L1996" s="7" t="s">
        <v>194</v>
      </c>
      <c r="M1996" s="7" t="n">
        <v>37</v>
      </c>
      <c r="N1996" s="7"/>
      <c r="O1996" s="7" t="str">
        <f aca="false">A1996&amp;"|"&amp;B1996&amp;"|"&amp;C1996&amp;"|"&amp;D1996&amp;"|"&amp;E1996&amp;"|"&amp;F1996&amp;"|"&amp;G1996&amp;"|"&amp;H1996&amp;"|"&amp;I1996&amp;"|"&amp;J1996&amp;"|"&amp;K1996&amp;"|"&amp;L1996&amp;"|"&amp;M1996&amp;"|"&amp;N1996</f>
        <v>ORD11535|2025-07-18|21:08|C0824|Sweet Tooth Studio|Hyderabad|Desserts|2|160|0|Upi|Delivered|37|</v>
      </c>
      <c r="P1996" s="7" t="str">
        <f aca="false">IF(COUNTIF($O$2:O1996,O1996)&gt;1,"DUP","OK")</f>
        <v>OK</v>
      </c>
      <c r="Q1996" s="7" t="n">
        <f aca="false">COUNTBLANK(A1996:N1996)</f>
        <v>1</v>
      </c>
      <c r="R1996" s="7" t="n">
        <f aca="false">IF(A1996="",0,COUNTIFS($A$2:$A$3058,A1996,$P$2:$P$3058,"OK"))</f>
        <v>1</v>
      </c>
      <c r="S1996" s="7" t="str">
        <f aca="false">IF(OR(A1996="",P1996="DUP",R1996&lt;2),"",IF(Q1996=_xlfn.MINIFS($Q$2:$Q$3058,$A$2:$A$3058,A1996,$P$2:$P$3058,"OK"),"KEEP","DROP"))</f>
        <v/>
      </c>
      <c r="T1996" s="9" t="n">
        <f aca="false">IF(A1996="",1,0)</f>
        <v>0</v>
      </c>
      <c r="U1996" s="9" t="n">
        <f aca="false">IF(D1996="",1,0)</f>
        <v>0</v>
      </c>
      <c r="V1996" s="9" t="n">
        <f aca="false">IF(E1996="",1,0)</f>
        <v>0</v>
      </c>
      <c r="W1996" s="9" t="n">
        <f aca="false">IF(OR(H1996&lt;1,H1996&gt;10),1,0)</f>
        <v>0</v>
      </c>
      <c r="X1996" s="9" t="n">
        <f aca="false">IF(OR(I1996&lt;=0,I1996&gt;1500),1,0)</f>
        <v>0</v>
      </c>
      <c r="Y1996" s="9" t="n">
        <f aca="false">IF(J1996&gt;H1996*I1996,1,0)</f>
        <v>0</v>
      </c>
      <c r="Z1996" s="9" t="n">
        <f aca="false">IF(AND(N1996&lt;&gt;"",OR(N1996&lt;1,N1996&gt;5)),1,0)</f>
        <v>0</v>
      </c>
      <c r="AA1996" s="9" t="n">
        <f aca="false">IF(AND(M1996&lt;&gt;"",OR(M1996&lt;5,M1996&gt;180)),1,0)</f>
        <v>0</v>
      </c>
      <c r="AB1996" s="7" t="str">
        <f aca="false">IF(P1996="DUP","Exact duplicate row",IF(T1996=1,"Missing Order ID",IF(S1996="DROP","Duplicate Order ID (less complete row)",IF(U1996=1,"Missing Customer ID",IF(V1996=1,"Missing Restaurant name",IF(W1996=1,"Invalid/outlier quantity",IF(X1996=1,"Invalid/outlier unit price",IF(Y1996=1,"Discount greater than order value",""))))))))</f>
        <v/>
      </c>
      <c r="AC1996" s="7" t="str">
        <f aca="false">IF(AB1996="","KEEP","DROP")</f>
        <v>KEEP</v>
      </c>
      <c r="AD1996" s="7" t="str">
        <f aca="false">IF(TRIM(F1996)="",IFERROR(INDEX(Map_Tables!$I$4:$I$37,MATCH(TRIM(E1996),Map_Tables!$G$4:$G$37,0)),""),IFERROR(INDEX(Map_Tables!$B$4:$B$18,MATCH(TRIM(F1996),Map_Tables!$A$4:$A$18,0)),"CHECK"))</f>
        <v>Hyderabad</v>
      </c>
      <c r="AE1996" s="7" t="str">
        <f aca="false">IF(TRIM(E1996)="","",IFERROR(INDEX(Map_Tables!$H$4:$H$37,MATCH(TRIM(E1996),Map_Tables!$G$4:$G$37,0)),"CHECK"))</f>
        <v>Sweet Tooth Studio</v>
      </c>
      <c r="AF1996" s="7" t="str">
        <f aca="false">IF(TRIM(K1996)="","Unknown",IFERROR(INDEX(Map_Tables!$E$4:$E$15,MATCH(TRIM(K1996),Map_Tables!$D$4:$D$15,0)),"CHECK"))</f>
        <v>UPI</v>
      </c>
      <c r="AG1996" s="7" t="str">
        <f aca="false">IF(LEFT(LOWER(TRIM(L1996)),6)="cancel","Cancelled","Delivered")</f>
        <v>Delivered</v>
      </c>
      <c r="AH1996" s="10" t="n">
        <f aca="false">IF(ISNUMBER(SEARCH("/",B1996)),DATE(VALUE(RIGHT(B1996,4)),VALUE(MID(B1996,4,2)),VALUE(LEFT(B1996,2))),IF(MID(B1996,5,1)="-",DATE(VALUE(LEFT(B1996,4)),VALUE(MID(B1996,6,2)),VALUE(RIGHT(B1996,2))),DATE(VALUE(RIGHT(B1996,4)),MATCH(MID(B1996,4,3),{"Jan","Feb","Mar","Apr","May","Jun","Jul","Aug","Sep","Oct","Nov","Dec"},0),VALUE(LEFT(B1996,2)))))</f>
        <v>45856</v>
      </c>
    </row>
    <row r="1997" customFormat="false" ht="15" hidden="false" customHeight="false" outlineLevel="0" collapsed="false">
      <c r="A1997" s="7" t="s">
        <v>4743</v>
      </c>
      <c r="B1997" s="7" t="s">
        <v>4744</v>
      </c>
      <c r="C1997" s="7" t="s">
        <v>1741</v>
      </c>
      <c r="D1997" s="7" t="s">
        <v>2697</v>
      </c>
      <c r="E1997" s="7" t="s">
        <v>94</v>
      </c>
      <c r="F1997" s="7" t="s">
        <v>86</v>
      </c>
      <c r="G1997" s="7" t="s">
        <v>95</v>
      </c>
      <c r="H1997" s="7" t="n">
        <v>1</v>
      </c>
      <c r="I1997" s="7" t="n">
        <v>130</v>
      </c>
      <c r="J1997" s="7" t="n">
        <v>0</v>
      </c>
      <c r="K1997" s="7" t="s">
        <v>88</v>
      </c>
      <c r="L1997" s="7" t="s">
        <v>194</v>
      </c>
      <c r="M1997" s="7" t="n">
        <v>47</v>
      </c>
      <c r="N1997" s="7" t="n">
        <v>5</v>
      </c>
      <c r="O1997" s="7" t="str">
        <f aca="false">A1997&amp;"|"&amp;B1997&amp;"|"&amp;C1997&amp;"|"&amp;D1997&amp;"|"&amp;E1997&amp;"|"&amp;F1997&amp;"|"&amp;G1997&amp;"|"&amp;H1997&amp;"|"&amp;I1997&amp;"|"&amp;J1997&amp;"|"&amp;K1997&amp;"|"&amp;L1997&amp;"|"&amp;M1997&amp;"|"&amp;N1997</f>
        <v>ORD11305|2025-06-17|12:08|C0626|Dosa Darbar|Bengaluru|South Indian|1|130|0|UPI|Delivered|47|5</v>
      </c>
      <c r="P1997" s="7" t="str">
        <f aca="false">IF(COUNTIF($O$2:O1997,O1997)&gt;1,"DUP","OK")</f>
        <v>OK</v>
      </c>
      <c r="Q1997" s="7" t="n">
        <f aca="false">COUNTBLANK(A1997:N1997)</f>
        <v>0</v>
      </c>
      <c r="R1997" s="7" t="n">
        <f aca="false">IF(A1997="",0,COUNTIFS($A$2:$A$3058,A1997,$P$2:$P$3058,"OK"))</f>
        <v>1</v>
      </c>
      <c r="S1997" s="7" t="str">
        <f aca="false">IF(OR(A1997="",P1997="DUP",R1997&lt;2),"",IF(Q1997=_xlfn.MINIFS($Q$2:$Q$3058,$A$2:$A$3058,A1997,$P$2:$P$3058,"OK"),"KEEP","DROP"))</f>
        <v/>
      </c>
      <c r="T1997" s="9" t="n">
        <f aca="false">IF(A1997="",1,0)</f>
        <v>0</v>
      </c>
      <c r="U1997" s="9" t="n">
        <f aca="false">IF(D1997="",1,0)</f>
        <v>0</v>
      </c>
      <c r="V1997" s="9" t="n">
        <f aca="false">IF(E1997="",1,0)</f>
        <v>0</v>
      </c>
      <c r="W1997" s="9" t="n">
        <f aca="false">IF(OR(H1997&lt;1,H1997&gt;10),1,0)</f>
        <v>0</v>
      </c>
      <c r="X1997" s="9" t="n">
        <f aca="false">IF(OR(I1997&lt;=0,I1997&gt;1500),1,0)</f>
        <v>0</v>
      </c>
      <c r="Y1997" s="9" t="n">
        <f aca="false">IF(J1997&gt;H1997*I1997,1,0)</f>
        <v>0</v>
      </c>
      <c r="Z1997" s="9" t="n">
        <f aca="false">IF(AND(N1997&lt;&gt;"",OR(N1997&lt;1,N1997&gt;5)),1,0)</f>
        <v>0</v>
      </c>
      <c r="AA1997" s="9" t="n">
        <f aca="false">IF(AND(M1997&lt;&gt;"",OR(M1997&lt;5,M1997&gt;180)),1,0)</f>
        <v>0</v>
      </c>
      <c r="AB1997" s="7" t="str">
        <f aca="false">IF(P1997="DUP","Exact duplicate row",IF(T1997=1,"Missing Order ID",IF(S1997="DROP","Duplicate Order ID (less complete row)",IF(U1997=1,"Missing Customer ID",IF(V1997=1,"Missing Restaurant name",IF(W1997=1,"Invalid/outlier quantity",IF(X1997=1,"Invalid/outlier unit price",IF(Y1997=1,"Discount greater than order value",""))))))))</f>
        <v/>
      </c>
      <c r="AC1997" s="7" t="str">
        <f aca="false">IF(AB1997="","KEEP","DROP")</f>
        <v>KEEP</v>
      </c>
      <c r="AD1997" s="7" t="str">
        <f aca="false">IF(TRIM(F1997)="",IFERROR(INDEX(Map_Tables!$I$4:$I$37,MATCH(TRIM(E1997),Map_Tables!$G$4:$G$37,0)),""),IFERROR(INDEX(Map_Tables!$B$4:$B$18,MATCH(TRIM(F1997),Map_Tables!$A$4:$A$18,0)),"CHECK"))</f>
        <v>Bengaluru</v>
      </c>
      <c r="AE1997" s="7" t="str">
        <f aca="false">IF(TRIM(E1997)="","",IFERROR(INDEX(Map_Tables!$H$4:$H$37,MATCH(TRIM(E1997),Map_Tables!$G$4:$G$37,0)),"CHECK"))</f>
        <v>Dosa Darbar</v>
      </c>
      <c r="AF1997" s="7" t="str">
        <f aca="false">IF(TRIM(K1997)="","Unknown",IFERROR(INDEX(Map_Tables!$E$4:$E$15,MATCH(TRIM(K1997),Map_Tables!$D$4:$D$15,0)),"CHECK"))</f>
        <v>UPI</v>
      </c>
      <c r="AG1997" s="7" t="str">
        <f aca="false">IF(LEFT(LOWER(TRIM(L1997)),6)="cancel","Cancelled","Delivered")</f>
        <v>Delivered</v>
      </c>
      <c r="AH1997" s="10" t="n">
        <f aca="false">IF(ISNUMBER(SEARCH("/",B1997)),DATE(VALUE(RIGHT(B1997,4)),VALUE(MID(B1997,4,2)),VALUE(LEFT(B1997,2))),IF(MID(B1997,5,1)="-",DATE(VALUE(LEFT(B1997,4)),VALUE(MID(B1997,6,2)),VALUE(RIGHT(B1997,2))),DATE(VALUE(RIGHT(B1997,4)),MATCH(MID(B1997,4,3),{"Jan","Feb","Mar","Apr","May","Jun","Jul","Aug","Sep","Oct","Nov","Dec"},0),VALUE(LEFT(B1997,2)))))</f>
        <v>45825</v>
      </c>
    </row>
    <row r="1998" customFormat="false" ht="15" hidden="false" customHeight="false" outlineLevel="0" collapsed="false">
      <c r="A1998" s="7" t="s">
        <v>4745</v>
      </c>
      <c r="B1998" s="7" t="s">
        <v>2479</v>
      </c>
      <c r="C1998" s="7" t="s">
        <v>1643</v>
      </c>
      <c r="D1998" s="7" t="s">
        <v>1755</v>
      </c>
      <c r="E1998" s="7" t="s">
        <v>126</v>
      </c>
      <c r="F1998" s="7" t="s">
        <v>101</v>
      </c>
      <c r="G1998" s="7" t="s">
        <v>105</v>
      </c>
      <c r="H1998" s="7" t="n">
        <v>1</v>
      </c>
      <c r="I1998" s="7" t="n">
        <v>215</v>
      </c>
      <c r="J1998" s="7" t="n">
        <v>86</v>
      </c>
      <c r="K1998" s="7" t="s">
        <v>121</v>
      </c>
      <c r="L1998" s="7" t="s">
        <v>194</v>
      </c>
      <c r="M1998" s="7" t="n">
        <v>46</v>
      </c>
      <c r="N1998" s="7" t="n">
        <v>4</v>
      </c>
      <c r="O1998" s="7" t="str">
        <f aca="false">A1998&amp;"|"&amp;B1998&amp;"|"&amp;C1998&amp;"|"&amp;D1998&amp;"|"&amp;E1998&amp;"|"&amp;F1998&amp;"|"&amp;G1998&amp;"|"&amp;H1998&amp;"|"&amp;I1998&amp;"|"&amp;J1998&amp;"|"&amp;K1998&amp;"|"&amp;L1998&amp;"|"&amp;M1998&amp;"|"&amp;N1998</f>
        <v>ORD12471|2025-11-06|18:31|C0146|Dragon Express|Mumbai|Chinese|1|215|86|Wallet|Delivered|46|4</v>
      </c>
      <c r="P1998" s="7" t="str">
        <f aca="false">IF(COUNTIF($O$2:O1998,O1998)&gt;1,"DUP","OK")</f>
        <v>OK</v>
      </c>
      <c r="Q1998" s="7" t="n">
        <f aca="false">COUNTBLANK(A1998:N1998)</f>
        <v>0</v>
      </c>
      <c r="R1998" s="7" t="n">
        <f aca="false">IF(A1998="",0,COUNTIFS($A$2:$A$3058,A1998,$P$2:$P$3058,"OK"))</f>
        <v>1</v>
      </c>
      <c r="S1998" s="7" t="str">
        <f aca="false">IF(OR(A1998="",P1998="DUP",R1998&lt;2),"",IF(Q1998=_xlfn.MINIFS($Q$2:$Q$3058,$A$2:$A$3058,A1998,$P$2:$P$3058,"OK"),"KEEP","DROP"))</f>
        <v/>
      </c>
      <c r="T1998" s="9" t="n">
        <f aca="false">IF(A1998="",1,0)</f>
        <v>0</v>
      </c>
      <c r="U1998" s="9" t="n">
        <f aca="false">IF(D1998="",1,0)</f>
        <v>0</v>
      </c>
      <c r="V1998" s="9" t="n">
        <f aca="false">IF(E1998="",1,0)</f>
        <v>0</v>
      </c>
      <c r="W1998" s="9" t="n">
        <f aca="false">IF(OR(H1998&lt;1,H1998&gt;10),1,0)</f>
        <v>0</v>
      </c>
      <c r="X1998" s="9" t="n">
        <f aca="false">IF(OR(I1998&lt;=0,I1998&gt;1500),1,0)</f>
        <v>0</v>
      </c>
      <c r="Y1998" s="9" t="n">
        <f aca="false">IF(J1998&gt;H1998*I1998,1,0)</f>
        <v>0</v>
      </c>
      <c r="Z1998" s="9" t="n">
        <f aca="false">IF(AND(N1998&lt;&gt;"",OR(N1998&lt;1,N1998&gt;5)),1,0)</f>
        <v>0</v>
      </c>
      <c r="AA1998" s="9" t="n">
        <f aca="false">IF(AND(M1998&lt;&gt;"",OR(M1998&lt;5,M1998&gt;180)),1,0)</f>
        <v>0</v>
      </c>
      <c r="AB1998" s="7" t="str">
        <f aca="false">IF(P1998="DUP","Exact duplicate row",IF(T1998=1,"Missing Order ID",IF(S1998="DROP","Duplicate Order ID (less complete row)",IF(U1998=1,"Missing Customer ID",IF(V1998=1,"Missing Restaurant name",IF(W1998=1,"Invalid/outlier quantity",IF(X1998=1,"Invalid/outlier unit price",IF(Y1998=1,"Discount greater than order value",""))))))))</f>
        <v/>
      </c>
      <c r="AC1998" s="7" t="str">
        <f aca="false">IF(AB1998="","KEEP","DROP")</f>
        <v>KEEP</v>
      </c>
      <c r="AD1998" s="7" t="str">
        <f aca="false">IF(TRIM(F1998)="",IFERROR(INDEX(Map_Tables!$I$4:$I$37,MATCH(TRIM(E1998),Map_Tables!$G$4:$G$37,0)),""),IFERROR(INDEX(Map_Tables!$B$4:$B$18,MATCH(TRIM(F1998),Map_Tables!$A$4:$A$18,0)),"CHECK"))</f>
        <v>Mumbai</v>
      </c>
      <c r="AE1998" s="7" t="str">
        <f aca="false">IF(TRIM(E1998)="","",IFERROR(INDEX(Map_Tables!$H$4:$H$37,MATCH(TRIM(E1998),Map_Tables!$G$4:$G$37,0)),"CHECK"))</f>
        <v>Dragon Express</v>
      </c>
      <c r="AF1998" s="7" t="str">
        <f aca="false">IF(TRIM(K1998)="","Unknown",IFERROR(INDEX(Map_Tables!$E$4:$E$15,MATCH(TRIM(K1998),Map_Tables!$D$4:$D$15,0)),"CHECK"))</f>
        <v>Wallet</v>
      </c>
      <c r="AG1998" s="7" t="str">
        <f aca="false">IF(LEFT(LOWER(TRIM(L1998)),6)="cancel","Cancelled","Delivered")</f>
        <v>Delivered</v>
      </c>
      <c r="AH1998" s="10" t="n">
        <f aca="false">IF(ISNUMBER(SEARCH("/",B1998)),DATE(VALUE(RIGHT(B1998,4)),VALUE(MID(B1998,4,2)),VALUE(LEFT(B1998,2))),IF(MID(B1998,5,1)="-",DATE(VALUE(LEFT(B1998,4)),VALUE(MID(B1998,6,2)),VALUE(RIGHT(B1998,2))),DATE(VALUE(RIGHT(B1998,4)),MATCH(MID(B1998,4,3),{"Jan","Feb","Mar","Apr","May","Jun","Jul","Aug","Sep","Oct","Nov","Dec"},0),VALUE(LEFT(B1998,2)))))</f>
        <v>45967</v>
      </c>
    </row>
    <row r="1999" customFormat="false" ht="15" hidden="false" customHeight="false" outlineLevel="0" collapsed="false">
      <c r="A1999" s="7" t="s">
        <v>4746</v>
      </c>
      <c r="B1999" s="7" t="s">
        <v>768</v>
      </c>
      <c r="C1999" s="7" t="s">
        <v>896</v>
      </c>
      <c r="D1999" s="7" t="s">
        <v>2981</v>
      </c>
      <c r="E1999" s="7" t="s">
        <v>126</v>
      </c>
      <c r="F1999" s="7" t="s">
        <v>101</v>
      </c>
      <c r="G1999" s="7" t="s">
        <v>105</v>
      </c>
      <c r="H1999" s="7" t="n">
        <v>4</v>
      </c>
      <c r="I1999" s="7" t="n">
        <v>165</v>
      </c>
      <c r="J1999" s="7" t="n">
        <v>0</v>
      </c>
      <c r="K1999" s="7" t="s">
        <v>88</v>
      </c>
      <c r="L1999" s="7" t="s">
        <v>194</v>
      </c>
      <c r="M1999" s="7" t="n">
        <v>56</v>
      </c>
      <c r="N1999" s="7" t="n">
        <v>4</v>
      </c>
      <c r="O1999" s="7" t="str">
        <f aca="false">A1999&amp;"|"&amp;B1999&amp;"|"&amp;C1999&amp;"|"&amp;D1999&amp;"|"&amp;E1999&amp;"|"&amp;F1999&amp;"|"&amp;G1999&amp;"|"&amp;H1999&amp;"|"&amp;I1999&amp;"|"&amp;J1999&amp;"|"&amp;K1999&amp;"|"&amp;L1999&amp;"|"&amp;M1999&amp;"|"&amp;N1999</f>
        <v>ORD12566|2025-11-15|12:15|C0642|Dragon Express|Mumbai|Chinese|4|165|0|UPI|Delivered|56|4</v>
      </c>
      <c r="P1999" s="7" t="str">
        <f aca="false">IF(COUNTIF($O$2:O1999,O1999)&gt;1,"DUP","OK")</f>
        <v>OK</v>
      </c>
      <c r="Q1999" s="7" t="n">
        <f aca="false">COUNTBLANK(A1999:N1999)</f>
        <v>0</v>
      </c>
      <c r="R1999" s="7" t="n">
        <f aca="false">IF(A1999="",0,COUNTIFS($A$2:$A$3058,A1999,$P$2:$P$3058,"OK"))</f>
        <v>1</v>
      </c>
      <c r="S1999" s="7" t="str">
        <f aca="false">IF(OR(A1999="",P1999="DUP",R1999&lt;2),"",IF(Q1999=_xlfn.MINIFS($Q$2:$Q$3058,$A$2:$A$3058,A1999,$P$2:$P$3058,"OK"),"KEEP","DROP"))</f>
        <v/>
      </c>
      <c r="T1999" s="9" t="n">
        <f aca="false">IF(A1999="",1,0)</f>
        <v>0</v>
      </c>
      <c r="U1999" s="9" t="n">
        <f aca="false">IF(D1999="",1,0)</f>
        <v>0</v>
      </c>
      <c r="V1999" s="9" t="n">
        <f aca="false">IF(E1999="",1,0)</f>
        <v>0</v>
      </c>
      <c r="W1999" s="9" t="n">
        <f aca="false">IF(OR(H1999&lt;1,H1999&gt;10),1,0)</f>
        <v>0</v>
      </c>
      <c r="X1999" s="9" t="n">
        <f aca="false">IF(OR(I1999&lt;=0,I1999&gt;1500),1,0)</f>
        <v>0</v>
      </c>
      <c r="Y1999" s="9" t="n">
        <f aca="false">IF(J1999&gt;H1999*I1999,1,0)</f>
        <v>0</v>
      </c>
      <c r="Z1999" s="9" t="n">
        <f aca="false">IF(AND(N1999&lt;&gt;"",OR(N1999&lt;1,N1999&gt;5)),1,0)</f>
        <v>0</v>
      </c>
      <c r="AA1999" s="9" t="n">
        <f aca="false">IF(AND(M1999&lt;&gt;"",OR(M1999&lt;5,M1999&gt;180)),1,0)</f>
        <v>0</v>
      </c>
      <c r="AB1999" s="7" t="str">
        <f aca="false">IF(P1999="DUP","Exact duplicate row",IF(T1999=1,"Missing Order ID",IF(S1999="DROP","Duplicate Order ID (less complete row)",IF(U1999=1,"Missing Customer ID",IF(V1999=1,"Missing Restaurant name",IF(W1999=1,"Invalid/outlier quantity",IF(X1999=1,"Invalid/outlier unit price",IF(Y1999=1,"Discount greater than order value",""))))))))</f>
        <v/>
      </c>
      <c r="AC1999" s="7" t="str">
        <f aca="false">IF(AB1999="","KEEP","DROP")</f>
        <v>KEEP</v>
      </c>
      <c r="AD1999" s="7" t="str">
        <f aca="false">IF(TRIM(F1999)="",IFERROR(INDEX(Map_Tables!$I$4:$I$37,MATCH(TRIM(E1999),Map_Tables!$G$4:$G$37,0)),""),IFERROR(INDEX(Map_Tables!$B$4:$B$18,MATCH(TRIM(F1999),Map_Tables!$A$4:$A$18,0)),"CHECK"))</f>
        <v>Mumbai</v>
      </c>
      <c r="AE1999" s="7" t="str">
        <f aca="false">IF(TRIM(E1999)="","",IFERROR(INDEX(Map_Tables!$H$4:$H$37,MATCH(TRIM(E1999),Map_Tables!$G$4:$G$37,0)),"CHECK"))</f>
        <v>Dragon Express</v>
      </c>
      <c r="AF1999" s="7" t="str">
        <f aca="false">IF(TRIM(K1999)="","Unknown",IFERROR(INDEX(Map_Tables!$E$4:$E$15,MATCH(TRIM(K1999),Map_Tables!$D$4:$D$15,0)),"CHECK"))</f>
        <v>UPI</v>
      </c>
      <c r="AG1999" s="7" t="str">
        <f aca="false">IF(LEFT(LOWER(TRIM(L1999)),6)="cancel","Cancelled","Delivered")</f>
        <v>Delivered</v>
      </c>
      <c r="AH1999" s="10" t="n">
        <f aca="false">IF(ISNUMBER(SEARCH("/",B1999)),DATE(VALUE(RIGHT(B1999,4)),VALUE(MID(B1999,4,2)),VALUE(LEFT(B1999,2))),IF(MID(B1999,5,1)="-",DATE(VALUE(LEFT(B1999,4)),VALUE(MID(B1999,6,2)),VALUE(RIGHT(B1999,2))),DATE(VALUE(RIGHT(B1999,4)),MATCH(MID(B1999,4,3),{"Jan","Feb","Mar","Apr","May","Jun","Jul","Aug","Sep","Oct","Nov","Dec"},0),VALUE(LEFT(B1999,2)))))</f>
        <v>45976</v>
      </c>
    </row>
    <row r="2000" customFormat="false" ht="15" hidden="false" customHeight="false" outlineLevel="0" collapsed="false">
      <c r="A2000" s="7" t="s">
        <v>4747</v>
      </c>
      <c r="B2000" s="7" t="s">
        <v>414</v>
      </c>
      <c r="C2000" s="7" t="s">
        <v>4741</v>
      </c>
      <c r="D2000" s="7" t="s">
        <v>2188</v>
      </c>
      <c r="E2000" s="7" t="s">
        <v>163</v>
      </c>
      <c r="F2000" s="7" t="s">
        <v>140</v>
      </c>
      <c r="G2000" s="7" t="s">
        <v>99</v>
      </c>
      <c r="H2000" s="7" t="n">
        <v>2</v>
      </c>
      <c r="I2000" s="7" t="n">
        <v>290</v>
      </c>
      <c r="J2000" s="7" t="n">
        <v>75</v>
      </c>
      <c r="K2000" s="7" t="s">
        <v>112</v>
      </c>
      <c r="L2000" s="7" t="s">
        <v>194</v>
      </c>
      <c r="M2000" s="7" t="n">
        <v>37</v>
      </c>
      <c r="N2000" s="7" t="n">
        <v>3</v>
      </c>
      <c r="O2000" s="7" t="str">
        <f aca="false">A2000&amp;"|"&amp;B2000&amp;"|"&amp;C2000&amp;"|"&amp;D2000&amp;"|"&amp;E2000&amp;"|"&amp;F2000&amp;"|"&amp;G2000&amp;"|"&amp;H2000&amp;"|"&amp;I2000&amp;"|"&amp;J2000&amp;"|"&amp;K2000&amp;"|"&amp;L2000&amp;"|"&amp;M2000&amp;"|"&amp;N2000</f>
        <v>ORD10418|2025-02-25|21:08|C0323|Biryani Baadshah|kolkata|Biryani|2|290|75|Cash on Delivery|Delivered|37|3</v>
      </c>
      <c r="P2000" s="7" t="str">
        <f aca="false">IF(COUNTIF($O$2:O2000,O2000)&gt;1,"DUP","OK")</f>
        <v>OK</v>
      </c>
      <c r="Q2000" s="7" t="n">
        <f aca="false">COUNTBLANK(A2000:N2000)</f>
        <v>0</v>
      </c>
      <c r="R2000" s="7" t="n">
        <f aca="false">IF(A2000="",0,COUNTIFS($A$2:$A$3058,A2000,$P$2:$P$3058,"OK"))</f>
        <v>1</v>
      </c>
      <c r="S2000" s="7" t="str">
        <f aca="false">IF(OR(A2000="",P2000="DUP",R2000&lt;2),"",IF(Q2000=_xlfn.MINIFS($Q$2:$Q$3058,$A$2:$A$3058,A2000,$P$2:$P$3058,"OK"),"KEEP","DROP"))</f>
        <v/>
      </c>
      <c r="T2000" s="9" t="n">
        <f aca="false">IF(A2000="",1,0)</f>
        <v>0</v>
      </c>
      <c r="U2000" s="9" t="n">
        <f aca="false">IF(D2000="",1,0)</f>
        <v>0</v>
      </c>
      <c r="V2000" s="9" t="n">
        <f aca="false">IF(E2000="",1,0)</f>
        <v>0</v>
      </c>
      <c r="W2000" s="9" t="n">
        <f aca="false">IF(OR(H2000&lt;1,H2000&gt;10),1,0)</f>
        <v>0</v>
      </c>
      <c r="X2000" s="9" t="n">
        <f aca="false">IF(OR(I2000&lt;=0,I2000&gt;1500),1,0)</f>
        <v>0</v>
      </c>
      <c r="Y2000" s="9" t="n">
        <f aca="false">IF(J2000&gt;H2000*I2000,1,0)</f>
        <v>0</v>
      </c>
      <c r="Z2000" s="9" t="n">
        <f aca="false">IF(AND(N2000&lt;&gt;"",OR(N2000&lt;1,N2000&gt;5)),1,0)</f>
        <v>0</v>
      </c>
      <c r="AA2000" s="9" t="n">
        <f aca="false">IF(AND(M2000&lt;&gt;"",OR(M2000&lt;5,M2000&gt;180)),1,0)</f>
        <v>0</v>
      </c>
      <c r="AB2000" s="7" t="str">
        <f aca="false">IF(P2000="DUP","Exact duplicate row",IF(T2000=1,"Missing Order ID",IF(S2000="DROP","Duplicate Order ID (less complete row)",IF(U2000=1,"Missing Customer ID",IF(V2000=1,"Missing Restaurant name",IF(W2000=1,"Invalid/outlier quantity",IF(X2000=1,"Invalid/outlier unit price",IF(Y2000=1,"Discount greater than order value",""))))))))</f>
        <v/>
      </c>
      <c r="AC2000" s="7" t="str">
        <f aca="false">IF(AB2000="","KEEP","DROP")</f>
        <v>KEEP</v>
      </c>
      <c r="AD2000" s="7" t="str">
        <f aca="false">IF(TRIM(F2000)="",IFERROR(INDEX(Map_Tables!$I$4:$I$37,MATCH(TRIM(E2000),Map_Tables!$G$4:$G$37,0)),""),IFERROR(INDEX(Map_Tables!$B$4:$B$18,MATCH(TRIM(F2000),Map_Tables!$A$4:$A$18,0)),"CHECK"))</f>
        <v>Kolkata</v>
      </c>
      <c r="AE2000" s="7" t="str">
        <f aca="false">IF(TRIM(E2000)="","",IFERROR(INDEX(Map_Tables!$H$4:$H$37,MATCH(TRIM(E2000),Map_Tables!$G$4:$G$37,0)),"CHECK"))</f>
        <v>Biryani Baadshah</v>
      </c>
      <c r="AF2000" s="7" t="str">
        <f aca="false">IF(TRIM(K2000)="","Unknown",IFERROR(INDEX(Map_Tables!$E$4:$E$15,MATCH(TRIM(K2000),Map_Tables!$D$4:$D$15,0)),"CHECK"))</f>
        <v>Cash on Delivery</v>
      </c>
      <c r="AG2000" s="7" t="str">
        <f aca="false">IF(LEFT(LOWER(TRIM(L2000)),6)="cancel","Cancelled","Delivered")</f>
        <v>Delivered</v>
      </c>
      <c r="AH2000" s="10" t="n">
        <f aca="false">IF(ISNUMBER(SEARCH("/",B2000)),DATE(VALUE(RIGHT(B2000,4)),VALUE(MID(B2000,4,2)),VALUE(LEFT(B2000,2))),IF(MID(B2000,5,1)="-",DATE(VALUE(LEFT(B2000,4)),VALUE(MID(B2000,6,2)),VALUE(RIGHT(B2000,2))),DATE(VALUE(RIGHT(B2000,4)),MATCH(MID(B2000,4,3),{"Jan","Feb","Mar","Apr","May","Jun","Jul","Aug","Sep","Oct","Nov","Dec"},0),VALUE(LEFT(B2000,2)))))</f>
        <v>45713</v>
      </c>
    </row>
    <row r="2001" customFormat="false" ht="15" hidden="false" customHeight="false" outlineLevel="0" collapsed="false">
      <c r="A2001" s="7" t="s">
        <v>4748</v>
      </c>
      <c r="B2001" s="7" t="s">
        <v>892</v>
      </c>
      <c r="C2001" s="7" t="s">
        <v>4749</v>
      </c>
      <c r="D2001" s="7" t="s">
        <v>974</v>
      </c>
      <c r="E2001" s="7" t="s">
        <v>130</v>
      </c>
      <c r="F2001" s="7" t="s">
        <v>110</v>
      </c>
      <c r="G2001" s="7" t="s">
        <v>90</v>
      </c>
      <c r="H2001" s="7" t="n">
        <v>1</v>
      </c>
      <c r="I2001" s="7" t="n">
        <v>265</v>
      </c>
      <c r="J2001" s="7" t="n">
        <v>0</v>
      </c>
      <c r="K2001" s="7" t="s">
        <v>88</v>
      </c>
      <c r="L2001" s="7" t="s">
        <v>194</v>
      </c>
      <c r="M2001" s="7" t="n">
        <v>23</v>
      </c>
      <c r="N2001" s="7" t="n">
        <v>4</v>
      </c>
      <c r="O2001" s="7" t="str">
        <f aca="false">A2001&amp;"|"&amp;B2001&amp;"|"&amp;C2001&amp;"|"&amp;D2001&amp;"|"&amp;E2001&amp;"|"&amp;F2001&amp;"|"&amp;G2001&amp;"|"&amp;H2001&amp;"|"&amp;I2001&amp;"|"&amp;J2001&amp;"|"&amp;K2001&amp;"|"&amp;L2001&amp;"|"&amp;M2001&amp;"|"&amp;N2001</f>
        <v>ORD12529|2025-11-12|15:30|C0036|Tandoor Tales|Delhi|North Indian|1|265|0|UPI|Delivered|23|4</v>
      </c>
      <c r="P2001" s="7" t="str">
        <f aca="false">IF(COUNTIF($O$2:O2001,O2001)&gt;1,"DUP","OK")</f>
        <v>OK</v>
      </c>
      <c r="Q2001" s="7" t="n">
        <f aca="false">COUNTBLANK(A2001:N2001)</f>
        <v>0</v>
      </c>
      <c r="R2001" s="7" t="n">
        <f aca="false">IF(A2001="",0,COUNTIFS($A$2:$A$3058,A2001,$P$2:$P$3058,"OK"))</f>
        <v>1</v>
      </c>
      <c r="S2001" s="7" t="str">
        <f aca="false">IF(OR(A2001="",P2001="DUP",R2001&lt;2),"",IF(Q2001=_xlfn.MINIFS($Q$2:$Q$3058,$A$2:$A$3058,A2001,$P$2:$P$3058,"OK"),"KEEP","DROP"))</f>
        <v/>
      </c>
      <c r="T2001" s="9" t="n">
        <f aca="false">IF(A2001="",1,0)</f>
        <v>0</v>
      </c>
      <c r="U2001" s="9" t="n">
        <f aca="false">IF(D2001="",1,0)</f>
        <v>0</v>
      </c>
      <c r="V2001" s="9" t="n">
        <f aca="false">IF(E2001="",1,0)</f>
        <v>0</v>
      </c>
      <c r="W2001" s="9" t="n">
        <f aca="false">IF(OR(H2001&lt;1,H2001&gt;10),1,0)</f>
        <v>0</v>
      </c>
      <c r="X2001" s="9" t="n">
        <f aca="false">IF(OR(I2001&lt;=0,I2001&gt;1500),1,0)</f>
        <v>0</v>
      </c>
      <c r="Y2001" s="9" t="n">
        <f aca="false">IF(J2001&gt;H2001*I2001,1,0)</f>
        <v>0</v>
      </c>
      <c r="Z2001" s="9" t="n">
        <f aca="false">IF(AND(N2001&lt;&gt;"",OR(N2001&lt;1,N2001&gt;5)),1,0)</f>
        <v>0</v>
      </c>
      <c r="AA2001" s="9" t="n">
        <f aca="false">IF(AND(M2001&lt;&gt;"",OR(M2001&lt;5,M2001&gt;180)),1,0)</f>
        <v>0</v>
      </c>
      <c r="AB2001" s="7" t="str">
        <f aca="false">IF(P2001="DUP","Exact duplicate row",IF(T2001=1,"Missing Order ID",IF(S2001="DROP","Duplicate Order ID (less complete row)",IF(U2001=1,"Missing Customer ID",IF(V2001=1,"Missing Restaurant name",IF(W2001=1,"Invalid/outlier quantity",IF(X2001=1,"Invalid/outlier unit price",IF(Y2001=1,"Discount greater than order value",""))))))))</f>
        <v/>
      </c>
      <c r="AC2001" s="7" t="str">
        <f aca="false">IF(AB2001="","KEEP","DROP")</f>
        <v>KEEP</v>
      </c>
      <c r="AD2001" s="7" t="str">
        <f aca="false">IF(TRIM(F2001)="",IFERROR(INDEX(Map_Tables!$I$4:$I$37,MATCH(TRIM(E2001),Map_Tables!$G$4:$G$37,0)),""),IFERROR(INDEX(Map_Tables!$B$4:$B$18,MATCH(TRIM(F2001),Map_Tables!$A$4:$A$18,0)),"CHECK"))</f>
        <v>Delhi</v>
      </c>
      <c r="AE2001" s="7" t="str">
        <f aca="false">IF(TRIM(E2001)="","",IFERROR(INDEX(Map_Tables!$H$4:$H$37,MATCH(TRIM(E2001),Map_Tables!$G$4:$G$37,0)),"CHECK"))</f>
        <v>Tandoor Tales</v>
      </c>
      <c r="AF2001" s="7" t="str">
        <f aca="false">IF(TRIM(K2001)="","Unknown",IFERROR(INDEX(Map_Tables!$E$4:$E$15,MATCH(TRIM(K2001),Map_Tables!$D$4:$D$15,0)),"CHECK"))</f>
        <v>UPI</v>
      </c>
      <c r="AG2001" s="7" t="str">
        <f aca="false">IF(LEFT(LOWER(TRIM(L2001)),6)="cancel","Cancelled","Delivered")</f>
        <v>Delivered</v>
      </c>
      <c r="AH2001" s="10" t="n">
        <f aca="false">IF(ISNUMBER(SEARCH("/",B2001)),DATE(VALUE(RIGHT(B2001,4)),VALUE(MID(B2001,4,2)),VALUE(LEFT(B2001,2))),IF(MID(B2001,5,1)="-",DATE(VALUE(LEFT(B2001,4)),VALUE(MID(B2001,6,2)),VALUE(RIGHT(B2001,2))),DATE(VALUE(RIGHT(B2001,4)),MATCH(MID(B2001,4,3),{"Jan","Feb","Mar","Apr","May","Jun","Jul","Aug","Sep","Oct","Nov","Dec"},0),VALUE(LEFT(B2001,2)))))</f>
        <v>45973</v>
      </c>
    </row>
    <row r="2002" customFormat="false" ht="15" hidden="false" customHeight="false" outlineLevel="0" collapsed="false">
      <c r="A2002" s="7" t="s">
        <v>4750</v>
      </c>
      <c r="B2002" s="7" t="s">
        <v>938</v>
      </c>
      <c r="C2002" s="7" t="s">
        <v>4751</v>
      </c>
      <c r="D2002" s="7" t="s">
        <v>2297</v>
      </c>
      <c r="E2002" s="7" t="s">
        <v>113</v>
      </c>
      <c r="F2002" s="7" t="s">
        <v>101</v>
      </c>
      <c r="G2002" s="7" t="s">
        <v>90</v>
      </c>
      <c r="H2002" s="7" t="n">
        <v>3</v>
      </c>
      <c r="I2002" s="7" t="n">
        <v>235</v>
      </c>
      <c r="J2002" s="7" t="n">
        <v>0</v>
      </c>
      <c r="K2002" s="7" t="s">
        <v>93</v>
      </c>
      <c r="L2002" s="7" t="s">
        <v>194</v>
      </c>
      <c r="M2002" s="7" t="n">
        <v>36</v>
      </c>
      <c r="N2002" s="7" t="n">
        <v>3</v>
      </c>
      <c r="O2002" s="7" t="str">
        <f aca="false">A2002&amp;"|"&amp;B2002&amp;"|"&amp;C2002&amp;"|"&amp;D2002&amp;"|"&amp;E2002&amp;"|"&amp;F2002&amp;"|"&amp;G2002&amp;"|"&amp;H2002&amp;"|"&amp;I2002&amp;"|"&amp;J2002&amp;"|"&amp;K2002&amp;"|"&amp;L2002&amp;"|"&amp;M2002&amp;"|"&amp;N2002</f>
        <v>ORD10870|2025-04-20|14:13|C0730|Curry Leaf Kitchen|Mumbai|North Indian|3|235|0|Credit Card|Delivered|36|3</v>
      </c>
      <c r="P2002" s="7" t="str">
        <f aca="false">IF(COUNTIF($O$2:O2002,O2002)&gt;1,"DUP","OK")</f>
        <v>OK</v>
      </c>
      <c r="Q2002" s="7" t="n">
        <f aca="false">COUNTBLANK(A2002:N2002)</f>
        <v>0</v>
      </c>
      <c r="R2002" s="7" t="n">
        <f aca="false">IF(A2002="",0,COUNTIFS($A$2:$A$3058,A2002,$P$2:$P$3058,"OK"))</f>
        <v>1</v>
      </c>
      <c r="S2002" s="7" t="str">
        <f aca="false">IF(OR(A2002="",P2002="DUP",R2002&lt;2),"",IF(Q2002=_xlfn.MINIFS($Q$2:$Q$3058,$A$2:$A$3058,A2002,$P$2:$P$3058,"OK"),"KEEP","DROP"))</f>
        <v/>
      </c>
      <c r="T2002" s="9" t="n">
        <f aca="false">IF(A2002="",1,0)</f>
        <v>0</v>
      </c>
      <c r="U2002" s="9" t="n">
        <f aca="false">IF(D2002="",1,0)</f>
        <v>0</v>
      </c>
      <c r="V2002" s="9" t="n">
        <f aca="false">IF(E2002="",1,0)</f>
        <v>0</v>
      </c>
      <c r="W2002" s="9" t="n">
        <f aca="false">IF(OR(H2002&lt;1,H2002&gt;10),1,0)</f>
        <v>0</v>
      </c>
      <c r="X2002" s="9" t="n">
        <f aca="false">IF(OR(I2002&lt;=0,I2002&gt;1500),1,0)</f>
        <v>0</v>
      </c>
      <c r="Y2002" s="9" t="n">
        <f aca="false">IF(J2002&gt;H2002*I2002,1,0)</f>
        <v>0</v>
      </c>
      <c r="Z2002" s="9" t="n">
        <f aca="false">IF(AND(N2002&lt;&gt;"",OR(N2002&lt;1,N2002&gt;5)),1,0)</f>
        <v>0</v>
      </c>
      <c r="AA2002" s="9" t="n">
        <f aca="false">IF(AND(M2002&lt;&gt;"",OR(M2002&lt;5,M2002&gt;180)),1,0)</f>
        <v>0</v>
      </c>
      <c r="AB2002" s="7" t="str">
        <f aca="false">IF(P2002="DUP","Exact duplicate row",IF(T2002=1,"Missing Order ID",IF(S2002="DROP","Duplicate Order ID (less complete row)",IF(U2002=1,"Missing Customer ID",IF(V2002=1,"Missing Restaurant name",IF(W2002=1,"Invalid/outlier quantity",IF(X2002=1,"Invalid/outlier unit price",IF(Y2002=1,"Discount greater than order value",""))))))))</f>
        <v/>
      </c>
      <c r="AC2002" s="7" t="str">
        <f aca="false">IF(AB2002="","KEEP","DROP")</f>
        <v>KEEP</v>
      </c>
      <c r="AD2002" s="7" t="str">
        <f aca="false">IF(TRIM(F2002)="",IFERROR(INDEX(Map_Tables!$I$4:$I$37,MATCH(TRIM(E2002),Map_Tables!$G$4:$G$37,0)),""),IFERROR(INDEX(Map_Tables!$B$4:$B$18,MATCH(TRIM(F2002),Map_Tables!$A$4:$A$18,0)),"CHECK"))</f>
        <v>Mumbai</v>
      </c>
      <c r="AE2002" s="7" t="str">
        <f aca="false">IF(TRIM(E2002)="","",IFERROR(INDEX(Map_Tables!$H$4:$H$37,MATCH(TRIM(E2002),Map_Tables!$G$4:$G$37,0)),"CHECK"))</f>
        <v>Curry Leaf Kitchen</v>
      </c>
      <c r="AF2002" s="7" t="str">
        <f aca="false">IF(TRIM(K2002)="","Unknown",IFERROR(INDEX(Map_Tables!$E$4:$E$15,MATCH(TRIM(K2002),Map_Tables!$D$4:$D$15,0)),"CHECK"))</f>
        <v>Credit Card</v>
      </c>
      <c r="AG2002" s="7" t="str">
        <f aca="false">IF(LEFT(LOWER(TRIM(L2002)),6)="cancel","Cancelled","Delivered")</f>
        <v>Delivered</v>
      </c>
      <c r="AH2002" s="10" t="n">
        <f aca="false">IF(ISNUMBER(SEARCH("/",B2002)),DATE(VALUE(RIGHT(B2002,4)),VALUE(MID(B2002,4,2)),VALUE(LEFT(B2002,2))),IF(MID(B2002,5,1)="-",DATE(VALUE(LEFT(B2002,4)),VALUE(MID(B2002,6,2)),VALUE(RIGHT(B2002,2))),DATE(VALUE(RIGHT(B2002,4)),MATCH(MID(B2002,4,3),{"Jan","Feb","Mar","Apr","May","Jun","Jul","Aug","Sep","Oct","Nov","Dec"},0),VALUE(LEFT(B2002,2)))))</f>
        <v>45767</v>
      </c>
    </row>
    <row r="2003" customFormat="false" ht="15" hidden="false" customHeight="false" outlineLevel="0" collapsed="false">
      <c r="A2003" s="7" t="s">
        <v>4752</v>
      </c>
      <c r="B2003" s="7" t="s">
        <v>4373</v>
      </c>
      <c r="C2003" s="7" t="s">
        <v>369</v>
      </c>
      <c r="D2003" s="7" t="s">
        <v>2728</v>
      </c>
      <c r="E2003" s="7" t="s">
        <v>158</v>
      </c>
      <c r="F2003" s="7" t="s">
        <v>136</v>
      </c>
      <c r="G2003" s="7" t="s">
        <v>139</v>
      </c>
      <c r="H2003" s="7" t="n">
        <v>1</v>
      </c>
      <c r="I2003" s="7" t="n">
        <v>235</v>
      </c>
      <c r="J2003" s="7" t="n">
        <v>0</v>
      </c>
      <c r="K2003" s="7" t="s">
        <v>229</v>
      </c>
      <c r="L2003" s="7" t="s">
        <v>238</v>
      </c>
      <c r="M2003" s="7"/>
      <c r="N2003" s="7"/>
      <c r="O2003" s="7" t="str">
        <f aca="false">A2003&amp;"|"&amp;B2003&amp;"|"&amp;C2003&amp;"|"&amp;D2003&amp;"|"&amp;E2003&amp;"|"&amp;F2003&amp;"|"&amp;G2003&amp;"|"&amp;H2003&amp;"|"&amp;I2003&amp;"|"&amp;J2003&amp;"|"&amp;K2003&amp;"|"&amp;L2003&amp;"|"&amp;M2003&amp;"|"&amp;N2003</f>
        <v>ORD12480|2025-11-07|19:29|C1500|Pune Burger Hub|Pune|Burgers|1|235|0|Upi|Cancelled||</v>
      </c>
      <c r="P2003" s="7" t="str">
        <f aca="false">IF(COUNTIF($O$2:O2003,O2003)&gt;1,"DUP","OK")</f>
        <v>OK</v>
      </c>
      <c r="Q2003" s="7" t="n">
        <f aca="false">COUNTBLANK(A2003:N2003)</f>
        <v>2</v>
      </c>
      <c r="R2003" s="7" t="n">
        <f aca="false">IF(A2003="",0,COUNTIFS($A$2:$A$3058,A2003,$P$2:$P$3058,"OK"))</f>
        <v>1</v>
      </c>
      <c r="S2003" s="7" t="str">
        <f aca="false">IF(OR(A2003="",P2003="DUP",R2003&lt;2),"",IF(Q2003=_xlfn.MINIFS($Q$2:$Q$3058,$A$2:$A$3058,A2003,$P$2:$P$3058,"OK"),"KEEP","DROP"))</f>
        <v/>
      </c>
      <c r="T2003" s="9" t="n">
        <f aca="false">IF(A2003="",1,0)</f>
        <v>0</v>
      </c>
      <c r="U2003" s="9" t="n">
        <f aca="false">IF(D2003="",1,0)</f>
        <v>0</v>
      </c>
      <c r="V2003" s="9" t="n">
        <f aca="false">IF(E2003="",1,0)</f>
        <v>0</v>
      </c>
      <c r="W2003" s="9" t="n">
        <f aca="false">IF(OR(H2003&lt;1,H2003&gt;10),1,0)</f>
        <v>0</v>
      </c>
      <c r="X2003" s="9" t="n">
        <f aca="false">IF(OR(I2003&lt;=0,I2003&gt;1500),1,0)</f>
        <v>0</v>
      </c>
      <c r="Y2003" s="9" t="n">
        <f aca="false">IF(J2003&gt;H2003*I2003,1,0)</f>
        <v>0</v>
      </c>
      <c r="Z2003" s="9" t="n">
        <f aca="false">IF(AND(N2003&lt;&gt;"",OR(N2003&lt;1,N2003&gt;5)),1,0)</f>
        <v>0</v>
      </c>
      <c r="AA2003" s="9" t="n">
        <f aca="false">IF(AND(M2003&lt;&gt;"",OR(M2003&lt;5,M2003&gt;180)),1,0)</f>
        <v>0</v>
      </c>
      <c r="AB2003" s="7" t="str">
        <f aca="false">IF(P2003="DUP","Exact duplicate row",IF(T2003=1,"Missing Order ID",IF(S2003="DROP","Duplicate Order ID (less complete row)",IF(U2003=1,"Missing Customer ID",IF(V2003=1,"Missing Restaurant name",IF(W2003=1,"Invalid/outlier quantity",IF(X2003=1,"Invalid/outlier unit price",IF(Y2003=1,"Discount greater than order value",""))))))))</f>
        <v/>
      </c>
      <c r="AC2003" s="7" t="str">
        <f aca="false">IF(AB2003="","KEEP","DROP")</f>
        <v>KEEP</v>
      </c>
      <c r="AD2003" s="7" t="str">
        <f aca="false">IF(TRIM(F2003)="",IFERROR(INDEX(Map_Tables!$I$4:$I$37,MATCH(TRIM(E2003),Map_Tables!$G$4:$G$37,0)),""),IFERROR(INDEX(Map_Tables!$B$4:$B$18,MATCH(TRIM(F2003),Map_Tables!$A$4:$A$18,0)),"CHECK"))</f>
        <v>Pune</v>
      </c>
      <c r="AE2003" s="7" t="str">
        <f aca="false">IF(TRIM(E2003)="","",IFERROR(INDEX(Map_Tables!$H$4:$H$37,MATCH(TRIM(E2003),Map_Tables!$G$4:$G$37,0)),"CHECK"))</f>
        <v>Pune Burger Hub</v>
      </c>
      <c r="AF2003" s="7" t="str">
        <f aca="false">IF(TRIM(K2003)="","Unknown",IFERROR(INDEX(Map_Tables!$E$4:$E$15,MATCH(TRIM(K2003),Map_Tables!$D$4:$D$15,0)),"CHECK"))</f>
        <v>UPI</v>
      </c>
      <c r="AG2003" s="7" t="str">
        <f aca="false">IF(LEFT(LOWER(TRIM(L2003)),6)="cancel","Cancelled","Delivered")</f>
        <v>Cancelled</v>
      </c>
      <c r="AH2003" s="10" t="n">
        <f aca="false">IF(ISNUMBER(SEARCH("/",B2003)),DATE(VALUE(RIGHT(B2003,4)),VALUE(MID(B2003,4,2)),VALUE(LEFT(B2003,2))),IF(MID(B2003,5,1)="-",DATE(VALUE(LEFT(B2003,4)),VALUE(MID(B2003,6,2)),VALUE(RIGHT(B2003,2))),DATE(VALUE(RIGHT(B2003,4)),MATCH(MID(B2003,4,3),{"Jan","Feb","Mar","Apr","May","Jun","Jul","Aug","Sep","Oct","Nov","Dec"},0),VALUE(LEFT(B2003,2)))))</f>
        <v>45968</v>
      </c>
    </row>
    <row r="2004" customFormat="false" ht="15" hidden="false" customHeight="false" outlineLevel="0" collapsed="false">
      <c r="A2004" s="7" t="s">
        <v>4753</v>
      </c>
      <c r="B2004" s="7" t="s">
        <v>1458</v>
      </c>
      <c r="C2004" s="7" t="s">
        <v>3038</v>
      </c>
      <c r="D2004" s="7" t="s">
        <v>1343</v>
      </c>
      <c r="E2004" s="7" t="s">
        <v>122</v>
      </c>
      <c r="F2004" s="7" t="s">
        <v>100</v>
      </c>
      <c r="G2004" s="7" t="s">
        <v>123</v>
      </c>
      <c r="H2004" s="7" t="n">
        <v>1</v>
      </c>
      <c r="I2004" s="7" t="n">
        <v>400</v>
      </c>
      <c r="J2004" s="7" t="n">
        <v>0</v>
      </c>
      <c r="K2004" s="7" t="s">
        <v>112</v>
      </c>
      <c r="L2004" s="7" t="s">
        <v>194</v>
      </c>
      <c r="M2004" s="7" t="n">
        <v>44</v>
      </c>
      <c r="N2004" s="7" t="n">
        <v>5</v>
      </c>
      <c r="O2004" s="7" t="str">
        <f aca="false">A2004&amp;"|"&amp;B2004&amp;"|"&amp;C2004&amp;"|"&amp;D2004&amp;"|"&amp;E2004&amp;"|"&amp;F2004&amp;"|"&amp;G2004&amp;"|"&amp;H2004&amp;"|"&amp;I2004&amp;"|"&amp;J2004&amp;"|"&amp;K2004&amp;"|"&amp;L2004&amp;"|"&amp;M2004&amp;"|"&amp;N2004</f>
        <v>ORD11031|2025-05-10|19:15|C0753|Mumbai Pizza Co|mumbai|Pizza|1|400|0|Cash on Delivery|Delivered|44|5</v>
      </c>
      <c r="P2004" s="7" t="str">
        <f aca="false">IF(COUNTIF($O$2:O2004,O2004)&gt;1,"DUP","OK")</f>
        <v>OK</v>
      </c>
      <c r="Q2004" s="7" t="n">
        <f aca="false">COUNTBLANK(A2004:N2004)</f>
        <v>0</v>
      </c>
      <c r="R2004" s="7" t="n">
        <f aca="false">IF(A2004="",0,COUNTIFS($A$2:$A$3058,A2004,$P$2:$P$3058,"OK"))</f>
        <v>1</v>
      </c>
      <c r="S2004" s="7" t="str">
        <f aca="false">IF(OR(A2004="",P2004="DUP",R2004&lt;2),"",IF(Q2004=_xlfn.MINIFS($Q$2:$Q$3058,$A$2:$A$3058,A2004,$P$2:$P$3058,"OK"),"KEEP","DROP"))</f>
        <v/>
      </c>
      <c r="T2004" s="9" t="n">
        <f aca="false">IF(A2004="",1,0)</f>
        <v>0</v>
      </c>
      <c r="U2004" s="9" t="n">
        <f aca="false">IF(D2004="",1,0)</f>
        <v>0</v>
      </c>
      <c r="V2004" s="9" t="n">
        <f aca="false">IF(E2004="",1,0)</f>
        <v>0</v>
      </c>
      <c r="W2004" s="9" t="n">
        <f aca="false">IF(OR(H2004&lt;1,H2004&gt;10),1,0)</f>
        <v>0</v>
      </c>
      <c r="X2004" s="9" t="n">
        <f aca="false">IF(OR(I2004&lt;=0,I2004&gt;1500),1,0)</f>
        <v>0</v>
      </c>
      <c r="Y2004" s="9" t="n">
        <f aca="false">IF(J2004&gt;H2004*I2004,1,0)</f>
        <v>0</v>
      </c>
      <c r="Z2004" s="9" t="n">
        <f aca="false">IF(AND(N2004&lt;&gt;"",OR(N2004&lt;1,N2004&gt;5)),1,0)</f>
        <v>0</v>
      </c>
      <c r="AA2004" s="9" t="n">
        <f aca="false">IF(AND(M2004&lt;&gt;"",OR(M2004&lt;5,M2004&gt;180)),1,0)</f>
        <v>0</v>
      </c>
      <c r="AB2004" s="7" t="str">
        <f aca="false">IF(P2004="DUP","Exact duplicate row",IF(T2004=1,"Missing Order ID",IF(S2004="DROP","Duplicate Order ID (less complete row)",IF(U2004=1,"Missing Customer ID",IF(V2004=1,"Missing Restaurant name",IF(W2004=1,"Invalid/outlier quantity",IF(X2004=1,"Invalid/outlier unit price",IF(Y2004=1,"Discount greater than order value",""))))))))</f>
        <v/>
      </c>
      <c r="AC2004" s="7" t="str">
        <f aca="false">IF(AB2004="","KEEP","DROP")</f>
        <v>KEEP</v>
      </c>
      <c r="AD2004" s="7" t="str">
        <f aca="false">IF(TRIM(F2004)="",IFERROR(INDEX(Map_Tables!$I$4:$I$37,MATCH(TRIM(E2004),Map_Tables!$G$4:$G$37,0)),""),IFERROR(INDEX(Map_Tables!$B$4:$B$18,MATCH(TRIM(F2004),Map_Tables!$A$4:$A$18,0)),"CHECK"))</f>
        <v>Mumbai</v>
      </c>
      <c r="AE2004" s="7" t="str">
        <f aca="false">IF(TRIM(E2004)="","",IFERROR(INDEX(Map_Tables!$H$4:$H$37,MATCH(TRIM(E2004),Map_Tables!$G$4:$G$37,0)),"CHECK"))</f>
        <v>Mumbai Pizza Co</v>
      </c>
      <c r="AF2004" s="7" t="str">
        <f aca="false">IF(TRIM(K2004)="","Unknown",IFERROR(INDEX(Map_Tables!$E$4:$E$15,MATCH(TRIM(K2004),Map_Tables!$D$4:$D$15,0)),"CHECK"))</f>
        <v>Cash on Delivery</v>
      </c>
      <c r="AG2004" s="7" t="str">
        <f aca="false">IF(LEFT(LOWER(TRIM(L2004)),6)="cancel","Cancelled","Delivered")</f>
        <v>Delivered</v>
      </c>
      <c r="AH2004" s="10" t="n">
        <f aca="false">IF(ISNUMBER(SEARCH("/",B2004)),DATE(VALUE(RIGHT(B2004,4)),VALUE(MID(B2004,4,2)),VALUE(LEFT(B2004,2))),IF(MID(B2004,5,1)="-",DATE(VALUE(LEFT(B2004,4)),VALUE(MID(B2004,6,2)),VALUE(RIGHT(B2004,2))),DATE(VALUE(RIGHT(B2004,4)),MATCH(MID(B2004,4,3),{"Jan","Feb","Mar","Apr","May","Jun","Jul","Aug","Sep","Oct","Nov","Dec"},0),VALUE(LEFT(B2004,2)))))</f>
        <v>45787</v>
      </c>
    </row>
    <row r="2005" customFormat="false" ht="15" hidden="false" customHeight="false" outlineLevel="0" collapsed="false">
      <c r="A2005" s="7" t="s">
        <v>2736</v>
      </c>
      <c r="B2005" s="7" t="s">
        <v>2737</v>
      </c>
      <c r="C2005" s="7" t="s">
        <v>1788</v>
      </c>
      <c r="D2005" s="7" t="s">
        <v>2738</v>
      </c>
      <c r="E2005" s="7" t="s">
        <v>144</v>
      </c>
      <c r="F2005" s="7" t="s">
        <v>119</v>
      </c>
      <c r="G2005" s="7" t="s">
        <v>99</v>
      </c>
      <c r="H2005" s="7" t="n">
        <v>3</v>
      </c>
      <c r="I2005" s="7" t="n">
        <v>275</v>
      </c>
      <c r="J2005" s="7" t="n">
        <v>50</v>
      </c>
      <c r="K2005" s="7" t="s">
        <v>112</v>
      </c>
      <c r="L2005" s="7" t="s">
        <v>194</v>
      </c>
      <c r="M2005" s="7" t="n">
        <v>35</v>
      </c>
      <c r="N2005" s="7"/>
      <c r="O2005" s="7" t="str">
        <f aca="false">A2005&amp;"|"&amp;B2005&amp;"|"&amp;C2005&amp;"|"&amp;D2005&amp;"|"&amp;E2005&amp;"|"&amp;F2005&amp;"|"&amp;G2005&amp;"|"&amp;H2005&amp;"|"&amp;I2005&amp;"|"&amp;J2005&amp;"|"&amp;K2005&amp;"|"&amp;L2005&amp;"|"&amp;M2005&amp;"|"&amp;N2005</f>
        <v>ORD11521|16/07/2025|20:33|C0152|Hyderabad Dum Biryani|Hyderabad|Biryani|3|275|50|Cash on Delivery|Delivered|35|</v>
      </c>
      <c r="P2005" s="7" t="str">
        <f aca="false">IF(COUNTIF($O$2:O2005,O2005)&gt;1,"DUP","OK")</f>
        <v>DUP</v>
      </c>
      <c r="Q2005" s="7" t="n">
        <f aca="false">COUNTBLANK(A2005:N2005)</f>
        <v>1</v>
      </c>
      <c r="R2005" s="7" t="n">
        <f aca="false">IF(A2005="",0,COUNTIFS($A$2:$A$3058,A2005,$P$2:$P$3058,"OK"))</f>
        <v>1</v>
      </c>
      <c r="S2005" s="7" t="str">
        <f aca="false">IF(OR(A2005="",P2005="DUP",R2005&lt;2),"",IF(Q2005=_xlfn.MINIFS($Q$2:$Q$3058,$A$2:$A$3058,A2005,$P$2:$P$3058,"OK"),"KEEP","DROP"))</f>
        <v/>
      </c>
      <c r="T2005" s="9" t="n">
        <f aca="false">IF(A2005="",1,0)</f>
        <v>0</v>
      </c>
      <c r="U2005" s="9" t="n">
        <f aca="false">IF(D2005="",1,0)</f>
        <v>0</v>
      </c>
      <c r="V2005" s="9" t="n">
        <f aca="false">IF(E2005="",1,0)</f>
        <v>0</v>
      </c>
      <c r="W2005" s="9" t="n">
        <f aca="false">IF(OR(H2005&lt;1,H2005&gt;10),1,0)</f>
        <v>0</v>
      </c>
      <c r="X2005" s="9" t="n">
        <f aca="false">IF(OR(I2005&lt;=0,I2005&gt;1500),1,0)</f>
        <v>0</v>
      </c>
      <c r="Y2005" s="9" t="n">
        <f aca="false">IF(J2005&gt;H2005*I2005,1,0)</f>
        <v>0</v>
      </c>
      <c r="Z2005" s="9" t="n">
        <f aca="false">IF(AND(N2005&lt;&gt;"",OR(N2005&lt;1,N2005&gt;5)),1,0)</f>
        <v>0</v>
      </c>
      <c r="AA2005" s="9" t="n">
        <f aca="false">IF(AND(M2005&lt;&gt;"",OR(M2005&lt;5,M2005&gt;180)),1,0)</f>
        <v>0</v>
      </c>
      <c r="AB2005" s="7" t="str">
        <f aca="false">IF(P2005="DUP","Exact duplicate row",IF(T2005=1,"Missing Order ID",IF(S2005="DROP","Duplicate Order ID (less complete row)",IF(U2005=1,"Missing Customer ID",IF(V2005=1,"Missing Restaurant name",IF(W2005=1,"Invalid/outlier quantity",IF(X2005=1,"Invalid/outlier unit price",IF(Y2005=1,"Discount greater than order value",""))))))))</f>
        <v>Exact duplicate row</v>
      </c>
      <c r="AC2005" s="7" t="str">
        <f aca="false">IF(AB2005="","KEEP","DROP")</f>
        <v>DROP</v>
      </c>
      <c r="AD2005" s="7" t="str">
        <f aca="false">IF(TRIM(F2005)="",IFERROR(INDEX(Map_Tables!$I$4:$I$37,MATCH(TRIM(E2005),Map_Tables!$G$4:$G$37,0)),""),IFERROR(INDEX(Map_Tables!$B$4:$B$18,MATCH(TRIM(F2005),Map_Tables!$A$4:$A$18,0)),"CHECK"))</f>
        <v>Hyderabad</v>
      </c>
      <c r="AE2005" s="7" t="str">
        <f aca="false">IF(TRIM(E2005)="","",IFERROR(INDEX(Map_Tables!$H$4:$H$37,MATCH(TRIM(E2005),Map_Tables!$G$4:$G$37,0)),"CHECK"))</f>
        <v>Hyderabad Dum Biryani</v>
      </c>
      <c r="AF2005" s="7" t="str">
        <f aca="false">IF(TRIM(K2005)="","Unknown",IFERROR(INDEX(Map_Tables!$E$4:$E$15,MATCH(TRIM(K2005),Map_Tables!$D$4:$D$15,0)),"CHECK"))</f>
        <v>Cash on Delivery</v>
      </c>
      <c r="AG2005" s="7" t="str">
        <f aca="false">IF(LEFT(LOWER(TRIM(L2005)),6)="cancel","Cancelled","Delivered")</f>
        <v>Delivered</v>
      </c>
      <c r="AH2005" s="10" t="n">
        <f aca="false">IF(ISNUMBER(SEARCH("/",B2005)),DATE(VALUE(RIGHT(B2005,4)),VALUE(MID(B2005,4,2)),VALUE(LEFT(B2005,2))),IF(MID(B2005,5,1)="-",DATE(VALUE(LEFT(B2005,4)),VALUE(MID(B2005,6,2)),VALUE(RIGHT(B2005,2))),DATE(VALUE(RIGHT(B2005,4)),MATCH(MID(B2005,4,3),{"Jan","Feb","Mar","Apr","May","Jun","Jul","Aug","Sep","Oct","Nov","Dec"},0),VALUE(LEFT(B2005,2)))))</f>
        <v>45854</v>
      </c>
    </row>
    <row r="2006" customFormat="false" ht="15" hidden="false" customHeight="false" outlineLevel="0" collapsed="false">
      <c r="A2006" s="7" t="s">
        <v>4754</v>
      </c>
      <c r="B2006" s="7" t="s">
        <v>1767</v>
      </c>
      <c r="C2006" s="7" t="s">
        <v>585</v>
      </c>
      <c r="D2006" s="7" t="s">
        <v>4755</v>
      </c>
      <c r="E2006" s="7" t="s">
        <v>149</v>
      </c>
      <c r="F2006" s="7" t="s">
        <v>119</v>
      </c>
      <c r="G2006" s="7" t="s">
        <v>150</v>
      </c>
      <c r="H2006" s="7" t="n">
        <v>4</v>
      </c>
      <c r="I2006" s="7" t="n">
        <v>190</v>
      </c>
      <c r="J2006" s="7" t="n">
        <v>0</v>
      </c>
      <c r="K2006" s="7" t="s">
        <v>88</v>
      </c>
      <c r="L2006" s="7" t="s">
        <v>194</v>
      </c>
      <c r="M2006" s="7" t="n">
        <v>30</v>
      </c>
      <c r="N2006" s="7" t="n">
        <v>3</v>
      </c>
      <c r="O2006" s="7" t="str">
        <f aca="false">A2006&amp;"|"&amp;B2006&amp;"|"&amp;C2006&amp;"|"&amp;D2006&amp;"|"&amp;E2006&amp;"|"&amp;F2006&amp;"|"&amp;G2006&amp;"|"&amp;H2006&amp;"|"&amp;I2006&amp;"|"&amp;J2006&amp;"|"&amp;K2006&amp;"|"&amp;L2006&amp;"|"&amp;M2006&amp;"|"&amp;N2006</f>
        <v>ORD12212|2025-10-08|21:34|C1306|Sweet Tooth Studio|Hyderabad|Desserts|4|190|0|UPI|Delivered|30|3</v>
      </c>
      <c r="P2006" s="7" t="str">
        <f aca="false">IF(COUNTIF($O$2:O2006,O2006)&gt;1,"DUP","OK")</f>
        <v>OK</v>
      </c>
      <c r="Q2006" s="7" t="n">
        <f aca="false">COUNTBLANK(A2006:N2006)</f>
        <v>0</v>
      </c>
      <c r="R2006" s="7" t="n">
        <f aca="false">IF(A2006="",0,COUNTIFS($A$2:$A$3058,A2006,$P$2:$P$3058,"OK"))</f>
        <v>1</v>
      </c>
      <c r="S2006" s="7" t="str">
        <f aca="false">IF(OR(A2006="",P2006="DUP",R2006&lt;2),"",IF(Q2006=_xlfn.MINIFS($Q$2:$Q$3058,$A$2:$A$3058,A2006,$P$2:$P$3058,"OK"),"KEEP","DROP"))</f>
        <v/>
      </c>
      <c r="T2006" s="9" t="n">
        <f aca="false">IF(A2006="",1,0)</f>
        <v>0</v>
      </c>
      <c r="U2006" s="9" t="n">
        <f aca="false">IF(D2006="",1,0)</f>
        <v>0</v>
      </c>
      <c r="V2006" s="9" t="n">
        <f aca="false">IF(E2006="",1,0)</f>
        <v>0</v>
      </c>
      <c r="W2006" s="9" t="n">
        <f aca="false">IF(OR(H2006&lt;1,H2006&gt;10),1,0)</f>
        <v>0</v>
      </c>
      <c r="X2006" s="9" t="n">
        <f aca="false">IF(OR(I2006&lt;=0,I2006&gt;1500),1,0)</f>
        <v>0</v>
      </c>
      <c r="Y2006" s="9" t="n">
        <f aca="false">IF(J2006&gt;H2006*I2006,1,0)</f>
        <v>0</v>
      </c>
      <c r="Z2006" s="9" t="n">
        <f aca="false">IF(AND(N2006&lt;&gt;"",OR(N2006&lt;1,N2006&gt;5)),1,0)</f>
        <v>0</v>
      </c>
      <c r="AA2006" s="9" t="n">
        <f aca="false">IF(AND(M2006&lt;&gt;"",OR(M2006&lt;5,M2006&gt;180)),1,0)</f>
        <v>0</v>
      </c>
      <c r="AB2006" s="7" t="str">
        <f aca="false">IF(P2006="DUP","Exact duplicate row",IF(T2006=1,"Missing Order ID",IF(S2006="DROP","Duplicate Order ID (less complete row)",IF(U2006=1,"Missing Customer ID",IF(V2006=1,"Missing Restaurant name",IF(W2006=1,"Invalid/outlier quantity",IF(X2006=1,"Invalid/outlier unit price",IF(Y2006=1,"Discount greater than order value",""))))))))</f>
        <v/>
      </c>
      <c r="AC2006" s="7" t="str">
        <f aca="false">IF(AB2006="","KEEP","DROP")</f>
        <v>KEEP</v>
      </c>
      <c r="AD2006" s="7" t="str">
        <f aca="false">IF(TRIM(F2006)="",IFERROR(INDEX(Map_Tables!$I$4:$I$37,MATCH(TRIM(E2006),Map_Tables!$G$4:$G$37,0)),""),IFERROR(INDEX(Map_Tables!$B$4:$B$18,MATCH(TRIM(F2006),Map_Tables!$A$4:$A$18,0)),"CHECK"))</f>
        <v>Hyderabad</v>
      </c>
      <c r="AE2006" s="7" t="str">
        <f aca="false">IF(TRIM(E2006)="","",IFERROR(INDEX(Map_Tables!$H$4:$H$37,MATCH(TRIM(E2006),Map_Tables!$G$4:$G$37,0)),"CHECK"))</f>
        <v>Sweet Tooth Studio</v>
      </c>
      <c r="AF2006" s="7" t="str">
        <f aca="false">IF(TRIM(K2006)="","Unknown",IFERROR(INDEX(Map_Tables!$E$4:$E$15,MATCH(TRIM(K2006),Map_Tables!$D$4:$D$15,0)),"CHECK"))</f>
        <v>UPI</v>
      </c>
      <c r="AG2006" s="7" t="str">
        <f aca="false">IF(LEFT(LOWER(TRIM(L2006)),6)="cancel","Cancelled","Delivered")</f>
        <v>Delivered</v>
      </c>
      <c r="AH2006" s="10" t="n">
        <f aca="false">IF(ISNUMBER(SEARCH("/",B2006)),DATE(VALUE(RIGHT(B2006,4)),VALUE(MID(B2006,4,2)),VALUE(LEFT(B2006,2))),IF(MID(B2006,5,1)="-",DATE(VALUE(LEFT(B2006,4)),VALUE(MID(B2006,6,2)),VALUE(RIGHT(B2006,2))),DATE(VALUE(RIGHT(B2006,4)),MATCH(MID(B2006,4,3),{"Jan","Feb","Mar","Apr","May","Jun","Jul","Aug","Sep","Oct","Nov","Dec"},0),VALUE(LEFT(B2006,2)))))</f>
        <v>45938</v>
      </c>
    </row>
    <row r="2007" customFormat="false" ht="15" hidden="false" customHeight="false" outlineLevel="0" collapsed="false">
      <c r="A2007" s="7" t="s">
        <v>4756</v>
      </c>
      <c r="B2007" s="7" t="s">
        <v>1086</v>
      </c>
      <c r="C2007" s="7" t="s">
        <v>724</v>
      </c>
      <c r="D2007" s="7" t="s">
        <v>456</v>
      </c>
      <c r="E2007" s="7" t="s">
        <v>104</v>
      </c>
      <c r="F2007" s="7" t="s">
        <v>86</v>
      </c>
      <c r="G2007" s="7" t="s">
        <v>105</v>
      </c>
      <c r="H2007" s="7" t="n">
        <v>1</v>
      </c>
      <c r="I2007" s="7" t="n">
        <v>215</v>
      </c>
      <c r="J2007" s="7" t="n">
        <v>86</v>
      </c>
      <c r="K2007" s="7" t="s">
        <v>421</v>
      </c>
      <c r="L2007" s="7" t="s">
        <v>194</v>
      </c>
      <c r="M2007" s="7" t="n">
        <v>45</v>
      </c>
      <c r="N2007" s="7" t="n">
        <v>4</v>
      </c>
      <c r="O2007" s="7" t="str">
        <f aca="false">A2007&amp;"|"&amp;B2007&amp;"|"&amp;C2007&amp;"|"&amp;D2007&amp;"|"&amp;E2007&amp;"|"&amp;F2007&amp;"|"&amp;G2007&amp;"|"&amp;H2007&amp;"|"&amp;I2007&amp;"|"&amp;J2007&amp;"|"&amp;K2007&amp;"|"&amp;L2007&amp;"|"&amp;M2007&amp;"|"&amp;N2007</f>
        <v>ORD10757|2025-04-06|19:01|C0750|Wok &amp; Roll|Bengaluru|Chinese|1|215|86|UPI |Delivered|45|4</v>
      </c>
      <c r="P2007" s="7" t="str">
        <f aca="false">IF(COUNTIF($O$2:O2007,O2007)&gt;1,"DUP","OK")</f>
        <v>OK</v>
      </c>
      <c r="Q2007" s="7" t="n">
        <f aca="false">COUNTBLANK(A2007:N2007)</f>
        <v>0</v>
      </c>
      <c r="R2007" s="7" t="n">
        <f aca="false">IF(A2007="",0,COUNTIFS($A$2:$A$3058,A2007,$P$2:$P$3058,"OK"))</f>
        <v>1</v>
      </c>
      <c r="S2007" s="7" t="str">
        <f aca="false">IF(OR(A2007="",P2007="DUP",R2007&lt;2),"",IF(Q2007=_xlfn.MINIFS($Q$2:$Q$3058,$A$2:$A$3058,A2007,$P$2:$P$3058,"OK"),"KEEP","DROP"))</f>
        <v/>
      </c>
      <c r="T2007" s="9" t="n">
        <f aca="false">IF(A2007="",1,0)</f>
        <v>0</v>
      </c>
      <c r="U2007" s="9" t="n">
        <f aca="false">IF(D2007="",1,0)</f>
        <v>0</v>
      </c>
      <c r="V2007" s="9" t="n">
        <f aca="false">IF(E2007="",1,0)</f>
        <v>0</v>
      </c>
      <c r="W2007" s="9" t="n">
        <f aca="false">IF(OR(H2007&lt;1,H2007&gt;10),1,0)</f>
        <v>0</v>
      </c>
      <c r="X2007" s="9" t="n">
        <f aca="false">IF(OR(I2007&lt;=0,I2007&gt;1500),1,0)</f>
        <v>0</v>
      </c>
      <c r="Y2007" s="9" t="n">
        <f aca="false">IF(J2007&gt;H2007*I2007,1,0)</f>
        <v>0</v>
      </c>
      <c r="Z2007" s="9" t="n">
        <f aca="false">IF(AND(N2007&lt;&gt;"",OR(N2007&lt;1,N2007&gt;5)),1,0)</f>
        <v>0</v>
      </c>
      <c r="AA2007" s="9" t="n">
        <f aca="false">IF(AND(M2007&lt;&gt;"",OR(M2007&lt;5,M2007&gt;180)),1,0)</f>
        <v>0</v>
      </c>
      <c r="AB2007" s="7" t="str">
        <f aca="false">IF(P2007="DUP","Exact duplicate row",IF(T2007=1,"Missing Order ID",IF(S2007="DROP","Duplicate Order ID (less complete row)",IF(U2007=1,"Missing Customer ID",IF(V2007=1,"Missing Restaurant name",IF(W2007=1,"Invalid/outlier quantity",IF(X2007=1,"Invalid/outlier unit price",IF(Y2007=1,"Discount greater than order value",""))))))))</f>
        <v/>
      </c>
      <c r="AC2007" s="7" t="str">
        <f aca="false">IF(AB2007="","KEEP","DROP")</f>
        <v>KEEP</v>
      </c>
      <c r="AD2007" s="7" t="str">
        <f aca="false">IF(TRIM(F2007)="",IFERROR(INDEX(Map_Tables!$I$4:$I$37,MATCH(TRIM(E2007),Map_Tables!$G$4:$G$37,0)),""),IFERROR(INDEX(Map_Tables!$B$4:$B$18,MATCH(TRIM(F2007),Map_Tables!$A$4:$A$18,0)),"CHECK"))</f>
        <v>Bengaluru</v>
      </c>
      <c r="AE2007" s="7" t="str">
        <f aca="false">IF(TRIM(E2007)="","",IFERROR(INDEX(Map_Tables!$H$4:$H$37,MATCH(TRIM(E2007),Map_Tables!$G$4:$G$37,0)),"CHECK"))</f>
        <v>Wok &amp; Roll</v>
      </c>
      <c r="AF2007" s="7" t="str">
        <f aca="false">IF(TRIM(K2007)="","Unknown",IFERROR(INDEX(Map_Tables!$E$4:$E$15,MATCH(TRIM(K2007),Map_Tables!$D$4:$D$15,0)),"CHECK"))</f>
        <v>UPI</v>
      </c>
      <c r="AG2007" s="7" t="str">
        <f aca="false">IF(LEFT(LOWER(TRIM(L2007)),6)="cancel","Cancelled","Delivered")</f>
        <v>Delivered</v>
      </c>
      <c r="AH2007" s="10" t="n">
        <f aca="false">IF(ISNUMBER(SEARCH("/",B2007)),DATE(VALUE(RIGHT(B2007,4)),VALUE(MID(B2007,4,2)),VALUE(LEFT(B2007,2))),IF(MID(B2007,5,1)="-",DATE(VALUE(LEFT(B2007,4)),VALUE(MID(B2007,6,2)),VALUE(RIGHT(B2007,2))),DATE(VALUE(RIGHT(B2007,4)),MATCH(MID(B2007,4,3),{"Jan","Feb","Mar","Apr","May","Jun","Jul","Aug","Sep","Oct","Nov","Dec"},0),VALUE(LEFT(B2007,2)))))</f>
        <v>45753</v>
      </c>
    </row>
    <row r="2008" customFormat="false" ht="15" hidden="false" customHeight="false" outlineLevel="0" collapsed="false">
      <c r="A2008" s="7" t="s">
        <v>4757</v>
      </c>
      <c r="B2008" s="7" t="s">
        <v>226</v>
      </c>
      <c r="C2008" s="7" t="s">
        <v>839</v>
      </c>
      <c r="D2008" s="7" t="s">
        <v>1447</v>
      </c>
      <c r="E2008" s="7" t="s">
        <v>138</v>
      </c>
      <c r="F2008" s="7" t="s">
        <v>110</v>
      </c>
      <c r="G2008" s="7" t="s">
        <v>139</v>
      </c>
      <c r="H2008" s="7" t="n">
        <v>4</v>
      </c>
      <c r="I2008" s="7" t="n">
        <v>205</v>
      </c>
      <c r="J2008" s="7" t="n">
        <v>150</v>
      </c>
      <c r="K2008" s="7" t="s">
        <v>115</v>
      </c>
      <c r="L2008" s="7" t="s">
        <v>194</v>
      </c>
      <c r="M2008" s="7" t="n">
        <v>29</v>
      </c>
      <c r="N2008" s="7" t="n">
        <v>3</v>
      </c>
      <c r="O2008" s="7" t="str">
        <f aca="false">A2008&amp;"|"&amp;B2008&amp;"|"&amp;C2008&amp;"|"&amp;D2008&amp;"|"&amp;E2008&amp;"|"&amp;F2008&amp;"|"&amp;G2008&amp;"|"&amp;H2008&amp;"|"&amp;I2008&amp;"|"&amp;J2008&amp;"|"&amp;K2008&amp;"|"&amp;L2008&amp;"|"&amp;M2008&amp;"|"&amp;N2008</f>
        <v>ORD11999|2025-09-16|19:46|C0050|Burger Barn|Delhi|Burgers|4|205|150|cash on delivery|Delivered|29|3</v>
      </c>
      <c r="P2008" s="7" t="str">
        <f aca="false">IF(COUNTIF($O$2:O2008,O2008)&gt;1,"DUP","OK")</f>
        <v>OK</v>
      </c>
      <c r="Q2008" s="7" t="n">
        <f aca="false">COUNTBLANK(A2008:N2008)</f>
        <v>0</v>
      </c>
      <c r="R2008" s="7" t="n">
        <f aca="false">IF(A2008="",0,COUNTIFS($A$2:$A$3058,A2008,$P$2:$P$3058,"OK"))</f>
        <v>1</v>
      </c>
      <c r="S2008" s="7" t="str">
        <f aca="false">IF(OR(A2008="",P2008="DUP",R2008&lt;2),"",IF(Q2008=_xlfn.MINIFS($Q$2:$Q$3058,$A$2:$A$3058,A2008,$P$2:$P$3058,"OK"),"KEEP","DROP"))</f>
        <v/>
      </c>
      <c r="T2008" s="9" t="n">
        <f aca="false">IF(A2008="",1,0)</f>
        <v>0</v>
      </c>
      <c r="U2008" s="9" t="n">
        <f aca="false">IF(D2008="",1,0)</f>
        <v>0</v>
      </c>
      <c r="V2008" s="9" t="n">
        <f aca="false">IF(E2008="",1,0)</f>
        <v>0</v>
      </c>
      <c r="W2008" s="9" t="n">
        <f aca="false">IF(OR(H2008&lt;1,H2008&gt;10),1,0)</f>
        <v>0</v>
      </c>
      <c r="X2008" s="9" t="n">
        <f aca="false">IF(OR(I2008&lt;=0,I2008&gt;1500),1,0)</f>
        <v>0</v>
      </c>
      <c r="Y2008" s="9" t="n">
        <f aca="false">IF(J2008&gt;H2008*I2008,1,0)</f>
        <v>0</v>
      </c>
      <c r="Z2008" s="9" t="n">
        <f aca="false">IF(AND(N2008&lt;&gt;"",OR(N2008&lt;1,N2008&gt;5)),1,0)</f>
        <v>0</v>
      </c>
      <c r="AA2008" s="9" t="n">
        <f aca="false">IF(AND(M2008&lt;&gt;"",OR(M2008&lt;5,M2008&gt;180)),1,0)</f>
        <v>0</v>
      </c>
      <c r="AB2008" s="7" t="str">
        <f aca="false">IF(P2008="DUP","Exact duplicate row",IF(T2008=1,"Missing Order ID",IF(S2008="DROP","Duplicate Order ID (less complete row)",IF(U2008=1,"Missing Customer ID",IF(V2008=1,"Missing Restaurant name",IF(W2008=1,"Invalid/outlier quantity",IF(X2008=1,"Invalid/outlier unit price",IF(Y2008=1,"Discount greater than order value",""))))))))</f>
        <v/>
      </c>
      <c r="AC2008" s="7" t="str">
        <f aca="false">IF(AB2008="","KEEP","DROP")</f>
        <v>KEEP</v>
      </c>
      <c r="AD2008" s="7" t="str">
        <f aca="false">IF(TRIM(F2008)="",IFERROR(INDEX(Map_Tables!$I$4:$I$37,MATCH(TRIM(E2008),Map_Tables!$G$4:$G$37,0)),""),IFERROR(INDEX(Map_Tables!$B$4:$B$18,MATCH(TRIM(F2008),Map_Tables!$A$4:$A$18,0)),"CHECK"))</f>
        <v>Delhi</v>
      </c>
      <c r="AE2008" s="7" t="str">
        <f aca="false">IF(TRIM(E2008)="","",IFERROR(INDEX(Map_Tables!$H$4:$H$37,MATCH(TRIM(E2008),Map_Tables!$G$4:$G$37,0)),"CHECK"))</f>
        <v>Burger Barn</v>
      </c>
      <c r="AF2008" s="7" t="str">
        <f aca="false">IF(TRIM(K2008)="","Unknown",IFERROR(INDEX(Map_Tables!$E$4:$E$15,MATCH(TRIM(K2008),Map_Tables!$D$4:$D$15,0)),"CHECK"))</f>
        <v>Cash on Delivery</v>
      </c>
      <c r="AG2008" s="7" t="str">
        <f aca="false">IF(LEFT(LOWER(TRIM(L2008)),6)="cancel","Cancelled","Delivered")</f>
        <v>Delivered</v>
      </c>
      <c r="AH2008" s="10" t="n">
        <f aca="false">IF(ISNUMBER(SEARCH("/",B2008)),DATE(VALUE(RIGHT(B2008,4)),VALUE(MID(B2008,4,2)),VALUE(LEFT(B2008,2))),IF(MID(B2008,5,1)="-",DATE(VALUE(LEFT(B2008,4)),VALUE(MID(B2008,6,2)),VALUE(RIGHT(B2008,2))),DATE(VALUE(RIGHT(B2008,4)),MATCH(MID(B2008,4,3),{"Jan","Feb","Mar","Apr","May","Jun","Jul","Aug","Sep","Oct","Nov","Dec"},0),VALUE(LEFT(B2008,2)))))</f>
        <v>45916</v>
      </c>
    </row>
    <row r="2009" customFormat="false" ht="15" hidden="false" customHeight="false" outlineLevel="0" collapsed="false">
      <c r="A2009" s="7" t="s">
        <v>4758</v>
      </c>
      <c r="B2009" s="7" t="s">
        <v>1368</v>
      </c>
      <c r="C2009" s="7" t="s">
        <v>4759</v>
      </c>
      <c r="D2009" s="7" t="s">
        <v>3759</v>
      </c>
      <c r="E2009" s="7" t="s">
        <v>113</v>
      </c>
      <c r="F2009" s="7" t="s">
        <v>101</v>
      </c>
      <c r="G2009" s="7" t="s">
        <v>90</v>
      </c>
      <c r="H2009" s="7" t="n">
        <v>2</v>
      </c>
      <c r="I2009" s="7" t="n">
        <v>290</v>
      </c>
      <c r="J2009" s="7" t="n">
        <v>50</v>
      </c>
      <c r="K2009" s="7" t="s">
        <v>229</v>
      </c>
      <c r="L2009" s="7" t="s">
        <v>194</v>
      </c>
      <c r="M2009" s="7" t="n">
        <v>54</v>
      </c>
      <c r="N2009" s="7" t="n">
        <v>2</v>
      </c>
      <c r="O2009" s="7" t="str">
        <f aca="false">A2009&amp;"|"&amp;B2009&amp;"|"&amp;C2009&amp;"|"&amp;D2009&amp;"|"&amp;E2009&amp;"|"&amp;F2009&amp;"|"&amp;G2009&amp;"|"&amp;H2009&amp;"|"&amp;I2009&amp;"|"&amp;J2009&amp;"|"&amp;K2009&amp;"|"&amp;L2009&amp;"|"&amp;M2009&amp;"|"&amp;N2009</f>
        <v>ORD11702|2025-08-11|22:27|C0712|Curry Leaf Kitchen|Mumbai|North Indian|2|290|50|Upi|Delivered|54|2</v>
      </c>
      <c r="P2009" s="7" t="str">
        <f aca="false">IF(COUNTIF($O$2:O2009,O2009)&gt;1,"DUP","OK")</f>
        <v>OK</v>
      </c>
      <c r="Q2009" s="7" t="n">
        <f aca="false">COUNTBLANK(A2009:N2009)</f>
        <v>0</v>
      </c>
      <c r="R2009" s="7" t="n">
        <f aca="false">IF(A2009="",0,COUNTIFS($A$2:$A$3058,A2009,$P$2:$P$3058,"OK"))</f>
        <v>1</v>
      </c>
      <c r="S2009" s="7" t="str">
        <f aca="false">IF(OR(A2009="",P2009="DUP",R2009&lt;2),"",IF(Q2009=_xlfn.MINIFS($Q$2:$Q$3058,$A$2:$A$3058,A2009,$P$2:$P$3058,"OK"),"KEEP","DROP"))</f>
        <v/>
      </c>
      <c r="T2009" s="9" t="n">
        <f aca="false">IF(A2009="",1,0)</f>
        <v>0</v>
      </c>
      <c r="U2009" s="9" t="n">
        <f aca="false">IF(D2009="",1,0)</f>
        <v>0</v>
      </c>
      <c r="V2009" s="9" t="n">
        <f aca="false">IF(E2009="",1,0)</f>
        <v>0</v>
      </c>
      <c r="W2009" s="9" t="n">
        <f aca="false">IF(OR(H2009&lt;1,H2009&gt;10),1,0)</f>
        <v>0</v>
      </c>
      <c r="X2009" s="9" t="n">
        <f aca="false">IF(OR(I2009&lt;=0,I2009&gt;1500),1,0)</f>
        <v>0</v>
      </c>
      <c r="Y2009" s="9" t="n">
        <f aca="false">IF(J2009&gt;H2009*I2009,1,0)</f>
        <v>0</v>
      </c>
      <c r="Z2009" s="9" t="n">
        <f aca="false">IF(AND(N2009&lt;&gt;"",OR(N2009&lt;1,N2009&gt;5)),1,0)</f>
        <v>0</v>
      </c>
      <c r="AA2009" s="9" t="n">
        <f aca="false">IF(AND(M2009&lt;&gt;"",OR(M2009&lt;5,M2009&gt;180)),1,0)</f>
        <v>0</v>
      </c>
      <c r="AB2009" s="7" t="str">
        <f aca="false">IF(P2009="DUP","Exact duplicate row",IF(T2009=1,"Missing Order ID",IF(S2009="DROP","Duplicate Order ID (less complete row)",IF(U2009=1,"Missing Customer ID",IF(V2009=1,"Missing Restaurant name",IF(W2009=1,"Invalid/outlier quantity",IF(X2009=1,"Invalid/outlier unit price",IF(Y2009=1,"Discount greater than order value",""))))))))</f>
        <v/>
      </c>
      <c r="AC2009" s="7" t="str">
        <f aca="false">IF(AB2009="","KEEP","DROP")</f>
        <v>KEEP</v>
      </c>
      <c r="AD2009" s="7" t="str">
        <f aca="false">IF(TRIM(F2009)="",IFERROR(INDEX(Map_Tables!$I$4:$I$37,MATCH(TRIM(E2009),Map_Tables!$G$4:$G$37,0)),""),IFERROR(INDEX(Map_Tables!$B$4:$B$18,MATCH(TRIM(F2009),Map_Tables!$A$4:$A$18,0)),"CHECK"))</f>
        <v>Mumbai</v>
      </c>
      <c r="AE2009" s="7" t="str">
        <f aca="false">IF(TRIM(E2009)="","",IFERROR(INDEX(Map_Tables!$H$4:$H$37,MATCH(TRIM(E2009),Map_Tables!$G$4:$G$37,0)),"CHECK"))</f>
        <v>Curry Leaf Kitchen</v>
      </c>
      <c r="AF2009" s="7" t="str">
        <f aca="false">IF(TRIM(K2009)="","Unknown",IFERROR(INDEX(Map_Tables!$E$4:$E$15,MATCH(TRIM(K2009),Map_Tables!$D$4:$D$15,0)),"CHECK"))</f>
        <v>UPI</v>
      </c>
      <c r="AG2009" s="7" t="str">
        <f aca="false">IF(LEFT(LOWER(TRIM(L2009)),6)="cancel","Cancelled","Delivered")</f>
        <v>Delivered</v>
      </c>
      <c r="AH2009" s="10" t="n">
        <f aca="false">IF(ISNUMBER(SEARCH("/",B2009)),DATE(VALUE(RIGHT(B2009,4)),VALUE(MID(B2009,4,2)),VALUE(LEFT(B2009,2))),IF(MID(B2009,5,1)="-",DATE(VALUE(LEFT(B2009,4)),VALUE(MID(B2009,6,2)),VALUE(RIGHT(B2009,2))),DATE(VALUE(RIGHT(B2009,4)),MATCH(MID(B2009,4,3),{"Jan","Feb","Mar","Apr","May","Jun","Jul","Aug","Sep","Oct","Nov","Dec"},0),VALUE(LEFT(B2009,2)))))</f>
        <v>45880</v>
      </c>
    </row>
    <row r="2010" customFormat="false" ht="15" hidden="false" customHeight="false" outlineLevel="0" collapsed="false">
      <c r="A2010" s="7" t="s">
        <v>4760</v>
      </c>
      <c r="B2010" s="7" t="s">
        <v>459</v>
      </c>
      <c r="C2010" s="7" t="s">
        <v>3728</v>
      </c>
      <c r="D2010" s="7" t="s">
        <v>1966</v>
      </c>
      <c r="E2010" s="7" t="s">
        <v>158</v>
      </c>
      <c r="F2010" s="7" t="s">
        <v>136</v>
      </c>
      <c r="G2010" s="7" t="s">
        <v>139</v>
      </c>
      <c r="H2010" s="7" t="n">
        <v>2</v>
      </c>
      <c r="I2010" s="7" t="n">
        <v>200</v>
      </c>
      <c r="J2010" s="7" t="n">
        <v>0</v>
      </c>
      <c r="K2010" s="7" t="s">
        <v>88</v>
      </c>
      <c r="L2010" s="7" t="s">
        <v>194</v>
      </c>
      <c r="M2010" s="7"/>
      <c r="N2010" s="7" t="n">
        <v>4</v>
      </c>
      <c r="O2010" s="7" t="str">
        <f aca="false">A2010&amp;"|"&amp;B2010&amp;"|"&amp;C2010&amp;"|"&amp;D2010&amp;"|"&amp;E2010&amp;"|"&amp;F2010&amp;"|"&amp;G2010&amp;"|"&amp;H2010&amp;"|"&amp;I2010&amp;"|"&amp;J2010&amp;"|"&amp;K2010&amp;"|"&amp;L2010&amp;"|"&amp;M2010&amp;"|"&amp;N2010</f>
        <v>ORD11543|2025-07-20|13:57|C1333|Pune Burger Hub|Pune|Burgers|2|200|0|UPI|Delivered||4</v>
      </c>
      <c r="P2010" s="7" t="str">
        <f aca="false">IF(COUNTIF($O$2:O2010,O2010)&gt;1,"DUP","OK")</f>
        <v>OK</v>
      </c>
      <c r="Q2010" s="7" t="n">
        <f aca="false">COUNTBLANK(A2010:N2010)</f>
        <v>1</v>
      </c>
      <c r="R2010" s="7" t="n">
        <f aca="false">IF(A2010="",0,COUNTIFS($A$2:$A$3058,A2010,$P$2:$P$3058,"OK"))</f>
        <v>1</v>
      </c>
      <c r="S2010" s="7" t="str">
        <f aca="false">IF(OR(A2010="",P2010="DUP",R2010&lt;2),"",IF(Q2010=_xlfn.MINIFS($Q$2:$Q$3058,$A$2:$A$3058,A2010,$P$2:$P$3058,"OK"),"KEEP","DROP"))</f>
        <v/>
      </c>
      <c r="T2010" s="9" t="n">
        <f aca="false">IF(A2010="",1,0)</f>
        <v>0</v>
      </c>
      <c r="U2010" s="9" t="n">
        <f aca="false">IF(D2010="",1,0)</f>
        <v>0</v>
      </c>
      <c r="V2010" s="9" t="n">
        <f aca="false">IF(E2010="",1,0)</f>
        <v>0</v>
      </c>
      <c r="W2010" s="9" t="n">
        <f aca="false">IF(OR(H2010&lt;1,H2010&gt;10),1,0)</f>
        <v>0</v>
      </c>
      <c r="X2010" s="9" t="n">
        <f aca="false">IF(OR(I2010&lt;=0,I2010&gt;1500),1,0)</f>
        <v>0</v>
      </c>
      <c r="Y2010" s="9" t="n">
        <f aca="false">IF(J2010&gt;H2010*I2010,1,0)</f>
        <v>0</v>
      </c>
      <c r="Z2010" s="9" t="n">
        <f aca="false">IF(AND(N2010&lt;&gt;"",OR(N2010&lt;1,N2010&gt;5)),1,0)</f>
        <v>0</v>
      </c>
      <c r="AA2010" s="9" t="n">
        <f aca="false">IF(AND(M2010&lt;&gt;"",OR(M2010&lt;5,M2010&gt;180)),1,0)</f>
        <v>0</v>
      </c>
      <c r="AB2010" s="7" t="str">
        <f aca="false">IF(P2010="DUP","Exact duplicate row",IF(T2010=1,"Missing Order ID",IF(S2010="DROP","Duplicate Order ID (less complete row)",IF(U2010=1,"Missing Customer ID",IF(V2010=1,"Missing Restaurant name",IF(W2010=1,"Invalid/outlier quantity",IF(X2010=1,"Invalid/outlier unit price",IF(Y2010=1,"Discount greater than order value",""))))))))</f>
        <v/>
      </c>
      <c r="AC2010" s="7" t="str">
        <f aca="false">IF(AB2010="","KEEP","DROP")</f>
        <v>KEEP</v>
      </c>
      <c r="AD2010" s="7" t="str">
        <f aca="false">IF(TRIM(F2010)="",IFERROR(INDEX(Map_Tables!$I$4:$I$37,MATCH(TRIM(E2010),Map_Tables!$G$4:$G$37,0)),""),IFERROR(INDEX(Map_Tables!$B$4:$B$18,MATCH(TRIM(F2010),Map_Tables!$A$4:$A$18,0)),"CHECK"))</f>
        <v>Pune</v>
      </c>
      <c r="AE2010" s="7" t="str">
        <f aca="false">IF(TRIM(E2010)="","",IFERROR(INDEX(Map_Tables!$H$4:$H$37,MATCH(TRIM(E2010),Map_Tables!$G$4:$G$37,0)),"CHECK"))</f>
        <v>Pune Burger Hub</v>
      </c>
      <c r="AF2010" s="7" t="str">
        <f aca="false">IF(TRIM(K2010)="","Unknown",IFERROR(INDEX(Map_Tables!$E$4:$E$15,MATCH(TRIM(K2010),Map_Tables!$D$4:$D$15,0)),"CHECK"))</f>
        <v>UPI</v>
      </c>
      <c r="AG2010" s="7" t="str">
        <f aca="false">IF(LEFT(LOWER(TRIM(L2010)),6)="cancel","Cancelled","Delivered")</f>
        <v>Delivered</v>
      </c>
      <c r="AH2010" s="10" t="n">
        <f aca="false">IF(ISNUMBER(SEARCH("/",B2010)),DATE(VALUE(RIGHT(B2010,4)),VALUE(MID(B2010,4,2)),VALUE(LEFT(B2010,2))),IF(MID(B2010,5,1)="-",DATE(VALUE(LEFT(B2010,4)),VALUE(MID(B2010,6,2)),VALUE(RIGHT(B2010,2))),DATE(VALUE(RIGHT(B2010,4)),MATCH(MID(B2010,4,3),{"Jan","Feb","Mar","Apr","May","Jun","Jul","Aug","Sep","Oct","Nov","Dec"},0),VALUE(LEFT(B2010,2)))))</f>
        <v>45858</v>
      </c>
    </row>
    <row r="2011" customFormat="false" ht="15" hidden="false" customHeight="false" outlineLevel="0" collapsed="false">
      <c r="A2011" s="7" t="s">
        <v>4761</v>
      </c>
      <c r="B2011" s="7" t="s">
        <v>355</v>
      </c>
      <c r="C2011" s="7" t="s">
        <v>3487</v>
      </c>
      <c r="D2011" s="7" t="s">
        <v>1612</v>
      </c>
      <c r="E2011" s="7" t="s">
        <v>4762</v>
      </c>
      <c r="F2011" s="7" t="s">
        <v>119</v>
      </c>
      <c r="G2011" s="7" t="s">
        <v>95</v>
      </c>
      <c r="H2011" s="7" t="n">
        <v>2</v>
      </c>
      <c r="I2011" s="7" t="n">
        <v>135</v>
      </c>
      <c r="J2011" s="7" t="n">
        <v>0</v>
      </c>
      <c r="K2011" s="7" t="s">
        <v>88</v>
      </c>
      <c r="L2011" s="7" t="s">
        <v>194</v>
      </c>
      <c r="M2011" s="7" t="n">
        <v>40</v>
      </c>
      <c r="N2011" s="7" t="n">
        <v>4</v>
      </c>
      <c r="O2011" s="7" t="str">
        <f aca="false">A2011&amp;"|"&amp;B2011&amp;"|"&amp;C2011&amp;"|"&amp;D2011&amp;"|"&amp;E2011&amp;"|"&amp;F2011&amp;"|"&amp;G2011&amp;"|"&amp;H2011&amp;"|"&amp;I2011&amp;"|"&amp;J2011&amp;"|"&amp;K2011&amp;"|"&amp;L2011&amp;"|"&amp;M2011&amp;"|"&amp;N2011</f>
        <v>ORD11157|2025-05-27|20:57|C1157|Andhra Meals Mess |Hyderabad|South Indian|2|135|0|UPI|Delivered|40|4</v>
      </c>
      <c r="P2011" s="7" t="str">
        <f aca="false">IF(COUNTIF($O$2:O2011,O2011)&gt;1,"DUP","OK")</f>
        <v>OK</v>
      </c>
      <c r="Q2011" s="7" t="n">
        <f aca="false">COUNTBLANK(A2011:N2011)</f>
        <v>0</v>
      </c>
      <c r="R2011" s="7" t="n">
        <f aca="false">IF(A2011="",0,COUNTIFS($A$2:$A$3058,A2011,$P$2:$P$3058,"OK"))</f>
        <v>1</v>
      </c>
      <c r="S2011" s="7" t="str">
        <f aca="false">IF(OR(A2011="",P2011="DUP",R2011&lt;2),"",IF(Q2011=_xlfn.MINIFS($Q$2:$Q$3058,$A$2:$A$3058,A2011,$P$2:$P$3058,"OK"),"KEEP","DROP"))</f>
        <v/>
      </c>
      <c r="T2011" s="9" t="n">
        <f aca="false">IF(A2011="",1,0)</f>
        <v>0</v>
      </c>
      <c r="U2011" s="9" t="n">
        <f aca="false">IF(D2011="",1,0)</f>
        <v>0</v>
      </c>
      <c r="V2011" s="9" t="n">
        <f aca="false">IF(E2011="",1,0)</f>
        <v>0</v>
      </c>
      <c r="W2011" s="9" t="n">
        <f aca="false">IF(OR(H2011&lt;1,H2011&gt;10),1,0)</f>
        <v>0</v>
      </c>
      <c r="X2011" s="9" t="n">
        <f aca="false">IF(OR(I2011&lt;=0,I2011&gt;1500),1,0)</f>
        <v>0</v>
      </c>
      <c r="Y2011" s="9" t="n">
        <f aca="false">IF(J2011&gt;H2011*I2011,1,0)</f>
        <v>0</v>
      </c>
      <c r="Z2011" s="9" t="n">
        <f aca="false">IF(AND(N2011&lt;&gt;"",OR(N2011&lt;1,N2011&gt;5)),1,0)</f>
        <v>0</v>
      </c>
      <c r="AA2011" s="9" t="n">
        <f aca="false">IF(AND(M2011&lt;&gt;"",OR(M2011&lt;5,M2011&gt;180)),1,0)</f>
        <v>0</v>
      </c>
      <c r="AB2011" s="7" t="str">
        <f aca="false">IF(P2011="DUP","Exact duplicate row",IF(T2011=1,"Missing Order ID",IF(S2011="DROP","Duplicate Order ID (less complete row)",IF(U2011=1,"Missing Customer ID",IF(V2011=1,"Missing Restaurant name",IF(W2011=1,"Invalid/outlier quantity",IF(X2011=1,"Invalid/outlier unit price",IF(Y2011=1,"Discount greater than order value",""))))))))</f>
        <v/>
      </c>
      <c r="AC2011" s="7" t="str">
        <f aca="false">IF(AB2011="","KEEP","DROP")</f>
        <v>KEEP</v>
      </c>
      <c r="AD2011" s="7" t="str">
        <f aca="false">IF(TRIM(F2011)="",IFERROR(INDEX(Map_Tables!$I$4:$I$37,MATCH(TRIM(E2011),Map_Tables!$G$4:$G$37,0)),""),IFERROR(INDEX(Map_Tables!$B$4:$B$18,MATCH(TRIM(F2011),Map_Tables!$A$4:$A$18,0)),"CHECK"))</f>
        <v>Hyderabad</v>
      </c>
      <c r="AE2011" s="7" t="str">
        <f aca="false">IF(TRIM(E2011)="","",IFERROR(INDEX(Map_Tables!$H$4:$H$37,MATCH(TRIM(E2011),Map_Tables!$G$4:$G$37,0)),"CHECK"))</f>
        <v>Andhra Meals Mess</v>
      </c>
      <c r="AF2011" s="7" t="str">
        <f aca="false">IF(TRIM(K2011)="","Unknown",IFERROR(INDEX(Map_Tables!$E$4:$E$15,MATCH(TRIM(K2011),Map_Tables!$D$4:$D$15,0)),"CHECK"))</f>
        <v>UPI</v>
      </c>
      <c r="AG2011" s="7" t="str">
        <f aca="false">IF(LEFT(LOWER(TRIM(L2011)),6)="cancel","Cancelled","Delivered")</f>
        <v>Delivered</v>
      </c>
      <c r="AH2011" s="10" t="n">
        <f aca="false">IF(ISNUMBER(SEARCH("/",B2011)),DATE(VALUE(RIGHT(B2011,4)),VALUE(MID(B2011,4,2)),VALUE(LEFT(B2011,2))),IF(MID(B2011,5,1)="-",DATE(VALUE(LEFT(B2011,4)),VALUE(MID(B2011,6,2)),VALUE(RIGHT(B2011,2))),DATE(VALUE(RIGHT(B2011,4)),MATCH(MID(B2011,4,3),{"Jan","Feb","Mar","Apr","May","Jun","Jul","Aug","Sep","Oct","Nov","Dec"},0),VALUE(LEFT(B2011,2)))))</f>
        <v>45804</v>
      </c>
    </row>
    <row r="2012" customFormat="false" ht="15" hidden="false" customHeight="false" outlineLevel="0" collapsed="false">
      <c r="A2012" s="7" t="s">
        <v>4763</v>
      </c>
      <c r="B2012" s="7" t="s">
        <v>2916</v>
      </c>
      <c r="C2012" s="7" t="s">
        <v>280</v>
      </c>
      <c r="D2012" s="7" t="s">
        <v>905</v>
      </c>
      <c r="E2012" s="7" t="s">
        <v>134</v>
      </c>
      <c r="F2012" s="7" t="s">
        <v>110</v>
      </c>
      <c r="G2012" s="7" t="s">
        <v>117</v>
      </c>
      <c r="H2012" s="7" t="n">
        <v>4</v>
      </c>
      <c r="I2012" s="7" t="n">
        <v>135</v>
      </c>
      <c r="J2012" s="7" t="n">
        <v>0</v>
      </c>
      <c r="K2012" s="7" t="s">
        <v>88</v>
      </c>
      <c r="L2012" s="7" t="s">
        <v>194</v>
      </c>
      <c r="M2012" s="7" t="n">
        <v>28</v>
      </c>
      <c r="N2012" s="7" t="n">
        <v>4</v>
      </c>
      <c r="O2012" s="7" t="str">
        <f aca="false">A2012&amp;"|"&amp;B2012&amp;"|"&amp;C2012&amp;"|"&amp;D2012&amp;"|"&amp;E2012&amp;"|"&amp;F2012&amp;"|"&amp;G2012&amp;"|"&amp;H2012&amp;"|"&amp;I2012&amp;"|"&amp;J2012&amp;"|"&amp;K2012&amp;"|"&amp;L2012&amp;"|"&amp;M2012&amp;"|"&amp;N2012</f>
        <v>ORD11109|2025-05-20|20:39|C0467|Chaat Corner|Delhi|Street Food|4|135|0|UPI|Delivered|28|4</v>
      </c>
      <c r="P2012" s="7" t="str">
        <f aca="false">IF(COUNTIF($O$2:O2012,O2012)&gt;1,"DUP","OK")</f>
        <v>OK</v>
      </c>
      <c r="Q2012" s="7" t="n">
        <f aca="false">COUNTBLANK(A2012:N2012)</f>
        <v>0</v>
      </c>
      <c r="R2012" s="7" t="n">
        <f aca="false">IF(A2012="",0,COUNTIFS($A$2:$A$3058,A2012,$P$2:$P$3058,"OK"))</f>
        <v>1</v>
      </c>
      <c r="S2012" s="7" t="str">
        <f aca="false">IF(OR(A2012="",P2012="DUP",R2012&lt;2),"",IF(Q2012=_xlfn.MINIFS($Q$2:$Q$3058,$A$2:$A$3058,A2012,$P$2:$P$3058,"OK"),"KEEP","DROP"))</f>
        <v/>
      </c>
      <c r="T2012" s="9" t="n">
        <f aca="false">IF(A2012="",1,0)</f>
        <v>0</v>
      </c>
      <c r="U2012" s="9" t="n">
        <f aca="false">IF(D2012="",1,0)</f>
        <v>0</v>
      </c>
      <c r="V2012" s="9" t="n">
        <f aca="false">IF(E2012="",1,0)</f>
        <v>0</v>
      </c>
      <c r="W2012" s="9" t="n">
        <f aca="false">IF(OR(H2012&lt;1,H2012&gt;10),1,0)</f>
        <v>0</v>
      </c>
      <c r="X2012" s="9" t="n">
        <f aca="false">IF(OR(I2012&lt;=0,I2012&gt;1500),1,0)</f>
        <v>0</v>
      </c>
      <c r="Y2012" s="9" t="n">
        <f aca="false">IF(J2012&gt;H2012*I2012,1,0)</f>
        <v>0</v>
      </c>
      <c r="Z2012" s="9" t="n">
        <f aca="false">IF(AND(N2012&lt;&gt;"",OR(N2012&lt;1,N2012&gt;5)),1,0)</f>
        <v>0</v>
      </c>
      <c r="AA2012" s="9" t="n">
        <f aca="false">IF(AND(M2012&lt;&gt;"",OR(M2012&lt;5,M2012&gt;180)),1,0)</f>
        <v>0</v>
      </c>
      <c r="AB2012" s="7" t="str">
        <f aca="false">IF(P2012="DUP","Exact duplicate row",IF(T2012=1,"Missing Order ID",IF(S2012="DROP","Duplicate Order ID (less complete row)",IF(U2012=1,"Missing Customer ID",IF(V2012=1,"Missing Restaurant name",IF(W2012=1,"Invalid/outlier quantity",IF(X2012=1,"Invalid/outlier unit price",IF(Y2012=1,"Discount greater than order value",""))))))))</f>
        <v/>
      </c>
      <c r="AC2012" s="7" t="str">
        <f aca="false">IF(AB2012="","KEEP","DROP")</f>
        <v>KEEP</v>
      </c>
      <c r="AD2012" s="7" t="str">
        <f aca="false">IF(TRIM(F2012)="",IFERROR(INDEX(Map_Tables!$I$4:$I$37,MATCH(TRIM(E2012),Map_Tables!$G$4:$G$37,0)),""),IFERROR(INDEX(Map_Tables!$B$4:$B$18,MATCH(TRIM(F2012),Map_Tables!$A$4:$A$18,0)),"CHECK"))</f>
        <v>Delhi</v>
      </c>
      <c r="AE2012" s="7" t="str">
        <f aca="false">IF(TRIM(E2012)="","",IFERROR(INDEX(Map_Tables!$H$4:$H$37,MATCH(TRIM(E2012),Map_Tables!$G$4:$G$37,0)),"CHECK"))</f>
        <v>Chaat Corner</v>
      </c>
      <c r="AF2012" s="7" t="str">
        <f aca="false">IF(TRIM(K2012)="","Unknown",IFERROR(INDEX(Map_Tables!$E$4:$E$15,MATCH(TRIM(K2012),Map_Tables!$D$4:$D$15,0)),"CHECK"))</f>
        <v>UPI</v>
      </c>
      <c r="AG2012" s="7" t="str">
        <f aca="false">IF(LEFT(LOWER(TRIM(L2012)),6)="cancel","Cancelled","Delivered")</f>
        <v>Delivered</v>
      </c>
      <c r="AH2012" s="10" t="n">
        <f aca="false">IF(ISNUMBER(SEARCH("/",B2012)),DATE(VALUE(RIGHT(B2012,4)),VALUE(MID(B2012,4,2)),VALUE(LEFT(B2012,2))),IF(MID(B2012,5,1)="-",DATE(VALUE(LEFT(B2012,4)),VALUE(MID(B2012,6,2)),VALUE(RIGHT(B2012,2))),DATE(VALUE(RIGHT(B2012,4)),MATCH(MID(B2012,4,3),{"Jan","Feb","Mar","Apr","May","Jun","Jul","Aug","Sep","Oct","Nov","Dec"},0),VALUE(LEFT(B2012,2)))))</f>
        <v>45797</v>
      </c>
    </row>
    <row r="2013" customFormat="false" ht="15" hidden="false" customHeight="false" outlineLevel="0" collapsed="false">
      <c r="A2013" s="7" t="s">
        <v>4764</v>
      </c>
      <c r="B2013" s="7" t="s">
        <v>1714</v>
      </c>
      <c r="C2013" s="7" t="s">
        <v>1920</v>
      </c>
      <c r="D2013" s="7" t="s">
        <v>887</v>
      </c>
      <c r="E2013" s="7" t="s">
        <v>116</v>
      </c>
      <c r="F2013" s="7" t="s">
        <v>101</v>
      </c>
      <c r="G2013" s="7" t="s">
        <v>117</v>
      </c>
      <c r="H2013" s="7" t="n">
        <v>1</v>
      </c>
      <c r="I2013" s="7" t="n">
        <v>140</v>
      </c>
      <c r="J2013" s="7" t="n">
        <v>0</v>
      </c>
      <c r="K2013" s="7" t="s">
        <v>379</v>
      </c>
      <c r="L2013" s="7" t="s">
        <v>194</v>
      </c>
      <c r="M2013" s="7" t="n">
        <v>36</v>
      </c>
      <c r="N2013" s="7" t="n">
        <v>3</v>
      </c>
      <c r="O2013" s="7" t="str">
        <f aca="false">A2013&amp;"|"&amp;B2013&amp;"|"&amp;C2013&amp;"|"&amp;D2013&amp;"|"&amp;E2013&amp;"|"&amp;F2013&amp;"|"&amp;G2013&amp;"|"&amp;H2013&amp;"|"&amp;I2013&amp;"|"&amp;J2013&amp;"|"&amp;K2013&amp;"|"&amp;L2013&amp;"|"&amp;M2013&amp;"|"&amp;N2013</f>
        <v>ORD10068|2025-01-09|22:09|C1435|Pav Bhaji Point|Mumbai|Street Food|1|140|0|Credit card|Delivered|36|3</v>
      </c>
      <c r="P2013" s="7" t="str">
        <f aca="false">IF(COUNTIF($O$2:O2013,O2013)&gt;1,"DUP","OK")</f>
        <v>OK</v>
      </c>
      <c r="Q2013" s="7" t="n">
        <f aca="false">COUNTBLANK(A2013:N2013)</f>
        <v>0</v>
      </c>
      <c r="R2013" s="7" t="n">
        <f aca="false">IF(A2013="",0,COUNTIFS($A$2:$A$3058,A2013,$P$2:$P$3058,"OK"))</f>
        <v>1</v>
      </c>
      <c r="S2013" s="7" t="str">
        <f aca="false">IF(OR(A2013="",P2013="DUP",R2013&lt;2),"",IF(Q2013=_xlfn.MINIFS($Q$2:$Q$3058,$A$2:$A$3058,A2013,$P$2:$P$3058,"OK"),"KEEP","DROP"))</f>
        <v/>
      </c>
      <c r="T2013" s="9" t="n">
        <f aca="false">IF(A2013="",1,0)</f>
        <v>0</v>
      </c>
      <c r="U2013" s="9" t="n">
        <f aca="false">IF(D2013="",1,0)</f>
        <v>0</v>
      </c>
      <c r="V2013" s="9" t="n">
        <f aca="false">IF(E2013="",1,0)</f>
        <v>0</v>
      </c>
      <c r="W2013" s="9" t="n">
        <f aca="false">IF(OR(H2013&lt;1,H2013&gt;10),1,0)</f>
        <v>0</v>
      </c>
      <c r="X2013" s="9" t="n">
        <f aca="false">IF(OR(I2013&lt;=0,I2013&gt;1500),1,0)</f>
        <v>0</v>
      </c>
      <c r="Y2013" s="9" t="n">
        <f aca="false">IF(J2013&gt;H2013*I2013,1,0)</f>
        <v>0</v>
      </c>
      <c r="Z2013" s="9" t="n">
        <f aca="false">IF(AND(N2013&lt;&gt;"",OR(N2013&lt;1,N2013&gt;5)),1,0)</f>
        <v>0</v>
      </c>
      <c r="AA2013" s="9" t="n">
        <f aca="false">IF(AND(M2013&lt;&gt;"",OR(M2013&lt;5,M2013&gt;180)),1,0)</f>
        <v>0</v>
      </c>
      <c r="AB2013" s="7" t="str">
        <f aca="false">IF(P2013="DUP","Exact duplicate row",IF(T2013=1,"Missing Order ID",IF(S2013="DROP","Duplicate Order ID (less complete row)",IF(U2013=1,"Missing Customer ID",IF(V2013=1,"Missing Restaurant name",IF(W2013=1,"Invalid/outlier quantity",IF(X2013=1,"Invalid/outlier unit price",IF(Y2013=1,"Discount greater than order value",""))))))))</f>
        <v/>
      </c>
      <c r="AC2013" s="7" t="str">
        <f aca="false">IF(AB2013="","KEEP","DROP")</f>
        <v>KEEP</v>
      </c>
      <c r="AD2013" s="7" t="str">
        <f aca="false">IF(TRIM(F2013)="",IFERROR(INDEX(Map_Tables!$I$4:$I$37,MATCH(TRIM(E2013),Map_Tables!$G$4:$G$37,0)),""),IFERROR(INDEX(Map_Tables!$B$4:$B$18,MATCH(TRIM(F2013),Map_Tables!$A$4:$A$18,0)),"CHECK"))</f>
        <v>Mumbai</v>
      </c>
      <c r="AE2013" s="7" t="str">
        <f aca="false">IF(TRIM(E2013)="","",IFERROR(INDEX(Map_Tables!$H$4:$H$37,MATCH(TRIM(E2013),Map_Tables!$G$4:$G$37,0)),"CHECK"))</f>
        <v>Pav Bhaji Point</v>
      </c>
      <c r="AF2013" s="7" t="str">
        <f aca="false">IF(TRIM(K2013)="","Unknown",IFERROR(INDEX(Map_Tables!$E$4:$E$15,MATCH(TRIM(K2013),Map_Tables!$D$4:$D$15,0)),"CHECK"))</f>
        <v>Credit Card</v>
      </c>
      <c r="AG2013" s="7" t="str">
        <f aca="false">IF(LEFT(LOWER(TRIM(L2013)),6)="cancel","Cancelled","Delivered")</f>
        <v>Delivered</v>
      </c>
      <c r="AH2013" s="10" t="n">
        <f aca="false">IF(ISNUMBER(SEARCH("/",B2013)),DATE(VALUE(RIGHT(B2013,4)),VALUE(MID(B2013,4,2)),VALUE(LEFT(B2013,2))),IF(MID(B2013,5,1)="-",DATE(VALUE(LEFT(B2013,4)),VALUE(MID(B2013,6,2)),VALUE(RIGHT(B2013,2))),DATE(VALUE(RIGHT(B2013,4)),MATCH(MID(B2013,4,3),{"Jan","Feb","Mar","Apr","May","Jun","Jul","Aug","Sep","Oct","Nov","Dec"},0),VALUE(LEFT(B2013,2)))))</f>
        <v>45666</v>
      </c>
    </row>
    <row r="2014" customFormat="false" ht="15" hidden="false" customHeight="false" outlineLevel="0" collapsed="false">
      <c r="A2014" s="7" t="s">
        <v>4765</v>
      </c>
      <c r="B2014" s="7" t="s">
        <v>2303</v>
      </c>
      <c r="C2014" s="7" t="s">
        <v>1231</v>
      </c>
      <c r="D2014" s="7" t="s">
        <v>3180</v>
      </c>
      <c r="E2014" s="7" t="s">
        <v>151</v>
      </c>
      <c r="F2014" s="7" t="s">
        <v>128</v>
      </c>
      <c r="G2014" s="7" t="s">
        <v>95</v>
      </c>
      <c r="H2014" s="7" t="n">
        <v>3</v>
      </c>
      <c r="I2014" s="7" t="n">
        <v>215</v>
      </c>
      <c r="J2014" s="7" t="n">
        <v>150</v>
      </c>
      <c r="K2014" s="7" t="s">
        <v>93</v>
      </c>
      <c r="L2014" s="7" t="s">
        <v>194</v>
      </c>
      <c r="M2014" s="7" t="n">
        <v>35</v>
      </c>
      <c r="N2014" s="7" t="n">
        <v>4</v>
      </c>
      <c r="O2014" s="7" t="str">
        <f aca="false">A2014&amp;"|"&amp;B2014&amp;"|"&amp;C2014&amp;"|"&amp;D2014&amp;"|"&amp;E2014&amp;"|"&amp;F2014&amp;"|"&amp;G2014&amp;"|"&amp;H2014&amp;"|"&amp;I2014&amp;"|"&amp;J2014&amp;"|"&amp;K2014&amp;"|"&amp;L2014&amp;"|"&amp;M2014&amp;"|"&amp;N2014</f>
        <v>ORD12295|2025-10-17|14:22|C0470|Chettinad House|Chennai|South Indian|3|215|150|Credit Card|Delivered|35|4</v>
      </c>
      <c r="P2014" s="7" t="str">
        <f aca="false">IF(COUNTIF($O$2:O2014,O2014)&gt;1,"DUP","OK")</f>
        <v>OK</v>
      </c>
      <c r="Q2014" s="7" t="n">
        <f aca="false">COUNTBLANK(A2014:N2014)</f>
        <v>0</v>
      </c>
      <c r="R2014" s="7" t="n">
        <f aca="false">IF(A2014="",0,COUNTIFS($A$2:$A$3058,A2014,$P$2:$P$3058,"OK"))</f>
        <v>1</v>
      </c>
      <c r="S2014" s="7" t="str">
        <f aca="false">IF(OR(A2014="",P2014="DUP",R2014&lt;2),"",IF(Q2014=_xlfn.MINIFS($Q$2:$Q$3058,$A$2:$A$3058,A2014,$P$2:$P$3058,"OK"),"KEEP","DROP"))</f>
        <v/>
      </c>
      <c r="T2014" s="9" t="n">
        <f aca="false">IF(A2014="",1,0)</f>
        <v>0</v>
      </c>
      <c r="U2014" s="9" t="n">
        <f aca="false">IF(D2014="",1,0)</f>
        <v>0</v>
      </c>
      <c r="V2014" s="9" t="n">
        <f aca="false">IF(E2014="",1,0)</f>
        <v>0</v>
      </c>
      <c r="W2014" s="9" t="n">
        <f aca="false">IF(OR(H2014&lt;1,H2014&gt;10),1,0)</f>
        <v>0</v>
      </c>
      <c r="X2014" s="9" t="n">
        <f aca="false">IF(OR(I2014&lt;=0,I2014&gt;1500),1,0)</f>
        <v>0</v>
      </c>
      <c r="Y2014" s="9" t="n">
        <f aca="false">IF(J2014&gt;H2014*I2014,1,0)</f>
        <v>0</v>
      </c>
      <c r="Z2014" s="9" t="n">
        <f aca="false">IF(AND(N2014&lt;&gt;"",OR(N2014&lt;1,N2014&gt;5)),1,0)</f>
        <v>0</v>
      </c>
      <c r="AA2014" s="9" t="n">
        <f aca="false">IF(AND(M2014&lt;&gt;"",OR(M2014&lt;5,M2014&gt;180)),1,0)</f>
        <v>0</v>
      </c>
      <c r="AB2014" s="7" t="str">
        <f aca="false">IF(P2014="DUP","Exact duplicate row",IF(T2014=1,"Missing Order ID",IF(S2014="DROP","Duplicate Order ID (less complete row)",IF(U2014=1,"Missing Customer ID",IF(V2014=1,"Missing Restaurant name",IF(W2014=1,"Invalid/outlier quantity",IF(X2014=1,"Invalid/outlier unit price",IF(Y2014=1,"Discount greater than order value",""))))))))</f>
        <v/>
      </c>
      <c r="AC2014" s="7" t="str">
        <f aca="false">IF(AB2014="","KEEP","DROP")</f>
        <v>KEEP</v>
      </c>
      <c r="AD2014" s="7" t="str">
        <f aca="false">IF(TRIM(F2014)="",IFERROR(INDEX(Map_Tables!$I$4:$I$37,MATCH(TRIM(E2014),Map_Tables!$G$4:$G$37,0)),""),IFERROR(INDEX(Map_Tables!$B$4:$B$18,MATCH(TRIM(F2014),Map_Tables!$A$4:$A$18,0)),"CHECK"))</f>
        <v>Chennai</v>
      </c>
      <c r="AE2014" s="7" t="str">
        <f aca="false">IF(TRIM(E2014)="","",IFERROR(INDEX(Map_Tables!$H$4:$H$37,MATCH(TRIM(E2014),Map_Tables!$G$4:$G$37,0)),"CHECK"))</f>
        <v>Chettinad House</v>
      </c>
      <c r="AF2014" s="7" t="str">
        <f aca="false">IF(TRIM(K2014)="","Unknown",IFERROR(INDEX(Map_Tables!$E$4:$E$15,MATCH(TRIM(K2014),Map_Tables!$D$4:$D$15,0)),"CHECK"))</f>
        <v>Credit Card</v>
      </c>
      <c r="AG2014" s="7" t="str">
        <f aca="false">IF(LEFT(LOWER(TRIM(L2014)),6)="cancel","Cancelled","Delivered")</f>
        <v>Delivered</v>
      </c>
      <c r="AH2014" s="10" t="n">
        <f aca="false">IF(ISNUMBER(SEARCH("/",B2014)),DATE(VALUE(RIGHT(B2014,4)),VALUE(MID(B2014,4,2)),VALUE(LEFT(B2014,2))),IF(MID(B2014,5,1)="-",DATE(VALUE(LEFT(B2014,4)),VALUE(MID(B2014,6,2)),VALUE(RIGHT(B2014,2))),DATE(VALUE(RIGHT(B2014,4)),MATCH(MID(B2014,4,3),{"Jan","Feb","Mar","Apr","May","Jun","Jul","Aug","Sep","Oct","Nov","Dec"},0),VALUE(LEFT(B2014,2)))))</f>
        <v>45947</v>
      </c>
    </row>
    <row r="2015" customFormat="false" ht="15" hidden="false" customHeight="false" outlineLevel="0" collapsed="false">
      <c r="A2015" s="7" t="s">
        <v>4766</v>
      </c>
      <c r="B2015" s="7" t="s">
        <v>4767</v>
      </c>
      <c r="C2015" s="7" t="s">
        <v>709</v>
      </c>
      <c r="D2015" s="7" t="s">
        <v>1251</v>
      </c>
      <c r="E2015" s="7" t="s">
        <v>159</v>
      </c>
      <c r="F2015" s="7" t="s">
        <v>136</v>
      </c>
      <c r="G2015" s="7" t="s">
        <v>90</v>
      </c>
      <c r="H2015" s="7" t="n">
        <v>1</v>
      </c>
      <c r="I2015" s="7" t="n">
        <v>270</v>
      </c>
      <c r="J2015" s="7" t="n">
        <v>0</v>
      </c>
      <c r="K2015" s="7" t="s">
        <v>112</v>
      </c>
      <c r="L2015" s="7" t="s">
        <v>194</v>
      </c>
      <c r="M2015" s="7" t="n">
        <v>28</v>
      </c>
      <c r="N2015" s="7" t="n">
        <v>5</v>
      </c>
      <c r="O2015" s="7" t="str">
        <f aca="false">A2015&amp;"|"&amp;B2015&amp;"|"&amp;C2015&amp;"|"&amp;D2015&amp;"|"&amp;E2015&amp;"|"&amp;F2015&amp;"|"&amp;G2015&amp;"|"&amp;H2015&amp;"|"&amp;I2015&amp;"|"&amp;J2015&amp;"|"&amp;K2015&amp;"|"&amp;L2015&amp;"|"&amp;M2015&amp;"|"&amp;N2015</f>
        <v>ORD10333|13/02/2025|18:48|C0595|Maratha Thali House|Pune|North Indian|1|270|0|Cash on Delivery|Delivered|28|5</v>
      </c>
      <c r="P2015" s="7" t="str">
        <f aca="false">IF(COUNTIF($O$2:O2015,O2015)&gt;1,"DUP","OK")</f>
        <v>OK</v>
      </c>
      <c r="Q2015" s="7" t="n">
        <f aca="false">COUNTBLANK(A2015:N2015)</f>
        <v>0</v>
      </c>
      <c r="R2015" s="7" t="n">
        <f aca="false">IF(A2015="",0,COUNTIFS($A$2:$A$3058,A2015,$P$2:$P$3058,"OK"))</f>
        <v>1</v>
      </c>
      <c r="S2015" s="7" t="str">
        <f aca="false">IF(OR(A2015="",P2015="DUP",R2015&lt;2),"",IF(Q2015=_xlfn.MINIFS($Q$2:$Q$3058,$A$2:$A$3058,A2015,$P$2:$P$3058,"OK"),"KEEP","DROP"))</f>
        <v/>
      </c>
      <c r="T2015" s="9" t="n">
        <f aca="false">IF(A2015="",1,0)</f>
        <v>0</v>
      </c>
      <c r="U2015" s="9" t="n">
        <f aca="false">IF(D2015="",1,0)</f>
        <v>0</v>
      </c>
      <c r="V2015" s="9" t="n">
        <f aca="false">IF(E2015="",1,0)</f>
        <v>0</v>
      </c>
      <c r="W2015" s="9" t="n">
        <f aca="false">IF(OR(H2015&lt;1,H2015&gt;10),1,0)</f>
        <v>0</v>
      </c>
      <c r="X2015" s="9" t="n">
        <f aca="false">IF(OR(I2015&lt;=0,I2015&gt;1500),1,0)</f>
        <v>0</v>
      </c>
      <c r="Y2015" s="9" t="n">
        <f aca="false">IF(J2015&gt;H2015*I2015,1,0)</f>
        <v>0</v>
      </c>
      <c r="Z2015" s="9" t="n">
        <f aca="false">IF(AND(N2015&lt;&gt;"",OR(N2015&lt;1,N2015&gt;5)),1,0)</f>
        <v>0</v>
      </c>
      <c r="AA2015" s="9" t="n">
        <f aca="false">IF(AND(M2015&lt;&gt;"",OR(M2015&lt;5,M2015&gt;180)),1,0)</f>
        <v>0</v>
      </c>
      <c r="AB2015" s="7" t="str">
        <f aca="false">IF(P2015="DUP","Exact duplicate row",IF(T2015=1,"Missing Order ID",IF(S2015="DROP","Duplicate Order ID (less complete row)",IF(U2015=1,"Missing Customer ID",IF(V2015=1,"Missing Restaurant name",IF(W2015=1,"Invalid/outlier quantity",IF(X2015=1,"Invalid/outlier unit price",IF(Y2015=1,"Discount greater than order value",""))))))))</f>
        <v/>
      </c>
      <c r="AC2015" s="7" t="str">
        <f aca="false">IF(AB2015="","KEEP","DROP")</f>
        <v>KEEP</v>
      </c>
      <c r="AD2015" s="7" t="str">
        <f aca="false">IF(TRIM(F2015)="",IFERROR(INDEX(Map_Tables!$I$4:$I$37,MATCH(TRIM(E2015),Map_Tables!$G$4:$G$37,0)),""),IFERROR(INDEX(Map_Tables!$B$4:$B$18,MATCH(TRIM(F2015),Map_Tables!$A$4:$A$18,0)),"CHECK"))</f>
        <v>Pune</v>
      </c>
      <c r="AE2015" s="7" t="str">
        <f aca="false">IF(TRIM(E2015)="","",IFERROR(INDEX(Map_Tables!$H$4:$H$37,MATCH(TRIM(E2015),Map_Tables!$G$4:$G$37,0)),"CHECK"))</f>
        <v>Maratha Thali House</v>
      </c>
      <c r="AF2015" s="7" t="str">
        <f aca="false">IF(TRIM(K2015)="","Unknown",IFERROR(INDEX(Map_Tables!$E$4:$E$15,MATCH(TRIM(K2015),Map_Tables!$D$4:$D$15,0)),"CHECK"))</f>
        <v>Cash on Delivery</v>
      </c>
      <c r="AG2015" s="7" t="str">
        <f aca="false">IF(LEFT(LOWER(TRIM(L2015)),6)="cancel","Cancelled","Delivered")</f>
        <v>Delivered</v>
      </c>
      <c r="AH2015" s="10" t="n">
        <f aca="false">IF(ISNUMBER(SEARCH("/",B2015)),DATE(VALUE(RIGHT(B2015,4)),VALUE(MID(B2015,4,2)),VALUE(LEFT(B2015,2))),IF(MID(B2015,5,1)="-",DATE(VALUE(LEFT(B2015,4)),VALUE(MID(B2015,6,2)),VALUE(RIGHT(B2015,2))),DATE(VALUE(RIGHT(B2015,4)),MATCH(MID(B2015,4,3),{"Jan","Feb","Mar","Apr","May","Jun","Jul","Aug","Sep","Oct","Nov","Dec"},0),VALUE(LEFT(B2015,2)))))</f>
        <v>45701</v>
      </c>
    </row>
    <row r="2016" customFormat="false" ht="15" hidden="false" customHeight="false" outlineLevel="0" collapsed="false">
      <c r="A2016" s="7" t="s">
        <v>4768</v>
      </c>
      <c r="B2016" s="7" t="s">
        <v>1645</v>
      </c>
      <c r="C2016" s="7" t="s">
        <v>2607</v>
      </c>
      <c r="D2016" s="7" t="s">
        <v>2750</v>
      </c>
      <c r="E2016" s="7" t="s">
        <v>94</v>
      </c>
      <c r="F2016" s="7" t="s">
        <v>86</v>
      </c>
      <c r="G2016" s="7" t="s">
        <v>1828</v>
      </c>
      <c r="H2016" s="7" t="n">
        <v>2</v>
      </c>
      <c r="I2016" s="7" t="n">
        <v>140</v>
      </c>
      <c r="J2016" s="7" t="n">
        <v>0</v>
      </c>
      <c r="K2016" s="7" t="s">
        <v>93</v>
      </c>
      <c r="L2016" s="7" t="s">
        <v>194</v>
      </c>
      <c r="M2016" s="7" t="n">
        <v>38</v>
      </c>
      <c r="N2016" s="7" t="n">
        <v>5</v>
      </c>
      <c r="O2016" s="7" t="str">
        <f aca="false">A2016&amp;"|"&amp;B2016&amp;"|"&amp;C2016&amp;"|"&amp;D2016&amp;"|"&amp;E2016&amp;"|"&amp;F2016&amp;"|"&amp;G2016&amp;"|"&amp;H2016&amp;"|"&amp;I2016&amp;"|"&amp;J2016&amp;"|"&amp;K2016&amp;"|"&amp;L2016&amp;"|"&amp;M2016&amp;"|"&amp;N2016</f>
        <v>ORD11593|2025-07-27|12:01|C0479|Dosa Darbar|Bengaluru|south indian|2|140|0|Credit Card|Delivered|38|5</v>
      </c>
      <c r="P2016" s="7" t="str">
        <f aca="false">IF(COUNTIF($O$2:O2016,O2016)&gt;1,"DUP","OK")</f>
        <v>OK</v>
      </c>
      <c r="Q2016" s="7" t="n">
        <f aca="false">COUNTBLANK(A2016:N2016)</f>
        <v>0</v>
      </c>
      <c r="R2016" s="7" t="n">
        <f aca="false">IF(A2016="",0,COUNTIFS($A$2:$A$3058,A2016,$P$2:$P$3058,"OK"))</f>
        <v>1</v>
      </c>
      <c r="S2016" s="7" t="str">
        <f aca="false">IF(OR(A2016="",P2016="DUP",R2016&lt;2),"",IF(Q2016=_xlfn.MINIFS($Q$2:$Q$3058,$A$2:$A$3058,A2016,$P$2:$P$3058,"OK"),"KEEP","DROP"))</f>
        <v/>
      </c>
      <c r="T2016" s="9" t="n">
        <f aca="false">IF(A2016="",1,0)</f>
        <v>0</v>
      </c>
      <c r="U2016" s="9" t="n">
        <f aca="false">IF(D2016="",1,0)</f>
        <v>0</v>
      </c>
      <c r="V2016" s="9" t="n">
        <f aca="false">IF(E2016="",1,0)</f>
        <v>0</v>
      </c>
      <c r="W2016" s="9" t="n">
        <f aca="false">IF(OR(H2016&lt;1,H2016&gt;10),1,0)</f>
        <v>0</v>
      </c>
      <c r="X2016" s="9" t="n">
        <f aca="false">IF(OR(I2016&lt;=0,I2016&gt;1500),1,0)</f>
        <v>0</v>
      </c>
      <c r="Y2016" s="9" t="n">
        <f aca="false">IF(J2016&gt;H2016*I2016,1,0)</f>
        <v>0</v>
      </c>
      <c r="Z2016" s="9" t="n">
        <f aca="false">IF(AND(N2016&lt;&gt;"",OR(N2016&lt;1,N2016&gt;5)),1,0)</f>
        <v>0</v>
      </c>
      <c r="AA2016" s="9" t="n">
        <f aca="false">IF(AND(M2016&lt;&gt;"",OR(M2016&lt;5,M2016&gt;180)),1,0)</f>
        <v>0</v>
      </c>
      <c r="AB2016" s="7" t="str">
        <f aca="false">IF(P2016="DUP","Exact duplicate row",IF(T2016=1,"Missing Order ID",IF(S2016="DROP","Duplicate Order ID (less complete row)",IF(U2016=1,"Missing Customer ID",IF(V2016=1,"Missing Restaurant name",IF(W2016=1,"Invalid/outlier quantity",IF(X2016=1,"Invalid/outlier unit price",IF(Y2016=1,"Discount greater than order value",""))))))))</f>
        <v/>
      </c>
      <c r="AC2016" s="7" t="str">
        <f aca="false">IF(AB2016="","KEEP","DROP")</f>
        <v>KEEP</v>
      </c>
      <c r="AD2016" s="7" t="str">
        <f aca="false">IF(TRIM(F2016)="",IFERROR(INDEX(Map_Tables!$I$4:$I$37,MATCH(TRIM(E2016),Map_Tables!$G$4:$G$37,0)),""),IFERROR(INDEX(Map_Tables!$B$4:$B$18,MATCH(TRIM(F2016),Map_Tables!$A$4:$A$18,0)),"CHECK"))</f>
        <v>Bengaluru</v>
      </c>
      <c r="AE2016" s="7" t="str">
        <f aca="false">IF(TRIM(E2016)="","",IFERROR(INDEX(Map_Tables!$H$4:$H$37,MATCH(TRIM(E2016),Map_Tables!$G$4:$G$37,0)),"CHECK"))</f>
        <v>Dosa Darbar</v>
      </c>
      <c r="AF2016" s="7" t="str">
        <f aca="false">IF(TRIM(K2016)="","Unknown",IFERROR(INDEX(Map_Tables!$E$4:$E$15,MATCH(TRIM(K2016),Map_Tables!$D$4:$D$15,0)),"CHECK"))</f>
        <v>Credit Card</v>
      </c>
      <c r="AG2016" s="7" t="str">
        <f aca="false">IF(LEFT(LOWER(TRIM(L2016)),6)="cancel","Cancelled","Delivered")</f>
        <v>Delivered</v>
      </c>
      <c r="AH2016" s="10" t="n">
        <f aca="false">IF(ISNUMBER(SEARCH("/",B2016)),DATE(VALUE(RIGHT(B2016,4)),VALUE(MID(B2016,4,2)),VALUE(LEFT(B2016,2))),IF(MID(B2016,5,1)="-",DATE(VALUE(LEFT(B2016,4)),VALUE(MID(B2016,6,2)),VALUE(RIGHT(B2016,2))),DATE(VALUE(RIGHT(B2016,4)),MATCH(MID(B2016,4,3),{"Jan","Feb","Mar","Apr","May","Jun","Jul","Aug","Sep","Oct","Nov","Dec"},0),VALUE(LEFT(B2016,2)))))</f>
        <v>45865</v>
      </c>
    </row>
    <row r="2017" customFormat="false" ht="15" hidden="false" customHeight="false" outlineLevel="0" collapsed="false">
      <c r="A2017" s="7" t="s">
        <v>4769</v>
      </c>
      <c r="B2017" s="7" t="s">
        <v>4770</v>
      </c>
      <c r="C2017" s="7" t="s">
        <v>568</v>
      </c>
      <c r="D2017" s="7" t="s">
        <v>3473</v>
      </c>
      <c r="E2017" s="7" t="s">
        <v>122</v>
      </c>
      <c r="F2017" s="7" t="s">
        <v>101</v>
      </c>
      <c r="G2017" s="7" t="s">
        <v>123</v>
      </c>
      <c r="H2017" s="7" t="n">
        <v>1</v>
      </c>
      <c r="I2017" s="7" t="n">
        <v>330</v>
      </c>
      <c r="J2017" s="7" t="n">
        <v>0</v>
      </c>
      <c r="K2017" s="7" t="s">
        <v>88</v>
      </c>
      <c r="L2017" s="7" t="s">
        <v>194</v>
      </c>
      <c r="M2017" s="7" t="n">
        <v>41</v>
      </c>
      <c r="N2017" s="7" t="n">
        <v>2</v>
      </c>
      <c r="O2017" s="7" t="str">
        <f aca="false">A2017&amp;"|"&amp;B2017&amp;"|"&amp;C2017&amp;"|"&amp;D2017&amp;"|"&amp;E2017&amp;"|"&amp;F2017&amp;"|"&amp;G2017&amp;"|"&amp;H2017&amp;"|"&amp;I2017&amp;"|"&amp;J2017&amp;"|"&amp;K2017&amp;"|"&amp;L2017&amp;"|"&amp;M2017&amp;"|"&amp;N2017</f>
        <v>ORD10337|14-Feb-2025|20:19|C0749|Mumbai Pizza Co|Mumbai|Pizza|1|330|0|UPI|Delivered|41|2</v>
      </c>
      <c r="P2017" s="7" t="str">
        <f aca="false">IF(COUNTIF($O$2:O2017,O2017)&gt;1,"DUP","OK")</f>
        <v>OK</v>
      </c>
      <c r="Q2017" s="7" t="n">
        <f aca="false">COUNTBLANK(A2017:N2017)</f>
        <v>0</v>
      </c>
      <c r="R2017" s="7" t="n">
        <f aca="false">IF(A2017="",0,COUNTIFS($A$2:$A$3058,A2017,$P$2:$P$3058,"OK"))</f>
        <v>1</v>
      </c>
      <c r="S2017" s="7" t="str">
        <f aca="false">IF(OR(A2017="",P2017="DUP",R2017&lt;2),"",IF(Q2017=_xlfn.MINIFS($Q$2:$Q$3058,$A$2:$A$3058,A2017,$P$2:$P$3058,"OK"),"KEEP","DROP"))</f>
        <v/>
      </c>
      <c r="T2017" s="9" t="n">
        <f aca="false">IF(A2017="",1,0)</f>
        <v>0</v>
      </c>
      <c r="U2017" s="9" t="n">
        <f aca="false">IF(D2017="",1,0)</f>
        <v>0</v>
      </c>
      <c r="V2017" s="9" t="n">
        <f aca="false">IF(E2017="",1,0)</f>
        <v>0</v>
      </c>
      <c r="W2017" s="9" t="n">
        <f aca="false">IF(OR(H2017&lt;1,H2017&gt;10),1,0)</f>
        <v>0</v>
      </c>
      <c r="X2017" s="9" t="n">
        <f aca="false">IF(OR(I2017&lt;=0,I2017&gt;1500),1,0)</f>
        <v>0</v>
      </c>
      <c r="Y2017" s="9" t="n">
        <f aca="false">IF(J2017&gt;H2017*I2017,1,0)</f>
        <v>0</v>
      </c>
      <c r="Z2017" s="9" t="n">
        <f aca="false">IF(AND(N2017&lt;&gt;"",OR(N2017&lt;1,N2017&gt;5)),1,0)</f>
        <v>0</v>
      </c>
      <c r="AA2017" s="9" t="n">
        <f aca="false">IF(AND(M2017&lt;&gt;"",OR(M2017&lt;5,M2017&gt;180)),1,0)</f>
        <v>0</v>
      </c>
      <c r="AB2017" s="7" t="str">
        <f aca="false">IF(P2017="DUP","Exact duplicate row",IF(T2017=1,"Missing Order ID",IF(S2017="DROP","Duplicate Order ID (less complete row)",IF(U2017=1,"Missing Customer ID",IF(V2017=1,"Missing Restaurant name",IF(W2017=1,"Invalid/outlier quantity",IF(X2017=1,"Invalid/outlier unit price",IF(Y2017=1,"Discount greater than order value",""))))))))</f>
        <v/>
      </c>
      <c r="AC2017" s="7" t="str">
        <f aca="false">IF(AB2017="","KEEP","DROP")</f>
        <v>KEEP</v>
      </c>
      <c r="AD2017" s="7" t="str">
        <f aca="false">IF(TRIM(F2017)="",IFERROR(INDEX(Map_Tables!$I$4:$I$37,MATCH(TRIM(E2017),Map_Tables!$G$4:$G$37,0)),""),IFERROR(INDEX(Map_Tables!$B$4:$B$18,MATCH(TRIM(F2017),Map_Tables!$A$4:$A$18,0)),"CHECK"))</f>
        <v>Mumbai</v>
      </c>
      <c r="AE2017" s="7" t="str">
        <f aca="false">IF(TRIM(E2017)="","",IFERROR(INDEX(Map_Tables!$H$4:$H$37,MATCH(TRIM(E2017),Map_Tables!$G$4:$G$37,0)),"CHECK"))</f>
        <v>Mumbai Pizza Co</v>
      </c>
      <c r="AF2017" s="7" t="str">
        <f aca="false">IF(TRIM(K2017)="","Unknown",IFERROR(INDEX(Map_Tables!$E$4:$E$15,MATCH(TRIM(K2017),Map_Tables!$D$4:$D$15,0)),"CHECK"))</f>
        <v>UPI</v>
      </c>
      <c r="AG2017" s="7" t="str">
        <f aca="false">IF(LEFT(LOWER(TRIM(L2017)),6)="cancel","Cancelled","Delivered")</f>
        <v>Delivered</v>
      </c>
      <c r="AH2017" s="10" t="n">
        <f aca="false">IF(ISNUMBER(SEARCH("/",B2017)),DATE(VALUE(RIGHT(B2017,4)),VALUE(MID(B2017,4,2)),VALUE(LEFT(B2017,2))),IF(MID(B2017,5,1)="-",DATE(VALUE(LEFT(B2017,4)),VALUE(MID(B2017,6,2)),VALUE(RIGHT(B2017,2))),DATE(VALUE(RIGHT(B2017,4)),MATCH(MID(B2017,4,3),{"Jan","Feb","Mar","Apr","May","Jun","Jul","Aug","Sep","Oct","Nov","Dec"},0),VALUE(LEFT(B2017,2)))))</f>
        <v>45702</v>
      </c>
    </row>
    <row r="2018" customFormat="false" ht="15" hidden="false" customHeight="false" outlineLevel="0" collapsed="false">
      <c r="A2018" s="7" t="s">
        <v>4771</v>
      </c>
      <c r="B2018" s="7" t="s">
        <v>2912</v>
      </c>
      <c r="C2018" s="7" t="s">
        <v>1517</v>
      </c>
      <c r="D2018" s="7" t="s">
        <v>740</v>
      </c>
      <c r="E2018" s="7" t="s">
        <v>4772</v>
      </c>
      <c r="F2018" s="7" t="s">
        <v>146</v>
      </c>
      <c r="G2018" s="7" t="s">
        <v>123</v>
      </c>
      <c r="H2018" s="7" t="n">
        <v>4</v>
      </c>
      <c r="I2018" s="7" t="n">
        <v>295</v>
      </c>
      <c r="J2018" s="7" t="n">
        <v>150</v>
      </c>
      <c r="K2018" s="7" t="s">
        <v>88</v>
      </c>
      <c r="L2018" s="7" t="s">
        <v>194</v>
      </c>
      <c r="M2018" s="7" t="n">
        <v>35</v>
      </c>
      <c r="N2018" s="7" t="n">
        <v>4</v>
      </c>
      <c r="O2018" s="7" t="str">
        <f aca="false">A2018&amp;"|"&amp;B2018&amp;"|"&amp;C2018&amp;"|"&amp;D2018&amp;"|"&amp;E2018&amp;"|"&amp;F2018&amp;"|"&amp;G2018&amp;"|"&amp;H2018&amp;"|"&amp;I2018&amp;"|"&amp;J2018&amp;"|"&amp;K2018&amp;"|"&amp;L2018&amp;"|"&amp;M2018&amp;"|"&amp;N2018</f>
        <v>ORD10913|2025-04-24|22:43|C1277| Cheesy Slice|Ahmedabad|Pizza|4|295|150|UPI|Delivered|35|4</v>
      </c>
      <c r="P2018" s="7" t="str">
        <f aca="false">IF(COUNTIF($O$2:O2018,O2018)&gt;1,"DUP","OK")</f>
        <v>OK</v>
      </c>
      <c r="Q2018" s="7" t="n">
        <f aca="false">COUNTBLANK(A2018:N2018)</f>
        <v>0</v>
      </c>
      <c r="R2018" s="7" t="n">
        <f aca="false">IF(A2018="",0,COUNTIFS($A$2:$A$3058,A2018,$P$2:$P$3058,"OK"))</f>
        <v>1</v>
      </c>
      <c r="S2018" s="7" t="str">
        <f aca="false">IF(OR(A2018="",P2018="DUP",R2018&lt;2),"",IF(Q2018=_xlfn.MINIFS($Q$2:$Q$3058,$A$2:$A$3058,A2018,$P$2:$P$3058,"OK"),"KEEP","DROP"))</f>
        <v/>
      </c>
      <c r="T2018" s="9" t="n">
        <f aca="false">IF(A2018="",1,0)</f>
        <v>0</v>
      </c>
      <c r="U2018" s="9" t="n">
        <f aca="false">IF(D2018="",1,0)</f>
        <v>0</v>
      </c>
      <c r="V2018" s="9" t="n">
        <f aca="false">IF(E2018="",1,0)</f>
        <v>0</v>
      </c>
      <c r="W2018" s="9" t="n">
        <f aca="false">IF(OR(H2018&lt;1,H2018&gt;10),1,0)</f>
        <v>0</v>
      </c>
      <c r="X2018" s="9" t="n">
        <f aca="false">IF(OR(I2018&lt;=0,I2018&gt;1500),1,0)</f>
        <v>0</v>
      </c>
      <c r="Y2018" s="9" t="n">
        <f aca="false">IF(J2018&gt;H2018*I2018,1,0)</f>
        <v>0</v>
      </c>
      <c r="Z2018" s="9" t="n">
        <f aca="false">IF(AND(N2018&lt;&gt;"",OR(N2018&lt;1,N2018&gt;5)),1,0)</f>
        <v>0</v>
      </c>
      <c r="AA2018" s="9" t="n">
        <f aca="false">IF(AND(M2018&lt;&gt;"",OR(M2018&lt;5,M2018&gt;180)),1,0)</f>
        <v>0</v>
      </c>
      <c r="AB2018" s="7" t="str">
        <f aca="false">IF(P2018="DUP","Exact duplicate row",IF(T2018=1,"Missing Order ID",IF(S2018="DROP","Duplicate Order ID (less complete row)",IF(U2018=1,"Missing Customer ID",IF(V2018=1,"Missing Restaurant name",IF(W2018=1,"Invalid/outlier quantity",IF(X2018=1,"Invalid/outlier unit price",IF(Y2018=1,"Discount greater than order value",""))))))))</f>
        <v/>
      </c>
      <c r="AC2018" s="7" t="str">
        <f aca="false">IF(AB2018="","KEEP","DROP")</f>
        <v>KEEP</v>
      </c>
      <c r="AD2018" s="7" t="str">
        <f aca="false">IF(TRIM(F2018)="",IFERROR(INDEX(Map_Tables!$I$4:$I$37,MATCH(TRIM(E2018),Map_Tables!$G$4:$G$37,0)),""),IFERROR(INDEX(Map_Tables!$B$4:$B$18,MATCH(TRIM(F2018),Map_Tables!$A$4:$A$18,0)),"CHECK"))</f>
        <v>Ahmedabad</v>
      </c>
      <c r="AE2018" s="7" t="str">
        <f aca="false">IF(TRIM(E2018)="","",IFERROR(INDEX(Map_Tables!$H$4:$H$37,MATCH(TRIM(E2018),Map_Tables!$G$4:$G$37,0)),"CHECK"))</f>
        <v>Cheesy Slice</v>
      </c>
      <c r="AF2018" s="7" t="str">
        <f aca="false">IF(TRIM(K2018)="","Unknown",IFERROR(INDEX(Map_Tables!$E$4:$E$15,MATCH(TRIM(K2018),Map_Tables!$D$4:$D$15,0)),"CHECK"))</f>
        <v>UPI</v>
      </c>
      <c r="AG2018" s="7" t="str">
        <f aca="false">IF(LEFT(LOWER(TRIM(L2018)),6)="cancel","Cancelled","Delivered")</f>
        <v>Delivered</v>
      </c>
      <c r="AH2018" s="10" t="n">
        <f aca="false">IF(ISNUMBER(SEARCH("/",B2018)),DATE(VALUE(RIGHT(B2018,4)),VALUE(MID(B2018,4,2)),VALUE(LEFT(B2018,2))),IF(MID(B2018,5,1)="-",DATE(VALUE(LEFT(B2018,4)),VALUE(MID(B2018,6,2)),VALUE(RIGHT(B2018,2))),DATE(VALUE(RIGHT(B2018,4)),MATCH(MID(B2018,4,3),{"Jan","Feb","Mar","Apr","May","Jun","Jul","Aug","Sep","Oct","Nov","Dec"},0),VALUE(LEFT(B2018,2)))))</f>
        <v>45771</v>
      </c>
    </row>
    <row r="2019" customFormat="false" ht="15" hidden="false" customHeight="false" outlineLevel="0" collapsed="false">
      <c r="A2019" s="7" t="s">
        <v>4773</v>
      </c>
      <c r="B2019" s="7" t="s">
        <v>1667</v>
      </c>
      <c r="C2019" s="7" t="s">
        <v>4026</v>
      </c>
      <c r="D2019" s="7" t="s">
        <v>4774</v>
      </c>
      <c r="E2019" s="7" t="s">
        <v>159</v>
      </c>
      <c r="F2019" s="7" t="s">
        <v>136</v>
      </c>
      <c r="G2019" s="7" t="s">
        <v>90</v>
      </c>
      <c r="H2019" s="7" t="n">
        <v>2</v>
      </c>
      <c r="I2019" s="7" t="n">
        <v>200</v>
      </c>
      <c r="J2019" s="7" t="n">
        <v>0</v>
      </c>
      <c r="K2019" s="7" t="s">
        <v>112</v>
      </c>
      <c r="L2019" s="7" t="s">
        <v>238</v>
      </c>
      <c r="M2019" s="7"/>
      <c r="N2019" s="7"/>
      <c r="O2019" s="7" t="str">
        <f aca="false">A2019&amp;"|"&amp;B2019&amp;"|"&amp;C2019&amp;"|"&amp;D2019&amp;"|"&amp;E2019&amp;"|"&amp;F2019&amp;"|"&amp;G2019&amp;"|"&amp;H2019&amp;"|"&amp;I2019&amp;"|"&amp;J2019&amp;"|"&amp;K2019&amp;"|"&amp;L2019&amp;"|"&amp;M2019&amp;"|"&amp;N2019</f>
        <v>ORD11576|2025-07-24|21:29|C1186|Maratha Thali House|Pune|North Indian|2|200|0|Cash on Delivery|Cancelled||</v>
      </c>
      <c r="P2019" s="7" t="str">
        <f aca="false">IF(COUNTIF($O$2:O2019,O2019)&gt;1,"DUP","OK")</f>
        <v>OK</v>
      </c>
      <c r="Q2019" s="7" t="n">
        <f aca="false">COUNTBLANK(A2019:N2019)</f>
        <v>2</v>
      </c>
      <c r="R2019" s="7" t="n">
        <f aca="false">IF(A2019="",0,COUNTIFS($A$2:$A$3058,A2019,$P$2:$P$3058,"OK"))</f>
        <v>1</v>
      </c>
      <c r="S2019" s="7" t="str">
        <f aca="false">IF(OR(A2019="",P2019="DUP",R2019&lt;2),"",IF(Q2019=_xlfn.MINIFS($Q$2:$Q$3058,$A$2:$A$3058,A2019,$P$2:$P$3058,"OK"),"KEEP","DROP"))</f>
        <v/>
      </c>
      <c r="T2019" s="9" t="n">
        <f aca="false">IF(A2019="",1,0)</f>
        <v>0</v>
      </c>
      <c r="U2019" s="9" t="n">
        <f aca="false">IF(D2019="",1,0)</f>
        <v>0</v>
      </c>
      <c r="V2019" s="9" t="n">
        <f aca="false">IF(E2019="",1,0)</f>
        <v>0</v>
      </c>
      <c r="W2019" s="9" t="n">
        <f aca="false">IF(OR(H2019&lt;1,H2019&gt;10),1,0)</f>
        <v>0</v>
      </c>
      <c r="X2019" s="9" t="n">
        <f aca="false">IF(OR(I2019&lt;=0,I2019&gt;1500),1,0)</f>
        <v>0</v>
      </c>
      <c r="Y2019" s="9" t="n">
        <f aca="false">IF(J2019&gt;H2019*I2019,1,0)</f>
        <v>0</v>
      </c>
      <c r="Z2019" s="9" t="n">
        <f aca="false">IF(AND(N2019&lt;&gt;"",OR(N2019&lt;1,N2019&gt;5)),1,0)</f>
        <v>0</v>
      </c>
      <c r="AA2019" s="9" t="n">
        <f aca="false">IF(AND(M2019&lt;&gt;"",OR(M2019&lt;5,M2019&gt;180)),1,0)</f>
        <v>0</v>
      </c>
      <c r="AB2019" s="7" t="str">
        <f aca="false">IF(P2019="DUP","Exact duplicate row",IF(T2019=1,"Missing Order ID",IF(S2019="DROP","Duplicate Order ID (less complete row)",IF(U2019=1,"Missing Customer ID",IF(V2019=1,"Missing Restaurant name",IF(W2019=1,"Invalid/outlier quantity",IF(X2019=1,"Invalid/outlier unit price",IF(Y2019=1,"Discount greater than order value",""))))))))</f>
        <v/>
      </c>
      <c r="AC2019" s="7" t="str">
        <f aca="false">IF(AB2019="","KEEP","DROP")</f>
        <v>KEEP</v>
      </c>
      <c r="AD2019" s="7" t="str">
        <f aca="false">IF(TRIM(F2019)="",IFERROR(INDEX(Map_Tables!$I$4:$I$37,MATCH(TRIM(E2019),Map_Tables!$G$4:$G$37,0)),""),IFERROR(INDEX(Map_Tables!$B$4:$B$18,MATCH(TRIM(F2019),Map_Tables!$A$4:$A$18,0)),"CHECK"))</f>
        <v>Pune</v>
      </c>
      <c r="AE2019" s="7" t="str">
        <f aca="false">IF(TRIM(E2019)="","",IFERROR(INDEX(Map_Tables!$H$4:$H$37,MATCH(TRIM(E2019),Map_Tables!$G$4:$G$37,0)),"CHECK"))</f>
        <v>Maratha Thali House</v>
      </c>
      <c r="AF2019" s="7" t="str">
        <f aca="false">IF(TRIM(K2019)="","Unknown",IFERROR(INDEX(Map_Tables!$E$4:$E$15,MATCH(TRIM(K2019),Map_Tables!$D$4:$D$15,0)),"CHECK"))</f>
        <v>Cash on Delivery</v>
      </c>
      <c r="AG2019" s="7" t="str">
        <f aca="false">IF(LEFT(LOWER(TRIM(L2019)),6)="cancel","Cancelled","Delivered")</f>
        <v>Cancelled</v>
      </c>
      <c r="AH2019" s="10" t="n">
        <f aca="false">IF(ISNUMBER(SEARCH("/",B2019)),DATE(VALUE(RIGHT(B2019,4)),VALUE(MID(B2019,4,2)),VALUE(LEFT(B2019,2))),IF(MID(B2019,5,1)="-",DATE(VALUE(LEFT(B2019,4)),VALUE(MID(B2019,6,2)),VALUE(RIGHT(B2019,2))),DATE(VALUE(RIGHT(B2019,4)),MATCH(MID(B2019,4,3),{"Jan","Feb","Mar","Apr","May","Jun","Jul","Aug","Sep","Oct","Nov","Dec"},0),VALUE(LEFT(B2019,2)))))</f>
        <v>45862</v>
      </c>
    </row>
    <row r="2020" customFormat="false" ht="15" hidden="false" customHeight="false" outlineLevel="0" collapsed="false">
      <c r="A2020" s="7" t="s">
        <v>4775</v>
      </c>
      <c r="B2020" s="7" t="s">
        <v>633</v>
      </c>
      <c r="C2020" s="7" t="s">
        <v>2266</v>
      </c>
      <c r="D2020" s="7" t="s">
        <v>2540</v>
      </c>
      <c r="E2020" s="7" t="s">
        <v>113</v>
      </c>
      <c r="F2020" s="7" t="s">
        <v>101</v>
      </c>
      <c r="G2020" s="7" t="s">
        <v>90</v>
      </c>
      <c r="H2020" s="7" t="n">
        <v>2</v>
      </c>
      <c r="I2020" s="7" t="n">
        <v>210</v>
      </c>
      <c r="J2020" s="7" t="n">
        <v>0</v>
      </c>
      <c r="K2020" s="7" t="s">
        <v>87</v>
      </c>
      <c r="L2020" s="7" t="s">
        <v>194</v>
      </c>
      <c r="M2020" s="7" t="n">
        <v>35</v>
      </c>
      <c r="N2020" s="7" t="n">
        <v>3</v>
      </c>
      <c r="O2020" s="7" t="str">
        <f aca="false">A2020&amp;"|"&amp;B2020&amp;"|"&amp;C2020&amp;"|"&amp;D2020&amp;"|"&amp;E2020&amp;"|"&amp;F2020&amp;"|"&amp;G2020&amp;"|"&amp;H2020&amp;"|"&amp;I2020&amp;"|"&amp;J2020&amp;"|"&amp;K2020&amp;"|"&amp;L2020&amp;"|"&amp;M2020&amp;"|"&amp;N2020</f>
        <v>ORD11537|2025-07-19|11:45|C0903|Curry Leaf Kitchen|Mumbai|North Indian|2|210|0|upi|Delivered|35|3</v>
      </c>
      <c r="P2020" s="7" t="str">
        <f aca="false">IF(COUNTIF($O$2:O2020,O2020)&gt;1,"DUP","OK")</f>
        <v>OK</v>
      </c>
      <c r="Q2020" s="7" t="n">
        <f aca="false">COUNTBLANK(A2020:N2020)</f>
        <v>0</v>
      </c>
      <c r="R2020" s="7" t="n">
        <f aca="false">IF(A2020="",0,COUNTIFS($A$2:$A$3058,A2020,$P$2:$P$3058,"OK"))</f>
        <v>1</v>
      </c>
      <c r="S2020" s="7" t="str">
        <f aca="false">IF(OR(A2020="",P2020="DUP",R2020&lt;2),"",IF(Q2020=_xlfn.MINIFS($Q$2:$Q$3058,$A$2:$A$3058,A2020,$P$2:$P$3058,"OK"),"KEEP","DROP"))</f>
        <v/>
      </c>
      <c r="T2020" s="9" t="n">
        <f aca="false">IF(A2020="",1,0)</f>
        <v>0</v>
      </c>
      <c r="U2020" s="9" t="n">
        <f aca="false">IF(D2020="",1,0)</f>
        <v>0</v>
      </c>
      <c r="V2020" s="9" t="n">
        <f aca="false">IF(E2020="",1,0)</f>
        <v>0</v>
      </c>
      <c r="W2020" s="9" t="n">
        <f aca="false">IF(OR(H2020&lt;1,H2020&gt;10),1,0)</f>
        <v>0</v>
      </c>
      <c r="X2020" s="9" t="n">
        <f aca="false">IF(OR(I2020&lt;=0,I2020&gt;1500),1,0)</f>
        <v>0</v>
      </c>
      <c r="Y2020" s="9" t="n">
        <f aca="false">IF(J2020&gt;H2020*I2020,1,0)</f>
        <v>0</v>
      </c>
      <c r="Z2020" s="9" t="n">
        <f aca="false">IF(AND(N2020&lt;&gt;"",OR(N2020&lt;1,N2020&gt;5)),1,0)</f>
        <v>0</v>
      </c>
      <c r="AA2020" s="9" t="n">
        <f aca="false">IF(AND(M2020&lt;&gt;"",OR(M2020&lt;5,M2020&gt;180)),1,0)</f>
        <v>0</v>
      </c>
      <c r="AB2020" s="7" t="str">
        <f aca="false">IF(P2020="DUP","Exact duplicate row",IF(T2020=1,"Missing Order ID",IF(S2020="DROP","Duplicate Order ID (less complete row)",IF(U2020=1,"Missing Customer ID",IF(V2020=1,"Missing Restaurant name",IF(W2020=1,"Invalid/outlier quantity",IF(X2020=1,"Invalid/outlier unit price",IF(Y2020=1,"Discount greater than order value",""))))))))</f>
        <v/>
      </c>
      <c r="AC2020" s="7" t="str">
        <f aca="false">IF(AB2020="","KEEP","DROP")</f>
        <v>KEEP</v>
      </c>
      <c r="AD2020" s="7" t="str">
        <f aca="false">IF(TRIM(F2020)="",IFERROR(INDEX(Map_Tables!$I$4:$I$37,MATCH(TRIM(E2020),Map_Tables!$G$4:$G$37,0)),""),IFERROR(INDEX(Map_Tables!$B$4:$B$18,MATCH(TRIM(F2020),Map_Tables!$A$4:$A$18,0)),"CHECK"))</f>
        <v>Mumbai</v>
      </c>
      <c r="AE2020" s="7" t="str">
        <f aca="false">IF(TRIM(E2020)="","",IFERROR(INDEX(Map_Tables!$H$4:$H$37,MATCH(TRIM(E2020),Map_Tables!$G$4:$G$37,0)),"CHECK"))</f>
        <v>Curry Leaf Kitchen</v>
      </c>
      <c r="AF2020" s="7" t="str">
        <f aca="false">IF(TRIM(K2020)="","Unknown",IFERROR(INDEX(Map_Tables!$E$4:$E$15,MATCH(TRIM(K2020),Map_Tables!$D$4:$D$15,0)),"CHECK"))</f>
        <v>UPI</v>
      </c>
      <c r="AG2020" s="7" t="str">
        <f aca="false">IF(LEFT(LOWER(TRIM(L2020)),6)="cancel","Cancelled","Delivered")</f>
        <v>Delivered</v>
      </c>
      <c r="AH2020" s="10" t="n">
        <f aca="false">IF(ISNUMBER(SEARCH("/",B2020)),DATE(VALUE(RIGHT(B2020,4)),VALUE(MID(B2020,4,2)),VALUE(LEFT(B2020,2))),IF(MID(B2020,5,1)="-",DATE(VALUE(LEFT(B2020,4)),VALUE(MID(B2020,6,2)),VALUE(RIGHT(B2020,2))),DATE(VALUE(RIGHT(B2020,4)),MATCH(MID(B2020,4,3),{"Jan","Feb","Mar","Apr","May","Jun","Jul","Aug","Sep","Oct","Nov","Dec"},0),VALUE(LEFT(B2020,2)))))</f>
        <v>45857</v>
      </c>
    </row>
    <row r="2021" customFormat="false" ht="15" hidden="false" customHeight="false" outlineLevel="0" collapsed="false">
      <c r="A2021" s="7" t="s">
        <v>4776</v>
      </c>
      <c r="B2021" s="7" t="s">
        <v>1972</v>
      </c>
      <c r="C2021" s="7" t="s">
        <v>1313</v>
      </c>
      <c r="D2021" s="7" t="s">
        <v>1333</v>
      </c>
      <c r="E2021" s="7" t="s">
        <v>116</v>
      </c>
      <c r="F2021" s="7" t="s">
        <v>101</v>
      </c>
      <c r="G2021" s="7" t="s">
        <v>117</v>
      </c>
      <c r="H2021" s="7" t="n">
        <v>4</v>
      </c>
      <c r="I2021" s="7" t="n">
        <v>135</v>
      </c>
      <c r="J2021" s="7" t="n">
        <v>50</v>
      </c>
      <c r="K2021" s="7" t="s">
        <v>88</v>
      </c>
      <c r="L2021" s="7" t="s">
        <v>194</v>
      </c>
      <c r="M2021" s="7" t="n">
        <v>47</v>
      </c>
      <c r="N2021" s="7" t="n">
        <v>4</v>
      </c>
      <c r="O2021" s="7" t="str">
        <f aca="false">A2021&amp;"|"&amp;B2021&amp;"|"&amp;C2021&amp;"|"&amp;D2021&amp;"|"&amp;E2021&amp;"|"&amp;F2021&amp;"|"&amp;G2021&amp;"|"&amp;H2021&amp;"|"&amp;I2021&amp;"|"&amp;J2021&amp;"|"&amp;K2021&amp;"|"&amp;L2021&amp;"|"&amp;M2021&amp;"|"&amp;N2021</f>
        <v>ORD12654|2025-11-23|20:52|C0411|Pav Bhaji Point|Mumbai|Street Food|4|135|50|UPI|Delivered|47|4</v>
      </c>
      <c r="P2021" s="7" t="str">
        <f aca="false">IF(COUNTIF($O$2:O2021,O2021)&gt;1,"DUP","OK")</f>
        <v>OK</v>
      </c>
      <c r="Q2021" s="7" t="n">
        <f aca="false">COUNTBLANK(A2021:N2021)</f>
        <v>0</v>
      </c>
      <c r="R2021" s="7" t="n">
        <f aca="false">IF(A2021="",0,COUNTIFS($A$2:$A$3058,A2021,$P$2:$P$3058,"OK"))</f>
        <v>1</v>
      </c>
      <c r="S2021" s="7" t="str">
        <f aca="false">IF(OR(A2021="",P2021="DUP",R2021&lt;2),"",IF(Q2021=_xlfn.MINIFS($Q$2:$Q$3058,$A$2:$A$3058,A2021,$P$2:$P$3058,"OK"),"KEEP","DROP"))</f>
        <v/>
      </c>
      <c r="T2021" s="9" t="n">
        <f aca="false">IF(A2021="",1,0)</f>
        <v>0</v>
      </c>
      <c r="U2021" s="9" t="n">
        <f aca="false">IF(D2021="",1,0)</f>
        <v>0</v>
      </c>
      <c r="V2021" s="9" t="n">
        <f aca="false">IF(E2021="",1,0)</f>
        <v>0</v>
      </c>
      <c r="W2021" s="9" t="n">
        <f aca="false">IF(OR(H2021&lt;1,H2021&gt;10),1,0)</f>
        <v>0</v>
      </c>
      <c r="X2021" s="9" t="n">
        <f aca="false">IF(OR(I2021&lt;=0,I2021&gt;1500),1,0)</f>
        <v>0</v>
      </c>
      <c r="Y2021" s="9" t="n">
        <f aca="false">IF(J2021&gt;H2021*I2021,1,0)</f>
        <v>0</v>
      </c>
      <c r="Z2021" s="9" t="n">
        <f aca="false">IF(AND(N2021&lt;&gt;"",OR(N2021&lt;1,N2021&gt;5)),1,0)</f>
        <v>0</v>
      </c>
      <c r="AA2021" s="9" t="n">
        <f aca="false">IF(AND(M2021&lt;&gt;"",OR(M2021&lt;5,M2021&gt;180)),1,0)</f>
        <v>0</v>
      </c>
      <c r="AB2021" s="7" t="str">
        <f aca="false">IF(P2021="DUP","Exact duplicate row",IF(T2021=1,"Missing Order ID",IF(S2021="DROP","Duplicate Order ID (less complete row)",IF(U2021=1,"Missing Customer ID",IF(V2021=1,"Missing Restaurant name",IF(W2021=1,"Invalid/outlier quantity",IF(X2021=1,"Invalid/outlier unit price",IF(Y2021=1,"Discount greater than order value",""))))))))</f>
        <v/>
      </c>
      <c r="AC2021" s="7" t="str">
        <f aca="false">IF(AB2021="","KEEP","DROP")</f>
        <v>KEEP</v>
      </c>
      <c r="AD2021" s="7" t="str">
        <f aca="false">IF(TRIM(F2021)="",IFERROR(INDEX(Map_Tables!$I$4:$I$37,MATCH(TRIM(E2021),Map_Tables!$G$4:$G$37,0)),""),IFERROR(INDEX(Map_Tables!$B$4:$B$18,MATCH(TRIM(F2021),Map_Tables!$A$4:$A$18,0)),"CHECK"))</f>
        <v>Mumbai</v>
      </c>
      <c r="AE2021" s="7" t="str">
        <f aca="false">IF(TRIM(E2021)="","",IFERROR(INDEX(Map_Tables!$H$4:$H$37,MATCH(TRIM(E2021),Map_Tables!$G$4:$G$37,0)),"CHECK"))</f>
        <v>Pav Bhaji Point</v>
      </c>
      <c r="AF2021" s="7" t="str">
        <f aca="false">IF(TRIM(K2021)="","Unknown",IFERROR(INDEX(Map_Tables!$E$4:$E$15,MATCH(TRIM(K2021),Map_Tables!$D$4:$D$15,0)),"CHECK"))</f>
        <v>UPI</v>
      </c>
      <c r="AG2021" s="7" t="str">
        <f aca="false">IF(LEFT(LOWER(TRIM(L2021)),6)="cancel","Cancelled","Delivered")</f>
        <v>Delivered</v>
      </c>
      <c r="AH2021" s="10" t="n">
        <f aca="false">IF(ISNUMBER(SEARCH("/",B2021)),DATE(VALUE(RIGHT(B2021,4)),VALUE(MID(B2021,4,2)),VALUE(LEFT(B2021,2))),IF(MID(B2021,5,1)="-",DATE(VALUE(LEFT(B2021,4)),VALUE(MID(B2021,6,2)),VALUE(RIGHT(B2021,2))),DATE(VALUE(RIGHT(B2021,4)),MATCH(MID(B2021,4,3),{"Jan","Feb","Mar","Apr","May","Jun","Jul","Aug","Sep","Oct","Nov","Dec"},0),VALUE(LEFT(B2021,2)))))</f>
        <v>45984</v>
      </c>
    </row>
    <row r="2022" customFormat="false" ht="15" hidden="false" customHeight="false" outlineLevel="0" collapsed="false">
      <c r="A2022" s="7" t="s">
        <v>4777</v>
      </c>
      <c r="B2022" s="7" t="s">
        <v>1104</v>
      </c>
      <c r="C2022" s="7" t="s">
        <v>644</v>
      </c>
      <c r="D2022" s="7" t="s">
        <v>1283</v>
      </c>
      <c r="E2022" s="7" t="s">
        <v>94</v>
      </c>
      <c r="F2022" s="7" t="s">
        <v>86</v>
      </c>
      <c r="G2022" s="7" t="s">
        <v>95</v>
      </c>
      <c r="H2022" s="7" t="n">
        <v>2</v>
      </c>
      <c r="I2022" s="7" t="n">
        <v>120</v>
      </c>
      <c r="J2022" s="7" t="n">
        <v>290</v>
      </c>
      <c r="K2022" s="7" t="s">
        <v>88</v>
      </c>
      <c r="L2022" s="7" t="s">
        <v>194</v>
      </c>
      <c r="M2022" s="7" t="n">
        <v>37</v>
      </c>
      <c r="N2022" s="7"/>
      <c r="O2022" s="7" t="str">
        <f aca="false">A2022&amp;"|"&amp;B2022&amp;"|"&amp;C2022&amp;"|"&amp;D2022&amp;"|"&amp;E2022&amp;"|"&amp;F2022&amp;"|"&amp;G2022&amp;"|"&amp;H2022&amp;"|"&amp;I2022&amp;"|"&amp;J2022&amp;"|"&amp;K2022&amp;"|"&amp;L2022&amp;"|"&amp;M2022&amp;"|"&amp;N2022</f>
        <v>ORD10473|2025-03-04|13:27|C1215|Dosa Darbar|Bengaluru|South Indian|2|120|290|UPI|Delivered|37|</v>
      </c>
      <c r="P2022" s="7" t="str">
        <f aca="false">IF(COUNTIF($O$2:O2022,O2022)&gt;1,"DUP","OK")</f>
        <v>OK</v>
      </c>
      <c r="Q2022" s="7" t="n">
        <f aca="false">COUNTBLANK(A2022:N2022)</f>
        <v>1</v>
      </c>
      <c r="R2022" s="7" t="n">
        <f aca="false">IF(A2022="",0,COUNTIFS($A$2:$A$3058,A2022,$P$2:$P$3058,"OK"))</f>
        <v>1</v>
      </c>
      <c r="S2022" s="7" t="str">
        <f aca="false">IF(OR(A2022="",P2022="DUP",R2022&lt;2),"",IF(Q2022=_xlfn.MINIFS($Q$2:$Q$3058,$A$2:$A$3058,A2022,$P$2:$P$3058,"OK"),"KEEP","DROP"))</f>
        <v/>
      </c>
      <c r="T2022" s="9" t="n">
        <f aca="false">IF(A2022="",1,0)</f>
        <v>0</v>
      </c>
      <c r="U2022" s="9" t="n">
        <f aca="false">IF(D2022="",1,0)</f>
        <v>0</v>
      </c>
      <c r="V2022" s="9" t="n">
        <f aca="false">IF(E2022="",1,0)</f>
        <v>0</v>
      </c>
      <c r="W2022" s="9" t="n">
        <f aca="false">IF(OR(H2022&lt;1,H2022&gt;10),1,0)</f>
        <v>0</v>
      </c>
      <c r="X2022" s="9" t="n">
        <f aca="false">IF(OR(I2022&lt;=0,I2022&gt;1500),1,0)</f>
        <v>0</v>
      </c>
      <c r="Y2022" s="9" t="n">
        <f aca="false">IF(J2022&gt;H2022*I2022,1,0)</f>
        <v>1</v>
      </c>
      <c r="Z2022" s="9" t="n">
        <f aca="false">IF(AND(N2022&lt;&gt;"",OR(N2022&lt;1,N2022&gt;5)),1,0)</f>
        <v>0</v>
      </c>
      <c r="AA2022" s="9" t="n">
        <f aca="false">IF(AND(M2022&lt;&gt;"",OR(M2022&lt;5,M2022&gt;180)),1,0)</f>
        <v>0</v>
      </c>
      <c r="AB2022" s="7" t="str">
        <f aca="false">IF(P2022="DUP","Exact duplicate row",IF(T2022=1,"Missing Order ID",IF(S2022="DROP","Duplicate Order ID (less complete row)",IF(U2022=1,"Missing Customer ID",IF(V2022=1,"Missing Restaurant name",IF(W2022=1,"Invalid/outlier quantity",IF(X2022=1,"Invalid/outlier unit price",IF(Y2022=1,"Discount greater than order value",""))))))))</f>
        <v>Discount greater than order value</v>
      </c>
      <c r="AC2022" s="7" t="str">
        <f aca="false">IF(AB2022="","KEEP","DROP")</f>
        <v>DROP</v>
      </c>
      <c r="AD2022" s="7" t="str">
        <f aca="false">IF(TRIM(F2022)="",IFERROR(INDEX(Map_Tables!$I$4:$I$37,MATCH(TRIM(E2022),Map_Tables!$G$4:$G$37,0)),""),IFERROR(INDEX(Map_Tables!$B$4:$B$18,MATCH(TRIM(F2022),Map_Tables!$A$4:$A$18,0)),"CHECK"))</f>
        <v>Bengaluru</v>
      </c>
      <c r="AE2022" s="7" t="str">
        <f aca="false">IF(TRIM(E2022)="","",IFERROR(INDEX(Map_Tables!$H$4:$H$37,MATCH(TRIM(E2022),Map_Tables!$G$4:$G$37,0)),"CHECK"))</f>
        <v>Dosa Darbar</v>
      </c>
      <c r="AF2022" s="7" t="str">
        <f aca="false">IF(TRIM(K2022)="","Unknown",IFERROR(INDEX(Map_Tables!$E$4:$E$15,MATCH(TRIM(K2022),Map_Tables!$D$4:$D$15,0)),"CHECK"))</f>
        <v>UPI</v>
      </c>
      <c r="AG2022" s="7" t="str">
        <f aca="false">IF(LEFT(LOWER(TRIM(L2022)),6)="cancel","Cancelled","Delivered")</f>
        <v>Delivered</v>
      </c>
      <c r="AH2022" s="10" t="n">
        <f aca="false">IF(ISNUMBER(SEARCH("/",B2022)),DATE(VALUE(RIGHT(B2022,4)),VALUE(MID(B2022,4,2)),VALUE(LEFT(B2022,2))),IF(MID(B2022,5,1)="-",DATE(VALUE(LEFT(B2022,4)),VALUE(MID(B2022,6,2)),VALUE(RIGHT(B2022,2))),DATE(VALUE(RIGHT(B2022,4)),MATCH(MID(B2022,4,3),{"Jan","Feb","Mar","Apr","May","Jun","Jul","Aug","Sep","Oct","Nov","Dec"},0),VALUE(LEFT(B2022,2)))))</f>
        <v>45720</v>
      </c>
    </row>
    <row r="2023" customFormat="false" ht="15" hidden="false" customHeight="false" outlineLevel="0" collapsed="false">
      <c r="A2023" s="7" t="s">
        <v>4778</v>
      </c>
      <c r="B2023" s="7" t="s">
        <v>4779</v>
      </c>
      <c r="C2023" s="7" t="s">
        <v>232</v>
      </c>
      <c r="D2023" s="7" t="s">
        <v>4780</v>
      </c>
      <c r="E2023" s="7" t="s">
        <v>168</v>
      </c>
      <c r="F2023" s="7" t="s">
        <v>146</v>
      </c>
      <c r="G2023" s="7" t="s">
        <v>123</v>
      </c>
      <c r="H2023" s="7" t="n">
        <v>4</v>
      </c>
      <c r="I2023" s="7" t="n">
        <v>320</v>
      </c>
      <c r="J2023" s="7" t="n">
        <v>30</v>
      </c>
      <c r="K2023" s="7" t="s">
        <v>88</v>
      </c>
      <c r="L2023" s="7" t="s">
        <v>194</v>
      </c>
      <c r="M2023" s="7" t="n">
        <v>29</v>
      </c>
      <c r="N2023" s="7" t="n">
        <v>3</v>
      </c>
      <c r="O2023" s="7" t="str">
        <f aca="false">A2023&amp;"|"&amp;B2023&amp;"|"&amp;C2023&amp;"|"&amp;D2023&amp;"|"&amp;E2023&amp;"|"&amp;F2023&amp;"|"&amp;G2023&amp;"|"&amp;H2023&amp;"|"&amp;I2023&amp;"|"&amp;J2023&amp;"|"&amp;K2023&amp;"|"&amp;L2023&amp;"|"&amp;M2023&amp;"|"&amp;N2023</f>
        <v>ORD10902|23/04/2025|21:09|C0852|Cheesy Slice|Ahmedabad|Pizza|4|320|30|UPI|Delivered|29|3</v>
      </c>
      <c r="P2023" s="7" t="str">
        <f aca="false">IF(COUNTIF($O$2:O2023,O2023)&gt;1,"DUP","OK")</f>
        <v>OK</v>
      </c>
      <c r="Q2023" s="7" t="n">
        <f aca="false">COUNTBLANK(A2023:N2023)</f>
        <v>0</v>
      </c>
      <c r="R2023" s="7" t="n">
        <f aca="false">IF(A2023="",0,COUNTIFS($A$2:$A$3058,A2023,$P$2:$P$3058,"OK"))</f>
        <v>1</v>
      </c>
      <c r="S2023" s="7" t="str">
        <f aca="false">IF(OR(A2023="",P2023="DUP",R2023&lt;2),"",IF(Q2023=_xlfn.MINIFS($Q$2:$Q$3058,$A$2:$A$3058,A2023,$P$2:$P$3058,"OK"),"KEEP","DROP"))</f>
        <v/>
      </c>
      <c r="T2023" s="9" t="n">
        <f aca="false">IF(A2023="",1,0)</f>
        <v>0</v>
      </c>
      <c r="U2023" s="9" t="n">
        <f aca="false">IF(D2023="",1,0)</f>
        <v>0</v>
      </c>
      <c r="V2023" s="9" t="n">
        <f aca="false">IF(E2023="",1,0)</f>
        <v>0</v>
      </c>
      <c r="W2023" s="9" t="n">
        <f aca="false">IF(OR(H2023&lt;1,H2023&gt;10),1,0)</f>
        <v>0</v>
      </c>
      <c r="X2023" s="9" t="n">
        <f aca="false">IF(OR(I2023&lt;=0,I2023&gt;1500),1,0)</f>
        <v>0</v>
      </c>
      <c r="Y2023" s="9" t="n">
        <f aca="false">IF(J2023&gt;H2023*I2023,1,0)</f>
        <v>0</v>
      </c>
      <c r="Z2023" s="9" t="n">
        <f aca="false">IF(AND(N2023&lt;&gt;"",OR(N2023&lt;1,N2023&gt;5)),1,0)</f>
        <v>0</v>
      </c>
      <c r="AA2023" s="9" t="n">
        <f aca="false">IF(AND(M2023&lt;&gt;"",OR(M2023&lt;5,M2023&gt;180)),1,0)</f>
        <v>0</v>
      </c>
      <c r="AB2023" s="7" t="str">
        <f aca="false">IF(P2023="DUP","Exact duplicate row",IF(T2023=1,"Missing Order ID",IF(S2023="DROP","Duplicate Order ID (less complete row)",IF(U2023=1,"Missing Customer ID",IF(V2023=1,"Missing Restaurant name",IF(W2023=1,"Invalid/outlier quantity",IF(X2023=1,"Invalid/outlier unit price",IF(Y2023=1,"Discount greater than order value",""))))))))</f>
        <v/>
      </c>
      <c r="AC2023" s="7" t="str">
        <f aca="false">IF(AB2023="","KEEP","DROP")</f>
        <v>KEEP</v>
      </c>
      <c r="AD2023" s="7" t="str">
        <f aca="false">IF(TRIM(F2023)="",IFERROR(INDEX(Map_Tables!$I$4:$I$37,MATCH(TRIM(E2023),Map_Tables!$G$4:$G$37,0)),""),IFERROR(INDEX(Map_Tables!$B$4:$B$18,MATCH(TRIM(F2023),Map_Tables!$A$4:$A$18,0)),"CHECK"))</f>
        <v>Ahmedabad</v>
      </c>
      <c r="AE2023" s="7" t="str">
        <f aca="false">IF(TRIM(E2023)="","",IFERROR(INDEX(Map_Tables!$H$4:$H$37,MATCH(TRIM(E2023),Map_Tables!$G$4:$G$37,0)),"CHECK"))</f>
        <v>Cheesy Slice</v>
      </c>
      <c r="AF2023" s="7" t="str">
        <f aca="false">IF(TRIM(K2023)="","Unknown",IFERROR(INDEX(Map_Tables!$E$4:$E$15,MATCH(TRIM(K2023),Map_Tables!$D$4:$D$15,0)),"CHECK"))</f>
        <v>UPI</v>
      </c>
      <c r="AG2023" s="7" t="str">
        <f aca="false">IF(LEFT(LOWER(TRIM(L2023)),6)="cancel","Cancelled","Delivered")</f>
        <v>Delivered</v>
      </c>
      <c r="AH2023" s="10" t="n">
        <f aca="false">IF(ISNUMBER(SEARCH("/",B2023)),DATE(VALUE(RIGHT(B2023,4)),VALUE(MID(B2023,4,2)),VALUE(LEFT(B2023,2))),IF(MID(B2023,5,1)="-",DATE(VALUE(LEFT(B2023,4)),VALUE(MID(B2023,6,2)),VALUE(RIGHT(B2023,2))),DATE(VALUE(RIGHT(B2023,4)),MATCH(MID(B2023,4,3),{"Jan","Feb","Mar","Apr","May","Jun","Jul","Aug","Sep","Oct","Nov","Dec"},0),VALUE(LEFT(B2023,2)))))</f>
        <v>45770</v>
      </c>
    </row>
    <row r="2024" customFormat="false" ht="15" hidden="false" customHeight="false" outlineLevel="0" collapsed="false">
      <c r="A2024" s="7" t="s">
        <v>4781</v>
      </c>
      <c r="B2024" s="7" t="s">
        <v>3986</v>
      </c>
      <c r="C2024" s="7" t="s">
        <v>213</v>
      </c>
      <c r="D2024" s="7" t="s">
        <v>2034</v>
      </c>
      <c r="E2024" s="7" t="s">
        <v>147</v>
      </c>
      <c r="F2024" s="7" t="s">
        <v>119</v>
      </c>
      <c r="G2024" s="7" t="s">
        <v>95</v>
      </c>
      <c r="H2024" s="7" t="n">
        <v>3</v>
      </c>
      <c r="I2024" s="7" t="n">
        <v>130</v>
      </c>
      <c r="J2024" s="7" t="n">
        <v>0</v>
      </c>
      <c r="K2024" s="7" t="s">
        <v>121</v>
      </c>
      <c r="L2024" s="7" t="s">
        <v>194</v>
      </c>
      <c r="M2024" s="7" t="n">
        <v>42</v>
      </c>
      <c r="N2024" s="7" t="n">
        <v>7</v>
      </c>
      <c r="O2024" s="7" t="str">
        <f aca="false">A2024&amp;"|"&amp;B2024&amp;"|"&amp;C2024&amp;"|"&amp;D2024&amp;"|"&amp;E2024&amp;"|"&amp;F2024&amp;"|"&amp;G2024&amp;"|"&amp;H2024&amp;"|"&amp;I2024&amp;"|"&amp;J2024&amp;"|"&amp;K2024&amp;"|"&amp;L2024&amp;"|"&amp;M2024&amp;"|"&amp;N2024</f>
        <v>ORD11407|2025-07-02|20:37|C1410|Andhra Meals Mess|Hyderabad|South Indian|3|130|0|Wallet|Delivered|42|7</v>
      </c>
      <c r="P2024" s="7" t="str">
        <f aca="false">IF(COUNTIF($O$2:O2024,O2024)&gt;1,"DUP","OK")</f>
        <v>OK</v>
      </c>
      <c r="Q2024" s="7" t="n">
        <f aca="false">COUNTBLANK(A2024:N2024)</f>
        <v>0</v>
      </c>
      <c r="R2024" s="7" t="n">
        <f aca="false">IF(A2024="",0,COUNTIFS($A$2:$A$3058,A2024,$P$2:$P$3058,"OK"))</f>
        <v>1</v>
      </c>
      <c r="S2024" s="7" t="str">
        <f aca="false">IF(OR(A2024="",P2024="DUP",R2024&lt;2),"",IF(Q2024=_xlfn.MINIFS($Q$2:$Q$3058,$A$2:$A$3058,A2024,$P$2:$P$3058,"OK"),"KEEP","DROP"))</f>
        <v/>
      </c>
      <c r="T2024" s="9" t="n">
        <f aca="false">IF(A2024="",1,0)</f>
        <v>0</v>
      </c>
      <c r="U2024" s="9" t="n">
        <f aca="false">IF(D2024="",1,0)</f>
        <v>0</v>
      </c>
      <c r="V2024" s="9" t="n">
        <f aca="false">IF(E2024="",1,0)</f>
        <v>0</v>
      </c>
      <c r="W2024" s="9" t="n">
        <f aca="false">IF(OR(H2024&lt;1,H2024&gt;10),1,0)</f>
        <v>0</v>
      </c>
      <c r="X2024" s="9" t="n">
        <f aca="false">IF(OR(I2024&lt;=0,I2024&gt;1500),1,0)</f>
        <v>0</v>
      </c>
      <c r="Y2024" s="9" t="n">
        <f aca="false">IF(J2024&gt;H2024*I2024,1,0)</f>
        <v>0</v>
      </c>
      <c r="Z2024" s="9" t="n">
        <f aca="false">IF(AND(N2024&lt;&gt;"",OR(N2024&lt;1,N2024&gt;5)),1,0)</f>
        <v>1</v>
      </c>
      <c r="AA2024" s="9" t="n">
        <f aca="false">IF(AND(M2024&lt;&gt;"",OR(M2024&lt;5,M2024&gt;180)),1,0)</f>
        <v>0</v>
      </c>
      <c r="AB2024" s="7" t="str">
        <f aca="false">IF(P2024="DUP","Exact duplicate row",IF(T2024=1,"Missing Order ID",IF(S2024="DROP","Duplicate Order ID (less complete row)",IF(U2024=1,"Missing Customer ID",IF(V2024=1,"Missing Restaurant name",IF(W2024=1,"Invalid/outlier quantity",IF(X2024=1,"Invalid/outlier unit price",IF(Y2024=1,"Discount greater than order value",""))))))))</f>
        <v/>
      </c>
      <c r="AC2024" s="7" t="str">
        <f aca="false">IF(AB2024="","KEEP","DROP")</f>
        <v>KEEP</v>
      </c>
      <c r="AD2024" s="7" t="str">
        <f aca="false">IF(TRIM(F2024)="",IFERROR(INDEX(Map_Tables!$I$4:$I$37,MATCH(TRIM(E2024),Map_Tables!$G$4:$G$37,0)),""),IFERROR(INDEX(Map_Tables!$B$4:$B$18,MATCH(TRIM(F2024),Map_Tables!$A$4:$A$18,0)),"CHECK"))</f>
        <v>Hyderabad</v>
      </c>
      <c r="AE2024" s="7" t="str">
        <f aca="false">IF(TRIM(E2024)="","",IFERROR(INDEX(Map_Tables!$H$4:$H$37,MATCH(TRIM(E2024),Map_Tables!$G$4:$G$37,0)),"CHECK"))</f>
        <v>Andhra Meals Mess</v>
      </c>
      <c r="AF2024" s="7" t="str">
        <f aca="false">IF(TRIM(K2024)="","Unknown",IFERROR(INDEX(Map_Tables!$E$4:$E$15,MATCH(TRIM(K2024),Map_Tables!$D$4:$D$15,0)),"CHECK"))</f>
        <v>Wallet</v>
      </c>
      <c r="AG2024" s="7" t="str">
        <f aca="false">IF(LEFT(LOWER(TRIM(L2024)),6)="cancel","Cancelled","Delivered")</f>
        <v>Delivered</v>
      </c>
      <c r="AH2024" s="10" t="n">
        <f aca="false">IF(ISNUMBER(SEARCH("/",B2024)),DATE(VALUE(RIGHT(B2024,4)),VALUE(MID(B2024,4,2)),VALUE(LEFT(B2024,2))),IF(MID(B2024,5,1)="-",DATE(VALUE(LEFT(B2024,4)),VALUE(MID(B2024,6,2)),VALUE(RIGHT(B2024,2))),DATE(VALUE(RIGHT(B2024,4)),MATCH(MID(B2024,4,3),{"Jan","Feb","Mar","Apr","May","Jun","Jul","Aug","Sep","Oct","Nov","Dec"},0),VALUE(LEFT(B2024,2)))))</f>
        <v>45840</v>
      </c>
    </row>
    <row r="2025" customFormat="false" ht="15" hidden="false" customHeight="false" outlineLevel="0" collapsed="false">
      <c r="A2025" s="7" t="s">
        <v>4782</v>
      </c>
      <c r="B2025" s="7" t="s">
        <v>664</v>
      </c>
      <c r="C2025" s="7" t="s">
        <v>4783</v>
      </c>
      <c r="D2025" s="7" t="s">
        <v>293</v>
      </c>
      <c r="E2025" s="7" t="s">
        <v>94</v>
      </c>
      <c r="F2025" s="7" t="s">
        <v>86</v>
      </c>
      <c r="G2025" s="7" t="s">
        <v>95</v>
      </c>
      <c r="H2025" s="7" t="n">
        <v>3</v>
      </c>
      <c r="I2025" s="7" t="n">
        <v>120</v>
      </c>
      <c r="J2025" s="7" t="n">
        <v>30</v>
      </c>
      <c r="K2025" s="7" t="s">
        <v>112</v>
      </c>
      <c r="L2025" s="7" t="s">
        <v>194</v>
      </c>
      <c r="M2025" s="7" t="n">
        <v>48</v>
      </c>
      <c r="N2025" s="7" t="n">
        <v>3</v>
      </c>
      <c r="O2025" s="7" t="str">
        <f aca="false">A2025&amp;"|"&amp;B2025&amp;"|"&amp;C2025&amp;"|"&amp;D2025&amp;"|"&amp;E2025&amp;"|"&amp;F2025&amp;"|"&amp;G2025&amp;"|"&amp;H2025&amp;"|"&amp;I2025&amp;"|"&amp;J2025&amp;"|"&amp;K2025&amp;"|"&amp;L2025&amp;"|"&amp;M2025&amp;"|"&amp;N2025</f>
        <v>ORD10866|19/04/2025|14:21|C1451|Dosa Darbar|Bengaluru|South Indian|3|120|30|Cash on Delivery|Delivered|48|3</v>
      </c>
      <c r="P2025" s="7" t="str">
        <f aca="false">IF(COUNTIF($O$2:O2025,O2025)&gt;1,"DUP","OK")</f>
        <v>OK</v>
      </c>
      <c r="Q2025" s="7" t="n">
        <f aca="false">COUNTBLANK(A2025:N2025)</f>
        <v>0</v>
      </c>
      <c r="R2025" s="7" t="n">
        <f aca="false">IF(A2025="",0,COUNTIFS($A$2:$A$3058,A2025,$P$2:$P$3058,"OK"))</f>
        <v>1</v>
      </c>
      <c r="S2025" s="7" t="str">
        <f aca="false">IF(OR(A2025="",P2025="DUP",R2025&lt;2),"",IF(Q2025=_xlfn.MINIFS($Q$2:$Q$3058,$A$2:$A$3058,A2025,$P$2:$P$3058,"OK"),"KEEP","DROP"))</f>
        <v/>
      </c>
      <c r="T2025" s="9" t="n">
        <f aca="false">IF(A2025="",1,0)</f>
        <v>0</v>
      </c>
      <c r="U2025" s="9" t="n">
        <f aca="false">IF(D2025="",1,0)</f>
        <v>0</v>
      </c>
      <c r="V2025" s="9" t="n">
        <f aca="false">IF(E2025="",1,0)</f>
        <v>0</v>
      </c>
      <c r="W2025" s="9" t="n">
        <f aca="false">IF(OR(H2025&lt;1,H2025&gt;10),1,0)</f>
        <v>0</v>
      </c>
      <c r="X2025" s="9" t="n">
        <f aca="false">IF(OR(I2025&lt;=0,I2025&gt;1500),1,0)</f>
        <v>0</v>
      </c>
      <c r="Y2025" s="9" t="n">
        <f aca="false">IF(J2025&gt;H2025*I2025,1,0)</f>
        <v>0</v>
      </c>
      <c r="Z2025" s="9" t="n">
        <f aca="false">IF(AND(N2025&lt;&gt;"",OR(N2025&lt;1,N2025&gt;5)),1,0)</f>
        <v>0</v>
      </c>
      <c r="AA2025" s="9" t="n">
        <f aca="false">IF(AND(M2025&lt;&gt;"",OR(M2025&lt;5,M2025&gt;180)),1,0)</f>
        <v>0</v>
      </c>
      <c r="AB2025" s="7" t="str">
        <f aca="false">IF(P2025="DUP","Exact duplicate row",IF(T2025=1,"Missing Order ID",IF(S2025="DROP","Duplicate Order ID (less complete row)",IF(U2025=1,"Missing Customer ID",IF(V2025=1,"Missing Restaurant name",IF(W2025=1,"Invalid/outlier quantity",IF(X2025=1,"Invalid/outlier unit price",IF(Y2025=1,"Discount greater than order value",""))))))))</f>
        <v/>
      </c>
      <c r="AC2025" s="7" t="str">
        <f aca="false">IF(AB2025="","KEEP","DROP")</f>
        <v>KEEP</v>
      </c>
      <c r="AD2025" s="7" t="str">
        <f aca="false">IF(TRIM(F2025)="",IFERROR(INDEX(Map_Tables!$I$4:$I$37,MATCH(TRIM(E2025),Map_Tables!$G$4:$G$37,0)),""),IFERROR(INDEX(Map_Tables!$B$4:$B$18,MATCH(TRIM(F2025),Map_Tables!$A$4:$A$18,0)),"CHECK"))</f>
        <v>Bengaluru</v>
      </c>
      <c r="AE2025" s="7" t="str">
        <f aca="false">IF(TRIM(E2025)="","",IFERROR(INDEX(Map_Tables!$H$4:$H$37,MATCH(TRIM(E2025),Map_Tables!$G$4:$G$37,0)),"CHECK"))</f>
        <v>Dosa Darbar</v>
      </c>
      <c r="AF2025" s="7" t="str">
        <f aca="false">IF(TRIM(K2025)="","Unknown",IFERROR(INDEX(Map_Tables!$E$4:$E$15,MATCH(TRIM(K2025),Map_Tables!$D$4:$D$15,0)),"CHECK"))</f>
        <v>Cash on Delivery</v>
      </c>
      <c r="AG2025" s="7" t="str">
        <f aca="false">IF(LEFT(LOWER(TRIM(L2025)),6)="cancel","Cancelled","Delivered")</f>
        <v>Delivered</v>
      </c>
      <c r="AH2025" s="10" t="n">
        <f aca="false">IF(ISNUMBER(SEARCH("/",B2025)),DATE(VALUE(RIGHT(B2025,4)),VALUE(MID(B2025,4,2)),VALUE(LEFT(B2025,2))),IF(MID(B2025,5,1)="-",DATE(VALUE(LEFT(B2025,4)),VALUE(MID(B2025,6,2)),VALUE(RIGHT(B2025,2))),DATE(VALUE(RIGHT(B2025,4)),MATCH(MID(B2025,4,3),{"Jan","Feb","Mar","Apr","May","Jun","Jul","Aug","Sep","Oct","Nov","Dec"},0),VALUE(LEFT(B2025,2)))))</f>
        <v>45766</v>
      </c>
    </row>
    <row r="2026" customFormat="false" ht="15" hidden="false" customHeight="false" outlineLevel="0" collapsed="false">
      <c r="A2026" s="7" t="s">
        <v>4784</v>
      </c>
      <c r="B2026" s="7" t="s">
        <v>633</v>
      </c>
      <c r="C2026" s="7" t="s">
        <v>3008</v>
      </c>
      <c r="D2026" s="7" t="s">
        <v>2988</v>
      </c>
      <c r="E2026" s="7" t="s">
        <v>3050</v>
      </c>
      <c r="F2026" s="7" t="s">
        <v>86</v>
      </c>
      <c r="G2026" s="7" t="s">
        <v>90</v>
      </c>
      <c r="H2026" s="7" t="n">
        <v>1</v>
      </c>
      <c r="I2026" s="7" t="n">
        <v>200</v>
      </c>
      <c r="J2026" s="7" t="n">
        <v>40</v>
      </c>
      <c r="K2026" s="7" t="s">
        <v>88</v>
      </c>
      <c r="L2026" s="7" t="s">
        <v>194</v>
      </c>
      <c r="M2026" s="7" t="n">
        <v>45</v>
      </c>
      <c r="N2026" s="7" t="n">
        <v>5</v>
      </c>
      <c r="O2026" s="7" t="str">
        <f aca="false">A2026&amp;"|"&amp;B2026&amp;"|"&amp;C2026&amp;"|"&amp;D2026&amp;"|"&amp;E2026&amp;"|"&amp;F2026&amp;"|"&amp;G2026&amp;"|"&amp;H2026&amp;"|"&amp;I2026&amp;"|"&amp;J2026&amp;"|"&amp;K2026&amp;"|"&amp;L2026&amp;"|"&amp;M2026&amp;"|"&amp;N2026</f>
        <v>ORD11536|2025-07-19|09:46|C1332|Spice  Junction|Bengaluru|North Indian|1|200|40|UPI|Delivered|45|5</v>
      </c>
      <c r="P2026" s="7" t="str">
        <f aca="false">IF(COUNTIF($O$2:O2026,O2026)&gt;1,"DUP","OK")</f>
        <v>OK</v>
      </c>
      <c r="Q2026" s="7" t="n">
        <f aca="false">COUNTBLANK(A2026:N2026)</f>
        <v>0</v>
      </c>
      <c r="R2026" s="7" t="n">
        <f aca="false">IF(A2026="",0,COUNTIFS($A$2:$A$3058,A2026,$P$2:$P$3058,"OK"))</f>
        <v>1</v>
      </c>
      <c r="S2026" s="7" t="str">
        <f aca="false">IF(OR(A2026="",P2026="DUP",R2026&lt;2),"",IF(Q2026=_xlfn.MINIFS($Q$2:$Q$3058,$A$2:$A$3058,A2026,$P$2:$P$3058,"OK"),"KEEP","DROP"))</f>
        <v/>
      </c>
      <c r="T2026" s="9" t="n">
        <f aca="false">IF(A2026="",1,0)</f>
        <v>0</v>
      </c>
      <c r="U2026" s="9" t="n">
        <f aca="false">IF(D2026="",1,0)</f>
        <v>0</v>
      </c>
      <c r="V2026" s="9" t="n">
        <f aca="false">IF(E2026="",1,0)</f>
        <v>0</v>
      </c>
      <c r="W2026" s="9" t="n">
        <f aca="false">IF(OR(H2026&lt;1,H2026&gt;10),1,0)</f>
        <v>0</v>
      </c>
      <c r="X2026" s="9" t="n">
        <f aca="false">IF(OR(I2026&lt;=0,I2026&gt;1500),1,0)</f>
        <v>0</v>
      </c>
      <c r="Y2026" s="9" t="n">
        <f aca="false">IF(J2026&gt;H2026*I2026,1,0)</f>
        <v>0</v>
      </c>
      <c r="Z2026" s="9" t="n">
        <f aca="false">IF(AND(N2026&lt;&gt;"",OR(N2026&lt;1,N2026&gt;5)),1,0)</f>
        <v>0</v>
      </c>
      <c r="AA2026" s="9" t="n">
        <f aca="false">IF(AND(M2026&lt;&gt;"",OR(M2026&lt;5,M2026&gt;180)),1,0)</f>
        <v>0</v>
      </c>
      <c r="AB2026" s="7" t="str">
        <f aca="false">IF(P2026="DUP","Exact duplicate row",IF(T2026=1,"Missing Order ID",IF(S2026="DROP","Duplicate Order ID (less complete row)",IF(U2026=1,"Missing Customer ID",IF(V2026=1,"Missing Restaurant name",IF(W2026=1,"Invalid/outlier quantity",IF(X2026=1,"Invalid/outlier unit price",IF(Y2026=1,"Discount greater than order value",""))))))))</f>
        <v/>
      </c>
      <c r="AC2026" s="7" t="str">
        <f aca="false">IF(AB2026="","KEEP","DROP")</f>
        <v>KEEP</v>
      </c>
      <c r="AD2026" s="7" t="str">
        <f aca="false">IF(TRIM(F2026)="",IFERROR(INDEX(Map_Tables!$I$4:$I$37,MATCH(TRIM(E2026),Map_Tables!$G$4:$G$37,0)),""),IFERROR(INDEX(Map_Tables!$B$4:$B$18,MATCH(TRIM(F2026),Map_Tables!$A$4:$A$18,0)),"CHECK"))</f>
        <v>Bengaluru</v>
      </c>
      <c r="AE2026" s="7" t="str">
        <f aca="false">IF(TRIM(E2026)="","",IFERROR(INDEX(Map_Tables!$H$4:$H$37,MATCH(TRIM(E2026),Map_Tables!$G$4:$G$37,0)),"CHECK"))</f>
        <v>Spice Junction</v>
      </c>
      <c r="AF2026" s="7" t="str">
        <f aca="false">IF(TRIM(K2026)="","Unknown",IFERROR(INDEX(Map_Tables!$E$4:$E$15,MATCH(TRIM(K2026),Map_Tables!$D$4:$D$15,0)),"CHECK"))</f>
        <v>UPI</v>
      </c>
      <c r="AG2026" s="7" t="str">
        <f aca="false">IF(LEFT(LOWER(TRIM(L2026)),6)="cancel","Cancelled","Delivered")</f>
        <v>Delivered</v>
      </c>
      <c r="AH2026" s="10" t="n">
        <f aca="false">IF(ISNUMBER(SEARCH("/",B2026)),DATE(VALUE(RIGHT(B2026,4)),VALUE(MID(B2026,4,2)),VALUE(LEFT(B2026,2))),IF(MID(B2026,5,1)="-",DATE(VALUE(LEFT(B2026,4)),VALUE(MID(B2026,6,2)),VALUE(RIGHT(B2026,2))),DATE(VALUE(RIGHT(B2026,4)),MATCH(MID(B2026,4,3),{"Jan","Feb","Mar","Apr","May","Jun","Jul","Aug","Sep","Oct","Nov","Dec"},0),VALUE(LEFT(B2026,2)))))</f>
        <v>45857</v>
      </c>
    </row>
    <row r="2027" customFormat="false" ht="15" hidden="false" customHeight="false" outlineLevel="0" collapsed="false">
      <c r="A2027" s="7" t="s">
        <v>4785</v>
      </c>
      <c r="B2027" s="7" t="s">
        <v>345</v>
      </c>
      <c r="C2027" s="7" t="s">
        <v>4786</v>
      </c>
      <c r="D2027" s="7" t="s">
        <v>4787</v>
      </c>
      <c r="E2027" s="7" t="s">
        <v>149</v>
      </c>
      <c r="F2027" s="7" t="s">
        <v>312</v>
      </c>
      <c r="G2027" s="7" t="s">
        <v>150</v>
      </c>
      <c r="H2027" s="7" t="n">
        <v>3</v>
      </c>
      <c r="I2027" s="7" t="n">
        <v>160</v>
      </c>
      <c r="J2027" s="7" t="n">
        <v>125</v>
      </c>
      <c r="K2027" s="7" t="s">
        <v>121</v>
      </c>
      <c r="L2027" s="7" t="s">
        <v>238</v>
      </c>
      <c r="M2027" s="7"/>
      <c r="N2027" s="7"/>
      <c r="O2027" s="7" t="str">
        <f aca="false">A2027&amp;"|"&amp;B2027&amp;"|"&amp;C2027&amp;"|"&amp;D2027&amp;"|"&amp;E2027&amp;"|"&amp;F2027&amp;"|"&amp;G2027&amp;"|"&amp;H2027&amp;"|"&amp;I2027&amp;"|"&amp;J2027&amp;"|"&amp;K2027&amp;"|"&amp;L2027&amp;"|"&amp;M2027&amp;"|"&amp;N2027</f>
        <v>ORD10885|2025-04-22|13:22|C0027|Sweet Tooth Studio|Hyd|Desserts|3|160|125|Wallet|Cancelled||</v>
      </c>
      <c r="P2027" s="7" t="str">
        <f aca="false">IF(COUNTIF($O$2:O2027,O2027)&gt;1,"DUP","OK")</f>
        <v>OK</v>
      </c>
      <c r="Q2027" s="7" t="n">
        <f aca="false">COUNTBLANK(A2027:N2027)</f>
        <v>2</v>
      </c>
      <c r="R2027" s="7" t="n">
        <f aca="false">IF(A2027="",0,COUNTIFS($A$2:$A$3058,A2027,$P$2:$P$3058,"OK"))</f>
        <v>1</v>
      </c>
      <c r="S2027" s="7" t="str">
        <f aca="false">IF(OR(A2027="",P2027="DUP",R2027&lt;2),"",IF(Q2027=_xlfn.MINIFS($Q$2:$Q$3058,$A$2:$A$3058,A2027,$P$2:$P$3058,"OK"),"KEEP","DROP"))</f>
        <v/>
      </c>
      <c r="T2027" s="9" t="n">
        <f aca="false">IF(A2027="",1,0)</f>
        <v>0</v>
      </c>
      <c r="U2027" s="9" t="n">
        <f aca="false">IF(D2027="",1,0)</f>
        <v>0</v>
      </c>
      <c r="V2027" s="9" t="n">
        <f aca="false">IF(E2027="",1,0)</f>
        <v>0</v>
      </c>
      <c r="W2027" s="9" t="n">
        <f aca="false">IF(OR(H2027&lt;1,H2027&gt;10),1,0)</f>
        <v>0</v>
      </c>
      <c r="X2027" s="9" t="n">
        <f aca="false">IF(OR(I2027&lt;=0,I2027&gt;1500),1,0)</f>
        <v>0</v>
      </c>
      <c r="Y2027" s="9" t="n">
        <f aca="false">IF(J2027&gt;H2027*I2027,1,0)</f>
        <v>0</v>
      </c>
      <c r="Z2027" s="9" t="n">
        <f aca="false">IF(AND(N2027&lt;&gt;"",OR(N2027&lt;1,N2027&gt;5)),1,0)</f>
        <v>0</v>
      </c>
      <c r="AA2027" s="9" t="n">
        <f aca="false">IF(AND(M2027&lt;&gt;"",OR(M2027&lt;5,M2027&gt;180)),1,0)</f>
        <v>0</v>
      </c>
      <c r="AB2027" s="7" t="str">
        <f aca="false">IF(P2027="DUP","Exact duplicate row",IF(T2027=1,"Missing Order ID",IF(S2027="DROP","Duplicate Order ID (less complete row)",IF(U2027=1,"Missing Customer ID",IF(V2027=1,"Missing Restaurant name",IF(W2027=1,"Invalid/outlier quantity",IF(X2027=1,"Invalid/outlier unit price",IF(Y2027=1,"Discount greater than order value",""))))))))</f>
        <v/>
      </c>
      <c r="AC2027" s="7" t="str">
        <f aca="false">IF(AB2027="","KEEP","DROP")</f>
        <v>KEEP</v>
      </c>
      <c r="AD2027" s="7" t="str">
        <f aca="false">IF(TRIM(F2027)="",IFERROR(INDEX(Map_Tables!$I$4:$I$37,MATCH(TRIM(E2027),Map_Tables!$G$4:$G$37,0)),""),IFERROR(INDEX(Map_Tables!$B$4:$B$18,MATCH(TRIM(F2027),Map_Tables!$A$4:$A$18,0)),"CHECK"))</f>
        <v>Hyderabad</v>
      </c>
      <c r="AE2027" s="7" t="str">
        <f aca="false">IF(TRIM(E2027)="","",IFERROR(INDEX(Map_Tables!$H$4:$H$37,MATCH(TRIM(E2027),Map_Tables!$G$4:$G$37,0)),"CHECK"))</f>
        <v>Sweet Tooth Studio</v>
      </c>
      <c r="AF2027" s="7" t="str">
        <f aca="false">IF(TRIM(K2027)="","Unknown",IFERROR(INDEX(Map_Tables!$E$4:$E$15,MATCH(TRIM(K2027),Map_Tables!$D$4:$D$15,0)),"CHECK"))</f>
        <v>Wallet</v>
      </c>
      <c r="AG2027" s="7" t="str">
        <f aca="false">IF(LEFT(LOWER(TRIM(L2027)),6)="cancel","Cancelled","Delivered")</f>
        <v>Cancelled</v>
      </c>
      <c r="AH2027" s="10" t="n">
        <f aca="false">IF(ISNUMBER(SEARCH("/",B2027)),DATE(VALUE(RIGHT(B2027,4)),VALUE(MID(B2027,4,2)),VALUE(LEFT(B2027,2))),IF(MID(B2027,5,1)="-",DATE(VALUE(LEFT(B2027,4)),VALUE(MID(B2027,6,2)),VALUE(RIGHT(B2027,2))),DATE(VALUE(RIGHT(B2027,4)),MATCH(MID(B2027,4,3),{"Jan","Feb","Mar","Apr","May","Jun","Jul","Aug","Sep","Oct","Nov","Dec"},0),VALUE(LEFT(B2027,2)))))</f>
        <v>45769</v>
      </c>
    </row>
    <row r="2028" customFormat="false" ht="15" hidden="false" customHeight="false" outlineLevel="0" collapsed="false">
      <c r="A2028" s="7" t="s">
        <v>4788</v>
      </c>
      <c r="B2028" s="7" t="s">
        <v>1267</v>
      </c>
      <c r="C2028" s="7" t="s">
        <v>4789</v>
      </c>
      <c r="D2028" s="7" t="s">
        <v>1641</v>
      </c>
      <c r="E2028" s="7" t="s">
        <v>116</v>
      </c>
      <c r="F2028" s="7" t="s">
        <v>101</v>
      </c>
      <c r="G2028" s="7" t="s">
        <v>117</v>
      </c>
      <c r="H2028" s="7" t="n">
        <v>1</v>
      </c>
      <c r="I2028" s="7" t="n">
        <v>135</v>
      </c>
      <c r="J2028" s="7" t="n">
        <v>20</v>
      </c>
      <c r="K2028" s="7" t="s">
        <v>229</v>
      </c>
      <c r="L2028" s="7" t="s">
        <v>194</v>
      </c>
      <c r="M2028" s="7" t="n">
        <v>41</v>
      </c>
      <c r="N2028" s="7" t="n">
        <v>3</v>
      </c>
      <c r="O2028" s="7" t="str">
        <f aca="false">A2028&amp;"|"&amp;B2028&amp;"|"&amp;C2028&amp;"|"&amp;D2028&amp;"|"&amp;E2028&amp;"|"&amp;F2028&amp;"|"&amp;G2028&amp;"|"&amp;H2028&amp;"|"&amp;I2028&amp;"|"&amp;J2028&amp;"|"&amp;K2028&amp;"|"&amp;L2028&amp;"|"&amp;M2028&amp;"|"&amp;N2028</f>
        <v>ORD10478|2025-03-05|08:15|C0879|Pav Bhaji Point|Mumbai|Street Food|1|135|20|Upi|Delivered|41|3</v>
      </c>
      <c r="P2028" s="7" t="str">
        <f aca="false">IF(COUNTIF($O$2:O2028,O2028)&gt;1,"DUP","OK")</f>
        <v>OK</v>
      </c>
      <c r="Q2028" s="7" t="n">
        <f aca="false">COUNTBLANK(A2028:N2028)</f>
        <v>0</v>
      </c>
      <c r="R2028" s="7" t="n">
        <f aca="false">IF(A2028="",0,COUNTIFS($A$2:$A$3058,A2028,$P$2:$P$3058,"OK"))</f>
        <v>1</v>
      </c>
      <c r="S2028" s="7" t="str">
        <f aca="false">IF(OR(A2028="",P2028="DUP",R2028&lt;2),"",IF(Q2028=_xlfn.MINIFS($Q$2:$Q$3058,$A$2:$A$3058,A2028,$P$2:$P$3058,"OK"),"KEEP","DROP"))</f>
        <v/>
      </c>
      <c r="T2028" s="9" t="n">
        <f aca="false">IF(A2028="",1,0)</f>
        <v>0</v>
      </c>
      <c r="U2028" s="9" t="n">
        <f aca="false">IF(D2028="",1,0)</f>
        <v>0</v>
      </c>
      <c r="V2028" s="9" t="n">
        <f aca="false">IF(E2028="",1,0)</f>
        <v>0</v>
      </c>
      <c r="W2028" s="9" t="n">
        <f aca="false">IF(OR(H2028&lt;1,H2028&gt;10),1,0)</f>
        <v>0</v>
      </c>
      <c r="X2028" s="9" t="n">
        <f aca="false">IF(OR(I2028&lt;=0,I2028&gt;1500),1,0)</f>
        <v>0</v>
      </c>
      <c r="Y2028" s="9" t="n">
        <f aca="false">IF(J2028&gt;H2028*I2028,1,0)</f>
        <v>0</v>
      </c>
      <c r="Z2028" s="9" t="n">
        <f aca="false">IF(AND(N2028&lt;&gt;"",OR(N2028&lt;1,N2028&gt;5)),1,0)</f>
        <v>0</v>
      </c>
      <c r="AA2028" s="9" t="n">
        <f aca="false">IF(AND(M2028&lt;&gt;"",OR(M2028&lt;5,M2028&gt;180)),1,0)</f>
        <v>0</v>
      </c>
      <c r="AB2028" s="7" t="str">
        <f aca="false">IF(P2028="DUP","Exact duplicate row",IF(T2028=1,"Missing Order ID",IF(S2028="DROP","Duplicate Order ID (less complete row)",IF(U2028=1,"Missing Customer ID",IF(V2028=1,"Missing Restaurant name",IF(W2028=1,"Invalid/outlier quantity",IF(X2028=1,"Invalid/outlier unit price",IF(Y2028=1,"Discount greater than order value",""))))))))</f>
        <v/>
      </c>
      <c r="AC2028" s="7" t="str">
        <f aca="false">IF(AB2028="","KEEP","DROP")</f>
        <v>KEEP</v>
      </c>
      <c r="AD2028" s="7" t="str">
        <f aca="false">IF(TRIM(F2028)="",IFERROR(INDEX(Map_Tables!$I$4:$I$37,MATCH(TRIM(E2028),Map_Tables!$G$4:$G$37,0)),""),IFERROR(INDEX(Map_Tables!$B$4:$B$18,MATCH(TRIM(F2028),Map_Tables!$A$4:$A$18,0)),"CHECK"))</f>
        <v>Mumbai</v>
      </c>
      <c r="AE2028" s="7" t="str">
        <f aca="false">IF(TRIM(E2028)="","",IFERROR(INDEX(Map_Tables!$H$4:$H$37,MATCH(TRIM(E2028),Map_Tables!$G$4:$G$37,0)),"CHECK"))</f>
        <v>Pav Bhaji Point</v>
      </c>
      <c r="AF2028" s="7" t="str">
        <f aca="false">IF(TRIM(K2028)="","Unknown",IFERROR(INDEX(Map_Tables!$E$4:$E$15,MATCH(TRIM(K2028),Map_Tables!$D$4:$D$15,0)),"CHECK"))</f>
        <v>UPI</v>
      </c>
      <c r="AG2028" s="7" t="str">
        <f aca="false">IF(LEFT(LOWER(TRIM(L2028)),6)="cancel","Cancelled","Delivered")</f>
        <v>Delivered</v>
      </c>
      <c r="AH2028" s="10" t="n">
        <f aca="false">IF(ISNUMBER(SEARCH("/",B2028)),DATE(VALUE(RIGHT(B2028,4)),VALUE(MID(B2028,4,2)),VALUE(LEFT(B2028,2))),IF(MID(B2028,5,1)="-",DATE(VALUE(LEFT(B2028,4)),VALUE(MID(B2028,6,2)),VALUE(RIGHT(B2028,2))),DATE(VALUE(RIGHT(B2028,4)),MATCH(MID(B2028,4,3),{"Jan","Feb","Mar","Apr","May","Jun","Jul","Aug","Sep","Oct","Nov","Dec"},0),VALUE(LEFT(B2028,2)))))</f>
        <v>45721</v>
      </c>
    </row>
    <row r="2029" customFormat="false" ht="15" hidden="false" customHeight="false" outlineLevel="0" collapsed="false">
      <c r="A2029" s="7" t="s">
        <v>4790</v>
      </c>
      <c r="B2029" s="7" t="s">
        <v>2527</v>
      </c>
      <c r="C2029" s="7" t="s">
        <v>2358</v>
      </c>
      <c r="D2029" s="7" t="s">
        <v>2017</v>
      </c>
      <c r="E2029" s="7" t="s">
        <v>158</v>
      </c>
      <c r="F2029" s="7" t="s">
        <v>136</v>
      </c>
      <c r="G2029" s="7" t="s">
        <v>139</v>
      </c>
      <c r="H2029" s="7" t="n">
        <v>1</v>
      </c>
      <c r="I2029" s="7" t="n">
        <v>190</v>
      </c>
      <c r="J2029" s="7" t="n">
        <v>0</v>
      </c>
      <c r="K2029" s="7" t="s">
        <v>121</v>
      </c>
      <c r="L2029" s="7" t="s">
        <v>194</v>
      </c>
      <c r="M2029" s="7" t="n">
        <v>41</v>
      </c>
      <c r="N2029" s="7" t="n">
        <v>5</v>
      </c>
      <c r="O2029" s="7" t="str">
        <f aca="false">A2029&amp;"|"&amp;B2029&amp;"|"&amp;C2029&amp;"|"&amp;D2029&amp;"|"&amp;E2029&amp;"|"&amp;F2029&amp;"|"&amp;G2029&amp;"|"&amp;H2029&amp;"|"&amp;I2029&amp;"|"&amp;J2029&amp;"|"&amp;K2029&amp;"|"&amp;L2029&amp;"|"&amp;M2029&amp;"|"&amp;N2029</f>
        <v>ORD11330|2025-06-21|13:47|C0334|Pune Burger Hub|Pune|Burgers|1|190|0|Wallet|Delivered|41|5</v>
      </c>
      <c r="P2029" s="7" t="str">
        <f aca="false">IF(COUNTIF($O$2:O2029,O2029)&gt;1,"DUP","OK")</f>
        <v>OK</v>
      </c>
      <c r="Q2029" s="7" t="n">
        <f aca="false">COUNTBLANK(A2029:N2029)</f>
        <v>0</v>
      </c>
      <c r="R2029" s="7" t="n">
        <f aca="false">IF(A2029="",0,COUNTIFS($A$2:$A$3058,A2029,$P$2:$P$3058,"OK"))</f>
        <v>1</v>
      </c>
      <c r="S2029" s="7" t="str">
        <f aca="false">IF(OR(A2029="",P2029="DUP",R2029&lt;2),"",IF(Q2029=_xlfn.MINIFS($Q$2:$Q$3058,$A$2:$A$3058,A2029,$P$2:$P$3058,"OK"),"KEEP","DROP"))</f>
        <v/>
      </c>
      <c r="T2029" s="9" t="n">
        <f aca="false">IF(A2029="",1,0)</f>
        <v>0</v>
      </c>
      <c r="U2029" s="9" t="n">
        <f aca="false">IF(D2029="",1,0)</f>
        <v>0</v>
      </c>
      <c r="V2029" s="9" t="n">
        <f aca="false">IF(E2029="",1,0)</f>
        <v>0</v>
      </c>
      <c r="W2029" s="9" t="n">
        <f aca="false">IF(OR(H2029&lt;1,H2029&gt;10),1,0)</f>
        <v>0</v>
      </c>
      <c r="X2029" s="9" t="n">
        <f aca="false">IF(OR(I2029&lt;=0,I2029&gt;1500),1,0)</f>
        <v>0</v>
      </c>
      <c r="Y2029" s="9" t="n">
        <f aca="false">IF(J2029&gt;H2029*I2029,1,0)</f>
        <v>0</v>
      </c>
      <c r="Z2029" s="9" t="n">
        <f aca="false">IF(AND(N2029&lt;&gt;"",OR(N2029&lt;1,N2029&gt;5)),1,0)</f>
        <v>0</v>
      </c>
      <c r="AA2029" s="9" t="n">
        <f aca="false">IF(AND(M2029&lt;&gt;"",OR(M2029&lt;5,M2029&gt;180)),1,0)</f>
        <v>0</v>
      </c>
      <c r="AB2029" s="7" t="str">
        <f aca="false">IF(P2029="DUP","Exact duplicate row",IF(T2029=1,"Missing Order ID",IF(S2029="DROP","Duplicate Order ID (less complete row)",IF(U2029=1,"Missing Customer ID",IF(V2029=1,"Missing Restaurant name",IF(W2029=1,"Invalid/outlier quantity",IF(X2029=1,"Invalid/outlier unit price",IF(Y2029=1,"Discount greater than order value",""))))))))</f>
        <v/>
      </c>
      <c r="AC2029" s="7" t="str">
        <f aca="false">IF(AB2029="","KEEP","DROP")</f>
        <v>KEEP</v>
      </c>
      <c r="AD2029" s="7" t="str">
        <f aca="false">IF(TRIM(F2029)="",IFERROR(INDEX(Map_Tables!$I$4:$I$37,MATCH(TRIM(E2029),Map_Tables!$G$4:$G$37,0)),""),IFERROR(INDEX(Map_Tables!$B$4:$B$18,MATCH(TRIM(F2029),Map_Tables!$A$4:$A$18,0)),"CHECK"))</f>
        <v>Pune</v>
      </c>
      <c r="AE2029" s="7" t="str">
        <f aca="false">IF(TRIM(E2029)="","",IFERROR(INDEX(Map_Tables!$H$4:$H$37,MATCH(TRIM(E2029),Map_Tables!$G$4:$G$37,0)),"CHECK"))</f>
        <v>Pune Burger Hub</v>
      </c>
      <c r="AF2029" s="7" t="str">
        <f aca="false">IF(TRIM(K2029)="","Unknown",IFERROR(INDEX(Map_Tables!$E$4:$E$15,MATCH(TRIM(K2029),Map_Tables!$D$4:$D$15,0)),"CHECK"))</f>
        <v>Wallet</v>
      </c>
      <c r="AG2029" s="7" t="str">
        <f aca="false">IF(LEFT(LOWER(TRIM(L2029)),6)="cancel","Cancelled","Delivered")</f>
        <v>Delivered</v>
      </c>
      <c r="AH2029" s="10" t="n">
        <f aca="false">IF(ISNUMBER(SEARCH("/",B2029)),DATE(VALUE(RIGHT(B2029,4)),VALUE(MID(B2029,4,2)),VALUE(LEFT(B2029,2))),IF(MID(B2029,5,1)="-",DATE(VALUE(LEFT(B2029,4)),VALUE(MID(B2029,6,2)),VALUE(RIGHT(B2029,2))),DATE(VALUE(RIGHT(B2029,4)),MATCH(MID(B2029,4,3),{"Jan","Feb","Mar","Apr","May","Jun","Jul","Aug","Sep","Oct","Nov","Dec"},0),VALUE(LEFT(B2029,2)))))</f>
        <v>45829</v>
      </c>
    </row>
    <row r="2030" customFormat="false" ht="15" hidden="false" customHeight="false" outlineLevel="0" collapsed="false">
      <c r="A2030" s="7" t="s">
        <v>4791</v>
      </c>
      <c r="B2030" s="7" t="s">
        <v>1667</v>
      </c>
      <c r="C2030" s="7" t="s">
        <v>2202</v>
      </c>
      <c r="D2030" s="7" t="s">
        <v>1777</v>
      </c>
      <c r="E2030" s="7" t="s">
        <v>155</v>
      </c>
      <c r="F2030" s="7" t="s">
        <v>128</v>
      </c>
      <c r="G2030" s="7" t="s">
        <v>156</v>
      </c>
      <c r="H2030" s="7" t="n">
        <v>2</v>
      </c>
      <c r="I2030" s="7" t="n">
        <v>260</v>
      </c>
      <c r="J2030" s="7" t="n">
        <v>0</v>
      </c>
      <c r="K2030" s="7" t="s">
        <v>88</v>
      </c>
      <c r="L2030" s="7" t="s">
        <v>457</v>
      </c>
      <c r="M2030" s="7" t="n">
        <v>37</v>
      </c>
      <c r="N2030" s="7" t="n">
        <v>5</v>
      </c>
      <c r="O2030" s="7" t="str">
        <f aca="false">A2030&amp;"|"&amp;B2030&amp;"|"&amp;C2030&amp;"|"&amp;D2030&amp;"|"&amp;E2030&amp;"|"&amp;F2030&amp;"|"&amp;G2030&amp;"|"&amp;H2030&amp;"|"&amp;I2030&amp;"|"&amp;J2030&amp;"|"&amp;K2030&amp;"|"&amp;L2030&amp;"|"&amp;M2030&amp;"|"&amp;N2030</f>
        <v>ORD11567|2025-07-24|12:40|C0883|Green Bowl Kitchen|Chennai|Healthy Food|2|260|0|UPI|Delivered |37|5</v>
      </c>
      <c r="P2030" s="7" t="str">
        <f aca="false">IF(COUNTIF($O$2:O2030,O2030)&gt;1,"DUP","OK")</f>
        <v>OK</v>
      </c>
      <c r="Q2030" s="7" t="n">
        <f aca="false">COUNTBLANK(A2030:N2030)</f>
        <v>0</v>
      </c>
      <c r="R2030" s="7" t="n">
        <f aca="false">IF(A2030="",0,COUNTIFS($A$2:$A$3058,A2030,$P$2:$P$3058,"OK"))</f>
        <v>1</v>
      </c>
      <c r="S2030" s="7" t="str">
        <f aca="false">IF(OR(A2030="",P2030="DUP",R2030&lt;2),"",IF(Q2030=_xlfn.MINIFS($Q$2:$Q$3058,$A$2:$A$3058,A2030,$P$2:$P$3058,"OK"),"KEEP","DROP"))</f>
        <v/>
      </c>
      <c r="T2030" s="9" t="n">
        <f aca="false">IF(A2030="",1,0)</f>
        <v>0</v>
      </c>
      <c r="U2030" s="9" t="n">
        <f aca="false">IF(D2030="",1,0)</f>
        <v>0</v>
      </c>
      <c r="V2030" s="9" t="n">
        <f aca="false">IF(E2030="",1,0)</f>
        <v>0</v>
      </c>
      <c r="W2030" s="9" t="n">
        <f aca="false">IF(OR(H2030&lt;1,H2030&gt;10),1,0)</f>
        <v>0</v>
      </c>
      <c r="X2030" s="9" t="n">
        <f aca="false">IF(OR(I2030&lt;=0,I2030&gt;1500),1,0)</f>
        <v>0</v>
      </c>
      <c r="Y2030" s="9" t="n">
        <f aca="false">IF(J2030&gt;H2030*I2030,1,0)</f>
        <v>0</v>
      </c>
      <c r="Z2030" s="9" t="n">
        <f aca="false">IF(AND(N2030&lt;&gt;"",OR(N2030&lt;1,N2030&gt;5)),1,0)</f>
        <v>0</v>
      </c>
      <c r="AA2030" s="9" t="n">
        <f aca="false">IF(AND(M2030&lt;&gt;"",OR(M2030&lt;5,M2030&gt;180)),1,0)</f>
        <v>0</v>
      </c>
      <c r="AB2030" s="7" t="str">
        <f aca="false">IF(P2030="DUP","Exact duplicate row",IF(T2030=1,"Missing Order ID",IF(S2030="DROP","Duplicate Order ID (less complete row)",IF(U2030=1,"Missing Customer ID",IF(V2030=1,"Missing Restaurant name",IF(W2030=1,"Invalid/outlier quantity",IF(X2030=1,"Invalid/outlier unit price",IF(Y2030=1,"Discount greater than order value",""))))))))</f>
        <v/>
      </c>
      <c r="AC2030" s="7" t="str">
        <f aca="false">IF(AB2030="","KEEP","DROP")</f>
        <v>KEEP</v>
      </c>
      <c r="AD2030" s="7" t="str">
        <f aca="false">IF(TRIM(F2030)="",IFERROR(INDEX(Map_Tables!$I$4:$I$37,MATCH(TRIM(E2030),Map_Tables!$G$4:$G$37,0)),""),IFERROR(INDEX(Map_Tables!$B$4:$B$18,MATCH(TRIM(F2030),Map_Tables!$A$4:$A$18,0)),"CHECK"))</f>
        <v>Chennai</v>
      </c>
      <c r="AE2030" s="7" t="str">
        <f aca="false">IF(TRIM(E2030)="","",IFERROR(INDEX(Map_Tables!$H$4:$H$37,MATCH(TRIM(E2030),Map_Tables!$G$4:$G$37,0)),"CHECK"))</f>
        <v>Green Bowl Kitchen</v>
      </c>
      <c r="AF2030" s="7" t="str">
        <f aca="false">IF(TRIM(K2030)="","Unknown",IFERROR(INDEX(Map_Tables!$E$4:$E$15,MATCH(TRIM(K2030),Map_Tables!$D$4:$D$15,0)),"CHECK"))</f>
        <v>UPI</v>
      </c>
      <c r="AG2030" s="7" t="str">
        <f aca="false">IF(LEFT(LOWER(TRIM(L2030)),6)="cancel","Cancelled","Delivered")</f>
        <v>Delivered</v>
      </c>
      <c r="AH2030" s="10" t="n">
        <f aca="false">IF(ISNUMBER(SEARCH("/",B2030)),DATE(VALUE(RIGHT(B2030,4)),VALUE(MID(B2030,4,2)),VALUE(LEFT(B2030,2))),IF(MID(B2030,5,1)="-",DATE(VALUE(LEFT(B2030,4)),VALUE(MID(B2030,6,2)),VALUE(RIGHT(B2030,2))),DATE(VALUE(RIGHT(B2030,4)),MATCH(MID(B2030,4,3),{"Jan","Feb","Mar","Apr","May","Jun","Jul","Aug","Sep","Oct","Nov","Dec"},0),VALUE(LEFT(B2030,2)))))</f>
        <v>45862</v>
      </c>
    </row>
    <row r="2031" customFormat="false" ht="15" hidden="false" customHeight="false" outlineLevel="0" collapsed="false">
      <c r="A2031" s="7" t="s">
        <v>4792</v>
      </c>
      <c r="B2031" s="7" t="s">
        <v>262</v>
      </c>
      <c r="C2031" s="7" t="s">
        <v>3547</v>
      </c>
      <c r="D2031" s="7" t="s">
        <v>4521</v>
      </c>
      <c r="E2031" s="7" t="s">
        <v>104</v>
      </c>
      <c r="F2031" s="7" t="s">
        <v>729</v>
      </c>
      <c r="G2031" s="7" t="s">
        <v>105</v>
      </c>
      <c r="H2031" s="7" t="n">
        <v>2</v>
      </c>
      <c r="I2031" s="7" t="n">
        <v>230</v>
      </c>
      <c r="J2031" s="7" t="n">
        <v>0</v>
      </c>
      <c r="K2031" s="7" t="s">
        <v>112</v>
      </c>
      <c r="L2031" s="7" t="s">
        <v>194</v>
      </c>
      <c r="M2031" s="7" t="n">
        <v>44</v>
      </c>
      <c r="N2031" s="7" t="n">
        <v>3</v>
      </c>
      <c r="O2031" s="7" t="str">
        <f aca="false">A2031&amp;"|"&amp;B2031&amp;"|"&amp;C2031&amp;"|"&amp;D2031&amp;"|"&amp;E2031&amp;"|"&amp;F2031&amp;"|"&amp;G2031&amp;"|"&amp;H2031&amp;"|"&amp;I2031&amp;"|"&amp;J2031&amp;"|"&amp;K2031&amp;"|"&amp;L2031&amp;"|"&amp;M2031&amp;"|"&amp;N2031</f>
        <v>ORD11343|2025-06-22|16:03|C0526|Wok &amp; Roll|BENGALURU|Chinese|2|230|0|Cash on Delivery|Delivered|44|3</v>
      </c>
      <c r="P2031" s="7" t="str">
        <f aca="false">IF(COUNTIF($O$2:O2031,O2031)&gt;1,"DUP","OK")</f>
        <v>OK</v>
      </c>
      <c r="Q2031" s="7" t="n">
        <f aca="false">COUNTBLANK(A2031:N2031)</f>
        <v>0</v>
      </c>
      <c r="R2031" s="7" t="n">
        <f aca="false">IF(A2031="",0,COUNTIFS($A$2:$A$3058,A2031,$P$2:$P$3058,"OK"))</f>
        <v>1</v>
      </c>
      <c r="S2031" s="7" t="str">
        <f aca="false">IF(OR(A2031="",P2031="DUP",R2031&lt;2),"",IF(Q2031=_xlfn.MINIFS($Q$2:$Q$3058,$A$2:$A$3058,A2031,$P$2:$P$3058,"OK"),"KEEP","DROP"))</f>
        <v/>
      </c>
      <c r="T2031" s="9" t="n">
        <f aca="false">IF(A2031="",1,0)</f>
        <v>0</v>
      </c>
      <c r="U2031" s="9" t="n">
        <f aca="false">IF(D2031="",1,0)</f>
        <v>0</v>
      </c>
      <c r="V2031" s="9" t="n">
        <f aca="false">IF(E2031="",1,0)</f>
        <v>0</v>
      </c>
      <c r="W2031" s="9" t="n">
        <f aca="false">IF(OR(H2031&lt;1,H2031&gt;10),1,0)</f>
        <v>0</v>
      </c>
      <c r="X2031" s="9" t="n">
        <f aca="false">IF(OR(I2031&lt;=0,I2031&gt;1500),1,0)</f>
        <v>0</v>
      </c>
      <c r="Y2031" s="9" t="n">
        <f aca="false">IF(J2031&gt;H2031*I2031,1,0)</f>
        <v>0</v>
      </c>
      <c r="Z2031" s="9" t="n">
        <f aca="false">IF(AND(N2031&lt;&gt;"",OR(N2031&lt;1,N2031&gt;5)),1,0)</f>
        <v>0</v>
      </c>
      <c r="AA2031" s="9" t="n">
        <f aca="false">IF(AND(M2031&lt;&gt;"",OR(M2031&lt;5,M2031&gt;180)),1,0)</f>
        <v>0</v>
      </c>
      <c r="AB2031" s="7" t="str">
        <f aca="false">IF(P2031="DUP","Exact duplicate row",IF(T2031=1,"Missing Order ID",IF(S2031="DROP","Duplicate Order ID (less complete row)",IF(U2031=1,"Missing Customer ID",IF(V2031=1,"Missing Restaurant name",IF(W2031=1,"Invalid/outlier quantity",IF(X2031=1,"Invalid/outlier unit price",IF(Y2031=1,"Discount greater than order value",""))))))))</f>
        <v/>
      </c>
      <c r="AC2031" s="7" t="str">
        <f aca="false">IF(AB2031="","KEEP","DROP")</f>
        <v>KEEP</v>
      </c>
      <c r="AD2031" s="7" t="str">
        <f aca="false">IF(TRIM(F2031)="",IFERROR(INDEX(Map_Tables!$I$4:$I$37,MATCH(TRIM(E2031),Map_Tables!$G$4:$G$37,0)),""),IFERROR(INDEX(Map_Tables!$B$4:$B$18,MATCH(TRIM(F2031),Map_Tables!$A$4:$A$18,0)),"CHECK"))</f>
        <v>Bengaluru</v>
      </c>
      <c r="AE2031" s="7" t="str">
        <f aca="false">IF(TRIM(E2031)="","",IFERROR(INDEX(Map_Tables!$H$4:$H$37,MATCH(TRIM(E2031),Map_Tables!$G$4:$G$37,0)),"CHECK"))</f>
        <v>Wok &amp; Roll</v>
      </c>
      <c r="AF2031" s="7" t="str">
        <f aca="false">IF(TRIM(K2031)="","Unknown",IFERROR(INDEX(Map_Tables!$E$4:$E$15,MATCH(TRIM(K2031),Map_Tables!$D$4:$D$15,0)),"CHECK"))</f>
        <v>Cash on Delivery</v>
      </c>
      <c r="AG2031" s="7" t="str">
        <f aca="false">IF(LEFT(LOWER(TRIM(L2031)),6)="cancel","Cancelled","Delivered")</f>
        <v>Delivered</v>
      </c>
      <c r="AH2031" s="10" t="n">
        <f aca="false">IF(ISNUMBER(SEARCH("/",B2031)),DATE(VALUE(RIGHT(B2031,4)),VALUE(MID(B2031,4,2)),VALUE(LEFT(B2031,2))),IF(MID(B2031,5,1)="-",DATE(VALUE(LEFT(B2031,4)),VALUE(MID(B2031,6,2)),VALUE(RIGHT(B2031,2))),DATE(VALUE(RIGHT(B2031,4)),MATCH(MID(B2031,4,3),{"Jan","Feb","Mar","Apr","May","Jun","Jul","Aug","Sep","Oct","Nov","Dec"},0),VALUE(LEFT(B2031,2)))))</f>
        <v>45830</v>
      </c>
    </row>
    <row r="2032" customFormat="false" ht="15" hidden="false" customHeight="false" outlineLevel="0" collapsed="false">
      <c r="A2032" s="7" t="s">
        <v>4793</v>
      </c>
      <c r="B2032" s="7" t="s">
        <v>253</v>
      </c>
      <c r="C2032" s="7" t="s">
        <v>209</v>
      </c>
      <c r="D2032" s="7" t="s">
        <v>4794</v>
      </c>
      <c r="E2032" s="7" t="s">
        <v>4795</v>
      </c>
      <c r="F2032" s="7" t="s">
        <v>119</v>
      </c>
      <c r="G2032" s="7" t="s">
        <v>99</v>
      </c>
      <c r="H2032" s="7" t="n">
        <v>1</v>
      </c>
      <c r="I2032" s="7" t="n">
        <v>370</v>
      </c>
      <c r="J2032" s="7" t="n">
        <v>100</v>
      </c>
      <c r="K2032" s="7" t="s">
        <v>88</v>
      </c>
      <c r="L2032" s="7" t="s">
        <v>194</v>
      </c>
      <c r="M2032" s="7" t="n">
        <v>39</v>
      </c>
      <c r="N2032" s="7" t="n">
        <v>4</v>
      </c>
      <c r="O2032" s="7" t="str">
        <f aca="false">A2032&amp;"|"&amp;B2032&amp;"|"&amp;C2032&amp;"|"&amp;D2032&amp;"|"&amp;E2032&amp;"|"&amp;F2032&amp;"|"&amp;G2032&amp;"|"&amp;H2032&amp;"|"&amp;I2032&amp;"|"&amp;J2032&amp;"|"&amp;K2032&amp;"|"&amp;L2032&amp;"|"&amp;M2032&amp;"|"&amp;N2032</f>
        <v>ORD10742|2025-04-04|21:40|C1394|Hyderabad Dum Biryani |Hyderabad|Biryani|1|370|100|UPI|Delivered|39|4</v>
      </c>
      <c r="P2032" s="7" t="str">
        <f aca="false">IF(COUNTIF($O$2:O2032,O2032)&gt;1,"DUP","OK")</f>
        <v>OK</v>
      </c>
      <c r="Q2032" s="7" t="n">
        <f aca="false">COUNTBLANK(A2032:N2032)</f>
        <v>0</v>
      </c>
      <c r="R2032" s="7" t="n">
        <f aca="false">IF(A2032="",0,COUNTIFS($A$2:$A$3058,A2032,$P$2:$P$3058,"OK"))</f>
        <v>1</v>
      </c>
      <c r="S2032" s="7" t="str">
        <f aca="false">IF(OR(A2032="",P2032="DUP",R2032&lt;2),"",IF(Q2032=_xlfn.MINIFS($Q$2:$Q$3058,$A$2:$A$3058,A2032,$P$2:$P$3058,"OK"),"KEEP","DROP"))</f>
        <v/>
      </c>
      <c r="T2032" s="9" t="n">
        <f aca="false">IF(A2032="",1,0)</f>
        <v>0</v>
      </c>
      <c r="U2032" s="9" t="n">
        <f aca="false">IF(D2032="",1,0)</f>
        <v>0</v>
      </c>
      <c r="V2032" s="9" t="n">
        <f aca="false">IF(E2032="",1,0)</f>
        <v>0</v>
      </c>
      <c r="W2032" s="9" t="n">
        <f aca="false">IF(OR(H2032&lt;1,H2032&gt;10),1,0)</f>
        <v>0</v>
      </c>
      <c r="X2032" s="9" t="n">
        <f aca="false">IF(OR(I2032&lt;=0,I2032&gt;1500),1,0)</f>
        <v>0</v>
      </c>
      <c r="Y2032" s="9" t="n">
        <f aca="false">IF(J2032&gt;H2032*I2032,1,0)</f>
        <v>0</v>
      </c>
      <c r="Z2032" s="9" t="n">
        <f aca="false">IF(AND(N2032&lt;&gt;"",OR(N2032&lt;1,N2032&gt;5)),1,0)</f>
        <v>0</v>
      </c>
      <c r="AA2032" s="9" t="n">
        <f aca="false">IF(AND(M2032&lt;&gt;"",OR(M2032&lt;5,M2032&gt;180)),1,0)</f>
        <v>0</v>
      </c>
      <c r="AB2032" s="7" t="str">
        <f aca="false">IF(P2032="DUP","Exact duplicate row",IF(T2032=1,"Missing Order ID",IF(S2032="DROP","Duplicate Order ID (less complete row)",IF(U2032=1,"Missing Customer ID",IF(V2032=1,"Missing Restaurant name",IF(W2032=1,"Invalid/outlier quantity",IF(X2032=1,"Invalid/outlier unit price",IF(Y2032=1,"Discount greater than order value",""))))))))</f>
        <v/>
      </c>
      <c r="AC2032" s="7" t="str">
        <f aca="false">IF(AB2032="","KEEP","DROP")</f>
        <v>KEEP</v>
      </c>
      <c r="AD2032" s="7" t="str">
        <f aca="false">IF(TRIM(F2032)="",IFERROR(INDEX(Map_Tables!$I$4:$I$37,MATCH(TRIM(E2032),Map_Tables!$G$4:$G$37,0)),""),IFERROR(INDEX(Map_Tables!$B$4:$B$18,MATCH(TRIM(F2032),Map_Tables!$A$4:$A$18,0)),"CHECK"))</f>
        <v>Hyderabad</v>
      </c>
      <c r="AE2032" s="7" t="str">
        <f aca="false">IF(TRIM(E2032)="","",IFERROR(INDEX(Map_Tables!$H$4:$H$37,MATCH(TRIM(E2032),Map_Tables!$G$4:$G$37,0)),"CHECK"))</f>
        <v>Hyderabad Dum Biryani</v>
      </c>
      <c r="AF2032" s="7" t="str">
        <f aca="false">IF(TRIM(K2032)="","Unknown",IFERROR(INDEX(Map_Tables!$E$4:$E$15,MATCH(TRIM(K2032),Map_Tables!$D$4:$D$15,0)),"CHECK"))</f>
        <v>UPI</v>
      </c>
      <c r="AG2032" s="7" t="str">
        <f aca="false">IF(LEFT(LOWER(TRIM(L2032)),6)="cancel","Cancelled","Delivered")</f>
        <v>Delivered</v>
      </c>
      <c r="AH2032" s="10" t="n">
        <f aca="false">IF(ISNUMBER(SEARCH("/",B2032)),DATE(VALUE(RIGHT(B2032,4)),VALUE(MID(B2032,4,2)),VALUE(LEFT(B2032,2))),IF(MID(B2032,5,1)="-",DATE(VALUE(LEFT(B2032,4)),VALUE(MID(B2032,6,2)),VALUE(RIGHT(B2032,2))),DATE(VALUE(RIGHT(B2032,4)),MATCH(MID(B2032,4,3),{"Jan","Feb","Mar","Apr","May","Jun","Jul","Aug","Sep","Oct","Nov","Dec"},0),VALUE(LEFT(B2032,2)))))</f>
        <v>45751</v>
      </c>
    </row>
    <row r="2033" customFormat="false" ht="15" hidden="false" customHeight="false" outlineLevel="0" collapsed="false">
      <c r="A2033" s="7" t="s">
        <v>4796</v>
      </c>
      <c r="B2033" s="7" t="s">
        <v>758</v>
      </c>
      <c r="C2033" s="7" t="s">
        <v>4797</v>
      </c>
      <c r="D2033" s="7" t="s">
        <v>4798</v>
      </c>
      <c r="E2033" s="7" t="s">
        <v>138</v>
      </c>
      <c r="F2033" s="7" t="s">
        <v>110</v>
      </c>
      <c r="G2033" s="7" t="s">
        <v>139</v>
      </c>
      <c r="H2033" s="7" t="n">
        <v>1</v>
      </c>
      <c r="I2033" s="7" t="n">
        <v>165</v>
      </c>
      <c r="J2033" s="7" t="n">
        <v>66</v>
      </c>
      <c r="K2033" s="7" t="s">
        <v>121</v>
      </c>
      <c r="L2033" s="7" t="s">
        <v>194</v>
      </c>
      <c r="M2033" s="7" t="n">
        <v>40</v>
      </c>
      <c r="N2033" s="7"/>
      <c r="O2033" s="7" t="str">
        <f aca="false">A2033&amp;"|"&amp;B2033&amp;"|"&amp;C2033&amp;"|"&amp;D2033&amp;"|"&amp;E2033&amp;"|"&amp;F2033&amp;"|"&amp;G2033&amp;"|"&amp;H2033&amp;"|"&amp;I2033&amp;"|"&amp;J2033&amp;"|"&amp;K2033&amp;"|"&amp;L2033&amp;"|"&amp;M2033&amp;"|"&amp;N2033</f>
        <v>ORD12811|2025-12-10|15:35|C1114|Burger Barn|Delhi|Burgers|1|165|66|Wallet|Delivered|40|</v>
      </c>
      <c r="P2033" s="7" t="str">
        <f aca="false">IF(COUNTIF($O$2:O2033,O2033)&gt;1,"DUP","OK")</f>
        <v>OK</v>
      </c>
      <c r="Q2033" s="7" t="n">
        <f aca="false">COUNTBLANK(A2033:N2033)</f>
        <v>1</v>
      </c>
      <c r="R2033" s="7" t="n">
        <f aca="false">IF(A2033="",0,COUNTIFS($A$2:$A$3058,A2033,$P$2:$P$3058,"OK"))</f>
        <v>1</v>
      </c>
      <c r="S2033" s="7" t="str">
        <f aca="false">IF(OR(A2033="",P2033="DUP",R2033&lt;2),"",IF(Q2033=_xlfn.MINIFS($Q$2:$Q$3058,$A$2:$A$3058,A2033,$P$2:$P$3058,"OK"),"KEEP","DROP"))</f>
        <v/>
      </c>
      <c r="T2033" s="9" t="n">
        <f aca="false">IF(A2033="",1,0)</f>
        <v>0</v>
      </c>
      <c r="U2033" s="9" t="n">
        <f aca="false">IF(D2033="",1,0)</f>
        <v>0</v>
      </c>
      <c r="V2033" s="9" t="n">
        <f aca="false">IF(E2033="",1,0)</f>
        <v>0</v>
      </c>
      <c r="W2033" s="9" t="n">
        <f aca="false">IF(OR(H2033&lt;1,H2033&gt;10),1,0)</f>
        <v>0</v>
      </c>
      <c r="X2033" s="9" t="n">
        <f aca="false">IF(OR(I2033&lt;=0,I2033&gt;1500),1,0)</f>
        <v>0</v>
      </c>
      <c r="Y2033" s="9" t="n">
        <f aca="false">IF(J2033&gt;H2033*I2033,1,0)</f>
        <v>0</v>
      </c>
      <c r="Z2033" s="9" t="n">
        <f aca="false">IF(AND(N2033&lt;&gt;"",OR(N2033&lt;1,N2033&gt;5)),1,0)</f>
        <v>0</v>
      </c>
      <c r="AA2033" s="9" t="n">
        <f aca="false">IF(AND(M2033&lt;&gt;"",OR(M2033&lt;5,M2033&gt;180)),1,0)</f>
        <v>0</v>
      </c>
      <c r="AB2033" s="7" t="str">
        <f aca="false">IF(P2033="DUP","Exact duplicate row",IF(T2033=1,"Missing Order ID",IF(S2033="DROP","Duplicate Order ID (less complete row)",IF(U2033=1,"Missing Customer ID",IF(V2033=1,"Missing Restaurant name",IF(W2033=1,"Invalid/outlier quantity",IF(X2033=1,"Invalid/outlier unit price",IF(Y2033=1,"Discount greater than order value",""))))))))</f>
        <v/>
      </c>
      <c r="AC2033" s="7" t="str">
        <f aca="false">IF(AB2033="","KEEP","DROP")</f>
        <v>KEEP</v>
      </c>
      <c r="AD2033" s="7" t="str">
        <f aca="false">IF(TRIM(F2033)="",IFERROR(INDEX(Map_Tables!$I$4:$I$37,MATCH(TRIM(E2033),Map_Tables!$G$4:$G$37,0)),""),IFERROR(INDEX(Map_Tables!$B$4:$B$18,MATCH(TRIM(F2033),Map_Tables!$A$4:$A$18,0)),"CHECK"))</f>
        <v>Delhi</v>
      </c>
      <c r="AE2033" s="7" t="str">
        <f aca="false">IF(TRIM(E2033)="","",IFERROR(INDEX(Map_Tables!$H$4:$H$37,MATCH(TRIM(E2033),Map_Tables!$G$4:$G$37,0)),"CHECK"))</f>
        <v>Burger Barn</v>
      </c>
      <c r="AF2033" s="7" t="str">
        <f aca="false">IF(TRIM(K2033)="","Unknown",IFERROR(INDEX(Map_Tables!$E$4:$E$15,MATCH(TRIM(K2033),Map_Tables!$D$4:$D$15,0)),"CHECK"))</f>
        <v>Wallet</v>
      </c>
      <c r="AG2033" s="7" t="str">
        <f aca="false">IF(LEFT(LOWER(TRIM(L2033)),6)="cancel","Cancelled","Delivered")</f>
        <v>Delivered</v>
      </c>
      <c r="AH2033" s="10" t="n">
        <f aca="false">IF(ISNUMBER(SEARCH("/",B2033)),DATE(VALUE(RIGHT(B2033,4)),VALUE(MID(B2033,4,2)),VALUE(LEFT(B2033,2))),IF(MID(B2033,5,1)="-",DATE(VALUE(LEFT(B2033,4)),VALUE(MID(B2033,6,2)),VALUE(RIGHT(B2033,2))),DATE(VALUE(RIGHT(B2033,4)),MATCH(MID(B2033,4,3),{"Jan","Feb","Mar","Apr","May","Jun","Jul","Aug","Sep","Oct","Nov","Dec"},0),VALUE(LEFT(B2033,2)))))</f>
        <v>46001</v>
      </c>
    </row>
    <row r="2034" customFormat="false" ht="15" hidden="false" customHeight="false" outlineLevel="0" collapsed="false">
      <c r="A2034" s="7" t="s">
        <v>4799</v>
      </c>
      <c r="B2034" s="7" t="s">
        <v>262</v>
      </c>
      <c r="C2034" s="7" t="s">
        <v>1005</v>
      </c>
      <c r="D2034" s="7" t="s">
        <v>3990</v>
      </c>
      <c r="E2034" s="7" t="s">
        <v>154</v>
      </c>
      <c r="F2034" s="7" t="s">
        <v>127</v>
      </c>
      <c r="G2034" s="7" t="s">
        <v>99</v>
      </c>
      <c r="H2034" s="7" t="n">
        <v>2</v>
      </c>
      <c r="I2034" s="7" t="n">
        <v>290</v>
      </c>
      <c r="J2034" s="7" t="n">
        <v>30</v>
      </c>
      <c r="K2034" s="7" t="s">
        <v>88</v>
      </c>
      <c r="L2034" s="7" t="s">
        <v>194</v>
      </c>
      <c r="M2034" s="7" t="n">
        <v>30</v>
      </c>
      <c r="N2034" s="7" t="n">
        <v>5</v>
      </c>
      <c r="O2034" s="7" t="str">
        <f aca="false">A2034&amp;"|"&amp;B2034&amp;"|"&amp;C2034&amp;"|"&amp;D2034&amp;"|"&amp;E2034&amp;"|"&amp;F2034&amp;"|"&amp;G2034&amp;"|"&amp;H2034&amp;"|"&amp;I2034&amp;"|"&amp;J2034&amp;"|"&amp;K2034&amp;"|"&amp;L2034&amp;"|"&amp;M2034&amp;"|"&amp;N2034</f>
        <v>ORD11341|2025-06-22|12:54|C1197|Madras Biryani Co|chennai|Biryani|2|290|30|UPI|Delivered|30|5</v>
      </c>
      <c r="P2034" s="7" t="str">
        <f aca="false">IF(COUNTIF($O$2:O2034,O2034)&gt;1,"DUP","OK")</f>
        <v>OK</v>
      </c>
      <c r="Q2034" s="7" t="n">
        <f aca="false">COUNTBLANK(A2034:N2034)</f>
        <v>0</v>
      </c>
      <c r="R2034" s="7" t="n">
        <f aca="false">IF(A2034="",0,COUNTIFS($A$2:$A$3058,A2034,$P$2:$P$3058,"OK"))</f>
        <v>1</v>
      </c>
      <c r="S2034" s="7" t="str">
        <f aca="false">IF(OR(A2034="",P2034="DUP",R2034&lt;2),"",IF(Q2034=_xlfn.MINIFS($Q$2:$Q$3058,$A$2:$A$3058,A2034,$P$2:$P$3058,"OK"),"KEEP","DROP"))</f>
        <v/>
      </c>
      <c r="T2034" s="9" t="n">
        <f aca="false">IF(A2034="",1,0)</f>
        <v>0</v>
      </c>
      <c r="U2034" s="9" t="n">
        <f aca="false">IF(D2034="",1,0)</f>
        <v>0</v>
      </c>
      <c r="V2034" s="9" t="n">
        <f aca="false">IF(E2034="",1,0)</f>
        <v>0</v>
      </c>
      <c r="W2034" s="9" t="n">
        <f aca="false">IF(OR(H2034&lt;1,H2034&gt;10),1,0)</f>
        <v>0</v>
      </c>
      <c r="X2034" s="9" t="n">
        <f aca="false">IF(OR(I2034&lt;=0,I2034&gt;1500),1,0)</f>
        <v>0</v>
      </c>
      <c r="Y2034" s="9" t="n">
        <f aca="false">IF(J2034&gt;H2034*I2034,1,0)</f>
        <v>0</v>
      </c>
      <c r="Z2034" s="9" t="n">
        <f aca="false">IF(AND(N2034&lt;&gt;"",OR(N2034&lt;1,N2034&gt;5)),1,0)</f>
        <v>0</v>
      </c>
      <c r="AA2034" s="9" t="n">
        <f aca="false">IF(AND(M2034&lt;&gt;"",OR(M2034&lt;5,M2034&gt;180)),1,0)</f>
        <v>0</v>
      </c>
      <c r="AB2034" s="7" t="str">
        <f aca="false">IF(P2034="DUP","Exact duplicate row",IF(T2034=1,"Missing Order ID",IF(S2034="DROP","Duplicate Order ID (less complete row)",IF(U2034=1,"Missing Customer ID",IF(V2034=1,"Missing Restaurant name",IF(W2034=1,"Invalid/outlier quantity",IF(X2034=1,"Invalid/outlier unit price",IF(Y2034=1,"Discount greater than order value",""))))))))</f>
        <v/>
      </c>
      <c r="AC2034" s="7" t="str">
        <f aca="false">IF(AB2034="","KEEP","DROP")</f>
        <v>KEEP</v>
      </c>
      <c r="AD2034" s="7" t="str">
        <f aca="false">IF(TRIM(F2034)="",IFERROR(INDEX(Map_Tables!$I$4:$I$37,MATCH(TRIM(E2034),Map_Tables!$G$4:$G$37,0)),""),IFERROR(INDEX(Map_Tables!$B$4:$B$18,MATCH(TRIM(F2034),Map_Tables!$A$4:$A$18,0)),"CHECK"))</f>
        <v>Chennai</v>
      </c>
      <c r="AE2034" s="7" t="str">
        <f aca="false">IF(TRIM(E2034)="","",IFERROR(INDEX(Map_Tables!$H$4:$H$37,MATCH(TRIM(E2034),Map_Tables!$G$4:$G$37,0)),"CHECK"))</f>
        <v>Madras Biryani Co</v>
      </c>
      <c r="AF2034" s="7" t="str">
        <f aca="false">IF(TRIM(K2034)="","Unknown",IFERROR(INDEX(Map_Tables!$E$4:$E$15,MATCH(TRIM(K2034),Map_Tables!$D$4:$D$15,0)),"CHECK"))</f>
        <v>UPI</v>
      </c>
      <c r="AG2034" s="7" t="str">
        <f aca="false">IF(LEFT(LOWER(TRIM(L2034)),6)="cancel","Cancelled","Delivered")</f>
        <v>Delivered</v>
      </c>
      <c r="AH2034" s="10" t="n">
        <f aca="false">IF(ISNUMBER(SEARCH("/",B2034)),DATE(VALUE(RIGHT(B2034,4)),VALUE(MID(B2034,4,2)),VALUE(LEFT(B2034,2))),IF(MID(B2034,5,1)="-",DATE(VALUE(LEFT(B2034,4)),VALUE(MID(B2034,6,2)),VALUE(RIGHT(B2034,2))),DATE(VALUE(RIGHT(B2034,4)),MATCH(MID(B2034,4,3),{"Jan","Feb","Mar","Apr","May","Jun","Jul","Aug","Sep","Oct","Nov","Dec"},0),VALUE(LEFT(B2034,2)))))</f>
        <v>45830</v>
      </c>
    </row>
    <row r="2035" customFormat="false" ht="15" hidden="false" customHeight="false" outlineLevel="0" collapsed="false">
      <c r="A2035" s="7" t="s">
        <v>4800</v>
      </c>
      <c r="B2035" s="7" t="s">
        <v>4801</v>
      </c>
      <c r="C2035" s="7" t="s">
        <v>1365</v>
      </c>
      <c r="D2035" s="7" t="s">
        <v>4802</v>
      </c>
      <c r="E2035" s="7" t="s">
        <v>138</v>
      </c>
      <c r="F2035" s="7" t="s">
        <v>110</v>
      </c>
      <c r="G2035" s="7" t="s">
        <v>139</v>
      </c>
      <c r="H2035" s="7" t="n">
        <v>2</v>
      </c>
      <c r="I2035" s="7" t="n">
        <v>235</v>
      </c>
      <c r="J2035" s="7" t="n">
        <v>50</v>
      </c>
      <c r="K2035" s="7" t="s">
        <v>133</v>
      </c>
      <c r="L2035" s="7" t="s">
        <v>194</v>
      </c>
      <c r="M2035" s="7" t="n">
        <v>42</v>
      </c>
      <c r="N2035" s="7"/>
      <c r="O2035" s="7" t="str">
        <f aca="false">A2035&amp;"|"&amp;B2035&amp;"|"&amp;C2035&amp;"|"&amp;D2035&amp;"|"&amp;E2035&amp;"|"&amp;F2035&amp;"|"&amp;G2035&amp;"|"&amp;H2035&amp;"|"&amp;I2035&amp;"|"&amp;J2035&amp;"|"&amp;K2035&amp;"|"&amp;L2035&amp;"|"&amp;M2035&amp;"|"&amp;N2035</f>
        <v>ORD12663|24-Nov-2025|18:11|C1404|Burger Barn|Delhi|Burgers|2|235|50|Net Banking|Delivered|42|</v>
      </c>
      <c r="P2035" s="7" t="str">
        <f aca="false">IF(COUNTIF($O$2:O2035,O2035)&gt;1,"DUP","OK")</f>
        <v>OK</v>
      </c>
      <c r="Q2035" s="7" t="n">
        <f aca="false">COUNTBLANK(A2035:N2035)</f>
        <v>1</v>
      </c>
      <c r="R2035" s="7" t="n">
        <f aca="false">IF(A2035="",0,COUNTIFS($A$2:$A$3058,A2035,$P$2:$P$3058,"OK"))</f>
        <v>1</v>
      </c>
      <c r="S2035" s="7" t="str">
        <f aca="false">IF(OR(A2035="",P2035="DUP",R2035&lt;2),"",IF(Q2035=_xlfn.MINIFS($Q$2:$Q$3058,$A$2:$A$3058,A2035,$P$2:$P$3058,"OK"),"KEEP","DROP"))</f>
        <v/>
      </c>
      <c r="T2035" s="9" t="n">
        <f aca="false">IF(A2035="",1,0)</f>
        <v>0</v>
      </c>
      <c r="U2035" s="9" t="n">
        <f aca="false">IF(D2035="",1,0)</f>
        <v>0</v>
      </c>
      <c r="V2035" s="9" t="n">
        <f aca="false">IF(E2035="",1,0)</f>
        <v>0</v>
      </c>
      <c r="W2035" s="9" t="n">
        <f aca="false">IF(OR(H2035&lt;1,H2035&gt;10),1,0)</f>
        <v>0</v>
      </c>
      <c r="X2035" s="9" t="n">
        <f aca="false">IF(OR(I2035&lt;=0,I2035&gt;1500),1,0)</f>
        <v>0</v>
      </c>
      <c r="Y2035" s="9" t="n">
        <f aca="false">IF(J2035&gt;H2035*I2035,1,0)</f>
        <v>0</v>
      </c>
      <c r="Z2035" s="9" t="n">
        <f aca="false">IF(AND(N2035&lt;&gt;"",OR(N2035&lt;1,N2035&gt;5)),1,0)</f>
        <v>0</v>
      </c>
      <c r="AA2035" s="9" t="n">
        <f aca="false">IF(AND(M2035&lt;&gt;"",OR(M2035&lt;5,M2035&gt;180)),1,0)</f>
        <v>0</v>
      </c>
      <c r="AB2035" s="7" t="str">
        <f aca="false">IF(P2035="DUP","Exact duplicate row",IF(T2035=1,"Missing Order ID",IF(S2035="DROP","Duplicate Order ID (less complete row)",IF(U2035=1,"Missing Customer ID",IF(V2035=1,"Missing Restaurant name",IF(W2035=1,"Invalid/outlier quantity",IF(X2035=1,"Invalid/outlier unit price",IF(Y2035=1,"Discount greater than order value",""))))))))</f>
        <v/>
      </c>
      <c r="AC2035" s="7" t="str">
        <f aca="false">IF(AB2035="","KEEP","DROP")</f>
        <v>KEEP</v>
      </c>
      <c r="AD2035" s="7" t="str">
        <f aca="false">IF(TRIM(F2035)="",IFERROR(INDEX(Map_Tables!$I$4:$I$37,MATCH(TRIM(E2035),Map_Tables!$G$4:$G$37,0)),""),IFERROR(INDEX(Map_Tables!$B$4:$B$18,MATCH(TRIM(F2035),Map_Tables!$A$4:$A$18,0)),"CHECK"))</f>
        <v>Delhi</v>
      </c>
      <c r="AE2035" s="7" t="str">
        <f aca="false">IF(TRIM(E2035)="","",IFERROR(INDEX(Map_Tables!$H$4:$H$37,MATCH(TRIM(E2035),Map_Tables!$G$4:$G$37,0)),"CHECK"))</f>
        <v>Burger Barn</v>
      </c>
      <c r="AF2035" s="7" t="str">
        <f aca="false">IF(TRIM(K2035)="","Unknown",IFERROR(INDEX(Map_Tables!$E$4:$E$15,MATCH(TRIM(K2035),Map_Tables!$D$4:$D$15,0)),"CHECK"))</f>
        <v>Net Banking</v>
      </c>
      <c r="AG2035" s="7" t="str">
        <f aca="false">IF(LEFT(LOWER(TRIM(L2035)),6)="cancel","Cancelled","Delivered")</f>
        <v>Delivered</v>
      </c>
      <c r="AH2035" s="10" t="n">
        <f aca="false">IF(ISNUMBER(SEARCH("/",B2035)),DATE(VALUE(RIGHT(B2035,4)),VALUE(MID(B2035,4,2)),VALUE(LEFT(B2035,2))),IF(MID(B2035,5,1)="-",DATE(VALUE(LEFT(B2035,4)),VALUE(MID(B2035,6,2)),VALUE(RIGHT(B2035,2))),DATE(VALUE(RIGHT(B2035,4)),MATCH(MID(B2035,4,3),{"Jan","Feb","Mar","Apr","May","Jun","Jul","Aug","Sep","Oct","Nov","Dec"},0),VALUE(LEFT(B2035,2)))))</f>
        <v>45985</v>
      </c>
    </row>
    <row r="2036" customFormat="false" ht="15" hidden="false" customHeight="false" outlineLevel="0" collapsed="false">
      <c r="A2036" s="7" t="s">
        <v>4803</v>
      </c>
      <c r="B2036" s="7" t="s">
        <v>4804</v>
      </c>
      <c r="C2036" s="7" t="s">
        <v>1565</v>
      </c>
      <c r="D2036" s="7" t="s">
        <v>4805</v>
      </c>
      <c r="E2036" s="7" t="s">
        <v>144</v>
      </c>
      <c r="F2036" s="7" t="s">
        <v>119</v>
      </c>
      <c r="G2036" s="7" t="s">
        <v>99</v>
      </c>
      <c r="H2036" s="7" t="n">
        <v>3</v>
      </c>
      <c r="I2036" s="7" t="n">
        <v>270</v>
      </c>
      <c r="J2036" s="7" t="n">
        <v>75</v>
      </c>
      <c r="K2036" s="7" t="s">
        <v>88</v>
      </c>
      <c r="L2036" s="7" t="s">
        <v>194</v>
      </c>
      <c r="M2036" s="7" t="n">
        <v>51</v>
      </c>
      <c r="N2036" s="7"/>
      <c r="O2036" s="7" t="str">
        <f aca="false">A2036&amp;"|"&amp;B2036&amp;"|"&amp;C2036&amp;"|"&amp;D2036&amp;"|"&amp;E2036&amp;"|"&amp;F2036&amp;"|"&amp;G2036&amp;"|"&amp;H2036&amp;"|"&amp;I2036&amp;"|"&amp;J2036&amp;"|"&amp;K2036&amp;"|"&amp;L2036&amp;"|"&amp;M2036&amp;"|"&amp;N2036</f>
        <v>ORD10133|17/01/2025|21:30|C1011|Hyderabad Dum Biryani|Hyderabad|Biryani|3|270|75|UPI|Delivered|51|</v>
      </c>
      <c r="P2036" s="7" t="str">
        <f aca="false">IF(COUNTIF($O$2:O2036,O2036)&gt;1,"DUP","OK")</f>
        <v>OK</v>
      </c>
      <c r="Q2036" s="7" t="n">
        <f aca="false">COUNTBLANK(A2036:N2036)</f>
        <v>1</v>
      </c>
      <c r="R2036" s="7" t="n">
        <f aca="false">IF(A2036="",0,COUNTIFS($A$2:$A$3058,A2036,$P$2:$P$3058,"OK"))</f>
        <v>1</v>
      </c>
      <c r="S2036" s="7" t="str">
        <f aca="false">IF(OR(A2036="",P2036="DUP",R2036&lt;2),"",IF(Q2036=_xlfn.MINIFS($Q$2:$Q$3058,$A$2:$A$3058,A2036,$P$2:$P$3058,"OK"),"KEEP","DROP"))</f>
        <v/>
      </c>
      <c r="T2036" s="9" t="n">
        <f aca="false">IF(A2036="",1,0)</f>
        <v>0</v>
      </c>
      <c r="U2036" s="9" t="n">
        <f aca="false">IF(D2036="",1,0)</f>
        <v>0</v>
      </c>
      <c r="V2036" s="9" t="n">
        <f aca="false">IF(E2036="",1,0)</f>
        <v>0</v>
      </c>
      <c r="W2036" s="9" t="n">
        <f aca="false">IF(OR(H2036&lt;1,H2036&gt;10),1,0)</f>
        <v>0</v>
      </c>
      <c r="X2036" s="9" t="n">
        <f aca="false">IF(OR(I2036&lt;=0,I2036&gt;1500),1,0)</f>
        <v>0</v>
      </c>
      <c r="Y2036" s="9" t="n">
        <f aca="false">IF(J2036&gt;H2036*I2036,1,0)</f>
        <v>0</v>
      </c>
      <c r="Z2036" s="9" t="n">
        <f aca="false">IF(AND(N2036&lt;&gt;"",OR(N2036&lt;1,N2036&gt;5)),1,0)</f>
        <v>0</v>
      </c>
      <c r="AA2036" s="9" t="n">
        <f aca="false">IF(AND(M2036&lt;&gt;"",OR(M2036&lt;5,M2036&gt;180)),1,0)</f>
        <v>0</v>
      </c>
      <c r="AB2036" s="7" t="str">
        <f aca="false">IF(P2036="DUP","Exact duplicate row",IF(T2036=1,"Missing Order ID",IF(S2036="DROP","Duplicate Order ID (less complete row)",IF(U2036=1,"Missing Customer ID",IF(V2036=1,"Missing Restaurant name",IF(W2036=1,"Invalid/outlier quantity",IF(X2036=1,"Invalid/outlier unit price",IF(Y2036=1,"Discount greater than order value",""))))))))</f>
        <v/>
      </c>
      <c r="AC2036" s="7" t="str">
        <f aca="false">IF(AB2036="","KEEP","DROP")</f>
        <v>KEEP</v>
      </c>
      <c r="AD2036" s="7" t="str">
        <f aca="false">IF(TRIM(F2036)="",IFERROR(INDEX(Map_Tables!$I$4:$I$37,MATCH(TRIM(E2036),Map_Tables!$G$4:$G$37,0)),""),IFERROR(INDEX(Map_Tables!$B$4:$B$18,MATCH(TRIM(F2036),Map_Tables!$A$4:$A$18,0)),"CHECK"))</f>
        <v>Hyderabad</v>
      </c>
      <c r="AE2036" s="7" t="str">
        <f aca="false">IF(TRIM(E2036)="","",IFERROR(INDEX(Map_Tables!$H$4:$H$37,MATCH(TRIM(E2036),Map_Tables!$G$4:$G$37,0)),"CHECK"))</f>
        <v>Hyderabad Dum Biryani</v>
      </c>
      <c r="AF2036" s="7" t="str">
        <f aca="false">IF(TRIM(K2036)="","Unknown",IFERROR(INDEX(Map_Tables!$E$4:$E$15,MATCH(TRIM(K2036),Map_Tables!$D$4:$D$15,0)),"CHECK"))</f>
        <v>UPI</v>
      </c>
      <c r="AG2036" s="7" t="str">
        <f aca="false">IF(LEFT(LOWER(TRIM(L2036)),6)="cancel","Cancelled","Delivered")</f>
        <v>Delivered</v>
      </c>
      <c r="AH2036" s="10" t="n">
        <f aca="false">IF(ISNUMBER(SEARCH("/",B2036)),DATE(VALUE(RIGHT(B2036,4)),VALUE(MID(B2036,4,2)),VALUE(LEFT(B2036,2))),IF(MID(B2036,5,1)="-",DATE(VALUE(LEFT(B2036,4)),VALUE(MID(B2036,6,2)),VALUE(RIGHT(B2036,2))),DATE(VALUE(RIGHT(B2036,4)),MATCH(MID(B2036,4,3),{"Jan","Feb","Mar","Apr","May","Jun","Jul","Aug","Sep","Oct","Nov","Dec"},0),VALUE(LEFT(B2036,2)))))</f>
        <v>45674</v>
      </c>
    </row>
    <row r="2037" customFormat="false" ht="15" hidden="false" customHeight="false" outlineLevel="0" collapsed="false">
      <c r="A2037" s="7" t="s">
        <v>4806</v>
      </c>
      <c r="B2037" s="7" t="s">
        <v>758</v>
      </c>
      <c r="C2037" s="7" t="s">
        <v>4807</v>
      </c>
      <c r="D2037" s="7" t="s">
        <v>320</v>
      </c>
      <c r="E2037" s="7" t="s">
        <v>94</v>
      </c>
      <c r="F2037" s="7" t="s">
        <v>449</v>
      </c>
      <c r="G2037" s="7" t="s">
        <v>95</v>
      </c>
      <c r="H2037" s="7" t="n">
        <v>2</v>
      </c>
      <c r="I2037" s="7" t="n">
        <v>125</v>
      </c>
      <c r="J2037" s="7" t="n">
        <v>75</v>
      </c>
      <c r="K2037" s="7" t="s">
        <v>88</v>
      </c>
      <c r="L2037" s="7" t="s">
        <v>238</v>
      </c>
      <c r="M2037" s="7"/>
      <c r="N2037" s="7"/>
      <c r="O2037" s="7" t="str">
        <f aca="false">A2037&amp;"|"&amp;B2037&amp;"|"&amp;C2037&amp;"|"&amp;D2037&amp;"|"&amp;E2037&amp;"|"&amp;F2037&amp;"|"&amp;G2037&amp;"|"&amp;H2037&amp;"|"&amp;I2037&amp;"|"&amp;J2037&amp;"|"&amp;K2037&amp;"|"&amp;L2037&amp;"|"&amp;M2037&amp;"|"&amp;N2037</f>
        <v>ORD12816|2025-12-10|22:39|C0094|Dosa Darbar|BLR|South Indian|2|125|75|UPI|Cancelled||</v>
      </c>
      <c r="P2037" s="7" t="str">
        <f aca="false">IF(COUNTIF($O$2:O2037,O2037)&gt;1,"DUP","OK")</f>
        <v>OK</v>
      </c>
      <c r="Q2037" s="7" t="n">
        <f aca="false">COUNTBLANK(A2037:N2037)</f>
        <v>2</v>
      </c>
      <c r="R2037" s="7" t="n">
        <f aca="false">IF(A2037="",0,COUNTIFS($A$2:$A$3058,A2037,$P$2:$P$3058,"OK"))</f>
        <v>1</v>
      </c>
      <c r="S2037" s="7" t="str">
        <f aca="false">IF(OR(A2037="",P2037="DUP",R2037&lt;2),"",IF(Q2037=_xlfn.MINIFS($Q$2:$Q$3058,$A$2:$A$3058,A2037,$P$2:$P$3058,"OK"),"KEEP","DROP"))</f>
        <v/>
      </c>
      <c r="T2037" s="9" t="n">
        <f aca="false">IF(A2037="",1,0)</f>
        <v>0</v>
      </c>
      <c r="U2037" s="9" t="n">
        <f aca="false">IF(D2037="",1,0)</f>
        <v>0</v>
      </c>
      <c r="V2037" s="9" t="n">
        <f aca="false">IF(E2037="",1,0)</f>
        <v>0</v>
      </c>
      <c r="W2037" s="9" t="n">
        <f aca="false">IF(OR(H2037&lt;1,H2037&gt;10),1,0)</f>
        <v>0</v>
      </c>
      <c r="X2037" s="9" t="n">
        <f aca="false">IF(OR(I2037&lt;=0,I2037&gt;1500),1,0)</f>
        <v>0</v>
      </c>
      <c r="Y2037" s="9" t="n">
        <f aca="false">IF(J2037&gt;H2037*I2037,1,0)</f>
        <v>0</v>
      </c>
      <c r="Z2037" s="9" t="n">
        <f aca="false">IF(AND(N2037&lt;&gt;"",OR(N2037&lt;1,N2037&gt;5)),1,0)</f>
        <v>0</v>
      </c>
      <c r="AA2037" s="9" t="n">
        <f aca="false">IF(AND(M2037&lt;&gt;"",OR(M2037&lt;5,M2037&gt;180)),1,0)</f>
        <v>0</v>
      </c>
      <c r="AB2037" s="7" t="str">
        <f aca="false">IF(P2037="DUP","Exact duplicate row",IF(T2037=1,"Missing Order ID",IF(S2037="DROP","Duplicate Order ID (less complete row)",IF(U2037=1,"Missing Customer ID",IF(V2037=1,"Missing Restaurant name",IF(W2037=1,"Invalid/outlier quantity",IF(X2037=1,"Invalid/outlier unit price",IF(Y2037=1,"Discount greater than order value",""))))))))</f>
        <v/>
      </c>
      <c r="AC2037" s="7" t="str">
        <f aca="false">IF(AB2037="","KEEP","DROP")</f>
        <v>KEEP</v>
      </c>
      <c r="AD2037" s="7" t="str">
        <f aca="false">IF(TRIM(F2037)="",IFERROR(INDEX(Map_Tables!$I$4:$I$37,MATCH(TRIM(E2037),Map_Tables!$G$4:$G$37,0)),""),IFERROR(INDEX(Map_Tables!$B$4:$B$18,MATCH(TRIM(F2037),Map_Tables!$A$4:$A$18,0)),"CHECK"))</f>
        <v>Bengaluru</v>
      </c>
      <c r="AE2037" s="7" t="str">
        <f aca="false">IF(TRIM(E2037)="","",IFERROR(INDEX(Map_Tables!$H$4:$H$37,MATCH(TRIM(E2037),Map_Tables!$G$4:$G$37,0)),"CHECK"))</f>
        <v>Dosa Darbar</v>
      </c>
      <c r="AF2037" s="7" t="str">
        <f aca="false">IF(TRIM(K2037)="","Unknown",IFERROR(INDEX(Map_Tables!$E$4:$E$15,MATCH(TRIM(K2037),Map_Tables!$D$4:$D$15,0)),"CHECK"))</f>
        <v>UPI</v>
      </c>
      <c r="AG2037" s="7" t="str">
        <f aca="false">IF(LEFT(LOWER(TRIM(L2037)),6)="cancel","Cancelled","Delivered")</f>
        <v>Cancelled</v>
      </c>
      <c r="AH2037" s="10" t="n">
        <f aca="false">IF(ISNUMBER(SEARCH("/",B2037)),DATE(VALUE(RIGHT(B2037,4)),VALUE(MID(B2037,4,2)),VALUE(LEFT(B2037,2))),IF(MID(B2037,5,1)="-",DATE(VALUE(LEFT(B2037,4)),VALUE(MID(B2037,6,2)),VALUE(RIGHT(B2037,2))),DATE(VALUE(RIGHT(B2037,4)),MATCH(MID(B2037,4,3),{"Jan","Feb","Mar","Apr","May","Jun","Jul","Aug","Sep","Oct","Nov","Dec"},0),VALUE(LEFT(B2037,2)))))</f>
        <v>46001</v>
      </c>
    </row>
    <row r="2038" customFormat="false" ht="15" hidden="false" customHeight="false" outlineLevel="0" collapsed="false">
      <c r="A2038" s="7" t="s">
        <v>4808</v>
      </c>
      <c r="B2038" s="7" t="s">
        <v>731</v>
      </c>
      <c r="C2038" s="7" t="s">
        <v>419</v>
      </c>
      <c r="D2038" s="7" t="s">
        <v>4809</v>
      </c>
      <c r="E2038" s="7" t="s">
        <v>4810</v>
      </c>
      <c r="F2038" s="7" t="s">
        <v>136</v>
      </c>
      <c r="G2038" s="7" t="s">
        <v>90</v>
      </c>
      <c r="H2038" s="7" t="n">
        <v>4</v>
      </c>
      <c r="I2038" s="7" t="n">
        <v>255</v>
      </c>
      <c r="J2038" s="7" t="n">
        <v>40</v>
      </c>
      <c r="K2038" s="7" t="s">
        <v>112</v>
      </c>
      <c r="L2038" s="7" t="s">
        <v>194</v>
      </c>
      <c r="M2038" s="7" t="n">
        <v>33</v>
      </c>
      <c r="N2038" s="7" t="n">
        <v>4</v>
      </c>
      <c r="O2038" s="7" t="str">
        <f aca="false">A2038&amp;"|"&amp;B2038&amp;"|"&amp;C2038&amp;"|"&amp;D2038&amp;"|"&amp;E2038&amp;"|"&amp;F2038&amp;"|"&amp;G2038&amp;"|"&amp;H2038&amp;"|"&amp;I2038&amp;"|"&amp;J2038&amp;"|"&amp;K2038&amp;"|"&amp;L2038&amp;"|"&amp;M2038&amp;"|"&amp;N2038</f>
        <v>ORD12215|2025-10-09|10:45|C1330|Maratha  Thali House|Pune|North Indian|4|255|40|Cash on Delivery|Delivered|33|4</v>
      </c>
      <c r="P2038" s="7" t="str">
        <f aca="false">IF(COUNTIF($O$2:O2038,O2038)&gt;1,"DUP","OK")</f>
        <v>OK</v>
      </c>
      <c r="Q2038" s="7" t="n">
        <f aca="false">COUNTBLANK(A2038:N2038)</f>
        <v>0</v>
      </c>
      <c r="R2038" s="7" t="n">
        <f aca="false">IF(A2038="",0,COUNTIFS($A$2:$A$3058,A2038,$P$2:$P$3058,"OK"))</f>
        <v>1</v>
      </c>
      <c r="S2038" s="7" t="str">
        <f aca="false">IF(OR(A2038="",P2038="DUP",R2038&lt;2),"",IF(Q2038=_xlfn.MINIFS($Q$2:$Q$3058,$A$2:$A$3058,A2038,$P$2:$P$3058,"OK"),"KEEP","DROP"))</f>
        <v/>
      </c>
      <c r="T2038" s="9" t="n">
        <f aca="false">IF(A2038="",1,0)</f>
        <v>0</v>
      </c>
      <c r="U2038" s="9" t="n">
        <f aca="false">IF(D2038="",1,0)</f>
        <v>0</v>
      </c>
      <c r="V2038" s="9" t="n">
        <f aca="false">IF(E2038="",1,0)</f>
        <v>0</v>
      </c>
      <c r="W2038" s="9" t="n">
        <f aca="false">IF(OR(H2038&lt;1,H2038&gt;10),1,0)</f>
        <v>0</v>
      </c>
      <c r="X2038" s="9" t="n">
        <f aca="false">IF(OR(I2038&lt;=0,I2038&gt;1500),1,0)</f>
        <v>0</v>
      </c>
      <c r="Y2038" s="9" t="n">
        <f aca="false">IF(J2038&gt;H2038*I2038,1,0)</f>
        <v>0</v>
      </c>
      <c r="Z2038" s="9" t="n">
        <f aca="false">IF(AND(N2038&lt;&gt;"",OR(N2038&lt;1,N2038&gt;5)),1,0)</f>
        <v>0</v>
      </c>
      <c r="AA2038" s="9" t="n">
        <f aca="false">IF(AND(M2038&lt;&gt;"",OR(M2038&lt;5,M2038&gt;180)),1,0)</f>
        <v>0</v>
      </c>
      <c r="AB2038" s="7" t="str">
        <f aca="false">IF(P2038="DUP","Exact duplicate row",IF(T2038=1,"Missing Order ID",IF(S2038="DROP","Duplicate Order ID (less complete row)",IF(U2038=1,"Missing Customer ID",IF(V2038=1,"Missing Restaurant name",IF(W2038=1,"Invalid/outlier quantity",IF(X2038=1,"Invalid/outlier unit price",IF(Y2038=1,"Discount greater than order value",""))))))))</f>
        <v/>
      </c>
      <c r="AC2038" s="7" t="str">
        <f aca="false">IF(AB2038="","KEEP","DROP")</f>
        <v>KEEP</v>
      </c>
      <c r="AD2038" s="7" t="str">
        <f aca="false">IF(TRIM(F2038)="",IFERROR(INDEX(Map_Tables!$I$4:$I$37,MATCH(TRIM(E2038),Map_Tables!$G$4:$G$37,0)),""),IFERROR(INDEX(Map_Tables!$B$4:$B$18,MATCH(TRIM(F2038),Map_Tables!$A$4:$A$18,0)),"CHECK"))</f>
        <v>Pune</v>
      </c>
      <c r="AE2038" s="7" t="str">
        <f aca="false">IF(TRIM(E2038)="","",IFERROR(INDEX(Map_Tables!$H$4:$H$37,MATCH(TRIM(E2038),Map_Tables!$G$4:$G$37,0)),"CHECK"))</f>
        <v>Maratha Thali House</v>
      </c>
      <c r="AF2038" s="7" t="str">
        <f aca="false">IF(TRIM(K2038)="","Unknown",IFERROR(INDEX(Map_Tables!$E$4:$E$15,MATCH(TRIM(K2038),Map_Tables!$D$4:$D$15,0)),"CHECK"))</f>
        <v>Cash on Delivery</v>
      </c>
      <c r="AG2038" s="7" t="str">
        <f aca="false">IF(LEFT(LOWER(TRIM(L2038)),6)="cancel","Cancelled","Delivered")</f>
        <v>Delivered</v>
      </c>
      <c r="AH2038" s="10" t="n">
        <f aca="false">IF(ISNUMBER(SEARCH("/",B2038)),DATE(VALUE(RIGHT(B2038,4)),VALUE(MID(B2038,4,2)),VALUE(LEFT(B2038,2))),IF(MID(B2038,5,1)="-",DATE(VALUE(LEFT(B2038,4)),VALUE(MID(B2038,6,2)),VALUE(RIGHT(B2038,2))),DATE(VALUE(RIGHT(B2038,4)),MATCH(MID(B2038,4,3),{"Jan","Feb","Mar","Apr","May","Jun","Jul","Aug","Sep","Oct","Nov","Dec"},0),VALUE(LEFT(B2038,2)))))</f>
        <v>45939</v>
      </c>
    </row>
    <row r="2039" customFormat="false" ht="15" hidden="false" customHeight="false" outlineLevel="0" collapsed="false">
      <c r="A2039" s="7" t="s">
        <v>4811</v>
      </c>
      <c r="B2039" s="7" t="s">
        <v>2713</v>
      </c>
      <c r="C2039" s="7" t="s">
        <v>1015</v>
      </c>
      <c r="D2039" s="7" t="s">
        <v>3714</v>
      </c>
      <c r="E2039" s="7" t="s">
        <v>104</v>
      </c>
      <c r="F2039" s="7" t="s">
        <v>85</v>
      </c>
      <c r="G2039" s="7" t="s">
        <v>105</v>
      </c>
      <c r="H2039" s="7" t="n">
        <v>1</v>
      </c>
      <c r="I2039" s="7" t="n">
        <v>215</v>
      </c>
      <c r="J2039" s="7" t="n">
        <v>20</v>
      </c>
      <c r="K2039" s="7" t="s">
        <v>93</v>
      </c>
      <c r="L2039" s="7" t="s">
        <v>194</v>
      </c>
      <c r="M2039" s="7" t="n">
        <v>37</v>
      </c>
      <c r="N2039" s="7" t="n">
        <v>2</v>
      </c>
      <c r="O2039" s="7" t="str">
        <f aca="false">A2039&amp;"|"&amp;B2039&amp;"|"&amp;C2039&amp;"|"&amp;D2039&amp;"|"&amp;E2039&amp;"|"&amp;F2039&amp;"|"&amp;G2039&amp;"|"&amp;H2039&amp;"|"&amp;I2039&amp;"|"&amp;J2039&amp;"|"&amp;K2039&amp;"|"&amp;L2039&amp;"|"&amp;M2039&amp;"|"&amp;N2039</f>
        <v>ORD10982|2025-05-04|22:41|C1161|Wok &amp; Roll|bangalore|Chinese|1|215|20|Credit Card|Delivered|37|2</v>
      </c>
      <c r="P2039" s="7" t="str">
        <f aca="false">IF(COUNTIF($O$2:O2039,O2039)&gt;1,"DUP","OK")</f>
        <v>OK</v>
      </c>
      <c r="Q2039" s="7" t="n">
        <f aca="false">COUNTBLANK(A2039:N2039)</f>
        <v>0</v>
      </c>
      <c r="R2039" s="7" t="n">
        <f aca="false">IF(A2039="",0,COUNTIFS($A$2:$A$3058,A2039,$P$2:$P$3058,"OK"))</f>
        <v>1</v>
      </c>
      <c r="S2039" s="7" t="str">
        <f aca="false">IF(OR(A2039="",P2039="DUP",R2039&lt;2),"",IF(Q2039=_xlfn.MINIFS($Q$2:$Q$3058,$A$2:$A$3058,A2039,$P$2:$P$3058,"OK"),"KEEP","DROP"))</f>
        <v/>
      </c>
      <c r="T2039" s="9" t="n">
        <f aca="false">IF(A2039="",1,0)</f>
        <v>0</v>
      </c>
      <c r="U2039" s="9" t="n">
        <f aca="false">IF(D2039="",1,0)</f>
        <v>0</v>
      </c>
      <c r="V2039" s="9" t="n">
        <f aca="false">IF(E2039="",1,0)</f>
        <v>0</v>
      </c>
      <c r="W2039" s="9" t="n">
        <f aca="false">IF(OR(H2039&lt;1,H2039&gt;10),1,0)</f>
        <v>0</v>
      </c>
      <c r="X2039" s="9" t="n">
        <f aca="false">IF(OR(I2039&lt;=0,I2039&gt;1500),1,0)</f>
        <v>0</v>
      </c>
      <c r="Y2039" s="9" t="n">
        <f aca="false">IF(J2039&gt;H2039*I2039,1,0)</f>
        <v>0</v>
      </c>
      <c r="Z2039" s="9" t="n">
        <f aca="false">IF(AND(N2039&lt;&gt;"",OR(N2039&lt;1,N2039&gt;5)),1,0)</f>
        <v>0</v>
      </c>
      <c r="AA2039" s="9" t="n">
        <f aca="false">IF(AND(M2039&lt;&gt;"",OR(M2039&lt;5,M2039&gt;180)),1,0)</f>
        <v>0</v>
      </c>
      <c r="AB2039" s="7" t="str">
        <f aca="false">IF(P2039="DUP","Exact duplicate row",IF(T2039=1,"Missing Order ID",IF(S2039="DROP","Duplicate Order ID (less complete row)",IF(U2039=1,"Missing Customer ID",IF(V2039=1,"Missing Restaurant name",IF(W2039=1,"Invalid/outlier quantity",IF(X2039=1,"Invalid/outlier unit price",IF(Y2039=1,"Discount greater than order value",""))))))))</f>
        <v/>
      </c>
      <c r="AC2039" s="7" t="str">
        <f aca="false">IF(AB2039="","KEEP","DROP")</f>
        <v>KEEP</v>
      </c>
      <c r="AD2039" s="7" t="str">
        <f aca="false">IF(TRIM(F2039)="",IFERROR(INDEX(Map_Tables!$I$4:$I$37,MATCH(TRIM(E2039),Map_Tables!$G$4:$G$37,0)),""),IFERROR(INDEX(Map_Tables!$B$4:$B$18,MATCH(TRIM(F2039),Map_Tables!$A$4:$A$18,0)),"CHECK"))</f>
        <v>Bengaluru</v>
      </c>
      <c r="AE2039" s="7" t="str">
        <f aca="false">IF(TRIM(E2039)="","",IFERROR(INDEX(Map_Tables!$H$4:$H$37,MATCH(TRIM(E2039),Map_Tables!$G$4:$G$37,0)),"CHECK"))</f>
        <v>Wok &amp; Roll</v>
      </c>
      <c r="AF2039" s="7" t="str">
        <f aca="false">IF(TRIM(K2039)="","Unknown",IFERROR(INDEX(Map_Tables!$E$4:$E$15,MATCH(TRIM(K2039),Map_Tables!$D$4:$D$15,0)),"CHECK"))</f>
        <v>Credit Card</v>
      </c>
      <c r="AG2039" s="7" t="str">
        <f aca="false">IF(LEFT(LOWER(TRIM(L2039)),6)="cancel","Cancelled","Delivered")</f>
        <v>Delivered</v>
      </c>
      <c r="AH2039" s="10" t="n">
        <f aca="false">IF(ISNUMBER(SEARCH("/",B2039)),DATE(VALUE(RIGHT(B2039,4)),VALUE(MID(B2039,4,2)),VALUE(LEFT(B2039,2))),IF(MID(B2039,5,1)="-",DATE(VALUE(LEFT(B2039,4)),VALUE(MID(B2039,6,2)),VALUE(RIGHT(B2039,2))),DATE(VALUE(RIGHT(B2039,4)),MATCH(MID(B2039,4,3),{"Jan","Feb","Mar","Apr","May","Jun","Jul","Aug","Sep","Oct","Nov","Dec"},0),VALUE(LEFT(B2039,2)))))</f>
        <v>45781</v>
      </c>
    </row>
    <row r="2040" customFormat="false" ht="15" hidden="false" customHeight="false" outlineLevel="0" collapsed="false">
      <c r="A2040" s="7" t="s">
        <v>4812</v>
      </c>
      <c r="B2040" s="7" t="s">
        <v>4813</v>
      </c>
      <c r="C2040" s="7" t="s">
        <v>4814</v>
      </c>
      <c r="D2040" s="7" t="s">
        <v>627</v>
      </c>
      <c r="E2040" s="7" t="s">
        <v>163</v>
      </c>
      <c r="F2040" s="7" t="s">
        <v>141</v>
      </c>
      <c r="G2040" s="7" t="s">
        <v>99</v>
      </c>
      <c r="H2040" s="7" t="n">
        <v>2</v>
      </c>
      <c r="I2040" s="7" t="n">
        <v>275</v>
      </c>
      <c r="J2040" s="7" t="n">
        <v>0</v>
      </c>
      <c r="K2040" s="7" t="s">
        <v>112</v>
      </c>
      <c r="L2040" s="7" t="s">
        <v>194</v>
      </c>
      <c r="M2040" s="7" t="n">
        <v>28</v>
      </c>
      <c r="N2040" s="7" t="n">
        <v>5</v>
      </c>
      <c r="O2040" s="7" t="str">
        <f aca="false">A2040&amp;"|"&amp;B2040&amp;"|"&amp;C2040&amp;"|"&amp;D2040&amp;"|"&amp;E2040&amp;"|"&amp;F2040&amp;"|"&amp;G2040&amp;"|"&amp;H2040&amp;"|"&amp;I2040&amp;"|"&amp;J2040&amp;"|"&amp;K2040&amp;"|"&amp;L2040&amp;"|"&amp;M2040&amp;"|"&amp;N2040</f>
        <v>ORD11234|06/06/2025|15:17|C1320|Biryani Baadshah|Kolkata|Biryani|2|275|0|Cash on Delivery|Delivered|28|5</v>
      </c>
      <c r="P2040" s="7" t="str">
        <f aca="false">IF(COUNTIF($O$2:O2040,O2040)&gt;1,"DUP","OK")</f>
        <v>OK</v>
      </c>
      <c r="Q2040" s="7" t="n">
        <f aca="false">COUNTBLANK(A2040:N2040)</f>
        <v>0</v>
      </c>
      <c r="R2040" s="7" t="n">
        <f aca="false">IF(A2040="",0,COUNTIFS($A$2:$A$3058,A2040,$P$2:$P$3058,"OK"))</f>
        <v>1</v>
      </c>
      <c r="S2040" s="7" t="str">
        <f aca="false">IF(OR(A2040="",P2040="DUP",R2040&lt;2),"",IF(Q2040=_xlfn.MINIFS($Q$2:$Q$3058,$A$2:$A$3058,A2040,$P$2:$P$3058,"OK"),"KEEP","DROP"))</f>
        <v/>
      </c>
      <c r="T2040" s="9" t="n">
        <f aca="false">IF(A2040="",1,0)</f>
        <v>0</v>
      </c>
      <c r="U2040" s="9" t="n">
        <f aca="false">IF(D2040="",1,0)</f>
        <v>0</v>
      </c>
      <c r="V2040" s="9" t="n">
        <f aca="false">IF(E2040="",1,0)</f>
        <v>0</v>
      </c>
      <c r="W2040" s="9" t="n">
        <f aca="false">IF(OR(H2040&lt;1,H2040&gt;10),1,0)</f>
        <v>0</v>
      </c>
      <c r="X2040" s="9" t="n">
        <f aca="false">IF(OR(I2040&lt;=0,I2040&gt;1500),1,0)</f>
        <v>0</v>
      </c>
      <c r="Y2040" s="9" t="n">
        <f aca="false">IF(J2040&gt;H2040*I2040,1,0)</f>
        <v>0</v>
      </c>
      <c r="Z2040" s="9" t="n">
        <f aca="false">IF(AND(N2040&lt;&gt;"",OR(N2040&lt;1,N2040&gt;5)),1,0)</f>
        <v>0</v>
      </c>
      <c r="AA2040" s="9" t="n">
        <f aca="false">IF(AND(M2040&lt;&gt;"",OR(M2040&lt;5,M2040&gt;180)),1,0)</f>
        <v>0</v>
      </c>
      <c r="AB2040" s="7" t="str">
        <f aca="false">IF(P2040="DUP","Exact duplicate row",IF(T2040=1,"Missing Order ID",IF(S2040="DROP","Duplicate Order ID (less complete row)",IF(U2040=1,"Missing Customer ID",IF(V2040=1,"Missing Restaurant name",IF(W2040=1,"Invalid/outlier quantity",IF(X2040=1,"Invalid/outlier unit price",IF(Y2040=1,"Discount greater than order value",""))))))))</f>
        <v/>
      </c>
      <c r="AC2040" s="7" t="str">
        <f aca="false">IF(AB2040="","KEEP","DROP")</f>
        <v>KEEP</v>
      </c>
      <c r="AD2040" s="7" t="str">
        <f aca="false">IF(TRIM(F2040)="",IFERROR(INDEX(Map_Tables!$I$4:$I$37,MATCH(TRIM(E2040),Map_Tables!$G$4:$G$37,0)),""),IFERROR(INDEX(Map_Tables!$B$4:$B$18,MATCH(TRIM(F2040),Map_Tables!$A$4:$A$18,0)),"CHECK"))</f>
        <v>Kolkata</v>
      </c>
      <c r="AE2040" s="7" t="str">
        <f aca="false">IF(TRIM(E2040)="","",IFERROR(INDEX(Map_Tables!$H$4:$H$37,MATCH(TRIM(E2040),Map_Tables!$G$4:$G$37,0)),"CHECK"))</f>
        <v>Biryani Baadshah</v>
      </c>
      <c r="AF2040" s="7" t="str">
        <f aca="false">IF(TRIM(K2040)="","Unknown",IFERROR(INDEX(Map_Tables!$E$4:$E$15,MATCH(TRIM(K2040),Map_Tables!$D$4:$D$15,0)),"CHECK"))</f>
        <v>Cash on Delivery</v>
      </c>
      <c r="AG2040" s="7" t="str">
        <f aca="false">IF(LEFT(LOWER(TRIM(L2040)),6)="cancel","Cancelled","Delivered")</f>
        <v>Delivered</v>
      </c>
      <c r="AH2040" s="10" t="n">
        <f aca="false">IF(ISNUMBER(SEARCH("/",B2040)),DATE(VALUE(RIGHT(B2040,4)),VALUE(MID(B2040,4,2)),VALUE(LEFT(B2040,2))),IF(MID(B2040,5,1)="-",DATE(VALUE(LEFT(B2040,4)),VALUE(MID(B2040,6,2)),VALUE(RIGHT(B2040,2))),DATE(VALUE(RIGHT(B2040,4)),MATCH(MID(B2040,4,3),{"Jan","Feb","Mar","Apr","May","Jun","Jul","Aug","Sep","Oct","Nov","Dec"},0),VALUE(LEFT(B2040,2)))))</f>
        <v>45814</v>
      </c>
    </row>
    <row r="2041" customFormat="false" ht="15" hidden="false" customHeight="false" outlineLevel="0" collapsed="false">
      <c r="A2041" s="7" t="s">
        <v>4815</v>
      </c>
      <c r="B2041" s="7" t="s">
        <v>629</v>
      </c>
      <c r="C2041" s="7" t="s">
        <v>3573</v>
      </c>
      <c r="D2041" s="7" t="s">
        <v>4586</v>
      </c>
      <c r="E2041" s="7" t="s">
        <v>126</v>
      </c>
      <c r="F2041" s="7" t="s">
        <v>101</v>
      </c>
      <c r="G2041" s="7" t="s">
        <v>105</v>
      </c>
      <c r="H2041" s="7" t="n">
        <v>1</v>
      </c>
      <c r="I2041" s="7" t="n">
        <v>210</v>
      </c>
      <c r="J2041" s="7" t="n">
        <v>0</v>
      </c>
      <c r="K2041" s="7" t="s">
        <v>112</v>
      </c>
      <c r="L2041" s="7" t="s">
        <v>194</v>
      </c>
      <c r="M2041" s="7" t="n">
        <v>47</v>
      </c>
      <c r="N2041" s="7" t="n">
        <v>4</v>
      </c>
      <c r="O2041" s="7" t="str">
        <f aca="false">A2041&amp;"|"&amp;B2041&amp;"|"&amp;C2041&amp;"|"&amp;D2041&amp;"|"&amp;E2041&amp;"|"&amp;F2041&amp;"|"&amp;G2041&amp;"|"&amp;H2041&amp;"|"&amp;I2041&amp;"|"&amp;J2041&amp;"|"&amp;K2041&amp;"|"&amp;L2041&amp;"|"&amp;M2041&amp;"|"&amp;N2041</f>
        <v>ORD12090|2025-09-26|17:10|C1329|Dragon Express|Mumbai|Chinese|1|210|0|Cash on Delivery|Delivered|47|4</v>
      </c>
      <c r="P2041" s="7" t="str">
        <f aca="false">IF(COUNTIF($O$2:O2041,O2041)&gt;1,"DUP","OK")</f>
        <v>OK</v>
      </c>
      <c r="Q2041" s="7" t="n">
        <f aca="false">COUNTBLANK(A2041:N2041)</f>
        <v>0</v>
      </c>
      <c r="R2041" s="7" t="n">
        <f aca="false">IF(A2041="",0,COUNTIFS($A$2:$A$3058,A2041,$P$2:$P$3058,"OK"))</f>
        <v>1</v>
      </c>
      <c r="S2041" s="7" t="str">
        <f aca="false">IF(OR(A2041="",P2041="DUP",R2041&lt;2),"",IF(Q2041=_xlfn.MINIFS($Q$2:$Q$3058,$A$2:$A$3058,A2041,$P$2:$P$3058,"OK"),"KEEP","DROP"))</f>
        <v/>
      </c>
      <c r="T2041" s="9" t="n">
        <f aca="false">IF(A2041="",1,0)</f>
        <v>0</v>
      </c>
      <c r="U2041" s="9" t="n">
        <f aca="false">IF(D2041="",1,0)</f>
        <v>0</v>
      </c>
      <c r="V2041" s="9" t="n">
        <f aca="false">IF(E2041="",1,0)</f>
        <v>0</v>
      </c>
      <c r="W2041" s="9" t="n">
        <f aca="false">IF(OR(H2041&lt;1,H2041&gt;10),1,0)</f>
        <v>0</v>
      </c>
      <c r="X2041" s="9" t="n">
        <f aca="false">IF(OR(I2041&lt;=0,I2041&gt;1500),1,0)</f>
        <v>0</v>
      </c>
      <c r="Y2041" s="9" t="n">
        <f aca="false">IF(J2041&gt;H2041*I2041,1,0)</f>
        <v>0</v>
      </c>
      <c r="Z2041" s="9" t="n">
        <f aca="false">IF(AND(N2041&lt;&gt;"",OR(N2041&lt;1,N2041&gt;5)),1,0)</f>
        <v>0</v>
      </c>
      <c r="AA2041" s="9" t="n">
        <f aca="false">IF(AND(M2041&lt;&gt;"",OR(M2041&lt;5,M2041&gt;180)),1,0)</f>
        <v>0</v>
      </c>
      <c r="AB2041" s="7" t="str">
        <f aca="false">IF(P2041="DUP","Exact duplicate row",IF(T2041=1,"Missing Order ID",IF(S2041="DROP","Duplicate Order ID (less complete row)",IF(U2041=1,"Missing Customer ID",IF(V2041=1,"Missing Restaurant name",IF(W2041=1,"Invalid/outlier quantity",IF(X2041=1,"Invalid/outlier unit price",IF(Y2041=1,"Discount greater than order value",""))))))))</f>
        <v/>
      </c>
      <c r="AC2041" s="7" t="str">
        <f aca="false">IF(AB2041="","KEEP","DROP")</f>
        <v>KEEP</v>
      </c>
      <c r="AD2041" s="7" t="str">
        <f aca="false">IF(TRIM(F2041)="",IFERROR(INDEX(Map_Tables!$I$4:$I$37,MATCH(TRIM(E2041),Map_Tables!$G$4:$G$37,0)),""),IFERROR(INDEX(Map_Tables!$B$4:$B$18,MATCH(TRIM(F2041),Map_Tables!$A$4:$A$18,0)),"CHECK"))</f>
        <v>Mumbai</v>
      </c>
      <c r="AE2041" s="7" t="str">
        <f aca="false">IF(TRIM(E2041)="","",IFERROR(INDEX(Map_Tables!$H$4:$H$37,MATCH(TRIM(E2041),Map_Tables!$G$4:$G$37,0)),"CHECK"))</f>
        <v>Dragon Express</v>
      </c>
      <c r="AF2041" s="7" t="str">
        <f aca="false">IF(TRIM(K2041)="","Unknown",IFERROR(INDEX(Map_Tables!$E$4:$E$15,MATCH(TRIM(K2041),Map_Tables!$D$4:$D$15,0)),"CHECK"))</f>
        <v>Cash on Delivery</v>
      </c>
      <c r="AG2041" s="7" t="str">
        <f aca="false">IF(LEFT(LOWER(TRIM(L2041)),6)="cancel","Cancelled","Delivered")</f>
        <v>Delivered</v>
      </c>
      <c r="AH2041" s="10" t="n">
        <f aca="false">IF(ISNUMBER(SEARCH("/",B2041)),DATE(VALUE(RIGHT(B2041,4)),VALUE(MID(B2041,4,2)),VALUE(LEFT(B2041,2))),IF(MID(B2041,5,1)="-",DATE(VALUE(LEFT(B2041,4)),VALUE(MID(B2041,6,2)),VALUE(RIGHT(B2041,2))),DATE(VALUE(RIGHT(B2041,4)),MATCH(MID(B2041,4,3),{"Jan","Feb","Mar","Apr","May","Jun","Jul","Aug","Sep","Oct","Nov","Dec"},0),VALUE(LEFT(B2041,2)))))</f>
        <v>45926</v>
      </c>
    </row>
    <row r="2042" customFormat="false" ht="15" hidden="false" customHeight="false" outlineLevel="0" collapsed="false">
      <c r="A2042" s="7"/>
      <c r="B2042" s="7" t="s">
        <v>1516</v>
      </c>
      <c r="C2042" s="7" t="s">
        <v>2337</v>
      </c>
      <c r="D2042" s="7" t="s">
        <v>4816</v>
      </c>
      <c r="E2042" s="7" t="s">
        <v>144</v>
      </c>
      <c r="F2042" s="7" t="s">
        <v>119</v>
      </c>
      <c r="G2042" s="7" t="s">
        <v>99</v>
      </c>
      <c r="H2042" s="7" t="n">
        <v>3</v>
      </c>
      <c r="I2042" s="7" t="n">
        <v>280</v>
      </c>
      <c r="J2042" s="7" t="n">
        <v>150</v>
      </c>
      <c r="K2042" s="7" t="s">
        <v>103</v>
      </c>
      <c r="L2042" s="7" t="s">
        <v>238</v>
      </c>
      <c r="M2042" s="7"/>
      <c r="N2042" s="7"/>
      <c r="O2042" s="7" t="str">
        <f aca="false">A2042&amp;"|"&amp;B2042&amp;"|"&amp;C2042&amp;"|"&amp;D2042&amp;"|"&amp;E2042&amp;"|"&amp;F2042&amp;"|"&amp;G2042&amp;"|"&amp;H2042&amp;"|"&amp;I2042&amp;"|"&amp;J2042&amp;"|"&amp;K2042&amp;"|"&amp;L2042&amp;"|"&amp;M2042&amp;"|"&amp;N2042</f>
        <v>|2025-07-31|18:29|C1047|Hyderabad Dum Biryani|Hyderabad|Biryani|3|280|150|Debit Card|Cancelled||</v>
      </c>
      <c r="P2042" s="7" t="str">
        <f aca="false">IF(COUNTIF($O$2:O2042,O2042)&gt;1,"DUP","OK")</f>
        <v>OK</v>
      </c>
      <c r="Q2042" s="7" t="n">
        <f aca="false">COUNTBLANK(A2042:N2042)</f>
        <v>3</v>
      </c>
      <c r="R2042" s="7" t="n">
        <f aca="false">IF(A2042="",0,COUNTIFS($A$2:$A$3058,A2042,$P$2:$P$3058,"OK"))</f>
        <v>0</v>
      </c>
      <c r="S2042" s="7" t="str">
        <f aca="false">IF(OR(A2042="",P2042="DUP",R2042&lt;2),"",IF(Q2042=_xlfn.MINIFS($Q$2:$Q$3058,$A$2:$A$3058,A2042,$P$2:$P$3058,"OK"),"KEEP","DROP"))</f>
        <v/>
      </c>
      <c r="T2042" s="9" t="n">
        <f aca="false">IF(A2042="",1,0)</f>
        <v>1</v>
      </c>
      <c r="U2042" s="9" t="n">
        <f aca="false">IF(D2042="",1,0)</f>
        <v>0</v>
      </c>
      <c r="V2042" s="9" t="n">
        <f aca="false">IF(E2042="",1,0)</f>
        <v>0</v>
      </c>
      <c r="W2042" s="9" t="n">
        <f aca="false">IF(OR(H2042&lt;1,H2042&gt;10),1,0)</f>
        <v>0</v>
      </c>
      <c r="X2042" s="9" t="n">
        <f aca="false">IF(OR(I2042&lt;=0,I2042&gt;1500),1,0)</f>
        <v>0</v>
      </c>
      <c r="Y2042" s="9" t="n">
        <f aca="false">IF(J2042&gt;H2042*I2042,1,0)</f>
        <v>0</v>
      </c>
      <c r="Z2042" s="9" t="n">
        <f aca="false">IF(AND(N2042&lt;&gt;"",OR(N2042&lt;1,N2042&gt;5)),1,0)</f>
        <v>0</v>
      </c>
      <c r="AA2042" s="9" t="n">
        <f aca="false">IF(AND(M2042&lt;&gt;"",OR(M2042&lt;5,M2042&gt;180)),1,0)</f>
        <v>0</v>
      </c>
      <c r="AB2042" s="7" t="str">
        <f aca="false">IF(P2042="DUP","Exact duplicate row",IF(T2042=1,"Missing Order ID",IF(S2042="DROP","Duplicate Order ID (less complete row)",IF(U2042=1,"Missing Customer ID",IF(V2042=1,"Missing Restaurant name",IF(W2042=1,"Invalid/outlier quantity",IF(X2042=1,"Invalid/outlier unit price",IF(Y2042=1,"Discount greater than order value",""))))))))</f>
        <v>Missing Order ID</v>
      </c>
      <c r="AC2042" s="7" t="str">
        <f aca="false">IF(AB2042="","KEEP","DROP")</f>
        <v>DROP</v>
      </c>
      <c r="AD2042" s="7" t="str">
        <f aca="false">IF(TRIM(F2042)="",IFERROR(INDEX(Map_Tables!$I$4:$I$37,MATCH(TRIM(E2042),Map_Tables!$G$4:$G$37,0)),""),IFERROR(INDEX(Map_Tables!$B$4:$B$18,MATCH(TRIM(F2042),Map_Tables!$A$4:$A$18,0)),"CHECK"))</f>
        <v>Hyderabad</v>
      </c>
      <c r="AE2042" s="7" t="str">
        <f aca="false">IF(TRIM(E2042)="","",IFERROR(INDEX(Map_Tables!$H$4:$H$37,MATCH(TRIM(E2042),Map_Tables!$G$4:$G$37,0)),"CHECK"))</f>
        <v>Hyderabad Dum Biryani</v>
      </c>
      <c r="AF2042" s="7" t="str">
        <f aca="false">IF(TRIM(K2042)="","Unknown",IFERROR(INDEX(Map_Tables!$E$4:$E$15,MATCH(TRIM(K2042),Map_Tables!$D$4:$D$15,0)),"CHECK"))</f>
        <v>Debit Card</v>
      </c>
      <c r="AG2042" s="7" t="str">
        <f aca="false">IF(LEFT(LOWER(TRIM(L2042)),6)="cancel","Cancelled","Delivered")</f>
        <v>Cancelled</v>
      </c>
      <c r="AH2042" s="10" t="n">
        <f aca="false">IF(ISNUMBER(SEARCH("/",B2042)),DATE(VALUE(RIGHT(B2042,4)),VALUE(MID(B2042,4,2)),VALUE(LEFT(B2042,2))),IF(MID(B2042,5,1)="-",DATE(VALUE(LEFT(B2042,4)),VALUE(MID(B2042,6,2)),VALUE(RIGHT(B2042,2))),DATE(VALUE(RIGHT(B2042,4)),MATCH(MID(B2042,4,3),{"Jan","Feb","Mar","Apr","May","Jun","Jul","Aug","Sep","Oct","Nov","Dec"},0),VALUE(LEFT(B2042,2)))))</f>
        <v>45869</v>
      </c>
    </row>
    <row r="2043" customFormat="false" ht="15" hidden="false" customHeight="false" outlineLevel="0" collapsed="false">
      <c r="A2043" s="7" t="s">
        <v>4817</v>
      </c>
      <c r="B2043" s="7" t="s">
        <v>1835</v>
      </c>
      <c r="C2043" s="7" t="s">
        <v>3300</v>
      </c>
      <c r="D2043" s="7" t="s">
        <v>4818</v>
      </c>
      <c r="E2043" s="7" t="s">
        <v>162</v>
      </c>
      <c r="F2043" s="7" t="s">
        <v>141</v>
      </c>
      <c r="G2043" s="7" t="s">
        <v>117</v>
      </c>
      <c r="H2043" s="7" t="n">
        <v>2</v>
      </c>
      <c r="I2043" s="7" t="n">
        <v>100</v>
      </c>
      <c r="J2043" s="7" t="n">
        <v>0</v>
      </c>
      <c r="K2043" s="7" t="s">
        <v>88</v>
      </c>
      <c r="L2043" s="7" t="s">
        <v>194</v>
      </c>
      <c r="M2043" s="7" t="n">
        <v>36</v>
      </c>
      <c r="N2043" s="7" t="n">
        <v>5</v>
      </c>
      <c r="O2043" s="7" t="str">
        <f aca="false">A2043&amp;"|"&amp;B2043&amp;"|"&amp;C2043&amp;"|"&amp;D2043&amp;"|"&amp;E2043&amp;"|"&amp;F2043&amp;"|"&amp;G2043&amp;"|"&amp;H2043&amp;"|"&amp;I2043&amp;"|"&amp;J2043&amp;"|"&amp;K2043&amp;"|"&amp;L2043&amp;"|"&amp;M2043&amp;"|"&amp;N2043</f>
        <v>ORD12287|2025-10-16|18:25|C0029|Kolkata Roll Centre|Kolkata|Street Food|2|100|0|UPI|Delivered|36|5</v>
      </c>
      <c r="P2043" s="7" t="str">
        <f aca="false">IF(COUNTIF($O$2:O2043,O2043)&gt;1,"DUP","OK")</f>
        <v>OK</v>
      </c>
      <c r="Q2043" s="7" t="n">
        <f aca="false">COUNTBLANK(A2043:N2043)</f>
        <v>0</v>
      </c>
      <c r="R2043" s="7" t="n">
        <f aca="false">IF(A2043="",0,COUNTIFS($A$2:$A$3058,A2043,$P$2:$P$3058,"OK"))</f>
        <v>1</v>
      </c>
      <c r="S2043" s="7" t="str">
        <f aca="false">IF(OR(A2043="",P2043="DUP",R2043&lt;2),"",IF(Q2043=_xlfn.MINIFS($Q$2:$Q$3058,$A$2:$A$3058,A2043,$P$2:$P$3058,"OK"),"KEEP","DROP"))</f>
        <v/>
      </c>
      <c r="T2043" s="9" t="n">
        <f aca="false">IF(A2043="",1,0)</f>
        <v>0</v>
      </c>
      <c r="U2043" s="9" t="n">
        <f aca="false">IF(D2043="",1,0)</f>
        <v>0</v>
      </c>
      <c r="V2043" s="9" t="n">
        <f aca="false">IF(E2043="",1,0)</f>
        <v>0</v>
      </c>
      <c r="W2043" s="9" t="n">
        <f aca="false">IF(OR(H2043&lt;1,H2043&gt;10),1,0)</f>
        <v>0</v>
      </c>
      <c r="X2043" s="9" t="n">
        <f aca="false">IF(OR(I2043&lt;=0,I2043&gt;1500),1,0)</f>
        <v>0</v>
      </c>
      <c r="Y2043" s="9" t="n">
        <f aca="false">IF(J2043&gt;H2043*I2043,1,0)</f>
        <v>0</v>
      </c>
      <c r="Z2043" s="9" t="n">
        <f aca="false">IF(AND(N2043&lt;&gt;"",OR(N2043&lt;1,N2043&gt;5)),1,0)</f>
        <v>0</v>
      </c>
      <c r="AA2043" s="9" t="n">
        <f aca="false">IF(AND(M2043&lt;&gt;"",OR(M2043&lt;5,M2043&gt;180)),1,0)</f>
        <v>0</v>
      </c>
      <c r="AB2043" s="7" t="str">
        <f aca="false">IF(P2043="DUP","Exact duplicate row",IF(T2043=1,"Missing Order ID",IF(S2043="DROP","Duplicate Order ID (less complete row)",IF(U2043=1,"Missing Customer ID",IF(V2043=1,"Missing Restaurant name",IF(W2043=1,"Invalid/outlier quantity",IF(X2043=1,"Invalid/outlier unit price",IF(Y2043=1,"Discount greater than order value",""))))))))</f>
        <v/>
      </c>
      <c r="AC2043" s="7" t="str">
        <f aca="false">IF(AB2043="","KEEP","DROP")</f>
        <v>KEEP</v>
      </c>
      <c r="AD2043" s="7" t="str">
        <f aca="false">IF(TRIM(F2043)="",IFERROR(INDEX(Map_Tables!$I$4:$I$37,MATCH(TRIM(E2043),Map_Tables!$G$4:$G$37,0)),""),IFERROR(INDEX(Map_Tables!$B$4:$B$18,MATCH(TRIM(F2043),Map_Tables!$A$4:$A$18,0)),"CHECK"))</f>
        <v>Kolkata</v>
      </c>
      <c r="AE2043" s="7" t="str">
        <f aca="false">IF(TRIM(E2043)="","",IFERROR(INDEX(Map_Tables!$H$4:$H$37,MATCH(TRIM(E2043),Map_Tables!$G$4:$G$37,0)),"CHECK"))</f>
        <v>Kolkata Roll Centre</v>
      </c>
      <c r="AF2043" s="7" t="str">
        <f aca="false">IF(TRIM(K2043)="","Unknown",IFERROR(INDEX(Map_Tables!$E$4:$E$15,MATCH(TRIM(K2043),Map_Tables!$D$4:$D$15,0)),"CHECK"))</f>
        <v>UPI</v>
      </c>
      <c r="AG2043" s="7" t="str">
        <f aca="false">IF(LEFT(LOWER(TRIM(L2043)),6)="cancel","Cancelled","Delivered")</f>
        <v>Delivered</v>
      </c>
      <c r="AH2043" s="10" t="n">
        <f aca="false">IF(ISNUMBER(SEARCH("/",B2043)),DATE(VALUE(RIGHT(B2043,4)),VALUE(MID(B2043,4,2)),VALUE(LEFT(B2043,2))),IF(MID(B2043,5,1)="-",DATE(VALUE(LEFT(B2043,4)),VALUE(MID(B2043,6,2)),VALUE(RIGHT(B2043,2))),DATE(VALUE(RIGHT(B2043,4)),MATCH(MID(B2043,4,3),{"Jan","Feb","Mar","Apr","May","Jun","Jul","Aug","Sep","Oct","Nov","Dec"},0),VALUE(LEFT(B2043,2)))))</f>
        <v>45946</v>
      </c>
    </row>
    <row r="2044" customFormat="false" ht="15" hidden="false" customHeight="false" outlineLevel="0" collapsed="false">
      <c r="A2044" s="7" t="s">
        <v>4819</v>
      </c>
      <c r="B2044" s="7" t="s">
        <v>2041</v>
      </c>
      <c r="C2044" s="7" t="s">
        <v>1737</v>
      </c>
      <c r="D2044" s="7" t="s">
        <v>1493</v>
      </c>
      <c r="E2044" s="7" t="s">
        <v>1862</v>
      </c>
      <c r="F2044" s="7" t="s">
        <v>86</v>
      </c>
      <c r="G2044" s="7" t="s">
        <v>90</v>
      </c>
      <c r="H2044" s="7" t="n">
        <v>3</v>
      </c>
      <c r="I2044" s="7" t="n">
        <v>230</v>
      </c>
      <c r="J2044" s="7" t="n">
        <v>20</v>
      </c>
      <c r="K2044" s="7" t="s">
        <v>112</v>
      </c>
      <c r="L2044" s="7" t="s">
        <v>194</v>
      </c>
      <c r="M2044" s="7" t="n">
        <v>45</v>
      </c>
      <c r="N2044" s="7" t="n">
        <v>5</v>
      </c>
      <c r="O2044" s="7" t="str">
        <f aca="false">A2044&amp;"|"&amp;B2044&amp;"|"&amp;C2044&amp;"|"&amp;D2044&amp;"|"&amp;E2044&amp;"|"&amp;F2044&amp;"|"&amp;G2044&amp;"|"&amp;H2044&amp;"|"&amp;I2044&amp;"|"&amp;J2044&amp;"|"&amp;K2044&amp;"|"&amp;L2044&amp;"|"&amp;M2044&amp;"|"&amp;N2044</f>
        <v>ORD11757|2025-08-18|19:27|C0300|Spice Junction |Bengaluru|North Indian|3|230|20|Cash on Delivery|Delivered|45|5</v>
      </c>
      <c r="P2044" s="7" t="str">
        <f aca="false">IF(COUNTIF($O$2:O2044,O2044)&gt;1,"DUP","OK")</f>
        <v>OK</v>
      </c>
      <c r="Q2044" s="7" t="n">
        <f aca="false">COUNTBLANK(A2044:N2044)</f>
        <v>0</v>
      </c>
      <c r="R2044" s="7" t="n">
        <f aca="false">IF(A2044="",0,COUNTIFS($A$2:$A$3058,A2044,$P$2:$P$3058,"OK"))</f>
        <v>1</v>
      </c>
      <c r="S2044" s="7" t="str">
        <f aca="false">IF(OR(A2044="",P2044="DUP",R2044&lt;2),"",IF(Q2044=_xlfn.MINIFS($Q$2:$Q$3058,$A$2:$A$3058,A2044,$P$2:$P$3058,"OK"),"KEEP","DROP"))</f>
        <v/>
      </c>
      <c r="T2044" s="9" t="n">
        <f aca="false">IF(A2044="",1,0)</f>
        <v>0</v>
      </c>
      <c r="U2044" s="9" t="n">
        <f aca="false">IF(D2044="",1,0)</f>
        <v>0</v>
      </c>
      <c r="V2044" s="9" t="n">
        <f aca="false">IF(E2044="",1,0)</f>
        <v>0</v>
      </c>
      <c r="W2044" s="9" t="n">
        <f aca="false">IF(OR(H2044&lt;1,H2044&gt;10),1,0)</f>
        <v>0</v>
      </c>
      <c r="X2044" s="9" t="n">
        <f aca="false">IF(OR(I2044&lt;=0,I2044&gt;1500),1,0)</f>
        <v>0</v>
      </c>
      <c r="Y2044" s="9" t="n">
        <f aca="false">IF(J2044&gt;H2044*I2044,1,0)</f>
        <v>0</v>
      </c>
      <c r="Z2044" s="9" t="n">
        <f aca="false">IF(AND(N2044&lt;&gt;"",OR(N2044&lt;1,N2044&gt;5)),1,0)</f>
        <v>0</v>
      </c>
      <c r="AA2044" s="9" t="n">
        <f aca="false">IF(AND(M2044&lt;&gt;"",OR(M2044&lt;5,M2044&gt;180)),1,0)</f>
        <v>0</v>
      </c>
      <c r="AB2044" s="7" t="str">
        <f aca="false">IF(P2044="DUP","Exact duplicate row",IF(T2044=1,"Missing Order ID",IF(S2044="DROP","Duplicate Order ID (less complete row)",IF(U2044=1,"Missing Customer ID",IF(V2044=1,"Missing Restaurant name",IF(W2044=1,"Invalid/outlier quantity",IF(X2044=1,"Invalid/outlier unit price",IF(Y2044=1,"Discount greater than order value",""))))))))</f>
        <v/>
      </c>
      <c r="AC2044" s="7" t="str">
        <f aca="false">IF(AB2044="","KEEP","DROP")</f>
        <v>KEEP</v>
      </c>
      <c r="AD2044" s="7" t="str">
        <f aca="false">IF(TRIM(F2044)="",IFERROR(INDEX(Map_Tables!$I$4:$I$37,MATCH(TRIM(E2044),Map_Tables!$G$4:$G$37,0)),""),IFERROR(INDEX(Map_Tables!$B$4:$B$18,MATCH(TRIM(F2044),Map_Tables!$A$4:$A$18,0)),"CHECK"))</f>
        <v>Bengaluru</v>
      </c>
      <c r="AE2044" s="7" t="str">
        <f aca="false">IF(TRIM(E2044)="","",IFERROR(INDEX(Map_Tables!$H$4:$H$37,MATCH(TRIM(E2044),Map_Tables!$G$4:$G$37,0)),"CHECK"))</f>
        <v>Spice Junction</v>
      </c>
      <c r="AF2044" s="7" t="str">
        <f aca="false">IF(TRIM(K2044)="","Unknown",IFERROR(INDEX(Map_Tables!$E$4:$E$15,MATCH(TRIM(K2044),Map_Tables!$D$4:$D$15,0)),"CHECK"))</f>
        <v>Cash on Delivery</v>
      </c>
      <c r="AG2044" s="7" t="str">
        <f aca="false">IF(LEFT(LOWER(TRIM(L2044)),6)="cancel","Cancelled","Delivered")</f>
        <v>Delivered</v>
      </c>
      <c r="AH2044" s="10" t="n">
        <f aca="false">IF(ISNUMBER(SEARCH("/",B2044)),DATE(VALUE(RIGHT(B2044,4)),VALUE(MID(B2044,4,2)),VALUE(LEFT(B2044,2))),IF(MID(B2044,5,1)="-",DATE(VALUE(LEFT(B2044,4)),VALUE(MID(B2044,6,2)),VALUE(RIGHT(B2044,2))),DATE(VALUE(RIGHT(B2044,4)),MATCH(MID(B2044,4,3),{"Jan","Feb","Mar","Apr","May","Jun","Jul","Aug","Sep","Oct","Nov","Dec"},0),VALUE(LEFT(B2044,2)))))</f>
        <v>45887</v>
      </c>
    </row>
    <row r="2045" customFormat="false" ht="15" hidden="false" customHeight="false" outlineLevel="0" collapsed="false">
      <c r="A2045" s="7" t="s">
        <v>4820</v>
      </c>
      <c r="B2045" s="7" t="s">
        <v>4821</v>
      </c>
      <c r="C2045" s="7" t="s">
        <v>1301</v>
      </c>
      <c r="D2045" s="7" t="s">
        <v>940</v>
      </c>
      <c r="E2045" s="7" t="s">
        <v>158</v>
      </c>
      <c r="F2045" s="7" t="s">
        <v>136</v>
      </c>
      <c r="G2045" s="7" t="s">
        <v>139</v>
      </c>
      <c r="H2045" s="7" t="n">
        <v>2</v>
      </c>
      <c r="I2045" s="7" t="n">
        <v>215</v>
      </c>
      <c r="J2045" s="7" t="n">
        <v>0</v>
      </c>
      <c r="K2045" s="7" t="s">
        <v>112</v>
      </c>
      <c r="L2045" s="7" t="s">
        <v>194</v>
      </c>
      <c r="M2045" s="7" t="n">
        <v>38</v>
      </c>
      <c r="N2045" s="7" t="n">
        <v>5</v>
      </c>
      <c r="O2045" s="7" t="str">
        <f aca="false">A2045&amp;"|"&amp;B2045&amp;"|"&amp;C2045&amp;"|"&amp;D2045&amp;"|"&amp;E2045&amp;"|"&amp;F2045&amp;"|"&amp;G2045&amp;"|"&amp;H2045&amp;"|"&amp;I2045&amp;"|"&amp;J2045&amp;"|"&amp;K2045&amp;"|"&amp;L2045&amp;"|"&amp;M2045&amp;"|"&amp;N2045</f>
        <v>ORD12507|10/11/2025|20:27|C0305|Pune Burger Hub|Pune|Burgers|2|215|0|Cash on Delivery|Delivered|38|5</v>
      </c>
      <c r="P2045" s="7" t="str">
        <f aca="false">IF(COUNTIF($O$2:O2045,O2045)&gt;1,"DUP","OK")</f>
        <v>OK</v>
      </c>
      <c r="Q2045" s="7" t="n">
        <f aca="false">COUNTBLANK(A2045:N2045)</f>
        <v>0</v>
      </c>
      <c r="R2045" s="7" t="n">
        <f aca="false">IF(A2045="",0,COUNTIFS($A$2:$A$3058,A2045,$P$2:$P$3058,"OK"))</f>
        <v>1</v>
      </c>
      <c r="S2045" s="7" t="str">
        <f aca="false">IF(OR(A2045="",P2045="DUP",R2045&lt;2),"",IF(Q2045=_xlfn.MINIFS($Q$2:$Q$3058,$A$2:$A$3058,A2045,$P$2:$P$3058,"OK"),"KEEP","DROP"))</f>
        <v/>
      </c>
      <c r="T2045" s="9" t="n">
        <f aca="false">IF(A2045="",1,0)</f>
        <v>0</v>
      </c>
      <c r="U2045" s="9" t="n">
        <f aca="false">IF(D2045="",1,0)</f>
        <v>0</v>
      </c>
      <c r="V2045" s="9" t="n">
        <f aca="false">IF(E2045="",1,0)</f>
        <v>0</v>
      </c>
      <c r="W2045" s="9" t="n">
        <f aca="false">IF(OR(H2045&lt;1,H2045&gt;10),1,0)</f>
        <v>0</v>
      </c>
      <c r="X2045" s="9" t="n">
        <f aca="false">IF(OR(I2045&lt;=0,I2045&gt;1500),1,0)</f>
        <v>0</v>
      </c>
      <c r="Y2045" s="9" t="n">
        <f aca="false">IF(J2045&gt;H2045*I2045,1,0)</f>
        <v>0</v>
      </c>
      <c r="Z2045" s="9" t="n">
        <f aca="false">IF(AND(N2045&lt;&gt;"",OR(N2045&lt;1,N2045&gt;5)),1,0)</f>
        <v>0</v>
      </c>
      <c r="AA2045" s="9" t="n">
        <f aca="false">IF(AND(M2045&lt;&gt;"",OR(M2045&lt;5,M2045&gt;180)),1,0)</f>
        <v>0</v>
      </c>
      <c r="AB2045" s="7" t="str">
        <f aca="false">IF(P2045="DUP","Exact duplicate row",IF(T2045=1,"Missing Order ID",IF(S2045="DROP","Duplicate Order ID (less complete row)",IF(U2045=1,"Missing Customer ID",IF(V2045=1,"Missing Restaurant name",IF(W2045=1,"Invalid/outlier quantity",IF(X2045=1,"Invalid/outlier unit price",IF(Y2045=1,"Discount greater than order value",""))))))))</f>
        <v/>
      </c>
      <c r="AC2045" s="7" t="str">
        <f aca="false">IF(AB2045="","KEEP","DROP")</f>
        <v>KEEP</v>
      </c>
      <c r="AD2045" s="7" t="str">
        <f aca="false">IF(TRIM(F2045)="",IFERROR(INDEX(Map_Tables!$I$4:$I$37,MATCH(TRIM(E2045),Map_Tables!$G$4:$G$37,0)),""),IFERROR(INDEX(Map_Tables!$B$4:$B$18,MATCH(TRIM(F2045),Map_Tables!$A$4:$A$18,0)),"CHECK"))</f>
        <v>Pune</v>
      </c>
      <c r="AE2045" s="7" t="str">
        <f aca="false">IF(TRIM(E2045)="","",IFERROR(INDEX(Map_Tables!$H$4:$H$37,MATCH(TRIM(E2045),Map_Tables!$G$4:$G$37,0)),"CHECK"))</f>
        <v>Pune Burger Hub</v>
      </c>
      <c r="AF2045" s="7" t="str">
        <f aca="false">IF(TRIM(K2045)="","Unknown",IFERROR(INDEX(Map_Tables!$E$4:$E$15,MATCH(TRIM(K2045),Map_Tables!$D$4:$D$15,0)),"CHECK"))</f>
        <v>Cash on Delivery</v>
      </c>
      <c r="AG2045" s="7" t="str">
        <f aca="false">IF(LEFT(LOWER(TRIM(L2045)),6)="cancel","Cancelled","Delivered")</f>
        <v>Delivered</v>
      </c>
      <c r="AH2045" s="10" t="n">
        <f aca="false">IF(ISNUMBER(SEARCH("/",B2045)),DATE(VALUE(RIGHT(B2045,4)),VALUE(MID(B2045,4,2)),VALUE(LEFT(B2045,2))),IF(MID(B2045,5,1)="-",DATE(VALUE(LEFT(B2045,4)),VALUE(MID(B2045,6,2)),VALUE(RIGHT(B2045,2))),DATE(VALUE(RIGHT(B2045,4)),MATCH(MID(B2045,4,3),{"Jan","Feb","Mar","Apr","May","Jun","Jul","Aug","Sep","Oct","Nov","Dec"},0),VALUE(LEFT(B2045,2)))))</f>
        <v>45971</v>
      </c>
    </row>
    <row r="2046" customFormat="false" ht="15" hidden="false" customHeight="false" outlineLevel="0" collapsed="false">
      <c r="A2046" s="7" t="s">
        <v>4822</v>
      </c>
      <c r="B2046" s="7" t="s">
        <v>355</v>
      </c>
      <c r="C2046" s="7" t="s">
        <v>683</v>
      </c>
      <c r="D2046" s="7" t="s">
        <v>4823</v>
      </c>
      <c r="E2046" s="7" t="s">
        <v>98</v>
      </c>
      <c r="F2046" s="7" t="s">
        <v>86</v>
      </c>
      <c r="G2046" s="7" t="s">
        <v>99</v>
      </c>
      <c r="H2046" s="7" t="n">
        <v>1</v>
      </c>
      <c r="I2046" s="7" t="n">
        <v>230</v>
      </c>
      <c r="J2046" s="7" t="n">
        <v>0</v>
      </c>
      <c r="K2046" s="7" t="s">
        <v>93</v>
      </c>
      <c r="L2046" s="7" t="s">
        <v>194</v>
      </c>
      <c r="M2046" s="7" t="n">
        <v>41</v>
      </c>
      <c r="N2046" s="7" t="n">
        <v>3</v>
      </c>
      <c r="O2046" s="7" t="str">
        <f aca="false">A2046&amp;"|"&amp;B2046&amp;"|"&amp;C2046&amp;"|"&amp;D2046&amp;"|"&amp;E2046&amp;"|"&amp;F2046&amp;"|"&amp;G2046&amp;"|"&amp;H2046&amp;"|"&amp;I2046&amp;"|"&amp;J2046&amp;"|"&amp;K2046&amp;"|"&amp;L2046&amp;"|"&amp;M2046&amp;"|"&amp;N2046</f>
        <v>ORD11150|2025-05-27|10:57|C0658|Nawabi Biryani House|Bengaluru|Biryani|1|230|0|Credit Card|Delivered|41|3</v>
      </c>
      <c r="P2046" s="7" t="str">
        <f aca="false">IF(COUNTIF($O$2:O2046,O2046)&gt;1,"DUP","OK")</f>
        <v>OK</v>
      </c>
      <c r="Q2046" s="7" t="n">
        <f aca="false">COUNTBLANK(A2046:N2046)</f>
        <v>0</v>
      </c>
      <c r="R2046" s="7" t="n">
        <f aca="false">IF(A2046="",0,COUNTIFS($A$2:$A$3058,A2046,$P$2:$P$3058,"OK"))</f>
        <v>1</v>
      </c>
      <c r="S2046" s="7" t="str">
        <f aca="false">IF(OR(A2046="",P2046="DUP",R2046&lt;2),"",IF(Q2046=_xlfn.MINIFS($Q$2:$Q$3058,$A$2:$A$3058,A2046,$P$2:$P$3058,"OK"),"KEEP","DROP"))</f>
        <v/>
      </c>
      <c r="T2046" s="9" t="n">
        <f aca="false">IF(A2046="",1,0)</f>
        <v>0</v>
      </c>
      <c r="U2046" s="9" t="n">
        <f aca="false">IF(D2046="",1,0)</f>
        <v>0</v>
      </c>
      <c r="V2046" s="9" t="n">
        <f aca="false">IF(E2046="",1,0)</f>
        <v>0</v>
      </c>
      <c r="W2046" s="9" t="n">
        <f aca="false">IF(OR(H2046&lt;1,H2046&gt;10),1,0)</f>
        <v>0</v>
      </c>
      <c r="X2046" s="9" t="n">
        <f aca="false">IF(OR(I2046&lt;=0,I2046&gt;1500),1,0)</f>
        <v>0</v>
      </c>
      <c r="Y2046" s="9" t="n">
        <f aca="false">IF(J2046&gt;H2046*I2046,1,0)</f>
        <v>0</v>
      </c>
      <c r="Z2046" s="9" t="n">
        <f aca="false">IF(AND(N2046&lt;&gt;"",OR(N2046&lt;1,N2046&gt;5)),1,0)</f>
        <v>0</v>
      </c>
      <c r="AA2046" s="9" t="n">
        <f aca="false">IF(AND(M2046&lt;&gt;"",OR(M2046&lt;5,M2046&gt;180)),1,0)</f>
        <v>0</v>
      </c>
      <c r="AB2046" s="7" t="str">
        <f aca="false">IF(P2046="DUP","Exact duplicate row",IF(T2046=1,"Missing Order ID",IF(S2046="DROP","Duplicate Order ID (less complete row)",IF(U2046=1,"Missing Customer ID",IF(V2046=1,"Missing Restaurant name",IF(W2046=1,"Invalid/outlier quantity",IF(X2046=1,"Invalid/outlier unit price",IF(Y2046=1,"Discount greater than order value",""))))))))</f>
        <v/>
      </c>
      <c r="AC2046" s="7" t="str">
        <f aca="false">IF(AB2046="","KEEP","DROP")</f>
        <v>KEEP</v>
      </c>
      <c r="AD2046" s="7" t="str">
        <f aca="false">IF(TRIM(F2046)="",IFERROR(INDEX(Map_Tables!$I$4:$I$37,MATCH(TRIM(E2046),Map_Tables!$G$4:$G$37,0)),""),IFERROR(INDEX(Map_Tables!$B$4:$B$18,MATCH(TRIM(F2046),Map_Tables!$A$4:$A$18,0)),"CHECK"))</f>
        <v>Bengaluru</v>
      </c>
      <c r="AE2046" s="7" t="str">
        <f aca="false">IF(TRIM(E2046)="","",IFERROR(INDEX(Map_Tables!$H$4:$H$37,MATCH(TRIM(E2046),Map_Tables!$G$4:$G$37,0)),"CHECK"))</f>
        <v>Nawabi Biryani House</v>
      </c>
      <c r="AF2046" s="7" t="str">
        <f aca="false">IF(TRIM(K2046)="","Unknown",IFERROR(INDEX(Map_Tables!$E$4:$E$15,MATCH(TRIM(K2046),Map_Tables!$D$4:$D$15,0)),"CHECK"))</f>
        <v>Credit Card</v>
      </c>
      <c r="AG2046" s="7" t="str">
        <f aca="false">IF(LEFT(LOWER(TRIM(L2046)),6)="cancel","Cancelled","Delivered")</f>
        <v>Delivered</v>
      </c>
      <c r="AH2046" s="10" t="n">
        <f aca="false">IF(ISNUMBER(SEARCH("/",B2046)),DATE(VALUE(RIGHT(B2046,4)),VALUE(MID(B2046,4,2)),VALUE(LEFT(B2046,2))),IF(MID(B2046,5,1)="-",DATE(VALUE(LEFT(B2046,4)),VALUE(MID(B2046,6,2)),VALUE(RIGHT(B2046,2))),DATE(VALUE(RIGHT(B2046,4)),MATCH(MID(B2046,4,3),{"Jan","Feb","Mar","Apr","May","Jun","Jul","Aug","Sep","Oct","Nov","Dec"},0),VALUE(LEFT(B2046,2)))))</f>
        <v>45804</v>
      </c>
    </row>
    <row r="2047" customFormat="false" ht="15" hidden="false" customHeight="false" outlineLevel="0" collapsed="false">
      <c r="A2047" s="7" t="s">
        <v>4824</v>
      </c>
      <c r="B2047" s="7" t="s">
        <v>2479</v>
      </c>
      <c r="C2047" s="7" t="s">
        <v>1805</v>
      </c>
      <c r="D2047" s="7" t="s">
        <v>1257</v>
      </c>
      <c r="E2047" s="7" t="s">
        <v>104</v>
      </c>
      <c r="F2047" s="7" t="s">
        <v>86</v>
      </c>
      <c r="G2047" s="7" t="s">
        <v>105</v>
      </c>
      <c r="H2047" s="7" t="n">
        <v>3</v>
      </c>
      <c r="I2047" s="7" t="n">
        <v>240</v>
      </c>
      <c r="J2047" s="7" t="n">
        <v>0</v>
      </c>
      <c r="K2047" s="7" t="s">
        <v>229</v>
      </c>
      <c r="L2047" s="7" t="s">
        <v>194</v>
      </c>
      <c r="M2047" s="7" t="n">
        <v>44</v>
      </c>
      <c r="N2047" s="7" t="n">
        <v>4</v>
      </c>
      <c r="O2047" s="7" t="str">
        <f aca="false">A2047&amp;"|"&amp;B2047&amp;"|"&amp;C2047&amp;"|"&amp;D2047&amp;"|"&amp;E2047&amp;"|"&amp;F2047&amp;"|"&amp;G2047&amp;"|"&amp;H2047&amp;"|"&amp;I2047&amp;"|"&amp;J2047&amp;"|"&amp;K2047&amp;"|"&amp;L2047&amp;"|"&amp;M2047&amp;"|"&amp;N2047</f>
        <v>ORD12472|2025-11-06|19:30|C0909|Wok &amp; Roll|Bengaluru|Chinese|3|240|0|Upi|Delivered|44|4</v>
      </c>
      <c r="P2047" s="7" t="str">
        <f aca="false">IF(COUNTIF($O$2:O2047,O2047)&gt;1,"DUP","OK")</f>
        <v>OK</v>
      </c>
      <c r="Q2047" s="7" t="n">
        <f aca="false">COUNTBLANK(A2047:N2047)</f>
        <v>0</v>
      </c>
      <c r="R2047" s="7" t="n">
        <f aca="false">IF(A2047="",0,COUNTIFS($A$2:$A$3058,A2047,$P$2:$P$3058,"OK"))</f>
        <v>1</v>
      </c>
      <c r="S2047" s="7" t="str">
        <f aca="false">IF(OR(A2047="",P2047="DUP",R2047&lt;2),"",IF(Q2047=_xlfn.MINIFS($Q$2:$Q$3058,$A$2:$A$3058,A2047,$P$2:$P$3058,"OK"),"KEEP","DROP"))</f>
        <v/>
      </c>
      <c r="T2047" s="9" t="n">
        <f aca="false">IF(A2047="",1,0)</f>
        <v>0</v>
      </c>
      <c r="U2047" s="9" t="n">
        <f aca="false">IF(D2047="",1,0)</f>
        <v>0</v>
      </c>
      <c r="V2047" s="9" t="n">
        <f aca="false">IF(E2047="",1,0)</f>
        <v>0</v>
      </c>
      <c r="W2047" s="9" t="n">
        <f aca="false">IF(OR(H2047&lt;1,H2047&gt;10),1,0)</f>
        <v>0</v>
      </c>
      <c r="X2047" s="9" t="n">
        <f aca="false">IF(OR(I2047&lt;=0,I2047&gt;1500),1,0)</f>
        <v>0</v>
      </c>
      <c r="Y2047" s="9" t="n">
        <f aca="false">IF(J2047&gt;H2047*I2047,1,0)</f>
        <v>0</v>
      </c>
      <c r="Z2047" s="9" t="n">
        <f aca="false">IF(AND(N2047&lt;&gt;"",OR(N2047&lt;1,N2047&gt;5)),1,0)</f>
        <v>0</v>
      </c>
      <c r="AA2047" s="9" t="n">
        <f aca="false">IF(AND(M2047&lt;&gt;"",OR(M2047&lt;5,M2047&gt;180)),1,0)</f>
        <v>0</v>
      </c>
      <c r="AB2047" s="7" t="str">
        <f aca="false">IF(P2047="DUP","Exact duplicate row",IF(T2047=1,"Missing Order ID",IF(S2047="DROP","Duplicate Order ID (less complete row)",IF(U2047=1,"Missing Customer ID",IF(V2047=1,"Missing Restaurant name",IF(W2047=1,"Invalid/outlier quantity",IF(X2047=1,"Invalid/outlier unit price",IF(Y2047=1,"Discount greater than order value",""))))))))</f>
        <v/>
      </c>
      <c r="AC2047" s="7" t="str">
        <f aca="false">IF(AB2047="","KEEP","DROP")</f>
        <v>KEEP</v>
      </c>
      <c r="AD2047" s="7" t="str">
        <f aca="false">IF(TRIM(F2047)="",IFERROR(INDEX(Map_Tables!$I$4:$I$37,MATCH(TRIM(E2047),Map_Tables!$G$4:$G$37,0)),""),IFERROR(INDEX(Map_Tables!$B$4:$B$18,MATCH(TRIM(F2047),Map_Tables!$A$4:$A$18,0)),"CHECK"))</f>
        <v>Bengaluru</v>
      </c>
      <c r="AE2047" s="7" t="str">
        <f aca="false">IF(TRIM(E2047)="","",IFERROR(INDEX(Map_Tables!$H$4:$H$37,MATCH(TRIM(E2047),Map_Tables!$G$4:$G$37,0)),"CHECK"))</f>
        <v>Wok &amp; Roll</v>
      </c>
      <c r="AF2047" s="7" t="str">
        <f aca="false">IF(TRIM(K2047)="","Unknown",IFERROR(INDEX(Map_Tables!$E$4:$E$15,MATCH(TRIM(K2047),Map_Tables!$D$4:$D$15,0)),"CHECK"))</f>
        <v>UPI</v>
      </c>
      <c r="AG2047" s="7" t="str">
        <f aca="false">IF(LEFT(LOWER(TRIM(L2047)),6)="cancel","Cancelled","Delivered")</f>
        <v>Delivered</v>
      </c>
      <c r="AH2047" s="10" t="n">
        <f aca="false">IF(ISNUMBER(SEARCH("/",B2047)),DATE(VALUE(RIGHT(B2047,4)),VALUE(MID(B2047,4,2)),VALUE(LEFT(B2047,2))),IF(MID(B2047,5,1)="-",DATE(VALUE(LEFT(B2047,4)),VALUE(MID(B2047,6,2)),VALUE(RIGHT(B2047,2))),DATE(VALUE(RIGHT(B2047,4)),MATCH(MID(B2047,4,3),{"Jan","Feb","Mar","Apr","May","Jun","Jul","Aug","Sep","Oct","Nov","Dec"},0),VALUE(LEFT(B2047,2)))))</f>
        <v>45967</v>
      </c>
    </row>
    <row r="2048" customFormat="false" ht="15" hidden="false" customHeight="false" outlineLevel="0" collapsed="false">
      <c r="A2048" s="7" t="s">
        <v>4825</v>
      </c>
      <c r="B2048" s="7" t="s">
        <v>1260</v>
      </c>
      <c r="C2048" s="7" t="s">
        <v>1941</v>
      </c>
      <c r="D2048" s="7" t="s">
        <v>4826</v>
      </c>
      <c r="E2048" s="7" t="s">
        <v>159</v>
      </c>
      <c r="F2048" s="7" t="s">
        <v>136</v>
      </c>
      <c r="G2048" s="7" t="s">
        <v>90</v>
      </c>
      <c r="H2048" s="7" t="n">
        <v>1</v>
      </c>
      <c r="I2048" s="7" t="n">
        <v>280</v>
      </c>
      <c r="J2048" s="7" t="n">
        <v>0</v>
      </c>
      <c r="K2048" s="7" t="s">
        <v>93</v>
      </c>
      <c r="L2048" s="7" t="s">
        <v>194</v>
      </c>
      <c r="M2048" s="7" t="n">
        <v>29</v>
      </c>
      <c r="N2048" s="7" t="n">
        <v>5</v>
      </c>
      <c r="O2048" s="7" t="str">
        <f aca="false">A2048&amp;"|"&amp;B2048&amp;"|"&amp;C2048&amp;"|"&amp;D2048&amp;"|"&amp;E2048&amp;"|"&amp;F2048&amp;"|"&amp;G2048&amp;"|"&amp;H2048&amp;"|"&amp;I2048&amp;"|"&amp;J2048&amp;"|"&amp;K2048&amp;"|"&amp;L2048&amp;"|"&amp;M2048&amp;"|"&amp;N2048</f>
        <v>ORD12367|2025-10-25|21:01|C1373|Maratha Thali House|Pune|North Indian|1|280|0|Credit Card|Delivered|29|5</v>
      </c>
      <c r="P2048" s="7" t="str">
        <f aca="false">IF(COUNTIF($O$2:O2048,O2048)&gt;1,"DUP","OK")</f>
        <v>OK</v>
      </c>
      <c r="Q2048" s="7" t="n">
        <f aca="false">COUNTBLANK(A2048:N2048)</f>
        <v>0</v>
      </c>
      <c r="R2048" s="7" t="n">
        <f aca="false">IF(A2048="",0,COUNTIFS($A$2:$A$3058,A2048,$P$2:$P$3058,"OK"))</f>
        <v>1</v>
      </c>
      <c r="S2048" s="7" t="str">
        <f aca="false">IF(OR(A2048="",P2048="DUP",R2048&lt;2),"",IF(Q2048=_xlfn.MINIFS($Q$2:$Q$3058,$A$2:$A$3058,A2048,$P$2:$P$3058,"OK"),"KEEP","DROP"))</f>
        <v/>
      </c>
      <c r="T2048" s="9" t="n">
        <f aca="false">IF(A2048="",1,0)</f>
        <v>0</v>
      </c>
      <c r="U2048" s="9" t="n">
        <f aca="false">IF(D2048="",1,0)</f>
        <v>0</v>
      </c>
      <c r="V2048" s="9" t="n">
        <f aca="false">IF(E2048="",1,0)</f>
        <v>0</v>
      </c>
      <c r="W2048" s="9" t="n">
        <f aca="false">IF(OR(H2048&lt;1,H2048&gt;10),1,0)</f>
        <v>0</v>
      </c>
      <c r="X2048" s="9" t="n">
        <f aca="false">IF(OR(I2048&lt;=0,I2048&gt;1500),1,0)</f>
        <v>0</v>
      </c>
      <c r="Y2048" s="9" t="n">
        <f aca="false">IF(J2048&gt;H2048*I2048,1,0)</f>
        <v>0</v>
      </c>
      <c r="Z2048" s="9" t="n">
        <f aca="false">IF(AND(N2048&lt;&gt;"",OR(N2048&lt;1,N2048&gt;5)),1,0)</f>
        <v>0</v>
      </c>
      <c r="AA2048" s="9" t="n">
        <f aca="false">IF(AND(M2048&lt;&gt;"",OR(M2048&lt;5,M2048&gt;180)),1,0)</f>
        <v>0</v>
      </c>
      <c r="AB2048" s="7" t="str">
        <f aca="false">IF(P2048="DUP","Exact duplicate row",IF(T2048=1,"Missing Order ID",IF(S2048="DROP","Duplicate Order ID (less complete row)",IF(U2048=1,"Missing Customer ID",IF(V2048=1,"Missing Restaurant name",IF(W2048=1,"Invalid/outlier quantity",IF(X2048=1,"Invalid/outlier unit price",IF(Y2048=1,"Discount greater than order value",""))))))))</f>
        <v/>
      </c>
      <c r="AC2048" s="7" t="str">
        <f aca="false">IF(AB2048="","KEEP","DROP")</f>
        <v>KEEP</v>
      </c>
      <c r="AD2048" s="7" t="str">
        <f aca="false">IF(TRIM(F2048)="",IFERROR(INDEX(Map_Tables!$I$4:$I$37,MATCH(TRIM(E2048),Map_Tables!$G$4:$G$37,0)),""),IFERROR(INDEX(Map_Tables!$B$4:$B$18,MATCH(TRIM(F2048),Map_Tables!$A$4:$A$18,0)),"CHECK"))</f>
        <v>Pune</v>
      </c>
      <c r="AE2048" s="7" t="str">
        <f aca="false">IF(TRIM(E2048)="","",IFERROR(INDEX(Map_Tables!$H$4:$H$37,MATCH(TRIM(E2048),Map_Tables!$G$4:$G$37,0)),"CHECK"))</f>
        <v>Maratha Thali House</v>
      </c>
      <c r="AF2048" s="7" t="str">
        <f aca="false">IF(TRIM(K2048)="","Unknown",IFERROR(INDEX(Map_Tables!$E$4:$E$15,MATCH(TRIM(K2048),Map_Tables!$D$4:$D$15,0)),"CHECK"))</f>
        <v>Credit Card</v>
      </c>
      <c r="AG2048" s="7" t="str">
        <f aca="false">IF(LEFT(LOWER(TRIM(L2048)),6)="cancel","Cancelled","Delivered")</f>
        <v>Delivered</v>
      </c>
      <c r="AH2048" s="10" t="n">
        <f aca="false">IF(ISNUMBER(SEARCH("/",B2048)),DATE(VALUE(RIGHT(B2048,4)),VALUE(MID(B2048,4,2)),VALUE(LEFT(B2048,2))),IF(MID(B2048,5,1)="-",DATE(VALUE(LEFT(B2048,4)),VALUE(MID(B2048,6,2)),VALUE(RIGHT(B2048,2))),DATE(VALUE(RIGHT(B2048,4)),MATCH(MID(B2048,4,3),{"Jan","Feb","Mar","Apr","May","Jun","Jul","Aug","Sep","Oct","Nov","Dec"},0),VALUE(LEFT(B2048,2)))))</f>
        <v>45955</v>
      </c>
    </row>
    <row r="2049" customFormat="false" ht="15" hidden="false" customHeight="false" outlineLevel="0" collapsed="false">
      <c r="A2049" s="7" t="s">
        <v>4827</v>
      </c>
      <c r="B2049" s="7" t="s">
        <v>1600</v>
      </c>
      <c r="C2049" s="7" t="s">
        <v>331</v>
      </c>
      <c r="D2049" s="7" t="s">
        <v>1453</v>
      </c>
      <c r="E2049" s="7" t="s">
        <v>126</v>
      </c>
      <c r="F2049" s="7" t="s">
        <v>101</v>
      </c>
      <c r="G2049" s="7" t="s">
        <v>105</v>
      </c>
      <c r="H2049" s="7" t="n">
        <v>1</v>
      </c>
      <c r="I2049" s="7" t="n">
        <v>215</v>
      </c>
      <c r="J2049" s="7" t="n">
        <v>30</v>
      </c>
      <c r="K2049" s="7" t="s">
        <v>103</v>
      </c>
      <c r="L2049" s="7" t="s">
        <v>194</v>
      </c>
      <c r="M2049" s="7" t="n">
        <v>51</v>
      </c>
      <c r="N2049" s="7" t="n">
        <v>4</v>
      </c>
      <c r="O2049" s="7" t="str">
        <f aca="false">A2049&amp;"|"&amp;B2049&amp;"|"&amp;C2049&amp;"|"&amp;D2049&amp;"|"&amp;E2049&amp;"|"&amp;F2049&amp;"|"&amp;G2049&amp;"|"&amp;H2049&amp;"|"&amp;I2049&amp;"|"&amp;J2049&amp;"|"&amp;K2049&amp;"|"&amp;L2049&amp;"|"&amp;M2049&amp;"|"&amp;N2049</f>
        <v>ORD12563|14/11/2025|22:04|C1152|Dragon Express|Mumbai|Chinese|1|215|30|Debit Card|Delivered|51|4</v>
      </c>
      <c r="P2049" s="7" t="str">
        <f aca="false">IF(COUNTIF($O$2:O2049,O2049)&gt;1,"DUP","OK")</f>
        <v>OK</v>
      </c>
      <c r="Q2049" s="7" t="n">
        <f aca="false">COUNTBLANK(A2049:N2049)</f>
        <v>0</v>
      </c>
      <c r="R2049" s="7" t="n">
        <f aca="false">IF(A2049="",0,COUNTIFS($A$2:$A$3058,A2049,$P$2:$P$3058,"OK"))</f>
        <v>1</v>
      </c>
      <c r="S2049" s="7" t="str">
        <f aca="false">IF(OR(A2049="",P2049="DUP",R2049&lt;2),"",IF(Q2049=_xlfn.MINIFS($Q$2:$Q$3058,$A$2:$A$3058,A2049,$P$2:$P$3058,"OK"),"KEEP","DROP"))</f>
        <v/>
      </c>
      <c r="T2049" s="9" t="n">
        <f aca="false">IF(A2049="",1,0)</f>
        <v>0</v>
      </c>
      <c r="U2049" s="9" t="n">
        <f aca="false">IF(D2049="",1,0)</f>
        <v>0</v>
      </c>
      <c r="V2049" s="9" t="n">
        <f aca="false">IF(E2049="",1,0)</f>
        <v>0</v>
      </c>
      <c r="W2049" s="9" t="n">
        <f aca="false">IF(OR(H2049&lt;1,H2049&gt;10),1,0)</f>
        <v>0</v>
      </c>
      <c r="X2049" s="9" t="n">
        <f aca="false">IF(OR(I2049&lt;=0,I2049&gt;1500),1,0)</f>
        <v>0</v>
      </c>
      <c r="Y2049" s="9" t="n">
        <f aca="false">IF(J2049&gt;H2049*I2049,1,0)</f>
        <v>0</v>
      </c>
      <c r="Z2049" s="9" t="n">
        <f aca="false">IF(AND(N2049&lt;&gt;"",OR(N2049&lt;1,N2049&gt;5)),1,0)</f>
        <v>0</v>
      </c>
      <c r="AA2049" s="9" t="n">
        <f aca="false">IF(AND(M2049&lt;&gt;"",OR(M2049&lt;5,M2049&gt;180)),1,0)</f>
        <v>0</v>
      </c>
      <c r="AB2049" s="7" t="str">
        <f aca="false">IF(P2049="DUP","Exact duplicate row",IF(T2049=1,"Missing Order ID",IF(S2049="DROP","Duplicate Order ID (less complete row)",IF(U2049=1,"Missing Customer ID",IF(V2049=1,"Missing Restaurant name",IF(W2049=1,"Invalid/outlier quantity",IF(X2049=1,"Invalid/outlier unit price",IF(Y2049=1,"Discount greater than order value",""))))))))</f>
        <v/>
      </c>
      <c r="AC2049" s="7" t="str">
        <f aca="false">IF(AB2049="","KEEP","DROP")</f>
        <v>KEEP</v>
      </c>
      <c r="AD2049" s="7" t="str">
        <f aca="false">IF(TRIM(F2049)="",IFERROR(INDEX(Map_Tables!$I$4:$I$37,MATCH(TRIM(E2049),Map_Tables!$G$4:$G$37,0)),""),IFERROR(INDEX(Map_Tables!$B$4:$B$18,MATCH(TRIM(F2049),Map_Tables!$A$4:$A$18,0)),"CHECK"))</f>
        <v>Mumbai</v>
      </c>
      <c r="AE2049" s="7" t="str">
        <f aca="false">IF(TRIM(E2049)="","",IFERROR(INDEX(Map_Tables!$H$4:$H$37,MATCH(TRIM(E2049),Map_Tables!$G$4:$G$37,0)),"CHECK"))</f>
        <v>Dragon Express</v>
      </c>
      <c r="AF2049" s="7" t="str">
        <f aca="false">IF(TRIM(K2049)="","Unknown",IFERROR(INDEX(Map_Tables!$E$4:$E$15,MATCH(TRIM(K2049),Map_Tables!$D$4:$D$15,0)),"CHECK"))</f>
        <v>Debit Card</v>
      </c>
      <c r="AG2049" s="7" t="str">
        <f aca="false">IF(LEFT(LOWER(TRIM(L2049)),6)="cancel","Cancelled","Delivered")</f>
        <v>Delivered</v>
      </c>
      <c r="AH2049" s="10" t="n">
        <f aca="false">IF(ISNUMBER(SEARCH("/",B2049)),DATE(VALUE(RIGHT(B2049,4)),VALUE(MID(B2049,4,2)),VALUE(LEFT(B2049,2))),IF(MID(B2049,5,1)="-",DATE(VALUE(LEFT(B2049,4)),VALUE(MID(B2049,6,2)),VALUE(RIGHT(B2049,2))),DATE(VALUE(RIGHT(B2049,4)),MATCH(MID(B2049,4,3),{"Jan","Feb","Mar","Apr","May","Jun","Jul","Aug","Sep","Oct","Nov","Dec"},0),VALUE(LEFT(B2049,2)))))</f>
        <v>45975</v>
      </c>
    </row>
    <row r="2050" customFormat="false" ht="15" hidden="false" customHeight="false" outlineLevel="0" collapsed="false">
      <c r="A2050" s="7" t="s">
        <v>4828</v>
      </c>
      <c r="B2050" s="7" t="s">
        <v>4406</v>
      </c>
      <c r="C2050" s="7" t="s">
        <v>3564</v>
      </c>
      <c r="D2050" s="7" t="s">
        <v>4829</v>
      </c>
      <c r="E2050" s="7" t="s">
        <v>98</v>
      </c>
      <c r="F2050" s="7" t="s">
        <v>86</v>
      </c>
      <c r="G2050" s="7" t="s">
        <v>99</v>
      </c>
      <c r="H2050" s="7" t="n">
        <v>2</v>
      </c>
      <c r="I2050" s="7" t="n">
        <v>225</v>
      </c>
      <c r="J2050" s="7" t="n">
        <v>0</v>
      </c>
      <c r="K2050" s="7" t="s">
        <v>88</v>
      </c>
      <c r="L2050" s="7" t="s">
        <v>194</v>
      </c>
      <c r="M2050" s="7" t="n">
        <v>33</v>
      </c>
      <c r="N2050" s="7" t="n">
        <v>3</v>
      </c>
      <c r="O2050" s="7" t="str">
        <f aca="false">A2050&amp;"|"&amp;B2050&amp;"|"&amp;C2050&amp;"|"&amp;D2050&amp;"|"&amp;E2050&amp;"|"&amp;F2050&amp;"|"&amp;G2050&amp;"|"&amp;H2050&amp;"|"&amp;I2050&amp;"|"&amp;J2050&amp;"|"&amp;K2050&amp;"|"&amp;L2050&amp;"|"&amp;M2050&amp;"|"&amp;N2050</f>
        <v>ORD10257|2025-02-03|21:42|C1170|Nawabi Biryani House|Bengaluru|Biryani|2|225|0|UPI|Delivered|33|3</v>
      </c>
      <c r="P2050" s="7" t="str">
        <f aca="false">IF(COUNTIF($O$2:O2050,O2050)&gt;1,"DUP","OK")</f>
        <v>OK</v>
      </c>
      <c r="Q2050" s="7" t="n">
        <f aca="false">COUNTBLANK(A2050:N2050)</f>
        <v>0</v>
      </c>
      <c r="R2050" s="7" t="n">
        <f aca="false">IF(A2050="",0,COUNTIFS($A$2:$A$3058,A2050,$P$2:$P$3058,"OK"))</f>
        <v>1</v>
      </c>
      <c r="S2050" s="7" t="str">
        <f aca="false">IF(OR(A2050="",P2050="DUP",R2050&lt;2),"",IF(Q2050=_xlfn.MINIFS($Q$2:$Q$3058,$A$2:$A$3058,A2050,$P$2:$P$3058,"OK"),"KEEP","DROP"))</f>
        <v/>
      </c>
      <c r="T2050" s="9" t="n">
        <f aca="false">IF(A2050="",1,0)</f>
        <v>0</v>
      </c>
      <c r="U2050" s="9" t="n">
        <f aca="false">IF(D2050="",1,0)</f>
        <v>0</v>
      </c>
      <c r="V2050" s="9" t="n">
        <f aca="false">IF(E2050="",1,0)</f>
        <v>0</v>
      </c>
      <c r="W2050" s="9" t="n">
        <f aca="false">IF(OR(H2050&lt;1,H2050&gt;10),1,0)</f>
        <v>0</v>
      </c>
      <c r="X2050" s="9" t="n">
        <f aca="false">IF(OR(I2050&lt;=0,I2050&gt;1500),1,0)</f>
        <v>0</v>
      </c>
      <c r="Y2050" s="9" t="n">
        <f aca="false">IF(J2050&gt;H2050*I2050,1,0)</f>
        <v>0</v>
      </c>
      <c r="Z2050" s="9" t="n">
        <f aca="false">IF(AND(N2050&lt;&gt;"",OR(N2050&lt;1,N2050&gt;5)),1,0)</f>
        <v>0</v>
      </c>
      <c r="AA2050" s="9" t="n">
        <f aca="false">IF(AND(M2050&lt;&gt;"",OR(M2050&lt;5,M2050&gt;180)),1,0)</f>
        <v>0</v>
      </c>
      <c r="AB2050" s="7" t="str">
        <f aca="false">IF(P2050="DUP","Exact duplicate row",IF(T2050=1,"Missing Order ID",IF(S2050="DROP","Duplicate Order ID (less complete row)",IF(U2050=1,"Missing Customer ID",IF(V2050=1,"Missing Restaurant name",IF(W2050=1,"Invalid/outlier quantity",IF(X2050=1,"Invalid/outlier unit price",IF(Y2050=1,"Discount greater than order value",""))))))))</f>
        <v/>
      </c>
      <c r="AC2050" s="7" t="str">
        <f aca="false">IF(AB2050="","KEEP","DROP")</f>
        <v>KEEP</v>
      </c>
      <c r="AD2050" s="7" t="str">
        <f aca="false">IF(TRIM(F2050)="",IFERROR(INDEX(Map_Tables!$I$4:$I$37,MATCH(TRIM(E2050),Map_Tables!$G$4:$G$37,0)),""),IFERROR(INDEX(Map_Tables!$B$4:$B$18,MATCH(TRIM(F2050),Map_Tables!$A$4:$A$18,0)),"CHECK"))</f>
        <v>Bengaluru</v>
      </c>
      <c r="AE2050" s="7" t="str">
        <f aca="false">IF(TRIM(E2050)="","",IFERROR(INDEX(Map_Tables!$H$4:$H$37,MATCH(TRIM(E2050),Map_Tables!$G$4:$G$37,0)),"CHECK"))</f>
        <v>Nawabi Biryani House</v>
      </c>
      <c r="AF2050" s="7" t="str">
        <f aca="false">IF(TRIM(K2050)="","Unknown",IFERROR(INDEX(Map_Tables!$E$4:$E$15,MATCH(TRIM(K2050),Map_Tables!$D$4:$D$15,0)),"CHECK"))</f>
        <v>UPI</v>
      </c>
      <c r="AG2050" s="7" t="str">
        <f aca="false">IF(LEFT(LOWER(TRIM(L2050)),6)="cancel","Cancelled","Delivered")</f>
        <v>Delivered</v>
      </c>
      <c r="AH2050" s="10" t="n">
        <f aca="false">IF(ISNUMBER(SEARCH("/",B2050)),DATE(VALUE(RIGHT(B2050,4)),VALUE(MID(B2050,4,2)),VALUE(LEFT(B2050,2))),IF(MID(B2050,5,1)="-",DATE(VALUE(LEFT(B2050,4)),VALUE(MID(B2050,6,2)),VALUE(RIGHT(B2050,2))),DATE(VALUE(RIGHT(B2050,4)),MATCH(MID(B2050,4,3),{"Jan","Feb","Mar","Apr","May","Jun","Jul","Aug","Sep","Oct","Nov","Dec"},0),VALUE(LEFT(B2050,2)))))</f>
        <v>45691</v>
      </c>
    </row>
    <row r="2051" customFormat="false" ht="15" hidden="false" customHeight="false" outlineLevel="0" collapsed="false">
      <c r="A2051" s="7" t="s">
        <v>4830</v>
      </c>
      <c r="B2051" s="7" t="s">
        <v>727</v>
      </c>
      <c r="C2051" s="7" t="s">
        <v>3791</v>
      </c>
      <c r="D2051" s="7" t="s">
        <v>4831</v>
      </c>
      <c r="E2051" s="7" t="s">
        <v>98</v>
      </c>
      <c r="F2051" s="7" t="s">
        <v>86</v>
      </c>
      <c r="G2051" s="7" t="s">
        <v>99</v>
      </c>
      <c r="H2051" s="7" t="n">
        <v>1</v>
      </c>
      <c r="I2051" s="7" t="n">
        <v>250</v>
      </c>
      <c r="J2051" s="7" t="n">
        <v>100</v>
      </c>
      <c r="K2051" s="7" t="s">
        <v>566</v>
      </c>
      <c r="L2051" s="7" t="s">
        <v>194</v>
      </c>
      <c r="M2051" s="7" t="n">
        <v>55</v>
      </c>
      <c r="N2051" s="7" t="n">
        <v>4</v>
      </c>
      <c r="O2051" s="7" t="str">
        <f aca="false">A2051&amp;"|"&amp;B2051&amp;"|"&amp;C2051&amp;"|"&amp;D2051&amp;"|"&amp;E2051&amp;"|"&amp;F2051&amp;"|"&amp;G2051&amp;"|"&amp;H2051&amp;"|"&amp;I2051&amp;"|"&amp;J2051&amp;"|"&amp;K2051&amp;"|"&amp;L2051&amp;"|"&amp;M2051&amp;"|"&amp;N2051</f>
        <v>ORD10634|2025-03-21|20:02|C1343|Nawabi Biryani House|Bengaluru|Biryani|1|250|100|NetBanking|Delivered|55|4</v>
      </c>
      <c r="P2051" s="7" t="str">
        <f aca="false">IF(COUNTIF($O$2:O2051,O2051)&gt;1,"DUP","OK")</f>
        <v>OK</v>
      </c>
      <c r="Q2051" s="7" t="n">
        <f aca="false">COUNTBLANK(A2051:N2051)</f>
        <v>0</v>
      </c>
      <c r="R2051" s="7" t="n">
        <f aca="false">IF(A2051="",0,COUNTIFS($A$2:$A$3058,A2051,$P$2:$P$3058,"OK"))</f>
        <v>1</v>
      </c>
      <c r="S2051" s="7" t="str">
        <f aca="false">IF(OR(A2051="",P2051="DUP",R2051&lt;2),"",IF(Q2051=_xlfn.MINIFS($Q$2:$Q$3058,$A$2:$A$3058,A2051,$P$2:$P$3058,"OK"),"KEEP","DROP"))</f>
        <v/>
      </c>
      <c r="T2051" s="9" t="n">
        <f aca="false">IF(A2051="",1,0)</f>
        <v>0</v>
      </c>
      <c r="U2051" s="9" t="n">
        <f aca="false">IF(D2051="",1,0)</f>
        <v>0</v>
      </c>
      <c r="V2051" s="9" t="n">
        <f aca="false">IF(E2051="",1,0)</f>
        <v>0</v>
      </c>
      <c r="W2051" s="9" t="n">
        <f aca="false">IF(OR(H2051&lt;1,H2051&gt;10),1,0)</f>
        <v>0</v>
      </c>
      <c r="X2051" s="9" t="n">
        <f aca="false">IF(OR(I2051&lt;=0,I2051&gt;1500),1,0)</f>
        <v>0</v>
      </c>
      <c r="Y2051" s="9" t="n">
        <f aca="false">IF(J2051&gt;H2051*I2051,1,0)</f>
        <v>0</v>
      </c>
      <c r="Z2051" s="9" t="n">
        <f aca="false">IF(AND(N2051&lt;&gt;"",OR(N2051&lt;1,N2051&gt;5)),1,0)</f>
        <v>0</v>
      </c>
      <c r="AA2051" s="9" t="n">
        <f aca="false">IF(AND(M2051&lt;&gt;"",OR(M2051&lt;5,M2051&gt;180)),1,0)</f>
        <v>0</v>
      </c>
      <c r="AB2051" s="7" t="str">
        <f aca="false">IF(P2051="DUP","Exact duplicate row",IF(T2051=1,"Missing Order ID",IF(S2051="DROP","Duplicate Order ID (less complete row)",IF(U2051=1,"Missing Customer ID",IF(V2051=1,"Missing Restaurant name",IF(W2051=1,"Invalid/outlier quantity",IF(X2051=1,"Invalid/outlier unit price",IF(Y2051=1,"Discount greater than order value",""))))))))</f>
        <v/>
      </c>
      <c r="AC2051" s="7" t="str">
        <f aca="false">IF(AB2051="","KEEP","DROP")</f>
        <v>KEEP</v>
      </c>
      <c r="AD2051" s="7" t="str">
        <f aca="false">IF(TRIM(F2051)="",IFERROR(INDEX(Map_Tables!$I$4:$I$37,MATCH(TRIM(E2051),Map_Tables!$G$4:$G$37,0)),""),IFERROR(INDEX(Map_Tables!$B$4:$B$18,MATCH(TRIM(F2051),Map_Tables!$A$4:$A$18,0)),"CHECK"))</f>
        <v>Bengaluru</v>
      </c>
      <c r="AE2051" s="7" t="str">
        <f aca="false">IF(TRIM(E2051)="","",IFERROR(INDEX(Map_Tables!$H$4:$H$37,MATCH(TRIM(E2051),Map_Tables!$G$4:$G$37,0)),"CHECK"))</f>
        <v>Nawabi Biryani House</v>
      </c>
      <c r="AF2051" s="7" t="str">
        <f aca="false">IF(TRIM(K2051)="","Unknown",IFERROR(INDEX(Map_Tables!$E$4:$E$15,MATCH(TRIM(K2051),Map_Tables!$D$4:$D$15,0)),"CHECK"))</f>
        <v>Net Banking</v>
      </c>
      <c r="AG2051" s="7" t="str">
        <f aca="false">IF(LEFT(LOWER(TRIM(L2051)),6)="cancel","Cancelled","Delivered")</f>
        <v>Delivered</v>
      </c>
      <c r="AH2051" s="10" t="n">
        <f aca="false">IF(ISNUMBER(SEARCH("/",B2051)),DATE(VALUE(RIGHT(B2051,4)),VALUE(MID(B2051,4,2)),VALUE(LEFT(B2051,2))),IF(MID(B2051,5,1)="-",DATE(VALUE(LEFT(B2051,4)),VALUE(MID(B2051,6,2)),VALUE(RIGHT(B2051,2))),DATE(VALUE(RIGHT(B2051,4)),MATCH(MID(B2051,4,3),{"Jan","Feb","Mar","Apr","May","Jun","Jul","Aug","Sep","Oct","Nov","Dec"},0),VALUE(LEFT(B2051,2)))))</f>
        <v>45737</v>
      </c>
    </row>
    <row r="2052" customFormat="false" ht="15" hidden="false" customHeight="false" outlineLevel="0" collapsed="false">
      <c r="A2052" s="7" t="s">
        <v>4832</v>
      </c>
      <c r="B2052" s="7" t="s">
        <v>283</v>
      </c>
      <c r="C2052" s="7" t="s">
        <v>1607</v>
      </c>
      <c r="D2052" s="7" t="s">
        <v>2854</v>
      </c>
      <c r="E2052" s="7" t="s">
        <v>126</v>
      </c>
      <c r="F2052" s="7" t="s">
        <v>101</v>
      </c>
      <c r="G2052" s="7" t="s">
        <v>105</v>
      </c>
      <c r="H2052" s="7" t="n">
        <v>5</v>
      </c>
      <c r="I2052" s="7" t="n">
        <v>160</v>
      </c>
      <c r="J2052" s="7" t="n">
        <v>0</v>
      </c>
      <c r="K2052" s="7" t="s">
        <v>112</v>
      </c>
      <c r="L2052" s="7" t="s">
        <v>194</v>
      </c>
      <c r="M2052" s="7" t="n">
        <v>50</v>
      </c>
      <c r="N2052" s="7" t="n">
        <v>3</v>
      </c>
      <c r="O2052" s="7" t="str">
        <f aca="false">A2052&amp;"|"&amp;B2052&amp;"|"&amp;C2052&amp;"|"&amp;D2052&amp;"|"&amp;E2052&amp;"|"&amp;F2052&amp;"|"&amp;G2052&amp;"|"&amp;H2052&amp;"|"&amp;I2052&amp;"|"&amp;J2052&amp;"|"&amp;K2052&amp;"|"&amp;L2052&amp;"|"&amp;M2052&amp;"|"&amp;N2052</f>
        <v>ORD12444|2025-11-03|20:26|C0978|Dragon Express|Mumbai|Chinese|5|160|0|Cash on Delivery|Delivered|50|3</v>
      </c>
      <c r="P2052" s="7" t="str">
        <f aca="false">IF(COUNTIF($O$2:O2052,O2052)&gt;1,"DUP","OK")</f>
        <v>OK</v>
      </c>
      <c r="Q2052" s="7" t="n">
        <f aca="false">COUNTBLANK(A2052:N2052)</f>
        <v>0</v>
      </c>
      <c r="R2052" s="7" t="n">
        <f aca="false">IF(A2052="",0,COUNTIFS($A$2:$A$3058,A2052,$P$2:$P$3058,"OK"))</f>
        <v>1</v>
      </c>
      <c r="S2052" s="7" t="str">
        <f aca="false">IF(OR(A2052="",P2052="DUP",R2052&lt;2),"",IF(Q2052=_xlfn.MINIFS($Q$2:$Q$3058,$A$2:$A$3058,A2052,$P$2:$P$3058,"OK"),"KEEP","DROP"))</f>
        <v/>
      </c>
      <c r="T2052" s="9" t="n">
        <f aca="false">IF(A2052="",1,0)</f>
        <v>0</v>
      </c>
      <c r="U2052" s="9" t="n">
        <f aca="false">IF(D2052="",1,0)</f>
        <v>0</v>
      </c>
      <c r="V2052" s="9" t="n">
        <f aca="false">IF(E2052="",1,0)</f>
        <v>0</v>
      </c>
      <c r="W2052" s="9" t="n">
        <f aca="false">IF(OR(H2052&lt;1,H2052&gt;10),1,0)</f>
        <v>0</v>
      </c>
      <c r="X2052" s="9" t="n">
        <f aca="false">IF(OR(I2052&lt;=0,I2052&gt;1500),1,0)</f>
        <v>0</v>
      </c>
      <c r="Y2052" s="9" t="n">
        <f aca="false">IF(J2052&gt;H2052*I2052,1,0)</f>
        <v>0</v>
      </c>
      <c r="Z2052" s="9" t="n">
        <f aca="false">IF(AND(N2052&lt;&gt;"",OR(N2052&lt;1,N2052&gt;5)),1,0)</f>
        <v>0</v>
      </c>
      <c r="AA2052" s="9" t="n">
        <f aca="false">IF(AND(M2052&lt;&gt;"",OR(M2052&lt;5,M2052&gt;180)),1,0)</f>
        <v>0</v>
      </c>
      <c r="AB2052" s="7" t="str">
        <f aca="false">IF(P2052="DUP","Exact duplicate row",IF(T2052=1,"Missing Order ID",IF(S2052="DROP","Duplicate Order ID (less complete row)",IF(U2052=1,"Missing Customer ID",IF(V2052=1,"Missing Restaurant name",IF(W2052=1,"Invalid/outlier quantity",IF(X2052=1,"Invalid/outlier unit price",IF(Y2052=1,"Discount greater than order value",""))))))))</f>
        <v/>
      </c>
      <c r="AC2052" s="7" t="str">
        <f aca="false">IF(AB2052="","KEEP","DROP")</f>
        <v>KEEP</v>
      </c>
      <c r="AD2052" s="7" t="str">
        <f aca="false">IF(TRIM(F2052)="",IFERROR(INDEX(Map_Tables!$I$4:$I$37,MATCH(TRIM(E2052),Map_Tables!$G$4:$G$37,0)),""),IFERROR(INDEX(Map_Tables!$B$4:$B$18,MATCH(TRIM(F2052),Map_Tables!$A$4:$A$18,0)),"CHECK"))</f>
        <v>Mumbai</v>
      </c>
      <c r="AE2052" s="7" t="str">
        <f aca="false">IF(TRIM(E2052)="","",IFERROR(INDEX(Map_Tables!$H$4:$H$37,MATCH(TRIM(E2052),Map_Tables!$G$4:$G$37,0)),"CHECK"))</f>
        <v>Dragon Express</v>
      </c>
      <c r="AF2052" s="7" t="str">
        <f aca="false">IF(TRIM(K2052)="","Unknown",IFERROR(INDEX(Map_Tables!$E$4:$E$15,MATCH(TRIM(K2052),Map_Tables!$D$4:$D$15,0)),"CHECK"))</f>
        <v>Cash on Delivery</v>
      </c>
      <c r="AG2052" s="7" t="str">
        <f aca="false">IF(LEFT(LOWER(TRIM(L2052)),6)="cancel","Cancelled","Delivered")</f>
        <v>Delivered</v>
      </c>
      <c r="AH2052" s="10" t="n">
        <f aca="false">IF(ISNUMBER(SEARCH("/",B2052)),DATE(VALUE(RIGHT(B2052,4)),VALUE(MID(B2052,4,2)),VALUE(LEFT(B2052,2))),IF(MID(B2052,5,1)="-",DATE(VALUE(LEFT(B2052,4)),VALUE(MID(B2052,6,2)),VALUE(RIGHT(B2052,2))),DATE(VALUE(RIGHT(B2052,4)),MATCH(MID(B2052,4,3),{"Jan","Feb","Mar","Apr","May","Jun","Jul","Aug","Sep","Oct","Nov","Dec"},0),VALUE(LEFT(B2052,2)))))</f>
        <v>45964</v>
      </c>
    </row>
    <row r="2053" customFormat="false" ht="15" hidden="false" customHeight="false" outlineLevel="0" collapsed="false">
      <c r="A2053" s="7" t="s">
        <v>4833</v>
      </c>
      <c r="B2053" s="7" t="s">
        <v>2685</v>
      </c>
      <c r="C2053" s="7" t="s">
        <v>4834</v>
      </c>
      <c r="D2053" s="7" t="s">
        <v>4835</v>
      </c>
      <c r="E2053" s="7" t="s">
        <v>138</v>
      </c>
      <c r="F2053" s="7" t="s">
        <v>110</v>
      </c>
      <c r="G2053" s="7" t="s">
        <v>139</v>
      </c>
      <c r="H2053" s="7" t="n">
        <v>3</v>
      </c>
      <c r="I2053" s="7" t="n">
        <v>200</v>
      </c>
      <c r="J2053" s="7" t="n">
        <v>0</v>
      </c>
      <c r="K2053" s="7" t="s">
        <v>103</v>
      </c>
      <c r="L2053" s="7" t="s">
        <v>238</v>
      </c>
      <c r="M2053" s="7"/>
      <c r="N2053" s="7"/>
      <c r="O2053" s="7" t="str">
        <f aca="false">A2053&amp;"|"&amp;B2053&amp;"|"&amp;C2053&amp;"|"&amp;D2053&amp;"|"&amp;E2053&amp;"|"&amp;F2053&amp;"|"&amp;G2053&amp;"|"&amp;H2053&amp;"|"&amp;I2053&amp;"|"&amp;J2053&amp;"|"&amp;K2053&amp;"|"&amp;L2053&amp;"|"&amp;M2053&amp;"|"&amp;N2053</f>
        <v>ORD10778|2025-04-09|08:05|C0048|Burger Barn|Delhi|Burgers|3|200|0|Debit Card|Cancelled||</v>
      </c>
      <c r="P2053" s="7" t="str">
        <f aca="false">IF(COUNTIF($O$2:O2053,O2053)&gt;1,"DUP","OK")</f>
        <v>OK</v>
      </c>
      <c r="Q2053" s="7" t="n">
        <f aca="false">COUNTBLANK(A2053:N2053)</f>
        <v>2</v>
      </c>
      <c r="R2053" s="7" t="n">
        <f aca="false">IF(A2053="",0,COUNTIFS($A$2:$A$3058,A2053,$P$2:$P$3058,"OK"))</f>
        <v>1</v>
      </c>
      <c r="S2053" s="7" t="str">
        <f aca="false">IF(OR(A2053="",P2053="DUP",R2053&lt;2),"",IF(Q2053=_xlfn.MINIFS($Q$2:$Q$3058,$A$2:$A$3058,A2053,$P$2:$P$3058,"OK"),"KEEP","DROP"))</f>
        <v/>
      </c>
      <c r="T2053" s="9" t="n">
        <f aca="false">IF(A2053="",1,0)</f>
        <v>0</v>
      </c>
      <c r="U2053" s="9" t="n">
        <f aca="false">IF(D2053="",1,0)</f>
        <v>0</v>
      </c>
      <c r="V2053" s="9" t="n">
        <f aca="false">IF(E2053="",1,0)</f>
        <v>0</v>
      </c>
      <c r="W2053" s="9" t="n">
        <f aca="false">IF(OR(H2053&lt;1,H2053&gt;10),1,0)</f>
        <v>0</v>
      </c>
      <c r="X2053" s="9" t="n">
        <f aca="false">IF(OR(I2053&lt;=0,I2053&gt;1500),1,0)</f>
        <v>0</v>
      </c>
      <c r="Y2053" s="9" t="n">
        <f aca="false">IF(J2053&gt;H2053*I2053,1,0)</f>
        <v>0</v>
      </c>
      <c r="Z2053" s="9" t="n">
        <f aca="false">IF(AND(N2053&lt;&gt;"",OR(N2053&lt;1,N2053&gt;5)),1,0)</f>
        <v>0</v>
      </c>
      <c r="AA2053" s="9" t="n">
        <f aca="false">IF(AND(M2053&lt;&gt;"",OR(M2053&lt;5,M2053&gt;180)),1,0)</f>
        <v>0</v>
      </c>
      <c r="AB2053" s="7" t="str">
        <f aca="false">IF(P2053="DUP","Exact duplicate row",IF(T2053=1,"Missing Order ID",IF(S2053="DROP","Duplicate Order ID (less complete row)",IF(U2053=1,"Missing Customer ID",IF(V2053=1,"Missing Restaurant name",IF(W2053=1,"Invalid/outlier quantity",IF(X2053=1,"Invalid/outlier unit price",IF(Y2053=1,"Discount greater than order value",""))))))))</f>
        <v/>
      </c>
      <c r="AC2053" s="7" t="str">
        <f aca="false">IF(AB2053="","KEEP","DROP")</f>
        <v>KEEP</v>
      </c>
      <c r="AD2053" s="7" t="str">
        <f aca="false">IF(TRIM(F2053)="",IFERROR(INDEX(Map_Tables!$I$4:$I$37,MATCH(TRIM(E2053),Map_Tables!$G$4:$G$37,0)),""),IFERROR(INDEX(Map_Tables!$B$4:$B$18,MATCH(TRIM(F2053),Map_Tables!$A$4:$A$18,0)),"CHECK"))</f>
        <v>Delhi</v>
      </c>
      <c r="AE2053" s="7" t="str">
        <f aca="false">IF(TRIM(E2053)="","",IFERROR(INDEX(Map_Tables!$H$4:$H$37,MATCH(TRIM(E2053),Map_Tables!$G$4:$G$37,0)),"CHECK"))</f>
        <v>Burger Barn</v>
      </c>
      <c r="AF2053" s="7" t="str">
        <f aca="false">IF(TRIM(K2053)="","Unknown",IFERROR(INDEX(Map_Tables!$E$4:$E$15,MATCH(TRIM(K2053),Map_Tables!$D$4:$D$15,0)),"CHECK"))</f>
        <v>Debit Card</v>
      </c>
      <c r="AG2053" s="7" t="str">
        <f aca="false">IF(LEFT(LOWER(TRIM(L2053)),6)="cancel","Cancelled","Delivered")</f>
        <v>Cancelled</v>
      </c>
      <c r="AH2053" s="10" t="n">
        <f aca="false">IF(ISNUMBER(SEARCH("/",B2053)),DATE(VALUE(RIGHT(B2053,4)),VALUE(MID(B2053,4,2)),VALUE(LEFT(B2053,2))),IF(MID(B2053,5,1)="-",DATE(VALUE(LEFT(B2053,4)),VALUE(MID(B2053,6,2)),VALUE(RIGHT(B2053,2))),DATE(VALUE(RIGHT(B2053,4)),MATCH(MID(B2053,4,3),{"Jan","Feb","Mar","Apr","May","Jun","Jul","Aug","Sep","Oct","Nov","Dec"},0),VALUE(LEFT(B2053,2)))))</f>
        <v>45756</v>
      </c>
    </row>
    <row r="2054" customFormat="false" ht="15" hidden="false" customHeight="false" outlineLevel="0" collapsed="false">
      <c r="A2054" s="7" t="s">
        <v>4836</v>
      </c>
      <c r="B2054" s="7" t="s">
        <v>903</v>
      </c>
      <c r="C2054" s="7" t="s">
        <v>1640</v>
      </c>
      <c r="D2054" s="7" t="s">
        <v>2738</v>
      </c>
      <c r="E2054" s="7" t="s">
        <v>147</v>
      </c>
      <c r="F2054" s="7" t="s">
        <v>119</v>
      </c>
      <c r="G2054" s="7" t="s">
        <v>95</v>
      </c>
      <c r="H2054" s="7" t="n">
        <v>2</v>
      </c>
      <c r="I2054" s="7" t="n">
        <v>130</v>
      </c>
      <c r="J2054" s="7" t="n">
        <v>104</v>
      </c>
      <c r="K2054" s="7" t="s">
        <v>88</v>
      </c>
      <c r="L2054" s="7" t="s">
        <v>194</v>
      </c>
      <c r="M2054" s="7" t="n">
        <v>33</v>
      </c>
      <c r="N2054" s="7" t="n">
        <v>2</v>
      </c>
      <c r="O2054" s="7" t="str">
        <f aca="false">A2054&amp;"|"&amp;B2054&amp;"|"&amp;C2054&amp;"|"&amp;D2054&amp;"|"&amp;E2054&amp;"|"&amp;F2054&amp;"|"&amp;G2054&amp;"|"&amp;H2054&amp;"|"&amp;I2054&amp;"|"&amp;J2054&amp;"|"&amp;K2054&amp;"|"&amp;L2054&amp;"|"&amp;M2054&amp;"|"&amp;N2054</f>
        <v>ORD12404|2025-10-30|19:52|C0152|Andhra Meals Mess|Hyderabad|South Indian|2|130|104|UPI|Delivered|33|2</v>
      </c>
      <c r="P2054" s="7" t="str">
        <f aca="false">IF(COUNTIF($O$2:O2054,O2054)&gt;1,"DUP","OK")</f>
        <v>OK</v>
      </c>
      <c r="Q2054" s="7" t="n">
        <f aca="false">COUNTBLANK(A2054:N2054)</f>
        <v>0</v>
      </c>
      <c r="R2054" s="7" t="n">
        <f aca="false">IF(A2054="",0,COUNTIFS($A$2:$A$3058,A2054,$P$2:$P$3058,"OK"))</f>
        <v>1</v>
      </c>
      <c r="S2054" s="7" t="str">
        <f aca="false">IF(OR(A2054="",P2054="DUP",R2054&lt;2),"",IF(Q2054=_xlfn.MINIFS($Q$2:$Q$3058,$A$2:$A$3058,A2054,$P$2:$P$3058,"OK"),"KEEP","DROP"))</f>
        <v/>
      </c>
      <c r="T2054" s="9" t="n">
        <f aca="false">IF(A2054="",1,0)</f>
        <v>0</v>
      </c>
      <c r="U2054" s="9" t="n">
        <f aca="false">IF(D2054="",1,0)</f>
        <v>0</v>
      </c>
      <c r="V2054" s="9" t="n">
        <f aca="false">IF(E2054="",1,0)</f>
        <v>0</v>
      </c>
      <c r="W2054" s="9" t="n">
        <f aca="false">IF(OR(H2054&lt;1,H2054&gt;10),1,0)</f>
        <v>0</v>
      </c>
      <c r="X2054" s="9" t="n">
        <f aca="false">IF(OR(I2054&lt;=0,I2054&gt;1500),1,0)</f>
        <v>0</v>
      </c>
      <c r="Y2054" s="9" t="n">
        <f aca="false">IF(J2054&gt;H2054*I2054,1,0)</f>
        <v>0</v>
      </c>
      <c r="Z2054" s="9" t="n">
        <f aca="false">IF(AND(N2054&lt;&gt;"",OR(N2054&lt;1,N2054&gt;5)),1,0)</f>
        <v>0</v>
      </c>
      <c r="AA2054" s="9" t="n">
        <f aca="false">IF(AND(M2054&lt;&gt;"",OR(M2054&lt;5,M2054&gt;180)),1,0)</f>
        <v>0</v>
      </c>
      <c r="AB2054" s="7" t="str">
        <f aca="false">IF(P2054="DUP","Exact duplicate row",IF(T2054=1,"Missing Order ID",IF(S2054="DROP","Duplicate Order ID (less complete row)",IF(U2054=1,"Missing Customer ID",IF(V2054=1,"Missing Restaurant name",IF(W2054=1,"Invalid/outlier quantity",IF(X2054=1,"Invalid/outlier unit price",IF(Y2054=1,"Discount greater than order value",""))))))))</f>
        <v/>
      </c>
      <c r="AC2054" s="7" t="str">
        <f aca="false">IF(AB2054="","KEEP","DROP")</f>
        <v>KEEP</v>
      </c>
      <c r="AD2054" s="7" t="str">
        <f aca="false">IF(TRIM(F2054)="",IFERROR(INDEX(Map_Tables!$I$4:$I$37,MATCH(TRIM(E2054),Map_Tables!$G$4:$G$37,0)),""),IFERROR(INDEX(Map_Tables!$B$4:$B$18,MATCH(TRIM(F2054),Map_Tables!$A$4:$A$18,0)),"CHECK"))</f>
        <v>Hyderabad</v>
      </c>
      <c r="AE2054" s="7" t="str">
        <f aca="false">IF(TRIM(E2054)="","",IFERROR(INDEX(Map_Tables!$H$4:$H$37,MATCH(TRIM(E2054),Map_Tables!$G$4:$G$37,0)),"CHECK"))</f>
        <v>Andhra Meals Mess</v>
      </c>
      <c r="AF2054" s="7" t="str">
        <f aca="false">IF(TRIM(K2054)="","Unknown",IFERROR(INDEX(Map_Tables!$E$4:$E$15,MATCH(TRIM(K2054),Map_Tables!$D$4:$D$15,0)),"CHECK"))</f>
        <v>UPI</v>
      </c>
      <c r="AG2054" s="7" t="str">
        <f aca="false">IF(LEFT(LOWER(TRIM(L2054)),6)="cancel","Cancelled","Delivered")</f>
        <v>Delivered</v>
      </c>
      <c r="AH2054" s="10" t="n">
        <f aca="false">IF(ISNUMBER(SEARCH("/",B2054)),DATE(VALUE(RIGHT(B2054,4)),VALUE(MID(B2054,4,2)),VALUE(LEFT(B2054,2))),IF(MID(B2054,5,1)="-",DATE(VALUE(LEFT(B2054,4)),VALUE(MID(B2054,6,2)),VALUE(RIGHT(B2054,2))),DATE(VALUE(RIGHT(B2054,4)),MATCH(MID(B2054,4,3),{"Jan","Feb","Mar","Apr","May","Jun","Jul","Aug","Sep","Oct","Nov","Dec"},0),VALUE(LEFT(B2054,2)))))</f>
        <v>45960</v>
      </c>
    </row>
    <row r="2055" customFormat="false" ht="15" hidden="false" customHeight="false" outlineLevel="0" collapsed="false">
      <c r="A2055" s="7" t="s">
        <v>4837</v>
      </c>
      <c r="B2055" s="7" t="s">
        <v>3313</v>
      </c>
      <c r="C2055" s="7" t="s">
        <v>486</v>
      </c>
      <c r="D2055" s="7" t="s">
        <v>4098</v>
      </c>
      <c r="E2055" s="7" t="s">
        <v>138</v>
      </c>
      <c r="F2055" s="7" t="s">
        <v>110</v>
      </c>
      <c r="G2055" s="7" t="s">
        <v>139</v>
      </c>
      <c r="H2055" s="7" t="n">
        <v>3</v>
      </c>
      <c r="I2055" s="7" t="n">
        <v>200</v>
      </c>
      <c r="J2055" s="7" t="n">
        <v>75</v>
      </c>
      <c r="K2055" s="7" t="s">
        <v>112</v>
      </c>
      <c r="L2055" s="7" t="s">
        <v>194</v>
      </c>
      <c r="M2055" s="7" t="n">
        <v>37</v>
      </c>
      <c r="N2055" s="7" t="n">
        <v>4</v>
      </c>
      <c r="O2055" s="7" t="str">
        <f aca="false">A2055&amp;"|"&amp;B2055&amp;"|"&amp;C2055&amp;"|"&amp;D2055&amp;"|"&amp;E2055&amp;"|"&amp;F2055&amp;"|"&amp;G2055&amp;"|"&amp;H2055&amp;"|"&amp;I2055&amp;"|"&amp;J2055&amp;"|"&amp;K2055&amp;"|"&amp;L2055&amp;"|"&amp;M2055&amp;"|"&amp;N2055</f>
        <v>ORD10558|2025-03-12|12:46|C0314|Burger Barn|Delhi|Burgers|3|200|75|Cash on Delivery|Delivered|37|4</v>
      </c>
      <c r="P2055" s="7" t="str">
        <f aca="false">IF(COUNTIF($O$2:O2055,O2055)&gt;1,"DUP","OK")</f>
        <v>OK</v>
      </c>
      <c r="Q2055" s="7" t="n">
        <f aca="false">COUNTBLANK(A2055:N2055)</f>
        <v>0</v>
      </c>
      <c r="R2055" s="7" t="n">
        <f aca="false">IF(A2055="",0,COUNTIFS($A$2:$A$3058,A2055,$P$2:$P$3058,"OK"))</f>
        <v>1</v>
      </c>
      <c r="S2055" s="7" t="str">
        <f aca="false">IF(OR(A2055="",P2055="DUP",R2055&lt;2),"",IF(Q2055=_xlfn.MINIFS($Q$2:$Q$3058,$A$2:$A$3058,A2055,$P$2:$P$3058,"OK"),"KEEP","DROP"))</f>
        <v/>
      </c>
      <c r="T2055" s="9" t="n">
        <f aca="false">IF(A2055="",1,0)</f>
        <v>0</v>
      </c>
      <c r="U2055" s="9" t="n">
        <f aca="false">IF(D2055="",1,0)</f>
        <v>0</v>
      </c>
      <c r="V2055" s="9" t="n">
        <f aca="false">IF(E2055="",1,0)</f>
        <v>0</v>
      </c>
      <c r="W2055" s="9" t="n">
        <f aca="false">IF(OR(H2055&lt;1,H2055&gt;10),1,0)</f>
        <v>0</v>
      </c>
      <c r="X2055" s="9" t="n">
        <f aca="false">IF(OR(I2055&lt;=0,I2055&gt;1500),1,0)</f>
        <v>0</v>
      </c>
      <c r="Y2055" s="9" t="n">
        <f aca="false">IF(J2055&gt;H2055*I2055,1,0)</f>
        <v>0</v>
      </c>
      <c r="Z2055" s="9" t="n">
        <f aca="false">IF(AND(N2055&lt;&gt;"",OR(N2055&lt;1,N2055&gt;5)),1,0)</f>
        <v>0</v>
      </c>
      <c r="AA2055" s="9" t="n">
        <f aca="false">IF(AND(M2055&lt;&gt;"",OR(M2055&lt;5,M2055&gt;180)),1,0)</f>
        <v>0</v>
      </c>
      <c r="AB2055" s="7" t="str">
        <f aca="false">IF(P2055="DUP","Exact duplicate row",IF(T2055=1,"Missing Order ID",IF(S2055="DROP","Duplicate Order ID (less complete row)",IF(U2055=1,"Missing Customer ID",IF(V2055=1,"Missing Restaurant name",IF(W2055=1,"Invalid/outlier quantity",IF(X2055=1,"Invalid/outlier unit price",IF(Y2055=1,"Discount greater than order value",""))))))))</f>
        <v/>
      </c>
      <c r="AC2055" s="7" t="str">
        <f aca="false">IF(AB2055="","KEEP","DROP")</f>
        <v>KEEP</v>
      </c>
      <c r="AD2055" s="7" t="str">
        <f aca="false">IF(TRIM(F2055)="",IFERROR(INDEX(Map_Tables!$I$4:$I$37,MATCH(TRIM(E2055),Map_Tables!$G$4:$G$37,0)),""),IFERROR(INDEX(Map_Tables!$B$4:$B$18,MATCH(TRIM(F2055),Map_Tables!$A$4:$A$18,0)),"CHECK"))</f>
        <v>Delhi</v>
      </c>
      <c r="AE2055" s="7" t="str">
        <f aca="false">IF(TRIM(E2055)="","",IFERROR(INDEX(Map_Tables!$H$4:$H$37,MATCH(TRIM(E2055),Map_Tables!$G$4:$G$37,0)),"CHECK"))</f>
        <v>Burger Barn</v>
      </c>
      <c r="AF2055" s="7" t="str">
        <f aca="false">IF(TRIM(K2055)="","Unknown",IFERROR(INDEX(Map_Tables!$E$4:$E$15,MATCH(TRIM(K2055),Map_Tables!$D$4:$D$15,0)),"CHECK"))</f>
        <v>Cash on Delivery</v>
      </c>
      <c r="AG2055" s="7" t="str">
        <f aca="false">IF(LEFT(LOWER(TRIM(L2055)),6)="cancel","Cancelled","Delivered")</f>
        <v>Delivered</v>
      </c>
      <c r="AH2055" s="10" t="n">
        <f aca="false">IF(ISNUMBER(SEARCH("/",B2055)),DATE(VALUE(RIGHT(B2055,4)),VALUE(MID(B2055,4,2)),VALUE(LEFT(B2055,2))),IF(MID(B2055,5,1)="-",DATE(VALUE(LEFT(B2055,4)),VALUE(MID(B2055,6,2)),VALUE(RIGHT(B2055,2))),DATE(VALUE(RIGHT(B2055,4)),MATCH(MID(B2055,4,3),{"Jan","Feb","Mar","Apr","May","Jun","Jul","Aug","Sep","Oct","Nov","Dec"},0),VALUE(LEFT(B2055,2)))))</f>
        <v>45728</v>
      </c>
    </row>
    <row r="2056" customFormat="false" ht="15" hidden="false" customHeight="false" outlineLevel="0" collapsed="false">
      <c r="A2056" s="7" t="s">
        <v>4838</v>
      </c>
      <c r="B2056" s="7" t="s">
        <v>758</v>
      </c>
      <c r="C2056" s="7" t="s">
        <v>3573</v>
      </c>
      <c r="D2056" s="7" t="s">
        <v>2284</v>
      </c>
      <c r="E2056" s="7" t="s">
        <v>3959</v>
      </c>
      <c r="F2056" s="7" t="s">
        <v>136</v>
      </c>
      <c r="G2056" s="7" t="s">
        <v>150</v>
      </c>
      <c r="H2056" s="7" t="n">
        <v>1</v>
      </c>
      <c r="I2056" s="7" t="n">
        <v>190</v>
      </c>
      <c r="J2056" s="7" t="n">
        <v>76</v>
      </c>
      <c r="K2056" s="7" t="s">
        <v>88</v>
      </c>
      <c r="L2056" s="7" t="s">
        <v>194</v>
      </c>
      <c r="M2056" s="7" t="n">
        <v>38</v>
      </c>
      <c r="N2056" s="7"/>
      <c r="O2056" s="7" t="str">
        <f aca="false">A2056&amp;"|"&amp;B2056&amp;"|"&amp;C2056&amp;"|"&amp;D2056&amp;"|"&amp;E2056&amp;"|"&amp;F2056&amp;"|"&amp;G2056&amp;"|"&amp;H2056&amp;"|"&amp;I2056&amp;"|"&amp;J2056&amp;"|"&amp;K2056&amp;"|"&amp;L2056&amp;"|"&amp;M2056&amp;"|"&amp;N2056</f>
        <v>ORD12813|2025-12-10|17:10|C1209|Cake Walk |Pune|Desserts|1|190|76|UPI|Delivered|38|</v>
      </c>
      <c r="P2056" s="7" t="str">
        <f aca="false">IF(COUNTIF($O$2:O2056,O2056)&gt;1,"DUP","OK")</f>
        <v>OK</v>
      </c>
      <c r="Q2056" s="7" t="n">
        <f aca="false">COUNTBLANK(A2056:N2056)</f>
        <v>1</v>
      </c>
      <c r="R2056" s="7" t="n">
        <f aca="false">IF(A2056="",0,COUNTIFS($A$2:$A$3058,A2056,$P$2:$P$3058,"OK"))</f>
        <v>1</v>
      </c>
      <c r="S2056" s="7" t="str">
        <f aca="false">IF(OR(A2056="",P2056="DUP",R2056&lt;2),"",IF(Q2056=_xlfn.MINIFS($Q$2:$Q$3058,$A$2:$A$3058,A2056,$P$2:$P$3058,"OK"),"KEEP","DROP"))</f>
        <v/>
      </c>
      <c r="T2056" s="9" t="n">
        <f aca="false">IF(A2056="",1,0)</f>
        <v>0</v>
      </c>
      <c r="U2056" s="9" t="n">
        <f aca="false">IF(D2056="",1,0)</f>
        <v>0</v>
      </c>
      <c r="V2056" s="9" t="n">
        <f aca="false">IF(E2056="",1,0)</f>
        <v>0</v>
      </c>
      <c r="W2056" s="9" t="n">
        <f aca="false">IF(OR(H2056&lt;1,H2056&gt;10),1,0)</f>
        <v>0</v>
      </c>
      <c r="X2056" s="9" t="n">
        <f aca="false">IF(OR(I2056&lt;=0,I2056&gt;1500),1,0)</f>
        <v>0</v>
      </c>
      <c r="Y2056" s="9" t="n">
        <f aca="false">IF(J2056&gt;H2056*I2056,1,0)</f>
        <v>0</v>
      </c>
      <c r="Z2056" s="9" t="n">
        <f aca="false">IF(AND(N2056&lt;&gt;"",OR(N2056&lt;1,N2056&gt;5)),1,0)</f>
        <v>0</v>
      </c>
      <c r="AA2056" s="9" t="n">
        <f aca="false">IF(AND(M2056&lt;&gt;"",OR(M2056&lt;5,M2056&gt;180)),1,0)</f>
        <v>0</v>
      </c>
      <c r="AB2056" s="7" t="str">
        <f aca="false">IF(P2056="DUP","Exact duplicate row",IF(T2056=1,"Missing Order ID",IF(S2056="DROP","Duplicate Order ID (less complete row)",IF(U2056=1,"Missing Customer ID",IF(V2056=1,"Missing Restaurant name",IF(W2056=1,"Invalid/outlier quantity",IF(X2056=1,"Invalid/outlier unit price",IF(Y2056=1,"Discount greater than order value",""))))))))</f>
        <v/>
      </c>
      <c r="AC2056" s="7" t="str">
        <f aca="false">IF(AB2056="","KEEP","DROP")</f>
        <v>KEEP</v>
      </c>
      <c r="AD2056" s="7" t="str">
        <f aca="false">IF(TRIM(F2056)="",IFERROR(INDEX(Map_Tables!$I$4:$I$37,MATCH(TRIM(E2056),Map_Tables!$G$4:$G$37,0)),""),IFERROR(INDEX(Map_Tables!$B$4:$B$18,MATCH(TRIM(F2056),Map_Tables!$A$4:$A$18,0)),"CHECK"))</f>
        <v>Pune</v>
      </c>
      <c r="AE2056" s="7" t="str">
        <f aca="false">IF(TRIM(E2056)="","",IFERROR(INDEX(Map_Tables!$H$4:$H$37,MATCH(TRIM(E2056),Map_Tables!$G$4:$G$37,0)),"CHECK"))</f>
        <v>Cake Walk</v>
      </c>
      <c r="AF2056" s="7" t="str">
        <f aca="false">IF(TRIM(K2056)="","Unknown",IFERROR(INDEX(Map_Tables!$E$4:$E$15,MATCH(TRIM(K2056),Map_Tables!$D$4:$D$15,0)),"CHECK"))</f>
        <v>UPI</v>
      </c>
      <c r="AG2056" s="7" t="str">
        <f aca="false">IF(LEFT(LOWER(TRIM(L2056)),6)="cancel","Cancelled","Delivered")</f>
        <v>Delivered</v>
      </c>
      <c r="AH2056" s="10" t="n">
        <f aca="false">IF(ISNUMBER(SEARCH("/",B2056)),DATE(VALUE(RIGHT(B2056,4)),VALUE(MID(B2056,4,2)),VALUE(LEFT(B2056,2))),IF(MID(B2056,5,1)="-",DATE(VALUE(LEFT(B2056,4)),VALUE(MID(B2056,6,2)),VALUE(RIGHT(B2056,2))),DATE(VALUE(RIGHT(B2056,4)),MATCH(MID(B2056,4,3),{"Jan","Feb","Mar","Apr","May","Jun","Jul","Aug","Sep","Oct","Nov","Dec"},0),VALUE(LEFT(B2056,2)))))</f>
        <v>46001</v>
      </c>
    </row>
    <row r="2057" customFormat="false" ht="15" hidden="false" customHeight="false" outlineLevel="0" collapsed="false">
      <c r="A2057" s="7" t="s">
        <v>4839</v>
      </c>
      <c r="B2057" s="7" t="s">
        <v>615</v>
      </c>
      <c r="C2057" s="7" t="s">
        <v>796</v>
      </c>
      <c r="D2057" s="7" t="s">
        <v>2179</v>
      </c>
      <c r="E2057" s="7" t="s">
        <v>155</v>
      </c>
      <c r="F2057" s="7" t="s">
        <v>128</v>
      </c>
      <c r="G2057" s="7" t="s">
        <v>156</v>
      </c>
      <c r="H2057" s="7" t="n">
        <v>2</v>
      </c>
      <c r="I2057" s="7" t="n">
        <v>240</v>
      </c>
      <c r="J2057" s="7" t="n">
        <v>150</v>
      </c>
      <c r="K2057" s="7" t="s">
        <v>88</v>
      </c>
      <c r="L2057" s="7" t="s">
        <v>194</v>
      </c>
      <c r="M2057" s="7" t="n">
        <v>19</v>
      </c>
      <c r="N2057" s="7" t="n">
        <v>4</v>
      </c>
      <c r="O2057" s="7" t="str">
        <f aca="false">A2057&amp;"|"&amp;B2057&amp;"|"&amp;C2057&amp;"|"&amp;D2057&amp;"|"&amp;E2057&amp;"|"&amp;F2057&amp;"|"&amp;G2057&amp;"|"&amp;H2057&amp;"|"&amp;I2057&amp;"|"&amp;J2057&amp;"|"&amp;K2057&amp;"|"&amp;L2057&amp;"|"&amp;M2057&amp;"|"&amp;N2057</f>
        <v>ORD11986|2025-09-14|13:38|C0332|Green Bowl Kitchen|Chennai|Healthy Food|2|240|150|UPI|Delivered|19|4</v>
      </c>
      <c r="P2057" s="7" t="str">
        <f aca="false">IF(COUNTIF($O$2:O2057,O2057)&gt;1,"DUP","OK")</f>
        <v>OK</v>
      </c>
      <c r="Q2057" s="7" t="n">
        <f aca="false">COUNTBLANK(A2057:N2057)</f>
        <v>0</v>
      </c>
      <c r="R2057" s="7" t="n">
        <f aca="false">IF(A2057="",0,COUNTIFS($A$2:$A$3058,A2057,$P$2:$P$3058,"OK"))</f>
        <v>1</v>
      </c>
      <c r="S2057" s="7" t="str">
        <f aca="false">IF(OR(A2057="",P2057="DUP",R2057&lt;2),"",IF(Q2057=_xlfn.MINIFS($Q$2:$Q$3058,$A$2:$A$3058,A2057,$P$2:$P$3058,"OK"),"KEEP","DROP"))</f>
        <v/>
      </c>
      <c r="T2057" s="9" t="n">
        <f aca="false">IF(A2057="",1,0)</f>
        <v>0</v>
      </c>
      <c r="U2057" s="9" t="n">
        <f aca="false">IF(D2057="",1,0)</f>
        <v>0</v>
      </c>
      <c r="V2057" s="9" t="n">
        <f aca="false">IF(E2057="",1,0)</f>
        <v>0</v>
      </c>
      <c r="W2057" s="9" t="n">
        <f aca="false">IF(OR(H2057&lt;1,H2057&gt;10),1,0)</f>
        <v>0</v>
      </c>
      <c r="X2057" s="9" t="n">
        <f aca="false">IF(OR(I2057&lt;=0,I2057&gt;1500),1,0)</f>
        <v>0</v>
      </c>
      <c r="Y2057" s="9" t="n">
        <f aca="false">IF(J2057&gt;H2057*I2057,1,0)</f>
        <v>0</v>
      </c>
      <c r="Z2057" s="9" t="n">
        <f aca="false">IF(AND(N2057&lt;&gt;"",OR(N2057&lt;1,N2057&gt;5)),1,0)</f>
        <v>0</v>
      </c>
      <c r="AA2057" s="9" t="n">
        <f aca="false">IF(AND(M2057&lt;&gt;"",OR(M2057&lt;5,M2057&gt;180)),1,0)</f>
        <v>0</v>
      </c>
      <c r="AB2057" s="7" t="str">
        <f aca="false">IF(P2057="DUP","Exact duplicate row",IF(T2057=1,"Missing Order ID",IF(S2057="DROP","Duplicate Order ID (less complete row)",IF(U2057=1,"Missing Customer ID",IF(V2057=1,"Missing Restaurant name",IF(W2057=1,"Invalid/outlier quantity",IF(X2057=1,"Invalid/outlier unit price",IF(Y2057=1,"Discount greater than order value",""))))))))</f>
        <v/>
      </c>
      <c r="AC2057" s="7" t="str">
        <f aca="false">IF(AB2057="","KEEP","DROP")</f>
        <v>KEEP</v>
      </c>
      <c r="AD2057" s="7" t="str">
        <f aca="false">IF(TRIM(F2057)="",IFERROR(INDEX(Map_Tables!$I$4:$I$37,MATCH(TRIM(E2057),Map_Tables!$G$4:$G$37,0)),""),IFERROR(INDEX(Map_Tables!$B$4:$B$18,MATCH(TRIM(F2057),Map_Tables!$A$4:$A$18,0)),"CHECK"))</f>
        <v>Chennai</v>
      </c>
      <c r="AE2057" s="7" t="str">
        <f aca="false">IF(TRIM(E2057)="","",IFERROR(INDEX(Map_Tables!$H$4:$H$37,MATCH(TRIM(E2057),Map_Tables!$G$4:$G$37,0)),"CHECK"))</f>
        <v>Green Bowl Kitchen</v>
      </c>
      <c r="AF2057" s="7" t="str">
        <f aca="false">IF(TRIM(K2057)="","Unknown",IFERROR(INDEX(Map_Tables!$E$4:$E$15,MATCH(TRIM(K2057),Map_Tables!$D$4:$D$15,0)),"CHECK"))</f>
        <v>UPI</v>
      </c>
      <c r="AG2057" s="7" t="str">
        <f aca="false">IF(LEFT(LOWER(TRIM(L2057)),6)="cancel","Cancelled","Delivered")</f>
        <v>Delivered</v>
      </c>
      <c r="AH2057" s="10" t="n">
        <f aca="false">IF(ISNUMBER(SEARCH("/",B2057)),DATE(VALUE(RIGHT(B2057,4)),VALUE(MID(B2057,4,2)),VALUE(LEFT(B2057,2))),IF(MID(B2057,5,1)="-",DATE(VALUE(LEFT(B2057,4)),VALUE(MID(B2057,6,2)),VALUE(RIGHT(B2057,2))),DATE(VALUE(RIGHT(B2057,4)),MATCH(MID(B2057,4,3),{"Jan","Feb","Mar","Apr","May","Jun","Jul","Aug","Sep","Oct","Nov","Dec"},0),VALUE(LEFT(B2057,2)))))</f>
        <v>45914</v>
      </c>
    </row>
    <row r="2058" customFormat="false" ht="15" hidden="false" customHeight="false" outlineLevel="0" collapsed="false">
      <c r="A2058" s="7" t="s">
        <v>4840</v>
      </c>
      <c r="B2058" s="7" t="s">
        <v>515</v>
      </c>
      <c r="C2058" s="7" t="s">
        <v>996</v>
      </c>
      <c r="D2058" s="7" t="s">
        <v>4841</v>
      </c>
      <c r="E2058" s="7" t="s">
        <v>159</v>
      </c>
      <c r="F2058" s="7" t="s">
        <v>136</v>
      </c>
      <c r="G2058" s="7" t="s">
        <v>90</v>
      </c>
      <c r="H2058" s="7" t="n">
        <v>1</v>
      </c>
      <c r="I2058" s="7" t="n">
        <v>200</v>
      </c>
      <c r="J2058" s="7" t="n">
        <v>0</v>
      </c>
      <c r="K2058" s="7" t="s">
        <v>112</v>
      </c>
      <c r="L2058" s="7" t="s">
        <v>194</v>
      </c>
      <c r="M2058" s="7" t="n">
        <v>35</v>
      </c>
      <c r="N2058" s="7" t="n">
        <v>5</v>
      </c>
      <c r="O2058" s="7" t="str">
        <f aca="false">A2058&amp;"|"&amp;B2058&amp;"|"&amp;C2058&amp;"|"&amp;D2058&amp;"|"&amp;E2058&amp;"|"&amp;F2058&amp;"|"&amp;G2058&amp;"|"&amp;H2058&amp;"|"&amp;I2058&amp;"|"&amp;J2058&amp;"|"&amp;K2058&amp;"|"&amp;L2058&amp;"|"&amp;M2058&amp;"|"&amp;N2058</f>
        <v>ORD10262|2025-02-04|12:06|C0531|Maratha Thali House|Pune|North Indian|1|200|0|Cash on Delivery|Delivered|35|5</v>
      </c>
      <c r="P2058" s="7" t="str">
        <f aca="false">IF(COUNTIF($O$2:O2058,O2058)&gt;1,"DUP","OK")</f>
        <v>OK</v>
      </c>
      <c r="Q2058" s="7" t="n">
        <f aca="false">COUNTBLANK(A2058:N2058)</f>
        <v>0</v>
      </c>
      <c r="R2058" s="7" t="n">
        <f aca="false">IF(A2058="",0,COUNTIFS($A$2:$A$3058,A2058,$P$2:$P$3058,"OK"))</f>
        <v>1</v>
      </c>
      <c r="S2058" s="7" t="str">
        <f aca="false">IF(OR(A2058="",P2058="DUP",R2058&lt;2),"",IF(Q2058=_xlfn.MINIFS($Q$2:$Q$3058,$A$2:$A$3058,A2058,$P$2:$P$3058,"OK"),"KEEP","DROP"))</f>
        <v/>
      </c>
      <c r="T2058" s="9" t="n">
        <f aca="false">IF(A2058="",1,0)</f>
        <v>0</v>
      </c>
      <c r="U2058" s="9" t="n">
        <f aca="false">IF(D2058="",1,0)</f>
        <v>0</v>
      </c>
      <c r="V2058" s="9" t="n">
        <f aca="false">IF(E2058="",1,0)</f>
        <v>0</v>
      </c>
      <c r="W2058" s="9" t="n">
        <f aca="false">IF(OR(H2058&lt;1,H2058&gt;10),1,0)</f>
        <v>0</v>
      </c>
      <c r="X2058" s="9" t="n">
        <f aca="false">IF(OR(I2058&lt;=0,I2058&gt;1500),1,0)</f>
        <v>0</v>
      </c>
      <c r="Y2058" s="9" t="n">
        <f aca="false">IF(J2058&gt;H2058*I2058,1,0)</f>
        <v>0</v>
      </c>
      <c r="Z2058" s="9" t="n">
        <f aca="false">IF(AND(N2058&lt;&gt;"",OR(N2058&lt;1,N2058&gt;5)),1,0)</f>
        <v>0</v>
      </c>
      <c r="AA2058" s="9" t="n">
        <f aca="false">IF(AND(M2058&lt;&gt;"",OR(M2058&lt;5,M2058&gt;180)),1,0)</f>
        <v>0</v>
      </c>
      <c r="AB2058" s="7" t="str">
        <f aca="false">IF(P2058="DUP","Exact duplicate row",IF(T2058=1,"Missing Order ID",IF(S2058="DROP","Duplicate Order ID (less complete row)",IF(U2058=1,"Missing Customer ID",IF(V2058=1,"Missing Restaurant name",IF(W2058=1,"Invalid/outlier quantity",IF(X2058=1,"Invalid/outlier unit price",IF(Y2058=1,"Discount greater than order value",""))))))))</f>
        <v/>
      </c>
      <c r="AC2058" s="7" t="str">
        <f aca="false">IF(AB2058="","KEEP","DROP")</f>
        <v>KEEP</v>
      </c>
      <c r="AD2058" s="7" t="str">
        <f aca="false">IF(TRIM(F2058)="",IFERROR(INDEX(Map_Tables!$I$4:$I$37,MATCH(TRIM(E2058),Map_Tables!$G$4:$G$37,0)),""),IFERROR(INDEX(Map_Tables!$B$4:$B$18,MATCH(TRIM(F2058),Map_Tables!$A$4:$A$18,0)),"CHECK"))</f>
        <v>Pune</v>
      </c>
      <c r="AE2058" s="7" t="str">
        <f aca="false">IF(TRIM(E2058)="","",IFERROR(INDEX(Map_Tables!$H$4:$H$37,MATCH(TRIM(E2058),Map_Tables!$G$4:$G$37,0)),"CHECK"))</f>
        <v>Maratha Thali House</v>
      </c>
      <c r="AF2058" s="7" t="str">
        <f aca="false">IF(TRIM(K2058)="","Unknown",IFERROR(INDEX(Map_Tables!$E$4:$E$15,MATCH(TRIM(K2058),Map_Tables!$D$4:$D$15,0)),"CHECK"))</f>
        <v>Cash on Delivery</v>
      </c>
      <c r="AG2058" s="7" t="str">
        <f aca="false">IF(LEFT(LOWER(TRIM(L2058)),6)="cancel","Cancelled","Delivered")</f>
        <v>Delivered</v>
      </c>
      <c r="AH2058" s="10" t="n">
        <f aca="false">IF(ISNUMBER(SEARCH("/",B2058)),DATE(VALUE(RIGHT(B2058,4)),VALUE(MID(B2058,4,2)),VALUE(LEFT(B2058,2))),IF(MID(B2058,5,1)="-",DATE(VALUE(LEFT(B2058,4)),VALUE(MID(B2058,6,2)),VALUE(RIGHT(B2058,2))),DATE(VALUE(RIGHT(B2058,4)),MATCH(MID(B2058,4,3),{"Jan","Feb","Mar","Apr","May","Jun","Jul","Aug","Sep","Oct","Nov","Dec"},0),VALUE(LEFT(B2058,2)))))</f>
        <v>45692</v>
      </c>
    </row>
    <row r="2059" customFormat="false" ht="15" hidden="false" customHeight="false" outlineLevel="0" collapsed="false">
      <c r="A2059" s="7" t="s">
        <v>4842</v>
      </c>
      <c r="B2059" s="7" t="s">
        <v>283</v>
      </c>
      <c r="C2059" s="7" t="s">
        <v>2133</v>
      </c>
      <c r="D2059" s="7" t="s">
        <v>1225</v>
      </c>
      <c r="E2059" s="7" t="s">
        <v>168</v>
      </c>
      <c r="F2059" s="7" t="s">
        <v>146</v>
      </c>
      <c r="G2059" s="7" t="s">
        <v>123</v>
      </c>
      <c r="H2059" s="7" t="n">
        <v>2</v>
      </c>
      <c r="I2059" s="7" t="n">
        <v>355</v>
      </c>
      <c r="J2059" s="7" t="n">
        <v>50</v>
      </c>
      <c r="K2059" s="7" t="s">
        <v>87</v>
      </c>
      <c r="L2059" s="7" t="s">
        <v>194</v>
      </c>
      <c r="M2059" s="7" t="n">
        <v>38</v>
      </c>
      <c r="N2059" s="7" t="n">
        <v>3</v>
      </c>
      <c r="O2059" s="7" t="str">
        <f aca="false">A2059&amp;"|"&amp;B2059&amp;"|"&amp;C2059&amp;"|"&amp;D2059&amp;"|"&amp;E2059&amp;"|"&amp;F2059&amp;"|"&amp;G2059&amp;"|"&amp;H2059&amp;"|"&amp;I2059&amp;"|"&amp;J2059&amp;"|"&amp;K2059&amp;"|"&amp;L2059&amp;"|"&amp;M2059&amp;"|"&amp;N2059</f>
        <v>ORD12446|2025-11-03|22:36|C0034|Cheesy Slice|Ahmedabad|Pizza|2|355|50|upi|Delivered|38|3</v>
      </c>
      <c r="P2059" s="7" t="str">
        <f aca="false">IF(COUNTIF($O$2:O2059,O2059)&gt;1,"DUP","OK")</f>
        <v>OK</v>
      </c>
      <c r="Q2059" s="7" t="n">
        <f aca="false">COUNTBLANK(A2059:N2059)</f>
        <v>0</v>
      </c>
      <c r="R2059" s="7" t="n">
        <f aca="false">IF(A2059="",0,COUNTIFS($A$2:$A$3058,A2059,$P$2:$P$3058,"OK"))</f>
        <v>1</v>
      </c>
      <c r="S2059" s="7" t="str">
        <f aca="false">IF(OR(A2059="",P2059="DUP",R2059&lt;2),"",IF(Q2059=_xlfn.MINIFS($Q$2:$Q$3058,$A$2:$A$3058,A2059,$P$2:$P$3058,"OK"),"KEEP","DROP"))</f>
        <v/>
      </c>
      <c r="T2059" s="9" t="n">
        <f aca="false">IF(A2059="",1,0)</f>
        <v>0</v>
      </c>
      <c r="U2059" s="9" t="n">
        <f aca="false">IF(D2059="",1,0)</f>
        <v>0</v>
      </c>
      <c r="V2059" s="9" t="n">
        <f aca="false">IF(E2059="",1,0)</f>
        <v>0</v>
      </c>
      <c r="W2059" s="9" t="n">
        <f aca="false">IF(OR(H2059&lt;1,H2059&gt;10),1,0)</f>
        <v>0</v>
      </c>
      <c r="X2059" s="9" t="n">
        <f aca="false">IF(OR(I2059&lt;=0,I2059&gt;1500),1,0)</f>
        <v>0</v>
      </c>
      <c r="Y2059" s="9" t="n">
        <f aca="false">IF(J2059&gt;H2059*I2059,1,0)</f>
        <v>0</v>
      </c>
      <c r="Z2059" s="9" t="n">
        <f aca="false">IF(AND(N2059&lt;&gt;"",OR(N2059&lt;1,N2059&gt;5)),1,0)</f>
        <v>0</v>
      </c>
      <c r="AA2059" s="9" t="n">
        <f aca="false">IF(AND(M2059&lt;&gt;"",OR(M2059&lt;5,M2059&gt;180)),1,0)</f>
        <v>0</v>
      </c>
      <c r="AB2059" s="7" t="str">
        <f aca="false">IF(P2059="DUP","Exact duplicate row",IF(T2059=1,"Missing Order ID",IF(S2059="DROP","Duplicate Order ID (less complete row)",IF(U2059=1,"Missing Customer ID",IF(V2059=1,"Missing Restaurant name",IF(W2059=1,"Invalid/outlier quantity",IF(X2059=1,"Invalid/outlier unit price",IF(Y2059=1,"Discount greater than order value",""))))))))</f>
        <v/>
      </c>
      <c r="AC2059" s="7" t="str">
        <f aca="false">IF(AB2059="","KEEP","DROP")</f>
        <v>KEEP</v>
      </c>
      <c r="AD2059" s="7" t="str">
        <f aca="false">IF(TRIM(F2059)="",IFERROR(INDEX(Map_Tables!$I$4:$I$37,MATCH(TRIM(E2059),Map_Tables!$G$4:$G$37,0)),""),IFERROR(INDEX(Map_Tables!$B$4:$B$18,MATCH(TRIM(F2059),Map_Tables!$A$4:$A$18,0)),"CHECK"))</f>
        <v>Ahmedabad</v>
      </c>
      <c r="AE2059" s="7" t="str">
        <f aca="false">IF(TRIM(E2059)="","",IFERROR(INDEX(Map_Tables!$H$4:$H$37,MATCH(TRIM(E2059),Map_Tables!$G$4:$G$37,0)),"CHECK"))</f>
        <v>Cheesy Slice</v>
      </c>
      <c r="AF2059" s="7" t="str">
        <f aca="false">IF(TRIM(K2059)="","Unknown",IFERROR(INDEX(Map_Tables!$E$4:$E$15,MATCH(TRIM(K2059),Map_Tables!$D$4:$D$15,0)),"CHECK"))</f>
        <v>UPI</v>
      </c>
      <c r="AG2059" s="7" t="str">
        <f aca="false">IF(LEFT(LOWER(TRIM(L2059)),6)="cancel","Cancelled","Delivered")</f>
        <v>Delivered</v>
      </c>
      <c r="AH2059" s="10" t="n">
        <f aca="false">IF(ISNUMBER(SEARCH("/",B2059)),DATE(VALUE(RIGHT(B2059,4)),VALUE(MID(B2059,4,2)),VALUE(LEFT(B2059,2))),IF(MID(B2059,5,1)="-",DATE(VALUE(LEFT(B2059,4)),VALUE(MID(B2059,6,2)),VALUE(RIGHT(B2059,2))),DATE(VALUE(RIGHT(B2059,4)),MATCH(MID(B2059,4,3),{"Jan","Feb","Mar","Apr","May","Jun","Jul","Aug","Sep","Oct","Nov","Dec"},0),VALUE(LEFT(B2059,2)))))</f>
        <v>45964</v>
      </c>
    </row>
    <row r="2060" customFormat="false" ht="15" hidden="false" customHeight="false" outlineLevel="0" collapsed="false">
      <c r="A2060" s="7" t="s">
        <v>4843</v>
      </c>
      <c r="B2060" s="7" t="s">
        <v>1383</v>
      </c>
      <c r="C2060" s="7" t="s">
        <v>588</v>
      </c>
      <c r="D2060" s="7" t="s">
        <v>4576</v>
      </c>
      <c r="E2060" s="7" t="s">
        <v>138</v>
      </c>
      <c r="F2060" s="7" t="s">
        <v>110</v>
      </c>
      <c r="G2060" s="7" t="s">
        <v>139</v>
      </c>
      <c r="H2060" s="7" t="n">
        <v>2</v>
      </c>
      <c r="I2060" s="7" t="n">
        <v>155</v>
      </c>
      <c r="J2060" s="7" t="n">
        <v>0</v>
      </c>
      <c r="K2060" s="7" t="s">
        <v>88</v>
      </c>
      <c r="L2060" s="7" t="s">
        <v>194</v>
      </c>
      <c r="M2060" s="7" t="n">
        <v>43</v>
      </c>
      <c r="N2060" s="7" t="n">
        <v>4</v>
      </c>
      <c r="O2060" s="7" t="str">
        <f aca="false">A2060&amp;"|"&amp;B2060&amp;"|"&amp;C2060&amp;"|"&amp;D2060&amp;"|"&amp;E2060&amp;"|"&amp;F2060&amp;"|"&amp;G2060&amp;"|"&amp;H2060&amp;"|"&amp;I2060&amp;"|"&amp;J2060&amp;"|"&amp;K2060&amp;"|"&amp;L2060&amp;"|"&amp;M2060&amp;"|"&amp;N2060</f>
        <v>ORD12467|06/11/2025|12:31|C0235|Burger Barn|Delhi|Burgers|2|155|0|UPI|Delivered|43|4</v>
      </c>
      <c r="P2060" s="7" t="str">
        <f aca="false">IF(COUNTIF($O$2:O2060,O2060)&gt;1,"DUP","OK")</f>
        <v>OK</v>
      </c>
      <c r="Q2060" s="7" t="n">
        <f aca="false">COUNTBLANK(A2060:N2060)</f>
        <v>0</v>
      </c>
      <c r="R2060" s="7" t="n">
        <f aca="false">IF(A2060="",0,COUNTIFS($A$2:$A$3058,A2060,$P$2:$P$3058,"OK"))</f>
        <v>1</v>
      </c>
      <c r="S2060" s="7" t="str">
        <f aca="false">IF(OR(A2060="",P2060="DUP",R2060&lt;2),"",IF(Q2060=_xlfn.MINIFS($Q$2:$Q$3058,$A$2:$A$3058,A2060,$P$2:$P$3058,"OK"),"KEEP","DROP"))</f>
        <v/>
      </c>
      <c r="T2060" s="9" t="n">
        <f aca="false">IF(A2060="",1,0)</f>
        <v>0</v>
      </c>
      <c r="U2060" s="9" t="n">
        <f aca="false">IF(D2060="",1,0)</f>
        <v>0</v>
      </c>
      <c r="V2060" s="9" t="n">
        <f aca="false">IF(E2060="",1,0)</f>
        <v>0</v>
      </c>
      <c r="W2060" s="9" t="n">
        <f aca="false">IF(OR(H2060&lt;1,H2060&gt;10),1,0)</f>
        <v>0</v>
      </c>
      <c r="X2060" s="9" t="n">
        <f aca="false">IF(OR(I2060&lt;=0,I2060&gt;1500),1,0)</f>
        <v>0</v>
      </c>
      <c r="Y2060" s="9" t="n">
        <f aca="false">IF(J2060&gt;H2060*I2060,1,0)</f>
        <v>0</v>
      </c>
      <c r="Z2060" s="9" t="n">
        <f aca="false">IF(AND(N2060&lt;&gt;"",OR(N2060&lt;1,N2060&gt;5)),1,0)</f>
        <v>0</v>
      </c>
      <c r="AA2060" s="9" t="n">
        <f aca="false">IF(AND(M2060&lt;&gt;"",OR(M2060&lt;5,M2060&gt;180)),1,0)</f>
        <v>0</v>
      </c>
      <c r="AB2060" s="7" t="str">
        <f aca="false">IF(P2060="DUP","Exact duplicate row",IF(T2060=1,"Missing Order ID",IF(S2060="DROP","Duplicate Order ID (less complete row)",IF(U2060=1,"Missing Customer ID",IF(V2060=1,"Missing Restaurant name",IF(W2060=1,"Invalid/outlier quantity",IF(X2060=1,"Invalid/outlier unit price",IF(Y2060=1,"Discount greater than order value",""))))))))</f>
        <v/>
      </c>
      <c r="AC2060" s="7" t="str">
        <f aca="false">IF(AB2060="","KEEP","DROP")</f>
        <v>KEEP</v>
      </c>
      <c r="AD2060" s="7" t="str">
        <f aca="false">IF(TRIM(F2060)="",IFERROR(INDEX(Map_Tables!$I$4:$I$37,MATCH(TRIM(E2060),Map_Tables!$G$4:$G$37,0)),""),IFERROR(INDEX(Map_Tables!$B$4:$B$18,MATCH(TRIM(F2060),Map_Tables!$A$4:$A$18,0)),"CHECK"))</f>
        <v>Delhi</v>
      </c>
      <c r="AE2060" s="7" t="str">
        <f aca="false">IF(TRIM(E2060)="","",IFERROR(INDEX(Map_Tables!$H$4:$H$37,MATCH(TRIM(E2060),Map_Tables!$G$4:$G$37,0)),"CHECK"))</f>
        <v>Burger Barn</v>
      </c>
      <c r="AF2060" s="7" t="str">
        <f aca="false">IF(TRIM(K2060)="","Unknown",IFERROR(INDEX(Map_Tables!$E$4:$E$15,MATCH(TRIM(K2060),Map_Tables!$D$4:$D$15,0)),"CHECK"))</f>
        <v>UPI</v>
      </c>
      <c r="AG2060" s="7" t="str">
        <f aca="false">IF(LEFT(LOWER(TRIM(L2060)),6)="cancel","Cancelled","Delivered")</f>
        <v>Delivered</v>
      </c>
      <c r="AH2060" s="10" t="n">
        <f aca="false">IF(ISNUMBER(SEARCH("/",B2060)),DATE(VALUE(RIGHT(B2060,4)),VALUE(MID(B2060,4,2)),VALUE(LEFT(B2060,2))),IF(MID(B2060,5,1)="-",DATE(VALUE(LEFT(B2060,4)),VALUE(MID(B2060,6,2)),VALUE(RIGHT(B2060,2))),DATE(VALUE(RIGHT(B2060,4)),MATCH(MID(B2060,4,3),{"Jan","Feb","Mar","Apr","May","Jun","Jul","Aug","Sep","Oct","Nov","Dec"},0),VALUE(LEFT(B2060,2)))))</f>
        <v>45967</v>
      </c>
    </row>
    <row r="2061" customFormat="false" ht="15" hidden="false" customHeight="false" outlineLevel="0" collapsed="false">
      <c r="A2061" s="7" t="s">
        <v>4844</v>
      </c>
      <c r="B2061" s="7" t="s">
        <v>1373</v>
      </c>
      <c r="C2061" s="7" t="s">
        <v>2770</v>
      </c>
      <c r="D2061" s="7" t="s">
        <v>4436</v>
      </c>
      <c r="E2061" s="7" t="s">
        <v>130</v>
      </c>
      <c r="F2061" s="7" t="s">
        <v>110</v>
      </c>
      <c r="G2061" s="7" t="s">
        <v>90</v>
      </c>
      <c r="H2061" s="7" t="n">
        <v>2</v>
      </c>
      <c r="I2061" s="7" t="n">
        <v>275</v>
      </c>
      <c r="J2061" s="7" t="n">
        <v>50</v>
      </c>
      <c r="K2061" s="7" t="s">
        <v>88</v>
      </c>
      <c r="L2061" s="7" t="s">
        <v>194</v>
      </c>
      <c r="M2061" s="7" t="n">
        <v>38</v>
      </c>
      <c r="N2061" s="7" t="n">
        <v>5</v>
      </c>
      <c r="O2061" s="7" t="str">
        <f aca="false">A2061&amp;"|"&amp;B2061&amp;"|"&amp;C2061&amp;"|"&amp;D2061&amp;"|"&amp;E2061&amp;"|"&amp;F2061&amp;"|"&amp;G2061&amp;"|"&amp;H2061&amp;"|"&amp;I2061&amp;"|"&amp;J2061&amp;"|"&amp;K2061&amp;"|"&amp;L2061&amp;"|"&amp;M2061&amp;"|"&amp;N2061</f>
        <v>ORD11890|2025-09-03|15:56|C0251|Tandoor Tales|Delhi|North Indian|2|275|50|UPI|Delivered|38|5</v>
      </c>
      <c r="P2061" s="7" t="str">
        <f aca="false">IF(COUNTIF($O$2:O2061,O2061)&gt;1,"DUP","OK")</f>
        <v>OK</v>
      </c>
      <c r="Q2061" s="7" t="n">
        <f aca="false">COUNTBLANK(A2061:N2061)</f>
        <v>0</v>
      </c>
      <c r="R2061" s="7" t="n">
        <f aca="false">IF(A2061="",0,COUNTIFS($A$2:$A$3058,A2061,$P$2:$P$3058,"OK"))</f>
        <v>1</v>
      </c>
      <c r="S2061" s="7" t="str">
        <f aca="false">IF(OR(A2061="",P2061="DUP",R2061&lt;2),"",IF(Q2061=_xlfn.MINIFS($Q$2:$Q$3058,$A$2:$A$3058,A2061,$P$2:$P$3058,"OK"),"KEEP","DROP"))</f>
        <v/>
      </c>
      <c r="T2061" s="9" t="n">
        <f aca="false">IF(A2061="",1,0)</f>
        <v>0</v>
      </c>
      <c r="U2061" s="9" t="n">
        <f aca="false">IF(D2061="",1,0)</f>
        <v>0</v>
      </c>
      <c r="V2061" s="9" t="n">
        <f aca="false">IF(E2061="",1,0)</f>
        <v>0</v>
      </c>
      <c r="W2061" s="9" t="n">
        <f aca="false">IF(OR(H2061&lt;1,H2061&gt;10),1,0)</f>
        <v>0</v>
      </c>
      <c r="X2061" s="9" t="n">
        <f aca="false">IF(OR(I2061&lt;=0,I2061&gt;1500),1,0)</f>
        <v>0</v>
      </c>
      <c r="Y2061" s="9" t="n">
        <f aca="false">IF(J2061&gt;H2061*I2061,1,0)</f>
        <v>0</v>
      </c>
      <c r="Z2061" s="9" t="n">
        <f aca="false">IF(AND(N2061&lt;&gt;"",OR(N2061&lt;1,N2061&gt;5)),1,0)</f>
        <v>0</v>
      </c>
      <c r="AA2061" s="9" t="n">
        <f aca="false">IF(AND(M2061&lt;&gt;"",OR(M2061&lt;5,M2061&gt;180)),1,0)</f>
        <v>0</v>
      </c>
      <c r="AB2061" s="7" t="str">
        <f aca="false">IF(P2061="DUP","Exact duplicate row",IF(T2061=1,"Missing Order ID",IF(S2061="DROP","Duplicate Order ID (less complete row)",IF(U2061=1,"Missing Customer ID",IF(V2061=1,"Missing Restaurant name",IF(W2061=1,"Invalid/outlier quantity",IF(X2061=1,"Invalid/outlier unit price",IF(Y2061=1,"Discount greater than order value",""))))))))</f>
        <v/>
      </c>
      <c r="AC2061" s="7" t="str">
        <f aca="false">IF(AB2061="","KEEP","DROP")</f>
        <v>KEEP</v>
      </c>
      <c r="AD2061" s="7" t="str">
        <f aca="false">IF(TRIM(F2061)="",IFERROR(INDEX(Map_Tables!$I$4:$I$37,MATCH(TRIM(E2061),Map_Tables!$G$4:$G$37,0)),""),IFERROR(INDEX(Map_Tables!$B$4:$B$18,MATCH(TRIM(F2061),Map_Tables!$A$4:$A$18,0)),"CHECK"))</f>
        <v>Delhi</v>
      </c>
      <c r="AE2061" s="7" t="str">
        <f aca="false">IF(TRIM(E2061)="","",IFERROR(INDEX(Map_Tables!$H$4:$H$37,MATCH(TRIM(E2061),Map_Tables!$G$4:$G$37,0)),"CHECK"))</f>
        <v>Tandoor Tales</v>
      </c>
      <c r="AF2061" s="7" t="str">
        <f aca="false">IF(TRIM(K2061)="","Unknown",IFERROR(INDEX(Map_Tables!$E$4:$E$15,MATCH(TRIM(K2061),Map_Tables!$D$4:$D$15,0)),"CHECK"))</f>
        <v>UPI</v>
      </c>
      <c r="AG2061" s="7" t="str">
        <f aca="false">IF(LEFT(LOWER(TRIM(L2061)),6)="cancel","Cancelled","Delivered")</f>
        <v>Delivered</v>
      </c>
      <c r="AH2061" s="10" t="n">
        <f aca="false">IF(ISNUMBER(SEARCH("/",B2061)),DATE(VALUE(RIGHT(B2061,4)),VALUE(MID(B2061,4,2)),VALUE(LEFT(B2061,2))),IF(MID(B2061,5,1)="-",DATE(VALUE(LEFT(B2061,4)),VALUE(MID(B2061,6,2)),VALUE(RIGHT(B2061,2))),DATE(VALUE(RIGHT(B2061,4)),MATCH(MID(B2061,4,3),{"Jan","Feb","Mar","Apr","May","Jun","Jul","Aug","Sep","Oct","Nov","Dec"},0),VALUE(LEFT(B2061,2)))))</f>
        <v>45903</v>
      </c>
    </row>
    <row r="2062" customFormat="false" ht="15" hidden="false" customHeight="false" outlineLevel="0" collapsed="false">
      <c r="A2062" s="7" t="s">
        <v>4845</v>
      </c>
      <c r="B2062" s="7" t="s">
        <v>2275</v>
      </c>
      <c r="C2062" s="7" t="s">
        <v>2292</v>
      </c>
      <c r="D2062" s="7" t="s">
        <v>1302</v>
      </c>
      <c r="E2062" s="7" t="s">
        <v>159</v>
      </c>
      <c r="F2062" s="7" t="s">
        <v>136</v>
      </c>
      <c r="G2062" s="7" t="s">
        <v>90</v>
      </c>
      <c r="H2062" s="7" t="n">
        <v>1</v>
      </c>
      <c r="I2062" s="7" t="n">
        <v>205</v>
      </c>
      <c r="J2062" s="7" t="n">
        <v>0</v>
      </c>
      <c r="K2062" s="7" t="s">
        <v>526</v>
      </c>
      <c r="L2062" s="7" t="s">
        <v>194</v>
      </c>
      <c r="M2062" s="7" t="n">
        <v>36</v>
      </c>
      <c r="N2062" s="7" t="n">
        <v>4</v>
      </c>
      <c r="O2062" s="7" t="str">
        <f aca="false">A2062&amp;"|"&amp;B2062&amp;"|"&amp;C2062&amp;"|"&amp;D2062&amp;"|"&amp;E2062&amp;"|"&amp;F2062&amp;"|"&amp;G2062&amp;"|"&amp;H2062&amp;"|"&amp;I2062&amp;"|"&amp;J2062&amp;"|"&amp;K2062&amp;"|"&amp;L2062&amp;"|"&amp;M2062&amp;"|"&amp;N2062</f>
        <v>ORD12395|2025-10-29|20:11|C1347|Maratha Thali House|Pune|North Indian|1|205|0|DC|Delivered|36|4</v>
      </c>
      <c r="P2062" s="7" t="str">
        <f aca="false">IF(COUNTIF($O$2:O2062,O2062)&gt;1,"DUP","OK")</f>
        <v>OK</v>
      </c>
      <c r="Q2062" s="7" t="n">
        <f aca="false">COUNTBLANK(A2062:N2062)</f>
        <v>0</v>
      </c>
      <c r="R2062" s="7" t="n">
        <f aca="false">IF(A2062="",0,COUNTIFS($A$2:$A$3058,A2062,$P$2:$P$3058,"OK"))</f>
        <v>1</v>
      </c>
      <c r="S2062" s="7" t="str">
        <f aca="false">IF(OR(A2062="",P2062="DUP",R2062&lt;2),"",IF(Q2062=_xlfn.MINIFS($Q$2:$Q$3058,$A$2:$A$3058,A2062,$P$2:$P$3058,"OK"),"KEEP","DROP"))</f>
        <v/>
      </c>
      <c r="T2062" s="9" t="n">
        <f aca="false">IF(A2062="",1,0)</f>
        <v>0</v>
      </c>
      <c r="U2062" s="9" t="n">
        <f aca="false">IF(D2062="",1,0)</f>
        <v>0</v>
      </c>
      <c r="V2062" s="9" t="n">
        <f aca="false">IF(E2062="",1,0)</f>
        <v>0</v>
      </c>
      <c r="W2062" s="9" t="n">
        <f aca="false">IF(OR(H2062&lt;1,H2062&gt;10),1,0)</f>
        <v>0</v>
      </c>
      <c r="X2062" s="9" t="n">
        <f aca="false">IF(OR(I2062&lt;=0,I2062&gt;1500),1,0)</f>
        <v>0</v>
      </c>
      <c r="Y2062" s="9" t="n">
        <f aca="false">IF(J2062&gt;H2062*I2062,1,0)</f>
        <v>0</v>
      </c>
      <c r="Z2062" s="9" t="n">
        <f aca="false">IF(AND(N2062&lt;&gt;"",OR(N2062&lt;1,N2062&gt;5)),1,0)</f>
        <v>0</v>
      </c>
      <c r="AA2062" s="9" t="n">
        <f aca="false">IF(AND(M2062&lt;&gt;"",OR(M2062&lt;5,M2062&gt;180)),1,0)</f>
        <v>0</v>
      </c>
      <c r="AB2062" s="7" t="str">
        <f aca="false">IF(P2062="DUP","Exact duplicate row",IF(T2062=1,"Missing Order ID",IF(S2062="DROP","Duplicate Order ID (less complete row)",IF(U2062=1,"Missing Customer ID",IF(V2062=1,"Missing Restaurant name",IF(W2062=1,"Invalid/outlier quantity",IF(X2062=1,"Invalid/outlier unit price",IF(Y2062=1,"Discount greater than order value",""))))))))</f>
        <v/>
      </c>
      <c r="AC2062" s="7" t="str">
        <f aca="false">IF(AB2062="","KEEP","DROP")</f>
        <v>KEEP</v>
      </c>
      <c r="AD2062" s="7" t="str">
        <f aca="false">IF(TRIM(F2062)="",IFERROR(INDEX(Map_Tables!$I$4:$I$37,MATCH(TRIM(E2062),Map_Tables!$G$4:$G$37,0)),""),IFERROR(INDEX(Map_Tables!$B$4:$B$18,MATCH(TRIM(F2062),Map_Tables!$A$4:$A$18,0)),"CHECK"))</f>
        <v>Pune</v>
      </c>
      <c r="AE2062" s="7" t="str">
        <f aca="false">IF(TRIM(E2062)="","",IFERROR(INDEX(Map_Tables!$H$4:$H$37,MATCH(TRIM(E2062),Map_Tables!$G$4:$G$37,0)),"CHECK"))</f>
        <v>Maratha Thali House</v>
      </c>
      <c r="AF2062" s="7" t="str">
        <f aca="false">IF(TRIM(K2062)="","Unknown",IFERROR(INDEX(Map_Tables!$E$4:$E$15,MATCH(TRIM(K2062),Map_Tables!$D$4:$D$15,0)),"CHECK"))</f>
        <v>Debit Card</v>
      </c>
      <c r="AG2062" s="7" t="str">
        <f aca="false">IF(LEFT(LOWER(TRIM(L2062)),6)="cancel","Cancelled","Delivered")</f>
        <v>Delivered</v>
      </c>
      <c r="AH2062" s="10" t="n">
        <f aca="false">IF(ISNUMBER(SEARCH("/",B2062)),DATE(VALUE(RIGHT(B2062,4)),VALUE(MID(B2062,4,2)),VALUE(LEFT(B2062,2))),IF(MID(B2062,5,1)="-",DATE(VALUE(LEFT(B2062,4)),VALUE(MID(B2062,6,2)),VALUE(RIGHT(B2062,2))),DATE(VALUE(RIGHT(B2062,4)),MATCH(MID(B2062,4,3),{"Jan","Feb","Mar","Apr","May","Jun","Jul","Aug","Sep","Oct","Nov","Dec"},0),VALUE(LEFT(B2062,2)))))</f>
        <v>45959</v>
      </c>
    </row>
    <row r="2063" customFormat="false" ht="15" hidden="false" customHeight="false" outlineLevel="0" collapsed="false">
      <c r="A2063" s="7" t="s">
        <v>4846</v>
      </c>
      <c r="B2063" s="7" t="s">
        <v>4847</v>
      </c>
      <c r="C2063" s="7" t="s">
        <v>276</v>
      </c>
      <c r="D2063" s="7" t="s">
        <v>1598</v>
      </c>
      <c r="E2063" s="7" t="s">
        <v>94</v>
      </c>
      <c r="F2063" s="7" t="s">
        <v>86</v>
      </c>
      <c r="G2063" s="7" t="s">
        <v>95</v>
      </c>
      <c r="H2063" s="7" t="n">
        <v>1</v>
      </c>
      <c r="I2063" s="7" t="n">
        <v>130</v>
      </c>
      <c r="J2063" s="7" t="n">
        <v>0</v>
      </c>
      <c r="K2063" s="7" t="s">
        <v>103</v>
      </c>
      <c r="L2063" s="7" t="s">
        <v>194</v>
      </c>
      <c r="M2063" s="7" t="n">
        <v>34</v>
      </c>
      <c r="N2063" s="7" t="n">
        <v>3</v>
      </c>
      <c r="O2063" s="7" t="str">
        <f aca="false">A2063&amp;"|"&amp;B2063&amp;"|"&amp;C2063&amp;"|"&amp;D2063&amp;"|"&amp;E2063&amp;"|"&amp;F2063&amp;"|"&amp;G2063&amp;"|"&amp;H2063&amp;"|"&amp;I2063&amp;"|"&amp;J2063&amp;"|"&amp;K2063&amp;"|"&amp;L2063&amp;"|"&amp;M2063&amp;"|"&amp;N2063</f>
        <v>ORD12463|05/11/2025|20:51|C1178|Dosa Darbar|Bengaluru|South Indian|1|130|0|Debit Card|Delivered|34|3</v>
      </c>
      <c r="P2063" s="7" t="str">
        <f aca="false">IF(COUNTIF($O$2:O2063,O2063)&gt;1,"DUP","OK")</f>
        <v>OK</v>
      </c>
      <c r="Q2063" s="7" t="n">
        <f aca="false">COUNTBLANK(A2063:N2063)</f>
        <v>0</v>
      </c>
      <c r="R2063" s="7" t="n">
        <f aca="false">IF(A2063="",0,COUNTIFS($A$2:$A$3058,A2063,$P$2:$P$3058,"OK"))</f>
        <v>1</v>
      </c>
      <c r="S2063" s="7" t="str">
        <f aca="false">IF(OR(A2063="",P2063="DUP",R2063&lt;2),"",IF(Q2063=_xlfn.MINIFS($Q$2:$Q$3058,$A$2:$A$3058,A2063,$P$2:$P$3058,"OK"),"KEEP","DROP"))</f>
        <v/>
      </c>
      <c r="T2063" s="9" t="n">
        <f aca="false">IF(A2063="",1,0)</f>
        <v>0</v>
      </c>
      <c r="U2063" s="9" t="n">
        <f aca="false">IF(D2063="",1,0)</f>
        <v>0</v>
      </c>
      <c r="V2063" s="9" t="n">
        <f aca="false">IF(E2063="",1,0)</f>
        <v>0</v>
      </c>
      <c r="W2063" s="9" t="n">
        <f aca="false">IF(OR(H2063&lt;1,H2063&gt;10),1,0)</f>
        <v>0</v>
      </c>
      <c r="X2063" s="9" t="n">
        <f aca="false">IF(OR(I2063&lt;=0,I2063&gt;1500),1,0)</f>
        <v>0</v>
      </c>
      <c r="Y2063" s="9" t="n">
        <f aca="false">IF(J2063&gt;H2063*I2063,1,0)</f>
        <v>0</v>
      </c>
      <c r="Z2063" s="9" t="n">
        <f aca="false">IF(AND(N2063&lt;&gt;"",OR(N2063&lt;1,N2063&gt;5)),1,0)</f>
        <v>0</v>
      </c>
      <c r="AA2063" s="9" t="n">
        <f aca="false">IF(AND(M2063&lt;&gt;"",OR(M2063&lt;5,M2063&gt;180)),1,0)</f>
        <v>0</v>
      </c>
      <c r="AB2063" s="7" t="str">
        <f aca="false">IF(P2063="DUP","Exact duplicate row",IF(T2063=1,"Missing Order ID",IF(S2063="DROP","Duplicate Order ID (less complete row)",IF(U2063=1,"Missing Customer ID",IF(V2063=1,"Missing Restaurant name",IF(W2063=1,"Invalid/outlier quantity",IF(X2063=1,"Invalid/outlier unit price",IF(Y2063=1,"Discount greater than order value",""))))))))</f>
        <v/>
      </c>
      <c r="AC2063" s="7" t="str">
        <f aca="false">IF(AB2063="","KEEP","DROP")</f>
        <v>KEEP</v>
      </c>
      <c r="AD2063" s="7" t="str">
        <f aca="false">IF(TRIM(F2063)="",IFERROR(INDEX(Map_Tables!$I$4:$I$37,MATCH(TRIM(E2063),Map_Tables!$G$4:$G$37,0)),""),IFERROR(INDEX(Map_Tables!$B$4:$B$18,MATCH(TRIM(F2063),Map_Tables!$A$4:$A$18,0)),"CHECK"))</f>
        <v>Bengaluru</v>
      </c>
      <c r="AE2063" s="7" t="str">
        <f aca="false">IF(TRIM(E2063)="","",IFERROR(INDEX(Map_Tables!$H$4:$H$37,MATCH(TRIM(E2063),Map_Tables!$G$4:$G$37,0)),"CHECK"))</f>
        <v>Dosa Darbar</v>
      </c>
      <c r="AF2063" s="7" t="str">
        <f aca="false">IF(TRIM(K2063)="","Unknown",IFERROR(INDEX(Map_Tables!$E$4:$E$15,MATCH(TRIM(K2063),Map_Tables!$D$4:$D$15,0)),"CHECK"))</f>
        <v>Debit Card</v>
      </c>
      <c r="AG2063" s="7" t="str">
        <f aca="false">IF(LEFT(LOWER(TRIM(L2063)),6)="cancel","Cancelled","Delivered")</f>
        <v>Delivered</v>
      </c>
      <c r="AH2063" s="10" t="n">
        <f aca="false">IF(ISNUMBER(SEARCH("/",B2063)),DATE(VALUE(RIGHT(B2063,4)),VALUE(MID(B2063,4,2)),VALUE(LEFT(B2063,2))),IF(MID(B2063,5,1)="-",DATE(VALUE(LEFT(B2063,4)),VALUE(MID(B2063,6,2)),VALUE(RIGHT(B2063,2))),DATE(VALUE(RIGHT(B2063,4)),MATCH(MID(B2063,4,3),{"Jan","Feb","Mar","Apr","May","Jun","Jul","Aug","Sep","Oct","Nov","Dec"},0),VALUE(LEFT(B2063,2)))))</f>
        <v>45966</v>
      </c>
    </row>
    <row r="2064" customFormat="false" ht="15" hidden="false" customHeight="false" outlineLevel="0" collapsed="false">
      <c r="A2064" s="7" t="s">
        <v>4848</v>
      </c>
      <c r="B2064" s="7" t="s">
        <v>3621</v>
      </c>
      <c r="C2064" s="7" t="s">
        <v>478</v>
      </c>
      <c r="D2064" s="7" t="s">
        <v>2577</v>
      </c>
      <c r="E2064" s="7" t="s">
        <v>94</v>
      </c>
      <c r="F2064" s="7" t="s">
        <v>86</v>
      </c>
      <c r="G2064" s="7" t="s">
        <v>95</v>
      </c>
      <c r="H2064" s="7" t="n">
        <v>2</v>
      </c>
      <c r="I2064" s="7" t="n">
        <v>115</v>
      </c>
      <c r="J2064" s="7" t="n">
        <v>0</v>
      </c>
      <c r="K2064" s="7" t="s">
        <v>133</v>
      </c>
      <c r="L2064" s="7" t="s">
        <v>238</v>
      </c>
      <c r="M2064" s="7"/>
      <c r="N2064" s="7"/>
      <c r="O2064" s="7" t="str">
        <f aca="false">A2064&amp;"|"&amp;B2064&amp;"|"&amp;C2064&amp;"|"&amp;D2064&amp;"|"&amp;E2064&amp;"|"&amp;F2064&amp;"|"&amp;G2064&amp;"|"&amp;H2064&amp;"|"&amp;I2064&amp;"|"&amp;J2064&amp;"|"&amp;K2064&amp;"|"&amp;L2064&amp;"|"&amp;M2064&amp;"|"&amp;N2064</f>
        <v>ORD10209|28/01/2025|20:03|C0705|Dosa Darbar|Bengaluru|South Indian|2|115|0|Net Banking|Cancelled||</v>
      </c>
      <c r="P2064" s="7" t="str">
        <f aca="false">IF(COUNTIF($O$2:O2064,O2064)&gt;1,"DUP","OK")</f>
        <v>OK</v>
      </c>
      <c r="Q2064" s="7" t="n">
        <f aca="false">COUNTBLANK(A2064:N2064)</f>
        <v>2</v>
      </c>
      <c r="R2064" s="7" t="n">
        <f aca="false">IF(A2064="",0,COUNTIFS($A$2:$A$3058,A2064,$P$2:$P$3058,"OK"))</f>
        <v>1</v>
      </c>
      <c r="S2064" s="7" t="str">
        <f aca="false">IF(OR(A2064="",P2064="DUP",R2064&lt;2),"",IF(Q2064=_xlfn.MINIFS($Q$2:$Q$3058,$A$2:$A$3058,A2064,$P$2:$P$3058,"OK"),"KEEP","DROP"))</f>
        <v/>
      </c>
      <c r="T2064" s="9" t="n">
        <f aca="false">IF(A2064="",1,0)</f>
        <v>0</v>
      </c>
      <c r="U2064" s="9" t="n">
        <f aca="false">IF(D2064="",1,0)</f>
        <v>0</v>
      </c>
      <c r="V2064" s="9" t="n">
        <f aca="false">IF(E2064="",1,0)</f>
        <v>0</v>
      </c>
      <c r="W2064" s="9" t="n">
        <f aca="false">IF(OR(H2064&lt;1,H2064&gt;10),1,0)</f>
        <v>0</v>
      </c>
      <c r="X2064" s="9" t="n">
        <f aca="false">IF(OR(I2064&lt;=0,I2064&gt;1500),1,0)</f>
        <v>0</v>
      </c>
      <c r="Y2064" s="9" t="n">
        <f aca="false">IF(J2064&gt;H2064*I2064,1,0)</f>
        <v>0</v>
      </c>
      <c r="Z2064" s="9" t="n">
        <f aca="false">IF(AND(N2064&lt;&gt;"",OR(N2064&lt;1,N2064&gt;5)),1,0)</f>
        <v>0</v>
      </c>
      <c r="AA2064" s="9" t="n">
        <f aca="false">IF(AND(M2064&lt;&gt;"",OR(M2064&lt;5,M2064&gt;180)),1,0)</f>
        <v>0</v>
      </c>
      <c r="AB2064" s="7" t="str">
        <f aca="false">IF(P2064="DUP","Exact duplicate row",IF(T2064=1,"Missing Order ID",IF(S2064="DROP","Duplicate Order ID (less complete row)",IF(U2064=1,"Missing Customer ID",IF(V2064=1,"Missing Restaurant name",IF(W2064=1,"Invalid/outlier quantity",IF(X2064=1,"Invalid/outlier unit price",IF(Y2064=1,"Discount greater than order value",""))))))))</f>
        <v/>
      </c>
      <c r="AC2064" s="7" t="str">
        <f aca="false">IF(AB2064="","KEEP","DROP")</f>
        <v>KEEP</v>
      </c>
      <c r="AD2064" s="7" t="str">
        <f aca="false">IF(TRIM(F2064)="",IFERROR(INDEX(Map_Tables!$I$4:$I$37,MATCH(TRIM(E2064),Map_Tables!$G$4:$G$37,0)),""),IFERROR(INDEX(Map_Tables!$B$4:$B$18,MATCH(TRIM(F2064),Map_Tables!$A$4:$A$18,0)),"CHECK"))</f>
        <v>Bengaluru</v>
      </c>
      <c r="AE2064" s="7" t="str">
        <f aca="false">IF(TRIM(E2064)="","",IFERROR(INDEX(Map_Tables!$H$4:$H$37,MATCH(TRIM(E2064),Map_Tables!$G$4:$G$37,0)),"CHECK"))</f>
        <v>Dosa Darbar</v>
      </c>
      <c r="AF2064" s="7" t="str">
        <f aca="false">IF(TRIM(K2064)="","Unknown",IFERROR(INDEX(Map_Tables!$E$4:$E$15,MATCH(TRIM(K2064),Map_Tables!$D$4:$D$15,0)),"CHECK"))</f>
        <v>Net Banking</v>
      </c>
      <c r="AG2064" s="7" t="str">
        <f aca="false">IF(LEFT(LOWER(TRIM(L2064)),6)="cancel","Cancelled","Delivered")</f>
        <v>Cancelled</v>
      </c>
      <c r="AH2064" s="10" t="n">
        <f aca="false">IF(ISNUMBER(SEARCH("/",B2064)),DATE(VALUE(RIGHT(B2064,4)),VALUE(MID(B2064,4,2)),VALUE(LEFT(B2064,2))),IF(MID(B2064,5,1)="-",DATE(VALUE(LEFT(B2064,4)),VALUE(MID(B2064,6,2)),VALUE(RIGHT(B2064,2))),DATE(VALUE(RIGHT(B2064,4)),MATCH(MID(B2064,4,3),{"Jan","Feb","Mar","Apr","May","Jun","Jul","Aug","Sep","Oct","Nov","Dec"},0),VALUE(LEFT(B2064,2)))))</f>
        <v>45685</v>
      </c>
    </row>
    <row r="2065" customFormat="false" ht="15" hidden="false" customHeight="false" outlineLevel="0" collapsed="false">
      <c r="A2065" s="7" t="s">
        <v>4849</v>
      </c>
      <c r="B2065" s="7" t="s">
        <v>2798</v>
      </c>
      <c r="C2065" s="7" t="s">
        <v>2105</v>
      </c>
      <c r="D2065" s="7" t="s">
        <v>2310</v>
      </c>
      <c r="E2065" s="7" t="s">
        <v>154</v>
      </c>
      <c r="F2065" s="7" t="s">
        <v>128</v>
      </c>
      <c r="G2065" s="7" t="s">
        <v>99</v>
      </c>
      <c r="H2065" s="7" t="n">
        <v>1</v>
      </c>
      <c r="I2065" s="7" t="n">
        <v>265</v>
      </c>
      <c r="J2065" s="7" t="n">
        <v>100</v>
      </c>
      <c r="K2065" s="7" t="s">
        <v>2596</v>
      </c>
      <c r="L2065" s="7" t="s">
        <v>194</v>
      </c>
      <c r="M2065" s="7" t="n">
        <v>38</v>
      </c>
      <c r="N2065" s="7" t="n">
        <v>4</v>
      </c>
      <c r="O2065" s="7" t="str">
        <f aca="false">A2065&amp;"|"&amp;B2065&amp;"|"&amp;C2065&amp;"|"&amp;D2065&amp;"|"&amp;E2065&amp;"|"&amp;F2065&amp;"|"&amp;G2065&amp;"|"&amp;H2065&amp;"|"&amp;I2065&amp;"|"&amp;J2065&amp;"|"&amp;K2065&amp;"|"&amp;L2065&amp;"|"&amp;M2065&amp;"|"&amp;N2065</f>
        <v>ORD12706|2025-11-29|12:12|C0240|Madras Biryani Co|Chennai|Biryani|1|265|100|COD|Delivered|38|4</v>
      </c>
      <c r="P2065" s="7" t="str">
        <f aca="false">IF(COUNTIF($O$2:O2065,O2065)&gt;1,"DUP","OK")</f>
        <v>OK</v>
      </c>
      <c r="Q2065" s="7" t="n">
        <f aca="false">COUNTBLANK(A2065:N2065)</f>
        <v>0</v>
      </c>
      <c r="R2065" s="7" t="n">
        <f aca="false">IF(A2065="",0,COUNTIFS($A$2:$A$3058,A2065,$P$2:$P$3058,"OK"))</f>
        <v>1</v>
      </c>
      <c r="S2065" s="7" t="str">
        <f aca="false">IF(OR(A2065="",P2065="DUP",R2065&lt;2),"",IF(Q2065=_xlfn.MINIFS($Q$2:$Q$3058,$A$2:$A$3058,A2065,$P$2:$P$3058,"OK"),"KEEP","DROP"))</f>
        <v/>
      </c>
      <c r="T2065" s="9" t="n">
        <f aca="false">IF(A2065="",1,0)</f>
        <v>0</v>
      </c>
      <c r="U2065" s="9" t="n">
        <f aca="false">IF(D2065="",1,0)</f>
        <v>0</v>
      </c>
      <c r="V2065" s="9" t="n">
        <f aca="false">IF(E2065="",1,0)</f>
        <v>0</v>
      </c>
      <c r="W2065" s="9" t="n">
        <f aca="false">IF(OR(H2065&lt;1,H2065&gt;10),1,0)</f>
        <v>0</v>
      </c>
      <c r="X2065" s="9" t="n">
        <f aca="false">IF(OR(I2065&lt;=0,I2065&gt;1500),1,0)</f>
        <v>0</v>
      </c>
      <c r="Y2065" s="9" t="n">
        <f aca="false">IF(J2065&gt;H2065*I2065,1,0)</f>
        <v>0</v>
      </c>
      <c r="Z2065" s="9" t="n">
        <f aca="false">IF(AND(N2065&lt;&gt;"",OR(N2065&lt;1,N2065&gt;5)),1,0)</f>
        <v>0</v>
      </c>
      <c r="AA2065" s="9" t="n">
        <f aca="false">IF(AND(M2065&lt;&gt;"",OR(M2065&lt;5,M2065&gt;180)),1,0)</f>
        <v>0</v>
      </c>
      <c r="AB2065" s="7" t="str">
        <f aca="false">IF(P2065="DUP","Exact duplicate row",IF(T2065=1,"Missing Order ID",IF(S2065="DROP","Duplicate Order ID (less complete row)",IF(U2065=1,"Missing Customer ID",IF(V2065=1,"Missing Restaurant name",IF(W2065=1,"Invalid/outlier quantity",IF(X2065=1,"Invalid/outlier unit price",IF(Y2065=1,"Discount greater than order value",""))))))))</f>
        <v/>
      </c>
      <c r="AC2065" s="7" t="str">
        <f aca="false">IF(AB2065="","KEEP","DROP")</f>
        <v>KEEP</v>
      </c>
      <c r="AD2065" s="7" t="str">
        <f aca="false">IF(TRIM(F2065)="",IFERROR(INDEX(Map_Tables!$I$4:$I$37,MATCH(TRIM(E2065),Map_Tables!$G$4:$G$37,0)),""),IFERROR(INDEX(Map_Tables!$B$4:$B$18,MATCH(TRIM(F2065),Map_Tables!$A$4:$A$18,0)),"CHECK"))</f>
        <v>Chennai</v>
      </c>
      <c r="AE2065" s="7" t="str">
        <f aca="false">IF(TRIM(E2065)="","",IFERROR(INDEX(Map_Tables!$H$4:$H$37,MATCH(TRIM(E2065),Map_Tables!$G$4:$G$37,0)),"CHECK"))</f>
        <v>Madras Biryani Co</v>
      </c>
      <c r="AF2065" s="7" t="str">
        <f aca="false">IF(TRIM(K2065)="","Unknown",IFERROR(INDEX(Map_Tables!$E$4:$E$15,MATCH(TRIM(K2065),Map_Tables!$D$4:$D$15,0)),"CHECK"))</f>
        <v>Cash on Delivery</v>
      </c>
      <c r="AG2065" s="7" t="str">
        <f aca="false">IF(LEFT(LOWER(TRIM(L2065)),6)="cancel","Cancelled","Delivered")</f>
        <v>Delivered</v>
      </c>
      <c r="AH2065" s="10" t="n">
        <f aca="false">IF(ISNUMBER(SEARCH("/",B2065)),DATE(VALUE(RIGHT(B2065,4)),VALUE(MID(B2065,4,2)),VALUE(LEFT(B2065,2))),IF(MID(B2065,5,1)="-",DATE(VALUE(LEFT(B2065,4)),VALUE(MID(B2065,6,2)),VALUE(RIGHT(B2065,2))),DATE(VALUE(RIGHT(B2065,4)),MATCH(MID(B2065,4,3),{"Jan","Feb","Mar","Apr","May","Jun","Jul","Aug","Sep","Oct","Nov","Dec"},0),VALUE(LEFT(B2065,2)))))</f>
        <v>45990</v>
      </c>
    </row>
    <row r="2066" customFormat="false" ht="15" hidden="false" customHeight="false" outlineLevel="0" collapsed="false">
      <c r="A2066" s="7" t="s">
        <v>4850</v>
      </c>
      <c r="B2066" s="7" t="s">
        <v>2568</v>
      </c>
      <c r="C2066" s="7" t="s">
        <v>2088</v>
      </c>
      <c r="D2066" s="7" t="s">
        <v>4851</v>
      </c>
      <c r="E2066" s="7" t="s">
        <v>148</v>
      </c>
      <c r="F2066" s="7" t="s">
        <v>119</v>
      </c>
      <c r="G2066" s="7" t="s">
        <v>123</v>
      </c>
      <c r="H2066" s="7" t="n">
        <v>1</v>
      </c>
      <c r="I2066" s="7" t="n">
        <v>345</v>
      </c>
      <c r="J2066" s="7" t="n">
        <v>125</v>
      </c>
      <c r="K2066" s="7" t="s">
        <v>92</v>
      </c>
      <c r="L2066" s="7" t="s">
        <v>194</v>
      </c>
      <c r="M2066" s="7" t="n">
        <v>29</v>
      </c>
      <c r="N2066" s="7" t="n">
        <v>2</v>
      </c>
      <c r="O2066" s="7" t="str">
        <f aca="false">A2066&amp;"|"&amp;B2066&amp;"|"&amp;C2066&amp;"|"&amp;D2066&amp;"|"&amp;E2066&amp;"|"&amp;F2066&amp;"|"&amp;G2066&amp;"|"&amp;H2066&amp;"|"&amp;I2066&amp;"|"&amp;J2066&amp;"|"&amp;K2066&amp;"|"&amp;L2066&amp;"|"&amp;M2066&amp;"|"&amp;N2066</f>
        <v>ORD11914|2025-09-05|19:56|C1288|Pizza Palace|Hyderabad|Pizza|1|345|125|credit card|Delivered|29|2</v>
      </c>
      <c r="P2066" s="7" t="str">
        <f aca="false">IF(COUNTIF($O$2:O2066,O2066)&gt;1,"DUP","OK")</f>
        <v>OK</v>
      </c>
      <c r="Q2066" s="7" t="n">
        <f aca="false">COUNTBLANK(A2066:N2066)</f>
        <v>0</v>
      </c>
      <c r="R2066" s="7" t="n">
        <f aca="false">IF(A2066="",0,COUNTIFS($A$2:$A$3058,A2066,$P$2:$P$3058,"OK"))</f>
        <v>1</v>
      </c>
      <c r="S2066" s="7" t="str">
        <f aca="false">IF(OR(A2066="",P2066="DUP",R2066&lt;2),"",IF(Q2066=_xlfn.MINIFS($Q$2:$Q$3058,$A$2:$A$3058,A2066,$P$2:$P$3058,"OK"),"KEEP","DROP"))</f>
        <v/>
      </c>
      <c r="T2066" s="9" t="n">
        <f aca="false">IF(A2066="",1,0)</f>
        <v>0</v>
      </c>
      <c r="U2066" s="9" t="n">
        <f aca="false">IF(D2066="",1,0)</f>
        <v>0</v>
      </c>
      <c r="V2066" s="9" t="n">
        <f aca="false">IF(E2066="",1,0)</f>
        <v>0</v>
      </c>
      <c r="W2066" s="9" t="n">
        <f aca="false">IF(OR(H2066&lt;1,H2066&gt;10),1,0)</f>
        <v>0</v>
      </c>
      <c r="X2066" s="9" t="n">
        <f aca="false">IF(OR(I2066&lt;=0,I2066&gt;1500),1,0)</f>
        <v>0</v>
      </c>
      <c r="Y2066" s="9" t="n">
        <f aca="false">IF(J2066&gt;H2066*I2066,1,0)</f>
        <v>0</v>
      </c>
      <c r="Z2066" s="9" t="n">
        <f aca="false">IF(AND(N2066&lt;&gt;"",OR(N2066&lt;1,N2066&gt;5)),1,0)</f>
        <v>0</v>
      </c>
      <c r="AA2066" s="9" t="n">
        <f aca="false">IF(AND(M2066&lt;&gt;"",OR(M2066&lt;5,M2066&gt;180)),1,0)</f>
        <v>0</v>
      </c>
      <c r="AB2066" s="7" t="str">
        <f aca="false">IF(P2066="DUP","Exact duplicate row",IF(T2066=1,"Missing Order ID",IF(S2066="DROP","Duplicate Order ID (less complete row)",IF(U2066=1,"Missing Customer ID",IF(V2066=1,"Missing Restaurant name",IF(W2066=1,"Invalid/outlier quantity",IF(X2066=1,"Invalid/outlier unit price",IF(Y2066=1,"Discount greater than order value",""))))))))</f>
        <v/>
      </c>
      <c r="AC2066" s="7" t="str">
        <f aca="false">IF(AB2066="","KEEP","DROP")</f>
        <v>KEEP</v>
      </c>
      <c r="AD2066" s="7" t="str">
        <f aca="false">IF(TRIM(F2066)="",IFERROR(INDEX(Map_Tables!$I$4:$I$37,MATCH(TRIM(E2066),Map_Tables!$G$4:$G$37,0)),""),IFERROR(INDEX(Map_Tables!$B$4:$B$18,MATCH(TRIM(F2066),Map_Tables!$A$4:$A$18,0)),"CHECK"))</f>
        <v>Hyderabad</v>
      </c>
      <c r="AE2066" s="7" t="str">
        <f aca="false">IF(TRIM(E2066)="","",IFERROR(INDEX(Map_Tables!$H$4:$H$37,MATCH(TRIM(E2066),Map_Tables!$G$4:$G$37,0)),"CHECK"))</f>
        <v>Pizza Palace</v>
      </c>
      <c r="AF2066" s="7" t="str">
        <f aca="false">IF(TRIM(K2066)="","Unknown",IFERROR(INDEX(Map_Tables!$E$4:$E$15,MATCH(TRIM(K2066),Map_Tables!$D$4:$D$15,0)),"CHECK"))</f>
        <v>Credit Card</v>
      </c>
      <c r="AG2066" s="7" t="str">
        <f aca="false">IF(LEFT(LOWER(TRIM(L2066)),6)="cancel","Cancelled","Delivered")</f>
        <v>Delivered</v>
      </c>
      <c r="AH2066" s="10" t="n">
        <f aca="false">IF(ISNUMBER(SEARCH("/",B2066)),DATE(VALUE(RIGHT(B2066,4)),VALUE(MID(B2066,4,2)),VALUE(LEFT(B2066,2))),IF(MID(B2066,5,1)="-",DATE(VALUE(LEFT(B2066,4)),VALUE(MID(B2066,6,2)),VALUE(RIGHT(B2066,2))),DATE(VALUE(RIGHT(B2066,4)),MATCH(MID(B2066,4,3),{"Jan","Feb","Mar","Apr","May","Jun","Jul","Aug","Sep","Oct","Nov","Dec"},0),VALUE(LEFT(B2066,2)))))</f>
        <v>45905</v>
      </c>
    </row>
    <row r="2067" customFormat="false" ht="15" hidden="false" customHeight="false" outlineLevel="0" collapsed="false">
      <c r="A2067" s="7" t="s">
        <v>4852</v>
      </c>
      <c r="B2067" s="7" t="s">
        <v>2760</v>
      </c>
      <c r="C2067" s="7" t="s">
        <v>1552</v>
      </c>
      <c r="D2067" s="7" t="s">
        <v>728</v>
      </c>
      <c r="E2067" s="7" t="s">
        <v>122</v>
      </c>
      <c r="F2067" s="7" t="s">
        <v>101</v>
      </c>
      <c r="G2067" s="7" t="s">
        <v>123</v>
      </c>
      <c r="H2067" s="7" t="n">
        <v>4</v>
      </c>
      <c r="I2067" s="7" t="n">
        <v>425</v>
      </c>
      <c r="J2067" s="7" t="n">
        <v>0</v>
      </c>
      <c r="K2067" s="7" t="s">
        <v>88</v>
      </c>
      <c r="L2067" s="7" t="s">
        <v>194</v>
      </c>
      <c r="M2067" s="7" t="n">
        <v>37</v>
      </c>
      <c r="N2067" s="7" t="n">
        <v>4</v>
      </c>
      <c r="O2067" s="7" t="str">
        <f aca="false">A2067&amp;"|"&amp;B2067&amp;"|"&amp;C2067&amp;"|"&amp;D2067&amp;"|"&amp;E2067&amp;"|"&amp;F2067&amp;"|"&amp;G2067&amp;"|"&amp;H2067&amp;"|"&amp;I2067&amp;"|"&amp;J2067&amp;"|"&amp;K2067&amp;"|"&amp;L2067&amp;"|"&amp;M2067&amp;"|"&amp;N2067</f>
        <v>ORD11607|29/07/2025|11:25|C1293|Mumbai Pizza Co|Mumbai|Pizza|4|425|0|UPI|Delivered|37|4</v>
      </c>
      <c r="P2067" s="7" t="str">
        <f aca="false">IF(COUNTIF($O$2:O2067,O2067)&gt;1,"DUP","OK")</f>
        <v>OK</v>
      </c>
      <c r="Q2067" s="7" t="n">
        <f aca="false">COUNTBLANK(A2067:N2067)</f>
        <v>0</v>
      </c>
      <c r="R2067" s="7" t="n">
        <f aca="false">IF(A2067="",0,COUNTIFS($A$2:$A$3058,A2067,$P$2:$P$3058,"OK"))</f>
        <v>1</v>
      </c>
      <c r="S2067" s="7" t="str">
        <f aca="false">IF(OR(A2067="",P2067="DUP",R2067&lt;2),"",IF(Q2067=_xlfn.MINIFS($Q$2:$Q$3058,$A$2:$A$3058,A2067,$P$2:$P$3058,"OK"),"KEEP","DROP"))</f>
        <v/>
      </c>
      <c r="T2067" s="9" t="n">
        <f aca="false">IF(A2067="",1,0)</f>
        <v>0</v>
      </c>
      <c r="U2067" s="9" t="n">
        <f aca="false">IF(D2067="",1,0)</f>
        <v>0</v>
      </c>
      <c r="V2067" s="9" t="n">
        <f aca="false">IF(E2067="",1,0)</f>
        <v>0</v>
      </c>
      <c r="W2067" s="9" t="n">
        <f aca="false">IF(OR(H2067&lt;1,H2067&gt;10),1,0)</f>
        <v>0</v>
      </c>
      <c r="X2067" s="9" t="n">
        <f aca="false">IF(OR(I2067&lt;=0,I2067&gt;1500),1,0)</f>
        <v>0</v>
      </c>
      <c r="Y2067" s="9" t="n">
        <f aca="false">IF(J2067&gt;H2067*I2067,1,0)</f>
        <v>0</v>
      </c>
      <c r="Z2067" s="9" t="n">
        <f aca="false">IF(AND(N2067&lt;&gt;"",OR(N2067&lt;1,N2067&gt;5)),1,0)</f>
        <v>0</v>
      </c>
      <c r="AA2067" s="9" t="n">
        <f aca="false">IF(AND(M2067&lt;&gt;"",OR(M2067&lt;5,M2067&gt;180)),1,0)</f>
        <v>0</v>
      </c>
      <c r="AB2067" s="7" t="str">
        <f aca="false">IF(P2067="DUP","Exact duplicate row",IF(T2067=1,"Missing Order ID",IF(S2067="DROP","Duplicate Order ID (less complete row)",IF(U2067=1,"Missing Customer ID",IF(V2067=1,"Missing Restaurant name",IF(W2067=1,"Invalid/outlier quantity",IF(X2067=1,"Invalid/outlier unit price",IF(Y2067=1,"Discount greater than order value",""))))))))</f>
        <v/>
      </c>
      <c r="AC2067" s="7" t="str">
        <f aca="false">IF(AB2067="","KEEP","DROP")</f>
        <v>KEEP</v>
      </c>
      <c r="AD2067" s="7" t="str">
        <f aca="false">IF(TRIM(F2067)="",IFERROR(INDEX(Map_Tables!$I$4:$I$37,MATCH(TRIM(E2067),Map_Tables!$G$4:$G$37,0)),""),IFERROR(INDEX(Map_Tables!$B$4:$B$18,MATCH(TRIM(F2067),Map_Tables!$A$4:$A$18,0)),"CHECK"))</f>
        <v>Mumbai</v>
      </c>
      <c r="AE2067" s="7" t="str">
        <f aca="false">IF(TRIM(E2067)="","",IFERROR(INDEX(Map_Tables!$H$4:$H$37,MATCH(TRIM(E2067),Map_Tables!$G$4:$G$37,0)),"CHECK"))</f>
        <v>Mumbai Pizza Co</v>
      </c>
      <c r="AF2067" s="7" t="str">
        <f aca="false">IF(TRIM(K2067)="","Unknown",IFERROR(INDEX(Map_Tables!$E$4:$E$15,MATCH(TRIM(K2067),Map_Tables!$D$4:$D$15,0)),"CHECK"))</f>
        <v>UPI</v>
      </c>
      <c r="AG2067" s="7" t="str">
        <f aca="false">IF(LEFT(LOWER(TRIM(L2067)),6)="cancel","Cancelled","Delivered")</f>
        <v>Delivered</v>
      </c>
      <c r="AH2067" s="10" t="n">
        <f aca="false">IF(ISNUMBER(SEARCH("/",B2067)),DATE(VALUE(RIGHT(B2067,4)),VALUE(MID(B2067,4,2)),VALUE(LEFT(B2067,2))),IF(MID(B2067,5,1)="-",DATE(VALUE(LEFT(B2067,4)),VALUE(MID(B2067,6,2)),VALUE(RIGHT(B2067,2))),DATE(VALUE(RIGHT(B2067,4)),MATCH(MID(B2067,4,3),{"Jan","Feb","Mar","Apr","May","Jun","Jul","Aug","Sep","Oct","Nov","Dec"},0),VALUE(LEFT(B2067,2)))))</f>
        <v>45867</v>
      </c>
    </row>
    <row r="2068" customFormat="false" ht="15" hidden="false" customHeight="false" outlineLevel="0" collapsed="false">
      <c r="A2068" s="7" t="s">
        <v>4853</v>
      </c>
      <c r="B2068" s="7" t="s">
        <v>1951</v>
      </c>
      <c r="C2068" s="7" t="s">
        <v>1886</v>
      </c>
      <c r="D2068" s="7" t="s">
        <v>4854</v>
      </c>
      <c r="E2068" s="7" t="s">
        <v>949</v>
      </c>
      <c r="F2068" s="7" t="s">
        <v>110</v>
      </c>
      <c r="G2068" s="7" t="s">
        <v>90</v>
      </c>
      <c r="H2068" s="7" t="n">
        <v>1</v>
      </c>
      <c r="I2068" s="7" t="n">
        <v>235</v>
      </c>
      <c r="J2068" s="7" t="n">
        <v>0</v>
      </c>
      <c r="K2068" s="7" t="s">
        <v>93</v>
      </c>
      <c r="L2068" s="7" t="s">
        <v>194</v>
      </c>
      <c r="M2068" s="7" t="n">
        <v>45</v>
      </c>
      <c r="N2068" s="7" t="n">
        <v>5</v>
      </c>
      <c r="O2068" s="7" t="str">
        <f aca="false">A2068&amp;"|"&amp;B2068&amp;"|"&amp;C2068&amp;"|"&amp;D2068&amp;"|"&amp;E2068&amp;"|"&amp;F2068&amp;"|"&amp;G2068&amp;"|"&amp;H2068&amp;"|"&amp;I2068&amp;"|"&amp;J2068&amp;"|"&amp;K2068&amp;"|"&amp;L2068&amp;"|"&amp;M2068&amp;"|"&amp;N2068</f>
        <v>ORD11021|2025-05-09|22:45|C0096|Tandoor  Tales|Delhi|North Indian|1|235|0|Credit Card|Delivered|45|5</v>
      </c>
      <c r="P2068" s="7" t="str">
        <f aca="false">IF(COUNTIF($O$2:O2068,O2068)&gt;1,"DUP","OK")</f>
        <v>OK</v>
      </c>
      <c r="Q2068" s="7" t="n">
        <f aca="false">COUNTBLANK(A2068:N2068)</f>
        <v>0</v>
      </c>
      <c r="R2068" s="7" t="n">
        <f aca="false">IF(A2068="",0,COUNTIFS($A$2:$A$3058,A2068,$P$2:$P$3058,"OK"))</f>
        <v>1</v>
      </c>
      <c r="S2068" s="7" t="str">
        <f aca="false">IF(OR(A2068="",P2068="DUP",R2068&lt;2),"",IF(Q2068=_xlfn.MINIFS($Q$2:$Q$3058,$A$2:$A$3058,A2068,$P$2:$P$3058,"OK"),"KEEP","DROP"))</f>
        <v/>
      </c>
      <c r="T2068" s="9" t="n">
        <f aca="false">IF(A2068="",1,0)</f>
        <v>0</v>
      </c>
      <c r="U2068" s="9" t="n">
        <f aca="false">IF(D2068="",1,0)</f>
        <v>0</v>
      </c>
      <c r="V2068" s="9" t="n">
        <f aca="false">IF(E2068="",1,0)</f>
        <v>0</v>
      </c>
      <c r="W2068" s="9" t="n">
        <f aca="false">IF(OR(H2068&lt;1,H2068&gt;10),1,0)</f>
        <v>0</v>
      </c>
      <c r="X2068" s="9" t="n">
        <f aca="false">IF(OR(I2068&lt;=0,I2068&gt;1500),1,0)</f>
        <v>0</v>
      </c>
      <c r="Y2068" s="9" t="n">
        <f aca="false">IF(J2068&gt;H2068*I2068,1,0)</f>
        <v>0</v>
      </c>
      <c r="Z2068" s="9" t="n">
        <f aca="false">IF(AND(N2068&lt;&gt;"",OR(N2068&lt;1,N2068&gt;5)),1,0)</f>
        <v>0</v>
      </c>
      <c r="AA2068" s="9" t="n">
        <f aca="false">IF(AND(M2068&lt;&gt;"",OR(M2068&lt;5,M2068&gt;180)),1,0)</f>
        <v>0</v>
      </c>
      <c r="AB2068" s="7" t="str">
        <f aca="false">IF(P2068="DUP","Exact duplicate row",IF(T2068=1,"Missing Order ID",IF(S2068="DROP","Duplicate Order ID (less complete row)",IF(U2068=1,"Missing Customer ID",IF(V2068=1,"Missing Restaurant name",IF(W2068=1,"Invalid/outlier quantity",IF(X2068=1,"Invalid/outlier unit price",IF(Y2068=1,"Discount greater than order value",""))))))))</f>
        <v/>
      </c>
      <c r="AC2068" s="7" t="str">
        <f aca="false">IF(AB2068="","KEEP","DROP")</f>
        <v>KEEP</v>
      </c>
      <c r="AD2068" s="7" t="str">
        <f aca="false">IF(TRIM(F2068)="",IFERROR(INDEX(Map_Tables!$I$4:$I$37,MATCH(TRIM(E2068),Map_Tables!$G$4:$G$37,0)),""),IFERROR(INDEX(Map_Tables!$B$4:$B$18,MATCH(TRIM(F2068),Map_Tables!$A$4:$A$18,0)),"CHECK"))</f>
        <v>Delhi</v>
      </c>
      <c r="AE2068" s="7" t="str">
        <f aca="false">IF(TRIM(E2068)="","",IFERROR(INDEX(Map_Tables!$H$4:$H$37,MATCH(TRIM(E2068),Map_Tables!$G$4:$G$37,0)),"CHECK"))</f>
        <v>Tandoor Tales</v>
      </c>
      <c r="AF2068" s="7" t="str">
        <f aca="false">IF(TRIM(K2068)="","Unknown",IFERROR(INDEX(Map_Tables!$E$4:$E$15,MATCH(TRIM(K2068),Map_Tables!$D$4:$D$15,0)),"CHECK"))</f>
        <v>Credit Card</v>
      </c>
      <c r="AG2068" s="7" t="str">
        <f aca="false">IF(LEFT(LOWER(TRIM(L2068)),6)="cancel","Cancelled","Delivered")</f>
        <v>Delivered</v>
      </c>
      <c r="AH2068" s="10" t="n">
        <f aca="false">IF(ISNUMBER(SEARCH("/",B2068)),DATE(VALUE(RIGHT(B2068,4)),VALUE(MID(B2068,4,2)),VALUE(LEFT(B2068,2))),IF(MID(B2068,5,1)="-",DATE(VALUE(LEFT(B2068,4)),VALUE(MID(B2068,6,2)),VALUE(RIGHT(B2068,2))),DATE(VALUE(RIGHT(B2068,4)),MATCH(MID(B2068,4,3),{"Jan","Feb","Mar","Apr","May","Jun","Jul","Aug","Sep","Oct","Nov","Dec"},0),VALUE(LEFT(B2068,2)))))</f>
        <v>45786</v>
      </c>
    </row>
    <row r="2069" customFormat="false" ht="15" hidden="false" customHeight="false" outlineLevel="0" collapsed="false">
      <c r="A2069" s="7" t="s">
        <v>4855</v>
      </c>
      <c r="B2069" s="7" t="s">
        <v>2798</v>
      </c>
      <c r="C2069" s="7" t="s">
        <v>4856</v>
      </c>
      <c r="D2069" s="7" t="s">
        <v>3876</v>
      </c>
      <c r="E2069" s="7" t="s">
        <v>126</v>
      </c>
      <c r="F2069" s="7" t="s">
        <v>101</v>
      </c>
      <c r="G2069" s="7" t="s">
        <v>105</v>
      </c>
      <c r="H2069" s="7" t="n">
        <v>3</v>
      </c>
      <c r="I2069" s="7" t="n">
        <v>220</v>
      </c>
      <c r="J2069" s="7" t="n">
        <v>0</v>
      </c>
      <c r="K2069" s="7" t="s">
        <v>88</v>
      </c>
      <c r="L2069" s="7" t="s">
        <v>194</v>
      </c>
      <c r="M2069" s="7" t="n">
        <v>31</v>
      </c>
      <c r="N2069" s="7" t="n">
        <v>4</v>
      </c>
      <c r="O2069" s="7" t="str">
        <f aca="false">A2069&amp;"|"&amp;B2069&amp;"|"&amp;C2069&amp;"|"&amp;D2069&amp;"|"&amp;E2069&amp;"|"&amp;F2069&amp;"|"&amp;G2069&amp;"|"&amp;H2069&amp;"|"&amp;I2069&amp;"|"&amp;J2069&amp;"|"&amp;K2069&amp;"|"&amp;L2069&amp;"|"&amp;M2069&amp;"|"&amp;N2069</f>
        <v>ORD12705|2025-11-29|10:21|C0836|Dragon Express|Mumbai|Chinese|3|220|0|UPI|Delivered|31|4</v>
      </c>
      <c r="P2069" s="7" t="str">
        <f aca="false">IF(COUNTIF($O$2:O2069,O2069)&gt;1,"DUP","OK")</f>
        <v>OK</v>
      </c>
      <c r="Q2069" s="7" t="n">
        <f aca="false">COUNTBLANK(A2069:N2069)</f>
        <v>0</v>
      </c>
      <c r="R2069" s="7" t="n">
        <f aca="false">IF(A2069="",0,COUNTIFS($A$2:$A$3058,A2069,$P$2:$P$3058,"OK"))</f>
        <v>1</v>
      </c>
      <c r="S2069" s="7" t="str">
        <f aca="false">IF(OR(A2069="",P2069="DUP",R2069&lt;2),"",IF(Q2069=_xlfn.MINIFS($Q$2:$Q$3058,$A$2:$A$3058,A2069,$P$2:$P$3058,"OK"),"KEEP","DROP"))</f>
        <v/>
      </c>
      <c r="T2069" s="9" t="n">
        <f aca="false">IF(A2069="",1,0)</f>
        <v>0</v>
      </c>
      <c r="U2069" s="9" t="n">
        <f aca="false">IF(D2069="",1,0)</f>
        <v>0</v>
      </c>
      <c r="V2069" s="9" t="n">
        <f aca="false">IF(E2069="",1,0)</f>
        <v>0</v>
      </c>
      <c r="W2069" s="9" t="n">
        <f aca="false">IF(OR(H2069&lt;1,H2069&gt;10),1,0)</f>
        <v>0</v>
      </c>
      <c r="X2069" s="9" t="n">
        <f aca="false">IF(OR(I2069&lt;=0,I2069&gt;1500),1,0)</f>
        <v>0</v>
      </c>
      <c r="Y2069" s="9" t="n">
        <f aca="false">IF(J2069&gt;H2069*I2069,1,0)</f>
        <v>0</v>
      </c>
      <c r="Z2069" s="9" t="n">
        <f aca="false">IF(AND(N2069&lt;&gt;"",OR(N2069&lt;1,N2069&gt;5)),1,0)</f>
        <v>0</v>
      </c>
      <c r="AA2069" s="9" t="n">
        <f aca="false">IF(AND(M2069&lt;&gt;"",OR(M2069&lt;5,M2069&gt;180)),1,0)</f>
        <v>0</v>
      </c>
      <c r="AB2069" s="7" t="str">
        <f aca="false">IF(P2069="DUP","Exact duplicate row",IF(T2069=1,"Missing Order ID",IF(S2069="DROP","Duplicate Order ID (less complete row)",IF(U2069=1,"Missing Customer ID",IF(V2069=1,"Missing Restaurant name",IF(W2069=1,"Invalid/outlier quantity",IF(X2069=1,"Invalid/outlier unit price",IF(Y2069=1,"Discount greater than order value",""))))))))</f>
        <v/>
      </c>
      <c r="AC2069" s="7" t="str">
        <f aca="false">IF(AB2069="","KEEP","DROP")</f>
        <v>KEEP</v>
      </c>
      <c r="AD2069" s="7" t="str">
        <f aca="false">IF(TRIM(F2069)="",IFERROR(INDEX(Map_Tables!$I$4:$I$37,MATCH(TRIM(E2069),Map_Tables!$G$4:$G$37,0)),""),IFERROR(INDEX(Map_Tables!$B$4:$B$18,MATCH(TRIM(F2069),Map_Tables!$A$4:$A$18,0)),"CHECK"))</f>
        <v>Mumbai</v>
      </c>
      <c r="AE2069" s="7" t="str">
        <f aca="false">IF(TRIM(E2069)="","",IFERROR(INDEX(Map_Tables!$H$4:$H$37,MATCH(TRIM(E2069),Map_Tables!$G$4:$G$37,0)),"CHECK"))</f>
        <v>Dragon Express</v>
      </c>
      <c r="AF2069" s="7" t="str">
        <f aca="false">IF(TRIM(K2069)="","Unknown",IFERROR(INDEX(Map_Tables!$E$4:$E$15,MATCH(TRIM(K2069),Map_Tables!$D$4:$D$15,0)),"CHECK"))</f>
        <v>UPI</v>
      </c>
      <c r="AG2069" s="7" t="str">
        <f aca="false">IF(LEFT(LOWER(TRIM(L2069)),6)="cancel","Cancelled","Delivered")</f>
        <v>Delivered</v>
      </c>
      <c r="AH2069" s="10" t="n">
        <f aca="false">IF(ISNUMBER(SEARCH("/",B2069)),DATE(VALUE(RIGHT(B2069,4)),VALUE(MID(B2069,4,2)),VALUE(LEFT(B2069,2))),IF(MID(B2069,5,1)="-",DATE(VALUE(LEFT(B2069,4)),VALUE(MID(B2069,6,2)),VALUE(RIGHT(B2069,2))),DATE(VALUE(RIGHT(B2069,4)),MATCH(MID(B2069,4,3),{"Jan","Feb","Mar","Apr","May","Jun","Jul","Aug","Sep","Oct","Nov","Dec"},0),VALUE(LEFT(B2069,2)))))</f>
        <v>45990</v>
      </c>
    </row>
    <row r="2070" customFormat="false" ht="15" hidden="false" customHeight="false" outlineLevel="0" collapsed="false">
      <c r="A2070" s="7" t="s">
        <v>4857</v>
      </c>
      <c r="B2070" s="7" t="s">
        <v>2587</v>
      </c>
      <c r="C2070" s="7" t="s">
        <v>686</v>
      </c>
      <c r="D2070" s="7" t="s">
        <v>2459</v>
      </c>
      <c r="E2070" s="7" t="s">
        <v>646</v>
      </c>
      <c r="F2070" s="7" t="s">
        <v>119</v>
      </c>
      <c r="G2070" s="7" t="s">
        <v>150</v>
      </c>
      <c r="H2070" s="7" t="n">
        <v>3</v>
      </c>
      <c r="I2070" s="7" t="n">
        <v>190</v>
      </c>
      <c r="J2070" s="7" t="n">
        <v>0</v>
      </c>
      <c r="K2070" s="7" t="s">
        <v>133</v>
      </c>
      <c r="L2070" s="7" t="s">
        <v>194</v>
      </c>
      <c r="M2070" s="7" t="n">
        <v>39</v>
      </c>
      <c r="N2070" s="7" t="n">
        <v>5</v>
      </c>
      <c r="O2070" s="7" t="str">
        <f aca="false">A2070&amp;"|"&amp;B2070&amp;"|"&amp;C2070&amp;"|"&amp;D2070&amp;"|"&amp;E2070&amp;"|"&amp;F2070&amp;"|"&amp;G2070&amp;"|"&amp;H2070&amp;"|"&amp;I2070&amp;"|"&amp;J2070&amp;"|"&amp;K2070&amp;"|"&amp;L2070&amp;"|"&amp;M2070&amp;"|"&amp;N2070</f>
        <v>ORD11404|2025-07-01|19:57|C0846| Sweet Tooth Studio|Hyderabad|Desserts|3|190|0|Net Banking|Delivered|39|5</v>
      </c>
      <c r="P2070" s="7" t="str">
        <f aca="false">IF(COUNTIF($O$2:O2070,O2070)&gt;1,"DUP","OK")</f>
        <v>OK</v>
      </c>
      <c r="Q2070" s="7" t="n">
        <f aca="false">COUNTBLANK(A2070:N2070)</f>
        <v>0</v>
      </c>
      <c r="R2070" s="7" t="n">
        <f aca="false">IF(A2070="",0,COUNTIFS($A$2:$A$3058,A2070,$P$2:$P$3058,"OK"))</f>
        <v>1</v>
      </c>
      <c r="S2070" s="7" t="str">
        <f aca="false">IF(OR(A2070="",P2070="DUP",R2070&lt;2),"",IF(Q2070=_xlfn.MINIFS($Q$2:$Q$3058,$A$2:$A$3058,A2070,$P$2:$P$3058,"OK"),"KEEP","DROP"))</f>
        <v/>
      </c>
      <c r="T2070" s="9" t="n">
        <f aca="false">IF(A2070="",1,0)</f>
        <v>0</v>
      </c>
      <c r="U2070" s="9" t="n">
        <f aca="false">IF(D2070="",1,0)</f>
        <v>0</v>
      </c>
      <c r="V2070" s="9" t="n">
        <f aca="false">IF(E2070="",1,0)</f>
        <v>0</v>
      </c>
      <c r="W2070" s="9" t="n">
        <f aca="false">IF(OR(H2070&lt;1,H2070&gt;10),1,0)</f>
        <v>0</v>
      </c>
      <c r="X2070" s="9" t="n">
        <f aca="false">IF(OR(I2070&lt;=0,I2070&gt;1500),1,0)</f>
        <v>0</v>
      </c>
      <c r="Y2070" s="9" t="n">
        <f aca="false">IF(J2070&gt;H2070*I2070,1,0)</f>
        <v>0</v>
      </c>
      <c r="Z2070" s="9" t="n">
        <f aca="false">IF(AND(N2070&lt;&gt;"",OR(N2070&lt;1,N2070&gt;5)),1,0)</f>
        <v>0</v>
      </c>
      <c r="AA2070" s="9" t="n">
        <f aca="false">IF(AND(M2070&lt;&gt;"",OR(M2070&lt;5,M2070&gt;180)),1,0)</f>
        <v>0</v>
      </c>
      <c r="AB2070" s="7" t="str">
        <f aca="false">IF(P2070="DUP","Exact duplicate row",IF(T2070=1,"Missing Order ID",IF(S2070="DROP","Duplicate Order ID (less complete row)",IF(U2070=1,"Missing Customer ID",IF(V2070=1,"Missing Restaurant name",IF(W2070=1,"Invalid/outlier quantity",IF(X2070=1,"Invalid/outlier unit price",IF(Y2070=1,"Discount greater than order value",""))))))))</f>
        <v/>
      </c>
      <c r="AC2070" s="7" t="str">
        <f aca="false">IF(AB2070="","KEEP","DROP")</f>
        <v>KEEP</v>
      </c>
      <c r="AD2070" s="7" t="str">
        <f aca="false">IF(TRIM(F2070)="",IFERROR(INDEX(Map_Tables!$I$4:$I$37,MATCH(TRIM(E2070),Map_Tables!$G$4:$G$37,0)),""),IFERROR(INDEX(Map_Tables!$B$4:$B$18,MATCH(TRIM(F2070),Map_Tables!$A$4:$A$18,0)),"CHECK"))</f>
        <v>Hyderabad</v>
      </c>
      <c r="AE2070" s="7" t="str">
        <f aca="false">IF(TRIM(E2070)="","",IFERROR(INDEX(Map_Tables!$H$4:$H$37,MATCH(TRIM(E2070),Map_Tables!$G$4:$G$37,0)),"CHECK"))</f>
        <v>Sweet Tooth Studio</v>
      </c>
      <c r="AF2070" s="7" t="str">
        <f aca="false">IF(TRIM(K2070)="","Unknown",IFERROR(INDEX(Map_Tables!$E$4:$E$15,MATCH(TRIM(K2070),Map_Tables!$D$4:$D$15,0)),"CHECK"))</f>
        <v>Net Banking</v>
      </c>
      <c r="AG2070" s="7" t="str">
        <f aca="false">IF(LEFT(LOWER(TRIM(L2070)),6)="cancel","Cancelled","Delivered")</f>
        <v>Delivered</v>
      </c>
      <c r="AH2070" s="10" t="n">
        <f aca="false">IF(ISNUMBER(SEARCH("/",B2070)),DATE(VALUE(RIGHT(B2070,4)),VALUE(MID(B2070,4,2)),VALUE(LEFT(B2070,2))),IF(MID(B2070,5,1)="-",DATE(VALUE(LEFT(B2070,4)),VALUE(MID(B2070,6,2)),VALUE(RIGHT(B2070,2))),DATE(VALUE(RIGHT(B2070,4)),MATCH(MID(B2070,4,3),{"Jan","Feb","Mar","Apr","May","Jun","Jul","Aug","Sep","Oct","Nov","Dec"},0),VALUE(LEFT(B2070,2)))))</f>
        <v>45839</v>
      </c>
    </row>
    <row r="2071" customFormat="false" ht="15" hidden="false" customHeight="false" outlineLevel="0" collapsed="false">
      <c r="A2071" s="7" t="s">
        <v>4858</v>
      </c>
      <c r="B2071" s="7" t="s">
        <v>629</v>
      </c>
      <c r="C2071" s="7" t="s">
        <v>4859</v>
      </c>
      <c r="D2071" s="7" t="s">
        <v>3567</v>
      </c>
      <c r="E2071" s="7" t="s">
        <v>148</v>
      </c>
      <c r="F2071" s="7" t="s">
        <v>119</v>
      </c>
      <c r="G2071" s="7" t="s">
        <v>123</v>
      </c>
      <c r="H2071" s="7" t="n">
        <v>1</v>
      </c>
      <c r="I2071" s="7" t="n">
        <v>285</v>
      </c>
      <c r="J2071" s="7" t="n">
        <v>0</v>
      </c>
      <c r="K2071" s="7" t="s">
        <v>121</v>
      </c>
      <c r="L2071" s="7" t="s">
        <v>194</v>
      </c>
      <c r="M2071" s="7" t="n">
        <v>40</v>
      </c>
      <c r="N2071" s="7" t="n">
        <v>4</v>
      </c>
      <c r="O2071" s="7" t="str">
        <f aca="false">A2071&amp;"|"&amp;B2071&amp;"|"&amp;C2071&amp;"|"&amp;D2071&amp;"|"&amp;E2071&amp;"|"&amp;F2071&amp;"|"&amp;G2071&amp;"|"&amp;H2071&amp;"|"&amp;I2071&amp;"|"&amp;J2071&amp;"|"&amp;K2071&amp;"|"&amp;L2071&amp;"|"&amp;M2071&amp;"|"&amp;N2071</f>
        <v>ORD12086|2025-09-26|13:05|C0361|Pizza Palace|Hyderabad|Pizza|1|285|0|Wallet|Delivered|40|4</v>
      </c>
      <c r="P2071" s="7" t="str">
        <f aca="false">IF(COUNTIF($O$2:O2071,O2071)&gt;1,"DUP","OK")</f>
        <v>OK</v>
      </c>
      <c r="Q2071" s="7" t="n">
        <f aca="false">COUNTBLANK(A2071:N2071)</f>
        <v>0</v>
      </c>
      <c r="R2071" s="7" t="n">
        <f aca="false">IF(A2071="",0,COUNTIFS($A$2:$A$3058,A2071,$P$2:$P$3058,"OK"))</f>
        <v>1</v>
      </c>
      <c r="S2071" s="7" t="str">
        <f aca="false">IF(OR(A2071="",P2071="DUP",R2071&lt;2),"",IF(Q2071=_xlfn.MINIFS($Q$2:$Q$3058,$A$2:$A$3058,A2071,$P$2:$P$3058,"OK"),"KEEP","DROP"))</f>
        <v/>
      </c>
      <c r="T2071" s="9" t="n">
        <f aca="false">IF(A2071="",1,0)</f>
        <v>0</v>
      </c>
      <c r="U2071" s="9" t="n">
        <f aca="false">IF(D2071="",1,0)</f>
        <v>0</v>
      </c>
      <c r="V2071" s="9" t="n">
        <f aca="false">IF(E2071="",1,0)</f>
        <v>0</v>
      </c>
      <c r="W2071" s="9" t="n">
        <f aca="false">IF(OR(H2071&lt;1,H2071&gt;10),1,0)</f>
        <v>0</v>
      </c>
      <c r="X2071" s="9" t="n">
        <f aca="false">IF(OR(I2071&lt;=0,I2071&gt;1500),1,0)</f>
        <v>0</v>
      </c>
      <c r="Y2071" s="9" t="n">
        <f aca="false">IF(J2071&gt;H2071*I2071,1,0)</f>
        <v>0</v>
      </c>
      <c r="Z2071" s="9" t="n">
        <f aca="false">IF(AND(N2071&lt;&gt;"",OR(N2071&lt;1,N2071&gt;5)),1,0)</f>
        <v>0</v>
      </c>
      <c r="AA2071" s="9" t="n">
        <f aca="false">IF(AND(M2071&lt;&gt;"",OR(M2071&lt;5,M2071&gt;180)),1,0)</f>
        <v>0</v>
      </c>
      <c r="AB2071" s="7" t="str">
        <f aca="false">IF(P2071="DUP","Exact duplicate row",IF(T2071=1,"Missing Order ID",IF(S2071="DROP","Duplicate Order ID (less complete row)",IF(U2071=1,"Missing Customer ID",IF(V2071=1,"Missing Restaurant name",IF(W2071=1,"Invalid/outlier quantity",IF(X2071=1,"Invalid/outlier unit price",IF(Y2071=1,"Discount greater than order value",""))))))))</f>
        <v/>
      </c>
      <c r="AC2071" s="7" t="str">
        <f aca="false">IF(AB2071="","KEEP","DROP")</f>
        <v>KEEP</v>
      </c>
      <c r="AD2071" s="7" t="str">
        <f aca="false">IF(TRIM(F2071)="",IFERROR(INDEX(Map_Tables!$I$4:$I$37,MATCH(TRIM(E2071),Map_Tables!$G$4:$G$37,0)),""),IFERROR(INDEX(Map_Tables!$B$4:$B$18,MATCH(TRIM(F2071),Map_Tables!$A$4:$A$18,0)),"CHECK"))</f>
        <v>Hyderabad</v>
      </c>
      <c r="AE2071" s="7" t="str">
        <f aca="false">IF(TRIM(E2071)="","",IFERROR(INDEX(Map_Tables!$H$4:$H$37,MATCH(TRIM(E2071),Map_Tables!$G$4:$G$37,0)),"CHECK"))</f>
        <v>Pizza Palace</v>
      </c>
      <c r="AF2071" s="7" t="str">
        <f aca="false">IF(TRIM(K2071)="","Unknown",IFERROR(INDEX(Map_Tables!$E$4:$E$15,MATCH(TRIM(K2071),Map_Tables!$D$4:$D$15,0)),"CHECK"))</f>
        <v>Wallet</v>
      </c>
      <c r="AG2071" s="7" t="str">
        <f aca="false">IF(LEFT(LOWER(TRIM(L2071)),6)="cancel","Cancelled","Delivered")</f>
        <v>Delivered</v>
      </c>
      <c r="AH2071" s="10" t="n">
        <f aca="false">IF(ISNUMBER(SEARCH("/",B2071)),DATE(VALUE(RIGHT(B2071,4)),VALUE(MID(B2071,4,2)),VALUE(LEFT(B2071,2))),IF(MID(B2071,5,1)="-",DATE(VALUE(LEFT(B2071,4)),VALUE(MID(B2071,6,2)),VALUE(RIGHT(B2071,2))),DATE(VALUE(RIGHT(B2071,4)),MATCH(MID(B2071,4,3),{"Jan","Feb","Mar","Apr","May","Jun","Jul","Aug","Sep","Oct","Nov","Dec"},0),VALUE(LEFT(B2071,2)))))</f>
        <v>45926</v>
      </c>
    </row>
    <row r="2072" customFormat="false" ht="15" hidden="false" customHeight="false" outlineLevel="0" collapsed="false">
      <c r="A2072" s="7" t="s">
        <v>4860</v>
      </c>
      <c r="B2072" s="7" t="s">
        <v>381</v>
      </c>
      <c r="C2072" s="7" t="s">
        <v>1941</v>
      </c>
      <c r="D2072" s="7" t="s">
        <v>3939</v>
      </c>
      <c r="E2072" s="7" t="s">
        <v>104</v>
      </c>
      <c r="F2072" s="7" t="s">
        <v>86</v>
      </c>
      <c r="G2072" s="7" t="s">
        <v>105</v>
      </c>
      <c r="H2072" s="7" t="n">
        <v>4</v>
      </c>
      <c r="I2072" s="7" t="n">
        <v>175</v>
      </c>
      <c r="J2072" s="7" t="n">
        <v>0</v>
      </c>
      <c r="K2072" s="7" t="s">
        <v>93</v>
      </c>
      <c r="L2072" s="7" t="s">
        <v>194</v>
      </c>
      <c r="M2072" s="7"/>
      <c r="N2072" s="7" t="n">
        <v>5</v>
      </c>
      <c r="O2072" s="7" t="str">
        <f aca="false">A2072&amp;"|"&amp;B2072&amp;"|"&amp;C2072&amp;"|"&amp;D2072&amp;"|"&amp;E2072&amp;"|"&amp;F2072&amp;"|"&amp;G2072&amp;"|"&amp;H2072&amp;"|"&amp;I2072&amp;"|"&amp;J2072&amp;"|"&amp;K2072&amp;"|"&amp;L2072&amp;"|"&amp;M2072&amp;"|"&amp;N2072</f>
        <v>ORD10210|2025-01-28|21:01|C1129|Wok &amp; Roll|Bengaluru|Chinese|4|175|0|Credit Card|Delivered||5</v>
      </c>
      <c r="P2072" s="7" t="str">
        <f aca="false">IF(COUNTIF($O$2:O2072,O2072)&gt;1,"DUP","OK")</f>
        <v>OK</v>
      </c>
      <c r="Q2072" s="7" t="n">
        <f aca="false">COUNTBLANK(A2072:N2072)</f>
        <v>1</v>
      </c>
      <c r="R2072" s="7" t="n">
        <f aca="false">IF(A2072="",0,COUNTIFS($A$2:$A$3058,A2072,$P$2:$P$3058,"OK"))</f>
        <v>1</v>
      </c>
      <c r="S2072" s="7" t="str">
        <f aca="false">IF(OR(A2072="",P2072="DUP",R2072&lt;2),"",IF(Q2072=_xlfn.MINIFS($Q$2:$Q$3058,$A$2:$A$3058,A2072,$P$2:$P$3058,"OK"),"KEEP","DROP"))</f>
        <v/>
      </c>
      <c r="T2072" s="9" t="n">
        <f aca="false">IF(A2072="",1,0)</f>
        <v>0</v>
      </c>
      <c r="U2072" s="9" t="n">
        <f aca="false">IF(D2072="",1,0)</f>
        <v>0</v>
      </c>
      <c r="V2072" s="9" t="n">
        <f aca="false">IF(E2072="",1,0)</f>
        <v>0</v>
      </c>
      <c r="W2072" s="9" t="n">
        <f aca="false">IF(OR(H2072&lt;1,H2072&gt;10),1,0)</f>
        <v>0</v>
      </c>
      <c r="X2072" s="9" t="n">
        <f aca="false">IF(OR(I2072&lt;=0,I2072&gt;1500),1,0)</f>
        <v>0</v>
      </c>
      <c r="Y2072" s="9" t="n">
        <f aca="false">IF(J2072&gt;H2072*I2072,1,0)</f>
        <v>0</v>
      </c>
      <c r="Z2072" s="9" t="n">
        <f aca="false">IF(AND(N2072&lt;&gt;"",OR(N2072&lt;1,N2072&gt;5)),1,0)</f>
        <v>0</v>
      </c>
      <c r="AA2072" s="9" t="n">
        <f aca="false">IF(AND(M2072&lt;&gt;"",OR(M2072&lt;5,M2072&gt;180)),1,0)</f>
        <v>0</v>
      </c>
      <c r="AB2072" s="7" t="str">
        <f aca="false">IF(P2072="DUP","Exact duplicate row",IF(T2072=1,"Missing Order ID",IF(S2072="DROP","Duplicate Order ID (less complete row)",IF(U2072=1,"Missing Customer ID",IF(V2072=1,"Missing Restaurant name",IF(W2072=1,"Invalid/outlier quantity",IF(X2072=1,"Invalid/outlier unit price",IF(Y2072=1,"Discount greater than order value",""))))))))</f>
        <v/>
      </c>
      <c r="AC2072" s="7" t="str">
        <f aca="false">IF(AB2072="","KEEP","DROP")</f>
        <v>KEEP</v>
      </c>
      <c r="AD2072" s="7" t="str">
        <f aca="false">IF(TRIM(F2072)="",IFERROR(INDEX(Map_Tables!$I$4:$I$37,MATCH(TRIM(E2072),Map_Tables!$G$4:$G$37,0)),""),IFERROR(INDEX(Map_Tables!$B$4:$B$18,MATCH(TRIM(F2072),Map_Tables!$A$4:$A$18,0)),"CHECK"))</f>
        <v>Bengaluru</v>
      </c>
      <c r="AE2072" s="7" t="str">
        <f aca="false">IF(TRIM(E2072)="","",IFERROR(INDEX(Map_Tables!$H$4:$H$37,MATCH(TRIM(E2072),Map_Tables!$G$4:$G$37,0)),"CHECK"))</f>
        <v>Wok &amp; Roll</v>
      </c>
      <c r="AF2072" s="7" t="str">
        <f aca="false">IF(TRIM(K2072)="","Unknown",IFERROR(INDEX(Map_Tables!$E$4:$E$15,MATCH(TRIM(K2072),Map_Tables!$D$4:$D$15,0)),"CHECK"))</f>
        <v>Credit Card</v>
      </c>
      <c r="AG2072" s="7" t="str">
        <f aca="false">IF(LEFT(LOWER(TRIM(L2072)),6)="cancel","Cancelled","Delivered")</f>
        <v>Delivered</v>
      </c>
      <c r="AH2072" s="10" t="n">
        <f aca="false">IF(ISNUMBER(SEARCH("/",B2072)),DATE(VALUE(RIGHT(B2072,4)),VALUE(MID(B2072,4,2)),VALUE(LEFT(B2072,2))),IF(MID(B2072,5,1)="-",DATE(VALUE(LEFT(B2072,4)),VALUE(MID(B2072,6,2)),VALUE(RIGHT(B2072,2))),DATE(VALUE(RIGHT(B2072,4)),MATCH(MID(B2072,4,3),{"Jan","Feb","Mar","Apr","May","Jun","Jul","Aug","Sep","Oct","Nov","Dec"},0),VALUE(LEFT(B2072,2)))))</f>
        <v>45685</v>
      </c>
    </row>
    <row r="2073" customFormat="false" ht="15" hidden="false" customHeight="false" outlineLevel="0" collapsed="false">
      <c r="A2073" s="7" t="s">
        <v>4861</v>
      </c>
      <c r="B2073" s="7" t="s">
        <v>1309</v>
      </c>
      <c r="C2073" s="7" t="s">
        <v>1414</v>
      </c>
      <c r="D2073" s="7" t="s">
        <v>4862</v>
      </c>
      <c r="E2073" s="7" t="s">
        <v>168</v>
      </c>
      <c r="F2073" s="7" t="s">
        <v>145</v>
      </c>
      <c r="G2073" s="7" t="s">
        <v>123</v>
      </c>
      <c r="H2073" s="7" t="n">
        <v>2</v>
      </c>
      <c r="I2073" s="7" t="n">
        <v>355</v>
      </c>
      <c r="J2073" s="7" t="n">
        <v>20</v>
      </c>
      <c r="K2073" s="7" t="s">
        <v>88</v>
      </c>
      <c r="L2073" s="7" t="s">
        <v>194</v>
      </c>
      <c r="M2073" s="7" t="n">
        <v>33</v>
      </c>
      <c r="N2073" s="7" t="n">
        <v>5</v>
      </c>
      <c r="O2073" s="7" t="str">
        <f aca="false">A2073&amp;"|"&amp;B2073&amp;"|"&amp;C2073&amp;"|"&amp;D2073&amp;"|"&amp;E2073&amp;"|"&amp;F2073&amp;"|"&amp;G2073&amp;"|"&amp;H2073&amp;"|"&amp;I2073&amp;"|"&amp;J2073&amp;"|"&amp;K2073&amp;"|"&amp;L2073&amp;"|"&amp;M2073&amp;"|"&amp;N2073</f>
        <v>ORD10154|2025-01-20|19:24|C1375|Cheesy Slice|ahmedabad|Pizza|2|355|20|UPI|Delivered|33|5</v>
      </c>
      <c r="P2073" s="7" t="str">
        <f aca="false">IF(COUNTIF($O$2:O2073,O2073)&gt;1,"DUP","OK")</f>
        <v>OK</v>
      </c>
      <c r="Q2073" s="7" t="n">
        <f aca="false">COUNTBLANK(A2073:N2073)</f>
        <v>0</v>
      </c>
      <c r="R2073" s="7" t="n">
        <f aca="false">IF(A2073="",0,COUNTIFS($A$2:$A$3058,A2073,$P$2:$P$3058,"OK"))</f>
        <v>1</v>
      </c>
      <c r="S2073" s="7" t="str">
        <f aca="false">IF(OR(A2073="",P2073="DUP",R2073&lt;2),"",IF(Q2073=_xlfn.MINIFS($Q$2:$Q$3058,$A$2:$A$3058,A2073,$P$2:$P$3058,"OK"),"KEEP","DROP"))</f>
        <v/>
      </c>
      <c r="T2073" s="9" t="n">
        <f aca="false">IF(A2073="",1,0)</f>
        <v>0</v>
      </c>
      <c r="U2073" s="9" t="n">
        <f aca="false">IF(D2073="",1,0)</f>
        <v>0</v>
      </c>
      <c r="V2073" s="9" t="n">
        <f aca="false">IF(E2073="",1,0)</f>
        <v>0</v>
      </c>
      <c r="W2073" s="9" t="n">
        <f aca="false">IF(OR(H2073&lt;1,H2073&gt;10),1,0)</f>
        <v>0</v>
      </c>
      <c r="X2073" s="9" t="n">
        <f aca="false">IF(OR(I2073&lt;=0,I2073&gt;1500),1,0)</f>
        <v>0</v>
      </c>
      <c r="Y2073" s="9" t="n">
        <f aca="false">IF(J2073&gt;H2073*I2073,1,0)</f>
        <v>0</v>
      </c>
      <c r="Z2073" s="9" t="n">
        <f aca="false">IF(AND(N2073&lt;&gt;"",OR(N2073&lt;1,N2073&gt;5)),1,0)</f>
        <v>0</v>
      </c>
      <c r="AA2073" s="9" t="n">
        <f aca="false">IF(AND(M2073&lt;&gt;"",OR(M2073&lt;5,M2073&gt;180)),1,0)</f>
        <v>0</v>
      </c>
      <c r="AB2073" s="7" t="str">
        <f aca="false">IF(P2073="DUP","Exact duplicate row",IF(T2073=1,"Missing Order ID",IF(S2073="DROP","Duplicate Order ID (less complete row)",IF(U2073=1,"Missing Customer ID",IF(V2073=1,"Missing Restaurant name",IF(W2073=1,"Invalid/outlier quantity",IF(X2073=1,"Invalid/outlier unit price",IF(Y2073=1,"Discount greater than order value",""))))))))</f>
        <v/>
      </c>
      <c r="AC2073" s="7" t="str">
        <f aca="false">IF(AB2073="","KEEP","DROP")</f>
        <v>KEEP</v>
      </c>
      <c r="AD2073" s="7" t="str">
        <f aca="false">IF(TRIM(F2073)="",IFERROR(INDEX(Map_Tables!$I$4:$I$37,MATCH(TRIM(E2073),Map_Tables!$G$4:$G$37,0)),""),IFERROR(INDEX(Map_Tables!$B$4:$B$18,MATCH(TRIM(F2073),Map_Tables!$A$4:$A$18,0)),"CHECK"))</f>
        <v>Ahmedabad</v>
      </c>
      <c r="AE2073" s="7" t="str">
        <f aca="false">IF(TRIM(E2073)="","",IFERROR(INDEX(Map_Tables!$H$4:$H$37,MATCH(TRIM(E2073),Map_Tables!$G$4:$G$37,0)),"CHECK"))</f>
        <v>Cheesy Slice</v>
      </c>
      <c r="AF2073" s="7" t="str">
        <f aca="false">IF(TRIM(K2073)="","Unknown",IFERROR(INDEX(Map_Tables!$E$4:$E$15,MATCH(TRIM(K2073),Map_Tables!$D$4:$D$15,0)),"CHECK"))</f>
        <v>UPI</v>
      </c>
      <c r="AG2073" s="7" t="str">
        <f aca="false">IF(LEFT(LOWER(TRIM(L2073)),6)="cancel","Cancelled","Delivered")</f>
        <v>Delivered</v>
      </c>
      <c r="AH2073" s="10" t="n">
        <f aca="false">IF(ISNUMBER(SEARCH("/",B2073)),DATE(VALUE(RIGHT(B2073,4)),VALUE(MID(B2073,4,2)),VALUE(LEFT(B2073,2))),IF(MID(B2073,5,1)="-",DATE(VALUE(LEFT(B2073,4)),VALUE(MID(B2073,6,2)),VALUE(RIGHT(B2073,2))),DATE(VALUE(RIGHT(B2073,4)),MATCH(MID(B2073,4,3),{"Jan","Feb","Mar","Apr","May","Jun","Jul","Aug","Sep","Oct","Nov","Dec"},0),VALUE(LEFT(B2073,2)))))</f>
        <v>45677</v>
      </c>
    </row>
    <row r="2074" customFormat="false" ht="15" hidden="false" customHeight="false" outlineLevel="0" collapsed="false">
      <c r="A2074" s="7" t="s">
        <v>4863</v>
      </c>
      <c r="B2074" s="7" t="s">
        <v>2231</v>
      </c>
      <c r="C2074" s="7" t="s">
        <v>2366</v>
      </c>
      <c r="D2074" s="7" t="s">
        <v>4864</v>
      </c>
      <c r="E2074" s="7" t="s">
        <v>138</v>
      </c>
      <c r="F2074" s="7" t="s">
        <v>110</v>
      </c>
      <c r="G2074" s="7" t="s">
        <v>139</v>
      </c>
      <c r="H2074" s="7" t="n">
        <v>1</v>
      </c>
      <c r="I2074" s="7" t="n">
        <v>225</v>
      </c>
      <c r="J2074" s="7" t="n">
        <v>40</v>
      </c>
      <c r="K2074" s="7" t="s">
        <v>88</v>
      </c>
      <c r="L2074" s="7" t="s">
        <v>194</v>
      </c>
      <c r="M2074" s="7" t="n">
        <v>43</v>
      </c>
      <c r="N2074" s="7" t="n">
        <v>5</v>
      </c>
      <c r="O2074" s="7" t="str">
        <f aca="false">A2074&amp;"|"&amp;B2074&amp;"|"&amp;C2074&amp;"|"&amp;D2074&amp;"|"&amp;E2074&amp;"|"&amp;F2074&amp;"|"&amp;G2074&amp;"|"&amp;H2074&amp;"|"&amp;I2074&amp;"|"&amp;J2074&amp;"|"&amp;K2074&amp;"|"&amp;L2074&amp;"|"&amp;M2074&amp;"|"&amp;N2074</f>
        <v>ORD12347|2025-10-22|20:50|C0065|Burger Barn|Delhi|Burgers|1|225|40|UPI|Delivered|43|5</v>
      </c>
      <c r="P2074" s="7" t="str">
        <f aca="false">IF(COUNTIF($O$2:O2074,O2074)&gt;1,"DUP","OK")</f>
        <v>OK</v>
      </c>
      <c r="Q2074" s="7" t="n">
        <f aca="false">COUNTBLANK(A2074:N2074)</f>
        <v>0</v>
      </c>
      <c r="R2074" s="7" t="n">
        <f aca="false">IF(A2074="",0,COUNTIFS($A$2:$A$3058,A2074,$P$2:$P$3058,"OK"))</f>
        <v>1</v>
      </c>
      <c r="S2074" s="7" t="str">
        <f aca="false">IF(OR(A2074="",P2074="DUP",R2074&lt;2),"",IF(Q2074=_xlfn.MINIFS($Q$2:$Q$3058,$A$2:$A$3058,A2074,$P$2:$P$3058,"OK"),"KEEP","DROP"))</f>
        <v/>
      </c>
      <c r="T2074" s="9" t="n">
        <f aca="false">IF(A2074="",1,0)</f>
        <v>0</v>
      </c>
      <c r="U2074" s="9" t="n">
        <f aca="false">IF(D2074="",1,0)</f>
        <v>0</v>
      </c>
      <c r="V2074" s="9" t="n">
        <f aca="false">IF(E2074="",1,0)</f>
        <v>0</v>
      </c>
      <c r="W2074" s="9" t="n">
        <f aca="false">IF(OR(H2074&lt;1,H2074&gt;10),1,0)</f>
        <v>0</v>
      </c>
      <c r="X2074" s="9" t="n">
        <f aca="false">IF(OR(I2074&lt;=0,I2074&gt;1500),1,0)</f>
        <v>0</v>
      </c>
      <c r="Y2074" s="9" t="n">
        <f aca="false">IF(J2074&gt;H2074*I2074,1,0)</f>
        <v>0</v>
      </c>
      <c r="Z2074" s="9" t="n">
        <f aca="false">IF(AND(N2074&lt;&gt;"",OR(N2074&lt;1,N2074&gt;5)),1,0)</f>
        <v>0</v>
      </c>
      <c r="AA2074" s="9" t="n">
        <f aca="false">IF(AND(M2074&lt;&gt;"",OR(M2074&lt;5,M2074&gt;180)),1,0)</f>
        <v>0</v>
      </c>
      <c r="AB2074" s="7" t="str">
        <f aca="false">IF(P2074="DUP","Exact duplicate row",IF(T2074=1,"Missing Order ID",IF(S2074="DROP","Duplicate Order ID (less complete row)",IF(U2074=1,"Missing Customer ID",IF(V2074=1,"Missing Restaurant name",IF(W2074=1,"Invalid/outlier quantity",IF(X2074=1,"Invalid/outlier unit price",IF(Y2074=1,"Discount greater than order value",""))))))))</f>
        <v/>
      </c>
      <c r="AC2074" s="7" t="str">
        <f aca="false">IF(AB2074="","KEEP","DROP")</f>
        <v>KEEP</v>
      </c>
      <c r="AD2074" s="7" t="str">
        <f aca="false">IF(TRIM(F2074)="",IFERROR(INDEX(Map_Tables!$I$4:$I$37,MATCH(TRIM(E2074),Map_Tables!$G$4:$G$37,0)),""),IFERROR(INDEX(Map_Tables!$B$4:$B$18,MATCH(TRIM(F2074),Map_Tables!$A$4:$A$18,0)),"CHECK"))</f>
        <v>Delhi</v>
      </c>
      <c r="AE2074" s="7" t="str">
        <f aca="false">IF(TRIM(E2074)="","",IFERROR(INDEX(Map_Tables!$H$4:$H$37,MATCH(TRIM(E2074),Map_Tables!$G$4:$G$37,0)),"CHECK"))</f>
        <v>Burger Barn</v>
      </c>
      <c r="AF2074" s="7" t="str">
        <f aca="false">IF(TRIM(K2074)="","Unknown",IFERROR(INDEX(Map_Tables!$E$4:$E$15,MATCH(TRIM(K2074),Map_Tables!$D$4:$D$15,0)),"CHECK"))</f>
        <v>UPI</v>
      </c>
      <c r="AG2074" s="7" t="str">
        <f aca="false">IF(LEFT(LOWER(TRIM(L2074)),6)="cancel","Cancelled","Delivered")</f>
        <v>Delivered</v>
      </c>
      <c r="AH2074" s="10" t="n">
        <f aca="false">IF(ISNUMBER(SEARCH("/",B2074)),DATE(VALUE(RIGHT(B2074,4)),VALUE(MID(B2074,4,2)),VALUE(LEFT(B2074,2))),IF(MID(B2074,5,1)="-",DATE(VALUE(LEFT(B2074,4)),VALUE(MID(B2074,6,2)),VALUE(RIGHT(B2074,2))),DATE(VALUE(RIGHT(B2074,4)),MATCH(MID(B2074,4,3),{"Jan","Feb","Mar","Apr","May","Jun","Jul","Aug","Sep","Oct","Nov","Dec"},0),VALUE(LEFT(B2074,2)))))</f>
        <v>45952</v>
      </c>
    </row>
    <row r="2075" customFormat="false" ht="15" hidden="false" customHeight="false" outlineLevel="0" collapsed="false">
      <c r="A2075" s="7" t="s">
        <v>4865</v>
      </c>
      <c r="B2075" s="7" t="s">
        <v>1645</v>
      </c>
      <c r="C2075" s="7" t="s">
        <v>606</v>
      </c>
      <c r="D2075" s="7" t="s">
        <v>4866</v>
      </c>
      <c r="E2075" s="7" t="s">
        <v>122</v>
      </c>
      <c r="F2075" s="7" t="s">
        <v>101</v>
      </c>
      <c r="G2075" s="7" t="s">
        <v>123</v>
      </c>
      <c r="H2075" s="7" t="n">
        <v>3</v>
      </c>
      <c r="I2075" s="7" t="n">
        <v>415</v>
      </c>
      <c r="J2075" s="7" t="n">
        <v>40</v>
      </c>
      <c r="K2075" s="7" t="s">
        <v>103</v>
      </c>
      <c r="L2075" s="7" t="s">
        <v>194</v>
      </c>
      <c r="M2075" s="7" t="n">
        <v>31</v>
      </c>
      <c r="N2075" s="7" t="n">
        <v>4</v>
      </c>
      <c r="O2075" s="7" t="str">
        <f aca="false">A2075&amp;"|"&amp;B2075&amp;"|"&amp;C2075&amp;"|"&amp;D2075&amp;"|"&amp;E2075&amp;"|"&amp;F2075&amp;"|"&amp;G2075&amp;"|"&amp;H2075&amp;"|"&amp;I2075&amp;"|"&amp;J2075&amp;"|"&amp;K2075&amp;"|"&amp;L2075&amp;"|"&amp;M2075&amp;"|"&amp;N2075</f>
        <v>ORD11591|2025-07-27|11:12|C0546|Mumbai Pizza Co|Mumbai|Pizza|3|415|40|Debit Card|Delivered|31|4</v>
      </c>
      <c r="P2075" s="7" t="str">
        <f aca="false">IF(COUNTIF($O$2:O2075,O2075)&gt;1,"DUP","OK")</f>
        <v>OK</v>
      </c>
      <c r="Q2075" s="7" t="n">
        <f aca="false">COUNTBLANK(A2075:N2075)</f>
        <v>0</v>
      </c>
      <c r="R2075" s="7" t="n">
        <f aca="false">IF(A2075="",0,COUNTIFS($A$2:$A$3058,A2075,$P$2:$P$3058,"OK"))</f>
        <v>1</v>
      </c>
      <c r="S2075" s="7" t="str">
        <f aca="false">IF(OR(A2075="",P2075="DUP",R2075&lt;2),"",IF(Q2075=_xlfn.MINIFS($Q$2:$Q$3058,$A$2:$A$3058,A2075,$P$2:$P$3058,"OK"),"KEEP","DROP"))</f>
        <v/>
      </c>
      <c r="T2075" s="9" t="n">
        <f aca="false">IF(A2075="",1,0)</f>
        <v>0</v>
      </c>
      <c r="U2075" s="9" t="n">
        <f aca="false">IF(D2075="",1,0)</f>
        <v>0</v>
      </c>
      <c r="V2075" s="9" t="n">
        <f aca="false">IF(E2075="",1,0)</f>
        <v>0</v>
      </c>
      <c r="W2075" s="9" t="n">
        <f aca="false">IF(OR(H2075&lt;1,H2075&gt;10),1,0)</f>
        <v>0</v>
      </c>
      <c r="X2075" s="9" t="n">
        <f aca="false">IF(OR(I2075&lt;=0,I2075&gt;1500),1,0)</f>
        <v>0</v>
      </c>
      <c r="Y2075" s="9" t="n">
        <f aca="false">IF(J2075&gt;H2075*I2075,1,0)</f>
        <v>0</v>
      </c>
      <c r="Z2075" s="9" t="n">
        <f aca="false">IF(AND(N2075&lt;&gt;"",OR(N2075&lt;1,N2075&gt;5)),1,0)</f>
        <v>0</v>
      </c>
      <c r="AA2075" s="9" t="n">
        <f aca="false">IF(AND(M2075&lt;&gt;"",OR(M2075&lt;5,M2075&gt;180)),1,0)</f>
        <v>0</v>
      </c>
      <c r="AB2075" s="7" t="str">
        <f aca="false">IF(P2075="DUP","Exact duplicate row",IF(T2075=1,"Missing Order ID",IF(S2075="DROP","Duplicate Order ID (less complete row)",IF(U2075=1,"Missing Customer ID",IF(V2075=1,"Missing Restaurant name",IF(W2075=1,"Invalid/outlier quantity",IF(X2075=1,"Invalid/outlier unit price",IF(Y2075=1,"Discount greater than order value",""))))))))</f>
        <v/>
      </c>
      <c r="AC2075" s="7" t="str">
        <f aca="false">IF(AB2075="","KEEP","DROP")</f>
        <v>KEEP</v>
      </c>
      <c r="AD2075" s="7" t="str">
        <f aca="false">IF(TRIM(F2075)="",IFERROR(INDEX(Map_Tables!$I$4:$I$37,MATCH(TRIM(E2075),Map_Tables!$G$4:$G$37,0)),""),IFERROR(INDEX(Map_Tables!$B$4:$B$18,MATCH(TRIM(F2075),Map_Tables!$A$4:$A$18,0)),"CHECK"))</f>
        <v>Mumbai</v>
      </c>
      <c r="AE2075" s="7" t="str">
        <f aca="false">IF(TRIM(E2075)="","",IFERROR(INDEX(Map_Tables!$H$4:$H$37,MATCH(TRIM(E2075),Map_Tables!$G$4:$G$37,0)),"CHECK"))</f>
        <v>Mumbai Pizza Co</v>
      </c>
      <c r="AF2075" s="7" t="str">
        <f aca="false">IF(TRIM(K2075)="","Unknown",IFERROR(INDEX(Map_Tables!$E$4:$E$15,MATCH(TRIM(K2075),Map_Tables!$D$4:$D$15,0)),"CHECK"))</f>
        <v>Debit Card</v>
      </c>
      <c r="AG2075" s="7" t="str">
        <f aca="false">IF(LEFT(LOWER(TRIM(L2075)),6)="cancel","Cancelled","Delivered")</f>
        <v>Delivered</v>
      </c>
      <c r="AH2075" s="10" t="n">
        <f aca="false">IF(ISNUMBER(SEARCH("/",B2075)),DATE(VALUE(RIGHT(B2075,4)),VALUE(MID(B2075,4,2)),VALUE(LEFT(B2075,2))),IF(MID(B2075,5,1)="-",DATE(VALUE(LEFT(B2075,4)),VALUE(MID(B2075,6,2)),VALUE(RIGHT(B2075,2))),DATE(VALUE(RIGHT(B2075,4)),MATCH(MID(B2075,4,3),{"Jan","Feb","Mar","Apr","May","Jun","Jul","Aug","Sep","Oct","Nov","Dec"},0),VALUE(LEFT(B2075,2)))))</f>
        <v>45865</v>
      </c>
    </row>
    <row r="2076" customFormat="false" ht="15" hidden="false" customHeight="false" outlineLevel="0" collapsed="false">
      <c r="A2076" s="7" t="s">
        <v>4867</v>
      </c>
      <c r="B2076" s="7" t="s">
        <v>355</v>
      </c>
      <c r="C2076" s="7" t="s">
        <v>1586</v>
      </c>
      <c r="D2076" s="7" t="s">
        <v>2750</v>
      </c>
      <c r="E2076" s="7" t="s">
        <v>130</v>
      </c>
      <c r="F2076" s="7" t="s">
        <v>110</v>
      </c>
      <c r="G2076" s="7" t="s">
        <v>90</v>
      </c>
      <c r="H2076" s="7" t="n">
        <v>5</v>
      </c>
      <c r="I2076" s="7" t="n">
        <v>240</v>
      </c>
      <c r="J2076" s="7" t="n">
        <v>0</v>
      </c>
      <c r="K2076" s="7" t="s">
        <v>88</v>
      </c>
      <c r="L2076" s="7" t="s">
        <v>194</v>
      </c>
      <c r="M2076" s="7" t="n">
        <v>35</v>
      </c>
      <c r="N2076" s="7" t="n">
        <v>5</v>
      </c>
      <c r="O2076" s="7" t="str">
        <f aca="false">A2076&amp;"|"&amp;B2076&amp;"|"&amp;C2076&amp;"|"&amp;D2076&amp;"|"&amp;E2076&amp;"|"&amp;F2076&amp;"|"&amp;G2076&amp;"|"&amp;H2076&amp;"|"&amp;I2076&amp;"|"&amp;J2076&amp;"|"&amp;K2076&amp;"|"&amp;L2076&amp;"|"&amp;M2076&amp;"|"&amp;N2076</f>
        <v>ORD11148|2025-05-27|10:02|C0479|Tandoor Tales|Delhi|North Indian|5|240|0|UPI|Delivered|35|5</v>
      </c>
      <c r="P2076" s="7" t="str">
        <f aca="false">IF(COUNTIF($O$2:O2076,O2076)&gt;1,"DUP","OK")</f>
        <v>OK</v>
      </c>
      <c r="Q2076" s="7" t="n">
        <f aca="false">COUNTBLANK(A2076:N2076)</f>
        <v>0</v>
      </c>
      <c r="R2076" s="7" t="n">
        <f aca="false">IF(A2076="",0,COUNTIFS($A$2:$A$3058,A2076,$P$2:$P$3058,"OK"))</f>
        <v>1</v>
      </c>
      <c r="S2076" s="7" t="str">
        <f aca="false">IF(OR(A2076="",P2076="DUP",R2076&lt;2),"",IF(Q2076=_xlfn.MINIFS($Q$2:$Q$3058,$A$2:$A$3058,A2076,$P$2:$P$3058,"OK"),"KEEP","DROP"))</f>
        <v/>
      </c>
      <c r="T2076" s="9" t="n">
        <f aca="false">IF(A2076="",1,0)</f>
        <v>0</v>
      </c>
      <c r="U2076" s="9" t="n">
        <f aca="false">IF(D2076="",1,0)</f>
        <v>0</v>
      </c>
      <c r="V2076" s="9" t="n">
        <f aca="false">IF(E2076="",1,0)</f>
        <v>0</v>
      </c>
      <c r="W2076" s="9" t="n">
        <f aca="false">IF(OR(H2076&lt;1,H2076&gt;10),1,0)</f>
        <v>0</v>
      </c>
      <c r="X2076" s="9" t="n">
        <f aca="false">IF(OR(I2076&lt;=0,I2076&gt;1500),1,0)</f>
        <v>0</v>
      </c>
      <c r="Y2076" s="9" t="n">
        <f aca="false">IF(J2076&gt;H2076*I2076,1,0)</f>
        <v>0</v>
      </c>
      <c r="Z2076" s="9" t="n">
        <f aca="false">IF(AND(N2076&lt;&gt;"",OR(N2076&lt;1,N2076&gt;5)),1,0)</f>
        <v>0</v>
      </c>
      <c r="AA2076" s="9" t="n">
        <f aca="false">IF(AND(M2076&lt;&gt;"",OR(M2076&lt;5,M2076&gt;180)),1,0)</f>
        <v>0</v>
      </c>
      <c r="AB2076" s="7" t="str">
        <f aca="false">IF(P2076="DUP","Exact duplicate row",IF(T2076=1,"Missing Order ID",IF(S2076="DROP","Duplicate Order ID (less complete row)",IF(U2076=1,"Missing Customer ID",IF(V2076=1,"Missing Restaurant name",IF(W2076=1,"Invalid/outlier quantity",IF(X2076=1,"Invalid/outlier unit price",IF(Y2076=1,"Discount greater than order value",""))))))))</f>
        <v/>
      </c>
      <c r="AC2076" s="7" t="str">
        <f aca="false">IF(AB2076="","KEEP","DROP")</f>
        <v>KEEP</v>
      </c>
      <c r="AD2076" s="7" t="str">
        <f aca="false">IF(TRIM(F2076)="",IFERROR(INDEX(Map_Tables!$I$4:$I$37,MATCH(TRIM(E2076),Map_Tables!$G$4:$G$37,0)),""),IFERROR(INDEX(Map_Tables!$B$4:$B$18,MATCH(TRIM(F2076),Map_Tables!$A$4:$A$18,0)),"CHECK"))</f>
        <v>Delhi</v>
      </c>
      <c r="AE2076" s="7" t="str">
        <f aca="false">IF(TRIM(E2076)="","",IFERROR(INDEX(Map_Tables!$H$4:$H$37,MATCH(TRIM(E2076),Map_Tables!$G$4:$G$37,0)),"CHECK"))</f>
        <v>Tandoor Tales</v>
      </c>
      <c r="AF2076" s="7" t="str">
        <f aca="false">IF(TRIM(K2076)="","Unknown",IFERROR(INDEX(Map_Tables!$E$4:$E$15,MATCH(TRIM(K2076),Map_Tables!$D$4:$D$15,0)),"CHECK"))</f>
        <v>UPI</v>
      </c>
      <c r="AG2076" s="7" t="str">
        <f aca="false">IF(LEFT(LOWER(TRIM(L2076)),6)="cancel","Cancelled","Delivered")</f>
        <v>Delivered</v>
      </c>
      <c r="AH2076" s="10" t="n">
        <f aca="false">IF(ISNUMBER(SEARCH("/",B2076)),DATE(VALUE(RIGHT(B2076,4)),VALUE(MID(B2076,4,2)),VALUE(LEFT(B2076,2))),IF(MID(B2076,5,1)="-",DATE(VALUE(LEFT(B2076,4)),VALUE(MID(B2076,6,2)),VALUE(RIGHT(B2076,2))),DATE(VALUE(RIGHT(B2076,4)),MATCH(MID(B2076,4,3),{"Jan","Feb","Mar","Apr","May","Jun","Jul","Aug","Sep","Oct","Nov","Dec"},0),VALUE(LEFT(B2076,2)))))</f>
        <v>45804</v>
      </c>
    </row>
    <row r="2077" customFormat="false" ht="15" hidden="false" customHeight="false" outlineLevel="0" collapsed="false">
      <c r="A2077" s="7" t="s">
        <v>4868</v>
      </c>
      <c r="B2077" s="7" t="s">
        <v>803</v>
      </c>
      <c r="C2077" s="7" t="s">
        <v>3046</v>
      </c>
      <c r="D2077" s="7" t="s">
        <v>4869</v>
      </c>
      <c r="E2077" s="7" t="s">
        <v>130</v>
      </c>
      <c r="F2077" s="7" t="s">
        <v>110</v>
      </c>
      <c r="G2077" s="7" t="s">
        <v>90</v>
      </c>
      <c r="H2077" s="7" t="n">
        <v>1</v>
      </c>
      <c r="I2077" s="7" t="n">
        <v>275</v>
      </c>
      <c r="J2077" s="7" t="n">
        <v>40</v>
      </c>
      <c r="K2077" s="7" t="s">
        <v>88</v>
      </c>
      <c r="L2077" s="7" t="s">
        <v>194</v>
      </c>
      <c r="M2077" s="7" t="n">
        <v>38</v>
      </c>
      <c r="N2077" s="7" t="n">
        <v>5</v>
      </c>
      <c r="O2077" s="7" t="str">
        <f aca="false">A2077&amp;"|"&amp;B2077&amp;"|"&amp;C2077&amp;"|"&amp;D2077&amp;"|"&amp;E2077&amp;"|"&amp;F2077&amp;"|"&amp;G2077&amp;"|"&amp;H2077&amp;"|"&amp;I2077&amp;"|"&amp;J2077&amp;"|"&amp;K2077&amp;"|"&amp;L2077&amp;"|"&amp;M2077&amp;"|"&amp;N2077</f>
        <v>ORD11968|2025-09-12|18:17|C0145|Tandoor Tales|Delhi|North Indian|1|275|40|UPI|Delivered|38|5</v>
      </c>
      <c r="P2077" s="7" t="str">
        <f aca="false">IF(COUNTIF($O$2:O2077,O2077)&gt;1,"DUP","OK")</f>
        <v>OK</v>
      </c>
      <c r="Q2077" s="7" t="n">
        <f aca="false">COUNTBLANK(A2077:N2077)</f>
        <v>0</v>
      </c>
      <c r="R2077" s="7" t="n">
        <f aca="false">IF(A2077="",0,COUNTIFS($A$2:$A$3058,A2077,$P$2:$P$3058,"OK"))</f>
        <v>1</v>
      </c>
      <c r="S2077" s="7" t="str">
        <f aca="false">IF(OR(A2077="",P2077="DUP",R2077&lt;2),"",IF(Q2077=_xlfn.MINIFS($Q$2:$Q$3058,$A$2:$A$3058,A2077,$P$2:$P$3058,"OK"),"KEEP","DROP"))</f>
        <v/>
      </c>
      <c r="T2077" s="9" t="n">
        <f aca="false">IF(A2077="",1,0)</f>
        <v>0</v>
      </c>
      <c r="U2077" s="9" t="n">
        <f aca="false">IF(D2077="",1,0)</f>
        <v>0</v>
      </c>
      <c r="V2077" s="9" t="n">
        <f aca="false">IF(E2077="",1,0)</f>
        <v>0</v>
      </c>
      <c r="W2077" s="9" t="n">
        <f aca="false">IF(OR(H2077&lt;1,H2077&gt;10),1,0)</f>
        <v>0</v>
      </c>
      <c r="X2077" s="9" t="n">
        <f aca="false">IF(OR(I2077&lt;=0,I2077&gt;1500),1,0)</f>
        <v>0</v>
      </c>
      <c r="Y2077" s="9" t="n">
        <f aca="false">IF(J2077&gt;H2077*I2077,1,0)</f>
        <v>0</v>
      </c>
      <c r="Z2077" s="9" t="n">
        <f aca="false">IF(AND(N2077&lt;&gt;"",OR(N2077&lt;1,N2077&gt;5)),1,0)</f>
        <v>0</v>
      </c>
      <c r="AA2077" s="9" t="n">
        <f aca="false">IF(AND(M2077&lt;&gt;"",OR(M2077&lt;5,M2077&gt;180)),1,0)</f>
        <v>0</v>
      </c>
      <c r="AB2077" s="7" t="str">
        <f aca="false">IF(P2077="DUP","Exact duplicate row",IF(T2077=1,"Missing Order ID",IF(S2077="DROP","Duplicate Order ID (less complete row)",IF(U2077=1,"Missing Customer ID",IF(V2077=1,"Missing Restaurant name",IF(W2077=1,"Invalid/outlier quantity",IF(X2077=1,"Invalid/outlier unit price",IF(Y2077=1,"Discount greater than order value",""))))))))</f>
        <v/>
      </c>
      <c r="AC2077" s="7" t="str">
        <f aca="false">IF(AB2077="","KEEP","DROP")</f>
        <v>KEEP</v>
      </c>
      <c r="AD2077" s="7" t="str">
        <f aca="false">IF(TRIM(F2077)="",IFERROR(INDEX(Map_Tables!$I$4:$I$37,MATCH(TRIM(E2077),Map_Tables!$G$4:$G$37,0)),""),IFERROR(INDEX(Map_Tables!$B$4:$B$18,MATCH(TRIM(F2077),Map_Tables!$A$4:$A$18,0)),"CHECK"))</f>
        <v>Delhi</v>
      </c>
      <c r="AE2077" s="7" t="str">
        <f aca="false">IF(TRIM(E2077)="","",IFERROR(INDEX(Map_Tables!$H$4:$H$37,MATCH(TRIM(E2077),Map_Tables!$G$4:$G$37,0)),"CHECK"))</f>
        <v>Tandoor Tales</v>
      </c>
      <c r="AF2077" s="7" t="str">
        <f aca="false">IF(TRIM(K2077)="","Unknown",IFERROR(INDEX(Map_Tables!$E$4:$E$15,MATCH(TRIM(K2077),Map_Tables!$D$4:$D$15,0)),"CHECK"))</f>
        <v>UPI</v>
      </c>
      <c r="AG2077" s="7" t="str">
        <f aca="false">IF(LEFT(LOWER(TRIM(L2077)),6)="cancel","Cancelled","Delivered")</f>
        <v>Delivered</v>
      </c>
      <c r="AH2077" s="10" t="n">
        <f aca="false">IF(ISNUMBER(SEARCH("/",B2077)),DATE(VALUE(RIGHT(B2077,4)),VALUE(MID(B2077,4,2)),VALUE(LEFT(B2077,2))),IF(MID(B2077,5,1)="-",DATE(VALUE(LEFT(B2077,4)),VALUE(MID(B2077,6,2)),VALUE(RIGHT(B2077,2))),DATE(VALUE(RIGHT(B2077,4)),MATCH(MID(B2077,4,3),{"Jan","Feb","Mar","Apr","May","Jun","Jul","Aug","Sep","Oct","Nov","Dec"},0),VALUE(LEFT(B2077,2)))))</f>
        <v>45912</v>
      </c>
    </row>
    <row r="2078" customFormat="false" ht="15" hidden="false" customHeight="false" outlineLevel="0" collapsed="false">
      <c r="A2078" s="7" t="s">
        <v>4870</v>
      </c>
      <c r="B2078" s="7" t="s">
        <v>2428</v>
      </c>
      <c r="C2078" s="7" t="s">
        <v>927</v>
      </c>
      <c r="D2078" s="7" t="s">
        <v>4871</v>
      </c>
      <c r="E2078" s="7" t="s">
        <v>138</v>
      </c>
      <c r="F2078" s="7" t="s">
        <v>521</v>
      </c>
      <c r="G2078" s="7" t="s">
        <v>139</v>
      </c>
      <c r="H2078" s="7" t="n">
        <v>2</v>
      </c>
      <c r="I2078" s="7" t="n">
        <v>190</v>
      </c>
      <c r="J2078" s="7" t="n">
        <v>0</v>
      </c>
      <c r="K2078" s="7" t="s">
        <v>88</v>
      </c>
      <c r="L2078" s="7" t="s">
        <v>194</v>
      </c>
      <c r="M2078" s="7" t="n">
        <v>34</v>
      </c>
      <c r="N2078" s="7" t="n">
        <v>4</v>
      </c>
      <c r="O2078" s="7" t="str">
        <f aca="false">A2078&amp;"|"&amp;B2078&amp;"|"&amp;C2078&amp;"|"&amp;D2078&amp;"|"&amp;E2078&amp;"|"&amp;F2078&amp;"|"&amp;G2078&amp;"|"&amp;H2078&amp;"|"&amp;I2078&amp;"|"&amp;J2078&amp;"|"&amp;K2078&amp;"|"&amp;L2078&amp;"|"&amp;M2078&amp;"|"&amp;N2078</f>
        <v>ORD11634|2025-08-01|18:51|C0420|Burger Barn|DELHI|Burgers|2|190|0|UPI|Delivered|34|4</v>
      </c>
      <c r="P2078" s="7" t="str">
        <f aca="false">IF(COUNTIF($O$2:O2078,O2078)&gt;1,"DUP","OK")</f>
        <v>OK</v>
      </c>
      <c r="Q2078" s="7" t="n">
        <f aca="false">COUNTBLANK(A2078:N2078)</f>
        <v>0</v>
      </c>
      <c r="R2078" s="7" t="n">
        <f aca="false">IF(A2078="",0,COUNTIFS($A$2:$A$3058,A2078,$P$2:$P$3058,"OK"))</f>
        <v>1</v>
      </c>
      <c r="S2078" s="7" t="str">
        <f aca="false">IF(OR(A2078="",P2078="DUP",R2078&lt;2),"",IF(Q2078=_xlfn.MINIFS($Q$2:$Q$3058,$A$2:$A$3058,A2078,$P$2:$P$3058,"OK"),"KEEP","DROP"))</f>
        <v/>
      </c>
      <c r="T2078" s="9" t="n">
        <f aca="false">IF(A2078="",1,0)</f>
        <v>0</v>
      </c>
      <c r="U2078" s="9" t="n">
        <f aca="false">IF(D2078="",1,0)</f>
        <v>0</v>
      </c>
      <c r="V2078" s="9" t="n">
        <f aca="false">IF(E2078="",1,0)</f>
        <v>0</v>
      </c>
      <c r="W2078" s="9" t="n">
        <f aca="false">IF(OR(H2078&lt;1,H2078&gt;10),1,0)</f>
        <v>0</v>
      </c>
      <c r="X2078" s="9" t="n">
        <f aca="false">IF(OR(I2078&lt;=0,I2078&gt;1500),1,0)</f>
        <v>0</v>
      </c>
      <c r="Y2078" s="9" t="n">
        <f aca="false">IF(J2078&gt;H2078*I2078,1,0)</f>
        <v>0</v>
      </c>
      <c r="Z2078" s="9" t="n">
        <f aca="false">IF(AND(N2078&lt;&gt;"",OR(N2078&lt;1,N2078&gt;5)),1,0)</f>
        <v>0</v>
      </c>
      <c r="AA2078" s="9" t="n">
        <f aca="false">IF(AND(M2078&lt;&gt;"",OR(M2078&lt;5,M2078&gt;180)),1,0)</f>
        <v>0</v>
      </c>
      <c r="AB2078" s="7" t="str">
        <f aca="false">IF(P2078="DUP","Exact duplicate row",IF(T2078=1,"Missing Order ID",IF(S2078="DROP","Duplicate Order ID (less complete row)",IF(U2078=1,"Missing Customer ID",IF(V2078=1,"Missing Restaurant name",IF(W2078=1,"Invalid/outlier quantity",IF(X2078=1,"Invalid/outlier unit price",IF(Y2078=1,"Discount greater than order value",""))))))))</f>
        <v/>
      </c>
      <c r="AC2078" s="7" t="str">
        <f aca="false">IF(AB2078="","KEEP","DROP")</f>
        <v>KEEP</v>
      </c>
      <c r="AD2078" s="7" t="str">
        <f aca="false">IF(TRIM(F2078)="",IFERROR(INDEX(Map_Tables!$I$4:$I$37,MATCH(TRIM(E2078),Map_Tables!$G$4:$G$37,0)),""),IFERROR(INDEX(Map_Tables!$B$4:$B$18,MATCH(TRIM(F2078),Map_Tables!$A$4:$A$18,0)),"CHECK"))</f>
        <v>Delhi</v>
      </c>
      <c r="AE2078" s="7" t="str">
        <f aca="false">IF(TRIM(E2078)="","",IFERROR(INDEX(Map_Tables!$H$4:$H$37,MATCH(TRIM(E2078),Map_Tables!$G$4:$G$37,0)),"CHECK"))</f>
        <v>Burger Barn</v>
      </c>
      <c r="AF2078" s="7" t="str">
        <f aca="false">IF(TRIM(K2078)="","Unknown",IFERROR(INDEX(Map_Tables!$E$4:$E$15,MATCH(TRIM(K2078),Map_Tables!$D$4:$D$15,0)),"CHECK"))</f>
        <v>UPI</v>
      </c>
      <c r="AG2078" s="7" t="str">
        <f aca="false">IF(LEFT(LOWER(TRIM(L2078)),6)="cancel","Cancelled","Delivered")</f>
        <v>Delivered</v>
      </c>
      <c r="AH2078" s="10" t="n">
        <f aca="false">IF(ISNUMBER(SEARCH("/",B2078)),DATE(VALUE(RIGHT(B2078,4)),VALUE(MID(B2078,4,2)),VALUE(LEFT(B2078,2))),IF(MID(B2078,5,1)="-",DATE(VALUE(LEFT(B2078,4)),VALUE(MID(B2078,6,2)),VALUE(RIGHT(B2078,2))),DATE(VALUE(RIGHT(B2078,4)),MATCH(MID(B2078,4,3),{"Jan","Feb","Mar","Apr","May","Jun","Jul","Aug","Sep","Oct","Nov","Dec"},0),VALUE(LEFT(B2078,2)))))</f>
        <v>45870</v>
      </c>
    </row>
    <row r="2079" customFormat="false" ht="15" hidden="false" customHeight="false" outlineLevel="0" collapsed="false">
      <c r="A2079" s="7" t="s">
        <v>4872</v>
      </c>
      <c r="B2079" s="7" t="s">
        <v>442</v>
      </c>
      <c r="C2079" s="7" t="s">
        <v>2145</v>
      </c>
      <c r="D2079" s="7" t="s">
        <v>2043</v>
      </c>
      <c r="E2079" s="7" t="s">
        <v>142</v>
      </c>
      <c r="F2079" s="7" t="s">
        <v>110</v>
      </c>
      <c r="G2079" s="7" t="s">
        <v>105</v>
      </c>
      <c r="H2079" s="7" t="n">
        <v>2</v>
      </c>
      <c r="I2079" s="7" t="n">
        <v>165</v>
      </c>
      <c r="J2079" s="7" t="n">
        <v>50</v>
      </c>
      <c r="K2079" s="7" t="s">
        <v>421</v>
      </c>
      <c r="L2079" s="7" t="s">
        <v>194</v>
      </c>
      <c r="M2079" s="7" t="n">
        <v>54</v>
      </c>
      <c r="N2079" s="7" t="n">
        <v>4</v>
      </c>
      <c r="O2079" s="7" t="str">
        <f aca="false">A2079&amp;"|"&amp;B2079&amp;"|"&amp;C2079&amp;"|"&amp;D2079&amp;"|"&amp;E2079&amp;"|"&amp;F2079&amp;"|"&amp;G2079&amp;"|"&amp;H2079&amp;"|"&amp;I2079&amp;"|"&amp;J2079&amp;"|"&amp;K2079&amp;"|"&amp;L2079&amp;"|"&amp;M2079&amp;"|"&amp;N2079</f>
        <v>ORD10598|2025-03-17|13:28|C0605|Momo Magic|Delhi|Chinese|2|165|50|UPI |Delivered|54|4</v>
      </c>
      <c r="P2079" s="7" t="str">
        <f aca="false">IF(COUNTIF($O$2:O2079,O2079)&gt;1,"DUP","OK")</f>
        <v>OK</v>
      </c>
      <c r="Q2079" s="7" t="n">
        <f aca="false">COUNTBLANK(A2079:N2079)</f>
        <v>0</v>
      </c>
      <c r="R2079" s="7" t="n">
        <f aca="false">IF(A2079="",0,COUNTIFS($A$2:$A$3058,A2079,$P$2:$P$3058,"OK"))</f>
        <v>1</v>
      </c>
      <c r="S2079" s="7" t="str">
        <f aca="false">IF(OR(A2079="",P2079="DUP",R2079&lt;2),"",IF(Q2079=_xlfn.MINIFS($Q$2:$Q$3058,$A$2:$A$3058,A2079,$P$2:$P$3058,"OK"),"KEEP","DROP"))</f>
        <v/>
      </c>
      <c r="T2079" s="9" t="n">
        <f aca="false">IF(A2079="",1,0)</f>
        <v>0</v>
      </c>
      <c r="U2079" s="9" t="n">
        <f aca="false">IF(D2079="",1,0)</f>
        <v>0</v>
      </c>
      <c r="V2079" s="9" t="n">
        <f aca="false">IF(E2079="",1,0)</f>
        <v>0</v>
      </c>
      <c r="W2079" s="9" t="n">
        <f aca="false">IF(OR(H2079&lt;1,H2079&gt;10),1,0)</f>
        <v>0</v>
      </c>
      <c r="X2079" s="9" t="n">
        <f aca="false">IF(OR(I2079&lt;=0,I2079&gt;1500),1,0)</f>
        <v>0</v>
      </c>
      <c r="Y2079" s="9" t="n">
        <f aca="false">IF(J2079&gt;H2079*I2079,1,0)</f>
        <v>0</v>
      </c>
      <c r="Z2079" s="9" t="n">
        <f aca="false">IF(AND(N2079&lt;&gt;"",OR(N2079&lt;1,N2079&gt;5)),1,0)</f>
        <v>0</v>
      </c>
      <c r="AA2079" s="9" t="n">
        <f aca="false">IF(AND(M2079&lt;&gt;"",OR(M2079&lt;5,M2079&gt;180)),1,0)</f>
        <v>0</v>
      </c>
      <c r="AB2079" s="7" t="str">
        <f aca="false">IF(P2079="DUP","Exact duplicate row",IF(T2079=1,"Missing Order ID",IF(S2079="DROP","Duplicate Order ID (less complete row)",IF(U2079=1,"Missing Customer ID",IF(V2079=1,"Missing Restaurant name",IF(W2079=1,"Invalid/outlier quantity",IF(X2079=1,"Invalid/outlier unit price",IF(Y2079=1,"Discount greater than order value",""))))))))</f>
        <v/>
      </c>
      <c r="AC2079" s="7" t="str">
        <f aca="false">IF(AB2079="","KEEP","DROP")</f>
        <v>KEEP</v>
      </c>
      <c r="AD2079" s="7" t="str">
        <f aca="false">IF(TRIM(F2079)="",IFERROR(INDEX(Map_Tables!$I$4:$I$37,MATCH(TRIM(E2079),Map_Tables!$G$4:$G$37,0)),""),IFERROR(INDEX(Map_Tables!$B$4:$B$18,MATCH(TRIM(F2079),Map_Tables!$A$4:$A$18,0)),"CHECK"))</f>
        <v>Delhi</v>
      </c>
      <c r="AE2079" s="7" t="str">
        <f aca="false">IF(TRIM(E2079)="","",IFERROR(INDEX(Map_Tables!$H$4:$H$37,MATCH(TRIM(E2079),Map_Tables!$G$4:$G$37,0)),"CHECK"))</f>
        <v>Momo Magic</v>
      </c>
      <c r="AF2079" s="7" t="str">
        <f aca="false">IF(TRIM(K2079)="","Unknown",IFERROR(INDEX(Map_Tables!$E$4:$E$15,MATCH(TRIM(K2079),Map_Tables!$D$4:$D$15,0)),"CHECK"))</f>
        <v>UPI</v>
      </c>
      <c r="AG2079" s="7" t="str">
        <f aca="false">IF(LEFT(LOWER(TRIM(L2079)),6)="cancel","Cancelled","Delivered")</f>
        <v>Delivered</v>
      </c>
      <c r="AH2079" s="10" t="n">
        <f aca="false">IF(ISNUMBER(SEARCH("/",B2079)),DATE(VALUE(RIGHT(B2079,4)),VALUE(MID(B2079,4,2)),VALUE(LEFT(B2079,2))),IF(MID(B2079,5,1)="-",DATE(VALUE(LEFT(B2079,4)),VALUE(MID(B2079,6,2)),VALUE(RIGHT(B2079,2))),DATE(VALUE(RIGHT(B2079,4)),MATCH(MID(B2079,4,3),{"Jan","Feb","Mar","Apr","May","Jun","Jul","Aug","Sep","Oct","Nov","Dec"},0),VALUE(LEFT(B2079,2)))))</f>
        <v>45733</v>
      </c>
    </row>
    <row r="2080" customFormat="false" ht="15" hidden="false" customHeight="false" outlineLevel="0" collapsed="false">
      <c r="A2080" s="7" t="s">
        <v>4873</v>
      </c>
      <c r="B2080" s="7" t="s">
        <v>879</v>
      </c>
      <c r="C2080" s="7" t="s">
        <v>2676</v>
      </c>
      <c r="D2080" s="7" t="s">
        <v>1401</v>
      </c>
      <c r="E2080" s="7" t="s">
        <v>126</v>
      </c>
      <c r="F2080" s="7" t="s">
        <v>101</v>
      </c>
      <c r="G2080" s="7" t="s">
        <v>105</v>
      </c>
      <c r="H2080" s="7" t="n">
        <v>1</v>
      </c>
      <c r="I2080" s="7" t="n">
        <v>195</v>
      </c>
      <c r="J2080" s="7" t="n">
        <v>0</v>
      </c>
      <c r="K2080" s="7" t="s">
        <v>88</v>
      </c>
      <c r="L2080" s="7" t="s">
        <v>1265</v>
      </c>
      <c r="M2080" s="7" t="n">
        <v>34</v>
      </c>
      <c r="N2080" s="7" t="n">
        <v>4</v>
      </c>
      <c r="O2080" s="7" t="str">
        <f aca="false">A2080&amp;"|"&amp;B2080&amp;"|"&amp;C2080&amp;"|"&amp;D2080&amp;"|"&amp;E2080&amp;"|"&amp;F2080&amp;"|"&amp;G2080&amp;"|"&amp;H2080&amp;"|"&amp;I2080&amp;"|"&amp;J2080&amp;"|"&amp;K2080&amp;"|"&amp;L2080&amp;"|"&amp;M2080&amp;"|"&amp;N2080</f>
        <v>ORD11932|2025-09-08|12:36|C1367|Dragon Express|Mumbai|Chinese|1|195|0|UPI|delivered|34|4</v>
      </c>
      <c r="P2080" s="7" t="str">
        <f aca="false">IF(COUNTIF($O$2:O2080,O2080)&gt;1,"DUP","OK")</f>
        <v>OK</v>
      </c>
      <c r="Q2080" s="7" t="n">
        <f aca="false">COUNTBLANK(A2080:N2080)</f>
        <v>0</v>
      </c>
      <c r="R2080" s="7" t="n">
        <f aca="false">IF(A2080="",0,COUNTIFS($A$2:$A$3058,A2080,$P$2:$P$3058,"OK"))</f>
        <v>1</v>
      </c>
      <c r="S2080" s="7" t="str">
        <f aca="false">IF(OR(A2080="",P2080="DUP",R2080&lt;2),"",IF(Q2080=_xlfn.MINIFS($Q$2:$Q$3058,$A$2:$A$3058,A2080,$P$2:$P$3058,"OK"),"KEEP","DROP"))</f>
        <v/>
      </c>
      <c r="T2080" s="9" t="n">
        <f aca="false">IF(A2080="",1,0)</f>
        <v>0</v>
      </c>
      <c r="U2080" s="9" t="n">
        <f aca="false">IF(D2080="",1,0)</f>
        <v>0</v>
      </c>
      <c r="V2080" s="9" t="n">
        <f aca="false">IF(E2080="",1,0)</f>
        <v>0</v>
      </c>
      <c r="W2080" s="9" t="n">
        <f aca="false">IF(OR(H2080&lt;1,H2080&gt;10),1,0)</f>
        <v>0</v>
      </c>
      <c r="X2080" s="9" t="n">
        <f aca="false">IF(OR(I2080&lt;=0,I2080&gt;1500),1,0)</f>
        <v>0</v>
      </c>
      <c r="Y2080" s="9" t="n">
        <f aca="false">IF(J2080&gt;H2080*I2080,1,0)</f>
        <v>0</v>
      </c>
      <c r="Z2080" s="9" t="n">
        <f aca="false">IF(AND(N2080&lt;&gt;"",OR(N2080&lt;1,N2080&gt;5)),1,0)</f>
        <v>0</v>
      </c>
      <c r="AA2080" s="9" t="n">
        <f aca="false">IF(AND(M2080&lt;&gt;"",OR(M2080&lt;5,M2080&gt;180)),1,0)</f>
        <v>0</v>
      </c>
      <c r="AB2080" s="7" t="str">
        <f aca="false">IF(P2080="DUP","Exact duplicate row",IF(T2080=1,"Missing Order ID",IF(S2080="DROP","Duplicate Order ID (less complete row)",IF(U2080=1,"Missing Customer ID",IF(V2080=1,"Missing Restaurant name",IF(W2080=1,"Invalid/outlier quantity",IF(X2080=1,"Invalid/outlier unit price",IF(Y2080=1,"Discount greater than order value",""))))))))</f>
        <v/>
      </c>
      <c r="AC2080" s="7" t="str">
        <f aca="false">IF(AB2080="","KEEP","DROP")</f>
        <v>KEEP</v>
      </c>
      <c r="AD2080" s="7" t="str">
        <f aca="false">IF(TRIM(F2080)="",IFERROR(INDEX(Map_Tables!$I$4:$I$37,MATCH(TRIM(E2080),Map_Tables!$G$4:$G$37,0)),""),IFERROR(INDEX(Map_Tables!$B$4:$B$18,MATCH(TRIM(F2080),Map_Tables!$A$4:$A$18,0)),"CHECK"))</f>
        <v>Mumbai</v>
      </c>
      <c r="AE2080" s="7" t="str">
        <f aca="false">IF(TRIM(E2080)="","",IFERROR(INDEX(Map_Tables!$H$4:$H$37,MATCH(TRIM(E2080),Map_Tables!$G$4:$G$37,0)),"CHECK"))</f>
        <v>Dragon Express</v>
      </c>
      <c r="AF2080" s="7" t="str">
        <f aca="false">IF(TRIM(K2080)="","Unknown",IFERROR(INDEX(Map_Tables!$E$4:$E$15,MATCH(TRIM(K2080),Map_Tables!$D$4:$D$15,0)),"CHECK"))</f>
        <v>UPI</v>
      </c>
      <c r="AG2080" s="7" t="str">
        <f aca="false">IF(LEFT(LOWER(TRIM(L2080)),6)="cancel","Cancelled","Delivered")</f>
        <v>Delivered</v>
      </c>
      <c r="AH2080" s="10" t="n">
        <f aca="false">IF(ISNUMBER(SEARCH("/",B2080)),DATE(VALUE(RIGHT(B2080,4)),VALUE(MID(B2080,4,2)),VALUE(LEFT(B2080,2))),IF(MID(B2080,5,1)="-",DATE(VALUE(LEFT(B2080,4)),VALUE(MID(B2080,6,2)),VALUE(RIGHT(B2080,2))),DATE(VALUE(RIGHT(B2080,4)),MATCH(MID(B2080,4,3),{"Jan","Feb","Mar","Apr","May","Jun","Jul","Aug","Sep","Oct","Nov","Dec"},0),VALUE(LEFT(B2080,2)))))</f>
        <v>45908</v>
      </c>
    </row>
    <row r="2081" customFormat="false" ht="15" hidden="false" customHeight="false" outlineLevel="0" collapsed="false">
      <c r="A2081" s="7" t="s">
        <v>4874</v>
      </c>
      <c r="B2081" s="7" t="s">
        <v>1500</v>
      </c>
      <c r="C2081" s="7" t="s">
        <v>2508</v>
      </c>
      <c r="D2081" s="7" t="s">
        <v>4875</v>
      </c>
      <c r="E2081" s="7" t="s">
        <v>116</v>
      </c>
      <c r="F2081" s="7" t="s">
        <v>101</v>
      </c>
      <c r="G2081" s="7" t="s">
        <v>117</v>
      </c>
      <c r="H2081" s="7" t="n">
        <v>2</v>
      </c>
      <c r="I2081" s="7" t="n">
        <v>145</v>
      </c>
      <c r="J2081" s="7" t="n">
        <v>0</v>
      </c>
      <c r="K2081" s="7" t="s">
        <v>112</v>
      </c>
      <c r="L2081" s="7" t="s">
        <v>194</v>
      </c>
      <c r="M2081" s="7" t="n">
        <v>51</v>
      </c>
      <c r="N2081" s="7" t="n">
        <v>4</v>
      </c>
      <c r="O2081" s="7" t="str">
        <f aca="false">A2081&amp;"|"&amp;B2081&amp;"|"&amp;C2081&amp;"|"&amp;D2081&amp;"|"&amp;E2081&amp;"|"&amp;F2081&amp;"|"&amp;G2081&amp;"|"&amp;H2081&amp;"|"&amp;I2081&amp;"|"&amp;J2081&amp;"|"&amp;K2081&amp;"|"&amp;L2081&amp;"|"&amp;M2081&amp;"|"&amp;N2081</f>
        <v>ORD11657|2025-08-04|20:22|C0434|Pav Bhaji Point|Mumbai|Street Food|2|145|0|Cash on Delivery|Delivered|51|4</v>
      </c>
      <c r="P2081" s="7" t="str">
        <f aca="false">IF(COUNTIF($O$2:O2081,O2081)&gt;1,"DUP","OK")</f>
        <v>OK</v>
      </c>
      <c r="Q2081" s="7" t="n">
        <f aca="false">COUNTBLANK(A2081:N2081)</f>
        <v>0</v>
      </c>
      <c r="R2081" s="7" t="n">
        <f aca="false">IF(A2081="",0,COUNTIFS($A$2:$A$3058,A2081,$P$2:$P$3058,"OK"))</f>
        <v>1</v>
      </c>
      <c r="S2081" s="7" t="str">
        <f aca="false">IF(OR(A2081="",P2081="DUP",R2081&lt;2),"",IF(Q2081=_xlfn.MINIFS($Q$2:$Q$3058,$A$2:$A$3058,A2081,$P$2:$P$3058,"OK"),"KEEP","DROP"))</f>
        <v/>
      </c>
      <c r="T2081" s="9" t="n">
        <f aca="false">IF(A2081="",1,0)</f>
        <v>0</v>
      </c>
      <c r="U2081" s="9" t="n">
        <f aca="false">IF(D2081="",1,0)</f>
        <v>0</v>
      </c>
      <c r="V2081" s="9" t="n">
        <f aca="false">IF(E2081="",1,0)</f>
        <v>0</v>
      </c>
      <c r="W2081" s="9" t="n">
        <f aca="false">IF(OR(H2081&lt;1,H2081&gt;10),1,0)</f>
        <v>0</v>
      </c>
      <c r="X2081" s="9" t="n">
        <f aca="false">IF(OR(I2081&lt;=0,I2081&gt;1500),1,0)</f>
        <v>0</v>
      </c>
      <c r="Y2081" s="9" t="n">
        <f aca="false">IF(J2081&gt;H2081*I2081,1,0)</f>
        <v>0</v>
      </c>
      <c r="Z2081" s="9" t="n">
        <f aca="false">IF(AND(N2081&lt;&gt;"",OR(N2081&lt;1,N2081&gt;5)),1,0)</f>
        <v>0</v>
      </c>
      <c r="AA2081" s="9" t="n">
        <f aca="false">IF(AND(M2081&lt;&gt;"",OR(M2081&lt;5,M2081&gt;180)),1,0)</f>
        <v>0</v>
      </c>
      <c r="AB2081" s="7" t="str">
        <f aca="false">IF(P2081="DUP","Exact duplicate row",IF(T2081=1,"Missing Order ID",IF(S2081="DROP","Duplicate Order ID (less complete row)",IF(U2081=1,"Missing Customer ID",IF(V2081=1,"Missing Restaurant name",IF(W2081=1,"Invalid/outlier quantity",IF(X2081=1,"Invalid/outlier unit price",IF(Y2081=1,"Discount greater than order value",""))))))))</f>
        <v/>
      </c>
      <c r="AC2081" s="7" t="str">
        <f aca="false">IF(AB2081="","KEEP","DROP")</f>
        <v>KEEP</v>
      </c>
      <c r="AD2081" s="7" t="str">
        <f aca="false">IF(TRIM(F2081)="",IFERROR(INDEX(Map_Tables!$I$4:$I$37,MATCH(TRIM(E2081),Map_Tables!$G$4:$G$37,0)),""),IFERROR(INDEX(Map_Tables!$B$4:$B$18,MATCH(TRIM(F2081),Map_Tables!$A$4:$A$18,0)),"CHECK"))</f>
        <v>Mumbai</v>
      </c>
      <c r="AE2081" s="7" t="str">
        <f aca="false">IF(TRIM(E2081)="","",IFERROR(INDEX(Map_Tables!$H$4:$H$37,MATCH(TRIM(E2081),Map_Tables!$G$4:$G$37,0)),"CHECK"))</f>
        <v>Pav Bhaji Point</v>
      </c>
      <c r="AF2081" s="7" t="str">
        <f aca="false">IF(TRIM(K2081)="","Unknown",IFERROR(INDEX(Map_Tables!$E$4:$E$15,MATCH(TRIM(K2081),Map_Tables!$D$4:$D$15,0)),"CHECK"))</f>
        <v>Cash on Delivery</v>
      </c>
      <c r="AG2081" s="7" t="str">
        <f aca="false">IF(LEFT(LOWER(TRIM(L2081)),6)="cancel","Cancelled","Delivered")</f>
        <v>Delivered</v>
      </c>
      <c r="AH2081" s="10" t="n">
        <f aca="false">IF(ISNUMBER(SEARCH("/",B2081)),DATE(VALUE(RIGHT(B2081,4)),VALUE(MID(B2081,4,2)),VALUE(LEFT(B2081,2))),IF(MID(B2081,5,1)="-",DATE(VALUE(LEFT(B2081,4)),VALUE(MID(B2081,6,2)),VALUE(RIGHT(B2081,2))),DATE(VALUE(RIGHT(B2081,4)),MATCH(MID(B2081,4,3),{"Jan","Feb","Mar","Apr","May","Jun","Jul","Aug","Sep","Oct","Nov","Dec"},0),VALUE(LEFT(B2081,2)))))</f>
        <v>45873</v>
      </c>
    </row>
    <row r="2082" customFormat="false" ht="15" hidden="false" customHeight="false" outlineLevel="0" collapsed="false">
      <c r="A2082" s="7" t="s">
        <v>4876</v>
      </c>
      <c r="B2082" s="7" t="s">
        <v>1132</v>
      </c>
      <c r="C2082" s="7" t="s">
        <v>4877</v>
      </c>
      <c r="D2082" s="7" t="s">
        <v>1627</v>
      </c>
      <c r="E2082" s="7" t="s">
        <v>158</v>
      </c>
      <c r="F2082" s="7" t="s">
        <v>136</v>
      </c>
      <c r="G2082" s="7" t="s">
        <v>139</v>
      </c>
      <c r="H2082" s="7" t="n">
        <v>4</v>
      </c>
      <c r="I2082" s="7" t="n">
        <v>190</v>
      </c>
      <c r="J2082" s="7" t="n">
        <v>75</v>
      </c>
      <c r="K2082" s="7" t="s">
        <v>132</v>
      </c>
      <c r="L2082" s="7" t="s">
        <v>194</v>
      </c>
      <c r="M2082" s="7" t="n">
        <v>29</v>
      </c>
      <c r="N2082" s="7" t="n">
        <v>3</v>
      </c>
      <c r="O2082" s="7" t="str">
        <f aca="false">A2082&amp;"|"&amp;B2082&amp;"|"&amp;C2082&amp;"|"&amp;D2082&amp;"|"&amp;E2082&amp;"|"&amp;F2082&amp;"|"&amp;G2082&amp;"|"&amp;H2082&amp;"|"&amp;I2082&amp;"|"&amp;J2082&amp;"|"&amp;K2082&amp;"|"&amp;L2082&amp;"|"&amp;M2082&amp;"|"&amp;N2082</f>
        <v>ORD10681|2025-03-28|00:58|C1420|Pune Burger Hub|Pune|Burgers|4|190|75|net banking|Delivered|29|3</v>
      </c>
      <c r="P2082" s="7" t="str">
        <f aca="false">IF(COUNTIF($O$2:O2082,O2082)&gt;1,"DUP","OK")</f>
        <v>OK</v>
      </c>
      <c r="Q2082" s="7" t="n">
        <f aca="false">COUNTBLANK(A2082:N2082)</f>
        <v>0</v>
      </c>
      <c r="R2082" s="7" t="n">
        <f aca="false">IF(A2082="",0,COUNTIFS($A$2:$A$3058,A2082,$P$2:$P$3058,"OK"))</f>
        <v>1</v>
      </c>
      <c r="S2082" s="7" t="str">
        <f aca="false">IF(OR(A2082="",P2082="DUP",R2082&lt;2),"",IF(Q2082=_xlfn.MINIFS($Q$2:$Q$3058,$A$2:$A$3058,A2082,$P$2:$P$3058,"OK"),"KEEP","DROP"))</f>
        <v/>
      </c>
      <c r="T2082" s="9" t="n">
        <f aca="false">IF(A2082="",1,0)</f>
        <v>0</v>
      </c>
      <c r="U2082" s="9" t="n">
        <f aca="false">IF(D2082="",1,0)</f>
        <v>0</v>
      </c>
      <c r="V2082" s="9" t="n">
        <f aca="false">IF(E2082="",1,0)</f>
        <v>0</v>
      </c>
      <c r="W2082" s="9" t="n">
        <f aca="false">IF(OR(H2082&lt;1,H2082&gt;10),1,0)</f>
        <v>0</v>
      </c>
      <c r="X2082" s="9" t="n">
        <f aca="false">IF(OR(I2082&lt;=0,I2082&gt;1500),1,0)</f>
        <v>0</v>
      </c>
      <c r="Y2082" s="9" t="n">
        <f aca="false">IF(J2082&gt;H2082*I2082,1,0)</f>
        <v>0</v>
      </c>
      <c r="Z2082" s="9" t="n">
        <f aca="false">IF(AND(N2082&lt;&gt;"",OR(N2082&lt;1,N2082&gt;5)),1,0)</f>
        <v>0</v>
      </c>
      <c r="AA2082" s="9" t="n">
        <f aca="false">IF(AND(M2082&lt;&gt;"",OR(M2082&lt;5,M2082&gt;180)),1,0)</f>
        <v>0</v>
      </c>
      <c r="AB2082" s="7" t="str">
        <f aca="false">IF(P2082="DUP","Exact duplicate row",IF(T2082=1,"Missing Order ID",IF(S2082="DROP","Duplicate Order ID (less complete row)",IF(U2082=1,"Missing Customer ID",IF(V2082=1,"Missing Restaurant name",IF(W2082=1,"Invalid/outlier quantity",IF(X2082=1,"Invalid/outlier unit price",IF(Y2082=1,"Discount greater than order value",""))))))))</f>
        <v/>
      </c>
      <c r="AC2082" s="7" t="str">
        <f aca="false">IF(AB2082="","KEEP","DROP")</f>
        <v>KEEP</v>
      </c>
      <c r="AD2082" s="7" t="str">
        <f aca="false">IF(TRIM(F2082)="",IFERROR(INDEX(Map_Tables!$I$4:$I$37,MATCH(TRIM(E2082),Map_Tables!$G$4:$G$37,0)),""),IFERROR(INDEX(Map_Tables!$B$4:$B$18,MATCH(TRIM(F2082),Map_Tables!$A$4:$A$18,0)),"CHECK"))</f>
        <v>Pune</v>
      </c>
      <c r="AE2082" s="7" t="str">
        <f aca="false">IF(TRIM(E2082)="","",IFERROR(INDEX(Map_Tables!$H$4:$H$37,MATCH(TRIM(E2082),Map_Tables!$G$4:$G$37,0)),"CHECK"))</f>
        <v>Pune Burger Hub</v>
      </c>
      <c r="AF2082" s="7" t="str">
        <f aca="false">IF(TRIM(K2082)="","Unknown",IFERROR(INDEX(Map_Tables!$E$4:$E$15,MATCH(TRIM(K2082),Map_Tables!$D$4:$D$15,0)),"CHECK"))</f>
        <v>Net Banking</v>
      </c>
      <c r="AG2082" s="7" t="str">
        <f aca="false">IF(LEFT(LOWER(TRIM(L2082)),6)="cancel","Cancelled","Delivered")</f>
        <v>Delivered</v>
      </c>
      <c r="AH2082" s="10" t="n">
        <f aca="false">IF(ISNUMBER(SEARCH("/",B2082)),DATE(VALUE(RIGHT(B2082,4)),VALUE(MID(B2082,4,2)),VALUE(LEFT(B2082,2))),IF(MID(B2082,5,1)="-",DATE(VALUE(LEFT(B2082,4)),VALUE(MID(B2082,6,2)),VALUE(RIGHT(B2082,2))),DATE(VALUE(RIGHT(B2082,4)),MATCH(MID(B2082,4,3),{"Jan","Feb","Mar","Apr","May","Jun","Jul","Aug","Sep","Oct","Nov","Dec"},0),VALUE(LEFT(B2082,2)))))</f>
        <v>45744</v>
      </c>
    </row>
    <row r="2083" customFormat="false" ht="15" hidden="false" customHeight="false" outlineLevel="0" collapsed="false">
      <c r="A2083" s="7" t="s">
        <v>4878</v>
      </c>
      <c r="B2083" s="7" t="s">
        <v>1614</v>
      </c>
      <c r="C2083" s="7" t="s">
        <v>2472</v>
      </c>
      <c r="D2083" s="7" t="s">
        <v>2879</v>
      </c>
      <c r="E2083" s="7" t="s">
        <v>154</v>
      </c>
      <c r="F2083" s="7" t="s">
        <v>127</v>
      </c>
      <c r="G2083" s="7" t="s">
        <v>99</v>
      </c>
      <c r="H2083" s="7" t="n">
        <v>3</v>
      </c>
      <c r="I2083" s="7" t="n">
        <v>265</v>
      </c>
      <c r="J2083" s="7" t="n">
        <v>0</v>
      </c>
      <c r="K2083" s="7" t="s">
        <v>112</v>
      </c>
      <c r="L2083" s="7" t="s">
        <v>194</v>
      </c>
      <c r="M2083" s="7" t="n">
        <v>32</v>
      </c>
      <c r="N2083" s="7" t="n">
        <v>5</v>
      </c>
      <c r="O2083" s="7" t="str">
        <f aca="false">A2083&amp;"|"&amp;B2083&amp;"|"&amp;C2083&amp;"|"&amp;D2083&amp;"|"&amp;E2083&amp;"|"&amp;F2083&amp;"|"&amp;G2083&amp;"|"&amp;H2083&amp;"|"&amp;I2083&amp;"|"&amp;J2083&amp;"|"&amp;K2083&amp;"|"&amp;L2083&amp;"|"&amp;M2083&amp;"|"&amp;N2083</f>
        <v>ORD11566|2025-07-23|22:19|C1173|Madras Biryani Co|chennai|Biryani|3|265|0|Cash on Delivery|Delivered|32|5</v>
      </c>
      <c r="P2083" s="7" t="str">
        <f aca="false">IF(COUNTIF($O$2:O2083,O2083)&gt;1,"DUP","OK")</f>
        <v>OK</v>
      </c>
      <c r="Q2083" s="7" t="n">
        <f aca="false">COUNTBLANK(A2083:N2083)</f>
        <v>0</v>
      </c>
      <c r="R2083" s="7" t="n">
        <f aca="false">IF(A2083="",0,COUNTIFS($A$2:$A$3058,A2083,$P$2:$P$3058,"OK"))</f>
        <v>1</v>
      </c>
      <c r="S2083" s="7" t="str">
        <f aca="false">IF(OR(A2083="",P2083="DUP",R2083&lt;2),"",IF(Q2083=_xlfn.MINIFS($Q$2:$Q$3058,$A$2:$A$3058,A2083,$P$2:$P$3058,"OK"),"KEEP","DROP"))</f>
        <v/>
      </c>
      <c r="T2083" s="9" t="n">
        <f aca="false">IF(A2083="",1,0)</f>
        <v>0</v>
      </c>
      <c r="U2083" s="9" t="n">
        <f aca="false">IF(D2083="",1,0)</f>
        <v>0</v>
      </c>
      <c r="V2083" s="9" t="n">
        <f aca="false">IF(E2083="",1,0)</f>
        <v>0</v>
      </c>
      <c r="W2083" s="9" t="n">
        <f aca="false">IF(OR(H2083&lt;1,H2083&gt;10),1,0)</f>
        <v>0</v>
      </c>
      <c r="X2083" s="9" t="n">
        <f aca="false">IF(OR(I2083&lt;=0,I2083&gt;1500),1,0)</f>
        <v>0</v>
      </c>
      <c r="Y2083" s="9" t="n">
        <f aca="false">IF(J2083&gt;H2083*I2083,1,0)</f>
        <v>0</v>
      </c>
      <c r="Z2083" s="9" t="n">
        <f aca="false">IF(AND(N2083&lt;&gt;"",OR(N2083&lt;1,N2083&gt;5)),1,0)</f>
        <v>0</v>
      </c>
      <c r="AA2083" s="9" t="n">
        <f aca="false">IF(AND(M2083&lt;&gt;"",OR(M2083&lt;5,M2083&gt;180)),1,0)</f>
        <v>0</v>
      </c>
      <c r="AB2083" s="7" t="str">
        <f aca="false">IF(P2083="DUP","Exact duplicate row",IF(T2083=1,"Missing Order ID",IF(S2083="DROP","Duplicate Order ID (less complete row)",IF(U2083=1,"Missing Customer ID",IF(V2083=1,"Missing Restaurant name",IF(W2083=1,"Invalid/outlier quantity",IF(X2083=1,"Invalid/outlier unit price",IF(Y2083=1,"Discount greater than order value",""))))))))</f>
        <v/>
      </c>
      <c r="AC2083" s="7" t="str">
        <f aca="false">IF(AB2083="","KEEP","DROP")</f>
        <v>KEEP</v>
      </c>
      <c r="AD2083" s="7" t="str">
        <f aca="false">IF(TRIM(F2083)="",IFERROR(INDEX(Map_Tables!$I$4:$I$37,MATCH(TRIM(E2083),Map_Tables!$G$4:$G$37,0)),""),IFERROR(INDEX(Map_Tables!$B$4:$B$18,MATCH(TRIM(F2083),Map_Tables!$A$4:$A$18,0)),"CHECK"))</f>
        <v>Chennai</v>
      </c>
      <c r="AE2083" s="7" t="str">
        <f aca="false">IF(TRIM(E2083)="","",IFERROR(INDEX(Map_Tables!$H$4:$H$37,MATCH(TRIM(E2083),Map_Tables!$G$4:$G$37,0)),"CHECK"))</f>
        <v>Madras Biryani Co</v>
      </c>
      <c r="AF2083" s="7" t="str">
        <f aca="false">IF(TRIM(K2083)="","Unknown",IFERROR(INDEX(Map_Tables!$E$4:$E$15,MATCH(TRIM(K2083),Map_Tables!$D$4:$D$15,0)),"CHECK"))</f>
        <v>Cash on Delivery</v>
      </c>
      <c r="AG2083" s="7" t="str">
        <f aca="false">IF(LEFT(LOWER(TRIM(L2083)),6)="cancel","Cancelled","Delivered")</f>
        <v>Delivered</v>
      </c>
      <c r="AH2083" s="10" t="n">
        <f aca="false">IF(ISNUMBER(SEARCH("/",B2083)),DATE(VALUE(RIGHT(B2083,4)),VALUE(MID(B2083,4,2)),VALUE(LEFT(B2083,2))),IF(MID(B2083,5,1)="-",DATE(VALUE(LEFT(B2083,4)),VALUE(MID(B2083,6,2)),VALUE(RIGHT(B2083,2))),DATE(VALUE(RIGHT(B2083,4)),MATCH(MID(B2083,4,3),{"Jan","Feb","Mar","Apr","May","Jun","Jul","Aug","Sep","Oct","Nov","Dec"},0),VALUE(LEFT(B2083,2)))))</f>
        <v>45861</v>
      </c>
    </row>
    <row r="2084" customFormat="false" ht="15" hidden="false" customHeight="false" outlineLevel="0" collapsed="false">
      <c r="A2084" s="7" t="s">
        <v>4879</v>
      </c>
      <c r="B2084" s="7" t="s">
        <v>2527</v>
      </c>
      <c r="C2084" s="7" t="s">
        <v>218</v>
      </c>
      <c r="D2084" s="7" t="s">
        <v>1122</v>
      </c>
      <c r="E2084" s="7" t="s">
        <v>149</v>
      </c>
      <c r="F2084" s="7" t="s">
        <v>119</v>
      </c>
      <c r="G2084" s="7" t="s">
        <v>150</v>
      </c>
      <c r="H2084" s="7" t="n">
        <v>2</v>
      </c>
      <c r="I2084" s="7" t="n">
        <v>130</v>
      </c>
      <c r="J2084" s="7" t="n">
        <v>0</v>
      </c>
      <c r="K2084" s="7" t="s">
        <v>93</v>
      </c>
      <c r="L2084" s="7" t="s">
        <v>194</v>
      </c>
      <c r="M2084" s="7" t="n">
        <v>39</v>
      </c>
      <c r="N2084" s="7"/>
      <c r="O2084" s="7" t="str">
        <f aca="false">A2084&amp;"|"&amp;B2084&amp;"|"&amp;C2084&amp;"|"&amp;D2084&amp;"|"&amp;E2084&amp;"|"&amp;F2084&amp;"|"&amp;G2084&amp;"|"&amp;H2084&amp;"|"&amp;I2084&amp;"|"&amp;J2084&amp;"|"&amp;K2084&amp;"|"&amp;L2084&amp;"|"&amp;M2084&amp;"|"&amp;N2084</f>
        <v>ORD11329|2025-06-21|12:48|C0636|Sweet Tooth Studio|Hyderabad|Desserts|2|130|0|Credit Card|Delivered|39|</v>
      </c>
      <c r="P2084" s="7" t="str">
        <f aca="false">IF(COUNTIF($O$2:O2084,O2084)&gt;1,"DUP","OK")</f>
        <v>OK</v>
      </c>
      <c r="Q2084" s="7" t="n">
        <f aca="false">COUNTBLANK(A2084:N2084)</f>
        <v>1</v>
      </c>
      <c r="R2084" s="7" t="n">
        <f aca="false">IF(A2084="",0,COUNTIFS($A$2:$A$3058,A2084,$P$2:$P$3058,"OK"))</f>
        <v>1</v>
      </c>
      <c r="S2084" s="7" t="str">
        <f aca="false">IF(OR(A2084="",P2084="DUP",R2084&lt;2),"",IF(Q2084=_xlfn.MINIFS($Q$2:$Q$3058,$A$2:$A$3058,A2084,$P$2:$P$3058,"OK"),"KEEP","DROP"))</f>
        <v/>
      </c>
      <c r="T2084" s="9" t="n">
        <f aca="false">IF(A2084="",1,0)</f>
        <v>0</v>
      </c>
      <c r="U2084" s="9" t="n">
        <f aca="false">IF(D2084="",1,0)</f>
        <v>0</v>
      </c>
      <c r="V2084" s="9" t="n">
        <f aca="false">IF(E2084="",1,0)</f>
        <v>0</v>
      </c>
      <c r="W2084" s="9" t="n">
        <f aca="false">IF(OR(H2084&lt;1,H2084&gt;10),1,0)</f>
        <v>0</v>
      </c>
      <c r="X2084" s="9" t="n">
        <f aca="false">IF(OR(I2084&lt;=0,I2084&gt;1500),1,0)</f>
        <v>0</v>
      </c>
      <c r="Y2084" s="9" t="n">
        <f aca="false">IF(J2084&gt;H2084*I2084,1,0)</f>
        <v>0</v>
      </c>
      <c r="Z2084" s="9" t="n">
        <f aca="false">IF(AND(N2084&lt;&gt;"",OR(N2084&lt;1,N2084&gt;5)),1,0)</f>
        <v>0</v>
      </c>
      <c r="AA2084" s="9" t="n">
        <f aca="false">IF(AND(M2084&lt;&gt;"",OR(M2084&lt;5,M2084&gt;180)),1,0)</f>
        <v>0</v>
      </c>
      <c r="AB2084" s="7" t="str">
        <f aca="false">IF(P2084="DUP","Exact duplicate row",IF(T2084=1,"Missing Order ID",IF(S2084="DROP","Duplicate Order ID (less complete row)",IF(U2084=1,"Missing Customer ID",IF(V2084=1,"Missing Restaurant name",IF(W2084=1,"Invalid/outlier quantity",IF(X2084=1,"Invalid/outlier unit price",IF(Y2084=1,"Discount greater than order value",""))))))))</f>
        <v/>
      </c>
      <c r="AC2084" s="7" t="str">
        <f aca="false">IF(AB2084="","KEEP","DROP")</f>
        <v>KEEP</v>
      </c>
      <c r="AD2084" s="7" t="str">
        <f aca="false">IF(TRIM(F2084)="",IFERROR(INDEX(Map_Tables!$I$4:$I$37,MATCH(TRIM(E2084),Map_Tables!$G$4:$G$37,0)),""),IFERROR(INDEX(Map_Tables!$B$4:$B$18,MATCH(TRIM(F2084),Map_Tables!$A$4:$A$18,0)),"CHECK"))</f>
        <v>Hyderabad</v>
      </c>
      <c r="AE2084" s="7" t="str">
        <f aca="false">IF(TRIM(E2084)="","",IFERROR(INDEX(Map_Tables!$H$4:$H$37,MATCH(TRIM(E2084),Map_Tables!$G$4:$G$37,0)),"CHECK"))</f>
        <v>Sweet Tooth Studio</v>
      </c>
      <c r="AF2084" s="7" t="str">
        <f aca="false">IF(TRIM(K2084)="","Unknown",IFERROR(INDEX(Map_Tables!$E$4:$E$15,MATCH(TRIM(K2084),Map_Tables!$D$4:$D$15,0)),"CHECK"))</f>
        <v>Credit Card</v>
      </c>
      <c r="AG2084" s="7" t="str">
        <f aca="false">IF(LEFT(LOWER(TRIM(L2084)),6)="cancel","Cancelled","Delivered")</f>
        <v>Delivered</v>
      </c>
      <c r="AH2084" s="10" t="n">
        <f aca="false">IF(ISNUMBER(SEARCH("/",B2084)),DATE(VALUE(RIGHT(B2084,4)),VALUE(MID(B2084,4,2)),VALUE(LEFT(B2084,2))),IF(MID(B2084,5,1)="-",DATE(VALUE(LEFT(B2084,4)),VALUE(MID(B2084,6,2)),VALUE(RIGHT(B2084,2))),DATE(VALUE(RIGHT(B2084,4)),MATCH(MID(B2084,4,3),{"Jan","Feb","Mar","Apr","May","Jun","Jul","Aug","Sep","Oct","Nov","Dec"},0),VALUE(LEFT(B2084,2)))))</f>
        <v>45829</v>
      </c>
    </row>
    <row r="2085" customFormat="false" ht="15" hidden="false" customHeight="false" outlineLevel="0" collapsed="false">
      <c r="A2085" s="7" t="s">
        <v>4880</v>
      </c>
      <c r="B2085" s="7" t="s">
        <v>2006</v>
      </c>
      <c r="C2085" s="7" t="s">
        <v>1256</v>
      </c>
      <c r="D2085" s="7" t="s">
        <v>491</v>
      </c>
      <c r="E2085" s="7" t="s">
        <v>98</v>
      </c>
      <c r="F2085" s="7" t="s">
        <v>86</v>
      </c>
      <c r="G2085" s="7" t="s">
        <v>99</v>
      </c>
      <c r="H2085" s="7" t="n">
        <v>1</v>
      </c>
      <c r="I2085" s="7" t="n">
        <v>225</v>
      </c>
      <c r="J2085" s="7" t="n">
        <v>0</v>
      </c>
      <c r="K2085" s="7" t="s">
        <v>87</v>
      </c>
      <c r="L2085" s="7" t="s">
        <v>194</v>
      </c>
      <c r="M2085" s="7" t="n">
        <v>35</v>
      </c>
      <c r="N2085" s="7" t="n">
        <v>5</v>
      </c>
      <c r="O2085" s="7" t="str">
        <f aca="false">A2085&amp;"|"&amp;B2085&amp;"|"&amp;C2085&amp;"|"&amp;D2085&amp;"|"&amp;E2085&amp;"|"&amp;F2085&amp;"|"&amp;G2085&amp;"|"&amp;H2085&amp;"|"&amp;I2085&amp;"|"&amp;J2085&amp;"|"&amp;K2085&amp;"|"&amp;L2085&amp;"|"&amp;M2085&amp;"|"&amp;N2085</f>
        <v>ORD11519|2025-07-16|18:59|C0822|Nawabi Biryani House|Bengaluru|Biryani|1|225|0|upi|Delivered|35|5</v>
      </c>
      <c r="P2085" s="7" t="str">
        <f aca="false">IF(COUNTIF($O$2:O2085,O2085)&gt;1,"DUP","OK")</f>
        <v>OK</v>
      </c>
      <c r="Q2085" s="7" t="n">
        <f aca="false">COUNTBLANK(A2085:N2085)</f>
        <v>0</v>
      </c>
      <c r="R2085" s="7" t="n">
        <f aca="false">IF(A2085="",0,COUNTIFS($A$2:$A$3058,A2085,$P$2:$P$3058,"OK"))</f>
        <v>1</v>
      </c>
      <c r="S2085" s="7" t="str">
        <f aca="false">IF(OR(A2085="",P2085="DUP",R2085&lt;2),"",IF(Q2085=_xlfn.MINIFS($Q$2:$Q$3058,$A$2:$A$3058,A2085,$P$2:$P$3058,"OK"),"KEEP","DROP"))</f>
        <v/>
      </c>
      <c r="T2085" s="9" t="n">
        <f aca="false">IF(A2085="",1,0)</f>
        <v>0</v>
      </c>
      <c r="U2085" s="9" t="n">
        <f aca="false">IF(D2085="",1,0)</f>
        <v>0</v>
      </c>
      <c r="V2085" s="9" t="n">
        <f aca="false">IF(E2085="",1,0)</f>
        <v>0</v>
      </c>
      <c r="W2085" s="9" t="n">
        <f aca="false">IF(OR(H2085&lt;1,H2085&gt;10),1,0)</f>
        <v>0</v>
      </c>
      <c r="X2085" s="9" t="n">
        <f aca="false">IF(OR(I2085&lt;=0,I2085&gt;1500),1,0)</f>
        <v>0</v>
      </c>
      <c r="Y2085" s="9" t="n">
        <f aca="false">IF(J2085&gt;H2085*I2085,1,0)</f>
        <v>0</v>
      </c>
      <c r="Z2085" s="9" t="n">
        <f aca="false">IF(AND(N2085&lt;&gt;"",OR(N2085&lt;1,N2085&gt;5)),1,0)</f>
        <v>0</v>
      </c>
      <c r="AA2085" s="9" t="n">
        <f aca="false">IF(AND(M2085&lt;&gt;"",OR(M2085&lt;5,M2085&gt;180)),1,0)</f>
        <v>0</v>
      </c>
      <c r="AB2085" s="7" t="str">
        <f aca="false">IF(P2085="DUP","Exact duplicate row",IF(T2085=1,"Missing Order ID",IF(S2085="DROP","Duplicate Order ID (less complete row)",IF(U2085=1,"Missing Customer ID",IF(V2085=1,"Missing Restaurant name",IF(W2085=1,"Invalid/outlier quantity",IF(X2085=1,"Invalid/outlier unit price",IF(Y2085=1,"Discount greater than order value",""))))))))</f>
        <v/>
      </c>
      <c r="AC2085" s="7" t="str">
        <f aca="false">IF(AB2085="","KEEP","DROP")</f>
        <v>KEEP</v>
      </c>
      <c r="AD2085" s="7" t="str">
        <f aca="false">IF(TRIM(F2085)="",IFERROR(INDEX(Map_Tables!$I$4:$I$37,MATCH(TRIM(E2085),Map_Tables!$G$4:$G$37,0)),""),IFERROR(INDEX(Map_Tables!$B$4:$B$18,MATCH(TRIM(F2085),Map_Tables!$A$4:$A$18,0)),"CHECK"))</f>
        <v>Bengaluru</v>
      </c>
      <c r="AE2085" s="7" t="str">
        <f aca="false">IF(TRIM(E2085)="","",IFERROR(INDEX(Map_Tables!$H$4:$H$37,MATCH(TRIM(E2085),Map_Tables!$G$4:$G$37,0)),"CHECK"))</f>
        <v>Nawabi Biryani House</v>
      </c>
      <c r="AF2085" s="7" t="str">
        <f aca="false">IF(TRIM(K2085)="","Unknown",IFERROR(INDEX(Map_Tables!$E$4:$E$15,MATCH(TRIM(K2085),Map_Tables!$D$4:$D$15,0)),"CHECK"))</f>
        <v>UPI</v>
      </c>
      <c r="AG2085" s="7" t="str">
        <f aca="false">IF(LEFT(LOWER(TRIM(L2085)),6)="cancel","Cancelled","Delivered")</f>
        <v>Delivered</v>
      </c>
      <c r="AH2085" s="10" t="n">
        <f aca="false">IF(ISNUMBER(SEARCH("/",B2085)),DATE(VALUE(RIGHT(B2085,4)),VALUE(MID(B2085,4,2)),VALUE(LEFT(B2085,2))),IF(MID(B2085,5,1)="-",DATE(VALUE(LEFT(B2085,4)),VALUE(MID(B2085,6,2)),VALUE(RIGHT(B2085,2))),DATE(VALUE(RIGHT(B2085,4)),MATCH(MID(B2085,4,3),{"Jan","Feb","Mar","Apr","May","Jun","Jul","Aug","Sep","Oct","Nov","Dec"},0),VALUE(LEFT(B2085,2)))))</f>
        <v>45854</v>
      </c>
    </row>
    <row r="2086" customFormat="false" ht="15" hidden="false" customHeight="false" outlineLevel="0" collapsed="false">
      <c r="A2086" s="7" t="s">
        <v>4881</v>
      </c>
      <c r="B2086" s="7" t="s">
        <v>921</v>
      </c>
      <c r="C2086" s="7" t="s">
        <v>2255</v>
      </c>
      <c r="D2086" s="7" t="s">
        <v>3327</v>
      </c>
      <c r="E2086" s="7" t="s">
        <v>163</v>
      </c>
      <c r="F2086" s="7"/>
      <c r="G2086" s="7" t="s">
        <v>99</v>
      </c>
      <c r="H2086" s="7" t="n">
        <v>3</v>
      </c>
      <c r="I2086" s="7" t="n">
        <v>290</v>
      </c>
      <c r="J2086" s="7" t="n">
        <v>0</v>
      </c>
      <c r="K2086" s="7" t="s">
        <v>88</v>
      </c>
      <c r="L2086" s="7" t="s">
        <v>194</v>
      </c>
      <c r="M2086" s="7" t="n">
        <v>37</v>
      </c>
      <c r="N2086" s="7" t="n">
        <v>3</v>
      </c>
      <c r="O2086" s="7" t="str">
        <f aca="false">A2086&amp;"|"&amp;B2086&amp;"|"&amp;C2086&amp;"|"&amp;D2086&amp;"|"&amp;E2086&amp;"|"&amp;F2086&amp;"|"&amp;G2086&amp;"|"&amp;H2086&amp;"|"&amp;I2086&amp;"|"&amp;J2086&amp;"|"&amp;K2086&amp;"|"&amp;L2086&amp;"|"&amp;M2086&amp;"|"&amp;N2086</f>
        <v>ORD12159|2025-10-03|18:55|C0279|Biryani Baadshah||Biryani|3|290|0|UPI|Delivered|37|3</v>
      </c>
      <c r="P2086" s="7" t="str">
        <f aca="false">IF(COUNTIF($O$2:O2086,O2086)&gt;1,"DUP","OK")</f>
        <v>OK</v>
      </c>
      <c r="Q2086" s="7" t="n">
        <f aca="false">COUNTBLANK(A2086:N2086)</f>
        <v>1</v>
      </c>
      <c r="R2086" s="7" t="n">
        <f aca="false">IF(A2086="",0,COUNTIFS($A$2:$A$3058,A2086,$P$2:$P$3058,"OK"))</f>
        <v>1</v>
      </c>
      <c r="S2086" s="7" t="str">
        <f aca="false">IF(OR(A2086="",P2086="DUP",R2086&lt;2),"",IF(Q2086=_xlfn.MINIFS($Q$2:$Q$3058,$A$2:$A$3058,A2086,$P$2:$P$3058,"OK"),"KEEP","DROP"))</f>
        <v/>
      </c>
      <c r="T2086" s="9" t="n">
        <f aca="false">IF(A2086="",1,0)</f>
        <v>0</v>
      </c>
      <c r="U2086" s="9" t="n">
        <f aca="false">IF(D2086="",1,0)</f>
        <v>0</v>
      </c>
      <c r="V2086" s="9" t="n">
        <f aca="false">IF(E2086="",1,0)</f>
        <v>0</v>
      </c>
      <c r="W2086" s="9" t="n">
        <f aca="false">IF(OR(H2086&lt;1,H2086&gt;10),1,0)</f>
        <v>0</v>
      </c>
      <c r="X2086" s="9" t="n">
        <f aca="false">IF(OR(I2086&lt;=0,I2086&gt;1500),1,0)</f>
        <v>0</v>
      </c>
      <c r="Y2086" s="9" t="n">
        <f aca="false">IF(J2086&gt;H2086*I2086,1,0)</f>
        <v>0</v>
      </c>
      <c r="Z2086" s="9" t="n">
        <f aca="false">IF(AND(N2086&lt;&gt;"",OR(N2086&lt;1,N2086&gt;5)),1,0)</f>
        <v>0</v>
      </c>
      <c r="AA2086" s="9" t="n">
        <f aca="false">IF(AND(M2086&lt;&gt;"",OR(M2086&lt;5,M2086&gt;180)),1,0)</f>
        <v>0</v>
      </c>
      <c r="AB2086" s="7" t="str">
        <f aca="false">IF(P2086="DUP","Exact duplicate row",IF(T2086=1,"Missing Order ID",IF(S2086="DROP","Duplicate Order ID (less complete row)",IF(U2086=1,"Missing Customer ID",IF(V2086=1,"Missing Restaurant name",IF(W2086=1,"Invalid/outlier quantity",IF(X2086=1,"Invalid/outlier unit price",IF(Y2086=1,"Discount greater than order value",""))))))))</f>
        <v/>
      </c>
      <c r="AC2086" s="7" t="str">
        <f aca="false">IF(AB2086="","KEEP","DROP")</f>
        <v>KEEP</v>
      </c>
      <c r="AD2086" s="7" t="str">
        <f aca="false">IF(TRIM(F2086)="",IFERROR(INDEX(Map_Tables!$I$4:$I$37,MATCH(TRIM(E2086),Map_Tables!$G$4:$G$37,0)),""),IFERROR(INDEX(Map_Tables!$B$4:$B$18,MATCH(TRIM(F2086),Map_Tables!$A$4:$A$18,0)),"CHECK"))</f>
        <v>Kolkata</v>
      </c>
      <c r="AE2086" s="7" t="str">
        <f aca="false">IF(TRIM(E2086)="","",IFERROR(INDEX(Map_Tables!$H$4:$H$37,MATCH(TRIM(E2086),Map_Tables!$G$4:$G$37,0)),"CHECK"))</f>
        <v>Biryani Baadshah</v>
      </c>
      <c r="AF2086" s="7" t="str">
        <f aca="false">IF(TRIM(K2086)="","Unknown",IFERROR(INDEX(Map_Tables!$E$4:$E$15,MATCH(TRIM(K2086),Map_Tables!$D$4:$D$15,0)),"CHECK"))</f>
        <v>UPI</v>
      </c>
      <c r="AG2086" s="7" t="str">
        <f aca="false">IF(LEFT(LOWER(TRIM(L2086)),6)="cancel","Cancelled","Delivered")</f>
        <v>Delivered</v>
      </c>
      <c r="AH2086" s="10" t="n">
        <f aca="false">IF(ISNUMBER(SEARCH("/",B2086)),DATE(VALUE(RIGHT(B2086,4)),VALUE(MID(B2086,4,2)),VALUE(LEFT(B2086,2))),IF(MID(B2086,5,1)="-",DATE(VALUE(LEFT(B2086,4)),VALUE(MID(B2086,6,2)),VALUE(RIGHT(B2086,2))),DATE(VALUE(RIGHT(B2086,4)),MATCH(MID(B2086,4,3),{"Jan","Feb","Mar","Apr","May","Jun","Jul","Aug","Sep","Oct","Nov","Dec"},0),VALUE(LEFT(B2086,2)))))</f>
        <v>45933</v>
      </c>
    </row>
    <row r="2087" customFormat="false" ht="15" hidden="false" customHeight="false" outlineLevel="0" collapsed="false">
      <c r="A2087" s="7" t="s">
        <v>4882</v>
      </c>
      <c r="B2087" s="7" t="s">
        <v>1823</v>
      </c>
      <c r="C2087" s="7" t="s">
        <v>201</v>
      </c>
      <c r="D2087" s="7" t="s">
        <v>1257</v>
      </c>
      <c r="E2087" s="7" t="s">
        <v>2434</v>
      </c>
      <c r="F2087" s="7" t="s">
        <v>110</v>
      </c>
      <c r="G2087" s="7" t="s">
        <v>90</v>
      </c>
      <c r="H2087" s="7" t="n">
        <v>3</v>
      </c>
      <c r="I2087" s="7" t="n">
        <v>280</v>
      </c>
      <c r="J2087" s="7" t="n">
        <v>0</v>
      </c>
      <c r="K2087" s="7" t="s">
        <v>103</v>
      </c>
      <c r="L2087" s="7" t="s">
        <v>194</v>
      </c>
      <c r="M2087" s="7" t="n">
        <v>22</v>
      </c>
      <c r="N2087" s="7" t="n">
        <v>4</v>
      </c>
      <c r="O2087" s="7" t="str">
        <f aca="false">A2087&amp;"|"&amp;B2087&amp;"|"&amp;C2087&amp;"|"&amp;D2087&amp;"|"&amp;E2087&amp;"|"&amp;F2087&amp;"|"&amp;G2087&amp;"|"&amp;H2087&amp;"|"&amp;I2087&amp;"|"&amp;J2087&amp;"|"&amp;K2087&amp;"|"&amp;L2087&amp;"|"&amp;M2087&amp;"|"&amp;N2087</f>
        <v>ORD10222|2025-01-30|20:46|C0909|tandoor tales|Delhi|North Indian|3|280|0|Debit Card|Delivered|22|4</v>
      </c>
      <c r="P2087" s="7" t="str">
        <f aca="false">IF(COUNTIF($O$2:O2087,O2087)&gt;1,"DUP","OK")</f>
        <v>OK</v>
      </c>
      <c r="Q2087" s="7" t="n">
        <f aca="false">COUNTBLANK(A2087:N2087)</f>
        <v>0</v>
      </c>
      <c r="R2087" s="7" t="n">
        <f aca="false">IF(A2087="",0,COUNTIFS($A$2:$A$3058,A2087,$P$2:$P$3058,"OK"))</f>
        <v>1</v>
      </c>
      <c r="S2087" s="7" t="str">
        <f aca="false">IF(OR(A2087="",P2087="DUP",R2087&lt;2),"",IF(Q2087=_xlfn.MINIFS($Q$2:$Q$3058,$A$2:$A$3058,A2087,$P$2:$P$3058,"OK"),"KEEP","DROP"))</f>
        <v/>
      </c>
      <c r="T2087" s="9" t="n">
        <f aca="false">IF(A2087="",1,0)</f>
        <v>0</v>
      </c>
      <c r="U2087" s="9" t="n">
        <f aca="false">IF(D2087="",1,0)</f>
        <v>0</v>
      </c>
      <c r="V2087" s="9" t="n">
        <f aca="false">IF(E2087="",1,0)</f>
        <v>0</v>
      </c>
      <c r="W2087" s="9" t="n">
        <f aca="false">IF(OR(H2087&lt;1,H2087&gt;10),1,0)</f>
        <v>0</v>
      </c>
      <c r="X2087" s="9" t="n">
        <f aca="false">IF(OR(I2087&lt;=0,I2087&gt;1500),1,0)</f>
        <v>0</v>
      </c>
      <c r="Y2087" s="9" t="n">
        <f aca="false">IF(J2087&gt;H2087*I2087,1,0)</f>
        <v>0</v>
      </c>
      <c r="Z2087" s="9" t="n">
        <f aca="false">IF(AND(N2087&lt;&gt;"",OR(N2087&lt;1,N2087&gt;5)),1,0)</f>
        <v>0</v>
      </c>
      <c r="AA2087" s="9" t="n">
        <f aca="false">IF(AND(M2087&lt;&gt;"",OR(M2087&lt;5,M2087&gt;180)),1,0)</f>
        <v>0</v>
      </c>
      <c r="AB2087" s="7" t="str">
        <f aca="false">IF(P2087="DUP","Exact duplicate row",IF(T2087=1,"Missing Order ID",IF(S2087="DROP","Duplicate Order ID (less complete row)",IF(U2087=1,"Missing Customer ID",IF(V2087=1,"Missing Restaurant name",IF(W2087=1,"Invalid/outlier quantity",IF(X2087=1,"Invalid/outlier unit price",IF(Y2087=1,"Discount greater than order value",""))))))))</f>
        <v/>
      </c>
      <c r="AC2087" s="7" t="str">
        <f aca="false">IF(AB2087="","KEEP","DROP")</f>
        <v>KEEP</v>
      </c>
      <c r="AD2087" s="7" t="str">
        <f aca="false">IF(TRIM(F2087)="",IFERROR(INDEX(Map_Tables!$I$4:$I$37,MATCH(TRIM(E2087),Map_Tables!$G$4:$G$37,0)),""),IFERROR(INDEX(Map_Tables!$B$4:$B$18,MATCH(TRIM(F2087),Map_Tables!$A$4:$A$18,0)),"CHECK"))</f>
        <v>Delhi</v>
      </c>
      <c r="AE2087" s="7" t="str">
        <f aca="false">IF(TRIM(E2087)="","",IFERROR(INDEX(Map_Tables!$H$4:$H$37,MATCH(TRIM(E2087),Map_Tables!$G$4:$G$37,0)),"CHECK"))</f>
        <v>Tandoor Tales</v>
      </c>
      <c r="AF2087" s="7" t="str">
        <f aca="false">IF(TRIM(K2087)="","Unknown",IFERROR(INDEX(Map_Tables!$E$4:$E$15,MATCH(TRIM(K2087),Map_Tables!$D$4:$D$15,0)),"CHECK"))</f>
        <v>Debit Card</v>
      </c>
      <c r="AG2087" s="7" t="str">
        <f aca="false">IF(LEFT(LOWER(TRIM(L2087)),6)="cancel","Cancelled","Delivered")</f>
        <v>Delivered</v>
      </c>
      <c r="AH2087" s="10" t="n">
        <f aca="false">IF(ISNUMBER(SEARCH("/",B2087)),DATE(VALUE(RIGHT(B2087,4)),VALUE(MID(B2087,4,2)),VALUE(LEFT(B2087,2))),IF(MID(B2087,5,1)="-",DATE(VALUE(LEFT(B2087,4)),VALUE(MID(B2087,6,2)),VALUE(RIGHT(B2087,2))),DATE(VALUE(RIGHT(B2087,4)),MATCH(MID(B2087,4,3),{"Jan","Feb","Mar","Apr","May","Jun","Jul","Aug","Sep","Oct","Nov","Dec"},0),VALUE(LEFT(B2087,2)))))</f>
        <v>45687</v>
      </c>
    </row>
    <row r="2088" customFormat="false" ht="15" hidden="false" customHeight="false" outlineLevel="0" collapsed="false">
      <c r="A2088" s="7" t="s">
        <v>4883</v>
      </c>
      <c r="B2088" s="7" t="s">
        <v>493</v>
      </c>
      <c r="C2088" s="7" t="s">
        <v>2969</v>
      </c>
      <c r="D2088" s="7" t="s">
        <v>4884</v>
      </c>
      <c r="E2088" s="7" t="s">
        <v>147</v>
      </c>
      <c r="F2088" s="7" t="s">
        <v>119</v>
      </c>
      <c r="G2088" s="7" t="s">
        <v>95</v>
      </c>
      <c r="H2088" s="7" t="n">
        <v>1</v>
      </c>
      <c r="I2088" s="7" t="n">
        <v>135</v>
      </c>
      <c r="J2088" s="7" t="n">
        <v>54</v>
      </c>
      <c r="K2088" s="7" t="s">
        <v>88</v>
      </c>
      <c r="L2088" s="7" t="s">
        <v>194</v>
      </c>
      <c r="M2088" s="7" t="n">
        <v>51</v>
      </c>
      <c r="N2088" s="7" t="n">
        <v>4</v>
      </c>
      <c r="O2088" s="7" t="str">
        <f aca="false">A2088&amp;"|"&amp;B2088&amp;"|"&amp;C2088&amp;"|"&amp;D2088&amp;"|"&amp;E2088&amp;"|"&amp;F2088&amp;"|"&amp;G2088&amp;"|"&amp;H2088&amp;"|"&amp;I2088&amp;"|"&amp;J2088&amp;"|"&amp;K2088&amp;"|"&amp;L2088&amp;"|"&amp;M2088&amp;"|"&amp;N2088</f>
        <v>ORD10226|2025-01-31|18:03|C0181|Andhra Meals Mess|Hyderabad|South Indian|1|135|54|UPI|Delivered|51|4</v>
      </c>
      <c r="P2088" s="7" t="str">
        <f aca="false">IF(COUNTIF($O$2:O2088,O2088)&gt;1,"DUP","OK")</f>
        <v>OK</v>
      </c>
      <c r="Q2088" s="7" t="n">
        <f aca="false">COUNTBLANK(A2088:N2088)</f>
        <v>0</v>
      </c>
      <c r="R2088" s="7" t="n">
        <f aca="false">IF(A2088="",0,COUNTIFS($A$2:$A$3058,A2088,$P$2:$P$3058,"OK"))</f>
        <v>1</v>
      </c>
      <c r="S2088" s="7" t="str">
        <f aca="false">IF(OR(A2088="",P2088="DUP",R2088&lt;2),"",IF(Q2088=_xlfn.MINIFS($Q$2:$Q$3058,$A$2:$A$3058,A2088,$P$2:$P$3058,"OK"),"KEEP","DROP"))</f>
        <v/>
      </c>
      <c r="T2088" s="9" t="n">
        <f aca="false">IF(A2088="",1,0)</f>
        <v>0</v>
      </c>
      <c r="U2088" s="9" t="n">
        <f aca="false">IF(D2088="",1,0)</f>
        <v>0</v>
      </c>
      <c r="V2088" s="9" t="n">
        <f aca="false">IF(E2088="",1,0)</f>
        <v>0</v>
      </c>
      <c r="W2088" s="9" t="n">
        <f aca="false">IF(OR(H2088&lt;1,H2088&gt;10),1,0)</f>
        <v>0</v>
      </c>
      <c r="X2088" s="9" t="n">
        <f aca="false">IF(OR(I2088&lt;=0,I2088&gt;1500),1,0)</f>
        <v>0</v>
      </c>
      <c r="Y2088" s="9" t="n">
        <f aca="false">IF(J2088&gt;H2088*I2088,1,0)</f>
        <v>0</v>
      </c>
      <c r="Z2088" s="9" t="n">
        <f aca="false">IF(AND(N2088&lt;&gt;"",OR(N2088&lt;1,N2088&gt;5)),1,0)</f>
        <v>0</v>
      </c>
      <c r="AA2088" s="9" t="n">
        <f aca="false">IF(AND(M2088&lt;&gt;"",OR(M2088&lt;5,M2088&gt;180)),1,0)</f>
        <v>0</v>
      </c>
      <c r="AB2088" s="7" t="str">
        <f aca="false">IF(P2088="DUP","Exact duplicate row",IF(T2088=1,"Missing Order ID",IF(S2088="DROP","Duplicate Order ID (less complete row)",IF(U2088=1,"Missing Customer ID",IF(V2088=1,"Missing Restaurant name",IF(W2088=1,"Invalid/outlier quantity",IF(X2088=1,"Invalid/outlier unit price",IF(Y2088=1,"Discount greater than order value",""))))))))</f>
        <v/>
      </c>
      <c r="AC2088" s="7" t="str">
        <f aca="false">IF(AB2088="","KEEP","DROP")</f>
        <v>KEEP</v>
      </c>
      <c r="AD2088" s="7" t="str">
        <f aca="false">IF(TRIM(F2088)="",IFERROR(INDEX(Map_Tables!$I$4:$I$37,MATCH(TRIM(E2088),Map_Tables!$G$4:$G$37,0)),""),IFERROR(INDEX(Map_Tables!$B$4:$B$18,MATCH(TRIM(F2088),Map_Tables!$A$4:$A$18,0)),"CHECK"))</f>
        <v>Hyderabad</v>
      </c>
      <c r="AE2088" s="7" t="str">
        <f aca="false">IF(TRIM(E2088)="","",IFERROR(INDEX(Map_Tables!$H$4:$H$37,MATCH(TRIM(E2088),Map_Tables!$G$4:$G$37,0)),"CHECK"))</f>
        <v>Andhra Meals Mess</v>
      </c>
      <c r="AF2088" s="7" t="str">
        <f aca="false">IF(TRIM(K2088)="","Unknown",IFERROR(INDEX(Map_Tables!$E$4:$E$15,MATCH(TRIM(K2088),Map_Tables!$D$4:$D$15,0)),"CHECK"))</f>
        <v>UPI</v>
      </c>
      <c r="AG2088" s="7" t="str">
        <f aca="false">IF(LEFT(LOWER(TRIM(L2088)),6)="cancel","Cancelled","Delivered")</f>
        <v>Delivered</v>
      </c>
      <c r="AH2088" s="10" t="n">
        <f aca="false">IF(ISNUMBER(SEARCH("/",B2088)),DATE(VALUE(RIGHT(B2088,4)),VALUE(MID(B2088,4,2)),VALUE(LEFT(B2088,2))),IF(MID(B2088,5,1)="-",DATE(VALUE(LEFT(B2088,4)),VALUE(MID(B2088,6,2)),VALUE(RIGHT(B2088,2))),DATE(VALUE(RIGHT(B2088,4)),MATCH(MID(B2088,4,3),{"Jan","Feb","Mar","Apr","May","Jun","Jul","Aug","Sep","Oct","Nov","Dec"},0),VALUE(LEFT(B2088,2)))))</f>
        <v>45688</v>
      </c>
    </row>
    <row r="2089" customFormat="false" ht="15" hidden="false" customHeight="false" outlineLevel="0" collapsed="false">
      <c r="A2089" s="7" t="s">
        <v>4885</v>
      </c>
      <c r="B2089" s="7" t="s">
        <v>1429</v>
      </c>
      <c r="C2089" s="7" t="s">
        <v>4886</v>
      </c>
      <c r="D2089" s="7" t="s">
        <v>900</v>
      </c>
      <c r="E2089" s="7" t="s">
        <v>113</v>
      </c>
      <c r="F2089" s="7" t="s">
        <v>101</v>
      </c>
      <c r="G2089" s="7" t="s">
        <v>90</v>
      </c>
      <c r="H2089" s="7" t="n">
        <v>1</v>
      </c>
      <c r="I2089" s="7" t="n">
        <v>275</v>
      </c>
      <c r="J2089" s="7" t="n">
        <v>0</v>
      </c>
      <c r="K2089" s="7" t="s">
        <v>93</v>
      </c>
      <c r="L2089" s="7" t="s">
        <v>194</v>
      </c>
      <c r="M2089" s="7" t="n">
        <v>35</v>
      </c>
      <c r="N2089" s="7" t="n">
        <v>3</v>
      </c>
      <c r="O2089" s="7" t="str">
        <f aca="false">A2089&amp;"|"&amp;B2089&amp;"|"&amp;C2089&amp;"|"&amp;D2089&amp;"|"&amp;E2089&amp;"|"&amp;F2089&amp;"|"&amp;G2089&amp;"|"&amp;H2089&amp;"|"&amp;I2089&amp;"|"&amp;J2089&amp;"|"&amp;K2089&amp;"|"&amp;L2089&amp;"|"&amp;M2089&amp;"|"&amp;N2089</f>
        <v>ORD12891|2025-12-20|08:21|C0211|Curry Leaf Kitchen|Mumbai|North Indian|1|275|0|Credit Card|Delivered|35|3</v>
      </c>
      <c r="P2089" s="7" t="str">
        <f aca="false">IF(COUNTIF($O$2:O2089,O2089)&gt;1,"DUP","OK")</f>
        <v>OK</v>
      </c>
      <c r="Q2089" s="7" t="n">
        <f aca="false">COUNTBLANK(A2089:N2089)</f>
        <v>0</v>
      </c>
      <c r="R2089" s="7" t="n">
        <f aca="false">IF(A2089="",0,COUNTIFS($A$2:$A$3058,A2089,$P$2:$P$3058,"OK"))</f>
        <v>1</v>
      </c>
      <c r="S2089" s="7" t="str">
        <f aca="false">IF(OR(A2089="",P2089="DUP",R2089&lt;2),"",IF(Q2089=_xlfn.MINIFS($Q$2:$Q$3058,$A$2:$A$3058,A2089,$P$2:$P$3058,"OK"),"KEEP","DROP"))</f>
        <v/>
      </c>
      <c r="T2089" s="9" t="n">
        <f aca="false">IF(A2089="",1,0)</f>
        <v>0</v>
      </c>
      <c r="U2089" s="9" t="n">
        <f aca="false">IF(D2089="",1,0)</f>
        <v>0</v>
      </c>
      <c r="V2089" s="9" t="n">
        <f aca="false">IF(E2089="",1,0)</f>
        <v>0</v>
      </c>
      <c r="W2089" s="9" t="n">
        <f aca="false">IF(OR(H2089&lt;1,H2089&gt;10),1,0)</f>
        <v>0</v>
      </c>
      <c r="X2089" s="9" t="n">
        <f aca="false">IF(OR(I2089&lt;=0,I2089&gt;1500),1,0)</f>
        <v>0</v>
      </c>
      <c r="Y2089" s="9" t="n">
        <f aca="false">IF(J2089&gt;H2089*I2089,1,0)</f>
        <v>0</v>
      </c>
      <c r="Z2089" s="9" t="n">
        <f aca="false">IF(AND(N2089&lt;&gt;"",OR(N2089&lt;1,N2089&gt;5)),1,0)</f>
        <v>0</v>
      </c>
      <c r="AA2089" s="9" t="n">
        <f aca="false">IF(AND(M2089&lt;&gt;"",OR(M2089&lt;5,M2089&gt;180)),1,0)</f>
        <v>0</v>
      </c>
      <c r="AB2089" s="7" t="str">
        <f aca="false">IF(P2089="DUP","Exact duplicate row",IF(T2089=1,"Missing Order ID",IF(S2089="DROP","Duplicate Order ID (less complete row)",IF(U2089=1,"Missing Customer ID",IF(V2089=1,"Missing Restaurant name",IF(W2089=1,"Invalid/outlier quantity",IF(X2089=1,"Invalid/outlier unit price",IF(Y2089=1,"Discount greater than order value",""))))))))</f>
        <v/>
      </c>
      <c r="AC2089" s="7" t="str">
        <f aca="false">IF(AB2089="","KEEP","DROP")</f>
        <v>KEEP</v>
      </c>
      <c r="AD2089" s="7" t="str">
        <f aca="false">IF(TRIM(F2089)="",IFERROR(INDEX(Map_Tables!$I$4:$I$37,MATCH(TRIM(E2089),Map_Tables!$G$4:$G$37,0)),""),IFERROR(INDEX(Map_Tables!$B$4:$B$18,MATCH(TRIM(F2089),Map_Tables!$A$4:$A$18,0)),"CHECK"))</f>
        <v>Mumbai</v>
      </c>
      <c r="AE2089" s="7" t="str">
        <f aca="false">IF(TRIM(E2089)="","",IFERROR(INDEX(Map_Tables!$H$4:$H$37,MATCH(TRIM(E2089),Map_Tables!$G$4:$G$37,0)),"CHECK"))</f>
        <v>Curry Leaf Kitchen</v>
      </c>
      <c r="AF2089" s="7" t="str">
        <f aca="false">IF(TRIM(K2089)="","Unknown",IFERROR(INDEX(Map_Tables!$E$4:$E$15,MATCH(TRIM(K2089),Map_Tables!$D$4:$D$15,0)),"CHECK"))</f>
        <v>Credit Card</v>
      </c>
      <c r="AG2089" s="7" t="str">
        <f aca="false">IF(LEFT(LOWER(TRIM(L2089)),6)="cancel","Cancelled","Delivered")</f>
        <v>Delivered</v>
      </c>
      <c r="AH2089" s="10" t="n">
        <f aca="false">IF(ISNUMBER(SEARCH("/",B2089)),DATE(VALUE(RIGHT(B2089,4)),VALUE(MID(B2089,4,2)),VALUE(LEFT(B2089,2))),IF(MID(B2089,5,1)="-",DATE(VALUE(LEFT(B2089,4)),VALUE(MID(B2089,6,2)),VALUE(RIGHT(B2089,2))),DATE(VALUE(RIGHT(B2089,4)),MATCH(MID(B2089,4,3),{"Jan","Feb","Mar","Apr","May","Jun","Jul","Aug","Sep","Oct","Nov","Dec"},0),VALUE(LEFT(B2089,2)))))</f>
        <v>46011</v>
      </c>
    </row>
    <row r="2090" customFormat="false" ht="15" hidden="false" customHeight="false" outlineLevel="0" collapsed="false">
      <c r="A2090" s="7" t="s">
        <v>4887</v>
      </c>
      <c r="B2090" s="7" t="s">
        <v>903</v>
      </c>
      <c r="C2090" s="7" t="s">
        <v>1336</v>
      </c>
      <c r="D2090" s="7" t="s">
        <v>1954</v>
      </c>
      <c r="E2090" s="7" t="s">
        <v>142</v>
      </c>
      <c r="F2090" s="7" t="s">
        <v>110</v>
      </c>
      <c r="G2090" s="7" t="s">
        <v>105</v>
      </c>
      <c r="H2090" s="7" t="n">
        <v>4</v>
      </c>
      <c r="I2090" s="7" t="n">
        <v>150</v>
      </c>
      <c r="J2090" s="7" t="n">
        <v>30</v>
      </c>
      <c r="K2090" s="7" t="s">
        <v>88</v>
      </c>
      <c r="L2090" s="7" t="s">
        <v>194</v>
      </c>
      <c r="M2090" s="7" t="n">
        <v>34</v>
      </c>
      <c r="N2090" s="7" t="n">
        <v>4</v>
      </c>
      <c r="O2090" s="7" t="str">
        <f aca="false">A2090&amp;"|"&amp;B2090&amp;"|"&amp;C2090&amp;"|"&amp;D2090&amp;"|"&amp;E2090&amp;"|"&amp;F2090&amp;"|"&amp;G2090&amp;"|"&amp;H2090&amp;"|"&amp;I2090&amp;"|"&amp;J2090&amp;"|"&amp;K2090&amp;"|"&amp;L2090&amp;"|"&amp;M2090&amp;"|"&amp;N2090</f>
        <v>ORD12403|2025-10-30|19:17|C1044|Momo Magic|Delhi|Chinese|4|150|30|UPI|Delivered|34|4</v>
      </c>
      <c r="P2090" s="7" t="str">
        <f aca="false">IF(COUNTIF($O$2:O2090,O2090)&gt;1,"DUP","OK")</f>
        <v>OK</v>
      </c>
      <c r="Q2090" s="7" t="n">
        <f aca="false">COUNTBLANK(A2090:N2090)</f>
        <v>0</v>
      </c>
      <c r="R2090" s="7" t="n">
        <f aca="false">IF(A2090="",0,COUNTIFS($A$2:$A$3058,A2090,$P$2:$P$3058,"OK"))</f>
        <v>1</v>
      </c>
      <c r="S2090" s="7" t="str">
        <f aca="false">IF(OR(A2090="",P2090="DUP",R2090&lt;2),"",IF(Q2090=_xlfn.MINIFS($Q$2:$Q$3058,$A$2:$A$3058,A2090,$P$2:$P$3058,"OK"),"KEEP","DROP"))</f>
        <v/>
      </c>
      <c r="T2090" s="9" t="n">
        <f aca="false">IF(A2090="",1,0)</f>
        <v>0</v>
      </c>
      <c r="U2090" s="9" t="n">
        <f aca="false">IF(D2090="",1,0)</f>
        <v>0</v>
      </c>
      <c r="V2090" s="9" t="n">
        <f aca="false">IF(E2090="",1,0)</f>
        <v>0</v>
      </c>
      <c r="W2090" s="9" t="n">
        <f aca="false">IF(OR(H2090&lt;1,H2090&gt;10),1,0)</f>
        <v>0</v>
      </c>
      <c r="X2090" s="9" t="n">
        <f aca="false">IF(OR(I2090&lt;=0,I2090&gt;1500),1,0)</f>
        <v>0</v>
      </c>
      <c r="Y2090" s="9" t="n">
        <f aca="false">IF(J2090&gt;H2090*I2090,1,0)</f>
        <v>0</v>
      </c>
      <c r="Z2090" s="9" t="n">
        <f aca="false">IF(AND(N2090&lt;&gt;"",OR(N2090&lt;1,N2090&gt;5)),1,0)</f>
        <v>0</v>
      </c>
      <c r="AA2090" s="9" t="n">
        <f aca="false">IF(AND(M2090&lt;&gt;"",OR(M2090&lt;5,M2090&gt;180)),1,0)</f>
        <v>0</v>
      </c>
      <c r="AB2090" s="7" t="str">
        <f aca="false">IF(P2090="DUP","Exact duplicate row",IF(T2090=1,"Missing Order ID",IF(S2090="DROP","Duplicate Order ID (less complete row)",IF(U2090=1,"Missing Customer ID",IF(V2090=1,"Missing Restaurant name",IF(W2090=1,"Invalid/outlier quantity",IF(X2090=1,"Invalid/outlier unit price",IF(Y2090=1,"Discount greater than order value",""))))))))</f>
        <v/>
      </c>
      <c r="AC2090" s="7" t="str">
        <f aca="false">IF(AB2090="","KEEP","DROP")</f>
        <v>KEEP</v>
      </c>
      <c r="AD2090" s="7" t="str">
        <f aca="false">IF(TRIM(F2090)="",IFERROR(INDEX(Map_Tables!$I$4:$I$37,MATCH(TRIM(E2090),Map_Tables!$G$4:$G$37,0)),""),IFERROR(INDEX(Map_Tables!$B$4:$B$18,MATCH(TRIM(F2090),Map_Tables!$A$4:$A$18,0)),"CHECK"))</f>
        <v>Delhi</v>
      </c>
      <c r="AE2090" s="7" t="str">
        <f aca="false">IF(TRIM(E2090)="","",IFERROR(INDEX(Map_Tables!$H$4:$H$37,MATCH(TRIM(E2090),Map_Tables!$G$4:$G$37,0)),"CHECK"))</f>
        <v>Momo Magic</v>
      </c>
      <c r="AF2090" s="7" t="str">
        <f aca="false">IF(TRIM(K2090)="","Unknown",IFERROR(INDEX(Map_Tables!$E$4:$E$15,MATCH(TRIM(K2090),Map_Tables!$D$4:$D$15,0)),"CHECK"))</f>
        <v>UPI</v>
      </c>
      <c r="AG2090" s="7" t="str">
        <f aca="false">IF(LEFT(LOWER(TRIM(L2090)),6)="cancel","Cancelled","Delivered")</f>
        <v>Delivered</v>
      </c>
      <c r="AH2090" s="10" t="n">
        <f aca="false">IF(ISNUMBER(SEARCH("/",B2090)),DATE(VALUE(RIGHT(B2090,4)),VALUE(MID(B2090,4,2)),VALUE(LEFT(B2090,2))),IF(MID(B2090,5,1)="-",DATE(VALUE(LEFT(B2090,4)),VALUE(MID(B2090,6,2)),VALUE(RIGHT(B2090,2))),DATE(VALUE(RIGHT(B2090,4)),MATCH(MID(B2090,4,3),{"Jan","Feb","Mar","Apr","May","Jun","Jul","Aug","Sep","Oct","Nov","Dec"},0),VALUE(LEFT(B2090,2)))))</f>
        <v>45960</v>
      </c>
    </row>
    <row r="2091" customFormat="false" ht="15" hidden="false" customHeight="false" outlineLevel="0" collapsed="false">
      <c r="A2091" s="7" t="s">
        <v>4888</v>
      </c>
      <c r="B2091" s="7" t="s">
        <v>2041</v>
      </c>
      <c r="C2091" s="7" t="s">
        <v>4889</v>
      </c>
      <c r="D2091" s="7" t="s">
        <v>3278</v>
      </c>
      <c r="E2091" s="7" t="s">
        <v>160</v>
      </c>
      <c r="F2091" s="7" t="s">
        <v>136</v>
      </c>
      <c r="G2091" s="7" t="s">
        <v>150</v>
      </c>
      <c r="H2091" s="7" t="n">
        <v>2</v>
      </c>
      <c r="I2091" s="7" t="n">
        <v>185</v>
      </c>
      <c r="J2091" s="7" t="n">
        <v>40</v>
      </c>
      <c r="K2091" s="7" t="s">
        <v>298</v>
      </c>
      <c r="L2091" s="7" t="s">
        <v>194</v>
      </c>
      <c r="M2091" s="7" t="n">
        <v>34</v>
      </c>
      <c r="N2091" s="7" t="n">
        <v>4</v>
      </c>
      <c r="O2091" s="7" t="str">
        <f aca="false">A2091&amp;"|"&amp;B2091&amp;"|"&amp;C2091&amp;"|"&amp;D2091&amp;"|"&amp;E2091&amp;"|"&amp;F2091&amp;"|"&amp;G2091&amp;"|"&amp;H2091&amp;"|"&amp;I2091&amp;"|"&amp;J2091&amp;"|"&amp;K2091&amp;"|"&amp;L2091&amp;"|"&amp;M2091&amp;"|"&amp;N2091</f>
        <v>ORD11761|2025-08-18|22:58|C1154|Cake Walk|Pune|Desserts|2|185|40|Cash On Delivery|Delivered|34|4</v>
      </c>
      <c r="P2091" s="7" t="str">
        <f aca="false">IF(COUNTIF($O$2:O2091,O2091)&gt;1,"DUP","OK")</f>
        <v>OK</v>
      </c>
      <c r="Q2091" s="7" t="n">
        <f aca="false">COUNTBLANK(A2091:N2091)</f>
        <v>0</v>
      </c>
      <c r="R2091" s="7" t="n">
        <f aca="false">IF(A2091="",0,COUNTIFS($A$2:$A$3058,A2091,$P$2:$P$3058,"OK"))</f>
        <v>1</v>
      </c>
      <c r="S2091" s="7" t="str">
        <f aca="false">IF(OR(A2091="",P2091="DUP",R2091&lt;2),"",IF(Q2091=_xlfn.MINIFS($Q$2:$Q$3058,$A$2:$A$3058,A2091,$P$2:$P$3058,"OK"),"KEEP","DROP"))</f>
        <v/>
      </c>
      <c r="T2091" s="9" t="n">
        <f aca="false">IF(A2091="",1,0)</f>
        <v>0</v>
      </c>
      <c r="U2091" s="9" t="n">
        <f aca="false">IF(D2091="",1,0)</f>
        <v>0</v>
      </c>
      <c r="V2091" s="9" t="n">
        <f aca="false">IF(E2091="",1,0)</f>
        <v>0</v>
      </c>
      <c r="W2091" s="9" t="n">
        <f aca="false">IF(OR(H2091&lt;1,H2091&gt;10),1,0)</f>
        <v>0</v>
      </c>
      <c r="X2091" s="9" t="n">
        <f aca="false">IF(OR(I2091&lt;=0,I2091&gt;1500),1,0)</f>
        <v>0</v>
      </c>
      <c r="Y2091" s="9" t="n">
        <f aca="false">IF(J2091&gt;H2091*I2091,1,0)</f>
        <v>0</v>
      </c>
      <c r="Z2091" s="9" t="n">
        <f aca="false">IF(AND(N2091&lt;&gt;"",OR(N2091&lt;1,N2091&gt;5)),1,0)</f>
        <v>0</v>
      </c>
      <c r="AA2091" s="9" t="n">
        <f aca="false">IF(AND(M2091&lt;&gt;"",OR(M2091&lt;5,M2091&gt;180)),1,0)</f>
        <v>0</v>
      </c>
      <c r="AB2091" s="7" t="str">
        <f aca="false">IF(P2091="DUP","Exact duplicate row",IF(T2091=1,"Missing Order ID",IF(S2091="DROP","Duplicate Order ID (less complete row)",IF(U2091=1,"Missing Customer ID",IF(V2091=1,"Missing Restaurant name",IF(W2091=1,"Invalid/outlier quantity",IF(X2091=1,"Invalid/outlier unit price",IF(Y2091=1,"Discount greater than order value",""))))))))</f>
        <v/>
      </c>
      <c r="AC2091" s="7" t="str">
        <f aca="false">IF(AB2091="","KEEP","DROP")</f>
        <v>KEEP</v>
      </c>
      <c r="AD2091" s="7" t="str">
        <f aca="false">IF(TRIM(F2091)="",IFERROR(INDEX(Map_Tables!$I$4:$I$37,MATCH(TRIM(E2091),Map_Tables!$G$4:$G$37,0)),""),IFERROR(INDEX(Map_Tables!$B$4:$B$18,MATCH(TRIM(F2091),Map_Tables!$A$4:$A$18,0)),"CHECK"))</f>
        <v>Pune</v>
      </c>
      <c r="AE2091" s="7" t="str">
        <f aca="false">IF(TRIM(E2091)="","",IFERROR(INDEX(Map_Tables!$H$4:$H$37,MATCH(TRIM(E2091),Map_Tables!$G$4:$G$37,0)),"CHECK"))</f>
        <v>Cake Walk</v>
      </c>
      <c r="AF2091" s="7" t="str">
        <f aca="false">IF(TRIM(K2091)="","Unknown",IFERROR(INDEX(Map_Tables!$E$4:$E$15,MATCH(TRIM(K2091),Map_Tables!$D$4:$D$15,0)),"CHECK"))</f>
        <v>Cash on Delivery</v>
      </c>
      <c r="AG2091" s="7" t="str">
        <f aca="false">IF(LEFT(LOWER(TRIM(L2091)),6)="cancel","Cancelled","Delivered")</f>
        <v>Delivered</v>
      </c>
      <c r="AH2091" s="10" t="n">
        <f aca="false">IF(ISNUMBER(SEARCH("/",B2091)),DATE(VALUE(RIGHT(B2091,4)),VALUE(MID(B2091,4,2)),VALUE(LEFT(B2091,2))),IF(MID(B2091,5,1)="-",DATE(VALUE(LEFT(B2091,4)),VALUE(MID(B2091,6,2)),VALUE(RIGHT(B2091,2))),DATE(VALUE(RIGHT(B2091,4)),MATCH(MID(B2091,4,3),{"Jan","Feb","Mar","Apr","May","Jun","Jul","Aug","Sep","Oct","Nov","Dec"},0),VALUE(LEFT(B2091,2)))))</f>
        <v>45887</v>
      </c>
    </row>
    <row r="2092" customFormat="false" ht="15" hidden="false" customHeight="false" outlineLevel="0" collapsed="false">
      <c r="A2092" s="7" t="s">
        <v>4890</v>
      </c>
      <c r="B2092" s="7" t="s">
        <v>500</v>
      </c>
      <c r="C2092" s="7" t="s">
        <v>622</v>
      </c>
      <c r="D2092" s="7" t="s">
        <v>4891</v>
      </c>
      <c r="E2092" s="7" t="s">
        <v>1637</v>
      </c>
      <c r="F2092" s="7" t="s">
        <v>86</v>
      </c>
      <c r="G2092" s="7" t="s">
        <v>99</v>
      </c>
      <c r="H2092" s="7" t="n">
        <v>1</v>
      </c>
      <c r="I2092" s="7" t="n">
        <v>285</v>
      </c>
      <c r="J2092" s="7" t="n">
        <v>0</v>
      </c>
      <c r="K2092" s="7" t="s">
        <v>88</v>
      </c>
      <c r="L2092" s="7" t="s">
        <v>194</v>
      </c>
      <c r="M2092" s="7" t="n">
        <v>33</v>
      </c>
      <c r="N2092" s="7" t="n">
        <v>5</v>
      </c>
      <c r="O2092" s="7" t="str">
        <f aca="false">A2092&amp;"|"&amp;B2092&amp;"|"&amp;C2092&amp;"|"&amp;D2092&amp;"|"&amp;E2092&amp;"|"&amp;F2092&amp;"|"&amp;G2092&amp;"|"&amp;H2092&amp;"|"&amp;I2092&amp;"|"&amp;J2092&amp;"|"&amp;K2092&amp;"|"&amp;L2092&amp;"|"&amp;M2092&amp;"|"&amp;N2092</f>
        <v>ORD11361|2025-06-24|19:04|C0764|Nawabi  Biryani House|Bengaluru|Biryani|1|285|0|UPI|Delivered|33|5</v>
      </c>
      <c r="P2092" s="7" t="str">
        <f aca="false">IF(COUNTIF($O$2:O2092,O2092)&gt;1,"DUP","OK")</f>
        <v>OK</v>
      </c>
      <c r="Q2092" s="7" t="n">
        <f aca="false">COUNTBLANK(A2092:N2092)</f>
        <v>0</v>
      </c>
      <c r="R2092" s="7" t="n">
        <f aca="false">IF(A2092="",0,COUNTIFS($A$2:$A$3058,A2092,$P$2:$P$3058,"OK"))</f>
        <v>1</v>
      </c>
      <c r="S2092" s="7" t="str">
        <f aca="false">IF(OR(A2092="",P2092="DUP",R2092&lt;2),"",IF(Q2092=_xlfn.MINIFS($Q$2:$Q$3058,$A$2:$A$3058,A2092,$P$2:$P$3058,"OK"),"KEEP","DROP"))</f>
        <v/>
      </c>
      <c r="T2092" s="9" t="n">
        <f aca="false">IF(A2092="",1,0)</f>
        <v>0</v>
      </c>
      <c r="U2092" s="9" t="n">
        <f aca="false">IF(D2092="",1,0)</f>
        <v>0</v>
      </c>
      <c r="V2092" s="9" t="n">
        <f aca="false">IF(E2092="",1,0)</f>
        <v>0</v>
      </c>
      <c r="W2092" s="9" t="n">
        <f aca="false">IF(OR(H2092&lt;1,H2092&gt;10),1,0)</f>
        <v>0</v>
      </c>
      <c r="X2092" s="9" t="n">
        <f aca="false">IF(OR(I2092&lt;=0,I2092&gt;1500),1,0)</f>
        <v>0</v>
      </c>
      <c r="Y2092" s="9" t="n">
        <f aca="false">IF(J2092&gt;H2092*I2092,1,0)</f>
        <v>0</v>
      </c>
      <c r="Z2092" s="9" t="n">
        <f aca="false">IF(AND(N2092&lt;&gt;"",OR(N2092&lt;1,N2092&gt;5)),1,0)</f>
        <v>0</v>
      </c>
      <c r="AA2092" s="9" t="n">
        <f aca="false">IF(AND(M2092&lt;&gt;"",OR(M2092&lt;5,M2092&gt;180)),1,0)</f>
        <v>0</v>
      </c>
      <c r="AB2092" s="7" t="str">
        <f aca="false">IF(P2092="DUP","Exact duplicate row",IF(T2092=1,"Missing Order ID",IF(S2092="DROP","Duplicate Order ID (less complete row)",IF(U2092=1,"Missing Customer ID",IF(V2092=1,"Missing Restaurant name",IF(W2092=1,"Invalid/outlier quantity",IF(X2092=1,"Invalid/outlier unit price",IF(Y2092=1,"Discount greater than order value",""))))))))</f>
        <v/>
      </c>
      <c r="AC2092" s="7" t="str">
        <f aca="false">IF(AB2092="","KEEP","DROP")</f>
        <v>KEEP</v>
      </c>
      <c r="AD2092" s="7" t="str">
        <f aca="false">IF(TRIM(F2092)="",IFERROR(INDEX(Map_Tables!$I$4:$I$37,MATCH(TRIM(E2092),Map_Tables!$G$4:$G$37,0)),""),IFERROR(INDEX(Map_Tables!$B$4:$B$18,MATCH(TRIM(F2092),Map_Tables!$A$4:$A$18,0)),"CHECK"))</f>
        <v>Bengaluru</v>
      </c>
      <c r="AE2092" s="7" t="str">
        <f aca="false">IF(TRIM(E2092)="","",IFERROR(INDEX(Map_Tables!$H$4:$H$37,MATCH(TRIM(E2092),Map_Tables!$G$4:$G$37,0)),"CHECK"))</f>
        <v>Nawabi Biryani House</v>
      </c>
      <c r="AF2092" s="7" t="str">
        <f aca="false">IF(TRIM(K2092)="","Unknown",IFERROR(INDEX(Map_Tables!$E$4:$E$15,MATCH(TRIM(K2092),Map_Tables!$D$4:$D$15,0)),"CHECK"))</f>
        <v>UPI</v>
      </c>
      <c r="AG2092" s="7" t="str">
        <f aca="false">IF(LEFT(LOWER(TRIM(L2092)),6)="cancel","Cancelled","Delivered")</f>
        <v>Delivered</v>
      </c>
      <c r="AH2092" s="10" t="n">
        <f aca="false">IF(ISNUMBER(SEARCH("/",B2092)),DATE(VALUE(RIGHT(B2092,4)),VALUE(MID(B2092,4,2)),VALUE(LEFT(B2092,2))),IF(MID(B2092,5,1)="-",DATE(VALUE(LEFT(B2092,4)),VALUE(MID(B2092,6,2)),VALUE(RIGHT(B2092,2))),DATE(VALUE(RIGHT(B2092,4)),MATCH(MID(B2092,4,3),{"Jan","Feb","Mar","Apr","May","Jun","Jul","Aug","Sep","Oct","Nov","Dec"},0),VALUE(LEFT(B2092,2)))))</f>
        <v>45832</v>
      </c>
    </row>
    <row r="2093" customFormat="false" ht="15" hidden="false" customHeight="false" outlineLevel="0" collapsed="false">
      <c r="A2093" s="7" t="s">
        <v>4892</v>
      </c>
      <c r="B2093" s="7" t="s">
        <v>671</v>
      </c>
      <c r="C2093" s="7" t="s">
        <v>1651</v>
      </c>
      <c r="D2093" s="7" t="s">
        <v>4893</v>
      </c>
      <c r="E2093" s="7" t="s">
        <v>163</v>
      </c>
      <c r="F2093" s="7" t="s">
        <v>141</v>
      </c>
      <c r="G2093" s="7" t="s">
        <v>99</v>
      </c>
      <c r="H2093" s="7" t="n">
        <v>2</v>
      </c>
      <c r="I2093" s="7" t="n">
        <v>295</v>
      </c>
      <c r="J2093" s="7" t="n">
        <v>0</v>
      </c>
      <c r="K2093" s="7" t="s">
        <v>88</v>
      </c>
      <c r="L2093" s="7" t="s">
        <v>238</v>
      </c>
      <c r="M2093" s="7"/>
      <c r="N2093" s="7"/>
      <c r="O2093" s="7" t="str">
        <f aca="false">A2093&amp;"|"&amp;B2093&amp;"|"&amp;C2093&amp;"|"&amp;D2093&amp;"|"&amp;E2093&amp;"|"&amp;F2093&amp;"|"&amp;G2093&amp;"|"&amp;H2093&amp;"|"&amp;I2093&amp;"|"&amp;J2093&amp;"|"&amp;K2093&amp;"|"&amp;L2093&amp;"|"&amp;M2093&amp;"|"&amp;N2093</f>
        <v>ORD12557|2025-11-14|17:40|C0377|Biryani Baadshah|Kolkata|Biryani|2|295|0|UPI|Cancelled||</v>
      </c>
      <c r="P2093" s="7" t="str">
        <f aca="false">IF(COUNTIF($O$2:O2093,O2093)&gt;1,"DUP","OK")</f>
        <v>OK</v>
      </c>
      <c r="Q2093" s="7" t="n">
        <f aca="false">COUNTBLANK(A2093:N2093)</f>
        <v>2</v>
      </c>
      <c r="R2093" s="7" t="n">
        <f aca="false">IF(A2093="",0,COUNTIFS($A$2:$A$3058,A2093,$P$2:$P$3058,"OK"))</f>
        <v>1</v>
      </c>
      <c r="S2093" s="7" t="str">
        <f aca="false">IF(OR(A2093="",P2093="DUP",R2093&lt;2),"",IF(Q2093=_xlfn.MINIFS($Q$2:$Q$3058,$A$2:$A$3058,A2093,$P$2:$P$3058,"OK"),"KEEP","DROP"))</f>
        <v/>
      </c>
      <c r="T2093" s="9" t="n">
        <f aca="false">IF(A2093="",1,0)</f>
        <v>0</v>
      </c>
      <c r="U2093" s="9" t="n">
        <f aca="false">IF(D2093="",1,0)</f>
        <v>0</v>
      </c>
      <c r="V2093" s="9" t="n">
        <f aca="false">IF(E2093="",1,0)</f>
        <v>0</v>
      </c>
      <c r="W2093" s="9" t="n">
        <f aca="false">IF(OR(H2093&lt;1,H2093&gt;10),1,0)</f>
        <v>0</v>
      </c>
      <c r="X2093" s="9" t="n">
        <f aca="false">IF(OR(I2093&lt;=0,I2093&gt;1500),1,0)</f>
        <v>0</v>
      </c>
      <c r="Y2093" s="9" t="n">
        <f aca="false">IF(J2093&gt;H2093*I2093,1,0)</f>
        <v>0</v>
      </c>
      <c r="Z2093" s="9" t="n">
        <f aca="false">IF(AND(N2093&lt;&gt;"",OR(N2093&lt;1,N2093&gt;5)),1,0)</f>
        <v>0</v>
      </c>
      <c r="AA2093" s="9" t="n">
        <f aca="false">IF(AND(M2093&lt;&gt;"",OR(M2093&lt;5,M2093&gt;180)),1,0)</f>
        <v>0</v>
      </c>
      <c r="AB2093" s="7" t="str">
        <f aca="false">IF(P2093="DUP","Exact duplicate row",IF(T2093=1,"Missing Order ID",IF(S2093="DROP","Duplicate Order ID (less complete row)",IF(U2093=1,"Missing Customer ID",IF(V2093=1,"Missing Restaurant name",IF(W2093=1,"Invalid/outlier quantity",IF(X2093=1,"Invalid/outlier unit price",IF(Y2093=1,"Discount greater than order value",""))))))))</f>
        <v/>
      </c>
      <c r="AC2093" s="7" t="str">
        <f aca="false">IF(AB2093="","KEEP","DROP")</f>
        <v>KEEP</v>
      </c>
      <c r="AD2093" s="7" t="str">
        <f aca="false">IF(TRIM(F2093)="",IFERROR(INDEX(Map_Tables!$I$4:$I$37,MATCH(TRIM(E2093),Map_Tables!$G$4:$G$37,0)),""),IFERROR(INDEX(Map_Tables!$B$4:$B$18,MATCH(TRIM(F2093),Map_Tables!$A$4:$A$18,0)),"CHECK"))</f>
        <v>Kolkata</v>
      </c>
      <c r="AE2093" s="7" t="str">
        <f aca="false">IF(TRIM(E2093)="","",IFERROR(INDEX(Map_Tables!$H$4:$H$37,MATCH(TRIM(E2093),Map_Tables!$G$4:$G$37,0)),"CHECK"))</f>
        <v>Biryani Baadshah</v>
      </c>
      <c r="AF2093" s="7" t="str">
        <f aca="false">IF(TRIM(K2093)="","Unknown",IFERROR(INDEX(Map_Tables!$E$4:$E$15,MATCH(TRIM(K2093),Map_Tables!$D$4:$D$15,0)),"CHECK"))</f>
        <v>UPI</v>
      </c>
      <c r="AG2093" s="7" t="str">
        <f aca="false">IF(LEFT(LOWER(TRIM(L2093)),6)="cancel","Cancelled","Delivered")</f>
        <v>Cancelled</v>
      </c>
      <c r="AH2093" s="10" t="n">
        <f aca="false">IF(ISNUMBER(SEARCH("/",B2093)),DATE(VALUE(RIGHT(B2093,4)),VALUE(MID(B2093,4,2)),VALUE(LEFT(B2093,2))),IF(MID(B2093,5,1)="-",DATE(VALUE(LEFT(B2093,4)),VALUE(MID(B2093,6,2)),VALUE(RIGHT(B2093,2))),DATE(VALUE(RIGHT(B2093,4)),MATCH(MID(B2093,4,3),{"Jan","Feb","Mar","Apr","May","Jun","Jul","Aug","Sep","Oct","Nov","Dec"},0),VALUE(LEFT(B2093,2)))))</f>
        <v>45975</v>
      </c>
    </row>
    <row r="2094" customFormat="false" ht="15" hidden="false" customHeight="false" outlineLevel="0" collapsed="false">
      <c r="A2094" s="7" t="s">
        <v>4894</v>
      </c>
      <c r="B2094" s="7" t="s">
        <v>1835</v>
      </c>
      <c r="C2094" s="7" t="s">
        <v>1478</v>
      </c>
      <c r="D2094" s="7" t="s">
        <v>4895</v>
      </c>
      <c r="E2094" s="7" t="s">
        <v>94</v>
      </c>
      <c r="F2094" s="7" t="s">
        <v>86</v>
      </c>
      <c r="G2094" s="7" t="s">
        <v>95</v>
      </c>
      <c r="H2094" s="7" t="n">
        <v>3</v>
      </c>
      <c r="I2094" s="7" t="n">
        <v>110</v>
      </c>
      <c r="J2094" s="7" t="n">
        <v>0</v>
      </c>
      <c r="K2094" s="7" t="s">
        <v>229</v>
      </c>
      <c r="L2094" s="7" t="s">
        <v>194</v>
      </c>
      <c r="M2094" s="7" t="n">
        <v>27</v>
      </c>
      <c r="N2094" s="7" t="n">
        <v>4</v>
      </c>
      <c r="O2094" s="7" t="str">
        <f aca="false">A2094&amp;"|"&amp;B2094&amp;"|"&amp;C2094&amp;"|"&amp;D2094&amp;"|"&amp;E2094&amp;"|"&amp;F2094&amp;"|"&amp;G2094&amp;"|"&amp;H2094&amp;"|"&amp;I2094&amp;"|"&amp;J2094&amp;"|"&amp;K2094&amp;"|"&amp;L2094&amp;"|"&amp;M2094&amp;"|"&amp;N2094</f>
        <v>ORD12285|2025-10-16|13:16|C1268|Dosa Darbar|Bengaluru|South Indian|3|110|0|Upi|Delivered|27|4</v>
      </c>
      <c r="P2094" s="7" t="str">
        <f aca="false">IF(COUNTIF($O$2:O2094,O2094)&gt;1,"DUP","OK")</f>
        <v>OK</v>
      </c>
      <c r="Q2094" s="7" t="n">
        <f aca="false">COUNTBLANK(A2094:N2094)</f>
        <v>0</v>
      </c>
      <c r="R2094" s="7" t="n">
        <f aca="false">IF(A2094="",0,COUNTIFS($A$2:$A$3058,A2094,$P$2:$P$3058,"OK"))</f>
        <v>1</v>
      </c>
      <c r="S2094" s="7" t="str">
        <f aca="false">IF(OR(A2094="",P2094="DUP",R2094&lt;2),"",IF(Q2094=_xlfn.MINIFS($Q$2:$Q$3058,$A$2:$A$3058,A2094,$P$2:$P$3058,"OK"),"KEEP","DROP"))</f>
        <v/>
      </c>
      <c r="T2094" s="9" t="n">
        <f aca="false">IF(A2094="",1,0)</f>
        <v>0</v>
      </c>
      <c r="U2094" s="9" t="n">
        <f aca="false">IF(D2094="",1,0)</f>
        <v>0</v>
      </c>
      <c r="V2094" s="9" t="n">
        <f aca="false">IF(E2094="",1,0)</f>
        <v>0</v>
      </c>
      <c r="W2094" s="9" t="n">
        <f aca="false">IF(OR(H2094&lt;1,H2094&gt;10),1,0)</f>
        <v>0</v>
      </c>
      <c r="X2094" s="9" t="n">
        <f aca="false">IF(OR(I2094&lt;=0,I2094&gt;1500),1,0)</f>
        <v>0</v>
      </c>
      <c r="Y2094" s="9" t="n">
        <f aca="false">IF(J2094&gt;H2094*I2094,1,0)</f>
        <v>0</v>
      </c>
      <c r="Z2094" s="9" t="n">
        <f aca="false">IF(AND(N2094&lt;&gt;"",OR(N2094&lt;1,N2094&gt;5)),1,0)</f>
        <v>0</v>
      </c>
      <c r="AA2094" s="9" t="n">
        <f aca="false">IF(AND(M2094&lt;&gt;"",OR(M2094&lt;5,M2094&gt;180)),1,0)</f>
        <v>0</v>
      </c>
      <c r="AB2094" s="7" t="str">
        <f aca="false">IF(P2094="DUP","Exact duplicate row",IF(T2094=1,"Missing Order ID",IF(S2094="DROP","Duplicate Order ID (less complete row)",IF(U2094=1,"Missing Customer ID",IF(V2094=1,"Missing Restaurant name",IF(W2094=1,"Invalid/outlier quantity",IF(X2094=1,"Invalid/outlier unit price",IF(Y2094=1,"Discount greater than order value",""))))))))</f>
        <v/>
      </c>
      <c r="AC2094" s="7" t="str">
        <f aca="false">IF(AB2094="","KEEP","DROP")</f>
        <v>KEEP</v>
      </c>
      <c r="AD2094" s="7" t="str">
        <f aca="false">IF(TRIM(F2094)="",IFERROR(INDEX(Map_Tables!$I$4:$I$37,MATCH(TRIM(E2094),Map_Tables!$G$4:$G$37,0)),""),IFERROR(INDEX(Map_Tables!$B$4:$B$18,MATCH(TRIM(F2094),Map_Tables!$A$4:$A$18,0)),"CHECK"))</f>
        <v>Bengaluru</v>
      </c>
      <c r="AE2094" s="7" t="str">
        <f aca="false">IF(TRIM(E2094)="","",IFERROR(INDEX(Map_Tables!$H$4:$H$37,MATCH(TRIM(E2094),Map_Tables!$G$4:$G$37,0)),"CHECK"))</f>
        <v>Dosa Darbar</v>
      </c>
      <c r="AF2094" s="7" t="str">
        <f aca="false">IF(TRIM(K2094)="","Unknown",IFERROR(INDEX(Map_Tables!$E$4:$E$15,MATCH(TRIM(K2094),Map_Tables!$D$4:$D$15,0)),"CHECK"))</f>
        <v>UPI</v>
      </c>
      <c r="AG2094" s="7" t="str">
        <f aca="false">IF(LEFT(LOWER(TRIM(L2094)),6)="cancel","Cancelled","Delivered")</f>
        <v>Delivered</v>
      </c>
      <c r="AH2094" s="10" t="n">
        <f aca="false">IF(ISNUMBER(SEARCH("/",B2094)),DATE(VALUE(RIGHT(B2094,4)),VALUE(MID(B2094,4,2)),VALUE(LEFT(B2094,2))),IF(MID(B2094,5,1)="-",DATE(VALUE(LEFT(B2094,4)),VALUE(MID(B2094,6,2)),VALUE(RIGHT(B2094,2))),DATE(VALUE(RIGHT(B2094,4)),MATCH(MID(B2094,4,3),{"Jan","Feb","Mar","Apr","May","Jun","Jul","Aug","Sep","Oct","Nov","Dec"},0),VALUE(LEFT(B2094,2)))))</f>
        <v>45946</v>
      </c>
    </row>
    <row r="2095" customFormat="false" ht="15" hidden="false" customHeight="false" outlineLevel="0" collapsed="false">
      <c r="A2095" s="7" t="s">
        <v>4896</v>
      </c>
      <c r="B2095" s="7" t="s">
        <v>4897</v>
      </c>
      <c r="C2095" s="7" t="s">
        <v>846</v>
      </c>
      <c r="D2095" s="7" t="s">
        <v>214</v>
      </c>
      <c r="E2095" s="7" t="s">
        <v>157</v>
      </c>
      <c r="F2095" s="7" t="s">
        <v>136</v>
      </c>
      <c r="G2095" s="7" t="s">
        <v>117</v>
      </c>
      <c r="H2095" s="7" t="n">
        <v>1</v>
      </c>
      <c r="I2095" s="7" t="n">
        <v>125</v>
      </c>
      <c r="J2095" s="7" t="n">
        <v>50</v>
      </c>
      <c r="K2095" s="7" t="s">
        <v>112</v>
      </c>
      <c r="L2095" s="7" t="s">
        <v>194</v>
      </c>
      <c r="M2095" s="7" t="n">
        <v>30</v>
      </c>
      <c r="N2095" s="7" t="n">
        <v>5</v>
      </c>
      <c r="O2095" s="7" t="str">
        <f aca="false">A2095&amp;"|"&amp;B2095&amp;"|"&amp;C2095&amp;"|"&amp;D2095&amp;"|"&amp;E2095&amp;"|"&amp;F2095&amp;"|"&amp;G2095&amp;"|"&amp;H2095&amp;"|"&amp;I2095&amp;"|"&amp;J2095&amp;"|"&amp;K2095&amp;"|"&amp;L2095&amp;"|"&amp;M2095&amp;"|"&amp;N2095</f>
        <v>ORD11493|13-Jul-2025|11:27|C0481|Misal Mantra|Pune|Street Food|1|125|50|Cash on Delivery|Delivered|30|5</v>
      </c>
      <c r="P2095" s="7" t="str">
        <f aca="false">IF(COUNTIF($O$2:O2095,O2095)&gt;1,"DUP","OK")</f>
        <v>OK</v>
      </c>
      <c r="Q2095" s="7" t="n">
        <f aca="false">COUNTBLANK(A2095:N2095)</f>
        <v>0</v>
      </c>
      <c r="R2095" s="7" t="n">
        <f aca="false">IF(A2095="",0,COUNTIFS($A$2:$A$3058,A2095,$P$2:$P$3058,"OK"))</f>
        <v>1</v>
      </c>
      <c r="S2095" s="7" t="str">
        <f aca="false">IF(OR(A2095="",P2095="DUP",R2095&lt;2),"",IF(Q2095=_xlfn.MINIFS($Q$2:$Q$3058,$A$2:$A$3058,A2095,$P$2:$P$3058,"OK"),"KEEP","DROP"))</f>
        <v/>
      </c>
      <c r="T2095" s="9" t="n">
        <f aca="false">IF(A2095="",1,0)</f>
        <v>0</v>
      </c>
      <c r="U2095" s="9" t="n">
        <f aca="false">IF(D2095="",1,0)</f>
        <v>0</v>
      </c>
      <c r="V2095" s="9" t="n">
        <f aca="false">IF(E2095="",1,0)</f>
        <v>0</v>
      </c>
      <c r="W2095" s="9" t="n">
        <f aca="false">IF(OR(H2095&lt;1,H2095&gt;10),1,0)</f>
        <v>0</v>
      </c>
      <c r="X2095" s="9" t="n">
        <f aca="false">IF(OR(I2095&lt;=0,I2095&gt;1500),1,0)</f>
        <v>0</v>
      </c>
      <c r="Y2095" s="9" t="n">
        <f aca="false">IF(J2095&gt;H2095*I2095,1,0)</f>
        <v>0</v>
      </c>
      <c r="Z2095" s="9" t="n">
        <f aca="false">IF(AND(N2095&lt;&gt;"",OR(N2095&lt;1,N2095&gt;5)),1,0)</f>
        <v>0</v>
      </c>
      <c r="AA2095" s="9" t="n">
        <f aca="false">IF(AND(M2095&lt;&gt;"",OR(M2095&lt;5,M2095&gt;180)),1,0)</f>
        <v>0</v>
      </c>
      <c r="AB2095" s="7" t="str">
        <f aca="false">IF(P2095="DUP","Exact duplicate row",IF(T2095=1,"Missing Order ID",IF(S2095="DROP","Duplicate Order ID (less complete row)",IF(U2095=1,"Missing Customer ID",IF(V2095=1,"Missing Restaurant name",IF(W2095=1,"Invalid/outlier quantity",IF(X2095=1,"Invalid/outlier unit price",IF(Y2095=1,"Discount greater than order value",""))))))))</f>
        <v/>
      </c>
      <c r="AC2095" s="7" t="str">
        <f aca="false">IF(AB2095="","KEEP","DROP")</f>
        <v>KEEP</v>
      </c>
      <c r="AD2095" s="7" t="str">
        <f aca="false">IF(TRIM(F2095)="",IFERROR(INDEX(Map_Tables!$I$4:$I$37,MATCH(TRIM(E2095),Map_Tables!$G$4:$G$37,0)),""),IFERROR(INDEX(Map_Tables!$B$4:$B$18,MATCH(TRIM(F2095),Map_Tables!$A$4:$A$18,0)),"CHECK"))</f>
        <v>Pune</v>
      </c>
      <c r="AE2095" s="7" t="str">
        <f aca="false">IF(TRIM(E2095)="","",IFERROR(INDEX(Map_Tables!$H$4:$H$37,MATCH(TRIM(E2095),Map_Tables!$G$4:$G$37,0)),"CHECK"))</f>
        <v>Misal Mantra</v>
      </c>
      <c r="AF2095" s="7" t="str">
        <f aca="false">IF(TRIM(K2095)="","Unknown",IFERROR(INDEX(Map_Tables!$E$4:$E$15,MATCH(TRIM(K2095),Map_Tables!$D$4:$D$15,0)),"CHECK"))</f>
        <v>Cash on Delivery</v>
      </c>
      <c r="AG2095" s="7" t="str">
        <f aca="false">IF(LEFT(LOWER(TRIM(L2095)),6)="cancel","Cancelled","Delivered")</f>
        <v>Delivered</v>
      </c>
      <c r="AH2095" s="10" t="n">
        <f aca="false">IF(ISNUMBER(SEARCH("/",B2095)),DATE(VALUE(RIGHT(B2095,4)),VALUE(MID(B2095,4,2)),VALUE(LEFT(B2095,2))),IF(MID(B2095,5,1)="-",DATE(VALUE(LEFT(B2095,4)),VALUE(MID(B2095,6,2)),VALUE(RIGHT(B2095,2))),DATE(VALUE(RIGHT(B2095,4)),MATCH(MID(B2095,4,3),{"Jan","Feb","Mar","Apr","May","Jun","Jul","Aug","Sep","Oct","Nov","Dec"},0),VALUE(LEFT(B2095,2)))))</f>
        <v>45851</v>
      </c>
    </row>
    <row r="2096" customFormat="false" ht="15" hidden="false" customHeight="false" outlineLevel="0" collapsed="false">
      <c r="A2096" s="7" t="s">
        <v>4898</v>
      </c>
      <c r="B2096" s="7" t="s">
        <v>2846</v>
      </c>
      <c r="C2096" s="7" t="s">
        <v>2607</v>
      </c>
      <c r="D2096" s="7" t="s">
        <v>4899</v>
      </c>
      <c r="E2096" s="7" t="s">
        <v>98</v>
      </c>
      <c r="F2096" s="7" t="s">
        <v>86</v>
      </c>
      <c r="G2096" s="7" t="s">
        <v>99</v>
      </c>
      <c r="H2096" s="7" t="n">
        <v>2</v>
      </c>
      <c r="I2096" s="7" t="n">
        <v>300</v>
      </c>
      <c r="J2096" s="7" t="n">
        <v>0</v>
      </c>
      <c r="K2096" s="7" t="s">
        <v>102</v>
      </c>
      <c r="L2096" s="7" t="s">
        <v>194</v>
      </c>
      <c r="M2096" s="7" t="n">
        <v>38</v>
      </c>
      <c r="N2096" s="7" t="n">
        <v>4</v>
      </c>
      <c r="O2096" s="7" t="str">
        <f aca="false">A2096&amp;"|"&amp;B2096&amp;"|"&amp;C2096&amp;"|"&amp;D2096&amp;"|"&amp;E2096&amp;"|"&amp;F2096&amp;"|"&amp;G2096&amp;"|"&amp;H2096&amp;"|"&amp;I2096&amp;"|"&amp;J2096&amp;"|"&amp;K2096&amp;"|"&amp;L2096&amp;"|"&amp;M2096&amp;"|"&amp;N2096</f>
        <v>ORD12234|2025-10-11|12:01|C0058|Nawabi Biryani House|Bengaluru|Biryani|2|300|0|debit card|Delivered|38|4</v>
      </c>
      <c r="P2096" s="7" t="str">
        <f aca="false">IF(COUNTIF($O$2:O2096,O2096)&gt;1,"DUP","OK")</f>
        <v>OK</v>
      </c>
      <c r="Q2096" s="7" t="n">
        <f aca="false">COUNTBLANK(A2096:N2096)</f>
        <v>0</v>
      </c>
      <c r="R2096" s="7" t="n">
        <f aca="false">IF(A2096="",0,COUNTIFS($A$2:$A$3058,A2096,$P$2:$P$3058,"OK"))</f>
        <v>1</v>
      </c>
      <c r="S2096" s="7" t="str">
        <f aca="false">IF(OR(A2096="",P2096="DUP",R2096&lt;2),"",IF(Q2096=_xlfn.MINIFS($Q$2:$Q$3058,$A$2:$A$3058,A2096,$P$2:$P$3058,"OK"),"KEEP","DROP"))</f>
        <v/>
      </c>
      <c r="T2096" s="9" t="n">
        <f aca="false">IF(A2096="",1,0)</f>
        <v>0</v>
      </c>
      <c r="U2096" s="9" t="n">
        <f aca="false">IF(D2096="",1,0)</f>
        <v>0</v>
      </c>
      <c r="V2096" s="9" t="n">
        <f aca="false">IF(E2096="",1,0)</f>
        <v>0</v>
      </c>
      <c r="W2096" s="9" t="n">
        <f aca="false">IF(OR(H2096&lt;1,H2096&gt;10),1,0)</f>
        <v>0</v>
      </c>
      <c r="X2096" s="9" t="n">
        <f aca="false">IF(OR(I2096&lt;=0,I2096&gt;1500),1,0)</f>
        <v>0</v>
      </c>
      <c r="Y2096" s="9" t="n">
        <f aca="false">IF(J2096&gt;H2096*I2096,1,0)</f>
        <v>0</v>
      </c>
      <c r="Z2096" s="9" t="n">
        <f aca="false">IF(AND(N2096&lt;&gt;"",OR(N2096&lt;1,N2096&gt;5)),1,0)</f>
        <v>0</v>
      </c>
      <c r="AA2096" s="9" t="n">
        <f aca="false">IF(AND(M2096&lt;&gt;"",OR(M2096&lt;5,M2096&gt;180)),1,0)</f>
        <v>0</v>
      </c>
      <c r="AB2096" s="7" t="str">
        <f aca="false">IF(P2096="DUP","Exact duplicate row",IF(T2096=1,"Missing Order ID",IF(S2096="DROP","Duplicate Order ID (less complete row)",IF(U2096=1,"Missing Customer ID",IF(V2096=1,"Missing Restaurant name",IF(W2096=1,"Invalid/outlier quantity",IF(X2096=1,"Invalid/outlier unit price",IF(Y2096=1,"Discount greater than order value",""))))))))</f>
        <v/>
      </c>
      <c r="AC2096" s="7" t="str">
        <f aca="false">IF(AB2096="","KEEP","DROP")</f>
        <v>KEEP</v>
      </c>
      <c r="AD2096" s="7" t="str">
        <f aca="false">IF(TRIM(F2096)="",IFERROR(INDEX(Map_Tables!$I$4:$I$37,MATCH(TRIM(E2096),Map_Tables!$G$4:$G$37,0)),""),IFERROR(INDEX(Map_Tables!$B$4:$B$18,MATCH(TRIM(F2096),Map_Tables!$A$4:$A$18,0)),"CHECK"))</f>
        <v>Bengaluru</v>
      </c>
      <c r="AE2096" s="7" t="str">
        <f aca="false">IF(TRIM(E2096)="","",IFERROR(INDEX(Map_Tables!$H$4:$H$37,MATCH(TRIM(E2096),Map_Tables!$G$4:$G$37,0)),"CHECK"))</f>
        <v>Nawabi Biryani House</v>
      </c>
      <c r="AF2096" s="7" t="str">
        <f aca="false">IF(TRIM(K2096)="","Unknown",IFERROR(INDEX(Map_Tables!$E$4:$E$15,MATCH(TRIM(K2096),Map_Tables!$D$4:$D$15,0)),"CHECK"))</f>
        <v>Debit Card</v>
      </c>
      <c r="AG2096" s="7" t="str">
        <f aca="false">IF(LEFT(LOWER(TRIM(L2096)),6)="cancel","Cancelled","Delivered")</f>
        <v>Delivered</v>
      </c>
      <c r="AH2096" s="10" t="n">
        <f aca="false">IF(ISNUMBER(SEARCH("/",B2096)),DATE(VALUE(RIGHT(B2096,4)),VALUE(MID(B2096,4,2)),VALUE(LEFT(B2096,2))),IF(MID(B2096,5,1)="-",DATE(VALUE(LEFT(B2096,4)),VALUE(MID(B2096,6,2)),VALUE(RIGHT(B2096,2))),DATE(VALUE(RIGHT(B2096,4)),MATCH(MID(B2096,4,3),{"Jan","Feb","Mar","Apr","May","Jun","Jul","Aug","Sep","Oct","Nov","Dec"},0),VALUE(LEFT(B2096,2)))))</f>
        <v>45941</v>
      </c>
    </row>
    <row r="2097" customFormat="false" ht="15" hidden="false" customHeight="false" outlineLevel="0" collapsed="false">
      <c r="A2097" s="7" t="s">
        <v>4900</v>
      </c>
      <c r="B2097" s="7" t="s">
        <v>2501</v>
      </c>
      <c r="C2097" s="7" t="s">
        <v>1019</v>
      </c>
      <c r="D2097" s="7" t="s">
        <v>789</v>
      </c>
      <c r="E2097" s="7" t="s">
        <v>94</v>
      </c>
      <c r="F2097" s="7" t="s">
        <v>86</v>
      </c>
      <c r="G2097" s="7" t="s">
        <v>95</v>
      </c>
      <c r="H2097" s="7" t="n">
        <v>2</v>
      </c>
      <c r="I2097" s="7" t="n">
        <v>120</v>
      </c>
      <c r="J2097" s="7" t="n">
        <v>96</v>
      </c>
      <c r="K2097" s="7" t="s">
        <v>88</v>
      </c>
      <c r="L2097" s="7" t="s">
        <v>194</v>
      </c>
      <c r="M2097" s="7" t="n">
        <v>52</v>
      </c>
      <c r="N2097" s="7" t="n">
        <v>5</v>
      </c>
      <c r="O2097" s="7" t="str">
        <f aca="false">A2097&amp;"|"&amp;B2097&amp;"|"&amp;C2097&amp;"|"&amp;D2097&amp;"|"&amp;E2097&amp;"|"&amp;F2097&amp;"|"&amp;G2097&amp;"|"&amp;H2097&amp;"|"&amp;I2097&amp;"|"&amp;J2097&amp;"|"&amp;K2097&amp;"|"&amp;L2097&amp;"|"&amp;M2097&amp;"|"&amp;N2097</f>
        <v>ORD12247|2025-10-12|19:25|C0060|Dosa Darbar|Bengaluru|South Indian|2|120|96|UPI|Delivered|52|5</v>
      </c>
      <c r="P2097" s="7" t="str">
        <f aca="false">IF(COUNTIF($O$2:O2097,O2097)&gt;1,"DUP","OK")</f>
        <v>OK</v>
      </c>
      <c r="Q2097" s="7" t="n">
        <f aca="false">COUNTBLANK(A2097:N2097)</f>
        <v>0</v>
      </c>
      <c r="R2097" s="7" t="n">
        <f aca="false">IF(A2097="",0,COUNTIFS($A$2:$A$3058,A2097,$P$2:$P$3058,"OK"))</f>
        <v>1</v>
      </c>
      <c r="S2097" s="7" t="str">
        <f aca="false">IF(OR(A2097="",P2097="DUP",R2097&lt;2),"",IF(Q2097=_xlfn.MINIFS($Q$2:$Q$3058,$A$2:$A$3058,A2097,$P$2:$P$3058,"OK"),"KEEP","DROP"))</f>
        <v/>
      </c>
      <c r="T2097" s="9" t="n">
        <f aca="false">IF(A2097="",1,0)</f>
        <v>0</v>
      </c>
      <c r="U2097" s="9" t="n">
        <f aca="false">IF(D2097="",1,0)</f>
        <v>0</v>
      </c>
      <c r="V2097" s="9" t="n">
        <f aca="false">IF(E2097="",1,0)</f>
        <v>0</v>
      </c>
      <c r="W2097" s="9" t="n">
        <f aca="false">IF(OR(H2097&lt;1,H2097&gt;10),1,0)</f>
        <v>0</v>
      </c>
      <c r="X2097" s="9" t="n">
        <f aca="false">IF(OR(I2097&lt;=0,I2097&gt;1500),1,0)</f>
        <v>0</v>
      </c>
      <c r="Y2097" s="9" t="n">
        <f aca="false">IF(J2097&gt;H2097*I2097,1,0)</f>
        <v>0</v>
      </c>
      <c r="Z2097" s="9" t="n">
        <f aca="false">IF(AND(N2097&lt;&gt;"",OR(N2097&lt;1,N2097&gt;5)),1,0)</f>
        <v>0</v>
      </c>
      <c r="AA2097" s="9" t="n">
        <f aca="false">IF(AND(M2097&lt;&gt;"",OR(M2097&lt;5,M2097&gt;180)),1,0)</f>
        <v>0</v>
      </c>
      <c r="AB2097" s="7" t="str">
        <f aca="false">IF(P2097="DUP","Exact duplicate row",IF(T2097=1,"Missing Order ID",IF(S2097="DROP","Duplicate Order ID (less complete row)",IF(U2097=1,"Missing Customer ID",IF(V2097=1,"Missing Restaurant name",IF(W2097=1,"Invalid/outlier quantity",IF(X2097=1,"Invalid/outlier unit price",IF(Y2097=1,"Discount greater than order value",""))))))))</f>
        <v/>
      </c>
      <c r="AC2097" s="7" t="str">
        <f aca="false">IF(AB2097="","KEEP","DROP")</f>
        <v>KEEP</v>
      </c>
      <c r="AD2097" s="7" t="str">
        <f aca="false">IF(TRIM(F2097)="",IFERROR(INDEX(Map_Tables!$I$4:$I$37,MATCH(TRIM(E2097),Map_Tables!$G$4:$G$37,0)),""),IFERROR(INDEX(Map_Tables!$B$4:$B$18,MATCH(TRIM(F2097),Map_Tables!$A$4:$A$18,0)),"CHECK"))</f>
        <v>Bengaluru</v>
      </c>
      <c r="AE2097" s="7" t="str">
        <f aca="false">IF(TRIM(E2097)="","",IFERROR(INDEX(Map_Tables!$H$4:$H$37,MATCH(TRIM(E2097),Map_Tables!$G$4:$G$37,0)),"CHECK"))</f>
        <v>Dosa Darbar</v>
      </c>
      <c r="AF2097" s="7" t="str">
        <f aca="false">IF(TRIM(K2097)="","Unknown",IFERROR(INDEX(Map_Tables!$E$4:$E$15,MATCH(TRIM(K2097),Map_Tables!$D$4:$D$15,0)),"CHECK"))</f>
        <v>UPI</v>
      </c>
      <c r="AG2097" s="7" t="str">
        <f aca="false">IF(LEFT(LOWER(TRIM(L2097)),6)="cancel","Cancelled","Delivered")</f>
        <v>Delivered</v>
      </c>
      <c r="AH2097" s="10" t="n">
        <f aca="false">IF(ISNUMBER(SEARCH("/",B2097)),DATE(VALUE(RIGHT(B2097,4)),VALUE(MID(B2097,4,2)),VALUE(LEFT(B2097,2))),IF(MID(B2097,5,1)="-",DATE(VALUE(LEFT(B2097,4)),VALUE(MID(B2097,6,2)),VALUE(RIGHT(B2097,2))),DATE(VALUE(RIGHT(B2097,4)),MATCH(MID(B2097,4,3),{"Jan","Feb","Mar","Apr","May","Jun","Jul","Aug","Sep","Oct","Nov","Dec"},0),VALUE(LEFT(B2097,2)))))</f>
        <v>45942</v>
      </c>
    </row>
    <row r="2098" customFormat="false" ht="15" hidden="false" customHeight="false" outlineLevel="0" collapsed="false">
      <c r="A2098" s="7" t="s">
        <v>4901</v>
      </c>
      <c r="B2098" s="7" t="s">
        <v>1489</v>
      </c>
      <c r="C2098" s="7" t="s">
        <v>1607</v>
      </c>
      <c r="D2098" s="7" t="s">
        <v>4902</v>
      </c>
      <c r="E2098" s="7" t="s">
        <v>104</v>
      </c>
      <c r="F2098" s="7" t="s">
        <v>85</v>
      </c>
      <c r="G2098" s="7" t="s">
        <v>105</v>
      </c>
      <c r="H2098" s="7" t="n">
        <v>2</v>
      </c>
      <c r="I2098" s="7" t="n">
        <v>210</v>
      </c>
      <c r="J2098" s="7" t="n">
        <v>0</v>
      </c>
      <c r="K2098" s="7" t="s">
        <v>121</v>
      </c>
      <c r="L2098" s="7" t="s">
        <v>194</v>
      </c>
      <c r="M2098" s="7" t="n">
        <v>31</v>
      </c>
      <c r="N2098" s="7"/>
      <c r="O2098" s="7" t="str">
        <f aca="false">A2098&amp;"|"&amp;B2098&amp;"|"&amp;C2098&amp;"|"&amp;D2098&amp;"|"&amp;E2098&amp;"|"&amp;F2098&amp;"|"&amp;G2098&amp;"|"&amp;H2098&amp;"|"&amp;I2098&amp;"|"&amp;J2098&amp;"|"&amp;K2098&amp;"|"&amp;L2098&amp;"|"&amp;M2098&amp;"|"&amp;N2098</f>
        <v>ORD12010|2025-09-17|20:26|C0290|Wok &amp; Roll|bangalore|Chinese|2|210|0|Wallet|Delivered|31|</v>
      </c>
      <c r="P2098" s="7" t="str">
        <f aca="false">IF(COUNTIF($O$2:O2098,O2098)&gt;1,"DUP","OK")</f>
        <v>OK</v>
      </c>
      <c r="Q2098" s="7" t="n">
        <f aca="false">COUNTBLANK(A2098:N2098)</f>
        <v>1</v>
      </c>
      <c r="R2098" s="7" t="n">
        <f aca="false">IF(A2098="",0,COUNTIFS($A$2:$A$3058,A2098,$P$2:$P$3058,"OK"))</f>
        <v>1</v>
      </c>
      <c r="S2098" s="7" t="str">
        <f aca="false">IF(OR(A2098="",P2098="DUP",R2098&lt;2),"",IF(Q2098=_xlfn.MINIFS($Q$2:$Q$3058,$A$2:$A$3058,A2098,$P$2:$P$3058,"OK"),"KEEP","DROP"))</f>
        <v/>
      </c>
      <c r="T2098" s="9" t="n">
        <f aca="false">IF(A2098="",1,0)</f>
        <v>0</v>
      </c>
      <c r="U2098" s="9" t="n">
        <f aca="false">IF(D2098="",1,0)</f>
        <v>0</v>
      </c>
      <c r="V2098" s="9" t="n">
        <f aca="false">IF(E2098="",1,0)</f>
        <v>0</v>
      </c>
      <c r="W2098" s="9" t="n">
        <f aca="false">IF(OR(H2098&lt;1,H2098&gt;10),1,0)</f>
        <v>0</v>
      </c>
      <c r="X2098" s="9" t="n">
        <f aca="false">IF(OR(I2098&lt;=0,I2098&gt;1500),1,0)</f>
        <v>0</v>
      </c>
      <c r="Y2098" s="9" t="n">
        <f aca="false">IF(J2098&gt;H2098*I2098,1,0)</f>
        <v>0</v>
      </c>
      <c r="Z2098" s="9" t="n">
        <f aca="false">IF(AND(N2098&lt;&gt;"",OR(N2098&lt;1,N2098&gt;5)),1,0)</f>
        <v>0</v>
      </c>
      <c r="AA2098" s="9" t="n">
        <f aca="false">IF(AND(M2098&lt;&gt;"",OR(M2098&lt;5,M2098&gt;180)),1,0)</f>
        <v>0</v>
      </c>
      <c r="AB2098" s="7" t="str">
        <f aca="false">IF(P2098="DUP","Exact duplicate row",IF(T2098=1,"Missing Order ID",IF(S2098="DROP","Duplicate Order ID (less complete row)",IF(U2098=1,"Missing Customer ID",IF(V2098=1,"Missing Restaurant name",IF(W2098=1,"Invalid/outlier quantity",IF(X2098=1,"Invalid/outlier unit price",IF(Y2098=1,"Discount greater than order value",""))))))))</f>
        <v/>
      </c>
      <c r="AC2098" s="7" t="str">
        <f aca="false">IF(AB2098="","KEEP","DROP")</f>
        <v>KEEP</v>
      </c>
      <c r="AD2098" s="7" t="str">
        <f aca="false">IF(TRIM(F2098)="",IFERROR(INDEX(Map_Tables!$I$4:$I$37,MATCH(TRIM(E2098),Map_Tables!$G$4:$G$37,0)),""),IFERROR(INDEX(Map_Tables!$B$4:$B$18,MATCH(TRIM(F2098),Map_Tables!$A$4:$A$18,0)),"CHECK"))</f>
        <v>Bengaluru</v>
      </c>
      <c r="AE2098" s="7" t="str">
        <f aca="false">IF(TRIM(E2098)="","",IFERROR(INDEX(Map_Tables!$H$4:$H$37,MATCH(TRIM(E2098),Map_Tables!$G$4:$G$37,0)),"CHECK"))</f>
        <v>Wok &amp; Roll</v>
      </c>
      <c r="AF2098" s="7" t="str">
        <f aca="false">IF(TRIM(K2098)="","Unknown",IFERROR(INDEX(Map_Tables!$E$4:$E$15,MATCH(TRIM(K2098),Map_Tables!$D$4:$D$15,0)),"CHECK"))</f>
        <v>Wallet</v>
      </c>
      <c r="AG2098" s="7" t="str">
        <f aca="false">IF(LEFT(LOWER(TRIM(L2098)),6)="cancel","Cancelled","Delivered")</f>
        <v>Delivered</v>
      </c>
      <c r="AH2098" s="10" t="n">
        <f aca="false">IF(ISNUMBER(SEARCH("/",B2098)),DATE(VALUE(RIGHT(B2098,4)),VALUE(MID(B2098,4,2)),VALUE(LEFT(B2098,2))),IF(MID(B2098,5,1)="-",DATE(VALUE(LEFT(B2098,4)),VALUE(MID(B2098,6,2)),VALUE(RIGHT(B2098,2))),DATE(VALUE(RIGHT(B2098,4)),MATCH(MID(B2098,4,3),{"Jan","Feb","Mar","Apr","May","Jun","Jul","Aug","Sep","Oct","Nov","Dec"},0),VALUE(LEFT(B2098,2)))))</f>
        <v>45917</v>
      </c>
    </row>
    <row r="2099" customFormat="false" ht="15" hidden="false" customHeight="false" outlineLevel="0" collapsed="false">
      <c r="A2099" s="7" t="s">
        <v>4903</v>
      </c>
      <c r="B2099" s="7" t="s">
        <v>4904</v>
      </c>
      <c r="C2099" s="7" t="s">
        <v>4905</v>
      </c>
      <c r="D2099" s="7" t="s">
        <v>2464</v>
      </c>
      <c r="E2099" s="7" t="s">
        <v>161</v>
      </c>
      <c r="F2099" s="7" t="s">
        <v>141</v>
      </c>
      <c r="G2099" s="7" t="s">
        <v>117</v>
      </c>
      <c r="H2099" s="7" t="n">
        <v>1</v>
      </c>
      <c r="I2099" s="7" t="n">
        <v>150</v>
      </c>
      <c r="J2099" s="7" t="n">
        <v>0</v>
      </c>
      <c r="K2099" s="7" t="s">
        <v>121</v>
      </c>
      <c r="L2099" s="7" t="s">
        <v>194</v>
      </c>
      <c r="M2099" s="7" t="n">
        <v>43</v>
      </c>
      <c r="N2099" s="7" t="n">
        <v>4</v>
      </c>
      <c r="O2099" s="7" t="str">
        <f aca="false">A2099&amp;"|"&amp;B2099&amp;"|"&amp;C2099&amp;"|"&amp;D2099&amp;"|"&amp;E2099&amp;"|"&amp;F2099&amp;"|"&amp;G2099&amp;"|"&amp;H2099&amp;"|"&amp;I2099&amp;"|"&amp;J2099&amp;"|"&amp;K2099&amp;"|"&amp;L2099&amp;"|"&amp;M2099&amp;"|"&amp;N2099</f>
        <v>ORD10206|28-Jan-2025|14:25|C0301|Bengal Bites|Kolkata|Street Food|1|150|0|Wallet|Delivered|43|4</v>
      </c>
      <c r="P2099" s="7" t="str">
        <f aca="false">IF(COUNTIF($O$2:O2099,O2099)&gt;1,"DUP","OK")</f>
        <v>OK</v>
      </c>
      <c r="Q2099" s="7" t="n">
        <f aca="false">COUNTBLANK(A2099:N2099)</f>
        <v>0</v>
      </c>
      <c r="R2099" s="7" t="n">
        <f aca="false">IF(A2099="",0,COUNTIFS($A$2:$A$3058,A2099,$P$2:$P$3058,"OK"))</f>
        <v>1</v>
      </c>
      <c r="S2099" s="7" t="str">
        <f aca="false">IF(OR(A2099="",P2099="DUP",R2099&lt;2),"",IF(Q2099=_xlfn.MINIFS($Q$2:$Q$3058,$A$2:$A$3058,A2099,$P$2:$P$3058,"OK"),"KEEP","DROP"))</f>
        <v/>
      </c>
      <c r="T2099" s="9" t="n">
        <f aca="false">IF(A2099="",1,0)</f>
        <v>0</v>
      </c>
      <c r="U2099" s="9" t="n">
        <f aca="false">IF(D2099="",1,0)</f>
        <v>0</v>
      </c>
      <c r="V2099" s="9" t="n">
        <f aca="false">IF(E2099="",1,0)</f>
        <v>0</v>
      </c>
      <c r="W2099" s="9" t="n">
        <f aca="false">IF(OR(H2099&lt;1,H2099&gt;10),1,0)</f>
        <v>0</v>
      </c>
      <c r="X2099" s="9" t="n">
        <f aca="false">IF(OR(I2099&lt;=0,I2099&gt;1500),1,0)</f>
        <v>0</v>
      </c>
      <c r="Y2099" s="9" t="n">
        <f aca="false">IF(J2099&gt;H2099*I2099,1,0)</f>
        <v>0</v>
      </c>
      <c r="Z2099" s="9" t="n">
        <f aca="false">IF(AND(N2099&lt;&gt;"",OR(N2099&lt;1,N2099&gt;5)),1,0)</f>
        <v>0</v>
      </c>
      <c r="AA2099" s="9" t="n">
        <f aca="false">IF(AND(M2099&lt;&gt;"",OR(M2099&lt;5,M2099&gt;180)),1,0)</f>
        <v>0</v>
      </c>
      <c r="AB2099" s="7" t="str">
        <f aca="false">IF(P2099="DUP","Exact duplicate row",IF(T2099=1,"Missing Order ID",IF(S2099="DROP","Duplicate Order ID (less complete row)",IF(U2099=1,"Missing Customer ID",IF(V2099=1,"Missing Restaurant name",IF(W2099=1,"Invalid/outlier quantity",IF(X2099=1,"Invalid/outlier unit price",IF(Y2099=1,"Discount greater than order value",""))))))))</f>
        <v/>
      </c>
      <c r="AC2099" s="7" t="str">
        <f aca="false">IF(AB2099="","KEEP","DROP")</f>
        <v>KEEP</v>
      </c>
      <c r="AD2099" s="7" t="str">
        <f aca="false">IF(TRIM(F2099)="",IFERROR(INDEX(Map_Tables!$I$4:$I$37,MATCH(TRIM(E2099),Map_Tables!$G$4:$G$37,0)),""),IFERROR(INDEX(Map_Tables!$B$4:$B$18,MATCH(TRIM(F2099),Map_Tables!$A$4:$A$18,0)),"CHECK"))</f>
        <v>Kolkata</v>
      </c>
      <c r="AE2099" s="7" t="str">
        <f aca="false">IF(TRIM(E2099)="","",IFERROR(INDEX(Map_Tables!$H$4:$H$37,MATCH(TRIM(E2099),Map_Tables!$G$4:$G$37,0)),"CHECK"))</f>
        <v>Bengal Bites</v>
      </c>
      <c r="AF2099" s="7" t="str">
        <f aca="false">IF(TRIM(K2099)="","Unknown",IFERROR(INDEX(Map_Tables!$E$4:$E$15,MATCH(TRIM(K2099),Map_Tables!$D$4:$D$15,0)),"CHECK"))</f>
        <v>Wallet</v>
      </c>
      <c r="AG2099" s="7" t="str">
        <f aca="false">IF(LEFT(LOWER(TRIM(L2099)),6)="cancel","Cancelled","Delivered")</f>
        <v>Delivered</v>
      </c>
      <c r="AH2099" s="10" t="n">
        <f aca="false">IF(ISNUMBER(SEARCH("/",B2099)),DATE(VALUE(RIGHT(B2099,4)),VALUE(MID(B2099,4,2)),VALUE(LEFT(B2099,2))),IF(MID(B2099,5,1)="-",DATE(VALUE(LEFT(B2099,4)),VALUE(MID(B2099,6,2)),VALUE(RIGHT(B2099,2))),DATE(VALUE(RIGHT(B2099,4)),MATCH(MID(B2099,4,3),{"Jan","Feb","Mar","Apr","May","Jun","Jul","Aug","Sep","Oct","Nov","Dec"},0),VALUE(LEFT(B2099,2)))))</f>
        <v>45685</v>
      </c>
    </row>
    <row r="2100" customFormat="false" ht="15" hidden="false" customHeight="false" outlineLevel="0" collapsed="false">
      <c r="A2100" s="7" t="s">
        <v>4906</v>
      </c>
      <c r="B2100" s="7" t="s">
        <v>1458</v>
      </c>
      <c r="C2100" s="7" t="s">
        <v>4907</v>
      </c>
      <c r="D2100" s="7" t="s">
        <v>658</v>
      </c>
      <c r="E2100" s="7" t="s">
        <v>154</v>
      </c>
      <c r="F2100" s="7" t="s">
        <v>127</v>
      </c>
      <c r="G2100" s="7" t="s">
        <v>99</v>
      </c>
      <c r="H2100" s="7" t="n">
        <v>1</v>
      </c>
      <c r="I2100" s="7" t="n">
        <v>220</v>
      </c>
      <c r="J2100" s="7" t="n">
        <v>0</v>
      </c>
      <c r="K2100" s="7" t="s">
        <v>88</v>
      </c>
      <c r="L2100" s="7" t="s">
        <v>194</v>
      </c>
      <c r="M2100" s="7" t="n">
        <v>48</v>
      </c>
      <c r="N2100" s="7" t="n">
        <v>4</v>
      </c>
      <c r="O2100" s="7" t="str">
        <f aca="false">A2100&amp;"|"&amp;B2100&amp;"|"&amp;C2100&amp;"|"&amp;D2100&amp;"|"&amp;E2100&amp;"|"&amp;F2100&amp;"|"&amp;G2100&amp;"|"&amp;H2100&amp;"|"&amp;I2100&amp;"|"&amp;J2100&amp;"|"&amp;K2100&amp;"|"&amp;L2100&amp;"|"&amp;M2100&amp;"|"&amp;N2100</f>
        <v>ORD11028|2025-05-10|14:36|C0610|Madras Biryani Co|chennai|Biryani|1|220|0|UPI|Delivered|48|4</v>
      </c>
      <c r="P2100" s="7" t="str">
        <f aca="false">IF(COUNTIF($O$2:O2100,O2100)&gt;1,"DUP","OK")</f>
        <v>OK</v>
      </c>
      <c r="Q2100" s="7" t="n">
        <f aca="false">COUNTBLANK(A2100:N2100)</f>
        <v>0</v>
      </c>
      <c r="R2100" s="7" t="n">
        <f aca="false">IF(A2100="",0,COUNTIFS($A$2:$A$3058,A2100,$P$2:$P$3058,"OK"))</f>
        <v>1</v>
      </c>
      <c r="S2100" s="7" t="str">
        <f aca="false">IF(OR(A2100="",P2100="DUP",R2100&lt;2),"",IF(Q2100=_xlfn.MINIFS($Q$2:$Q$3058,$A$2:$A$3058,A2100,$P$2:$P$3058,"OK"),"KEEP","DROP"))</f>
        <v/>
      </c>
      <c r="T2100" s="9" t="n">
        <f aca="false">IF(A2100="",1,0)</f>
        <v>0</v>
      </c>
      <c r="U2100" s="9" t="n">
        <f aca="false">IF(D2100="",1,0)</f>
        <v>0</v>
      </c>
      <c r="V2100" s="9" t="n">
        <f aca="false">IF(E2100="",1,0)</f>
        <v>0</v>
      </c>
      <c r="W2100" s="9" t="n">
        <f aca="false">IF(OR(H2100&lt;1,H2100&gt;10),1,0)</f>
        <v>0</v>
      </c>
      <c r="X2100" s="9" t="n">
        <f aca="false">IF(OR(I2100&lt;=0,I2100&gt;1500),1,0)</f>
        <v>0</v>
      </c>
      <c r="Y2100" s="9" t="n">
        <f aca="false">IF(J2100&gt;H2100*I2100,1,0)</f>
        <v>0</v>
      </c>
      <c r="Z2100" s="9" t="n">
        <f aca="false">IF(AND(N2100&lt;&gt;"",OR(N2100&lt;1,N2100&gt;5)),1,0)</f>
        <v>0</v>
      </c>
      <c r="AA2100" s="9" t="n">
        <f aca="false">IF(AND(M2100&lt;&gt;"",OR(M2100&lt;5,M2100&gt;180)),1,0)</f>
        <v>0</v>
      </c>
      <c r="AB2100" s="7" t="str">
        <f aca="false">IF(P2100="DUP","Exact duplicate row",IF(T2100=1,"Missing Order ID",IF(S2100="DROP","Duplicate Order ID (less complete row)",IF(U2100=1,"Missing Customer ID",IF(V2100=1,"Missing Restaurant name",IF(W2100=1,"Invalid/outlier quantity",IF(X2100=1,"Invalid/outlier unit price",IF(Y2100=1,"Discount greater than order value",""))))))))</f>
        <v/>
      </c>
      <c r="AC2100" s="7" t="str">
        <f aca="false">IF(AB2100="","KEEP","DROP")</f>
        <v>KEEP</v>
      </c>
      <c r="AD2100" s="7" t="str">
        <f aca="false">IF(TRIM(F2100)="",IFERROR(INDEX(Map_Tables!$I$4:$I$37,MATCH(TRIM(E2100),Map_Tables!$G$4:$G$37,0)),""),IFERROR(INDEX(Map_Tables!$B$4:$B$18,MATCH(TRIM(F2100),Map_Tables!$A$4:$A$18,0)),"CHECK"))</f>
        <v>Chennai</v>
      </c>
      <c r="AE2100" s="7" t="str">
        <f aca="false">IF(TRIM(E2100)="","",IFERROR(INDEX(Map_Tables!$H$4:$H$37,MATCH(TRIM(E2100),Map_Tables!$G$4:$G$37,0)),"CHECK"))</f>
        <v>Madras Biryani Co</v>
      </c>
      <c r="AF2100" s="7" t="str">
        <f aca="false">IF(TRIM(K2100)="","Unknown",IFERROR(INDEX(Map_Tables!$E$4:$E$15,MATCH(TRIM(K2100),Map_Tables!$D$4:$D$15,0)),"CHECK"))</f>
        <v>UPI</v>
      </c>
      <c r="AG2100" s="7" t="str">
        <f aca="false">IF(LEFT(LOWER(TRIM(L2100)),6)="cancel","Cancelled","Delivered")</f>
        <v>Delivered</v>
      </c>
      <c r="AH2100" s="10" t="n">
        <f aca="false">IF(ISNUMBER(SEARCH("/",B2100)),DATE(VALUE(RIGHT(B2100,4)),VALUE(MID(B2100,4,2)),VALUE(LEFT(B2100,2))),IF(MID(B2100,5,1)="-",DATE(VALUE(LEFT(B2100,4)),VALUE(MID(B2100,6,2)),VALUE(RIGHT(B2100,2))),DATE(VALUE(RIGHT(B2100,4)),MATCH(MID(B2100,4,3),{"Jan","Feb","Mar","Apr","May","Jun","Jul","Aug","Sep","Oct","Nov","Dec"},0),VALUE(LEFT(B2100,2)))))</f>
        <v>45787</v>
      </c>
    </row>
    <row r="2101" customFormat="false" ht="15" hidden="false" customHeight="false" outlineLevel="0" collapsed="false">
      <c r="A2101" s="7" t="s">
        <v>4908</v>
      </c>
      <c r="B2101" s="7" t="s">
        <v>1127</v>
      </c>
      <c r="C2101" s="7" t="s">
        <v>547</v>
      </c>
      <c r="D2101" s="7" t="s">
        <v>1020</v>
      </c>
      <c r="E2101" s="7" t="s">
        <v>4909</v>
      </c>
      <c r="F2101" s="7" t="s">
        <v>141</v>
      </c>
      <c r="G2101" s="7" t="s">
        <v>150</v>
      </c>
      <c r="H2101" s="7" t="n">
        <v>2</v>
      </c>
      <c r="I2101" s="7" t="n">
        <v>125</v>
      </c>
      <c r="J2101" s="7" t="n">
        <v>20</v>
      </c>
      <c r="K2101" s="7" t="s">
        <v>112</v>
      </c>
      <c r="L2101" s="7" t="s">
        <v>194</v>
      </c>
      <c r="M2101" s="7" t="n">
        <v>32</v>
      </c>
      <c r="N2101" s="7" t="n">
        <v>5</v>
      </c>
      <c r="O2101" s="7" t="str">
        <f aca="false">A2101&amp;"|"&amp;B2101&amp;"|"&amp;C2101&amp;"|"&amp;D2101&amp;"|"&amp;E2101&amp;"|"&amp;F2101&amp;"|"&amp;G2101&amp;"|"&amp;H2101&amp;"|"&amp;I2101&amp;"|"&amp;J2101&amp;"|"&amp;K2101&amp;"|"&amp;L2101&amp;"|"&amp;M2101&amp;"|"&amp;N2101</f>
        <v>ORD12757|2025-12-03|11:20|C1422|Mishti  Mandir|Kolkata|Desserts|2|125|20|Cash on Delivery|Delivered|32|5</v>
      </c>
      <c r="P2101" s="7" t="str">
        <f aca="false">IF(COUNTIF($O$2:O2101,O2101)&gt;1,"DUP","OK")</f>
        <v>OK</v>
      </c>
      <c r="Q2101" s="7" t="n">
        <f aca="false">COUNTBLANK(A2101:N2101)</f>
        <v>0</v>
      </c>
      <c r="R2101" s="7" t="n">
        <f aca="false">IF(A2101="",0,COUNTIFS($A$2:$A$3058,A2101,$P$2:$P$3058,"OK"))</f>
        <v>1</v>
      </c>
      <c r="S2101" s="7" t="str">
        <f aca="false">IF(OR(A2101="",P2101="DUP",R2101&lt;2),"",IF(Q2101=_xlfn.MINIFS($Q$2:$Q$3058,$A$2:$A$3058,A2101,$P$2:$P$3058,"OK"),"KEEP","DROP"))</f>
        <v/>
      </c>
      <c r="T2101" s="9" t="n">
        <f aca="false">IF(A2101="",1,0)</f>
        <v>0</v>
      </c>
      <c r="U2101" s="9" t="n">
        <f aca="false">IF(D2101="",1,0)</f>
        <v>0</v>
      </c>
      <c r="V2101" s="9" t="n">
        <f aca="false">IF(E2101="",1,0)</f>
        <v>0</v>
      </c>
      <c r="W2101" s="9" t="n">
        <f aca="false">IF(OR(H2101&lt;1,H2101&gt;10),1,0)</f>
        <v>0</v>
      </c>
      <c r="X2101" s="9" t="n">
        <f aca="false">IF(OR(I2101&lt;=0,I2101&gt;1500),1,0)</f>
        <v>0</v>
      </c>
      <c r="Y2101" s="9" t="n">
        <f aca="false">IF(J2101&gt;H2101*I2101,1,0)</f>
        <v>0</v>
      </c>
      <c r="Z2101" s="9" t="n">
        <f aca="false">IF(AND(N2101&lt;&gt;"",OR(N2101&lt;1,N2101&gt;5)),1,0)</f>
        <v>0</v>
      </c>
      <c r="AA2101" s="9" t="n">
        <f aca="false">IF(AND(M2101&lt;&gt;"",OR(M2101&lt;5,M2101&gt;180)),1,0)</f>
        <v>0</v>
      </c>
      <c r="AB2101" s="7" t="str">
        <f aca="false">IF(P2101="DUP","Exact duplicate row",IF(T2101=1,"Missing Order ID",IF(S2101="DROP","Duplicate Order ID (less complete row)",IF(U2101=1,"Missing Customer ID",IF(V2101=1,"Missing Restaurant name",IF(W2101=1,"Invalid/outlier quantity",IF(X2101=1,"Invalid/outlier unit price",IF(Y2101=1,"Discount greater than order value",""))))))))</f>
        <v/>
      </c>
      <c r="AC2101" s="7" t="str">
        <f aca="false">IF(AB2101="","KEEP","DROP")</f>
        <v>KEEP</v>
      </c>
      <c r="AD2101" s="7" t="str">
        <f aca="false">IF(TRIM(F2101)="",IFERROR(INDEX(Map_Tables!$I$4:$I$37,MATCH(TRIM(E2101),Map_Tables!$G$4:$G$37,0)),""),IFERROR(INDEX(Map_Tables!$B$4:$B$18,MATCH(TRIM(F2101),Map_Tables!$A$4:$A$18,0)),"CHECK"))</f>
        <v>Kolkata</v>
      </c>
      <c r="AE2101" s="7" t="str">
        <f aca="false">IF(TRIM(E2101)="","",IFERROR(INDEX(Map_Tables!$H$4:$H$37,MATCH(TRIM(E2101),Map_Tables!$G$4:$G$37,0)),"CHECK"))</f>
        <v>Mishti Mandir</v>
      </c>
      <c r="AF2101" s="7" t="str">
        <f aca="false">IF(TRIM(K2101)="","Unknown",IFERROR(INDEX(Map_Tables!$E$4:$E$15,MATCH(TRIM(K2101),Map_Tables!$D$4:$D$15,0)),"CHECK"))</f>
        <v>Cash on Delivery</v>
      </c>
      <c r="AG2101" s="7" t="str">
        <f aca="false">IF(LEFT(LOWER(TRIM(L2101)),6)="cancel","Cancelled","Delivered")</f>
        <v>Delivered</v>
      </c>
      <c r="AH2101" s="10" t="n">
        <f aca="false">IF(ISNUMBER(SEARCH("/",B2101)),DATE(VALUE(RIGHT(B2101,4)),VALUE(MID(B2101,4,2)),VALUE(LEFT(B2101,2))),IF(MID(B2101,5,1)="-",DATE(VALUE(LEFT(B2101,4)),VALUE(MID(B2101,6,2)),VALUE(RIGHT(B2101,2))),DATE(VALUE(RIGHT(B2101,4)),MATCH(MID(B2101,4,3),{"Jan","Feb","Mar","Apr","May","Jun","Jul","Aug","Sep","Oct","Nov","Dec"},0),VALUE(LEFT(B2101,2)))))</f>
        <v>45994</v>
      </c>
    </row>
    <row r="2102" customFormat="false" ht="15" hidden="false" customHeight="false" outlineLevel="0" collapsed="false">
      <c r="A2102" s="7" t="s">
        <v>4910</v>
      </c>
      <c r="B2102" s="7" t="s">
        <v>528</v>
      </c>
      <c r="C2102" s="7" t="s">
        <v>3489</v>
      </c>
      <c r="D2102" s="7" t="s">
        <v>4911</v>
      </c>
      <c r="E2102" s="7" t="s">
        <v>134</v>
      </c>
      <c r="F2102" s="7" t="s">
        <v>110</v>
      </c>
      <c r="G2102" s="7" t="s">
        <v>844</v>
      </c>
      <c r="H2102" s="7" t="n">
        <v>3</v>
      </c>
      <c r="I2102" s="7" t="n">
        <v>120</v>
      </c>
      <c r="J2102" s="7" t="n">
        <v>100</v>
      </c>
      <c r="K2102" s="7" t="s">
        <v>88</v>
      </c>
      <c r="L2102" s="7" t="s">
        <v>194</v>
      </c>
      <c r="M2102" s="7" t="n">
        <v>42</v>
      </c>
      <c r="N2102" s="7" t="n">
        <v>3</v>
      </c>
      <c r="O2102" s="7" t="str">
        <f aca="false">A2102&amp;"|"&amp;B2102&amp;"|"&amp;C2102&amp;"|"&amp;D2102&amp;"|"&amp;E2102&amp;"|"&amp;F2102&amp;"|"&amp;G2102&amp;"|"&amp;H2102&amp;"|"&amp;I2102&amp;"|"&amp;J2102&amp;"|"&amp;K2102&amp;"|"&amp;L2102&amp;"|"&amp;M2102&amp;"|"&amp;N2102</f>
        <v>ORD12119|2025-09-29|21:20|C0030|Chaat Corner|Delhi|STREET FOOD|3|120|100|UPI|Delivered|42|3</v>
      </c>
      <c r="P2102" s="7" t="str">
        <f aca="false">IF(COUNTIF($O$2:O2102,O2102)&gt;1,"DUP","OK")</f>
        <v>OK</v>
      </c>
      <c r="Q2102" s="7" t="n">
        <f aca="false">COUNTBLANK(A2102:N2102)</f>
        <v>0</v>
      </c>
      <c r="R2102" s="7" t="n">
        <f aca="false">IF(A2102="",0,COUNTIFS($A$2:$A$3058,A2102,$P$2:$P$3058,"OK"))</f>
        <v>1</v>
      </c>
      <c r="S2102" s="7" t="str">
        <f aca="false">IF(OR(A2102="",P2102="DUP",R2102&lt;2),"",IF(Q2102=_xlfn.MINIFS($Q$2:$Q$3058,$A$2:$A$3058,A2102,$P$2:$P$3058,"OK"),"KEEP","DROP"))</f>
        <v/>
      </c>
      <c r="T2102" s="9" t="n">
        <f aca="false">IF(A2102="",1,0)</f>
        <v>0</v>
      </c>
      <c r="U2102" s="9" t="n">
        <f aca="false">IF(D2102="",1,0)</f>
        <v>0</v>
      </c>
      <c r="V2102" s="9" t="n">
        <f aca="false">IF(E2102="",1,0)</f>
        <v>0</v>
      </c>
      <c r="W2102" s="9" t="n">
        <f aca="false">IF(OR(H2102&lt;1,H2102&gt;10),1,0)</f>
        <v>0</v>
      </c>
      <c r="X2102" s="9" t="n">
        <f aca="false">IF(OR(I2102&lt;=0,I2102&gt;1500),1,0)</f>
        <v>0</v>
      </c>
      <c r="Y2102" s="9" t="n">
        <f aca="false">IF(J2102&gt;H2102*I2102,1,0)</f>
        <v>0</v>
      </c>
      <c r="Z2102" s="9" t="n">
        <f aca="false">IF(AND(N2102&lt;&gt;"",OR(N2102&lt;1,N2102&gt;5)),1,0)</f>
        <v>0</v>
      </c>
      <c r="AA2102" s="9" t="n">
        <f aca="false">IF(AND(M2102&lt;&gt;"",OR(M2102&lt;5,M2102&gt;180)),1,0)</f>
        <v>0</v>
      </c>
      <c r="AB2102" s="7" t="str">
        <f aca="false">IF(P2102="DUP","Exact duplicate row",IF(T2102=1,"Missing Order ID",IF(S2102="DROP","Duplicate Order ID (less complete row)",IF(U2102=1,"Missing Customer ID",IF(V2102=1,"Missing Restaurant name",IF(W2102=1,"Invalid/outlier quantity",IF(X2102=1,"Invalid/outlier unit price",IF(Y2102=1,"Discount greater than order value",""))))))))</f>
        <v/>
      </c>
      <c r="AC2102" s="7" t="str">
        <f aca="false">IF(AB2102="","KEEP","DROP")</f>
        <v>KEEP</v>
      </c>
      <c r="AD2102" s="7" t="str">
        <f aca="false">IF(TRIM(F2102)="",IFERROR(INDEX(Map_Tables!$I$4:$I$37,MATCH(TRIM(E2102),Map_Tables!$G$4:$G$37,0)),""),IFERROR(INDEX(Map_Tables!$B$4:$B$18,MATCH(TRIM(F2102),Map_Tables!$A$4:$A$18,0)),"CHECK"))</f>
        <v>Delhi</v>
      </c>
      <c r="AE2102" s="7" t="str">
        <f aca="false">IF(TRIM(E2102)="","",IFERROR(INDEX(Map_Tables!$H$4:$H$37,MATCH(TRIM(E2102),Map_Tables!$G$4:$G$37,0)),"CHECK"))</f>
        <v>Chaat Corner</v>
      </c>
      <c r="AF2102" s="7" t="str">
        <f aca="false">IF(TRIM(K2102)="","Unknown",IFERROR(INDEX(Map_Tables!$E$4:$E$15,MATCH(TRIM(K2102),Map_Tables!$D$4:$D$15,0)),"CHECK"))</f>
        <v>UPI</v>
      </c>
      <c r="AG2102" s="7" t="str">
        <f aca="false">IF(LEFT(LOWER(TRIM(L2102)),6)="cancel","Cancelled","Delivered")</f>
        <v>Delivered</v>
      </c>
      <c r="AH2102" s="10" t="n">
        <f aca="false">IF(ISNUMBER(SEARCH("/",B2102)),DATE(VALUE(RIGHT(B2102,4)),VALUE(MID(B2102,4,2)),VALUE(LEFT(B2102,2))),IF(MID(B2102,5,1)="-",DATE(VALUE(LEFT(B2102,4)),VALUE(MID(B2102,6,2)),VALUE(RIGHT(B2102,2))),DATE(VALUE(RIGHT(B2102,4)),MATCH(MID(B2102,4,3),{"Jan","Feb","Mar","Apr","May","Jun","Jul","Aug","Sep","Oct","Nov","Dec"},0),VALUE(LEFT(B2102,2)))))</f>
        <v>45929</v>
      </c>
    </row>
    <row r="2103" customFormat="false" ht="15" hidden="false" customHeight="false" outlineLevel="0" collapsed="false">
      <c r="A2103" s="7" t="s">
        <v>4912</v>
      </c>
      <c r="B2103" s="7" t="s">
        <v>3233</v>
      </c>
      <c r="C2103" s="7" t="s">
        <v>4297</v>
      </c>
      <c r="D2103" s="7" t="s">
        <v>3237</v>
      </c>
      <c r="E2103" s="7" t="s">
        <v>94</v>
      </c>
      <c r="F2103" s="7" t="s">
        <v>86</v>
      </c>
      <c r="G2103" s="7" t="s">
        <v>95</v>
      </c>
      <c r="H2103" s="7" t="n">
        <v>1</v>
      </c>
      <c r="I2103" s="7" t="n">
        <v>95</v>
      </c>
      <c r="J2103" s="7" t="n">
        <v>20</v>
      </c>
      <c r="K2103" s="7" t="s">
        <v>133</v>
      </c>
      <c r="L2103" s="7" t="s">
        <v>194</v>
      </c>
      <c r="M2103" s="7" t="n">
        <v>44</v>
      </c>
      <c r="N2103" s="7" t="n">
        <v>5</v>
      </c>
      <c r="O2103" s="7" t="str">
        <f aca="false">A2103&amp;"|"&amp;B2103&amp;"|"&amp;C2103&amp;"|"&amp;D2103&amp;"|"&amp;E2103&amp;"|"&amp;F2103&amp;"|"&amp;G2103&amp;"|"&amp;H2103&amp;"|"&amp;I2103&amp;"|"&amp;J2103&amp;"|"&amp;K2103&amp;"|"&amp;L2103&amp;"|"&amp;M2103&amp;"|"&amp;N2103</f>
        <v>ORD11047|2025-05-12|16:45|C1067|Dosa Darbar|Bengaluru|South Indian|1|95|20|Net Banking|Delivered|44|5</v>
      </c>
      <c r="P2103" s="7" t="str">
        <f aca="false">IF(COUNTIF($O$2:O2103,O2103)&gt;1,"DUP","OK")</f>
        <v>OK</v>
      </c>
      <c r="Q2103" s="7" t="n">
        <f aca="false">COUNTBLANK(A2103:N2103)</f>
        <v>0</v>
      </c>
      <c r="R2103" s="7" t="n">
        <f aca="false">IF(A2103="",0,COUNTIFS($A$2:$A$3058,A2103,$P$2:$P$3058,"OK"))</f>
        <v>1</v>
      </c>
      <c r="S2103" s="7" t="str">
        <f aca="false">IF(OR(A2103="",P2103="DUP",R2103&lt;2),"",IF(Q2103=_xlfn.MINIFS($Q$2:$Q$3058,$A$2:$A$3058,A2103,$P$2:$P$3058,"OK"),"KEEP","DROP"))</f>
        <v/>
      </c>
      <c r="T2103" s="9" t="n">
        <f aca="false">IF(A2103="",1,0)</f>
        <v>0</v>
      </c>
      <c r="U2103" s="9" t="n">
        <f aca="false">IF(D2103="",1,0)</f>
        <v>0</v>
      </c>
      <c r="V2103" s="9" t="n">
        <f aca="false">IF(E2103="",1,0)</f>
        <v>0</v>
      </c>
      <c r="W2103" s="9" t="n">
        <f aca="false">IF(OR(H2103&lt;1,H2103&gt;10),1,0)</f>
        <v>0</v>
      </c>
      <c r="X2103" s="9" t="n">
        <f aca="false">IF(OR(I2103&lt;=0,I2103&gt;1500),1,0)</f>
        <v>0</v>
      </c>
      <c r="Y2103" s="9" t="n">
        <f aca="false">IF(J2103&gt;H2103*I2103,1,0)</f>
        <v>0</v>
      </c>
      <c r="Z2103" s="9" t="n">
        <f aca="false">IF(AND(N2103&lt;&gt;"",OR(N2103&lt;1,N2103&gt;5)),1,0)</f>
        <v>0</v>
      </c>
      <c r="AA2103" s="9" t="n">
        <f aca="false">IF(AND(M2103&lt;&gt;"",OR(M2103&lt;5,M2103&gt;180)),1,0)</f>
        <v>0</v>
      </c>
      <c r="AB2103" s="7" t="str">
        <f aca="false">IF(P2103="DUP","Exact duplicate row",IF(T2103=1,"Missing Order ID",IF(S2103="DROP","Duplicate Order ID (less complete row)",IF(U2103=1,"Missing Customer ID",IF(V2103=1,"Missing Restaurant name",IF(W2103=1,"Invalid/outlier quantity",IF(X2103=1,"Invalid/outlier unit price",IF(Y2103=1,"Discount greater than order value",""))))))))</f>
        <v/>
      </c>
      <c r="AC2103" s="7" t="str">
        <f aca="false">IF(AB2103="","KEEP","DROP")</f>
        <v>KEEP</v>
      </c>
      <c r="AD2103" s="7" t="str">
        <f aca="false">IF(TRIM(F2103)="",IFERROR(INDEX(Map_Tables!$I$4:$I$37,MATCH(TRIM(E2103),Map_Tables!$G$4:$G$37,0)),""),IFERROR(INDEX(Map_Tables!$B$4:$B$18,MATCH(TRIM(F2103),Map_Tables!$A$4:$A$18,0)),"CHECK"))</f>
        <v>Bengaluru</v>
      </c>
      <c r="AE2103" s="7" t="str">
        <f aca="false">IF(TRIM(E2103)="","",IFERROR(INDEX(Map_Tables!$H$4:$H$37,MATCH(TRIM(E2103),Map_Tables!$G$4:$G$37,0)),"CHECK"))</f>
        <v>Dosa Darbar</v>
      </c>
      <c r="AF2103" s="7" t="str">
        <f aca="false">IF(TRIM(K2103)="","Unknown",IFERROR(INDEX(Map_Tables!$E$4:$E$15,MATCH(TRIM(K2103),Map_Tables!$D$4:$D$15,0)),"CHECK"))</f>
        <v>Net Banking</v>
      </c>
      <c r="AG2103" s="7" t="str">
        <f aca="false">IF(LEFT(LOWER(TRIM(L2103)),6)="cancel","Cancelled","Delivered")</f>
        <v>Delivered</v>
      </c>
      <c r="AH2103" s="10" t="n">
        <f aca="false">IF(ISNUMBER(SEARCH("/",B2103)),DATE(VALUE(RIGHT(B2103,4)),VALUE(MID(B2103,4,2)),VALUE(LEFT(B2103,2))),IF(MID(B2103,5,1)="-",DATE(VALUE(LEFT(B2103,4)),VALUE(MID(B2103,6,2)),VALUE(RIGHT(B2103,2))),DATE(VALUE(RIGHT(B2103,4)),MATCH(MID(B2103,4,3),{"Jan","Feb","Mar","Apr","May","Jun","Jul","Aug","Sep","Oct","Nov","Dec"},0),VALUE(LEFT(B2103,2)))))</f>
        <v>45789</v>
      </c>
    </row>
    <row r="2104" customFormat="false" ht="15" hidden="false" customHeight="false" outlineLevel="0" collapsed="false">
      <c r="A2104" s="7" t="s">
        <v>4913</v>
      </c>
      <c r="B2104" s="7" t="s">
        <v>350</v>
      </c>
      <c r="C2104" s="7" t="s">
        <v>3160</v>
      </c>
      <c r="D2104" s="7" t="s">
        <v>2411</v>
      </c>
      <c r="E2104" s="7" t="s">
        <v>134</v>
      </c>
      <c r="F2104" s="7" t="s">
        <v>110</v>
      </c>
      <c r="G2104" s="7" t="s">
        <v>117</v>
      </c>
      <c r="H2104" s="7" t="n">
        <v>3</v>
      </c>
      <c r="I2104" s="7" t="n">
        <v>105</v>
      </c>
      <c r="J2104" s="7" t="n">
        <v>125</v>
      </c>
      <c r="K2104" s="7" t="s">
        <v>88</v>
      </c>
      <c r="L2104" s="7" t="s">
        <v>194</v>
      </c>
      <c r="M2104" s="7" t="n">
        <v>32</v>
      </c>
      <c r="N2104" s="7" t="n">
        <v>3</v>
      </c>
      <c r="O2104" s="7" t="str">
        <f aca="false">A2104&amp;"|"&amp;B2104&amp;"|"&amp;C2104&amp;"|"&amp;D2104&amp;"|"&amp;E2104&amp;"|"&amp;F2104&amp;"|"&amp;G2104&amp;"|"&amp;H2104&amp;"|"&amp;I2104&amp;"|"&amp;J2104&amp;"|"&amp;K2104&amp;"|"&amp;L2104&amp;"|"&amp;M2104&amp;"|"&amp;N2104</f>
        <v>ORD10694|2025-03-29|11:15|C0477|Chaat Corner|Delhi|Street Food|3|105|125|UPI|Delivered|32|3</v>
      </c>
      <c r="P2104" s="7" t="str">
        <f aca="false">IF(COUNTIF($O$2:O2104,O2104)&gt;1,"DUP","OK")</f>
        <v>OK</v>
      </c>
      <c r="Q2104" s="7" t="n">
        <f aca="false">COUNTBLANK(A2104:N2104)</f>
        <v>0</v>
      </c>
      <c r="R2104" s="7" t="n">
        <f aca="false">IF(A2104="",0,COUNTIFS($A$2:$A$3058,A2104,$P$2:$P$3058,"OK"))</f>
        <v>1</v>
      </c>
      <c r="S2104" s="7" t="str">
        <f aca="false">IF(OR(A2104="",P2104="DUP",R2104&lt;2),"",IF(Q2104=_xlfn.MINIFS($Q$2:$Q$3058,$A$2:$A$3058,A2104,$P$2:$P$3058,"OK"),"KEEP","DROP"))</f>
        <v/>
      </c>
      <c r="T2104" s="9" t="n">
        <f aca="false">IF(A2104="",1,0)</f>
        <v>0</v>
      </c>
      <c r="U2104" s="9" t="n">
        <f aca="false">IF(D2104="",1,0)</f>
        <v>0</v>
      </c>
      <c r="V2104" s="9" t="n">
        <f aca="false">IF(E2104="",1,0)</f>
        <v>0</v>
      </c>
      <c r="W2104" s="9" t="n">
        <f aca="false">IF(OR(H2104&lt;1,H2104&gt;10),1,0)</f>
        <v>0</v>
      </c>
      <c r="X2104" s="9" t="n">
        <f aca="false">IF(OR(I2104&lt;=0,I2104&gt;1500),1,0)</f>
        <v>0</v>
      </c>
      <c r="Y2104" s="9" t="n">
        <f aca="false">IF(J2104&gt;H2104*I2104,1,0)</f>
        <v>0</v>
      </c>
      <c r="Z2104" s="9" t="n">
        <f aca="false">IF(AND(N2104&lt;&gt;"",OR(N2104&lt;1,N2104&gt;5)),1,0)</f>
        <v>0</v>
      </c>
      <c r="AA2104" s="9" t="n">
        <f aca="false">IF(AND(M2104&lt;&gt;"",OR(M2104&lt;5,M2104&gt;180)),1,0)</f>
        <v>0</v>
      </c>
      <c r="AB2104" s="7" t="str">
        <f aca="false">IF(P2104="DUP","Exact duplicate row",IF(T2104=1,"Missing Order ID",IF(S2104="DROP","Duplicate Order ID (less complete row)",IF(U2104=1,"Missing Customer ID",IF(V2104=1,"Missing Restaurant name",IF(W2104=1,"Invalid/outlier quantity",IF(X2104=1,"Invalid/outlier unit price",IF(Y2104=1,"Discount greater than order value",""))))))))</f>
        <v/>
      </c>
      <c r="AC2104" s="7" t="str">
        <f aca="false">IF(AB2104="","KEEP","DROP")</f>
        <v>KEEP</v>
      </c>
      <c r="AD2104" s="7" t="str">
        <f aca="false">IF(TRIM(F2104)="",IFERROR(INDEX(Map_Tables!$I$4:$I$37,MATCH(TRIM(E2104),Map_Tables!$G$4:$G$37,0)),""),IFERROR(INDEX(Map_Tables!$B$4:$B$18,MATCH(TRIM(F2104),Map_Tables!$A$4:$A$18,0)),"CHECK"))</f>
        <v>Delhi</v>
      </c>
      <c r="AE2104" s="7" t="str">
        <f aca="false">IF(TRIM(E2104)="","",IFERROR(INDEX(Map_Tables!$H$4:$H$37,MATCH(TRIM(E2104),Map_Tables!$G$4:$G$37,0)),"CHECK"))</f>
        <v>Chaat Corner</v>
      </c>
      <c r="AF2104" s="7" t="str">
        <f aca="false">IF(TRIM(K2104)="","Unknown",IFERROR(INDEX(Map_Tables!$E$4:$E$15,MATCH(TRIM(K2104),Map_Tables!$D$4:$D$15,0)),"CHECK"))</f>
        <v>UPI</v>
      </c>
      <c r="AG2104" s="7" t="str">
        <f aca="false">IF(LEFT(LOWER(TRIM(L2104)),6)="cancel","Cancelled","Delivered")</f>
        <v>Delivered</v>
      </c>
      <c r="AH2104" s="10" t="n">
        <f aca="false">IF(ISNUMBER(SEARCH("/",B2104)),DATE(VALUE(RIGHT(B2104,4)),VALUE(MID(B2104,4,2)),VALUE(LEFT(B2104,2))),IF(MID(B2104,5,1)="-",DATE(VALUE(LEFT(B2104,4)),VALUE(MID(B2104,6,2)),VALUE(RIGHT(B2104,2))),DATE(VALUE(RIGHT(B2104,4)),MATCH(MID(B2104,4,3),{"Jan","Feb","Mar","Apr","May","Jun","Jul","Aug","Sep","Oct","Nov","Dec"},0),VALUE(LEFT(B2104,2)))))</f>
        <v>45745</v>
      </c>
    </row>
    <row r="2105" customFormat="false" ht="15" hidden="false" customHeight="false" outlineLevel="0" collapsed="false">
      <c r="A2105" s="7" t="s">
        <v>4914</v>
      </c>
      <c r="B2105" s="7" t="s">
        <v>558</v>
      </c>
      <c r="C2105" s="7" t="s">
        <v>4497</v>
      </c>
      <c r="D2105" s="7" t="s">
        <v>2618</v>
      </c>
      <c r="E2105" s="7" t="s">
        <v>147</v>
      </c>
      <c r="F2105" s="7" t="s">
        <v>119</v>
      </c>
      <c r="G2105" s="7" t="s">
        <v>95</v>
      </c>
      <c r="H2105" s="7" t="n">
        <v>1</v>
      </c>
      <c r="I2105" s="7" t="n">
        <v>180</v>
      </c>
      <c r="J2105" s="7" t="n">
        <v>0</v>
      </c>
      <c r="K2105" s="7" t="s">
        <v>1739</v>
      </c>
      <c r="L2105" s="7" t="s">
        <v>194</v>
      </c>
      <c r="M2105" s="7" t="n">
        <v>24</v>
      </c>
      <c r="N2105" s="7" t="n">
        <v>5</v>
      </c>
      <c r="O2105" s="7" t="str">
        <f aca="false">A2105&amp;"|"&amp;B2105&amp;"|"&amp;C2105&amp;"|"&amp;D2105&amp;"|"&amp;E2105&amp;"|"&amp;F2105&amp;"|"&amp;G2105&amp;"|"&amp;H2105&amp;"|"&amp;I2105&amp;"|"&amp;J2105&amp;"|"&amp;K2105&amp;"|"&amp;L2105&amp;"|"&amp;M2105&amp;"|"&amp;N2105</f>
        <v>ORD12407|2025-10-31|08:13|C1168|Andhra Meals Mess|Hyderabad|South Indian|1|180|0|CC|Delivered|24|5</v>
      </c>
      <c r="P2105" s="7" t="str">
        <f aca="false">IF(COUNTIF($O$2:O2105,O2105)&gt;1,"DUP","OK")</f>
        <v>OK</v>
      </c>
      <c r="Q2105" s="7" t="n">
        <f aca="false">COUNTBLANK(A2105:N2105)</f>
        <v>0</v>
      </c>
      <c r="R2105" s="7" t="n">
        <f aca="false">IF(A2105="",0,COUNTIFS($A$2:$A$3058,A2105,$P$2:$P$3058,"OK"))</f>
        <v>1</v>
      </c>
      <c r="S2105" s="7" t="str">
        <f aca="false">IF(OR(A2105="",P2105="DUP",R2105&lt;2),"",IF(Q2105=_xlfn.MINIFS($Q$2:$Q$3058,$A$2:$A$3058,A2105,$P$2:$P$3058,"OK"),"KEEP","DROP"))</f>
        <v/>
      </c>
      <c r="T2105" s="9" t="n">
        <f aca="false">IF(A2105="",1,0)</f>
        <v>0</v>
      </c>
      <c r="U2105" s="9" t="n">
        <f aca="false">IF(D2105="",1,0)</f>
        <v>0</v>
      </c>
      <c r="V2105" s="9" t="n">
        <f aca="false">IF(E2105="",1,0)</f>
        <v>0</v>
      </c>
      <c r="W2105" s="9" t="n">
        <f aca="false">IF(OR(H2105&lt;1,H2105&gt;10),1,0)</f>
        <v>0</v>
      </c>
      <c r="X2105" s="9" t="n">
        <f aca="false">IF(OR(I2105&lt;=0,I2105&gt;1500),1,0)</f>
        <v>0</v>
      </c>
      <c r="Y2105" s="9" t="n">
        <f aca="false">IF(J2105&gt;H2105*I2105,1,0)</f>
        <v>0</v>
      </c>
      <c r="Z2105" s="9" t="n">
        <f aca="false">IF(AND(N2105&lt;&gt;"",OR(N2105&lt;1,N2105&gt;5)),1,0)</f>
        <v>0</v>
      </c>
      <c r="AA2105" s="9" t="n">
        <f aca="false">IF(AND(M2105&lt;&gt;"",OR(M2105&lt;5,M2105&gt;180)),1,0)</f>
        <v>0</v>
      </c>
      <c r="AB2105" s="7" t="str">
        <f aca="false">IF(P2105="DUP","Exact duplicate row",IF(T2105=1,"Missing Order ID",IF(S2105="DROP","Duplicate Order ID (less complete row)",IF(U2105=1,"Missing Customer ID",IF(V2105=1,"Missing Restaurant name",IF(W2105=1,"Invalid/outlier quantity",IF(X2105=1,"Invalid/outlier unit price",IF(Y2105=1,"Discount greater than order value",""))))))))</f>
        <v/>
      </c>
      <c r="AC2105" s="7" t="str">
        <f aca="false">IF(AB2105="","KEEP","DROP")</f>
        <v>KEEP</v>
      </c>
      <c r="AD2105" s="7" t="str">
        <f aca="false">IF(TRIM(F2105)="",IFERROR(INDEX(Map_Tables!$I$4:$I$37,MATCH(TRIM(E2105),Map_Tables!$G$4:$G$37,0)),""),IFERROR(INDEX(Map_Tables!$B$4:$B$18,MATCH(TRIM(F2105),Map_Tables!$A$4:$A$18,0)),"CHECK"))</f>
        <v>Hyderabad</v>
      </c>
      <c r="AE2105" s="7" t="str">
        <f aca="false">IF(TRIM(E2105)="","",IFERROR(INDEX(Map_Tables!$H$4:$H$37,MATCH(TRIM(E2105),Map_Tables!$G$4:$G$37,0)),"CHECK"))</f>
        <v>Andhra Meals Mess</v>
      </c>
      <c r="AF2105" s="7" t="str">
        <f aca="false">IF(TRIM(K2105)="","Unknown",IFERROR(INDEX(Map_Tables!$E$4:$E$15,MATCH(TRIM(K2105),Map_Tables!$D$4:$D$15,0)),"CHECK"))</f>
        <v>Credit Card</v>
      </c>
      <c r="AG2105" s="7" t="str">
        <f aca="false">IF(LEFT(LOWER(TRIM(L2105)),6)="cancel","Cancelled","Delivered")</f>
        <v>Delivered</v>
      </c>
      <c r="AH2105" s="10" t="n">
        <f aca="false">IF(ISNUMBER(SEARCH("/",B2105)),DATE(VALUE(RIGHT(B2105,4)),VALUE(MID(B2105,4,2)),VALUE(LEFT(B2105,2))),IF(MID(B2105,5,1)="-",DATE(VALUE(LEFT(B2105,4)),VALUE(MID(B2105,6,2)),VALUE(RIGHT(B2105,2))),DATE(VALUE(RIGHT(B2105,4)),MATCH(MID(B2105,4,3),{"Jan","Feb","Mar","Apr","May","Jun","Jul","Aug","Sep","Oct","Nov","Dec"},0),VALUE(LEFT(B2105,2)))))</f>
        <v>45961</v>
      </c>
    </row>
    <row r="2106" customFormat="false" ht="15" hidden="false" customHeight="false" outlineLevel="0" collapsed="false">
      <c r="A2106" s="7" t="s">
        <v>4915</v>
      </c>
      <c r="B2106" s="7" t="s">
        <v>1096</v>
      </c>
      <c r="C2106" s="7" t="s">
        <v>2691</v>
      </c>
      <c r="D2106" s="7" t="s">
        <v>2750</v>
      </c>
      <c r="E2106" s="7" t="s">
        <v>122</v>
      </c>
      <c r="F2106" s="7" t="s">
        <v>101</v>
      </c>
      <c r="G2106" s="7" t="s">
        <v>123</v>
      </c>
      <c r="H2106" s="7" t="n">
        <v>3</v>
      </c>
      <c r="I2106" s="7" t="n">
        <v>380</v>
      </c>
      <c r="J2106" s="7" t="n">
        <v>0</v>
      </c>
      <c r="K2106" s="7" t="s">
        <v>87</v>
      </c>
      <c r="L2106" s="7" t="s">
        <v>194</v>
      </c>
      <c r="M2106" s="7" t="n">
        <v>47</v>
      </c>
      <c r="N2106" s="7" t="n">
        <v>3</v>
      </c>
      <c r="O2106" s="7" t="str">
        <f aca="false">A2106&amp;"|"&amp;B2106&amp;"|"&amp;C2106&amp;"|"&amp;D2106&amp;"|"&amp;E2106&amp;"|"&amp;F2106&amp;"|"&amp;G2106&amp;"|"&amp;H2106&amp;"|"&amp;I2106&amp;"|"&amp;J2106&amp;"|"&amp;K2106&amp;"|"&amp;L2106&amp;"|"&amp;M2106&amp;"|"&amp;N2106</f>
        <v>ORD12371|2025-10-26|13:58|C0479|Mumbai Pizza Co|Mumbai|Pizza|3|380|0|upi|Delivered|47|3</v>
      </c>
      <c r="P2106" s="7" t="str">
        <f aca="false">IF(COUNTIF($O$2:O2106,O2106)&gt;1,"DUP","OK")</f>
        <v>OK</v>
      </c>
      <c r="Q2106" s="7" t="n">
        <f aca="false">COUNTBLANK(A2106:N2106)</f>
        <v>0</v>
      </c>
      <c r="R2106" s="7" t="n">
        <f aca="false">IF(A2106="",0,COUNTIFS($A$2:$A$3058,A2106,$P$2:$P$3058,"OK"))</f>
        <v>1</v>
      </c>
      <c r="S2106" s="7" t="str">
        <f aca="false">IF(OR(A2106="",P2106="DUP",R2106&lt;2),"",IF(Q2106=_xlfn.MINIFS($Q$2:$Q$3058,$A$2:$A$3058,A2106,$P$2:$P$3058,"OK"),"KEEP","DROP"))</f>
        <v/>
      </c>
      <c r="T2106" s="9" t="n">
        <f aca="false">IF(A2106="",1,0)</f>
        <v>0</v>
      </c>
      <c r="U2106" s="9" t="n">
        <f aca="false">IF(D2106="",1,0)</f>
        <v>0</v>
      </c>
      <c r="V2106" s="9" t="n">
        <f aca="false">IF(E2106="",1,0)</f>
        <v>0</v>
      </c>
      <c r="W2106" s="9" t="n">
        <f aca="false">IF(OR(H2106&lt;1,H2106&gt;10),1,0)</f>
        <v>0</v>
      </c>
      <c r="X2106" s="9" t="n">
        <f aca="false">IF(OR(I2106&lt;=0,I2106&gt;1500),1,0)</f>
        <v>0</v>
      </c>
      <c r="Y2106" s="9" t="n">
        <f aca="false">IF(J2106&gt;H2106*I2106,1,0)</f>
        <v>0</v>
      </c>
      <c r="Z2106" s="9" t="n">
        <f aca="false">IF(AND(N2106&lt;&gt;"",OR(N2106&lt;1,N2106&gt;5)),1,0)</f>
        <v>0</v>
      </c>
      <c r="AA2106" s="9" t="n">
        <f aca="false">IF(AND(M2106&lt;&gt;"",OR(M2106&lt;5,M2106&gt;180)),1,0)</f>
        <v>0</v>
      </c>
      <c r="AB2106" s="7" t="str">
        <f aca="false">IF(P2106="DUP","Exact duplicate row",IF(T2106=1,"Missing Order ID",IF(S2106="DROP","Duplicate Order ID (less complete row)",IF(U2106=1,"Missing Customer ID",IF(V2106=1,"Missing Restaurant name",IF(W2106=1,"Invalid/outlier quantity",IF(X2106=1,"Invalid/outlier unit price",IF(Y2106=1,"Discount greater than order value",""))))))))</f>
        <v/>
      </c>
      <c r="AC2106" s="7" t="str">
        <f aca="false">IF(AB2106="","KEEP","DROP")</f>
        <v>KEEP</v>
      </c>
      <c r="AD2106" s="7" t="str">
        <f aca="false">IF(TRIM(F2106)="",IFERROR(INDEX(Map_Tables!$I$4:$I$37,MATCH(TRIM(E2106),Map_Tables!$G$4:$G$37,0)),""),IFERROR(INDEX(Map_Tables!$B$4:$B$18,MATCH(TRIM(F2106),Map_Tables!$A$4:$A$18,0)),"CHECK"))</f>
        <v>Mumbai</v>
      </c>
      <c r="AE2106" s="7" t="str">
        <f aca="false">IF(TRIM(E2106)="","",IFERROR(INDEX(Map_Tables!$H$4:$H$37,MATCH(TRIM(E2106),Map_Tables!$G$4:$G$37,0)),"CHECK"))</f>
        <v>Mumbai Pizza Co</v>
      </c>
      <c r="AF2106" s="7" t="str">
        <f aca="false">IF(TRIM(K2106)="","Unknown",IFERROR(INDEX(Map_Tables!$E$4:$E$15,MATCH(TRIM(K2106),Map_Tables!$D$4:$D$15,0)),"CHECK"))</f>
        <v>UPI</v>
      </c>
      <c r="AG2106" s="7" t="str">
        <f aca="false">IF(LEFT(LOWER(TRIM(L2106)),6)="cancel","Cancelled","Delivered")</f>
        <v>Delivered</v>
      </c>
      <c r="AH2106" s="10" t="n">
        <f aca="false">IF(ISNUMBER(SEARCH("/",B2106)),DATE(VALUE(RIGHT(B2106,4)),VALUE(MID(B2106,4,2)),VALUE(LEFT(B2106,2))),IF(MID(B2106,5,1)="-",DATE(VALUE(LEFT(B2106,4)),VALUE(MID(B2106,6,2)),VALUE(RIGHT(B2106,2))),DATE(VALUE(RIGHT(B2106,4)),MATCH(MID(B2106,4,3),{"Jan","Feb","Mar","Apr","May","Jun","Jul","Aug","Sep","Oct","Nov","Dec"},0),VALUE(LEFT(B2106,2)))))</f>
        <v>45956</v>
      </c>
    </row>
    <row r="2107" customFormat="false" ht="15" hidden="false" customHeight="false" outlineLevel="0" collapsed="false">
      <c r="A2107" s="7" t="s">
        <v>4916</v>
      </c>
      <c r="B2107" s="7" t="s">
        <v>1121</v>
      </c>
      <c r="C2107" s="7" t="s">
        <v>4917</v>
      </c>
      <c r="D2107" s="7" t="s">
        <v>1668</v>
      </c>
      <c r="E2107" s="7" t="s">
        <v>89</v>
      </c>
      <c r="F2107" s="7" t="s">
        <v>86</v>
      </c>
      <c r="G2107" s="7" t="s">
        <v>90</v>
      </c>
      <c r="H2107" s="7" t="n">
        <v>2</v>
      </c>
      <c r="I2107" s="7" t="n">
        <v>215</v>
      </c>
      <c r="J2107" s="7" t="n">
        <v>40</v>
      </c>
      <c r="K2107" s="7" t="s">
        <v>112</v>
      </c>
      <c r="L2107" s="7" t="s">
        <v>194</v>
      </c>
      <c r="M2107" s="7" t="n">
        <v>53</v>
      </c>
      <c r="N2107" s="7" t="n">
        <v>2</v>
      </c>
      <c r="O2107" s="7" t="str">
        <f aca="false">A2107&amp;"|"&amp;B2107&amp;"|"&amp;C2107&amp;"|"&amp;D2107&amp;"|"&amp;E2107&amp;"|"&amp;F2107&amp;"|"&amp;G2107&amp;"|"&amp;H2107&amp;"|"&amp;I2107&amp;"|"&amp;J2107&amp;"|"&amp;K2107&amp;"|"&amp;L2107&amp;"|"&amp;M2107&amp;"|"&amp;N2107</f>
        <v>ORD11187|2025-05-31|16:38|C0221|Spice Junction|Bengaluru|North Indian|2|215|40|Cash on Delivery|Delivered|53|2</v>
      </c>
      <c r="P2107" s="7" t="str">
        <f aca="false">IF(COUNTIF($O$2:O2107,O2107)&gt;1,"DUP","OK")</f>
        <v>OK</v>
      </c>
      <c r="Q2107" s="7" t="n">
        <f aca="false">COUNTBLANK(A2107:N2107)</f>
        <v>0</v>
      </c>
      <c r="R2107" s="7" t="n">
        <f aca="false">IF(A2107="",0,COUNTIFS($A$2:$A$3058,A2107,$P$2:$P$3058,"OK"))</f>
        <v>1</v>
      </c>
      <c r="S2107" s="7" t="str">
        <f aca="false">IF(OR(A2107="",P2107="DUP",R2107&lt;2),"",IF(Q2107=_xlfn.MINIFS($Q$2:$Q$3058,$A$2:$A$3058,A2107,$P$2:$P$3058,"OK"),"KEEP","DROP"))</f>
        <v/>
      </c>
      <c r="T2107" s="9" t="n">
        <f aca="false">IF(A2107="",1,0)</f>
        <v>0</v>
      </c>
      <c r="U2107" s="9" t="n">
        <f aca="false">IF(D2107="",1,0)</f>
        <v>0</v>
      </c>
      <c r="V2107" s="9" t="n">
        <f aca="false">IF(E2107="",1,0)</f>
        <v>0</v>
      </c>
      <c r="W2107" s="9" t="n">
        <f aca="false">IF(OR(H2107&lt;1,H2107&gt;10),1,0)</f>
        <v>0</v>
      </c>
      <c r="X2107" s="9" t="n">
        <f aca="false">IF(OR(I2107&lt;=0,I2107&gt;1500),1,0)</f>
        <v>0</v>
      </c>
      <c r="Y2107" s="9" t="n">
        <f aca="false">IF(J2107&gt;H2107*I2107,1,0)</f>
        <v>0</v>
      </c>
      <c r="Z2107" s="9" t="n">
        <f aca="false">IF(AND(N2107&lt;&gt;"",OR(N2107&lt;1,N2107&gt;5)),1,0)</f>
        <v>0</v>
      </c>
      <c r="AA2107" s="9" t="n">
        <f aca="false">IF(AND(M2107&lt;&gt;"",OR(M2107&lt;5,M2107&gt;180)),1,0)</f>
        <v>0</v>
      </c>
      <c r="AB2107" s="7" t="str">
        <f aca="false">IF(P2107="DUP","Exact duplicate row",IF(T2107=1,"Missing Order ID",IF(S2107="DROP","Duplicate Order ID (less complete row)",IF(U2107=1,"Missing Customer ID",IF(V2107=1,"Missing Restaurant name",IF(W2107=1,"Invalid/outlier quantity",IF(X2107=1,"Invalid/outlier unit price",IF(Y2107=1,"Discount greater than order value",""))))))))</f>
        <v/>
      </c>
      <c r="AC2107" s="7" t="str">
        <f aca="false">IF(AB2107="","KEEP","DROP")</f>
        <v>KEEP</v>
      </c>
      <c r="AD2107" s="7" t="str">
        <f aca="false">IF(TRIM(F2107)="",IFERROR(INDEX(Map_Tables!$I$4:$I$37,MATCH(TRIM(E2107),Map_Tables!$G$4:$G$37,0)),""),IFERROR(INDEX(Map_Tables!$B$4:$B$18,MATCH(TRIM(F2107),Map_Tables!$A$4:$A$18,0)),"CHECK"))</f>
        <v>Bengaluru</v>
      </c>
      <c r="AE2107" s="7" t="str">
        <f aca="false">IF(TRIM(E2107)="","",IFERROR(INDEX(Map_Tables!$H$4:$H$37,MATCH(TRIM(E2107),Map_Tables!$G$4:$G$37,0)),"CHECK"))</f>
        <v>Spice Junction</v>
      </c>
      <c r="AF2107" s="7" t="str">
        <f aca="false">IF(TRIM(K2107)="","Unknown",IFERROR(INDEX(Map_Tables!$E$4:$E$15,MATCH(TRIM(K2107),Map_Tables!$D$4:$D$15,0)),"CHECK"))</f>
        <v>Cash on Delivery</v>
      </c>
      <c r="AG2107" s="7" t="str">
        <f aca="false">IF(LEFT(LOWER(TRIM(L2107)),6)="cancel","Cancelled","Delivered")</f>
        <v>Delivered</v>
      </c>
      <c r="AH2107" s="10" t="n">
        <f aca="false">IF(ISNUMBER(SEARCH("/",B2107)),DATE(VALUE(RIGHT(B2107,4)),VALUE(MID(B2107,4,2)),VALUE(LEFT(B2107,2))),IF(MID(B2107,5,1)="-",DATE(VALUE(LEFT(B2107,4)),VALUE(MID(B2107,6,2)),VALUE(RIGHT(B2107,2))),DATE(VALUE(RIGHT(B2107,4)),MATCH(MID(B2107,4,3),{"Jan","Feb","Mar","Apr","May","Jun","Jul","Aug","Sep","Oct","Nov","Dec"},0),VALUE(LEFT(B2107,2)))))</f>
        <v>45808</v>
      </c>
    </row>
    <row r="2108" customFormat="false" ht="15" hidden="false" customHeight="false" outlineLevel="0" collapsed="false">
      <c r="A2108" s="7" t="s">
        <v>4918</v>
      </c>
      <c r="B2108" s="7" t="s">
        <v>1335</v>
      </c>
      <c r="C2108" s="7" t="s">
        <v>1211</v>
      </c>
      <c r="D2108" s="7" t="s">
        <v>3212</v>
      </c>
      <c r="E2108" s="7" t="s">
        <v>94</v>
      </c>
      <c r="F2108" s="7" t="s">
        <v>928</v>
      </c>
      <c r="G2108" s="7" t="s">
        <v>95</v>
      </c>
      <c r="H2108" s="7" t="n">
        <v>1</v>
      </c>
      <c r="I2108" s="7" t="n">
        <v>130</v>
      </c>
      <c r="J2108" s="7" t="n">
        <v>52</v>
      </c>
      <c r="K2108" s="7" t="s">
        <v>112</v>
      </c>
      <c r="L2108" s="7" t="s">
        <v>194</v>
      </c>
      <c r="M2108" s="7" t="n">
        <v>43</v>
      </c>
      <c r="N2108" s="7" t="n">
        <v>5</v>
      </c>
      <c r="O2108" s="7" t="str">
        <f aca="false">A2108&amp;"|"&amp;B2108&amp;"|"&amp;C2108&amp;"|"&amp;D2108&amp;"|"&amp;E2108&amp;"|"&amp;F2108&amp;"|"&amp;G2108&amp;"|"&amp;H2108&amp;"|"&amp;I2108&amp;"|"&amp;J2108&amp;"|"&amp;K2108&amp;"|"&amp;L2108&amp;"|"&amp;M2108&amp;"|"&amp;N2108</f>
        <v>ORD11370|2025-06-25|20:42|C1322|Dosa Darbar|Bangalore|South Indian|1|130|52|Cash on Delivery|Delivered|43|5</v>
      </c>
      <c r="P2108" s="7" t="str">
        <f aca="false">IF(COUNTIF($O$2:O2108,O2108)&gt;1,"DUP","OK")</f>
        <v>OK</v>
      </c>
      <c r="Q2108" s="7" t="n">
        <f aca="false">COUNTBLANK(A2108:N2108)</f>
        <v>0</v>
      </c>
      <c r="R2108" s="7" t="n">
        <f aca="false">IF(A2108="",0,COUNTIFS($A$2:$A$3058,A2108,$P$2:$P$3058,"OK"))</f>
        <v>1</v>
      </c>
      <c r="S2108" s="7" t="str">
        <f aca="false">IF(OR(A2108="",P2108="DUP",R2108&lt;2),"",IF(Q2108=_xlfn.MINIFS($Q$2:$Q$3058,$A$2:$A$3058,A2108,$P$2:$P$3058,"OK"),"KEEP","DROP"))</f>
        <v/>
      </c>
      <c r="T2108" s="9" t="n">
        <f aca="false">IF(A2108="",1,0)</f>
        <v>0</v>
      </c>
      <c r="U2108" s="9" t="n">
        <f aca="false">IF(D2108="",1,0)</f>
        <v>0</v>
      </c>
      <c r="V2108" s="9" t="n">
        <f aca="false">IF(E2108="",1,0)</f>
        <v>0</v>
      </c>
      <c r="W2108" s="9" t="n">
        <f aca="false">IF(OR(H2108&lt;1,H2108&gt;10),1,0)</f>
        <v>0</v>
      </c>
      <c r="X2108" s="9" t="n">
        <f aca="false">IF(OR(I2108&lt;=0,I2108&gt;1500),1,0)</f>
        <v>0</v>
      </c>
      <c r="Y2108" s="9" t="n">
        <f aca="false">IF(J2108&gt;H2108*I2108,1,0)</f>
        <v>0</v>
      </c>
      <c r="Z2108" s="9" t="n">
        <f aca="false">IF(AND(N2108&lt;&gt;"",OR(N2108&lt;1,N2108&gt;5)),1,0)</f>
        <v>0</v>
      </c>
      <c r="AA2108" s="9" t="n">
        <f aca="false">IF(AND(M2108&lt;&gt;"",OR(M2108&lt;5,M2108&gt;180)),1,0)</f>
        <v>0</v>
      </c>
      <c r="AB2108" s="7" t="str">
        <f aca="false">IF(P2108="DUP","Exact duplicate row",IF(T2108=1,"Missing Order ID",IF(S2108="DROP","Duplicate Order ID (less complete row)",IF(U2108=1,"Missing Customer ID",IF(V2108=1,"Missing Restaurant name",IF(W2108=1,"Invalid/outlier quantity",IF(X2108=1,"Invalid/outlier unit price",IF(Y2108=1,"Discount greater than order value",""))))))))</f>
        <v/>
      </c>
      <c r="AC2108" s="7" t="str">
        <f aca="false">IF(AB2108="","KEEP","DROP")</f>
        <v>KEEP</v>
      </c>
      <c r="AD2108" s="7" t="str">
        <f aca="false">IF(TRIM(F2108)="",IFERROR(INDEX(Map_Tables!$I$4:$I$37,MATCH(TRIM(E2108),Map_Tables!$G$4:$G$37,0)),""),IFERROR(INDEX(Map_Tables!$B$4:$B$18,MATCH(TRIM(F2108),Map_Tables!$A$4:$A$18,0)),"CHECK"))</f>
        <v>Bengaluru</v>
      </c>
      <c r="AE2108" s="7" t="str">
        <f aca="false">IF(TRIM(E2108)="","",IFERROR(INDEX(Map_Tables!$H$4:$H$37,MATCH(TRIM(E2108),Map_Tables!$G$4:$G$37,0)),"CHECK"))</f>
        <v>Dosa Darbar</v>
      </c>
      <c r="AF2108" s="7" t="str">
        <f aca="false">IF(TRIM(K2108)="","Unknown",IFERROR(INDEX(Map_Tables!$E$4:$E$15,MATCH(TRIM(K2108),Map_Tables!$D$4:$D$15,0)),"CHECK"))</f>
        <v>Cash on Delivery</v>
      </c>
      <c r="AG2108" s="7" t="str">
        <f aca="false">IF(LEFT(LOWER(TRIM(L2108)),6)="cancel","Cancelled","Delivered")</f>
        <v>Delivered</v>
      </c>
      <c r="AH2108" s="10" t="n">
        <f aca="false">IF(ISNUMBER(SEARCH("/",B2108)),DATE(VALUE(RIGHT(B2108,4)),VALUE(MID(B2108,4,2)),VALUE(LEFT(B2108,2))),IF(MID(B2108,5,1)="-",DATE(VALUE(LEFT(B2108,4)),VALUE(MID(B2108,6,2)),VALUE(RIGHT(B2108,2))),DATE(VALUE(RIGHT(B2108,4)),MATCH(MID(B2108,4,3),{"Jan","Feb","Mar","Apr","May","Jun","Jul","Aug","Sep","Oct","Nov","Dec"},0),VALUE(LEFT(B2108,2)))))</f>
        <v>45833</v>
      </c>
    </row>
    <row r="2109" customFormat="false" ht="15" hidden="false" customHeight="false" outlineLevel="0" collapsed="false">
      <c r="A2109" s="7" t="s">
        <v>4919</v>
      </c>
      <c r="B2109" s="7" t="s">
        <v>2568</v>
      </c>
      <c r="C2109" s="7" t="s">
        <v>1586</v>
      </c>
      <c r="D2109" s="7" t="s">
        <v>2172</v>
      </c>
      <c r="E2109" s="7" t="s">
        <v>113</v>
      </c>
      <c r="F2109" s="7" t="s">
        <v>101</v>
      </c>
      <c r="G2109" s="7" t="s">
        <v>90</v>
      </c>
      <c r="H2109" s="7" t="n">
        <v>2</v>
      </c>
      <c r="I2109" s="7" t="n">
        <v>250</v>
      </c>
      <c r="J2109" s="7" t="n">
        <v>0</v>
      </c>
      <c r="K2109" s="7" t="s">
        <v>88</v>
      </c>
      <c r="L2109" s="7" t="s">
        <v>194</v>
      </c>
      <c r="M2109" s="7" t="n">
        <v>43</v>
      </c>
      <c r="N2109" s="7" t="n">
        <v>4</v>
      </c>
      <c r="O2109" s="7" t="str">
        <f aca="false">A2109&amp;"|"&amp;B2109&amp;"|"&amp;C2109&amp;"|"&amp;D2109&amp;"|"&amp;E2109&amp;"|"&amp;F2109&amp;"|"&amp;G2109&amp;"|"&amp;H2109&amp;"|"&amp;I2109&amp;"|"&amp;J2109&amp;"|"&amp;K2109&amp;"|"&amp;L2109&amp;"|"&amp;M2109&amp;"|"&amp;N2109</f>
        <v>ORD11908|2025-09-05|10:02|C0537|Curry Leaf Kitchen|Mumbai|North Indian|2|250|0|UPI|Delivered|43|4</v>
      </c>
      <c r="P2109" s="7" t="str">
        <f aca="false">IF(COUNTIF($O$2:O2109,O2109)&gt;1,"DUP","OK")</f>
        <v>OK</v>
      </c>
      <c r="Q2109" s="7" t="n">
        <f aca="false">COUNTBLANK(A2109:N2109)</f>
        <v>0</v>
      </c>
      <c r="R2109" s="7" t="n">
        <f aca="false">IF(A2109="",0,COUNTIFS($A$2:$A$3058,A2109,$P$2:$P$3058,"OK"))</f>
        <v>1</v>
      </c>
      <c r="S2109" s="7" t="str">
        <f aca="false">IF(OR(A2109="",P2109="DUP",R2109&lt;2),"",IF(Q2109=_xlfn.MINIFS($Q$2:$Q$3058,$A$2:$A$3058,A2109,$P$2:$P$3058,"OK"),"KEEP","DROP"))</f>
        <v/>
      </c>
      <c r="T2109" s="9" t="n">
        <f aca="false">IF(A2109="",1,0)</f>
        <v>0</v>
      </c>
      <c r="U2109" s="9" t="n">
        <f aca="false">IF(D2109="",1,0)</f>
        <v>0</v>
      </c>
      <c r="V2109" s="9" t="n">
        <f aca="false">IF(E2109="",1,0)</f>
        <v>0</v>
      </c>
      <c r="W2109" s="9" t="n">
        <f aca="false">IF(OR(H2109&lt;1,H2109&gt;10),1,0)</f>
        <v>0</v>
      </c>
      <c r="X2109" s="9" t="n">
        <f aca="false">IF(OR(I2109&lt;=0,I2109&gt;1500),1,0)</f>
        <v>0</v>
      </c>
      <c r="Y2109" s="9" t="n">
        <f aca="false">IF(J2109&gt;H2109*I2109,1,0)</f>
        <v>0</v>
      </c>
      <c r="Z2109" s="9" t="n">
        <f aca="false">IF(AND(N2109&lt;&gt;"",OR(N2109&lt;1,N2109&gt;5)),1,0)</f>
        <v>0</v>
      </c>
      <c r="AA2109" s="9" t="n">
        <f aca="false">IF(AND(M2109&lt;&gt;"",OR(M2109&lt;5,M2109&gt;180)),1,0)</f>
        <v>0</v>
      </c>
      <c r="AB2109" s="7" t="str">
        <f aca="false">IF(P2109="DUP","Exact duplicate row",IF(T2109=1,"Missing Order ID",IF(S2109="DROP","Duplicate Order ID (less complete row)",IF(U2109=1,"Missing Customer ID",IF(V2109=1,"Missing Restaurant name",IF(W2109=1,"Invalid/outlier quantity",IF(X2109=1,"Invalid/outlier unit price",IF(Y2109=1,"Discount greater than order value",""))))))))</f>
        <v/>
      </c>
      <c r="AC2109" s="7" t="str">
        <f aca="false">IF(AB2109="","KEEP","DROP")</f>
        <v>KEEP</v>
      </c>
      <c r="AD2109" s="7" t="str">
        <f aca="false">IF(TRIM(F2109)="",IFERROR(INDEX(Map_Tables!$I$4:$I$37,MATCH(TRIM(E2109),Map_Tables!$G$4:$G$37,0)),""),IFERROR(INDEX(Map_Tables!$B$4:$B$18,MATCH(TRIM(F2109),Map_Tables!$A$4:$A$18,0)),"CHECK"))</f>
        <v>Mumbai</v>
      </c>
      <c r="AE2109" s="7" t="str">
        <f aca="false">IF(TRIM(E2109)="","",IFERROR(INDEX(Map_Tables!$H$4:$H$37,MATCH(TRIM(E2109),Map_Tables!$G$4:$G$37,0)),"CHECK"))</f>
        <v>Curry Leaf Kitchen</v>
      </c>
      <c r="AF2109" s="7" t="str">
        <f aca="false">IF(TRIM(K2109)="","Unknown",IFERROR(INDEX(Map_Tables!$E$4:$E$15,MATCH(TRIM(K2109),Map_Tables!$D$4:$D$15,0)),"CHECK"))</f>
        <v>UPI</v>
      </c>
      <c r="AG2109" s="7" t="str">
        <f aca="false">IF(LEFT(LOWER(TRIM(L2109)),6)="cancel","Cancelled","Delivered")</f>
        <v>Delivered</v>
      </c>
      <c r="AH2109" s="10" t="n">
        <f aca="false">IF(ISNUMBER(SEARCH("/",B2109)),DATE(VALUE(RIGHT(B2109,4)),VALUE(MID(B2109,4,2)),VALUE(LEFT(B2109,2))),IF(MID(B2109,5,1)="-",DATE(VALUE(LEFT(B2109,4)),VALUE(MID(B2109,6,2)),VALUE(RIGHT(B2109,2))),DATE(VALUE(RIGHT(B2109,4)),MATCH(MID(B2109,4,3),{"Jan","Feb","Mar","Apr","May","Jun","Jul","Aug","Sep","Oct","Nov","Dec"},0),VALUE(LEFT(B2109,2)))))</f>
        <v>45905</v>
      </c>
    </row>
    <row r="2110" customFormat="false" ht="15" hidden="false" customHeight="false" outlineLevel="0" collapsed="false">
      <c r="A2110" s="7" t="s">
        <v>4920</v>
      </c>
      <c r="B2110" s="7" t="s">
        <v>2336</v>
      </c>
      <c r="C2110" s="7" t="s">
        <v>783</v>
      </c>
      <c r="D2110" s="7" t="s">
        <v>3541</v>
      </c>
      <c r="E2110" s="7" t="s">
        <v>113</v>
      </c>
      <c r="F2110" s="7" t="s">
        <v>101</v>
      </c>
      <c r="G2110" s="7" t="s">
        <v>90</v>
      </c>
      <c r="H2110" s="7" t="n">
        <v>2</v>
      </c>
      <c r="I2110" s="7" t="n">
        <v>285</v>
      </c>
      <c r="J2110" s="7" t="n">
        <v>0</v>
      </c>
      <c r="K2110" s="7" t="s">
        <v>88</v>
      </c>
      <c r="L2110" s="7" t="s">
        <v>1265</v>
      </c>
      <c r="M2110" s="7" t="n">
        <v>37</v>
      </c>
      <c r="N2110" s="7" t="n">
        <v>5</v>
      </c>
      <c r="O2110" s="7" t="str">
        <f aca="false">A2110&amp;"|"&amp;B2110&amp;"|"&amp;C2110&amp;"|"&amp;D2110&amp;"|"&amp;E2110&amp;"|"&amp;F2110&amp;"|"&amp;G2110&amp;"|"&amp;H2110&amp;"|"&amp;I2110&amp;"|"&amp;J2110&amp;"|"&amp;K2110&amp;"|"&amp;L2110&amp;"|"&amp;M2110&amp;"|"&amp;N2110</f>
        <v>ORD10017|2025-01-03|15:33|C0577|Curry Leaf Kitchen|Mumbai|North Indian|2|285|0|UPI|delivered|37|5</v>
      </c>
      <c r="P2110" s="7" t="str">
        <f aca="false">IF(COUNTIF($O$2:O2110,O2110)&gt;1,"DUP","OK")</f>
        <v>OK</v>
      </c>
      <c r="Q2110" s="7" t="n">
        <f aca="false">COUNTBLANK(A2110:N2110)</f>
        <v>0</v>
      </c>
      <c r="R2110" s="7" t="n">
        <f aca="false">IF(A2110="",0,COUNTIFS($A$2:$A$3058,A2110,$P$2:$P$3058,"OK"))</f>
        <v>1</v>
      </c>
      <c r="S2110" s="7" t="str">
        <f aca="false">IF(OR(A2110="",P2110="DUP",R2110&lt;2),"",IF(Q2110=_xlfn.MINIFS($Q$2:$Q$3058,$A$2:$A$3058,A2110,$P$2:$P$3058,"OK"),"KEEP","DROP"))</f>
        <v/>
      </c>
      <c r="T2110" s="9" t="n">
        <f aca="false">IF(A2110="",1,0)</f>
        <v>0</v>
      </c>
      <c r="U2110" s="9" t="n">
        <f aca="false">IF(D2110="",1,0)</f>
        <v>0</v>
      </c>
      <c r="V2110" s="9" t="n">
        <f aca="false">IF(E2110="",1,0)</f>
        <v>0</v>
      </c>
      <c r="W2110" s="9" t="n">
        <f aca="false">IF(OR(H2110&lt;1,H2110&gt;10),1,0)</f>
        <v>0</v>
      </c>
      <c r="X2110" s="9" t="n">
        <f aca="false">IF(OR(I2110&lt;=0,I2110&gt;1500),1,0)</f>
        <v>0</v>
      </c>
      <c r="Y2110" s="9" t="n">
        <f aca="false">IF(J2110&gt;H2110*I2110,1,0)</f>
        <v>0</v>
      </c>
      <c r="Z2110" s="9" t="n">
        <f aca="false">IF(AND(N2110&lt;&gt;"",OR(N2110&lt;1,N2110&gt;5)),1,0)</f>
        <v>0</v>
      </c>
      <c r="AA2110" s="9" t="n">
        <f aca="false">IF(AND(M2110&lt;&gt;"",OR(M2110&lt;5,M2110&gt;180)),1,0)</f>
        <v>0</v>
      </c>
      <c r="AB2110" s="7" t="str">
        <f aca="false">IF(P2110="DUP","Exact duplicate row",IF(T2110=1,"Missing Order ID",IF(S2110="DROP","Duplicate Order ID (less complete row)",IF(U2110=1,"Missing Customer ID",IF(V2110=1,"Missing Restaurant name",IF(W2110=1,"Invalid/outlier quantity",IF(X2110=1,"Invalid/outlier unit price",IF(Y2110=1,"Discount greater than order value",""))))))))</f>
        <v/>
      </c>
      <c r="AC2110" s="7" t="str">
        <f aca="false">IF(AB2110="","KEEP","DROP")</f>
        <v>KEEP</v>
      </c>
      <c r="AD2110" s="7" t="str">
        <f aca="false">IF(TRIM(F2110)="",IFERROR(INDEX(Map_Tables!$I$4:$I$37,MATCH(TRIM(E2110),Map_Tables!$G$4:$G$37,0)),""),IFERROR(INDEX(Map_Tables!$B$4:$B$18,MATCH(TRIM(F2110),Map_Tables!$A$4:$A$18,0)),"CHECK"))</f>
        <v>Mumbai</v>
      </c>
      <c r="AE2110" s="7" t="str">
        <f aca="false">IF(TRIM(E2110)="","",IFERROR(INDEX(Map_Tables!$H$4:$H$37,MATCH(TRIM(E2110),Map_Tables!$G$4:$G$37,0)),"CHECK"))</f>
        <v>Curry Leaf Kitchen</v>
      </c>
      <c r="AF2110" s="7" t="str">
        <f aca="false">IF(TRIM(K2110)="","Unknown",IFERROR(INDEX(Map_Tables!$E$4:$E$15,MATCH(TRIM(K2110),Map_Tables!$D$4:$D$15,0)),"CHECK"))</f>
        <v>UPI</v>
      </c>
      <c r="AG2110" s="7" t="str">
        <f aca="false">IF(LEFT(LOWER(TRIM(L2110)),6)="cancel","Cancelled","Delivered")</f>
        <v>Delivered</v>
      </c>
      <c r="AH2110" s="10" t="n">
        <f aca="false">IF(ISNUMBER(SEARCH("/",B2110)),DATE(VALUE(RIGHT(B2110,4)),VALUE(MID(B2110,4,2)),VALUE(LEFT(B2110,2))),IF(MID(B2110,5,1)="-",DATE(VALUE(LEFT(B2110,4)),VALUE(MID(B2110,6,2)),VALUE(RIGHT(B2110,2))),DATE(VALUE(RIGHT(B2110,4)),MATCH(MID(B2110,4,3),{"Jan","Feb","Mar","Apr","May","Jun","Jul","Aug","Sep","Oct","Nov","Dec"},0),VALUE(LEFT(B2110,2)))))</f>
        <v>45660</v>
      </c>
    </row>
    <row r="2111" customFormat="false" ht="15" hidden="false" customHeight="false" outlineLevel="0" collapsed="false">
      <c r="A2111" s="7" t="s">
        <v>2905</v>
      </c>
      <c r="B2111" s="7" t="s">
        <v>637</v>
      </c>
      <c r="C2111" s="7" t="s">
        <v>2906</v>
      </c>
      <c r="D2111" s="7" t="s">
        <v>2907</v>
      </c>
      <c r="E2111" s="7" t="s">
        <v>966</v>
      </c>
      <c r="F2111" s="7" t="s">
        <v>136</v>
      </c>
      <c r="G2111" s="7" t="s">
        <v>139</v>
      </c>
      <c r="H2111" s="7" t="n">
        <v>1</v>
      </c>
      <c r="I2111" s="7" t="n">
        <v>195</v>
      </c>
      <c r="J2111" s="7" t="n">
        <v>0</v>
      </c>
      <c r="K2111" s="7" t="s">
        <v>88</v>
      </c>
      <c r="L2111" s="7" t="s">
        <v>194</v>
      </c>
      <c r="M2111" s="7" t="n">
        <v>35</v>
      </c>
      <c r="N2111" s="7" t="n">
        <v>5</v>
      </c>
      <c r="O2111" s="7" t="str">
        <f aca="false">A2111&amp;"|"&amp;B2111&amp;"|"&amp;C2111&amp;"|"&amp;D2111&amp;"|"&amp;E2111&amp;"|"&amp;F2111&amp;"|"&amp;G2111&amp;"|"&amp;H2111&amp;"|"&amp;I2111&amp;"|"&amp;J2111&amp;"|"&amp;K2111&amp;"|"&amp;L2111&amp;"|"&amp;M2111&amp;"|"&amp;N2111</f>
        <v>ORD12748|2025-12-02|14:59|C0292|Pune Burger Hub |Pune|Burgers|1|195|0|UPI|Delivered|35|5</v>
      </c>
      <c r="P2111" s="7" t="str">
        <f aca="false">IF(COUNTIF($O$2:O2111,O2111)&gt;1,"DUP","OK")</f>
        <v>DUP</v>
      </c>
      <c r="Q2111" s="7" t="n">
        <f aca="false">COUNTBLANK(A2111:N2111)</f>
        <v>0</v>
      </c>
      <c r="R2111" s="7" t="n">
        <f aca="false">IF(A2111="",0,COUNTIFS($A$2:$A$3058,A2111,$P$2:$P$3058,"OK"))</f>
        <v>1</v>
      </c>
      <c r="S2111" s="7" t="str">
        <f aca="false">IF(OR(A2111="",P2111="DUP",R2111&lt;2),"",IF(Q2111=_xlfn.MINIFS($Q$2:$Q$3058,$A$2:$A$3058,A2111,$P$2:$P$3058,"OK"),"KEEP","DROP"))</f>
        <v/>
      </c>
      <c r="T2111" s="9" t="n">
        <f aca="false">IF(A2111="",1,0)</f>
        <v>0</v>
      </c>
      <c r="U2111" s="9" t="n">
        <f aca="false">IF(D2111="",1,0)</f>
        <v>0</v>
      </c>
      <c r="V2111" s="9" t="n">
        <f aca="false">IF(E2111="",1,0)</f>
        <v>0</v>
      </c>
      <c r="W2111" s="9" t="n">
        <f aca="false">IF(OR(H2111&lt;1,H2111&gt;10),1,0)</f>
        <v>0</v>
      </c>
      <c r="X2111" s="9" t="n">
        <f aca="false">IF(OR(I2111&lt;=0,I2111&gt;1500),1,0)</f>
        <v>0</v>
      </c>
      <c r="Y2111" s="9" t="n">
        <f aca="false">IF(J2111&gt;H2111*I2111,1,0)</f>
        <v>0</v>
      </c>
      <c r="Z2111" s="9" t="n">
        <f aca="false">IF(AND(N2111&lt;&gt;"",OR(N2111&lt;1,N2111&gt;5)),1,0)</f>
        <v>0</v>
      </c>
      <c r="AA2111" s="9" t="n">
        <f aca="false">IF(AND(M2111&lt;&gt;"",OR(M2111&lt;5,M2111&gt;180)),1,0)</f>
        <v>0</v>
      </c>
      <c r="AB2111" s="7" t="str">
        <f aca="false">IF(P2111="DUP","Exact duplicate row",IF(T2111=1,"Missing Order ID",IF(S2111="DROP","Duplicate Order ID (less complete row)",IF(U2111=1,"Missing Customer ID",IF(V2111=1,"Missing Restaurant name",IF(W2111=1,"Invalid/outlier quantity",IF(X2111=1,"Invalid/outlier unit price",IF(Y2111=1,"Discount greater than order value",""))))))))</f>
        <v>Exact duplicate row</v>
      </c>
      <c r="AC2111" s="7" t="str">
        <f aca="false">IF(AB2111="","KEEP","DROP")</f>
        <v>DROP</v>
      </c>
      <c r="AD2111" s="7" t="str">
        <f aca="false">IF(TRIM(F2111)="",IFERROR(INDEX(Map_Tables!$I$4:$I$37,MATCH(TRIM(E2111),Map_Tables!$G$4:$G$37,0)),""),IFERROR(INDEX(Map_Tables!$B$4:$B$18,MATCH(TRIM(F2111),Map_Tables!$A$4:$A$18,0)),"CHECK"))</f>
        <v>Pune</v>
      </c>
      <c r="AE2111" s="7" t="str">
        <f aca="false">IF(TRIM(E2111)="","",IFERROR(INDEX(Map_Tables!$H$4:$H$37,MATCH(TRIM(E2111),Map_Tables!$G$4:$G$37,0)),"CHECK"))</f>
        <v>Pune Burger Hub</v>
      </c>
      <c r="AF2111" s="7" t="str">
        <f aca="false">IF(TRIM(K2111)="","Unknown",IFERROR(INDEX(Map_Tables!$E$4:$E$15,MATCH(TRIM(K2111),Map_Tables!$D$4:$D$15,0)),"CHECK"))</f>
        <v>UPI</v>
      </c>
      <c r="AG2111" s="7" t="str">
        <f aca="false">IF(LEFT(LOWER(TRIM(L2111)),6)="cancel","Cancelled","Delivered")</f>
        <v>Delivered</v>
      </c>
      <c r="AH2111" s="10" t="n">
        <f aca="false">IF(ISNUMBER(SEARCH("/",B2111)),DATE(VALUE(RIGHT(B2111,4)),VALUE(MID(B2111,4,2)),VALUE(LEFT(B2111,2))),IF(MID(B2111,5,1)="-",DATE(VALUE(LEFT(B2111,4)),VALUE(MID(B2111,6,2)),VALUE(RIGHT(B2111,2))),DATE(VALUE(RIGHT(B2111,4)),MATCH(MID(B2111,4,3),{"Jan","Feb","Mar","Apr","May","Jun","Jul","Aug","Sep","Oct","Nov","Dec"},0),VALUE(LEFT(B2111,2)))))</f>
        <v>45993</v>
      </c>
    </row>
    <row r="2112" customFormat="false" ht="15" hidden="false" customHeight="false" outlineLevel="0" collapsed="false">
      <c r="A2112" s="7" t="s">
        <v>4921</v>
      </c>
      <c r="B2112" s="7" t="s">
        <v>2190</v>
      </c>
      <c r="C2112" s="7" t="s">
        <v>3003</v>
      </c>
      <c r="D2112" s="7" t="s">
        <v>4922</v>
      </c>
      <c r="E2112" s="7" t="s">
        <v>98</v>
      </c>
      <c r="F2112" s="7" t="s">
        <v>85</v>
      </c>
      <c r="G2112" s="7" t="s">
        <v>99</v>
      </c>
      <c r="H2112" s="7" t="n">
        <v>1</v>
      </c>
      <c r="I2112" s="7" t="n">
        <v>315</v>
      </c>
      <c r="J2112" s="7" t="n">
        <v>0</v>
      </c>
      <c r="K2112" s="7" t="s">
        <v>93</v>
      </c>
      <c r="L2112" s="7" t="s">
        <v>194</v>
      </c>
      <c r="M2112" s="7" t="n">
        <v>26</v>
      </c>
      <c r="N2112" s="7"/>
      <c r="O2112" s="7" t="str">
        <f aca="false">A2112&amp;"|"&amp;B2112&amp;"|"&amp;C2112&amp;"|"&amp;D2112&amp;"|"&amp;E2112&amp;"|"&amp;F2112&amp;"|"&amp;G2112&amp;"|"&amp;H2112&amp;"|"&amp;I2112&amp;"|"&amp;J2112&amp;"|"&amp;K2112&amp;"|"&amp;L2112&amp;"|"&amp;M2112&amp;"|"&amp;N2112</f>
        <v>ORD11677|2025-08-07|18:34|C0320|Nawabi Biryani House|bangalore|Biryani|1|315|0|Credit Card|Delivered|26|</v>
      </c>
      <c r="P2112" s="7" t="str">
        <f aca="false">IF(COUNTIF($O$2:O2112,O2112)&gt;1,"DUP","OK")</f>
        <v>OK</v>
      </c>
      <c r="Q2112" s="7" t="n">
        <f aca="false">COUNTBLANK(A2112:N2112)</f>
        <v>1</v>
      </c>
      <c r="R2112" s="7" t="n">
        <f aca="false">IF(A2112="",0,COUNTIFS($A$2:$A$3058,A2112,$P$2:$P$3058,"OK"))</f>
        <v>1</v>
      </c>
      <c r="S2112" s="7" t="str">
        <f aca="false">IF(OR(A2112="",P2112="DUP",R2112&lt;2),"",IF(Q2112=_xlfn.MINIFS($Q$2:$Q$3058,$A$2:$A$3058,A2112,$P$2:$P$3058,"OK"),"KEEP","DROP"))</f>
        <v/>
      </c>
      <c r="T2112" s="9" t="n">
        <f aca="false">IF(A2112="",1,0)</f>
        <v>0</v>
      </c>
      <c r="U2112" s="9" t="n">
        <f aca="false">IF(D2112="",1,0)</f>
        <v>0</v>
      </c>
      <c r="V2112" s="9" t="n">
        <f aca="false">IF(E2112="",1,0)</f>
        <v>0</v>
      </c>
      <c r="W2112" s="9" t="n">
        <f aca="false">IF(OR(H2112&lt;1,H2112&gt;10),1,0)</f>
        <v>0</v>
      </c>
      <c r="X2112" s="9" t="n">
        <f aca="false">IF(OR(I2112&lt;=0,I2112&gt;1500),1,0)</f>
        <v>0</v>
      </c>
      <c r="Y2112" s="9" t="n">
        <f aca="false">IF(J2112&gt;H2112*I2112,1,0)</f>
        <v>0</v>
      </c>
      <c r="Z2112" s="9" t="n">
        <f aca="false">IF(AND(N2112&lt;&gt;"",OR(N2112&lt;1,N2112&gt;5)),1,0)</f>
        <v>0</v>
      </c>
      <c r="AA2112" s="9" t="n">
        <f aca="false">IF(AND(M2112&lt;&gt;"",OR(M2112&lt;5,M2112&gt;180)),1,0)</f>
        <v>0</v>
      </c>
      <c r="AB2112" s="7" t="str">
        <f aca="false">IF(P2112="DUP","Exact duplicate row",IF(T2112=1,"Missing Order ID",IF(S2112="DROP","Duplicate Order ID (less complete row)",IF(U2112=1,"Missing Customer ID",IF(V2112=1,"Missing Restaurant name",IF(W2112=1,"Invalid/outlier quantity",IF(X2112=1,"Invalid/outlier unit price",IF(Y2112=1,"Discount greater than order value",""))))))))</f>
        <v/>
      </c>
      <c r="AC2112" s="7" t="str">
        <f aca="false">IF(AB2112="","KEEP","DROP")</f>
        <v>KEEP</v>
      </c>
      <c r="AD2112" s="7" t="str">
        <f aca="false">IF(TRIM(F2112)="",IFERROR(INDEX(Map_Tables!$I$4:$I$37,MATCH(TRIM(E2112),Map_Tables!$G$4:$G$37,0)),""),IFERROR(INDEX(Map_Tables!$B$4:$B$18,MATCH(TRIM(F2112),Map_Tables!$A$4:$A$18,0)),"CHECK"))</f>
        <v>Bengaluru</v>
      </c>
      <c r="AE2112" s="7" t="str">
        <f aca="false">IF(TRIM(E2112)="","",IFERROR(INDEX(Map_Tables!$H$4:$H$37,MATCH(TRIM(E2112),Map_Tables!$G$4:$G$37,0)),"CHECK"))</f>
        <v>Nawabi Biryani House</v>
      </c>
      <c r="AF2112" s="7" t="str">
        <f aca="false">IF(TRIM(K2112)="","Unknown",IFERROR(INDEX(Map_Tables!$E$4:$E$15,MATCH(TRIM(K2112),Map_Tables!$D$4:$D$15,0)),"CHECK"))</f>
        <v>Credit Card</v>
      </c>
      <c r="AG2112" s="7" t="str">
        <f aca="false">IF(LEFT(LOWER(TRIM(L2112)),6)="cancel","Cancelled","Delivered")</f>
        <v>Delivered</v>
      </c>
      <c r="AH2112" s="10" t="n">
        <f aca="false">IF(ISNUMBER(SEARCH("/",B2112)),DATE(VALUE(RIGHT(B2112,4)),VALUE(MID(B2112,4,2)),VALUE(LEFT(B2112,2))),IF(MID(B2112,5,1)="-",DATE(VALUE(LEFT(B2112,4)),VALUE(MID(B2112,6,2)),VALUE(RIGHT(B2112,2))),DATE(VALUE(RIGHT(B2112,4)),MATCH(MID(B2112,4,3),{"Jan","Feb","Mar","Apr","May","Jun","Jul","Aug","Sep","Oct","Nov","Dec"},0),VALUE(LEFT(B2112,2)))))</f>
        <v>45876</v>
      </c>
    </row>
    <row r="2113" customFormat="false" ht="15" hidden="false" customHeight="false" outlineLevel="0" collapsed="false">
      <c r="A2113" s="7" t="s">
        <v>4923</v>
      </c>
      <c r="B2113" s="7" t="s">
        <v>3898</v>
      </c>
      <c r="C2113" s="7" t="s">
        <v>1741</v>
      </c>
      <c r="D2113" s="7" t="s">
        <v>4924</v>
      </c>
      <c r="E2113" s="7" t="s">
        <v>163</v>
      </c>
      <c r="F2113" s="7" t="s">
        <v>141</v>
      </c>
      <c r="G2113" s="7" t="s">
        <v>99</v>
      </c>
      <c r="H2113" s="7" t="n">
        <v>2</v>
      </c>
      <c r="I2113" s="7" t="n">
        <v>215</v>
      </c>
      <c r="J2113" s="7" t="n">
        <v>0</v>
      </c>
      <c r="K2113" s="7" t="s">
        <v>121</v>
      </c>
      <c r="L2113" s="7" t="s">
        <v>194</v>
      </c>
      <c r="M2113" s="7" t="n">
        <v>35</v>
      </c>
      <c r="N2113" s="7" t="n">
        <v>1</v>
      </c>
      <c r="O2113" s="7" t="str">
        <f aca="false">A2113&amp;"|"&amp;B2113&amp;"|"&amp;C2113&amp;"|"&amp;D2113&amp;"|"&amp;E2113&amp;"|"&amp;F2113&amp;"|"&amp;G2113&amp;"|"&amp;H2113&amp;"|"&amp;I2113&amp;"|"&amp;J2113&amp;"|"&amp;K2113&amp;"|"&amp;L2113&amp;"|"&amp;M2113&amp;"|"&amp;N2113</f>
        <v>ORD11185|31/05/2025|12:08|C0748|Biryani Baadshah|Kolkata|Biryani|2|215|0|Wallet|Delivered|35|1</v>
      </c>
      <c r="P2113" s="7" t="str">
        <f aca="false">IF(COUNTIF($O$2:O2113,O2113)&gt;1,"DUP","OK")</f>
        <v>OK</v>
      </c>
      <c r="Q2113" s="7" t="n">
        <f aca="false">COUNTBLANK(A2113:N2113)</f>
        <v>0</v>
      </c>
      <c r="R2113" s="7" t="n">
        <f aca="false">IF(A2113="",0,COUNTIFS($A$2:$A$3058,A2113,$P$2:$P$3058,"OK"))</f>
        <v>1</v>
      </c>
      <c r="S2113" s="7" t="str">
        <f aca="false">IF(OR(A2113="",P2113="DUP",R2113&lt;2),"",IF(Q2113=_xlfn.MINIFS($Q$2:$Q$3058,$A$2:$A$3058,A2113,$P$2:$P$3058,"OK"),"KEEP","DROP"))</f>
        <v/>
      </c>
      <c r="T2113" s="9" t="n">
        <f aca="false">IF(A2113="",1,0)</f>
        <v>0</v>
      </c>
      <c r="U2113" s="9" t="n">
        <f aca="false">IF(D2113="",1,0)</f>
        <v>0</v>
      </c>
      <c r="V2113" s="9" t="n">
        <f aca="false">IF(E2113="",1,0)</f>
        <v>0</v>
      </c>
      <c r="W2113" s="9" t="n">
        <f aca="false">IF(OR(H2113&lt;1,H2113&gt;10),1,0)</f>
        <v>0</v>
      </c>
      <c r="X2113" s="9" t="n">
        <f aca="false">IF(OR(I2113&lt;=0,I2113&gt;1500),1,0)</f>
        <v>0</v>
      </c>
      <c r="Y2113" s="9" t="n">
        <f aca="false">IF(J2113&gt;H2113*I2113,1,0)</f>
        <v>0</v>
      </c>
      <c r="Z2113" s="9" t="n">
        <f aca="false">IF(AND(N2113&lt;&gt;"",OR(N2113&lt;1,N2113&gt;5)),1,0)</f>
        <v>0</v>
      </c>
      <c r="AA2113" s="9" t="n">
        <f aca="false">IF(AND(M2113&lt;&gt;"",OR(M2113&lt;5,M2113&gt;180)),1,0)</f>
        <v>0</v>
      </c>
      <c r="AB2113" s="7" t="str">
        <f aca="false">IF(P2113="DUP","Exact duplicate row",IF(T2113=1,"Missing Order ID",IF(S2113="DROP","Duplicate Order ID (less complete row)",IF(U2113=1,"Missing Customer ID",IF(V2113=1,"Missing Restaurant name",IF(W2113=1,"Invalid/outlier quantity",IF(X2113=1,"Invalid/outlier unit price",IF(Y2113=1,"Discount greater than order value",""))))))))</f>
        <v/>
      </c>
      <c r="AC2113" s="7" t="str">
        <f aca="false">IF(AB2113="","KEEP","DROP")</f>
        <v>KEEP</v>
      </c>
      <c r="AD2113" s="7" t="str">
        <f aca="false">IF(TRIM(F2113)="",IFERROR(INDEX(Map_Tables!$I$4:$I$37,MATCH(TRIM(E2113),Map_Tables!$G$4:$G$37,0)),""),IFERROR(INDEX(Map_Tables!$B$4:$B$18,MATCH(TRIM(F2113),Map_Tables!$A$4:$A$18,0)),"CHECK"))</f>
        <v>Kolkata</v>
      </c>
      <c r="AE2113" s="7" t="str">
        <f aca="false">IF(TRIM(E2113)="","",IFERROR(INDEX(Map_Tables!$H$4:$H$37,MATCH(TRIM(E2113),Map_Tables!$G$4:$G$37,0)),"CHECK"))</f>
        <v>Biryani Baadshah</v>
      </c>
      <c r="AF2113" s="7" t="str">
        <f aca="false">IF(TRIM(K2113)="","Unknown",IFERROR(INDEX(Map_Tables!$E$4:$E$15,MATCH(TRIM(K2113),Map_Tables!$D$4:$D$15,0)),"CHECK"))</f>
        <v>Wallet</v>
      </c>
      <c r="AG2113" s="7" t="str">
        <f aca="false">IF(LEFT(LOWER(TRIM(L2113)),6)="cancel","Cancelled","Delivered")</f>
        <v>Delivered</v>
      </c>
      <c r="AH2113" s="10" t="n">
        <f aca="false">IF(ISNUMBER(SEARCH("/",B2113)),DATE(VALUE(RIGHT(B2113,4)),VALUE(MID(B2113,4,2)),VALUE(LEFT(B2113,2))),IF(MID(B2113,5,1)="-",DATE(VALUE(LEFT(B2113,4)),VALUE(MID(B2113,6,2)),VALUE(RIGHT(B2113,2))),DATE(VALUE(RIGHT(B2113,4)),MATCH(MID(B2113,4,3),{"Jan","Feb","Mar","Apr","May","Jun","Jul","Aug","Sep","Oct","Nov","Dec"},0),VALUE(LEFT(B2113,2)))))</f>
        <v>45808</v>
      </c>
    </row>
    <row r="2114" customFormat="false" ht="15" hidden="false" customHeight="false" outlineLevel="0" collapsed="false">
      <c r="A2114" s="7" t="s">
        <v>4925</v>
      </c>
      <c r="B2114" s="7" t="s">
        <v>1938</v>
      </c>
      <c r="C2114" s="7" t="s">
        <v>927</v>
      </c>
      <c r="D2114" s="7" t="s">
        <v>1305</v>
      </c>
      <c r="E2114" s="7" t="s">
        <v>161</v>
      </c>
      <c r="F2114" s="7" t="s">
        <v>141</v>
      </c>
      <c r="G2114" s="7" t="s">
        <v>117</v>
      </c>
      <c r="H2114" s="7" t="n">
        <v>1</v>
      </c>
      <c r="I2114" s="7" t="n">
        <v>130</v>
      </c>
      <c r="J2114" s="7" t="n">
        <v>0</v>
      </c>
      <c r="K2114" s="7" t="s">
        <v>88</v>
      </c>
      <c r="L2114" s="7" t="s">
        <v>194</v>
      </c>
      <c r="M2114" s="7" t="n">
        <v>47</v>
      </c>
      <c r="N2114" s="7" t="n">
        <v>4</v>
      </c>
      <c r="O2114" s="7" t="str">
        <f aca="false">A2114&amp;"|"&amp;B2114&amp;"|"&amp;C2114&amp;"|"&amp;D2114&amp;"|"&amp;E2114&amp;"|"&amp;F2114&amp;"|"&amp;G2114&amp;"|"&amp;H2114&amp;"|"&amp;I2114&amp;"|"&amp;J2114&amp;"|"&amp;K2114&amp;"|"&amp;L2114&amp;"|"&amp;M2114&amp;"|"&amp;N2114</f>
        <v>ORD10657|2025-03-24|18:51|C1345|Bengal Bites|Kolkata|Street Food|1|130|0|UPI|Delivered|47|4</v>
      </c>
      <c r="P2114" s="7" t="str">
        <f aca="false">IF(COUNTIF($O$2:O2114,O2114)&gt;1,"DUP","OK")</f>
        <v>OK</v>
      </c>
      <c r="Q2114" s="7" t="n">
        <f aca="false">COUNTBLANK(A2114:N2114)</f>
        <v>0</v>
      </c>
      <c r="R2114" s="7" t="n">
        <f aca="false">IF(A2114="",0,COUNTIFS($A$2:$A$3058,A2114,$P$2:$P$3058,"OK"))</f>
        <v>1</v>
      </c>
      <c r="S2114" s="7" t="str">
        <f aca="false">IF(OR(A2114="",P2114="DUP",R2114&lt;2),"",IF(Q2114=_xlfn.MINIFS($Q$2:$Q$3058,$A$2:$A$3058,A2114,$P$2:$P$3058,"OK"),"KEEP","DROP"))</f>
        <v/>
      </c>
      <c r="T2114" s="9" t="n">
        <f aca="false">IF(A2114="",1,0)</f>
        <v>0</v>
      </c>
      <c r="U2114" s="9" t="n">
        <f aca="false">IF(D2114="",1,0)</f>
        <v>0</v>
      </c>
      <c r="V2114" s="9" t="n">
        <f aca="false">IF(E2114="",1,0)</f>
        <v>0</v>
      </c>
      <c r="W2114" s="9" t="n">
        <f aca="false">IF(OR(H2114&lt;1,H2114&gt;10),1,0)</f>
        <v>0</v>
      </c>
      <c r="X2114" s="9" t="n">
        <f aca="false">IF(OR(I2114&lt;=0,I2114&gt;1500),1,0)</f>
        <v>0</v>
      </c>
      <c r="Y2114" s="9" t="n">
        <f aca="false">IF(J2114&gt;H2114*I2114,1,0)</f>
        <v>0</v>
      </c>
      <c r="Z2114" s="9" t="n">
        <f aca="false">IF(AND(N2114&lt;&gt;"",OR(N2114&lt;1,N2114&gt;5)),1,0)</f>
        <v>0</v>
      </c>
      <c r="AA2114" s="9" t="n">
        <f aca="false">IF(AND(M2114&lt;&gt;"",OR(M2114&lt;5,M2114&gt;180)),1,0)</f>
        <v>0</v>
      </c>
      <c r="AB2114" s="7" t="str">
        <f aca="false">IF(P2114="DUP","Exact duplicate row",IF(T2114=1,"Missing Order ID",IF(S2114="DROP","Duplicate Order ID (less complete row)",IF(U2114=1,"Missing Customer ID",IF(V2114=1,"Missing Restaurant name",IF(W2114=1,"Invalid/outlier quantity",IF(X2114=1,"Invalid/outlier unit price",IF(Y2114=1,"Discount greater than order value",""))))))))</f>
        <v/>
      </c>
      <c r="AC2114" s="7" t="str">
        <f aca="false">IF(AB2114="","KEEP","DROP")</f>
        <v>KEEP</v>
      </c>
      <c r="AD2114" s="7" t="str">
        <f aca="false">IF(TRIM(F2114)="",IFERROR(INDEX(Map_Tables!$I$4:$I$37,MATCH(TRIM(E2114),Map_Tables!$G$4:$G$37,0)),""),IFERROR(INDEX(Map_Tables!$B$4:$B$18,MATCH(TRIM(F2114),Map_Tables!$A$4:$A$18,0)),"CHECK"))</f>
        <v>Kolkata</v>
      </c>
      <c r="AE2114" s="7" t="str">
        <f aca="false">IF(TRIM(E2114)="","",IFERROR(INDEX(Map_Tables!$H$4:$H$37,MATCH(TRIM(E2114),Map_Tables!$G$4:$G$37,0)),"CHECK"))</f>
        <v>Bengal Bites</v>
      </c>
      <c r="AF2114" s="7" t="str">
        <f aca="false">IF(TRIM(K2114)="","Unknown",IFERROR(INDEX(Map_Tables!$E$4:$E$15,MATCH(TRIM(K2114),Map_Tables!$D$4:$D$15,0)),"CHECK"))</f>
        <v>UPI</v>
      </c>
      <c r="AG2114" s="7" t="str">
        <f aca="false">IF(LEFT(LOWER(TRIM(L2114)),6)="cancel","Cancelled","Delivered")</f>
        <v>Delivered</v>
      </c>
      <c r="AH2114" s="10" t="n">
        <f aca="false">IF(ISNUMBER(SEARCH("/",B2114)),DATE(VALUE(RIGHT(B2114,4)),VALUE(MID(B2114,4,2)),VALUE(LEFT(B2114,2))),IF(MID(B2114,5,1)="-",DATE(VALUE(LEFT(B2114,4)),VALUE(MID(B2114,6,2)),VALUE(RIGHT(B2114,2))),DATE(VALUE(RIGHT(B2114,4)),MATCH(MID(B2114,4,3),{"Jan","Feb","Mar","Apr","May","Jun","Jul","Aug","Sep","Oct","Nov","Dec"},0),VALUE(LEFT(B2114,2)))))</f>
        <v>45740</v>
      </c>
    </row>
    <row r="2115" customFormat="false" ht="15" hidden="false" customHeight="false" outlineLevel="0" collapsed="false">
      <c r="A2115" s="7" t="s">
        <v>4926</v>
      </c>
      <c r="B2115" s="7" t="s">
        <v>1667</v>
      </c>
      <c r="C2115" s="7" t="s">
        <v>1624</v>
      </c>
      <c r="D2115" s="7" t="s">
        <v>4244</v>
      </c>
      <c r="E2115" s="7" t="s">
        <v>1843</v>
      </c>
      <c r="F2115" s="7" t="s">
        <v>110</v>
      </c>
      <c r="G2115" s="7" t="s">
        <v>90</v>
      </c>
      <c r="H2115" s="7" t="n">
        <v>2</v>
      </c>
      <c r="I2115" s="7" t="n">
        <v>200</v>
      </c>
      <c r="J2115" s="7" t="n">
        <v>0</v>
      </c>
      <c r="K2115" s="7" t="s">
        <v>88</v>
      </c>
      <c r="L2115" s="7" t="s">
        <v>194</v>
      </c>
      <c r="M2115" s="7" t="n">
        <v>43</v>
      </c>
      <c r="N2115" s="7" t="n">
        <v>2</v>
      </c>
      <c r="O2115" s="7" t="str">
        <f aca="false">A2115&amp;"|"&amp;B2115&amp;"|"&amp;C2115&amp;"|"&amp;D2115&amp;"|"&amp;E2115&amp;"|"&amp;F2115&amp;"|"&amp;G2115&amp;"|"&amp;H2115&amp;"|"&amp;I2115&amp;"|"&amp;J2115&amp;"|"&amp;K2115&amp;"|"&amp;L2115&amp;"|"&amp;M2115&amp;"|"&amp;N2115</f>
        <v>ORD11572|2025-07-24|20:31|C0356| Tandoor Tales|Delhi|North Indian|2|200|0|UPI|Delivered|43|2</v>
      </c>
      <c r="P2115" s="7" t="str">
        <f aca="false">IF(COUNTIF($O$2:O2115,O2115)&gt;1,"DUP","OK")</f>
        <v>OK</v>
      </c>
      <c r="Q2115" s="7" t="n">
        <f aca="false">COUNTBLANK(A2115:N2115)</f>
        <v>0</v>
      </c>
      <c r="R2115" s="7" t="n">
        <f aca="false">IF(A2115="",0,COUNTIFS($A$2:$A$3058,A2115,$P$2:$P$3058,"OK"))</f>
        <v>1</v>
      </c>
      <c r="S2115" s="7" t="str">
        <f aca="false">IF(OR(A2115="",P2115="DUP",R2115&lt;2),"",IF(Q2115=_xlfn.MINIFS($Q$2:$Q$3058,$A$2:$A$3058,A2115,$P$2:$P$3058,"OK"),"KEEP","DROP"))</f>
        <v/>
      </c>
      <c r="T2115" s="9" t="n">
        <f aca="false">IF(A2115="",1,0)</f>
        <v>0</v>
      </c>
      <c r="U2115" s="9" t="n">
        <f aca="false">IF(D2115="",1,0)</f>
        <v>0</v>
      </c>
      <c r="V2115" s="9" t="n">
        <f aca="false">IF(E2115="",1,0)</f>
        <v>0</v>
      </c>
      <c r="W2115" s="9" t="n">
        <f aca="false">IF(OR(H2115&lt;1,H2115&gt;10),1,0)</f>
        <v>0</v>
      </c>
      <c r="X2115" s="9" t="n">
        <f aca="false">IF(OR(I2115&lt;=0,I2115&gt;1500),1,0)</f>
        <v>0</v>
      </c>
      <c r="Y2115" s="9" t="n">
        <f aca="false">IF(J2115&gt;H2115*I2115,1,0)</f>
        <v>0</v>
      </c>
      <c r="Z2115" s="9" t="n">
        <f aca="false">IF(AND(N2115&lt;&gt;"",OR(N2115&lt;1,N2115&gt;5)),1,0)</f>
        <v>0</v>
      </c>
      <c r="AA2115" s="9" t="n">
        <f aca="false">IF(AND(M2115&lt;&gt;"",OR(M2115&lt;5,M2115&gt;180)),1,0)</f>
        <v>0</v>
      </c>
      <c r="AB2115" s="7" t="str">
        <f aca="false">IF(P2115="DUP","Exact duplicate row",IF(T2115=1,"Missing Order ID",IF(S2115="DROP","Duplicate Order ID (less complete row)",IF(U2115=1,"Missing Customer ID",IF(V2115=1,"Missing Restaurant name",IF(W2115=1,"Invalid/outlier quantity",IF(X2115=1,"Invalid/outlier unit price",IF(Y2115=1,"Discount greater than order value",""))))))))</f>
        <v/>
      </c>
      <c r="AC2115" s="7" t="str">
        <f aca="false">IF(AB2115="","KEEP","DROP")</f>
        <v>KEEP</v>
      </c>
      <c r="AD2115" s="7" t="str">
        <f aca="false">IF(TRIM(F2115)="",IFERROR(INDEX(Map_Tables!$I$4:$I$37,MATCH(TRIM(E2115),Map_Tables!$G$4:$G$37,0)),""),IFERROR(INDEX(Map_Tables!$B$4:$B$18,MATCH(TRIM(F2115),Map_Tables!$A$4:$A$18,0)),"CHECK"))</f>
        <v>Delhi</v>
      </c>
      <c r="AE2115" s="7" t="str">
        <f aca="false">IF(TRIM(E2115)="","",IFERROR(INDEX(Map_Tables!$H$4:$H$37,MATCH(TRIM(E2115),Map_Tables!$G$4:$G$37,0)),"CHECK"))</f>
        <v>Tandoor Tales</v>
      </c>
      <c r="AF2115" s="7" t="str">
        <f aca="false">IF(TRIM(K2115)="","Unknown",IFERROR(INDEX(Map_Tables!$E$4:$E$15,MATCH(TRIM(K2115),Map_Tables!$D$4:$D$15,0)),"CHECK"))</f>
        <v>UPI</v>
      </c>
      <c r="AG2115" s="7" t="str">
        <f aca="false">IF(LEFT(LOWER(TRIM(L2115)),6)="cancel","Cancelled","Delivered")</f>
        <v>Delivered</v>
      </c>
      <c r="AH2115" s="10" t="n">
        <f aca="false">IF(ISNUMBER(SEARCH("/",B2115)),DATE(VALUE(RIGHT(B2115,4)),VALUE(MID(B2115,4,2)),VALUE(LEFT(B2115,2))),IF(MID(B2115,5,1)="-",DATE(VALUE(LEFT(B2115,4)),VALUE(MID(B2115,6,2)),VALUE(RIGHT(B2115,2))),DATE(VALUE(RIGHT(B2115,4)),MATCH(MID(B2115,4,3),{"Jan","Feb","Mar","Apr","May","Jun","Jul","Aug","Sep","Oct","Nov","Dec"},0),VALUE(LEFT(B2115,2)))))</f>
        <v>45862</v>
      </c>
    </row>
    <row r="2116" customFormat="false" ht="15" hidden="false" customHeight="false" outlineLevel="0" collapsed="false">
      <c r="A2116" s="7" t="s">
        <v>4927</v>
      </c>
      <c r="B2116" s="7" t="s">
        <v>625</v>
      </c>
      <c r="C2116" s="7" t="s">
        <v>403</v>
      </c>
      <c r="D2116" s="7" t="s">
        <v>1343</v>
      </c>
      <c r="E2116" s="7" t="s">
        <v>104</v>
      </c>
      <c r="F2116" s="7" t="s">
        <v>85</v>
      </c>
      <c r="G2116" s="7" t="s">
        <v>105</v>
      </c>
      <c r="H2116" s="7" t="n">
        <v>4</v>
      </c>
      <c r="I2116" s="7" t="n">
        <v>205</v>
      </c>
      <c r="J2116" s="7" t="n">
        <v>0</v>
      </c>
      <c r="K2116" s="7" t="s">
        <v>88</v>
      </c>
      <c r="L2116" s="7" t="s">
        <v>194</v>
      </c>
      <c r="M2116" s="7" t="n">
        <v>45</v>
      </c>
      <c r="N2116" s="7" t="n">
        <v>5</v>
      </c>
      <c r="O2116" s="7" t="str">
        <f aca="false">A2116&amp;"|"&amp;B2116&amp;"|"&amp;C2116&amp;"|"&amp;D2116&amp;"|"&amp;E2116&amp;"|"&amp;F2116&amp;"|"&amp;G2116&amp;"|"&amp;H2116&amp;"|"&amp;I2116&amp;"|"&amp;J2116&amp;"|"&amp;K2116&amp;"|"&amp;L2116&amp;"|"&amp;M2116&amp;"|"&amp;N2116</f>
        <v>ORD11738|2025-08-16|11:13|C0753|Wok &amp; Roll|bangalore|Chinese|4|205|0|UPI|Delivered|45|5</v>
      </c>
      <c r="P2116" s="7" t="str">
        <f aca="false">IF(COUNTIF($O$2:O2116,O2116)&gt;1,"DUP","OK")</f>
        <v>OK</v>
      </c>
      <c r="Q2116" s="7" t="n">
        <f aca="false">COUNTBLANK(A2116:N2116)</f>
        <v>0</v>
      </c>
      <c r="R2116" s="7" t="n">
        <f aca="false">IF(A2116="",0,COUNTIFS($A$2:$A$3058,A2116,$P$2:$P$3058,"OK"))</f>
        <v>1</v>
      </c>
      <c r="S2116" s="7" t="str">
        <f aca="false">IF(OR(A2116="",P2116="DUP",R2116&lt;2),"",IF(Q2116=_xlfn.MINIFS($Q$2:$Q$3058,$A$2:$A$3058,A2116,$P$2:$P$3058,"OK"),"KEEP","DROP"))</f>
        <v/>
      </c>
      <c r="T2116" s="9" t="n">
        <f aca="false">IF(A2116="",1,0)</f>
        <v>0</v>
      </c>
      <c r="U2116" s="9" t="n">
        <f aca="false">IF(D2116="",1,0)</f>
        <v>0</v>
      </c>
      <c r="V2116" s="9" t="n">
        <f aca="false">IF(E2116="",1,0)</f>
        <v>0</v>
      </c>
      <c r="W2116" s="9" t="n">
        <f aca="false">IF(OR(H2116&lt;1,H2116&gt;10),1,0)</f>
        <v>0</v>
      </c>
      <c r="X2116" s="9" t="n">
        <f aca="false">IF(OR(I2116&lt;=0,I2116&gt;1500),1,0)</f>
        <v>0</v>
      </c>
      <c r="Y2116" s="9" t="n">
        <f aca="false">IF(J2116&gt;H2116*I2116,1,0)</f>
        <v>0</v>
      </c>
      <c r="Z2116" s="9" t="n">
        <f aca="false">IF(AND(N2116&lt;&gt;"",OR(N2116&lt;1,N2116&gt;5)),1,0)</f>
        <v>0</v>
      </c>
      <c r="AA2116" s="9" t="n">
        <f aca="false">IF(AND(M2116&lt;&gt;"",OR(M2116&lt;5,M2116&gt;180)),1,0)</f>
        <v>0</v>
      </c>
      <c r="AB2116" s="7" t="str">
        <f aca="false">IF(P2116="DUP","Exact duplicate row",IF(T2116=1,"Missing Order ID",IF(S2116="DROP","Duplicate Order ID (less complete row)",IF(U2116=1,"Missing Customer ID",IF(V2116=1,"Missing Restaurant name",IF(W2116=1,"Invalid/outlier quantity",IF(X2116=1,"Invalid/outlier unit price",IF(Y2116=1,"Discount greater than order value",""))))))))</f>
        <v/>
      </c>
      <c r="AC2116" s="7" t="str">
        <f aca="false">IF(AB2116="","KEEP","DROP")</f>
        <v>KEEP</v>
      </c>
      <c r="AD2116" s="7" t="str">
        <f aca="false">IF(TRIM(F2116)="",IFERROR(INDEX(Map_Tables!$I$4:$I$37,MATCH(TRIM(E2116),Map_Tables!$G$4:$G$37,0)),""),IFERROR(INDEX(Map_Tables!$B$4:$B$18,MATCH(TRIM(F2116),Map_Tables!$A$4:$A$18,0)),"CHECK"))</f>
        <v>Bengaluru</v>
      </c>
      <c r="AE2116" s="7" t="str">
        <f aca="false">IF(TRIM(E2116)="","",IFERROR(INDEX(Map_Tables!$H$4:$H$37,MATCH(TRIM(E2116),Map_Tables!$G$4:$G$37,0)),"CHECK"))</f>
        <v>Wok &amp; Roll</v>
      </c>
      <c r="AF2116" s="7" t="str">
        <f aca="false">IF(TRIM(K2116)="","Unknown",IFERROR(INDEX(Map_Tables!$E$4:$E$15,MATCH(TRIM(K2116),Map_Tables!$D$4:$D$15,0)),"CHECK"))</f>
        <v>UPI</v>
      </c>
      <c r="AG2116" s="7" t="str">
        <f aca="false">IF(LEFT(LOWER(TRIM(L2116)),6)="cancel","Cancelled","Delivered")</f>
        <v>Delivered</v>
      </c>
      <c r="AH2116" s="10" t="n">
        <f aca="false">IF(ISNUMBER(SEARCH("/",B2116)),DATE(VALUE(RIGHT(B2116,4)),VALUE(MID(B2116,4,2)),VALUE(LEFT(B2116,2))),IF(MID(B2116,5,1)="-",DATE(VALUE(LEFT(B2116,4)),VALUE(MID(B2116,6,2)),VALUE(RIGHT(B2116,2))),DATE(VALUE(RIGHT(B2116,4)),MATCH(MID(B2116,4,3),{"Jan","Feb","Mar","Apr","May","Jun","Jul","Aug","Sep","Oct","Nov","Dec"},0),VALUE(LEFT(B2116,2)))))</f>
        <v>45885</v>
      </c>
    </row>
    <row r="2117" customFormat="false" ht="15" hidden="false" customHeight="false" outlineLevel="0" collapsed="false">
      <c r="A2117" s="7" t="s">
        <v>4928</v>
      </c>
      <c r="B2117" s="7" t="s">
        <v>1351</v>
      </c>
      <c r="C2117" s="7" t="s">
        <v>759</v>
      </c>
      <c r="D2117" s="7" t="s">
        <v>658</v>
      </c>
      <c r="E2117" s="7" t="s">
        <v>122</v>
      </c>
      <c r="F2117" s="7" t="s">
        <v>101</v>
      </c>
      <c r="G2117" s="7" t="s">
        <v>123</v>
      </c>
      <c r="H2117" s="7" t="n">
        <v>1</v>
      </c>
      <c r="I2117" s="7" t="n">
        <v>300</v>
      </c>
      <c r="J2117" s="7" t="n">
        <v>0</v>
      </c>
      <c r="K2117" s="7" t="s">
        <v>88</v>
      </c>
      <c r="L2117" s="7" t="s">
        <v>194</v>
      </c>
      <c r="M2117" s="7" t="n">
        <v>32</v>
      </c>
      <c r="N2117" s="7" t="n">
        <v>5</v>
      </c>
      <c r="O2117" s="7" t="str">
        <f aca="false">A2117&amp;"|"&amp;B2117&amp;"|"&amp;C2117&amp;"|"&amp;D2117&amp;"|"&amp;E2117&amp;"|"&amp;F2117&amp;"|"&amp;G2117&amp;"|"&amp;H2117&amp;"|"&amp;I2117&amp;"|"&amp;J2117&amp;"|"&amp;K2117&amp;"|"&amp;L2117&amp;"|"&amp;M2117&amp;"|"&amp;N2117</f>
        <v>ORD11420|2025-07-04|11:50|C0610|Mumbai Pizza Co|Mumbai|Pizza|1|300|0|UPI|Delivered|32|5</v>
      </c>
      <c r="P2117" s="7" t="str">
        <f aca="false">IF(COUNTIF($O$2:O2117,O2117)&gt;1,"DUP","OK")</f>
        <v>OK</v>
      </c>
      <c r="Q2117" s="7" t="n">
        <f aca="false">COUNTBLANK(A2117:N2117)</f>
        <v>0</v>
      </c>
      <c r="R2117" s="7" t="n">
        <f aca="false">IF(A2117="",0,COUNTIFS($A$2:$A$3058,A2117,$P$2:$P$3058,"OK"))</f>
        <v>1</v>
      </c>
      <c r="S2117" s="7" t="str">
        <f aca="false">IF(OR(A2117="",P2117="DUP",R2117&lt;2),"",IF(Q2117=_xlfn.MINIFS($Q$2:$Q$3058,$A$2:$A$3058,A2117,$P$2:$P$3058,"OK"),"KEEP","DROP"))</f>
        <v/>
      </c>
      <c r="T2117" s="9" t="n">
        <f aca="false">IF(A2117="",1,0)</f>
        <v>0</v>
      </c>
      <c r="U2117" s="9" t="n">
        <f aca="false">IF(D2117="",1,0)</f>
        <v>0</v>
      </c>
      <c r="V2117" s="9" t="n">
        <f aca="false">IF(E2117="",1,0)</f>
        <v>0</v>
      </c>
      <c r="W2117" s="9" t="n">
        <f aca="false">IF(OR(H2117&lt;1,H2117&gt;10),1,0)</f>
        <v>0</v>
      </c>
      <c r="X2117" s="9" t="n">
        <f aca="false">IF(OR(I2117&lt;=0,I2117&gt;1500),1,0)</f>
        <v>0</v>
      </c>
      <c r="Y2117" s="9" t="n">
        <f aca="false">IF(J2117&gt;H2117*I2117,1,0)</f>
        <v>0</v>
      </c>
      <c r="Z2117" s="9" t="n">
        <f aca="false">IF(AND(N2117&lt;&gt;"",OR(N2117&lt;1,N2117&gt;5)),1,0)</f>
        <v>0</v>
      </c>
      <c r="AA2117" s="9" t="n">
        <f aca="false">IF(AND(M2117&lt;&gt;"",OR(M2117&lt;5,M2117&gt;180)),1,0)</f>
        <v>0</v>
      </c>
      <c r="AB2117" s="7" t="str">
        <f aca="false">IF(P2117="DUP","Exact duplicate row",IF(T2117=1,"Missing Order ID",IF(S2117="DROP","Duplicate Order ID (less complete row)",IF(U2117=1,"Missing Customer ID",IF(V2117=1,"Missing Restaurant name",IF(W2117=1,"Invalid/outlier quantity",IF(X2117=1,"Invalid/outlier unit price",IF(Y2117=1,"Discount greater than order value",""))))))))</f>
        <v/>
      </c>
      <c r="AC2117" s="7" t="str">
        <f aca="false">IF(AB2117="","KEEP","DROP")</f>
        <v>KEEP</v>
      </c>
      <c r="AD2117" s="7" t="str">
        <f aca="false">IF(TRIM(F2117)="",IFERROR(INDEX(Map_Tables!$I$4:$I$37,MATCH(TRIM(E2117),Map_Tables!$G$4:$G$37,0)),""),IFERROR(INDEX(Map_Tables!$B$4:$B$18,MATCH(TRIM(F2117),Map_Tables!$A$4:$A$18,0)),"CHECK"))</f>
        <v>Mumbai</v>
      </c>
      <c r="AE2117" s="7" t="str">
        <f aca="false">IF(TRIM(E2117)="","",IFERROR(INDEX(Map_Tables!$H$4:$H$37,MATCH(TRIM(E2117),Map_Tables!$G$4:$G$37,0)),"CHECK"))</f>
        <v>Mumbai Pizza Co</v>
      </c>
      <c r="AF2117" s="7" t="str">
        <f aca="false">IF(TRIM(K2117)="","Unknown",IFERROR(INDEX(Map_Tables!$E$4:$E$15,MATCH(TRIM(K2117),Map_Tables!$D$4:$D$15,0)),"CHECK"))</f>
        <v>UPI</v>
      </c>
      <c r="AG2117" s="7" t="str">
        <f aca="false">IF(LEFT(LOWER(TRIM(L2117)),6)="cancel","Cancelled","Delivered")</f>
        <v>Delivered</v>
      </c>
      <c r="AH2117" s="10" t="n">
        <f aca="false">IF(ISNUMBER(SEARCH("/",B2117)),DATE(VALUE(RIGHT(B2117,4)),VALUE(MID(B2117,4,2)),VALUE(LEFT(B2117,2))),IF(MID(B2117,5,1)="-",DATE(VALUE(LEFT(B2117,4)),VALUE(MID(B2117,6,2)),VALUE(RIGHT(B2117,2))),DATE(VALUE(RIGHT(B2117,4)),MATCH(MID(B2117,4,3),{"Jan","Feb","Mar","Apr","May","Jun","Jul","Aug","Sep","Oct","Nov","Dec"},0),VALUE(LEFT(B2117,2)))))</f>
        <v>45842</v>
      </c>
    </row>
    <row r="2118" customFormat="false" ht="15" hidden="false" customHeight="false" outlineLevel="0" collapsed="false">
      <c r="A2118" s="7" t="s">
        <v>4929</v>
      </c>
      <c r="B2118" s="7" t="s">
        <v>1639</v>
      </c>
      <c r="C2118" s="7" t="s">
        <v>2064</v>
      </c>
      <c r="D2118" s="7" t="s">
        <v>2117</v>
      </c>
      <c r="E2118" s="7" t="s">
        <v>89</v>
      </c>
      <c r="F2118" s="7" t="s">
        <v>86</v>
      </c>
      <c r="G2118" s="7" t="s">
        <v>90</v>
      </c>
      <c r="H2118" s="7" t="n">
        <v>3</v>
      </c>
      <c r="I2118" s="7" t="n">
        <v>210</v>
      </c>
      <c r="J2118" s="7" t="n">
        <v>100</v>
      </c>
      <c r="K2118" s="7" t="s">
        <v>103</v>
      </c>
      <c r="L2118" s="7" t="s">
        <v>194</v>
      </c>
      <c r="M2118" s="7" t="n">
        <v>37</v>
      </c>
      <c r="N2118" s="7" t="n">
        <v>4</v>
      </c>
      <c r="O2118" s="7" t="str">
        <f aca="false">A2118&amp;"|"&amp;B2118&amp;"|"&amp;C2118&amp;"|"&amp;D2118&amp;"|"&amp;E2118&amp;"|"&amp;F2118&amp;"|"&amp;G2118&amp;"|"&amp;H2118&amp;"|"&amp;I2118&amp;"|"&amp;J2118&amp;"|"&amp;K2118&amp;"|"&amp;L2118&amp;"|"&amp;M2118&amp;"|"&amp;N2118</f>
        <v>ORD10400|2025-02-22|18:53|C1391|Spice Junction|Bengaluru|North Indian|3|210|100|Debit Card|Delivered|37|4</v>
      </c>
      <c r="P2118" s="7" t="str">
        <f aca="false">IF(COUNTIF($O$2:O2118,O2118)&gt;1,"DUP","OK")</f>
        <v>OK</v>
      </c>
      <c r="Q2118" s="7" t="n">
        <f aca="false">COUNTBLANK(A2118:N2118)</f>
        <v>0</v>
      </c>
      <c r="R2118" s="7" t="n">
        <f aca="false">IF(A2118="",0,COUNTIFS($A$2:$A$3058,A2118,$P$2:$P$3058,"OK"))</f>
        <v>1</v>
      </c>
      <c r="S2118" s="7" t="str">
        <f aca="false">IF(OR(A2118="",P2118="DUP",R2118&lt;2),"",IF(Q2118=_xlfn.MINIFS($Q$2:$Q$3058,$A$2:$A$3058,A2118,$P$2:$P$3058,"OK"),"KEEP","DROP"))</f>
        <v/>
      </c>
      <c r="T2118" s="9" t="n">
        <f aca="false">IF(A2118="",1,0)</f>
        <v>0</v>
      </c>
      <c r="U2118" s="9" t="n">
        <f aca="false">IF(D2118="",1,0)</f>
        <v>0</v>
      </c>
      <c r="V2118" s="9" t="n">
        <f aca="false">IF(E2118="",1,0)</f>
        <v>0</v>
      </c>
      <c r="W2118" s="9" t="n">
        <f aca="false">IF(OR(H2118&lt;1,H2118&gt;10),1,0)</f>
        <v>0</v>
      </c>
      <c r="X2118" s="9" t="n">
        <f aca="false">IF(OR(I2118&lt;=0,I2118&gt;1500),1,0)</f>
        <v>0</v>
      </c>
      <c r="Y2118" s="9" t="n">
        <f aca="false">IF(J2118&gt;H2118*I2118,1,0)</f>
        <v>0</v>
      </c>
      <c r="Z2118" s="9" t="n">
        <f aca="false">IF(AND(N2118&lt;&gt;"",OR(N2118&lt;1,N2118&gt;5)),1,0)</f>
        <v>0</v>
      </c>
      <c r="AA2118" s="9" t="n">
        <f aca="false">IF(AND(M2118&lt;&gt;"",OR(M2118&lt;5,M2118&gt;180)),1,0)</f>
        <v>0</v>
      </c>
      <c r="AB2118" s="7" t="str">
        <f aca="false">IF(P2118="DUP","Exact duplicate row",IF(T2118=1,"Missing Order ID",IF(S2118="DROP","Duplicate Order ID (less complete row)",IF(U2118=1,"Missing Customer ID",IF(V2118=1,"Missing Restaurant name",IF(W2118=1,"Invalid/outlier quantity",IF(X2118=1,"Invalid/outlier unit price",IF(Y2118=1,"Discount greater than order value",""))))))))</f>
        <v/>
      </c>
      <c r="AC2118" s="7" t="str">
        <f aca="false">IF(AB2118="","KEEP","DROP")</f>
        <v>KEEP</v>
      </c>
      <c r="AD2118" s="7" t="str">
        <f aca="false">IF(TRIM(F2118)="",IFERROR(INDEX(Map_Tables!$I$4:$I$37,MATCH(TRIM(E2118),Map_Tables!$G$4:$G$37,0)),""),IFERROR(INDEX(Map_Tables!$B$4:$B$18,MATCH(TRIM(F2118),Map_Tables!$A$4:$A$18,0)),"CHECK"))</f>
        <v>Bengaluru</v>
      </c>
      <c r="AE2118" s="7" t="str">
        <f aca="false">IF(TRIM(E2118)="","",IFERROR(INDEX(Map_Tables!$H$4:$H$37,MATCH(TRIM(E2118),Map_Tables!$G$4:$G$37,0)),"CHECK"))</f>
        <v>Spice Junction</v>
      </c>
      <c r="AF2118" s="7" t="str">
        <f aca="false">IF(TRIM(K2118)="","Unknown",IFERROR(INDEX(Map_Tables!$E$4:$E$15,MATCH(TRIM(K2118),Map_Tables!$D$4:$D$15,0)),"CHECK"))</f>
        <v>Debit Card</v>
      </c>
      <c r="AG2118" s="7" t="str">
        <f aca="false">IF(LEFT(LOWER(TRIM(L2118)),6)="cancel","Cancelled","Delivered")</f>
        <v>Delivered</v>
      </c>
      <c r="AH2118" s="10" t="n">
        <f aca="false">IF(ISNUMBER(SEARCH("/",B2118)),DATE(VALUE(RIGHT(B2118,4)),VALUE(MID(B2118,4,2)),VALUE(LEFT(B2118,2))),IF(MID(B2118,5,1)="-",DATE(VALUE(LEFT(B2118,4)),VALUE(MID(B2118,6,2)),VALUE(RIGHT(B2118,2))),DATE(VALUE(RIGHT(B2118,4)),MATCH(MID(B2118,4,3),{"Jan","Feb","Mar","Apr","May","Jun","Jul","Aug","Sep","Oct","Nov","Dec"},0),VALUE(LEFT(B2118,2)))))</f>
        <v>45710</v>
      </c>
    </row>
    <row r="2119" customFormat="false" ht="15" hidden="false" customHeight="false" outlineLevel="0" collapsed="false">
      <c r="A2119" s="7" t="s">
        <v>4930</v>
      </c>
      <c r="B2119" s="7" t="s">
        <v>984</v>
      </c>
      <c r="C2119" s="7" t="s">
        <v>1066</v>
      </c>
      <c r="D2119" s="7" t="s">
        <v>1977</v>
      </c>
      <c r="E2119" s="7" t="s">
        <v>160</v>
      </c>
      <c r="F2119" s="7" t="s">
        <v>136</v>
      </c>
      <c r="G2119" s="7" t="s">
        <v>150</v>
      </c>
      <c r="H2119" s="7" t="n">
        <v>1</v>
      </c>
      <c r="I2119" s="7" t="n">
        <v>205</v>
      </c>
      <c r="J2119" s="7" t="n">
        <v>0</v>
      </c>
      <c r="K2119" s="7" t="s">
        <v>379</v>
      </c>
      <c r="L2119" s="7" t="s">
        <v>194</v>
      </c>
      <c r="M2119" s="7" t="n">
        <v>45</v>
      </c>
      <c r="N2119" s="7" t="n">
        <v>5</v>
      </c>
      <c r="O2119" s="7" t="str">
        <f aca="false">A2119&amp;"|"&amp;B2119&amp;"|"&amp;C2119&amp;"|"&amp;D2119&amp;"|"&amp;E2119&amp;"|"&amp;F2119&amp;"|"&amp;G2119&amp;"|"&amp;H2119&amp;"|"&amp;I2119&amp;"|"&amp;J2119&amp;"|"&amp;K2119&amp;"|"&amp;L2119&amp;"|"&amp;M2119&amp;"|"&amp;N2119</f>
        <v>ORD10619|2025-03-19|19:14|C0689|Cake Walk|Pune|Desserts|1|205|0|Credit card|Delivered|45|5</v>
      </c>
      <c r="P2119" s="7" t="str">
        <f aca="false">IF(COUNTIF($O$2:O2119,O2119)&gt;1,"DUP","OK")</f>
        <v>OK</v>
      </c>
      <c r="Q2119" s="7" t="n">
        <f aca="false">COUNTBLANK(A2119:N2119)</f>
        <v>0</v>
      </c>
      <c r="R2119" s="7" t="n">
        <f aca="false">IF(A2119="",0,COUNTIFS($A$2:$A$3058,A2119,$P$2:$P$3058,"OK"))</f>
        <v>1</v>
      </c>
      <c r="S2119" s="7" t="str">
        <f aca="false">IF(OR(A2119="",P2119="DUP",R2119&lt;2),"",IF(Q2119=_xlfn.MINIFS($Q$2:$Q$3058,$A$2:$A$3058,A2119,$P$2:$P$3058,"OK"),"KEEP","DROP"))</f>
        <v/>
      </c>
      <c r="T2119" s="9" t="n">
        <f aca="false">IF(A2119="",1,0)</f>
        <v>0</v>
      </c>
      <c r="U2119" s="9" t="n">
        <f aca="false">IF(D2119="",1,0)</f>
        <v>0</v>
      </c>
      <c r="V2119" s="9" t="n">
        <f aca="false">IF(E2119="",1,0)</f>
        <v>0</v>
      </c>
      <c r="W2119" s="9" t="n">
        <f aca="false">IF(OR(H2119&lt;1,H2119&gt;10),1,0)</f>
        <v>0</v>
      </c>
      <c r="X2119" s="9" t="n">
        <f aca="false">IF(OR(I2119&lt;=0,I2119&gt;1500),1,0)</f>
        <v>0</v>
      </c>
      <c r="Y2119" s="9" t="n">
        <f aca="false">IF(J2119&gt;H2119*I2119,1,0)</f>
        <v>0</v>
      </c>
      <c r="Z2119" s="9" t="n">
        <f aca="false">IF(AND(N2119&lt;&gt;"",OR(N2119&lt;1,N2119&gt;5)),1,0)</f>
        <v>0</v>
      </c>
      <c r="AA2119" s="9" t="n">
        <f aca="false">IF(AND(M2119&lt;&gt;"",OR(M2119&lt;5,M2119&gt;180)),1,0)</f>
        <v>0</v>
      </c>
      <c r="AB2119" s="7" t="str">
        <f aca="false">IF(P2119="DUP","Exact duplicate row",IF(T2119=1,"Missing Order ID",IF(S2119="DROP","Duplicate Order ID (less complete row)",IF(U2119=1,"Missing Customer ID",IF(V2119=1,"Missing Restaurant name",IF(W2119=1,"Invalid/outlier quantity",IF(X2119=1,"Invalid/outlier unit price",IF(Y2119=1,"Discount greater than order value",""))))))))</f>
        <v/>
      </c>
      <c r="AC2119" s="7" t="str">
        <f aca="false">IF(AB2119="","KEEP","DROP")</f>
        <v>KEEP</v>
      </c>
      <c r="AD2119" s="7" t="str">
        <f aca="false">IF(TRIM(F2119)="",IFERROR(INDEX(Map_Tables!$I$4:$I$37,MATCH(TRIM(E2119),Map_Tables!$G$4:$G$37,0)),""),IFERROR(INDEX(Map_Tables!$B$4:$B$18,MATCH(TRIM(F2119),Map_Tables!$A$4:$A$18,0)),"CHECK"))</f>
        <v>Pune</v>
      </c>
      <c r="AE2119" s="7" t="str">
        <f aca="false">IF(TRIM(E2119)="","",IFERROR(INDEX(Map_Tables!$H$4:$H$37,MATCH(TRIM(E2119),Map_Tables!$G$4:$G$37,0)),"CHECK"))</f>
        <v>Cake Walk</v>
      </c>
      <c r="AF2119" s="7" t="str">
        <f aca="false">IF(TRIM(K2119)="","Unknown",IFERROR(INDEX(Map_Tables!$E$4:$E$15,MATCH(TRIM(K2119),Map_Tables!$D$4:$D$15,0)),"CHECK"))</f>
        <v>Credit Card</v>
      </c>
      <c r="AG2119" s="7" t="str">
        <f aca="false">IF(LEFT(LOWER(TRIM(L2119)),6)="cancel","Cancelled","Delivered")</f>
        <v>Delivered</v>
      </c>
      <c r="AH2119" s="10" t="n">
        <f aca="false">IF(ISNUMBER(SEARCH("/",B2119)),DATE(VALUE(RIGHT(B2119,4)),VALUE(MID(B2119,4,2)),VALUE(LEFT(B2119,2))),IF(MID(B2119,5,1)="-",DATE(VALUE(LEFT(B2119,4)),VALUE(MID(B2119,6,2)),VALUE(RIGHT(B2119,2))),DATE(VALUE(RIGHT(B2119,4)),MATCH(MID(B2119,4,3),{"Jan","Feb","Mar","Apr","May","Jun","Jul","Aug","Sep","Oct","Nov","Dec"},0),VALUE(LEFT(B2119,2)))))</f>
        <v>45735</v>
      </c>
    </row>
    <row r="2120" customFormat="false" ht="15" hidden="false" customHeight="false" outlineLevel="0" collapsed="false">
      <c r="A2120" s="7" t="s">
        <v>4931</v>
      </c>
      <c r="B2120" s="7" t="s">
        <v>1393</v>
      </c>
      <c r="C2120" s="7" t="s">
        <v>577</v>
      </c>
      <c r="D2120" s="7" t="s">
        <v>1891</v>
      </c>
      <c r="E2120" s="7" t="s">
        <v>89</v>
      </c>
      <c r="F2120" s="7" t="s">
        <v>86</v>
      </c>
      <c r="G2120" s="7" t="s">
        <v>90</v>
      </c>
      <c r="H2120" s="7" t="n">
        <v>1</v>
      </c>
      <c r="I2120" s="7" t="n">
        <v>185</v>
      </c>
      <c r="J2120" s="7" t="n">
        <v>0</v>
      </c>
      <c r="K2120" s="7" t="s">
        <v>103</v>
      </c>
      <c r="L2120" s="7" t="s">
        <v>194</v>
      </c>
      <c r="M2120" s="7" t="n">
        <v>49</v>
      </c>
      <c r="N2120" s="7"/>
      <c r="O2120" s="7" t="str">
        <f aca="false">A2120&amp;"|"&amp;B2120&amp;"|"&amp;C2120&amp;"|"&amp;D2120&amp;"|"&amp;E2120&amp;"|"&amp;F2120&amp;"|"&amp;G2120&amp;"|"&amp;H2120&amp;"|"&amp;I2120&amp;"|"&amp;J2120&amp;"|"&amp;K2120&amp;"|"&amp;L2120&amp;"|"&amp;M2120&amp;"|"&amp;N2120</f>
        <v>ORD10509|2025-03-08|12:20|C0115|Spice Junction|Bengaluru|North Indian|1|185|0|Debit Card|Delivered|49|</v>
      </c>
      <c r="P2120" s="7" t="str">
        <f aca="false">IF(COUNTIF($O$2:O2120,O2120)&gt;1,"DUP","OK")</f>
        <v>OK</v>
      </c>
      <c r="Q2120" s="7" t="n">
        <f aca="false">COUNTBLANK(A2120:N2120)</f>
        <v>1</v>
      </c>
      <c r="R2120" s="7" t="n">
        <f aca="false">IF(A2120="",0,COUNTIFS($A$2:$A$3058,A2120,$P$2:$P$3058,"OK"))</f>
        <v>1</v>
      </c>
      <c r="S2120" s="7" t="str">
        <f aca="false">IF(OR(A2120="",P2120="DUP",R2120&lt;2),"",IF(Q2120=_xlfn.MINIFS($Q$2:$Q$3058,$A$2:$A$3058,A2120,$P$2:$P$3058,"OK"),"KEEP","DROP"))</f>
        <v/>
      </c>
      <c r="T2120" s="9" t="n">
        <f aca="false">IF(A2120="",1,0)</f>
        <v>0</v>
      </c>
      <c r="U2120" s="9" t="n">
        <f aca="false">IF(D2120="",1,0)</f>
        <v>0</v>
      </c>
      <c r="V2120" s="9" t="n">
        <f aca="false">IF(E2120="",1,0)</f>
        <v>0</v>
      </c>
      <c r="W2120" s="9" t="n">
        <f aca="false">IF(OR(H2120&lt;1,H2120&gt;10),1,0)</f>
        <v>0</v>
      </c>
      <c r="X2120" s="9" t="n">
        <f aca="false">IF(OR(I2120&lt;=0,I2120&gt;1500),1,0)</f>
        <v>0</v>
      </c>
      <c r="Y2120" s="9" t="n">
        <f aca="false">IF(J2120&gt;H2120*I2120,1,0)</f>
        <v>0</v>
      </c>
      <c r="Z2120" s="9" t="n">
        <f aca="false">IF(AND(N2120&lt;&gt;"",OR(N2120&lt;1,N2120&gt;5)),1,0)</f>
        <v>0</v>
      </c>
      <c r="AA2120" s="9" t="n">
        <f aca="false">IF(AND(M2120&lt;&gt;"",OR(M2120&lt;5,M2120&gt;180)),1,0)</f>
        <v>0</v>
      </c>
      <c r="AB2120" s="7" t="str">
        <f aca="false">IF(P2120="DUP","Exact duplicate row",IF(T2120=1,"Missing Order ID",IF(S2120="DROP","Duplicate Order ID (less complete row)",IF(U2120=1,"Missing Customer ID",IF(V2120=1,"Missing Restaurant name",IF(W2120=1,"Invalid/outlier quantity",IF(X2120=1,"Invalid/outlier unit price",IF(Y2120=1,"Discount greater than order value",""))))))))</f>
        <v/>
      </c>
      <c r="AC2120" s="7" t="str">
        <f aca="false">IF(AB2120="","KEEP","DROP")</f>
        <v>KEEP</v>
      </c>
      <c r="AD2120" s="7" t="str">
        <f aca="false">IF(TRIM(F2120)="",IFERROR(INDEX(Map_Tables!$I$4:$I$37,MATCH(TRIM(E2120),Map_Tables!$G$4:$G$37,0)),""),IFERROR(INDEX(Map_Tables!$B$4:$B$18,MATCH(TRIM(F2120),Map_Tables!$A$4:$A$18,0)),"CHECK"))</f>
        <v>Bengaluru</v>
      </c>
      <c r="AE2120" s="7" t="str">
        <f aca="false">IF(TRIM(E2120)="","",IFERROR(INDEX(Map_Tables!$H$4:$H$37,MATCH(TRIM(E2120),Map_Tables!$G$4:$G$37,0)),"CHECK"))</f>
        <v>Spice Junction</v>
      </c>
      <c r="AF2120" s="7" t="str">
        <f aca="false">IF(TRIM(K2120)="","Unknown",IFERROR(INDEX(Map_Tables!$E$4:$E$15,MATCH(TRIM(K2120),Map_Tables!$D$4:$D$15,0)),"CHECK"))</f>
        <v>Debit Card</v>
      </c>
      <c r="AG2120" s="7" t="str">
        <f aca="false">IF(LEFT(LOWER(TRIM(L2120)),6)="cancel","Cancelled","Delivered")</f>
        <v>Delivered</v>
      </c>
      <c r="AH2120" s="10" t="n">
        <f aca="false">IF(ISNUMBER(SEARCH("/",B2120)),DATE(VALUE(RIGHT(B2120,4)),VALUE(MID(B2120,4,2)),VALUE(LEFT(B2120,2))),IF(MID(B2120,5,1)="-",DATE(VALUE(LEFT(B2120,4)),VALUE(MID(B2120,6,2)),VALUE(RIGHT(B2120,2))),DATE(VALUE(RIGHT(B2120,4)),MATCH(MID(B2120,4,3),{"Jan","Feb","Mar","Apr","May","Jun","Jul","Aug","Sep","Oct","Nov","Dec"},0),VALUE(LEFT(B2120,2)))))</f>
        <v>45724</v>
      </c>
    </row>
    <row r="2121" customFormat="false" ht="15" hidden="false" customHeight="false" outlineLevel="0" collapsed="false">
      <c r="A2121" s="7" t="s">
        <v>4932</v>
      </c>
      <c r="B2121" s="7" t="s">
        <v>735</v>
      </c>
      <c r="C2121" s="7" t="s">
        <v>2602</v>
      </c>
      <c r="D2121" s="7" t="s">
        <v>2807</v>
      </c>
      <c r="E2121" s="7" t="s">
        <v>4933</v>
      </c>
      <c r="F2121" s="7" t="s">
        <v>128</v>
      </c>
      <c r="G2121" s="7" t="s">
        <v>99</v>
      </c>
      <c r="H2121" s="7" t="n">
        <v>3</v>
      </c>
      <c r="I2121" s="7" t="n">
        <v>215</v>
      </c>
      <c r="J2121" s="7" t="n">
        <v>75</v>
      </c>
      <c r="K2121" s="7" t="s">
        <v>133</v>
      </c>
      <c r="L2121" s="7" t="s">
        <v>238</v>
      </c>
      <c r="M2121" s="7"/>
      <c r="N2121" s="7"/>
      <c r="O2121" s="7" t="str">
        <f aca="false">A2121&amp;"|"&amp;B2121&amp;"|"&amp;C2121&amp;"|"&amp;D2121&amp;"|"&amp;E2121&amp;"|"&amp;F2121&amp;"|"&amp;G2121&amp;"|"&amp;H2121&amp;"|"&amp;I2121&amp;"|"&amp;J2121&amp;"|"&amp;K2121&amp;"|"&amp;L2121&amp;"|"&amp;M2121&amp;"|"&amp;N2121</f>
        <v>ORD10868|2025-04-19|18:41|C1387|MADRAS BIRYANI CO|Chennai|Biryani|3|215|75|Net Banking|Cancelled||</v>
      </c>
      <c r="P2121" s="7" t="str">
        <f aca="false">IF(COUNTIF($O$2:O2121,O2121)&gt;1,"DUP","OK")</f>
        <v>OK</v>
      </c>
      <c r="Q2121" s="7" t="n">
        <f aca="false">COUNTBLANK(A2121:N2121)</f>
        <v>2</v>
      </c>
      <c r="R2121" s="7" t="n">
        <f aca="false">IF(A2121="",0,COUNTIFS($A$2:$A$3058,A2121,$P$2:$P$3058,"OK"))</f>
        <v>1</v>
      </c>
      <c r="S2121" s="7" t="str">
        <f aca="false">IF(OR(A2121="",P2121="DUP",R2121&lt;2),"",IF(Q2121=_xlfn.MINIFS($Q$2:$Q$3058,$A$2:$A$3058,A2121,$P$2:$P$3058,"OK"),"KEEP","DROP"))</f>
        <v/>
      </c>
      <c r="T2121" s="9" t="n">
        <f aca="false">IF(A2121="",1,0)</f>
        <v>0</v>
      </c>
      <c r="U2121" s="9" t="n">
        <f aca="false">IF(D2121="",1,0)</f>
        <v>0</v>
      </c>
      <c r="V2121" s="9" t="n">
        <f aca="false">IF(E2121="",1,0)</f>
        <v>0</v>
      </c>
      <c r="W2121" s="9" t="n">
        <f aca="false">IF(OR(H2121&lt;1,H2121&gt;10),1,0)</f>
        <v>0</v>
      </c>
      <c r="X2121" s="9" t="n">
        <f aca="false">IF(OR(I2121&lt;=0,I2121&gt;1500),1,0)</f>
        <v>0</v>
      </c>
      <c r="Y2121" s="9" t="n">
        <f aca="false">IF(J2121&gt;H2121*I2121,1,0)</f>
        <v>0</v>
      </c>
      <c r="Z2121" s="9" t="n">
        <f aca="false">IF(AND(N2121&lt;&gt;"",OR(N2121&lt;1,N2121&gt;5)),1,0)</f>
        <v>0</v>
      </c>
      <c r="AA2121" s="9" t="n">
        <f aca="false">IF(AND(M2121&lt;&gt;"",OR(M2121&lt;5,M2121&gt;180)),1,0)</f>
        <v>0</v>
      </c>
      <c r="AB2121" s="7" t="str">
        <f aca="false">IF(P2121="DUP","Exact duplicate row",IF(T2121=1,"Missing Order ID",IF(S2121="DROP","Duplicate Order ID (less complete row)",IF(U2121=1,"Missing Customer ID",IF(V2121=1,"Missing Restaurant name",IF(W2121=1,"Invalid/outlier quantity",IF(X2121=1,"Invalid/outlier unit price",IF(Y2121=1,"Discount greater than order value",""))))))))</f>
        <v/>
      </c>
      <c r="AC2121" s="7" t="str">
        <f aca="false">IF(AB2121="","KEEP","DROP")</f>
        <v>KEEP</v>
      </c>
      <c r="AD2121" s="7" t="str">
        <f aca="false">IF(TRIM(F2121)="",IFERROR(INDEX(Map_Tables!$I$4:$I$37,MATCH(TRIM(E2121),Map_Tables!$G$4:$G$37,0)),""),IFERROR(INDEX(Map_Tables!$B$4:$B$18,MATCH(TRIM(F2121),Map_Tables!$A$4:$A$18,0)),"CHECK"))</f>
        <v>Chennai</v>
      </c>
      <c r="AE2121" s="7" t="str">
        <f aca="false">IF(TRIM(E2121)="","",IFERROR(INDEX(Map_Tables!$H$4:$H$37,MATCH(TRIM(E2121),Map_Tables!$G$4:$G$37,0)),"CHECK"))</f>
        <v>Madras Biryani Co</v>
      </c>
      <c r="AF2121" s="7" t="str">
        <f aca="false">IF(TRIM(K2121)="","Unknown",IFERROR(INDEX(Map_Tables!$E$4:$E$15,MATCH(TRIM(K2121),Map_Tables!$D$4:$D$15,0)),"CHECK"))</f>
        <v>Net Banking</v>
      </c>
      <c r="AG2121" s="7" t="str">
        <f aca="false">IF(LEFT(LOWER(TRIM(L2121)),6)="cancel","Cancelled","Delivered")</f>
        <v>Cancelled</v>
      </c>
      <c r="AH2121" s="10" t="n">
        <f aca="false">IF(ISNUMBER(SEARCH("/",B2121)),DATE(VALUE(RIGHT(B2121,4)),VALUE(MID(B2121,4,2)),VALUE(LEFT(B2121,2))),IF(MID(B2121,5,1)="-",DATE(VALUE(LEFT(B2121,4)),VALUE(MID(B2121,6,2)),VALUE(RIGHT(B2121,2))),DATE(VALUE(RIGHT(B2121,4)),MATCH(MID(B2121,4,3),{"Jan","Feb","Mar","Apr","May","Jun","Jul","Aug","Sep","Oct","Nov","Dec"},0),VALUE(LEFT(B2121,2)))))</f>
        <v>45766</v>
      </c>
    </row>
    <row r="2122" customFormat="false" ht="15" hidden="false" customHeight="false" outlineLevel="0" collapsed="false">
      <c r="A2122" s="7" t="s">
        <v>4934</v>
      </c>
      <c r="B2122" s="7" t="s">
        <v>345</v>
      </c>
      <c r="C2122" s="7" t="s">
        <v>4935</v>
      </c>
      <c r="D2122" s="7" t="s">
        <v>4936</v>
      </c>
      <c r="E2122" s="7" t="s">
        <v>154</v>
      </c>
      <c r="F2122" s="7" t="s">
        <v>128</v>
      </c>
      <c r="G2122" s="7" t="s">
        <v>99</v>
      </c>
      <c r="H2122" s="7" t="n">
        <v>2</v>
      </c>
      <c r="I2122" s="7" t="n">
        <v>290</v>
      </c>
      <c r="J2122" s="7" t="n">
        <v>20</v>
      </c>
      <c r="K2122" s="7" t="s">
        <v>379</v>
      </c>
      <c r="L2122" s="7" t="s">
        <v>194</v>
      </c>
      <c r="M2122" s="7" t="n">
        <v>43</v>
      </c>
      <c r="N2122" s="7" t="n">
        <v>4</v>
      </c>
      <c r="O2122" s="7" t="str">
        <f aca="false">A2122&amp;"|"&amp;B2122&amp;"|"&amp;C2122&amp;"|"&amp;D2122&amp;"|"&amp;E2122&amp;"|"&amp;F2122&amp;"|"&amp;G2122&amp;"|"&amp;H2122&amp;"|"&amp;I2122&amp;"|"&amp;J2122&amp;"|"&amp;K2122&amp;"|"&amp;L2122&amp;"|"&amp;M2122&amp;"|"&amp;N2122</f>
        <v>ORD10887|2025-04-22|16:29|C0589|Madras Biryani Co|Chennai|Biryani|2|290|20|Credit card|Delivered|43|4</v>
      </c>
      <c r="P2122" s="7" t="str">
        <f aca="false">IF(COUNTIF($O$2:O2122,O2122)&gt;1,"DUP","OK")</f>
        <v>OK</v>
      </c>
      <c r="Q2122" s="7" t="n">
        <f aca="false">COUNTBLANK(A2122:N2122)</f>
        <v>0</v>
      </c>
      <c r="R2122" s="7" t="n">
        <f aca="false">IF(A2122="",0,COUNTIFS($A$2:$A$3058,A2122,$P$2:$P$3058,"OK"))</f>
        <v>1</v>
      </c>
      <c r="S2122" s="7" t="str">
        <f aca="false">IF(OR(A2122="",P2122="DUP",R2122&lt;2),"",IF(Q2122=_xlfn.MINIFS($Q$2:$Q$3058,$A$2:$A$3058,A2122,$P$2:$P$3058,"OK"),"KEEP","DROP"))</f>
        <v/>
      </c>
      <c r="T2122" s="9" t="n">
        <f aca="false">IF(A2122="",1,0)</f>
        <v>0</v>
      </c>
      <c r="U2122" s="9" t="n">
        <f aca="false">IF(D2122="",1,0)</f>
        <v>0</v>
      </c>
      <c r="V2122" s="9" t="n">
        <f aca="false">IF(E2122="",1,0)</f>
        <v>0</v>
      </c>
      <c r="W2122" s="9" t="n">
        <f aca="false">IF(OR(H2122&lt;1,H2122&gt;10),1,0)</f>
        <v>0</v>
      </c>
      <c r="X2122" s="9" t="n">
        <f aca="false">IF(OR(I2122&lt;=0,I2122&gt;1500),1,0)</f>
        <v>0</v>
      </c>
      <c r="Y2122" s="9" t="n">
        <f aca="false">IF(J2122&gt;H2122*I2122,1,0)</f>
        <v>0</v>
      </c>
      <c r="Z2122" s="9" t="n">
        <f aca="false">IF(AND(N2122&lt;&gt;"",OR(N2122&lt;1,N2122&gt;5)),1,0)</f>
        <v>0</v>
      </c>
      <c r="AA2122" s="9" t="n">
        <f aca="false">IF(AND(M2122&lt;&gt;"",OR(M2122&lt;5,M2122&gt;180)),1,0)</f>
        <v>0</v>
      </c>
      <c r="AB2122" s="7" t="str">
        <f aca="false">IF(P2122="DUP","Exact duplicate row",IF(T2122=1,"Missing Order ID",IF(S2122="DROP","Duplicate Order ID (less complete row)",IF(U2122=1,"Missing Customer ID",IF(V2122=1,"Missing Restaurant name",IF(W2122=1,"Invalid/outlier quantity",IF(X2122=1,"Invalid/outlier unit price",IF(Y2122=1,"Discount greater than order value",""))))))))</f>
        <v/>
      </c>
      <c r="AC2122" s="7" t="str">
        <f aca="false">IF(AB2122="","KEEP","DROP")</f>
        <v>KEEP</v>
      </c>
      <c r="AD2122" s="7" t="str">
        <f aca="false">IF(TRIM(F2122)="",IFERROR(INDEX(Map_Tables!$I$4:$I$37,MATCH(TRIM(E2122),Map_Tables!$G$4:$G$37,0)),""),IFERROR(INDEX(Map_Tables!$B$4:$B$18,MATCH(TRIM(F2122),Map_Tables!$A$4:$A$18,0)),"CHECK"))</f>
        <v>Chennai</v>
      </c>
      <c r="AE2122" s="7" t="str">
        <f aca="false">IF(TRIM(E2122)="","",IFERROR(INDEX(Map_Tables!$H$4:$H$37,MATCH(TRIM(E2122),Map_Tables!$G$4:$G$37,0)),"CHECK"))</f>
        <v>Madras Biryani Co</v>
      </c>
      <c r="AF2122" s="7" t="str">
        <f aca="false">IF(TRIM(K2122)="","Unknown",IFERROR(INDEX(Map_Tables!$E$4:$E$15,MATCH(TRIM(K2122),Map_Tables!$D$4:$D$15,0)),"CHECK"))</f>
        <v>Credit Card</v>
      </c>
      <c r="AG2122" s="7" t="str">
        <f aca="false">IF(LEFT(LOWER(TRIM(L2122)),6)="cancel","Cancelled","Delivered")</f>
        <v>Delivered</v>
      </c>
      <c r="AH2122" s="10" t="n">
        <f aca="false">IF(ISNUMBER(SEARCH("/",B2122)),DATE(VALUE(RIGHT(B2122,4)),VALUE(MID(B2122,4,2)),VALUE(LEFT(B2122,2))),IF(MID(B2122,5,1)="-",DATE(VALUE(LEFT(B2122,4)),VALUE(MID(B2122,6,2)),VALUE(RIGHT(B2122,2))),DATE(VALUE(RIGHT(B2122,4)),MATCH(MID(B2122,4,3),{"Jan","Feb","Mar","Apr","May","Jun","Jul","Aug","Sep","Oct","Nov","Dec"},0),VALUE(LEFT(B2122,2)))))</f>
        <v>45769</v>
      </c>
    </row>
    <row r="2123" customFormat="false" ht="15" hidden="false" customHeight="false" outlineLevel="0" collapsed="false">
      <c r="A2123" s="7" t="s">
        <v>4937</v>
      </c>
      <c r="B2123" s="7" t="s">
        <v>402</v>
      </c>
      <c r="C2123" s="7" t="s">
        <v>227</v>
      </c>
      <c r="D2123" s="7" t="s">
        <v>2970</v>
      </c>
      <c r="E2123" s="7" t="s">
        <v>116</v>
      </c>
      <c r="F2123" s="7" t="s">
        <v>101</v>
      </c>
      <c r="G2123" s="7" t="s">
        <v>117</v>
      </c>
      <c r="H2123" s="7" t="n">
        <v>2</v>
      </c>
      <c r="I2123" s="7" t="n">
        <v>120</v>
      </c>
      <c r="J2123" s="7" t="n">
        <v>40</v>
      </c>
      <c r="K2123" s="7" t="s">
        <v>115</v>
      </c>
      <c r="L2123" s="7" t="s">
        <v>194</v>
      </c>
      <c r="M2123" s="7" t="n">
        <v>40</v>
      </c>
      <c r="N2123" s="7" t="n">
        <v>3</v>
      </c>
      <c r="O2123" s="7" t="str">
        <f aca="false">A2123&amp;"|"&amp;B2123&amp;"|"&amp;C2123&amp;"|"&amp;D2123&amp;"|"&amp;E2123&amp;"|"&amp;F2123&amp;"|"&amp;G2123&amp;"|"&amp;H2123&amp;"|"&amp;I2123&amp;"|"&amp;J2123&amp;"|"&amp;K2123&amp;"|"&amp;L2123&amp;"|"&amp;M2123&amp;"|"&amp;N2123</f>
        <v>ORD12111|2025-09-28|21:36|C0122|Pav Bhaji Point|Mumbai|Street Food|2|120|40|cash on delivery|Delivered|40|3</v>
      </c>
      <c r="P2123" s="7" t="str">
        <f aca="false">IF(COUNTIF($O$2:O2123,O2123)&gt;1,"DUP","OK")</f>
        <v>OK</v>
      </c>
      <c r="Q2123" s="7" t="n">
        <f aca="false">COUNTBLANK(A2123:N2123)</f>
        <v>0</v>
      </c>
      <c r="R2123" s="7" t="n">
        <f aca="false">IF(A2123="",0,COUNTIFS($A$2:$A$3058,A2123,$P$2:$P$3058,"OK"))</f>
        <v>1</v>
      </c>
      <c r="S2123" s="7" t="str">
        <f aca="false">IF(OR(A2123="",P2123="DUP",R2123&lt;2),"",IF(Q2123=_xlfn.MINIFS($Q$2:$Q$3058,$A$2:$A$3058,A2123,$P$2:$P$3058,"OK"),"KEEP","DROP"))</f>
        <v/>
      </c>
      <c r="T2123" s="9" t="n">
        <f aca="false">IF(A2123="",1,0)</f>
        <v>0</v>
      </c>
      <c r="U2123" s="9" t="n">
        <f aca="false">IF(D2123="",1,0)</f>
        <v>0</v>
      </c>
      <c r="V2123" s="9" t="n">
        <f aca="false">IF(E2123="",1,0)</f>
        <v>0</v>
      </c>
      <c r="W2123" s="9" t="n">
        <f aca="false">IF(OR(H2123&lt;1,H2123&gt;10),1,0)</f>
        <v>0</v>
      </c>
      <c r="X2123" s="9" t="n">
        <f aca="false">IF(OR(I2123&lt;=0,I2123&gt;1500),1,0)</f>
        <v>0</v>
      </c>
      <c r="Y2123" s="9" t="n">
        <f aca="false">IF(J2123&gt;H2123*I2123,1,0)</f>
        <v>0</v>
      </c>
      <c r="Z2123" s="9" t="n">
        <f aca="false">IF(AND(N2123&lt;&gt;"",OR(N2123&lt;1,N2123&gt;5)),1,0)</f>
        <v>0</v>
      </c>
      <c r="AA2123" s="9" t="n">
        <f aca="false">IF(AND(M2123&lt;&gt;"",OR(M2123&lt;5,M2123&gt;180)),1,0)</f>
        <v>0</v>
      </c>
      <c r="AB2123" s="7" t="str">
        <f aca="false">IF(P2123="DUP","Exact duplicate row",IF(T2123=1,"Missing Order ID",IF(S2123="DROP","Duplicate Order ID (less complete row)",IF(U2123=1,"Missing Customer ID",IF(V2123=1,"Missing Restaurant name",IF(W2123=1,"Invalid/outlier quantity",IF(X2123=1,"Invalid/outlier unit price",IF(Y2123=1,"Discount greater than order value",""))))))))</f>
        <v/>
      </c>
      <c r="AC2123" s="7" t="str">
        <f aca="false">IF(AB2123="","KEEP","DROP")</f>
        <v>KEEP</v>
      </c>
      <c r="AD2123" s="7" t="str">
        <f aca="false">IF(TRIM(F2123)="",IFERROR(INDEX(Map_Tables!$I$4:$I$37,MATCH(TRIM(E2123),Map_Tables!$G$4:$G$37,0)),""),IFERROR(INDEX(Map_Tables!$B$4:$B$18,MATCH(TRIM(F2123),Map_Tables!$A$4:$A$18,0)),"CHECK"))</f>
        <v>Mumbai</v>
      </c>
      <c r="AE2123" s="7" t="str">
        <f aca="false">IF(TRIM(E2123)="","",IFERROR(INDEX(Map_Tables!$H$4:$H$37,MATCH(TRIM(E2123),Map_Tables!$G$4:$G$37,0)),"CHECK"))</f>
        <v>Pav Bhaji Point</v>
      </c>
      <c r="AF2123" s="7" t="str">
        <f aca="false">IF(TRIM(K2123)="","Unknown",IFERROR(INDEX(Map_Tables!$E$4:$E$15,MATCH(TRIM(K2123),Map_Tables!$D$4:$D$15,0)),"CHECK"))</f>
        <v>Cash on Delivery</v>
      </c>
      <c r="AG2123" s="7" t="str">
        <f aca="false">IF(LEFT(LOWER(TRIM(L2123)),6)="cancel","Cancelled","Delivered")</f>
        <v>Delivered</v>
      </c>
      <c r="AH2123" s="10" t="n">
        <f aca="false">IF(ISNUMBER(SEARCH("/",B2123)),DATE(VALUE(RIGHT(B2123,4)),VALUE(MID(B2123,4,2)),VALUE(LEFT(B2123,2))),IF(MID(B2123,5,1)="-",DATE(VALUE(LEFT(B2123,4)),VALUE(MID(B2123,6,2)),VALUE(RIGHT(B2123,2))),DATE(VALUE(RIGHT(B2123,4)),MATCH(MID(B2123,4,3),{"Jan","Feb","Mar","Apr","May","Jun","Jul","Aug","Sep","Oct","Nov","Dec"},0),VALUE(LEFT(B2123,2)))))</f>
        <v>45928</v>
      </c>
    </row>
    <row r="2124" customFormat="false" ht="15" hidden="false" customHeight="false" outlineLevel="0" collapsed="false">
      <c r="A2124" s="7" t="s">
        <v>4938</v>
      </c>
      <c r="B2124" s="7" t="s">
        <v>442</v>
      </c>
      <c r="C2124" s="7" t="s">
        <v>2756</v>
      </c>
      <c r="D2124" s="7" t="s">
        <v>2503</v>
      </c>
      <c r="E2124" s="7" t="s">
        <v>89</v>
      </c>
      <c r="F2124" s="7" t="s">
        <v>86</v>
      </c>
      <c r="G2124" s="7" t="s">
        <v>90</v>
      </c>
      <c r="H2124" s="7" t="n">
        <v>2</v>
      </c>
      <c r="I2124" s="7" t="n">
        <v>260</v>
      </c>
      <c r="J2124" s="7" t="n">
        <v>0</v>
      </c>
      <c r="K2124" s="7" t="s">
        <v>102</v>
      </c>
      <c r="L2124" s="7" t="s">
        <v>194</v>
      </c>
      <c r="M2124" s="7" t="n">
        <v>37</v>
      </c>
      <c r="N2124" s="7" t="n">
        <v>4</v>
      </c>
      <c r="O2124" s="7" t="str">
        <f aca="false">A2124&amp;"|"&amp;B2124&amp;"|"&amp;C2124&amp;"|"&amp;D2124&amp;"|"&amp;E2124&amp;"|"&amp;F2124&amp;"|"&amp;G2124&amp;"|"&amp;H2124&amp;"|"&amp;I2124&amp;"|"&amp;J2124&amp;"|"&amp;K2124&amp;"|"&amp;L2124&amp;"|"&amp;M2124&amp;"|"&amp;N2124</f>
        <v>ORD10600|2025-03-17|20:17|C0807|Spice Junction|Bengaluru|North Indian|2|260|0|debit card|Delivered|37|4</v>
      </c>
      <c r="P2124" s="7" t="str">
        <f aca="false">IF(COUNTIF($O$2:O2124,O2124)&gt;1,"DUP","OK")</f>
        <v>OK</v>
      </c>
      <c r="Q2124" s="7" t="n">
        <f aca="false">COUNTBLANK(A2124:N2124)</f>
        <v>0</v>
      </c>
      <c r="R2124" s="7" t="n">
        <f aca="false">IF(A2124="",0,COUNTIFS($A$2:$A$3058,A2124,$P$2:$P$3058,"OK"))</f>
        <v>1</v>
      </c>
      <c r="S2124" s="7" t="str">
        <f aca="false">IF(OR(A2124="",P2124="DUP",R2124&lt;2),"",IF(Q2124=_xlfn.MINIFS($Q$2:$Q$3058,$A$2:$A$3058,A2124,$P$2:$P$3058,"OK"),"KEEP","DROP"))</f>
        <v/>
      </c>
      <c r="T2124" s="9" t="n">
        <f aca="false">IF(A2124="",1,0)</f>
        <v>0</v>
      </c>
      <c r="U2124" s="9" t="n">
        <f aca="false">IF(D2124="",1,0)</f>
        <v>0</v>
      </c>
      <c r="V2124" s="9" t="n">
        <f aca="false">IF(E2124="",1,0)</f>
        <v>0</v>
      </c>
      <c r="W2124" s="9" t="n">
        <f aca="false">IF(OR(H2124&lt;1,H2124&gt;10),1,0)</f>
        <v>0</v>
      </c>
      <c r="X2124" s="9" t="n">
        <f aca="false">IF(OR(I2124&lt;=0,I2124&gt;1500),1,0)</f>
        <v>0</v>
      </c>
      <c r="Y2124" s="9" t="n">
        <f aca="false">IF(J2124&gt;H2124*I2124,1,0)</f>
        <v>0</v>
      </c>
      <c r="Z2124" s="9" t="n">
        <f aca="false">IF(AND(N2124&lt;&gt;"",OR(N2124&lt;1,N2124&gt;5)),1,0)</f>
        <v>0</v>
      </c>
      <c r="AA2124" s="9" t="n">
        <f aca="false">IF(AND(M2124&lt;&gt;"",OR(M2124&lt;5,M2124&gt;180)),1,0)</f>
        <v>0</v>
      </c>
      <c r="AB2124" s="7" t="str">
        <f aca="false">IF(P2124="DUP","Exact duplicate row",IF(T2124=1,"Missing Order ID",IF(S2124="DROP","Duplicate Order ID (less complete row)",IF(U2124=1,"Missing Customer ID",IF(V2124=1,"Missing Restaurant name",IF(W2124=1,"Invalid/outlier quantity",IF(X2124=1,"Invalid/outlier unit price",IF(Y2124=1,"Discount greater than order value",""))))))))</f>
        <v/>
      </c>
      <c r="AC2124" s="7" t="str">
        <f aca="false">IF(AB2124="","KEEP","DROP")</f>
        <v>KEEP</v>
      </c>
      <c r="AD2124" s="7" t="str">
        <f aca="false">IF(TRIM(F2124)="",IFERROR(INDEX(Map_Tables!$I$4:$I$37,MATCH(TRIM(E2124),Map_Tables!$G$4:$G$37,0)),""),IFERROR(INDEX(Map_Tables!$B$4:$B$18,MATCH(TRIM(F2124),Map_Tables!$A$4:$A$18,0)),"CHECK"))</f>
        <v>Bengaluru</v>
      </c>
      <c r="AE2124" s="7" t="str">
        <f aca="false">IF(TRIM(E2124)="","",IFERROR(INDEX(Map_Tables!$H$4:$H$37,MATCH(TRIM(E2124),Map_Tables!$G$4:$G$37,0)),"CHECK"))</f>
        <v>Spice Junction</v>
      </c>
      <c r="AF2124" s="7" t="str">
        <f aca="false">IF(TRIM(K2124)="","Unknown",IFERROR(INDEX(Map_Tables!$E$4:$E$15,MATCH(TRIM(K2124),Map_Tables!$D$4:$D$15,0)),"CHECK"))</f>
        <v>Debit Card</v>
      </c>
      <c r="AG2124" s="7" t="str">
        <f aca="false">IF(LEFT(LOWER(TRIM(L2124)),6)="cancel","Cancelled","Delivered")</f>
        <v>Delivered</v>
      </c>
      <c r="AH2124" s="10" t="n">
        <f aca="false">IF(ISNUMBER(SEARCH("/",B2124)),DATE(VALUE(RIGHT(B2124,4)),VALUE(MID(B2124,4,2)),VALUE(LEFT(B2124,2))),IF(MID(B2124,5,1)="-",DATE(VALUE(LEFT(B2124,4)),VALUE(MID(B2124,6,2)),VALUE(RIGHT(B2124,2))),DATE(VALUE(RIGHT(B2124,4)),MATCH(MID(B2124,4,3),{"Jan","Feb","Mar","Apr","May","Jun","Jul","Aug","Sep","Oct","Nov","Dec"},0),VALUE(LEFT(B2124,2)))))</f>
        <v>45733</v>
      </c>
    </row>
    <row r="2125" customFormat="false" ht="15" hidden="false" customHeight="false" outlineLevel="0" collapsed="false">
      <c r="A2125" s="7" t="s">
        <v>4939</v>
      </c>
      <c r="B2125" s="7" t="s">
        <v>921</v>
      </c>
      <c r="C2125" s="7" t="s">
        <v>4307</v>
      </c>
      <c r="D2125" s="7" t="s">
        <v>4940</v>
      </c>
      <c r="E2125" s="7" t="s">
        <v>138</v>
      </c>
      <c r="F2125" s="7" t="s">
        <v>110</v>
      </c>
      <c r="G2125" s="7" t="s">
        <v>139</v>
      </c>
      <c r="H2125" s="7" t="n">
        <v>2</v>
      </c>
      <c r="I2125" s="7" t="n">
        <v>190</v>
      </c>
      <c r="J2125" s="7" t="n">
        <v>0</v>
      </c>
      <c r="K2125" s="7" t="s">
        <v>566</v>
      </c>
      <c r="L2125" s="7" t="s">
        <v>194</v>
      </c>
      <c r="M2125" s="7" t="n">
        <v>46</v>
      </c>
      <c r="N2125" s="7" t="n">
        <v>5</v>
      </c>
      <c r="O2125" s="7" t="str">
        <f aca="false">A2125&amp;"|"&amp;B2125&amp;"|"&amp;C2125&amp;"|"&amp;D2125&amp;"|"&amp;E2125&amp;"|"&amp;F2125&amp;"|"&amp;G2125&amp;"|"&amp;H2125&amp;"|"&amp;I2125&amp;"|"&amp;J2125&amp;"|"&amp;K2125&amp;"|"&amp;L2125&amp;"|"&amp;M2125&amp;"|"&amp;N2125</f>
        <v>ORD12165|2025-10-03|21:49|C1254|Burger Barn|Delhi|Burgers|2|190|0|NetBanking|Delivered|46|5</v>
      </c>
      <c r="P2125" s="7" t="str">
        <f aca="false">IF(COUNTIF($O$2:O2125,O2125)&gt;1,"DUP","OK")</f>
        <v>OK</v>
      </c>
      <c r="Q2125" s="7" t="n">
        <f aca="false">COUNTBLANK(A2125:N2125)</f>
        <v>0</v>
      </c>
      <c r="R2125" s="7" t="n">
        <f aca="false">IF(A2125="",0,COUNTIFS($A$2:$A$3058,A2125,$P$2:$P$3058,"OK"))</f>
        <v>1</v>
      </c>
      <c r="S2125" s="7" t="str">
        <f aca="false">IF(OR(A2125="",P2125="DUP",R2125&lt;2),"",IF(Q2125=_xlfn.MINIFS($Q$2:$Q$3058,$A$2:$A$3058,A2125,$P$2:$P$3058,"OK"),"KEEP","DROP"))</f>
        <v/>
      </c>
      <c r="T2125" s="9" t="n">
        <f aca="false">IF(A2125="",1,0)</f>
        <v>0</v>
      </c>
      <c r="U2125" s="9" t="n">
        <f aca="false">IF(D2125="",1,0)</f>
        <v>0</v>
      </c>
      <c r="V2125" s="9" t="n">
        <f aca="false">IF(E2125="",1,0)</f>
        <v>0</v>
      </c>
      <c r="W2125" s="9" t="n">
        <f aca="false">IF(OR(H2125&lt;1,H2125&gt;10),1,0)</f>
        <v>0</v>
      </c>
      <c r="X2125" s="9" t="n">
        <f aca="false">IF(OR(I2125&lt;=0,I2125&gt;1500),1,0)</f>
        <v>0</v>
      </c>
      <c r="Y2125" s="9" t="n">
        <f aca="false">IF(J2125&gt;H2125*I2125,1,0)</f>
        <v>0</v>
      </c>
      <c r="Z2125" s="9" t="n">
        <f aca="false">IF(AND(N2125&lt;&gt;"",OR(N2125&lt;1,N2125&gt;5)),1,0)</f>
        <v>0</v>
      </c>
      <c r="AA2125" s="9" t="n">
        <f aca="false">IF(AND(M2125&lt;&gt;"",OR(M2125&lt;5,M2125&gt;180)),1,0)</f>
        <v>0</v>
      </c>
      <c r="AB2125" s="7" t="str">
        <f aca="false">IF(P2125="DUP","Exact duplicate row",IF(T2125=1,"Missing Order ID",IF(S2125="DROP","Duplicate Order ID (less complete row)",IF(U2125=1,"Missing Customer ID",IF(V2125=1,"Missing Restaurant name",IF(W2125=1,"Invalid/outlier quantity",IF(X2125=1,"Invalid/outlier unit price",IF(Y2125=1,"Discount greater than order value",""))))))))</f>
        <v/>
      </c>
      <c r="AC2125" s="7" t="str">
        <f aca="false">IF(AB2125="","KEEP","DROP")</f>
        <v>KEEP</v>
      </c>
      <c r="AD2125" s="7" t="str">
        <f aca="false">IF(TRIM(F2125)="",IFERROR(INDEX(Map_Tables!$I$4:$I$37,MATCH(TRIM(E2125),Map_Tables!$G$4:$G$37,0)),""),IFERROR(INDEX(Map_Tables!$B$4:$B$18,MATCH(TRIM(F2125),Map_Tables!$A$4:$A$18,0)),"CHECK"))</f>
        <v>Delhi</v>
      </c>
      <c r="AE2125" s="7" t="str">
        <f aca="false">IF(TRIM(E2125)="","",IFERROR(INDEX(Map_Tables!$H$4:$H$37,MATCH(TRIM(E2125),Map_Tables!$G$4:$G$37,0)),"CHECK"))</f>
        <v>Burger Barn</v>
      </c>
      <c r="AF2125" s="7" t="str">
        <f aca="false">IF(TRIM(K2125)="","Unknown",IFERROR(INDEX(Map_Tables!$E$4:$E$15,MATCH(TRIM(K2125),Map_Tables!$D$4:$D$15,0)),"CHECK"))</f>
        <v>Net Banking</v>
      </c>
      <c r="AG2125" s="7" t="str">
        <f aca="false">IF(LEFT(LOWER(TRIM(L2125)),6)="cancel","Cancelled","Delivered")</f>
        <v>Delivered</v>
      </c>
      <c r="AH2125" s="10" t="n">
        <f aca="false">IF(ISNUMBER(SEARCH("/",B2125)),DATE(VALUE(RIGHT(B2125,4)),VALUE(MID(B2125,4,2)),VALUE(LEFT(B2125,2))),IF(MID(B2125,5,1)="-",DATE(VALUE(LEFT(B2125,4)),VALUE(MID(B2125,6,2)),VALUE(RIGHT(B2125,2))),DATE(VALUE(RIGHT(B2125,4)),MATCH(MID(B2125,4,3),{"Jan","Feb","Mar","Apr","May","Jun","Jul","Aug","Sep","Oct","Nov","Dec"},0),VALUE(LEFT(B2125,2)))))</f>
        <v>45933</v>
      </c>
    </row>
    <row r="2126" customFormat="false" ht="15" hidden="false" customHeight="false" outlineLevel="0" collapsed="false">
      <c r="A2126" s="7" t="s">
        <v>4941</v>
      </c>
      <c r="B2126" s="7" t="s">
        <v>248</v>
      </c>
      <c r="C2126" s="7" t="s">
        <v>638</v>
      </c>
      <c r="D2126" s="7" t="s">
        <v>2990</v>
      </c>
      <c r="E2126" s="7" t="s">
        <v>1094</v>
      </c>
      <c r="F2126" s="7" t="s">
        <v>110</v>
      </c>
      <c r="G2126" s="7" t="s">
        <v>139</v>
      </c>
      <c r="H2126" s="7" t="n">
        <v>2</v>
      </c>
      <c r="I2126" s="7" t="n">
        <v>195</v>
      </c>
      <c r="J2126" s="7" t="n">
        <v>150</v>
      </c>
      <c r="K2126" s="7" t="s">
        <v>133</v>
      </c>
      <c r="L2126" s="7" t="s">
        <v>194</v>
      </c>
      <c r="M2126" s="7" t="n">
        <v>47</v>
      </c>
      <c r="N2126" s="7" t="n">
        <v>3</v>
      </c>
      <c r="O2126" s="7" t="str">
        <f aca="false">A2126&amp;"|"&amp;B2126&amp;"|"&amp;C2126&amp;"|"&amp;D2126&amp;"|"&amp;E2126&amp;"|"&amp;F2126&amp;"|"&amp;G2126&amp;"|"&amp;H2126&amp;"|"&amp;I2126&amp;"|"&amp;J2126&amp;"|"&amp;K2126&amp;"|"&amp;L2126&amp;"|"&amp;M2126&amp;"|"&amp;N2126</f>
        <v>ORD10458|2025-03-02|20:38|C0189|BURGER BARN|Delhi|Burgers|2|195|150|Net Banking|Delivered|47|3</v>
      </c>
      <c r="P2126" s="7" t="str">
        <f aca="false">IF(COUNTIF($O$2:O2126,O2126)&gt;1,"DUP","OK")</f>
        <v>OK</v>
      </c>
      <c r="Q2126" s="7" t="n">
        <f aca="false">COUNTBLANK(A2126:N2126)</f>
        <v>0</v>
      </c>
      <c r="R2126" s="7" t="n">
        <f aca="false">IF(A2126="",0,COUNTIFS($A$2:$A$3058,A2126,$P$2:$P$3058,"OK"))</f>
        <v>1</v>
      </c>
      <c r="S2126" s="7" t="str">
        <f aca="false">IF(OR(A2126="",P2126="DUP",R2126&lt;2),"",IF(Q2126=_xlfn.MINIFS($Q$2:$Q$3058,$A$2:$A$3058,A2126,$P$2:$P$3058,"OK"),"KEEP","DROP"))</f>
        <v/>
      </c>
      <c r="T2126" s="9" t="n">
        <f aca="false">IF(A2126="",1,0)</f>
        <v>0</v>
      </c>
      <c r="U2126" s="9" t="n">
        <f aca="false">IF(D2126="",1,0)</f>
        <v>0</v>
      </c>
      <c r="V2126" s="9" t="n">
        <f aca="false">IF(E2126="",1,0)</f>
        <v>0</v>
      </c>
      <c r="W2126" s="9" t="n">
        <f aca="false">IF(OR(H2126&lt;1,H2126&gt;10),1,0)</f>
        <v>0</v>
      </c>
      <c r="X2126" s="9" t="n">
        <f aca="false">IF(OR(I2126&lt;=0,I2126&gt;1500),1,0)</f>
        <v>0</v>
      </c>
      <c r="Y2126" s="9" t="n">
        <f aca="false">IF(J2126&gt;H2126*I2126,1,0)</f>
        <v>0</v>
      </c>
      <c r="Z2126" s="9" t="n">
        <f aca="false">IF(AND(N2126&lt;&gt;"",OR(N2126&lt;1,N2126&gt;5)),1,0)</f>
        <v>0</v>
      </c>
      <c r="AA2126" s="9" t="n">
        <f aca="false">IF(AND(M2126&lt;&gt;"",OR(M2126&lt;5,M2126&gt;180)),1,0)</f>
        <v>0</v>
      </c>
      <c r="AB2126" s="7" t="str">
        <f aca="false">IF(P2126="DUP","Exact duplicate row",IF(T2126=1,"Missing Order ID",IF(S2126="DROP","Duplicate Order ID (less complete row)",IF(U2126=1,"Missing Customer ID",IF(V2126=1,"Missing Restaurant name",IF(W2126=1,"Invalid/outlier quantity",IF(X2126=1,"Invalid/outlier unit price",IF(Y2126=1,"Discount greater than order value",""))))))))</f>
        <v/>
      </c>
      <c r="AC2126" s="7" t="str">
        <f aca="false">IF(AB2126="","KEEP","DROP")</f>
        <v>KEEP</v>
      </c>
      <c r="AD2126" s="7" t="str">
        <f aca="false">IF(TRIM(F2126)="",IFERROR(INDEX(Map_Tables!$I$4:$I$37,MATCH(TRIM(E2126),Map_Tables!$G$4:$G$37,0)),""),IFERROR(INDEX(Map_Tables!$B$4:$B$18,MATCH(TRIM(F2126),Map_Tables!$A$4:$A$18,0)),"CHECK"))</f>
        <v>Delhi</v>
      </c>
      <c r="AE2126" s="7" t="str">
        <f aca="false">IF(TRIM(E2126)="","",IFERROR(INDEX(Map_Tables!$H$4:$H$37,MATCH(TRIM(E2126),Map_Tables!$G$4:$G$37,0)),"CHECK"))</f>
        <v>Burger Barn</v>
      </c>
      <c r="AF2126" s="7" t="str">
        <f aca="false">IF(TRIM(K2126)="","Unknown",IFERROR(INDEX(Map_Tables!$E$4:$E$15,MATCH(TRIM(K2126),Map_Tables!$D$4:$D$15,0)),"CHECK"))</f>
        <v>Net Banking</v>
      </c>
      <c r="AG2126" s="7" t="str">
        <f aca="false">IF(LEFT(LOWER(TRIM(L2126)),6)="cancel","Cancelled","Delivered")</f>
        <v>Delivered</v>
      </c>
      <c r="AH2126" s="10" t="n">
        <f aca="false">IF(ISNUMBER(SEARCH("/",B2126)),DATE(VALUE(RIGHT(B2126,4)),VALUE(MID(B2126,4,2)),VALUE(LEFT(B2126,2))),IF(MID(B2126,5,1)="-",DATE(VALUE(LEFT(B2126,4)),VALUE(MID(B2126,6,2)),VALUE(RIGHT(B2126,2))),DATE(VALUE(RIGHT(B2126,4)),MATCH(MID(B2126,4,3),{"Jan","Feb","Mar","Apr","May","Jun","Jul","Aug","Sep","Oct","Nov","Dec"},0),VALUE(LEFT(B2126,2)))))</f>
        <v>45718</v>
      </c>
    </row>
    <row r="2127" customFormat="false" ht="15" hidden="false" customHeight="false" outlineLevel="0" collapsed="false">
      <c r="A2127" s="7" t="s">
        <v>4942</v>
      </c>
      <c r="B2127" s="7" t="s">
        <v>4296</v>
      </c>
      <c r="C2127" s="7" t="s">
        <v>1864</v>
      </c>
      <c r="D2127" s="7" t="s">
        <v>4943</v>
      </c>
      <c r="E2127" s="7" t="s">
        <v>104</v>
      </c>
      <c r="F2127" s="7" t="s">
        <v>86</v>
      </c>
      <c r="G2127" s="7" t="s">
        <v>105</v>
      </c>
      <c r="H2127" s="7" t="n">
        <v>1</v>
      </c>
      <c r="I2127" s="7" t="n">
        <v>220</v>
      </c>
      <c r="J2127" s="7" t="n">
        <v>88</v>
      </c>
      <c r="K2127" s="7" t="s">
        <v>88</v>
      </c>
      <c r="L2127" s="7" t="s">
        <v>194</v>
      </c>
      <c r="M2127" s="7" t="n">
        <v>32</v>
      </c>
      <c r="N2127" s="7" t="n">
        <v>4</v>
      </c>
      <c r="O2127" s="7" t="str">
        <f aca="false">A2127&amp;"|"&amp;B2127&amp;"|"&amp;C2127&amp;"|"&amp;D2127&amp;"|"&amp;E2127&amp;"|"&amp;F2127&amp;"|"&amp;G2127&amp;"|"&amp;H2127&amp;"|"&amp;I2127&amp;"|"&amp;J2127&amp;"|"&amp;K2127&amp;"|"&amp;L2127&amp;"|"&amp;M2127&amp;"|"&amp;N2127</f>
        <v>ORD11118|22/05/2025|18:49|C0545|Wok &amp; Roll|Bengaluru|Chinese|1|220|88|UPI|Delivered|32|4</v>
      </c>
      <c r="P2127" s="7" t="str">
        <f aca="false">IF(COUNTIF($O$2:O2127,O2127)&gt;1,"DUP","OK")</f>
        <v>OK</v>
      </c>
      <c r="Q2127" s="7" t="n">
        <f aca="false">COUNTBLANK(A2127:N2127)</f>
        <v>0</v>
      </c>
      <c r="R2127" s="7" t="n">
        <f aca="false">IF(A2127="",0,COUNTIFS($A$2:$A$3058,A2127,$P$2:$P$3058,"OK"))</f>
        <v>1</v>
      </c>
      <c r="S2127" s="7" t="str">
        <f aca="false">IF(OR(A2127="",P2127="DUP",R2127&lt;2),"",IF(Q2127=_xlfn.MINIFS($Q$2:$Q$3058,$A$2:$A$3058,A2127,$P$2:$P$3058,"OK"),"KEEP","DROP"))</f>
        <v/>
      </c>
      <c r="T2127" s="9" t="n">
        <f aca="false">IF(A2127="",1,0)</f>
        <v>0</v>
      </c>
      <c r="U2127" s="9" t="n">
        <f aca="false">IF(D2127="",1,0)</f>
        <v>0</v>
      </c>
      <c r="V2127" s="9" t="n">
        <f aca="false">IF(E2127="",1,0)</f>
        <v>0</v>
      </c>
      <c r="W2127" s="9" t="n">
        <f aca="false">IF(OR(H2127&lt;1,H2127&gt;10),1,0)</f>
        <v>0</v>
      </c>
      <c r="X2127" s="9" t="n">
        <f aca="false">IF(OR(I2127&lt;=0,I2127&gt;1500),1,0)</f>
        <v>0</v>
      </c>
      <c r="Y2127" s="9" t="n">
        <f aca="false">IF(J2127&gt;H2127*I2127,1,0)</f>
        <v>0</v>
      </c>
      <c r="Z2127" s="9" t="n">
        <f aca="false">IF(AND(N2127&lt;&gt;"",OR(N2127&lt;1,N2127&gt;5)),1,0)</f>
        <v>0</v>
      </c>
      <c r="AA2127" s="9" t="n">
        <f aca="false">IF(AND(M2127&lt;&gt;"",OR(M2127&lt;5,M2127&gt;180)),1,0)</f>
        <v>0</v>
      </c>
      <c r="AB2127" s="7" t="str">
        <f aca="false">IF(P2127="DUP","Exact duplicate row",IF(T2127=1,"Missing Order ID",IF(S2127="DROP","Duplicate Order ID (less complete row)",IF(U2127=1,"Missing Customer ID",IF(V2127=1,"Missing Restaurant name",IF(W2127=1,"Invalid/outlier quantity",IF(X2127=1,"Invalid/outlier unit price",IF(Y2127=1,"Discount greater than order value",""))))))))</f>
        <v/>
      </c>
      <c r="AC2127" s="7" t="str">
        <f aca="false">IF(AB2127="","KEEP","DROP")</f>
        <v>KEEP</v>
      </c>
      <c r="AD2127" s="7" t="str">
        <f aca="false">IF(TRIM(F2127)="",IFERROR(INDEX(Map_Tables!$I$4:$I$37,MATCH(TRIM(E2127),Map_Tables!$G$4:$G$37,0)),""),IFERROR(INDEX(Map_Tables!$B$4:$B$18,MATCH(TRIM(F2127),Map_Tables!$A$4:$A$18,0)),"CHECK"))</f>
        <v>Bengaluru</v>
      </c>
      <c r="AE2127" s="7" t="str">
        <f aca="false">IF(TRIM(E2127)="","",IFERROR(INDEX(Map_Tables!$H$4:$H$37,MATCH(TRIM(E2127),Map_Tables!$G$4:$G$37,0)),"CHECK"))</f>
        <v>Wok &amp; Roll</v>
      </c>
      <c r="AF2127" s="7" t="str">
        <f aca="false">IF(TRIM(K2127)="","Unknown",IFERROR(INDEX(Map_Tables!$E$4:$E$15,MATCH(TRIM(K2127),Map_Tables!$D$4:$D$15,0)),"CHECK"))</f>
        <v>UPI</v>
      </c>
      <c r="AG2127" s="7" t="str">
        <f aca="false">IF(LEFT(LOWER(TRIM(L2127)),6)="cancel","Cancelled","Delivered")</f>
        <v>Delivered</v>
      </c>
      <c r="AH2127" s="10" t="n">
        <f aca="false">IF(ISNUMBER(SEARCH("/",B2127)),DATE(VALUE(RIGHT(B2127,4)),VALUE(MID(B2127,4,2)),VALUE(LEFT(B2127,2))),IF(MID(B2127,5,1)="-",DATE(VALUE(LEFT(B2127,4)),VALUE(MID(B2127,6,2)),VALUE(RIGHT(B2127,2))),DATE(VALUE(RIGHT(B2127,4)),MATCH(MID(B2127,4,3),{"Jan","Feb","Mar","Apr","May","Jun","Jul","Aug","Sep","Oct","Nov","Dec"},0),VALUE(LEFT(B2127,2)))))</f>
        <v>45799</v>
      </c>
    </row>
    <row r="2128" customFormat="false" ht="15" hidden="false" customHeight="false" outlineLevel="0" collapsed="false">
      <c r="A2128" s="7" t="s">
        <v>4944</v>
      </c>
      <c r="B2128" s="7" t="s">
        <v>938</v>
      </c>
      <c r="C2128" s="7" t="s">
        <v>315</v>
      </c>
      <c r="D2128" s="7" t="s">
        <v>1729</v>
      </c>
      <c r="E2128" s="7" t="s">
        <v>165</v>
      </c>
      <c r="F2128" s="7" t="s">
        <v>146</v>
      </c>
      <c r="G2128" s="7" t="s">
        <v>90</v>
      </c>
      <c r="H2128" s="7" t="n">
        <v>3</v>
      </c>
      <c r="I2128" s="7" t="n">
        <v>250</v>
      </c>
      <c r="J2128" s="7" t="n">
        <v>0</v>
      </c>
      <c r="K2128" s="7" t="s">
        <v>88</v>
      </c>
      <c r="L2128" s="7" t="s">
        <v>194</v>
      </c>
      <c r="M2128" s="7" t="n">
        <v>35</v>
      </c>
      <c r="N2128" s="7" t="n">
        <v>3</v>
      </c>
      <c r="O2128" s="7" t="str">
        <f aca="false">A2128&amp;"|"&amp;B2128&amp;"|"&amp;C2128&amp;"|"&amp;D2128&amp;"|"&amp;E2128&amp;"|"&amp;F2128&amp;"|"&amp;G2128&amp;"|"&amp;H2128&amp;"|"&amp;I2128&amp;"|"&amp;J2128&amp;"|"&amp;K2128&amp;"|"&amp;L2128&amp;"|"&amp;M2128&amp;"|"&amp;N2128</f>
        <v>ORD10871|2025-04-20|14:20|C0435|Gujarati Thali Ghar|Ahmedabad|North Indian|3|250|0|UPI|Delivered|35|3</v>
      </c>
      <c r="P2128" s="7" t="str">
        <f aca="false">IF(COUNTIF($O$2:O2128,O2128)&gt;1,"DUP","OK")</f>
        <v>OK</v>
      </c>
      <c r="Q2128" s="7" t="n">
        <f aca="false">COUNTBLANK(A2128:N2128)</f>
        <v>0</v>
      </c>
      <c r="R2128" s="7" t="n">
        <f aca="false">IF(A2128="",0,COUNTIFS($A$2:$A$3058,A2128,$P$2:$P$3058,"OK"))</f>
        <v>1</v>
      </c>
      <c r="S2128" s="7" t="str">
        <f aca="false">IF(OR(A2128="",P2128="DUP",R2128&lt;2),"",IF(Q2128=_xlfn.MINIFS($Q$2:$Q$3058,$A$2:$A$3058,A2128,$P$2:$P$3058,"OK"),"KEEP","DROP"))</f>
        <v/>
      </c>
      <c r="T2128" s="9" t="n">
        <f aca="false">IF(A2128="",1,0)</f>
        <v>0</v>
      </c>
      <c r="U2128" s="9" t="n">
        <f aca="false">IF(D2128="",1,0)</f>
        <v>0</v>
      </c>
      <c r="V2128" s="9" t="n">
        <f aca="false">IF(E2128="",1,0)</f>
        <v>0</v>
      </c>
      <c r="W2128" s="9" t="n">
        <f aca="false">IF(OR(H2128&lt;1,H2128&gt;10),1,0)</f>
        <v>0</v>
      </c>
      <c r="X2128" s="9" t="n">
        <f aca="false">IF(OR(I2128&lt;=0,I2128&gt;1500),1,0)</f>
        <v>0</v>
      </c>
      <c r="Y2128" s="9" t="n">
        <f aca="false">IF(J2128&gt;H2128*I2128,1,0)</f>
        <v>0</v>
      </c>
      <c r="Z2128" s="9" t="n">
        <f aca="false">IF(AND(N2128&lt;&gt;"",OR(N2128&lt;1,N2128&gt;5)),1,0)</f>
        <v>0</v>
      </c>
      <c r="AA2128" s="9" t="n">
        <f aca="false">IF(AND(M2128&lt;&gt;"",OR(M2128&lt;5,M2128&gt;180)),1,0)</f>
        <v>0</v>
      </c>
      <c r="AB2128" s="7" t="str">
        <f aca="false">IF(P2128="DUP","Exact duplicate row",IF(T2128=1,"Missing Order ID",IF(S2128="DROP","Duplicate Order ID (less complete row)",IF(U2128=1,"Missing Customer ID",IF(V2128=1,"Missing Restaurant name",IF(W2128=1,"Invalid/outlier quantity",IF(X2128=1,"Invalid/outlier unit price",IF(Y2128=1,"Discount greater than order value",""))))))))</f>
        <v/>
      </c>
      <c r="AC2128" s="7" t="str">
        <f aca="false">IF(AB2128="","KEEP","DROP")</f>
        <v>KEEP</v>
      </c>
      <c r="AD2128" s="7" t="str">
        <f aca="false">IF(TRIM(F2128)="",IFERROR(INDEX(Map_Tables!$I$4:$I$37,MATCH(TRIM(E2128),Map_Tables!$G$4:$G$37,0)),""),IFERROR(INDEX(Map_Tables!$B$4:$B$18,MATCH(TRIM(F2128),Map_Tables!$A$4:$A$18,0)),"CHECK"))</f>
        <v>Ahmedabad</v>
      </c>
      <c r="AE2128" s="7" t="str">
        <f aca="false">IF(TRIM(E2128)="","",IFERROR(INDEX(Map_Tables!$H$4:$H$37,MATCH(TRIM(E2128),Map_Tables!$G$4:$G$37,0)),"CHECK"))</f>
        <v>Gujarati Thali Ghar</v>
      </c>
      <c r="AF2128" s="7" t="str">
        <f aca="false">IF(TRIM(K2128)="","Unknown",IFERROR(INDEX(Map_Tables!$E$4:$E$15,MATCH(TRIM(K2128),Map_Tables!$D$4:$D$15,0)),"CHECK"))</f>
        <v>UPI</v>
      </c>
      <c r="AG2128" s="7" t="str">
        <f aca="false">IF(LEFT(LOWER(TRIM(L2128)),6)="cancel","Cancelled","Delivered")</f>
        <v>Delivered</v>
      </c>
      <c r="AH2128" s="10" t="n">
        <f aca="false">IF(ISNUMBER(SEARCH("/",B2128)),DATE(VALUE(RIGHT(B2128,4)),VALUE(MID(B2128,4,2)),VALUE(LEFT(B2128,2))),IF(MID(B2128,5,1)="-",DATE(VALUE(LEFT(B2128,4)),VALUE(MID(B2128,6,2)),VALUE(RIGHT(B2128,2))),DATE(VALUE(RIGHT(B2128,4)),MATCH(MID(B2128,4,3),{"Jan","Feb","Mar","Apr","May","Jun","Jul","Aug","Sep","Oct","Nov","Dec"},0),VALUE(LEFT(B2128,2)))))</f>
        <v>45767</v>
      </c>
    </row>
    <row r="2129" customFormat="false" ht="15" hidden="false" customHeight="false" outlineLevel="0" collapsed="false">
      <c r="A2129" s="7" t="s">
        <v>4945</v>
      </c>
      <c r="B2129" s="7" t="s">
        <v>2727</v>
      </c>
      <c r="C2129" s="7" t="s">
        <v>2716</v>
      </c>
      <c r="D2129" s="7" t="s">
        <v>1176</v>
      </c>
      <c r="E2129" s="7" t="s">
        <v>163</v>
      </c>
      <c r="F2129" s="7" t="s">
        <v>141</v>
      </c>
      <c r="G2129" s="7" t="s">
        <v>99</v>
      </c>
      <c r="H2129" s="7" t="n">
        <v>1</v>
      </c>
      <c r="I2129" s="7" t="n">
        <v>265</v>
      </c>
      <c r="J2129" s="7" t="n">
        <v>0</v>
      </c>
      <c r="K2129" s="7" t="s">
        <v>88</v>
      </c>
      <c r="L2129" s="7" t="s">
        <v>194</v>
      </c>
      <c r="M2129" s="7" t="n">
        <v>40</v>
      </c>
      <c r="N2129" s="7" t="n">
        <v>5</v>
      </c>
      <c r="O2129" s="7" t="str">
        <f aca="false">A2129&amp;"|"&amp;B2129&amp;"|"&amp;C2129&amp;"|"&amp;D2129&amp;"|"&amp;E2129&amp;"|"&amp;F2129&amp;"|"&amp;G2129&amp;"|"&amp;H2129&amp;"|"&amp;I2129&amp;"|"&amp;J2129&amp;"|"&amp;K2129&amp;"|"&amp;L2129&amp;"|"&amp;M2129&amp;"|"&amp;N2129</f>
        <v>ORD10791|2025-04-10|19:45|C1077|Biryani Baadshah|Kolkata|Biryani|1|265|0|UPI|Delivered|40|5</v>
      </c>
      <c r="P2129" s="7" t="str">
        <f aca="false">IF(COUNTIF($O$2:O2129,O2129)&gt;1,"DUP","OK")</f>
        <v>OK</v>
      </c>
      <c r="Q2129" s="7" t="n">
        <f aca="false">COUNTBLANK(A2129:N2129)</f>
        <v>0</v>
      </c>
      <c r="R2129" s="7" t="n">
        <f aca="false">IF(A2129="",0,COUNTIFS($A$2:$A$3058,A2129,$P$2:$P$3058,"OK"))</f>
        <v>1</v>
      </c>
      <c r="S2129" s="7" t="str">
        <f aca="false">IF(OR(A2129="",P2129="DUP",R2129&lt;2),"",IF(Q2129=_xlfn.MINIFS($Q$2:$Q$3058,$A$2:$A$3058,A2129,$P$2:$P$3058,"OK"),"KEEP","DROP"))</f>
        <v/>
      </c>
      <c r="T2129" s="9" t="n">
        <f aca="false">IF(A2129="",1,0)</f>
        <v>0</v>
      </c>
      <c r="U2129" s="9" t="n">
        <f aca="false">IF(D2129="",1,0)</f>
        <v>0</v>
      </c>
      <c r="V2129" s="9" t="n">
        <f aca="false">IF(E2129="",1,0)</f>
        <v>0</v>
      </c>
      <c r="W2129" s="9" t="n">
        <f aca="false">IF(OR(H2129&lt;1,H2129&gt;10),1,0)</f>
        <v>0</v>
      </c>
      <c r="X2129" s="9" t="n">
        <f aca="false">IF(OR(I2129&lt;=0,I2129&gt;1500),1,0)</f>
        <v>0</v>
      </c>
      <c r="Y2129" s="9" t="n">
        <f aca="false">IF(J2129&gt;H2129*I2129,1,0)</f>
        <v>0</v>
      </c>
      <c r="Z2129" s="9" t="n">
        <f aca="false">IF(AND(N2129&lt;&gt;"",OR(N2129&lt;1,N2129&gt;5)),1,0)</f>
        <v>0</v>
      </c>
      <c r="AA2129" s="9" t="n">
        <f aca="false">IF(AND(M2129&lt;&gt;"",OR(M2129&lt;5,M2129&gt;180)),1,0)</f>
        <v>0</v>
      </c>
      <c r="AB2129" s="7" t="str">
        <f aca="false">IF(P2129="DUP","Exact duplicate row",IF(T2129=1,"Missing Order ID",IF(S2129="DROP","Duplicate Order ID (less complete row)",IF(U2129=1,"Missing Customer ID",IF(V2129=1,"Missing Restaurant name",IF(W2129=1,"Invalid/outlier quantity",IF(X2129=1,"Invalid/outlier unit price",IF(Y2129=1,"Discount greater than order value",""))))))))</f>
        <v/>
      </c>
      <c r="AC2129" s="7" t="str">
        <f aca="false">IF(AB2129="","KEEP","DROP")</f>
        <v>KEEP</v>
      </c>
      <c r="AD2129" s="7" t="str">
        <f aca="false">IF(TRIM(F2129)="",IFERROR(INDEX(Map_Tables!$I$4:$I$37,MATCH(TRIM(E2129),Map_Tables!$G$4:$G$37,0)),""),IFERROR(INDEX(Map_Tables!$B$4:$B$18,MATCH(TRIM(F2129),Map_Tables!$A$4:$A$18,0)),"CHECK"))</f>
        <v>Kolkata</v>
      </c>
      <c r="AE2129" s="7" t="str">
        <f aca="false">IF(TRIM(E2129)="","",IFERROR(INDEX(Map_Tables!$H$4:$H$37,MATCH(TRIM(E2129),Map_Tables!$G$4:$G$37,0)),"CHECK"))</f>
        <v>Biryani Baadshah</v>
      </c>
      <c r="AF2129" s="7" t="str">
        <f aca="false">IF(TRIM(K2129)="","Unknown",IFERROR(INDEX(Map_Tables!$E$4:$E$15,MATCH(TRIM(K2129),Map_Tables!$D$4:$D$15,0)),"CHECK"))</f>
        <v>UPI</v>
      </c>
      <c r="AG2129" s="7" t="str">
        <f aca="false">IF(LEFT(LOWER(TRIM(L2129)),6)="cancel","Cancelled","Delivered")</f>
        <v>Delivered</v>
      </c>
      <c r="AH2129" s="10" t="n">
        <f aca="false">IF(ISNUMBER(SEARCH("/",B2129)),DATE(VALUE(RIGHT(B2129,4)),VALUE(MID(B2129,4,2)),VALUE(LEFT(B2129,2))),IF(MID(B2129,5,1)="-",DATE(VALUE(LEFT(B2129,4)),VALUE(MID(B2129,6,2)),VALUE(RIGHT(B2129,2))),DATE(VALUE(RIGHT(B2129,4)),MATCH(MID(B2129,4,3),{"Jan","Feb","Mar","Apr","May","Jun","Jul","Aug","Sep","Oct","Nov","Dec"},0),VALUE(LEFT(B2129,2)))))</f>
        <v>45757</v>
      </c>
    </row>
    <row r="2130" customFormat="false" ht="15" hidden="false" customHeight="false" outlineLevel="0" collapsed="false">
      <c r="A2130" s="7" t="s">
        <v>4946</v>
      </c>
      <c r="B2130" s="7" t="s">
        <v>2322</v>
      </c>
      <c r="C2130" s="7" t="s">
        <v>1118</v>
      </c>
      <c r="D2130" s="7" t="s">
        <v>1590</v>
      </c>
      <c r="E2130" s="7" t="s">
        <v>147</v>
      </c>
      <c r="F2130" s="7" t="s">
        <v>119</v>
      </c>
      <c r="G2130" s="7" t="s">
        <v>95</v>
      </c>
      <c r="H2130" s="7" t="n">
        <v>1</v>
      </c>
      <c r="I2130" s="7" t="n">
        <v>145</v>
      </c>
      <c r="J2130" s="7" t="n">
        <v>0</v>
      </c>
      <c r="K2130" s="7" t="s">
        <v>421</v>
      </c>
      <c r="L2130" s="7" t="s">
        <v>194</v>
      </c>
      <c r="M2130" s="7" t="n">
        <v>40</v>
      </c>
      <c r="N2130" s="7" t="n">
        <v>5</v>
      </c>
      <c r="O2130" s="7" t="str">
        <f aca="false">A2130&amp;"|"&amp;B2130&amp;"|"&amp;C2130&amp;"|"&amp;D2130&amp;"|"&amp;E2130&amp;"|"&amp;F2130&amp;"|"&amp;G2130&amp;"|"&amp;H2130&amp;"|"&amp;I2130&amp;"|"&amp;J2130&amp;"|"&amp;K2130&amp;"|"&amp;L2130&amp;"|"&amp;M2130&amp;"|"&amp;N2130</f>
        <v>ORD10955|2025-05-01|12:13|C1023|Andhra Meals Mess|Hyderabad|South Indian|1|145|0|UPI |Delivered|40|5</v>
      </c>
      <c r="P2130" s="7" t="str">
        <f aca="false">IF(COUNTIF($O$2:O2130,O2130)&gt;1,"DUP","OK")</f>
        <v>OK</v>
      </c>
      <c r="Q2130" s="7" t="n">
        <f aca="false">COUNTBLANK(A2130:N2130)</f>
        <v>0</v>
      </c>
      <c r="R2130" s="7" t="n">
        <f aca="false">IF(A2130="",0,COUNTIFS($A$2:$A$3058,A2130,$P$2:$P$3058,"OK"))</f>
        <v>1</v>
      </c>
      <c r="S2130" s="7" t="str">
        <f aca="false">IF(OR(A2130="",P2130="DUP",R2130&lt;2),"",IF(Q2130=_xlfn.MINIFS($Q$2:$Q$3058,$A$2:$A$3058,A2130,$P$2:$P$3058,"OK"),"KEEP","DROP"))</f>
        <v/>
      </c>
      <c r="T2130" s="9" t="n">
        <f aca="false">IF(A2130="",1,0)</f>
        <v>0</v>
      </c>
      <c r="U2130" s="9" t="n">
        <f aca="false">IF(D2130="",1,0)</f>
        <v>0</v>
      </c>
      <c r="V2130" s="9" t="n">
        <f aca="false">IF(E2130="",1,0)</f>
        <v>0</v>
      </c>
      <c r="W2130" s="9" t="n">
        <f aca="false">IF(OR(H2130&lt;1,H2130&gt;10),1,0)</f>
        <v>0</v>
      </c>
      <c r="X2130" s="9" t="n">
        <f aca="false">IF(OR(I2130&lt;=0,I2130&gt;1500),1,0)</f>
        <v>0</v>
      </c>
      <c r="Y2130" s="9" t="n">
        <f aca="false">IF(J2130&gt;H2130*I2130,1,0)</f>
        <v>0</v>
      </c>
      <c r="Z2130" s="9" t="n">
        <f aca="false">IF(AND(N2130&lt;&gt;"",OR(N2130&lt;1,N2130&gt;5)),1,0)</f>
        <v>0</v>
      </c>
      <c r="AA2130" s="9" t="n">
        <f aca="false">IF(AND(M2130&lt;&gt;"",OR(M2130&lt;5,M2130&gt;180)),1,0)</f>
        <v>0</v>
      </c>
      <c r="AB2130" s="7" t="str">
        <f aca="false">IF(P2130="DUP","Exact duplicate row",IF(T2130=1,"Missing Order ID",IF(S2130="DROP","Duplicate Order ID (less complete row)",IF(U2130=1,"Missing Customer ID",IF(V2130=1,"Missing Restaurant name",IF(W2130=1,"Invalid/outlier quantity",IF(X2130=1,"Invalid/outlier unit price",IF(Y2130=1,"Discount greater than order value",""))))))))</f>
        <v/>
      </c>
      <c r="AC2130" s="7" t="str">
        <f aca="false">IF(AB2130="","KEEP","DROP")</f>
        <v>KEEP</v>
      </c>
      <c r="AD2130" s="7" t="str">
        <f aca="false">IF(TRIM(F2130)="",IFERROR(INDEX(Map_Tables!$I$4:$I$37,MATCH(TRIM(E2130),Map_Tables!$G$4:$G$37,0)),""),IFERROR(INDEX(Map_Tables!$B$4:$B$18,MATCH(TRIM(F2130),Map_Tables!$A$4:$A$18,0)),"CHECK"))</f>
        <v>Hyderabad</v>
      </c>
      <c r="AE2130" s="7" t="str">
        <f aca="false">IF(TRIM(E2130)="","",IFERROR(INDEX(Map_Tables!$H$4:$H$37,MATCH(TRIM(E2130),Map_Tables!$G$4:$G$37,0)),"CHECK"))</f>
        <v>Andhra Meals Mess</v>
      </c>
      <c r="AF2130" s="7" t="str">
        <f aca="false">IF(TRIM(K2130)="","Unknown",IFERROR(INDEX(Map_Tables!$E$4:$E$15,MATCH(TRIM(K2130),Map_Tables!$D$4:$D$15,0)),"CHECK"))</f>
        <v>UPI</v>
      </c>
      <c r="AG2130" s="7" t="str">
        <f aca="false">IF(LEFT(LOWER(TRIM(L2130)),6)="cancel","Cancelled","Delivered")</f>
        <v>Delivered</v>
      </c>
      <c r="AH2130" s="10" t="n">
        <f aca="false">IF(ISNUMBER(SEARCH("/",B2130)),DATE(VALUE(RIGHT(B2130,4)),VALUE(MID(B2130,4,2)),VALUE(LEFT(B2130,2))),IF(MID(B2130,5,1)="-",DATE(VALUE(LEFT(B2130,4)),VALUE(MID(B2130,6,2)),VALUE(RIGHT(B2130,2))),DATE(VALUE(RIGHT(B2130,4)),MATCH(MID(B2130,4,3),{"Jan","Feb","Mar","Apr","May","Jun","Jul","Aug","Sep","Oct","Nov","Dec"},0),VALUE(LEFT(B2130,2)))))</f>
        <v>45778</v>
      </c>
    </row>
    <row r="2131" customFormat="false" ht="15" hidden="false" customHeight="false" outlineLevel="0" collapsed="false">
      <c r="A2131" s="7" t="s">
        <v>4947</v>
      </c>
      <c r="B2131" s="7" t="s">
        <v>4948</v>
      </c>
      <c r="C2131" s="7" t="s">
        <v>2083</v>
      </c>
      <c r="D2131" s="7" t="s">
        <v>784</v>
      </c>
      <c r="E2131" s="7" t="s">
        <v>122</v>
      </c>
      <c r="F2131" s="7" t="s">
        <v>101</v>
      </c>
      <c r="G2131" s="7" t="s">
        <v>123</v>
      </c>
      <c r="H2131" s="7" t="n">
        <v>4</v>
      </c>
      <c r="I2131" s="7" t="n">
        <v>320</v>
      </c>
      <c r="J2131" s="7" t="n">
        <v>100</v>
      </c>
      <c r="K2131" s="7" t="s">
        <v>112</v>
      </c>
      <c r="L2131" s="7" t="s">
        <v>194</v>
      </c>
      <c r="M2131" s="7" t="n">
        <v>42</v>
      </c>
      <c r="N2131" s="7" t="n">
        <v>3</v>
      </c>
      <c r="O2131" s="7" t="str">
        <f aca="false">A2131&amp;"|"&amp;B2131&amp;"|"&amp;C2131&amp;"|"&amp;D2131&amp;"|"&amp;E2131&amp;"|"&amp;F2131&amp;"|"&amp;G2131&amp;"|"&amp;H2131&amp;"|"&amp;I2131&amp;"|"&amp;J2131&amp;"|"&amp;K2131&amp;"|"&amp;L2131&amp;"|"&amp;M2131&amp;"|"&amp;N2131</f>
        <v>ORD10651|23/03/2025|21:13|C0674|Mumbai Pizza Co|Mumbai|Pizza|4|320|100|Cash on Delivery|Delivered|42|3</v>
      </c>
      <c r="P2131" s="7" t="str">
        <f aca="false">IF(COUNTIF($O$2:O2131,O2131)&gt;1,"DUP","OK")</f>
        <v>OK</v>
      </c>
      <c r="Q2131" s="7" t="n">
        <f aca="false">COUNTBLANK(A2131:N2131)</f>
        <v>0</v>
      </c>
      <c r="R2131" s="7" t="n">
        <f aca="false">IF(A2131="",0,COUNTIFS($A$2:$A$3058,A2131,$P$2:$P$3058,"OK"))</f>
        <v>1</v>
      </c>
      <c r="S2131" s="7" t="str">
        <f aca="false">IF(OR(A2131="",P2131="DUP",R2131&lt;2),"",IF(Q2131=_xlfn.MINIFS($Q$2:$Q$3058,$A$2:$A$3058,A2131,$P$2:$P$3058,"OK"),"KEEP","DROP"))</f>
        <v/>
      </c>
      <c r="T2131" s="9" t="n">
        <f aca="false">IF(A2131="",1,0)</f>
        <v>0</v>
      </c>
      <c r="U2131" s="9" t="n">
        <f aca="false">IF(D2131="",1,0)</f>
        <v>0</v>
      </c>
      <c r="V2131" s="9" t="n">
        <f aca="false">IF(E2131="",1,0)</f>
        <v>0</v>
      </c>
      <c r="W2131" s="9" t="n">
        <f aca="false">IF(OR(H2131&lt;1,H2131&gt;10),1,0)</f>
        <v>0</v>
      </c>
      <c r="X2131" s="9" t="n">
        <f aca="false">IF(OR(I2131&lt;=0,I2131&gt;1500),1,0)</f>
        <v>0</v>
      </c>
      <c r="Y2131" s="9" t="n">
        <f aca="false">IF(J2131&gt;H2131*I2131,1,0)</f>
        <v>0</v>
      </c>
      <c r="Z2131" s="9" t="n">
        <f aca="false">IF(AND(N2131&lt;&gt;"",OR(N2131&lt;1,N2131&gt;5)),1,0)</f>
        <v>0</v>
      </c>
      <c r="AA2131" s="9" t="n">
        <f aca="false">IF(AND(M2131&lt;&gt;"",OR(M2131&lt;5,M2131&gt;180)),1,0)</f>
        <v>0</v>
      </c>
      <c r="AB2131" s="7" t="str">
        <f aca="false">IF(P2131="DUP","Exact duplicate row",IF(T2131=1,"Missing Order ID",IF(S2131="DROP","Duplicate Order ID (less complete row)",IF(U2131=1,"Missing Customer ID",IF(V2131=1,"Missing Restaurant name",IF(W2131=1,"Invalid/outlier quantity",IF(X2131=1,"Invalid/outlier unit price",IF(Y2131=1,"Discount greater than order value",""))))))))</f>
        <v/>
      </c>
      <c r="AC2131" s="7" t="str">
        <f aca="false">IF(AB2131="","KEEP","DROP")</f>
        <v>KEEP</v>
      </c>
      <c r="AD2131" s="7" t="str">
        <f aca="false">IF(TRIM(F2131)="",IFERROR(INDEX(Map_Tables!$I$4:$I$37,MATCH(TRIM(E2131),Map_Tables!$G$4:$G$37,0)),""),IFERROR(INDEX(Map_Tables!$B$4:$B$18,MATCH(TRIM(F2131),Map_Tables!$A$4:$A$18,0)),"CHECK"))</f>
        <v>Mumbai</v>
      </c>
      <c r="AE2131" s="7" t="str">
        <f aca="false">IF(TRIM(E2131)="","",IFERROR(INDEX(Map_Tables!$H$4:$H$37,MATCH(TRIM(E2131),Map_Tables!$G$4:$G$37,0)),"CHECK"))</f>
        <v>Mumbai Pizza Co</v>
      </c>
      <c r="AF2131" s="7" t="str">
        <f aca="false">IF(TRIM(K2131)="","Unknown",IFERROR(INDEX(Map_Tables!$E$4:$E$15,MATCH(TRIM(K2131),Map_Tables!$D$4:$D$15,0)),"CHECK"))</f>
        <v>Cash on Delivery</v>
      </c>
      <c r="AG2131" s="7" t="str">
        <f aca="false">IF(LEFT(LOWER(TRIM(L2131)),6)="cancel","Cancelled","Delivered")</f>
        <v>Delivered</v>
      </c>
      <c r="AH2131" s="10" t="n">
        <f aca="false">IF(ISNUMBER(SEARCH("/",B2131)),DATE(VALUE(RIGHT(B2131,4)),VALUE(MID(B2131,4,2)),VALUE(LEFT(B2131,2))),IF(MID(B2131,5,1)="-",DATE(VALUE(LEFT(B2131,4)),VALUE(MID(B2131,6,2)),VALUE(RIGHT(B2131,2))),DATE(VALUE(RIGHT(B2131,4)),MATCH(MID(B2131,4,3),{"Jan","Feb","Mar","Apr","May","Jun","Jul","Aug","Sep","Oct","Nov","Dec"},0),VALUE(LEFT(B2131,2)))))</f>
        <v>45739</v>
      </c>
    </row>
    <row r="2132" customFormat="false" ht="15" hidden="false" customHeight="false" outlineLevel="0" collapsed="false">
      <c r="A2132" s="7" t="s">
        <v>4949</v>
      </c>
      <c r="B2132" s="7" t="s">
        <v>253</v>
      </c>
      <c r="C2132" s="7" t="s">
        <v>470</v>
      </c>
      <c r="D2132" s="7" t="s">
        <v>1594</v>
      </c>
      <c r="E2132" s="7" t="s">
        <v>94</v>
      </c>
      <c r="F2132" s="7" t="s">
        <v>86</v>
      </c>
      <c r="G2132" s="7" t="s">
        <v>95</v>
      </c>
      <c r="H2132" s="7" t="n">
        <v>2</v>
      </c>
      <c r="I2132" s="7" t="n">
        <v>125</v>
      </c>
      <c r="J2132" s="7" t="n">
        <v>100</v>
      </c>
      <c r="K2132" s="7" t="s">
        <v>88</v>
      </c>
      <c r="L2132" s="7" t="s">
        <v>194</v>
      </c>
      <c r="M2132" s="7" t="n">
        <v>25</v>
      </c>
      <c r="N2132" s="7" t="n">
        <v>3</v>
      </c>
      <c r="O2132" s="7" t="str">
        <f aca="false">A2132&amp;"|"&amp;B2132&amp;"|"&amp;C2132&amp;"|"&amp;D2132&amp;"|"&amp;E2132&amp;"|"&amp;F2132&amp;"|"&amp;G2132&amp;"|"&amp;H2132&amp;"|"&amp;I2132&amp;"|"&amp;J2132&amp;"|"&amp;K2132&amp;"|"&amp;L2132&amp;"|"&amp;M2132&amp;"|"&amp;N2132</f>
        <v>ORD10734|2025-04-04|11:29|C0869|Dosa Darbar|Bengaluru|South Indian|2|125|100|UPI|Delivered|25|3</v>
      </c>
      <c r="P2132" s="7" t="str">
        <f aca="false">IF(COUNTIF($O$2:O2132,O2132)&gt;1,"DUP","OK")</f>
        <v>OK</v>
      </c>
      <c r="Q2132" s="7" t="n">
        <f aca="false">COUNTBLANK(A2132:N2132)</f>
        <v>0</v>
      </c>
      <c r="R2132" s="7" t="n">
        <f aca="false">IF(A2132="",0,COUNTIFS($A$2:$A$3058,A2132,$P$2:$P$3058,"OK"))</f>
        <v>1</v>
      </c>
      <c r="S2132" s="7" t="str">
        <f aca="false">IF(OR(A2132="",P2132="DUP",R2132&lt;2),"",IF(Q2132=_xlfn.MINIFS($Q$2:$Q$3058,$A$2:$A$3058,A2132,$P$2:$P$3058,"OK"),"KEEP","DROP"))</f>
        <v/>
      </c>
      <c r="T2132" s="9" t="n">
        <f aca="false">IF(A2132="",1,0)</f>
        <v>0</v>
      </c>
      <c r="U2132" s="9" t="n">
        <f aca="false">IF(D2132="",1,0)</f>
        <v>0</v>
      </c>
      <c r="V2132" s="9" t="n">
        <f aca="false">IF(E2132="",1,0)</f>
        <v>0</v>
      </c>
      <c r="W2132" s="9" t="n">
        <f aca="false">IF(OR(H2132&lt;1,H2132&gt;10),1,0)</f>
        <v>0</v>
      </c>
      <c r="X2132" s="9" t="n">
        <f aca="false">IF(OR(I2132&lt;=0,I2132&gt;1500),1,0)</f>
        <v>0</v>
      </c>
      <c r="Y2132" s="9" t="n">
        <f aca="false">IF(J2132&gt;H2132*I2132,1,0)</f>
        <v>0</v>
      </c>
      <c r="Z2132" s="9" t="n">
        <f aca="false">IF(AND(N2132&lt;&gt;"",OR(N2132&lt;1,N2132&gt;5)),1,0)</f>
        <v>0</v>
      </c>
      <c r="AA2132" s="9" t="n">
        <f aca="false">IF(AND(M2132&lt;&gt;"",OR(M2132&lt;5,M2132&gt;180)),1,0)</f>
        <v>0</v>
      </c>
      <c r="AB2132" s="7" t="str">
        <f aca="false">IF(P2132="DUP","Exact duplicate row",IF(T2132=1,"Missing Order ID",IF(S2132="DROP","Duplicate Order ID (less complete row)",IF(U2132=1,"Missing Customer ID",IF(V2132=1,"Missing Restaurant name",IF(W2132=1,"Invalid/outlier quantity",IF(X2132=1,"Invalid/outlier unit price",IF(Y2132=1,"Discount greater than order value",""))))))))</f>
        <v/>
      </c>
      <c r="AC2132" s="7" t="str">
        <f aca="false">IF(AB2132="","KEEP","DROP")</f>
        <v>KEEP</v>
      </c>
      <c r="AD2132" s="7" t="str">
        <f aca="false">IF(TRIM(F2132)="",IFERROR(INDEX(Map_Tables!$I$4:$I$37,MATCH(TRIM(E2132),Map_Tables!$G$4:$G$37,0)),""),IFERROR(INDEX(Map_Tables!$B$4:$B$18,MATCH(TRIM(F2132),Map_Tables!$A$4:$A$18,0)),"CHECK"))</f>
        <v>Bengaluru</v>
      </c>
      <c r="AE2132" s="7" t="str">
        <f aca="false">IF(TRIM(E2132)="","",IFERROR(INDEX(Map_Tables!$H$4:$H$37,MATCH(TRIM(E2132),Map_Tables!$G$4:$G$37,0)),"CHECK"))</f>
        <v>Dosa Darbar</v>
      </c>
      <c r="AF2132" s="7" t="str">
        <f aca="false">IF(TRIM(K2132)="","Unknown",IFERROR(INDEX(Map_Tables!$E$4:$E$15,MATCH(TRIM(K2132),Map_Tables!$D$4:$D$15,0)),"CHECK"))</f>
        <v>UPI</v>
      </c>
      <c r="AG2132" s="7" t="str">
        <f aca="false">IF(LEFT(LOWER(TRIM(L2132)),6)="cancel","Cancelled","Delivered")</f>
        <v>Delivered</v>
      </c>
      <c r="AH2132" s="10" t="n">
        <f aca="false">IF(ISNUMBER(SEARCH("/",B2132)),DATE(VALUE(RIGHT(B2132,4)),VALUE(MID(B2132,4,2)),VALUE(LEFT(B2132,2))),IF(MID(B2132,5,1)="-",DATE(VALUE(LEFT(B2132,4)),VALUE(MID(B2132,6,2)),VALUE(RIGHT(B2132,2))),DATE(VALUE(RIGHT(B2132,4)),MATCH(MID(B2132,4,3),{"Jan","Feb","Mar","Apr","May","Jun","Jul","Aug","Sep","Oct","Nov","Dec"},0),VALUE(LEFT(B2132,2)))))</f>
        <v>45751</v>
      </c>
    </row>
    <row r="2133" customFormat="false" ht="15" hidden="false" customHeight="false" outlineLevel="0" collapsed="false">
      <c r="A2133" s="7" t="s">
        <v>4950</v>
      </c>
      <c r="B2133" s="7" t="s">
        <v>1885</v>
      </c>
      <c r="C2133" s="7" t="s">
        <v>3870</v>
      </c>
      <c r="D2133" s="7" t="s">
        <v>2072</v>
      </c>
      <c r="E2133" s="7" t="s">
        <v>154</v>
      </c>
      <c r="F2133" s="7" t="s">
        <v>127</v>
      </c>
      <c r="G2133" s="7" t="s">
        <v>99</v>
      </c>
      <c r="H2133" s="7" t="n">
        <v>1</v>
      </c>
      <c r="I2133" s="7" t="n">
        <v>275</v>
      </c>
      <c r="J2133" s="7" t="n">
        <v>20</v>
      </c>
      <c r="K2133" s="7" t="s">
        <v>93</v>
      </c>
      <c r="L2133" s="7" t="s">
        <v>194</v>
      </c>
      <c r="M2133" s="7" t="n">
        <v>40</v>
      </c>
      <c r="N2133" s="7" t="n">
        <v>4</v>
      </c>
      <c r="O2133" s="7" t="str">
        <f aca="false">A2133&amp;"|"&amp;B2133&amp;"|"&amp;C2133&amp;"|"&amp;D2133&amp;"|"&amp;E2133&amp;"|"&amp;F2133&amp;"|"&amp;G2133&amp;"|"&amp;H2133&amp;"|"&amp;I2133&amp;"|"&amp;J2133&amp;"|"&amp;K2133&amp;"|"&amp;L2133&amp;"|"&amp;M2133&amp;"|"&amp;N2133</f>
        <v>ORD12854|2025-12-15|22:23|C1361|Madras Biryani Co|chennai|Biryani|1|275|20|Credit Card|Delivered|40|4</v>
      </c>
      <c r="P2133" s="7" t="str">
        <f aca="false">IF(COUNTIF($O$2:O2133,O2133)&gt;1,"DUP","OK")</f>
        <v>OK</v>
      </c>
      <c r="Q2133" s="7" t="n">
        <f aca="false">COUNTBLANK(A2133:N2133)</f>
        <v>0</v>
      </c>
      <c r="R2133" s="7" t="n">
        <f aca="false">IF(A2133="",0,COUNTIFS($A$2:$A$3058,A2133,$P$2:$P$3058,"OK"))</f>
        <v>1</v>
      </c>
      <c r="S2133" s="7" t="str">
        <f aca="false">IF(OR(A2133="",P2133="DUP",R2133&lt;2),"",IF(Q2133=_xlfn.MINIFS($Q$2:$Q$3058,$A$2:$A$3058,A2133,$P$2:$P$3058,"OK"),"KEEP","DROP"))</f>
        <v/>
      </c>
      <c r="T2133" s="9" t="n">
        <f aca="false">IF(A2133="",1,0)</f>
        <v>0</v>
      </c>
      <c r="U2133" s="9" t="n">
        <f aca="false">IF(D2133="",1,0)</f>
        <v>0</v>
      </c>
      <c r="V2133" s="9" t="n">
        <f aca="false">IF(E2133="",1,0)</f>
        <v>0</v>
      </c>
      <c r="W2133" s="9" t="n">
        <f aca="false">IF(OR(H2133&lt;1,H2133&gt;10),1,0)</f>
        <v>0</v>
      </c>
      <c r="X2133" s="9" t="n">
        <f aca="false">IF(OR(I2133&lt;=0,I2133&gt;1500),1,0)</f>
        <v>0</v>
      </c>
      <c r="Y2133" s="9" t="n">
        <f aca="false">IF(J2133&gt;H2133*I2133,1,0)</f>
        <v>0</v>
      </c>
      <c r="Z2133" s="9" t="n">
        <f aca="false">IF(AND(N2133&lt;&gt;"",OR(N2133&lt;1,N2133&gt;5)),1,0)</f>
        <v>0</v>
      </c>
      <c r="AA2133" s="9" t="n">
        <f aca="false">IF(AND(M2133&lt;&gt;"",OR(M2133&lt;5,M2133&gt;180)),1,0)</f>
        <v>0</v>
      </c>
      <c r="AB2133" s="7" t="str">
        <f aca="false">IF(P2133="DUP","Exact duplicate row",IF(T2133=1,"Missing Order ID",IF(S2133="DROP","Duplicate Order ID (less complete row)",IF(U2133=1,"Missing Customer ID",IF(V2133=1,"Missing Restaurant name",IF(W2133=1,"Invalid/outlier quantity",IF(X2133=1,"Invalid/outlier unit price",IF(Y2133=1,"Discount greater than order value",""))))))))</f>
        <v/>
      </c>
      <c r="AC2133" s="7" t="str">
        <f aca="false">IF(AB2133="","KEEP","DROP")</f>
        <v>KEEP</v>
      </c>
      <c r="AD2133" s="7" t="str">
        <f aca="false">IF(TRIM(F2133)="",IFERROR(INDEX(Map_Tables!$I$4:$I$37,MATCH(TRIM(E2133),Map_Tables!$G$4:$G$37,0)),""),IFERROR(INDEX(Map_Tables!$B$4:$B$18,MATCH(TRIM(F2133),Map_Tables!$A$4:$A$18,0)),"CHECK"))</f>
        <v>Chennai</v>
      </c>
      <c r="AE2133" s="7" t="str">
        <f aca="false">IF(TRIM(E2133)="","",IFERROR(INDEX(Map_Tables!$H$4:$H$37,MATCH(TRIM(E2133),Map_Tables!$G$4:$G$37,0)),"CHECK"))</f>
        <v>Madras Biryani Co</v>
      </c>
      <c r="AF2133" s="7" t="str">
        <f aca="false">IF(TRIM(K2133)="","Unknown",IFERROR(INDEX(Map_Tables!$E$4:$E$15,MATCH(TRIM(K2133),Map_Tables!$D$4:$D$15,0)),"CHECK"))</f>
        <v>Credit Card</v>
      </c>
      <c r="AG2133" s="7" t="str">
        <f aca="false">IF(LEFT(LOWER(TRIM(L2133)),6)="cancel","Cancelled","Delivered")</f>
        <v>Delivered</v>
      </c>
      <c r="AH2133" s="10" t="n">
        <f aca="false">IF(ISNUMBER(SEARCH("/",B2133)),DATE(VALUE(RIGHT(B2133,4)),VALUE(MID(B2133,4,2)),VALUE(LEFT(B2133,2))),IF(MID(B2133,5,1)="-",DATE(VALUE(LEFT(B2133,4)),VALUE(MID(B2133,6,2)),VALUE(RIGHT(B2133,2))),DATE(VALUE(RIGHT(B2133,4)),MATCH(MID(B2133,4,3),{"Jan","Feb","Mar","Apr","May","Jun","Jul","Aug","Sep","Oct","Nov","Dec"},0),VALUE(LEFT(B2133,2)))))</f>
        <v>46006</v>
      </c>
    </row>
    <row r="2134" customFormat="false" ht="15" hidden="false" customHeight="false" outlineLevel="0" collapsed="false">
      <c r="A2134" s="7" t="s">
        <v>4951</v>
      </c>
      <c r="B2134" s="7" t="s">
        <v>200</v>
      </c>
      <c r="C2134" s="7" t="s">
        <v>4952</v>
      </c>
      <c r="D2134" s="7" t="s">
        <v>4953</v>
      </c>
      <c r="E2134" s="7" t="s">
        <v>130</v>
      </c>
      <c r="F2134" s="7" t="s">
        <v>110</v>
      </c>
      <c r="G2134" s="7" t="s">
        <v>90</v>
      </c>
      <c r="H2134" s="7" t="n">
        <v>1</v>
      </c>
      <c r="I2134" s="7" t="n">
        <v>305</v>
      </c>
      <c r="J2134" s="7" t="n">
        <v>50</v>
      </c>
      <c r="K2134" s="7" t="s">
        <v>103</v>
      </c>
      <c r="L2134" s="7" t="s">
        <v>194</v>
      </c>
      <c r="M2134" s="7" t="n">
        <v>34</v>
      </c>
      <c r="N2134" s="7" t="n">
        <v>4</v>
      </c>
      <c r="O2134" s="7" t="str">
        <f aca="false">A2134&amp;"|"&amp;B2134&amp;"|"&amp;C2134&amp;"|"&amp;D2134&amp;"|"&amp;E2134&amp;"|"&amp;F2134&amp;"|"&amp;G2134&amp;"|"&amp;H2134&amp;"|"&amp;I2134&amp;"|"&amp;J2134&amp;"|"&amp;K2134&amp;"|"&amp;L2134&amp;"|"&amp;M2134&amp;"|"&amp;N2134</f>
        <v>ORD10380|2025-02-19|23:59|C1319|Tandoor Tales|Delhi|North Indian|1|305|50|Debit Card|Delivered|34|4</v>
      </c>
      <c r="P2134" s="7" t="str">
        <f aca="false">IF(COUNTIF($O$2:O2134,O2134)&gt;1,"DUP","OK")</f>
        <v>OK</v>
      </c>
      <c r="Q2134" s="7" t="n">
        <f aca="false">COUNTBLANK(A2134:N2134)</f>
        <v>0</v>
      </c>
      <c r="R2134" s="7" t="n">
        <f aca="false">IF(A2134="",0,COUNTIFS($A$2:$A$3058,A2134,$P$2:$P$3058,"OK"))</f>
        <v>1</v>
      </c>
      <c r="S2134" s="7" t="str">
        <f aca="false">IF(OR(A2134="",P2134="DUP",R2134&lt;2),"",IF(Q2134=_xlfn.MINIFS($Q$2:$Q$3058,$A$2:$A$3058,A2134,$P$2:$P$3058,"OK"),"KEEP","DROP"))</f>
        <v/>
      </c>
      <c r="T2134" s="9" t="n">
        <f aca="false">IF(A2134="",1,0)</f>
        <v>0</v>
      </c>
      <c r="U2134" s="9" t="n">
        <f aca="false">IF(D2134="",1,0)</f>
        <v>0</v>
      </c>
      <c r="V2134" s="9" t="n">
        <f aca="false">IF(E2134="",1,0)</f>
        <v>0</v>
      </c>
      <c r="W2134" s="9" t="n">
        <f aca="false">IF(OR(H2134&lt;1,H2134&gt;10),1,0)</f>
        <v>0</v>
      </c>
      <c r="X2134" s="9" t="n">
        <f aca="false">IF(OR(I2134&lt;=0,I2134&gt;1500),1,0)</f>
        <v>0</v>
      </c>
      <c r="Y2134" s="9" t="n">
        <f aca="false">IF(J2134&gt;H2134*I2134,1,0)</f>
        <v>0</v>
      </c>
      <c r="Z2134" s="9" t="n">
        <f aca="false">IF(AND(N2134&lt;&gt;"",OR(N2134&lt;1,N2134&gt;5)),1,0)</f>
        <v>0</v>
      </c>
      <c r="AA2134" s="9" t="n">
        <f aca="false">IF(AND(M2134&lt;&gt;"",OR(M2134&lt;5,M2134&gt;180)),1,0)</f>
        <v>0</v>
      </c>
      <c r="AB2134" s="7" t="str">
        <f aca="false">IF(P2134="DUP","Exact duplicate row",IF(T2134=1,"Missing Order ID",IF(S2134="DROP","Duplicate Order ID (less complete row)",IF(U2134=1,"Missing Customer ID",IF(V2134=1,"Missing Restaurant name",IF(W2134=1,"Invalid/outlier quantity",IF(X2134=1,"Invalid/outlier unit price",IF(Y2134=1,"Discount greater than order value",""))))))))</f>
        <v/>
      </c>
      <c r="AC2134" s="7" t="str">
        <f aca="false">IF(AB2134="","KEEP","DROP")</f>
        <v>KEEP</v>
      </c>
      <c r="AD2134" s="7" t="str">
        <f aca="false">IF(TRIM(F2134)="",IFERROR(INDEX(Map_Tables!$I$4:$I$37,MATCH(TRIM(E2134),Map_Tables!$G$4:$G$37,0)),""),IFERROR(INDEX(Map_Tables!$B$4:$B$18,MATCH(TRIM(F2134),Map_Tables!$A$4:$A$18,0)),"CHECK"))</f>
        <v>Delhi</v>
      </c>
      <c r="AE2134" s="7" t="str">
        <f aca="false">IF(TRIM(E2134)="","",IFERROR(INDEX(Map_Tables!$H$4:$H$37,MATCH(TRIM(E2134),Map_Tables!$G$4:$G$37,0)),"CHECK"))</f>
        <v>Tandoor Tales</v>
      </c>
      <c r="AF2134" s="7" t="str">
        <f aca="false">IF(TRIM(K2134)="","Unknown",IFERROR(INDEX(Map_Tables!$E$4:$E$15,MATCH(TRIM(K2134),Map_Tables!$D$4:$D$15,0)),"CHECK"))</f>
        <v>Debit Card</v>
      </c>
      <c r="AG2134" s="7" t="str">
        <f aca="false">IF(LEFT(LOWER(TRIM(L2134)),6)="cancel","Cancelled","Delivered")</f>
        <v>Delivered</v>
      </c>
      <c r="AH2134" s="10" t="n">
        <f aca="false">IF(ISNUMBER(SEARCH("/",B2134)),DATE(VALUE(RIGHT(B2134,4)),VALUE(MID(B2134,4,2)),VALUE(LEFT(B2134,2))),IF(MID(B2134,5,1)="-",DATE(VALUE(LEFT(B2134,4)),VALUE(MID(B2134,6,2)),VALUE(RIGHT(B2134,2))),DATE(VALUE(RIGHT(B2134,4)),MATCH(MID(B2134,4,3),{"Jan","Feb","Mar","Apr","May","Jun","Jul","Aug","Sep","Oct","Nov","Dec"},0),VALUE(LEFT(B2134,2)))))</f>
        <v>45707</v>
      </c>
    </row>
    <row r="2135" customFormat="false" ht="15" hidden="false" customHeight="false" outlineLevel="0" collapsed="false">
      <c r="A2135" s="7" t="s">
        <v>4954</v>
      </c>
      <c r="B2135" s="7" t="s">
        <v>2322</v>
      </c>
      <c r="C2135" s="7" t="s">
        <v>1330</v>
      </c>
      <c r="D2135" s="7" t="s">
        <v>1990</v>
      </c>
      <c r="E2135" s="7" t="s">
        <v>94</v>
      </c>
      <c r="F2135" s="7" t="s">
        <v>86</v>
      </c>
      <c r="G2135" s="7" t="s">
        <v>95</v>
      </c>
      <c r="H2135" s="7" t="n">
        <v>1</v>
      </c>
      <c r="I2135" s="7" t="n">
        <v>105</v>
      </c>
      <c r="J2135" s="7" t="n">
        <v>30</v>
      </c>
      <c r="K2135" s="7" t="s">
        <v>88</v>
      </c>
      <c r="L2135" s="7" t="s">
        <v>194</v>
      </c>
      <c r="M2135" s="7" t="n">
        <v>52</v>
      </c>
      <c r="N2135" s="7" t="n">
        <v>3</v>
      </c>
      <c r="O2135" s="7" t="str">
        <f aca="false">A2135&amp;"|"&amp;B2135&amp;"|"&amp;C2135&amp;"|"&amp;D2135&amp;"|"&amp;E2135&amp;"|"&amp;F2135&amp;"|"&amp;G2135&amp;"|"&amp;H2135&amp;"|"&amp;I2135&amp;"|"&amp;J2135&amp;"|"&amp;K2135&amp;"|"&amp;L2135&amp;"|"&amp;M2135&amp;"|"&amp;N2135</f>
        <v>ORD10957|2025-05-01|13:03|C0040|Dosa Darbar|Bengaluru|South Indian|1|105|30|UPI|Delivered|52|3</v>
      </c>
      <c r="P2135" s="7" t="str">
        <f aca="false">IF(COUNTIF($O$2:O2135,O2135)&gt;1,"DUP","OK")</f>
        <v>OK</v>
      </c>
      <c r="Q2135" s="7" t="n">
        <f aca="false">COUNTBLANK(A2135:N2135)</f>
        <v>0</v>
      </c>
      <c r="R2135" s="7" t="n">
        <f aca="false">IF(A2135="",0,COUNTIFS($A$2:$A$3058,A2135,$P$2:$P$3058,"OK"))</f>
        <v>1</v>
      </c>
      <c r="S2135" s="7" t="str">
        <f aca="false">IF(OR(A2135="",P2135="DUP",R2135&lt;2),"",IF(Q2135=_xlfn.MINIFS($Q$2:$Q$3058,$A$2:$A$3058,A2135,$P$2:$P$3058,"OK"),"KEEP","DROP"))</f>
        <v/>
      </c>
      <c r="T2135" s="9" t="n">
        <f aca="false">IF(A2135="",1,0)</f>
        <v>0</v>
      </c>
      <c r="U2135" s="9" t="n">
        <f aca="false">IF(D2135="",1,0)</f>
        <v>0</v>
      </c>
      <c r="V2135" s="9" t="n">
        <f aca="false">IF(E2135="",1,0)</f>
        <v>0</v>
      </c>
      <c r="W2135" s="9" t="n">
        <f aca="false">IF(OR(H2135&lt;1,H2135&gt;10),1,0)</f>
        <v>0</v>
      </c>
      <c r="X2135" s="9" t="n">
        <f aca="false">IF(OR(I2135&lt;=0,I2135&gt;1500),1,0)</f>
        <v>0</v>
      </c>
      <c r="Y2135" s="9" t="n">
        <f aca="false">IF(J2135&gt;H2135*I2135,1,0)</f>
        <v>0</v>
      </c>
      <c r="Z2135" s="9" t="n">
        <f aca="false">IF(AND(N2135&lt;&gt;"",OR(N2135&lt;1,N2135&gt;5)),1,0)</f>
        <v>0</v>
      </c>
      <c r="AA2135" s="9" t="n">
        <f aca="false">IF(AND(M2135&lt;&gt;"",OR(M2135&lt;5,M2135&gt;180)),1,0)</f>
        <v>0</v>
      </c>
      <c r="AB2135" s="7" t="str">
        <f aca="false">IF(P2135="DUP","Exact duplicate row",IF(T2135=1,"Missing Order ID",IF(S2135="DROP","Duplicate Order ID (less complete row)",IF(U2135=1,"Missing Customer ID",IF(V2135=1,"Missing Restaurant name",IF(W2135=1,"Invalid/outlier quantity",IF(X2135=1,"Invalid/outlier unit price",IF(Y2135=1,"Discount greater than order value",""))))))))</f>
        <v/>
      </c>
      <c r="AC2135" s="7" t="str">
        <f aca="false">IF(AB2135="","KEEP","DROP")</f>
        <v>KEEP</v>
      </c>
      <c r="AD2135" s="7" t="str">
        <f aca="false">IF(TRIM(F2135)="",IFERROR(INDEX(Map_Tables!$I$4:$I$37,MATCH(TRIM(E2135),Map_Tables!$G$4:$G$37,0)),""),IFERROR(INDEX(Map_Tables!$B$4:$B$18,MATCH(TRIM(F2135),Map_Tables!$A$4:$A$18,0)),"CHECK"))</f>
        <v>Bengaluru</v>
      </c>
      <c r="AE2135" s="7" t="str">
        <f aca="false">IF(TRIM(E2135)="","",IFERROR(INDEX(Map_Tables!$H$4:$H$37,MATCH(TRIM(E2135),Map_Tables!$G$4:$G$37,0)),"CHECK"))</f>
        <v>Dosa Darbar</v>
      </c>
      <c r="AF2135" s="7" t="str">
        <f aca="false">IF(TRIM(K2135)="","Unknown",IFERROR(INDEX(Map_Tables!$E$4:$E$15,MATCH(TRIM(K2135),Map_Tables!$D$4:$D$15,0)),"CHECK"))</f>
        <v>UPI</v>
      </c>
      <c r="AG2135" s="7" t="str">
        <f aca="false">IF(LEFT(LOWER(TRIM(L2135)),6)="cancel","Cancelled","Delivered")</f>
        <v>Delivered</v>
      </c>
      <c r="AH2135" s="10" t="n">
        <f aca="false">IF(ISNUMBER(SEARCH("/",B2135)),DATE(VALUE(RIGHT(B2135,4)),VALUE(MID(B2135,4,2)),VALUE(LEFT(B2135,2))),IF(MID(B2135,5,1)="-",DATE(VALUE(LEFT(B2135,4)),VALUE(MID(B2135,6,2)),VALUE(RIGHT(B2135,2))),DATE(VALUE(RIGHT(B2135,4)),MATCH(MID(B2135,4,3),{"Jan","Feb","Mar","Apr","May","Jun","Jul","Aug","Sep","Oct","Nov","Dec"},0),VALUE(LEFT(B2135,2)))))</f>
        <v>45778</v>
      </c>
    </row>
    <row r="2136" customFormat="false" ht="15" hidden="false" customHeight="false" outlineLevel="0" collapsed="false">
      <c r="A2136" s="7" t="s">
        <v>4955</v>
      </c>
      <c r="B2136" s="7" t="s">
        <v>912</v>
      </c>
      <c r="C2136" s="7" t="s">
        <v>755</v>
      </c>
      <c r="D2136" s="7" t="s">
        <v>3671</v>
      </c>
      <c r="E2136" s="7" t="s">
        <v>158</v>
      </c>
      <c r="F2136" s="7" t="s">
        <v>136</v>
      </c>
      <c r="G2136" s="7" t="s">
        <v>139</v>
      </c>
      <c r="H2136" s="7" t="n">
        <v>3</v>
      </c>
      <c r="I2136" s="7" t="n">
        <v>195</v>
      </c>
      <c r="J2136" s="7" t="n">
        <v>100</v>
      </c>
      <c r="K2136" s="7" t="s">
        <v>88</v>
      </c>
      <c r="L2136" s="7" t="s">
        <v>194</v>
      </c>
      <c r="M2136" s="7" t="n">
        <v>30</v>
      </c>
      <c r="N2136" s="7"/>
      <c r="O2136" s="7" t="str">
        <f aca="false">A2136&amp;"|"&amp;B2136&amp;"|"&amp;C2136&amp;"|"&amp;D2136&amp;"|"&amp;E2136&amp;"|"&amp;F2136&amp;"|"&amp;G2136&amp;"|"&amp;H2136&amp;"|"&amp;I2136&amp;"|"&amp;J2136&amp;"|"&amp;K2136&amp;"|"&amp;L2136&amp;"|"&amp;M2136&amp;"|"&amp;N2136</f>
        <v>ORD10172|2025-01-23|11:24|C1124|Pune Burger Hub|Pune|Burgers|3|195|100|UPI|Delivered|30|</v>
      </c>
      <c r="P2136" s="7" t="str">
        <f aca="false">IF(COUNTIF($O$2:O2136,O2136)&gt;1,"DUP","OK")</f>
        <v>OK</v>
      </c>
      <c r="Q2136" s="7" t="n">
        <f aca="false">COUNTBLANK(A2136:N2136)</f>
        <v>1</v>
      </c>
      <c r="R2136" s="7" t="n">
        <f aca="false">IF(A2136="",0,COUNTIFS($A$2:$A$3058,A2136,$P$2:$P$3058,"OK"))</f>
        <v>1</v>
      </c>
      <c r="S2136" s="7" t="str">
        <f aca="false">IF(OR(A2136="",P2136="DUP",R2136&lt;2),"",IF(Q2136=_xlfn.MINIFS($Q$2:$Q$3058,$A$2:$A$3058,A2136,$P$2:$P$3058,"OK"),"KEEP","DROP"))</f>
        <v/>
      </c>
      <c r="T2136" s="9" t="n">
        <f aca="false">IF(A2136="",1,0)</f>
        <v>0</v>
      </c>
      <c r="U2136" s="9" t="n">
        <f aca="false">IF(D2136="",1,0)</f>
        <v>0</v>
      </c>
      <c r="V2136" s="9" t="n">
        <f aca="false">IF(E2136="",1,0)</f>
        <v>0</v>
      </c>
      <c r="W2136" s="9" t="n">
        <f aca="false">IF(OR(H2136&lt;1,H2136&gt;10),1,0)</f>
        <v>0</v>
      </c>
      <c r="X2136" s="9" t="n">
        <f aca="false">IF(OR(I2136&lt;=0,I2136&gt;1500),1,0)</f>
        <v>0</v>
      </c>
      <c r="Y2136" s="9" t="n">
        <f aca="false">IF(J2136&gt;H2136*I2136,1,0)</f>
        <v>0</v>
      </c>
      <c r="Z2136" s="9" t="n">
        <f aca="false">IF(AND(N2136&lt;&gt;"",OR(N2136&lt;1,N2136&gt;5)),1,0)</f>
        <v>0</v>
      </c>
      <c r="AA2136" s="9" t="n">
        <f aca="false">IF(AND(M2136&lt;&gt;"",OR(M2136&lt;5,M2136&gt;180)),1,0)</f>
        <v>0</v>
      </c>
      <c r="AB2136" s="7" t="str">
        <f aca="false">IF(P2136="DUP","Exact duplicate row",IF(T2136=1,"Missing Order ID",IF(S2136="DROP","Duplicate Order ID (less complete row)",IF(U2136=1,"Missing Customer ID",IF(V2136=1,"Missing Restaurant name",IF(W2136=1,"Invalid/outlier quantity",IF(X2136=1,"Invalid/outlier unit price",IF(Y2136=1,"Discount greater than order value",""))))))))</f>
        <v/>
      </c>
      <c r="AC2136" s="7" t="str">
        <f aca="false">IF(AB2136="","KEEP","DROP")</f>
        <v>KEEP</v>
      </c>
      <c r="AD2136" s="7" t="str">
        <f aca="false">IF(TRIM(F2136)="",IFERROR(INDEX(Map_Tables!$I$4:$I$37,MATCH(TRIM(E2136),Map_Tables!$G$4:$G$37,0)),""),IFERROR(INDEX(Map_Tables!$B$4:$B$18,MATCH(TRIM(F2136),Map_Tables!$A$4:$A$18,0)),"CHECK"))</f>
        <v>Pune</v>
      </c>
      <c r="AE2136" s="7" t="str">
        <f aca="false">IF(TRIM(E2136)="","",IFERROR(INDEX(Map_Tables!$H$4:$H$37,MATCH(TRIM(E2136),Map_Tables!$G$4:$G$37,0)),"CHECK"))</f>
        <v>Pune Burger Hub</v>
      </c>
      <c r="AF2136" s="7" t="str">
        <f aca="false">IF(TRIM(K2136)="","Unknown",IFERROR(INDEX(Map_Tables!$E$4:$E$15,MATCH(TRIM(K2136),Map_Tables!$D$4:$D$15,0)),"CHECK"))</f>
        <v>UPI</v>
      </c>
      <c r="AG2136" s="7" t="str">
        <f aca="false">IF(LEFT(LOWER(TRIM(L2136)),6)="cancel","Cancelled","Delivered")</f>
        <v>Delivered</v>
      </c>
      <c r="AH2136" s="10" t="n">
        <f aca="false">IF(ISNUMBER(SEARCH("/",B2136)),DATE(VALUE(RIGHT(B2136,4)),VALUE(MID(B2136,4,2)),VALUE(LEFT(B2136,2))),IF(MID(B2136,5,1)="-",DATE(VALUE(LEFT(B2136,4)),VALUE(MID(B2136,6,2)),VALUE(RIGHT(B2136,2))),DATE(VALUE(RIGHT(B2136,4)),MATCH(MID(B2136,4,3),{"Jan","Feb","Mar","Apr","May","Jun","Jul","Aug","Sep","Oct","Nov","Dec"},0),VALUE(LEFT(B2136,2)))))</f>
        <v>45680</v>
      </c>
    </row>
    <row r="2137" customFormat="false" ht="15" hidden="false" customHeight="false" outlineLevel="0" collapsed="false">
      <c r="A2137" s="7" t="s">
        <v>4956</v>
      </c>
      <c r="B2137" s="7" t="s">
        <v>4471</v>
      </c>
      <c r="C2137" s="7" t="s">
        <v>4957</v>
      </c>
      <c r="D2137" s="7" t="s">
        <v>339</v>
      </c>
      <c r="E2137" s="7" t="s">
        <v>144</v>
      </c>
      <c r="F2137" s="7" t="s">
        <v>119</v>
      </c>
      <c r="G2137" s="7" t="s">
        <v>99</v>
      </c>
      <c r="H2137" s="7" t="n">
        <v>2</v>
      </c>
      <c r="I2137" s="7" t="n">
        <v>260</v>
      </c>
      <c r="J2137" s="7" t="n">
        <v>20</v>
      </c>
      <c r="K2137" s="7" t="s">
        <v>93</v>
      </c>
      <c r="L2137" s="7" t="s">
        <v>194</v>
      </c>
      <c r="M2137" s="7" t="n">
        <v>38</v>
      </c>
      <c r="N2137" s="7" t="n">
        <v>3</v>
      </c>
      <c r="O2137" s="7" t="str">
        <f aca="false">A2137&amp;"|"&amp;B2137&amp;"|"&amp;C2137&amp;"|"&amp;D2137&amp;"|"&amp;E2137&amp;"|"&amp;F2137&amp;"|"&amp;G2137&amp;"|"&amp;H2137&amp;"|"&amp;I2137&amp;"|"&amp;J2137&amp;"|"&amp;K2137&amp;"|"&amp;L2137&amp;"|"&amp;M2137&amp;"|"&amp;N2137</f>
        <v>ORD11945|10/09/2025|01:27|C0245|Hyderabad Dum Biryani|Hyderabad|Biryani|2|260|20|Credit Card|Delivered|38|3</v>
      </c>
      <c r="P2137" s="7" t="str">
        <f aca="false">IF(COUNTIF($O$2:O2137,O2137)&gt;1,"DUP","OK")</f>
        <v>OK</v>
      </c>
      <c r="Q2137" s="7" t="n">
        <f aca="false">COUNTBLANK(A2137:N2137)</f>
        <v>0</v>
      </c>
      <c r="R2137" s="7" t="n">
        <f aca="false">IF(A2137="",0,COUNTIFS($A$2:$A$3058,A2137,$P$2:$P$3058,"OK"))</f>
        <v>1</v>
      </c>
      <c r="S2137" s="7" t="str">
        <f aca="false">IF(OR(A2137="",P2137="DUP",R2137&lt;2),"",IF(Q2137=_xlfn.MINIFS($Q$2:$Q$3058,$A$2:$A$3058,A2137,$P$2:$P$3058,"OK"),"KEEP","DROP"))</f>
        <v/>
      </c>
      <c r="T2137" s="9" t="n">
        <f aca="false">IF(A2137="",1,0)</f>
        <v>0</v>
      </c>
      <c r="U2137" s="9" t="n">
        <f aca="false">IF(D2137="",1,0)</f>
        <v>0</v>
      </c>
      <c r="V2137" s="9" t="n">
        <f aca="false">IF(E2137="",1,0)</f>
        <v>0</v>
      </c>
      <c r="W2137" s="9" t="n">
        <f aca="false">IF(OR(H2137&lt;1,H2137&gt;10),1,0)</f>
        <v>0</v>
      </c>
      <c r="X2137" s="9" t="n">
        <f aca="false">IF(OR(I2137&lt;=0,I2137&gt;1500),1,0)</f>
        <v>0</v>
      </c>
      <c r="Y2137" s="9" t="n">
        <f aca="false">IF(J2137&gt;H2137*I2137,1,0)</f>
        <v>0</v>
      </c>
      <c r="Z2137" s="9" t="n">
        <f aca="false">IF(AND(N2137&lt;&gt;"",OR(N2137&lt;1,N2137&gt;5)),1,0)</f>
        <v>0</v>
      </c>
      <c r="AA2137" s="9" t="n">
        <f aca="false">IF(AND(M2137&lt;&gt;"",OR(M2137&lt;5,M2137&gt;180)),1,0)</f>
        <v>0</v>
      </c>
      <c r="AB2137" s="7" t="str">
        <f aca="false">IF(P2137="DUP","Exact duplicate row",IF(T2137=1,"Missing Order ID",IF(S2137="DROP","Duplicate Order ID (less complete row)",IF(U2137=1,"Missing Customer ID",IF(V2137=1,"Missing Restaurant name",IF(W2137=1,"Invalid/outlier quantity",IF(X2137=1,"Invalid/outlier unit price",IF(Y2137=1,"Discount greater than order value",""))))))))</f>
        <v/>
      </c>
      <c r="AC2137" s="7" t="str">
        <f aca="false">IF(AB2137="","KEEP","DROP")</f>
        <v>KEEP</v>
      </c>
      <c r="AD2137" s="7" t="str">
        <f aca="false">IF(TRIM(F2137)="",IFERROR(INDEX(Map_Tables!$I$4:$I$37,MATCH(TRIM(E2137),Map_Tables!$G$4:$G$37,0)),""),IFERROR(INDEX(Map_Tables!$B$4:$B$18,MATCH(TRIM(F2137),Map_Tables!$A$4:$A$18,0)),"CHECK"))</f>
        <v>Hyderabad</v>
      </c>
      <c r="AE2137" s="7" t="str">
        <f aca="false">IF(TRIM(E2137)="","",IFERROR(INDEX(Map_Tables!$H$4:$H$37,MATCH(TRIM(E2137),Map_Tables!$G$4:$G$37,0)),"CHECK"))</f>
        <v>Hyderabad Dum Biryani</v>
      </c>
      <c r="AF2137" s="7" t="str">
        <f aca="false">IF(TRIM(K2137)="","Unknown",IFERROR(INDEX(Map_Tables!$E$4:$E$15,MATCH(TRIM(K2137),Map_Tables!$D$4:$D$15,0)),"CHECK"))</f>
        <v>Credit Card</v>
      </c>
      <c r="AG2137" s="7" t="str">
        <f aca="false">IF(LEFT(LOWER(TRIM(L2137)),6)="cancel","Cancelled","Delivered")</f>
        <v>Delivered</v>
      </c>
      <c r="AH2137" s="10" t="n">
        <f aca="false">IF(ISNUMBER(SEARCH("/",B2137)),DATE(VALUE(RIGHT(B2137,4)),VALUE(MID(B2137,4,2)),VALUE(LEFT(B2137,2))),IF(MID(B2137,5,1)="-",DATE(VALUE(LEFT(B2137,4)),VALUE(MID(B2137,6,2)),VALUE(RIGHT(B2137,2))),DATE(VALUE(RIGHT(B2137,4)),MATCH(MID(B2137,4,3),{"Jan","Feb","Mar","Apr","May","Jun","Jul","Aug","Sep","Oct","Nov","Dec"},0),VALUE(LEFT(B2137,2)))))</f>
        <v>45910</v>
      </c>
    </row>
    <row r="2138" customFormat="false" ht="15" hidden="false" customHeight="false" outlineLevel="0" collapsed="false">
      <c r="A2138" s="7" t="s">
        <v>4958</v>
      </c>
      <c r="B2138" s="7" t="s">
        <v>4959</v>
      </c>
      <c r="C2138" s="7" t="s">
        <v>2304</v>
      </c>
      <c r="D2138" s="7" t="s">
        <v>4128</v>
      </c>
      <c r="E2138" s="7" t="s">
        <v>163</v>
      </c>
      <c r="F2138" s="7" t="s">
        <v>141</v>
      </c>
      <c r="G2138" s="7" t="s">
        <v>99</v>
      </c>
      <c r="H2138" s="7" t="n">
        <v>3</v>
      </c>
      <c r="I2138" s="7" t="n">
        <v>255</v>
      </c>
      <c r="J2138" s="7" t="n">
        <v>0</v>
      </c>
      <c r="K2138" s="7" t="s">
        <v>88</v>
      </c>
      <c r="L2138" s="7" t="s">
        <v>194</v>
      </c>
      <c r="M2138" s="7" t="n">
        <v>44</v>
      </c>
      <c r="N2138" s="7" t="n">
        <v>4</v>
      </c>
      <c r="O2138" s="7" t="str">
        <f aca="false">A2138&amp;"|"&amp;B2138&amp;"|"&amp;C2138&amp;"|"&amp;D2138&amp;"|"&amp;E2138&amp;"|"&amp;F2138&amp;"|"&amp;G2138&amp;"|"&amp;H2138&amp;"|"&amp;I2138&amp;"|"&amp;J2138&amp;"|"&amp;K2138&amp;"|"&amp;L2138&amp;"|"&amp;M2138&amp;"|"&amp;N2138</f>
        <v>ORD10660|2025-03-25|13:23|C0278|Biryani Baadshah|Kolkata|Biryani|3|255|0|UPI|Delivered|44|4</v>
      </c>
      <c r="P2138" s="7" t="str">
        <f aca="false">IF(COUNTIF($O$2:O2138,O2138)&gt;1,"DUP","OK")</f>
        <v>OK</v>
      </c>
      <c r="Q2138" s="7" t="n">
        <f aca="false">COUNTBLANK(A2138:N2138)</f>
        <v>0</v>
      </c>
      <c r="R2138" s="7" t="n">
        <f aca="false">IF(A2138="",0,COUNTIFS($A$2:$A$3058,A2138,$P$2:$P$3058,"OK"))</f>
        <v>1</v>
      </c>
      <c r="S2138" s="7" t="str">
        <f aca="false">IF(OR(A2138="",P2138="DUP",R2138&lt;2),"",IF(Q2138=_xlfn.MINIFS($Q$2:$Q$3058,$A$2:$A$3058,A2138,$P$2:$P$3058,"OK"),"KEEP","DROP"))</f>
        <v/>
      </c>
      <c r="T2138" s="9" t="n">
        <f aca="false">IF(A2138="",1,0)</f>
        <v>0</v>
      </c>
      <c r="U2138" s="9" t="n">
        <f aca="false">IF(D2138="",1,0)</f>
        <v>0</v>
      </c>
      <c r="V2138" s="9" t="n">
        <f aca="false">IF(E2138="",1,0)</f>
        <v>0</v>
      </c>
      <c r="W2138" s="9" t="n">
        <f aca="false">IF(OR(H2138&lt;1,H2138&gt;10),1,0)</f>
        <v>0</v>
      </c>
      <c r="X2138" s="9" t="n">
        <f aca="false">IF(OR(I2138&lt;=0,I2138&gt;1500),1,0)</f>
        <v>0</v>
      </c>
      <c r="Y2138" s="9" t="n">
        <f aca="false">IF(J2138&gt;H2138*I2138,1,0)</f>
        <v>0</v>
      </c>
      <c r="Z2138" s="9" t="n">
        <f aca="false">IF(AND(N2138&lt;&gt;"",OR(N2138&lt;1,N2138&gt;5)),1,0)</f>
        <v>0</v>
      </c>
      <c r="AA2138" s="9" t="n">
        <f aca="false">IF(AND(M2138&lt;&gt;"",OR(M2138&lt;5,M2138&gt;180)),1,0)</f>
        <v>0</v>
      </c>
      <c r="AB2138" s="7" t="str">
        <f aca="false">IF(P2138="DUP","Exact duplicate row",IF(T2138=1,"Missing Order ID",IF(S2138="DROP","Duplicate Order ID (less complete row)",IF(U2138=1,"Missing Customer ID",IF(V2138=1,"Missing Restaurant name",IF(W2138=1,"Invalid/outlier quantity",IF(X2138=1,"Invalid/outlier unit price",IF(Y2138=1,"Discount greater than order value",""))))))))</f>
        <v/>
      </c>
      <c r="AC2138" s="7" t="str">
        <f aca="false">IF(AB2138="","KEEP","DROP")</f>
        <v>KEEP</v>
      </c>
      <c r="AD2138" s="7" t="str">
        <f aca="false">IF(TRIM(F2138)="",IFERROR(INDEX(Map_Tables!$I$4:$I$37,MATCH(TRIM(E2138),Map_Tables!$G$4:$G$37,0)),""),IFERROR(INDEX(Map_Tables!$B$4:$B$18,MATCH(TRIM(F2138),Map_Tables!$A$4:$A$18,0)),"CHECK"))</f>
        <v>Kolkata</v>
      </c>
      <c r="AE2138" s="7" t="str">
        <f aca="false">IF(TRIM(E2138)="","",IFERROR(INDEX(Map_Tables!$H$4:$H$37,MATCH(TRIM(E2138),Map_Tables!$G$4:$G$37,0)),"CHECK"))</f>
        <v>Biryani Baadshah</v>
      </c>
      <c r="AF2138" s="7" t="str">
        <f aca="false">IF(TRIM(K2138)="","Unknown",IFERROR(INDEX(Map_Tables!$E$4:$E$15,MATCH(TRIM(K2138),Map_Tables!$D$4:$D$15,0)),"CHECK"))</f>
        <v>UPI</v>
      </c>
      <c r="AG2138" s="7" t="str">
        <f aca="false">IF(LEFT(LOWER(TRIM(L2138)),6)="cancel","Cancelled","Delivered")</f>
        <v>Delivered</v>
      </c>
      <c r="AH2138" s="10" t="n">
        <f aca="false">IF(ISNUMBER(SEARCH("/",B2138)),DATE(VALUE(RIGHT(B2138,4)),VALUE(MID(B2138,4,2)),VALUE(LEFT(B2138,2))),IF(MID(B2138,5,1)="-",DATE(VALUE(LEFT(B2138,4)),VALUE(MID(B2138,6,2)),VALUE(RIGHT(B2138,2))),DATE(VALUE(RIGHT(B2138,4)),MATCH(MID(B2138,4,3),{"Jan","Feb","Mar","Apr","May","Jun","Jul","Aug","Sep","Oct","Nov","Dec"},0),VALUE(LEFT(B2138,2)))))</f>
        <v>45741</v>
      </c>
    </row>
    <row r="2139" customFormat="false" ht="15" hidden="false" customHeight="false" outlineLevel="0" collapsed="false">
      <c r="A2139" s="7" t="s">
        <v>4960</v>
      </c>
      <c r="B2139" s="7" t="s">
        <v>528</v>
      </c>
      <c r="C2139" s="7" t="s">
        <v>2565</v>
      </c>
      <c r="D2139" s="7" t="s">
        <v>538</v>
      </c>
      <c r="E2139" s="7" t="s">
        <v>167</v>
      </c>
      <c r="F2139" s="7" t="s">
        <v>146</v>
      </c>
      <c r="G2139" s="7" t="s">
        <v>156</v>
      </c>
      <c r="H2139" s="7" t="n">
        <v>2</v>
      </c>
      <c r="I2139" s="7" t="n">
        <v>270</v>
      </c>
      <c r="J2139" s="7" t="n">
        <v>40</v>
      </c>
      <c r="K2139" s="7" t="s">
        <v>112</v>
      </c>
      <c r="L2139" s="7" t="s">
        <v>194</v>
      </c>
      <c r="M2139" s="7" t="n">
        <v>22</v>
      </c>
      <c r="N2139" s="7" t="n">
        <v>3</v>
      </c>
      <c r="O2139" s="7" t="str">
        <f aca="false">A2139&amp;"|"&amp;B2139&amp;"|"&amp;C2139&amp;"|"&amp;D2139&amp;"|"&amp;E2139&amp;"|"&amp;F2139&amp;"|"&amp;G2139&amp;"|"&amp;H2139&amp;"|"&amp;I2139&amp;"|"&amp;J2139&amp;"|"&amp;K2139&amp;"|"&amp;L2139&amp;"|"&amp;M2139&amp;"|"&amp;N2139</f>
        <v>ORD12121|2025-09-29|22:24|C1155|Fit Fuel Kitchen|Ahmedabad|Healthy Food|2|270|40|Cash on Delivery|Delivered|22|3</v>
      </c>
      <c r="P2139" s="7" t="str">
        <f aca="false">IF(COUNTIF($O$2:O2139,O2139)&gt;1,"DUP","OK")</f>
        <v>OK</v>
      </c>
      <c r="Q2139" s="7" t="n">
        <f aca="false">COUNTBLANK(A2139:N2139)</f>
        <v>0</v>
      </c>
      <c r="R2139" s="7" t="n">
        <f aca="false">IF(A2139="",0,COUNTIFS($A$2:$A$3058,A2139,$P$2:$P$3058,"OK"))</f>
        <v>1</v>
      </c>
      <c r="S2139" s="7" t="str">
        <f aca="false">IF(OR(A2139="",P2139="DUP",R2139&lt;2),"",IF(Q2139=_xlfn.MINIFS($Q$2:$Q$3058,$A$2:$A$3058,A2139,$P$2:$P$3058,"OK"),"KEEP","DROP"))</f>
        <v/>
      </c>
      <c r="T2139" s="9" t="n">
        <f aca="false">IF(A2139="",1,0)</f>
        <v>0</v>
      </c>
      <c r="U2139" s="9" t="n">
        <f aca="false">IF(D2139="",1,0)</f>
        <v>0</v>
      </c>
      <c r="V2139" s="9" t="n">
        <f aca="false">IF(E2139="",1,0)</f>
        <v>0</v>
      </c>
      <c r="W2139" s="9" t="n">
        <f aca="false">IF(OR(H2139&lt;1,H2139&gt;10),1,0)</f>
        <v>0</v>
      </c>
      <c r="X2139" s="9" t="n">
        <f aca="false">IF(OR(I2139&lt;=0,I2139&gt;1500),1,0)</f>
        <v>0</v>
      </c>
      <c r="Y2139" s="9" t="n">
        <f aca="false">IF(J2139&gt;H2139*I2139,1,0)</f>
        <v>0</v>
      </c>
      <c r="Z2139" s="9" t="n">
        <f aca="false">IF(AND(N2139&lt;&gt;"",OR(N2139&lt;1,N2139&gt;5)),1,0)</f>
        <v>0</v>
      </c>
      <c r="AA2139" s="9" t="n">
        <f aca="false">IF(AND(M2139&lt;&gt;"",OR(M2139&lt;5,M2139&gt;180)),1,0)</f>
        <v>0</v>
      </c>
      <c r="AB2139" s="7" t="str">
        <f aca="false">IF(P2139="DUP","Exact duplicate row",IF(T2139=1,"Missing Order ID",IF(S2139="DROP","Duplicate Order ID (less complete row)",IF(U2139=1,"Missing Customer ID",IF(V2139=1,"Missing Restaurant name",IF(W2139=1,"Invalid/outlier quantity",IF(X2139=1,"Invalid/outlier unit price",IF(Y2139=1,"Discount greater than order value",""))))))))</f>
        <v/>
      </c>
      <c r="AC2139" s="7" t="str">
        <f aca="false">IF(AB2139="","KEEP","DROP")</f>
        <v>KEEP</v>
      </c>
      <c r="AD2139" s="7" t="str">
        <f aca="false">IF(TRIM(F2139)="",IFERROR(INDEX(Map_Tables!$I$4:$I$37,MATCH(TRIM(E2139),Map_Tables!$G$4:$G$37,0)),""),IFERROR(INDEX(Map_Tables!$B$4:$B$18,MATCH(TRIM(F2139),Map_Tables!$A$4:$A$18,0)),"CHECK"))</f>
        <v>Ahmedabad</v>
      </c>
      <c r="AE2139" s="7" t="str">
        <f aca="false">IF(TRIM(E2139)="","",IFERROR(INDEX(Map_Tables!$H$4:$H$37,MATCH(TRIM(E2139),Map_Tables!$G$4:$G$37,0)),"CHECK"))</f>
        <v>Fit Fuel Kitchen</v>
      </c>
      <c r="AF2139" s="7" t="str">
        <f aca="false">IF(TRIM(K2139)="","Unknown",IFERROR(INDEX(Map_Tables!$E$4:$E$15,MATCH(TRIM(K2139),Map_Tables!$D$4:$D$15,0)),"CHECK"))</f>
        <v>Cash on Delivery</v>
      </c>
      <c r="AG2139" s="7" t="str">
        <f aca="false">IF(LEFT(LOWER(TRIM(L2139)),6)="cancel","Cancelled","Delivered")</f>
        <v>Delivered</v>
      </c>
      <c r="AH2139" s="10" t="n">
        <f aca="false">IF(ISNUMBER(SEARCH("/",B2139)),DATE(VALUE(RIGHT(B2139,4)),VALUE(MID(B2139,4,2)),VALUE(LEFT(B2139,2))),IF(MID(B2139,5,1)="-",DATE(VALUE(LEFT(B2139,4)),VALUE(MID(B2139,6,2)),VALUE(RIGHT(B2139,2))),DATE(VALUE(RIGHT(B2139,4)),MATCH(MID(B2139,4,3),{"Jan","Feb","Mar","Apr","May","Jun","Jul","Aug","Sep","Oct","Nov","Dec"},0),VALUE(LEFT(B2139,2)))))</f>
        <v>45929</v>
      </c>
    </row>
    <row r="2140" customFormat="false" ht="15" hidden="false" customHeight="false" outlineLevel="0" collapsed="false">
      <c r="A2140" s="7" t="s">
        <v>4961</v>
      </c>
      <c r="B2140" s="7" t="s">
        <v>1312</v>
      </c>
      <c r="C2140" s="7" t="s">
        <v>679</v>
      </c>
      <c r="D2140" s="7" t="s">
        <v>246</v>
      </c>
      <c r="E2140" s="7" t="s">
        <v>89</v>
      </c>
      <c r="F2140" s="7" t="s">
        <v>86</v>
      </c>
      <c r="G2140" s="7" t="s">
        <v>90</v>
      </c>
      <c r="H2140" s="7" t="n">
        <v>3</v>
      </c>
      <c r="I2140" s="7" t="n">
        <v>235</v>
      </c>
      <c r="J2140" s="7" t="n">
        <v>100</v>
      </c>
      <c r="K2140" s="7" t="s">
        <v>121</v>
      </c>
      <c r="L2140" s="7" t="s">
        <v>194</v>
      </c>
      <c r="M2140" s="7" t="n">
        <v>39</v>
      </c>
      <c r="N2140" s="7" t="n">
        <v>5</v>
      </c>
      <c r="O2140" s="7" t="str">
        <f aca="false">A2140&amp;"|"&amp;B2140&amp;"|"&amp;C2140&amp;"|"&amp;D2140&amp;"|"&amp;E2140&amp;"|"&amp;F2140&amp;"|"&amp;G2140&amp;"|"&amp;H2140&amp;"|"&amp;I2140&amp;"|"&amp;J2140&amp;"|"&amp;K2140&amp;"|"&amp;L2140&amp;"|"&amp;M2140&amp;"|"&amp;N2140</f>
        <v>ORD11095|2025-05-19|11:00|C1478|Spice Junction|Bengaluru|North Indian|3|235|100|Wallet|Delivered|39|5</v>
      </c>
      <c r="P2140" s="7" t="str">
        <f aca="false">IF(COUNTIF($O$2:O2140,O2140)&gt;1,"DUP","OK")</f>
        <v>OK</v>
      </c>
      <c r="Q2140" s="7" t="n">
        <f aca="false">COUNTBLANK(A2140:N2140)</f>
        <v>0</v>
      </c>
      <c r="R2140" s="7" t="n">
        <f aca="false">IF(A2140="",0,COUNTIFS($A$2:$A$3058,A2140,$P$2:$P$3058,"OK"))</f>
        <v>1</v>
      </c>
      <c r="S2140" s="7" t="str">
        <f aca="false">IF(OR(A2140="",P2140="DUP",R2140&lt;2),"",IF(Q2140=_xlfn.MINIFS($Q$2:$Q$3058,$A$2:$A$3058,A2140,$P$2:$P$3058,"OK"),"KEEP","DROP"))</f>
        <v/>
      </c>
      <c r="T2140" s="9" t="n">
        <f aca="false">IF(A2140="",1,0)</f>
        <v>0</v>
      </c>
      <c r="U2140" s="9" t="n">
        <f aca="false">IF(D2140="",1,0)</f>
        <v>0</v>
      </c>
      <c r="V2140" s="9" t="n">
        <f aca="false">IF(E2140="",1,0)</f>
        <v>0</v>
      </c>
      <c r="W2140" s="9" t="n">
        <f aca="false">IF(OR(H2140&lt;1,H2140&gt;10),1,0)</f>
        <v>0</v>
      </c>
      <c r="X2140" s="9" t="n">
        <f aca="false">IF(OR(I2140&lt;=0,I2140&gt;1500),1,0)</f>
        <v>0</v>
      </c>
      <c r="Y2140" s="9" t="n">
        <f aca="false">IF(J2140&gt;H2140*I2140,1,0)</f>
        <v>0</v>
      </c>
      <c r="Z2140" s="9" t="n">
        <f aca="false">IF(AND(N2140&lt;&gt;"",OR(N2140&lt;1,N2140&gt;5)),1,0)</f>
        <v>0</v>
      </c>
      <c r="AA2140" s="9" t="n">
        <f aca="false">IF(AND(M2140&lt;&gt;"",OR(M2140&lt;5,M2140&gt;180)),1,0)</f>
        <v>0</v>
      </c>
      <c r="AB2140" s="7" t="str">
        <f aca="false">IF(P2140="DUP","Exact duplicate row",IF(T2140=1,"Missing Order ID",IF(S2140="DROP","Duplicate Order ID (less complete row)",IF(U2140=1,"Missing Customer ID",IF(V2140=1,"Missing Restaurant name",IF(W2140=1,"Invalid/outlier quantity",IF(X2140=1,"Invalid/outlier unit price",IF(Y2140=1,"Discount greater than order value",""))))))))</f>
        <v/>
      </c>
      <c r="AC2140" s="7" t="str">
        <f aca="false">IF(AB2140="","KEEP","DROP")</f>
        <v>KEEP</v>
      </c>
      <c r="AD2140" s="7" t="str">
        <f aca="false">IF(TRIM(F2140)="",IFERROR(INDEX(Map_Tables!$I$4:$I$37,MATCH(TRIM(E2140),Map_Tables!$G$4:$G$37,0)),""),IFERROR(INDEX(Map_Tables!$B$4:$B$18,MATCH(TRIM(F2140),Map_Tables!$A$4:$A$18,0)),"CHECK"))</f>
        <v>Bengaluru</v>
      </c>
      <c r="AE2140" s="7" t="str">
        <f aca="false">IF(TRIM(E2140)="","",IFERROR(INDEX(Map_Tables!$H$4:$H$37,MATCH(TRIM(E2140),Map_Tables!$G$4:$G$37,0)),"CHECK"))</f>
        <v>Spice Junction</v>
      </c>
      <c r="AF2140" s="7" t="str">
        <f aca="false">IF(TRIM(K2140)="","Unknown",IFERROR(INDEX(Map_Tables!$E$4:$E$15,MATCH(TRIM(K2140),Map_Tables!$D$4:$D$15,0)),"CHECK"))</f>
        <v>Wallet</v>
      </c>
      <c r="AG2140" s="7" t="str">
        <f aca="false">IF(LEFT(LOWER(TRIM(L2140)),6)="cancel","Cancelled","Delivered")</f>
        <v>Delivered</v>
      </c>
      <c r="AH2140" s="10" t="n">
        <f aca="false">IF(ISNUMBER(SEARCH("/",B2140)),DATE(VALUE(RIGHT(B2140,4)),VALUE(MID(B2140,4,2)),VALUE(LEFT(B2140,2))),IF(MID(B2140,5,1)="-",DATE(VALUE(LEFT(B2140,4)),VALUE(MID(B2140,6,2)),VALUE(RIGHT(B2140,2))),DATE(VALUE(RIGHT(B2140,4)),MATCH(MID(B2140,4,3),{"Jan","Feb","Mar","Apr","May","Jun","Jul","Aug","Sep","Oct","Nov","Dec"},0),VALUE(LEFT(B2140,2)))))</f>
        <v>45796</v>
      </c>
    </row>
    <row r="2141" customFormat="false" ht="15" hidden="false" customHeight="false" outlineLevel="0" collapsed="false">
      <c r="A2141" s="7" t="s">
        <v>4962</v>
      </c>
      <c r="B2141" s="7" t="s">
        <v>3122</v>
      </c>
      <c r="C2141" s="7" t="s">
        <v>1466</v>
      </c>
      <c r="D2141" s="7" t="s">
        <v>1377</v>
      </c>
      <c r="E2141" s="7" t="s">
        <v>113</v>
      </c>
      <c r="F2141" s="7" t="s">
        <v>101</v>
      </c>
      <c r="G2141" s="7" t="s">
        <v>90</v>
      </c>
      <c r="H2141" s="7" t="n">
        <v>2</v>
      </c>
      <c r="I2141" s="7" t="n">
        <v>220</v>
      </c>
      <c r="J2141" s="7" t="n">
        <v>0</v>
      </c>
      <c r="K2141" s="7" t="s">
        <v>88</v>
      </c>
      <c r="L2141" s="7" t="s">
        <v>238</v>
      </c>
      <c r="M2141" s="7"/>
      <c r="N2141" s="7"/>
      <c r="O2141" s="7" t="str">
        <f aca="false">A2141&amp;"|"&amp;B2141&amp;"|"&amp;C2141&amp;"|"&amp;D2141&amp;"|"&amp;E2141&amp;"|"&amp;F2141&amp;"|"&amp;G2141&amp;"|"&amp;H2141&amp;"|"&amp;I2141&amp;"|"&amp;J2141&amp;"|"&amp;K2141&amp;"|"&amp;L2141&amp;"|"&amp;M2141&amp;"|"&amp;N2141</f>
        <v>ORD12490|2025-11-09|09:22|C0465|Curry Leaf Kitchen|Mumbai|North Indian|2|220|0|UPI|Cancelled||</v>
      </c>
      <c r="P2141" s="7" t="str">
        <f aca="false">IF(COUNTIF($O$2:O2141,O2141)&gt;1,"DUP","OK")</f>
        <v>OK</v>
      </c>
      <c r="Q2141" s="7" t="n">
        <f aca="false">COUNTBLANK(A2141:N2141)</f>
        <v>2</v>
      </c>
      <c r="R2141" s="7" t="n">
        <f aca="false">IF(A2141="",0,COUNTIFS($A$2:$A$3058,A2141,$P$2:$P$3058,"OK"))</f>
        <v>1</v>
      </c>
      <c r="S2141" s="7" t="str">
        <f aca="false">IF(OR(A2141="",P2141="DUP",R2141&lt;2),"",IF(Q2141=_xlfn.MINIFS($Q$2:$Q$3058,$A$2:$A$3058,A2141,$P$2:$P$3058,"OK"),"KEEP","DROP"))</f>
        <v/>
      </c>
      <c r="T2141" s="9" t="n">
        <f aca="false">IF(A2141="",1,0)</f>
        <v>0</v>
      </c>
      <c r="U2141" s="9" t="n">
        <f aca="false">IF(D2141="",1,0)</f>
        <v>0</v>
      </c>
      <c r="V2141" s="9" t="n">
        <f aca="false">IF(E2141="",1,0)</f>
        <v>0</v>
      </c>
      <c r="W2141" s="9" t="n">
        <f aca="false">IF(OR(H2141&lt;1,H2141&gt;10),1,0)</f>
        <v>0</v>
      </c>
      <c r="X2141" s="9" t="n">
        <f aca="false">IF(OR(I2141&lt;=0,I2141&gt;1500),1,0)</f>
        <v>0</v>
      </c>
      <c r="Y2141" s="9" t="n">
        <f aca="false">IF(J2141&gt;H2141*I2141,1,0)</f>
        <v>0</v>
      </c>
      <c r="Z2141" s="9" t="n">
        <f aca="false">IF(AND(N2141&lt;&gt;"",OR(N2141&lt;1,N2141&gt;5)),1,0)</f>
        <v>0</v>
      </c>
      <c r="AA2141" s="9" t="n">
        <f aca="false">IF(AND(M2141&lt;&gt;"",OR(M2141&lt;5,M2141&gt;180)),1,0)</f>
        <v>0</v>
      </c>
      <c r="AB2141" s="7" t="str">
        <f aca="false">IF(P2141="DUP","Exact duplicate row",IF(T2141=1,"Missing Order ID",IF(S2141="DROP","Duplicate Order ID (less complete row)",IF(U2141=1,"Missing Customer ID",IF(V2141=1,"Missing Restaurant name",IF(W2141=1,"Invalid/outlier quantity",IF(X2141=1,"Invalid/outlier unit price",IF(Y2141=1,"Discount greater than order value",""))))))))</f>
        <v/>
      </c>
      <c r="AC2141" s="7" t="str">
        <f aca="false">IF(AB2141="","KEEP","DROP")</f>
        <v>KEEP</v>
      </c>
      <c r="AD2141" s="7" t="str">
        <f aca="false">IF(TRIM(F2141)="",IFERROR(INDEX(Map_Tables!$I$4:$I$37,MATCH(TRIM(E2141),Map_Tables!$G$4:$G$37,0)),""),IFERROR(INDEX(Map_Tables!$B$4:$B$18,MATCH(TRIM(F2141),Map_Tables!$A$4:$A$18,0)),"CHECK"))</f>
        <v>Mumbai</v>
      </c>
      <c r="AE2141" s="7" t="str">
        <f aca="false">IF(TRIM(E2141)="","",IFERROR(INDEX(Map_Tables!$H$4:$H$37,MATCH(TRIM(E2141),Map_Tables!$G$4:$G$37,0)),"CHECK"))</f>
        <v>Curry Leaf Kitchen</v>
      </c>
      <c r="AF2141" s="7" t="str">
        <f aca="false">IF(TRIM(K2141)="","Unknown",IFERROR(INDEX(Map_Tables!$E$4:$E$15,MATCH(TRIM(K2141),Map_Tables!$D$4:$D$15,0)),"CHECK"))</f>
        <v>UPI</v>
      </c>
      <c r="AG2141" s="7" t="str">
        <f aca="false">IF(LEFT(LOWER(TRIM(L2141)),6)="cancel","Cancelled","Delivered")</f>
        <v>Cancelled</v>
      </c>
      <c r="AH2141" s="10" t="n">
        <f aca="false">IF(ISNUMBER(SEARCH("/",B2141)),DATE(VALUE(RIGHT(B2141,4)),VALUE(MID(B2141,4,2)),VALUE(LEFT(B2141,2))),IF(MID(B2141,5,1)="-",DATE(VALUE(LEFT(B2141,4)),VALUE(MID(B2141,6,2)),VALUE(RIGHT(B2141,2))),DATE(VALUE(RIGHT(B2141,4)),MATCH(MID(B2141,4,3),{"Jan","Feb","Mar","Apr","May","Jun","Jul","Aug","Sep","Oct","Nov","Dec"},0),VALUE(LEFT(B2141,2)))))</f>
        <v>45970</v>
      </c>
    </row>
    <row r="2142" customFormat="false" ht="15" hidden="false" customHeight="false" outlineLevel="0" collapsed="false">
      <c r="A2142" s="7" t="s">
        <v>4963</v>
      </c>
      <c r="B2142" s="7" t="s">
        <v>813</v>
      </c>
      <c r="C2142" s="7" t="s">
        <v>3605</v>
      </c>
      <c r="D2142" s="7" t="s">
        <v>1563</v>
      </c>
      <c r="E2142" s="7" t="s">
        <v>152</v>
      </c>
      <c r="F2142" s="7" t="s">
        <v>702</v>
      </c>
      <c r="G2142" s="7" t="s">
        <v>95</v>
      </c>
      <c r="H2142" s="7" t="n">
        <v>1</v>
      </c>
      <c r="I2142" s="7" t="n">
        <v>110</v>
      </c>
      <c r="J2142" s="7" t="n">
        <v>0</v>
      </c>
      <c r="K2142" s="7" t="s">
        <v>88</v>
      </c>
      <c r="L2142" s="7" t="s">
        <v>194</v>
      </c>
      <c r="M2142" s="7" t="n">
        <v>36</v>
      </c>
      <c r="N2142" s="7" t="n">
        <v>3</v>
      </c>
      <c r="O2142" s="7" t="str">
        <f aca="false">A2142&amp;"|"&amp;B2142&amp;"|"&amp;C2142&amp;"|"&amp;D2142&amp;"|"&amp;E2142&amp;"|"&amp;F2142&amp;"|"&amp;G2142&amp;"|"&amp;H2142&amp;"|"&amp;I2142&amp;"|"&amp;J2142&amp;"|"&amp;K2142&amp;"|"&amp;L2142&amp;"|"&amp;M2142&amp;"|"&amp;N2142</f>
        <v>ORD10643|2025-03-23|12:22|C0868|Filter Coffee &amp; Tiffin|CHENNAI |South Indian|1|110|0|UPI|Delivered|36|3</v>
      </c>
      <c r="P2142" s="7" t="str">
        <f aca="false">IF(COUNTIF($O$2:O2142,O2142)&gt;1,"DUP","OK")</f>
        <v>OK</v>
      </c>
      <c r="Q2142" s="7" t="n">
        <f aca="false">COUNTBLANK(A2142:N2142)</f>
        <v>0</v>
      </c>
      <c r="R2142" s="7" t="n">
        <f aca="false">IF(A2142="",0,COUNTIFS($A$2:$A$3058,A2142,$P$2:$P$3058,"OK"))</f>
        <v>1</v>
      </c>
      <c r="S2142" s="7" t="str">
        <f aca="false">IF(OR(A2142="",P2142="DUP",R2142&lt;2),"",IF(Q2142=_xlfn.MINIFS($Q$2:$Q$3058,$A$2:$A$3058,A2142,$P$2:$P$3058,"OK"),"KEEP","DROP"))</f>
        <v/>
      </c>
      <c r="T2142" s="9" t="n">
        <f aca="false">IF(A2142="",1,0)</f>
        <v>0</v>
      </c>
      <c r="U2142" s="9" t="n">
        <f aca="false">IF(D2142="",1,0)</f>
        <v>0</v>
      </c>
      <c r="V2142" s="9" t="n">
        <f aca="false">IF(E2142="",1,0)</f>
        <v>0</v>
      </c>
      <c r="W2142" s="9" t="n">
        <f aca="false">IF(OR(H2142&lt;1,H2142&gt;10),1,0)</f>
        <v>0</v>
      </c>
      <c r="X2142" s="9" t="n">
        <f aca="false">IF(OR(I2142&lt;=0,I2142&gt;1500),1,0)</f>
        <v>0</v>
      </c>
      <c r="Y2142" s="9" t="n">
        <f aca="false">IF(J2142&gt;H2142*I2142,1,0)</f>
        <v>0</v>
      </c>
      <c r="Z2142" s="9" t="n">
        <f aca="false">IF(AND(N2142&lt;&gt;"",OR(N2142&lt;1,N2142&gt;5)),1,0)</f>
        <v>0</v>
      </c>
      <c r="AA2142" s="9" t="n">
        <f aca="false">IF(AND(M2142&lt;&gt;"",OR(M2142&lt;5,M2142&gt;180)),1,0)</f>
        <v>0</v>
      </c>
      <c r="AB2142" s="7" t="str">
        <f aca="false">IF(P2142="DUP","Exact duplicate row",IF(T2142=1,"Missing Order ID",IF(S2142="DROP","Duplicate Order ID (less complete row)",IF(U2142=1,"Missing Customer ID",IF(V2142=1,"Missing Restaurant name",IF(W2142=1,"Invalid/outlier quantity",IF(X2142=1,"Invalid/outlier unit price",IF(Y2142=1,"Discount greater than order value",""))))))))</f>
        <v/>
      </c>
      <c r="AC2142" s="7" t="str">
        <f aca="false">IF(AB2142="","KEEP","DROP")</f>
        <v>KEEP</v>
      </c>
      <c r="AD2142" s="7" t="str">
        <f aca="false">IF(TRIM(F2142)="",IFERROR(INDEX(Map_Tables!$I$4:$I$37,MATCH(TRIM(E2142),Map_Tables!$G$4:$G$37,0)),""),IFERROR(INDEX(Map_Tables!$B$4:$B$18,MATCH(TRIM(F2142),Map_Tables!$A$4:$A$18,0)),"CHECK"))</f>
        <v>Chennai</v>
      </c>
      <c r="AE2142" s="7" t="str">
        <f aca="false">IF(TRIM(E2142)="","",IFERROR(INDEX(Map_Tables!$H$4:$H$37,MATCH(TRIM(E2142),Map_Tables!$G$4:$G$37,0)),"CHECK"))</f>
        <v>Filter Coffee &amp; Tiffin</v>
      </c>
      <c r="AF2142" s="7" t="str">
        <f aca="false">IF(TRIM(K2142)="","Unknown",IFERROR(INDEX(Map_Tables!$E$4:$E$15,MATCH(TRIM(K2142),Map_Tables!$D$4:$D$15,0)),"CHECK"))</f>
        <v>UPI</v>
      </c>
      <c r="AG2142" s="7" t="str">
        <f aca="false">IF(LEFT(LOWER(TRIM(L2142)),6)="cancel","Cancelled","Delivered")</f>
        <v>Delivered</v>
      </c>
      <c r="AH2142" s="10" t="n">
        <f aca="false">IF(ISNUMBER(SEARCH("/",B2142)),DATE(VALUE(RIGHT(B2142,4)),VALUE(MID(B2142,4,2)),VALUE(LEFT(B2142,2))),IF(MID(B2142,5,1)="-",DATE(VALUE(LEFT(B2142,4)),VALUE(MID(B2142,6,2)),VALUE(RIGHT(B2142,2))),DATE(VALUE(RIGHT(B2142,4)),MATCH(MID(B2142,4,3),{"Jan","Feb","Mar","Apr","May","Jun","Jul","Aug","Sep","Oct","Nov","Dec"},0),VALUE(LEFT(B2142,2)))))</f>
        <v>45739</v>
      </c>
    </row>
    <row r="2143" customFormat="false" ht="15" hidden="false" customHeight="false" outlineLevel="0" collapsed="false">
      <c r="A2143" s="7" t="s">
        <v>4964</v>
      </c>
      <c r="B2143" s="7" t="s">
        <v>4965</v>
      </c>
      <c r="C2143" s="7" t="s">
        <v>2408</v>
      </c>
      <c r="D2143" s="7" t="s">
        <v>4036</v>
      </c>
      <c r="E2143" s="7" t="s">
        <v>94</v>
      </c>
      <c r="F2143" s="7" t="s">
        <v>86</v>
      </c>
      <c r="G2143" s="7" t="s">
        <v>95</v>
      </c>
      <c r="H2143" s="7" t="n">
        <v>2</v>
      </c>
      <c r="I2143" s="7" t="n">
        <v>110</v>
      </c>
      <c r="J2143" s="7" t="n">
        <v>40</v>
      </c>
      <c r="K2143" s="7" t="s">
        <v>121</v>
      </c>
      <c r="L2143" s="7" t="s">
        <v>194</v>
      </c>
      <c r="M2143" s="7" t="n">
        <v>31</v>
      </c>
      <c r="N2143" s="7" t="n">
        <v>5</v>
      </c>
      <c r="O2143" s="7" t="str">
        <f aca="false">A2143&amp;"|"&amp;B2143&amp;"|"&amp;C2143&amp;"|"&amp;D2143&amp;"|"&amp;E2143&amp;"|"&amp;F2143&amp;"|"&amp;G2143&amp;"|"&amp;H2143&amp;"|"&amp;I2143&amp;"|"&amp;J2143&amp;"|"&amp;K2143&amp;"|"&amp;L2143&amp;"|"&amp;M2143&amp;"|"&amp;N2143</f>
        <v>ORD10169|22/01/2025|22:35|C1464|Dosa Darbar|Bengaluru|South Indian|2|110|40|Wallet|Delivered|31|5</v>
      </c>
      <c r="P2143" s="7" t="str">
        <f aca="false">IF(COUNTIF($O$2:O2143,O2143)&gt;1,"DUP","OK")</f>
        <v>OK</v>
      </c>
      <c r="Q2143" s="7" t="n">
        <f aca="false">COUNTBLANK(A2143:N2143)</f>
        <v>0</v>
      </c>
      <c r="R2143" s="7" t="n">
        <f aca="false">IF(A2143="",0,COUNTIFS($A$2:$A$3058,A2143,$P$2:$P$3058,"OK"))</f>
        <v>1</v>
      </c>
      <c r="S2143" s="7" t="str">
        <f aca="false">IF(OR(A2143="",P2143="DUP",R2143&lt;2),"",IF(Q2143=_xlfn.MINIFS($Q$2:$Q$3058,$A$2:$A$3058,A2143,$P$2:$P$3058,"OK"),"KEEP","DROP"))</f>
        <v/>
      </c>
      <c r="T2143" s="9" t="n">
        <f aca="false">IF(A2143="",1,0)</f>
        <v>0</v>
      </c>
      <c r="U2143" s="9" t="n">
        <f aca="false">IF(D2143="",1,0)</f>
        <v>0</v>
      </c>
      <c r="V2143" s="9" t="n">
        <f aca="false">IF(E2143="",1,0)</f>
        <v>0</v>
      </c>
      <c r="W2143" s="9" t="n">
        <f aca="false">IF(OR(H2143&lt;1,H2143&gt;10),1,0)</f>
        <v>0</v>
      </c>
      <c r="X2143" s="9" t="n">
        <f aca="false">IF(OR(I2143&lt;=0,I2143&gt;1500),1,0)</f>
        <v>0</v>
      </c>
      <c r="Y2143" s="9" t="n">
        <f aca="false">IF(J2143&gt;H2143*I2143,1,0)</f>
        <v>0</v>
      </c>
      <c r="Z2143" s="9" t="n">
        <f aca="false">IF(AND(N2143&lt;&gt;"",OR(N2143&lt;1,N2143&gt;5)),1,0)</f>
        <v>0</v>
      </c>
      <c r="AA2143" s="9" t="n">
        <f aca="false">IF(AND(M2143&lt;&gt;"",OR(M2143&lt;5,M2143&gt;180)),1,0)</f>
        <v>0</v>
      </c>
      <c r="AB2143" s="7" t="str">
        <f aca="false">IF(P2143="DUP","Exact duplicate row",IF(T2143=1,"Missing Order ID",IF(S2143="DROP","Duplicate Order ID (less complete row)",IF(U2143=1,"Missing Customer ID",IF(V2143=1,"Missing Restaurant name",IF(W2143=1,"Invalid/outlier quantity",IF(X2143=1,"Invalid/outlier unit price",IF(Y2143=1,"Discount greater than order value",""))))))))</f>
        <v/>
      </c>
      <c r="AC2143" s="7" t="str">
        <f aca="false">IF(AB2143="","KEEP","DROP")</f>
        <v>KEEP</v>
      </c>
      <c r="AD2143" s="7" t="str">
        <f aca="false">IF(TRIM(F2143)="",IFERROR(INDEX(Map_Tables!$I$4:$I$37,MATCH(TRIM(E2143),Map_Tables!$G$4:$G$37,0)),""),IFERROR(INDEX(Map_Tables!$B$4:$B$18,MATCH(TRIM(F2143),Map_Tables!$A$4:$A$18,0)),"CHECK"))</f>
        <v>Bengaluru</v>
      </c>
      <c r="AE2143" s="7" t="str">
        <f aca="false">IF(TRIM(E2143)="","",IFERROR(INDEX(Map_Tables!$H$4:$H$37,MATCH(TRIM(E2143),Map_Tables!$G$4:$G$37,0)),"CHECK"))</f>
        <v>Dosa Darbar</v>
      </c>
      <c r="AF2143" s="7" t="str">
        <f aca="false">IF(TRIM(K2143)="","Unknown",IFERROR(INDEX(Map_Tables!$E$4:$E$15,MATCH(TRIM(K2143),Map_Tables!$D$4:$D$15,0)),"CHECK"))</f>
        <v>Wallet</v>
      </c>
      <c r="AG2143" s="7" t="str">
        <f aca="false">IF(LEFT(LOWER(TRIM(L2143)),6)="cancel","Cancelled","Delivered")</f>
        <v>Delivered</v>
      </c>
      <c r="AH2143" s="10" t="n">
        <f aca="false">IF(ISNUMBER(SEARCH("/",B2143)),DATE(VALUE(RIGHT(B2143,4)),VALUE(MID(B2143,4,2)),VALUE(LEFT(B2143,2))),IF(MID(B2143,5,1)="-",DATE(VALUE(LEFT(B2143,4)),VALUE(MID(B2143,6,2)),VALUE(RIGHT(B2143,2))),DATE(VALUE(RIGHT(B2143,4)),MATCH(MID(B2143,4,3),{"Jan","Feb","Mar","Apr","May","Jun","Jul","Aug","Sep","Oct","Nov","Dec"},0),VALUE(LEFT(B2143,2)))))</f>
        <v>45679</v>
      </c>
    </row>
    <row r="2144" customFormat="false" ht="15" hidden="false" customHeight="false" outlineLevel="0" collapsed="false">
      <c r="A2144" s="7" t="s">
        <v>4966</v>
      </c>
      <c r="B2144" s="7" t="s">
        <v>2737</v>
      </c>
      <c r="C2144" s="7" t="s">
        <v>3566</v>
      </c>
      <c r="D2144" s="7" t="s">
        <v>438</v>
      </c>
      <c r="E2144" s="7" t="s">
        <v>104</v>
      </c>
      <c r="F2144" s="7" t="s">
        <v>86</v>
      </c>
      <c r="G2144" s="7" t="s">
        <v>105</v>
      </c>
      <c r="H2144" s="7" t="n">
        <v>1</v>
      </c>
      <c r="I2144" s="7" t="n">
        <v>210</v>
      </c>
      <c r="J2144" s="7" t="n">
        <v>0</v>
      </c>
      <c r="K2144" s="7" t="s">
        <v>103</v>
      </c>
      <c r="L2144" s="7" t="s">
        <v>194</v>
      </c>
      <c r="M2144" s="7" t="n">
        <v>33</v>
      </c>
      <c r="N2144" s="7" t="n">
        <v>3</v>
      </c>
      <c r="O2144" s="7" t="str">
        <f aca="false">A2144&amp;"|"&amp;B2144&amp;"|"&amp;C2144&amp;"|"&amp;D2144&amp;"|"&amp;E2144&amp;"|"&amp;F2144&amp;"|"&amp;G2144&amp;"|"&amp;H2144&amp;"|"&amp;I2144&amp;"|"&amp;J2144&amp;"|"&amp;K2144&amp;"|"&amp;L2144&amp;"|"&amp;M2144&amp;"|"&amp;N2144</f>
        <v>ORD11518|16/07/2025|11:06|C0640|Wok &amp; Roll|Bengaluru|Chinese|1|210|0|Debit Card|Delivered|33|3</v>
      </c>
      <c r="P2144" s="7" t="str">
        <f aca="false">IF(COUNTIF($O$2:O2144,O2144)&gt;1,"DUP","OK")</f>
        <v>OK</v>
      </c>
      <c r="Q2144" s="7" t="n">
        <f aca="false">COUNTBLANK(A2144:N2144)</f>
        <v>0</v>
      </c>
      <c r="R2144" s="7" t="n">
        <f aca="false">IF(A2144="",0,COUNTIFS($A$2:$A$3058,A2144,$P$2:$P$3058,"OK"))</f>
        <v>1</v>
      </c>
      <c r="S2144" s="7" t="str">
        <f aca="false">IF(OR(A2144="",P2144="DUP",R2144&lt;2),"",IF(Q2144=_xlfn.MINIFS($Q$2:$Q$3058,$A$2:$A$3058,A2144,$P$2:$P$3058,"OK"),"KEEP","DROP"))</f>
        <v/>
      </c>
      <c r="T2144" s="9" t="n">
        <f aca="false">IF(A2144="",1,0)</f>
        <v>0</v>
      </c>
      <c r="U2144" s="9" t="n">
        <f aca="false">IF(D2144="",1,0)</f>
        <v>0</v>
      </c>
      <c r="V2144" s="9" t="n">
        <f aca="false">IF(E2144="",1,0)</f>
        <v>0</v>
      </c>
      <c r="W2144" s="9" t="n">
        <f aca="false">IF(OR(H2144&lt;1,H2144&gt;10),1,0)</f>
        <v>0</v>
      </c>
      <c r="X2144" s="9" t="n">
        <f aca="false">IF(OR(I2144&lt;=0,I2144&gt;1500),1,0)</f>
        <v>0</v>
      </c>
      <c r="Y2144" s="9" t="n">
        <f aca="false">IF(J2144&gt;H2144*I2144,1,0)</f>
        <v>0</v>
      </c>
      <c r="Z2144" s="9" t="n">
        <f aca="false">IF(AND(N2144&lt;&gt;"",OR(N2144&lt;1,N2144&gt;5)),1,0)</f>
        <v>0</v>
      </c>
      <c r="AA2144" s="9" t="n">
        <f aca="false">IF(AND(M2144&lt;&gt;"",OR(M2144&lt;5,M2144&gt;180)),1,0)</f>
        <v>0</v>
      </c>
      <c r="AB2144" s="7" t="str">
        <f aca="false">IF(P2144="DUP","Exact duplicate row",IF(T2144=1,"Missing Order ID",IF(S2144="DROP","Duplicate Order ID (less complete row)",IF(U2144=1,"Missing Customer ID",IF(V2144=1,"Missing Restaurant name",IF(W2144=1,"Invalid/outlier quantity",IF(X2144=1,"Invalid/outlier unit price",IF(Y2144=1,"Discount greater than order value",""))))))))</f>
        <v/>
      </c>
      <c r="AC2144" s="7" t="str">
        <f aca="false">IF(AB2144="","KEEP","DROP")</f>
        <v>KEEP</v>
      </c>
      <c r="AD2144" s="7" t="str">
        <f aca="false">IF(TRIM(F2144)="",IFERROR(INDEX(Map_Tables!$I$4:$I$37,MATCH(TRIM(E2144),Map_Tables!$G$4:$G$37,0)),""),IFERROR(INDEX(Map_Tables!$B$4:$B$18,MATCH(TRIM(F2144),Map_Tables!$A$4:$A$18,0)),"CHECK"))</f>
        <v>Bengaluru</v>
      </c>
      <c r="AE2144" s="7" t="str">
        <f aca="false">IF(TRIM(E2144)="","",IFERROR(INDEX(Map_Tables!$H$4:$H$37,MATCH(TRIM(E2144),Map_Tables!$G$4:$G$37,0)),"CHECK"))</f>
        <v>Wok &amp; Roll</v>
      </c>
      <c r="AF2144" s="7" t="str">
        <f aca="false">IF(TRIM(K2144)="","Unknown",IFERROR(INDEX(Map_Tables!$E$4:$E$15,MATCH(TRIM(K2144),Map_Tables!$D$4:$D$15,0)),"CHECK"))</f>
        <v>Debit Card</v>
      </c>
      <c r="AG2144" s="7" t="str">
        <f aca="false">IF(LEFT(LOWER(TRIM(L2144)),6)="cancel","Cancelled","Delivered")</f>
        <v>Delivered</v>
      </c>
      <c r="AH2144" s="10" t="n">
        <f aca="false">IF(ISNUMBER(SEARCH("/",B2144)),DATE(VALUE(RIGHT(B2144,4)),VALUE(MID(B2144,4,2)),VALUE(LEFT(B2144,2))),IF(MID(B2144,5,1)="-",DATE(VALUE(LEFT(B2144,4)),VALUE(MID(B2144,6,2)),VALUE(RIGHT(B2144,2))),DATE(VALUE(RIGHT(B2144,4)),MATCH(MID(B2144,4,3),{"Jan","Feb","Mar","Apr","May","Jun","Jul","Aug","Sep","Oct","Nov","Dec"},0),VALUE(LEFT(B2144,2)))))</f>
        <v>45854</v>
      </c>
    </row>
    <row r="2145" customFormat="false" ht="15" hidden="false" customHeight="false" outlineLevel="0" collapsed="false">
      <c r="A2145" s="7" t="s">
        <v>4967</v>
      </c>
      <c r="B2145" s="7" t="s">
        <v>1634</v>
      </c>
      <c r="C2145" s="7" t="s">
        <v>512</v>
      </c>
      <c r="D2145" s="7" t="s">
        <v>3438</v>
      </c>
      <c r="E2145" s="7" t="s">
        <v>104</v>
      </c>
      <c r="F2145" s="7" t="s">
        <v>928</v>
      </c>
      <c r="G2145" s="7" t="s">
        <v>105</v>
      </c>
      <c r="H2145" s="7" t="n">
        <v>4</v>
      </c>
      <c r="I2145" s="7" t="n">
        <v>190</v>
      </c>
      <c r="J2145" s="7" t="n">
        <v>0</v>
      </c>
      <c r="K2145" s="7" t="s">
        <v>112</v>
      </c>
      <c r="L2145" s="7" t="s">
        <v>194</v>
      </c>
      <c r="M2145" s="7" t="n">
        <v>41</v>
      </c>
      <c r="N2145" s="7" t="n">
        <v>3</v>
      </c>
      <c r="O2145" s="7" t="str">
        <f aca="false">A2145&amp;"|"&amp;B2145&amp;"|"&amp;C2145&amp;"|"&amp;D2145&amp;"|"&amp;E2145&amp;"|"&amp;F2145&amp;"|"&amp;G2145&amp;"|"&amp;H2145&amp;"|"&amp;I2145&amp;"|"&amp;J2145&amp;"|"&amp;K2145&amp;"|"&amp;L2145&amp;"|"&amp;M2145&amp;"|"&amp;N2145</f>
        <v>ORD11801|2025-08-23|13:20|C1457|Wok &amp; Roll|Bangalore|Chinese|4|190|0|Cash on Delivery|Delivered|41|3</v>
      </c>
      <c r="P2145" s="7" t="str">
        <f aca="false">IF(COUNTIF($O$2:O2145,O2145)&gt;1,"DUP","OK")</f>
        <v>OK</v>
      </c>
      <c r="Q2145" s="7" t="n">
        <f aca="false">COUNTBLANK(A2145:N2145)</f>
        <v>0</v>
      </c>
      <c r="R2145" s="7" t="n">
        <f aca="false">IF(A2145="",0,COUNTIFS($A$2:$A$3058,A2145,$P$2:$P$3058,"OK"))</f>
        <v>1</v>
      </c>
      <c r="S2145" s="7" t="str">
        <f aca="false">IF(OR(A2145="",P2145="DUP",R2145&lt;2),"",IF(Q2145=_xlfn.MINIFS($Q$2:$Q$3058,$A$2:$A$3058,A2145,$P$2:$P$3058,"OK"),"KEEP","DROP"))</f>
        <v/>
      </c>
      <c r="T2145" s="9" t="n">
        <f aca="false">IF(A2145="",1,0)</f>
        <v>0</v>
      </c>
      <c r="U2145" s="9" t="n">
        <f aca="false">IF(D2145="",1,0)</f>
        <v>0</v>
      </c>
      <c r="V2145" s="9" t="n">
        <f aca="false">IF(E2145="",1,0)</f>
        <v>0</v>
      </c>
      <c r="W2145" s="9" t="n">
        <f aca="false">IF(OR(H2145&lt;1,H2145&gt;10),1,0)</f>
        <v>0</v>
      </c>
      <c r="X2145" s="9" t="n">
        <f aca="false">IF(OR(I2145&lt;=0,I2145&gt;1500),1,0)</f>
        <v>0</v>
      </c>
      <c r="Y2145" s="9" t="n">
        <f aca="false">IF(J2145&gt;H2145*I2145,1,0)</f>
        <v>0</v>
      </c>
      <c r="Z2145" s="9" t="n">
        <f aca="false">IF(AND(N2145&lt;&gt;"",OR(N2145&lt;1,N2145&gt;5)),1,0)</f>
        <v>0</v>
      </c>
      <c r="AA2145" s="9" t="n">
        <f aca="false">IF(AND(M2145&lt;&gt;"",OR(M2145&lt;5,M2145&gt;180)),1,0)</f>
        <v>0</v>
      </c>
      <c r="AB2145" s="7" t="str">
        <f aca="false">IF(P2145="DUP","Exact duplicate row",IF(T2145=1,"Missing Order ID",IF(S2145="DROP","Duplicate Order ID (less complete row)",IF(U2145=1,"Missing Customer ID",IF(V2145=1,"Missing Restaurant name",IF(W2145=1,"Invalid/outlier quantity",IF(X2145=1,"Invalid/outlier unit price",IF(Y2145=1,"Discount greater than order value",""))))))))</f>
        <v/>
      </c>
      <c r="AC2145" s="7" t="str">
        <f aca="false">IF(AB2145="","KEEP","DROP")</f>
        <v>KEEP</v>
      </c>
      <c r="AD2145" s="7" t="str">
        <f aca="false">IF(TRIM(F2145)="",IFERROR(INDEX(Map_Tables!$I$4:$I$37,MATCH(TRIM(E2145),Map_Tables!$G$4:$G$37,0)),""),IFERROR(INDEX(Map_Tables!$B$4:$B$18,MATCH(TRIM(F2145),Map_Tables!$A$4:$A$18,0)),"CHECK"))</f>
        <v>Bengaluru</v>
      </c>
      <c r="AE2145" s="7" t="str">
        <f aca="false">IF(TRIM(E2145)="","",IFERROR(INDEX(Map_Tables!$H$4:$H$37,MATCH(TRIM(E2145),Map_Tables!$G$4:$G$37,0)),"CHECK"))</f>
        <v>Wok &amp; Roll</v>
      </c>
      <c r="AF2145" s="7" t="str">
        <f aca="false">IF(TRIM(K2145)="","Unknown",IFERROR(INDEX(Map_Tables!$E$4:$E$15,MATCH(TRIM(K2145),Map_Tables!$D$4:$D$15,0)),"CHECK"))</f>
        <v>Cash on Delivery</v>
      </c>
      <c r="AG2145" s="7" t="str">
        <f aca="false">IF(LEFT(LOWER(TRIM(L2145)),6)="cancel","Cancelled","Delivered")</f>
        <v>Delivered</v>
      </c>
      <c r="AH2145" s="10" t="n">
        <f aca="false">IF(ISNUMBER(SEARCH("/",B2145)),DATE(VALUE(RIGHT(B2145,4)),VALUE(MID(B2145,4,2)),VALUE(LEFT(B2145,2))),IF(MID(B2145,5,1)="-",DATE(VALUE(LEFT(B2145,4)),VALUE(MID(B2145,6,2)),VALUE(RIGHT(B2145,2))),DATE(VALUE(RIGHT(B2145,4)),MATCH(MID(B2145,4,3),{"Jan","Feb","Mar","Apr","May","Jun","Jul","Aug","Sep","Oct","Nov","Dec"},0),VALUE(LEFT(B2145,2)))))</f>
        <v>45892</v>
      </c>
    </row>
    <row r="2146" customFormat="false" ht="15" hidden="false" customHeight="false" outlineLevel="0" collapsed="false">
      <c r="A2146" s="7" t="s">
        <v>4968</v>
      </c>
      <c r="B2146" s="7" t="s">
        <v>1698</v>
      </c>
      <c r="C2146" s="7" t="s">
        <v>4969</v>
      </c>
      <c r="D2146" s="7" t="s">
        <v>1771</v>
      </c>
      <c r="E2146" s="7" t="s">
        <v>134</v>
      </c>
      <c r="F2146" s="7" t="s">
        <v>294</v>
      </c>
      <c r="G2146" s="7" t="s">
        <v>117</v>
      </c>
      <c r="H2146" s="7" t="n">
        <v>1</v>
      </c>
      <c r="I2146" s="7" t="n">
        <v>105</v>
      </c>
      <c r="J2146" s="7" t="n">
        <v>40</v>
      </c>
      <c r="K2146" s="7" t="s">
        <v>121</v>
      </c>
      <c r="L2146" s="7" t="s">
        <v>194</v>
      </c>
      <c r="M2146" s="7" t="n">
        <v>34</v>
      </c>
      <c r="N2146" s="7" t="n">
        <v>4</v>
      </c>
      <c r="O2146" s="7" t="str">
        <f aca="false">A2146&amp;"|"&amp;B2146&amp;"|"&amp;C2146&amp;"|"&amp;D2146&amp;"|"&amp;E2146&amp;"|"&amp;F2146&amp;"|"&amp;G2146&amp;"|"&amp;H2146&amp;"|"&amp;I2146&amp;"|"&amp;J2146&amp;"|"&amp;K2146&amp;"|"&amp;L2146&amp;"|"&amp;M2146&amp;"|"&amp;N2146</f>
        <v>ORD12183|2025-10-05|13:31|C0958|Chaat Corner|New Delhi|Street Food|1|105|40|Wallet|Delivered|34|4</v>
      </c>
      <c r="P2146" s="7" t="str">
        <f aca="false">IF(COUNTIF($O$2:O2146,O2146)&gt;1,"DUP","OK")</f>
        <v>OK</v>
      </c>
      <c r="Q2146" s="7" t="n">
        <f aca="false">COUNTBLANK(A2146:N2146)</f>
        <v>0</v>
      </c>
      <c r="R2146" s="7" t="n">
        <f aca="false">IF(A2146="",0,COUNTIFS($A$2:$A$3058,A2146,$P$2:$P$3058,"OK"))</f>
        <v>1</v>
      </c>
      <c r="S2146" s="7" t="str">
        <f aca="false">IF(OR(A2146="",P2146="DUP",R2146&lt;2),"",IF(Q2146=_xlfn.MINIFS($Q$2:$Q$3058,$A$2:$A$3058,A2146,$P$2:$P$3058,"OK"),"KEEP","DROP"))</f>
        <v/>
      </c>
      <c r="T2146" s="9" t="n">
        <f aca="false">IF(A2146="",1,0)</f>
        <v>0</v>
      </c>
      <c r="U2146" s="9" t="n">
        <f aca="false">IF(D2146="",1,0)</f>
        <v>0</v>
      </c>
      <c r="V2146" s="9" t="n">
        <f aca="false">IF(E2146="",1,0)</f>
        <v>0</v>
      </c>
      <c r="W2146" s="9" t="n">
        <f aca="false">IF(OR(H2146&lt;1,H2146&gt;10),1,0)</f>
        <v>0</v>
      </c>
      <c r="X2146" s="9" t="n">
        <f aca="false">IF(OR(I2146&lt;=0,I2146&gt;1500),1,0)</f>
        <v>0</v>
      </c>
      <c r="Y2146" s="9" t="n">
        <f aca="false">IF(J2146&gt;H2146*I2146,1,0)</f>
        <v>0</v>
      </c>
      <c r="Z2146" s="9" t="n">
        <f aca="false">IF(AND(N2146&lt;&gt;"",OR(N2146&lt;1,N2146&gt;5)),1,0)</f>
        <v>0</v>
      </c>
      <c r="AA2146" s="9" t="n">
        <f aca="false">IF(AND(M2146&lt;&gt;"",OR(M2146&lt;5,M2146&gt;180)),1,0)</f>
        <v>0</v>
      </c>
      <c r="AB2146" s="7" t="str">
        <f aca="false">IF(P2146="DUP","Exact duplicate row",IF(T2146=1,"Missing Order ID",IF(S2146="DROP","Duplicate Order ID (less complete row)",IF(U2146=1,"Missing Customer ID",IF(V2146=1,"Missing Restaurant name",IF(W2146=1,"Invalid/outlier quantity",IF(X2146=1,"Invalid/outlier unit price",IF(Y2146=1,"Discount greater than order value",""))))))))</f>
        <v/>
      </c>
      <c r="AC2146" s="7" t="str">
        <f aca="false">IF(AB2146="","KEEP","DROP")</f>
        <v>KEEP</v>
      </c>
      <c r="AD2146" s="7" t="str">
        <f aca="false">IF(TRIM(F2146)="",IFERROR(INDEX(Map_Tables!$I$4:$I$37,MATCH(TRIM(E2146),Map_Tables!$G$4:$G$37,0)),""),IFERROR(INDEX(Map_Tables!$B$4:$B$18,MATCH(TRIM(F2146),Map_Tables!$A$4:$A$18,0)),"CHECK"))</f>
        <v>Delhi</v>
      </c>
      <c r="AE2146" s="7" t="str">
        <f aca="false">IF(TRIM(E2146)="","",IFERROR(INDEX(Map_Tables!$H$4:$H$37,MATCH(TRIM(E2146),Map_Tables!$G$4:$G$37,0)),"CHECK"))</f>
        <v>Chaat Corner</v>
      </c>
      <c r="AF2146" s="7" t="str">
        <f aca="false">IF(TRIM(K2146)="","Unknown",IFERROR(INDEX(Map_Tables!$E$4:$E$15,MATCH(TRIM(K2146),Map_Tables!$D$4:$D$15,0)),"CHECK"))</f>
        <v>Wallet</v>
      </c>
      <c r="AG2146" s="7" t="str">
        <f aca="false">IF(LEFT(LOWER(TRIM(L2146)),6)="cancel","Cancelled","Delivered")</f>
        <v>Delivered</v>
      </c>
      <c r="AH2146" s="10" t="n">
        <f aca="false">IF(ISNUMBER(SEARCH("/",B2146)),DATE(VALUE(RIGHT(B2146,4)),VALUE(MID(B2146,4,2)),VALUE(LEFT(B2146,2))),IF(MID(B2146,5,1)="-",DATE(VALUE(LEFT(B2146,4)),VALUE(MID(B2146,6,2)),VALUE(RIGHT(B2146,2))),DATE(VALUE(RIGHT(B2146,4)),MATCH(MID(B2146,4,3),{"Jan","Feb","Mar","Apr","May","Jun","Jul","Aug","Sep","Oct","Nov","Dec"},0),VALUE(LEFT(B2146,2)))))</f>
        <v>45935</v>
      </c>
    </row>
    <row r="2147" customFormat="false" ht="15" hidden="false" customHeight="false" outlineLevel="0" collapsed="false">
      <c r="A2147" s="7" t="s">
        <v>4970</v>
      </c>
      <c r="B2147" s="7" t="s">
        <v>584</v>
      </c>
      <c r="C2147" s="7" t="s">
        <v>4971</v>
      </c>
      <c r="D2147" s="7" t="s">
        <v>3961</v>
      </c>
      <c r="E2147" s="7" t="s">
        <v>126</v>
      </c>
      <c r="F2147" s="7" t="s">
        <v>101</v>
      </c>
      <c r="G2147" s="7" t="s">
        <v>105</v>
      </c>
      <c r="H2147" s="7" t="n">
        <v>2</v>
      </c>
      <c r="I2147" s="7" t="n">
        <v>160</v>
      </c>
      <c r="J2147" s="7" t="n">
        <v>0</v>
      </c>
      <c r="K2147" s="7" t="s">
        <v>88</v>
      </c>
      <c r="L2147" s="7" t="s">
        <v>194</v>
      </c>
      <c r="M2147" s="7" t="n">
        <v>47</v>
      </c>
      <c r="N2147" s="7"/>
      <c r="O2147" s="7" t="str">
        <f aca="false">A2147&amp;"|"&amp;B2147&amp;"|"&amp;C2147&amp;"|"&amp;D2147&amp;"|"&amp;E2147&amp;"|"&amp;F2147&amp;"|"&amp;G2147&amp;"|"&amp;H2147&amp;"|"&amp;I2147&amp;"|"&amp;J2147&amp;"|"&amp;K2147&amp;"|"&amp;L2147&amp;"|"&amp;M2147&amp;"|"&amp;N2147</f>
        <v>ORD11918|2025-09-06|16:41|C1414|Dragon Express|Mumbai|Chinese|2|160|0|UPI|Delivered|47|</v>
      </c>
      <c r="P2147" s="7" t="str">
        <f aca="false">IF(COUNTIF($O$2:O2147,O2147)&gt;1,"DUP","OK")</f>
        <v>OK</v>
      </c>
      <c r="Q2147" s="7" t="n">
        <f aca="false">COUNTBLANK(A2147:N2147)</f>
        <v>1</v>
      </c>
      <c r="R2147" s="7" t="n">
        <f aca="false">IF(A2147="",0,COUNTIFS($A$2:$A$3058,A2147,$P$2:$P$3058,"OK"))</f>
        <v>1</v>
      </c>
      <c r="S2147" s="7" t="str">
        <f aca="false">IF(OR(A2147="",P2147="DUP",R2147&lt;2),"",IF(Q2147=_xlfn.MINIFS($Q$2:$Q$3058,$A$2:$A$3058,A2147,$P$2:$P$3058,"OK"),"KEEP","DROP"))</f>
        <v/>
      </c>
      <c r="T2147" s="9" t="n">
        <f aca="false">IF(A2147="",1,0)</f>
        <v>0</v>
      </c>
      <c r="U2147" s="9" t="n">
        <f aca="false">IF(D2147="",1,0)</f>
        <v>0</v>
      </c>
      <c r="V2147" s="9" t="n">
        <f aca="false">IF(E2147="",1,0)</f>
        <v>0</v>
      </c>
      <c r="W2147" s="9" t="n">
        <f aca="false">IF(OR(H2147&lt;1,H2147&gt;10),1,0)</f>
        <v>0</v>
      </c>
      <c r="X2147" s="9" t="n">
        <f aca="false">IF(OR(I2147&lt;=0,I2147&gt;1500),1,0)</f>
        <v>0</v>
      </c>
      <c r="Y2147" s="9" t="n">
        <f aca="false">IF(J2147&gt;H2147*I2147,1,0)</f>
        <v>0</v>
      </c>
      <c r="Z2147" s="9" t="n">
        <f aca="false">IF(AND(N2147&lt;&gt;"",OR(N2147&lt;1,N2147&gt;5)),1,0)</f>
        <v>0</v>
      </c>
      <c r="AA2147" s="9" t="n">
        <f aca="false">IF(AND(M2147&lt;&gt;"",OR(M2147&lt;5,M2147&gt;180)),1,0)</f>
        <v>0</v>
      </c>
      <c r="AB2147" s="7" t="str">
        <f aca="false">IF(P2147="DUP","Exact duplicate row",IF(T2147=1,"Missing Order ID",IF(S2147="DROP","Duplicate Order ID (less complete row)",IF(U2147=1,"Missing Customer ID",IF(V2147=1,"Missing Restaurant name",IF(W2147=1,"Invalid/outlier quantity",IF(X2147=1,"Invalid/outlier unit price",IF(Y2147=1,"Discount greater than order value",""))))))))</f>
        <v/>
      </c>
      <c r="AC2147" s="7" t="str">
        <f aca="false">IF(AB2147="","KEEP","DROP")</f>
        <v>KEEP</v>
      </c>
      <c r="AD2147" s="7" t="str">
        <f aca="false">IF(TRIM(F2147)="",IFERROR(INDEX(Map_Tables!$I$4:$I$37,MATCH(TRIM(E2147),Map_Tables!$G$4:$G$37,0)),""),IFERROR(INDEX(Map_Tables!$B$4:$B$18,MATCH(TRIM(F2147),Map_Tables!$A$4:$A$18,0)),"CHECK"))</f>
        <v>Mumbai</v>
      </c>
      <c r="AE2147" s="7" t="str">
        <f aca="false">IF(TRIM(E2147)="","",IFERROR(INDEX(Map_Tables!$H$4:$H$37,MATCH(TRIM(E2147),Map_Tables!$G$4:$G$37,0)),"CHECK"))</f>
        <v>Dragon Express</v>
      </c>
      <c r="AF2147" s="7" t="str">
        <f aca="false">IF(TRIM(K2147)="","Unknown",IFERROR(INDEX(Map_Tables!$E$4:$E$15,MATCH(TRIM(K2147),Map_Tables!$D$4:$D$15,0)),"CHECK"))</f>
        <v>UPI</v>
      </c>
      <c r="AG2147" s="7" t="str">
        <f aca="false">IF(LEFT(LOWER(TRIM(L2147)),6)="cancel","Cancelled","Delivered")</f>
        <v>Delivered</v>
      </c>
      <c r="AH2147" s="10" t="n">
        <f aca="false">IF(ISNUMBER(SEARCH("/",B2147)),DATE(VALUE(RIGHT(B2147,4)),VALUE(MID(B2147,4,2)),VALUE(LEFT(B2147,2))),IF(MID(B2147,5,1)="-",DATE(VALUE(LEFT(B2147,4)),VALUE(MID(B2147,6,2)),VALUE(RIGHT(B2147,2))),DATE(VALUE(RIGHT(B2147,4)),MATCH(MID(B2147,4,3),{"Jan","Feb","Mar","Apr","May","Jun","Jul","Aug","Sep","Oct","Nov","Dec"},0),VALUE(LEFT(B2147,2)))))</f>
        <v>45906</v>
      </c>
    </row>
    <row r="2148" customFormat="false" ht="15" hidden="false" customHeight="false" outlineLevel="0" collapsed="false">
      <c r="A2148" s="7" t="s">
        <v>4972</v>
      </c>
      <c r="B2148" s="7" t="s">
        <v>4973</v>
      </c>
      <c r="C2148" s="7" t="s">
        <v>3600</v>
      </c>
      <c r="D2148" s="7" t="s">
        <v>4974</v>
      </c>
      <c r="E2148" s="7" t="s">
        <v>98</v>
      </c>
      <c r="F2148" s="7" t="s">
        <v>86</v>
      </c>
      <c r="G2148" s="7" t="s">
        <v>99</v>
      </c>
      <c r="H2148" s="7" t="n">
        <v>2</v>
      </c>
      <c r="I2148" s="7" t="n">
        <v>270</v>
      </c>
      <c r="J2148" s="7" t="n">
        <v>0</v>
      </c>
      <c r="K2148" s="7" t="s">
        <v>121</v>
      </c>
      <c r="L2148" s="7" t="s">
        <v>194</v>
      </c>
      <c r="M2148" s="7" t="n">
        <v>27</v>
      </c>
      <c r="N2148" s="7" t="n">
        <v>5</v>
      </c>
      <c r="O2148" s="7" t="str">
        <f aca="false">A2148&amp;"|"&amp;B2148&amp;"|"&amp;C2148&amp;"|"&amp;D2148&amp;"|"&amp;E2148&amp;"|"&amp;F2148&amp;"|"&amp;G2148&amp;"|"&amp;H2148&amp;"|"&amp;I2148&amp;"|"&amp;J2148&amp;"|"&amp;K2148&amp;"|"&amp;L2148&amp;"|"&amp;M2148&amp;"|"&amp;N2148</f>
        <v>ORD10273|2025-02-06|12:04|C1238|Nawabi Biryani House|Bengaluru|Biryani|2|270|0|Wallet|Delivered|27|5</v>
      </c>
      <c r="P2148" s="7" t="str">
        <f aca="false">IF(COUNTIF($O$2:O2148,O2148)&gt;1,"DUP","OK")</f>
        <v>OK</v>
      </c>
      <c r="Q2148" s="7" t="n">
        <f aca="false">COUNTBLANK(A2148:N2148)</f>
        <v>0</v>
      </c>
      <c r="R2148" s="7" t="n">
        <f aca="false">IF(A2148="",0,COUNTIFS($A$2:$A$3058,A2148,$P$2:$P$3058,"OK"))</f>
        <v>1</v>
      </c>
      <c r="S2148" s="7" t="str">
        <f aca="false">IF(OR(A2148="",P2148="DUP",R2148&lt;2),"",IF(Q2148=_xlfn.MINIFS($Q$2:$Q$3058,$A$2:$A$3058,A2148,$P$2:$P$3058,"OK"),"KEEP","DROP"))</f>
        <v/>
      </c>
      <c r="T2148" s="9" t="n">
        <f aca="false">IF(A2148="",1,0)</f>
        <v>0</v>
      </c>
      <c r="U2148" s="9" t="n">
        <f aca="false">IF(D2148="",1,0)</f>
        <v>0</v>
      </c>
      <c r="V2148" s="9" t="n">
        <f aca="false">IF(E2148="",1,0)</f>
        <v>0</v>
      </c>
      <c r="W2148" s="9" t="n">
        <f aca="false">IF(OR(H2148&lt;1,H2148&gt;10),1,0)</f>
        <v>0</v>
      </c>
      <c r="X2148" s="9" t="n">
        <f aca="false">IF(OR(I2148&lt;=0,I2148&gt;1500),1,0)</f>
        <v>0</v>
      </c>
      <c r="Y2148" s="9" t="n">
        <f aca="false">IF(J2148&gt;H2148*I2148,1,0)</f>
        <v>0</v>
      </c>
      <c r="Z2148" s="9" t="n">
        <f aca="false">IF(AND(N2148&lt;&gt;"",OR(N2148&lt;1,N2148&gt;5)),1,0)</f>
        <v>0</v>
      </c>
      <c r="AA2148" s="9" t="n">
        <f aca="false">IF(AND(M2148&lt;&gt;"",OR(M2148&lt;5,M2148&gt;180)),1,0)</f>
        <v>0</v>
      </c>
      <c r="AB2148" s="7" t="str">
        <f aca="false">IF(P2148="DUP","Exact duplicate row",IF(T2148=1,"Missing Order ID",IF(S2148="DROP","Duplicate Order ID (less complete row)",IF(U2148=1,"Missing Customer ID",IF(V2148=1,"Missing Restaurant name",IF(W2148=1,"Invalid/outlier quantity",IF(X2148=1,"Invalid/outlier unit price",IF(Y2148=1,"Discount greater than order value",""))))))))</f>
        <v/>
      </c>
      <c r="AC2148" s="7" t="str">
        <f aca="false">IF(AB2148="","KEEP","DROP")</f>
        <v>KEEP</v>
      </c>
      <c r="AD2148" s="7" t="str">
        <f aca="false">IF(TRIM(F2148)="",IFERROR(INDEX(Map_Tables!$I$4:$I$37,MATCH(TRIM(E2148),Map_Tables!$G$4:$G$37,0)),""),IFERROR(INDEX(Map_Tables!$B$4:$B$18,MATCH(TRIM(F2148),Map_Tables!$A$4:$A$18,0)),"CHECK"))</f>
        <v>Bengaluru</v>
      </c>
      <c r="AE2148" s="7" t="str">
        <f aca="false">IF(TRIM(E2148)="","",IFERROR(INDEX(Map_Tables!$H$4:$H$37,MATCH(TRIM(E2148),Map_Tables!$G$4:$G$37,0)),"CHECK"))</f>
        <v>Nawabi Biryani House</v>
      </c>
      <c r="AF2148" s="7" t="str">
        <f aca="false">IF(TRIM(K2148)="","Unknown",IFERROR(INDEX(Map_Tables!$E$4:$E$15,MATCH(TRIM(K2148),Map_Tables!$D$4:$D$15,0)),"CHECK"))</f>
        <v>Wallet</v>
      </c>
      <c r="AG2148" s="7" t="str">
        <f aca="false">IF(LEFT(LOWER(TRIM(L2148)),6)="cancel","Cancelled","Delivered")</f>
        <v>Delivered</v>
      </c>
      <c r="AH2148" s="10" t="n">
        <f aca="false">IF(ISNUMBER(SEARCH("/",B2148)),DATE(VALUE(RIGHT(B2148,4)),VALUE(MID(B2148,4,2)),VALUE(LEFT(B2148,2))),IF(MID(B2148,5,1)="-",DATE(VALUE(LEFT(B2148,4)),VALUE(MID(B2148,6,2)),VALUE(RIGHT(B2148,2))),DATE(VALUE(RIGHT(B2148,4)),MATCH(MID(B2148,4,3),{"Jan","Feb","Mar","Apr","May","Jun","Jul","Aug","Sep","Oct","Nov","Dec"},0),VALUE(LEFT(B2148,2)))))</f>
        <v>45694</v>
      </c>
    </row>
    <row r="2149" customFormat="false" ht="15" hidden="false" customHeight="false" outlineLevel="0" collapsed="false">
      <c r="A2149" s="7" t="s">
        <v>4975</v>
      </c>
      <c r="B2149" s="7" t="s">
        <v>267</v>
      </c>
      <c r="C2149" s="7" t="s">
        <v>1901</v>
      </c>
      <c r="D2149" s="7" t="s">
        <v>2973</v>
      </c>
      <c r="E2149" s="7" t="s">
        <v>151</v>
      </c>
      <c r="F2149" s="7" t="s">
        <v>128</v>
      </c>
      <c r="G2149" s="7" t="s">
        <v>95</v>
      </c>
      <c r="H2149" s="7" t="n">
        <v>1</v>
      </c>
      <c r="I2149" s="7" t="n">
        <v>190</v>
      </c>
      <c r="J2149" s="7" t="n">
        <v>76</v>
      </c>
      <c r="K2149" s="7" t="s">
        <v>88</v>
      </c>
      <c r="L2149" s="7" t="s">
        <v>194</v>
      </c>
      <c r="M2149" s="7" t="n">
        <v>37</v>
      </c>
      <c r="N2149" s="7" t="n">
        <v>3</v>
      </c>
      <c r="O2149" s="7" t="str">
        <f aca="false">A2149&amp;"|"&amp;B2149&amp;"|"&amp;C2149&amp;"|"&amp;D2149&amp;"|"&amp;E2149&amp;"|"&amp;F2149&amp;"|"&amp;G2149&amp;"|"&amp;H2149&amp;"|"&amp;I2149&amp;"|"&amp;J2149&amp;"|"&amp;K2149&amp;"|"&amp;L2149&amp;"|"&amp;M2149&amp;"|"&amp;N2149</f>
        <v>ORD11216|2025-06-03|18:33|C1289|Chettinad House|Chennai|South Indian|1|190|76|UPI|Delivered|37|3</v>
      </c>
      <c r="P2149" s="7" t="str">
        <f aca="false">IF(COUNTIF($O$2:O2149,O2149)&gt;1,"DUP","OK")</f>
        <v>OK</v>
      </c>
      <c r="Q2149" s="7" t="n">
        <f aca="false">COUNTBLANK(A2149:N2149)</f>
        <v>0</v>
      </c>
      <c r="R2149" s="7" t="n">
        <f aca="false">IF(A2149="",0,COUNTIFS($A$2:$A$3058,A2149,$P$2:$P$3058,"OK"))</f>
        <v>1</v>
      </c>
      <c r="S2149" s="7" t="str">
        <f aca="false">IF(OR(A2149="",P2149="DUP",R2149&lt;2),"",IF(Q2149=_xlfn.MINIFS($Q$2:$Q$3058,$A$2:$A$3058,A2149,$P$2:$P$3058,"OK"),"KEEP","DROP"))</f>
        <v/>
      </c>
      <c r="T2149" s="9" t="n">
        <f aca="false">IF(A2149="",1,0)</f>
        <v>0</v>
      </c>
      <c r="U2149" s="9" t="n">
        <f aca="false">IF(D2149="",1,0)</f>
        <v>0</v>
      </c>
      <c r="V2149" s="9" t="n">
        <f aca="false">IF(E2149="",1,0)</f>
        <v>0</v>
      </c>
      <c r="W2149" s="9" t="n">
        <f aca="false">IF(OR(H2149&lt;1,H2149&gt;10),1,0)</f>
        <v>0</v>
      </c>
      <c r="X2149" s="9" t="n">
        <f aca="false">IF(OR(I2149&lt;=0,I2149&gt;1500),1,0)</f>
        <v>0</v>
      </c>
      <c r="Y2149" s="9" t="n">
        <f aca="false">IF(J2149&gt;H2149*I2149,1,0)</f>
        <v>0</v>
      </c>
      <c r="Z2149" s="9" t="n">
        <f aca="false">IF(AND(N2149&lt;&gt;"",OR(N2149&lt;1,N2149&gt;5)),1,0)</f>
        <v>0</v>
      </c>
      <c r="AA2149" s="9" t="n">
        <f aca="false">IF(AND(M2149&lt;&gt;"",OR(M2149&lt;5,M2149&gt;180)),1,0)</f>
        <v>0</v>
      </c>
      <c r="AB2149" s="7" t="str">
        <f aca="false">IF(P2149="DUP","Exact duplicate row",IF(T2149=1,"Missing Order ID",IF(S2149="DROP","Duplicate Order ID (less complete row)",IF(U2149=1,"Missing Customer ID",IF(V2149=1,"Missing Restaurant name",IF(W2149=1,"Invalid/outlier quantity",IF(X2149=1,"Invalid/outlier unit price",IF(Y2149=1,"Discount greater than order value",""))))))))</f>
        <v/>
      </c>
      <c r="AC2149" s="7" t="str">
        <f aca="false">IF(AB2149="","KEEP","DROP")</f>
        <v>KEEP</v>
      </c>
      <c r="AD2149" s="7" t="str">
        <f aca="false">IF(TRIM(F2149)="",IFERROR(INDEX(Map_Tables!$I$4:$I$37,MATCH(TRIM(E2149),Map_Tables!$G$4:$G$37,0)),""),IFERROR(INDEX(Map_Tables!$B$4:$B$18,MATCH(TRIM(F2149),Map_Tables!$A$4:$A$18,0)),"CHECK"))</f>
        <v>Chennai</v>
      </c>
      <c r="AE2149" s="7" t="str">
        <f aca="false">IF(TRIM(E2149)="","",IFERROR(INDEX(Map_Tables!$H$4:$H$37,MATCH(TRIM(E2149),Map_Tables!$G$4:$G$37,0)),"CHECK"))</f>
        <v>Chettinad House</v>
      </c>
      <c r="AF2149" s="7" t="str">
        <f aca="false">IF(TRIM(K2149)="","Unknown",IFERROR(INDEX(Map_Tables!$E$4:$E$15,MATCH(TRIM(K2149),Map_Tables!$D$4:$D$15,0)),"CHECK"))</f>
        <v>UPI</v>
      </c>
      <c r="AG2149" s="7" t="str">
        <f aca="false">IF(LEFT(LOWER(TRIM(L2149)),6)="cancel","Cancelled","Delivered")</f>
        <v>Delivered</v>
      </c>
      <c r="AH2149" s="10" t="n">
        <f aca="false">IF(ISNUMBER(SEARCH("/",B2149)),DATE(VALUE(RIGHT(B2149,4)),VALUE(MID(B2149,4,2)),VALUE(LEFT(B2149,2))),IF(MID(B2149,5,1)="-",DATE(VALUE(LEFT(B2149,4)),VALUE(MID(B2149,6,2)),VALUE(RIGHT(B2149,2))),DATE(VALUE(RIGHT(B2149,4)),MATCH(MID(B2149,4,3),{"Jan","Feb","Mar","Apr","May","Jun","Jul","Aug","Sep","Oct","Nov","Dec"},0),VALUE(LEFT(B2149,2)))))</f>
        <v>45811</v>
      </c>
    </row>
    <row r="2150" customFormat="false" ht="15" hidden="false" customHeight="false" outlineLevel="0" collapsed="false">
      <c r="A2150" s="7" t="s">
        <v>4976</v>
      </c>
      <c r="B2150" s="7" t="s">
        <v>2090</v>
      </c>
      <c r="C2150" s="7" t="s">
        <v>914</v>
      </c>
      <c r="D2150" s="7" t="s">
        <v>1484</v>
      </c>
      <c r="E2150" s="7" t="s">
        <v>160</v>
      </c>
      <c r="F2150" s="7" t="s">
        <v>136</v>
      </c>
      <c r="G2150" s="7" t="s">
        <v>150</v>
      </c>
      <c r="H2150" s="7" t="n">
        <v>4</v>
      </c>
      <c r="I2150" s="7" t="n">
        <v>195</v>
      </c>
      <c r="J2150" s="7" t="n">
        <v>50</v>
      </c>
      <c r="K2150" s="7" t="s">
        <v>88</v>
      </c>
      <c r="L2150" s="7" t="s">
        <v>194</v>
      </c>
      <c r="M2150" s="7" t="n">
        <v>26</v>
      </c>
      <c r="N2150" s="7" t="n">
        <v>2</v>
      </c>
      <c r="O2150" s="7" t="str">
        <f aca="false">A2150&amp;"|"&amp;B2150&amp;"|"&amp;C2150&amp;"|"&amp;D2150&amp;"|"&amp;E2150&amp;"|"&amp;F2150&amp;"|"&amp;G2150&amp;"|"&amp;H2150&amp;"|"&amp;I2150&amp;"|"&amp;J2150&amp;"|"&amp;K2150&amp;"|"&amp;L2150&amp;"|"&amp;M2150&amp;"|"&amp;N2150</f>
        <v>ORD11119|2025-05-22|20:15|C0283|Cake Walk|Pune|Desserts|4|195|50|UPI|Delivered|26|2</v>
      </c>
      <c r="P2150" s="7" t="str">
        <f aca="false">IF(COUNTIF($O$2:O2150,O2150)&gt;1,"DUP","OK")</f>
        <v>OK</v>
      </c>
      <c r="Q2150" s="7" t="n">
        <f aca="false">COUNTBLANK(A2150:N2150)</f>
        <v>0</v>
      </c>
      <c r="R2150" s="7" t="n">
        <f aca="false">IF(A2150="",0,COUNTIFS($A$2:$A$3058,A2150,$P$2:$P$3058,"OK"))</f>
        <v>1</v>
      </c>
      <c r="S2150" s="7" t="str">
        <f aca="false">IF(OR(A2150="",P2150="DUP",R2150&lt;2),"",IF(Q2150=_xlfn.MINIFS($Q$2:$Q$3058,$A$2:$A$3058,A2150,$P$2:$P$3058,"OK"),"KEEP","DROP"))</f>
        <v/>
      </c>
      <c r="T2150" s="9" t="n">
        <f aca="false">IF(A2150="",1,0)</f>
        <v>0</v>
      </c>
      <c r="U2150" s="9" t="n">
        <f aca="false">IF(D2150="",1,0)</f>
        <v>0</v>
      </c>
      <c r="V2150" s="9" t="n">
        <f aca="false">IF(E2150="",1,0)</f>
        <v>0</v>
      </c>
      <c r="W2150" s="9" t="n">
        <f aca="false">IF(OR(H2150&lt;1,H2150&gt;10),1,0)</f>
        <v>0</v>
      </c>
      <c r="X2150" s="9" t="n">
        <f aca="false">IF(OR(I2150&lt;=0,I2150&gt;1500),1,0)</f>
        <v>0</v>
      </c>
      <c r="Y2150" s="9" t="n">
        <f aca="false">IF(J2150&gt;H2150*I2150,1,0)</f>
        <v>0</v>
      </c>
      <c r="Z2150" s="9" t="n">
        <f aca="false">IF(AND(N2150&lt;&gt;"",OR(N2150&lt;1,N2150&gt;5)),1,0)</f>
        <v>0</v>
      </c>
      <c r="AA2150" s="9" t="n">
        <f aca="false">IF(AND(M2150&lt;&gt;"",OR(M2150&lt;5,M2150&gt;180)),1,0)</f>
        <v>0</v>
      </c>
      <c r="AB2150" s="7" t="str">
        <f aca="false">IF(P2150="DUP","Exact duplicate row",IF(T2150=1,"Missing Order ID",IF(S2150="DROP","Duplicate Order ID (less complete row)",IF(U2150=1,"Missing Customer ID",IF(V2150=1,"Missing Restaurant name",IF(W2150=1,"Invalid/outlier quantity",IF(X2150=1,"Invalid/outlier unit price",IF(Y2150=1,"Discount greater than order value",""))))))))</f>
        <v/>
      </c>
      <c r="AC2150" s="7" t="str">
        <f aca="false">IF(AB2150="","KEEP","DROP")</f>
        <v>KEEP</v>
      </c>
      <c r="AD2150" s="7" t="str">
        <f aca="false">IF(TRIM(F2150)="",IFERROR(INDEX(Map_Tables!$I$4:$I$37,MATCH(TRIM(E2150),Map_Tables!$G$4:$G$37,0)),""),IFERROR(INDEX(Map_Tables!$B$4:$B$18,MATCH(TRIM(F2150),Map_Tables!$A$4:$A$18,0)),"CHECK"))</f>
        <v>Pune</v>
      </c>
      <c r="AE2150" s="7" t="str">
        <f aca="false">IF(TRIM(E2150)="","",IFERROR(INDEX(Map_Tables!$H$4:$H$37,MATCH(TRIM(E2150),Map_Tables!$G$4:$G$37,0)),"CHECK"))</f>
        <v>Cake Walk</v>
      </c>
      <c r="AF2150" s="7" t="str">
        <f aca="false">IF(TRIM(K2150)="","Unknown",IFERROR(INDEX(Map_Tables!$E$4:$E$15,MATCH(TRIM(K2150),Map_Tables!$D$4:$D$15,0)),"CHECK"))</f>
        <v>UPI</v>
      </c>
      <c r="AG2150" s="7" t="str">
        <f aca="false">IF(LEFT(LOWER(TRIM(L2150)),6)="cancel","Cancelled","Delivered")</f>
        <v>Delivered</v>
      </c>
      <c r="AH2150" s="10" t="n">
        <f aca="false">IF(ISNUMBER(SEARCH("/",B2150)),DATE(VALUE(RIGHT(B2150,4)),VALUE(MID(B2150,4,2)),VALUE(LEFT(B2150,2))),IF(MID(B2150,5,1)="-",DATE(VALUE(LEFT(B2150,4)),VALUE(MID(B2150,6,2)),VALUE(RIGHT(B2150,2))),DATE(VALUE(RIGHT(B2150,4)),MATCH(MID(B2150,4,3),{"Jan","Feb","Mar","Apr","May","Jun","Jul","Aug","Sep","Oct","Nov","Dec"},0),VALUE(LEFT(B2150,2)))))</f>
        <v>45799</v>
      </c>
    </row>
    <row r="2151" customFormat="false" ht="15" hidden="false" customHeight="false" outlineLevel="0" collapsed="false">
      <c r="A2151" s="7" t="s">
        <v>4977</v>
      </c>
      <c r="B2151" s="7" t="s">
        <v>1061</v>
      </c>
      <c r="C2151" s="7" t="s">
        <v>2413</v>
      </c>
      <c r="D2151" s="7" t="s">
        <v>4978</v>
      </c>
      <c r="E2151" s="7" t="s">
        <v>149</v>
      </c>
      <c r="F2151" s="7" t="s">
        <v>119</v>
      </c>
      <c r="G2151" s="7" t="s">
        <v>150</v>
      </c>
      <c r="H2151" s="7" t="n">
        <v>1</v>
      </c>
      <c r="I2151" s="7" t="n">
        <v>160</v>
      </c>
      <c r="J2151" s="7" t="n">
        <v>40</v>
      </c>
      <c r="K2151" s="7" t="s">
        <v>88</v>
      </c>
      <c r="L2151" s="7" t="s">
        <v>194</v>
      </c>
      <c r="M2151" s="7" t="n">
        <v>31</v>
      </c>
      <c r="N2151" s="7" t="n">
        <v>3</v>
      </c>
      <c r="O2151" s="7" t="str">
        <f aca="false">A2151&amp;"|"&amp;B2151&amp;"|"&amp;C2151&amp;"|"&amp;D2151&amp;"|"&amp;E2151&amp;"|"&amp;F2151&amp;"|"&amp;G2151&amp;"|"&amp;H2151&amp;"|"&amp;I2151&amp;"|"&amp;J2151&amp;"|"&amp;K2151&amp;"|"&amp;L2151&amp;"|"&amp;M2151&amp;"|"&amp;N2151</f>
        <v>ORD12512|2025-11-11|10:14|C1176|Sweet Tooth Studio|Hyderabad|Desserts|1|160|40|UPI|Delivered|31|3</v>
      </c>
      <c r="P2151" s="7" t="str">
        <f aca="false">IF(COUNTIF($O$2:O2151,O2151)&gt;1,"DUP","OK")</f>
        <v>OK</v>
      </c>
      <c r="Q2151" s="7" t="n">
        <f aca="false">COUNTBLANK(A2151:N2151)</f>
        <v>0</v>
      </c>
      <c r="R2151" s="7" t="n">
        <f aca="false">IF(A2151="",0,COUNTIFS($A$2:$A$3058,A2151,$P$2:$P$3058,"OK"))</f>
        <v>1</v>
      </c>
      <c r="S2151" s="7" t="str">
        <f aca="false">IF(OR(A2151="",P2151="DUP",R2151&lt;2),"",IF(Q2151=_xlfn.MINIFS($Q$2:$Q$3058,$A$2:$A$3058,A2151,$P$2:$P$3058,"OK"),"KEEP","DROP"))</f>
        <v/>
      </c>
      <c r="T2151" s="9" t="n">
        <f aca="false">IF(A2151="",1,0)</f>
        <v>0</v>
      </c>
      <c r="U2151" s="9" t="n">
        <f aca="false">IF(D2151="",1,0)</f>
        <v>0</v>
      </c>
      <c r="V2151" s="9" t="n">
        <f aca="false">IF(E2151="",1,0)</f>
        <v>0</v>
      </c>
      <c r="W2151" s="9" t="n">
        <f aca="false">IF(OR(H2151&lt;1,H2151&gt;10),1,0)</f>
        <v>0</v>
      </c>
      <c r="X2151" s="9" t="n">
        <f aca="false">IF(OR(I2151&lt;=0,I2151&gt;1500),1,0)</f>
        <v>0</v>
      </c>
      <c r="Y2151" s="9" t="n">
        <f aca="false">IF(J2151&gt;H2151*I2151,1,0)</f>
        <v>0</v>
      </c>
      <c r="Z2151" s="9" t="n">
        <f aca="false">IF(AND(N2151&lt;&gt;"",OR(N2151&lt;1,N2151&gt;5)),1,0)</f>
        <v>0</v>
      </c>
      <c r="AA2151" s="9" t="n">
        <f aca="false">IF(AND(M2151&lt;&gt;"",OR(M2151&lt;5,M2151&gt;180)),1,0)</f>
        <v>0</v>
      </c>
      <c r="AB2151" s="7" t="str">
        <f aca="false">IF(P2151="DUP","Exact duplicate row",IF(T2151=1,"Missing Order ID",IF(S2151="DROP","Duplicate Order ID (less complete row)",IF(U2151=1,"Missing Customer ID",IF(V2151=1,"Missing Restaurant name",IF(W2151=1,"Invalid/outlier quantity",IF(X2151=1,"Invalid/outlier unit price",IF(Y2151=1,"Discount greater than order value",""))))))))</f>
        <v/>
      </c>
      <c r="AC2151" s="7" t="str">
        <f aca="false">IF(AB2151="","KEEP","DROP")</f>
        <v>KEEP</v>
      </c>
      <c r="AD2151" s="7" t="str">
        <f aca="false">IF(TRIM(F2151)="",IFERROR(INDEX(Map_Tables!$I$4:$I$37,MATCH(TRIM(E2151),Map_Tables!$G$4:$G$37,0)),""),IFERROR(INDEX(Map_Tables!$B$4:$B$18,MATCH(TRIM(F2151),Map_Tables!$A$4:$A$18,0)),"CHECK"))</f>
        <v>Hyderabad</v>
      </c>
      <c r="AE2151" s="7" t="str">
        <f aca="false">IF(TRIM(E2151)="","",IFERROR(INDEX(Map_Tables!$H$4:$H$37,MATCH(TRIM(E2151),Map_Tables!$G$4:$G$37,0)),"CHECK"))</f>
        <v>Sweet Tooth Studio</v>
      </c>
      <c r="AF2151" s="7" t="str">
        <f aca="false">IF(TRIM(K2151)="","Unknown",IFERROR(INDEX(Map_Tables!$E$4:$E$15,MATCH(TRIM(K2151),Map_Tables!$D$4:$D$15,0)),"CHECK"))</f>
        <v>UPI</v>
      </c>
      <c r="AG2151" s="7" t="str">
        <f aca="false">IF(LEFT(LOWER(TRIM(L2151)),6)="cancel","Cancelled","Delivered")</f>
        <v>Delivered</v>
      </c>
      <c r="AH2151" s="10" t="n">
        <f aca="false">IF(ISNUMBER(SEARCH("/",B2151)),DATE(VALUE(RIGHT(B2151,4)),VALUE(MID(B2151,4,2)),VALUE(LEFT(B2151,2))),IF(MID(B2151,5,1)="-",DATE(VALUE(LEFT(B2151,4)),VALUE(MID(B2151,6,2)),VALUE(RIGHT(B2151,2))),DATE(VALUE(RIGHT(B2151,4)),MATCH(MID(B2151,4,3),{"Jan","Feb","Mar","Apr","May","Jun","Jul","Aug","Sep","Oct","Nov","Dec"},0),VALUE(LEFT(B2151,2)))))</f>
        <v>45972</v>
      </c>
    </row>
    <row r="2152" customFormat="false" ht="15" hidden="false" customHeight="false" outlineLevel="0" collapsed="false">
      <c r="A2152" s="7" t="s">
        <v>4979</v>
      </c>
      <c r="B2152" s="7" t="s">
        <v>1790</v>
      </c>
      <c r="C2152" s="7" t="s">
        <v>644</v>
      </c>
      <c r="D2152" s="7" t="s">
        <v>4980</v>
      </c>
      <c r="E2152" s="7" t="s">
        <v>161</v>
      </c>
      <c r="F2152" s="7" t="s">
        <v>141</v>
      </c>
      <c r="G2152" s="7" t="s">
        <v>117</v>
      </c>
      <c r="H2152" s="7" t="n">
        <v>1</v>
      </c>
      <c r="I2152" s="7" t="n">
        <v>-145</v>
      </c>
      <c r="J2152" s="7" t="n">
        <v>0</v>
      </c>
      <c r="K2152" s="7" t="s">
        <v>93</v>
      </c>
      <c r="L2152" s="7" t="s">
        <v>194</v>
      </c>
      <c r="M2152" s="7" t="n">
        <v>24</v>
      </c>
      <c r="N2152" s="7" t="n">
        <v>5</v>
      </c>
      <c r="O2152" s="7" t="str">
        <f aca="false">A2152&amp;"|"&amp;B2152&amp;"|"&amp;C2152&amp;"|"&amp;D2152&amp;"|"&amp;E2152&amp;"|"&amp;F2152&amp;"|"&amp;G2152&amp;"|"&amp;H2152&amp;"|"&amp;I2152&amp;"|"&amp;J2152&amp;"|"&amp;K2152&amp;"|"&amp;L2152&amp;"|"&amp;M2152&amp;"|"&amp;N2152</f>
        <v>ORD11067|2025-05-15|13:27|C0483|Bengal Bites|Kolkata|Street Food|1|-145|0|Credit Card|Delivered|24|5</v>
      </c>
      <c r="P2152" s="7" t="str">
        <f aca="false">IF(COUNTIF($O$2:O2152,O2152)&gt;1,"DUP","OK")</f>
        <v>OK</v>
      </c>
      <c r="Q2152" s="7" t="n">
        <f aca="false">COUNTBLANK(A2152:N2152)</f>
        <v>0</v>
      </c>
      <c r="R2152" s="7" t="n">
        <f aca="false">IF(A2152="",0,COUNTIFS($A$2:$A$3058,A2152,$P$2:$P$3058,"OK"))</f>
        <v>1</v>
      </c>
      <c r="S2152" s="7" t="str">
        <f aca="false">IF(OR(A2152="",P2152="DUP",R2152&lt;2),"",IF(Q2152=_xlfn.MINIFS($Q$2:$Q$3058,$A$2:$A$3058,A2152,$P$2:$P$3058,"OK"),"KEEP","DROP"))</f>
        <v/>
      </c>
      <c r="T2152" s="9" t="n">
        <f aca="false">IF(A2152="",1,0)</f>
        <v>0</v>
      </c>
      <c r="U2152" s="9" t="n">
        <f aca="false">IF(D2152="",1,0)</f>
        <v>0</v>
      </c>
      <c r="V2152" s="9" t="n">
        <f aca="false">IF(E2152="",1,0)</f>
        <v>0</v>
      </c>
      <c r="W2152" s="9" t="n">
        <f aca="false">IF(OR(H2152&lt;1,H2152&gt;10),1,0)</f>
        <v>0</v>
      </c>
      <c r="X2152" s="9" t="n">
        <f aca="false">IF(OR(I2152&lt;=0,I2152&gt;1500),1,0)</f>
        <v>1</v>
      </c>
      <c r="Y2152" s="9" t="n">
        <f aca="false">IF(J2152&gt;H2152*I2152,1,0)</f>
        <v>1</v>
      </c>
      <c r="Z2152" s="9" t="n">
        <f aca="false">IF(AND(N2152&lt;&gt;"",OR(N2152&lt;1,N2152&gt;5)),1,0)</f>
        <v>0</v>
      </c>
      <c r="AA2152" s="9" t="n">
        <f aca="false">IF(AND(M2152&lt;&gt;"",OR(M2152&lt;5,M2152&gt;180)),1,0)</f>
        <v>0</v>
      </c>
      <c r="AB2152" s="7" t="str">
        <f aca="false">IF(P2152="DUP","Exact duplicate row",IF(T2152=1,"Missing Order ID",IF(S2152="DROP","Duplicate Order ID (less complete row)",IF(U2152=1,"Missing Customer ID",IF(V2152=1,"Missing Restaurant name",IF(W2152=1,"Invalid/outlier quantity",IF(X2152=1,"Invalid/outlier unit price",IF(Y2152=1,"Discount greater than order value",""))))))))</f>
        <v>Invalid/outlier unit price</v>
      </c>
      <c r="AC2152" s="7" t="str">
        <f aca="false">IF(AB2152="","KEEP","DROP")</f>
        <v>DROP</v>
      </c>
      <c r="AD2152" s="7" t="str">
        <f aca="false">IF(TRIM(F2152)="",IFERROR(INDEX(Map_Tables!$I$4:$I$37,MATCH(TRIM(E2152),Map_Tables!$G$4:$G$37,0)),""),IFERROR(INDEX(Map_Tables!$B$4:$B$18,MATCH(TRIM(F2152),Map_Tables!$A$4:$A$18,0)),"CHECK"))</f>
        <v>Kolkata</v>
      </c>
      <c r="AE2152" s="7" t="str">
        <f aca="false">IF(TRIM(E2152)="","",IFERROR(INDEX(Map_Tables!$H$4:$H$37,MATCH(TRIM(E2152),Map_Tables!$G$4:$G$37,0)),"CHECK"))</f>
        <v>Bengal Bites</v>
      </c>
      <c r="AF2152" s="7" t="str">
        <f aca="false">IF(TRIM(K2152)="","Unknown",IFERROR(INDEX(Map_Tables!$E$4:$E$15,MATCH(TRIM(K2152),Map_Tables!$D$4:$D$15,0)),"CHECK"))</f>
        <v>Credit Card</v>
      </c>
      <c r="AG2152" s="7" t="str">
        <f aca="false">IF(LEFT(LOWER(TRIM(L2152)),6)="cancel","Cancelled","Delivered")</f>
        <v>Delivered</v>
      </c>
      <c r="AH2152" s="10" t="n">
        <f aca="false">IF(ISNUMBER(SEARCH("/",B2152)),DATE(VALUE(RIGHT(B2152,4)),VALUE(MID(B2152,4,2)),VALUE(LEFT(B2152,2))),IF(MID(B2152,5,1)="-",DATE(VALUE(LEFT(B2152,4)),VALUE(MID(B2152,6,2)),VALUE(RIGHT(B2152,2))),DATE(VALUE(RIGHT(B2152,4)),MATCH(MID(B2152,4,3),{"Jan","Feb","Mar","Apr","May","Jun","Jul","Aug","Sep","Oct","Nov","Dec"},0),VALUE(LEFT(B2152,2)))))</f>
        <v>45792</v>
      </c>
    </row>
    <row r="2153" customFormat="false" ht="15" hidden="false" customHeight="false" outlineLevel="0" collapsed="false">
      <c r="A2153" s="7" t="s">
        <v>4981</v>
      </c>
      <c r="B2153" s="7" t="s">
        <v>402</v>
      </c>
      <c r="C2153" s="7" t="s">
        <v>2691</v>
      </c>
      <c r="D2153" s="7" t="s">
        <v>4982</v>
      </c>
      <c r="E2153" s="7" t="s">
        <v>116</v>
      </c>
      <c r="F2153" s="7" t="s">
        <v>101</v>
      </c>
      <c r="G2153" s="7" t="s">
        <v>117</v>
      </c>
      <c r="H2153" s="7" t="n">
        <v>1</v>
      </c>
      <c r="I2153" s="7" t="n">
        <v>140</v>
      </c>
      <c r="J2153" s="7" t="n">
        <v>30</v>
      </c>
      <c r="K2153" s="7" t="s">
        <v>421</v>
      </c>
      <c r="L2153" s="7" t="s">
        <v>194</v>
      </c>
      <c r="M2153" s="7" t="n">
        <v>47</v>
      </c>
      <c r="N2153" s="7" t="n">
        <v>4</v>
      </c>
      <c r="O2153" s="7" t="str">
        <f aca="false">A2153&amp;"|"&amp;B2153&amp;"|"&amp;C2153&amp;"|"&amp;D2153&amp;"|"&amp;E2153&amp;"|"&amp;F2153&amp;"|"&amp;G2153&amp;"|"&amp;H2153&amp;"|"&amp;I2153&amp;"|"&amp;J2153&amp;"|"&amp;K2153&amp;"|"&amp;L2153&amp;"|"&amp;M2153&amp;"|"&amp;N2153</f>
        <v>ORD12105|2025-09-28|13:58|C0893|Pav Bhaji Point|Mumbai|Street Food|1|140|30|UPI |Delivered|47|4</v>
      </c>
      <c r="P2153" s="7" t="str">
        <f aca="false">IF(COUNTIF($O$2:O2153,O2153)&gt;1,"DUP","OK")</f>
        <v>OK</v>
      </c>
      <c r="Q2153" s="7" t="n">
        <f aca="false">COUNTBLANK(A2153:N2153)</f>
        <v>0</v>
      </c>
      <c r="R2153" s="7" t="n">
        <f aca="false">IF(A2153="",0,COUNTIFS($A$2:$A$3058,A2153,$P$2:$P$3058,"OK"))</f>
        <v>1</v>
      </c>
      <c r="S2153" s="7" t="str">
        <f aca="false">IF(OR(A2153="",P2153="DUP",R2153&lt;2),"",IF(Q2153=_xlfn.MINIFS($Q$2:$Q$3058,$A$2:$A$3058,A2153,$P$2:$P$3058,"OK"),"KEEP","DROP"))</f>
        <v/>
      </c>
      <c r="T2153" s="9" t="n">
        <f aca="false">IF(A2153="",1,0)</f>
        <v>0</v>
      </c>
      <c r="U2153" s="9" t="n">
        <f aca="false">IF(D2153="",1,0)</f>
        <v>0</v>
      </c>
      <c r="V2153" s="9" t="n">
        <f aca="false">IF(E2153="",1,0)</f>
        <v>0</v>
      </c>
      <c r="W2153" s="9" t="n">
        <f aca="false">IF(OR(H2153&lt;1,H2153&gt;10),1,0)</f>
        <v>0</v>
      </c>
      <c r="X2153" s="9" t="n">
        <f aca="false">IF(OR(I2153&lt;=0,I2153&gt;1500),1,0)</f>
        <v>0</v>
      </c>
      <c r="Y2153" s="9" t="n">
        <f aca="false">IF(J2153&gt;H2153*I2153,1,0)</f>
        <v>0</v>
      </c>
      <c r="Z2153" s="9" t="n">
        <f aca="false">IF(AND(N2153&lt;&gt;"",OR(N2153&lt;1,N2153&gt;5)),1,0)</f>
        <v>0</v>
      </c>
      <c r="AA2153" s="9" t="n">
        <f aca="false">IF(AND(M2153&lt;&gt;"",OR(M2153&lt;5,M2153&gt;180)),1,0)</f>
        <v>0</v>
      </c>
      <c r="AB2153" s="7" t="str">
        <f aca="false">IF(P2153="DUP","Exact duplicate row",IF(T2153=1,"Missing Order ID",IF(S2153="DROP","Duplicate Order ID (less complete row)",IF(U2153=1,"Missing Customer ID",IF(V2153=1,"Missing Restaurant name",IF(W2153=1,"Invalid/outlier quantity",IF(X2153=1,"Invalid/outlier unit price",IF(Y2153=1,"Discount greater than order value",""))))))))</f>
        <v/>
      </c>
      <c r="AC2153" s="7" t="str">
        <f aca="false">IF(AB2153="","KEEP","DROP")</f>
        <v>KEEP</v>
      </c>
      <c r="AD2153" s="7" t="str">
        <f aca="false">IF(TRIM(F2153)="",IFERROR(INDEX(Map_Tables!$I$4:$I$37,MATCH(TRIM(E2153),Map_Tables!$G$4:$G$37,0)),""),IFERROR(INDEX(Map_Tables!$B$4:$B$18,MATCH(TRIM(F2153),Map_Tables!$A$4:$A$18,0)),"CHECK"))</f>
        <v>Mumbai</v>
      </c>
      <c r="AE2153" s="7" t="str">
        <f aca="false">IF(TRIM(E2153)="","",IFERROR(INDEX(Map_Tables!$H$4:$H$37,MATCH(TRIM(E2153),Map_Tables!$G$4:$G$37,0)),"CHECK"))</f>
        <v>Pav Bhaji Point</v>
      </c>
      <c r="AF2153" s="7" t="str">
        <f aca="false">IF(TRIM(K2153)="","Unknown",IFERROR(INDEX(Map_Tables!$E$4:$E$15,MATCH(TRIM(K2153),Map_Tables!$D$4:$D$15,0)),"CHECK"))</f>
        <v>UPI</v>
      </c>
      <c r="AG2153" s="7" t="str">
        <f aca="false">IF(LEFT(LOWER(TRIM(L2153)),6)="cancel","Cancelled","Delivered")</f>
        <v>Delivered</v>
      </c>
      <c r="AH2153" s="10" t="n">
        <f aca="false">IF(ISNUMBER(SEARCH("/",B2153)),DATE(VALUE(RIGHT(B2153,4)),VALUE(MID(B2153,4,2)),VALUE(LEFT(B2153,2))),IF(MID(B2153,5,1)="-",DATE(VALUE(LEFT(B2153,4)),VALUE(MID(B2153,6,2)),VALUE(RIGHT(B2153,2))),DATE(VALUE(RIGHT(B2153,4)),MATCH(MID(B2153,4,3),{"Jan","Feb","Mar","Apr","May","Jun","Jul","Aug","Sep","Oct","Nov","Dec"},0),VALUE(LEFT(B2153,2)))))</f>
        <v>45928</v>
      </c>
    </row>
    <row r="2154" customFormat="false" ht="15" hidden="false" customHeight="false" outlineLevel="0" collapsed="false">
      <c r="A2154" s="7" t="s">
        <v>4983</v>
      </c>
      <c r="B2154" s="7" t="s">
        <v>2495</v>
      </c>
      <c r="C2154" s="7" t="s">
        <v>1340</v>
      </c>
      <c r="D2154" s="7"/>
      <c r="E2154" s="7" t="s">
        <v>94</v>
      </c>
      <c r="F2154" s="7" t="s">
        <v>86</v>
      </c>
      <c r="G2154" s="7" t="s">
        <v>95</v>
      </c>
      <c r="H2154" s="7" t="n">
        <v>3</v>
      </c>
      <c r="I2154" s="7" t="n">
        <v>120</v>
      </c>
      <c r="J2154" s="7" t="n">
        <v>100</v>
      </c>
      <c r="K2154" s="7" t="s">
        <v>103</v>
      </c>
      <c r="L2154" s="7" t="s">
        <v>194</v>
      </c>
      <c r="M2154" s="7" t="n">
        <v>37</v>
      </c>
      <c r="N2154" s="7" t="n">
        <v>5</v>
      </c>
      <c r="O2154" s="7" t="str">
        <f aca="false">A2154&amp;"|"&amp;B2154&amp;"|"&amp;C2154&amp;"|"&amp;D2154&amp;"|"&amp;E2154&amp;"|"&amp;F2154&amp;"|"&amp;G2154&amp;"|"&amp;H2154&amp;"|"&amp;I2154&amp;"|"&amp;J2154&amp;"|"&amp;K2154&amp;"|"&amp;L2154&amp;"|"&amp;M2154&amp;"|"&amp;N2154</f>
        <v>ORD12632|2025-11-21|20:34||Dosa Darbar|Bengaluru|South Indian|3|120|100|Debit Card|Delivered|37|5</v>
      </c>
      <c r="P2154" s="7" t="str">
        <f aca="false">IF(COUNTIF($O$2:O2154,O2154)&gt;1,"DUP","OK")</f>
        <v>OK</v>
      </c>
      <c r="Q2154" s="7" t="n">
        <f aca="false">COUNTBLANK(A2154:N2154)</f>
        <v>1</v>
      </c>
      <c r="R2154" s="7" t="n">
        <f aca="false">IF(A2154="",0,COUNTIFS($A$2:$A$3058,A2154,$P$2:$P$3058,"OK"))</f>
        <v>1</v>
      </c>
      <c r="S2154" s="7" t="str">
        <f aca="false">IF(OR(A2154="",P2154="DUP",R2154&lt;2),"",IF(Q2154=_xlfn.MINIFS($Q$2:$Q$3058,$A$2:$A$3058,A2154,$P$2:$P$3058,"OK"),"KEEP","DROP"))</f>
        <v/>
      </c>
      <c r="T2154" s="9" t="n">
        <f aca="false">IF(A2154="",1,0)</f>
        <v>0</v>
      </c>
      <c r="U2154" s="9" t="n">
        <f aca="false">IF(D2154="",1,0)</f>
        <v>1</v>
      </c>
      <c r="V2154" s="9" t="n">
        <f aca="false">IF(E2154="",1,0)</f>
        <v>0</v>
      </c>
      <c r="W2154" s="9" t="n">
        <f aca="false">IF(OR(H2154&lt;1,H2154&gt;10),1,0)</f>
        <v>0</v>
      </c>
      <c r="X2154" s="9" t="n">
        <f aca="false">IF(OR(I2154&lt;=0,I2154&gt;1500),1,0)</f>
        <v>0</v>
      </c>
      <c r="Y2154" s="9" t="n">
        <f aca="false">IF(J2154&gt;H2154*I2154,1,0)</f>
        <v>0</v>
      </c>
      <c r="Z2154" s="9" t="n">
        <f aca="false">IF(AND(N2154&lt;&gt;"",OR(N2154&lt;1,N2154&gt;5)),1,0)</f>
        <v>0</v>
      </c>
      <c r="AA2154" s="9" t="n">
        <f aca="false">IF(AND(M2154&lt;&gt;"",OR(M2154&lt;5,M2154&gt;180)),1,0)</f>
        <v>0</v>
      </c>
      <c r="AB2154" s="7" t="str">
        <f aca="false">IF(P2154="DUP","Exact duplicate row",IF(T2154=1,"Missing Order ID",IF(S2154="DROP","Duplicate Order ID (less complete row)",IF(U2154=1,"Missing Customer ID",IF(V2154=1,"Missing Restaurant name",IF(W2154=1,"Invalid/outlier quantity",IF(X2154=1,"Invalid/outlier unit price",IF(Y2154=1,"Discount greater than order value",""))))))))</f>
        <v>Missing Customer ID</v>
      </c>
      <c r="AC2154" s="7" t="str">
        <f aca="false">IF(AB2154="","KEEP","DROP")</f>
        <v>DROP</v>
      </c>
      <c r="AD2154" s="7" t="str">
        <f aca="false">IF(TRIM(F2154)="",IFERROR(INDEX(Map_Tables!$I$4:$I$37,MATCH(TRIM(E2154),Map_Tables!$G$4:$G$37,0)),""),IFERROR(INDEX(Map_Tables!$B$4:$B$18,MATCH(TRIM(F2154),Map_Tables!$A$4:$A$18,0)),"CHECK"))</f>
        <v>Bengaluru</v>
      </c>
      <c r="AE2154" s="7" t="str">
        <f aca="false">IF(TRIM(E2154)="","",IFERROR(INDEX(Map_Tables!$H$4:$H$37,MATCH(TRIM(E2154),Map_Tables!$G$4:$G$37,0)),"CHECK"))</f>
        <v>Dosa Darbar</v>
      </c>
      <c r="AF2154" s="7" t="str">
        <f aca="false">IF(TRIM(K2154)="","Unknown",IFERROR(INDEX(Map_Tables!$E$4:$E$15,MATCH(TRIM(K2154),Map_Tables!$D$4:$D$15,0)),"CHECK"))</f>
        <v>Debit Card</v>
      </c>
      <c r="AG2154" s="7" t="str">
        <f aca="false">IF(LEFT(LOWER(TRIM(L2154)),6)="cancel","Cancelled","Delivered")</f>
        <v>Delivered</v>
      </c>
      <c r="AH2154" s="10" t="n">
        <f aca="false">IF(ISNUMBER(SEARCH("/",B2154)),DATE(VALUE(RIGHT(B2154,4)),VALUE(MID(B2154,4,2)),VALUE(LEFT(B2154,2))),IF(MID(B2154,5,1)="-",DATE(VALUE(LEFT(B2154,4)),VALUE(MID(B2154,6,2)),VALUE(RIGHT(B2154,2))),DATE(VALUE(RIGHT(B2154,4)),MATCH(MID(B2154,4,3),{"Jan","Feb","Mar","Apr","May","Jun","Jul","Aug","Sep","Oct","Nov","Dec"},0),VALUE(LEFT(B2154,2)))))</f>
        <v>45982</v>
      </c>
    </row>
    <row r="2155" customFormat="false" ht="15" hidden="false" customHeight="false" outlineLevel="0" collapsed="false">
      <c r="A2155" s="7" t="s">
        <v>4984</v>
      </c>
      <c r="B2155" s="7" t="s">
        <v>2479</v>
      </c>
      <c r="C2155" s="7" t="s">
        <v>1674</v>
      </c>
      <c r="D2155" s="7" t="s">
        <v>2146</v>
      </c>
      <c r="E2155" s="7" t="s">
        <v>166</v>
      </c>
      <c r="F2155" s="7" t="s">
        <v>145</v>
      </c>
      <c r="G2155" s="7" t="s">
        <v>117</v>
      </c>
      <c r="H2155" s="7" t="n">
        <v>4</v>
      </c>
      <c r="I2155" s="7" t="n">
        <v>95</v>
      </c>
      <c r="J2155" s="7" t="n">
        <v>20</v>
      </c>
      <c r="K2155" s="7" t="s">
        <v>112</v>
      </c>
      <c r="L2155" s="7" t="s">
        <v>194</v>
      </c>
      <c r="M2155" s="7" t="n">
        <v>30</v>
      </c>
      <c r="N2155" s="7" t="n">
        <v>3</v>
      </c>
      <c r="O2155" s="7" t="str">
        <f aca="false">A2155&amp;"|"&amp;B2155&amp;"|"&amp;C2155&amp;"|"&amp;D2155&amp;"|"&amp;E2155&amp;"|"&amp;F2155&amp;"|"&amp;G2155&amp;"|"&amp;H2155&amp;"|"&amp;I2155&amp;"|"&amp;J2155&amp;"|"&amp;K2155&amp;"|"&amp;L2155&amp;"|"&amp;M2155&amp;"|"&amp;N2155</f>
        <v>ORD12469|2025-11-06|17:34|C1201|Dhokla Delight|ahmedabad|Street Food|4|95|20|Cash on Delivery|Delivered|30|3</v>
      </c>
      <c r="P2155" s="7" t="str">
        <f aca="false">IF(COUNTIF($O$2:O2155,O2155)&gt;1,"DUP","OK")</f>
        <v>OK</v>
      </c>
      <c r="Q2155" s="7" t="n">
        <f aca="false">COUNTBLANK(A2155:N2155)</f>
        <v>0</v>
      </c>
      <c r="R2155" s="7" t="n">
        <f aca="false">IF(A2155="",0,COUNTIFS($A$2:$A$3058,A2155,$P$2:$P$3058,"OK"))</f>
        <v>1</v>
      </c>
      <c r="S2155" s="7" t="str">
        <f aca="false">IF(OR(A2155="",P2155="DUP",R2155&lt;2),"",IF(Q2155=_xlfn.MINIFS($Q$2:$Q$3058,$A$2:$A$3058,A2155,$P$2:$P$3058,"OK"),"KEEP","DROP"))</f>
        <v/>
      </c>
      <c r="T2155" s="9" t="n">
        <f aca="false">IF(A2155="",1,0)</f>
        <v>0</v>
      </c>
      <c r="U2155" s="9" t="n">
        <f aca="false">IF(D2155="",1,0)</f>
        <v>0</v>
      </c>
      <c r="V2155" s="9" t="n">
        <f aca="false">IF(E2155="",1,0)</f>
        <v>0</v>
      </c>
      <c r="W2155" s="9" t="n">
        <f aca="false">IF(OR(H2155&lt;1,H2155&gt;10),1,0)</f>
        <v>0</v>
      </c>
      <c r="X2155" s="9" t="n">
        <f aca="false">IF(OR(I2155&lt;=0,I2155&gt;1500),1,0)</f>
        <v>0</v>
      </c>
      <c r="Y2155" s="9" t="n">
        <f aca="false">IF(J2155&gt;H2155*I2155,1,0)</f>
        <v>0</v>
      </c>
      <c r="Z2155" s="9" t="n">
        <f aca="false">IF(AND(N2155&lt;&gt;"",OR(N2155&lt;1,N2155&gt;5)),1,0)</f>
        <v>0</v>
      </c>
      <c r="AA2155" s="9" t="n">
        <f aca="false">IF(AND(M2155&lt;&gt;"",OR(M2155&lt;5,M2155&gt;180)),1,0)</f>
        <v>0</v>
      </c>
      <c r="AB2155" s="7" t="str">
        <f aca="false">IF(P2155="DUP","Exact duplicate row",IF(T2155=1,"Missing Order ID",IF(S2155="DROP","Duplicate Order ID (less complete row)",IF(U2155=1,"Missing Customer ID",IF(V2155=1,"Missing Restaurant name",IF(W2155=1,"Invalid/outlier quantity",IF(X2155=1,"Invalid/outlier unit price",IF(Y2155=1,"Discount greater than order value",""))))))))</f>
        <v/>
      </c>
      <c r="AC2155" s="7" t="str">
        <f aca="false">IF(AB2155="","KEEP","DROP")</f>
        <v>KEEP</v>
      </c>
      <c r="AD2155" s="7" t="str">
        <f aca="false">IF(TRIM(F2155)="",IFERROR(INDEX(Map_Tables!$I$4:$I$37,MATCH(TRIM(E2155),Map_Tables!$G$4:$G$37,0)),""),IFERROR(INDEX(Map_Tables!$B$4:$B$18,MATCH(TRIM(F2155),Map_Tables!$A$4:$A$18,0)),"CHECK"))</f>
        <v>Ahmedabad</v>
      </c>
      <c r="AE2155" s="7" t="str">
        <f aca="false">IF(TRIM(E2155)="","",IFERROR(INDEX(Map_Tables!$H$4:$H$37,MATCH(TRIM(E2155),Map_Tables!$G$4:$G$37,0)),"CHECK"))</f>
        <v>Dhokla Delight</v>
      </c>
      <c r="AF2155" s="7" t="str">
        <f aca="false">IF(TRIM(K2155)="","Unknown",IFERROR(INDEX(Map_Tables!$E$4:$E$15,MATCH(TRIM(K2155),Map_Tables!$D$4:$D$15,0)),"CHECK"))</f>
        <v>Cash on Delivery</v>
      </c>
      <c r="AG2155" s="7" t="str">
        <f aca="false">IF(LEFT(LOWER(TRIM(L2155)),6)="cancel","Cancelled","Delivered")</f>
        <v>Delivered</v>
      </c>
      <c r="AH2155" s="10" t="n">
        <f aca="false">IF(ISNUMBER(SEARCH("/",B2155)),DATE(VALUE(RIGHT(B2155,4)),VALUE(MID(B2155,4,2)),VALUE(LEFT(B2155,2))),IF(MID(B2155,5,1)="-",DATE(VALUE(LEFT(B2155,4)),VALUE(MID(B2155,6,2)),VALUE(RIGHT(B2155,2))),DATE(VALUE(RIGHT(B2155,4)),MATCH(MID(B2155,4,3),{"Jan","Feb","Mar","Apr","May","Jun","Jul","Aug","Sep","Oct","Nov","Dec"},0),VALUE(LEFT(B2155,2)))))</f>
        <v>45967</v>
      </c>
    </row>
    <row r="2156" customFormat="false" ht="15" hidden="false" customHeight="false" outlineLevel="0" collapsed="false">
      <c r="A2156" s="7" t="s">
        <v>4985</v>
      </c>
      <c r="B2156" s="7" t="s">
        <v>2568</v>
      </c>
      <c r="C2156" s="7" t="s">
        <v>1737</v>
      </c>
      <c r="D2156" s="7" t="s">
        <v>2750</v>
      </c>
      <c r="E2156" s="7" t="s">
        <v>138</v>
      </c>
      <c r="F2156" s="7" t="s">
        <v>110</v>
      </c>
      <c r="G2156" s="7" t="s">
        <v>139</v>
      </c>
      <c r="H2156" s="7" t="n">
        <v>1</v>
      </c>
      <c r="I2156" s="7" t="n">
        <v>180</v>
      </c>
      <c r="J2156" s="7" t="n">
        <v>50</v>
      </c>
      <c r="K2156" s="7" t="s">
        <v>121</v>
      </c>
      <c r="L2156" s="7" t="s">
        <v>194</v>
      </c>
      <c r="M2156" s="7" t="n">
        <v>36</v>
      </c>
      <c r="N2156" s="7" t="n">
        <v>5</v>
      </c>
      <c r="O2156" s="7" t="str">
        <f aca="false">A2156&amp;"|"&amp;B2156&amp;"|"&amp;C2156&amp;"|"&amp;D2156&amp;"|"&amp;E2156&amp;"|"&amp;F2156&amp;"|"&amp;G2156&amp;"|"&amp;H2156&amp;"|"&amp;I2156&amp;"|"&amp;J2156&amp;"|"&amp;K2156&amp;"|"&amp;L2156&amp;"|"&amp;M2156&amp;"|"&amp;N2156</f>
        <v>ORD11913|2025-09-05|19:27|C0479|Burger Barn|Delhi|Burgers|1|180|50|Wallet|Delivered|36|5</v>
      </c>
      <c r="P2156" s="7" t="str">
        <f aca="false">IF(COUNTIF($O$2:O2156,O2156)&gt;1,"DUP","OK")</f>
        <v>OK</v>
      </c>
      <c r="Q2156" s="7" t="n">
        <f aca="false">COUNTBLANK(A2156:N2156)</f>
        <v>0</v>
      </c>
      <c r="R2156" s="7" t="n">
        <f aca="false">IF(A2156="",0,COUNTIFS($A$2:$A$3058,A2156,$P$2:$P$3058,"OK"))</f>
        <v>1</v>
      </c>
      <c r="S2156" s="7" t="str">
        <f aca="false">IF(OR(A2156="",P2156="DUP",R2156&lt;2),"",IF(Q2156=_xlfn.MINIFS($Q$2:$Q$3058,$A$2:$A$3058,A2156,$P$2:$P$3058,"OK"),"KEEP","DROP"))</f>
        <v/>
      </c>
      <c r="T2156" s="9" t="n">
        <f aca="false">IF(A2156="",1,0)</f>
        <v>0</v>
      </c>
      <c r="U2156" s="9" t="n">
        <f aca="false">IF(D2156="",1,0)</f>
        <v>0</v>
      </c>
      <c r="V2156" s="9" t="n">
        <f aca="false">IF(E2156="",1,0)</f>
        <v>0</v>
      </c>
      <c r="W2156" s="9" t="n">
        <f aca="false">IF(OR(H2156&lt;1,H2156&gt;10),1,0)</f>
        <v>0</v>
      </c>
      <c r="X2156" s="9" t="n">
        <f aca="false">IF(OR(I2156&lt;=0,I2156&gt;1500),1,0)</f>
        <v>0</v>
      </c>
      <c r="Y2156" s="9" t="n">
        <f aca="false">IF(J2156&gt;H2156*I2156,1,0)</f>
        <v>0</v>
      </c>
      <c r="Z2156" s="9" t="n">
        <f aca="false">IF(AND(N2156&lt;&gt;"",OR(N2156&lt;1,N2156&gt;5)),1,0)</f>
        <v>0</v>
      </c>
      <c r="AA2156" s="9" t="n">
        <f aca="false">IF(AND(M2156&lt;&gt;"",OR(M2156&lt;5,M2156&gt;180)),1,0)</f>
        <v>0</v>
      </c>
      <c r="AB2156" s="7" t="str">
        <f aca="false">IF(P2156="DUP","Exact duplicate row",IF(T2156=1,"Missing Order ID",IF(S2156="DROP","Duplicate Order ID (less complete row)",IF(U2156=1,"Missing Customer ID",IF(V2156=1,"Missing Restaurant name",IF(W2156=1,"Invalid/outlier quantity",IF(X2156=1,"Invalid/outlier unit price",IF(Y2156=1,"Discount greater than order value",""))))))))</f>
        <v/>
      </c>
      <c r="AC2156" s="7" t="str">
        <f aca="false">IF(AB2156="","KEEP","DROP")</f>
        <v>KEEP</v>
      </c>
      <c r="AD2156" s="7" t="str">
        <f aca="false">IF(TRIM(F2156)="",IFERROR(INDEX(Map_Tables!$I$4:$I$37,MATCH(TRIM(E2156),Map_Tables!$G$4:$G$37,0)),""),IFERROR(INDEX(Map_Tables!$B$4:$B$18,MATCH(TRIM(F2156),Map_Tables!$A$4:$A$18,0)),"CHECK"))</f>
        <v>Delhi</v>
      </c>
      <c r="AE2156" s="7" t="str">
        <f aca="false">IF(TRIM(E2156)="","",IFERROR(INDEX(Map_Tables!$H$4:$H$37,MATCH(TRIM(E2156),Map_Tables!$G$4:$G$37,0)),"CHECK"))</f>
        <v>Burger Barn</v>
      </c>
      <c r="AF2156" s="7" t="str">
        <f aca="false">IF(TRIM(K2156)="","Unknown",IFERROR(INDEX(Map_Tables!$E$4:$E$15,MATCH(TRIM(K2156),Map_Tables!$D$4:$D$15,0)),"CHECK"))</f>
        <v>Wallet</v>
      </c>
      <c r="AG2156" s="7" t="str">
        <f aca="false">IF(LEFT(LOWER(TRIM(L2156)),6)="cancel","Cancelled","Delivered")</f>
        <v>Delivered</v>
      </c>
      <c r="AH2156" s="10" t="n">
        <f aca="false">IF(ISNUMBER(SEARCH("/",B2156)),DATE(VALUE(RIGHT(B2156,4)),VALUE(MID(B2156,4,2)),VALUE(LEFT(B2156,2))),IF(MID(B2156,5,1)="-",DATE(VALUE(LEFT(B2156,4)),VALUE(MID(B2156,6,2)),VALUE(RIGHT(B2156,2))),DATE(VALUE(RIGHT(B2156,4)),MATCH(MID(B2156,4,3),{"Jan","Feb","Mar","Apr","May","Jun","Jul","Aug","Sep","Oct","Nov","Dec"},0),VALUE(LEFT(B2156,2)))))</f>
        <v>45905</v>
      </c>
    </row>
    <row r="2157" customFormat="false" ht="15" hidden="false" customHeight="false" outlineLevel="0" collapsed="false">
      <c r="A2157" s="7" t="s">
        <v>4986</v>
      </c>
      <c r="B2157" s="7" t="s">
        <v>4987</v>
      </c>
      <c r="C2157" s="7" t="s">
        <v>2654</v>
      </c>
      <c r="D2157" s="7" t="s">
        <v>940</v>
      </c>
      <c r="E2157" s="7" t="s">
        <v>113</v>
      </c>
      <c r="F2157" s="7" t="s">
        <v>101</v>
      </c>
      <c r="G2157" s="7" t="s">
        <v>90</v>
      </c>
      <c r="H2157" s="7" t="n">
        <v>1</v>
      </c>
      <c r="I2157" s="7" t="n">
        <v>195</v>
      </c>
      <c r="J2157" s="7" t="n">
        <v>78</v>
      </c>
      <c r="K2157" s="7" t="s">
        <v>133</v>
      </c>
      <c r="L2157" s="7" t="s">
        <v>194</v>
      </c>
      <c r="M2157" s="7" t="n">
        <v>48</v>
      </c>
      <c r="N2157" s="7" t="n">
        <v>3</v>
      </c>
      <c r="O2157" s="7" t="str">
        <f aca="false">A2157&amp;"|"&amp;B2157&amp;"|"&amp;C2157&amp;"|"&amp;D2157&amp;"|"&amp;E2157&amp;"|"&amp;F2157&amp;"|"&amp;G2157&amp;"|"&amp;H2157&amp;"|"&amp;I2157&amp;"|"&amp;J2157&amp;"|"&amp;K2157&amp;"|"&amp;L2157&amp;"|"&amp;M2157&amp;"|"&amp;N2157</f>
        <v>ORD10039|2025-01-06|17:43|C0305|Curry Leaf Kitchen|Mumbai|North Indian|1|195|78|Net Banking|Delivered|48|3</v>
      </c>
      <c r="P2157" s="7" t="str">
        <f aca="false">IF(COUNTIF($O$2:O2157,O2157)&gt;1,"DUP","OK")</f>
        <v>OK</v>
      </c>
      <c r="Q2157" s="7" t="n">
        <f aca="false">COUNTBLANK(A2157:N2157)</f>
        <v>0</v>
      </c>
      <c r="R2157" s="7" t="n">
        <f aca="false">IF(A2157="",0,COUNTIFS($A$2:$A$3058,A2157,$P$2:$P$3058,"OK"))</f>
        <v>1</v>
      </c>
      <c r="S2157" s="7" t="str">
        <f aca="false">IF(OR(A2157="",P2157="DUP",R2157&lt;2),"",IF(Q2157=_xlfn.MINIFS($Q$2:$Q$3058,$A$2:$A$3058,A2157,$P$2:$P$3058,"OK"),"KEEP","DROP"))</f>
        <v/>
      </c>
      <c r="T2157" s="9" t="n">
        <f aca="false">IF(A2157="",1,0)</f>
        <v>0</v>
      </c>
      <c r="U2157" s="9" t="n">
        <f aca="false">IF(D2157="",1,0)</f>
        <v>0</v>
      </c>
      <c r="V2157" s="9" t="n">
        <f aca="false">IF(E2157="",1,0)</f>
        <v>0</v>
      </c>
      <c r="W2157" s="9" t="n">
        <f aca="false">IF(OR(H2157&lt;1,H2157&gt;10),1,0)</f>
        <v>0</v>
      </c>
      <c r="X2157" s="9" t="n">
        <f aca="false">IF(OR(I2157&lt;=0,I2157&gt;1500),1,0)</f>
        <v>0</v>
      </c>
      <c r="Y2157" s="9" t="n">
        <f aca="false">IF(J2157&gt;H2157*I2157,1,0)</f>
        <v>0</v>
      </c>
      <c r="Z2157" s="9" t="n">
        <f aca="false">IF(AND(N2157&lt;&gt;"",OR(N2157&lt;1,N2157&gt;5)),1,0)</f>
        <v>0</v>
      </c>
      <c r="AA2157" s="9" t="n">
        <f aca="false">IF(AND(M2157&lt;&gt;"",OR(M2157&lt;5,M2157&gt;180)),1,0)</f>
        <v>0</v>
      </c>
      <c r="AB2157" s="7" t="str">
        <f aca="false">IF(P2157="DUP","Exact duplicate row",IF(T2157=1,"Missing Order ID",IF(S2157="DROP","Duplicate Order ID (less complete row)",IF(U2157=1,"Missing Customer ID",IF(V2157=1,"Missing Restaurant name",IF(W2157=1,"Invalid/outlier quantity",IF(X2157=1,"Invalid/outlier unit price",IF(Y2157=1,"Discount greater than order value",""))))))))</f>
        <v/>
      </c>
      <c r="AC2157" s="7" t="str">
        <f aca="false">IF(AB2157="","KEEP","DROP")</f>
        <v>KEEP</v>
      </c>
      <c r="AD2157" s="7" t="str">
        <f aca="false">IF(TRIM(F2157)="",IFERROR(INDEX(Map_Tables!$I$4:$I$37,MATCH(TRIM(E2157),Map_Tables!$G$4:$G$37,0)),""),IFERROR(INDEX(Map_Tables!$B$4:$B$18,MATCH(TRIM(F2157),Map_Tables!$A$4:$A$18,0)),"CHECK"))</f>
        <v>Mumbai</v>
      </c>
      <c r="AE2157" s="7" t="str">
        <f aca="false">IF(TRIM(E2157)="","",IFERROR(INDEX(Map_Tables!$H$4:$H$37,MATCH(TRIM(E2157),Map_Tables!$G$4:$G$37,0)),"CHECK"))</f>
        <v>Curry Leaf Kitchen</v>
      </c>
      <c r="AF2157" s="7" t="str">
        <f aca="false">IF(TRIM(K2157)="","Unknown",IFERROR(INDEX(Map_Tables!$E$4:$E$15,MATCH(TRIM(K2157),Map_Tables!$D$4:$D$15,0)),"CHECK"))</f>
        <v>Net Banking</v>
      </c>
      <c r="AG2157" s="7" t="str">
        <f aca="false">IF(LEFT(LOWER(TRIM(L2157)),6)="cancel","Cancelled","Delivered")</f>
        <v>Delivered</v>
      </c>
      <c r="AH2157" s="10" t="n">
        <f aca="false">IF(ISNUMBER(SEARCH("/",B2157)),DATE(VALUE(RIGHT(B2157,4)),VALUE(MID(B2157,4,2)),VALUE(LEFT(B2157,2))),IF(MID(B2157,5,1)="-",DATE(VALUE(LEFT(B2157,4)),VALUE(MID(B2157,6,2)),VALUE(RIGHT(B2157,2))),DATE(VALUE(RIGHT(B2157,4)),MATCH(MID(B2157,4,3),{"Jan","Feb","Mar","Apr","May","Jun","Jul","Aug","Sep","Oct","Nov","Dec"},0),VALUE(LEFT(B2157,2)))))</f>
        <v>45663</v>
      </c>
    </row>
    <row r="2158" customFormat="false" ht="15" hidden="false" customHeight="false" outlineLevel="0" collapsed="false">
      <c r="A2158" s="7" t="s">
        <v>4988</v>
      </c>
      <c r="B2158" s="7" t="s">
        <v>4165</v>
      </c>
      <c r="C2158" s="7" t="s">
        <v>2451</v>
      </c>
      <c r="D2158" s="7" t="s">
        <v>922</v>
      </c>
      <c r="E2158" s="7" t="s">
        <v>167</v>
      </c>
      <c r="F2158" s="7" t="s">
        <v>146</v>
      </c>
      <c r="G2158" s="7" t="s">
        <v>156</v>
      </c>
      <c r="H2158" s="7" t="n">
        <v>1</v>
      </c>
      <c r="I2158" s="7" t="n">
        <v>220</v>
      </c>
      <c r="J2158" s="7" t="n">
        <v>75</v>
      </c>
      <c r="K2158" s="7" t="s">
        <v>88</v>
      </c>
      <c r="L2158" s="7" t="s">
        <v>194</v>
      </c>
      <c r="M2158" s="7" t="n">
        <v>37</v>
      </c>
      <c r="N2158" s="7" t="n">
        <v>4</v>
      </c>
      <c r="O2158" s="7" t="str">
        <f aca="false">A2158&amp;"|"&amp;B2158&amp;"|"&amp;C2158&amp;"|"&amp;D2158&amp;"|"&amp;E2158&amp;"|"&amp;F2158&amp;"|"&amp;G2158&amp;"|"&amp;H2158&amp;"|"&amp;I2158&amp;"|"&amp;J2158&amp;"|"&amp;K2158&amp;"|"&amp;L2158&amp;"|"&amp;M2158&amp;"|"&amp;N2158</f>
        <v>ORD10307|11/02/2025|10:31|C0562|Fit Fuel Kitchen|Ahmedabad|Healthy Food|1|220|75|UPI|Delivered|37|4</v>
      </c>
      <c r="P2158" s="7" t="str">
        <f aca="false">IF(COUNTIF($O$2:O2158,O2158)&gt;1,"DUP","OK")</f>
        <v>OK</v>
      </c>
      <c r="Q2158" s="7" t="n">
        <f aca="false">COUNTBLANK(A2158:N2158)</f>
        <v>0</v>
      </c>
      <c r="R2158" s="7" t="n">
        <f aca="false">IF(A2158="",0,COUNTIFS($A$2:$A$3058,A2158,$P$2:$P$3058,"OK"))</f>
        <v>1</v>
      </c>
      <c r="S2158" s="7" t="str">
        <f aca="false">IF(OR(A2158="",P2158="DUP",R2158&lt;2),"",IF(Q2158=_xlfn.MINIFS($Q$2:$Q$3058,$A$2:$A$3058,A2158,$P$2:$P$3058,"OK"),"KEEP","DROP"))</f>
        <v/>
      </c>
      <c r="T2158" s="9" t="n">
        <f aca="false">IF(A2158="",1,0)</f>
        <v>0</v>
      </c>
      <c r="U2158" s="9" t="n">
        <f aca="false">IF(D2158="",1,0)</f>
        <v>0</v>
      </c>
      <c r="V2158" s="9" t="n">
        <f aca="false">IF(E2158="",1,0)</f>
        <v>0</v>
      </c>
      <c r="W2158" s="9" t="n">
        <f aca="false">IF(OR(H2158&lt;1,H2158&gt;10),1,0)</f>
        <v>0</v>
      </c>
      <c r="X2158" s="9" t="n">
        <f aca="false">IF(OR(I2158&lt;=0,I2158&gt;1500),1,0)</f>
        <v>0</v>
      </c>
      <c r="Y2158" s="9" t="n">
        <f aca="false">IF(J2158&gt;H2158*I2158,1,0)</f>
        <v>0</v>
      </c>
      <c r="Z2158" s="9" t="n">
        <f aca="false">IF(AND(N2158&lt;&gt;"",OR(N2158&lt;1,N2158&gt;5)),1,0)</f>
        <v>0</v>
      </c>
      <c r="AA2158" s="9" t="n">
        <f aca="false">IF(AND(M2158&lt;&gt;"",OR(M2158&lt;5,M2158&gt;180)),1,0)</f>
        <v>0</v>
      </c>
      <c r="AB2158" s="7" t="str">
        <f aca="false">IF(P2158="DUP","Exact duplicate row",IF(T2158=1,"Missing Order ID",IF(S2158="DROP","Duplicate Order ID (less complete row)",IF(U2158=1,"Missing Customer ID",IF(V2158=1,"Missing Restaurant name",IF(W2158=1,"Invalid/outlier quantity",IF(X2158=1,"Invalid/outlier unit price",IF(Y2158=1,"Discount greater than order value",""))))))))</f>
        <v/>
      </c>
      <c r="AC2158" s="7" t="str">
        <f aca="false">IF(AB2158="","KEEP","DROP")</f>
        <v>KEEP</v>
      </c>
      <c r="AD2158" s="7" t="str">
        <f aca="false">IF(TRIM(F2158)="",IFERROR(INDEX(Map_Tables!$I$4:$I$37,MATCH(TRIM(E2158),Map_Tables!$G$4:$G$37,0)),""),IFERROR(INDEX(Map_Tables!$B$4:$B$18,MATCH(TRIM(F2158),Map_Tables!$A$4:$A$18,0)),"CHECK"))</f>
        <v>Ahmedabad</v>
      </c>
      <c r="AE2158" s="7" t="str">
        <f aca="false">IF(TRIM(E2158)="","",IFERROR(INDEX(Map_Tables!$H$4:$H$37,MATCH(TRIM(E2158),Map_Tables!$G$4:$G$37,0)),"CHECK"))</f>
        <v>Fit Fuel Kitchen</v>
      </c>
      <c r="AF2158" s="7" t="str">
        <f aca="false">IF(TRIM(K2158)="","Unknown",IFERROR(INDEX(Map_Tables!$E$4:$E$15,MATCH(TRIM(K2158),Map_Tables!$D$4:$D$15,0)),"CHECK"))</f>
        <v>UPI</v>
      </c>
      <c r="AG2158" s="7" t="str">
        <f aca="false">IF(LEFT(LOWER(TRIM(L2158)),6)="cancel","Cancelled","Delivered")</f>
        <v>Delivered</v>
      </c>
      <c r="AH2158" s="10" t="n">
        <f aca="false">IF(ISNUMBER(SEARCH("/",B2158)),DATE(VALUE(RIGHT(B2158,4)),VALUE(MID(B2158,4,2)),VALUE(LEFT(B2158,2))),IF(MID(B2158,5,1)="-",DATE(VALUE(LEFT(B2158,4)),VALUE(MID(B2158,6,2)),VALUE(RIGHT(B2158,2))),DATE(VALUE(RIGHT(B2158,4)),MATCH(MID(B2158,4,3),{"Jan","Feb","Mar","Apr","May","Jun","Jul","Aug","Sep","Oct","Nov","Dec"},0),VALUE(LEFT(B2158,2)))))</f>
        <v>45699</v>
      </c>
    </row>
    <row r="2159" customFormat="false" ht="15" hidden="false" customHeight="false" outlineLevel="0" collapsed="false">
      <c r="A2159" s="7" t="s">
        <v>4989</v>
      </c>
      <c r="B2159" s="7" t="s">
        <v>4990</v>
      </c>
      <c r="C2159" s="7" t="s">
        <v>1434</v>
      </c>
      <c r="D2159" s="7" t="s">
        <v>1067</v>
      </c>
      <c r="E2159" s="7" t="s">
        <v>104</v>
      </c>
      <c r="F2159" s="7" t="s">
        <v>86</v>
      </c>
      <c r="G2159" s="7" t="s">
        <v>105</v>
      </c>
      <c r="H2159" s="7" t="n">
        <v>2</v>
      </c>
      <c r="I2159" s="7" t="n">
        <v>230</v>
      </c>
      <c r="J2159" s="7" t="n">
        <v>100</v>
      </c>
      <c r="K2159" s="7" t="s">
        <v>88</v>
      </c>
      <c r="L2159" s="7" t="s">
        <v>194</v>
      </c>
      <c r="M2159" s="7" t="n">
        <v>53</v>
      </c>
      <c r="N2159" s="7" t="n">
        <v>3</v>
      </c>
      <c r="O2159" s="7" t="str">
        <f aca="false">A2159&amp;"|"&amp;B2159&amp;"|"&amp;C2159&amp;"|"&amp;D2159&amp;"|"&amp;E2159&amp;"|"&amp;F2159&amp;"|"&amp;G2159&amp;"|"&amp;H2159&amp;"|"&amp;I2159&amp;"|"&amp;J2159&amp;"|"&amp;K2159&amp;"|"&amp;L2159&amp;"|"&amp;M2159&amp;"|"&amp;N2159</f>
        <v>ORD10007|01/01/2025|21:05|C0662|Wok &amp; Roll|Bengaluru|Chinese|2|230|100|UPI|Delivered|53|3</v>
      </c>
      <c r="P2159" s="7" t="str">
        <f aca="false">IF(COUNTIF($O$2:O2159,O2159)&gt;1,"DUP","OK")</f>
        <v>OK</v>
      </c>
      <c r="Q2159" s="7" t="n">
        <f aca="false">COUNTBLANK(A2159:N2159)</f>
        <v>0</v>
      </c>
      <c r="R2159" s="7" t="n">
        <f aca="false">IF(A2159="",0,COUNTIFS($A$2:$A$3058,A2159,$P$2:$P$3058,"OK"))</f>
        <v>1</v>
      </c>
      <c r="S2159" s="7" t="str">
        <f aca="false">IF(OR(A2159="",P2159="DUP",R2159&lt;2),"",IF(Q2159=_xlfn.MINIFS($Q$2:$Q$3058,$A$2:$A$3058,A2159,$P$2:$P$3058,"OK"),"KEEP","DROP"))</f>
        <v/>
      </c>
      <c r="T2159" s="9" t="n">
        <f aca="false">IF(A2159="",1,0)</f>
        <v>0</v>
      </c>
      <c r="U2159" s="9" t="n">
        <f aca="false">IF(D2159="",1,0)</f>
        <v>0</v>
      </c>
      <c r="V2159" s="9" t="n">
        <f aca="false">IF(E2159="",1,0)</f>
        <v>0</v>
      </c>
      <c r="W2159" s="9" t="n">
        <f aca="false">IF(OR(H2159&lt;1,H2159&gt;10),1,0)</f>
        <v>0</v>
      </c>
      <c r="X2159" s="9" t="n">
        <f aca="false">IF(OR(I2159&lt;=0,I2159&gt;1500),1,0)</f>
        <v>0</v>
      </c>
      <c r="Y2159" s="9" t="n">
        <f aca="false">IF(J2159&gt;H2159*I2159,1,0)</f>
        <v>0</v>
      </c>
      <c r="Z2159" s="9" t="n">
        <f aca="false">IF(AND(N2159&lt;&gt;"",OR(N2159&lt;1,N2159&gt;5)),1,0)</f>
        <v>0</v>
      </c>
      <c r="AA2159" s="9" t="n">
        <f aca="false">IF(AND(M2159&lt;&gt;"",OR(M2159&lt;5,M2159&gt;180)),1,0)</f>
        <v>0</v>
      </c>
      <c r="AB2159" s="7" t="str">
        <f aca="false">IF(P2159="DUP","Exact duplicate row",IF(T2159=1,"Missing Order ID",IF(S2159="DROP","Duplicate Order ID (less complete row)",IF(U2159=1,"Missing Customer ID",IF(V2159=1,"Missing Restaurant name",IF(W2159=1,"Invalid/outlier quantity",IF(X2159=1,"Invalid/outlier unit price",IF(Y2159=1,"Discount greater than order value",""))))))))</f>
        <v/>
      </c>
      <c r="AC2159" s="7" t="str">
        <f aca="false">IF(AB2159="","KEEP","DROP")</f>
        <v>KEEP</v>
      </c>
      <c r="AD2159" s="7" t="str">
        <f aca="false">IF(TRIM(F2159)="",IFERROR(INDEX(Map_Tables!$I$4:$I$37,MATCH(TRIM(E2159),Map_Tables!$G$4:$G$37,0)),""),IFERROR(INDEX(Map_Tables!$B$4:$B$18,MATCH(TRIM(F2159),Map_Tables!$A$4:$A$18,0)),"CHECK"))</f>
        <v>Bengaluru</v>
      </c>
      <c r="AE2159" s="7" t="str">
        <f aca="false">IF(TRIM(E2159)="","",IFERROR(INDEX(Map_Tables!$H$4:$H$37,MATCH(TRIM(E2159),Map_Tables!$G$4:$G$37,0)),"CHECK"))</f>
        <v>Wok &amp; Roll</v>
      </c>
      <c r="AF2159" s="7" t="str">
        <f aca="false">IF(TRIM(K2159)="","Unknown",IFERROR(INDEX(Map_Tables!$E$4:$E$15,MATCH(TRIM(K2159),Map_Tables!$D$4:$D$15,0)),"CHECK"))</f>
        <v>UPI</v>
      </c>
      <c r="AG2159" s="7" t="str">
        <f aca="false">IF(LEFT(LOWER(TRIM(L2159)),6)="cancel","Cancelled","Delivered")</f>
        <v>Delivered</v>
      </c>
      <c r="AH2159" s="10" t="n">
        <f aca="false">IF(ISNUMBER(SEARCH("/",B2159)),DATE(VALUE(RIGHT(B2159,4)),VALUE(MID(B2159,4,2)),VALUE(LEFT(B2159,2))),IF(MID(B2159,5,1)="-",DATE(VALUE(LEFT(B2159,4)),VALUE(MID(B2159,6,2)),VALUE(RIGHT(B2159,2))),DATE(VALUE(RIGHT(B2159,4)),MATCH(MID(B2159,4,3),{"Jan","Feb","Mar","Apr","May","Jun","Jul","Aug","Sep","Oct","Nov","Dec"},0),VALUE(LEFT(B2159,2)))))</f>
        <v>45658</v>
      </c>
    </row>
    <row r="2160" customFormat="false" ht="15" hidden="false" customHeight="false" outlineLevel="0" collapsed="false">
      <c r="A2160" s="7" t="s">
        <v>4991</v>
      </c>
      <c r="B2160" s="7" t="s">
        <v>2685</v>
      </c>
      <c r="C2160" s="7" t="s">
        <v>3083</v>
      </c>
      <c r="D2160" s="7" t="s">
        <v>4992</v>
      </c>
      <c r="E2160" s="7" t="s">
        <v>130</v>
      </c>
      <c r="F2160" s="7" t="s">
        <v>110</v>
      </c>
      <c r="G2160" s="7" t="s">
        <v>1391</v>
      </c>
      <c r="H2160" s="7" t="n">
        <v>4</v>
      </c>
      <c r="I2160" s="7" t="n">
        <v>245</v>
      </c>
      <c r="J2160" s="7" t="n">
        <v>0</v>
      </c>
      <c r="K2160" s="7" t="s">
        <v>93</v>
      </c>
      <c r="L2160" s="7" t="s">
        <v>194</v>
      </c>
      <c r="M2160" s="7" t="n">
        <v>31</v>
      </c>
      <c r="N2160" s="7" t="n">
        <v>3</v>
      </c>
      <c r="O2160" s="7" t="str">
        <f aca="false">A2160&amp;"|"&amp;B2160&amp;"|"&amp;C2160&amp;"|"&amp;D2160&amp;"|"&amp;E2160&amp;"|"&amp;F2160&amp;"|"&amp;G2160&amp;"|"&amp;H2160&amp;"|"&amp;I2160&amp;"|"&amp;J2160&amp;"|"&amp;K2160&amp;"|"&amp;L2160&amp;"|"&amp;M2160&amp;"|"&amp;N2160</f>
        <v>ORD10782|2025-04-09|18:15|C1417|Tandoor Tales|Delhi|NORTH INDIAN|4|245|0|Credit Card|Delivered|31|3</v>
      </c>
      <c r="P2160" s="7" t="str">
        <f aca="false">IF(COUNTIF($O$2:O2160,O2160)&gt;1,"DUP","OK")</f>
        <v>OK</v>
      </c>
      <c r="Q2160" s="7" t="n">
        <f aca="false">COUNTBLANK(A2160:N2160)</f>
        <v>0</v>
      </c>
      <c r="R2160" s="7" t="n">
        <f aca="false">IF(A2160="",0,COUNTIFS($A$2:$A$3058,A2160,$P$2:$P$3058,"OK"))</f>
        <v>1</v>
      </c>
      <c r="S2160" s="7" t="str">
        <f aca="false">IF(OR(A2160="",P2160="DUP",R2160&lt;2),"",IF(Q2160=_xlfn.MINIFS($Q$2:$Q$3058,$A$2:$A$3058,A2160,$P$2:$P$3058,"OK"),"KEEP","DROP"))</f>
        <v/>
      </c>
      <c r="T2160" s="9" t="n">
        <f aca="false">IF(A2160="",1,0)</f>
        <v>0</v>
      </c>
      <c r="U2160" s="9" t="n">
        <f aca="false">IF(D2160="",1,0)</f>
        <v>0</v>
      </c>
      <c r="V2160" s="9" t="n">
        <f aca="false">IF(E2160="",1,0)</f>
        <v>0</v>
      </c>
      <c r="W2160" s="9" t="n">
        <f aca="false">IF(OR(H2160&lt;1,H2160&gt;10),1,0)</f>
        <v>0</v>
      </c>
      <c r="X2160" s="9" t="n">
        <f aca="false">IF(OR(I2160&lt;=0,I2160&gt;1500),1,0)</f>
        <v>0</v>
      </c>
      <c r="Y2160" s="9" t="n">
        <f aca="false">IF(J2160&gt;H2160*I2160,1,0)</f>
        <v>0</v>
      </c>
      <c r="Z2160" s="9" t="n">
        <f aca="false">IF(AND(N2160&lt;&gt;"",OR(N2160&lt;1,N2160&gt;5)),1,0)</f>
        <v>0</v>
      </c>
      <c r="AA2160" s="9" t="n">
        <f aca="false">IF(AND(M2160&lt;&gt;"",OR(M2160&lt;5,M2160&gt;180)),1,0)</f>
        <v>0</v>
      </c>
      <c r="AB2160" s="7" t="str">
        <f aca="false">IF(P2160="DUP","Exact duplicate row",IF(T2160=1,"Missing Order ID",IF(S2160="DROP","Duplicate Order ID (less complete row)",IF(U2160=1,"Missing Customer ID",IF(V2160=1,"Missing Restaurant name",IF(W2160=1,"Invalid/outlier quantity",IF(X2160=1,"Invalid/outlier unit price",IF(Y2160=1,"Discount greater than order value",""))))))))</f>
        <v/>
      </c>
      <c r="AC2160" s="7" t="str">
        <f aca="false">IF(AB2160="","KEEP","DROP")</f>
        <v>KEEP</v>
      </c>
      <c r="AD2160" s="7" t="str">
        <f aca="false">IF(TRIM(F2160)="",IFERROR(INDEX(Map_Tables!$I$4:$I$37,MATCH(TRIM(E2160),Map_Tables!$G$4:$G$37,0)),""),IFERROR(INDEX(Map_Tables!$B$4:$B$18,MATCH(TRIM(F2160),Map_Tables!$A$4:$A$18,0)),"CHECK"))</f>
        <v>Delhi</v>
      </c>
      <c r="AE2160" s="7" t="str">
        <f aca="false">IF(TRIM(E2160)="","",IFERROR(INDEX(Map_Tables!$H$4:$H$37,MATCH(TRIM(E2160),Map_Tables!$G$4:$G$37,0)),"CHECK"))</f>
        <v>Tandoor Tales</v>
      </c>
      <c r="AF2160" s="7" t="str">
        <f aca="false">IF(TRIM(K2160)="","Unknown",IFERROR(INDEX(Map_Tables!$E$4:$E$15,MATCH(TRIM(K2160),Map_Tables!$D$4:$D$15,0)),"CHECK"))</f>
        <v>Credit Card</v>
      </c>
      <c r="AG2160" s="7" t="str">
        <f aca="false">IF(LEFT(LOWER(TRIM(L2160)),6)="cancel","Cancelled","Delivered")</f>
        <v>Delivered</v>
      </c>
      <c r="AH2160" s="10" t="n">
        <f aca="false">IF(ISNUMBER(SEARCH("/",B2160)),DATE(VALUE(RIGHT(B2160,4)),VALUE(MID(B2160,4,2)),VALUE(LEFT(B2160,2))),IF(MID(B2160,5,1)="-",DATE(VALUE(LEFT(B2160,4)),VALUE(MID(B2160,6,2)),VALUE(RIGHT(B2160,2))),DATE(VALUE(RIGHT(B2160,4)),MATCH(MID(B2160,4,3),{"Jan","Feb","Mar","Apr","May","Jun","Jul","Aug","Sep","Oct","Nov","Dec"},0),VALUE(LEFT(B2160,2)))))</f>
        <v>45756</v>
      </c>
    </row>
    <row r="2161" customFormat="false" ht="15" hidden="false" customHeight="false" outlineLevel="0" collapsed="false">
      <c r="A2161" s="7" t="s">
        <v>4993</v>
      </c>
      <c r="B2161" s="7" t="s">
        <v>1121</v>
      </c>
      <c r="C2161" s="7" t="s">
        <v>1358</v>
      </c>
      <c r="D2161" s="7" t="s">
        <v>4223</v>
      </c>
      <c r="E2161" s="7" t="s">
        <v>144</v>
      </c>
      <c r="F2161" s="7" t="s">
        <v>119</v>
      </c>
      <c r="G2161" s="7" t="s">
        <v>99</v>
      </c>
      <c r="H2161" s="7" t="n">
        <v>1</v>
      </c>
      <c r="I2161" s="7" t="n">
        <v>355</v>
      </c>
      <c r="J2161" s="7" t="n">
        <v>0</v>
      </c>
      <c r="K2161" s="7" t="s">
        <v>133</v>
      </c>
      <c r="L2161" s="7" t="s">
        <v>194</v>
      </c>
      <c r="M2161" s="7" t="n">
        <v>36</v>
      </c>
      <c r="N2161" s="7"/>
      <c r="O2161" s="7" t="str">
        <f aca="false">A2161&amp;"|"&amp;B2161&amp;"|"&amp;C2161&amp;"|"&amp;D2161&amp;"|"&amp;E2161&amp;"|"&amp;F2161&amp;"|"&amp;G2161&amp;"|"&amp;H2161&amp;"|"&amp;I2161&amp;"|"&amp;J2161&amp;"|"&amp;K2161&amp;"|"&amp;L2161&amp;"|"&amp;M2161&amp;"|"&amp;N2161</f>
        <v>ORD11191|2025-05-31|20:23|C1182|Hyderabad Dum Biryani|Hyderabad|Biryani|1|355|0|Net Banking|Delivered|36|</v>
      </c>
      <c r="P2161" s="7" t="str">
        <f aca="false">IF(COUNTIF($O$2:O2161,O2161)&gt;1,"DUP","OK")</f>
        <v>OK</v>
      </c>
      <c r="Q2161" s="7" t="n">
        <f aca="false">COUNTBLANK(A2161:N2161)</f>
        <v>1</v>
      </c>
      <c r="R2161" s="7" t="n">
        <f aca="false">IF(A2161="",0,COUNTIFS($A$2:$A$3058,A2161,$P$2:$P$3058,"OK"))</f>
        <v>1</v>
      </c>
      <c r="S2161" s="7" t="str">
        <f aca="false">IF(OR(A2161="",P2161="DUP",R2161&lt;2),"",IF(Q2161=_xlfn.MINIFS($Q$2:$Q$3058,$A$2:$A$3058,A2161,$P$2:$P$3058,"OK"),"KEEP","DROP"))</f>
        <v/>
      </c>
      <c r="T2161" s="9" t="n">
        <f aca="false">IF(A2161="",1,0)</f>
        <v>0</v>
      </c>
      <c r="U2161" s="9" t="n">
        <f aca="false">IF(D2161="",1,0)</f>
        <v>0</v>
      </c>
      <c r="V2161" s="9" t="n">
        <f aca="false">IF(E2161="",1,0)</f>
        <v>0</v>
      </c>
      <c r="W2161" s="9" t="n">
        <f aca="false">IF(OR(H2161&lt;1,H2161&gt;10),1,0)</f>
        <v>0</v>
      </c>
      <c r="X2161" s="9" t="n">
        <f aca="false">IF(OR(I2161&lt;=0,I2161&gt;1500),1,0)</f>
        <v>0</v>
      </c>
      <c r="Y2161" s="9" t="n">
        <f aca="false">IF(J2161&gt;H2161*I2161,1,0)</f>
        <v>0</v>
      </c>
      <c r="Z2161" s="9" t="n">
        <f aca="false">IF(AND(N2161&lt;&gt;"",OR(N2161&lt;1,N2161&gt;5)),1,0)</f>
        <v>0</v>
      </c>
      <c r="AA2161" s="9" t="n">
        <f aca="false">IF(AND(M2161&lt;&gt;"",OR(M2161&lt;5,M2161&gt;180)),1,0)</f>
        <v>0</v>
      </c>
      <c r="AB2161" s="7" t="str">
        <f aca="false">IF(P2161="DUP","Exact duplicate row",IF(T2161=1,"Missing Order ID",IF(S2161="DROP","Duplicate Order ID (less complete row)",IF(U2161=1,"Missing Customer ID",IF(V2161=1,"Missing Restaurant name",IF(W2161=1,"Invalid/outlier quantity",IF(X2161=1,"Invalid/outlier unit price",IF(Y2161=1,"Discount greater than order value",""))))))))</f>
        <v/>
      </c>
      <c r="AC2161" s="7" t="str">
        <f aca="false">IF(AB2161="","KEEP","DROP")</f>
        <v>KEEP</v>
      </c>
      <c r="AD2161" s="7" t="str">
        <f aca="false">IF(TRIM(F2161)="",IFERROR(INDEX(Map_Tables!$I$4:$I$37,MATCH(TRIM(E2161),Map_Tables!$G$4:$G$37,0)),""),IFERROR(INDEX(Map_Tables!$B$4:$B$18,MATCH(TRIM(F2161),Map_Tables!$A$4:$A$18,0)),"CHECK"))</f>
        <v>Hyderabad</v>
      </c>
      <c r="AE2161" s="7" t="str">
        <f aca="false">IF(TRIM(E2161)="","",IFERROR(INDEX(Map_Tables!$H$4:$H$37,MATCH(TRIM(E2161),Map_Tables!$G$4:$G$37,0)),"CHECK"))</f>
        <v>Hyderabad Dum Biryani</v>
      </c>
      <c r="AF2161" s="7" t="str">
        <f aca="false">IF(TRIM(K2161)="","Unknown",IFERROR(INDEX(Map_Tables!$E$4:$E$15,MATCH(TRIM(K2161),Map_Tables!$D$4:$D$15,0)),"CHECK"))</f>
        <v>Net Banking</v>
      </c>
      <c r="AG2161" s="7" t="str">
        <f aca="false">IF(LEFT(LOWER(TRIM(L2161)),6)="cancel","Cancelled","Delivered")</f>
        <v>Delivered</v>
      </c>
      <c r="AH2161" s="10" t="n">
        <f aca="false">IF(ISNUMBER(SEARCH("/",B2161)),DATE(VALUE(RIGHT(B2161,4)),VALUE(MID(B2161,4,2)),VALUE(LEFT(B2161,2))),IF(MID(B2161,5,1)="-",DATE(VALUE(LEFT(B2161,4)),VALUE(MID(B2161,6,2)),VALUE(RIGHT(B2161,2))),DATE(VALUE(RIGHT(B2161,4)),MATCH(MID(B2161,4,3),{"Jan","Feb","Mar","Apr","May","Jun","Jul","Aug","Sep","Oct","Nov","Dec"},0),VALUE(LEFT(B2161,2)))))</f>
        <v>45808</v>
      </c>
    </row>
    <row r="2162" customFormat="false" ht="15" hidden="false" customHeight="false" outlineLevel="0" collapsed="false">
      <c r="A2162" s="7" t="s">
        <v>4994</v>
      </c>
      <c r="B2162" s="7" t="s">
        <v>1150</v>
      </c>
      <c r="C2162" s="7" t="s">
        <v>883</v>
      </c>
      <c r="D2162" s="7" t="s">
        <v>1333</v>
      </c>
      <c r="E2162" s="7" t="s">
        <v>134</v>
      </c>
      <c r="F2162" s="7" t="s">
        <v>110</v>
      </c>
      <c r="G2162" s="7" t="s">
        <v>117</v>
      </c>
      <c r="H2162" s="7" t="n">
        <v>4</v>
      </c>
      <c r="I2162" s="7" t="n">
        <v>100</v>
      </c>
      <c r="J2162" s="7" t="n">
        <v>0</v>
      </c>
      <c r="K2162" s="7" t="s">
        <v>971</v>
      </c>
      <c r="L2162" s="7" t="s">
        <v>194</v>
      </c>
      <c r="M2162" s="7" t="n">
        <v>33</v>
      </c>
      <c r="N2162" s="7" t="n">
        <v>5</v>
      </c>
      <c r="O2162" s="7" t="str">
        <f aca="false">A2162&amp;"|"&amp;B2162&amp;"|"&amp;C2162&amp;"|"&amp;D2162&amp;"|"&amp;E2162&amp;"|"&amp;F2162&amp;"|"&amp;G2162&amp;"|"&amp;H2162&amp;"|"&amp;I2162&amp;"|"&amp;J2162&amp;"|"&amp;K2162&amp;"|"&amp;L2162&amp;"|"&amp;M2162&amp;"|"&amp;N2162</f>
        <v>ORD10535|2025-03-10|13:42|C0411|Chaat Corner|Delhi|Street Food|4|100|0|Paytm Wallet|Delivered|33|5</v>
      </c>
      <c r="P2162" s="7" t="str">
        <f aca="false">IF(COUNTIF($O$2:O2162,O2162)&gt;1,"DUP","OK")</f>
        <v>OK</v>
      </c>
      <c r="Q2162" s="7" t="n">
        <f aca="false">COUNTBLANK(A2162:N2162)</f>
        <v>0</v>
      </c>
      <c r="R2162" s="7" t="n">
        <f aca="false">IF(A2162="",0,COUNTIFS($A$2:$A$3058,A2162,$P$2:$P$3058,"OK"))</f>
        <v>1</v>
      </c>
      <c r="S2162" s="7" t="str">
        <f aca="false">IF(OR(A2162="",P2162="DUP",R2162&lt;2),"",IF(Q2162=_xlfn.MINIFS($Q$2:$Q$3058,$A$2:$A$3058,A2162,$P$2:$P$3058,"OK"),"KEEP","DROP"))</f>
        <v/>
      </c>
      <c r="T2162" s="9" t="n">
        <f aca="false">IF(A2162="",1,0)</f>
        <v>0</v>
      </c>
      <c r="U2162" s="9" t="n">
        <f aca="false">IF(D2162="",1,0)</f>
        <v>0</v>
      </c>
      <c r="V2162" s="9" t="n">
        <f aca="false">IF(E2162="",1,0)</f>
        <v>0</v>
      </c>
      <c r="W2162" s="9" t="n">
        <f aca="false">IF(OR(H2162&lt;1,H2162&gt;10),1,0)</f>
        <v>0</v>
      </c>
      <c r="X2162" s="9" t="n">
        <f aca="false">IF(OR(I2162&lt;=0,I2162&gt;1500),1,0)</f>
        <v>0</v>
      </c>
      <c r="Y2162" s="9" t="n">
        <f aca="false">IF(J2162&gt;H2162*I2162,1,0)</f>
        <v>0</v>
      </c>
      <c r="Z2162" s="9" t="n">
        <f aca="false">IF(AND(N2162&lt;&gt;"",OR(N2162&lt;1,N2162&gt;5)),1,0)</f>
        <v>0</v>
      </c>
      <c r="AA2162" s="9" t="n">
        <f aca="false">IF(AND(M2162&lt;&gt;"",OR(M2162&lt;5,M2162&gt;180)),1,0)</f>
        <v>0</v>
      </c>
      <c r="AB2162" s="7" t="str">
        <f aca="false">IF(P2162="DUP","Exact duplicate row",IF(T2162=1,"Missing Order ID",IF(S2162="DROP","Duplicate Order ID (less complete row)",IF(U2162=1,"Missing Customer ID",IF(V2162=1,"Missing Restaurant name",IF(W2162=1,"Invalid/outlier quantity",IF(X2162=1,"Invalid/outlier unit price",IF(Y2162=1,"Discount greater than order value",""))))))))</f>
        <v/>
      </c>
      <c r="AC2162" s="7" t="str">
        <f aca="false">IF(AB2162="","KEEP","DROP")</f>
        <v>KEEP</v>
      </c>
      <c r="AD2162" s="7" t="str">
        <f aca="false">IF(TRIM(F2162)="",IFERROR(INDEX(Map_Tables!$I$4:$I$37,MATCH(TRIM(E2162),Map_Tables!$G$4:$G$37,0)),""),IFERROR(INDEX(Map_Tables!$B$4:$B$18,MATCH(TRIM(F2162),Map_Tables!$A$4:$A$18,0)),"CHECK"))</f>
        <v>Delhi</v>
      </c>
      <c r="AE2162" s="7" t="str">
        <f aca="false">IF(TRIM(E2162)="","",IFERROR(INDEX(Map_Tables!$H$4:$H$37,MATCH(TRIM(E2162),Map_Tables!$G$4:$G$37,0)),"CHECK"))</f>
        <v>Chaat Corner</v>
      </c>
      <c r="AF2162" s="7" t="str">
        <f aca="false">IF(TRIM(K2162)="","Unknown",IFERROR(INDEX(Map_Tables!$E$4:$E$15,MATCH(TRIM(K2162),Map_Tables!$D$4:$D$15,0)),"CHECK"))</f>
        <v>Wallet</v>
      </c>
      <c r="AG2162" s="7" t="str">
        <f aca="false">IF(LEFT(LOWER(TRIM(L2162)),6)="cancel","Cancelled","Delivered")</f>
        <v>Delivered</v>
      </c>
      <c r="AH2162" s="10" t="n">
        <f aca="false">IF(ISNUMBER(SEARCH("/",B2162)),DATE(VALUE(RIGHT(B2162,4)),VALUE(MID(B2162,4,2)),VALUE(LEFT(B2162,2))),IF(MID(B2162,5,1)="-",DATE(VALUE(LEFT(B2162,4)),VALUE(MID(B2162,6,2)),VALUE(RIGHT(B2162,2))),DATE(VALUE(RIGHT(B2162,4)),MATCH(MID(B2162,4,3),{"Jan","Feb","Mar","Apr","May","Jun","Jul","Aug","Sep","Oct","Nov","Dec"},0),VALUE(LEFT(B2162,2)))))</f>
        <v>45726</v>
      </c>
    </row>
    <row r="2163" customFormat="false" ht="15" hidden="false" customHeight="false" outlineLevel="0" collapsed="false">
      <c r="A2163" s="7" t="s">
        <v>4995</v>
      </c>
      <c r="B2163" s="7" t="s">
        <v>271</v>
      </c>
      <c r="C2163" s="7" t="s">
        <v>1873</v>
      </c>
      <c r="D2163" s="7" t="s">
        <v>4996</v>
      </c>
      <c r="E2163" s="7" t="s">
        <v>149</v>
      </c>
      <c r="F2163" s="7" t="s">
        <v>119</v>
      </c>
      <c r="G2163" s="7" t="s">
        <v>150</v>
      </c>
      <c r="H2163" s="7" t="n">
        <v>3</v>
      </c>
      <c r="I2163" s="7" t="n">
        <v>195</v>
      </c>
      <c r="J2163" s="7" t="n">
        <v>100</v>
      </c>
      <c r="K2163" s="7" t="s">
        <v>88</v>
      </c>
      <c r="L2163" s="7" t="s">
        <v>194</v>
      </c>
      <c r="M2163" s="7" t="n">
        <v>42</v>
      </c>
      <c r="N2163" s="7"/>
      <c r="O2163" s="7" t="str">
        <f aca="false">A2163&amp;"|"&amp;B2163&amp;"|"&amp;C2163&amp;"|"&amp;D2163&amp;"|"&amp;E2163&amp;"|"&amp;F2163&amp;"|"&amp;G2163&amp;"|"&amp;H2163&amp;"|"&amp;I2163&amp;"|"&amp;J2163&amp;"|"&amp;K2163&amp;"|"&amp;L2163&amp;"|"&amp;M2163&amp;"|"&amp;N2163</f>
        <v>ORD10584|2025-03-15|20:29|C0541|Sweet Tooth Studio|Hyderabad|Desserts|3|195|100|UPI|Delivered|42|</v>
      </c>
      <c r="P2163" s="7" t="str">
        <f aca="false">IF(COUNTIF($O$2:O2163,O2163)&gt;1,"DUP","OK")</f>
        <v>OK</v>
      </c>
      <c r="Q2163" s="7" t="n">
        <f aca="false">COUNTBLANK(A2163:N2163)</f>
        <v>1</v>
      </c>
      <c r="R2163" s="7" t="n">
        <f aca="false">IF(A2163="",0,COUNTIFS($A$2:$A$3058,A2163,$P$2:$P$3058,"OK"))</f>
        <v>1</v>
      </c>
      <c r="S2163" s="7" t="str">
        <f aca="false">IF(OR(A2163="",P2163="DUP",R2163&lt;2),"",IF(Q2163=_xlfn.MINIFS($Q$2:$Q$3058,$A$2:$A$3058,A2163,$P$2:$P$3058,"OK"),"KEEP","DROP"))</f>
        <v/>
      </c>
      <c r="T2163" s="9" t="n">
        <f aca="false">IF(A2163="",1,0)</f>
        <v>0</v>
      </c>
      <c r="U2163" s="9" t="n">
        <f aca="false">IF(D2163="",1,0)</f>
        <v>0</v>
      </c>
      <c r="V2163" s="9" t="n">
        <f aca="false">IF(E2163="",1,0)</f>
        <v>0</v>
      </c>
      <c r="W2163" s="9" t="n">
        <f aca="false">IF(OR(H2163&lt;1,H2163&gt;10),1,0)</f>
        <v>0</v>
      </c>
      <c r="X2163" s="9" t="n">
        <f aca="false">IF(OR(I2163&lt;=0,I2163&gt;1500),1,0)</f>
        <v>0</v>
      </c>
      <c r="Y2163" s="9" t="n">
        <f aca="false">IF(J2163&gt;H2163*I2163,1,0)</f>
        <v>0</v>
      </c>
      <c r="Z2163" s="9" t="n">
        <f aca="false">IF(AND(N2163&lt;&gt;"",OR(N2163&lt;1,N2163&gt;5)),1,0)</f>
        <v>0</v>
      </c>
      <c r="AA2163" s="9" t="n">
        <f aca="false">IF(AND(M2163&lt;&gt;"",OR(M2163&lt;5,M2163&gt;180)),1,0)</f>
        <v>0</v>
      </c>
      <c r="AB2163" s="7" t="str">
        <f aca="false">IF(P2163="DUP","Exact duplicate row",IF(T2163=1,"Missing Order ID",IF(S2163="DROP","Duplicate Order ID (less complete row)",IF(U2163=1,"Missing Customer ID",IF(V2163=1,"Missing Restaurant name",IF(W2163=1,"Invalid/outlier quantity",IF(X2163=1,"Invalid/outlier unit price",IF(Y2163=1,"Discount greater than order value",""))))))))</f>
        <v/>
      </c>
      <c r="AC2163" s="7" t="str">
        <f aca="false">IF(AB2163="","KEEP","DROP")</f>
        <v>KEEP</v>
      </c>
      <c r="AD2163" s="7" t="str">
        <f aca="false">IF(TRIM(F2163)="",IFERROR(INDEX(Map_Tables!$I$4:$I$37,MATCH(TRIM(E2163),Map_Tables!$G$4:$G$37,0)),""),IFERROR(INDEX(Map_Tables!$B$4:$B$18,MATCH(TRIM(F2163),Map_Tables!$A$4:$A$18,0)),"CHECK"))</f>
        <v>Hyderabad</v>
      </c>
      <c r="AE2163" s="7" t="str">
        <f aca="false">IF(TRIM(E2163)="","",IFERROR(INDEX(Map_Tables!$H$4:$H$37,MATCH(TRIM(E2163),Map_Tables!$G$4:$G$37,0)),"CHECK"))</f>
        <v>Sweet Tooth Studio</v>
      </c>
      <c r="AF2163" s="7" t="str">
        <f aca="false">IF(TRIM(K2163)="","Unknown",IFERROR(INDEX(Map_Tables!$E$4:$E$15,MATCH(TRIM(K2163),Map_Tables!$D$4:$D$15,0)),"CHECK"))</f>
        <v>UPI</v>
      </c>
      <c r="AG2163" s="7" t="str">
        <f aca="false">IF(LEFT(LOWER(TRIM(L2163)),6)="cancel","Cancelled","Delivered")</f>
        <v>Delivered</v>
      </c>
      <c r="AH2163" s="10" t="n">
        <f aca="false">IF(ISNUMBER(SEARCH("/",B2163)),DATE(VALUE(RIGHT(B2163,4)),VALUE(MID(B2163,4,2)),VALUE(LEFT(B2163,2))),IF(MID(B2163,5,1)="-",DATE(VALUE(LEFT(B2163,4)),VALUE(MID(B2163,6,2)),VALUE(RIGHT(B2163,2))),DATE(VALUE(RIGHT(B2163,4)),MATCH(MID(B2163,4,3),{"Jan","Feb","Mar","Apr","May","Jun","Jul","Aug","Sep","Oct","Nov","Dec"},0),VALUE(LEFT(B2163,2)))))</f>
        <v>45731</v>
      </c>
    </row>
    <row r="2164" customFormat="false" ht="15" hidden="false" customHeight="false" outlineLevel="0" collapsed="false">
      <c r="A2164" s="7" t="s">
        <v>4997</v>
      </c>
      <c r="B2164" s="7" t="s">
        <v>2312</v>
      </c>
      <c r="C2164" s="7" t="s">
        <v>315</v>
      </c>
      <c r="D2164" s="7" t="s">
        <v>4998</v>
      </c>
      <c r="E2164" s="7" t="s">
        <v>167</v>
      </c>
      <c r="F2164" s="7" t="s">
        <v>146</v>
      </c>
      <c r="G2164" s="7" t="s">
        <v>156</v>
      </c>
      <c r="H2164" s="7" t="n">
        <v>4</v>
      </c>
      <c r="I2164" s="7" t="n">
        <v>240</v>
      </c>
      <c r="J2164" s="7" t="n">
        <v>0</v>
      </c>
      <c r="K2164" s="7" t="s">
        <v>93</v>
      </c>
      <c r="L2164" s="7" t="s">
        <v>194</v>
      </c>
      <c r="M2164" s="7" t="n">
        <v>32</v>
      </c>
      <c r="N2164" s="7" t="n">
        <v>3</v>
      </c>
      <c r="O2164" s="7" t="str">
        <f aca="false">A2164&amp;"|"&amp;B2164&amp;"|"&amp;C2164&amp;"|"&amp;D2164&amp;"|"&amp;E2164&amp;"|"&amp;F2164&amp;"|"&amp;G2164&amp;"|"&amp;H2164&amp;"|"&amp;I2164&amp;"|"&amp;J2164&amp;"|"&amp;K2164&amp;"|"&amp;L2164&amp;"|"&amp;M2164&amp;"|"&amp;N2164</f>
        <v>ORD12423|2025-11-01|14:20|C0716|Fit Fuel Kitchen|Ahmedabad|Healthy Food|4|240|0|Credit Card|Delivered|32|3</v>
      </c>
      <c r="P2164" s="7" t="str">
        <f aca="false">IF(COUNTIF($O$2:O2164,O2164)&gt;1,"DUP","OK")</f>
        <v>OK</v>
      </c>
      <c r="Q2164" s="7" t="n">
        <f aca="false">COUNTBLANK(A2164:N2164)</f>
        <v>0</v>
      </c>
      <c r="R2164" s="7" t="n">
        <f aca="false">IF(A2164="",0,COUNTIFS($A$2:$A$3058,A2164,$P$2:$P$3058,"OK"))</f>
        <v>1</v>
      </c>
      <c r="S2164" s="7" t="str">
        <f aca="false">IF(OR(A2164="",P2164="DUP",R2164&lt;2),"",IF(Q2164=_xlfn.MINIFS($Q$2:$Q$3058,$A$2:$A$3058,A2164,$P$2:$P$3058,"OK"),"KEEP","DROP"))</f>
        <v/>
      </c>
      <c r="T2164" s="9" t="n">
        <f aca="false">IF(A2164="",1,0)</f>
        <v>0</v>
      </c>
      <c r="U2164" s="9" t="n">
        <f aca="false">IF(D2164="",1,0)</f>
        <v>0</v>
      </c>
      <c r="V2164" s="9" t="n">
        <f aca="false">IF(E2164="",1,0)</f>
        <v>0</v>
      </c>
      <c r="W2164" s="9" t="n">
        <f aca="false">IF(OR(H2164&lt;1,H2164&gt;10),1,0)</f>
        <v>0</v>
      </c>
      <c r="X2164" s="9" t="n">
        <f aca="false">IF(OR(I2164&lt;=0,I2164&gt;1500),1,0)</f>
        <v>0</v>
      </c>
      <c r="Y2164" s="9" t="n">
        <f aca="false">IF(J2164&gt;H2164*I2164,1,0)</f>
        <v>0</v>
      </c>
      <c r="Z2164" s="9" t="n">
        <f aca="false">IF(AND(N2164&lt;&gt;"",OR(N2164&lt;1,N2164&gt;5)),1,0)</f>
        <v>0</v>
      </c>
      <c r="AA2164" s="9" t="n">
        <f aca="false">IF(AND(M2164&lt;&gt;"",OR(M2164&lt;5,M2164&gt;180)),1,0)</f>
        <v>0</v>
      </c>
      <c r="AB2164" s="7" t="str">
        <f aca="false">IF(P2164="DUP","Exact duplicate row",IF(T2164=1,"Missing Order ID",IF(S2164="DROP","Duplicate Order ID (less complete row)",IF(U2164=1,"Missing Customer ID",IF(V2164=1,"Missing Restaurant name",IF(W2164=1,"Invalid/outlier quantity",IF(X2164=1,"Invalid/outlier unit price",IF(Y2164=1,"Discount greater than order value",""))))))))</f>
        <v/>
      </c>
      <c r="AC2164" s="7" t="str">
        <f aca="false">IF(AB2164="","KEEP","DROP")</f>
        <v>KEEP</v>
      </c>
      <c r="AD2164" s="7" t="str">
        <f aca="false">IF(TRIM(F2164)="",IFERROR(INDEX(Map_Tables!$I$4:$I$37,MATCH(TRIM(E2164),Map_Tables!$G$4:$G$37,0)),""),IFERROR(INDEX(Map_Tables!$B$4:$B$18,MATCH(TRIM(F2164),Map_Tables!$A$4:$A$18,0)),"CHECK"))</f>
        <v>Ahmedabad</v>
      </c>
      <c r="AE2164" s="7" t="str">
        <f aca="false">IF(TRIM(E2164)="","",IFERROR(INDEX(Map_Tables!$H$4:$H$37,MATCH(TRIM(E2164),Map_Tables!$G$4:$G$37,0)),"CHECK"))</f>
        <v>Fit Fuel Kitchen</v>
      </c>
      <c r="AF2164" s="7" t="str">
        <f aca="false">IF(TRIM(K2164)="","Unknown",IFERROR(INDEX(Map_Tables!$E$4:$E$15,MATCH(TRIM(K2164),Map_Tables!$D$4:$D$15,0)),"CHECK"))</f>
        <v>Credit Card</v>
      </c>
      <c r="AG2164" s="7" t="str">
        <f aca="false">IF(LEFT(LOWER(TRIM(L2164)),6)="cancel","Cancelled","Delivered")</f>
        <v>Delivered</v>
      </c>
      <c r="AH2164" s="10" t="n">
        <f aca="false">IF(ISNUMBER(SEARCH("/",B2164)),DATE(VALUE(RIGHT(B2164,4)),VALUE(MID(B2164,4,2)),VALUE(LEFT(B2164,2))),IF(MID(B2164,5,1)="-",DATE(VALUE(LEFT(B2164,4)),VALUE(MID(B2164,6,2)),VALUE(RIGHT(B2164,2))),DATE(VALUE(RIGHT(B2164,4)),MATCH(MID(B2164,4,3),{"Jan","Feb","Mar","Apr","May","Jun","Jul","Aug","Sep","Oct","Nov","Dec"},0),VALUE(LEFT(B2164,2)))))</f>
        <v>45962</v>
      </c>
    </row>
    <row r="2165" customFormat="false" ht="15" hidden="false" customHeight="false" outlineLevel="0" collapsed="false">
      <c r="A2165" s="7" t="s">
        <v>4999</v>
      </c>
      <c r="B2165" s="7" t="s">
        <v>660</v>
      </c>
      <c r="C2165" s="7" t="s">
        <v>2451</v>
      </c>
      <c r="D2165" s="7" t="s">
        <v>5000</v>
      </c>
      <c r="E2165" s="7" t="s">
        <v>138</v>
      </c>
      <c r="F2165" s="7" t="s">
        <v>110</v>
      </c>
      <c r="G2165" s="7" t="s">
        <v>139</v>
      </c>
      <c r="H2165" s="7" t="n">
        <v>5</v>
      </c>
      <c r="I2165" s="7" t="n">
        <v>200</v>
      </c>
      <c r="J2165" s="7" t="n">
        <v>0</v>
      </c>
      <c r="K2165" s="7" t="s">
        <v>93</v>
      </c>
      <c r="L2165" s="7" t="s">
        <v>194</v>
      </c>
      <c r="M2165" s="7" t="n">
        <v>35</v>
      </c>
      <c r="N2165" s="7" t="n">
        <v>4</v>
      </c>
      <c r="O2165" s="7" t="str">
        <f aca="false">A2165&amp;"|"&amp;B2165&amp;"|"&amp;C2165&amp;"|"&amp;D2165&amp;"|"&amp;E2165&amp;"|"&amp;F2165&amp;"|"&amp;G2165&amp;"|"&amp;H2165&amp;"|"&amp;I2165&amp;"|"&amp;J2165&amp;"|"&amp;K2165&amp;"|"&amp;L2165&amp;"|"&amp;M2165&amp;"|"&amp;N2165</f>
        <v>ORD12974|2025-12-29|10:31|C1166|Burger Barn|Delhi|Burgers|5|200|0|Credit Card|Delivered|35|4</v>
      </c>
      <c r="P2165" s="7" t="str">
        <f aca="false">IF(COUNTIF($O$2:O2165,O2165)&gt;1,"DUP","OK")</f>
        <v>OK</v>
      </c>
      <c r="Q2165" s="7" t="n">
        <f aca="false">COUNTBLANK(A2165:N2165)</f>
        <v>0</v>
      </c>
      <c r="R2165" s="7" t="n">
        <f aca="false">IF(A2165="",0,COUNTIFS($A$2:$A$3058,A2165,$P$2:$P$3058,"OK"))</f>
        <v>1</v>
      </c>
      <c r="S2165" s="7" t="str">
        <f aca="false">IF(OR(A2165="",P2165="DUP",R2165&lt;2),"",IF(Q2165=_xlfn.MINIFS($Q$2:$Q$3058,$A$2:$A$3058,A2165,$P$2:$P$3058,"OK"),"KEEP","DROP"))</f>
        <v/>
      </c>
      <c r="T2165" s="9" t="n">
        <f aca="false">IF(A2165="",1,0)</f>
        <v>0</v>
      </c>
      <c r="U2165" s="9" t="n">
        <f aca="false">IF(D2165="",1,0)</f>
        <v>0</v>
      </c>
      <c r="V2165" s="9" t="n">
        <f aca="false">IF(E2165="",1,0)</f>
        <v>0</v>
      </c>
      <c r="W2165" s="9" t="n">
        <f aca="false">IF(OR(H2165&lt;1,H2165&gt;10),1,0)</f>
        <v>0</v>
      </c>
      <c r="X2165" s="9" t="n">
        <f aca="false">IF(OR(I2165&lt;=0,I2165&gt;1500),1,0)</f>
        <v>0</v>
      </c>
      <c r="Y2165" s="9" t="n">
        <f aca="false">IF(J2165&gt;H2165*I2165,1,0)</f>
        <v>0</v>
      </c>
      <c r="Z2165" s="9" t="n">
        <f aca="false">IF(AND(N2165&lt;&gt;"",OR(N2165&lt;1,N2165&gt;5)),1,0)</f>
        <v>0</v>
      </c>
      <c r="AA2165" s="9" t="n">
        <f aca="false">IF(AND(M2165&lt;&gt;"",OR(M2165&lt;5,M2165&gt;180)),1,0)</f>
        <v>0</v>
      </c>
      <c r="AB2165" s="7" t="str">
        <f aca="false">IF(P2165="DUP","Exact duplicate row",IF(T2165=1,"Missing Order ID",IF(S2165="DROP","Duplicate Order ID (less complete row)",IF(U2165=1,"Missing Customer ID",IF(V2165=1,"Missing Restaurant name",IF(W2165=1,"Invalid/outlier quantity",IF(X2165=1,"Invalid/outlier unit price",IF(Y2165=1,"Discount greater than order value",""))))))))</f>
        <v/>
      </c>
      <c r="AC2165" s="7" t="str">
        <f aca="false">IF(AB2165="","KEEP","DROP")</f>
        <v>KEEP</v>
      </c>
      <c r="AD2165" s="7" t="str">
        <f aca="false">IF(TRIM(F2165)="",IFERROR(INDEX(Map_Tables!$I$4:$I$37,MATCH(TRIM(E2165),Map_Tables!$G$4:$G$37,0)),""),IFERROR(INDEX(Map_Tables!$B$4:$B$18,MATCH(TRIM(F2165),Map_Tables!$A$4:$A$18,0)),"CHECK"))</f>
        <v>Delhi</v>
      </c>
      <c r="AE2165" s="7" t="str">
        <f aca="false">IF(TRIM(E2165)="","",IFERROR(INDEX(Map_Tables!$H$4:$H$37,MATCH(TRIM(E2165),Map_Tables!$G$4:$G$37,0)),"CHECK"))</f>
        <v>Burger Barn</v>
      </c>
      <c r="AF2165" s="7" t="str">
        <f aca="false">IF(TRIM(K2165)="","Unknown",IFERROR(INDEX(Map_Tables!$E$4:$E$15,MATCH(TRIM(K2165),Map_Tables!$D$4:$D$15,0)),"CHECK"))</f>
        <v>Credit Card</v>
      </c>
      <c r="AG2165" s="7" t="str">
        <f aca="false">IF(LEFT(LOWER(TRIM(L2165)),6)="cancel","Cancelled","Delivered")</f>
        <v>Delivered</v>
      </c>
      <c r="AH2165" s="10" t="n">
        <f aca="false">IF(ISNUMBER(SEARCH("/",B2165)),DATE(VALUE(RIGHT(B2165,4)),VALUE(MID(B2165,4,2)),VALUE(LEFT(B2165,2))),IF(MID(B2165,5,1)="-",DATE(VALUE(LEFT(B2165,4)),VALUE(MID(B2165,6,2)),VALUE(RIGHT(B2165,2))),DATE(VALUE(RIGHT(B2165,4)),MATCH(MID(B2165,4,3),{"Jan","Feb","Mar","Apr","May","Jun","Jul","Aug","Sep","Oct","Nov","Dec"},0),VALUE(LEFT(B2165,2)))))</f>
        <v>46020</v>
      </c>
    </row>
    <row r="2166" customFormat="false" ht="15" hidden="false" customHeight="false" outlineLevel="0" collapsed="false">
      <c r="A2166" s="7" t="s">
        <v>5001</v>
      </c>
      <c r="B2166" s="7" t="s">
        <v>768</v>
      </c>
      <c r="C2166" s="7" t="s">
        <v>1559</v>
      </c>
      <c r="D2166" s="7" t="s">
        <v>520</v>
      </c>
      <c r="E2166" s="7" t="s">
        <v>3050</v>
      </c>
      <c r="F2166" s="7" t="s">
        <v>86</v>
      </c>
      <c r="G2166" s="7" t="s">
        <v>90</v>
      </c>
      <c r="H2166" s="7" t="n">
        <v>3</v>
      </c>
      <c r="I2166" s="7" t="n">
        <v>245</v>
      </c>
      <c r="J2166" s="7" t="n">
        <v>125</v>
      </c>
      <c r="K2166" s="7" t="s">
        <v>133</v>
      </c>
      <c r="L2166" s="7" t="s">
        <v>194</v>
      </c>
      <c r="M2166" s="7" t="n">
        <v>41</v>
      </c>
      <c r="N2166" s="7"/>
      <c r="O2166" s="7" t="str">
        <f aca="false">A2166&amp;"|"&amp;B2166&amp;"|"&amp;C2166&amp;"|"&amp;D2166&amp;"|"&amp;E2166&amp;"|"&amp;F2166&amp;"|"&amp;G2166&amp;"|"&amp;H2166&amp;"|"&amp;I2166&amp;"|"&amp;J2166&amp;"|"&amp;K2166&amp;"|"&amp;L2166&amp;"|"&amp;M2166&amp;"|"&amp;N2166</f>
        <v>ORD12565|2025-11-15|09:02|C1338|Spice  Junction|Bengaluru|North Indian|3|245|125|Net Banking|Delivered|41|</v>
      </c>
      <c r="P2166" s="7" t="str">
        <f aca="false">IF(COUNTIF($O$2:O2166,O2166)&gt;1,"DUP","OK")</f>
        <v>OK</v>
      </c>
      <c r="Q2166" s="7" t="n">
        <f aca="false">COUNTBLANK(A2166:N2166)</f>
        <v>1</v>
      </c>
      <c r="R2166" s="7" t="n">
        <f aca="false">IF(A2166="",0,COUNTIFS($A$2:$A$3058,A2166,$P$2:$P$3058,"OK"))</f>
        <v>1</v>
      </c>
      <c r="S2166" s="7" t="str">
        <f aca="false">IF(OR(A2166="",P2166="DUP",R2166&lt;2),"",IF(Q2166=_xlfn.MINIFS($Q$2:$Q$3058,$A$2:$A$3058,A2166,$P$2:$P$3058,"OK"),"KEEP","DROP"))</f>
        <v/>
      </c>
      <c r="T2166" s="9" t="n">
        <f aca="false">IF(A2166="",1,0)</f>
        <v>0</v>
      </c>
      <c r="U2166" s="9" t="n">
        <f aca="false">IF(D2166="",1,0)</f>
        <v>0</v>
      </c>
      <c r="V2166" s="9" t="n">
        <f aca="false">IF(E2166="",1,0)</f>
        <v>0</v>
      </c>
      <c r="W2166" s="9" t="n">
        <f aca="false">IF(OR(H2166&lt;1,H2166&gt;10),1,0)</f>
        <v>0</v>
      </c>
      <c r="X2166" s="9" t="n">
        <f aca="false">IF(OR(I2166&lt;=0,I2166&gt;1500),1,0)</f>
        <v>0</v>
      </c>
      <c r="Y2166" s="9" t="n">
        <f aca="false">IF(J2166&gt;H2166*I2166,1,0)</f>
        <v>0</v>
      </c>
      <c r="Z2166" s="9" t="n">
        <f aca="false">IF(AND(N2166&lt;&gt;"",OR(N2166&lt;1,N2166&gt;5)),1,0)</f>
        <v>0</v>
      </c>
      <c r="AA2166" s="9" t="n">
        <f aca="false">IF(AND(M2166&lt;&gt;"",OR(M2166&lt;5,M2166&gt;180)),1,0)</f>
        <v>0</v>
      </c>
      <c r="AB2166" s="7" t="str">
        <f aca="false">IF(P2166="DUP","Exact duplicate row",IF(T2166=1,"Missing Order ID",IF(S2166="DROP","Duplicate Order ID (less complete row)",IF(U2166=1,"Missing Customer ID",IF(V2166=1,"Missing Restaurant name",IF(W2166=1,"Invalid/outlier quantity",IF(X2166=1,"Invalid/outlier unit price",IF(Y2166=1,"Discount greater than order value",""))))))))</f>
        <v/>
      </c>
      <c r="AC2166" s="7" t="str">
        <f aca="false">IF(AB2166="","KEEP","DROP")</f>
        <v>KEEP</v>
      </c>
      <c r="AD2166" s="7" t="str">
        <f aca="false">IF(TRIM(F2166)="",IFERROR(INDEX(Map_Tables!$I$4:$I$37,MATCH(TRIM(E2166),Map_Tables!$G$4:$G$37,0)),""),IFERROR(INDEX(Map_Tables!$B$4:$B$18,MATCH(TRIM(F2166),Map_Tables!$A$4:$A$18,0)),"CHECK"))</f>
        <v>Bengaluru</v>
      </c>
      <c r="AE2166" s="7" t="str">
        <f aca="false">IF(TRIM(E2166)="","",IFERROR(INDEX(Map_Tables!$H$4:$H$37,MATCH(TRIM(E2166),Map_Tables!$G$4:$G$37,0)),"CHECK"))</f>
        <v>Spice Junction</v>
      </c>
      <c r="AF2166" s="7" t="str">
        <f aca="false">IF(TRIM(K2166)="","Unknown",IFERROR(INDEX(Map_Tables!$E$4:$E$15,MATCH(TRIM(K2166),Map_Tables!$D$4:$D$15,0)),"CHECK"))</f>
        <v>Net Banking</v>
      </c>
      <c r="AG2166" s="7" t="str">
        <f aca="false">IF(LEFT(LOWER(TRIM(L2166)),6)="cancel","Cancelled","Delivered")</f>
        <v>Delivered</v>
      </c>
      <c r="AH2166" s="10" t="n">
        <f aca="false">IF(ISNUMBER(SEARCH("/",B2166)),DATE(VALUE(RIGHT(B2166,4)),VALUE(MID(B2166,4,2)),VALUE(LEFT(B2166,2))),IF(MID(B2166,5,1)="-",DATE(VALUE(LEFT(B2166,4)),VALUE(MID(B2166,6,2)),VALUE(RIGHT(B2166,2))),DATE(VALUE(RIGHT(B2166,4)),MATCH(MID(B2166,4,3),{"Jan","Feb","Mar","Apr","May","Jun","Jul","Aug","Sep","Oct","Nov","Dec"},0),VALUE(LEFT(B2166,2)))))</f>
        <v>45976</v>
      </c>
    </row>
    <row r="2167" customFormat="false" ht="15" hidden="false" customHeight="false" outlineLevel="0" collapsed="false">
      <c r="A2167" s="7" t="s">
        <v>5002</v>
      </c>
      <c r="B2167" s="7" t="s">
        <v>2194</v>
      </c>
      <c r="C2167" s="7" t="s">
        <v>1250</v>
      </c>
      <c r="D2167" s="7" t="s">
        <v>5003</v>
      </c>
      <c r="E2167" s="7" t="s">
        <v>126</v>
      </c>
      <c r="F2167" s="7" t="s">
        <v>101</v>
      </c>
      <c r="G2167" s="7" t="s">
        <v>105</v>
      </c>
      <c r="H2167" s="7" t="n">
        <v>2</v>
      </c>
      <c r="I2167" s="7" t="n">
        <v>180</v>
      </c>
      <c r="J2167" s="7" t="n">
        <v>100</v>
      </c>
      <c r="K2167" s="7" t="s">
        <v>93</v>
      </c>
      <c r="L2167" s="7" t="s">
        <v>194</v>
      </c>
      <c r="M2167" s="7" t="n">
        <v>37</v>
      </c>
      <c r="N2167" s="7" t="n">
        <v>4</v>
      </c>
      <c r="O2167" s="7" t="str">
        <f aca="false">A2167&amp;"|"&amp;B2167&amp;"|"&amp;C2167&amp;"|"&amp;D2167&amp;"|"&amp;E2167&amp;"|"&amp;F2167&amp;"|"&amp;G2167&amp;"|"&amp;H2167&amp;"|"&amp;I2167&amp;"|"&amp;J2167&amp;"|"&amp;K2167&amp;"|"&amp;L2167&amp;"|"&amp;M2167&amp;"|"&amp;N2167</f>
        <v>ORD12780|2025-12-06|12:02|C1471|Dragon Express|Mumbai|Chinese|2|180|100|Credit Card|Delivered|37|4</v>
      </c>
      <c r="P2167" s="7" t="str">
        <f aca="false">IF(COUNTIF($O$2:O2167,O2167)&gt;1,"DUP","OK")</f>
        <v>OK</v>
      </c>
      <c r="Q2167" s="7" t="n">
        <f aca="false">COUNTBLANK(A2167:N2167)</f>
        <v>0</v>
      </c>
      <c r="R2167" s="7" t="n">
        <f aca="false">IF(A2167="",0,COUNTIFS($A$2:$A$3058,A2167,$P$2:$P$3058,"OK"))</f>
        <v>1</v>
      </c>
      <c r="S2167" s="7" t="str">
        <f aca="false">IF(OR(A2167="",P2167="DUP",R2167&lt;2),"",IF(Q2167=_xlfn.MINIFS($Q$2:$Q$3058,$A$2:$A$3058,A2167,$P$2:$P$3058,"OK"),"KEEP","DROP"))</f>
        <v/>
      </c>
      <c r="T2167" s="9" t="n">
        <f aca="false">IF(A2167="",1,0)</f>
        <v>0</v>
      </c>
      <c r="U2167" s="9" t="n">
        <f aca="false">IF(D2167="",1,0)</f>
        <v>0</v>
      </c>
      <c r="V2167" s="9" t="n">
        <f aca="false">IF(E2167="",1,0)</f>
        <v>0</v>
      </c>
      <c r="W2167" s="9" t="n">
        <f aca="false">IF(OR(H2167&lt;1,H2167&gt;10),1,0)</f>
        <v>0</v>
      </c>
      <c r="X2167" s="9" t="n">
        <f aca="false">IF(OR(I2167&lt;=0,I2167&gt;1500),1,0)</f>
        <v>0</v>
      </c>
      <c r="Y2167" s="9" t="n">
        <f aca="false">IF(J2167&gt;H2167*I2167,1,0)</f>
        <v>0</v>
      </c>
      <c r="Z2167" s="9" t="n">
        <f aca="false">IF(AND(N2167&lt;&gt;"",OR(N2167&lt;1,N2167&gt;5)),1,0)</f>
        <v>0</v>
      </c>
      <c r="AA2167" s="9" t="n">
        <f aca="false">IF(AND(M2167&lt;&gt;"",OR(M2167&lt;5,M2167&gt;180)),1,0)</f>
        <v>0</v>
      </c>
      <c r="AB2167" s="7" t="str">
        <f aca="false">IF(P2167="DUP","Exact duplicate row",IF(T2167=1,"Missing Order ID",IF(S2167="DROP","Duplicate Order ID (less complete row)",IF(U2167=1,"Missing Customer ID",IF(V2167=1,"Missing Restaurant name",IF(W2167=1,"Invalid/outlier quantity",IF(X2167=1,"Invalid/outlier unit price",IF(Y2167=1,"Discount greater than order value",""))))))))</f>
        <v/>
      </c>
      <c r="AC2167" s="7" t="str">
        <f aca="false">IF(AB2167="","KEEP","DROP")</f>
        <v>KEEP</v>
      </c>
      <c r="AD2167" s="7" t="str">
        <f aca="false">IF(TRIM(F2167)="",IFERROR(INDEX(Map_Tables!$I$4:$I$37,MATCH(TRIM(E2167),Map_Tables!$G$4:$G$37,0)),""),IFERROR(INDEX(Map_Tables!$B$4:$B$18,MATCH(TRIM(F2167),Map_Tables!$A$4:$A$18,0)),"CHECK"))</f>
        <v>Mumbai</v>
      </c>
      <c r="AE2167" s="7" t="str">
        <f aca="false">IF(TRIM(E2167)="","",IFERROR(INDEX(Map_Tables!$H$4:$H$37,MATCH(TRIM(E2167),Map_Tables!$G$4:$G$37,0)),"CHECK"))</f>
        <v>Dragon Express</v>
      </c>
      <c r="AF2167" s="7" t="str">
        <f aca="false">IF(TRIM(K2167)="","Unknown",IFERROR(INDEX(Map_Tables!$E$4:$E$15,MATCH(TRIM(K2167),Map_Tables!$D$4:$D$15,0)),"CHECK"))</f>
        <v>Credit Card</v>
      </c>
      <c r="AG2167" s="7" t="str">
        <f aca="false">IF(LEFT(LOWER(TRIM(L2167)),6)="cancel","Cancelled","Delivered")</f>
        <v>Delivered</v>
      </c>
      <c r="AH2167" s="10" t="n">
        <f aca="false">IF(ISNUMBER(SEARCH("/",B2167)),DATE(VALUE(RIGHT(B2167,4)),VALUE(MID(B2167,4,2)),VALUE(LEFT(B2167,2))),IF(MID(B2167,5,1)="-",DATE(VALUE(LEFT(B2167,4)),VALUE(MID(B2167,6,2)),VALUE(RIGHT(B2167,2))),DATE(VALUE(RIGHT(B2167,4)),MATCH(MID(B2167,4,3),{"Jan","Feb","Mar","Apr","May","Jun","Jul","Aug","Sep","Oct","Nov","Dec"},0),VALUE(LEFT(B2167,2)))))</f>
        <v>45997</v>
      </c>
    </row>
    <row r="2168" customFormat="false" ht="15" hidden="false" customHeight="false" outlineLevel="0" collapsed="false">
      <c r="A2168" s="7" t="s">
        <v>5004</v>
      </c>
      <c r="B2168" s="7" t="s">
        <v>1528</v>
      </c>
      <c r="C2168" s="7" t="s">
        <v>5005</v>
      </c>
      <c r="D2168" s="7" t="s">
        <v>3663</v>
      </c>
      <c r="E2168" s="7" t="s">
        <v>122</v>
      </c>
      <c r="F2168" s="7" t="s">
        <v>101</v>
      </c>
      <c r="G2168" s="7" t="s">
        <v>123</v>
      </c>
      <c r="H2168" s="7" t="n">
        <v>2</v>
      </c>
      <c r="I2168" s="7" t="n">
        <v>370</v>
      </c>
      <c r="J2168" s="7" t="n">
        <v>125</v>
      </c>
      <c r="K2168" s="7" t="s">
        <v>115</v>
      </c>
      <c r="L2168" s="7" t="s">
        <v>194</v>
      </c>
      <c r="M2168" s="7" t="n">
        <v>50</v>
      </c>
      <c r="N2168" s="7" t="n">
        <v>4</v>
      </c>
      <c r="O2168" s="7" t="str">
        <f aca="false">A2168&amp;"|"&amp;B2168&amp;"|"&amp;C2168&amp;"|"&amp;D2168&amp;"|"&amp;E2168&amp;"|"&amp;F2168&amp;"|"&amp;G2168&amp;"|"&amp;H2168&amp;"|"&amp;I2168&amp;"|"&amp;J2168&amp;"|"&amp;K2168&amp;"|"&amp;L2168&amp;"|"&amp;M2168&amp;"|"&amp;N2168</f>
        <v>ORD12456|2025-11-05|01:55|C0156|Mumbai Pizza Co|Mumbai|Pizza|2|370|125|cash on delivery|Delivered|50|4</v>
      </c>
      <c r="P2168" s="7" t="str">
        <f aca="false">IF(COUNTIF($O$2:O2168,O2168)&gt;1,"DUP","OK")</f>
        <v>OK</v>
      </c>
      <c r="Q2168" s="7" t="n">
        <f aca="false">COUNTBLANK(A2168:N2168)</f>
        <v>0</v>
      </c>
      <c r="R2168" s="7" t="n">
        <f aca="false">IF(A2168="",0,COUNTIFS($A$2:$A$3058,A2168,$P$2:$P$3058,"OK"))</f>
        <v>1</v>
      </c>
      <c r="S2168" s="7" t="str">
        <f aca="false">IF(OR(A2168="",P2168="DUP",R2168&lt;2),"",IF(Q2168=_xlfn.MINIFS($Q$2:$Q$3058,$A$2:$A$3058,A2168,$P$2:$P$3058,"OK"),"KEEP","DROP"))</f>
        <v/>
      </c>
      <c r="T2168" s="9" t="n">
        <f aca="false">IF(A2168="",1,0)</f>
        <v>0</v>
      </c>
      <c r="U2168" s="9" t="n">
        <f aca="false">IF(D2168="",1,0)</f>
        <v>0</v>
      </c>
      <c r="V2168" s="9" t="n">
        <f aca="false">IF(E2168="",1,0)</f>
        <v>0</v>
      </c>
      <c r="W2168" s="9" t="n">
        <f aca="false">IF(OR(H2168&lt;1,H2168&gt;10),1,0)</f>
        <v>0</v>
      </c>
      <c r="X2168" s="9" t="n">
        <f aca="false">IF(OR(I2168&lt;=0,I2168&gt;1500),1,0)</f>
        <v>0</v>
      </c>
      <c r="Y2168" s="9" t="n">
        <f aca="false">IF(J2168&gt;H2168*I2168,1,0)</f>
        <v>0</v>
      </c>
      <c r="Z2168" s="9" t="n">
        <f aca="false">IF(AND(N2168&lt;&gt;"",OR(N2168&lt;1,N2168&gt;5)),1,0)</f>
        <v>0</v>
      </c>
      <c r="AA2168" s="9" t="n">
        <f aca="false">IF(AND(M2168&lt;&gt;"",OR(M2168&lt;5,M2168&gt;180)),1,0)</f>
        <v>0</v>
      </c>
      <c r="AB2168" s="7" t="str">
        <f aca="false">IF(P2168="DUP","Exact duplicate row",IF(T2168=1,"Missing Order ID",IF(S2168="DROP","Duplicate Order ID (less complete row)",IF(U2168=1,"Missing Customer ID",IF(V2168=1,"Missing Restaurant name",IF(W2168=1,"Invalid/outlier quantity",IF(X2168=1,"Invalid/outlier unit price",IF(Y2168=1,"Discount greater than order value",""))))))))</f>
        <v/>
      </c>
      <c r="AC2168" s="7" t="str">
        <f aca="false">IF(AB2168="","KEEP","DROP")</f>
        <v>KEEP</v>
      </c>
      <c r="AD2168" s="7" t="str">
        <f aca="false">IF(TRIM(F2168)="",IFERROR(INDEX(Map_Tables!$I$4:$I$37,MATCH(TRIM(E2168),Map_Tables!$G$4:$G$37,0)),""),IFERROR(INDEX(Map_Tables!$B$4:$B$18,MATCH(TRIM(F2168),Map_Tables!$A$4:$A$18,0)),"CHECK"))</f>
        <v>Mumbai</v>
      </c>
      <c r="AE2168" s="7" t="str">
        <f aca="false">IF(TRIM(E2168)="","",IFERROR(INDEX(Map_Tables!$H$4:$H$37,MATCH(TRIM(E2168),Map_Tables!$G$4:$G$37,0)),"CHECK"))</f>
        <v>Mumbai Pizza Co</v>
      </c>
      <c r="AF2168" s="7" t="str">
        <f aca="false">IF(TRIM(K2168)="","Unknown",IFERROR(INDEX(Map_Tables!$E$4:$E$15,MATCH(TRIM(K2168),Map_Tables!$D$4:$D$15,0)),"CHECK"))</f>
        <v>Cash on Delivery</v>
      </c>
      <c r="AG2168" s="7" t="str">
        <f aca="false">IF(LEFT(LOWER(TRIM(L2168)),6)="cancel","Cancelled","Delivered")</f>
        <v>Delivered</v>
      </c>
      <c r="AH2168" s="10" t="n">
        <f aca="false">IF(ISNUMBER(SEARCH("/",B2168)),DATE(VALUE(RIGHT(B2168,4)),VALUE(MID(B2168,4,2)),VALUE(LEFT(B2168,2))),IF(MID(B2168,5,1)="-",DATE(VALUE(LEFT(B2168,4)),VALUE(MID(B2168,6,2)),VALUE(RIGHT(B2168,2))),DATE(VALUE(RIGHT(B2168,4)),MATCH(MID(B2168,4,3),{"Jan","Feb","Mar","Apr","May","Jun","Jul","Aug","Sep","Oct","Nov","Dec"},0),VALUE(LEFT(B2168,2)))))</f>
        <v>45966</v>
      </c>
    </row>
    <row r="2169" customFormat="false" ht="15" hidden="false" customHeight="false" outlineLevel="0" collapsed="false">
      <c r="A2169" s="7" t="s">
        <v>5006</v>
      </c>
      <c r="B2169" s="7" t="s">
        <v>1029</v>
      </c>
      <c r="C2169" s="7" t="s">
        <v>585</v>
      </c>
      <c r="D2169" s="7" t="s">
        <v>5007</v>
      </c>
      <c r="E2169" s="7" t="s">
        <v>98</v>
      </c>
      <c r="F2169" s="7" t="s">
        <v>785</v>
      </c>
      <c r="G2169" s="7" t="s">
        <v>99</v>
      </c>
      <c r="H2169" s="7" t="n">
        <v>1</v>
      </c>
      <c r="I2169" s="7" t="n">
        <v>265</v>
      </c>
      <c r="J2169" s="7" t="n">
        <v>106</v>
      </c>
      <c r="K2169" s="7" t="s">
        <v>112</v>
      </c>
      <c r="L2169" s="7" t="s">
        <v>194</v>
      </c>
      <c r="M2169" s="7" t="n">
        <v>40</v>
      </c>
      <c r="N2169" s="7" t="n">
        <v>5</v>
      </c>
      <c r="O2169" s="7" t="str">
        <f aca="false">A2169&amp;"|"&amp;B2169&amp;"|"&amp;C2169&amp;"|"&amp;D2169&amp;"|"&amp;E2169&amp;"|"&amp;F2169&amp;"|"&amp;G2169&amp;"|"&amp;H2169&amp;"|"&amp;I2169&amp;"|"&amp;J2169&amp;"|"&amp;K2169&amp;"|"&amp;L2169&amp;"|"&amp;M2169&amp;"|"&amp;N2169</f>
        <v>ORD10317|2025-02-11|21:34|C0144|Nawabi Biryani House|Bengaluru |Biryani|1|265|106|Cash on Delivery|Delivered|40|5</v>
      </c>
      <c r="P2169" s="7" t="str">
        <f aca="false">IF(COUNTIF($O$2:O2169,O2169)&gt;1,"DUP","OK")</f>
        <v>OK</v>
      </c>
      <c r="Q2169" s="7" t="n">
        <f aca="false">COUNTBLANK(A2169:N2169)</f>
        <v>0</v>
      </c>
      <c r="R2169" s="7" t="n">
        <f aca="false">IF(A2169="",0,COUNTIFS($A$2:$A$3058,A2169,$P$2:$P$3058,"OK"))</f>
        <v>1</v>
      </c>
      <c r="S2169" s="7" t="str">
        <f aca="false">IF(OR(A2169="",P2169="DUP",R2169&lt;2),"",IF(Q2169=_xlfn.MINIFS($Q$2:$Q$3058,$A$2:$A$3058,A2169,$P$2:$P$3058,"OK"),"KEEP","DROP"))</f>
        <v/>
      </c>
      <c r="T2169" s="9" t="n">
        <f aca="false">IF(A2169="",1,0)</f>
        <v>0</v>
      </c>
      <c r="U2169" s="9" t="n">
        <f aca="false">IF(D2169="",1,0)</f>
        <v>0</v>
      </c>
      <c r="V2169" s="9" t="n">
        <f aca="false">IF(E2169="",1,0)</f>
        <v>0</v>
      </c>
      <c r="W2169" s="9" t="n">
        <f aca="false">IF(OR(H2169&lt;1,H2169&gt;10),1,0)</f>
        <v>0</v>
      </c>
      <c r="X2169" s="9" t="n">
        <f aca="false">IF(OR(I2169&lt;=0,I2169&gt;1500),1,0)</f>
        <v>0</v>
      </c>
      <c r="Y2169" s="9" t="n">
        <f aca="false">IF(J2169&gt;H2169*I2169,1,0)</f>
        <v>0</v>
      </c>
      <c r="Z2169" s="9" t="n">
        <f aca="false">IF(AND(N2169&lt;&gt;"",OR(N2169&lt;1,N2169&gt;5)),1,0)</f>
        <v>0</v>
      </c>
      <c r="AA2169" s="9" t="n">
        <f aca="false">IF(AND(M2169&lt;&gt;"",OR(M2169&lt;5,M2169&gt;180)),1,0)</f>
        <v>0</v>
      </c>
      <c r="AB2169" s="7" t="str">
        <f aca="false">IF(P2169="DUP","Exact duplicate row",IF(T2169=1,"Missing Order ID",IF(S2169="DROP","Duplicate Order ID (less complete row)",IF(U2169=1,"Missing Customer ID",IF(V2169=1,"Missing Restaurant name",IF(W2169=1,"Invalid/outlier quantity",IF(X2169=1,"Invalid/outlier unit price",IF(Y2169=1,"Discount greater than order value",""))))))))</f>
        <v/>
      </c>
      <c r="AC2169" s="7" t="str">
        <f aca="false">IF(AB2169="","KEEP","DROP")</f>
        <v>KEEP</v>
      </c>
      <c r="AD2169" s="7" t="str">
        <f aca="false">IF(TRIM(F2169)="",IFERROR(INDEX(Map_Tables!$I$4:$I$37,MATCH(TRIM(E2169),Map_Tables!$G$4:$G$37,0)),""),IFERROR(INDEX(Map_Tables!$B$4:$B$18,MATCH(TRIM(F2169),Map_Tables!$A$4:$A$18,0)),"CHECK"))</f>
        <v>Bengaluru</v>
      </c>
      <c r="AE2169" s="7" t="str">
        <f aca="false">IF(TRIM(E2169)="","",IFERROR(INDEX(Map_Tables!$H$4:$H$37,MATCH(TRIM(E2169),Map_Tables!$G$4:$G$37,0)),"CHECK"))</f>
        <v>Nawabi Biryani House</v>
      </c>
      <c r="AF2169" s="7" t="str">
        <f aca="false">IF(TRIM(K2169)="","Unknown",IFERROR(INDEX(Map_Tables!$E$4:$E$15,MATCH(TRIM(K2169),Map_Tables!$D$4:$D$15,0)),"CHECK"))</f>
        <v>Cash on Delivery</v>
      </c>
      <c r="AG2169" s="7" t="str">
        <f aca="false">IF(LEFT(LOWER(TRIM(L2169)),6)="cancel","Cancelled","Delivered")</f>
        <v>Delivered</v>
      </c>
      <c r="AH2169" s="10" t="n">
        <f aca="false">IF(ISNUMBER(SEARCH("/",B2169)),DATE(VALUE(RIGHT(B2169,4)),VALUE(MID(B2169,4,2)),VALUE(LEFT(B2169,2))),IF(MID(B2169,5,1)="-",DATE(VALUE(LEFT(B2169,4)),VALUE(MID(B2169,6,2)),VALUE(RIGHT(B2169,2))),DATE(VALUE(RIGHT(B2169,4)),MATCH(MID(B2169,4,3),{"Jan","Feb","Mar","Apr","May","Jun","Jul","Aug","Sep","Oct","Nov","Dec"},0),VALUE(LEFT(B2169,2)))))</f>
        <v>45699</v>
      </c>
    </row>
    <row r="2170" customFormat="false" ht="15" hidden="false" customHeight="false" outlineLevel="0" collapsed="false">
      <c r="A2170" s="7" t="s">
        <v>5008</v>
      </c>
      <c r="B2170" s="7" t="s">
        <v>1304</v>
      </c>
      <c r="C2170" s="7" t="s">
        <v>4516</v>
      </c>
      <c r="D2170" s="7" t="s">
        <v>3871</v>
      </c>
      <c r="E2170" s="7" t="s">
        <v>126</v>
      </c>
      <c r="F2170" s="7" t="s">
        <v>101</v>
      </c>
      <c r="G2170" s="7" t="s">
        <v>105</v>
      </c>
      <c r="H2170" s="7" t="n">
        <v>1</v>
      </c>
      <c r="I2170" s="7" t="n">
        <v>155</v>
      </c>
      <c r="J2170" s="7" t="n">
        <v>0</v>
      </c>
      <c r="K2170" s="7" t="s">
        <v>112</v>
      </c>
      <c r="L2170" s="7" t="s">
        <v>194</v>
      </c>
      <c r="M2170" s="7" t="n">
        <v>53</v>
      </c>
      <c r="N2170" s="7" t="n">
        <v>4</v>
      </c>
      <c r="O2170" s="7" t="str">
        <f aca="false">A2170&amp;"|"&amp;B2170&amp;"|"&amp;C2170&amp;"|"&amp;D2170&amp;"|"&amp;E2170&amp;"|"&amp;F2170&amp;"|"&amp;G2170&amp;"|"&amp;H2170&amp;"|"&amp;I2170&amp;"|"&amp;J2170&amp;"|"&amp;K2170&amp;"|"&amp;L2170&amp;"|"&amp;M2170&amp;"|"&amp;N2170</f>
        <v>ORD11795|2025-08-22|12:41|C0550|Dragon Express|Mumbai|Chinese|1|155|0|Cash on Delivery|Delivered|53|4</v>
      </c>
      <c r="P2170" s="7" t="str">
        <f aca="false">IF(COUNTIF($O$2:O2170,O2170)&gt;1,"DUP","OK")</f>
        <v>OK</v>
      </c>
      <c r="Q2170" s="7" t="n">
        <f aca="false">COUNTBLANK(A2170:N2170)</f>
        <v>0</v>
      </c>
      <c r="R2170" s="7" t="n">
        <f aca="false">IF(A2170="",0,COUNTIFS($A$2:$A$3058,A2170,$P$2:$P$3058,"OK"))</f>
        <v>1</v>
      </c>
      <c r="S2170" s="7" t="str">
        <f aca="false">IF(OR(A2170="",P2170="DUP",R2170&lt;2),"",IF(Q2170=_xlfn.MINIFS($Q$2:$Q$3058,$A$2:$A$3058,A2170,$P$2:$P$3058,"OK"),"KEEP","DROP"))</f>
        <v/>
      </c>
      <c r="T2170" s="9" t="n">
        <f aca="false">IF(A2170="",1,0)</f>
        <v>0</v>
      </c>
      <c r="U2170" s="9" t="n">
        <f aca="false">IF(D2170="",1,0)</f>
        <v>0</v>
      </c>
      <c r="V2170" s="9" t="n">
        <f aca="false">IF(E2170="",1,0)</f>
        <v>0</v>
      </c>
      <c r="W2170" s="9" t="n">
        <f aca="false">IF(OR(H2170&lt;1,H2170&gt;10),1,0)</f>
        <v>0</v>
      </c>
      <c r="X2170" s="9" t="n">
        <f aca="false">IF(OR(I2170&lt;=0,I2170&gt;1500),1,0)</f>
        <v>0</v>
      </c>
      <c r="Y2170" s="9" t="n">
        <f aca="false">IF(J2170&gt;H2170*I2170,1,0)</f>
        <v>0</v>
      </c>
      <c r="Z2170" s="9" t="n">
        <f aca="false">IF(AND(N2170&lt;&gt;"",OR(N2170&lt;1,N2170&gt;5)),1,0)</f>
        <v>0</v>
      </c>
      <c r="AA2170" s="9" t="n">
        <f aca="false">IF(AND(M2170&lt;&gt;"",OR(M2170&lt;5,M2170&gt;180)),1,0)</f>
        <v>0</v>
      </c>
      <c r="AB2170" s="7" t="str">
        <f aca="false">IF(P2170="DUP","Exact duplicate row",IF(T2170=1,"Missing Order ID",IF(S2170="DROP","Duplicate Order ID (less complete row)",IF(U2170=1,"Missing Customer ID",IF(V2170=1,"Missing Restaurant name",IF(W2170=1,"Invalid/outlier quantity",IF(X2170=1,"Invalid/outlier unit price",IF(Y2170=1,"Discount greater than order value",""))))))))</f>
        <v/>
      </c>
      <c r="AC2170" s="7" t="str">
        <f aca="false">IF(AB2170="","KEEP","DROP")</f>
        <v>KEEP</v>
      </c>
      <c r="AD2170" s="7" t="str">
        <f aca="false">IF(TRIM(F2170)="",IFERROR(INDEX(Map_Tables!$I$4:$I$37,MATCH(TRIM(E2170),Map_Tables!$G$4:$G$37,0)),""),IFERROR(INDEX(Map_Tables!$B$4:$B$18,MATCH(TRIM(F2170),Map_Tables!$A$4:$A$18,0)),"CHECK"))</f>
        <v>Mumbai</v>
      </c>
      <c r="AE2170" s="7" t="str">
        <f aca="false">IF(TRIM(E2170)="","",IFERROR(INDEX(Map_Tables!$H$4:$H$37,MATCH(TRIM(E2170),Map_Tables!$G$4:$G$37,0)),"CHECK"))</f>
        <v>Dragon Express</v>
      </c>
      <c r="AF2170" s="7" t="str">
        <f aca="false">IF(TRIM(K2170)="","Unknown",IFERROR(INDEX(Map_Tables!$E$4:$E$15,MATCH(TRIM(K2170),Map_Tables!$D$4:$D$15,0)),"CHECK"))</f>
        <v>Cash on Delivery</v>
      </c>
      <c r="AG2170" s="7" t="str">
        <f aca="false">IF(LEFT(LOWER(TRIM(L2170)),6)="cancel","Cancelled","Delivered")</f>
        <v>Delivered</v>
      </c>
      <c r="AH2170" s="10" t="n">
        <f aca="false">IF(ISNUMBER(SEARCH("/",B2170)),DATE(VALUE(RIGHT(B2170,4)),VALUE(MID(B2170,4,2)),VALUE(LEFT(B2170,2))),IF(MID(B2170,5,1)="-",DATE(VALUE(LEFT(B2170,4)),VALUE(MID(B2170,6,2)),VALUE(RIGHT(B2170,2))),DATE(VALUE(RIGHT(B2170,4)),MATCH(MID(B2170,4,3),{"Jan","Feb","Mar","Apr","May","Jun","Jul","Aug","Sep","Oct","Nov","Dec"},0),VALUE(LEFT(B2170,2)))))</f>
        <v>45891</v>
      </c>
    </row>
    <row r="2171" customFormat="false" ht="15" hidden="false" customHeight="false" outlineLevel="0" collapsed="false">
      <c r="A2171" s="7" t="s">
        <v>5009</v>
      </c>
      <c r="B2171" s="7" t="s">
        <v>4973</v>
      </c>
      <c r="C2171" s="7" t="s">
        <v>3437</v>
      </c>
      <c r="D2171" s="7" t="s">
        <v>4173</v>
      </c>
      <c r="E2171" s="7" t="s">
        <v>122</v>
      </c>
      <c r="F2171" s="7" t="s">
        <v>101</v>
      </c>
      <c r="G2171" s="7" t="s">
        <v>123</v>
      </c>
      <c r="H2171" s="7" t="n">
        <v>3</v>
      </c>
      <c r="I2171" s="7" t="n">
        <v>415</v>
      </c>
      <c r="J2171" s="7" t="n">
        <v>40</v>
      </c>
      <c r="K2171" s="7" t="s">
        <v>133</v>
      </c>
      <c r="L2171" s="7" t="s">
        <v>194</v>
      </c>
      <c r="M2171" s="7" t="n">
        <v>47</v>
      </c>
      <c r="N2171" s="7" t="n">
        <v>4</v>
      </c>
      <c r="O2171" s="7" t="str">
        <f aca="false">A2171&amp;"|"&amp;B2171&amp;"|"&amp;C2171&amp;"|"&amp;D2171&amp;"|"&amp;E2171&amp;"|"&amp;F2171&amp;"|"&amp;G2171&amp;"|"&amp;H2171&amp;"|"&amp;I2171&amp;"|"&amp;J2171&amp;"|"&amp;K2171&amp;"|"&amp;L2171&amp;"|"&amp;M2171&amp;"|"&amp;N2171</f>
        <v>ORD10272|2025-02-06|08:53|C0567|Mumbai Pizza Co|Mumbai|Pizza|3|415|40|Net Banking|Delivered|47|4</v>
      </c>
      <c r="P2171" s="7" t="str">
        <f aca="false">IF(COUNTIF($O$2:O2171,O2171)&gt;1,"DUP","OK")</f>
        <v>OK</v>
      </c>
      <c r="Q2171" s="7" t="n">
        <f aca="false">COUNTBLANK(A2171:N2171)</f>
        <v>0</v>
      </c>
      <c r="R2171" s="7" t="n">
        <f aca="false">IF(A2171="",0,COUNTIFS($A$2:$A$3058,A2171,$P$2:$P$3058,"OK"))</f>
        <v>1</v>
      </c>
      <c r="S2171" s="7" t="str">
        <f aca="false">IF(OR(A2171="",P2171="DUP",R2171&lt;2),"",IF(Q2171=_xlfn.MINIFS($Q$2:$Q$3058,$A$2:$A$3058,A2171,$P$2:$P$3058,"OK"),"KEEP","DROP"))</f>
        <v/>
      </c>
      <c r="T2171" s="9" t="n">
        <f aca="false">IF(A2171="",1,0)</f>
        <v>0</v>
      </c>
      <c r="U2171" s="9" t="n">
        <f aca="false">IF(D2171="",1,0)</f>
        <v>0</v>
      </c>
      <c r="V2171" s="9" t="n">
        <f aca="false">IF(E2171="",1,0)</f>
        <v>0</v>
      </c>
      <c r="W2171" s="9" t="n">
        <f aca="false">IF(OR(H2171&lt;1,H2171&gt;10),1,0)</f>
        <v>0</v>
      </c>
      <c r="X2171" s="9" t="n">
        <f aca="false">IF(OR(I2171&lt;=0,I2171&gt;1500),1,0)</f>
        <v>0</v>
      </c>
      <c r="Y2171" s="9" t="n">
        <f aca="false">IF(J2171&gt;H2171*I2171,1,0)</f>
        <v>0</v>
      </c>
      <c r="Z2171" s="9" t="n">
        <f aca="false">IF(AND(N2171&lt;&gt;"",OR(N2171&lt;1,N2171&gt;5)),1,0)</f>
        <v>0</v>
      </c>
      <c r="AA2171" s="9" t="n">
        <f aca="false">IF(AND(M2171&lt;&gt;"",OR(M2171&lt;5,M2171&gt;180)),1,0)</f>
        <v>0</v>
      </c>
      <c r="AB2171" s="7" t="str">
        <f aca="false">IF(P2171="DUP","Exact duplicate row",IF(T2171=1,"Missing Order ID",IF(S2171="DROP","Duplicate Order ID (less complete row)",IF(U2171=1,"Missing Customer ID",IF(V2171=1,"Missing Restaurant name",IF(W2171=1,"Invalid/outlier quantity",IF(X2171=1,"Invalid/outlier unit price",IF(Y2171=1,"Discount greater than order value",""))))))))</f>
        <v/>
      </c>
      <c r="AC2171" s="7" t="str">
        <f aca="false">IF(AB2171="","KEEP","DROP")</f>
        <v>KEEP</v>
      </c>
      <c r="AD2171" s="7" t="str">
        <f aca="false">IF(TRIM(F2171)="",IFERROR(INDEX(Map_Tables!$I$4:$I$37,MATCH(TRIM(E2171),Map_Tables!$G$4:$G$37,0)),""),IFERROR(INDEX(Map_Tables!$B$4:$B$18,MATCH(TRIM(F2171),Map_Tables!$A$4:$A$18,0)),"CHECK"))</f>
        <v>Mumbai</v>
      </c>
      <c r="AE2171" s="7" t="str">
        <f aca="false">IF(TRIM(E2171)="","",IFERROR(INDEX(Map_Tables!$H$4:$H$37,MATCH(TRIM(E2171),Map_Tables!$G$4:$G$37,0)),"CHECK"))</f>
        <v>Mumbai Pizza Co</v>
      </c>
      <c r="AF2171" s="7" t="str">
        <f aca="false">IF(TRIM(K2171)="","Unknown",IFERROR(INDEX(Map_Tables!$E$4:$E$15,MATCH(TRIM(K2171),Map_Tables!$D$4:$D$15,0)),"CHECK"))</f>
        <v>Net Banking</v>
      </c>
      <c r="AG2171" s="7" t="str">
        <f aca="false">IF(LEFT(LOWER(TRIM(L2171)),6)="cancel","Cancelled","Delivered")</f>
        <v>Delivered</v>
      </c>
      <c r="AH2171" s="10" t="n">
        <f aca="false">IF(ISNUMBER(SEARCH("/",B2171)),DATE(VALUE(RIGHT(B2171,4)),VALUE(MID(B2171,4,2)),VALUE(LEFT(B2171,2))),IF(MID(B2171,5,1)="-",DATE(VALUE(LEFT(B2171,4)),VALUE(MID(B2171,6,2)),VALUE(RIGHT(B2171,2))),DATE(VALUE(RIGHT(B2171,4)),MATCH(MID(B2171,4,3),{"Jan","Feb","Mar","Apr","May","Jun","Jul","Aug","Sep","Oct","Nov","Dec"},0),VALUE(LEFT(B2171,2)))))</f>
        <v>45694</v>
      </c>
    </row>
    <row r="2172" customFormat="false" ht="15" hidden="false" customHeight="false" outlineLevel="0" collapsed="false">
      <c r="A2172" s="7" t="s">
        <v>5010</v>
      </c>
      <c r="B2172" s="7" t="s">
        <v>1160</v>
      </c>
      <c r="C2172" s="7" t="s">
        <v>3247</v>
      </c>
      <c r="D2172" s="7" t="s">
        <v>4244</v>
      </c>
      <c r="E2172" s="7" t="s">
        <v>94</v>
      </c>
      <c r="F2172" s="7" t="s">
        <v>86</v>
      </c>
      <c r="G2172" s="7" t="s">
        <v>95</v>
      </c>
      <c r="H2172" s="7" t="n">
        <v>3</v>
      </c>
      <c r="I2172" s="7" t="n">
        <v>105</v>
      </c>
      <c r="J2172" s="7" t="n">
        <v>100</v>
      </c>
      <c r="K2172" s="7" t="s">
        <v>102</v>
      </c>
      <c r="L2172" s="7" t="s">
        <v>194</v>
      </c>
      <c r="M2172" s="7" t="n">
        <v>38</v>
      </c>
      <c r="N2172" s="7" t="n">
        <v>4</v>
      </c>
      <c r="O2172" s="7" t="str">
        <f aca="false">A2172&amp;"|"&amp;B2172&amp;"|"&amp;C2172&amp;"|"&amp;D2172&amp;"|"&amp;E2172&amp;"|"&amp;F2172&amp;"|"&amp;G2172&amp;"|"&amp;H2172&amp;"|"&amp;I2172&amp;"|"&amp;J2172&amp;"|"&amp;K2172&amp;"|"&amp;L2172&amp;"|"&amp;M2172&amp;"|"&amp;N2172</f>
        <v>ORD10549|2025-03-11|19:12|C0356|Dosa Darbar|Bengaluru|South Indian|3|105|100|debit card|Delivered|38|4</v>
      </c>
      <c r="P2172" s="7" t="str">
        <f aca="false">IF(COUNTIF($O$2:O2172,O2172)&gt;1,"DUP","OK")</f>
        <v>OK</v>
      </c>
      <c r="Q2172" s="7" t="n">
        <f aca="false">COUNTBLANK(A2172:N2172)</f>
        <v>0</v>
      </c>
      <c r="R2172" s="7" t="n">
        <f aca="false">IF(A2172="",0,COUNTIFS($A$2:$A$3058,A2172,$P$2:$P$3058,"OK"))</f>
        <v>1</v>
      </c>
      <c r="S2172" s="7" t="str">
        <f aca="false">IF(OR(A2172="",P2172="DUP",R2172&lt;2),"",IF(Q2172=_xlfn.MINIFS($Q$2:$Q$3058,$A$2:$A$3058,A2172,$P$2:$P$3058,"OK"),"KEEP","DROP"))</f>
        <v/>
      </c>
      <c r="T2172" s="9" t="n">
        <f aca="false">IF(A2172="",1,0)</f>
        <v>0</v>
      </c>
      <c r="U2172" s="9" t="n">
        <f aca="false">IF(D2172="",1,0)</f>
        <v>0</v>
      </c>
      <c r="V2172" s="9" t="n">
        <f aca="false">IF(E2172="",1,0)</f>
        <v>0</v>
      </c>
      <c r="W2172" s="9" t="n">
        <f aca="false">IF(OR(H2172&lt;1,H2172&gt;10),1,0)</f>
        <v>0</v>
      </c>
      <c r="X2172" s="9" t="n">
        <f aca="false">IF(OR(I2172&lt;=0,I2172&gt;1500),1,0)</f>
        <v>0</v>
      </c>
      <c r="Y2172" s="9" t="n">
        <f aca="false">IF(J2172&gt;H2172*I2172,1,0)</f>
        <v>0</v>
      </c>
      <c r="Z2172" s="9" t="n">
        <f aca="false">IF(AND(N2172&lt;&gt;"",OR(N2172&lt;1,N2172&gt;5)),1,0)</f>
        <v>0</v>
      </c>
      <c r="AA2172" s="9" t="n">
        <f aca="false">IF(AND(M2172&lt;&gt;"",OR(M2172&lt;5,M2172&gt;180)),1,0)</f>
        <v>0</v>
      </c>
      <c r="AB2172" s="7" t="str">
        <f aca="false">IF(P2172="DUP","Exact duplicate row",IF(T2172=1,"Missing Order ID",IF(S2172="DROP","Duplicate Order ID (less complete row)",IF(U2172=1,"Missing Customer ID",IF(V2172=1,"Missing Restaurant name",IF(W2172=1,"Invalid/outlier quantity",IF(X2172=1,"Invalid/outlier unit price",IF(Y2172=1,"Discount greater than order value",""))))))))</f>
        <v/>
      </c>
      <c r="AC2172" s="7" t="str">
        <f aca="false">IF(AB2172="","KEEP","DROP")</f>
        <v>KEEP</v>
      </c>
      <c r="AD2172" s="7" t="str">
        <f aca="false">IF(TRIM(F2172)="",IFERROR(INDEX(Map_Tables!$I$4:$I$37,MATCH(TRIM(E2172),Map_Tables!$G$4:$G$37,0)),""),IFERROR(INDEX(Map_Tables!$B$4:$B$18,MATCH(TRIM(F2172),Map_Tables!$A$4:$A$18,0)),"CHECK"))</f>
        <v>Bengaluru</v>
      </c>
      <c r="AE2172" s="7" t="str">
        <f aca="false">IF(TRIM(E2172)="","",IFERROR(INDEX(Map_Tables!$H$4:$H$37,MATCH(TRIM(E2172),Map_Tables!$G$4:$G$37,0)),"CHECK"))</f>
        <v>Dosa Darbar</v>
      </c>
      <c r="AF2172" s="7" t="str">
        <f aca="false">IF(TRIM(K2172)="","Unknown",IFERROR(INDEX(Map_Tables!$E$4:$E$15,MATCH(TRIM(K2172),Map_Tables!$D$4:$D$15,0)),"CHECK"))</f>
        <v>Debit Card</v>
      </c>
      <c r="AG2172" s="7" t="str">
        <f aca="false">IF(LEFT(LOWER(TRIM(L2172)),6)="cancel","Cancelled","Delivered")</f>
        <v>Delivered</v>
      </c>
      <c r="AH2172" s="10" t="n">
        <f aca="false">IF(ISNUMBER(SEARCH("/",B2172)),DATE(VALUE(RIGHT(B2172,4)),VALUE(MID(B2172,4,2)),VALUE(LEFT(B2172,2))),IF(MID(B2172,5,1)="-",DATE(VALUE(LEFT(B2172,4)),VALUE(MID(B2172,6,2)),VALUE(RIGHT(B2172,2))),DATE(VALUE(RIGHT(B2172,4)),MATCH(MID(B2172,4,3),{"Jan","Feb","Mar","Apr","May","Jun","Jul","Aug","Sep","Oct","Nov","Dec"},0),VALUE(LEFT(B2172,2)))))</f>
        <v>45727</v>
      </c>
    </row>
    <row r="2173" customFormat="false" ht="15" hidden="false" customHeight="false" outlineLevel="0" collapsed="false">
      <c r="A2173" s="7" t="s">
        <v>5011</v>
      </c>
      <c r="B2173" s="7" t="s">
        <v>4162</v>
      </c>
      <c r="C2173" s="7" t="s">
        <v>5012</v>
      </c>
      <c r="D2173" s="7" t="s">
        <v>2639</v>
      </c>
      <c r="E2173" s="7" t="s">
        <v>5013</v>
      </c>
      <c r="F2173" s="7" t="s">
        <v>136</v>
      </c>
      <c r="G2173" s="7" t="s">
        <v>150</v>
      </c>
      <c r="H2173" s="7" t="n">
        <v>5</v>
      </c>
      <c r="I2173" s="7" t="n">
        <v>190</v>
      </c>
      <c r="J2173" s="7" t="n">
        <v>40</v>
      </c>
      <c r="K2173" s="7" t="s">
        <v>93</v>
      </c>
      <c r="L2173" s="7" t="s">
        <v>194</v>
      </c>
      <c r="M2173" s="7" t="n">
        <v>30</v>
      </c>
      <c r="N2173" s="7" t="n">
        <v>5</v>
      </c>
      <c r="O2173" s="7" t="str">
        <f aca="false">A2173&amp;"|"&amp;B2173&amp;"|"&amp;C2173&amp;"|"&amp;D2173&amp;"|"&amp;E2173&amp;"|"&amp;F2173&amp;"|"&amp;G2173&amp;"|"&amp;H2173&amp;"|"&amp;I2173&amp;"|"&amp;J2173&amp;"|"&amp;K2173&amp;"|"&amp;L2173&amp;"|"&amp;M2173&amp;"|"&amp;N2173</f>
        <v>ORD11693|2025-08-10|08:49|C0408| Cake Walk|Pune|Desserts|5|190|40|Credit Card|Delivered|30|5</v>
      </c>
      <c r="P2173" s="7" t="str">
        <f aca="false">IF(COUNTIF($O$2:O2173,O2173)&gt;1,"DUP","OK")</f>
        <v>OK</v>
      </c>
      <c r="Q2173" s="7" t="n">
        <f aca="false">COUNTBLANK(A2173:N2173)</f>
        <v>0</v>
      </c>
      <c r="R2173" s="7" t="n">
        <f aca="false">IF(A2173="",0,COUNTIFS($A$2:$A$3058,A2173,$P$2:$P$3058,"OK"))</f>
        <v>1</v>
      </c>
      <c r="S2173" s="7" t="str">
        <f aca="false">IF(OR(A2173="",P2173="DUP",R2173&lt;2),"",IF(Q2173=_xlfn.MINIFS($Q$2:$Q$3058,$A$2:$A$3058,A2173,$P$2:$P$3058,"OK"),"KEEP","DROP"))</f>
        <v/>
      </c>
      <c r="T2173" s="9" t="n">
        <f aca="false">IF(A2173="",1,0)</f>
        <v>0</v>
      </c>
      <c r="U2173" s="9" t="n">
        <f aca="false">IF(D2173="",1,0)</f>
        <v>0</v>
      </c>
      <c r="V2173" s="9" t="n">
        <f aca="false">IF(E2173="",1,0)</f>
        <v>0</v>
      </c>
      <c r="W2173" s="9" t="n">
        <f aca="false">IF(OR(H2173&lt;1,H2173&gt;10),1,0)</f>
        <v>0</v>
      </c>
      <c r="X2173" s="9" t="n">
        <f aca="false">IF(OR(I2173&lt;=0,I2173&gt;1500),1,0)</f>
        <v>0</v>
      </c>
      <c r="Y2173" s="9" t="n">
        <f aca="false">IF(J2173&gt;H2173*I2173,1,0)</f>
        <v>0</v>
      </c>
      <c r="Z2173" s="9" t="n">
        <f aca="false">IF(AND(N2173&lt;&gt;"",OR(N2173&lt;1,N2173&gt;5)),1,0)</f>
        <v>0</v>
      </c>
      <c r="AA2173" s="9" t="n">
        <f aca="false">IF(AND(M2173&lt;&gt;"",OR(M2173&lt;5,M2173&gt;180)),1,0)</f>
        <v>0</v>
      </c>
      <c r="AB2173" s="7" t="str">
        <f aca="false">IF(P2173="DUP","Exact duplicate row",IF(T2173=1,"Missing Order ID",IF(S2173="DROP","Duplicate Order ID (less complete row)",IF(U2173=1,"Missing Customer ID",IF(V2173=1,"Missing Restaurant name",IF(W2173=1,"Invalid/outlier quantity",IF(X2173=1,"Invalid/outlier unit price",IF(Y2173=1,"Discount greater than order value",""))))))))</f>
        <v/>
      </c>
      <c r="AC2173" s="7" t="str">
        <f aca="false">IF(AB2173="","KEEP","DROP")</f>
        <v>KEEP</v>
      </c>
      <c r="AD2173" s="7" t="str">
        <f aca="false">IF(TRIM(F2173)="",IFERROR(INDEX(Map_Tables!$I$4:$I$37,MATCH(TRIM(E2173),Map_Tables!$G$4:$G$37,0)),""),IFERROR(INDEX(Map_Tables!$B$4:$B$18,MATCH(TRIM(F2173),Map_Tables!$A$4:$A$18,0)),"CHECK"))</f>
        <v>Pune</v>
      </c>
      <c r="AE2173" s="7" t="str">
        <f aca="false">IF(TRIM(E2173)="","",IFERROR(INDEX(Map_Tables!$H$4:$H$37,MATCH(TRIM(E2173),Map_Tables!$G$4:$G$37,0)),"CHECK"))</f>
        <v>Cake Walk</v>
      </c>
      <c r="AF2173" s="7" t="str">
        <f aca="false">IF(TRIM(K2173)="","Unknown",IFERROR(INDEX(Map_Tables!$E$4:$E$15,MATCH(TRIM(K2173),Map_Tables!$D$4:$D$15,0)),"CHECK"))</f>
        <v>Credit Card</v>
      </c>
      <c r="AG2173" s="7" t="str">
        <f aca="false">IF(LEFT(LOWER(TRIM(L2173)),6)="cancel","Cancelled","Delivered")</f>
        <v>Delivered</v>
      </c>
      <c r="AH2173" s="10" t="n">
        <f aca="false">IF(ISNUMBER(SEARCH("/",B2173)),DATE(VALUE(RIGHT(B2173,4)),VALUE(MID(B2173,4,2)),VALUE(LEFT(B2173,2))),IF(MID(B2173,5,1)="-",DATE(VALUE(LEFT(B2173,4)),VALUE(MID(B2173,6,2)),VALUE(RIGHT(B2173,2))),DATE(VALUE(RIGHT(B2173,4)),MATCH(MID(B2173,4,3),{"Jan","Feb","Mar","Apr","May","Jun","Jul","Aug","Sep","Oct","Nov","Dec"},0),VALUE(LEFT(B2173,2)))))</f>
        <v>45879</v>
      </c>
    </row>
    <row r="2174" customFormat="false" ht="15" hidden="false" customHeight="false" outlineLevel="0" collapsed="false">
      <c r="A2174" s="7" t="s">
        <v>5014</v>
      </c>
      <c r="B2174" s="7" t="s">
        <v>1670</v>
      </c>
      <c r="C2174" s="7" t="s">
        <v>1449</v>
      </c>
      <c r="D2174" s="7" t="s">
        <v>2342</v>
      </c>
      <c r="E2174" s="7" t="s">
        <v>149</v>
      </c>
      <c r="F2174" s="7" t="s">
        <v>119</v>
      </c>
      <c r="G2174" s="7" t="s">
        <v>150</v>
      </c>
      <c r="H2174" s="7" t="n">
        <v>2</v>
      </c>
      <c r="I2174" s="7" t="n">
        <v>160</v>
      </c>
      <c r="J2174" s="7" t="n">
        <v>75</v>
      </c>
      <c r="K2174" s="7" t="s">
        <v>88</v>
      </c>
      <c r="L2174" s="7" t="s">
        <v>194</v>
      </c>
      <c r="M2174" s="7" t="n">
        <v>23</v>
      </c>
      <c r="N2174" s="7" t="n">
        <v>5</v>
      </c>
      <c r="O2174" s="7" t="str">
        <f aca="false">A2174&amp;"|"&amp;B2174&amp;"|"&amp;C2174&amp;"|"&amp;D2174&amp;"|"&amp;E2174&amp;"|"&amp;F2174&amp;"|"&amp;G2174&amp;"|"&amp;H2174&amp;"|"&amp;I2174&amp;"|"&amp;J2174&amp;"|"&amp;K2174&amp;"|"&amp;L2174&amp;"|"&amp;M2174&amp;"|"&amp;N2174</f>
        <v>ORD11720|2025-08-14|11:58|C0608|Sweet Tooth Studio|Hyderabad|Desserts|2|160|75|UPI|Delivered|23|5</v>
      </c>
      <c r="P2174" s="7" t="str">
        <f aca="false">IF(COUNTIF($O$2:O2174,O2174)&gt;1,"DUP","OK")</f>
        <v>OK</v>
      </c>
      <c r="Q2174" s="7" t="n">
        <f aca="false">COUNTBLANK(A2174:N2174)</f>
        <v>0</v>
      </c>
      <c r="R2174" s="7" t="n">
        <f aca="false">IF(A2174="",0,COUNTIFS($A$2:$A$3058,A2174,$P$2:$P$3058,"OK"))</f>
        <v>1</v>
      </c>
      <c r="S2174" s="7" t="str">
        <f aca="false">IF(OR(A2174="",P2174="DUP",R2174&lt;2),"",IF(Q2174=_xlfn.MINIFS($Q$2:$Q$3058,$A$2:$A$3058,A2174,$P$2:$P$3058,"OK"),"KEEP","DROP"))</f>
        <v/>
      </c>
      <c r="T2174" s="9" t="n">
        <f aca="false">IF(A2174="",1,0)</f>
        <v>0</v>
      </c>
      <c r="U2174" s="9" t="n">
        <f aca="false">IF(D2174="",1,0)</f>
        <v>0</v>
      </c>
      <c r="V2174" s="9" t="n">
        <f aca="false">IF(E2174="",1,0)</f>
        <v>0</v>
      </c>
      <c r="W2174" s="9" t="n">
        <f aca="false">IF(OR(H2174&lt;1,H2174&gt;10),1,0)</f>
        <v>0</v>
      </c>
      <c r="X2174" s="9" t="n">
        <f aca="false">IF(OR(I2174&lt;=0,I2174&gt;1500),1,0)</f>
        <v>0</v>
      </c>
      <c r="Y2174" s="9" t="n">
        <f aca="false">IF(J2174&gt;H2174*I2174,1,0)</f>
        <v>0</v>
      </c>
      <c r="Z2174" s="9" t="n">
        <f aca="false">IF(AND(N2174&lt;&gt;"",OR(N2174&lt;1,N2174&gt;5)),1,0)</f>
        <v>0</v>
      </c>
      <c r="AA2174" s="9" t="n">
        <f aca="false">IF(AND(M2174&lt;&gt;"",OR(M2174&lt;5,M2174&gt;180)),1,0)</f>
        <v>0</v>
      </c>
      <c r="AB2174" s="7" t="str">
        <f aca="false">IF(P2174="DUP","Exact duplicate row",IF(T2174=1,"Missing Order ID",IF(S2174="DROP","Duplicate Order ID (less complete row)",IF(U2174=1,"Missing Customer ID",IF(V2174=1,"Missing Restaurant name",IF(W2174=1,"Invalid/outlier quantity",IF(X2174=1,"Invalid/outlier unit price",IF(Y2174=1,"Discount greater than order value",""))))))))</f>
        <v/>
      </c>
      <c r="AC2174" s="7" t="str">
        <f aca="false">IF(AB2174="","KEEP","DROP")</f>
        <v>KEEP</v>
      </c>
      <c r="AD2174" s="7" t="str">
        <f aca="false">IF(TRIM(F2174)="",IFERROR(INDEX(Map_Tables!$I$4:$I$37,MATCH(TRIM(E2174),Map_Tables!$G$4:$G$37,0)),""),IFERROR(INDEX(Map_Tables!$B$4:$B$18,MATCH(TRIM(F2174),Map_Tables!$A$4:$A$18,0)),"CHECK"))</f>
        <v>Hyderabad</v>
      </c>
      <c r="AE2174" s="7" t="str">
        <f aca="false">IF(TRIM(E2174)="","",IFERROR(INDEX(Map_Tables!$H$4:$H$37,MATCH(TRIM(E2174),Map_Tables!$G$4:$G$37,0)),"CHECK"))</f>
        <v>Sweet Tooth Studio</v>
      </c>
      <c r="AF2174" s="7" t="str">
        <f aca="false">IF(TRIM(K2174)="","Unknown",IFERROR(INDEX(Map_Tables!$E$4:$E$15,MATCH(TRIM(K2174),Map_Tables!$D$4:$D$15,0)),"CHECK"))</f>
        <v>UPI</v>
      </c>
      <c r="AG2174" s="7" t="str">
        <f aca="false">IF(LEFT(LOWER(TRIM(L2174)),6)="cancel","Cancelled","Delivered")</f>
        <v>Delivered</v>
      </c>
      <c r="AH2174" s="10" t="n">
        <f aca="false">IF(ISNUMBER(SEARCH("/",B2174)),DATE(VALUE(RIGHT(B2174,4)),VALUE(MID(B2174,4,2)),VALUE(LEFT(B2174,2))),IF(MID(B2174,5,1)="-",DATE(VALUE(LEFT(B2174,4)),VALUE(MID(B2174,6,2)),VALUE(RIGHT(B2174,2))),DATE(VALUE(RIGHT(B2174,4)),MATCH(MID(B2174,4,3),{"Jan","Feb","Mar","Apr","May","Jun","Jul","Aug","Sep","Oct","Nov","Dec"},0),VALUE(LEFT(B2174,2)))))</f>
        <v>45883</v>
      </c>
    </row>
    <row r="2175" customFormat="false" ht="15" hidden="false" customHeight="false" outlineLevel="0" collapsed="false">
      <c r="A2175" s="7" t="s">
        <v>5015</v>
      </c>
      <c r="B2175" s="7" t="s">
        <v>1603</v>
      </c>
      <c r="C2175" s="7" t="s">
        <v>292</v>
      </c>
      <c r="D2175" s="7" t="s">
        <v>1475</v>
      </c>
      <c r="E2175" s="7" t="s">
        <v>148</v>
      </c>
      <c r="F2175" s="7" t="s">
        <v>119</v>
      </c>
      <c r="G2175" s="7" t="s">
        <v>123</v>
      </c>
      <c r="H2175" s="7" t="n">
        <v>2</v>
      </c>
      <c r="I2175" s="7" t="n">
        <v>320</v>
      </c>
      <c r="J2175" s="7" t="n">
        <v>0</v>
      </c>
      <c r="K2175" s="7" t="s">
        <v>112</v>
      </c>
      <c r="L2175" s="7" t="s">
        <v>194</v>
      </c>
      <c r="M2175" s="7" t="n">
        <v>38</v>
      </c>
      <c r="N2175" s="7" t="n">
        <v>4</v>
      </c>
      <c r="O2175" s="7" t="str">
        <f aca="false">A2175&amp;"|"&amp;B2175&amp;"|"&amp;C2175&amp;"|"&amp;D2175&amp;"|"&amp;E2175&amp;"|"&amp;F2175&amp;"|"&amp;G2175&amp;"|"&amp;H2175&amp;"|"&amp;I2175&amp;"|"&amp;J2175&amp;"|"&amp;K2175&amp;"|"&amp;L2175&amp;"|"&amp;M2175&amp;"|"&amp;N2175</f>
        <v>ORD12987|2025-12-30|18:02|C0781|Pizza Palace|Hyderabad|Pizza|2|320|0|Cash on Delivery|Delivered|38|4</v>
      </c>
      <c r="P2175" s="7" t="str">
        <f aca="false">IF(COUNTIF($O$2:O2175,O2175)&gt;1,"DUP","OK")</f>
        <v>OK</v>
      </c>
      <c r="Q2175" s="7" t="n">
        <f aca="false">COUNTBLANK(A2175:N2175)</f>
        <v>0</v>
      </c>
      <c r="R2175" s="7" t="n">
        <f aca="false">IF(A2175="",0,COUNTIFS($A$2:$A$3058,A2175,$P$2:$P$3058,"OK"))</f>
        <v>1</v>
      </c>
      <c r="S2175" s="7" t="str">
        <f aca="false">IF(OR(A2175="",P2175="DUP",R2175&lt;2),"",IF(Q2175=_xlfn.MINIFS($Q$2:$Q$3058,$A$2:$A$3058,A2175,$P$2:$P$3058,"OK"),"KEEP","DROP"))</f>
        <v/>
      </c>
      <c r="T2175" s="9" t="n">
        <f aca="false">IF(A2175="",1,0)</f>
        <v>0</v>
      </c>
      <c r="U2175" s="9" t="n">
        <f aca="false">IF(D2175="",1,0)</f>
        <v>0</v>
      </c>
      <c r="V2175" s="9" t="n">
        <f aca="false">IF(E2175="",1,0)</f>
        <v>0</v>
      </c>
      <c r="W2175" s="9" t="n">
        <f aca="false">IF(OR(H2175&lt;1,H2175&gt;10),1,0)</f>
        <v>0</v>
      </c>
      <c r="X2175" s="9" t="n">
        <f aca="false">IF(OR(I2175&lt;=0,I2175&gt;1500),1,0)</f>
        <v>0</v>
      </c>
      <c r="Y2175" s="9" t="n">
        <f aca="false">IF(J2175&gt;H2175*I2175,1,0)</f>
        <v>0</v>
      </c>
      <c r="Z2175" s="9" t="n">
        <f aca="false">IF(AND(N2175&lt;&gt;"",OR(N2175&lt;1,N2175&gt;5)),1,0)</f>
        <v>0</v>
      </c>
      <c r="AA2175" s="9" t="n">
        <f aca="false">IF(AND(M2175&lt;&gt;"",OR(M2175&lt;5,M2175&gt;180)),1,0)</f>
        <v>0</v>
      </c>
      <c r="AB2175" s="7" t="str">
        <f aca="false">IF(P2175="DUP","Exact duplicate row",IF(T2175=1,"Missing Order ID",IF(S2175="DROP","Duplicate Order ID (less complete row)",IF(U2175=1,"Missing Customer ID",IF(V2175=1,"Missing Restaurant name",IF(W2175=1,"Invalid/outlier quantity",IF(X2175=1,"Invalid/outlier unit price",IF(Y2175=1,"Discount greater than order value",""))))))))</f>
        <v/>
      </c>
      <c r="AC2175" s="7" t="str">
        <f aca="false">IF(AB2175="","KEEP","DROP")</f>
        <v>KEEP</v>
      </c>
      <c r="AD2175" s="7" t="str">
        <f aca="false">IF(TRIM(F2175)="",IFERROR(INDEX(Map_Tables!$I$4:$I$37,MATCH(TRIM(E2175),Map_Tables!$G$4:$G$37,0)),""),IFERROR(INDEX(Map_Tables!$B$4:$B$18,MATCH(TRIM(F2175),Map_Tables!$A$4:$A$18,0)),"CHECK"))</f>
        <v>Hyderabad</v>
      </c>
      <c r="AE2175" s="7" t="str">
        <f aca="false">IF(TRIM(E2175)="","",IFERROR(INDEX(Map_Tables!$H$4:$H$37,MATCH(TRIM(E2175),Map_Tables!$G$4:$G$37,0)),"CHECK"))</f>
        <v>Pizza Palace</v>
      </c>
      <c r="AF2175" s="7" t="str">
        <f aca="false">IF(TRIM(K2175)="","Unknown",IFERROR(INDEX(Map_Tables!$E$4:$E$15,MATCH(TRIM(K2175),Map_Tables!$D$4:$D$15,0)),"CHECK"))</f>
        <v>Cash on Delivery</v>
      </c>
      <c r="AG2175" s="7" t="str">
        <f aca="false">IF(LEFT(LOWER(TRIM(L2175)),6)="cancel","Cancelled","Delivered")</f>
        <v>Delivered</v>
      </c>
      <c r="AH2175" s="10" t="n">
        <f aca="false">IF(ISNUMBER(SEARCH("/",B2175)),DATE(VALUE(RIGHT(B2175,4)),VALUE(MID(B2175,4,2)),VALUE(LEFT(B2175,2))),IF(MID(B2175,5,1)="-",DATE(VALUE(LEFT(B2175,4)),VALUE(MID(B2175,6,2)),VALUE(RIGHT(B2175,2))),DATE(VALUE(RIGHT(B2175,4)),MATCH(MID(B2175,4,3),{"Jan","Feb","Mar","Apr","May","Jun","Jul","Aug","Sep","Oct","Nov","Dec"},0),VALUE(LEFT(B2175,2)))))</f>
        <v>46021</v>
      </c>
    </row>
    <row r="2176" customFormat="false" ht="15" hidden="false" customHeight="false" outlineLevel="0" collapsed="false">
      <c r="A2176" s="7" t="s">
        <v>5016</v>
      </c>
      <c r="B2176" s="7" t="s">
        <v>2032</v>
      </c>
      <c r="C2176" s="7" t="s">
        <v>5017</v>
      </c>
      <c r="D2176" s="7" t="s">
        <v>680</v>
      </c>
      <c r="E2176" s="7" t="s">
        <v>147</v>
      </c>
      <c r="F2176" s="7" t="s">
        <v>119</v>
      </c>
      <c r="G2176" s="7" t="s">
        <v>95</v>
      </c>
      <c r="H2176" s="7" t="n">
        <v>2</v>
      </c>
      <c r="I2176" s="7" t="n">
        <v>150</v>
      </c>
      <c r="J2176" s="7" t="n">
        <v>0</v>
      </c>
      <c r="K2176" s="7" t="s">
        <v>112</v>
      </c>
      <c r="L2176" s="7" t="s">
        <v>238</v>
      </c>
      <c r="M2176" s="7"/>
      <c r="N2176" s="7"/>
      <c r="O2176" s="7" t="str">
        <f aca="false">A2176&amp;"|"&amp;B2176&amp;"|"&amp;C2176&amp;"|"&amp;D2176&amp;"|"&amp;E2176&amp;"|"&amp;F2176&amp;"|"&amp;G2176&amp;"|"&amp;H2176&amp;"|"&amp;I2176&amp;"|"&amp;J2176&amp;"|"&amp;K2176&amp;"|"&amp;L2176&amp;"|"&amp;M2176&amp;"|"&amp;N2176</f>
        <v>ORD12800|2025-12-08|19:38|C1369|Andhra Meals Mess|Hyderabad|South Indian|2|150|0|Cash on Delivery|Cancelled||</v>
      </c>
      <c r="P2176" s="7" t="str">
        <f aca="false">IF(COUNTIF($O$2:O2176,O2176)&gt;1,"DUP","OK")</f>
        <v>OK</v>
      </c>
      <c r="Q2176" s="7" t="n">
        <f aca="false">COUNTBLANK(A2176:N2176)</f>
        <v>2</v>
      </c>
      <c r="R2176" s="7" t="n">
        <f aca="false">IF(A2176="",0,COUNTIFS($A$2:$A$3058,A2176,$P$2:$P$3058,"OK"))</f>
        <v>1</v>
      </c>
      <c r="S2176" s="7" t="str">
        <f aca="false">IF(OR(A2176="",P2176="DUP",R2176&lt;2),"",IF(Q2176=_xlfn.MINIFS($Q$2:$Q$3058,$A$2:$A$3058,A2176,$P$2:$P$3058,"OK"),"KEEP","DROP"))</f>
        <v/>
      </c>
      <c r="T2176" s="9" t="n">
        <f aca="false">IF(A2176="",1,0)</f>
        <v>0</v>
      </c>
      <c r="U2176" s="9" t="n">
        <f aca="false">IF(D2176="",1,0)</f>
        <v>0</v>
      </c>
      <c r="V2176" s="9" t="n">
        <f aca="false">IF(E2176="",1,0)</f>
        <v>0</v>
      </c>
      <c r="W2176" s="9" t="n">
        <f aca="false">IF(OR(H2176&lt;1,H2176&gt;10),1,0)</f>
        <v>0</v>
      </c>
      <c r="X2176" s="9" t="n">
        <f aca="false">IF(OR(I2176&lt;=0,I2176&gt;1500),1,0)</f>
        <v>0</v>
      </c>
      <c r="Y2176" s="9" t="n">
        <f aca="false">IF(J2176&gt;H2176*I2176,1,0)</f>
        <v>0</v>
      </c>
      <c r="Z2176" s="9" t="n">
        <f aca="false">IF(AND(N2176&lt;&gt;"",OR(N2176&lt;1,N2176&gt;5)),1,0)</f>
        <v>0</v>
      </c>
      <c r="AA2176" s="9" t="n">
        <f aca="false">IF(AND(M2176&lt;&gt;"",OR(M2176&lt;5,M2176&gt;180)),1,0)</f>
        <v>0</v>
      </c>
      <c r="AB2176" s="7" t="str">
        <f aca="false">IF(P2176="DUP","Exact duplicate row",IF(T2176=1,"Missing Order ID",IF(S2176="DROP","Duplicate Order ID (less complete row)",IF(U2176=1,"Missing Customer ID",IF(V2176=1,"Missing Restaurant name",IF(W2176=1,"Invalid/outlier quantity",IF(X2176=1,"Invalid/outlier unit price",IF(Y2176=1,"Discount greater than order value",""))))))))</f>
        <v/>
      </c>
      <c r="AC2176" s="7" t="str">
        <f aca="false">IF(AB2176="","KEEP","DROP")</f>
        <v>KEEP</v>
      </c>
      <c r="AD2176" s="7" t="str">
        <f aca="false">IF(TRIM(F2176)="",IFERROR(INDEX(Map_Tables!$I$4:$I$37,MATCH(TRIM(E2176),Map_Tables!$G$4:$G$37,0)),""),IFERROR(INDEX(Map_Tables!$B$4:$B$18,MATCH(TRIM(F2176),Map_Tables!$A$4:$A$18,0)),"CHECK"))</f>
        <v>Hyderabad</v>
      </c>
      <c r="AE2176" s="7" t="str">
        <f aca="false">IF(TRIM(E2176)="","",IFERROR(INDEX(Map_Tables!$H$4:$H$37,MATCH(TRIM(E2176),Map_Tables!$G$4:$G$37,0)),"CHECK"))</f>
        <v>Andhra Meals Mess</v>
      </c>
      <c r="AF2176" s="7" t="str">
        <f aca="false">IF(TRIM(K2176)="","Unknown",IFERROR(INDEX(Map_Tables!$E$4:$E$15,MATCH(TRIM(K2176),Map_Tables!$D$4:$D$15,0)),"CHECK"))</f>
        <v>Cash on Delivery</v>
      </c>
      <c r="AG2176" s="7" t="str">
        <f aca="false">IF(LEFT(LOWER(TRIM(L2176)),6)="cancel","Cancelled","Delivered")</f>
        <v>Cancelled</v>
      </c>
      <c r="AH2176" s="10" t="n">
        <f aca="false">IF(ISNUMBER(SEARCH("/",B2176)),DATE(VALUE(RIGHT(B2176,4)),VALUE(MID(B2176,4,2)),VALUE(LEFT(B2176,2))),IF(MID(B2176,5,1)="-",DATE(VALUE(LEFT(B2176,4)),VALUE(MID(B2176,6,2)),VALUE(RIGHT(B2176,2))),DATE(VALUE(RIGHT(B2176,4)),MATCH(MID(B2176,4,3),{"Jan","Feb","Mar","Apr","May","Jun","Jul","Aug","Sep","Oct","Nov","Dec"},0),VALUE(LEFT(B2176,2)))))</f>
        <v>45999</v>
      </c>
    </row>
    <row r="2177" customFormat="false" ht="15" hidden="false" customHeight="false" outlineLevel="0" collapsed="false">
      <c r="A2177" s="7" t="s">
        <v>5018</v>
      </c>
      <c r="B2177" s="7" t="s">
        <v>5019</v>
      </c>
      <c r="C2177" s="7" t="s">
        <v>1145</v>
      </c>
      <c r="D2177" s="7" t="s">
        <v>408</v>
      </c>
      <c r="E2177" s="7" t="s">
        <v>94</v>
      </c>
      <c r="F2177" s="7" t="s">
        <v>86</v>
      </c>
      <c r="G2177" s="7" t="s">
        <v>95</v>
      </c>
      <c r="H2177" s="7" t="n">
        <v>3</v>
      </c>
      <c r="I2177" s="7" t="n">
        <v>120</v>
      </c>
      <c r="J2177" s="7" t="n">
        <v>0</v>
      </c>
      <c r="K2177" s="7" t="s">
        <v>133</v>
      </c>
      <c r="L2177" s="7" t="s">
        <v>194</v>
      </c>
      <c r="M2177" s="7" t="n">
        <v>48</v>
      </c>
      <c r="N2177" s="7" t="n">
        <v>4</v>
      </c>
      <c r="O2177" s="7" t="str">
        <f aca="false">A2177&amp;"|"&amp;B2177&amp;"|"&amp;C2177&amp;"|"&amp;D2177&amp;"|"&amp;E2177&amp;"|"&amp;F2177&amp;"|"&amp;G2177&amp;"|"&amp;H2177&amp;"|"&amp;I2177&amp;"|"&amp;J2177&amp;"|"&amp;K2177&amp;"|"&amp;L2177&amp;"|"&amp;M2177&amp;"|"&amp;N2177</f>
        <v>ORD10599|17-Mar-2025|18:47|C0166|Dosa Darbar|Bengaluru|South Indian|3|120|0|Net Banking|Delivered|48|4</v>
      </c>
      <c r="P2177" s="7" t="str">
        <f aca="false">IF(COUNTIF($O$2:O2177,O2177)&gt;1,"DUP","OK")</f>
        <v>OK</v>
      </c>
      <c r="Q2177" s="7" t="n">
        <f aca="false">COUNTBLANK(A2177:N2177)</f>
        <v>0</v>
      </c>
      <c r="R2177" s="7" t="n">
        <f aca="false">IF(A2177="",0,COUNTIFS($A$2:$A$3058,A2177,$P$2:$P$3058,"OK"))</f>
        <v>1</v>
      </c>
      <c r="S2177" s="7" t="str">
        <f aca="false">IF(OR(A2177="",P2177="DUP",R2177&lt;2),"",IF(Q2177=_xlfn.MINIFS($Q$2:$Q$3058,$A$2:$A$3058,A2177,$P$2:$P$3058,"OK"),"KEEP","DROP"))</f>
        <v/>
      </c>
      <c r="T2177" s="9" t="n">
        <f aca="false">IF(A2177="",1,0)</f>
        <v>0</v>
      </c>
      <c r="U2177" s="9" t="n">
        <f aca="false">IF(D2177="",1,0)</f>
        <v>0</v>
      </c>
      <c r="V2177" s="9" t="n">
        <f aca="false">IF(E2177="",1,0)</f>
        <v>0</v>
      </c>
      <c r="W2177" s="9" t="n">
        <f aca="false">IF(OR(H2177&lt;1,H2177&gt;10),1,0)</f>
        <v>0</v>
      </c>
      <c r="X2177" s="9" t="n">
        <f aca="false">IF(OR(I2177&lt;=0,I2177&gt;1500),1,0)</f>
        <v>0</v>
      </c>
      <c r="Y2177" s="9" t="n">
        <f aca="false">IF(J2177&gt;H2177*I2177,1,0)</f>
        <v>0</v>
      </c>
      <c r="Z2177" s="9" t="n">
        <f aca="false">IF(AND(N2177&lt;&gt;"",OR(N2177&lt;1,N2177&gt;5)),1,0)</f>
        <v>0</v>
      </c>
      <c r="AA2177" s="9" t="n">
        <f aca="false">IF(AND(M2177&lt;&gt;"",OR(M2177&lt;5,M2177&gt;180)),1,0)</f>
        <v>0</v>
      </c>
      <c r="AB2177" s="7" t="str">
        <f aca="false">IF(P2177="DUP","Exact duplicate row",IF(T2177=1,"Missing Order ID",IF(S2177="DROP","Duplicate Order ID (less complete row)",IF(U2177=1,"Missing Customer ID",IF(V2177=1,"Missing Restaurant name",IF(W2177=1,"Invalid/outlier quantity",IF(X2177=1,"Invalid/outlier unit price",IF(Y2177=1,"Discount greater than order value",""))))))))</f>
        <v/>
      </c>
      <c r="AC2177" s="7" t="str">
        <f aca="false">IF(AB2177="","KEEP","DROP")</f>
        <v>KEEP</v>
      </c>
      <c r="AD2177" s="7" t="str">
        <f aca="false">IF(TRIM(F2177)="",IFERROR(INDEX(Map_Tables!$I$4:$I$37,MATCH(TRIM(E2177),Map_Tables!$G$4:$G$37,0)),""),IFERROR(INDEX(Map_Tables!$B$4:$B$18,MATCH(TRIM(F2177),Map_Tables!$A$4:$A$18,0)),"CHECK"))</f>
        <v>Bengaluru</v>
      </c>
      <c r="AE2177" s="7" t="str">
        <f aca="false">IF(TRIM(E2177)="","",IFERROR(INDEX(Map_Tables!$H$4:$H$37,MATCH(TRIM(E2177),Map_Tables!$G$4:$G$37,0)),"CHECK"))</f>
        <v>Dosa Darbar</v>
      </c>
      <c r="AF2177" s="7" t="str">
        <f aca="false">IF(TRIM(K2177)="","Unknown",IFERROR(INDEX(Map_Tables!$E$4:$E$15,MATCH(TRIM(K2177),Map_Tables!$D$4:$D$15,0)),"CHECK"))</f>
        <v>Net Banking</v>
      </c>
      <c r="AG2177" s="7" t="str">
        <f aca="false">IF(LEFT(LOWER(TRIM(L2177)),6)="cancel","Cancelled","Delivered")</f>
        <v>Delivered</v>
      </c>
      <c r="AH2177" s="10" t="n">
        <f aca="false">IF(ISNUMBER(SEARCH("/",B2177)),DATE(VALUE(RIGHT(B2177,4)),VALUE(MID(B2177,4,2)),VALUE(LEFT(B2177,2))),IF(MID(B2177,5,1)="-",DATE(VALUE(LEFT(B2177,4)),VALUE(MID(B2177,6,2)),VALUE(RIGHT(B2177,2))),DATE(VALUE(RIGHT(B2177,4)),MATCH(MID(B2177,4,3),{"Jan","Feb","Mar","Apr","May","Jun","Jul","Aug","Sep","Oct","Nov","Dec"},0),VALUE(LEFT(B2177,2)))))</f>
        <v>45733</v>
      </c>
    </row>
    <row r="2178" customFormat="false" ht="15" hidden="false" customHeight="false" outlineLevel="0" collapsed="false">
      <c r="A2178" s="7" t="s">
        <v>5020</v>
      </c>
      <c r="B2178" s="7" t="s">
        <v>1276</v>
      </c>
      <c r="C2178" s="7" t="s">
        <v>979</v>
      </c>
      <c r="D2178" s="7" t="s">
        <v>2589</v>
      </c>
      <c r="E2178" s="7" t="s">
        <v>130</v>
      </c>
      <c r="F2178" s="7" t="s">
        <v>521</v>
      </c>
      <c r="G2178" s="7" t="s">
        <v>90</v>
      </c>
      <c r="H2178" s="7" t="n">
        <v>3</v>
      </c>
      <c r="I2178" s="7" t="n">
        <v>245</v>
      </c>
      <c r="J2178" s="7" t="n">
        <v>0</v>
      </c>
      <c r="K2178" s="7" t="s">
        <v>103</v>
      </c>
      <c r="L2178" s="7" t="s">
        <v>194</v>
      </c>
      <c r="M2178" s="7" t="n">
        <v>36</v>
      </c>
      <c r="N2178" s="7" t="n">
        <v>2</v>
      </c>
      <c r="O2178" s="7" t="str">
        <f aca="false">A2178&amp;"|"&amp;B2178&amp;"|"&amp;C2178&amp;"|"&amp;D2178&amp;"|"&amp;E2178&amp;"|"&amp;F2178&amp;"|"&amp;G2178&amp;"|"&amp;H2178&amp;"|"&amp;I2178&amp;"|"&amp;J2178&amp;"|"&amp;K2178&amp;"|"&amp;L2178&amp;"|"&amp;M2178&amp;"|"&amp;N2178</f>
        <v>ORD11690|2025-08-09|17:14|C1119|Tandoor Tales|DELHI|North Indian|3|245|0|Debit Card|Delivered|36|2</v>
      </c>
      <c r="P2178" s="7" t="str">
        <f aca="false">IF(COUNTIF($O$2:O2178,O2178)&gt;1,"DUP","OK")</f>
        <v>OK</v>
      </c>
      <c r="Q2178" s="7" t="n">
        <f aca="false">COUNTBLANK(A2178:N2178)</f>
        <v>0</v>
      </c>
      <c r="R2178" s="7" t="n">
        <f aca="false">IF(A2178="",0,COUNTIFS($A$2:$A$3058,A2178,$P$2:$P$3058,"OK"))</f>
        <v>1</v>
      </c>
      <c r="S2178" s="7" t="str">
        <f aca="false">IF(OR(A2178="",P2178="DUP",R2178&lt;2),"",IF(Q2178=_xlfn.MINIFS($Q$2:$Q$3058,$A$2:$A$3058,A2178,$P$2:$P$3058,"OK"),"KEEP","DROP"))</f>
        <v/>
      </c>
      <c r="T2178" s="9" t="n">
        <f aca="false">IF(A2178="",1,0)</f>
        <v>0</v>
      </c>
      <c r="U2178" s="9" t="n">
        <f aca="false">IF(D2178="",1,0)</f>
        <v>0</v>
      </c>
      <c r="V2178" s="9" t="n">
        <f aca="false">IF(E2178="",1,0)</f>
        <v>0</v>
      </c>
      <c r="W2178" s="9" t="n">
        <f aca="false">IF(OR(H2178&lt;1,H2178&gt;10),1,0)</f>
        <v>0</v>
      </c>
      <c r="X2178" s="9" t="n">
        <f aca="false">IF(OR(I2178&lt;=0,I2178&gt;1500),1,0)</f>
        <v>0</v>
      </c>
      <c r="Y2178" s="9" t="n">
        <f aca="false">IF(J2178&gt;H2178*I2178,1,0)</f>
        <v>0</v>
      </c>
      <c r="Z2178" s="9" t="n">
        <f aca="false">IF(AND(N2178&lt;&gt;"",OR(N2178&lt;1,N2178&gt;5)),1,0)</f>
        <v>0</v>
      </c>
      <c r="AA2178" s="9" t="n">
        <f aca="false">IF(AND(M2178&lt;&gt;"",OR(M2178&lt;5,M2178&gt;180)),1,0)</f>
        <v>0</v>
      </c>
      <c r="AB2178" s="7" t="str">
        <f aca="false">IF(P2178="DUP","Exact duplicate row",IF(T2178=1,"Missing Order ID",IF(S2178="DROP","Duplicate Order ID (less complete row)",IF(U2178=1,"Missing Customer ID",IF(V2178=1,"Missing Restaurant name",IF(W2178=1,"Invalid/outlier quantity",IF(X2178=1,"Invalid/outlier unit price",IF(Y2178=1,"Discount greater than order value",""))))))))</f>
        <v/>
      </c>
      <c r="AC2178" s="7" t="str">
        <f aca="false">IF(AB2178="","KEEP","DROP")</f>
        <v>KEEP</v>
      </c>
      <c r="AD2178" s="7" t="str">
        <f aca="false">IF(TRIM(F2178)="",IFERROR(INDEX(Map_Tables!$I$4:$I$37,MATCH(TRIM(E2178),Map_Tables!$G$4:$G$37,0)),""),IFERROR(INDEX(Map_Tables!$B$4:$B$18,MATCH(TRIM(F2178),Map_Tables!$A$4:$A$18,0)),"CHECK"))</f>
        <v>Delhi</v>
      </c>
      <c r="AE2178" s="7" t="str">
        <f aca="false">IF(TRIM(E2178)="","",IFERROR(INDEX(Map_Tables!$H$4:$H$37,MATCH(TRIM(E2178),Map_Tables!$G$4:$G$37,0)),"CHECK"))</f>
        <v>Tandoor Tales</v>
      </c>
      <c r="AF2178" s="7" t="str">
        <f aca="false">IF(TRIM(K2178)="","Unknown",IFERROR(INDEX(Map_Tables!$E$4:$E$15,MATCH(TRIM(K2178),Map_Tables!$D$4:$D$15,0)),"CHECK"))</f>
        <v>Debit Card</v>
      </c>
      <c r="AG2178" s="7" t="str">
        <f aca="false">IF(LEFT(LOWER(TRIM(L2178)),6)="cancel","Cancelled","Delivered")</f>
        <v>Delivered</v>
      </c>
      <c r="AH2178" s="10" t="n">
        <f aca="false">IF(ISNUMBER(SEARCH("/",B2178)),DATE(VALUE(RIGHT(B2178,4)),VALUE(MID(B2178,4,2)),VALUE(LEFT(B2178,2))),IF(MID(B2178,5,1)="-",DATE(VALUE(LEFT(B2178,4)),VALUE(MID(B2178,6,2)),VALUE(RIGHT(B2178,2))),DATE(VALUE(RIGHT(B2178,4)),MATCH(MID(B2178,4,3),{"Jan","Feb","Mar","Apr","May","Jun","Jul","Aug","Sep","Oct","Nov","Dec"},0),VALUE(LEFT(B2178,2)))))</f>
        <v>45878</v>
      </c>
    </row>
    <row r="2179" customFormat="false" ht="15" hidden="false" customHeight="false" outlineLevel="0" collapsed="false">
      <c r="A2179" s="7" t="s">
        <v>5021</v>
      </c>
      <c r="B2179" s="7" t="s">
        <v>2308</v>
      </c>
      <c r="C2179" s="7" t="s">
        <v>2252</v>
      </c>
      <c r="D2179" s="7" t="s">
        <v>5022</v>
      </c>
      <c r="E2179" s="7" t="s">
        <v>89</v>
      </c>
      <c r="F2179" s="7" t="s">
        <v>86</v>
      </c>
      <c r="G2179" s="7" t="s">
        <v>90</v>
      </c>
      <c r="H2179" s="7" t="n">
        <v>4</v>
      </c>
      <c r="I2179" s="7" t="n">
        <v>225</v>
      </c>
      <c r="J2179" s="7" t="n">
        <v>0</v>
      </c>
      <c r="K2179" s="7" t="s">
        <v>103</v>
      </c>
      <c r="L2179" s="7" t="s">
        <v>194</v>
      </c>
      <c r="M2179" s="7" t="n">
        <v>43</v>
      </c>
      <c r="N2179" s="7" t="n">
        <v>5</v>
      </c>
      <c r="O2179" s="7" t="str">
        <f aca="false">A2179&amp;"|"&amp;B2179&amp;"|"&amp;C2179&amp;"|"&amp;D2179&amp;"|"&amp;E2179&amp;"|"&amp;F2179&amp;"|"&amp;G2179&amp;"|"&amp;H2179&amp;"|"&amp;I2179&amp;"|"&amp;J2179&amp;"|"&amp;K2179&amp;"|"&amp;L2179&amp;"|"&amp;M2179&amp;"|"&amp;N2179</f>
        <v>ORD10895|2025-04-23|11:36|C1264|Spice Junction|Bengaluru|North Indian|4|225|0|Debit Card|Delivered|43|5</v>
      </c>
      <c r="P2179" s="7" t="str">
        <f aca="false">IF(COUNTIF($O$2:O2179,O2179)&gt;1,"DUP","OK")</f>
        <v>OK</v>
      </c>
      <c r="Q2179" s="7" t="n">
        <f aca="false">COUNTBLANK(A2179:N2179)</f>
        <v>0</v>
      </c>
      <c r="R2179" s="7" t="n">
        <f aca="false">IF(A2179="",0,COUNTIFS($A$2:$A$3058,A2179,$P$2:$P$3058,"OK"))</f>
        <v>1</v>
      </c>
      <c r="S2179" s="7" t="str">
        <f aca="false">IF(OR(A2179="",P2179="DUP",R2179&lt;2),"",IF(Q2179=_xlfn.MINIFS($Q$2:$Q$3058,$A$2:$A$3058,A2179,$P$2:$P$3058,"OK"),"KEEP","DROP"))</f>
        <v/>
      </c>
      <c r="T2179" s="9" t="n">
        <f aca="false">IF(A2179="",1,0)</f>
        <v>0</v>
      </c>
      <c r="U2179" s="9" t="n">
        <f aca="false">IF(D2179="",1,0)</f>
        <v>0</v>
      </c>
      <c r="V2179" s="9" t="n">
        <f aca="false">IF(E2179="",1,0)</f>
        <v>0</v>
      </c>
      <c r="W2179" s="9" t="n">
        <f aca="false">IF(OR(H2179&lt;1,H2179&gt;10),1,0)</f>
        <v>0</v>
      </c>
      <c r="X2179" s="9" t="n">
        <f aca="false">IF(OR(I2179&lt;=0,I2179&gt;1500),1,0)</f>
        <v>0</v>
      </c>
      <c r="Y2179" s="9" t="n">
        <f aca="false">IF(J2179&gt;H2179*I2179,1,0)</f>
        <v>0</v>
      </c>
      <c r="Z2179" s="9" t="n">
        <f aca="false">IF(AND(N2179&lt;&gt;"",OR(N2179&lt;1,N2179&gt;5)),1,0)</f>
        <v>0</v>
      </c>
      <c r="AA2179" s="9" t="n">
        <f aca="false">IF(AND(M2179&lt;&gt;"",OR(M2179&lt;5,M2179&gt;180)),1,0)</f>
        <v>0</v>
      </c>
      <c r="AB2179" s="7" t="str">
        <f aca="false">IF(P2179="DUP","Exact duplicate row",IF(T2179=1,"Missing Order ID",IF(S2179="DROP","Duplicate Order ID (less complete row)",IF(U2179=1,"Missing Customer ID",IF(V2179=1,"Missing Restaurant name",IF(W2179=1,"Invalid/outlier quantity",IF(X2179=1,"Invalid/outlier unit price",IF(Y2179=1,"Discount greater than order value",""))))))))</f>
        <v/>
      </c>
      <c r="AC2179" s="7" t="str">
        <f aca="false">IF(AB2179="","KEEP","DROP")</f>
        <v>KEEP</v>
      </c>
      <c r="AD2179" s="7" t="str">
        <f aca="false">IF(TRIM(F2179)="",IFERROR(INDEX(Map_Tables!$I$4:$I$37,MATCH(TRIM(E2179),Map_Tables!$G$4:$G$37,0)),""),IFERROR(INDEX(Map_Tables!$B$4:$B$18,MATCH(TRIM(F2179),Map_Tables!$A$4:$A$18,0)),"CHECK"))</f>
        <v>Bengaluru</v>
      </c>
      <c r="AE2179" s="7" t="str">
        <f aca="false">IF(TRIM(E2179)="","",IFERROR(INDEX(Map_Tables!$H$4:$H$37,MATCH(TRIM(E2179),Map_Tables!$G$4:$G$37,0)),"CHECK"))</f>
        <v>Spice Junction</v>
      </c>
      <c r="AF2179" s="7" t="str">
        <f aca="false">IF(TRIM(K2179)="","Unknown",IFERROR(INDEX(Map_Tables!$E$4:$E$15,MATCH(TRIM(K2179),Map_Tables!$D$4:$D$15,0)),"CHECK"))</f>
        <v>Debit Card</v>
      </c>
      <c r="AG2179" s="7" t="str">
        <f aca="false">IF(LEFT(LOWER(TRIM(L2179)),6)="cancel","Cancelled","Delivered")</f>
        <v>Delivered</v>
      </c>
      <c r="AH2179" s="10" t="n">
        <f aca="false">IF(ISNUMBER(SEARCH("/",B2179)),DATE(VALUE(RIGHT(B2179,4)),VALUE(MID(B2179,4,2)),VALUE(LEFT(B2179,2))),IF(MID(B2179,5,1)="-",DATE(VALUE(LEFT(B2179,4)),VALUE(MID(B2179,6,2)),VALUE(RIGHT(B2179,2))),DATE(VALUE(RIGHT(B2179,4)),MATCH(MID(B2179,4,3),{"Jan","Feb","Mar","Apr","May","Jun","Jul","Aug","Sep","Oct","Nov","Dec"},0),VALUE(LEFT(B2179,2)))))</f>
        <v>45770</v>
      </c>
    </row>
    <row r="2180" customFormat="false" ht="15" hidden="false" customHeight="false" outlineLevel="0" collapsed="false">
      <c r="A2180" s="7" t="s">
        <v>5023</v>
      </c>
      <c r="B2180" s="7" t="s">
        <v>865</v>
      </c>
      <c r="C2180" s="7" t="s">
        <v>319</v>
      </c>
      <c r="D2180" s="7" t="s">
        <v>332</v>
      </c>
      <c r="E2180" s="7" t="s">
        <v>4795</v>
      </c>
      <c r="F2180" s="7" t="s">
        <v>119</v>
      </c>
      <c r="G2180" s="7" t="s">
        <v>99</v>
      </c>
      <c r="H2180" s="7" t="n">
        <v>1</v>
      </c>
      <c r="I2180" s="7" t="n">
        <v>300</v>
      </c>
      <c r="J2180" s="7" t="n">
        <v>100</v>
      </c>
      <c r="K2180" s="7" t="s">
        <v>88</v>
      </c>
      <c r="L2180" s="7" t="s">
        <v>194</v>
      </c>
      <c r="M2180" s="7" t="n">
        <v>42</v>
      </c>
      <c r="N2180" s="7" t="n">
        <v>5</v>
      </c>
      <c r="O2180" s="7" t="str">
        <f aca="false">A2180&amp;"|"&amp;B2180&amp;"|"&amp;C2180&amp;"|"&amp;D2180&amp;"|"&amp;E2180&amp;"|"&amp;F2180&amp;"|"&amp;G2180&amp;"|"&amp;H2180&amp;"|"&amp;I2180&amp;"|"&amp;J2180&amp;"|"&amp;K2180&amp;"|"&amp;L2180&amp;"|"&amp;M2180&amp;"|"&amp;N2180</f>
        <v>ORD12642|2025-11-22|21:52|C1296|Hyderabad Dum Biryani |Hyderabad|Biryani|1|300|100|UPI|Delivered|42|5</v>
      </c>
      <c r="P2180" s="7" t="str">
        <f aca="false">IF(COUNTIF($O$2:O2180,O2180)&gt;1,"DUP","OK")</f>
        <v>OK</v>
      </c>
      <c r="Q2180" s="7" t="n">
        <f aca="false">COUNTBLANK(A2180:N2180)</f>
        <v>0</v>
      </c>
      <c r="R2180" s="7" t="n">
        <f aca="false">IF(A2180="",0,COUNTIFS($A$2:$A$3058,A2180,$P$2:$P$3058,"OK"))</f>
        <v>1</v>
      </c>
      <c r="S2180" s="7" t="str">
        <f aca="false">IF(OR(A2180="",P2180="DUP",R2180&lt;2),"",IF(Q2180=_xlfn.MINIFS($Q$2:$Q$3058,$A$2:$A$3058,A2180,$P$2:$P$3058,"OK"),"KEEP","DROP"))</f>
        <v/>
      </c>
      <c r="T2180" s="9" t="n">
        <f aca="false">IF(A2180="",1,0)</f>
        <v>0</v>
      </c>
      <c r="U2180" s="9" t="n">
        <f aca="false">IF(D2180="",1,0)</f>
        <v>0</v>
      </c>
      <c r="V2180" s="9" t="n">
        <f aca="false">IF(E2180="",1,0)</f>
        <v>0</v>
      </c>
      <c r="W2180" s="9" t="n">
        <f aca="false">IF(OR(H2180&lt;1,H2180&gt;10),1,0)</f>
        <v>0</v>
      </c>
      <c r="X2180" s="9" t="n">
        <f aca="false">IF(OR(I2180&lt;=0,I2180&gt;1500),1,0)</f>
        <v>0</v>
      </c>
      <c r="Y2180" s="9" t="n">
        <f aca="false">IF(J2180&gt;H2180*I2180,1,0)</f>
        <v>0</v>
      </c>
      <c r="Z2180" s="9" t="n">
        <f aca="false">IF(AND(N2180&lt;&gt;"",OR(N2180&lt;1,N2180&gt;5)),1,0)</f>
        <v>0</v>
      </c>
      <c r="AA2180" s="9" t="n">
        <f aca="false">IF(AND(M2180&lt;&gt;"",OR(M2180&lt;5,M2180&gt;180)),1,0)</f>
        <v>0</v>
      </c>
      <c r="AB2180" s="7" t="str">
        <f aca="false">IF(P2180="DUP","Exact duplicate row",IF(T2180=1,"Missing Order ID",IF(S2180="DROP","Duplicate Order ID (less complete row)",IF(U2180=1,"Missing Customer ID",IF(V2180=1,"Missing Restaurant name",IF(W2180=1,"Invalid/outlier quantity",IF(X2180=1,"Invalid/outlier unit price",IF(Y2180=1,"Discount greater than order value",""))))))))</f>
        <v/>
      </c>
      <c r="AC2180" s="7" t="str">
        <f aca="false">IF(AB2180="","KEEP","DROP")</f>
        <v>KEEP</v>
      </c>
      <c r="AD2180" s="7" t="str">
        <f aca="false">IF(TRIM(F2180)="",IFERROR(INDEX(Map_Tables!$I$4:$I$37,MATCH(TRIM(E2180),Map_Tables!$G$4:$G$37,0)),""),IFERROR(INDEX(Map_Tables!$B$4:$B$18,MATCH(TRIM(F2180),Map_Tables!$A$4:$A$18,0)),"CHECK"))</f>
        <v>Hyderabad</v>
      </c>
      <c r="AE2180" s="7" t="str">
        <f aca="false">IF(TRIM(E2180)="","",IFERROR(INDEX(Map_Tables!$H$4:$H$37,MATCH(TRIM(E2180),Map_Tables!$G$4:$G$37,0)),"CHECK"))</f>
        <v>Hyderabad Dum Biryani</v>
      </c>
      <c r="AF2180" s="7" t="str">
        <f aca="false">IF(TRIM(K2180)="","Unknown",IFERROR(INDEX(Map_Tables!$E$4:$E$15,MATCH(TRIM(K2180),Map_Tables!$D$4:$D$15,0)),"CHECK"))</f>
        <v>UPI</v>
      </c>
      <c r="AG2180" s="7" t="str">
        <f aca="false">IF(LEFT(LOWER(TRIM(L2180)),6)="cancel","Cancelled","Delivered")</f>
        <v>Delivered</v>
      </c>
      <c r="AH2180" s="10" t="n">
        <f aca="false">IF(ISNUMBER(SEARCH("/",B2180)),DATE(VALUE(RIGHT(B2180,4)),VALUE(MID(B2180,4,2)),VALUE(LEFT(B2180,2))),IF(MID(B2180,5,1)="-",DATE(VALUE(LEFT(B2180,4)),VALUE(MID(B2180,6,2)),VALUE(RIGHT(B2180,2))),DATE(VALUE(RIGHT(B2180,4)),MATCH(MID(B2180,4,3),{"Jan","Feb","Mar","Apr","May","Jun","Jul","Aug","Sep","Oct","Nov","Dec"},0),VALUE(LEFT(B2180,2)))))</f>
        <v>45983</v>
      </c>
    </row>
    <row r="2181" customFormat="false" ht="15" hidden="false" customHeight="false" outlineLevel="0" collapsed="false">
      <c r="A2181" s="7" t="s">
        <v>5024</v>
      </c>
      <c r="B2181" s="7" t="s">
        <v>5025</v>
      </c>
      <c r="C2181" s="7" t="s">
        <v>3963</v>
      </c>
      <c r="D2181" s="7" t="s">
        <v>5026</v>
      </c>
      <c r="E2181" s="7" t="s">
        <v>154</v>
      </c>
      <c r="F2181" s="7" t="s">
        <v>128</v>
      </c>
      <c r="G2181" s="7" t="s">
        <v>99</v>
      </c>
      <c r="H2181" s="7" t="n">
        <v>2</v>
      </c>
      <c r="I2181" s="7" t="n">
        <v>225</v>
      </c>
      <c r="J2181" s="7" t="n">
        <v>0</v>
      </c>
      <c r="K2181" s="7" t="s">
        <v>88</v>
      </c>
      <c r="L2181" s="7" t="s">
        <v>194</v>
      </c>
      <c r="M2181" s="7" t="n">
        <v>34</v>
      </c>
      <c r="N2181" s="7" t="n">
        <v>3</v>
      </c>
      <c r="O2181" s="7" t="str">
        <f aca="false">A2181&amp;"|"&amp;B2181&amp;"|"&amp;C2181&amp;"|"&amp;D2181&amp;"|"&amp;E2181&amp;"|"&amp;F2181&amp;"|"&amp;G2181&amp;"|"&amp;H2181&amp;"|"&amp;I2181&amp;"|"&amp;J2181&amp;"|"&amp;K2181&amp;"|"&amp;L2181&amp;"|"&amp;M2181&amp;"|"&amp;N2181</f>
        <v>ORD11776|20-Aug-2025|12:23|C0818|Madras Biryani Co|Chennai|Biryani|2|225|0|UPI|Delivered|34|3</v>
      </c>
      <c r="P2181" s="7" t="str">
        <f aca="false">IF(COUNTIF($O$2:O2181,O2181)&gt;1,"DUP","OK")</f>
        <v>OK</v>
      </c>
      <c r="Q2181" s="7" t="n">
        <f aca="false">COUNTBLANK(A2181:N2181)</f>
        <v>0</v>
      </c>
      <c r="R2181" s="7" t="n">
        <f aca="false">IF(A2181="",0,COUNTIFS($A$2:$A$3058,A2181,$P$2:$P$3058,"OK"))</f>
        <v>1</v>
      </c>
      <c r="S2181" s="7" t="str">
        <f aca="false">IF(OR(A2181="",P2181="DUP",R2181&lt;2),"",IF(Q2181=_xlfn.MINIFS($Q$2:$Q$3058,$A$2:$A$3058,A2181,$P$2:$P$3058,"OK"),"KEEP","DROP"))</f>
        <v/>
      </c>
      <c r="T2181" s="9" t="n">
        <f aca="false">IF(A2181="",1,0)</f>
        <v>0</v>
      </c>
      <c r="U2181" s="9" t="n">
        <f aca="false">IF(D2181="",1,0)</f>
        <v>0</v>
      </c>
      <c r="V2181" s="9" t="n">
        <f aca="false">IF(E2181="",1,0)</f>
        <v>0</v>
      </c>
      <c r="W2181" s="9" t="n">
        <f aca="false">IF(OR(H2181&lt;1,H2181&gt;10),1,0)</f>
        <v>0</v>
      </c>
      <c r="X2181" s="9" t="n">
        <f aca="false">IF(OR(I2181&lt;=0,I2181&gt;1500),1,0)</f>
        <v>0</v>
      </c>
      <c r="Y2181" s="9" t="n">
        <f aca="false">IF(J2181&gt;H2181*I2181,1,0)</f>
        <v>0</v>
      </c>
      <c r="Z2181" s="9" t="n">
        <f aca="false">IF(AND(N2181&lt;&gt;"",OR(N2181&lt;1,N2181&gt;5)),1,0)</f>
        <v>0</v>
      </c>
      <c r="AA2181" s="9" t="n">
        <f aca="false">IF(AND(M2181&lt;&gt;"",OR(M2181&lt;5,M2181&gt;180)),1,0)</f>
        <v>0</v>
      </c>
      <c r="AB2181" s="7" t="str">
        <f aca="false">IF(P2181="DUP","Exact duplicate row",IF(T2181=1,"Missing Order ID",IF(S2181="DROP","Duplicate Order ID (less complete row)",IF(U2181=1,"Missing Customer ID",IF(V2181=1,"Missing Restaurant name",IF(W2181=1,"Invalid/outlier quantity",IF(X2181=1,"Invalid/outlier unit price",IF(Y2181=1,"Discount greater than order value",""))))))))</f>
        <v/>
      </c>
      <c r="AC2181" s="7" t="str">
        <f aca="false">IF(AB2181="","KEEP","DROP")</f>
        <v>KEEP</v>
      </c>
      <c r="AD2181" s="7" t="str">
        <f aca="false">IF(TRIM(F2181)="",IFERROR(INDEX(Map_Tables!$I$4:$I$37,MATCH(TRIM(E2181),Map_Tables!$G$4:$G$37,0)),""),IFERROR(INDEX(Map_Tables!$B$4:$B$18,MATCH(TRIM(F2181),Map_Tables!$A$4:$A$18,0)),"CHECK"))</f>
        <v>Chennai</v>
      </c>
      <c r="AE2181" s="7" t="str">
        <f aca="false">IF(TRIM(E2181)="","",IFERROR(INDEX(Map_Tables!$H$4:$H$37,MATCH(TRIM(E2181),Map_Tables!$G$4:$G$37,0)),"CHECK"))</f>
        <v>Madras Biryani Co</v>
      </c>
      <c r="AF2181" s="7" t="str">
        <f aca="false">IF(TRIM(K2181)="","Unknown",IFERROR(INDEX(Map_Tables!$E$4:$E$15,MATCH(TRIM(K2181),Map_Tables!$D$4:$D$15,0)),"CHECK"))</f>
        <v>UPI</v>
      </c>
      <c r="AG2181" s="7" t="str">
        <f aca="false">IF(LEFT(LOWER(TRIM(L2181)),6)="cancel","Cancelled","Delivered")</f>
        <v>Delivered</v>
      </c>
      <c r="AH2181" s="10" t="n">
        <f aca="false">IF(ISNUMBER(SEARCH("/",B2181)),DATE(VALUE(RIGHT(B2181,4)),VALUE(MID(B2181,4,2)),VALUE(LEFT(B2181,2))),IF(MID(B2181,5,1)="-",DATE(VALUE(LEFT(B2181,4)),VALUE(MID(B2181,6,2)),VALUE(RIGHT(B2181,2))),DATE(VALUE(RIGHT(B2181,4)),MATCH(MID(B2181,4,3),{"Jan","Feb","Mar","Apr","May","Jun","Jul","Aug","Sep","Oct","Nov","Dec"},0),VALUE(LEFT(B2181,2)))))</f>
        <v>45889</v>
      </c>
    </row>
    <row r="2182" customFormat="false" ht="15" hidden="false" customHeight="false" outlineLevel="0" collapsed="false">
      <c r="A2182" s="7" t="s">
        <v>5027</v>
      </c>
      <c r="B2182" s="7" t="s">
        <v>1238</v>
      </c>
      <c r="C2182" s="7" t="s">
        <v>5028</v>
      </c>
      <c r="D2182" s="7" t="s">
        <v>915</v>
      </c>
      <c r="E2182" s="7" t="s">
        <v>149</v>
      </c>
      <c r="F2182" s="7" t="s">
        <v>119</v>
      </c>
      <c r="G2182" s="7" t="s">
        <v>150</v>
      </c>
      <c r="H2182" s="7" t="n">
        <v>3</v>
      </c>
      <c r="I2182" s="7" t="n">
        <v>145</v>
      </c>
      <c r="J2182" s="7" t="n">
        <v>20</v>
      </c>
      <c r="K2182" s="7" t="s">
        <v>421</v>
      </c>
      <c r="L2182" s="7" t="s">
        <v>194</v>
      </c>
      <c r="M2182" s="7" t="n">
        <v>35</v>
      </c>
      <c r="N2182" s="7" t="n">
        <v>5</v>
      </c>
      <c r="O2182" s="7" t="str">
        <f aca="false">A2182&amp;"|"&amp;B2182&amp;"|"&amp;C2182&amp;"|"&amp;D2182&amp;"|"&amp;E2182&amp;"|"&amp;F2182&amp;"|"&amp;G2182&amp;"|"&amp;H2182&amp;"|"&amp;I2182&amp;"|"&amp;J2182&amp;"|"&amp;K2182&amp;"|"&amp;L2182&amp;"|"&amp;M2182&amp;"|"&amp;N2182</f>
        <v>ORD10571|2025-03-14|16:25|C0141|Sweet Tooth Studio|Hyderabad|Desserts|3|145|20|UPI |Delivered|35|5</v>
      </c>
      <c r="P2182" s="7" t="str">
        <f aca="false">IF(COUNTIF($O$2:O2182,O2182)&gt;1,"DUP","OK")</f>
        <v>OK</v>
      </c>
      <c r="Q2182" s="7" t="n">
        <f aca="false">COUNTBLANK(A2182:N2182)</f>
        <v>0</v>
      </c>
      <c r="R2182" s="7" t="n">
        <f aca="false">IF(A2182="",0,COUNTIFS($A$2:$A$3058,A2182,$P$2:$P$3058,"OK"))</f>
        <v>1</v>
      </c>
      <c r="S2182" s="7" t="str">
        <f aca="false">IF(OR(A2182="",P2182="DUP",R2182&lt;2),"",IF(Q2182=_xlfn.MINIFS($Q$2:$Q$3058,$A$2:$A$3058,A2182,$P$2:$P$3058,"OK"),"KEEP","DROP"))</f>
        <v/>
      </c>
      <c r="T2182" s="9" t="n">
        <f aca="false">IF(A2182="",1,0)</f>
        <v>0</v>
      </c>
      <c r="U2182" s="9" t="n">
        <f aca="false">IF(D2182="",1,0)</f>
        <v>0</v>
      </c>
      <c r="V2182" s="9" t="n">
        <f aca="false">IF(E2182="",1,0)</f>
        <v>0</v>
      </c>
      <c r="W2182" s="9" t="n">
        <f aca="false">IF(OR(H2182&lt;1,H2182&gt;10),1,0)</f>
        <v>0</v>
      </c>
      <c r="X2182" s="9" t="n">
        <f aca="false">IF(OR(I2182&lt;=0,I2182&gt;1500),1,0)</f>
        <v>0</v>
      </c>
      <c r="Y2182" s="9" t="n">
        <f aca="false">IF(J2182&gt;H2182*I2182,1,0)</f>
        <v>0</v>
      </c>
      <c r="Z2182" s="9" t="n">
        <f aca="false">IF(AND(N2182&lt;&gt;"",OR(N2182&lt;1,N2182&gt;5)),1,0)</f>
        <v>0</v>
      </c>
      <c r="AA2182" s="9" t="n">
        <f aca="false">IF(AND(M2182&lt;&gt;"",OR(M2182&lt;5,M2182&gt;180)),1,0)</f>
        <v>0</v>
      </c>
      <c r="AB2182" s="7" t="str">
        <f aca="false">IF(P2182="DUP","Exact duplicate row",IF(T2182=1,"Missing Order ID",IF(S2182="DROP","Duplicate Order ID (less complete row)",IF(U2182=1,"Missing Customer ID",IF(V2182=1,"Missing Restaurant name",IF(W2182=1,"Invalid/outlier quantity",IF(X2182=1,"Invalid/outlier unit price",IF(Y2182=1,"Discount greater than order value",""))))))))</f>
        <v/>
      </c>
      <c r="AC2182" s="7" t="str">
        <f aca="false">IF(AB2182="","KEEP","DROP")</f>
        <v>KEEP</v>
      </c>
      <c r="AD2182" s="7" t="str">
        <f aca="false">IF(TRIM(F2182)="",IFERROR(INDEX(Map_Tables!$I$4:$I$37,MATCH(TRIM(E2182),Map_Tables!$G$4:$G$37,0)),""),IFERROR(INDEX(Map_Tables!$B$4:$B$18,MATCH(TRIM(F2182),Map_Tables!$A$4:$A$18,0)),"CHECK"))</f>
        <v>Hyderabad</v>
      </c>
      <c r="AE2182" s="7" t="str">
        <f aca="false">IF(TRIM(E2182)="","",IFERROR(INDEX(Map_Tables!$H$4:$H$37,MATCH(TRIM(E2182),Map_Tables!$G$4:$G$37,0)),"CHECK"))</f>
        <v>Sweet Tooth Studio</v>
      </c>
      <c r="AF2182" s="7" t="str">
        <f aca="false">IF(TRIM(K2182)="","Unknown",IFERROR(INDEX(Map_Tables!$E$4:$E$15,MATCH(TRIM(K2182),Map_Tables!$D$4:$D$15,0)),"CHECK"))</f>
        <v>UPI</v>
      </c>
      <c r="AG2182" s="7" t="str">
        <f aca="false">IF(LEFT(LOWER(TRIM(L2182)),6)="cancel","Cancelled","Delivered")</f>
        <v>Delivered</v>
      </c>
      <c r="AH2182" s="10" t="n">
        <f aca="false">IF(ISNUMBER(SEARCH("/",B2182)),DATE(VALUE(RIGHT(B2182,4)),VALUE(MID(B2182,4,2)),VALUE(LEFT(B2182,2))),IF(MID(B2182,5,1)="-",DATE(VALUE(LEFT(B2182,4)),VALUE(MID(B2182,6,2)),VALUE(RIGHT(B2182,2))),DATE(VALUE(RIGHT(B2182,4)),MATCH(MID(B2182,4,3),{"Jan","Feb","Mar","Apr","May","Jun","Jul","Aug","Sep","Oct","Nov","Dec"},0),VALUE(LEFT(B2182,2)))))</f>
        <v>45730</v>
      </c>
    </row>
    <row r="2183" customFormat="false" ht="15" hidden="false" customHeight="false" outlineLevel="0" collapsed="false">
      <c r="A2183" s="7" t="s">
        <v>5029</v>
      </c>
      <c r="B2183" s="7" t="s">
        <v>226</v>
      </c>
      <c r="C2183" s="7" t="s">
        <v>1387</v>
      </c>
      <c r="D2183" s="7" t="s">
        <v>4940</v>
      </c>
      <c r="E2183" s="7" t="s">
        <v>154</v>
      </c>
      <c r="F2183" s="7" t="s">
        <v>127</v>
      </c>
      <c r="G2183" s="7" t="s">
        <v>99</v>
      </c>
      <c r="H2183" s="7" t="n">
        <v>1</v>
      </c>
      <c r="I2183" s="7" t="n">
        <v>255</v>
      </c>
      <c r="J2183" s="7" t="n">
        <v>50</v>
      </c>
      <c r="K2183" s="7" t="s">
        <v>121</v>
      </c>
      <c r="L2183" s="7" t="s">
        <v>194</v>
      </c>
      <c r="M2183" s="7" t="n">
        <v>44</v>
      </c>
      <c r="N2183" s="7" t="n">
        <v>3</v>
      </c>
      <c r="O2183" s="7" t="str">
        <f aca="false">A2183&amp;"|"&amp;B2183&amp;"|"&amp;C2183&amp;"|"&amp;D2183&amp;"|"&amp;E2183&amp;"|"&amp;F2183&amp;"|"&amp;G2183&amp;"|"&amp;H2183&amp;"|"&amp;I2183&amp;"|"&amp;J2183&amp;"|"&amp;K2183&amp;"|"&amp;L2183&amp;"|"&amp;M2183&amp;"|"&amp;N2183</f>
        <v>ORD12000|2025-09-16|20:59|C1254|Madras Biryani Co|chennai|Biryani|1|255|50|Wallet|Delivered|44|3</v>
      </c>
      <c r="P2183" s="7" t="str">
        <f aca="false">IF(COUNTIF($O$2:O2183,O2183)&gt;1,"DUP","OK")</f>
        <v>OK</v>
      </c>
      <c r="Q2183" s="7" t="n">
        <f aca="false">COUNTBLANK(A2183:N2183)</f>
        <v>0</v>
      </c>
      <c r="R2183" s="7" t="n">
        <f aca="false">IF(A2183="",0,COUNTIFS($A$2:$A$3058,A2183,$P$2:$P$3058,"OK"))</f>
        <v>1</v>
      </c>
      <c r="S2183" s="7" t="str">
        <f aca="false">IF(OR(A2183="",P2183="DUP",R2183&lt;2),"",IF(Q2183=_xlfn.MINIFS($Q$2:$Q$3058,$A$2:$A$3058,A2183,$P$2:$P$3058,"OK"),"KEEP","DROP"))</f>
        <v/>
      </c>
      <c r="T2183" s="9" t="n">
        <f aca="false">IF(A2183="",1,0)</f>
        <v>0</v>
      </c>
      <c r="U2183" s="9" t="n">
        <f aca="false">IF(D2183="",1,0)</f>
        <v>0</v>
      </c>
      <c r="V2183" s="9" t="n">
        <f aca="false">IF(E2183="",1,0)</f>
        <v>0</v>
      </c>
      <c r="W2183" s="9" t="n">
        <f aca="false">IF(OR(H2183&lt;1,H2183&gt;10),1,0)</f>
        <v>0</v>
      </c>
      <c r="X2183" s="9" t="n">
        <f aca="false">IF(OR(I2183&lt;=0,I2183&gt;1500),1,0)</f>
        <v>0</v>
      </c>
      <c r="Y2183" s="9" t="n">
        <f aca="false">IF(J2183&gt;H2183*I2183,1,0)</f>
        <v>0</v>
      </c>
      <c r="Z2183" s="9" t="n">
        <f aca="false">IF(AND(N2183&lt;&gt;"",OR(N2183&lt;1,N2183&gt;5)),1,0)</f>
        <v>0</v>
      </c>
      <c r="AA2183" s="9" t="n">
        <f aca="false">IF(AND(M2183&lt;&gt;"",OR(M2183&lt;5,M2183&gt;180)),1,0)</f>
        <v>0</v>
      </c>
      <c r="AB2183" s="7" t="str">
        <f aca="false">IF(P2183="DUP","Exact duplicate row",IF(T2183=1,"Missing Order ID",IF(S2183="DROP","Duplicate Order ID (less complete row)",IF(U2183=1,"Missing Customer ID",IF(V2183=1,"Missing Restaurant name",IF(W2183=1,"Invalid/outlier quantity",IF(X2183=1,"Invalid/outlier unit price",IF(Y2183=1,"Discount greater than order value",""))))))))</f>
        <v/>
      </c>
      <c r="AC2183" s="7" t="str">
        <f aca="false">IF(AB2183="","KEEP","DROP")</f>
        <v>KEEP</v>
      </c>
      <c r="AD2183" s="7" t="str">
        <f aca="false">IF(TRIM(F2183)="",IFERROR(INDEX(Map_Tables!$I$4:$I$37,MATCH(TRIM(E2183),Map_Tables!$G$4:$G$37,0)),""),IFERROR(INDEX(Map_Tables!$B$4:$B$18,MATCH(TRIM(F2183),Map_Tables!$A$4:$A$18,0)),"CHECK"))</f>
        <v>Chennai</v>
      </c>
      <c r="AE2183" s="7" t="str">
        <f aca="false">IF(TRIM(E2183)="","",IFERROR(INDEX(Map_Tables!$H$4:$H$37,MATCH(TRIM(E2183),Map_Tables!$G$4:$G$37,0)),"CHECK"))</f>
        <v>Madras Biryani Co</v>
      </c>
      <c r="AF2183" s="7" t="str">
        <f aca="false">IF(TRIM(K2183)="","Unknown",IFERROR(INDEX(Map_Tables!$E$4:$E$15,MATCH(TRIM(K2183),Map_Tables!$D$4:$D$15,0)),"CHECK"))</f>
        <v>Wallet</v>
      </c>
      <c r="AG2183" s="7" t="str">
        <f aca="false">IF(LEFT(LOWER(TRIM(L2183)),6)="cancel","Cancelled","Delivered")</f>
        <v>Delivered</v>
      </c>
      <c r="AH2183" s="10" t="n">
        <f aca="false">IF(ISNUMBER(SEARCH("/",B2183)),DATE(VALUE(RIGHT(B2183,4)),VALUE(MID(B2183,4,2)),VALUE(LEFT(B2183,2))),IF(MID(B2183,5,1)="-",DATE(VALUE(LEFT(B2183,4)),VALUE(MID(B2183,6,2)),VALUE(RIGHT(B2183,2))),DATE(VALUE(RIGHT(B2183,4)),MATCH(MID(B2183,4,3),{"Jan","Feb","Mar","Apr","May","Jun","Jul","Aug","Sep","Oct","Nov","Dec"},0),VALUE(LEFT(B2183,2)))))</f>
        <v>45916</v>
      </c>
    </row>
    <row r="2184" customFormat="false" ht="15" hidden="false" customHeight="false" outlineLevel="0" collapsed="false">
      <c r="A2184" s="7" t="s">
        <v>5030</v>
      </c>
      <c r="B2184" s="7" t="s">
        <v>1711</v>
      </c>
      <c r="C2184" s="7" t="s">
        <v>2688</v>
      </c>
      <c r="D2184" s="7" t="s">
        <v>684</v>
      </c>
      <c r="E2184" s="7" t="s">
        <v>138</v>
      </c>
      <c r="F2184" s="7" t="s">
        <v>110</v>
      </c>
      <c r="G2184" s="7" t="s">
        <v>139</v>
      </c>
      <c r="H2184" s="7" t="n">
        <v>2</v>
      </c>
      <c r="I2184" s="7" t="n">
        <v>180</v>
      </c>
      <c r="J2184" s="7" t="n">
        <v>0</v>
      </c>
      <c r="K2184" s="7" t="s">
        <v>112</v>
      </c>
      <c r="L2184" s="7" t="s">
        <v>194</v>
      </c>
      <c r="M2184" s="7" t="n">
        <v>42</v>
      </c>
      <c r="N2184" s="7" t="n">
        <v>5</v>
      </c>
      <c r="O2184" s="7" t="str">
        <f aca="false">A2184&amp;"|"&amp;B2184&amp;"|"&amp;C2184&amp;"|"&amp;D2184&amp;"|"&amp;E2184&amp;"|"&amp;F2184&amp;"|"&amp;G2184&amp;"|"&amp;H2184&amp;"|"&amp;I2184&amp;"|"&amp;J2184&amp;"|"&amp;K2184&amp;"|"&amp;L2184&amp;"|"&amp;M2184&amp;"|"&amp;N2184</f>
        <v>ORD12123|2025-09-30|11:23|C1475|Burger Barn|Delhi|Burgers|2|180|0|Cash on Delivery|Delivered|42|5</v>
      </c>
      <c r="P2184" s="7" t="str">
        <f aca="false">IF(COUNTIF($O$2:O2184,O2184)&gt;1,"DUP","OK")</f>
        <v>OK</v>
      </c>
      <c r="Q2184" s="7" t="n">
        <f aca="false">COUNTBLANK(A2184:N2184)</f>
        <v>0</v>
      </c>
      <c r="R2184" s="7" t="n">
        <f aca="false">IF(A2184="",0,COUNTIFS($A$2:$A$3058,A2184,$P$2:$P$3058,"OK"))</f>
        <v>1</v>
      </c>
      <c r="S2184" s="7" t="str">
        <f aca="false">IF(OR(A2184="",P2184="DUP",R2184&lt;2),"",IF(Q2184=_xlfn.MINIFS($Q$2:$Q$3058,$A$2:$A$3058,A2184,$P$2:$P$3058,"OK"),"KEEP","DROP"))</f>
        <v/>
      </c>
      <c r="T2184" s="9" t="n">
        <f aca="false">IF(A2184="",1,0)</f>
        <v>0</v>
      </c>
      <c r="U2184" s="9" t="n">
        <f aca="false">IF(D2184="",1,0)</f>
        <v>0</v>
      </c>
      <c r="V2184" s="9" t="n">
        <f aca="false">IF(E2184="",1,0)</f>
        <v>0</v>
      </c>
      <c r="W2184" s="9" t="n">
        <f aca="false">IF(OR(H2184&lt;1,H2184&gt;10),1,0)</f>
        <v>0</v>
      </c>
      <c r="X2184" s="9" t="n">
        <f aca="false">IF(OR(I2184&lt;=0,I2184&gt;1500),1,0)</f>
        <v>0</v>
      </c>
      <c r="Y2184" s="9" t="n">
        <f aca="false">IF(J2184&gt;H2184*I2184,1,0)</f>
        <v>0</v>
      </c>
      <c r="Z2184" s="9" t="n">
        <f aca="false">IF(AND(N2184&lt;&gt;"",OR(N2184&lt;1,N2184&gt;5)),1,0)</f>
        <v>0</v>
      </c>
      <c r="AA2184" s="9" t="n">
        <f aca="false">IF(AND(M2184&lt;&gt;"",OR(M2184&lt;5,M2184&gt;180)),1,0)</f>
        <v>0</v>
      </c>
      <c r="AB2184" s="7" t="str">
        <f aca="false">IF(P2184="DUP","Exact duplicate row",IF(T2184=1,"Missing Order ID",IF(S2184="DROP","Duplicate Order ID (less complete row)",IF(U2184=1,"Missing Customer ID",IF(V2184=1,"Missing Restaurant name",IF(W2184=1,"Invalid/outlier quantity",IF(X2184=1,"Invalid/outlier unit price",IF(Y2184=1,"Discount greater than order value",""))))))))</f>
        <v/>
      </c>
      <c r="AC2184" s="7" t="str">
        <f aca="false">IF(AB2184="","KEEP","DROP")</f>
        <v>KEEP</v>
      </c>
      <c r="AD2184" s="7" t="str">
        <f aca="false">IF(TRIM(F2184)="",IFERROR(INDEX(Map_Tables!$I$4:$I$37,MATCH(TRIM(E2184),Map_Tables!$G$4:$G$37,0)),""),IFERROR(INDEX(Map_Tables!$B$4:$B$18,MATCH(TRIM(F2184),Map_Tables!$A$4:$A$18,0)),"CHECK"))</f>
        <v>Delhi</v>
      </c>
      <c r="AE2184" s="7" t="str">
        <f aca="false">IF(TRIM(E2184)="","",IFERROR(INDEX(Map_Tables!$H$4:$H$37,MATCH(TRIM(E2184),Map_Tables!$G$4:$G$37,0)),"CHECK"))</f>
        <v>Burger Barn</v>
      </c>
      <c r="AF2184" s="7" t="str">
        <f aca="false">IF(TRIM(K2184)="","Unknown",IFERROR(INDEX(Map_Tables!$E$4:$E$15,MATCH(TRIM(K2184),Map_Tables!$D$4:$D$15,0)),"CHECK"))</f>
        <v>Cash on Delivery</v>
      </c>
      <c r="AG2184" s="7" t="str">
        <f aca="false">IF(LEFT(LOWER(TRIM(L2184)),6)="cancel","Cancelled","Delivered")</f>
        <v>Delivered</v>
      </c>
      <c r="AH2184" s="10" t="n">
        <f aca="false">IF(ISNUMBER(SEARCH("/",B2184)),DATE(VALUE(RIGHT(B2184,4)),VALUE(MID(B2184,4,2)),VALUE(LEFT(B2184,2))),IF(MID(B2184,5,1)="-",DATE(VALUE(LEFT(B2184,4)),VALUE(MID(B2184,6,2)),VALUE(RIGHT(B2184,2))),DATE(VALUE(RIGHT(B2184,4)),MATCH(MID(B2184,4,3),{"Jan","Feb","Mar","Apr","May","Jun","Jul","Aug","Sep","Oct","Nov","Dec"},0),VALUE(LEFT(B2184,2)))))</f>
        <v>45930</v>
      </c>
    </row>
    <row r="2185" customFormat="false" ht="15" hidden="false" customHeight="false" outlineLevel="0" collapsed="false">
      <c r="A2185" s="7" t="s">
        <v>5031</v>
      </c>
      <c r="B2185" s="7" t="s">
        <v>5032</v>
      </c>
      <c r="C2185" s="7" t="s">
        <v>2093</v>
      </c>
      <c r="D2185" s="7" t="s">
        <v>5033</v>
      </c>
      <c r="E2185" s="7" t="s">
        <v>142</v>
      </c>
      <c r="F2185" s="7" t="s">
        <v>110</v>
      </c>
      <c r="G2185" s="7" t="s">
        <v>105</v>
      </c>
      <c r="H2185" s="7" t="n">
        <v>1</v>
      </c>
      <c r="I2185" s="7" t="n">
        <v>195</v>
      </c>
      <c r="J2185" s="7" t="n">
        <v>0</v>
      </c>
      <c r="K2185" s="7" t="s">
        <v>88</v>
      </c>
      <c r="L2185" s="7" t="s">
        <v>194</v>
      </c>
      <c r="M2185" s="7" t="n">
        <v>36</v>
      </c>
      <c r="N2185" s="7" t="n">
        <v>5</v>
      </c>
      <c r="O2185" s="7" t="str">
        <f aca="false">A2185&amp;"|"&amp;B2185&amp;"|"&amp;C2185&amp;"|"&amp;D2185&amp;"|"&amp;E2185&amp;"|"&amp;F2185&amp;"|"&amp;G2185&amp;"|"&amp;H2185&amp;"|"&amp;I2185&amp;"|"&amp;J2185&amp;"|"&amp;K2185&amp;"|"&amp;L2185&amp;"|"&amp;M2185&amp;"|"&amp;N2185</f>
        <v>ORD10062|09-Jan-2025|18:52|C0171|Momo Magic|Delhi|Chinese|1|195|0|UPI|Delivered|36|5</v>
      </c>
      <c r="P2185" s="7" t="str">
        <f aca="false">IF(COUNTIF($O$2:O2185,O2185)&gt;1,"DUP","OK")</f>
        <v>OK</v>
      </c>
      <c r="Q2185" s="7" t="n">
        <f aca="false">COUNTBLANK(A2185:N2185)</f>
        <v>0</v>
      </c>
      <c r="R2185" s="7" t="n">
        <f aca="false">IF(A2185="",0,COUNTIFS($A$2:$A$3058,A2185,$P$2:$P$3058,"OK"))</f>
        <v>1</v>
      </c>
      <c r="S2185" s="7" t="str">
        <f aca="false">IF(OR(A2185="",P2185="DUP",R2185&lt;2),"",IF(Q2185=_xlfn.MINIFS($Q$2:$Q$3058,$A$2:$A$3058,A2185,$P$2:$P$3058,"OK"),"KEEP","DROP"))</f>
        <v/>
      </c>
      <c r="T2185" s="9" t="n">
        <f aca="false">IF(A2185="",1,0)</f>
        <v>0</v>
      </c>
      <c r="U2185" s="9" t="n">
        <f aca="false">IF(D2185="",1,0)</f>
        <v>0</v>
      </c>
      <c r="V2185" s="9" t="n">
        <f aca="false">IF(E2185="",1,0)</f>
        <v>0</v>
      </c>
      <c r="W2185" s="9" t="n">
        <f aca="false">IF(OR(H2185&lt;1,H2185&gt;10),1,0)</f>
        <v>0</v>
      </c>
      <c r="X2185" s="9" t="n">
        <f aca="false">IF(OR(I2185&lt;=0,I2185&gt;1500),1,0)</f>
        <v>0</v>
      </c>
      <c r="Y2185" s="9" t="n">
        <f aca="false">IF(J2185&gt;H2185*I2185,1,0)</f>
        <v>0</v>
      </c>
      <c r="Z2185" s="9" t="n">
        <f aca="false">IF(AND(N2185&lt;&gt;"",OR(N2185&lt;1,N2185&gt;5)),1,0)</f>
        <v>0</v>
      </c>
      <c r="AA2185" s="9" t="n">
        <f aca="false">IF(AND(M2185&lt;&gt;"",OR(M2185&lt;5,M2185&gt;180)),1,0)</f>
        <v>0</v>
      </c>
      <c r="AB2185" s="7" t="str">
        <f aca="false">IF(P2185="DUP","Exact duplicate row",IF(T2185=1,"Missing Order ID",IF(S2185="DROP","Duplicate Order ID (less complete row)",IF(U2185=1,"Missing Customer ID",IF(V2185=1,"Missing Restaurant name",IF(W2185=1,"Invalid/outlier quantity",IF(X2185=1,"Invalid/outlier unit price",IF(Y2185=1,"Discount greater than order value",""))))))))</f>
        <v/>
      </c>
      <c r="AC2185" s="7" t="str">
        <f aca="false">IF(AB2185="","KEEP","DROP")</f>
        <v>KEEP</v>
      </c>
      <c r="AD2185" s="7" t="str">
        <f aca="false">IF(TRIM(F2185)="",IFERROR(INDEX(Map_Tables!$I$4:$I$37,MATCH(TRIM(E2185),Map_Tables!$G$4:$G$37,0)),""),IFERROR(INDEX(Map_Tables!$B$4:$B$18,MATCH(TRIM(F2185),Map_Tables!$A$4:$A$18,0)),"CHECK"))</f>
        <v>Delhi</v>
      </c>
      <c r="AE2185" s="7" t="str">
        <f aca="false">IF(TRIM(E2185)="","",IFERROR(INDEX(Map_Tables!$H$4:$H$37,MATCH(TRIM(E2185),Map_Tables!$G$4:$G$37,0)),"CHECK"))</f>
        <v>Momo Magic</v>
      </c>
      <c r="AF2185" s="7" t="str">
        <f aca="false">IF(TRIM(K2185)="","Unknown",IFERROR(INDEX(Map_Tables!$E$4:$E$15,MATCH(TRIM(K2185),Map_Tables!$D$4:$D$15,0)),"CHECK"))</f>
        <v>UPI</v>
      </c>
      <c r="AG2185" s="7" t="str">
        <f aca="false">IF(LEFT(LOWER(TRIM(L2185)),6)="cancel","Cancelled","Delivered")</f>
        <v>Delivered</v>
      </c>
      <c r="AH2185" s="10" t="n">
        <f aca="false">IF(ISNUMBER(SEARCH("/",B2185)),DATE(VALUE(RIGHT(B2185,4)),VALUE(MID(B2185,4,2)),VALUE(LEFT(B2185,2))),IF(MID(B2185,5,1)="-",DATE(VALUE(LEFT(B2185,4)),VALUE(MID(B2185,6,2)),VALUE(RIGHT(B2185,2))),DATE(VALUE(RIGHT(B2185,4)),MATCH(MID(B2185,4,3),{"Jan","Feb","Mar","Apr","May","Jun","Jul","Aug","Sep","Oct","Nov","Dec"},0),VALUE(LEFT(B2185,2)))))</f>
        <v>45666</v>
      </c>
    </row>
    <row r="2186" customFormat="false" ht="15" hidden="false" customHeight="false" outlineLevel="0" collapsed="false">
      <c r="A2186" s="7" t="s">
        <v>5034</v>
      </c>
      <c r="B2186" s="7" t="s">
        <v>5035</v>
      </c>
      <c r="C2186" s="7" t="s">
        <v>1365</v>
      </c>
      <c r="D2186" s="7" t="s">
        <v>5036</v>
      </c>
      <c r="E2186" s="7" t="s">
        <v>155</v>
      </c>
      <c r="F2186" s="7" t="s">
        <v>128</v>
      </c>
      <c r="G2186" s="7" t="s">
        <v>156</v>
      </c>
      <c r="H2186" s="7" t="n">
        <v>1</v>
      </c>
      <c r="I2186" s="7" t="n">
        <v>295</v>
      </c>
      <c r="J2186" s="7" t="n">
        <v>118</v>
      </c>
      <c r="K2186" s="7" t="s">
        <v>88</v>
      </c>
      <c r="L2186" s="7" t="s">
        <v>194</v>
      </c>
      <c r="M2186" s="7" t="n">
        <v>35</v>
      </c>
      <c r="N2186" s="7" t="n">
        <v>4</v>
      </c>
      <c r="O2186" s="7" t="str">
        <f aca="false">A2186&amp;"|"&amp;B2186&amp;"|"&amp;C2186&amp;"|"&amp;D2186&amp;"|"&amp;E2186&amp;"|"&amp;F2186&amp;"|"&amp;G2186&amp;"|"&amp;H2186&amp;"|"&amp;I2186&amp;"|"&amp;J2186&amp;"|"&amp;K2186&amp;"|"&amp;L2186&amp;"|"&amp;M2186&amp;"|"&amp;N2186</f>
        <v>ORD11248|08/06/2025|18:11|C1062|Green Bowl Kitchen|Chennai|Healthy Food|1|295|118|UPI|Delivered|35|4</v>
      </c>
      <c r="P2186" s="7" t="str">
        <f aca="false">IF(COUNTIF($O$2:O2186,O2186)&gt;1,"DUP","OK")</f>
        <v>OK</v>
      </c>
      <c r="Q2186" s="7" t="n">
        <f aca="false">COUNTBLANK(A2186:N2186)</f>
        <v>0</v>
      </c>
      <c r="R2186" s="7" t="n">
        <f aca="false">IF(A2186="",0,COUNTIFS($A$2:$A$3058,A2186,$P$2:$P$3058,"OK"))</f>
        <v>1</v>
      </c>
      <c r="S2186" s="7" t="str">
        <f aca="false">IF(OR(A2186="",P2186="DUP",R2186&lt;2),"",IF(Q2186=_xlfn.MINIFS($Q$2:$Q$3058,$A$2:$A$3058,A2186,$P$2:$P$3058,"OK"),"KEEP","DROP"))</f>
        <v/>
      </c>
      <c r="T2186" s="9" t="n">
        <f aca="false">IF(A2186="",1,0)</f>
        <v>0</v>
      </c>
      <c r="U2186" s="9" t="n">
        <f aca="false">IF(D2186="",1,0)</f>
        <v>0</v>
      </c>
      <c r="V2186" s="9" t="n">
        <f aca="false">IF(E2186="",1,0)</f>
        <v>0</v>
      </c>
      <c r="W2186" s="9" t="n">
        <f aca="false">IF(OR(H2186&lt;1,H2186&gt;10),1,0)</f>
        <v>0</v>
      </c>
      <c r="X2186" s="9" t="n">
        <f aca="false">IF(OR(I2186&lt;=0,I2186&gt;1500),1,0)</f>
        <v>0</v>
      </c>
      <c r="Y2186" s="9" t="n">
        <f aca="false">IF(J2186&gt;H2186*I2186,1,0)</f>
        <v>0</v>
      </c>
      <c r="Z2186" s="9" t="n">
        <f aca="false">IF(AND(N2186&lt;&gt;"",OR(N2186&lt;1,N2186&gt;5)),1,0)</f>
        <v>0</v>
      </c>
      <c r="AA2186" s="9" t="n">
        <f aca="false">IF(AND(M2186&lt;&gt;"",OR(M2186&lt;5,M2186&gt;180)),1,0)</f>
        <v>0</v>
      </c>
      <c r="AB2186" s="7" t="str">
        <f aca="false">IF(P2186="DUP","Exact duplicate row",IF(T2186=1,"Missing Order ID",IF(S2186="DROP","Duplicate Order ID (less complete row)",IF(U2186=1,"Missing Customer ID",IF(V2186=1,"Missing Restaurant name",IF(W2186=1,"Invalid/outlier quantity",IF(X2186=1,"Invalid/outlier unit price",IF(Y2186=1,"Discount greater than order value",""))))))))</f>
        <v/>
      </c>
      <c r="AC2186" s="7" t="str">
        <f aca="false">IF(AB2186="","KEEP","DROP")</f>
        <v>KEEP</v>
      </c>
      <c r="AD2186" s="7" t="str">
        <f aca="false">IF(TRIM(F2186)="",IFERROR(INDEX(Map_Tables!$I$4:$I$37,MATCH(TRIM(E2186),Map_Tables!$G$4:$G$37,0)),""),IFERROR(INDEX(Map_Tables!$B$4:$B$18,MATCH(TRIM(F2186),Map_Tables!$A$4:$A$18,0)),"CHECK"))</f>
        <v>Chennai</v>
      </c>
      <c r="AE2186" s="7" t="str">
        <f aca="false">IF(TRIM(E2186)="","",IFERROR(INDEX(Map_Tables!$H$4:$H$37,MATCH(TRIM(E2186),Map_Tables!$G$4:$G$37,0)),"CHECK"))</f>
        <v>Green Bowl Kitchen</v>
      </c>
      <c r="AF2186" s="7" t="str">
        <f aca="false">IF(TRIM(K2186)="","Unknown",IFERROR(INDEX(Map_Tables!$E$4:$E$15,MATCH(TRIM(K2186),Map_Tables!$D$4:$D$15,0)),"CHECK"))</f>
        <v>UPI</v>
      </c>
      <c r="AG2186" s="7" t="str">
        <f aca="false">IF(LEFT(LOWER(TRIM(L2186)),6)="cancel","Cancelled","Delivered")</f>
        <v>Delivered</v>
      </c>
      <c r="AH2186" s="10" t="n">
        <f aca="false">IF(ISNUMBER(SEARCH("/",B2186)),DATE(VALUE(RIGHT(B2186,4)),VALUE(MID(B2186,4,2)),VALUE(LEFT(B2186,2))),IF(MID(B2186,5,1)="-",DATE(VALUE(LEFT(B2186,4)),VALUE(MID(B2186,6,2)),VALUE(RIGHT(B2186,2))),DATE(VALUE(RIGHT(B2186,4)),MATCH(MID(B2186,4,3),{"Jan","Feb","Mar","Apr","May","Jun","Jul","Aug","Sep","Oct","Nov","Dec"},0),VALUE(LEFT(B2186,2)))))</f>
        <v>45816</v>
      </c>
    </row>
    <row r="2187" customFormat="false" ht="15" hidden="false" customHeight="false" outlineLevel="0" collapsed="false">
      <c r="A2187" s="7" t="s">
        <v>923</v>
      </c>
      <c r="B2187" s="7" t="s">
        <v>924</v>
      </c>
      <c r="C2187" s="7" t="s">
        <v>201</v>
      </c>
      <c r="D2187" s="7" t="s">
        <v>810</v>
      </c>
      <c r="E2187" s="7" t="s">
        <v>154</v>
      </c>
      <c r="F2187" s="7" t="s">
        <v>127</v>
      </c>
      <c r="G2187" s="7" t="s">
        <v>99</v>
      </c>
      <c r="H2187" s="7" t="n">
        <v>1</v>
      </c>
      <c r="I2187" s="7" t="n">
        <v>305</v>
      </c>
      <c r="J2187" s="7" t="n">
        <v>122</v>
      </c>
      <c r="K2187" s="7" t="s">
        <v>112</v>
      </c>
      <c r="L2187" s="7" t="s">
        <v>194</v>
      </c>
      <c r="M2187" s="7" t="n">
        <v>36</v>
      </c>
      <c r="N2187" s="7" t="n">
        <v>3</v>
      </c>
      <c r="O2187" s="7" t="str">
        <f aca="false">A2187&amp;"|"&amp;B2187&amp;"|"&amp;C2187&amp;"|"&amp;D2187&amp;"|"&amp;E2187&amp;"|"&amp;F2187&amp;"|"&amp;G2187&amp;"|"&amp;H2187&amp;"|"&amp;I2187&amp;"|"&amp;J2187&amp;"|"&amp;K2187&amp;"|"&amp;L2187&amp;"|"&amp;M2187&amp;"|"&amp;N2187</f>
        <v>ORD10111|2025-01-14|20:46|C0647|Madras Biryani Co|chennai|Biryani|1|305|122|Cash on Delivery|Delivered|36|3</v>
      </c>
      <c r="P2187" s="7" t="str">
        <f aca="false">IF(COUNTIF($O$2:O2187,O2187)&gt;1,"DUP","OK")</f>
        <v>DUP</v>
      </c>
      <c r="Q2187" s="7" t="n">
        <f aca="false">COUNTBLANK(A2187:N2187)</f>
        <v>0</v>
      </c>
      <c r="R2187" s="7" t="n">
        <f aca="false">IF(A2187="",0,COUNTIFS($A$2:$A$3058,A2187,$P$2:$P$3058,"OK"))</f>
        <v>1</v>
      </c>
      <c r="S2187" s="7" t="str">
        <f aca="false">IF(OR(A2187="",P2187="DUP",R2187&lt;2),"",IF(Q2187=_xlfn.MINIFS($Q$2:$Q$3058,$A$2:$A$3058,A2187,$P$2:$P$3058,"OK"),"KEEP","DROP"))</f>
        <v/>
      </c>
      <c r="T2187" s="9" t="n">
        <f aca="false">IF(A2187="",1,0)</f>
        <v>0</v>
      </c>
      <c r="U2187" s="9" t="n">
        <f aca="false">IF(D2187="",1,0)</f>
        <v>0</v>
      </c>
      <c r="V2187" s="9" t="n">
        <f aca="false">IF(E2187="",1,0)</f>
        <v>0</v>
      </c>
      <c r="W2187" s="9" t="n">
        <f aca="false">IF(OR(H2187&lt;1,H2187&gt;10),1,0)</f>
        <v>0</v>
      </c>
      <c r="X2187" s="9" t="n">
        <f aca="false">IF(OR(I2187&lt;=0,I2187&gt;1500),1,0)</f>
        <v>0</v>
      </c>
      <c r="Y2187" s="9" t="n">
        <f aca="false">IF(J2187&gt;H2187*I2187,1,0)</f>
        <v>0</v>
      </c>
      <c r="Z2187" s="9" t="n">
        <f aca="false">IF(AND(N2187&lt;&gt;"",OR(N2187&lt;1,N2187&gt;5)),1,0)</f>
        <v>0</v>
      </c>
      <c r="AA2187" s="9" t="n">
        <f aca="false">IF(AND(M2187&lt;&gt;"",OR(M2187&lt;5,M2187&gt;180)),1,0)</f>
        <v>0</v>
      </c>
      <c r="AB2187" s="7" t="str">
        <f aca="false">IF(P2187="DUP","Exact duplicate row",IF(T2187=1,"Missing Order ID",IF(S2187="DROP","Duplicate Order ID (less complete row)",IF(U2187=1,"Missing Customer ID",IF(V2187=1,"Missing Restaurant name",IF(W2187=1,"Invalid/outlier quantity",IF(X2187=1,"Invalid/outlier unit price",IF(Y2187=1,"Discount greater than order value",""))))))))</f>
        <v>Exact duplicate row</v>
      </c>
      <c r="AC2187" s="7" t="str">
        <f aca="false">IF(AB2187="","KEEP","DROP")</f>
        <v>DROP</v>
      </c>
      <c r="AD2187" s="7" t="str">
        <f aca="false">IF(TRIM(F2187)="",IFERROR(INDEX(Map_Tables!$I$4:$I$37,MATCH(TRIM(E2187),Map_Tables!$G$4:$G$37,0)),""),IFERROR(INDEX(Map_Tables!$B$4:$B$18,MATCH(TRIM(F2187),Map_Tables!$A$4:$A$18,0)),"CHECK"))</f>
        <v>Chennai</v>
      </c>
      <c r="AE2187" s="7" t="str">
        <f aca="false">IF(TRIM(E2187)="","",IFERROR(INDEX(Map_Tables!$H$4:$H$37,MATCH(TRIM(E2187),Map_Tables!$G$4:$G$37,0)),"CHECK"))</f>
        <v>Madras Biryani Co</v>
      </c>
      <c r="AF2187" s="7" t="str">
        <f aca="false">IF(TRIM(K2187)="","Unknown",IFERROR(INDEX(Map_Tables!$E$4:$E$15,MATCH(TRIM(K2187),Map_Tables!$D$4:$D$15,0)),"CHECK"))</f>
        <v>Cash on Delivery</v>
      </c>
      <c r="AG2187" s="7" t="str">
        <f aca="false">IF(LEFT(LOWER(TRIM(L2187)),6)="cancel","Cancelled","Delivered")</f>
        <v>Delivered</v>
      </c>
      <c r="AH2187" s="10" t="n">
        <f aca="false">IF(ISNUMBER(SEARCH("/",B2187)),DATE(VALUE(RIGHT(B2187,4)),VALUE(MID(B2187,4,2)),VALUE(LEFT(B2187,2))),IF(MID(B2187,5,1)="-",DATE(VALUE(LEFT(B2187,4)),VALUE(MID(B2187,6,2)),VALUE(RIGHT(B2187,2))),DATE(VALUE(RIGHT(B2187,4)),MATCH(MID(B2187,4,3),{"Jan","Feb","Mar","Apr","May","Jun","Jul","Aug","Sep","Oct","Nov","Dec"},0),VALUE(LEFT(B2187,2)))))</f>
        <v>45671</v>
      </c>
    </row>
    <row r="2188" customFormat="false" ht="15" hidden="false" customHeight="false" outlineLevel="0" collapsed="false">
      <c r="A2188" s="7" t="s">
        <v>5037</v>
      </c>
      <c r="B2188" s="7" t="s">
        <v>2218</v>
      </c>
      <c r="C2188" s="7" t="s">
        <v>5038</v>
      </c>
      <c r="D2188" s="7" t="s">
        <v>5036</v>
      </c>
      <c r="E2188" s="7" t="s">
        <v>164</v>
      </c>
      <c r="F2188" s="7" t="s">
        <v>141</v>
      </c>
      <c r="G2188" s="7" t="s">
        <v>150</v>
      </c>
      <c r="H2188" s="7" t="n">
        <v>2</v>
      </c>
      <c r="I2188" s="7" t="n">
        <v>120</v>
      </c>
      <c r="J2188" s="7" t="n">
        <v>30</v>
      </c>
      <c r="K2188" s="7" t="s">
        <v>88</v>
      </c>
      <c r="L2188" s="7" t="s">
        <v>194</v>
      </c>
      <c r="M2188" s="7" t="n">
        <v>38</v>
      </c>
      <c r="N2188" s="7" t="n">
        <v>2</v>
      </c>
      <c r="O2188" s="7" t="str">
        <f aca="false">A2188&amp;"|"&amp;B2188&amp;"|"&amp;C2188&amp;"|"&amp;D2188&amp;"|"&amp;E2188&amp;"|"&amp;F2188&amp;"|"&amp;G2188&amp;"|"&amp;H2188&amp;"|"&amp;I2188&amp;"|"&amp;J2188&amp;"|"&amp;K2188&amp;"|"&amp;L2188&amp;"|"&amp;M2188&amp;"|"&amp;N2188</f>
        <v>ORD11260|09-Jun-2025|23:27|C1062|Mishti Mandir|Kolkata|Desserts|2|120|30|UPI|Delivered|38|2</v>
      </c>
      <c r="P2188" s="7" t="str">
        <f aca="false">IF(COUNTIF($O$2:O2188,O2188)&gt;1,"DUP","OK")</f>
        <v>OK</v>
      </c>
      <c r="Q2188" s="7" t="n">
        <f aca="false">COUNTBLANK(A2188:N2188)</f>
        <v>0</v>
      </c>
      <c r="R2188" s="7" t="n">
        <f aca="false">IF(A2188="",0,COUNTIFS($A$2:$A$3058,A2188,$P$2:$P$3058,"OK"))</f>
        <v>1</v>
      </c>
      <c r="S2188" s="7" t="str">
        <f aca="false">IF(OR(A2188="",P2188="DUP",R2188&lt;2),"",IF(Q2188=_xlfn.MINIFS($Q$2:$Q$3058,$A$2:$A$3058,A2188,$P$2:$P$3058,"OK"),"KEEP","DROP"))</f>
        <v/>
      </c>
      <c r="T2188" s="9" t="n">
        <f aca="false">IF(A2188="",1,0)</f>
        <v>0</v>
      </c>
      <c r="U2188" s="9" t="n">
        <f aca="false">IF(D2188="",1,0)</f>
        <v>0</v>
      </c>
      <c r="V2188" s="9" t="n">
        <f aca="false">IF(E2188="",1,0)</f>
        <v>0</v>
      </c>
      <c r="W2188" s="9" t="n">
        <f aca="false">IF(OR(H2188&lt;1,H2188&gt;10),1,0)</f>
        <v>0</v>
      </c>
      <c r="X2188" s="9" t="n">
        <f aca="false">IF(OR(I2188&lt;=0,I2188&gt;1500),1,0)</f>
        <v>0</v>
      </c>
      <c r="Y2188" s="9" t="n">
        <f aca="false">IF(J2188&gt;H2188*I2188,1,0)</f>
        <v>0</v>
      </c>
      <c r="Z2188" s="9" t="n">
        <f aca="false">IF(AND(N2188&lt;&gt;"",OR(N2188&lt;1,N2188&gt;5)),1,0)</f>
        <v>0</v>
      </c>
      <c r="AA2188" s="9" t="n">
        <f aca="false">IF(AND(M2188&lt;&gt;"",OR(M2188&lt;5,M2188&gt;180)),1,0)</f>
        <v>0</v>
      </c>
      <c r="AB2188" s="7" t="str">
        <f aca="false">IF(P2188="DUP","Exact duplicate row",IF(T2188=1,"Missing Order ID",IF(S2188="DROP","Duplicate Order ID (less complete row)",IF(U2188=1,"Missing Customer ID",IF(V2188=1,"Missing Restaurant name",IF(W2188=1,"Invalid/outlier quantity",IF(X2188=1,"Invalid/outlier unit price",IF(Y2188=1,"Discount greater than order value",""))))))))</f>
        <v/>
      </c>
      <c r="AC2188" s="7" t="str">
        <f aca="false">IF(AB2188="","KEEP","DROP")</f>
        <v>KEEP</v>
      </c>
      <c r="AD2188" s="7" t="str">
        <f aca="false">IF(TRIM(F2188)="",IFERROR(INDEX(Map_Tables!$I$4:$I$37,MATCH(TRIM(E2188),Map_Tables!$G$4:$G$37,0)),""),IFERROR(INDEX(Map_Tables!$B$4:$B$18,MATCH(TRIM(F2188),Map_Tables!$A$4:$A$18,0)),"CHECK"))</f>
        <v>Kolkata</v>
      </c>
      <c r="AE2188" s="7" t="str">
        <f aca="false">IF(TRIM(E2188)="","",IFERROR(INDEX(Map_Tables!$H$4:$H$37,MATCH(TRIM(E2188),Map_Tables!$G$4:$G$37,0)),"CHECK"))</f>
        <v>Mishti Mandir</v>
      </c>
      <c r="AF2188" s="7" t="str">
        <f aca="false">IF(TRIM(K2188)="","Unknown",IFERROR(INDEX(Map_Tables!$E$4:$E$15,MATCH(TRIM(K2188),Map_Tables!$D$4:$D$15,0)),"CHECK"))</f>
        <v>UPI</v>
      </c>
      <c r="AG2188" s="7" t="str">
        <f aca="false">IF(LEFT(LOWER(TRIM(L2188)),6)="cancel","Cancelled","Delivered")</f>
        <v>Delivered</v>
      </c>
      <c r="AH2188" s="10" t="n">
        <f aca="false">IF(ISNUMBER(SEARCH("/",B2188)),DATE(VALUE(RIGHT(B2188,4)),VALUE(MID(B2188,4,2)),VALUE(LEFT(B2188,2))),IF(MID(B2188,5,1)="-",DATE(VALUE(LEFT(B2188,4)),VALUE(MID(B2188,6,2)),VALUE(RIGHT(B2188,2))),DATE(VALUE(RIGHT(B2188,4)),MATCH(MID(B2188,4,3),{"Jan","Feb","Mar","Apr","May","Jun","Jul","Aug","Sep","Oct","Nov","Dec"},0),VALUE(LEFT(B2188,2)))))</f>
        <v>45817</v>
      </c>
    </row>
    <row r="2189" customFormat="false" ht="15" hidden="false" customHeight="false" outlineLevel="0" collapsed="false">
      <c r="A2189" s="7" t="s">
        <v>5039</v>
      </c>
      <c r="B2189" s="7" t="s">
        <v>3386</v>
      </c>
      <c r="C2189" s="7" t="s">
        <v>5040</v>
      </c>
      <c r="D2189" s="7" t="s">
        <v>5041</v>
      </c>
      <c r="E2189" s="7" t="s">
        <v>122</v>
      </c>
      <c r="F2189" s="7" t="s">
        <v>101</v>
      </c>
      <c r="G2189" s="7" t="s">
        <v>123</v>
      </c>
      <c r="H2189" s="7" t="n">
        <v>1</v>
      </c>
      <c r="I2189" s="7" t="n">
        <v>400</v>
      </c>
      <c r="J2189" s="7" t="n">
        <v>20</v>
      </c>
      <c r="K2189" s="7" t="s">
        <v>88</v>
      </c>
      <c r="L2189" s="7" t="s">
        <v>194</v>
      </c>
      <c r="M2189" s="7" t="n">
        <v>52</v>
      </c>
      <c r="N2189" s="7" t="n">
        <v>4</v>
      </c>
      <c r="O2189" s="7" t="str">
        <f aca="false">A2189&amp;"|"&amp;B2189&amp;"|"&amp;C2189&amp;"|"&amp;D2189&amp;"|"&amp;E2189&amp;"|"&amp;F2189&amp;"|"&amp;G2189&amp;"|"&amp;H2189&amp;"|"&amp;I2189&amp;"|"&amp;J2189&amp;"|"&amp;K2189&amp;"|"&amp;L2189&amp;"|"&amp;M2189&amp;"|"&amp;N2189</f>
        <v>ORD10810|2025-04-13|14:43|C1447|Mumbai Pizza Co|Mumbai|Pizza|1|400|20|UPI|Delivered|52|4</v>
      </c>
      <c r="P2189" s="7" t="str">
        <f aca="false">IF(COUNTIF($O$2:O2189,O2189)&gt;1,"DUP","OK")</f>
        <v>OK</v>
      </c>
      <c r="Q2189" s="7" t="n">
        <f aca="false">COUNTBLANK(A2189:N2189)</f>
        <v>0</v>
      </c>
      <c r="R2189" s="7" t="n">
        <f aca="false">IF(A2189="",0,COUNTIFS($A$2:$A$3058,A2189,$P$2:$P$3058,"OK"))</f>
        <v>1</v>
      </c>
      <c r="S2189" s="7" t="str">
        <f aca="false">IF(OR(A2189="",P2189="DUP",R2189&lt;2),"",IF(Q2189=_xlfn.MINIFS($Q$2:$Q$3058,$A$2:$A$3058,A2189,$P$2:$P$3058,"OK"),"KEEP","DROP"))</f>
        <v/>
      </c>
      <c r="T2189" s="9" t="n">
        <f aca="false">IF(A2189="",1,0)</f>
        <v>0</v>
      </c>
      <c r="U2189" s="9" t="n">
        <f aca="false">IF(D2189="",1,0)</f>
        <v>0</v>
      </c>
      <c r="V2189" s="9" t="n">
        <f aca="false">IF(E2189="",1,0)</f>
        <v>0</v>
      </c>
      <c r="W2189" s="9" t="n">
        <f aca="false">IF(OR(H2189&lt;1,H2189&gt;10),1,0)</f>
        <v>0</v>
      </c>
      <c r="X2189" s="9" t="n">
        <f aca="false">IF(OR(I2189&lt;=0,I2189&gt;1500),1,0)</f>
        <v>0</v>
      </c>
      <c r="Y2189" s="9" t="n">
        <f aca="false">IF(J2189&gt;H2189*I2189,1,0)</f>
        <v>0</v>
      </c>
      <c r="Z2189" s="9" t="n">
        <f aca="false">IF(AND(N2189&lt;&gt;"",OR(N2189&lt;1,N2189&gt;5)),1,0)</f>
        <v>0</v>
      </c>
      <c r="AA2189" s="9" t="n">
        <f aca="false">IF(AND(M2189&lt;&gt;"",OR(M2189&lt;5,M2189&gt;180)),1,0)</f>
        <v>0</v>
      </c>
      <c r="AB2189" s="7" t="str">
        <f aca="false">IF(P2189="DUP","Exact duplicate row",IF(T2189=1,"Missing Order ID",IF(S2189="DROP","Duplicate Order ID (less complete row)",IF(U2189=1,"Missing Customer ID",IF(V2189=1,"Missing Restaurant name",IF(W2189=1,"Invalid/outlier quantity",IF(X2189=1,"Invalid/outlier unit price",IF(Y2189=1,"Discount greater than order value",""))))))))</f>
        <v/>
      </c>
      <c r="AC2189" s="7" t="str">
        <f aca="false">IF(AB2189="","KEEP","DROP")</f>
        <v>KEEP</v>
      </c>
      <c r="AD2189" s="7" t="str">
        <f aca="false">IF(TRIM(F2189)="",IFERROR(INDEX(Map_Tables!$I$4:$I$37,MATCH(TRIM(E2189),Map_Tables!$G$4:$G$37,0)),""),IFERROR(INDEX(Map_Tables!$B$4:$B$18,MATCH(TRIM(F2189),Map_Tables!$A$4:$A$18,0)),"CHECK"))</f>
        <v>Mumbai</v>
      </c>
      <c r="AE2189" s="7" t="str">
        <f aca="false">IF(TRIM(E2189)="","",IFERROR(INDEX(Map_Tables!$H$4:$H$37,MATCH(TRIM(E2189),Map_Tables!$G$4:$G$37,0)),"CHECK"))</f>
        <v>Mumbai Pizza Co</v>
      </c>
      <c r="AF2189" s="7" t="str">
        <f aca="false">IF(TRIM(K2189)="","Unknown",IFERROR(INDEX(Map_Tables!$E$4:$E$15,MATCH(TRIM(K2189),Map_Tables!$D$4:$D$15,0)),"CHECK"))</f>
        <v>UPI</v>
      </c>
      <c r="AG2189" s="7" t="str">
        <f aca="false">IF(LEFT(LOWER(TRIM(L2189)),6)="cancel","Cancelled","Delivered")</f>
        <v>Delivered</v>
      </c>
      <c r="AH2189" s="10" t="n">
        <f aca="false">IF(ISNUMBER(SEARCH("/",B2189)),DATE(VALUE(RIGHT(B2189,4)),VALUE(MID(B2189,4,2)),VALUE(LEFT(B2189,2))),IF(MID(B2189,5,1)="-",DATE(VALUE(LEFT(B2189,4)),VALUE(MID(B2189,6,2)),VALUE(RIGHT(B2189,2))),DATE(VALUE(RIGHT(B2189,4)),MATCH(MID(B2189,4,3),{"Jan","Feb","Mar","Apr","May","Jun","Jul","Aug","Sep","Oct","Nov","Dec"},0),VALUE(LEFT(B2189,2)))))</f>
        <v>45760</v>
      </c>
    </row>
    <row r="2190" customFormat="false" ht="15" hidden="false" customHeight="false" outlineLevel="0" collapsed="false">
      <c r="A2190" s="7" t="s">
        <v>5042</v>
      </c>
      <c r="B2190" s="7" t="s">
        <v>5043</v>
      </c>
      <c r="C2190" s="7" t="s">
        <v>1817</v>
      </c>
      <c r="D2190" s="7" t="s">
        <v>2746</v>
      </c>
      <c r="E2190" s="7" t="s">
        <v>154</v>
      </c>
      <c r="F2190" s="7" t="s">
        <v>128</v>
      </c>
      <c r="G2190" s="7" t="s">
        <v>99</v>
      </c>
      <c r="H2190" s="7" t="n">
        <v>3</v>
      </c>
      <c r="I2190" s="7" t="n">
        <v>255</v>
      </c>
      <c r="J2190" s="7" t="n">
        <v>100</v>
      </c>
      <c r="K2190" s="7" t="s">
        <v>112</v>
      </c>
      <c r="L2190" s="7" t="s">
        <v>194</v>
      </c>
      <c r="M2190" s="7" t="n">
        <v>26</v>
      </c>
      <c r="N2190" s="7" t="n">
        <v>3</v>
      </c>
      <c r="O2190" s="7" t="str">
        <f aca="false">A2190&amp;"|"&amp;B2190&amp;"|"&amp;C2190&amp;"|"&amp;D2190&amp;"|"&amp;E2190&amp;"|"&amp;F2190&amp;"|"&amp;G2190&amp;"|"&amp;H2190&amp;"|"&amp;I2190&amp;"|"&amp;J2190&amp;"|"&amp;K2190&amp;"|"&amp;L2190&amp;"|"&amp;M2190&amp;"|"&amp;N2190</f>
        <v>ORD11050|12/05/2025|20:47|C0129|Madras Biryani Co|Chennai|Biryani|3|255|100|Cash on Delivery|Delivered|26|3</v>
      </c>
      <c r="P2190" s="7" t="str">
        <f aca="false">IF(COUNTIF($O$2:O2190,O2190)&gt;1,"DUP","OK")</f>
        <v>OK</v>
      </c>
      <c r="Q2190" s="7" t="n">
        <f aca="false">COUNTBLANK(A2190:N2190)</f>
        <v>0</v>
      </c>
      <c r="R2190" s="7" t="n">
        <f aca="false">IF(A2190="",0,COUNTIFS($A$2:$A$3058,A2190,$P$2:$P$3058,"OK"))</f>
        <v>1</v>
      </c>
      <c r="S2190" s="7" t="str">
        <f aca="false">IF(OR(A2190="",P2190="DUP",R2190&lt;2),"",IF(Q2190=_xlfn.MINIFS($Q$2:$Q$3058,$A$2:$A$3058,A2190,$P$2:$P$3058,"OK"),"KEEP","DROP"))</f>
        <v/>
      </c>
      <c r="T2190" s="9" t="n">
        <f aca="false">IF(A2190="",1,0)</f>
        <v>0</v>
      </c>
      <c r="U2190" s="9" t="n">
        <f aca="false">IF(D2190="",1,0)</f>
        <v>0</v>
      </c>
      <c r="V2190" s="9" t="n">
        <f aca="false">IF(E2190="",1,0)</f>
        <v>0</v>
      </c>
      <c r="W2190" s="9" t="n">
        <f aca="false">IF(OR(H2190&lt;1,H2190&gt;10),1,0)</f>
        <v>0</v>
      </c>
      <c r="X2190" s="9" t="n">
        <f aca="false">IF(OR(I2190&lt;=0,I2190&gt;1500),1,0)</f>
        <v>0</v>
      </c>
      <c r="Y2190" s="9" t="n">
        <f aca="false">IF(J2190&gt;H2190*I2190,1,0)</f>
        <v>0</v>
      </c>
      <c r="Z2190" s="9" t="n">
        <f aca="false">IF(AND(N2190&lt;&gt;"",OR(N2190&lt;1,N2190&gt;5)),1,0)</f>
        <v>0</v>
      </c>
      <c r="AA2190" s="9" t="n">
        <f aca="false">IF(AND(M2190&lt;&gt;"",OR(M2190&lt;5,M2190&gt;180)),1,0)</f>
        <v>0</v>
      </c>
      <c r="AB2190" s="7" t="str">
        <f aca="false">IF(P2190="DUP","Exact duplicate row",IF(T2190=1,"Missing Order ID",IF(S2190="DROP","Duplicate Order ID (less complete row)",IF(U2190=1,"Missing Customer ID",IF(V2190=1,"Missing Restaurant name",IF(W2190=1,"Invalid/outlier quantity",IF(X2190=1,"Invalid/outlier unit price",IF(Y2190=1,"Discount greater than order value",""))))))))</f>
        <v/>
      </c>
      <c r="AC2190" s="7" t="str">
        <f aca="false">IF(AB2190="","KEEP","DROP")</f>
        <v>KEEP</v>
      </c>
      <c r="AD2190" s="7" t="str">
        <f aca="false">IF(TRIM(F2190)="",IFERROR(INDEX(Map_Tables!$I$4:$I$37,MATCH(TRIM(E2190),Map_Tables!$G$4:$G$37,0)),""),IFERROR(INDEX(Map_Tables!$B$4:$B$18,MATCH(TRIM(F2190),Map_Tables!$A$4:$A$18,0)),"CHECK"))</f>
        <v>Chennai</v>
      </c>
      <c r="AE2190" s="7" t="str">
        <f aca="false">IF(TRIM(E2190)="","",IFERROR(INDEX(Map_Tables!$H$4:$H$37,MATCH(TRIM(E2190),Map_Tables!$G$4:$G$37,0)),"CHECK"))</f>
        <v>Madras Biryani Co</v>
      </c>
      <c r="AF2190" s="7" t="str">
        <f aca="false">IF(TRIM(K2190)="","Unknown",IFERROR(INDEX(Map_Tables!$E$4:$E$15,MATCH(TRIM(K2190),Map_Tables!$D$4:$D$15,0)),"CHECK"))</f>
        <v>Cash on Delivery</v>
      </c>
      <c r="AG2190" s="7" t="str">
        <f aca="false">IF(LEFT(LOWER(TRIM(L2190)),6)="cancel","Cancelled","Delivered")</f>
        <v>Delivered</v>
      </c>
      <c r="AH2190" s="10" t="n">
        <f aca="false">IF(ISNUMBER(SEARCH("/",B2190)),DATE(VALUE(RIGHT(B2190,4)),VALUE(MID(B2190,4,2)),VALUE(LEFT(B2190,2))),IF(MID(B2190,5,1)="-",DATE(VALUE(LEFT(B2190,4)),VALUE(MID(B2190,6,2)),VALUE(RIGHT(B2190,2))),DATE(VALUE(RIGHT(B2190,4)),MATCH(MID(B2190,4,3),{"Jan","Feb","Mar","Apr","May","Jun","Jul","Aug","Sep","Oct","Nov","Dec"},0),VALUE(LEFT(B2190,2)))))</f>
        <v>45789</v>
      </c>
    </row>
    <row r="2191" customFormat="false" ht="15" hidden="false" customHeight="false" outlineLevel="0" collapsed="false">
      <c r="A2191" s="7" t="s">
        <v>5044</v>
      </c>
      <c r="B2191" s="7" t="s">
        <v>2032</v>
      </c>
      <c r="C2191" s="7" t="s">
        <v>755</v>
      </c>
      <c r="D2191" s="7" t="s">
        <v>4283</v>
      </c>
      <c r="E2191" s="7" t="s">
        <v>130</v>
      </c>
      <c r="F2191" s="7" t="s">
        <v>110</v>
      </c>
      <c r="G2191" s="7" t="s">
        <v>90</v>
      </c>
      <c r="H2191" s="7" t="n">
        <v>2</v>
      </c>
      <c r="I2191" s="7" t="n">
        <v>310</v>
      </c>
      <c r="J2191" s="7" t="n">
        <v>0</v>
      </c>
      <c r="K2191" s="7" t="s">
        <v>121</v>
      </c>
      <c r="L2191" s="7" t="s">
        <v>194</v>
      </c>
      <c r="M2191" s="7" t="n">
        <v>44</v>
      </c>
      <c r="N2191" s="7" t="n">
        <v>4</v>
      </c>
      <c r="O2191" s="7" t="str">
        <f aca="false">A2191&amp;"|"&amp;B2191&amp;"|"&amp;C2191&amp;"|"&amp;D2191&amp;"|"&amp;E2191&amp;"|"&amp;F2191&amp;"|"&amp;G2191&amp;"|"&amp;H2191&amp;"|"&amp;I2191&amp;"|"&amp;J2191&amp;"|"&amp;K2191&amp;"|"&amp;L2191&amp;"|"&amp;M2191&amp;"|"&amp;N2191</f>
        <v>ORD12797|2025-12-08|11:24|C0886|Tandoor Tales|Delhi|North Indian|2|310|0|Wallet|Delivered|44|4</v>
      </c>
      <c r="P2191" s="7" t="str">
        <f aca="false">IF(COUNTIF($O$2:O2191,O2191)&gt;1,"DUP","OK")</f>
        <v>OK</v>
      </c>
      <c r="Q2191" s="7" t="n">
        <f aca="false">COUNTBLANK(A2191:N2191)</f>
        <v>0</v>
      </c>
      <c r="R2191" s="7" t="n">
        <f aca="false">IF(A2191="",0,COUNTIFS($A$2:$A$3058,A2191,$P$2:$P$3058,"OK"))</f>
        <v>1</v>
      </c>
      <c r="S2191" s="7" t="str">
        <f aca="false">IF(OR(A2191="",P2191="DUP",R2191&lt;2),"",IF(Q2191=_xlfn.MINIFS($Q$2:$Q$3058,$A$2:$A$3058,A2191,$P$2:$P$3058,"OK"),"KEEP","DROP"))</f>
        <v/>
      </c>
      <c r="T2191" s="9" t="n">
        <f aca="false">IF(A2191="",1,0)</f>
        <v>0</v>
      </c>
      <c r="U2191" s="9" t="n">
        <f aca="false">IF(D2191="",1,0)</f>
        <v>0</v>
      </c>
      <c r="V2191" s="9" t="n">
        <f aca="false">IF(E2191="",1,0)</f>
        <v>0</v>
      </c>
      <c r="W2191" s="9" t="n">
        <f aca="false">IF(OR(H2191&lt;1,H2191&gt;10),1,0)</f>
        <v>0</v>
      </c>
      <c r="X2191" s="9" t="n">
        <f aca="false">IF(OR(I2191&lt;=0,I2191&gt;1500),1,0)</f>
        <v>0</v>
      </c>
      <c r="Y2191" s="9" t="n">
        <f aca="false">IF(J2191&gt;H2191*I2191,1,0)</f>
        <v>0</v>
      </c>
      <c r="Z2191" s="9" t="n">
        <f aca="false">IF(AND(N2191&lt;&gt;"",OR(N2191&lt;1,N2191&gt;5)),1,0)</f>
        <v>0</v>
      </c>
      <c r="AA2191" s="9" t="n">
        <f aca="false">IF(AND(M2191&lt;&gt;"",OR(M2191&lt;5,M2191&gt;180)),1,0)</f>
        <v>0</v>
      </c>
      <c r="AB2191" s="7" t="str">
        <f aca="false">IF(P2191="DUP","Exact duplicate row",IF(T2191=1,"Missing Order ID",IF(S2191="DROP","Duplicate Order ID (less complete row)",IF(U2191=1,"Missing Customer ID",IF(V2191=1,"Missing Restaurant name",IF(W2191=1,"Invalid/outlier quantity",IF(X2191=1,"Invalid/outlier unit price",IF(Y2191=1,"Discount greater than order value",""))))))))</f>
        <v/>
      </c>
      <c r="AC2191" s="7" t="str">
        <f aca="false">IF(AB2191="","KEEP","DROP")</f>
        <v>KEEP</v>
      </c>
      <c r="AD2191" s="7" t="str">
        <f aca="false">IF(TRIM(F2191)="",IFERROR(INDEX(Map_Tables!$I$4:$I$37,MATCH(TRIM(E2191),Map_Tables!$G$4:$G$37,0)),""),IFERROR(INDEX(Map_Tables!$B$4:$B$18,MATCH(TRIM(F2191),Map_Tables!$A$4:$A$18,0)),"CHECK"))</f>
        <v>Delhi</v>
      </c>
      <c r="AE2191" s="7" t="str">
        <f aca="false">IF(TRIM(E2191)="","",IFERROR(INDEX(Map_Tables!$H$4:$H$37,MATCH(TRIM(E2191),Map_Tables!$G$4:$G$37,0)),"CHECK"))</f>
        <v>Tandoor Tales</v>
      </c>
      <c r="AF2191" s="7" t="str">
        <f aca="false">IF(TRIM(K2191)="","Unknown",IFERROR(INDEX(Map_Tables!$E$4:$E$15,MATCH(TRIM(K2191),Map_Tables!$D$4:$D$15,0)),"CHECK"))</f>
        <v>Wallet</v>
      </c>
      <c r="AG2191" s="7" t="str">
        <f aca="false">IF(LEFT(LOWER(TRIM(L2191)),6)="cancel","Cancelled","Delivered")</f>
        <v>Delivered</v>
      </c>
      <c r="AH2191" s="10" t="n">
        <f aca="false">IF(ISNUMBER(SEARCH("/",B2191)),DATE(VALUE(RIGHT(B2191,4)),VALUE(MID(B2191,4,2)),VALUE(LEFT(B2191,2))),IF(MID(B2191,5,1)="-",DATE(VALUE(LEFT(B2191,4)),VALUE(MID(B2191,6,2)),VALUE(RIGHT(B2191,2))),DATE(VALUE(RIGHT(B2191,4)),MATCH(MID(B2191,4,3),{"Jan","Feb","Mar","Apr","May","Jun","Jul","Aug","Sep","Oct","Nov","Dec"},0),VALUE(LEFT(B2191,2)))))</f>
        <v>45999</v>
      </c>
    </row>
    <row r="2192" customFormat="false" ht="15" hidden="false" customHeight="false" outlineLevel="0" collapsed="false">
      <c r="A2192" s="7" t="s">
        <v>5045</v>
      </c>
      <c r="B2192" s="7" t="s">
        <v>924</v>
      </c>
      <c r="C2192" s="7" t="s">
        <v>3247</v>
      </c>
      <c r="D2192" s="7" t="s">
        <v>4147</v>
      </c>
      <c r="E2192" s="7" t="s">
        <v>151</v>
      </c>
      <c r="F2192" s="7" t="s">
        <v>128</v>
      </c>
      <c r="G2192" s="7" t="s">
        <v>95</v>
      </c>
      <c r="H2192" s="7" t="n">
        <v>2</v>
      </c>
      <c r="I2192" s="7" t="n">
        <v>190</v>
      </c>
      <c r="J2192" s="7" t="n">
        <v>0</v>
      </c>
      <c r="K2192" s="7" t="s">
        <v>88</v>
      </c>
      <c r="L2192" s="7" t="s">
        <v>194</v>
      </c>
      <c r="M2192" s="7" t="n">
        <v>39</v>
      </c>
      <c r="N2192" s="7" t="n">
        <v>4</v>
      </c>
      <c r="O2192" s="7" t="str">
        <f aca="false">A2192&amp;"|"&amp;B2192&amp;"|"&amp;C2192&amp;"|"&amp;D2192&amp;"|"&amp;E2192&amp;"|"&amp;F2192&amp;"|"&amp;G2192&amp;"|"&amp;H2192&amp;"|"&amp;I2192&amp;"|"&amp;J2192&amp;"|"&amp;K2192&amp;"|"&amp;L2192&amp;"|"&amp;M2192&amp;"|"&amp;N2192</f>
        <v>ORD10108|2025-01-14|19:12|C0561|Chettinad House|Chennai|South Indian|2|190|0|UPI|Delivered|39|4</v>
      </c>
      <c r="P2192" s="7" t="str">
        <f aca="false">IF(COUNTIF($O$2:O2192,O2192)&gt;1,"DUP","OK")</f>
        <v>OK</v>
      </c>
      <c r="Q2192" s="7" t="n">
        <f aca="false">COUNTBLANK(A2192:N2192)</f>
        <v>0</v>
      </c>
      <c r="R2192" s="7" t="n">
        <f aca="false">IF(A2192="",0,COUNTIFS($A$2:$A$3058,A2192,$P$2:$P$3058,"OK"))</f>
        <v>1</v>
      </c>
      <c r="S2192" s="7" t="str">
        <f aca="false">IF(OR(A2192="",P2192="DUP",R2192&lt;2),"",IF(Q2192=_xlfn.MINIFS($Q$2:$Q$3058,$A$2:$A$3058,A2192,$P$2:$P$3058,"OK"),"KEEP","DROP"))</f>
        <v/>
      </c>
      <c r="T2192" s="9" t="n">
        <f aca="false">IF(A2192="",1,0)</f>
        <v>0</v>
      </c>
      <c r="U2192" s="9" t="n">
        <f aca="false">IF(D2192="",1,0)</f>
        <v>0</v>
      </c>
      <c r="V2192" s="9" t="n">
        <f aca="false">IF(E2192="",1,0)</f>
        <v>0</v>
      </c>
      <c r="W2192" s="9" t="n">
        <f aca="false">IF(OR(H2192&lt;1,H2192&gt;10),1,0)</f>
        <v>0</v>
      </c>
      <c r="X2192" s="9" t="n">
        <f aca="false">IF(OR(I2192&lt;=0,I2192&gt;1500),1,0)</f>
        <v>0</v>
      </c>
      <c r="Y2192" s="9" t="n">
        <f aca="false">IF(J2192&gt;H2192*I2192,1,0)</f>
        <v>0</v>
      </c>
      <c r="Z2192" s="9" t="n">
        <f aca="false">IF(AND(N2192&lt;&gt;"",OR(N2192&lt;1,N2192&gt;5)),1,0)</f>
        <v>0</v>
      </c>
      <c r="AA2192" s="9" t="n">
        <f aca="false">IF(AND(M2192&lt;&gt;"",OR(M2192&lt;5,M2192&gt;180)),1,0)</f>
        <v>0</v>
      </c>
      <c r="AB2192" s="7" t="str">
        <f aca="false">IF(P2192="DUP","Exact duplicate row",IF(T2192=1,"Missing Order ID",IF(S2192="DROP","Duplicate Order ID (less complete row)",IF(U2192=1,"Missing Customer ID",IF(V2192=1,"Missing Restaurant name",IF(W2192=1,"Invalid/outlier quantity",IF(X2192=1,"Invalid/outlier unit price",IF(Y2192=1,"Discount greater than order value",""))))))))</f>
        <v/>
      </c>
      <c r="AC2192" s="7" t="str">
        <f aca="false">IF(AB2192="","KEEP","DROP")</f>
        <v>KEEP</v>
      </c>
      <c r="AD2192" s="7" t="str">
        <f aca="false">IF(TRIM(F2192)="",IFERROR(INDEX(Map_Tables!$I$4:$I$37,MATCH(TRIM(E2192),Map_Tables!$G$4:$G$37,0)),""),IFERROR(INDEX(Map_Tables!$B$4:$B$18,MATCH(TRIM(F2192),Map_Tables!$A$4:$A$18,0)),"CHECK"))</f>
        <v>Chennai</v>
      </c>
      <c r="AE2192" s="7" t="str">
        <f aca="false">IF(TRIM(E2192)="","",IFERROR(INDEX(Map_Tables!$H$4:$H$37,MATCH(TRIM(E2192),Map_Tables!$G$4:$G$37,0)),"CHECK"))</f>
        <v>Chettinad House</v>
      </c>
      <c r="AF2192" s="7" t="str">
        <f aca="false">IF(TRIM(K2192)="","Unknown",IFERROR(INDEX(Map_Tables!$E$4:$E$15,MATCH(TRIM(K2192),Map_Tables!$D$4:$D$15,0)),"CHECK"))</f>
        <v>UPI</v>
      </c>
      <c r="AG2192" s="7" t="str">
        <f aca="false">IF(LEFT(LOWER(TRIM(L2192)),6)="cancel","Cancelled","Delivered")</f>
        <v>Delivered</v>
      </c>
      <c r="AH2192" s="10" t="n">
        <f aca="false">IF(ISNUMBER(SEARCH("/",B2192)),DATE(VALUE(RIGHT(B2192,4)),VALUE(MID(B2192,4,2)),VALUE(LEFT(B2192,2))),IF(MID(B2192,5,1)="-",DATE(VALUE(LEFT(B2192,4)),VALUE(MID(B2192,6,2)),VALUE(RIGHT(B2192,2))),DATE(VALUE(RIGHT(B2192,4)),MATCH(MID(B2192,4,3),{"Jan","Feb","Mar","Apr","May","Jun","Jul","Aug","Sep","Oct","Nov","Dec"},0),VALUE(LEFT(B2192,2)))))</f>
        <v>45671</v>
      </c>
    </row>
    <row r="2193" customFormat="false" ht="15" hidden="false" customHeight="false" outlineLevel="0" collapsed="false">
      <c r="A2193" s="7" t="s">
        <v>5046</v>
      </c>
      <c r="B2193" s="7" t="s">
        <v>240</v>
      </c>
      <c r="C2193" s="7" t="s">
        <v>1277</v>
      </c>
      <c r="D2193" s="7" t="s">
        <v>5047</v>
      </c>
      <c r="E2193" s="7" t="s">
        <v>142</v>
      </c>
      <c r="F2193" s="7" t="s">
        <v>110</v>
      </c>
      <c r="G2193" s="7" t="s">
        <v>105</v>
      </c>
      <c r="H2193" s="7" t="n">
        <v>4</v>
      </c>
      <c r="I2193" s="7" t="n">
        <v>165</v>
      </c>
      <c r="J2193" s="7" t="n">
        <v>40</v>
      </c>
      <c r="K2193" s="7" t="s">
        <v>121</v>
      </c>
      <c r="L2193" s="7" t="s">
        <v>194</v>
      </c>
      <c r="M2193" s="7" t="n">
        <v>37</v>
      </c>
      <c r="N2193" s="7" t="n">
        <v>4</v>
      </c>
      <c r="O2193" s="7" t="str">
        <f aca="false">A2193&amp;"|"&amp;B2193&amp;"|"&amp;C2193&amp;"|"&amp;D2193&amp;"|"&amp;E2193&amp;"|"&amp;F2193&amp;"|"&amp;G2193&amp;"|"&amp;H2193&amp;"|"&amp;I2193&amp;"|"&amp;J2193&amp;"|"&amp;K2193&amp;"|"&amp;L2193&amp;"|"&amp;M2193&amp;"|"&amp;N2193</f>
        <v>ORD12154|2025-10-02|22:46|C0736|Momo Magic|Delhi|Chinese|4|165|40|Wallet|Delivered|37|4</v>
      </c>
      <c r="P2193" s="7" t="str">
        <f aca="false">IF(COUNTIF($O$2:O2193,O2193)&gt;1,"DUP","OK")</f>
        <v>OK</v>
      </c>
      <c r="Q2193" s="7" t="n">
        <f aca="false">COUNTBLANK(A2193:N2193)</f>
        <v>0</v>
      </c>
      <c r="R2193" s="7" t="n">
        <f aca="false">IF(A2193="",0,COUNTIFS($A$2:$A$3058,A2193,$P$2:$P$3058,"OK"))</f>
        <v>1</v>
      </c>
      <c r="S2193" s="7" t="str">
        <f aca="false">IF(OR(A2193="",P2193="DUP",R2193&lt;2),"",IF(Q2193=_xlfn.MINIFS($Q$2:$Q$3058,$A$2:$A$3058,A2193,$P$2:$P$3058,"OK"),"KEEP","DROP"))</f>
        <v/>
      </c>
      <c r="T2193" s="9" t="n">
        <f aca="false">IF(A2193="",1,0)</f>
        <v>0</v>
      </c>
      <c r="U2193" s="9" t="n">
        <f aca="false">IF(D2193="",1,0)</f>
        <v>0</v>
      </c>
      <c r="V2193" s="9" t="n">
        <f aca="false">IF(E2193="",1,0)</f>
        <v>0</v>
      </c>
      <c r="W2193" s="9" t="n">
        <f aca="false">IF(OR(H2193&lt;1,H2193&gt;10),1,0)</f>
        <v>0</v>
      </c>
      <c r="X2193" s="9" t="n">
        <f aca="false">IF(OR(I2193&lt;=0,I2193&gt;1500),1,0)</f>
        <v>0</v>
      </c>
      <c r="Y2193" s="9" t="n">
        <f aca="false">IF(J2193&gt;H2193*I2193,1,0)</f>
        <v>0</v>
      </c>
      <c r="Z2193" s="9" t="n">
        <f aca="false">IF(AND(N2193&lt;&gt;"",OR(N2193&lt;1,N2193&gt;5)),1,0)</f>
        <v>0</v>
      </c>
      <c r="AA2193" s="9" t="n">
        <f aca="false">IF(AND(M2193&lt;&gt;"",OR(M2193&lt;5,M2193&gt;180)),1,0)</f>
        <v>0</v>
      </c>
      <c r="AB2193" s="7" t="str">
        <f aca="false">IF(P2193="DUP","Exact duplicate row",IF(T2193=1,"Missing Order ID",IF(S2193="DROP","Duplicate Order ID (less complete row)",IF(U2193=1,"Missing Customer ID",IF(V2193=1,"Missing Restaurant name",IF(W2193=1,"Invalid/outlier quantity",IF(X2193=1,"Invalid/outlier unit price",IF(Y2193=1,"Discount greater than order value",""))))))))</f>
        <v/>
      </c>
      <c r="AC2193" s="7" t="str">
        <f aca="false">IF(AB2193="","KEEP","DROP")</f>
        <v>KEEP</v>
      </c>
      <c r="AD2193" s="7" t="str">
        <f aca="false">IF(TRIM(F2193)="",IFERROR(INDEX(Map_Tables!$I$4:$I$37,MATCH(TRIM(E2193),Map_Tables!$G$4:$G$37,0)),""),IFERROR(INDEX(Map_Tables!$B$4:$B$18,MATCH(TRIM(F2193),Map_Tables!$A$4:$A$18,0)),"CHECK"))</f>
        <v>Delhi</v>
      </c>
      <c r="AE2193" s="7" t="str">
        <f aca="false">IF(TRIM(E2193)="","",IFERROR(INDEX(Map_Tables!$H$4:$H$37,MATCH(TRIM(E2193),Map_Tables!$G$4:$G$37,0)),"CHECK"))</f>
        <v>Momo Magic</v>
      </c>
      <c r="AF2193" s="7" t="str">
        <f aca="false">IF(TRIM(K2193)="","Unknown",IFERROR(INDEX(Map_Tables!$E$4:$E$15,MATCH(TRIM(K2193),Map_Tables!$D$4:$D$15,0)),"CHECK"))</f>
        <v>Wallet</v>
      </c>
      <c r="AG2193" s="7" t="str">
        <f aca="false">IF(LEFT(LOWER(TRIM(L2193)),6)="cancel","Cancelled","Delivered")</f>
        <v>Delivered</v>
      </c>
      <c r="AH2193" s="10" t="n">
        <f aca="false">IF(ISNUMBER(SEARCH("/",B2193)),DATE(VALUE(RIGHT(B2193,4)),VALUE(MID(B2193,4,2)),VALUE(LEFT(B2193,2))),IF(MID(B2193,5,1)="-",DATE(VALUE(LEFT(B2193,4)),VALUE(MID(B2193,6,2)),VALUE(RIGHT(B2193,2))),DATE(VALUE(RIGHT(B2193,4)),MATCH(MID(B2193,4,3),{"Jan","Feb","Mar","Apr","May","Jun","Jul","Aug","Sep","Oct","Nov","Dec"},0),VALUE(LEFT(B2193,2)))))</f>
        <v>45932</v>
      </c>
    </row>
    <row r="2194" customFormat="false" ht="15" hidden="false" customHeight="false" outlineLevel="0" collapsed="false">
      <c r="A2194" s="7" t="s">
        <v>5048</v>
      </c>
      <c r="B2194" s="7" t="s">
        <v>190</v>
      </c>
      <c r="C2194" s="7" t="s">
        <v>218</v>
      </c>
      <c r="D2194" s="7" t="s">
        <v>1006</v>
      </c>
      <c r="E2194" s="7" t="s">
        <v>144</v>
      </c>
      <c r="F2194" s="7" t="s">
        <v>119</v>
      </c>
      <c r="G2194" s="7" t="s">
        <v>99</v>
      </c>
      <c r="H2194" s="7" t="n">
        <v>2</v>
      </c>
      <c r="I2194" s="7" t="n">
        <v>300</v>
      </c>
      <c r="J2194" s="7" t="n">
        <v>0</v>
      </c>
      <c r="K2194" s="7" t="s">
        <v>88</v>
      </c>
      <c r="L2194" s="7" t="s">
        <v>194</v>
      </c>
      <c r="M2194" s="7" t="n">
        <v>36</v>
      </c>
      <c r="N2194" s="7" t="n">
        <v>5</v>
      </c>
      <c r="O2194" s="7" t="str">
        <f aca="false">A2194&amp;"|"&amp;B2194&amp;"|"&amp;C2194&amp;"|"&amp;D2194&amp;"|"&amp;E2194&amp;"|"&amp;F2194&amp;"|"&amp;G2194&amp;"|"&amp;H2194&amp;"|"&amp;I2194&amp;"|"&amp;J2194&amp;"|"&amp;K2194&amp;"|"&amp;L2194&amp;"|"&amp;M2194&amp;"|"&amp;N2194</f>
        <v>ORD10674|2025-03-27|12:48|C0135|Hyderabad Dum Biryani|Hyderabad|Biryani|2|300|0|UPI|Delivered|36|5</v>
      </c>
      <c r="P2194" s="7" t="str">
        <f aca="false">IF(COUNTIF($O$2:O2194,O2194)&gt;1,"DUP","OK")</f>
        <v>OK</v>
      </c>
      <c r="Q2194" s="7" t="n">
        <f aca="false">COUNTBLANK(A2194:N2194)</f>
        <v>0</v>
      </c>
      <c r="R2194" s="7" t="n">
        <f aca="false">IF(A2194="",0,COUNTIFS($A$2:$A$3058,A2194,$P$2:$P$3058,"OK"))</f>
        <v>1</v>
      </c>
      <c r="S2194" s="7" t="str">
        <f aca="false">IF(OR(A2194="",P2194="DUP",R2194&lt;2),"",IF(Q2194=_xlfn.MINIFS($Q$2:$Q$3058,$A$2:$A$3058,A2194,$P$2:$P$3058,"OK"),"KEEP","DROP"))</f>
        <v/>
      </c>
      <c r="T2194" s="9" t="n">
        <f aca="false">IF(A2194="",1,0)</f>
        <v>0</v>
      </c>
      <c r="U2194" s="9" t="n">
        <f aca="false">IF(D2194="",1,0)</f>
        <v>0</v>
      </c>
      <c r="V2194" s="9" t="n">
        <f aca="false">IF(E2194="",1,0)</f>
        <v>0</v>
      </c>
      <c r="W2194" s="9" t="n">
        <f aca="false">IF(OR(H2194&lt;1,H2194&gt;10),1,0)</f>
        <v>0</v>
      </c>
      <c r="X2194" s="9" t="n">
        <f aca="false">IF(OR(I2194&lt;=0,I2194&gt;1500),1,0)</f>
        <v>0</v>
      </c>
      <c r="Y2194" s="9" t="n">
        <f aca="false">IF(J2194&gt;H2194*I2194,1,0)</f>
        <v>0</v>
      </c>
      <c r="Z2194" s="9" t="n">
        <f aca="false">IF(AND(N2194&lt;&gt;"",OR(N2194&lt;1,N2194&gt;5)),1,0)</f>
        <v>0</v>
      </c>
      <c r="AA2194" s="9" t="n">
        <f aca="false">IF(AND(M2194&lt;&gt;"",OR(M2194&lt;5,M2194&gt;180)),1,0)</f>
        <v>0</v>
      </c>
      <c r="AB2194" s="7" t="str">
        <f aca="false">IF(P2194="DUP","Exact duplicate row",IF(T2194=1,"Missing Order ID",IF(S2194="DROP","Duplicate Order ID (less complete row)",IF(U2194=1,"Missing Customer ID",IF(V2194=1,"Missing Restaurant name",IF(W2194=1,"Invalid/outlier quantity",IF(X2194=1,"Invalid/outlier unit price",IF(Y2194=1,"Discount greater than order value",""))))))))</f>
        <v/>
      </c>
      <c r="AC2194" s="7" t="str">
        <f aca="false">IF(AB2194="","KEEP","DROP")</f>
        <v>KEEP</v>
      </c>
      <c r="AD2194" s="7" t="str">
        <f aca="false">IF(TRIM(F2194)="",IFERROR(INDEX(Map_Tables!$I$4:$I$37,MATCH(TRIM(E2194),Map_Tables!$G$4:$G$37,0)),""),IFERROR(INDEX(Map_Tables!$B$4:$B$18,MATCH(TRIM(F2194),Map_Tables!$A$4:$A$18,0)),"CHECK"))</f>
        <v>Hyderabad</v>
      </c>
      <c r="AE2194" s="7" t="str">
        <f aca="false">IF(TRIM(E2194)="","",IFERROR(INDEX(Map_Tables!$H$4:$H$37,MATCH(TRIM(E2194),Map_Tables!$G$4:$G$37,0)),"CHECK"))</f>
        <v>Hyderabad Dum Biryani</v>
      </c>
      <c r="AF2194" s="7" t="str">
        <f aca="false">IF(TRIM(K2194)="","Unknown",IFERROR(INDEX(Map_Tables!$E$4:$E$15,MATCH(TRIM(K2194),Map_Tables!$D$4:$D$15,0)),"CHECK"))</f>
        <v>UPI</v>
      </c>
      <c r="AG2194" s="7" t="str">
        <f aca="false">IF(LEFT(LOWER(TRIM(L2194)),6)="cancel","Cancelled","Delivered")</f>
        <v>Delivered</v>
      </c>
      <c r="AH2194" s="10" t="n">
        <f aca="false">IF(ISNUMBER(SEARCH("/",B2194)),DATE(VALUE(RIGHT(B2194,4)),VALUE(MID(B2194,4,2)),VALUE(LEFT(B2194,2))),IF(MID(B2194,5,1)="-",DATE(VALUE(LEFT(B2194,4)),VALUE(MID(B2194,6,2)),VALUE(RIGHT(B2194,2))),DATE(VALUE(RIGHT(B2194,4)),MATCH(MID(B2194,4,3),{"Jan","Feb","Mar","Apr","May","Jun","Jul","Aug","Sep","Oct","Nov","Dec"},0),VALUE(LEFT(B2194,2)))))</f>
        <v>45743</v>
      </c>
    </row>
    <row r="2195" customFormat="false" ht="15" hidden="false" customHeight="false" outlineLevel="0" collapsed="false">
      <c r="A2195" s="7" t="s">
        <v>5049</v>
      </c>
      <c r="B2195" s="7" t="s">
        <v>678</v>
      </c>
      <c r="C2195" s="7" t="s">
        <v>1472</v>
      </c>
      <c r="D2195" s="7" t="s">
        <v>2540</v>
      </c>
      <c r="E2195" s="7" t="s">
        <v>4762</v>
      </c>
      <c r="F2195" s="7" t="s">
        <v>119</v>
      </c>
      <c r="G2195" s="7" t="s">
        <v>95</v>
      </c>
      <c r="H2195" s="7" t="n">
        <v>1</v>
      </c>
      <c r="I2195" s="7" t="n">
        <v>160</v>
      </c>
      <c r="J2195" s="7" t="n">
        <v>64</v>
      </c>
      <c r="K2195" s="7" t="s">
        <v>112</v>
      </c>
      <c r="L2195" s="7" t="s">
        <v>194</v>
      </c>
      <c r="M2195" s="7" t="n">
        <v>34</v>
      </c>
      <c r="N2195" s="7" t="n">
        <v>4</v>
      </c>
      <c r="O2195" s="7" t="str">
        <f aca="false">A2195&amp;"|"&amp;B2195&amp;"|"&amp;C2195&amp;"|"&amp;D2195&amp;"|"&amp;E2195&amp;"|"&amp;F2195&amp;"|"&amp;G2195&amp;"|"&amp;H2195&amp;"|"&amp;I2195&amp;"|"&amp;J2195&amp;"|"&amp;K2195&amp;"|"&amp;L2195&amp;"|"&amp;M2195&amp;"|"&amp;N2195</f>
        <v>ORD10666|2025-03-26|18:18|C0903|Andhra Meals Mess |Hyderabad|South Indian|1|160|64|Cash on Delivery|Delivered|34|4</v>
      </c>
      <c r="P2195" s="7" t="str">
        <f aca="false">IF(COUNTIF($O$2:O2195,O2195)&gt;1,"DUP","OK")</f>
        <v>OK</v>
      </c>
      <c r="Q2195" s="7" t="n">
        <f aca="false">COUNTBLANK(A2195:N2195)</f>
        <v>0</v>
      </c>
      <c r="R2195" s="7" t="n">
        <f aca="false">IF(A2195="",0,COUNTIFS($A$2:$A$3058,A2195,$P$2:$P$3058,"OK"))</f>
        <v>1</v>
      </c>
      <c r="S2195" s="7" t="str">
        <f aca="false">IF(OR(A2195="",P2195="DUP",R2195&lt;2),"",IF(Q2195=_xlfn.MINIFS($Q$2:$Q$3058,$A$2:$A$3058,A2195,$P$2:$P$3058,"OK"),"KEEP","DROP"))</f>
        <v/>
      </c>
      <c r="T2195" s="9" t="n">
        <f aca="false">IF(A2195="",1,0)</f>
        <v>0</v>
      </c>
      <c r="U2195" s="9" t="n">
        <f aca="false">IF(D2195="",1,0)</f>
        <v>0</v>
      </c>
      <c r="V2195" s="9" t="n">
        <f aca="false">IF(E2195="",1,0)</f>
        <v>0</v>
      </c>
      <c r="W2195" s="9" t="n">
        <f aca="false">IF(OR(H2195&lt;1,H2195&gt;10),1,0)</f>
        <v>0</v>
      </c>
      <c r="X2195" s="9" t="n">
        <f aca="false">IF(OR(I2195&lt;=0,I2195&gt;1500),1,0)</f>
        <v>0</v>
      </c>
      <c r="Y2195" s="9" t="n">
        <f aca="false">IF(J2195&gt;H2195*I2195,1,0)</f>
        <v>0</v>
      </c>
      <c r="Z2195" s="9" t="n">
        <f aca="false">IF(AND(N2195&lt;&gt;"",OR(N2195&lt;1,N2195&gt;5)),1,0)</f>
        <v>0</v>
      </c>
      <c r="AA2195" s="9" t="n">
        <f aca="false">IF(AND(M2195&lt;&gt;"",OR(M2195&lt;5,M2195&gt;180)),1,0)</f>
        <v>0</v>
      </c>
      <c r="AB2195" s="7" t="str">
        <f aca="false">IF(P2195="DUP","Exact duplicate row",IF(T2195=1,"Missing Order ID",IF(S2195="DROP","Duplicate Order ID (less complete row)",IF(U2195=1,"Missing Customer ID",IF(V2195=1,"Missing Restaurant name",IF(W2195=1,"Invalid/outlier quantity",IF(X2195=1,"Invalid/outlier unit price",IF(Y2195=1,"Discount greater than order value",""))))))))</f>
        <v/>
      </c>
      <c r="AC2195" s="7" t="str">
        <f aca="false">IF(AB2195="","KEEP","DROP")</f>
        <v>KEEP</v>
      </c>
      <c r="AD2195" s="7" t="str">
        <f aca="false">IF(TRIM(F2195)="",IFERROR(INDEX(Map_Tables!$I$4:$I$37,MATCH(TRIM(E2195),Map_Tables!$G$4:$G$37,0)),""),IFERROR(INDEX(Map_Tables!$B$4:$B$18,MATCH(TRIM(F2195),Map_Tables!$A$4:$A$18,0)),"CHECK"))</f>
        <v>Hyderabad</v>
      </c>
      <c r="AE2195" s="7" t="str">
        <f aca="false">IF(TRIM(E2195)="","",IFERROR(INDEX(Map_Tables!$H$4:$H$37,MATCH(TRIM(E2195),Map_Tables!$G$4:$G$37,0)),"CHECK"))</f>
        <v>Andhra Meals Mess</v>
      </c>
      <c r="AF2195" s="7" t="str">
        <f aca="false">IF(TRIM(K2195)="","Unknown",IFERROR(INDEX(Map_Tables!$E$4:$E$15,MATCH(TRIM(K2195),Map_Tables!$D$4:$D$15,0)),"CHECK"))</f>
        <v>Cash on Delivery</v>
      </c>
      <c r="AG2195" s="7" t="str">
        <f aca="false">IF(LEFT(LOWER(TRIM(L2195)),6)="cancel","Cancelled","Delivered")</f>
        <v>Delivered</v>
      </c>
      <c r="AH2195" s="10" t="n">
        <f aca="false">IF(ISNUMBER(SEARCH("/",B2195)),DATE(VALUE(RIGHT(B2195,4)),VALUE(MID(B2195,4,2)),VALUE(LEFT(B2195,2))),IF(MID(B2195,5,1)="-",DATE(VALUE(LEFT(B2195,4)),VALUE(MID(B2195,6,2)),VALUE(RIGHT(B2195,2))),DATE(VALUE(RIGHT(B2195,4)),MATCH(MID(B2195,4,3),{"Jan","Feb","Mar","Apr","May","Jun","Jul","Aug","Sep","Oct","Nov","Dec"},0),VALUE(LEFT(B2195,2)))))</f>
        <v>45742</v>
      </c>
    </row>
    <row r="2196" customFormat="false" ht="15" hidden="false" customHeight="false" outlineLevel="0" collapsed="false">
      <c r="A2196" s="7" t="s">
        <v>5050</v>
      </c>
      <c r="B2196" s="7" t="s">
        <v>1393</v>
      </c>
      <c r="C2196" s="7" t="s">
        <v>2921</v>
      </c>
      <c r="D2196" s="7" t="s">
        <v>863</v>
      </c>
      <c r="E2196" s="7" t="s">
        <v>5051</v>
      </c>
      <c r="F2196" s="7" t="s">
        <v>141</v>
      </c>
      <c r="G2196" s="7" t="s">
        <v>99</v>
      </c>
      <c r="H2196" s="7" t="n">
        <v>2</v>
      </c>
      <c r="I2196" s="7" t="n">
        <v>230</v>
      </c>
      <c r="J2196" s="7" t="n">
        <v>75</v>
      </c>
      <c r="K2196" s="7" t="s">
        <v>121</v>
      </c>
      <c r="L2196" s="7" t="s">
        <v>194</v>
      </c>
      <c r="M2196" s="7" t="n">
        <v>36</v>
      </c>
      <c r="N2196" s="7" t="n">
        <v>4</v>
      </c>
      <c r="O2196" s="7" t="str">
        <f aca="false">A2196&amp;"|"&amp;B2196&amp;"|"&amp;C2196&amp;"|"&amp;D2196&amp;"|"&amp;E2196&amp;"|"&amp;F2196&amp;"|"&amp;G2196&amp;"|"&amp;H2196&amp;"|"&amp;I2196&amp;"|"&amp;J2196&amp;"|"&amp;K2196&amp;"|"&amp;L2196&amp;"|"&amp;M2196&amp;"|"&amp;N2196</f>
        <v>ORD10510|2025-03-08|12:44|C0648|BIRYANI BAADSHAH|Kolkata|Biryani|2|230|75|Wallet|Delivered|36|4</v>
      </c>
      <c r="P2196" s="7" t="str">
        <f aca="false">IF(COUNTIF($O$2:O2196,O2196)&gt;1,"DUP","OK")</f>
        <v>OK</v>
      </c>
      <c r="Q2196" s="7" t="n">
        <f aca="false">COUNTBLANK(A2196:N2196)</f>
        <v>0</v>
      </c>
      <c r="R2196" s="7" t="n">
        <f aca="false">IF(A2196="",0,COUNTIFS($A$2:$A$3058,A2196,$P$2:$P$3058,"OK"))</f>
        <v>1</v>
      </c>
      <c r="S2196" s="7" t="str">
        <f aca="false">IF(OR(A2196="",P2196="DUP",R2196&lt;2),"",IF(Q2196=_xlfn.MINIFS($Q$2:$Q$3058,$A$2:$A$3058,A2196,$P$2:$P$3058,"OK"),"KEEP","DROP"))</f>
        <v/>
      </c>
      <c r="T2196" s="9" t="n">
        <f aca="false">IF(A2196="",1,0)</f>
        <v>0</v>
      </c>
      <c r="U2196" s="9" t="n">
        <f aca="false">IF(D2196="",1,0)</f>
        <v>0</v>
      </c>
      <c r="V2196" s="9" t="n">
        <f aca="false">IF(E2196="",1,0)</f>
        <v>0</v>
      </c>
      <c r="W2196" s="9" t="n">
        <f aca="false">IF(OR(H2196&lt;1,H2196&gt;10),1,0)</f>
        <v>0</v>
      </c>
      <c r="X2196" s="9" t="n">
        <f aca="false">IF(OR(I2196&lt;=0,I2196&gt;1500),1,0)</f>
        <v>0</v>
      </c>
      <c r="Y2196" s="9" t="n">
        <f aca="false">IF(J2196&gt;H2196*I2196,1,0)</f>
        <v>0</v>
      </c>
      <c r="Z2196" s="9" t="n">
        <f aca="false">IF(AND(N2196&lt;&gt;"",OR(N2196&lt;1,N2196&gt;5)),1,0)</f>
        <v>0</v>
      </c>
      <c r="AA2196" s="9" t="n">
        <f aca="false">IF(AND(M2196&lt;&gt;"",OR(M2196&lt;5,M2196&gt;180)),1,0)</f>
        <v>0</v>
      </c>
      <c r="AB2196" s="7" t="str">
        <f aca="false">IF(P2196="DUP","Exact duplicate row",IF(T2196=1,"Missing Order ID",IF(S2196="DROP","Duplicate Order ID (less complete row)",IF(U2196=1,"Missing Customer ID",IF(V2196=1,"Missing Restaurant name",IF(W2196=1,"Invalid/outlier quantity",IF(X2196=1,"Invalid/outlier unit price",IF(Y2196=1,"Discount greater than order value",""))))))))</f>
        <v/>
      </c>
      <c r="AC2196" s="7" t="str">
        <f aca="false">IF(AB2196="","KEEP","DROP")</f>
        <v>KEEP</v>
      </c>
      <c r="AD2196" s="7" t="str">
        <f aca="false">IF(TRIM(F2196)="",IFERROR(INDEX(Map_Tables!$I$4:$I$37,MATCH(TRIM(E2196),Map_Tables!$G$4:$G$37,0)),""),IFERROR(INDEX(Map_Tables!$B$4:$B$18,MATCH(TRIM(F2196),Map_Tables!$A$4:$A$18,0)),"CHECK"))</f>
        <v>Kolkata</v>
      </c>
      <c r="AE2196" s="7" t="str">
        <f aca="false">IF(TRIM(E2196)="","",IFERROR(INDEX(Map_Tables!$H$4:$H$37,MATCH(TRIM(E2196),Map_Tables!$G$4:$G$37,0)),"CHECK"))</f>
        <v>Biryani Baadshah</v>
      </c>
      <c r="AF2196" s="7" t="str">
        <f aca="false">IF(TRIM(K2196)="","Unknown",IFERROR(INDEX(Map_Tables!$E$4:$E$15,MATCH(TRIM(K2196),Map_Tables!$D$4:$D$15,0)),"CHECK"))</f>
        <v>Wallet</v>
      </c>
      <c r="AG2196" s="7" t="str">
        <f aca="false">IF(LEFT(LOWER(TRIM(L2196)),6)="cancel","Cancelled","Delivered")</f>
        <v>Delivered</v>
      </c>
      <c r="AH2196" s="10" t="n">
        <f aca="false">IF(ISNUMBER(SEARCH("/",B2196)),DATE(VALUE(RIGHT(B2196,4)),VALUE(MID(B2196,4,2)),VALUE(LEFT(B2196,2))),IF(MID(B2196,5,1)="-",DATE(VALUE(LEFT(B2196,4)),VALUE(MID(B2196,6,2)),VALUE(RIGHT(B2196,2))),DATE(VALUE(RIGHT(B2196,4)),MATCH(MID(B2196,4,3),{"Jan","Feb","Mar","Apr","May","Jun","Jul","Aug","Sep","Oct","Nov","Dec"},0),VALUE(LEFT(B2196,2)))))</f>
        <v>45724</v>
      </c>
    </row>
    <row r="2197" customFormat="false" ht="15" hidden="false" customHeight="false" outlineLevel="0" collapsed="false">
      <c r="A2197" s="7" t="s">
        <v>5052</v>
      </c>
      <c r="B2197" s="7" t="s">
        <v>1698</v>
      </c>
      <c r="C2197" s="7" t="s">
        <v>3097</v>
      </c>
      <c r="D2197" s="7" t="s">
        <v>5053</v>
      </c>
      <c r="E2197" s="7" t="s">
        <v>151</v>
      </c>
      <c r="F2197" s="7" t="s">
        <v>128</v>
      </c>
      <c r="G2197" s="7" t="s">
        <v>95</v>
      </c>
      <c r="H2197" s="7" t="n">
        <v>1</v>
      </c>
      <c r="I2197" s="7" t="n">
        <v>190</v>
      </c>
      <c r="J2197" s="7" t="n">
        <v>0</v>
      </c>
      <c r="K2197" s="7" t="s">
        <v>88</v>
      </c>
      <c r="L2197" s="7" t="s">
        <v>238</v>
      </c>
      <c r="M2197" s="7"/>
      <c r="N2197" s="7"/>
      <c r="O2197" s="7" t="str">
        <f aca="false">A2197&amp;"|"&amp;B2197&amp;"|"&amp;C2197&amp;"|"&amp;D2197&amp;"|"&amp;E2197&amp;"|"&amp;F2197&amp;"|"&amp;G2197&amp;"|"&amp;H2197&amp;"|"&amp;I2197&amp;"|"&amp;J2197&amp;"|"&amp;K2197&amp;"|"&amp;L2197&amp;"|"&amp;M2197&amp;"|"&amp;N2197</f>
        <v>ORD12180|2025-10-05|10:30|C1484|Chettinad House|Chennai|South Indian|1|190|0|UPI|Cancelled||</v>
      </c>
      <c r="P2197" s="7" t="str">
        <f aca="false">IF(COUNTIF($O$2:O2197,O2197)&gt;1,"DUP","OK")</f>
        <v>OK</v>
      </c>
      <c r="Q2197" s="7" t="n">
        <f aca="false">COUNTBLANK(A2197:N2197)</f>
        <v>2</v>
      </c>
      <c r="R2197" s="7" t="n">
        <f aca="false">IF(A2197="",0,COUNTIFS($A$2:$A$3058,A2197,$P$2:$P$3058,"OK"))</f>
        <v>1</v>
      </c>
      <c r="S2197" s="7" t="str">
        <f aca="false">IF(OR(A2197="",P2197="DUP",R2197&lt;2),"",IF(Q2197=_xlfn.MINIFS($Q$2:$Q$3058,$A$2:$A$3058,A2197,$P$2:$P$3058,"OK"),"KEEP","DROP"))</f>
        <v/>
      </c>
      <c r="T2197" s="9" t="n">
        <f aca="false">IF(A2197="",1,0)</f>
        <v>0</v>
      </c>
      <c r="U2197" s="9" t="n">
        <f aca="false">IF(D2197="",1,0)</f>
        <v>0</v>
      </c>
      <c r="V2197" s="9" t="n">
        <f aca="false">IF(E2197="",1,0)</f>
        <v>0</v>
      </c>
      <c r="W2197" s="9" t="n">
        <f aca="false">IF(OR(H2197&lt;1,H2197&gt;10),1,0)</f>
        <v>0</v>
      </c>
      <c r="X2197" s="9" t="n">
        <f aca="false">IF(OR(I2197&lt;=0,I2197&gt;1500),1,0)</f>
        <v>0</v>
      </c>
      <c r="Y2197" s="9" t="n">
        <f aca="false">IF(J2197&gt;H2197*I2197,1,0)</f>
        <v>0</v>
      </c>
      <c r="Z2197" s="9" t="n">
        <f aca="false">IF(AND(N2197&lt;&gt;"",OR(N2197&lt;1,N2197&gt;5)),1,0)</f>
        <v>0</v>
      </c>
      <c r="AA2197" s="9" t="n">
        <f aca="false">IF(AND(M2197&lt;&gt;"",OR(M2197&lt;5,M2197&gt;180)),1,0)</f>
        <v>0</v>
      </c>
      <c r="AB2197" s="7" t="str">
        <f aca="false">IF(P2197="DUP","Exact duplicate row",IF(T2197=1,"Missing Order ID",IF(S2197="DROP","Duplicate Order ID (less complete row)",IF(U2197=1,"Missing Customer ID",IF(V2197=1,"Missing Restaurant name",IF(W2197=1,"Invalid/outlier quantity",IF(X2197=1,"Invalid/outlier unit price",IF(Y2197=1,"Discount greater than order value",""))))))))</f>
        <v/>
      </c>
      <c r="AC2197" s="7" t="str">
        <f aca="false">IF(AB2197="","KEEP","DROP")</f>
        <v>KEEP</v>
      </c>
      <c r="AD2197" s="7" t="str">
        <f aca="false">IF(TRIM(F2197)="",IFERROR(INDEX(Map_Tables!$I$4:$I$37,MATCH(TRIM(E2197),Map_Tables!$G$4:$G$37,0)),""),IFERROR(INDEX(Map_Tables!$B$4:$B$18,MATCH(TRIM(F2197),Map_Tables!$A$4:$A$18,0)),"CHECK"))</f>
        <v>Chennai</v>
      </c>
      <c r="AE2197" s="7" t="str">
        <f aca="false">IF(TRIM(E2197)="","",IFERROR(INDEX(Map_Tables!$H$4:$H$37,MATCH(TRIM(E2197),Map_Tables!$G$4:$G$37,0)),"CHECK"))</f>
        <v>Chettinad House</v>
      </c>
      <c r="AF2197" s="7" t="str">
        <f aca="false">IF(TRIM(K2197)="","Unknown",IFERROR(INDEX(Map_Tables!$E$4:$E$15,MATCH(TRIM(K2197),Map_Tables!$D$4:$D$15,0)),"CHECK"))</f>
        <v>UPI</v>
      </c>
      <c r="AG2197" s="7" t="str">
        <f aca="false">IF(LEFT(LOWER(TRIM(L2197)),6)="cancel","Cancelled","Delivered")</f>
        <v>Cancelled</v>
      </c>
      <c r="AH2197" s="10" t="n">
        <f aca="false">IF(ISNUMBER(SEARCH("/",B2197)),DATE(VALUE(RIGHT(B2197,4)),VALUE(MID(B2197,4,2)),VALUE(LEFT(B2197,2))),IF(MID(B2197,5,1)="-",DATE(VALUE(LEFT(B2197,4)),VALUE(MID(B2197,6,2)),VALUE(RIGHT(B2197,2))),DATE(VALUE(RIGHT(B2197,4)),MATCH(MID(B2197,4,3),{"Jan","Feb","Mar","Apr","May","Jun","Jul","Aug","Sep","Oct","Nov","Dec"},0),VALUE(LEFT(B2197,2)))))</f>
        <v>45935</v>
      </c>
    </row>
    <row r="2198" customFormat="false" ht="15" hidden="false" customHeight="false" outlineLevel="0" collapsed="false">
      <c r="A2198" s="7" t="s">
        <v>5054</v>
      </c>
      <c r="B2198" s="7" t="s">
        <v>1437</v>
      </c>
      <c r="C2198" s="7" t="s">
        <v>4346</v>
      </c>
      <c r="D2198" s="7" t="s">
        <v>3840</v>
      </c>
      <c r="E2198" s="7" t="s">
        <v>122</v>
      </c>
      <c r="F2198" s="7" t="s">
        <v>101</v>
      </c>
      <c r="G2198" s="7" t="s">
        <v>123</v>
      </c>
      <c r="H2198" s="7" t="n">
        <v>2</v>
      </c>
      <c r="I2198" s="7" t="n">
        <v>370</v>
      </c>
      <c r="J2198" s="7" t="n">
        <v>0</v>
      </c>
      <c r="K2198" s="7" t="s">
        <v>87</v>
      </c>
      <c r="L2198" s="7" t="s">
        <v>194</v>
      </c>
      <c r="M2198" s="7" t="n">
        <v>43</v>
      </c>
      <c r="N2198" s="7" t="n">
        <v>4</v>
      </c>
      <c r="O2198" s="7" t="str">
        <f aca="false">A2198&amp;"|"&amp;B2198&amp;"|"&amp;C2198&amp;"|"&amp;D2198&amp;"|"&amp;E2198&amp;"|"&amp;F2198&amp;"|"&amp;G2198&amp;"|"&amp;H2198&amp;"|"&amp;I2198&amp;"|"&amp;J2198&amp;"|"&amp;K2198&amp;"|"&amp;L2198&amp;"|"&amp;M2198&amp;"|"&amp;N2198</f>
        <v>ORD11641|2025-08-02|16:19|C0521|Mumbai Pizza Co|Mumbai|Pizza|2|370|0|upi|Delivered|43|4</v>
      </c>
      <c r="P2198" s="7" t="str">
        <f aca="false">IF(COUNTIF($O$2:O2198,O2198)&gt;1,"DUP","OK")</f>
        <v>OK</v>
      </c>
      <c r="Q2198" s="7" t="n">
        <f aca="false">COUNTBLANK(A2198:N2198)</f>
        <v>0</v>
      </c>
      <c r="R2198" s="7" t="n">
        <f aca="false">IF(A2198="",0,COUNTIFS($A$2:$A$3058,A2198,$P$2:$P$3058,"OK"))</f>
        <v>1</v>
      </c>
      <c r="S2198" s="7" t="str">
        <f aca="false">IF(OR(A2198="",P2198="DUP",R2198&lt;2),"",IF(Q2198=_xlfn.MINIFS($Q$2:$Q$3058,$A$2:$A$3058,A2198,$P$2:$P$3058,"OK"),"KEEP","DROP"))</f>
        <v/>
      </c>
      <c r="T2198" s="9" t="n">
        <f aca="false">IF(A2198="",1,0)</f>
        <v>0</v>
      </c>
      <c r="U2198" s="9" t="n">
        <f aca="false">IF(D2198="",1,0)</f>
        <v>0</v>
      </c>
      <c r="V2198" s="9" t="n">
        <f aca="false">IF(E2198="",1,0)</f>
        <v>0</v>
      </c>
      <c r="W2198" s="9" t="n">
        <f aca="false">IF(OR(H2198&lt;1,H2198&gt;10),1,0)</f>
        <v>0</v>
      </c>
      <c r="X2198" s="9" t="n">
        <f aca="false">IF(OR(I2198&lt;=0,I2198&gt;1500),1,0)</f>
        <v>0</v>
      </c>
      <c r="Y2198" s="9" t="n">
        <f aca="false">IF(J2198&gt;H2198*I2198,1,0)</f>
        <v>0</v>
      </c>
      <c r="Z2198" s="9" t="n">
        <f aca="false">IF(AND(N2198&lt;&gt;"",OR(N2198&lt;1,N2198&gt;5)),1,0)</f>
        <v>0</v>
      </c>
      <c r="AA2198" s="9" t="n">
        <f aca="false">IF(AND(M2198&lt;&gt;"",OR(M2198&lt;5,M2198&gt;180)),1,0)</f>
        <v>0</v>
      </c>
      <c r="AB2198" s="7" t="str">
        <f aca="false">IF(P2198="DUP","Exact duplicate row",IF(T2198=1,"Missing Order ID",IF(S2198="DROP","Duplicate Order ID (less complete row)",IF(U2198=1,"Missing Customer ID",IF(V2198=1,"Missing Restaurant name",IF(W2198=1,"Invalid/outlier quantity",IF(X2198=1,"Invalid/outlier unit price",IF(Y2198=1,"Discount greater than order value",""))))))))</f>
        <v/>
      </c>
      <c r="AC2198" s="7" t="str">
        <f aca="false">IF(AB2198="","KEEP","DROP")</f>
        <v>KEEP</v>
      </c>
      <c r="AD2198" s="7" t="str">
        <f aca="false">IF(TRIM(F2198)="",IFERROR(INDEX(Map_Tables!$I$4:$I$37,MATCH(TRIM(E2198),Map_Tables!$G$4:$G$37,0)),""),IFERROR(INDEX(Map_Tables!$B$4:$B$18,MATCH(TRIM(F2198),Map_Tables!$A$4:$A$18,0)),"CHECK"))</f>
        <v>Mumbai</v>
      </c>
      <c r="AE2198" s="7" t="str">
        <f aca="false">IF(TRIM(E2198)="","",IFERROR(INDEX(Map_Tables!$H$4:$H$37,MATCH(TRIM(E2198),Map_Tables!$G$4:$G$37,0)),"CHECK"))</f>
        <v>Mumbai Pizza Co</v>
      </c>
      <c r="AF2198" s="7" t="str">
        <f aca="false">IF(TRIM(K2198)="","Unknown",IFERROR(INDEX(Map_Tables!$E$4:$E$15,MATCH(TRIM(K2198),Map_Tables!$D$4:$D$15,0)),"CHECK"))</f>
        <v>UPI</v>
      </c>
      <c r="AG2198" s="7" t="str">
        <f aca="false">IF(LEFT(LOWER(TRIM(L2198)),6)="cancel","Cancelled","Delivered")</f>
        <v>Delivered</v>
      </c>
      <c r="AH2198" s="10" t="n">
        <f aca="false">IF(ISNUMBER(SEARCH("/",B2198)),DATE(VALUE(RIGHT(B2198,4)),VALUE(MID(B2198,4,2)),VALUE(LEFT(B2198,2))),IF(MID(B2198,5,1)="-",DATE(VALUE(LEFT(B2198,4)),VALUE(MID(B2198,6,2)),VALUE(RIGHT(B2198,2))),DATE(VALUE(RIGHT(B2198,4)),MATCH(MID(B2198,4,3),{"Jan","Feb","Mar","Apr","May","Jun","Jul","Aug","Sep","Oct","Nov","Dec"},0),VALUE(LEFT(B2198,2)))))</f>
        <v>45871</v>
      </c>
    </row>
    <row r="2199" customFormat="false" ht="15" hidden="false" customHeight="false" outlineLevel="0" collapsed="false">
      <c r="A2199" s="7" t="s">
        <v>5055</v>
      </c>
      <c r="B2199" s="7" t="s">
        <v>4130</v>
      </c>
      <c r="C2199" s="7" t="s">
        <v>2048</v>
      </c>
      <c r="D2199" s="7" t="s">
        <v>1627</v>
      </c>
      <c r="E2199" s="7" t="s">
        <v>167</v>
      </c>
      <c r="F2199" s="7" t="s">
        <v>146</v>
      </c>
      <c r="G2199" s="7" t="s">
        <v>156</v>
      </c>
      <c r="H2199" s="7" t="n">
        <v>4</v>
      </c>
      <c r="I2199" s="7" t="n">
        <v>220</v>
      </c>
      <c r="J2199" s="7" t="n">
        <v>30</v>
      </c>
      <c r="K2199" s="7" t="s">
        <v>229</v>
      </c>
      <c r="L2199" s="7" t="s">
        <v>194</v>
      </c>
      <c r="M2199" s="7" t="n">
        <v>36</v>
      </c>
      <c r="N2199" s="7" t="n">
        <v>4</v>
      </c>
      <c r="O2199" s="7" t="str">
        <f aca="false">A2199&amp;"|"&amp;B2199&amp;"|"&amp;C2199&amp;"|"&amp;D2199&amp;"|"&amp;E2199&amp;"|"&amp;F2199&amp;"|"&amp;G2199&amp;"|"&amp;H2199&amp;"|"&amp;I2199&amp;"|"&amp;J2199&amp;"|"&amp;K2199&amp;"|"&amp;L2199&amp;"|"&amp;M2199&amp;"|"&amp;N2199</f>
        <v>ORD12673|2025-11-25|12:58|C1420|Fit Fuel Kitchen|Ahmedabad|Healthy Food|4|220|30|Upi|Delivered|36|4</v>
      </c>
      <c r="P2199" s="7" t="str">
        <f aca="false">IF(COUNTIF($O$2:O2199,O2199)&gt;1,"DUP","OK")</f>
        <v>OK</v>
      </c>
      <c r="Q2199" s="7" t="n">
        <f aca="false">COUNTBLANK(A2199:N2199)</f>
        <v>0</v>
      </c>
      <c r="R2199" s="7" t="n">
        <f aca="false">IF(A2199="",0,COUNTIFS($A$2:$A$3058,A2199,$P$2:$P$3058,"OK"))</f>
        <v>1</v>
      </c>
      <c r="S2199" s="7" t="str">
        <f aca="false">IF(OR(A2199="",P2199="DUP",R2199&lt;2),"",IF(Q2199=_xlfn.MINIFS($Q$2:$Q$3058,$A$2:$A$3058,A2199,$P$2:$P$3058,"OK"),"KEEP","DROP"))</f>
        <v/>
      </c>
      <c r="T2199" s="9" t="n">
        <f aca="false">IF(A2199="",1,0)</f>
        <v>0</v>
      </c>
      <c r="U2199" s="9" t="n">
        <f aca="false">IF(D2199="",1,0)</f>
        <v>0</v>
      </c>
      <c r="V2199" s="9" t="n">
        <f aca="false">IF(E2199="",1,0)</f>
        <v>0</v>
      </c>
      <c r="W2199" s="9" t="n">
        <f aca="false">IF(OR(H2199&lt;1,H2199&gt;10),1,0)</f>
        <v>0</v>
      </c>
      <c r="X2199" s="9" t="n">
        <f aca="false">IF(OR(I2199&lt;=0,I2199&gt;1500),1,0)</f>
        <v>0</v>
      </c>
      <c r="Y2199" s="9" t="n">
        <f aca="false">IF(J2199&gt;H2199*I2199,1,0)</f>
        <v>0</v>
      </c>
      <c r="Z2199" s="9" t="n">
        <f aca="false">IF(AND(N2199&lt;&gt;"",OR(N2199&lt;1,N2199&gt;5)),1,0)</f>
        <v>0</v>
      </c>
      <c r="AA2199" s="9" t="n">
        <f aca="false">IF(AND(M2199&lt;&gt;"",OR(M2199&lt;5,M2199&gt;180)),1,0)</f>
        <v>0</v>
      </c>
      <c r="AB2199" s="7" t="str">
        <f aca="false">IF(P2199="DUP","Exact duplicate row",IF(T2199=1,"Missing Order ID",IF(S2199="DROP","Duplicate Order ID (less complete row)",IF(U2199=1,"Missing Customer ID",IF(V2199=1,"Missing Restaurant name",IF(W2199=1,"Invalid/outlier quantity",IF(X2199=1,"Invalid/outlier unit price",IF(Y2199=1,"Discount greater than order value",""))))))))</f>
        <v/>
      </c>
      <c r="AC2199" s="7" t="str">
        <f aca="false">IF(AB2199="","KEEP","DROP")</f>
        <v>KEEP</v>
      </c>
      <c r="AD2199" s="7" t="str">
        <f aca="false">IF(TRIM(F2199)="",IFERROR(INDEX(Map_Tables!$I$4:$I$37,MATCH(TRIM(E2199),Map_Tables!$G$4:$G$37,0)),""),IFERROR(INDEX(Map_Tables!$B$4:$B$18,MATCH(TRIM(F2199),Map_Tables!$A$4:$A$18,0)),"CHECK"))</f>
        <v>Ahmedabad</v>
      </c>
      <c r="AE2199" s="7" t="str">
        <f aca="false">IF(TRIM(E2199)="","",IFERROR(INDEX(Map_Tables!$H$4:$H$37,MATCH(TRIM(E2199),Map_Tables!$G$4:$G$37,0)),"CHECK"))</f>
        <v>Fit Fuel Kitchen</v>
      </c>
      <c r="AF2199" s="7" t="str">
        <f aca="false">IF(TRIM(K2199)="","Unknown",IFERROR(INDEX(Map_Tables!$E$4:$E$15,MATCH(TRIM(K2199),Map_Tables!$D$4:$D$15,0)),"CHECK"))</f>
        <v>UPI</v>
      </c>
      <c r="AG2199" s="7" t="str">
        <f aca="false">IF(LEFT(LOWER(TRIM(L2199)),6)="cancel","Cancelled","Delivered")</f>
        <v>Delivered</v>
      </c>
      <c r="AH2199" s="10" t="n">
        <f aca="false">IF(ISNUMBER(SEARCH("/",B2199)),DATE(VALUE(RIGHT(B2199,4)),VALUE(MID(B2199,4,2)),VALUE(LEFT(B2199,2))),IF(MID(B2199,5,1)="-",DATE(VALUE(LEFT(B2199,4)),VALUE(MID(B2199,6,2)),VALUE(RIGHT(B2199,2))),DATE(VALUE(RIGHT(B2199,4)),MATCH(MID(B2199,4,3),{"Jan","Feb","Mar","Apr","May","Jun","Jul","Aug","Sep","Oct","Nov","Dec"},0),VALUE(LEFT(B2199,2)))))</f>
        <v>45986</v>
      </c>
    </row>
    <row r="2200" customFormat="false" ht="15" hidden="false" customHeight="false" outlineLevel="0" collapsed="false">
      <c r="A2200" s="7" t="s">
        <v>5056</v>
      </c>
      <c r="B2200" s="7" t="s">
        <v>385</v>
      </c>
      <c r="C2200" s="7" t="s">
        <v>606</v>
      </c>
      <c r="D2200" s="7" t="s">
        <v>956</v>
      </c>
      <c r="E2200" s="7" t="s">
        <v>130</v>
      </c>
      <c r="F2200" s="7" t="s">
        <v>110</v>
      </c>
      <c r="G2200" s="7" t="s">
        <v>90</v>
      </c>
      <c r="H2200" s="7" t="n">
        <v>3</v>
      </c>
      <c r="I2200" s="7" t="n">
        <v>250</v>
      </c>
      <c r="J2200" s="7" t="n">
        <v>40</v>
      </c>
      <c r="K2200" s="7" t="s">
        <v>88</v>
      </c>
      <c r="L2200" s="7" t="s">
        <v>194</v>
      </c>
      <c r="M2200" s="7"/>
      <c r="N2200" s="7" t="n">
        <v>2</v>
      </c>
      <c r="O2200" s="7" t="str">
        <f aca="false">A2200&amp;"|"&amp;B2200&amp;"|"&amp;C2200&amp;"|"&amp;D2200&amp;"|"&amp;E2200&amp;"|"&amp;F2200&amp;"|"&amp;G2200&amp;"|"&amp;H2200&amp;"|"&amp;I2200&amp;"|"&amp;J2200&amp;"|"&amp;K2200&amp;"|"&amp;L2200&amp;"|"&amp;M2200&amp;"|"&amp;N2200</f>
        <v>ORD11533|2025-07-18|11:12|C1291|Tandoor Tales|Delhi|North Indian|3|250|40|UPI|Delivered||2</v>
      </c>
      <c r="P2200" s="7" t="str">
        <f aca="false">IF(COUNTIF($O$2:O2200,O2200)&gt;1,"DUP","OK")</f>
        <v>OK</v>
      </c>
      <c r="Q2200" s="7" t="n">
        <f aca="false">COUNTBLANK(A2200:N2200)</f>
        <v>1</v>
      </c>
      <c r="R2200" s="7" t="n">
        <f aca="false">IF(A2200="",0,COUNTIFS($A$2:$A$3058,A2200,$P$2:$P$3058,"OK"))</f>
        <v>1</v>
      </c>
      <c r="S2200" s="7" t="str">
        <f aca="false">IF(OR(A2200="",P2200="DUP",R2200&lt;2),"",IF(Q2200=_xlfn.MINIFS($Q$2:$Q$3058,$A$2:$A$3058,A2200,$P$2:$P$3058,"OK"),"KEEP","DROP"))</f>
        <v/>
      </c>
      <c r="T2200" s="9" t="n">
        <f aca="false">IF(A2200="",1,0)</f>
        <v>0</v>
      </c>
      <c r="U2200" s="9" t="n">
        <f aca="false">IF(D2200="",1,0)</f>
        <v>0</v>
      </c>
      <c r="V2200" s="9" t="n">
        <f aca="false">IF(E2200="",1,0)</f>
        <v>0</v>
      </c>
      <c r="W2200" s="9" t="n">
        <f aca="false">IF(OR(H2200&lt;1,H2200&gt;10),1,0)</f>
        <v>0</v>
      </c>
      <c r="X2200" s="9" t="n">
        <f aca="false">IF(OR(I2200&lt;=0,I2200&gt;1500),1,0)</f>
        <v>0</v>
      </c>
      <c r="Y2200" s="9" t="n">
        <f aca="false">IF(J2200&gt;H2200*I2200,1,0)</f>
        <v>0</v>
      </c>
      <c r="Z2200" s="9" t="n">
        <f aca="false">IF(AND(N2200&lt;&gt;"",OR(N2200&lt;1,N2200&gt;5)),1,0)</f>
        <v>0</v>
      </c>
      <c r="AA2200" s="9" t="n">
        <f aca="false">IF(AND(M2200&lt;&gt;"",OR(M2200&lt;5,M2200&gt;180)),1,0)</f>
        <v>0</v>
      </c>
      <c r="AB2200" s="7" t="str">
        <f aca="false">IF(P2200="DUP","Exact duplicate row",IF(T2200=1,"Missing Order ID",IF(S2200="DROP","Duplicate Order ID (less complete row)",IF(U2200=1,"Missing Customer ID",IF(V2200=1,"Missing Restaurant name",IF(W2200=1,"Invalid/outlier quantity",IF(X2200=1,"Invalid/outlier unit price",IF(Y2200=1,"Discount greater than order value",""))))))))</f>
        <v/>
      </c>
      <c r="AC2200" s="7" t="str">
        <f aca="false">IF(AB2200="","KEEP","DROP")</f>
        <v>KEEP</v>
      </c>
      <c r="AD2200" s="7" t="str">
        <f aca="false">IF(TRIM(F2200)="",IFERROR(INDEX(Map_Tables!$I$4:$I$37,MATCH(TRIM(E2200),Map_Tables!$G$4:$G$37,0)),""),IFERROR(INDEX(Map_Tables!$B$4:$B$18,MATCH(TRIM(F2200),Map_Tables!$A$4:$A$18,0)),"CHECK"))</f>
        <v>Delhi</v>
      </c>
      <c r="AE2200" s="7" t="str">
        <f aca="false">IF(TRIM(E2200)="","",IFERROR(INDEX(Map_Tables!$H$4:$H$37,MATCH(TRIM(E2200),Map_Tables!$G$4:$G$37,0)),"CHECK"))</f>
        <v>Tandoor Tales</v>
      </c>
      <c r="AF2200" s="7" t="str">
        <f aca="false">IF(TRIM(K2200)="","Unknown",IFERROR(INDEX(Map_Tables!$E$4:$E$15,MATCH(TRIM(K2200),Map_Tables!$D$4:$D$15,0)),"CHECK"))</f>
        <v>UPI</v>
      </c>
      <c r="AG2200" s="7" t="str">
        <f aca="false">IF(LEFT(LOWER(TRIM(L2200)),6)="cancel","Cancelled","Delivered")</f>
        <v>Delivered</v>
      </c>
      <c r="AH2200" s="10" t="n">
        <f aca="false">IF(ISNUMBER(SEARCH("/",B2200)),DATE(VALUE(RIGHT(B2200,4)),VALUE(MID(B2200,4,2)),VALUE(LEFT(B2200,2))),IF(MID(B2200,5,1)="-",DATE(VALUE(LEFT(B2200,4)),VALUE(MID(B2200,6,2)),VALUE(RIGHT(B2200,2))),DATE(VALUE(RIGHT(B2200,4)),MATCH(MID(B2200,4,3),{"Jan","Feb","Mar","Apr","May","Jun","Jul","Aug","Sep","Oct","Nov","Dec"},0),VALUE(LEFT(B2200,2)))))</f>
        <v>45856</v>
      </c>
    </row>
    <row r="2201" customFormat="false" ht="15" hidden="false" customHeight="false" outlineLevel="0" collapsed="false">
      <c r="A2201" s="7" t="s">
        <v>5057</v>
      </c>
      <c r="B2201" s="7" t="s">
        <v>735</v>
      </c>
      <c r="C2201" s="7" t="s">
        <v>5058</v>
      </c>
      <c r="D2201" s="7" t="s">
        <v>2411</v>
      </c>
      <c r="E2201" s="7" t="s">
        <v>4242</v>
      </c>
      <c r="F2201" s="7" t="s">
        <v>128</v>
      </c>
      <c r="G2201" s="7" t="s">
        <v>95</v>
      </c>
      <c r="H2201" s="7" t="n">
        <v>3</v>
      </c>
      <c r="I2201" s="7" t="n">
        <v>100</v>
      </c>
      <c r="J2201" s="7" t="n">
        <v>20</v>
      </c>
      <c r="K2201" s="7" t="s">
        <v>88</v>
      </c>
      <c r="L2201" s="7" t="s">
        <v>194</v>
      </c>
      <c r="M2201" s="7" t="n">
        <v>31</v>
      </c>
      <c r="N2201" s="7" t="n">
        <v>3</v>
      </c>
      <c r="O2201" s="7" t="str">
        <f aca="false">A2201&amp;"|"&amp;B2201&amp;"|"&amp;C2201&amp;"|"&amp;D2201&amp;"|"&amp;E2201&amp;"|"&amp;F2201&amp;"|"&amp;G2201&amp;"|"&amp;H2201&amp;"|"&amp;I2201&amp;"|"&amp;J2201&amp;"|"&amp;K2201&amp;"|"&amp;L2201&amp;"|"&amp;M2201&amp;"|"&amp;N2201</f>
        <v>ORD10867|2025-04-19|15:57|C0477|Filter Coffee &amp; Tiffin |Chennai|South Indian|3|100|20|UPI|Delivered|31|3</v>
      </c>
      <c r="P2201" s="7" t="str">
        <f aca="false">IF(COUNTIF($O$2:O2201,O2201)&gt;1,"DUP","OK")</f>
        <v>OK</v>
      </c>
      <c r="Q2201" s="7" t="n">
        <f aca="false">COUNTBLANK(A2201:N2201)</f>
        <v>0</v>
      </c>
      <c r="R2201" s="7" t="n">
        <f aca="false">IF(A2201="",0,COUNTIFS($A$2:$A$3058,A2201,$P$2:$P$3058,"OK"))</f>
        <v>1</v>
      </c>
      <c r="S2201" s="7" t="str">
        <f aca="false">IF(OR(A2201="",P2201="DUP",R2201&lt;2),"",IF(Q2201=_xlfn.MINIFS($Q$2:$Q$3058,$A$2:$A$3058,A2201,$P$2:$P$3058,"OK"),"KEEP","DROP"))</f>
        <v/>
      </c>
      <c r="T2201" s="9" t="n">
        <f aca="false">IF(A2201="",1,0)</f>
        <v>0</v>
      </c>
      <c r="U2201" s="9" t="n">
        <f aca="false">IF(D2201="",1,0)</f>
        <v>0</v>
      </c>
      <c r="V2201" s="9" t="n">
        <f aca="false">IF(E2201="",1,0)</f>
        <v>0</v>
      </c>
      <c r="W2201" s="9" t="n">
        <f aca="false">IF(OR(H2201&lt;1,H2201&gt;10),1,0)</f>
        <v>0</v>
      </c>
      <c r="X2201" s="9" t="n">
        <f aca="false">IF(OR(I2201&lt;=0,I2201&gt;1500),1,0)</f>
        <v>0</v>
      </c>
      <c r="Y2201" s="9" t="n">
        <f aca="false">IF(J2201&gt;H2201*I2201,1,0)</f>
        <v>0</v>
      </c>
      <c r="Z2201" s="9" t="n">
        <f aca="false">IF(AND(N2201&lt;&gt;"",OR(N2201&lt;1,N2201&gt;5)),1,0)</f>
        <v>0</v>
      </c>
      <c r="AA2201" s="9" t="n">
        <f aca="false">IF(AND(M2201&lt;&gt;"",OR(M2201&lt;5,M2201&gt;180)),1,0)</f>
        <v>0</v>
      </c>
      <c r="AB2201" s="7" t="str">
        <f aca="false">IF(P2201="DUP","Exact duplicate row",IF(T2201=1,"Missing Order ID",IF(S2201="DROP","Duplicate Order ID (less complete row)",IF(U2201=1,"Missing Customer ID",IF(V2201=1,"Missing Restaurant name",IF(W2201=1,"Invalid/outlier quantity",IF(X2201=1,"Invalid/outlier unit price",IF(Y2201=1,"Discount greater than order value",""))))))))</f>
        <v/>
      </c>
      <c r="AC2201" s="7" t="str">
        <f aca="false">IF(AB2201="","KEEP","DROP")</f>
        <v>KEEP</v>
      </c>
      <c r="AD2201" s="7" t="str">
        <f aca="false">IF(TRIM(F2201)="",IFERROR(INDEX(Map_Tables!$I$4:$I$37,MATCH(TRIM(E2201),Map_Tables!$G$4:$G$37,0)),""),IFERROR(INDEX(Map_Tables!$B$4:$B$18,MATCH(TRIM(F2201),Map_Tables!$A$4:$A$18,0)),"CHECK"))</f>
        <v>Chennai</v>
      </c>
      <c r="AE2201" s="7" t="str">
        <f aca="false">IF(TRIM(E2201)="","",IFERROR(INDEX(Map_Tables!$H$4:$H$37,MATCH(TRIM(E2201),Map_Tables!$G$4:$G$37,0)),"CHECK"))</f>
        <v>Filter Coffee &amp; Tiffin</v>
      </c>
      <c r="AF2201" s="7" t="str">
        <f aca="false">IF(TRIM(K2201)="","Unknown",IFERROR(INDEX(Map_Tables!$E$4:$E$15,MATCH(TRIM(K2201),Map_Tables!$D$4:$D$15,0)),"CHECK"))</f>
        <v>UPI</v>
      </c>
      <c r="AG2201" s="7" t="str">
        <f aca="false">IF(LEFT(LOWER(TRIM(L2201)),6)="cancel","Cancelled","Delivered")</f>
        <v>Delivered</v>
      </c>
      <c r="AH2201" s="10" t="n">
        <f aca="false">IF(ISNUMBER(SEARCH("/",B2201)),DATE(VALUE(RIGHT(B2201,4)),VALUE(MID(B2201,4,2)),VALUE(LEFT(B2201,2))),IF(MID(B2201,5,1)="-",DATE(VALUE(LEFT(B2201,4)),VALUE(MID(B2201,6,2)),VALUE(RIGHT(B2201,2))),DATE(VALUE(RIGHT(B2201,4)),MATCH(MID(B2201,4,3),{"Jan","Feb","Mar","Apr","May","Jun","Jul","Aug","Sep","Oct","Nov","Dec"},0),VALUE(LEFT(B2201,2)))))</f>
        <v>45766</v>
      </c>
    </row>
    <row r="2202" customFormat="false" ht="15" hidden="false" customHeight="false" outlineLevel="0" collapsed="false">
      <c r="A2202" s="7" t="s">
        <v>5059</v>
      </c>
      <c r="B2202" s="7" t="s">
        <v>4236</v>
      </c>
      <c r="C2202" s="7" t="s">
        <v>2088</v>
      </c>
      <c r="D2202" s="7" t="s">
        <v>2334</v>
      </c>
      <c r="E2202" s="7" t="s">
        <v>130</v>
      </c>
      <c r="F2202" s="7" t="s">
        <v>110</v>
      </c>
      <c r="G2202" s="7" t="s">
        <v>90</v>
      </c>
      <c r="H2202" s="7" t="n">
        <v>1</v>
      </c>
      <c r="I2202" s="7" t="n">
        <v>265</v>
      </c>
      <c r="J2202" s="7" t="n">
        <v>100</v>
      </c>
      <c r="K2202" s="7" t="s">
        <v>121</v>
      </c>
      <c r="L2202" s="7" t="s">
        <v>194</v>
      </c>
      <c r="M2202" s="7" t="n">
        <v>55</v>
      </c>
      <c r="N2202" s="7" t="n">
        <v>4</v>
      </c>
      <c r="O2202" s="7" t="str">
        <f aca="false">A2202&amp;"|"&amp;B2202&amp;"|"&amp;C2202&amp;"|"&amp;D2202&amp;"|"&amp;E2202&amp;"|"&amp;F2202&amp;"|"&amp;G2202&amp;"|"&amp;H2202&amp;"|"&amp;I2202&amp;"|"&amp;J2202&amp;"|"&amp;K2202&amp;"|"&amp;L2202&amp;"|"&amp;M2202&amp;"|"&amp;N2202</f>
        <v>ORD11856|2025-08-30|19:56|C0052|Tandoor Tales|Delhi|North Indian|1|265|100|Wallet|Delivered|55|4</v>
      </c>
      <c r="P2202" s="7" t="str">
        <f aca="false">IF(COUNTIF($O$2:O2202,O2202)&gt;1,"DUP","OK")</f>
        <v>OK</v>
      </c>
      <c r="Q2202" s="7" t="n">
        <f aca="false">COUNTBLANK(A2202:N2202)</f>
        <v>0</v>
      </c>
      <c r="R2202" s="7" t="n">
        <f aca="false">IF(A2202="",0,COUNTIFS($A$2:$A$3058,A2202,$P$2:$P$3058,"OK"))</f>
        <v>1</v>
      </c>
      <c r="S2202" s="7" t="str">
        <f aca="false">IF(OR(A2202="",P2202="DUP",R2202&lt;2),"",IF(Q2202=_xlfn.MINIFS($Q$2:$Q$3058,$A$2:$A$3058,A2202,$P$2:$P$3058,"OK"),"KEEP","DROP"))</f>
        <v/>
      </c>
      <c r="T2202" s="9" t="n">
        <f aca="false">IF(A2202="",1,0)</f>
        <v>0</v>
      </c>
      <c r="U2202" s="9" t="n">
        <f aca="false">IF(D2202="",1,0)</f>
        <v>0</v>
      </c>
      <c r="V2202" s="9" t="n">
        <f aca="false">IF(E2202="",1,0)</f>
        <v>0</v>
      </c>
      <c r="W2202" s="9" t="n">
        <f aca="false">IF(OR(H2202&lt;1,H2202&gt;10),1,0)</f>
        <v>0</v>
      </c>
      <c r="X2202" s="9" t="n">
        <f aca="false">IF(OR(I2202&lt;=0,I2202&gt;1500),1,0)</f>
        <v>0</v>
      </c>
      <c r="Y2202" s="9" t="n">
        <f aca="false">IF(J2202&gt;H2202*I2202,1,0)</f>
        <v>0</v>
      </c>
      <c r="Z2202" s="9" t="n">
        <f aca="false">IF(AND(N2202&lt;&gt;"",OR(N2202&lt;1,N2202&gt;5)),1,0)</f>
        <v>0</v>
      </c>
      <c r="AA2202" s="9" t="n">
        <f aca="false">IF(AND(M2202&lt;&gt;"",OR(M2202&lt;5,M2202&gt;180)),1,0)</f>
        <v>0</v>
      </c>
      <c r="AB2202" s="7" t="str">
        <f aca="false">IF(P2202="DUP","Exact duplicate row",IF(T2202=1,"Missing Order ID",IF(S2202="DROP","Duplicate Order ID (less complete row)",IF(U2202=1,"Missing Customer ID",IF(V2202=1,"Missing Restaurant name",IF(W2202=1,"Invalid/outlier quantity",IF(X2202=1,"Invalid/outlier unit price",IF(Y2202=1,"Discount greater than order value",""))))))))</f>
        <v/>
      </c>
      <c r="AC2202" s="7" t="str">
        <f aca="false">IF(AB2202="","KEEP","DROP")</f>
        <v>KEEP</v>
      </c>
      <c r="AD2202" s="7" t="str">
        <f aca="false">IF(TRIM(F2202)="",IFERROR(INDEX(Map_Tables!$I$4:$I$37,MATCH(TRIM(E2202),Map_Tables!$G$4:$G$37,0)),""),IFERROR(INDEX(Map_Tables!$B$4:$B$18,MATCH(TRIM(F2202),Map_Tables!$A$4:$A$18,0)),"CHECK"))</f>
        <v>Delhi</v>
      </c>
      <c r="AE2202" s="7" t="str">
        <f aca="false">IF(TRIM(E2202)="","",IFERROR(INDEX(Map_Tables!$H$4:$H$37,MATCH(TRIM(E2202),Map_Tables!$G$4:$G$37,0)),"CHECK"))</f>
        <v>Tandoor Tales</v>
      </c>
      <c r="AF2202" s="7" t="str">
        <f aca="false">IF(TRIM(K2202)="","Unknown",IFERROR(INDEX(Map_Tables!$E$4:$E$15,MATCH(TRIM(K2202),Map_Tables!$D$4:$D$15,0)),"CHECK"))</f>
        <v>Wallet</v>
      </c>
      <c r="AG2202" s="7" t="str">
        <f aca="false">IF(LEFT(LOWER(TRIM(L2202)),6)="cancel","Cancelled","Delivered")</f>
        <v>Delivered</v>
      </c>
      <c r="AH2202" s="10" t="n">
        <f aca="false">IF(ISNUMBER(SEARCH("/",B2202)),DATE(VALUE(RIGHT(B2202,4)),VALUE(MID(B2202,4,2)),VALUE(LEFT(B2202,2))),IF(MID(B2202,5,1)="-",DATE(VALUE(LEFT(B2202,4)),VALUE(MID(B2202,6,2)),VALUE(RIGHT(B2202,2))),DATE(VALUE(RIGHT(B2202,4)),MATCH(MID(B2202,4,3),{"Jan","Feb","Mar","Apr","May","Jun","Jul","Aug","Sep","Oct","Nov","Dec"},0),VALUE(LEFT(B2202,2)))))</f>
        <v>45899</v>
      </c>
    </row>
    <row r="2203" customFormat="false" ht="15" hidden="false" customHeight="false" outlineLevel="0" collapsed="false">
      <c r="A2203" s="7" t="s">
        <v>5060</v>
      </c>
      <c r="B2203" s="7" t="s">
        <v>625</v>
      </c>
      <c r="C2203" s="7" t="s">
        <v>3097</v>
      </c>
      <c r="D2203" s="7" t="s">
        <v>1621</v>
      </c>
      <c r="E2203" s="7" t="s">
        <v>116</v>
      </c>
      <c r="F2203" s="7" t="s">
        <v>215</v>
      </c>
      <c r="G2203" s="7" t="s">
        <v>117</v>
      </c>
      <c r="H2203" s="7" t="n">
        <v>2</v>
      </c>
      <c r="I2203" s="7" t="n">
        <v>125</v>
      </c>
      <c r="J2203" s="7" t="n">
        <v>40</v>
      </c>
      <c r="K2203" s="7" t="s">
        <v>112</v>
      </c>
      <c r="L2203" s="7" t="s">
        <v>194</v>
      </c>
      <c r="M2203" s="7" t="n">
        <v>56</v>
      </c>
      <c r="N2203" s="7"/>
      <c r="O2203" s="7" t="str">
        <f aca="false">A2203&amp;"|"&amp;B2203&amp;"|"&amp;C2203&amp;"|"&amp;D2203&amp;"|"&amp;E2203&amp;"|"&amp;F2203&amp;"|"&amp;G2203&amp;"|"&amp;H2203&amp;"|"&amp;I2203&amp;"|"&amp;J2203&amp;"|"&amp;K2203&amp;"|"&amp;L2203&amp;"|"&amp;M2203&amp;"|"&amp;N2203</f>
        <v>ORD11737|2025-08-16|10:30|C0260|Pav Bhaji Point|MUMBAI|Street Food|2|125|40|Cash on Delivery|Delivered|56|</v>
      </c>
      <c r="P2203" s="7" t="str">
        <f aca="false">IF(COUNTIF($O$2:O2203,O2203)&gt;1,"DUP","OK")</f>
        <v>OK</v>
      </c>
      <c r="Q2203" s="7" t="n">
        <f aca="false">COUNTBLANK(A2203:N2203)</f>
        <v>1</v>
      </c>
      <c r="R2203" s="7" t="n">
        <f aca="false">IF(A2203="",0,COUNTIFS($A$2:$A$3058,A2203,$P$2:$P$3058,"OK"))</f>
        <v>1</v>
      </c>
      <c r="S2203" s="7" t="str">
        <f aca="false">IF(OR(A2203="",P2203="DUP",R2203&lt;2),"",IF(Q2203=_xlfn.MINIFS($Q$2:$Q$3058,$A$2:$A$3058,A2203,$P$2:$P$3058,"OK"),"KEEP","DROP"))</f>
        <v/>
      </c>
      <c r="T2203" s="9" t="n">
        <f aca="false">IF(A2203="",1,0)</f>
        <v>0</v>
      </c>
      <c r="U2203" s="9" t="n">
        <f aca="false">IF(D2203="",1,0)</f>
        <v>0</v>
      </c>
      <c r="V2203" s="9" t="n">
        <f aca="false">IF(E2203="",1,0)</f>
        <v>0</v>
      </c>
      <c r="W2203" s="9" t="n">
        <f aca="false">IF(OR(H2203&lt;1,H2203&gt;10),1,0)</f>
        <v>0</v>
      </c>
      <c r="X2203" s="9" t="n">
        <f aca="false">IF(OR(I2203&lt;=0,I2203&gt;1500),1,0)</f>
        <v>0</v>
      </c>
      <c r="Y2203" s="9" t="n">
        <f aca="false">IF(J2203&gt;H2203*I2203,1,0)</f>
        <v>0</v>
      </c>
      <c r="Z2203" s="9" t="n">
        <f aca="false">IF(AND(N2203&lt;&gt;"",OR(N2203&lt;1,N2203&gt;5)),1,0)</f>
        <v>0</v>
      </c>
      <c r="AA2203" s="9" t="n">
        <f aca="false">IF(AND(M2203&lt;&gt;"",OR(M2203&lt;5,M2203&gt;180)),1,0)</f>
        <v>0</v>
      </c>
      <c r="AB2203" s="7" t="str">
        <f aca="false">IF(P2203="DUP","Exact duplicate row",IF(T2203=1,"Missing Order ID",IF(S2203="DROP","Duplicate Order ID (less complete row)",IF(U2203=1,"Missing Customer ID",IF(V2203=1,"Missing Restaurant name",IF(W2203=1,"Invalid/outlier quantity",IF(X2203=1,"Invalid/outlier unit price",IF(Y2203=1,"Discount greater than order value",""))))))))</f>
        <v/>
      </c>
      <c r="AC2203" s="7" t="str">
        <f aca="false">IF(AB2203="","KEEP","DROP")</f>
        <v>KEEP</v>
      </c>
      <c r="AD2203" s="7" t="str">
        <f aca="false">IF(TRIM(F2203)="",IFERROR(INDEX(Map_Tables!$I$4:$I$37,MATCH(TRIM(E2203),Map_Tables!$G$4:$G$37,0)),""),IFERROR(INDEX(Map_Tables!$B$4:$B$18,MATCH(TRIM(F2203),Map_Tables!$A$4:$A$18,0)),"CHECK"))</f>
        <v>Mumbai</v>
      </c>
      <c r="AE2203" s="7" t="str">
        <f aca="false">IF(TRIM(E2203)="","",IFERROR(INDEX(Map_Tables!$H$4:$H$37,MATCH(TRIM(E2203),Map_Tables!$G$4:$G$37,0)),"CHECK"))</f>
        <v>Pav Bhaji Point</v>
      </c>
      <c r="AF2203" s="7" t="str">
        <f aca="false">IF(TRIM(K2203)="","Unknown",IFERROR(INDEX(Map_Tables!$E$4:$E$15,MATCH(TRIM(K2203),Map_Tables!$D$4:$D$15,0)),"CHECK"))</f>
        <v>Cash on Delivery</v>
      </c>
      <c r="AG2203" s="7" t="str">
        <f aca="false">IF(LEFT(LOWER(TRIM(L2203)),6)="cancel","Cancelled","Delivered")</f>
        <v>Delivered</v>
      </c>
      <c r="AH2203" s="10" t="n">
        <f aca="false">IF(ISNUMBER(SEARCH("/",B2203)),DATE(VALUE(RIGHT(B2203,4)),VALUE(MID(B2203,4,2)),VALUE(LEFT(B2203,2))),IF(MID(B2203,5,1)="-",DATE(VALUE(LEFT(B2203,4)),VALUE(MID(B2203,6,2)),VALUE(RIGHT(B2203,2))),DATE(VALUE(RIGHT(B2203,4)),MATCH(MID(B2203,4,3),{"Jan","Feb","Mar","Apr","May","Jun","Jul","Aug","Sep","Oct","Nov","Dec"},0),VALUE(LEFT(B2203,2)))))</f>
        <v>45885</v>
      </c>
    </row>
    <row r="2204" customFormat="false" ht="15" hidden="false" customHeight="false" outlineLevel="0" collapsed="false">
      <c r="A2204" s="7" t="s">
        <v>4421</v>
      </c>
      <c r="B2204" s="7" t="s">
        <v>4422</v>
      </c>
      <c r="C2204" s="7" t="s">
        <v>996</v>
      </c>
      <c r="D2204" s="7" t="s">
        <v>4423</v>
      </c>
      <c r="E2204" s="7" t="s">
        <v>116</v>
      </c>
      <c r="F2204" s="7" t="s">
        <v>101</v>
      </c>
      <c r="G2204" s="7" t="s">
        <v>117</v>
      </c>
      <c r="H2204" s="7" t="n">
        <v>1</v>
      </c>
      <c r="I2204" s="7" t="n">
        <v>125</v>
      </c>
      <c r="J2204" s="7" t="n">
        <v>30</v>
      </c>
      <c r="K2204" s="7" t="s">
        <v>93</v>
      </c>
      <c r="L2204" s="7" t="s">
        <v>194</v>
      </c>
      <c r="M2204" s="7" t="n">
        <v>55</v>
      </c>
      <c r="N2204" s="7" t="n">
        <v>5</v>
      </c>
      <c r="O2204" s="7" t="str">
        <f aca="false">A2204&amp;"|"&amp;B2204&amp;"|"&amp;C2204&amp;"|"&amp;D2204&amp;"|"&amp;E2204&amp;"|"&amp;F2204&amp;"|"&amp;G2204&amp;"|"&amp;H2204&amp;"|"&amp;I2204&amp;"|"&amp;J2204&amp;"|"&amp;K2204&amp;"|"&amp;L2204&amp;"|"&amp;M2204&amp;"|"&amp;N2204</f>
        <v>ORD10949|30-Apr-2025|12:06|C0466|Pav Bhaji Point|Mumbai|Street Food|1|125|30|Credit Card|Delivered|55|5</v>
      </c>
      <c r="P2204" s="7" t="str">
        <f aca="false">IF(COUNTIF($O$2:O2204,O2204)&gt;1,"DUP","OK")</f>
        <v>OK</v>
      </c>
      <c r="Q2204" s="7" t="n">
        <f aca="false">COUNTBLANK(A2204:N2204)</f>
        <v>0</v>
      </c>
      <c r="R2204" s="7" t="n">
        <f aca="false">IF(A2204="",0,COUNTIFS($A$2:$A$3058,A2204,$P$2:$P$3058,"OK"))</f>
        <v>2</v>
      </c>
      <c r="S2204" s="7" t="str">
        <f aca="false">IF(OR(A2204="",P2204="DUP",R2204&lt;2),"",IF(Q2204=_xlfn.MINIFS($Q$2:$Q$3058,$A$2:$A$3058,A2204,$P$2:$P$3058,"OK"),"KEEP","DROP"))</f>
        <v>KEEP</v>
      </c>
      <c r="T2204" s="9" t="n">
        <f aca="false">IF(A2204="",1,0)</f>
        <v>0</v>
      </c>
      <c r="U2204" s="9" t="n">
        <f aca="false">IF(D2204="",1,0)</f>
        <v>0</v>
      </c>
      <c r="V2204" s="9" t="n">
        <f aca="false">IF(E2204="",1,0)</f>
        <v>0</v>
      </c>
      <c r="W2204" s="9" t="n">
        <f aca="false">IF(OR(H2204&lt;1,H2204&gt;10),1,0)</f>
        <v>0</v>
      </c>
      <c r="X2204" s="9" t="n">
        <f aca="false">IF(OR(I2204&lt;=0,I2204&gt;1500),1,0)</f>
        <v>0</v>
      </c>
      <c r="Y2204" s="9" t="n">
        <f aca="false">IF(J2204&gt;H2204*I2204,1,0)</f>
        <v>0</v>
      </c>
      <c r="Z2204" s="9" t="n">
        <f aca="false">IF(AND(N2204&lt;&gt;"",OR(N2204&lt;1,N2204&gt;5)),1,0)</f>
        <v>0</v>
      </c>
      <c r="AA2204" s="9" t="n">
        <f aca="false">IF(AND(M2204&lt;&gt;"",OR(M2204&lt;5,M2204&gt;180)),1,0)</f>
        <v>0</v>
      </c>
      <c r="AB2204" s="7" t="str">
        <f aca="false">IF(P2204="DUP","Exact duplicate row",IF(T2204=1,"Missing Order ID",IF(S2204="DROP","Duplicate Order ID (less complete row)",IF(U2204=1,"Missing Customer ID",IF(V2204=1,"Missing Restaurant name",IF(W2204=1,"Invalid/outlier quantity",IF(X2204=1,"Invalid/outlier unit price",IF(Y2204=1,"Discount greater than order value",""))))))))</f>
        <v/>
      </c>
      <c r="AC2204" s="7" t="str">
        <f aca="false">IF(AB2204="","KEEP","DROP")</f>
        <v>KEEP</v>
      </c>
      <c r="AD2204" s="7" t="str">
        <f aca="false">IF(TRIM(F2204)="",IFERROR(INDEX(Map_Tables!$I$4:$I$37,MATCH(TRIM(E2204),Map_Tables!$G$4:$G$37,0)),""),IFERROR(INDEX(Map_Tables!$B$4:$B$18,MATCH(TRIM(F2204),Map_Tables!$A$4:$A$18,0)),"CHECK"))</f>
        <v>Mumbai</v>
      </c>
      <c r="AE2204" s="7" t="str">
        <f aca="false">IF(TRIM(E2204)="","",IFERROR(INDEX(Map_Tables!$H$4:$H$37,MATCH(TRIM(E2204),Map_Tables!$G$4:$G$37,0)),"CHECK"))</f>
        <v>Pav Bhaji Point</v>
      </c>
      <c r="AF2204" s="7" t="str">
        <f aca="false">IF(TRIM(K2204)="","Unknown",IFERROR(INDEX(Map_Tables!$E$4:$E$15,MATCH(TRIM(K2204),Map_Tables!$D$4:$D$15,0)),"CHECK"))</f>
        <v>Credit Card</v>
      </c>
      <c r="AG2204" s="7" t="str">
        <f aca="false">IF(LEFT(LOWER(TRIM(L2204)),6)="cancel","Cancelled","Delivered")</f>
        <v>Delivered</v>
      </c>
      <c r="AH2204" s="10" t="n">
        <f aca="false">IF(ISNUMBER(SEARCH("/",B2204)),DATE(VALUE(RIGHT(B2204,4)),VALUE(MID(B2204,4,2)),VALUE(LEFT(B2204,2))),IF(MID(B2204,5,1)="-",DATE(VALUE(LEFT(B2204,4)),VALUE(MID(B2204,6,2)),VALUE(RIGHT(B2204,2))),DATE(VALUE(RIGHT(B2204,4)),MATCH(MID(B2204,4,3),{"Jan","Feb","Mar","Apr","May","Jun","Jul","Aug","Sep","Oct","Nov","Dec"},0),VALUE(LEFT(B2204,2)))))</f>
        <v>45777</v>
      </c>
    </row>
    <row r="2205" customFormat="false" ht="15" hidden="false" customHeight="false" outlineLevel="0" collapsed="false">
      <c r="A2205" s="7" t="s">
        <v>5061</v>
      </c>
      <c r="B2205" s="7" t="s">
        <v>1469</v>
      </c>
      <c r="C2205" s="7" t="s">
        <v>1215</v>
      </c>
      <c r="D2205" s="7" t="s">
        <v>908</v>
      </c>
      <c r="E2205" s="7" t="s">
        <v>154</v>
      </c>
      <c r="F2205" s="7" t="s">
        <v>128</v>
      </c>
      <c r="G2205" s="7" t="s">
        <v>99</v>
      </c>
      <c r="H2205" s="7" t="n">
        <v>1</v>
      </c>
      <c r="I2205" s="7" t="n">
        <v>235</v>
      </c>
      <c r="J2205" s="7" t="n">
        <v>94</v>
      </c>
      <c r="K2205" s="7" t="s">
        <v>88</v>
      </c>
      <c r="L2205" s="7" t="s">
        <v>238</v>
      </c>
      <c r="M2205" s="7"/>
      <c r="N2205" s="7"/>
      <c r="O2205" s="7" t="str">
        <f aca="false">A2205&amp;"|"&amp;B2205&amp;"|"&amp;C2205&amp;"|"&amp;D2205&amp;"|"&amp;E2205&amp;"|"&amp;F2205&amp;"|"&amp;G2205&amp;"|"&amp;H2205&amp;"|"&amp;I2205&amp;"|"&amp;J2205&amp;"|"&amp;K2205&amp;"|"&amp;L2205&amp;"|"&amp;M2205&amp;"|"&amp;N2205</f>
        <v>ORD11061|2025-05-14|21:22|C0417|Madras Biryani Co|Chennai|Biryani|1|235|94|UPI|Cancelled||</v>
      </c>
      <c r="P2205" s="7" t="str">
        <f aca="false">IF(COUNTIF($O$2:O2205,O2205)&gt;1,"DUP","OK")</f>
        <v>OK</v>
      </c>
      <c r="Q2205" s="7" t="n">
        <f aca="false">COUNTBLANK(A2205:N2205)</f>
        <v>2</v>
      </c>
      <c r="R2205" s="7" t="n">
        <f aca="false">IF(A2205="",0,COUNTIFS($A$2:$A$3058,A2205,$P$2:$P$3058,"OK"))</f>
        <v>1</v>
      </c>
      <c r="S2205" s="7" t="str">
        <f aca="false">IF(OR(A2205="",P2205="DUP",R2205&lt;2),"",IF(Q2205=_xlfn.MINIFS($Q$2:$Q$3058,$A$2:$A$3058,A2205,$P$2:$P$3058,"OK"),"KEEP","DROP"))</f>
        <v/>
      </c>
      <c r="T2205" s="9" t="n">
        <f aca="false">IF(A2205="",1,0)</f>
        <v>0</v>
      </c>
      <c r="U2205" s="9" t="n">
        <f aca="false">IF(D2205="",1,0)</f>
        <v>0</v>
      </c>
      <c r="V2205" s="9" t="n">
        <f aca="false">IF(E2205="",1,0)</f>
        <v>0</v>
      </c>
      <c r="W2205" s="9" t="n">
        <f aca="false">IF(OR(H2205&lt;1,H2205&gt;10),1,0)</f>
        <v>0</v>
      </c>
      <c r="X2205" s="9" t="n">
        <f aca="false">IF(OR(I2205&lt;=0,I2205&gt;1500),1,0)</f>
        <v>0</v>
      </c>
      <c r="Y2205" s="9" t="n">
        <f aca="false">IF(J2205&gt;H2205*I2205,1,0)</f>
        <v>0</v>
      </c>
      <c r="Z2205" s="9" t="n">
        <f aca="false">IF(AND(N2205&lt;&gt;"",OR(N2205&lt;1,N2205&gt;5)),1,0)</f>
        <v>0</v>
      </c>
      <c r="AA2205" s="9" t="n">
        <f aca="false">IF(AND(M2205&lt;&gt;"",OR(M2205&lt;5,M2205&gt;180)),1,0)</f>
        <v>0</v>
      </c>
      <c r="AB2205" s="7" t="str">
        <f aca="false">IF(P2205="DUP","Exact duplicate row",IF(T2205=1,"Missing Order ID",IF(S2205="DROP","Duplicate Order ID (less complete row)",IF(U2205=1,"Missing Customer ID",IF(V2205=1,"Missing Restaurant name",IF(W2205=1,"Invalid/outlier quantity",IF(X2205=1,"Invalid/outlier unit price",IF(Y2205=1,"Discount greater than order value",""))))))))</f>
        <v/>
      </c>
      <c r="AC2205" s="7" t="str">
        <f aca="false">IF(AB2205="","KEEP","DROP")</f>
        <v>KEEP</v>
      </c>
      <c r="AD2205" s="7" t="str">
        <f aca="false">IF(TRIM(F2205)="",IFERROR(INDEX(Map_Tables!$I$4:$I$37,MATCH(TRIM(E2205),Map_Tables!$G$4:$G$37,0)),""),IFERROR(INDEX(Map_Tables!$B$4:$B$18,MATCH(TRIM(F2205),Map_Tables!$A$4:$A$18,0)),"CHECK"))</f>
        <v>Chennai</v>
      </c>
      <c r="AE2205" s="7" t="str">
        <f aca="false">IF(TRIM(E2205)="","",IFERROR(INDEX(Map_Tables!$H$4:$H$37,MATCH(TRIM(E2205),Map_Tables!$G$4:$G$37,0)),"CHECK"))</f>
        <v>Madras Biryani Co</v>
      </c>
      <c r="AF2205" s="7" t="str">
        <f aca="false">IF(TRIM(K2205)="","Unknown",IFERROR(INDEX(Map_Tables!$E$4:$E$15,MATCH(TRIM(K2205),Map_Tables!$D$4:$D$15,0)),"CHECK"))</f>
        <v>UPI</v>
      </c>
      <c r="AG2205" s="7" t="str">
        <f aca="false">IF(LEFT(LOWER(TRIM(L2205)),6)="cancel","Cancelled","Delivered")</f>
        <v>Cancelled</v>
      </c>
      <c r="AH2205" s="10" t="n">
        <f aca="false">IF(ISNUMBER(SEARCH("/",B2205)),DATE(VALUE(RIGHT(B2205,4)),VALUE(MID(B2205,4,2)),VALUE(LEFT(B2205,2))),IF(MID(B2205,5,1)="-",DATE(VALUE(LEFT(B2205,4)),VALUE(MID(B2205,6,2)),VALUE(RIGHT(B2205,2))),DATE(VALUE(RIGHT(B2205,4)),MATCH(MID(B2205,4,3),{"Jan","Feb","Mar","Apr","May","Jun","Jul","Aug","Sep","Oct","Nov","Dec"},0),VALUE(LEFT(B2205,2)))))</f>
        <v>45791</v>
      </c>
    </row>
    <row r="2206" customFormat="false" ht="15" hidden="false" customHeight="false" outlineLevel="0" collapsed="false">
      <c r="A2206" s="7" t="s">
        <v>5062</v>
      </c>
      <c r="B2206" s="7" t="s">
        <v>402</v>
      </c>
      <c r="C2206" s="7" t="s">
        <v>1734</v>
      </c>
      <c r="D2206" s="7" t="s">
        <v>5063</v>
      </c>
      <c r="E2206" s="7" t="s">
        <v>147</v>
      </c>
      <c r="F2206" s="7" t="s">
        <v>2488</v>
      </c>
      <c r="G2206" s="7" t="s">
        <v>95</v>
      </c>
      <c r="H2206" s="7" t="n">
        <v>1</v>
      </c>
      <c r="I2206" s="7" t="n">
        <v>150</v>
      </c>
      <c r="J2206" s="7" t="n">
        <v>20</v>
      </c>
      <c r="K2206" s="7" t="s">
        <v>88</v>
      </c>
      <c r="L2206" s="7" t="s">
        <v>194</v>
      </c>
      <c r="M2206" s="7" t="n">
        <v>33</v>
      </c>
      <c r="N2206" s="7" t="n">
        <v>3</v>
      </c>
      <c r="O2206" s="7" t="str">
        <f aca="false">A2206&amp;"|"&amp;B2206&amp;"|"&amp;C2206&amp;"|"&amp;D2206&amp;"|"&amp;E2206&amp;"|"&amp;F2206&amp;"|"&amp;G2206&amp;"|"&amp;H2206&amp;"|"&amp;I2206&amp;"|"&amp;J2206&amp;"|"&amp;K2206&amp;"|"&amp;L2206&amp;"|"&amp;M2206&amp;"|"&amp;N2206</f>
        <v>ORD12106|2025-09-28|17:16|C0930|Andhra Meals Mess|HYDERABAD|South Indian|1|150|20|UPI|Delivered|33|3</v>
      </c>
      <c r="P2206" s="7" t="str">
        <f aca="false">IF(COUNTIF($O$2:O2206,O2206)&gt;1,"DUP","OK")</f>
        <v>OK</v>
      </c>
      <c r="Q2206" s="7" t="n">
        <f aca="false">COUNTBLANK(A2206:N2206)</f>
        <v>0</v>
      </c>
      <c r="R2206" s="7" t="n">
        <f aca="false">IF(A2206="",0,COUNTIFS($A$2:$A$3058,A2206,$P$2:$P$3058,"OK"))</f>
        <v>1</v>
      </c>
      <c r="S2206" s="7" t="str">
        <f aca="false">IF(OR(A2206="",P2206="DUP",R2206&lt;2),"",IF(Q2206=_xlfn.MINIFS($Q$2:$Q$3058,$A$2:$A$3058,A2206,$P$2:$P$3058,"OK"),"KEEP","DROP"))</f>
        <v/>
      </c>
      <c r="T2206" s="9" t="n">
        <f aca="false">IF(A2206="",1,0)</f>
        <v>0</v>
      </c>
      <c r="U2206" s="9" t="n">
        <f aca="false">IF(D2206="",1,0)</f>
        <v>0</v>
      </c>
      <c r="V2206" s="9" t="n">
        <f aca="false">IF(E2206="",1,0)</f>
        <v>0</v>
      </c>
      <c r="W2206" s="9" t="n">
        <f aca="false">IF(OR(H2206&lt;1,H2206&gt;10),1,0)</f>
        <v>0</v>
      </c>
      <c r="X2206" s="9" t="n">
        <f aca="false">IF(OR(I2206&lt;=0,I2206&gt;1500),1,0)</f>
        <v>0</v>
      </c>
      <c r="Y2206" s="9" t="n">
        <f aca="false">IF(J2206&gt;H2206*I2206,1,0)</f>
        <v>0</v>
      </c>
      <c r="Z2206" s="9" t="n">
        <f aca="false">IF(AND(N2206&lt;&gt;"",OR(N2206&lt;1,N2206&gt;5)),1,0)</f>
        <v>0</v>
      </c>
      <c r="AA2206" s="9" t="n">
        <f aca="false">IF(AND(M2206&lt;&gt;"",OR(M2206&lt;5,M2206&gt;180)),1,0)</f>
        <v>0</v>
      </c>
      <c r="AB2206" s="7" t="str">
        <f aca="false">IF(P2206="DUP","Exact duplicate row",IF(T2206=1,"Missing Order ID",IF(S2206="DROP","Duplicate Order ID (less complete row)",IF(U2206=1,"Missing Customer ID",IF(V2206=1,"Missing Restaurant name",IF(W2206=1,"Invalid/outlier quantity",IF(X2206=1,"Invalid/outlier unit price",IF(Y2206=1,"Discount greater than order value",""))))))))</f>
        <v/>
      </c>
      <c r="AC2206" s="7" t="str">
        <f aca="false">IF(AB2206="","KEEP","DROP")</f>
        <v>KEEP</v>
      </c>
      <c r="AD2206" s="7" t="str">
        <f aca="false">IF(TRIM(F2206)="",IFERROR(INDEX(Map_Tables!$I$4:$I$37,MATCH(TRIM(E2206),Map_Tables!$G$4:$G$37,0)),""),IFERROR(INDEX(Map_Tables!$B$4:$B$18,MATCH(TRIM(F2206),Map_Tables!$A$4:$A$18,0)),"CHECK"))</f>
        <v>Hyderabad</v>
      </c>
      <c r="AE2206" s="7" t="str">
        <f aca="false">IF(TRIM(E2206)="","",IFERROR(INDEX(Map_Tables!$H$4:$H$37,MATCH(TRIM(E2206),Map_Tables!$G$4:$G$37,0)),"CHECK"))</f>
        <v>Andhra Meals Mess</v>
      </c>
      <c r="AF2206" s="7" t="str">
        <f aca="false">IF(TRIM(K2206)="","Unknown",IFERROR(INDEX(Map_Tables!$E$4:$E$15,MATCH(TRIM(K2206),Map_Tables!$D$4:$D$15,0)),"CHECK"))</f>
        <v>UPI</v>
      </c>
      <c r="AG2206" s="7" t="str">
        <f aca="false">IF(LEFT(LOWER(TRIM(L2206)),6)="cancel","Cancelled","Delivered")</f>
        <v>Delivered</v>
      </c>
      <c r="AH2206" s="10" t="n">
        <f aca="false">IF(ISNUMBER(SEARCH("/",B2206)),DATE(VALUE(RIGHT(B2206,4)),VALUE(MID(B2206,4,2)),VALUE(LEFT(B2206,2))),IF(MID(B2206,5,1)="-",DATE(VALUE(LEFT(B2206,4)),VALUE(MID(B2206,6,2)),VALUE(RIGHT(B2206,2))),DATE(VALUE(RIGHT(B2206,4)),MATCH(MID(B2206,4,3),{"Jan","Feb","Mar","Apr","May","Jun","Jul","Aug","Sep","Oct","Nov","Dec"},0),VALUE(LEFT(B2206,2)))))</f>
        <v>45928</v>
      </c>
    </row>
    <row r="2207" customFormat="false" ht="15" hidden="false" customHeight="false" outlineLevel="0" collapsed="false">
      <c r="A2207" s="7" t="s">
        <v>5064</v>
      </c>
      <c r="B2207" s="7" t="s">
        <v>1127</v>
      </c>
      <c r="C2207" s="7" t="s">
        <v>2033</v>
      </c>
      <c r="D2207" s="7" t="s">
        <v>744</v>
      </c>
      <c r="E2207" s="7" t="s">
        <v>149</v>
      </c>
      <c r="F2207" s="7"/>
      <c r="G2207" s="7" t="s">
        <v>150</v>
      </c>
      <c r="H2207" s="7" t="n">
        <v>3</v>
      </c>
      <c r="I2207" s="7" t="n">
        <v>170</v>
      </c>
      <c r="J2207" s="7" t="n">
        <v>75</v>
      </c>
      <c r="K2207" s="7" t="s">
        <v>121</v>
      </c>
      <c r="L2207" s="7" t="s">
        <v>194</v>
      </c>
      <c r="M2207" s="7" t="n">
        <v>50</v>
      </c>
      <c r="N2207" s="7" t="n">
        <v>3</v>
      </c>
      <c r="O2207" s="7" t="str">
        <f aca="false">A2207&amp;"|"&amp;B2207&amp;"|"&amp;C2207&amp;"|"&amp;D2207&amp;"|"&amp;E2207&amp;"|"&amp;F2207&amp;"|"&amp;G2207&amp;"|"&amp;H2207&amp;"|"&amp;I2207&amp;"|"&amp;J2207&amp;"|"&amp;K2207&amp;"|"&amp;L2207&amp;"|"&amp;M2207&amp;"|"&amp;N2207</f>
        <v>ORD12762|2025-12-03|19:02|C1096|Sweet Tooth Studio||Desserts|3|170|75|Wallet|Delivered|50|3</v>
      </c>
      <c r="P2207" s="7" t="str">
        <f aca="false">IF(COUNTIF($O$2:O2207,O2207)&gt;1,"DUP","OK")</f>
        <v>OK</v>
      </c>
      <c r="Q2207" s="7" t="n">
        <f aca="false">COUNTBLANK(A2207:N2207)</f>
        <v>1</v>
      </c>
      <c r="R2207" s="7" t="n">
        <f aca="false">IF(A2207="",0,COUNTIFS($A$2:$A$3058,A2207,$P$2:$P$3058,"OK"))</f>
        <v>1</v>
      </c>
      <c r="S2207" s="7" t="str">
        <f aca="false">IF(OR(A2207="",P2207="DUP",R2207&lt;2),"",IF(Q2207=_xlfn.MINIFS($Q$2:$Q$3058,$A$2:$A$3058,A2207,$P$2:$P$3058,"OK"),"KEEP","DROP"))</f>
        <v/>
      </c>
      <c r="T2207" s="9" t="n">
        <f aca="false">IF(A2207="",1,0)</f>
        <v>0</v>
      </c>
      <c r="U2207" s="9" t="n">
        <f aca="false">IF(D2207="",1,0)</f>
        <v>0</v>
      </c>
      <c r="V2207" s="9" t="n">
        <f aca="false">IF(E2207="",1,0)</f>
        <v>0</v>
      </c>
      <c r="W2207" s="9" t="n">
        <f aca="false">IF(OR(H2207&lt;1,H2207&gt;10),1,0)</f>
        <v>0</v>
      </c>
      <c r="X2207" s="9" t="n">
        <f aca="false">IF(OR(I2207&lt;=0,I2207&gt;1500),1,0)</f>
        <v>0</v>
      </c>
      <c r="Y2207" s="9" t="n">
        <f aca="false">IF(J2207&gt;H2207*I2207,1,0)</f>
        <v>0</v>
      </c>
      <c r="Z2207" s="9" t="n">
        <f aca="false">IF(AND(N2207&lt;&gt;"",OR(N2207&lt;1,N2207&gt;5)),1,0)</f>
        <v>0</v>
      </c>
      <c r="AA2207" s="9" t="n">
        <f aca="false">IF(AND(M2207&lt;&gt;"",OR(M2207&lt;5,M2207&gt;180)),1,0)</f>
        <v>0</v>
      </c>
      <c r="AB2207" s="7" t="str">
        <f aca="false">IF(P2207="DUP","Exact duplicate row",IF(T2207=1,"Missing Order ID",IF(S2207="DROP","Duplicate Order ID (less complete row)",IF(U2207=1,"Missing Customer ID",IF(V2207=1,"Missing Restaurant name",IF(W2207=1,"Invalid/outlier quantity",IF(X2207=1,"Invalid/outlier unit price",IF(Y2207=1,"Discount greater than order value",""))))))))</f>
        <v/>
      </c>
      <c r="AC2207" s="7" t="str">
        <f aca="false">IF(AB2207="","KEEP","DROP")</f>
        <v>KEEP</v>
      </c>
      <c r="AD2207" s="7" t="str">
        <f aca="false">IF(TRIM(F2207)="",IFERROR(INDEX(Map_Tables!$I$4:$I$37,MATCH(TRIM(E2207),Map_Tables!$G$4:$G$37,0)),""),IFERROR(INDEX(Map_Tables!$B$4:$B$18,MATCH(TRIM(F2207),Map_Tables!$A$4:$A$18,0)),"CHECK"))</f>
        <v>Hyderabad</v>
      </c>
      <c r="AE2207" s="7" t="str">
        <f aca="false">IF(TRIM(E2207)="","",IFERROR(INDEX(Map_Tables!$H$4:$H$37,MATCH(TRIM(E2207),Map_Tables!$G$4:$G$37,0)),"CHECK"))</f>
        <v>Sweet Tooth Studio</v>
      </c>
      <c r="AF2207" s="7" t="str">
        <f aca="false">IF(TRIM(K2207)="","Unknown",IFERROR(INDEX(Map_Tables!$E$4:$E$15,MATCH(TRIM(K2207),Map_Tables!$D$4:$D$15,0)),"CHECK"))</f>
        <v>Wallet</v>
      </c>
      <c r="AG2207" s="7" t="str">
        <f aca="false">IF(LEFT(LOWER(TRIM(L2207)),6)="cancel","Cancelled","Delivered")</f>
        <v>Delivered</v>
      </c>
      <c r="AH2207" s="10" t="n">
        <f aca="false">IF(ISNUMBER(SEARCH("/",B2207)),DATE(VALUE(RIGHT(B2207,4)),VALUE(MID(B2207,4,2)),VALUE(LEFT(B2207,2))),IF(MID(B2207,5,1)="-",DATE(VALUE(LEFT(B2207,4)),VALUE(MID(B2207,6,2)),VALUE(RIGHT(B2207,2))),DATE(VALUE(RIGHT(B2207,4)),MATCH(MID(B2207,4,3),{"Jan","Feb","Mar","Apr","May","Jun","Jul","Aug","Sep","Oct","Nov","Dec"},0),VALUE(LEFT(B2207,2)))))</f>
        <v>45994</v>
      </c>
    </row>
    <row r="2208" customFormat="false" ht="15" hidden="false" customHeight="false" outlineLevel="0" collapsed="false">
      <c r="A2208" s="7" t="s">
        <v>5065</v>
      </c>
      <c r="B2208" s="7" t="s">
        <v>803</v>
      </c>
      <c r="C2208" s="7" t="s">
        <v>5066</v>
      </c>
      <c r="D2208" s="7" t="s">
        <v>3381</v>
      </c>
      <c r="E2208" s="7" t="s">
        <v>94</v>
      </c>
      <c r="F2208" s="7" t="s">
        <v>86</v>
      </c>
      <c r="G2208" s="7" t="s">
        <v>1828</v>
      </c>
      <c r="H2208" s="7" t="n">
        <v>1</v>
      </c>
      <c r="I2208" s="7" t="n">
        <v>125</v>
      </c>
      <c r="J2208" s="7" t="n">
        <v>0</v>
      </c>
      <c r="K2208" s="7" t="s">
        <v>88</v>
      </c>
      <c r="L2208" s="7" t="s">
        <v>194</v>
      </c>
      <c r="M2208" s="7" t="n">
        <v>47</v>
      </c>
      <c r="N2208" s="7" t="n">
        <v>4</v>
      </c>
      <c r="O2208" s="7" t="str">
        <f aca="false">A2208&amp;"|"&amp;B2208&amp;"|"&amp;C2208&amp;"|"&amp;D2208&amp;"|"&amp;E2208&amp;"|"&amp;F2208&amp;"|"&amp;G2208&amp;"|"&amp;H2208&amp;"|"&amp;I2208&amp;"|"&amp;J2208&amp;"|"&amp;K2208&amp;"|"&amp;L2208&amp;"|"&amp;M2208&amp;"|"&amp;N2208</f>
        <v>ORD11974|2025-09-12|22:49|C0072|Dosa Darbar|Bengaluru|south indian|1|125|0|UPI|Delivered|47|4</v>
      </c>
      <c r="P2208" s="7" t="str">
        <f aca="false">IF(COUNTIF($O$2:O2208,O2208)&gt;1,"DUP","OK")</f>
        <v>OK</v>
      </c>
      <c r="Q2208" s="7" t="n">
        <f aca="false">COUNTBLANK(A2208:N2208)</f>
        <v>0</v>
      </c>
      <c r="R2208" s="7" t="n">
        <f aca="false">IF(A2208="",0,COUNTIFS($A$2:$A$3058,A2208,$P$2:$P$3058,"OK"))</f>
        <v>1</v>
      </c>
      <c r="S2208" s="7" t="str">
        <f aca="false">IF(OR(A2208="",P2208="DUP",R2208&lt;2),"",IF(Q2208=_xlfn.MINIFS($Q$2:$Q$3058,$A$2:$A$3058,A2208,$P$2:$P$3058,"OK"),"KEEP","DROP"))</f>
        <v/>
      </c>
      <c r="T2208" s="9" t="n">
        <f aca="false">IF(A2208="",1,0)</f>
        <v>0</v>
      </c>
      <c r="U2208" s="9" t="n">
        <f aca="false">IF(D2208="",1,0)</f>
        <v>0</v>
      </c>
      <c r="V2208" s="9" t="n">
        <f aca="false">IF(E2208="",1,0)</f>
        <v>0</v>
      </c>
      <c r="W2208" s="9" t="n">
        <f aca="false">IF(OR(H2208&lt;1,H2208&gt;10),1,0)</f>
        <v>0</v>
      </c>
      <c r="X2208" s="9" t="n">
        <f aca="false">IF(OR(I2208&lt;=0,I2208&gt;1500),1,0)</f>
        <v>0</v>
      </c>
      <c r="Y2208" s="9" t="n">
        <f aca="false">IF(J2208&gt;H2208*I2208,1,0)</f>
        <v>0</v>
      </c>
      <c r="Z2208" s="9" t="n">
        <f aca="false">IF(AND(N2208&lt;&gt;"",OR(N2208&lt;1,N2208&gt;5)),1,0)</f>
        <v>0</v>
      </c>
      <c r="AA2208" s="9" t="n">
        <f aca="false">IF(AND(M2208&lt;&gt;"",OR(M2208&lt;5,M2208&gt;180)),1,0)</f>
        <v>0</v>
      </c>
      <c r="AB2208" s="7" t="str">
        <f aca="false">IF(P2208="DUP","Exact duplicate row",IF(T2208=1,"Missing Order ID",IF(S2208="DROP","Duplicate Order ID (less complete row)",IF(U2208=1,"Missing Customer ID",IF(V2208=1,"Missing Restaurant name",IF(W2208=1,"Invalid/outlier quantity",IF(X2208=1,"Invalid/outlier unit price",IF(Y2208=1,"Discount greater than order value",""))))))))</f>
        <v/>
      </c>
      <c r="AC2208" s="7" t="str">
        <f aca="false">IF(AB2208="","KEEP","DROP")</f>
        <v>KEEP</v>
      </c>
      <c r="AD2208" s="7" t="str">
        <f aca="false">IF(TRIM(F2208)="",IFERROR(INDEX(Map_Tables!$I$4:$I$37,MATCH(TRIM(E2208),Map_Tables!$G$4:$G$37,0)),""),IFERROR(INDEX(Map_Tables!$B$4:$B$18,MATCH(TRIM(F2208),Map_Tables!$A$4:$A$18,0)),"CHECK"))</f>
        <v>Bengaluru</v>
      </c>
      <c r="AE2208" s="7" t="str">
        <f aca="false">IF(TRIM(E2208)="","",IFERROR(INDEX(Map_Tables!$H$4:$H$37,MATCH(TRIM(E2208),Map_Tables!$G$4:$G$37,0)),"CHECK"))</f>
        <v>Dosa Darbar</v>
      </c>
      <c r="AF2208" s="7" t="str">
        <f aca="false">IF(TRIM(K2208)="","Unknown",IFERROR(INDEX(Map_Tables!$E$4:$E$15,MATCH(TRIM(K2208),Map_Tables!$D$4:$D$15,0)),"CHECK"))</f>
        <v>UPI</v>
      </c>
      <c r="AG2208" s="7" t="str">
        <f aca="false">IF(LEFT(LOWER(TRIM(L2208)),6)="cancel","Cancelled","Delivered")</f>
        <v>Delivered</v>
      </c>
      <c r="AH2208" s="10" t="n">
        <f aca="false">IF(ISNUMBER(SEARCH("/",B2208)),DATE(VALUE(RIGHT(B2208,4)),VALUE(MID(B2208,4,2)),VALUE(LEFT(B2208,2))),IF(MID(B2208,5,1)="-",DATE(VALUE(LEFT(B2208,4)),VALUE(MID(B2208,6,2)),VALUE(RIGHT(B2208,2))),DATE(VALUE(RIGHT(B2208,4)),MATCH(MID(B2208,4,3),{"Jan","Feb","Mar","Apr","May","Jun","Jul","Aug","Sep","Oct","Nov","Dec"},0),VALUE(LEFT(B2208,2)))))</f>
        <v>45912</v>
      </c>
    </row>
    <row r="2209" customFormat="false" ht="15" hidden="false" customHeight="false" outlineLevel="0" collapsed="false">
      <c r="A2209" s="7" t="s">
        <v>5067</v>
      </c>
      <c r="B2209" s="7" t="s">
        <v>1872</v>
      </c>
      <c r="C2209" s="7" t="s">
        <v>4461</v>
      </c>
      <c r="D2209" s="7" t="s">
        <v>4680</v>
      </c>
      <c r="E2209" s="7" t="s">
        <v>122</v>
      </c>
      <c r="F2209" s="7" t="s">
        <v>101</v>
      </c>
      <c r="G2209" s="7" t="s">
        <v>764</v>
      </c>
      <c r="H2209" s="7" t="n">
        <v>1</v>
      </c>
      <c r="I2209" s="7" t="n">
        <v>300</v>
      </c>
      <c r="J2209" s="7" t="n">
        <v>40</v>
      </c>
      <c r="K2209" s="7" t="s">
        <v>121</v>
      </c>
      <c r="L2209" s="7" t="s">
        <v>194</v>
      </c>
      <c r="M2209" s="7" t="n">
        <v>42</v>
      </c>
      <c r="N2209" s="7"/>
      <c r="O2209" s="7" t="str">
        <f aca="false">A2209&amp;"|"&amp;B2209&amp;"|"&amp;C2209&amp;"|"&amp;D2209&amp;"|"&amp;E2209&amp;"|"&amp;F2209&amp;"|"&amp;G2209&amp;"|"&amp;H2209&amp;"|"&amp;I2209&amp;"|"&amp;J2209&amp;"|"&amp;K2209&amp;"|"&amp;L2209&amp;"|"&amp;M2209&amp;"|"&amp;N2209</f>
        <v>ORD10590|2025-03-16|14:29|C0504|Mumbai Pizza Co|Mumbai|pizza|1|300|40|Wallet|Delivered|42|</v>
      </c>
      <c r="P2209" s="7" t="str">
        <f aca="false">IF(COUNTIF($O$2:O2209,O2209)&gt;1,"DUP","OK")</f>
        <v>OK</v>
      </c>
      <c r="Q2209" s="7" t="n">
        <f aca="false">COUNTBLANK(A2209:N2209)</f>
        <v>1</v>
      </c>
      <c r="R2209" s="7" t="n">
        <f aca="false">IF(A2209="",0,COUNTIFS($A$2:$A$3058,A2209,$P$2:$P$3058,"OK"))</f>
        <v>1</v>
      </c>
      <c r="S2209" s="7" t="str">
        <f aca="false">IF(OR(A2209="",P2209="DUP",R2209&lt;2),"",IF(Q2209=_xlfn.MINIFS($Q$2:$Q$3058,$A$2:$A$3058,A2209,$P$2:$P$3058,"OK"),"KEEP","DROP"))</f>
        <v/>
      </c>
      <c r="T2209" s="9" t="n">
        <f aca="false">IF(A2209="",1,0)</f>
        <v>0</v>
      </c>
      <c r="U2209" s="9" t="n">
        <f aca="false">IF(D2209="",1,0)</f>
        <v>0</v>
      </c>
      <c r="V2209" s="9" t="n">
        <f aca="false">IF(E2209="",1,0)</f>
        <v>0</v>
      </c>
      <c r="W2209" s="9" t="n">
        <f aca="false">IF(OR(H2209&lt;1,H2209&gt;10),1,0)</f>
        <v>0</v>
      </c>
      <c r="X2209" s="9" t="n">
        <f aca="false">IF(OR(I2209&lt;=0,I2209&gt;1500),1,0)</f>
        <v>0</v>
      </c>
      <c r="Y2209" s="9" t="n">
        <f aca="false">IF(J2209&gt;H2209*I2209,1,0)</f>
        <v>0</v>
      </c>
      <c r="Z2209" s="9" t="n">
        <f aca="false">IF(AND(N2209&lt;&gt;"",OR(N2209&lt;1,N2209&gt;5)),1,0)</f>
        <v>0</v>
      </c>
      <c r="AA2209" s="9" t="n">
        <f aca="false">IF(AND(M2209&lt;&gt;"",OR(M2209&lt;5,M2209&gt;180)),1,0)</f>
        <v>0</v>
      </c>
      <c r="AB2209" s="7" t="str">
        <f aca="false">IF(P2209="DUP","Exact duplicate row",IF(T2209=1,"Missing Order ID",IF(S2209="DROP","Duplicate Order ID (less complete row)",IF(U2209=1,"Missing Customer ID",IF(V2209=1,"Missing Restaurant name",IF(W2209=1,"Invalid/outlier quantity",IF(X2209=1,"Invalid/outlier unit price",IF(Y2209=1,"Discount greater than order value",""))))))))</f>
        <v/>
      </c>
      <c r="AC2209" s="7" t="str">
        <f aca="false">IF(AB2209="","KEEP","DROP")</f>
        <v>KEEP</v>
      </c>
      <c r="AD2209" s="7" t="str">
        <f aca="false">IF(TRIM(F2209)="",IFERROR(INDEX(Map_Tables!$I$4:$I$37,MATCH(TRIM(E2209),Map_Tables!$G$4:$G$37,0)),""),IFERROR(INDEX(Map_Tables!$B$4:$B$18,MATCH(TRIM(F2209),Map_Tables!$A$4:$A$18,0)),"CHECK"))</f>
        <v>Mumbai</v>
      </c>
      <c r="AE2209" s="7" t="str">
        <f aca="false">IF(TRIM(E2209)="","",IFERROR(INDEX(Map_Tables!$H$4:$H$37,MATCH(TRIM(E2209),Map_Tables!$G$4:$G$37,0)),"CHECK"))</f>
        <v>Mumbai Pizza Co</v>
      </c>
      <c r="AF2209" s="7" t="str">
        <f aca="false">IF(TRIM(K2209)="","Unknown",IFERROR(INDEX(Map_Tables!$E$4:$E$15,MATCH(TRIM(K2209),Map_Tables!$D$4:$D$15,0)),"CHECK"))</f>
        <v>Wallet</v>
      </c>
      <c r="AG2209" s="7" t="str">
        <f aca="false">IF(LEFT(LOWER(TRIM(L2209)),6)="cancel","Cancelled","Delivered")</f>
        <v>Delivered</v>
      </c>
      <c r="AH2209" s="10" t="n">
        <f aca="false">IF(ISNUMBER(SEARCH("/",B2209)),DATE(VALUE(RIGHT(B2209,4)),VALUE(MID(B2209,4,2)),VALUE(LEFT(B2209,2))),IF(MID(B2209,5,1)="-",DATE(VALUE(LEFT(B2209,4)),VALUE(MID(B2209,6,2)),VALUE(RIGHT(B2209,2))),DATE(VALUE(RIGHT(B2209,4)),MATCH(MID(B2209,4,3),{"Jan","Feb","Mar","Apr","May","Jun","Jul","Aug","Sep","Oct","Nov","Dec"},0),VALUE(LEFT(B2209,2)))))</f>
        <v>45732</v>
      </c>
    </row>
    <row r="2210" customFormat="false" ht="15" hidden="false" customHeight="false" outlineLevel="0" collapsed="false">
      <c r="A2210" s="7" t="s">
        <v>5068</v>
      </c>
      <c r="B2210" s="7" t="s">
        <v>326</v>
      </c>
      <c r="C2210" s="7" t="s">
        <v>327</v>
      </c>
      <c r="D2210" s="7" t="s">
        <v>242</v>
      </c>
      <c r="E2210" s="7" t="s">
        <v>94</v>
      </c>
      <c r="F2210" s="7" t="s">
        <v>86</v>
      </c>
      <c r="G2210" s="7" t="s">
        <v>1828</v>
      </c>
      <c r="H2210" s="7" t="n">
        <v>1</v>
      </c>
      <c r="I2210" s="7" t="n">
        <v>130</v>
      </c>
      <c r="J2210" s="7" t="n">
        <v>0</v>
      </c>
      <c r="K2210" s="7" t="s">
        <v>133</v>
      </c>
      <c r="L2210" s="7" t="s">
        <v>194</v>
      </c>
      <c r="M2210" s="7" t="n">
        <v>40</v>
      </c>
      <c r="N2210" s="7" t="n">
        <v>3</v>
      </c>
      <c r="O2210" s="7" t="str">
        <f aca="false">A2210&amp;"|"&amp;B2210&amp;"|"&amp;C2210&amp;"|"&amp;D2210&amp;"|"&amp;E2210&amp;"|"&amp;F2210&amp;"|"&amp;G2210&amp;"|"&amp;H2210&amp;"|"&amp;I2210&amp;"|"&amp;J2210&amp;"|"&amp;K2210&amp;"|"&amp;L2210&amp;"|"&amp;M2210&amp;"|"&amp;N2210</f>
        <v>ORD12434|2025-11-02|19:10|C1117|Dosa Darbar|Bengaluru|south indian|1|130|0|Net Banking|Delivered|40|3</v>
      </c>
      <c r="P2210" s="7" t="str">
        <f aca="false">IF(COUNTIF($O$2:O2210,O2210)&gt;1,"DUP","OK")</f>
        <v>OK</v>
      </c>
      <c r="Q2210" s="7" t="n">
        <f aca="false">COUNTBLANK(A2210:N2210)</f>
        <v>0</v>
      </c>
      <c r="R2210" s="7" t="n">
        <f aca="false">IF(A2210="",0,COUNTIFS($A$2:$A$3058,A2210,$P$2:$P$3058,"OK"))</f>
        <v>1</v>
      </c>
      <c r="S2210" s="7" t="str">
        <f aca="false">IF(OR(A2210="",P2210="DUP",R2210&lt;2),"",IF(Q2210=_xlfn.MINIFS($Q$2:$Q$3058,$A$2:$A$3058,A2210,$P$2:$P$3058,"OK"),"KEEP","DROP"))</f>
        <v/>
      </c>
      <c r="T2210" s="9" t="n">
        <f aca="false">IF(A2210="",1,0)</f>
        <v>0</v>
      </c>
      <c r="U2210" s="9" t="n">
        <f aca="false">IF(D2210="",1,0)</f>
        <v>0</v>
      </c>
      <c r="V2210" s="9" t="n">
        <f aca="false">IF(E2210="",1,0)</f>
        <v>0</v>
      </c>
      <c r="W2210" s="9" t="n">
        <f aca="false">IF(OR(H2210&lt;1,H2210&gt;10),1,0)</f>
        <v>0</v>
      </c>
      <c r="X2210" s="9" t="n">
        <f aca="false">IF(OR(I2210&lt;=0,I2210&gt;1500),1,0)</f>
        <v>0</v>
      </c>
      <c r="Y2210" s="9" t="n">
        <f aca="false">IF(J2210&gt;H2210*I2210,1,0)</f>
        <v>0</v>
      </c>
      <c r="Z2210" s="9" t="n">
        <f aca="false">IF(AND(N2210&lt;&gt;"",OR(N2210&lt;1,N2210&gt;5)),1,0)</f>
        <v>0</v>
      </c>
      <c r="AA2210" s="9" t="n">
        <f aca="false">IF(AND(M2210&lt;&gt;"",OR(M2210&lt;5,M2210&gt;180)),1,0)</f>
        <v>0</v>
      </c>
      <c r="AB2210" s="7" t="str">
        <f aca="false">IF(P2210="DUP","Exact duplicate row",IF(T2210=1,"Missing Order ID",IF(S2210="DROP","Duplicate Order ID (less complete row)",IF(U2210=1,"Missing Customer ID",IF(V2210=1,"Missing Restaurant name",IF(W2210=1,"Invalid/outlier quantity",IF(X2210=1,"Invalid/outlier unit price",IF(Y2210=1,"Discount greater than order value",""))))))))</f>
        <v/>
      </c>
      <c r="AC2210" s="7" t="str">
        <f aca="false">IF(AB2210="","KEEP","DROP")</f>
        <v>KEEP</v>
      </c>
      <c r="AD2210" s="7" t="str">
        <f aca="false">IF(TRIM(F2210)="",IFERROR(INDEX(Map_Tables!$I$4:$I$37,MATCH(TRIM(E2210),Map_Tables!$G$4:$G$37,0)),""),IFERROR(INDEX(Map_Tables!$B$4:$B$18,MATCH(TRIM(F2210),Map_Tables!$A$4:$A$18,0)),"CHECK"))</f>
        <v>Bengaluru</v>
      </c>
      <c r="AE2210" s="7" t="str">
        <f aca="false">IF(TRIM(E2210)="","",IFERROR(INDEX(Map_Tables!$H$4:$H$37,MATCH(TRIM(E2210),Map_Tables!$G$4:$G$37,0)),"CHECK"))</f>
        <v>Dosa Darbar</v>
      </c>
      <c r="AF2210" s="7" t="str">
        <f aca="false">IF(TRIM(K2210)="","Unknown",IFERROR(INDEX(Map_Tables!$E$4:$E$15,MATCH(TRIM(K2210),Map_Tables!$D$4:$D$15,0)),"CHECK"))</f>
        <v>Net Banking</v>
      </c>
      <c r="AG2210" s="7" t="str">
        <f aca="false">IF(LEFT(LOWER(TRIM(L2210)),6)="cancel","Cancelled","Delivered")</f>
        <v>Delivered</v>
      </c>
      <c r="AH2210" s="10" t="n">
        <f aca="false">IF(ISNUMBER(SEARCH("/",B2210)),DATE(VALUE(RIGHT(B2210,4)),VALUE(MID(B2210,4,2)),VALUE(LEFT(B2210,2))),IF(MID(B2210,5,1)="-",DATE(VALUE(LEFT(B2210,4)),VALUE(MID(B2210,6,2)),VALUE(RIGHT(B2210,2))),DATE(VALUE(RIGHT(B2210,4)),MATCH(MID(B2210,4,3),{"Jan","Feb","Mar","Apr","May","Jun","Jul","Aug","Sep","Oct","Nov","Dec"},0),VALUE(LEFT(B2210,2)))))</f>
        <v>45963</v>
      </c>
    </row>
    <row r="2211" customFormat="false" ht="15" hidden="false" customHeight="false" outlineLevel="0" collapsed="false">
      <c r="A2211" s="7" t="s">
        <v>5069</v>
      </c>
      <c r="B2211" s="7" t="s">
        <v>865</v>
      </c>
      <c r="C2211" s="7" t="s">
        <v>5070</v>
      </c>
      <c r="D2211" s="7" t="s">
        <v>2902</v>
      </c>
      <c r="E2211" s="7" t="s">
        <v>168</v>
      </c>
      <c r="F2211" s="7" t="s">
        <v>146</v>
      </c>
      <c r="G2211" s="7" t="s">
        <v>123</v>
      </c>
      <c r="H2211" s="7" t="n">
        <v>2</v>
      </c>
      <c r="I2211" s="7" t="n">
        <v>265</v>
      </c>
      <c r="J2211" s="7" t="n">
        <v>125</v>
      </c>
      <c r="K2211" s="7" t="s">
        <v>93</v>
      </c>
      <c r="L2211" s="7" t="s">
        <v>194</v>
      </c>
      <c r="M2211" s="7" t="n">
        <v>22</v>
      </c>
      <c r="N2211" s="7" t="n">
        <v>3</v>
      </c>
      <c r="O2211" s="7" t="str">
        <f aca="false">A2211&amp;"|"&amp;B2211&amp;"|"&amp;C2211&amp;"|"&amp;D2211&amp;"|"&amp;E2211&amp;"|"&amp;F2211&amp;"|"&amp;G2211&amp;"|"&amp;H2211&amp;"|"&amp;I2211&amp;"|"&amp;J2211&amp;"|"&amp;K2211&amp;"|"&amp;L2211&amp;"|"&amp;M2211&amp;"|"&amp;N2211</f>
        <v>ORD12643|2025-11-22|23:57|C0839|Cheesy Slice|Ahmedabad|Pizza|2|265|125|Credit Card|Delivered|22|3</v>
      </c>
      <c r="P2211" s="7" t="str">
        <f aca="false">IF(COUNTIF($O$2:O2211,O2211)&gt;1,"DUP","OK")</f>
        <v>OK</v>
      </c>
      <c r="Q2211" s="7" t="n">
        <f aca="false">COUNTBLANK(A2211:N2211)</f>
        <v>0</v>
      </c>
      <c r="R2211" s="7" t="n">
        <f aca="false">IF(A2211="",0,COUNTIFS($A$2:$A$3058,A2211,$P$2:$P$3058,"OK"))</f>
        <v>1</v>
      </c>
      <c r="S2211" s="7" t="str">
        <f aca="false">IF(OR(A2211="",P2211="DUP",R2211&lt;2),"",IF(Q2211=_xlfn.MINIFS($Q$2:$Q$3058,$A$2:$A$3058,A2211,$P$2:$P$3058,"OK"),"KEEP","DROP"))</f>
        <v/>
      </c>
      <c r="T2211" s="9" t="n">
        <f aca="false">IF(A2211="",1,0)</f>
        <v>0</v>
      </c>
      <c r="U2211" s="9" t="n">
        <f aca="false">IF(D2211="",1,0)</f>
        <v>0</v>
      </c>
      <c r="V2211" s="9" t="n">
        <f aca="false">IF(E2211="",1,0)</f>
        <v>0</v>
      </c>
      <c r="W2211" s="9" t="n">
        <f aca="false">IF(OR(H2211&lt;1,H2211&gt;10),1,0)</f>
        <v>0</v>
      </c>
      <c r="X2211" s="9" t="n">
        <f aca="false">IF(OR(I2211&lt;=0,I2211&gt;1500),1,0)</f>
        <v>0</v>
      </c>
      <c r="Y2211" s="9" t="n">
        <f aca="false">IF(J2211&gt;H2211*I2211,1,0)</f>
        <v>0</v>
      </c>
      <c r="Z2211" s="9" t="n">
        <f aca="false">IF(AND(N2211&lt;&gt;"",OR(N2211&lt;1,N2211&gt;5)),1,0)</f>
        <v>0</v>
      </c>
      <c r="AA2211" s="9" t="n">
        <f aca="false">IF(AND(M2211&lt;&gt;"",OR(M2211&lt;5,M2211&gt;180)),1,0)</f>
        <v>0</v>
      </c>
      <c r="AB2211" s="7" t="str">
        <f aca="false">IF(P2211="DUP","Exact duplicate row",IF(T2211=1,"Missing Order ID",IF(S2211="DROP","Duplicate Order ID (less complete row)",IF(U2211=1,"Missing Customer ID",IF(V2211=1,"Missing Restaurant name",IF(W2211=1,"Invalid/outlier quantity",IF(X2211=1,"Invalid/outlier unit price",IF(Y2211=1,"Discount greater than order value",""))))))))</f>
        <v/>
      </c>
      <c r="AC2211" s="7" t="str">
        <f aca="false">IF(AB2211="","KEEP","DROP")</f>
        <v>KEEP</v>
      </c>
      <c r="AD2211" s="7" t="str">
        <f aca="false">IF(TRIM(F2211)="",IFERROR(INDEX(Map_Tables!$I$4:$I$37,MATCH(TRIM(E2211),Map_Tables!$G$4:$G$37,0)),""),IFERROR(INDEX(Map_Tables!$B$4:$B$18,MATCH(TRIM(F2211),Map_Tables!$A$4:$A$18,0)),"CHECK"))</f>
        <v>Ahmedabad</v>
      </c>
      <c r="AE2211" s="7" t="str">
        <f aca="false">IF(TRIM(E2211)="","",IFERROR(INDEX(Map_Tables!$H$4:$H$37,MATCH(TRIM(E2211),Map_Tables!$G$4:$G$37,0)),"CHECK"))</f>
        <v>Cheesy Slice</v>
      </c>
      <c r="AF2211" s="7" t="str">
        <f aca="false">IF(TRIM(K2211)="","Unknown",IFERROR(INDEX(Map_Tables!$E$4:$E$15,MATCH(TRIM(K2211),Map_Tables!$D$4:$D$15,0)),"CHECK"))</f>
        <v>Credit Card</v>
      </c>
      <c r="AG2211" s="7" t="str">
        <f aca="false">IF(LEFT(LOWER(TRIM(L2211)),6)="cancel","Cancelled","Delivered")</f>
        <v>Delivered</v>
      </c>
      <c r="AH2211" s="10" t="n">
        <f aca="false">IF(ISNUMBER(SEARCH("/",B2211)),DATE(VALUE(RIGHT(B2211,4)),VALUE(MID(B2211,4,2)),VALUE(LEFT(B2211,2))),IF(MID(B2211,5,1)="-",DATE(VALUE(LEFT(B2211,4)),VALUE(MID(B2211,6,2)),VALUE(RIGHT(B2211,2))),DATE(VALUE(RIGHT(B2211,4)),MATCH(MID(B2211,4,3),{"Jan","Feb","Mar","Apr","May","Jun","Jul","Aug","Sep","Oct","Nov","Dec"},0),VALUE(LEFT(B2211,2)))))</f>
        <v>45983</v>
      </c>
    </row>
    <row r="2212" customFormat="false" ht="15" hidden="false" customHeight="false" outlineLevel="0" collapsed="false">
      <c r="A2212" s="7" t="s">
        <v>5071</v>
      </c>
      <c r="B2212" s="7" t="s">
        <v>436</v>
      </c>
      <c r="C2212" s="7" t="s">
        <v>3300</v>
      </c>
      <c r="D2212" s="7" t="s">
        <v>1333</v>
      </c>
      <c r="E2212" s="7" t="s">
        <v>158</v>
      </c>
      <c r="F2212" s="7" t="s">
        <v>1226</v>
      </c>
      <c r="G2212" s="7" t="s">
        <v>139</v>
      </c>
      <c r="H2212" s="7" t="n">
        <v>3</v>
      </c>
      <c r="I2212" s="7" t="n">
        <v>245</v>
      </c>
      <c r="J2212" s="7" t="n">
        <v>0</v>
      </c>
      <c r="K2212" s="7" t="s">
        <v>112</v>
      </c>
      <c r="L2212" s="7" t="s">
        <v>194</v>
      </c>
      <c r="M2212" s="7" t="n">
        <v>38</v>
      </c>
      <c r="N2212" s="7"/>
      <c r="O2212" s="7" t="str">
        <f aca="false">A2212&amp;"|"&amp;B2212&amp;"|"&amp;C2212&amp;"|"&amp;D2212&amp;"|"&amp;E2212&amp;"|"&amp;F2212&amp;"|"&amp;G2212&amp;"|"&amp;H2212&amp;"|"&amp;I2212&amp;"|"&amp;J2212&amp;"|"&amp;K2212&amp;"|"&amp;L2212&amp;"|"&amp;M2212&amp;"|"&amp;N2212</f>
        <v>ORD10087|2025-01-12|18:25|C0411|Pune Burger Hub|Pune |Burgers|3|245|0|Cash on Delivery|Delivered|38|</v>
      </c>
      <c r="P2212" s="7" t="str">
        <f aca="false">IF(COUNTIF($O$2:O2212,O2212)&gt;1,"DUP","OK")</f>
        <v>OK</v>
      </c>
      <c r="Q2212" s="7" t="n">
        <f aca="false">COUNTBLANK(A2212:N2212)</f>
        <v>1</v>
      </c>
      <c r="R2212" s="7" t="n">
        <f aca="false">IF(A2212="",0,COUNTIFS($A$2:$A$3058,A2212,$P$2:$P$3058,"OK"))</f>
        <v>1</v>
      </c>
      <c r="S2212" s="7" t="str">
        <f aca="false">IF(OR(A2212="",P2212="DUP",R2212&lt;2),"",IF(Q2212=_xlfn.MINIFS($Q$2:$Q$3058,$A$2:$A$3058,A2212,$P$2:$P$3058,"OK"),"KEEP","DROP"))</f>
        <v/>
      </c>
      <c r="T2212" s="9" t="n">
        <f aca="false">IF(A2212="",1,0)</f>
        <v>0</v>
      </c>
      <c r="U2212" s="9" t="n">
        <f aca="false">IF(D2212="",1,0)</f>
        <v>0</v>
      </c>
      <c r="V2212" s="9" t="n">
        <f aca="false">IF(E2212="",1,0)</f>
        <v>0</v>
      </c>
      <c r="W2212" s="9" t="n">
        <f aca="false">IF(OR(H2212&lt;1,H2212&gt;10),1,0)</f>
        <v>0</v>
      </c>
      <c r="X2212" s="9" t="n">
        <f aca="false">IF(OR(I2212&lt;=0,I2212&gt;1500),1,0)</f>
        <v>0</v>
      </c>
      <c r="Y2212" s="9" t="n">
        <f aca="false">IF(J2212&gt;H2212*I2212,1,0)</f>
        <v>0</v>
      </c>
      <c r="Z2212" s="9" t="n">
        <f aca="false">IF(AND(N2212&lt;&gt;"",OR(N2212&lt;1,N2212&gt;5)),1,0)</f>
        <v>0</v>
      </c>
      <c r="AA2212" s="9" t="n">
        <f aca="false">IF(AND(M2212&lt;&gt;"",OR(M2212&lt;5,M2212&gt;180)),1,0)</f>
        <v>0</v>
      </c>
      <c r="AB2212" s="7" t="str">
        <f aca="false">IF(P2212="DUP","Exact duplicate row",IF(T2212=1,"Missing Order ID",IF(S2212="DROP","Duplicate Order ID (less complete row)",IF(U2212=1,"Missing Customer ID",IF(V2212=1,"Missing Restaurant name",IF(W2212=1,"Invalid/outlier quantity",IF(X2212=1,"Invalid/outlier unit price",IF(Y2212=1,"Discount greater than order value",""))))))))</f>
        <v/>
      </c>
      <c r="AC2212" s="7" t="str">
        <f aca="false">IF(AB2212="","KEEP","DROP")</f>
        <v>KEEP</v>
      </c>
      <c r="AD2212" s="7" t="str">
        <f aca="false">IF(TRIM(F2212)="",IFERROR(INDEX(Map_Tables!$I$4:$I$37,MATCH(TRIM(E2212),Map_Tables!$G$4:$G$37,0)),""),IFERROR(INDEX(Map_Tables!$B$4:$B$18,MATCH(TRIM(F2212),Map_Tables!$A$4:$A$18,0)),"CHECK"))</f>
        <v>Pune</v>
      </c>
      <c r="AE2212" s="7" t="str">
        <f aca="false">IF(TRIM(E2212)="","",IFERROR(INDEX(Map_Tables!$H$4:$H$37,MATCH(TRIM(E2212),Map_Tables!$G$4:$G$37,0)),"CHECK"))</f>
        <v>Pune Burger Hub</v>
      </c>
      <c r="AF2212" s="7" t="str">
        <f aca="false">IF(TRIM(K2212)="","Unknown",IFERROR(INDEX(Map_Tables!$E$4:$E$15,MATCH(TRIM(K2212),Map_Tables!$D$4:$D$15,0)),"CHECK"))</f>
        <v>Cash on Delivery</v>
      </c>
      <c r="AG2212" s="7" t="str">
        <f aca="false">IF(LEFT(LOWER(TRIM(L2212)),6)="cancel","Cancelled","Delivered")</f>
        <v>Delivered</v>
      </c>
      <c r="AH2212" s="10" t="n">
        <f aca="false">IF(ISNUMBER(SEARCH("/",B2212)),DATE(VALUE(RIGHT(B2212,4)),VALUE(MID(B2212,4,2)),VALUE(LEFT(B2212,2))),IF(MID(B2212,5,1)="-",DATE(VALUE(LEFT(B2212,4)),VALUE(MID(B2212,6,2)),VALUE(RIGHT(B2212,2))),DATE(VALUE(RIGHT(B2212,4)),MATCH(MID(B2212,4,3),{"Jan","Feb","Mar","Apr","May","Jun","Jul","Aug","Sep","Oct","Nov","Dec"},0),VALUE(LEFT(B2212,2)))))</f>
        <v>45669</v>
      </c>
    </row>
    <row r="2213" customFormat="false" ht="15" hidden="false" customHeight="false" outlineLevel="0" collapsed="false">
      <c r="A2213" s="7" t="s">
        <v>5072</v>
      </c>
      <c r="B2213" s="7" t="s">
        <v>875</v>
      </c>
      <c r="C2213" s="7" t="s">
        <v>3289</v>
      </c>
      <c r="D2213" s="7" t="s">
        <v>3912</v>
      </c>
      <c r="E2213" s="7" t="s">
        <v>113</v>
      </c>
      <c r="F2213" s="7" t="s">
        <v>101</v>
      </c>
      <c r="G2213" s="7" t="s">
        <v>90</v>
      </c>
      <c r="H2213" s="7" t="n">
        <v>1</v>
      </c>
      <c r="I2213" s="7" t="n">
        <v>290</v>
      </c>
      <c r="J2213" s="7" t="n">
        <v>30</v>
      </c>
      <c r="K2213" s="7" t="s">
        <v>88</v>
      </c>
      <c r="L2213" s="7" t="s">
        <v>220</v>
      </c>
      <c r="M2213" s="7" t="n">
        <v>44</v>
      </c>
      <c r="N2213" s="7" t="n">
        <v>4</v>
      </c>
      <c r="O2213" s="7" t="str">
        <f aca="false">A2213&amp;"|"&amp;B2213&amp;"|"&amp;C2213&amp;"|"&amp;D2213&amp;"|"&amp;E2213&amp;"|"&amp;F2213&amp;"|"&amp;G2213&amp;"|"&amp;H2213&amp;"|"&amp;I2213&amp;"|"&amp;J2213&amp;"|"&amp;K2213&amp;"|"&amp;L2213&amp;"|"&amp;M2213&amp;"|"&amp;N2213</f>
        <v>ORD12926|2025-12-23|16:04|C0929|Curry Leaf Kitchen|Mumbai|North Indian|1|290|30|UPI|DELIVERED|44|4</v>
      </c>
      <c r="P2213" s="7" t="str">
        <f aca="false">IF(COUNTIF($O$2:O2213,O2213)&gt;1,"DUP","OK")</f>
        <v>OK</v>
      </c>
      <c r="Q2213" s="7" t="n">
        <f aca="false">COUNTBLANK(A2213:N2213)</f>
        <v>0</v>
      </c>
      <c r="R2213" s="7" t="n">
        <f aca="false">IF(A2213="",0,COUNTIFS($A$2:$A$3058,A2213,$P$2:$P$3058,"OK"))</f>
        <v>1</v>
      </c>
      <c r="S2213" s="7" t="str">
        <f aca="false">IF(OR(A2213="",P2213="DUP",R2213&lt;2),"",IF(Q2213=_xlfn.MINIFS($Q$2:$Q$3058,$A$2:$A$3058,A2213,$P$2:$P$3058,"OK"),"KEEP","DROP"))</f>
        <v/>
      </c>
      <c r="T2213" s="9" t="n">
        <f aca="false">IF(A2213="",1,0)</f>
        <v>0</v>
      </c>
      <c r="U2213" s="9" t="n">
        <f aca="false">IF(D2213="",1,0)</f>
        <v>0</v>
      </c>
      <c r="V2213" s="9" t="n">
        <f aca="false">IF(E2213="",1,0)</f>
        <v>0</v>
      </c>
      <c r="W2213" s="9" t="n">
        <f aca="false">IF(OR(H2213&lt;1,H2213&gt;10),1,0)</f>
        <v>0</v>
      </c>
      <c r="X2213" s="9" t="n">
        <f aca="false">IF(OR(I2213&lt;=0,I2213&gt;1500),1,0)</f>
        <v>0</v>
      </c>
      <c r="Y2213" s="9" t="n">
        <f aca="false">IF(J2213&gt;H2213*I2213,1,0)</f>
        <v>0</v>
      </c>
      <c r="Z2213" s="9" t="n">
        <f aca="false">IF(AND(N2213&lt;&gt;"",OR(N2213&lt;1,N2213&gt;5)),1,0)</f>
        <v>0</v>
      </c>
      <c r="AA2213" s="9" t="n">
        <f aca="false">IF(AND(M2213&lt;&gt;"",OR(M2213&lt;5,M2213&gt;180)),1,0)</f>
        <v>0</v>
      </c>
      <c r="AB2213" s="7" t="str">
        <f aca="false">IF(P2213="DUP","Exact duplicate row",IF(T2213=1,"Missing Order ID",IF(S2213="DROP","Duplicate Order ID (less complete row)",IF(U2213=1,"Missing Customer ID",IF(V2213=1,"Missing Restaurant name",IF(W2213=1,"Invalid/outlier quantity",IF(X2213=1,"Invalid/outlier unit price",IF(Y2213=1,"Discount greater than order value",""))))))))</f>
        <v/>
      </c>
      <c r="AC2213" s="7" t="str">
        <f aca="false">IF(AB2213="","KEEP","DROP")</f>
        <v>KEEP</v>
      </c>
      <c r="AD2213" s="7" t="str">
        <f aca="false">IF(TRIM(F2213)="",IFERROR(INDEX(Map_Tables!$I$4:$I$37,MATCH(TRIM(E2213),Map_Tables!$G$4:$G$37,0)),""),IFERROR(INDEX(Map_Tables!$B$4:$B$18,MATCH(TRIM(F2213),Map_Tables!$A$4:$A$18,0)),"CHECK"))</f>
        <v>Mumbai</v>
      </c>
      <c r="AE2213" s="7" t="str">
        <f aca="false">IF(TRIM(E2213)="","",IFERROR(INDEX(Map_Tables!$H$4:$H$37,MATCH(TRIM(E2213),Map_Tables!$G$4:$G$37,0)),"CHECK"))</f>
        <v>Curry Leaf Kitchen</v>
      </c>
      <c r="AF2213" s="7" t="str">
        <f aca="false">IF(TRIM(K2213)="","Unknown",IFERROR(INDEX(Map_Tables!$E$4:$E$15,MATCH(TRIM(K2213),Map_Tables!$D$4:$D$15,0)),"CHECK"))</f>
        <v>UPI</v>
      </c>
      <c r="AG2213" s="7" t="str">
        <f aca="false">IF(LEFT(LOWER(TRIM(L2213)),6)="cancel","Cancelled","Delivered")</f>
        <v>Delivered</v>
      </c>
      <c r="AH2213" s="10" t="n">
        <f aca="false">IF(ISNUMBER(SEARCH("/",B2213)),DATE(VALUE(RIGHT(B2213,4)),VALUE(MID(B2213,4,2)),VALUE(LEFT(B2213,2))),IF(MID(B2213,5,1)="-",DATE(VALUE(LEFT(B2213,4)),VALUE(MID(B2213,6,2)),VALUE(RIGHT(B2213,2))),DATE(VALUE(RIGHT(B2213,4)),MATCH(MID(B2213,4,3),{"Jan","Feb","Mar","Apr","May","Jun","Jul","Aug","Sep","Oct","Nov","Dec"},0),VALUE(LEFT(B2213,2)))))</f>
        <v>46014</v>
      </c>
    </row>
    <row r="2214" customFormat="false" ht="15" hidden="false" customHeight="false" outlineLevel="0" collapsed="false">
      <c r="A2214" s="7" t="s">
        <v>5073</v>
      </c>
      <c r="B2214" s="7" t="s">
        <v>1324</v>
      </c>
      <c r="C2214" s="7" t="s">
        <v>1478</v>
      </c>
      <c r="D2214" s="7" t="s">
        <v>1792</v>
      </c>
      <c r="E2214" s="7" t="s">
        <v>116</v>
      </c>
      <c r="F2214" s="7" t="s">
        <v>101</v>
      </c>
      <c r="G2214" s="7" t="s">
        <v>117</v>
      </c>
      <c r="H2214" s="7" t="n">
        <v>1</v>
      </c>
      <c r="I2214" s="7" t="n">
        <v>140</v>
      </c>
      <c r="J2214" s="7" t="n">
        <v>0</v>
      </c>
      <c r="K2214" s="7" t="s">
        <v>132</v>
      </c>
      <c r="L2214" s="7" t="s">
        <v>194</v>
      </c>
      <c r="M2214" s="7" t="n">
        <v>57</v>
      </c>
      <c r="N2214" s="7" t="n">
        <v>3</v>
      </c>
      <c r="O2214" s="7" t="str">
        <f aca="false">A2214&amp;"|"&amp;B2214&amp;"|"&amp;C2214&amp;"|"&amp;D2214&amp;"|"&amp;E2214&amp;"|"&amp;F2214&amp;"|"&amp;G2214&amp;"|"&amp;H2214&amp;"|"&amp;I2214&amp;"|"&amp;J2214&amp;"|"&amp;K2214&amp;"|"&amp;L2214&amp;"|"&amp;M2214&amp;"|"&amp;N2214</f>
        <v>ORD10772|2025-04-08|13:16|C0018|Pav Bhaji Point|Mumbai|Street Food|1|140|0|net banking|Delivered|57|3</v>
      </c>
      <c r="P2214" s="7" t="str">
        <f aca="false">IF(COUNTIF($O$2:O2214,O2214)&gt;1,"DUP","OK")</f>
        <v>OK</v>
      </c>
      <c r="Q2214" s="7" t="n">
        <f aca="false">COUNTBLANK(A2214:N2214)</f>
        <v>0</v>
      </c>
      <c r="R2214" s="7" t="n">
        <f aca="false">IF(A2214="",0,COUNTIFS($A$2:$A$3058,A2214,$P$2:$P$3058,"OK"))</f>
        <v>1</v>
      </c>
      <c r="S2214" s="7" t="str">
        <f aca="false">IF(OR(A2214="",P2214="DUP",R2214&lt;2),"",IF(Q2214=_xlfn.MINIFS($Q$2:$Q$3058,$A$2:$A$3058,A2214,$P$2:$P$3058,"OK"),"KEEP","DROP"))</f>
        <v/>
      </c>
      <c r="T2214" s="9" t="n">
        <f aca="false">IF(A2214="",1,0)</f>
        <v>0</v>
      </c>
      <c r="U2214" s="9" t="n">
        <f aca="false">IF(D2214="",1,0)</f>
        <v>0</v>
      </c>
      <c r="V2214" s="9" t="n">
        <f aca="false">IF(E2214="",1,0)</f>
        <v>0</v>
      </c>
      <c r="W2214" s="9" t="n">
        <f aca="false">IF(OR(H2214&lt;1,H2214&gt;10),1,0)</f>
        <v>0</v>
      </c>
      <c r="X2214" s="9" t="n">
        <f aca="false">IF(OR(I2214&lt;=0,I2214&gt;1500),1,0)</f>
        <v>0</v>
      </c>
      <c r="Y2214" s="9" t="n">
        <f aca="false">IF(J2214&gt;H2214*I2214,1,0)</f>
        <v>0</v>
      </c>
      <c r="Z2214" s="9" t="n">
        <f aca="false">IF(AND(N2214&lt;&gt;"",OR(N2214&lt;1,N2214&gt;5)),1,0)</f>
        <v>0</v>
      </c>
      <c r="AA2214" s="9" t="n">
        <f aca="false">IF(AND(M2214&lt;&gt;"",OR(M2214&lt;5,M2214&gt;180)),1,0)</f>
        <v>0</v>
      </c>
      <c r="AB2214" s="7" t="str">
        <f aca="false">IF(P2214="DUP","Exact duplicate row",IF(T2214=1,"Missing Order ID",IF(S2214="DROP","Duplicate Order ID (less complete row)",IF(U2214=1,"Missing Customer ID",IF(V2214=1,"Missing Restaurant name",IF(W2214=1,"Invalid/outlier quantity",IF(X2214=1,"Invalid/outlier unit price",IF(Y2214=1,"Discount greater than order value",""))))))))</f>
        <v/>
      </c>
      <c r="AC2214" s="7" t="str">
        <f aca="false">IF(AB2214="","KEEP","DROP")</f>
        <v>KEEP</v>
      </c>
      <c r="AD2214" s="7" t="str">
        <f aca="false">IF(TRIM(F2214)="",IFERROR(INDEX(Map_Tables!$I$4:$I$37,MATCH(TRIM(E2214),Map_Tables!$G$4:$G$37,0)),""),IFERROR(INDEX(Map_Tables!$B$4:$B$18,MATCH(TRIM(F2214),Map_Tables!$A$4:$A$18,0)),"CHECK"))</f>
        <v>Mumbai</v>
      </c>
      <c r="AE2214" s="7" t="str">
        <f aca="false">IF(TRIM(E2214)="","",IFERROR(INDEX(Map_Tables!$H$4:$H$37,MATCH(TRIM(E2214),Map_Tables!$G$4:$G$37,0)),"CHECK"))</f>
        <v>Pav Bhaji Point</v>
      </c>
      <c r="AF2214" s="7" t="str">
        <f aca="false">IF(TRIM(K2214)="","Unknown",IFERROR(INDEX(Map_Tables!$E$4:$E$15,MATCH(TRIM(K2214),Map_Tables!$D$4:$D$15,0)),"CHECK"))</f>
        <v>Net Banking</v>
      </c>
      <c r="AG2214" s="7" t="str">
        <f aca="false">IF(LEFT(LOWER(TRIM(L2214)),6)="cancel","Cancelled","Delivered")</f>
        <v>Delivered</v>
      </c>
      <c r="AH2214" s="10" t="n">
        <f aca="false">IF(ISNUMBER(SEARCH("/",B2214)),DATE(VALUE(RIGHT(B2214,4)),VALUE(MID(B2214,4,2)),VALUE(LEFT(B2214,2))),IF(MID(B2214,5,1)="-",DATE(VALUE(LEFT(B2214,4)),VALUE(MID(B2214,6,2)),VALUE(RIGHT(B2214,2))),DATE(VALUE(RIGHT(B2214,4)),MATCH(MID(B2214,4,3),{"Jan","Feb","Mar","Apr","May","Jun","Jul","Aug","Sep","Oct","Nov","Dec"},0),VALUE(LEFT(B2214,2)))))</f>
        <v>45755</v>
      </c>
    </row>
    <row r="2215" customFormat="false" ht="15" hidden="false" customHeight="false" outlineLevel="0" collapsed="false">
      <c r="A2215" s="7" t="s">
        <v>1159</v>
      </c>
      <c r="B2215" s="7" t="s">
        <v>1160</v>
      </c>
      <c r="C2215" s="7" t="s">
        <v>1161</v>
      </c>
      <c r="D2215" s="7" t="s">
        <v>721</v>
      </c>
      <c r="E2215" s="7" t="s">
        <v>147</v>
      </c>
      <c r="F2215" s="7" t="s">
        <v>119</v>
      </c>
      <c r="G2215" s="7" t="s">
        <v>95</v>
      </c>
      <c r="H2215" s="7" t="n">
        <v>2</v>
      </c>
      <c r="I2215" s="7" t="n">
        <v>135</v>
      </c>
      <c r="J2215" s="7" t="n">
        <v>30</v>
      </c>
      <c r="K2215" s="7" t="s">
        <v>112</v>
      </c>
      <c r="L2215" s="7" t="s">
        <v>194</v>
      </c>
      <c r="M2215" s="7" t="n">
        <v>35</v>
      </c>
      <c r="N2215" s="7"/>
      <c r="O2215" s="7" t="str">
        <f aca="false">A2215&amp;"|"&amp;B2215&amp;"|"&amp;C2215&amp;"|"&amp;D2215&amp;"|"&amp;E2215&amp;"|"&amp;F2215&amp;"|"&amp;G2215&amp;"|"&amp;H2215&amp;"|"&amp;I2215&amp;"|"&amp;J2215&amp;"|"&amp;K2215&amp;"|"&amp;L2215&amp;"|"&amp;M2215&amp;"|"&amp;N2215</f>
        <v>ORD10548|2025-03-11|13:17|C1430|Andhra Meals Mess|Hyderabad|South Indian|2|135|30|Cash on Delivery|Delivered|35|</v>
      </c>
      <c r="P2215" s="7" t="str">
        <f aca="false">IF(COUNTIF($O$2:O2215,O2215)&gt;1,"DUP","OK")</f>
        <v>DUP</v>
      </c>
      <c r="Q2215" s="7" t="n">
        <f aca="false">COUNTBLANK(A2215:N2215)</f>
        <v>1</v>
      </c>
      <c r="R2215" s="7" t="n">
        <f aca="false">IF(A2215="",0,COUNTIFS($A$2:$A$3058,A2215,$P$2:$P$3058,"OK"))</f>
        <v>1</v>
      </c>
      <c r="S2215" s="7" t="str">
        <f aca="false">IF(OR(A2215="",P2215="DUP",R2215&lt;2),"",IF(Q2215=_xlfn.MINIFS($Q$2:$Q$3058,$A$2:$A$3058,A2215,$P$2:$P$3058,"OK"),"KEEP","DROP"))</f>
        <v/>
      </c>
      <c r="T2215" s="9" t="n">
        <f aca="false">IF(A2215="",1,0)</f>
        <v>0</v>
      </c>
      <c r="U2215" s="9" t="n">
        <f aca="false">IF(D2215="",1,0)</f>
        <v>0</v>
      </c>
      <c r="V2215" s="9" t="n">
        <f aca="false">IF(E2215="",1,0)</f>
        <v>0</v>
      </c>
      <c r="W2215" s="9" t="n">
        <f aca="false">IF(OR(H2215&lt;1,H2215&gt;10),1,0)</f>
        <v>0</v>
      </c>
      <c r="X2215" s="9" t="n">
        <f aca="false">IF(OR(I2215&lt;=0,I2215&gt;1500),1,0)</f>
        <v>0</v>
      </c>
      <c r="Y2215" s="9" t="n">
        <f aca="false">IF(J2215&gt;H2215*I2215,1,0)</f>
        <v>0</v>
      </c>
      <c r="Z2215" s="9" t="n">
        <f aca="false">IF(AND(N2215&lt;&gt;"",OR(N2215&lt;1,N2215&gt;5)),1,0)</f>
        <v>0</v>
      </c>
      <c r="AA2215" s="9" t="n">
        <f aca="false">IF(AND(M2215&lt;&gt;"",OR(M2215&lt;5,M2215&gt;180)),1,0)</f>
        <v>0</v>
      </c>
      <c r="AB2215" s="7" t="str">
        <f aca="false">IF(P2215="DUP","Exact duplicate row",IF(T2215=1,"Missing Order ID",IF(S2215="DROP","Duplicate Order ID (less complete row)",IF(U2215=1,"Missing Customer ID",IF(V2215=1,"Missing Restaurant name",IF(W2215=1,"Invalid/outlier quantity",IF(X2215=1,"Invalid/outlier unit price",IF(Y2215=1,"Discount greater than order value",""))))))))</f>
        <v>Exact duplicate row</v>
      </c>
      <c r="AC2215" s="7" t="str">
        <f aca="false">IF(AB2215="","KEEP","DROP")</f>
        <v>DROP</v>
      </c>
      <c r="AD2215" s="7" t="str">
        <f aca="false">IF(TRIM(F2215)="",IFERROR(INDEX(Map_Tables!$I$4:$I$37,MATCH(TRIM(E2215),Map_Tables!$G$4:$G$37,0)),""),IFERROR(INDEX(Map_Tables!$B$4:$B$18,MATCH(TRIM(F2215),Map_Tables!$A$4:$A$18,0)),"CHECK"))</f>
        <v>Hyderabad</v>
      </c>
      <c r="AE2215" s="7" t="str">
        <f aca="false">IF(TRIM(E2215)="","",IFERROR(INDEX(Map_Tables!$H$4:$H$37,MATCH(TRIM(E2215),Map_Tables!$G$4:$G$37,0)),"CHECK"))</f>
        <v>Andhra Meals Mess</v>
      </c>
      <c r="AF2215" s="7" t="str">
        <f aca="false">IF(TRIM(K2215)="","Unknown",IFERROR(INDEX(Map_Tables!$E$4:$E$15,MATCH(TRIM(K2215),Map_Tables!$D$4:$D$15,0)),"CHECK"))</f>
        <v>Cash on Delivery</v>
      </c>
      <c r="AG2215" s="7" t="str">
        <f aca="false">IF(LEFT(LOWER(TRIM(L2215)),6)="cancel","Cancelled","Delivered")</f>
        <v>Delivered</v>
      </c>
      <c r="AH2215" s="10" t="n">
        <f aca="false">IF(ISNUMBER(SEARCH("/",B2215)),DATE(VALUE(RIGHT(B2215,4)),VALUE(MID(B2215,4,2)),VALUE(LEFT(B2215,2))),IF(MID(B2215,5,1)="-",DATE(VALUE(LEFT(B2215,4)),VALUE(MID(B2215,6,2)),VALUE(RIGHT(B2215,2))),DATE(VALUE(RIGHT(B2215,4)),MATCH(MID(B2215,4,3),{"Jan","Feb","Mar","Apr","May","Jun","Jul","Aug","Sep","Oct","Nov","Dec"},0),VALUE(LEFT(B2215,2)))))</f>
        <v>45727</v>
      </c>
    </row>
    <row r="2216" customFormat="false" ht="15" hidden="false" customHeight="false" outlineLevel="0" collapsed="false">
      <c r="A2216" s="7" t="s">
        <v>5074</v>
      </c>
      <c r="B2216" s="7" t="s">
        <v>2492</v>
      </c>
      <c r="C2216" s="7" t="s">
        <v>3023</v>
      </c>
      <c r="D2216" s="7" t="s">
        <v>1705</v>
      </c>
      <c r="E2216" s="7" t="s">
        <v>167</v>
      </c>
      <c r="F2216" s="7" t="s">
        <v>146</v>
      </c>
      <c r="G2216" s="7" t="s">
        <v>156</v>
      </c>
      <c r="H2216" s="7" t="n">
        <v>1</v>
      </c>
      <c r="I2216" s="7" t="n">
        <v>190</v>
      </c>
      <c r="J2216" s="7" t="n">
        <v>76</v>
      </c>
      <c r="K2216" s="7" t="s">
        <v>87</v>
      </c>
      <c r="L2216" s="7" t="s">
        <v>194</v>
      </c>
      <c r="M2216" s="7" t="n">
        <v>18</v>
      </c>
      <c r="N2216" s="7" t="n">
        <v>4</v>
      </c>
      <c r="O2216" s="7" t="str">
        <f aca="false">A2216&amp;"|"&amp;B2216&amp;"|"&amp;C2216&amp;"|"&amp;D2216&amp;"|"&amp;E2216&amp;"|"&amp;F2216&amp;"|"&amp;G2216&amp;"|"&amp;H2216&amp;"|"&amp;I2216&amp;"|"&amp;J2216&amp;"|"&amp;K2216&amp;"|"&amp;L2216&amp;"|"&amp;M2216&amp;"|"&amp;N2216</f>
        <v>ORD11250|2025-06-08|21:54|C1181|Fit Fuel Kitchen|Ahmedabad|Healthy Food|1|190|76|upi|Delivered|18|4</v>
      </c>
      <c r="P2216" s="7" t="str">
        <f aca="false">IF(COUNTIF($O$2:O2216,O2216)&gt;1,"DUP","OK")</f>
        <v>OK</v>
      </c>
      <c r="Q2216" s="7" t="n">
        <f aca="false">COUNTBLANK(A2216:N2216)</f>
        <v>0</v>
      </c>
      <c r="R2216" s="7" t="n">
        <f aca="false">IF(A2216="",0,COUNTIFS($A$2:$A$3058,A2216,$P$2:$P$3058,"OK"))</f>
        <v>1</v>
      </c>
      <c r="S2216" s="7" t="str">
        <f aca="false">IF(OR(A2216="",P2216="DUP",R2216&lt;2),"",IF(Q2216=_xlfn.MINIFS($Q$2:$Q$3058,$A$2:$A$3058,A2216,$P$2:$P$3058,"OK"),"KEEP","DROP"))</f>
        <v/>
      </c>
      <c r="T2216" s="9" t="n">
        <f aca="false">IF(A2216="",1,0)</f>
        <v>0</v>
      </c>
      <c r="U2216" s="9" t="n">
        <f aca="false">IF(D2216="",1,0)</f>
        <v>0</v>
      </c>
      <c r="V2216" s="9" t="n">
        <f aca="false">IF(E2216="",1,0)</f>
        <v>0</v>
      </c>
      <c r="W2216" s="9" t="n">
        <f aca="false">IF(OR(H2216&lt;1,H2216&gt;10),1,0)</f>
        <v>0</v>
      </c>
      <c r="X2216" s="9" t="n">
        <f aca="false">IF(OR(I2216&lt;=0,I2216&gt;1500),1,0)</f>
        <v>0</v>
      </c>
      <c r="Y2216" s="9" t="n">
        <f aca="false">IF(J2216&gt;H2216*I2216,1,0)</f>
        <v>0</v>
      </c>
      <c r="Z2216" s="9" t="n">
        <f aca="false">IF(AND(N2216&lt;&gt;"",OR(N2216&lt;1,N2216&gt;5)),1,0)</f>
        <v>0</v>
      </c>
      <c r="AA2216" s="9" t="n">
        <f aca="false">IF(AND(M2216&lt;&gt;"",OR(M2216&lt;5,M2216&gt;180)),1,0)</f>
        <v>0</v>
      </c>
      <c r="AB2216" s="7" t="str">
        <f aca="false">IF(P2216="DUP","Exact duplicate row",IF(T2216=1,"Missing Order ID",IF(S2216="DROP","Duplicate Order ID (less complete row)",IF(U2216=1,"Missing Customer ID",IF(V2216=1,"Missing Restaurant name",IF(W2216=1,"Invalid/outlier quantity",IF(X2216=1,"Invalid/outlier unit price",IF(Y2216=1,"Discount greater than order value",""))))))))</f>
        <v/>
      </c>
      <c r="AC2216" s="7" t="str">
        <f aca="false">IF(AB2216="","KEEP","DROP")</f>
        <v>KEEP</v>
      </c>
      <c r="AD2216" s="7" t="str">
        <f aca="false">IF(TRIM(F2216)="",IFERROR(INDEX(Map_Tables!$I$4:$I$37,MATCH(TRIM(E2216),Map_Tables!$G$4:$G$37,0)),""),IFERROR(INDEX(Map_Tables!$B$4:$B$18,MATCH(TRIM(F2216),Map_Tables!$A$4:$A$18,0)),"CHECK"))</f>
        <v>Ahmedabad</v>
      </c>
      <c r="AE2216" s="7" t="str">
        <f aca="false">IF(TRIM(E2216)="","",IFERROR(INDEX(Map_Tables!$H$4:$H$37,MATCH(TRIM(E2216),Map_Tables!$G$4:$G$37,0)),"CHECK"))</f>
        <v>Fit Fuel Kitchen</v>
      </c>
      <c r="AF2216" s="7" t="str">
        <f aca="false">IF(TRIM(K2216)="","Unknown",IFERROR(INDEX(Map_Tables!$E$4:$E$15,MATCH(TRIM(K2216),Map_Tables!$D$4:$D$15,0)),"CHECK"))</f>
        <v>UPI</v>
      </c>
      <c r="AG2216" s="7" t="str">
        <f aca="false">IF(LEFT(LOWER(TRIM(L2216)),6)="cancel","Cancelled","Delivered")</f>
        <v>Delivered</v>
      </c>
      <c r="AH2216" s="10" t="n">
        <f aca="false">IF(ISNUMBER(SEARCH("/",B2216)),DATE(VALUE(RIGHT(B2216,4)),VALUE(MID(B2216,4,2)),VALUE(LEFT(B2216,2))),IF(MID(B2216,5,1)="-",DATE(VALUE(LEFT(B2216,4)),VALUE(MID(B2216,6,2)),VALUE(RIGHT(B2216,2))),DATE(VALUE(RIGHT(B2216,4)),MATCH(MID(B2216,4,3),{"Jan","Feb","Mar","Apr","May","Jun","Jul","Aug","Sep","Oct","Nov","Dec"},0),VALUE(LEFT(B2216,2)))))</f>
        <v>45816</v>
      </c>
    </row>
    <row r="2217" customFormat="false" ht="15" hidden="false" customHeight="false" outlineLevel="0" collapsed="false">
      <c r="A2217" s="7" t="s">
        <v>5075</v>
      </c>
      <c r="B2217" s="7" t="s">
        <v>3958</v>
      </c>
      <c r="C2217" s="7" t="s">
        <v>4383</v>
      </c>
      <c r="D2217" s="7" t="s">
        <v>770</v>
      </c>
      <c r="E2217" s="7" t="s">
        <v>122</v>
      </c>
      <c r="F2217" s="7" t="s">
        <v>101</v>
      </c>
      <c r="G2217" s="7" t="s">
        <v>123</v>
      </c>
      <c r="H2217" s="7" t="n">
        <v>1</v>
      </c>
      <c r="I2217" s="7" t="n">
        <v>330</v>
      </c>
      <c r="J2217" s="7" t="n">
        <v>0</v>
      </c>
      <c r="K2217" s="7" t="s">
        <v>88</v>
      </c>
      <c r="L2217" s="7" t="s">
        <v>194</v>
      </c>
      <c r="M2217" s="7" t="n">
        <v>49</v>
      </c>
      <c r="N2217" s="7" t="n">
        <v>3</v>
      </c>
      <c r="O2217" s="7" t="str">
        <f aca="false">A2217&amp;"|"&amp;B2217&amp;"|"&amp;C2217&amp;"|"&amp;D2217&amp;"|"&amp;E2217&amp;"|"&amp;F2217&amp;"|"&amp;G2217&amp;"|"&amp;H2217&amp;"|"&amp;I2217&amp;"|"&amp;J2217&amp;"|"&amp;K2217&amp;"|"&amp;L2217&amp;"|"&amp;M2217&amp;"|"&amp;N2217</f>
        <v>ORD10709|2025-03-31|13:53|C1024|Mumbai Pizza Co|Mumbai|Pizza|1|330|0|UPI|Delivered|49|3</v>
      </c>
      <c r="P2217" s="7" t="str">
        <f aca="false">IF(COUNTIF($O$2:O2217,O2217)&gt;1,"DUP","OK")</f>
        <v>OK</v>
      </c>
      <c r="Q2217" s="7" t="n">
        <f aca="false">COUNTBLANK(A2217:N2217)</f>
        <v>0</v>
      </c>
      <c r="R2217" s="7" t="n">
        <f aca="false">IF(A2217="",0,COUNTIFS($A$2:$A$3058,A2217,$P$2:$P$3058,"OK"))</f>
        <v>1</v>
      </c>
      <c r="S2217" s="7" t="str">
        <f aca="false">IF(OR(A2217="",P2217="DUP",R2217&lt;2),"",IF(Q2217=_xlfn.MINIFS($Q$2:$Q$3058,$A$2:$A$3058,A2217,$P$2:$P$3058,"OK"),"KEEP","DROP"))</f>
        <v/>
      </c>
      <c r="T2217" s="9" t="n">
        <f aca="false">IF(A2217="",1,0)</f>
        <v>0</v>
      </c>
      <c r="U2217" s="9" t="n">
        <f aca="false">IF(D2217="",1,0)</f>
        <v>0</v>
      </c>
      <c r="V2217" s="9" t="n">
        <f aca="false">IF(E2217="",1,0)</f>
        <v>0</v>
      </c>
      <c r="W2217" s="9" t="n">
        <f aca="false">IF(OR(H2217&lt;1,H2217&gt;10),1,0)</f>
        <v>0</v>
      </c>
      <c r="X2217" s="9" t="n">
        <f aca="false">IF(OR(I2217&lt;=0,I2217&gt;1500),1,0)</f>
        <v>0</v>
      </c>
      <c r="Y2217" s="9" t="n">
        <f aca="false">IF(J2217&gt;H2217*I2217,1,0)</f>
        <v>0</v>
      </c>
      <c r="Z2217" s="9" t="n">
        <f aca="false">IF(AND(N2217&lt;&gt;"",OR(N2217&lt;1,N2217&gt;5)),1,0)</f>
        <v>0</v>
      </c>
      <c r="AA2217" s="9" t="n">
        <f aca="false">IF(AND(M2217&lt;&gt;"",OR(M2217&lt;5,M2217&gt;180)),1,0)</f>
        <v>0</v>
      </c>
      <c r="AB2217" s="7" t="str">
        <f aca="false">IF(P2217="DUP","Exact duplicate row",IF(T2217=1,"Missing Order ID",IF(S2217="DROP","Duplicate Order ID (less complete row)",IF(U2217=1,"Missing Customer ID",IF(V2217=1,"Missing Restaurant name",IF(W2217=1,"Invalid/outlier quantity",IF(X2217=1,"Invalid/outlier unit price",IF(Y2217=1,"Discount greater than order value",""))))))))</f>
        <v/>
      </c>
      <c r="AC2217" s="7" t="str">
        <f aca="false">IF(AB2217="","KEEP","DROP")</f>
        <v>KEEP</v>
      </c>
      <c r="AD2217" s="7" t="str">
        <f aca="false">IF(TRIM(F2217)="",IFERROR(INDEX(Map_Tables!$I$4:$I$37,MATCH(TRIM(E2217),Map_Tables!$G$4:$G$37,0)),""),IFERROR(INDEX(Map_Tables!$B$4:$B$18,MATCH(TRIM(F2217),Map_Tables!$A$4:$A$18,0)),"CHECK"))</f>
        <v>Mumbai</v>
      </c>
      <c r="AE2217" s="7" t="str">
        <f aca="false">IF(TRIM(E2217)="","",IFERROR(INDEX(Map_Tables!$H$4:$H$37,MATCH(TRIM(E2217),Map_Tables!$G$4:$G$37,0)),"CHECK"))</f>
        <v>Mumbai Pizza Co</v>
      </c>
      <c r="AF2217" s="7" t="str">
        <f aca="false">IF(TRIM(K2217)="","Unknown",IFERROR(INDEX(Map_Tables!$E$4:$E$15,MATCH(TRIM(K2217),Map_Tables!$D$4:$D$15,0)),"CHECK"))</f>
        <v>UPI</v>
      </c>
      <c r="AG2217" s="7" t="str">
        <f aca="false">IF(LEFT(LOWER(TRIM(L2217)),6)="cancel","Cancelled","Delivered")</f>
        <v>Delivered</v>
      </c>
      <c r="AH2217" s="10" t="n">
        <f aca="false">IF(ISNUMBER(SEARCH("/",B2217)),DATE(VALUE(RIGHT(B2217,4)),VALUE(MID(B2217,4,2)),VALUE(LEFT(B2217,2))),IF(MID(B2217,5,1)="-",DATE(VALUE(LEFT(B2217,4)),VALUE(MID(B2217,6,2)),VALUE(RIGHT(B2217,2))),DATE(VALUE(RIGHT(B2217,4)),MATCH(MID(B2217,4,3),{"Jan","Feb","Mar","Apr","May","Jun","Jul","Aug","Sep","Oct","Nov","Dec"},0),VALUE(LEFT(B2217,2)))))</f>
        <v>45747</v>
      </c>
    </row>
    <row r="2218" customFormat="false" ht="15" hidden="false" customHeight="false" outlineLevel="0" collapsed="false">
      <c r="A2218" s="7" t="s">
        <v>5076</v>
      </c>
      <c r="B2218" s="7" t="s">
        <v>2312</v>
      </c>
      <c r="C2218" s="7" t="s">
        <v>232</v>
      </c>
      <c r="D2218" s="7" t="s">
        <v>5077</v>
      </c>
      <c r="E2218" s="7" t="s">
        <v>94</v>
      </c>
      <c r="F2218" s="7" t="s">
        <v>86</v>
      </c>
      <c r="G2218" s="7" t="s">
        <v>95</v>
      </c>
      <c r="H2218" s="7" t="n">
        <v>3</v>
      </c>
      <c r="I2218" s="7" t="n">
        <v>125</v>
      </c>
      <c r="J2218" s="7" t="n">
        <v>100</v>
      </c>
      <c r="K2218" s="7" t="s">
        <v>421</v>
      </c>
      <c r="L2218" s="7" t="s">
        <v>194</v>
      </c>
      <c r="M2218" s="7" t="n">
        <v>33</v>
      </c>
      <c r="N2218" s="7"/>
      <c r="O2218" s="7" t="str">
        <f aca="false">A2218&amp;"|"&amp;B2218&amp;"|"&amp;C2218&amp;"|"&amp;D2218&amp;"|"&amp;E2218&amp;"|"&amp;F2218&amp;"|"&amp;G2218&amp;"|"&amp;H2218&amp;"|"&amp;I2218&amp;"|"&amp;J2218&amp;"|"&amp;K2218&amp;"|"&amp;L2218&amp;"|"&amp;M2218&amp;"|"&amp;N2218</f>
        <v>ORD12427|2025-11-01|21:09|C1089|Dosa Darbar|Bengaluru|South Indian|3|125|100|UPI |Delivered|33|</v>
      </c>
      <c r="P2218" s="7" t="str">
        <f aca="false">IF(COUNTIF($O$2:O2218,O2218)&gt;1,"DUP","OK")</f>
        <v>OK</v>
      </c>
      <c r="Q2218" s="7" t="n">
        <f aca="false">COUNTBLANK(A2218:N2218)</f>
        <v>1</v>
      </c>
      <c r="R2218" s="7" t="n">
        <f aca="false">IF(A2218="",0,COUNTIFS($A$2:$A$3058,A2218,$P$2:$P$3058,"OK"))</f>
        <v>1</v>
      </c>
      <c r="S2218" s="7" t="str">
        <f aca="false">IF(OR(A2218="",P2218="DUP",R2218&lt;2),"",IF(Q2218=_xlfn.MINIFS($Q$2:$Q$3058,$A$2:$A$3058,A2218,$P$2:$P$3058,"OK"),"KEEP","DROP"))</f>
        <v/>
      </c>
      <c r="T2218" s="9" t="n">
        <f aca="false">IF(A2218="",1,0)</f>
        <v>0</v>
      </c>
      <c r="U2218" s="9" t="n">
        <f aca="false">IF(D2218="",1,0)</f>
        <v>0</v>
      </c>
      <c r="V2218" s="9" t="n">
        <f aca="false">IF(E2218="",1,0)</f>
        <v>0</v>
      </c>
      <c r="W2218" s="9" t="n">
        <f aca="false">IF(OR(H2218&lt;1,H2218&gt;10),1,0)</f>
        <v>0</v>
      </c>
      <c r="X2218" s="9" t="n">
        <f aca="false">IF(OR(I2218&lt;=0,I2218&gt;1500),1,0)</f>
        <v>0</v>
      </c>
      <c r="Y2218" s="9" t="n">
        <f aca="false">IF(J2218&gt;H2218*I2218,1,0)</f>
        <v>0</v>
      </c>
      <c r="Z2218" s="9" t="n">
        <f aca="false">IF(AND(N2218&lt;&gt;"",OR(N2218&lt;1,N2218&gt;5)),1,0)</f>
        <v>0</v>
      </c>
      <c r="AA2218" s="9" t="n">
        <f aca="false">IF(AND(M2218&lt;&gt;"",OR(M2218&lt;5,M2218&gt;180)),1,0)</f>
        <v>0</v>
      </c>
      <c r="AB2218" s="7" t="str">
        <f aca="false">IF(P2218="DUP","Exact duplicate row",IF(T2218=1,"Missing Order ID",IF(S2218="DROP","Duplicate Order ID (less complete row)",IF(U2218=1,"Missing Customer ID",IF(V2218=1,"Missing Restaurant name",IF(W2218=1,"Invalid/outlier quantity",IF(X2218=1,"Invalid/outlier unit price",IF(Y2218=1,"Discount greater than order value",""))))))))</f>
        <v/>
      </c>
      <c r="AC2218" s="7" t="str">
        <f aca="false">IF(AB2218="","KEEP","DROP")</f>
        <v>KEEP</v>
      </c>
      <c r="AD2218" s="7" t="str">
        <f aca="false">IF(TRIM(F2218)="",IFERROR(INDEX(Map_Tables!$I$4:$I$37,MATCH(TRIM(E2218),Map_Tables!$G$4:$G$37,0)),""),IFERROR(INDEX(Map_Tables!$B$4:$B$18,MATCH(TRIM(F2218),Map_Tables!$A$4:$A$18,0)),"CHECK"))</f>
        <v>Bengaluru</v>
      </c>
      <c r="AE2218" s="7" t="str">
        <f aca="false">IF(TRIM(E2218)="","",IFERROR(INDEX(Map_Tables!$H$4:$H$37,MATCH(TRIM(E2218),Map_Tables!$G$4:$G$37,0)),"CHECK"))</f>
        <v>Dosa Darbar</v>
      </c>
      <c r="AF2218" s="7" t="str">
        <f aca="false">IF(TRIM(K2218)="","Unknown",IFERROR(INDEX(Map_Tables!$E$4:$E$15,MATCH(TRIM(K2218),Map_Tables!$D$4:$D$15,0)),"CHECK"))</f>
        <v>UPI</v>
      </c>
      <c r="AG2218" s="7" t="str">
        <f aca="false">IF(LEFT(LOWER(TRIM(L2218)),6)="cancel","Cancelled","Delivered")</f>
        <v>Delivered</v>
      </c>
      <c r="AH2218" s="10" t="n">
        <f aca="false">IF(ISNUMBER(SEARCH("/",B2218)),DATE(VALUE(RIGHT(B2218,4)),VALUE(MID(B2218,4,2)),VALUE(LEFT(B2218,2))),IF(MID(B2218,5,1)="-",DATE(VALUE(LEFT(B2218,4)),VALUE(MID(B2218,6,2)),VALUE(RIGHT(B2218,2))),DATE(VALUE(RIGHT(B2218,4)),MATCH(MID(B2218,4,3),{"Jan","Feb","Mar","Apr","May","Jun","Jul","Aug","Sep","Oct","Nov","Dec"},0),VALUE(LEFT(B2218,2)))))</f>
        <v>45962</v>
      </c>
    </row>
    <row r="2219" customFormat="false" ht="15" hidden="false" customHeight="false" outlineLevel="0" collapsed="false">
      <c r="A2219" s="7" t="s">
        <v>5078</v>
      </c>
      <c r="B2219" s="7" t="s">
        <v>1657</v>
      </c>
      <c r="C2219" s="7" t="s">
        <v>3300</v>
      </c>
      <c r="D2219" s="7" t="s">
        <v>2595</v>
      </c>
      <c r="E2219" s="7" t="s">
        <v>113</v>
      </c>
      <c r="F2219" s="7" t="s">
        <v>101</v>
      </c>
      <c r="G2219" s="7" t="s">
        <v>90</v>
      </c>
      <c r="H2219" s="7" t="n">
        <v>3</v>
      </c>
      <c r="I2219" s="7" t="n">
        <v>225</v>
      </c>
      <c r="J2219" s="7" t="n">
        <v>30</v>
      </c>
      <c r="K2219" s="7" t="s">
        <v>229</v>
      </c>
      <c r="L2219" s="7" t="s">
        <v>194</v>
      </c>
      <c r="M2219" s="7" t="n">
        <v>42</v>
      </c>
      <c r="N2219" s="7" t="n">
        <v>3</v>
      </c>
      <c r="O2219" s="7" t="str">
        <f aca="false">A2219&amp;"|"&amp;B2219&amp;"|"&amp;C2219&amp;"|"&amp;D2219&amp;"|"&amp;E2219&amp;"|"&amp;F2219&amp;"|"&amp;G2219&amp;"|"&amp;H2219&amp;"|"&amp;I2219&amp;"|"&amp;J2219&amp;"|"&amp;K2219&amp;"|"&amp;L2219&amp;"|"&amp;M2219&amp;"|"&amp;N2219</f>
        <v>ORD11861|2025-08-31|18:25|C0447|Curry Leaf Kitchen|Mumbai|North Indian|3|225|30|Upi|Delivered|42|3</v>
      </c>
      <c r="P2219" s="7" t="str">
        <f aca="false">IF(COUNTIF($O$2:O2219,O2219)&gt;1,"DUP","OK")</f>
        <v>OK</v>
      </c>
      <c r="Q2219" s="7" t="n">
        <f aca="false">COUNTBLANK(A2219:N2219)</f>
        <v>0</v>
      </c>
      <c r="R2219" s="7" t="n">
        <f aca="false">IF(A2219="",0,COUNTIFS($A$2:$A$3058,A2219,$P$2:$P$3058,"OK"))</f>
        <v>1</v>
      </c>
      <c r="S2219" s="7" t="str">
        <f aca="false">IF(OR(A2219="",P2219="DUP",R2219&lt;2),"",IF(Q2219=_xlfn.MINIFS($Q$2:$Q$3058,$A$2:$A$3058,A2219,$P$2:$P$3058,"OK"),"KEEP","DROP"))</f>
        <v/>
      </c>
      <c r="T2219" s="9" t="n">
        <f aca="false">IF(A2219="",1,0)</f>
        <v>0</v>
      </c>
      <c r="U2219" s="9" t="n">
        <f aca="false">IF(D2219="",1,0)</f>
        <v>0</v>
      </c>
      <c r="V2219" s="9" t="n">
        <f aca="false">IF(E2219="",1,0)</f>
        <v>0</v>
      </c>
      <c r="W2219" s="9" t="n">
        <f aca="false">IF(OR(H2219&lt;1,H2219&gt;10),1,0)</f>
        <v>0</v>
      </c>
      <c r="X2219" s="9" t="n">
        <f aca="false">IF(OR(I2219&lt;=0,I2219&gt;1500),1,0)</f>
        <v>0</v>
      </c>
      <c r="Y2219" s="9" t="n">
        <f aca="false">IF(J2219&gt;H2219*I2219,1,0)</f>
        <v>0</v>
      </c>
      <c r="Z2219" s="9" t="n">
        <f aca="false">IF(AND(N2219&lt;&gt;"",OR(N2219&lt;1,N2219&gt;5)),1,0)</f>
        <v>0</v>
      </c>
      <c r="AA2219" s="9" t="n">
        <f aca="false">IF(AND(M2219&lt;&gt;"",OR(M2219&lt;5,M2219&gt;180)),1,0)</f>
        <v>0</v>
      </c>
      <c r="AB2219" s="7" t="str">
        <f aca="false">IF(P2219="DUP","Exact duplicate row",IF(T2219=1,"Missing Order ID",IF(S2219="DROP","Duplicate Order ID (less complete row)",IF(U2219=1,"Missing Customer ID",IF(V2219=1,"Missing Restaurant name",IF(W2219=1,"Invalid/outlier quantity",IF(X2219=1,"Invalid/outlier unit price",IF(Y2219=1,"Discount greater than order value",""))))))))</f>
        <v/>
      </c>
      <c r="AC2219" s="7" t="str">
        <f aca="false">IF(AB2219="","KEEP","DROP")</f>
        <v>KEEP</v>
      </c>
      <c r="AD2219" s="7" t="str">
        <f aca="false">IF(TRIM(F2219)="",IFERROR(INDEX(Map_Tables!$I$4:$I$37,MATCH(TRIM(E2219),Map_Tables!$G$4:$G$37,0)),""),IFERROR(INDEX(Map_Tables!$B$4:$B$18,MATCH(TRIM(F2219),Map_Tables!$A$4:$A$18,0)),"CHECK"))</f>
        <v>Mumbai</v>
      </c>
      <c r="AE2219" s="7" t="str">
        <f aca="false">IF(TRIM(E2219)="","",IFERROR(INDEX(Map_Tables!$H$4:$H$37,MATCH(TRIM(E2219),Map_Tables!$G$4:$G$37,0)),"CHECK"))</f>
        <v>Curry Leaf Kitchen</v>
      </c>
      <c r="AF2219" s="7" t="str">
        <f aca="false">IF(TRIM(K2219)="","Unknown",IFERROR(INDEX(Map_Tables!$E$4:$E$15,MATCH(TRIM(K2219),Map_Tables!$D$4:$D$15,0)),"CHECK"))</f>
        <v>UPI</v>
      </c>
      <c r="AG2219" s="7" t="str">
        <f aca="false">IF(LEFT(LOWER(TRIM(L2219)),6)="cancel","Cancelled","Delivered")</f>
        <v>Delivered</v>
      </c>
      <c r="AH2219" s="10" t="n">
        <f aca="false">IF(ISNUMBER(SEARCH("/",B2219)),DATE(VALUE(RIGHT(B2219,4)),VALUE(MID(B2219,4,2)),VALUE(LEFT(B2219,2))),IF(MID(B2219,5,1)="-",DATE(VALUE(LEFT(B2219,4)),VALUE(MID(B2219,6,2)),VALUE(RIGHT(B2219,2))),DATE(VALUE(RIGHT(B2219,4)),MATCH(MID(B2219,4,3),{"Jan","Feb","Mar","Apr","May","Jun","Jul","Aug","Sep","Oct","Nov","Dec"},0),VALUE(LEFT(B2219,2)))))</f>
        <v>45900</v>
      </c>
    </row>
    <row r="2220" customFormat="false" ht="15" hidden="false" customHeight="false" outlineLevel="0" collapsed="false">
      <c r="A2220" s="7" t="s">
        <v>5079</v>
      </c>
      <c r="B2220" s="7" t="s">
        <v>1711</v>
      </c>
      <c r="C2220" s="7" t="s">
        <v>1358</v>
      </c>
      <c r="D2220" s="7" t="s">
        <v>289</v>
      </c>
      <c r="E2220" s="7" t="s">
        <v>89</v>
      </c>
      <c r="F2220" s="7" t="s">
        <v>86</v>
      </c>
      <c r="G2220" s="7" t="s">
        <v>90</v>
      </c>
      <c r="H2220" s="7" t="n">
        <v>4</v>
      </c>
      <c r="I2220" s="7" t="n">
        <v>205</v>
      </c>
      <c r="J2220" s="7" t="n">
        <v>20</v>
      </c>
      <c r="K2220" s="7" t="s">
        <v>88</v>
      </c>
      <c r="L2220" s="7" t="s">
        <v>194</v>
      </c>
      <c r="M2220" s="7" t="n">
        <v>37</v>
      </c>
      <c r="N2220" s="7" t="n">
        <v>3</v>
      </c>
      <c r="O2220" s="7" t="str">
        <f aca="false">A2220&amp;"|"&amp;B2220&amp;"|"&amp;C2220&amp;"|"&amp;D2220&amp;"|"&amp;E2220&amp;"|"&amp;F2220&amp;"|"&amp;G2220&amp;"|"&amp;H2220&amp;"|"&amp;I2220&amp;"|"&amp;J2220&amp;"|"&amp;K2220&amp;"|"&amp;L2220&amp;"|"&amp;M2220&amp;"|"&amp;N2220</f>
        <v>ORD12129|2025-09-30|20:23|C1262|Spice Junction|Bengaluru|North Indian|4|205|20|UPI|Delivered|37|3</v>
      </c>
      <c r="P2220" s="7" t="str">
        <f aca="false">IF(COUNTIF($O$2:O2220,O2220)&gt;1,"DUP","OK")</f>
        <v>OK</v>
      </c>
      <c r="Q2220" s="7" t="n">
        <f aca="false">COUNTBLANK(A2220:N2220)</f>
        <v>0</v>
      </c>
      <c r="R2220" s="7" t="n">
        <f aca="false">IF(A2220="",0,COUNTIFS($A$2:$A$3058,A2220,$P$2:$P$3058,"OK"))</f>
        <v>1</v>
      </c>
      <c r="S2220" s="7" t="str">
        <f aca="false">IF(OR(A2220="",P2220="DUP",R2220&lt;2),"",IF(Q2220=_xlfn.MINIFS($Q$2:$Q$3058,$A$2:$A$3058,A2220,$P$2:$P$3058,"OK"),"KEEP","DROP"))</f>
        <v/>
      </c>
      <c r="T2220" s="9" t="n">
        <f aca="false">IF(A2220="",1,0)</f>
        <v>0</v>
      </c>
      <c r="U2220" s="9" t="n">
        <f aca="false">IF(D2220="",1,0)</f>
        <v>0</v>
      </c>
      <c r="V2220" s="9" t="n">
        <f aca="false">IF(E2220="",1,0)</f>
        <v>0</v>
      </c>
      <c r="W2220" s="9" t="n">
        <f aca="false">IF(OR(H2220&lt;1,H2220&gt;10),1,0)</f>
        <v>0</v>
      </c>
      <c r="X2220" s="9" t="n">
        <f aca="false">IF(OR(I2220&lt;=0,I2220&gt;1500),1,0)</f>
        <v>0</v>
      </c>
      <c r="Y2220" s="9" t="n">
        <f aca="false">IF(J2220&gt;H2220*I2220,1,0)</f>
        <v>0</v>
      </c>
      <c r="Z2220" s="9" t="n">
        <f aca="false">IF(AND(N2220&lt;&gt;"",OR(N2220&lt;1,N2220&gt;5)),1,0)</f>
        <v>0</v>
      </c>
      <c r="AA2220" s="9" t="n">
        <f aca="false">IF(AND(M2220&lt;&gt;"",OR(M2220&lt;5,M2220&gt;180)),1,0)</f>
        <v>0</v>
      </c>
      <c r="AB2220" s="7" t="str">
        <f aca="false">IF(P2220="DUP","Exact duplicate row",IF(T2220=1,"Missing Order ID",IF(S2220="DROP","Duplicate Order ID (less complete row)",IF(U2220=1,"Missing Customer ID",IF(V2220=1,"Missing Restaurant name",IF(W2220=1,"Invalid/outlier quantity",IF(X2220=1,"Invalid/outlier unit price",IF(Y2220=1,"Discount greater than order value",""))))))))</f>
        <v/>
      </c>
      <c r="AC2220" s="7" t="str">
        <f aca="false">IF(AB2220="","KEEP","DROP")</f>
        <v>KEEP</v>
      </c>
      <c r="AD2220" s="7" t="str">
        <f aca="false">IF(TRIM(F2220)="",IFERROR(INDEX(Map_Tables!$I$4:$I$37,MATCH(TRIM(E2220),Map_Tables!$G$4:$G$37,0)),""),IFERROR(INDEX(Map_Tables!$B$4:$B$18,MATCH(TRIM(F2220),Map_Tables!$A$4:$A$18,0)),"CHECK"))</f>
        <v>Bengaluru</v>
      </c>
      <c r="AE2220" s="7" t="str">
        <f aca="false">IF(TRIM(E2220)="","",IFERROR(INDEX(Map_Tables!$H$4:$H$37,MATCH(TRIM(E2220),Map_Tables!$G$4:$G$37,0)),"CHECK"))</f>
        <v>Spice Junction</v>
      </c>
      <c r="AF2220" s="7" t="str">
        <f aca="false">IF(TRIM(K2220)="","Unknown",IFERROR(INDEX(Map_Tables!$E$4:$E$15,MATCH(TRIM(K2220),Map_Tables!$D$4:$D$15,0)),"CHECK"))</f>
        <v>UPI</v>
      </c>
      <c r="AG2220" s="7" t="str">
        <f aca="false">IF(LEFT(LOWER(TRIM(L2220)),6)="cancel","Cancelled","Delivered")</f>
        <v>Delivered</v>
      </c>
      <c r="AH2220" s="10" t="n">
        <f aca="false">IF(ISNUMBER(SEARCH("/",B2220)),DATE(VALUE(RIGHT(B2220,4)),VALUE(MID(B2220,4,2)),VALUE(LEFT(B2220,2))),IF(MID(B2220,5,1)="-",DATE(VALUE(LEFT(B2220,4)),VALUE(MID(B2220,6,2)),VALUE(RIGHT(B2220,2))),DATE(VALUE(RIGHT(B2220,4)),MATCH(MID(B2220,4,3),{"Jan","Feb","Mar","Apr","May","Jun","Jul","Aug","Sep","Oct","Nov","Dec"},0),VALUE(LEFT(B2220,2)))))</f>
        <v>45930</v>
      </c>
    </row>
    <row r="2221" customFormat="false" ht="15" hidden="false" customHeight="false" outlineLevel="0" collapsed="false">
      <c r="A2221" s="7" t="s">
        <v>5080</v>
      </c>
      <c r="B2221" s="7" t="s">
        <v>4130</v>
      </c>
      <c r="C2221" s="7" t="s">
        <v>3690</v>
      </c>
      <c r="D2221" s="7" t="s">
        <v>1594</v>
      </c>
      <c r="E2221" s="7" t="s">
        <v>116</v>
      </c>
      <c r="F2221" s="7" t="s">
        <v>101</v>
      </c>
      <c r="G2221" s="7" t="s">
        <v>117</v>
      </c>
      <c r="H2221" s="7" t="n">
        <v>1</v>
      </c>
      <c r="I2221" s="7" t="n">
        <v>130</v>
      </c>
      <c r="J2221" s="7" t="n">
        <v>0</v>
      </c>
      <c r="K2221" s="7" t="s">
        <v>115</v>
      </c>
      <c r="L2221" s="7" t="s">
        <v>194</v>
      </c>
      <c r="M2221" s="7" t="n">
        <v>47</v>
      </c>
      <c r="N2221" s="7" t="n">
        <v>4</v>
      </c>
      <c r="O2221" s="7" t="str">
        <f aca="false">A2221&amp;"|"&amp;B2221&amp;"|"&amp;C2221&amp;"|"&amp;D2221&amp;"|"&amp;E2221&amp;"|"&amp;F2221&amp;"|"&amp;G2221&amp;"|"&amp;H2221&amp;"|"&amp;I2221&amp;"|"&amp;J2221&amp;"|"&amp;K2221&amp;"|"&amp;L2221&amp;"|"&amp;M2221&amp;"|"&amp;N2221</f>
        <v>ORD12675|2025-11-25|13:32|C0869|Pav Bhaji Point|Mumbai|Street Food|1|130|0|cash on delivery|Delivered|47|4</v>
      </c>
      <c r="P2221" s="7" t="str">
        <f aca="false">IF(COUNTIF($O$2:O2221,O2221)&gt;1,"DUP","OK")</f>
        <v>OK</v>
      </c>
      <c r="Q2221" s="7" t="n">
        <f aca="false">COUNTBLANK(A2221:N2221)</f>
        <v>0</v>
      </c>
      <c r="R2221" s="7" t="n">
        <f aca="false">IF(A2221="",0,COUNTIFS($A$2:$A$3058,A2221,$P$2:$P$3058,"OK"))</f>
        <v>1</v>
      </c>
      <c r="S2221" s="7" t="str">
        <f aca="false">IF(OR(A2221="",P2221="DUP",R2221&lt;2),"",IF(Q2221=_xlfn.MINIFS($Q$2:$Q$3058,$A$2:$A$3058,A2221,$P$2:$P$3058,"OK"),"KEEP","DROP"))</f>
        <v/>
      </c>
      <c r="T2221" s="9" t="n">
        <f aca="false">IF(A2221="",1,0)</f>
        <v>0</v>
      </c>
      <c r="U2221" s="9" t="n">
        <f aca="false">IF(D2221="",1,0)</f>
        <v>0</v>
      </c>
      <c r="V2221" s="9" t="n">
        <f aca="false">IF(E2221="",1,0)</f>
        <v>0</v>
      </c>
      <c r="W2221" s="9" t="n">
        <f aca="false">IF(OR(H2221&lt;1,H2221&gt;10),1,0)</f>
        <v>0</v>
      </c>
      <c r="X2221" s="9" t="n">
        <f aca="false">IF(OR(I2221&lt;=0,I2221&gt;1500),1,0)</f>
        <v>0</v>
      </c>
      <c r="Y2221" s="9" t="n">
        <f aca="false">IF(J2221&gt;H2221*I2221,1,0)</f>
        <v>0</v>
      </c>
      <c r="Z2221" s="9" t="n">
        <f aca="false">IF(AND(N2221&lt;&gt;"",OR(N2221&lt;1,N2221&gt;5)),1,0)</f>
        <v>0</v>
      </c>
      <c r="AA2221" s="9" t="n">
        <f aca="false">IF(AND(M2221&lt;&gt;"",OR(M2221&lt;5,M2221&gt;180)),1,0)</f>
        <v>0</v>
      </c>
      <c r="AB2221" s="7" t="str">
        <f aca="false">IF(P2221="DUP","Exact duplicate row",IF(T2221=1,"Missing Order ID",IF(S2221="DROP","Duplicate Order ID (less complete row)",IF(U2221=1,"Missing Customer ID",IF(V2221=1,"Missing Restaurant name",IF(W2221=1,"Invalid/outlier quantity",IF(X2221=1,"Invalid/outlier unit price",IF(Y2221=1,"Discount greater than order value",""))))))))</f>
        <v/>
      </c>
      <c r="AC2221" s="7" t="str">
        <f aca="false">IF(AB2221="","KEEP","DROP")</f>
        <v>KEEP</v>
      </c>
      <c r="AD2221" s="7" t="str">
        <f aca="false">IF(TRIM(F2221)="",IFERROR(INDEX(Map_Tables!$I$4:$I$37,MATCH(TRIM(E2221),Map_Tables!$G$4:$G$37,0)),""),IFERROR(INDEX(Map_Tables!$B$4:$B$18,MATCH(TRIM(F2221),Map_Tables!$A$4:$A$18,0)),"CHECK"))</f>
        <v>Mumbai</v>
      </c>
      <c r="AE2221" s="7" t="str">
        <f aca="false">IF(TRIM(E2221)="","",IFERROR(INDEX(Map_Tables!$H$4:$H$37,MATCH(TRIM(E2221),Map_Tables!$G$4:$G$37,0)),"CHECK"))</f>
        <v>Pav Bhaji Point</v>
      </c>
      <c r="AF2221" s="7" t="str">
        <f aca="false">IF(TRIM(K2221)="","Unknown",IFERROR(INDEX(Map_Tables!$E$4:$E$15,MATCH(TRIM(K2221),Map_Tables!$D$4:$D$15,0)),"CHECK"))</f>
        <v>Cash on Delivery</v>
      </c>
      <c r="AG2221" s="7" t="str">
        <f aca="false">IF(LEFT(LOWER(TRIM(L2221)),6)="cancel","Cancelled","Delivered")</f>
        <v>Delivered</v>
      </c>
      <c r="AH2221" s="10" t="n">
        <f aca="false">IF(ISNUMBER(SEARCH("/",B2221)),DATE(VALUE(RIGHT(B2221,4)),VALUE(MID(B2221,4,2)),VALUE(LEFT(B2221,2))),IF(MID(B2221,5,1)="-",DATE(VALUE(LEFT(B2221,4)),VALUE(MID(B2221,6,2)),VALUE(RIGHT(B2221,2))),DATE(VALUE(RIGHT(B2221,4)),MATCH(MID(B2221,4,3),{"Jan","Feb","Mar","Apr","May","Jun","Jul","Aug","Sep","Oct","Nov","Dec"},0),VALUE(LEFT(B2221,2)))))</f>
        <v>45986</v>
      </c>
    </row>
    <row r="2222" customFormat="false" ht="15" hidden="false" customHeight="false" outlineLevel="0" collapsed="false">
      <c r="A2222" s="7" t="s">
        <v>5081</v>
      </c>
      <c r="B2222" s="7" t="s">
        <v>414</v>
      </c>
      <c r="C2222" s="7" t="s">
        <v>3682</v>
      </c>
      <c r="D2222" s="7" t="s">
        <v>2955</v>
      </c>
      <c r="E2222" s="7" t="s">
        <v>122</v>
      </c>
      <c r="F2222" s="7" t="s">
        <v>101</v>
      </c>
      <c r="G2222" s="7" t="s">
        <v>123</v>
      </c>
      <c r="H2222" s="7" t="n">
        <v>2</v>
      </c>
      <c r="I2222" s="7" t="n">
        <v>330</v>
      </c>
      <c r="J2222" s="7" t="n">
        <v>125</v>
      </c>
      <c r="K2222" s="7" t="s">
        <v>88</v>
      </c>
      <c r="L2222" s="7" t="s">
        <v>194</v>
      </c>
      <c r="M2222" s="7" t="n">
        <v>48</v>
      </c>
      <c r="N2222" s="7" t="n">
        <v>3</v>
      </c>
      <c r="O2222" s="7" t="str">
        <f aca="false">A2222&amp;"|"&amp;B2222&amp;"|"&amp;C2222&amp;"|"&amp;D2222&amp;"|"&amp;E2222&amp;"|"&amp;F2222&amp;"|"&amp;G2222&amp;"|"&amp;H2222&amp;"|"&amp;I2222&amp;"|"&amp;J2222&amp;"|"&amp;K2222&amp;"|"&amp;L2222&amp;"|"&amp;M2222&amp;"|"&amp;N2222</f>
        <v>ORD10419|2025-02-25|23:13|C1400|Mumbai Pizza Co|Mumbai|Pizza|2|330|125|UPI|Delivered|48|3</v>
      </c>
      <c r="P2222" s="7" t="str">
        <f aca="false">IF(COUNTIF($O$2:O2222,O2222)&gt;1,"DUP","OK")</f>
        <v>OK</v>
      </c>
      <c r="Q2222" s="7" t="n">
        <f aca="false">COUNTBLANK(A2222:N2222)</f>
        <v>0</v>
      </c>
      <c r="R2222" s="7" t="n">
        <f aca="false">IF(A2222="",0,COUNTIFS($A$2:$A$3058,A2222,$P$2:$P$3058,"OK"))</f>
        <v>1</v>
      </c>
      <c r="S2222" s="7" t="str">
        <f aca="false">IF(OR(A2222="",P2222="DUP",R2222&lt;2),"",IF(Q2222=_xlfn.MINIFS($Q$2:$Q$3058,$A$2:$A$3058,A2222,$P$2:$P$3058,"OK"),"KEEP","DROP"))</f>
        <v/>
      </c>
      <c r="T2222" s="9" t="n">
        <f aca="false">IF(A2222="",1,0)</f>
        <v>0</v>
      </c>
      <c r="U2222" s="9" t="n">
        <f aca="false">IF(D2222="",1,0)</f>
        <v>0</v>
      </c>
      <c r="V2222" s="9" t="n">
        <f aca="false">IF(E2222="",1,0)</f>
        <v>0</v>
      </c>
      <c r="W2222" s="9" t="n">
        <f aca="false">IF(OR(H2222&lt;1,H2222&gt;10),1,0)</f>
        <v>0</v>
      </c>
      <c r="X2222" s="9" t="n">
        <f aca="false">IF(OR(I2222&lt;=0,I2222&gt;1500),1,0)</f>
        <v>0</v>
      </c>
      <c r="Y2222" s="9" t="n">
        <f aca="false">IF(J2222&gt;H2222*I2222,1,0)</f>
        <v>0</v>
      </c>
      <c r="Z2222" s="9" t="n">
        <f aca="false">IF(AND(N2222&lt;&gt;"",OR(N2222&lt;1,N2222&gt;5)),1,0)</f>
        <v>0</v>
      </c>
      <c r="AA2222" s="9" t="n">
        <f aca="false">IF(AND(M2222&lt;&gt;"",OR(M2222&lt;5,M2222&gt;180)),1,0)</f>
        <v>0</v>
      </c>
      <c r="AB2222" s="7" t="str">
        <f aca="false">IF(P2222="DUP","Exact duplicate row",IF(T2222=1,"Missing Order ID",IF(S2222="DROP","Duplicate Order ID (less complete row)",IF(U2222=1,"Missing Customer ID",IF(V2222=1,"Missing Restaurant name",IF(W2222=1,"Invalid/outlier quantity",IF(X2222=1,"Invalid/outlier unit price",IF(Y2222=1,"Discount greater than order value",""))))))))</f>
        <v/>
      </c>
      <c r="AC2222" s="7" t="str">
        <f aca="false">IF(AB2222="","KEEP","DROP")</f>
        <v>KEEP</v>
      </c>
      <c r="AD2222" s="7" t="str">
        <f aca="false">IF(TRIM(F2222)="",IFERROR(INDEX(Map_Tables!$I$4:$I$37,MATCH(TRIM(E2222),Map_Tables!$G$4:$G$37,0)),""),IFERROR(INDEX(Map_Tables!$B$4:$B$18,MATCH(TRIM(F2222),Map_Tables!$A$4:$A$18,0)),"CHECK"))</f>
        <v>Mumbai</v>
      </c>
      <c r="AE2222" s="7" t="str">
        <f aca="false">IF(TRIM(E2222)="","",IFERROR(INDEX(Map_Tables!$H$4:$H$37,MATCH(TRIM(E2222),Map_Tables!$G$4:$G$37,0)),"CHECK"))</f>
        <v>Mumbai Pizza Co</v>
      </c>
      <c r="AF2222" s="7" t="str">
        <f aca="false">IF(TRIM(K2222)="","Unknown",IFERROR(INDEX(Map_Tables!$E$4:$E$15,MATCH(TRIM(K2222),Map_Tables!$D$4:$D$15,0)),"CHECK"))</f>
        <v>UPI</v>
      </c>
      <c r="AG2222" s="7" t="str">
        <f aca="false">IF(LEFT(LOWER(TRIM(L2222)),6)="cancel","Cancelled","Delivered")</f>
        <v>Delivered</v>
      </c>
      <c r="AH2222" s="10" t="n">
        <f aca="false">IF(ISNUMBER(SEARCH("/",B2222)),DATE(VALUE(RIGHT(B2222,4)),VALUE(MID(B2222,4,2)),VALUE(LEFT(B2222,2))),IF(MID(B2222,5,1)="-",DATE(VALUE(LEFT(B2222,4)),VALUE(MID(B2222,6,2)),VALUE(RIGHT(B2222,2))),DATE(VALUE(RIGHT(B2222,4)),MATCH(MID(B2222,4,3),{"Jan","Feb","Mar","Apr","May","Jun","Jul","Aug","Sep","Oct","Nov","Dec"},0),VALUE(LEFT(B2222,2)))))</f>
        <v>45713</v>
      </c>
    </row>
    <row r="2223" customFormat="false" ht="15" hidden="false" customHeight="false" outlineLevel="0" collapsed="false">
      <c r="A2223" s="7" t="s">
        <v>5082</v>
      </c>
      <c r="B2223" s="7" t="s">
        <v>518</v>
      </c>
      <c r="C2223" s="7" t="s">
        <v>3346</v>
      </c>
      <c r="D2223" s="7" t="s">
        <v>784</v>
      </c>
      <c r="E2223" s="7" t="s">
        <v>148</v>
      </c>
      <c r="F2223" s="7" t="s">
        <v>119</v>
      </c>
      <c r="G2223" s="7" t="s">
        <v>123</v>
      </c>
      <c r="H2223" s="7" t="n">
        <v>2</v>
      </c>
      <c r="I2223" s="7" t="n">
        <v>370</v>
      </c>
      <c r="J2223" s="7" t="n">
        <v>150</v>
      </c>
      <c r="K2223" s="7" t="s">
        <v>88</v>
      </c>
      <c r="L2223" s="7" t="s">
        <v>194</v>
      </c>
      <c r="M2223" s="7" t="n">
        <v>46</v>
      </c>
      <c r="N2223" s="7" t="n">
        <v>4</v>
      </c>
      <c r="O2223" s="7" t="str">
        <f aca="false">A2223&amp;"|"&amp;B2223&amp;"|"&amp;C2223&amp;"|"&amp;D2223&amp;"|"&amp;E2223&amp;"|"&amp;F2223&amp;"|"&amp;G2223&amp;"|"&amp;H2223&amp;"|"&amp;I2223&amp;"|"&amp;J2223&amp;"|"&amp;K2223&amp;"|"&amp;L2223&amp;"|"&amp;M2223&amp;"|"&amp;N2223</f>
        <v>ORD11462|2025-07-09|21:33|C0674|Pizza Palace|Hyderabad|Pizza|2|370|150|UPI|Delivered|46|4</v>
      </c>
      <c r="P2223" s="7" t="str">
        <f aca="false">IF(COUNTIF($O$2:O2223,O2223)&gt;1,"DUP","OK")</f>
        <v>OK</v>
      </c>
      <c r="Q2223" s="7" t="n">
        <f aca="false">COUNTBLANK(A2223:N2223)</f>
        <v>0</v>
      </c>
      <c r="R2223" s="7" t="n">
        <f aca="false">IF(A2223="",0,COUNTIFS($A$2:$A$3058,A2223,$P$2:$P$3058,"OK"))</f>
        <v>1</v>
      </c>
      <c r="S2223" s="7" t="str">
        <f aca="false">IF(OR(A2223="",P2223="DUP",R2223&lt;2),"",IF(Q2223=_xlfn.MINIFS($Q$2:$Q$3058,$A$2:$A$3058,A2223,$P$2:$P$3058,"OK"),"KEEP","DROP"))</f>
        <v/>
      </c>
      <c r="T2223" s="9" t="n">
        <f aca="false">IF(A2223="",1,0)</f>
        <v>0</v>
      </c>
      <c r="U2223" s="9" t="n">
        <f aca="false">IF(D2223="",1,0)</f>
        <v>0</v>
      </c>
      <c r="V2223" s="9" t="n">
        <f aca="false">IF(E2223="",1,0)</f>
        <v>0</v>
      </c>
      <c r="W2223" s="9" t="n">
        <f aca="false">IF(OR(H2223&lt;1,H2223&gt;10),1,0)</f>
        <v>0</v>
      </c>
      <c r="X2223" s="9" t="n">
        <f aca="false">IF(OR(I2223&lt;=0,I2223&gt;1500),1,0)</f>
        <v>0</v>
      </c>
      <c r="Y2223" s="9" t="n">
        <f aca="false">IF(J2223&gt;H2223*I2223,1,0)</f>
        <v>0</v>
      </c>
      <c r="Z2223" s="9" t="n">
        <f aca="false">IF(AND(N2223&lt;&gt;"",OR(N2223&lt;1,N2223&gt;5)),1,0)</f>
        <v>0</v>
      </c>
      <c r="AA2223" s="9" t="n">
        <f aca="false">IF(AND(M2223&lt;&gt;"",OR(M2223&lt;5,M2223&gt;180)),1,0)</f>
        <v>0</v>
      </c>
      <c r="AB2223" s="7" t="str">
        <f aca="false">IF(P2223="DUP","Exact duplicate row",IF(T2223=1,"Missing Order ID",IF(S2223="DROP","Duplicate Order ID (less complete row)",IF(U2223=1,"Missing Customer ID",IF(V2223=1,"Missing Restaurant name",IF(W2223=1,"Invalid/outlier quantity",IF(X2223=1,"Invalid/outlier unit price",IF(Y2223=1,"Discount greater than order value",""))))))))</f>
        <v/>
      </c>
      <c r="AC2223" s="7" t="str">
        <f aca="false">IF(AB2223="","KEEP","DROP")</f>
        <v>KEEP</v>
      </c>
      <c r="AD2223" s="7" t="str">
        <f aca="false">IF(TRIM(F2223)="",IFERROR(INDEX(Map_Tables!$I$4:$I$37,MATCH(TRIM(E2223),Map_Tables!$G$4:$G$37,0)),""),IFERROR(INDEX(Map_Tables!$B$4:$B$18,MATCH(TRIM(F2223),Map_Tables!$A$4:$A$18,0)),"CHECK"))</f>
        <v>Hyderabad</v>
      </c>
      <c r="AE2223" s="7" t="str">
        <f aca="false">IF(TRIM(E2223)="","",IFERROR(INDEX(Map_Tables!$H$4:$H$37,MATCH(TRIM(E2223),Map_Tables!$G$4:$G$37,0)),"CHECK"))</f>
        <v>Pizza Palace</v>
      </c>
      <c r="AF2223" s="7" t="str">
        <f aca="false">IF(TRIM(K2223)="","Unknown",IFERROR(INDEX(Map_Tables!$E$4:$E$15,MATCH(TRIM(K2223),Map_Tables!$D$4:$D$15,0)),"CHECK"))</f>
        <v>UPI</v>
      </c>
      <c r="AG2223" s="7" t="str">
        <f aca="false">IF(LEFT(LOWER(TRIM(L2223)),6)="cancel","Cancelled","Delivered")</f>
        <v>Delivered</v>
      </c>
      <c r="AH2223" s="10" t="n">
        <f aca="false">IF(ISNUMBER(SEARCH("/",B2223)),DATE(VALUE(RIGHT(B2223,4)),VALUE(MID(B2223,4,2)),VALUE(LEFT(B2223,2))),IF(MID(B2223,5,1)="-",DATE(VALUE(LEFT(B2223,4)),VALUE(MID(B2223,6,2)),VALUE(RIGHT(B2223,2))),DATE(VALUE(RIGHT(B2223,4)),MATCH(MID(B2223,4,3),{"Jan","Feb","Mar","Apr","May","Jun","Jul","Aug","Sep","Oct","Nov","Dec"},0),VALUE(LEFT(B2223,2)))))</f>
        <v>45847</v>
      </c>
    </row>
    <row r="2224" customFormat="false" ht="15" hidden="false" customHeight="false" outlineLevel="0" collapsed="false">
      <c r="A2224" s="7" t="s">
        <v>5083</v>
      </c>
      <c r="B2224" s="7" t="s">
        <v>795</v>
      </c>
      <c r="C2224" s="7" t="s">
        <v>4225</v>
      </c>
      <c r="D2224" s="7" t="s">
        <v>5084</v>
      </c>
      <c r="E2224" s="7" t="s">
        <v>94</v>
      </c>
      <c r="F2224" s="7" t="s">
        <v>86</v>
      </c>
      <c r="G2224" s="7" t="s">
        <v>1828</v>
      </c>
      <c r="H2224" s="7" t="n">
        <v>2</v>
      </c>
      <c r="I2224" s="7" t="n">
        <v>105</v>
      </c>
      <c r="J2224" s="7" t="n">
        <v>84</v>
      </c>
      <c r="K2224" s="7" t="s">
        <v>88</v>
      </c>
      <c r="L2224" s="7" t="s">
        <v>194</v>
      </c>
      <c r="M2224" s="7" t="n">
        <v>50</v>
      </c>
      <c r="N2224" s="7"/>
      <c r="O2224" s="7" t="str">
        <f aca="false">A2224&amp;"|"&amp;B2224&amp;"|"&amp;C2224&amp;"|"&amp;D2224&amp;"|"&amp;E2224&amp;"|"&amp;F2224&amp;"|"&amp;G2224&amp;"|"&amp;H2224&amp;"|"&amp;I2224&amp;"|"&amp;J2224&amp;"|"&amp;K2224&amp;"|"&amp;L2224&amp;"|"&amp;M2224&amp;"|"&amp;N2224</f>
        <v>ORD11485|2025-07-12|16:11|C1057|Dosa Darbar|Bengaluru|south indian|2|105|84|UPI|Delivered|50|</v>
      </c>
      <c r="P2224" s="7" t="str">
        <f aca="false">IF(COUNTIF($O$2:O2224,O2224)&gt;1,"DUP","OK")</f>
        <v>OK</v>
      </c>
      <c r="Q2224" s="7" t="n">
        <f aca="false">COUNTBLANK(A2224:N2224)</f>
        <v>1</v>
      </c>
      <c r="R2224" s="7" t="n">
        <f aca="false">IF(A2224="",0,COUNTIFS($A$2:$A$3058,A2224,$P$2:$P$3058,"OK"))</f>
        <v>1</v>
      </c>
      <c r="S2224" s="7" t="str">
        <f aca="false">IF(OR(A2224="",P2224="DUP",R2224&lt;2),"",IF(Q2224=_xlfn.MINIFS($Q$2:$Q$3058,$A$2:$A$3058,A2224,$P$2:$P$3058,"OK"),"KEEP","DROP"))</f>
        <v/>
      </c>
      <c r="T2224" s="9" t="n">
        <f aca="false">IF(A2224="",1,0)</f>
        <v>0</v>
      </c>
      <c r="U2224" s="9" t="n">
        <f aca="false">IF(D2224="",1,0)</f>
        <v>0</v>
      </c>
      <c r="V2224" s="9" t="n">
        <f aca="false">IF(E2224="",1,0)</f>
        <v>0</v>
      </c>
      <c r="W2224" s="9" t="n">
        <f aca="false">IF(OR(H2224&lt;1,H2224&gt;10),1,0)</f>
        <v>0</v>
      </c>
      <c r="X2224" s="9" t="n">
        <f aca="false">IF(OR(I2224&lt;=0,I2224&gt;1500),1,0)</f>
        <v>0</v>
      </c>
      <c r="Y2224" s="9" t="n">
        <f aca="false">IF(J2224&gt;H2224*I2224,1,0)</f>
        <v>0</v>
      </c>
      <c r="Z2224" s="9" t="n">
        <f aca="false">IF(AND(N2224&lt;&gt;"",OR(N2224&lt;1,N2224&gt;5)),1,0)</f>
        <v>0</v>
      </c>
      <c r="AA2224" s="9" t="n">
        <f aca="false">IF(AND(M2224&lt;&gt;"",OR(M2224&lt;5,M2224&gt;180)),1,0)</f>
        <v>0</v>
      </c>
      <c r="AB2224" s="7" t="str">
        <f aca="false">IF(P2224="DUP","Exact duplicate row",IF(T2224=1,"Missing Order ID",IF(S2224="DROP","Duplicate Order ID (less complete row)",IF(U2224=1,"Missing Customer ID",IF(V2224=1,"Missing Restaurant name",IF(W2224=1,"Invalid/outlier quantity",IF(X2224=1,"Invalid/outlier unit price",IF(Y2224=1,"Discount greater than order value",""))))))))</f>
        <v/>
      </c>
      <c r="AC2224" s="7" t="str">
        <f aca="false">IF(AB2224="","KEEP","DROP")</f>
        <v>KEEP</v>
      </c>
      <c r="AD2224" s="7" t="str">
        <f aca="false">IF(TRIM(F2224)="",IFERROR(INDEX(Map_Tables!$I$4:$I$37,MATCH(TRIM(E2224),Map_Tables!$G$4:$G$37,0)),""),IFERROR(INDEX(Map_Tables!$B$4:$B$18,MATCH(TRIM(F2224),Map_Tables!$A$4:$A$18,0)),"CHECK"))</f>
        <v>Bengaluru</v>
      </c>
      <c r="AE2224" s="7" t="str">
        <f aca="false">IF(TRIM(E2224)="","",IFERROR(INDEX(Map_Tables!$H$4:$H$37,MATCH(TRIM(E2224),Map_Tables!$G$4:$G$37,0)),"CHECK"))</f>
        <v>Dosa Darbar</v>
      </c>
      <c r="AF2224" s="7" t="str">
        <f aca="false">IF(TRIM(K2224)="","Unknown",IFERROR(INDEX(Map_Tables!$E$4:$E$15,MATCH(TRIM(K2224),Map_Tables!$D$4:$D$15,0)),"CHECK"))</f>
        <v>UPI</v>
      </c>
      <c r="AG2224" s="7" t="str">
        <f aca="false">IF(LEFT(LOWER(TRIM(L2224)),6)="cancel","Cancelled","Delivered")</f>
        <v>Delivered</v>
      </c>
      <c r="AH2224" s="10" t="n">
        <f aca="false">IF(ISNUMBER(SEARCH("/",B2224)),DATE(VALUE(RIGHT(B2224,4)),VALUE(MID(B2224,4,2)),VALUE(LEFT(B2224,2))),IF(MID(B2224,5,1)="-",DATE(VALUE(LEFT(B2224,4)),VALUE(MID(B2224,6,2)),VALUE(RIGHT(B2224,2))),DATE(VALUE(RIGHT(B2224,4)),MATCH(MID(B2224,4,3),{"Jan","Feb","Mar","Apr","May","Jun","Jul","Aug","Sep","Oct","Nov","Dec"},0),VALUE(LEFT(B2224,2)))))</f>
        <v>45850</v>
      </c>
    </row>
    <row r="2225" customFormat="false" ht="15" hidden="false" customHeight="false" outlineLevel="0" collapsed="false">
      <c r="A2225" s="7" t="s">
        <v>5085</v>
      </c>
      <c r="B2225" s="7" t="s">
        <v>2032</v>
      </c>
      <c r="C2225" s="7" t="s">
        <v>1852</v>
      </c>
      <c r="D2225" s="7" t="s">
        <v>645</v>
      </c>
      <c r="E2225" s="7" t="s">
        <v>94</v>
      </c>
      <c r="F2225" s="7" t="s">
        <v>86</v>
      </c>
      <c r="G2225" s="7" t="s">
        <v>95</v>
      </c>
      <c r="H2225" s="7" t="n">
        <v>4</v>
      </c>
      <c r="I2225" s="7" t="n">
        <v>100</v>
      </c>
      <c r="J2225" s="7" t="n">
        <v>40</v>
      </c>
      <c r="K2225" s="7" t="s">
        <v>88</v>
      </c>
      <c r="L2225" s="7" t="s">
        <v>194</v>
      </c>
      <c r="M2225" s="7" t="n">
        <v>39</v>
      </c>
      <c r="N2225" s="7" t="n">
        <v>4</v>
      </c>
      <c r="O2225" s="7" t="str">
        <f aca="false">A2225&amp;"|"&amp;B2225&amp;"|"&amp;C2225&amp;"|"&amp;D2225&amp;"|"&amp;E2225&amp;"|"&amp;F2225&amp;"|"&amp;G2225&amp;"|"&amp;H2225&amp;"|"&amp;I2225&amp;"|"&amp;J2225&amp;"|"&amp;K2225&amp;"|"&amp;L2225&amp;"|"&amp;M2225&amp;"|"&amp;N2225</f>
        <v>ORD12801|2025-12-08|19:54|C1199|Dosa Darbar|Bengaluru|South Indian|4|100|40|UPI|Delivered|39|4</v>
      </c>
      <c r="P2225" s="7" t="str">
        <f aca="false">IF(COUNTIF($O$2:O2225,O2225)&gt;1,"DUP","OK")</f>
        <v>OK</v>
      </c>
      <c r="Q2225" s="7" t="n">
        <f aca="false">COUNTBLANK(A2225:N2225)</f>
        <v>0</v>
      </c>
      <c r="R2225" s="7" t="n">
        <f aca="false">IF(A2225="",0,COUNTIFS($A$2:$A$3058,A2225,$P$2:$P$3058,"OK"))</f>
        <v>1</v>
      </c>
      <c r="S2225" s="7" t="str">
        <f aca="false">IF(OR(A2225="",P2225="DUP",R2225&lt;2),"",IF(Q2225=_xlfn.MINIFS($Q$2:$Q$3058,$A$2:$A$3058,A2225,$P$2:$P$3058,"OK"),"KEEP","DROP"))</f>
        <v/>
      </c>
      <c r="T2225" s="9" t="n">
        <f aca="false">IF(A2225="",1,0)</f>
        <v>0</v>
      </c>
      <c r="U2225" s="9" t="n">
        <f aca="false">IF(D2225="",1,0)</f>
        <v>0</v>
      </c>
      <c r="V2225" s="9" t="n">
        <f aca="false">IF(E2225="",1,0)</f>
        <v>0</v>
      </c>
      <c r="W2225" s="9" t="n">
        <f aca="false">IF(OR(H2225&lt;1,H2225&gt;10),1,0)</f>
        <v>0</v>
      </c>
      <c r="X2225" s="9" t="n">
        <f aca="false">IF(OR(I2225&lt;=0,I2225&gt;1500),1,0)</f>
        <v>0</v>
      </c>
      <c r="Y2225" s="9" t="n">
        <f aca="false">IF(J2225&gt;H2225*I2225,1,0)</f>
        <v>0</v>
      </c>
      <c r="Z2225" s="9" t="n">
        <f aca="false">IF(AND(N2225&lt;&gt;"",OR(N2225&lt;1,N2225&gt;5)),1,0)</f>
        <v>0</v>
      </c>
      <c r="AA2225" s="9" t="n">
        <f aca="false">IF(AND(M2225&lt;&gt;"",OR(M2225&lt;5,M2225&gt;180)),1,0)</f>
        <v>0</v>
      </c>
      <c r="AB2225" s="7" t="str">
        <f aca="false">IF(P2225="DUP","Exact duplicate row",IF(T2225=1,"Missing Order ID",IF(S2225="DROP","Duplicate Order ID (less complete row)",IF(U2225=1,"Missing Customer ID",IF(V2225=1,"Missing Restaurant name",IF(W2225=1,"Invalid/outlier quantity",IF(X2225=1,"Invalid/outlier unit price",IF(Y2225=1,"Discount greater than order value",""))))))))</f>
        <v/>
      </c>
      <c r="AC2225" s="7" t="str">
        <f aca="false">IF(AB2225="","KEEP","DROP")</f>
        <v>KEEP</v>
      </c>
      <c r="AD2225" s="7" t="str">
        <f aca="false">IF(TRIM(F2225)="",IFERROR(INDEX(Map_Tables!$I$4:$I$37,MATCH(TRIM(E2225),Map_Tables!$G$4:$G$37,0)),""),IFERROR(INDEX(Map_Tables!$B$4:$B$18,MATCH(TRIM(F2225),Map_Tables!$A$4:$A$18,0)),"CHECK"))</f>
        <v>Bengaluru</v>
      </c>
      <c r="AE2225" s="7" t="str">
        <f aca="false">IF(TRIM(E2225)="","",IFERROR(INDEX(Map_Tables!$H$4:$H$37,MATCH(TRIM(E2225),Map_Tables!$G$4:$G$37,0)),"CHECK"))</f>
        <v>Dosa Darbar</v>
      </c>
      <c r="AF2225" s="7" t="str">
        <f aca="false">IF(TRIM(K2225)="","Unknown",IFERROR(INDEX(Map_Tables!$E$4:$E$15,MATCH(TRIM(K2225),Map_Tables!$D$4:$D$15,0)),"CHECK"))</f>
        <v>UPI</v>
      </c>
      <c r="AG2225" s="7" t="str">
        <f aca="false">IF(LEFT(LOWER(TRIM(L2225)),6)="cancel","Cancelled","Delivered")</f>
        <v>Delivered</v>
      </c>
      <c r="AH2225" s="10" t="n">
        <f aca="false">IF(ISNUMBER(SEARCH("/",B2225)),DATE(VALUE(RIGHT(B2225,4)),VALUE(MID(B2225,4,2)),VALUE(LEFT(B2225,2))),IF(MID(B2225,5,1)="-",DATE(VALUE(LEFT(B2225,4)),VALUE(MID(B2225,6,2)),VALUE(RIGHT(B2225,2))),DATE(VALUE(RIGHT(B2225,4)),MATCH(MID(B2225,4,3),{"Jan","Feb","Mar","Apr","May","Jun","Jul","Aug","Sep","Oct","Nov","Dec"},0),VALUE(LEFT(B2225,2)))))</f>
        <v>45999</v>
      </c>
    </row>
    <row r="2226" customFormat="false" ht="15" hidden="false" customHeight="false" outlineLevel="0" collapsed="false">
      <c r="A2226" s="7" t="s">
        <v>5086</v>
      </c>
      <c r="B2226" s="7" t="s">
        <v>943</v>
      </c>
      <c r="C2226" s="7" t="s">
        <v>2317</v>
      </c>
      <c r="D2226" s="7" t="s">
        <v>4384</v>
      </c>
      <c r="E2226" s="7" t="s">
        <v>116</v>
      </c>
      <c r="F2226" s="7" t="s">
        <v>101</v>
      </c>
      <c r="G2226" s="7" t="s">
        <v>117</v>
      </c>
      <c r="H2226" s="7" t="n">
        <v>3</v>
      </c>
      <c r="I2226" s="7" t="n">
        <v>145</v>
      </c>
      <c r="J2226" s="7" t="n">
        <v>0</v>
      </c>
      <c r="K2226" s="7" t="s">
        <v>88</v>
      </c>
      <c r="L2226" s="7" t="s">
        <v>194</v>
      </c>
      <c r="M2226" s="7" t="n">
        <v>41</v>
      </c>
      <c r="N2226" s="7" t="n">
        <v>4</v>
      </c>
      <c r="O2226" s="7" t="str">
        <f aca="false">A2226&amp;"|"&amp;B2226&amp;"|"&amp;C2226&amp;"|"&amp;D2226&amp;"|"&amp;E2226&amp;"|"&amp;F2226&amp;"|"&amp;G2226&amp;"|"&amp;H2226&amp;"|"&amp;I2226&amp;"|"&amp;J2226&amp;"|"&amp;K2226&amp;"|"&amp;L2226&amp;"|"&amp;M2226&amp;"|"&amp;N2226</f>
        <v>ORD12913|2025-12-22|13:06|C0755|Pav Bhaji Point|Mumbai|Street Food|3|145|0|UPI|Delivered|41|4</v>
      </c>
      <c r="P2226" s="7" t="str">
        <f aca="false">IF(COUNTIF($O$2:O2226,O2226)&gt;1,"DUP","OK")</f>
        <v>OK</v>
      </c>
      <c r="Q2226" s="7" t="n">
        <f aca="false">COUNTBLANK(A2226:N2226)</f>
        <v>0</v>
      </c>
      <c r="R2226" s="7" t="n">
        <f aca="false">IF(A2226="",0,COUNTIFS($A$2:$A$3058,A2226,$P$2:$P$3058,"OK"))</f>
        <v>1</v>
      </c>
      <c r="S2226" s="7" t="str">
        <f aca="false">IF(OR(A2226="",P2226="DUP",R2226&lt;2),"",IF(Q2226=_xlfn.MINIFS($Q$2:$Q$3058,$A$2:$A$3058,A2226,$P$2:$P$3058,"OK"),"KEEP","DROP"))</f>
        <v/>
      </c>
      <c r="T2226" s="9" t="n">
        <f aca="false">IF(A2226="",1,0)</f>
        <v>0</v>
      </c>
      <c r="U2226" s="9" t="n">
        <f aca="false">IF(D2226="",1,0)</f>
        <v>0</v>
      </c>
      <c r="V2226" s="9" t="n">
        <f aca="false">IF(E2226="",1,0)</f>
        <v>0</v>
      </c>
      <c r="W2226" s="9" t="n">
        <f aca="false">IF(OR(H2226&lt;1,H2226&gt;10),1,0)</f>
        <v>0</v>
      </c>
      <c r="X2226" s="9" t="n">
        <f aca="false">IF(OR(I2226&lt;=0,I2226&gt;1500),1,0)</f>
        <v>0</v>
      </c>
      <c r="Y2226" s="9" t="n">
        <f aca="false">IF(J2226&gt;H2226*I2226,1,0)</f>
        <v>0</v>
      </c>
      <c r="Z2226" s="9" t="n">
        <f aca="false">IF(AND(N2226&lt;&gt;"",OR(N2226&lt;1,N2226&gt;5)),1,0)</f>
        <v>0</v>
      </c>
      <c r="AA2226" s="9" t="n">
        <f aca="false">IF(AND(M2226&lt;&gt;"",OR(M2226&lt;5,M2226&gt;180)),1,0)</f>
        <v>0</v>
      </c>
      <c r="AB2226" s="7" t="str">
        <f aca="false">IF(P2226="DUP","Exact duplicate row",IF(T2226=1,"Missing Order ID",IF(S2226="DROP","Duplicate Order ID (less complete row)",IF(U2226=1,"Missing Customer ID",IF(V2226=1,"Missing Restaurant name",IF(W2226=1,"Invalid/outlier quantity",IF(X2226=1,"Invalid/outlier unit price",IF(Y2226=1,"Discount greater than order value",""))))))))</f>
        <v/>
      </c>
      <c r="AC2226" s="7" t="str">
        <f aca="false">IF(AB2226="","KEEP","DROP")</f>
        <v>KEEP</v>
      </c>
      <c r="AD2226" s="7" t="str">
        <f aca="false">IF(TRIM(F2226)="",IFERROR(INDEX(Map_Tables!$I$4:$I$37,MATCH(TRIM(E2226),Map_Tables!$G$4:$G$37,0)),""),IFERROR(INDEX(Map_Tables!$B$4:$B$18,MATCH(TRIM(F2226),Map_Tables!$A$4:$A$18,0)),"CHECK"))</f>
        <v>Mumbai</v>
      </c>
      <c r="AE2226" s="7" t="str">
        <f aca="false">IF(TRIM(E2226)="","",IFERROR(INDEX(Map_Tables!$H$4:$H$37,MATCH(TRIM(E2226),Map_Tables!$G$4:$G$37,0)),"CHECK"))</f>
        <v>Pav Bhaji Point</v>
      </c>
      <c r="AF2226" s="7" t="str">
        <f aca="false">IF(TRIM(K2226)="","Unknown",IFERROR(INDEX(Map_Tables!$E$4:$E$15,MATCH(TRIM(K2226),Map_Tables!$D$4:$D$15,0)),"CHECK"))</f>
        <v>UPI</v>
      </c>
      <c r="AG2226" s="7" t="str">
        <f aca="false">IF(LEFT(LOWER(TRIM(L2226)),6)="cancel","Cancelled","Delivered")</f>
        <v>Delivered</v>
      </c>
      <c r="AH2226" s="10" t="n">
        <f aca="false">IF(ISNUMBER(SEARCH("/",B2226)),DATE(VALUE(RIGHT(B2226,4)),VALUE(MID(B2226,4,2)),VALUE(LEFT(B2226,2))),IF(MID(B2226,5,1)="-",DATE(VALUE(LEFT(B2226,4)),VALUE(MID(B2226,6,2)),VALUE(RIGHT(B2226,2))),DATE(VALUE(RIGHT(B2226,4)),MATCH(MID(B2226,4,3),{"Jan","Feb","Mar","Apr","May","Jun","Jul","Aug","Sep","Oct","Nov","Dec"},0),VALUE(LEFT(B2226,2)))))</f>
        <v>46013</v>
      </c>
    </row>
    <row r="2227" customFormat="false" ht="15" hidden="false" customHeight="false" outlineLevel="0" collapsed="false">
      <c r="A2227" s="7" t="s">
        <v>5087</v>
      </c>
      <c r="B2227" s="7" t="s">
        <v>217</v>
      </c>
      <c r="C2227" s="7" t="s">
        <v>2921</v>
      </c>
      <c r="D2227" s="7" t="s">
        <v>1782</v>
      </c>
      <c r="E2227" s="7" t="s">
        <v>122</v>
      </c>
      <c r="F2227" s="7" t="s">
        <v>101</v>
      </c>
      <c r="G2227" s="7" t="s">
        <v>123</v>
      </c>
      <c r="H2227" s="7" t="n">
        <v>2</v>
      </c>
      <c r="I2227" s="7" t="n">
        <v>325</v>
      </c>
      <c r="J2227" s="7" t="n">
        <v>75</v>
      </c>
      <c r="K2227" s="7" t="s">
        <v>526</v>
      </c>
      <c r="L2227" s="7" t="s">
        <v>194</v>
      </c>
      <c r="M2227" s="7" t="n">
        <v>46</v>
      </c>
      <c r="N2227" s="7" t="n">
        <v>3</v>
      </c>
      <c r="O2227" s="7" t="str">
        <f aca="false">A2227&amp;"|"&amp;B2227&amp;"|"&amp;C2227&amp;"|"&amp;D2227&amp;"|"&amp;E2227&amp;"|"&amp;F2227&amp;"|"&amp;G2227&amp;"|"&amp;H2227&amp;"|"&amp;I2227&amp;"|"&amp;J2227&amp;"|"&amp;K2227&amp;"|"&amp;L2227&amp;"|"&amp;M2227&amp;"|"&amp;N2227</f>
        <v>ORD10852|2025-04-18|12:44|C0539|Mumbai Pizza Co|Mumbai|Pizza|2|325|75|DC|Delivered|46|3</v>
      </c>
      <c r="P2227" s="7" t="str">
        <f aca="false">IF(COUNTIF($O$2:O2227,O2227)&gt;1,"DUP","OK")</f>
        <v>OK</v>
      </c>
      <c r="Q2227" s="7" t="n">
        <f aca="false">COUNTBLANK(A2227:N2227)</f>
        <v>0</v>
      </c>
      <c r="R2227" s="7" t="n">
        <f aca="false">IF(A2227="",0,COUNTIFS($A$2:$A$3058,A2227,$P$2:$P$3058,"OK"))</f>
        <v>1</v>
      </c>
      <c r="S2227" s="7" t="str">
        <f aca="false">IF(OR(A2227="",P2227="DUP",R2227&lt;2),"",IF(Q2227=_xlfn.MINIFS($Q$2:$Q$3058,$A$2:$A$3058,A2227,$P$2:$P$3058,"OK"),"KEEP","DROP"))</f>
        <v/>
      </c>
      <c r="T2227" s="9" t="n">
        <f aca="false">IF(A2227="",1,0)</f>
        <v>0</v>
      </c>
      <c r="U2227" s="9" t="n">
        <f aca="false">IF(D2227="",1,0)</f>
        <v>0</v>
      </c>
      <c r="V2227" s="9" t="n">
        <f aca="false">IF(E2227="",1,0)</f>
        <v>0</v>
      </c>
      <c r="W2227" s="9" t="n">
        <f aca="false">IF(OR(H2227&lt;1,H2227&gt;10),1,0)</f>
        <v>0</v>
      </c>
      <c r="X2227" s="9" t="n">
        <f aca="false">IF(OR(I2227&lt;=0,I2227&gt;1500),1,0)</f>
        <v>0</v>
      </c>
      <c r="Y2227" s="9" t="n">
        <f aca="false">IF(J2227&gt;H2227*I2227,1,0)</f>
        <v>0</v>
      </c>
      <c r="Z2227" s="9" t="n">
        <f aca="false">IF(AND(N2227&lt;&gt;"",OR(N2227&lt;1,N2227&gt;5)),1,0)</f>
        <v>0</v>
      </c>
      <c r="AA2227" s="9" t="n">
        <f aca="false">IF(AND(M2227&lt;&gt;"",OR(M2227&lt;5,M2227&gt;180)),1,0)</f>
        <v>0</v>
      </c>
      <c r="AB2227" s="7" t="str">
        <f aca="false">IF(P2227="DUP","Exact duplicate row",IF(T2227=1,"Missing Order ID",IF(S2227="DROP","Duplicate Order ID (less complete row)",IF(U2227=1,"Missing Customer ID",IF(V2227=1,"Missing Restaurant name",IF(W2227=1,"Invalid/outlier quantity",IF(X2227=1,"Invalid/outlier unit price",IF(Y2227=1,"Discount greater than order value",""))))))))</f>
        <v/>
      </c>
      <c r="AC2227" s="7" t="str">
        <f aca="false">IF(AB2227="","KEEP","DROP")</f>
        <v>KEEP</v>
      </c>
      <c r="AD2227" s="7" t="str">
        <f aca="false">IF(TRIM(F2227)="",IFERROR(INDEX(Map_Tables!$I$4:$I$37,MATCH(TRIM(E2227),Map_Tables!$G$4:$G$37,0)),""),IFERROR(INDEX(Map_Tables!$B$4:$B$18,MATCH(TRIM(F2227),Map_Tables!$A$4:$A$18,0)),"CHECK"))</f>
        <v>Mumbai</v>
      </c>
      <c r="AE2227" s="7" t="str">
        <f aca="false">IF(TRIM(E2227)="","",IFERROR(INDEX(Map_Tables!$H$4:$H$37,MATCH(TRIM(E2227),Map_Tables!$G$4:$G$37,0)),"CHECK"))</f>
        <v>Mumbai Pizza Co</v>
      </c>
      <c r="AF2227" s="7" t="str">
        <f aca="false">IF(TRIM(K2227)="","Unknown",IFERROR(INDEX(Map_Tables!$E$4:$E$15,MATCH(TRIM(K2227),Map_Tables!$D$4:$D$15,0)),"CHECK"))</f>
        <v>Debit Card</v>
      </c>
      <c r="AG2227" s="7" t="str">
        <f aca="false">IF(LEFT(LOWER(TRIM(L2227)),6)="cancel","Cancelled","Delivered")</f>
        <v>Delivered</v>
      </c>
      <c r="AH2227" s="10" t="n">
        <f aca="false">IF(ISNUMBER(SEARCH("/",B2227)),DATE(VALUE(RIGHT(B2227,4)),VALUE(MID(B2227,4,2)),VALUE(LEFT(B2227,2))),IF(MID(B2227,5,1)="-",DATE(VALUE(LEFT(B2227,4)),VALUE(MID(B2227,6,2)),VALUE(RIGHT(B2227,2))),DATE(VALUE(RIGHT(B2227,4)),MATCH(MID(B2227,4,3),{"Jan","Feb","Mar","Apr","May","Jun","Jul","Aug","Sep","Oct","Nov","Dec"},0),VALUE(LEFT(B2227,2)))))</f>
        <v>45765</v>
      </c>
    </row>
    <row r="2228" customFormat="false" ht="15" hidden="false" customHeight="false" outlineLevel="0" collapsed="false">
      <c r="A2228" s="7" t="s">
        <v>5088</v>
      </c>
      <c r="B2228" s="7" t="s">
        <v>1376</v>
      </c>
      <c r="C2228" s="7" t="s">
        <v>391</v>
      </c>
      <c r="D2228" s="7" t="s">
        <v>2306</v>
      </c>
      <c r="E2228" s="7" t="s">
        <v>154</v>
      </c>
      <c r="F2228" s="7" t="s">
        <v>127</v>
      </c>
      <c r="G2228" s="7" t="s">
        <v>99</v>
      </c>
      <c r="H2228" s="7" t="n">
        <v>2</v>
      </c>
      <c r="I2228" s="7" t="n">
        <v>275</v>
      </c>
      <c r="J2228" s="7" t="n">
        <v>100</v>
      </c>
      <c r="K2228" s="7" t="s">
        <v>88</v>
      </c>
      <c r="L2228" s="7" t="s">
        <v>194</v>
      </c>
      <c r="M2228" s="7" t="n">
        <v>42</v>
      </c>
      <c r="N2228" s="7" t="n">
        <v>4</v>
      </c>
      <c r="O2228" s="7" t="str">
        <f aca="false">A2228&amp;"|"&amp;B2228&amp;"|"&amp;C2228&amp;"|"&amp;D2228&amp;"|"&amp;E2228&amp;"|"&amp;F2228&amp;"|"&amp;G2228&amp;"|"&amp;H2228&amp;"|"&amp;I2228&amp;"|"&amp;J2228&amp;"|"&amp;K2228&amp;"|"&amp;L2228&amp;"|"&amp;M2228&amp;"|"&amp;N2228</f>
        <v>ORD11005|2025-05-07|19:50|C0226|Madras Biryani Co|chennai|Biryani|2|275|100|UPI|Delivered|42|4</v>
      </c>
      <c r="P2228" s="7" t="str">
        <f aca="false">IF(COUNTIF($O$2:O2228,O2228)&gt;1,"DUP","OK")</f>
        <v>OK</v>
      </c>
      <c r="Q2228" s="7" t="n">
        <f aca="false">COUNTBLANK(A2228:N2228)</f>
        <v>0</v>
      </c>
      <c r="R2228" s="7" t="n">
        <f aca="false">IF(A2228="",0,COUNTIFS($A$2:$A$3058,A2228,$P$2:$P$3058,"OK"))</f>
        <v>1</v>
      </c>
      <c r="S2228" s="7" t="str">
        <f aca="false">IF(OR(A2228="",P2228="DUP",R2228&lt;2),"",IF(Q2228=_xlfn.MINIFS($Q$2:$Q$3058,$A$2:$A$3058,A2228,$P$2:$P$3058,"OK"),"KEEP","DROP"))</f>
        <v/>
      </c>
      <c r="T2228" s="9" t="n">
        <f aca="false">IF(A2228="",1,0)</f>
        <v>0</v>
      </c>
      <c r="U2228" s="9" t="n">
        <f aca="false">IF(D2228="",1,0)</f>
        <v>0</v>
      </c>
      <c r="V2228" s="9" t="n">
        <f aca="false">IF(E2228="",1,0)</f>
        <v>0</v>
      </c>
      <c r="W2228" s="9" t="n">
        <f aca="false">IF(OR(H2228&lt;1,H2228&gt;10),1,0)</f>
        <v>0</v>
      </c>
      <c r="X2228" s="9" t="n">
        <f aca="false">IF(OR(I2228&lt;=0,I2228&gt;1500),1,0)</f>
        <v>0</v>
      </c>
      <c r="Y2228" s="9" t="n">
        <f aca="false">IF(J2228&gt;H2228*I2228,1,0)</f>
        <v>0</v>
      </c>
      <c r="Z2228" s="9" t="n">
        <f aca="false">IF(AND(N2228&lt;&gt;"",OR(N2228&lt;1,N2228&gt;5)),1,0)</f>
        <v>0</v>
      </c>
      <c r="AA2228" s="9" t="n">
        <f aca="false">IF(AND(M2228&lt;&gt;"",OR(M2228&lt;5,M2228&gt;180)),1,0)</f>
        <v>0</v>
      </c>
      <c r="AB2228" s="7" t="str">
        <f aca="false">IF(P2228="DUP","Exact duplicate row",IF(T2228=1,"Missing Order ID",IF(S2228="DROP","Duplicate Order ID (less complete row)",IF(U2228=1,"Missing Customer ID",IF(V2228=1,"Missing Restaurant name",IF(W2228=1,"Invalid/outlier quantity",IF(X2228=1,"Invalid/outlier unit price",IF(Y2228=1,"Discount greater than order value",""))))))))</f>
        <v/>
      </c>
      <c r="AC2228" s="7" t="str">
        <f aca="false">IF(AB2228="","KEEP","DROP")</f>
        <v>KEEP</v>
      </c>
      <c r="AD2228" s="7" t="str">
        <f aca="false">IF(TRIM(F2228)="",IFERROR(INDEX(Map_Tables!$I$4:$I$37,MATCH(TRIM(E2228),Map_Tables!$G$4:$G$37,0)),""),IFERROR(INDEX(Map_Tables!$B$4:$B$18,MATCH(TRIM(F2228),Map_Tables!$A$4:$A$18,0)),"CHECK"))</f>
        <v>Chennai</v>
      </c>
      <c r="AE2228" s="7" t="str">
        <f aca="false">IF(TRIM(E2228)="","",IFERROR(INDEX(Map_Tables!$H$4:$H$37,MATCH(TRIM(E2228),Map_Tables!$G$4:$G$37,0)),"CHECK"))</f>
        <v>Madras Biryani Co</v>
      </c>
      <c r="AF2228" s="7" t="str">
        <f aca="false">IF(TRIM(K2228)="","Unknown",IFERROR(INDEX(Map_Tables!$E$4:$E$15,MATCH(TRIM(K2228),Map_Tables!$D$4:$D$15,0)),"CHECK"))</f>
        <v>UPI</v>
      </c>
      <c r="AG2228" s="7" t="str">
        <f aca="false">IF(LEFT(LOWER(TRIM(L2228)),6)="cancel","Cancelled","Delivered")</f>
        <v>Delivered</v>
      </c>
      <c r="AH2228" s="10" t="n">
        <f aca="false">IF(ISNUMBER(SEARCH("/",B2228)),DATE(VALUE(RIGHT(B2228,4)),VALUE(MID(B2228,4,2)),VALUE(LEFT(B2228,2))),IF(MID(B2228,5,1)="-",DATE(VALUE(LEFT(B2228,4)),VALUE(MID(B2228,6,2)),VALUE(RIGHT(B2228,2))),DATE(VALUE(RIGHT(B2228,4)),MATCH(MID(B2228,4,3),{"Jan","Feb","Mar","Apr","May","Jun","Jul","Aug","Sep","Oct","Nov","Dec"},0),VALUE(LEFT(B2228,2)))))</f>
        <v>45784</v>
      </c>
    </row>
    <row r="2229" customFormat="false" ht="15" hidden="false" customHeight="false" outlineLevel="0" collapsed="false">
      <c r="A2229" s="7" t="s">
        <v>5089</v>
      </c>
      <c r="B2229" s="7" t="s">
        <v>226</v>
      </c>
      <c r="C2229" s="7" t="s">
        <v>2000</v>
      </c>
      <c r="D2229" s="7" t="s">
        <v>5090</v>
      </c>
      <c r="E2229" s="7" t="s">
        <v>126</v>
      </c>
      <c r="F2229" s="7" t="s">
        <v>100</v>
      </c>
      <c r="G2229" s="7" t="s">
        <v>105</v>
      </c>
      <c r="H2229" s="7" t="n">
        <v>3</v>
      </c>
      <c r="I2229" s="7" t="n">
        <v>190</v>
      </c>
      <c r="J2229" s="7" t="n">
        <v>40</v>
      </c>
      <c r="K2229" s="7" t="s">
        <v>112</v>
      </c>
      <c r="L2229" s="7" t="s">
        <v>194</v>
      </c>
      <c r="M2229" s="7" t="n">
        <v>36</v>
      </c>
      <c r="N2229" s="7" t="n">
        <v>2</v>
      </c>
      <c r="O2229" s="7" t="str">
        <f aca="false">A2229&amp;"|"&amp;B2229&amp;"|"&amp;C2229&amp;"|"&amp;D2229&amp;"|"&amp;E2229&amp;"|"&amp;F2229&amp;"|"&amp;G2229&amp;"|"&amp;H2229&amp;"|"&amp;I2229&amp;"|"&amp;J2229&amp;"|"&amp;K2229&amp;"|"&amp;L2229&amp;"|"&amp;M2229&amp;"|"&amp;N2229</f>
        <v>ORD11997|2025-09-16|15:38|C0494|Dragon Express|mumbai|Chinese|3|190|40|Cash on Delivery|Delivered|36|2</v>
      </c>
      <c r="P2229" s="7" t="str">
        <f aca="false">IF(COUNTIF($O$2:O2229,O2229)&gt;1,"DUP","OK")</f>
        <v>OK</v>
      </c>
      <c r="Q2229" s="7" t="n">
        <f aca="false">COUNTBLANK(A2229:N2229)</f>
        <v>0</v>
      </c>
      <c r="R2229" s="7" t="n">
        <f aca="false">IF(A2229="",0,COUNTIFS($A$2:$A$3058,A2229,$P$2:$P$3058,"OK"))</f>
        <v>1</v>
      </c>
      <c r="S2229" s="7" t="str">
        <f aca="false">IF(OR(A2229="",P2229="DUP",R2229&lt;2),"",IF(Q2229=_xlfn.MINIFS($Q$2:$Q$3058,$A$2:$A$3058,A2229,$P$2:$P$3058,"OK"),"KEEP","DROP"))</f>
        <v/>
      </c>
      <c r="T2229" s="9" t="n">
        <f aca="false">IF(A2229="",1,0)</f>
        <v>0</v>
      </c>
      <c r="U2229" s="9" t="n">
        <f aca="false">IF(D2229="",1,0)</f>
        <v>0</v>
      </c>
      <c r="V2229" s="9" t="n">
        <f aca="false">IF(E2229="",1,0)</f>
        <v>0</v>
      </c>
      <c r="W2229" s="9" t="n">
        <f aca="false">IF(OR(H2229&lt;1,H2229&gt;10),1,0)</f>
        <v>0</v>
      </c>
      <c r="X2229" s="9" t="n">
        <f aca="false">IF(OR(I2229&lt;=0,I2229&gt;1500),1,0)</f>
        <v>0</v>
      </c>
      <c r="Y2229" s="9" t="n">
        <f aca="false">IF(J2229&gt;H2229*I2229,1,0)</f>
        <v>0</v>
      </c>
      <c r="Z2229" s="9" t="n">
        <f aca="false">IF(AND(N2229&lt;&gt;"",OR(N2229&lt;1,N2229&gt;5)),1,0)</f>
        <v>0</v>
      </c>
      <c r="AA2229" s="9" t="n">
        <f aca="false">IF(AND(M2229&lt;&gt;"",OR(M2229&lt;5,M2229&gt;180)),1,0)</f>
        <v>0</v>
      </c>
      <c r="AB2229" s="7" t="str">
        <f aca="false">IF(P2229="DUP","Exact duplicate row",IF(T2229=1,"Missing Order ID",IF(S2229="DROP","Duplicate Order ID (less complete row)",IF(U2229=1,"Missing Customer ID",IF(V2229=1,"Missing Restaurant name",IF(W2229=1,"Invalid/outlier quantity",IF(X2229=1,"Invalid/outlier unit price",IF(Y2229=1,"Discount greater than order value",""))))))))</f>
        <v/>
      </c>
      <c r="AC2229" s="7" t="str">
        <f aca="false">IF(AB2229="","KEEP","DROP")</f>
        <v>KEEP</v>
      </c>
      <c r="AD2229" s="7" t="str">
        <f aca="false">IF(TRIM(F2229)="",IFERROR(INDEX(Map_Tables!$I$4:$I$37,MATCH(TRIM(E2229),Map_Tables!$G$4:$G$37,0)),""),IFERROR(INDEX(Map_Tables!$B$4:$B$18,MATCH(TRIM(F2229),Map_Tables!$A$4:$A$18,0)),"CHECK"))</f>
        <v>Mumbai</v>
      </c>
      <c r="AE2229" s="7" t="str">
        <f aca="false">IF(TRIM(E2229)="","",IFERROR(INDEX(Map_Tables!$H$4:$H$37,MATCH(TRIM(E2229),Map_Tables!$G$4:$G$37,0)),"CHECK"))</f>
        <v>Dragon Express</v>
      </c>
      <c r="AF2229" s="7" t="str">
        <f aca="false">IF(TRIM(K2229)="","Unknown",IFERROR(INDEX(Map_Tables!$E$4:$E$15,MATCH(TRIM(K2229),Map_Tables!$D$4:$D$15,0)),"CHECK"))</f>
        <v>Cash on Delivery</v>
      </c>
      <c r="AG2229" s="7" t="str">
        <f aca="false">IF(LEFT(LOWER(TRIM(L2229)),6)="cancel","Cancelled","Delivered")</f>
        <v>Delivered</v>
      </c>
      <c r="AH2229" s="10" t="n">
        <f aca="false">IF(ISNUMBER(SEARCH("/",B2229)),DATE(VALUE(RIGHT(B2229,4)),VALUE(MID(B2229,4,2)),VALUE(LEFT(B2229,2))),IF(MID(B2229,5,1)="-",DATE(VALUE(LEFT(B2229,4)),VALUE(MID(B2229,6,2)),VALUE(RIGHT(B2229,2))),DATE(VALUE(RIGHT(B2229,4)),MATCH(MID(B2229,4,3),{"Jan","Feb","Mar","Apr","May","Jun","Jul","Aug","Sep","Oct","Nov","Dec"},0),VALUE(LEFT(B2229,2)))))</f>
        <v>45916</v>
      </c>
    </row>
    <row r="2230" customFormat="false" ht="15" hidden="false" customHeight="false" outlineLevel="0" collapsed="false">
      <c r="A2230" s="7" t="s">
        <v>5091</v>
      </c>
      <c r="B2230" s="7" t="s">
        <v>523</v>
      </c>
      <c r="C2230" s="7" t="s">
        <v>1805</v>
      </c>
      <c r="D2230" s="7" t="s">
        <v>1333</v>
      </c>
      <c r="E2230" s="7" t="s">
        <v>151</v>
      </c>
      <c r="F2230" s="7" t="s">
        <v>128</v>
      </c>
      <c r="G2230" s="7" t="s">
        <v>95</v>
      </c>
      <c r="H2230" s="7" t="n">
        <v>4</v>
      </c>
      <c r="I2230" s="7" t="n">
        <v>135</v>
      </c>
      <c r="J2230" s="7" t="n">
        <v>75</v>
      </c>
      <c r="K2230" s="7" t="s">
        <v>88</v>
      </c>
      <c r="L2230" s="7" t="s">
        <v>194</v>
      </c>
      <c r="M2230" s="7" t="n">
        <v>31</v>
      </c>
      <c r="N2230" s="7" t="n">
        <v>4</v>
      </c>
      <c r="O2230" s="7" t="str">
        <f aca="false">A2230&amp;"|"&amp;B2230&amp;"|"&amp;C2230&amp;"|"&amp;D2230&amp;"|"&amp;E2230&amp;"|"&amp;F2230&amp;"|"&amp;G2230&amp;"|"&amp;H2230&amp;"|"&amp;I2230&amp;"|"&amp;J2230&amp;"|"&amp;K2230&amp;"|"&amp;L2230&amp;"|"&amp;M2230&amp;"|"&amp;N2230</f>
        <v>ORD11835|2025-08-27|19:30|C0411|Chettinad House|Chennai|South Indian|4|135|75|UPI|Delivered|31|4</v>
      </c>
      <c r="P2230" s="7" t="str">
        <f aca="false">IF(COUNTIF($O$2:O2230,O2230)&gt;1,"DUP","OK")</f>
        <v>OK</v>
      </c>
      <c r="Q2230" s="7" t="n">
        <f aca="false">COUNTBLANK(A2230:N2230)</f>
        <v>0</v>
      </c>
      <c r="R2230" s="7" t="n">
        <f aca="false">IF(A2230="",0,COUNTIFS($A$2:$A$3058,A2230,$P$2:$P$3058,"OK"))</f>
        <v>1</v>
      </c>
      <c r="S2230" s="7" t="str">
        <f aca="false">IF(OR(A2230="",P2230="DUP",R2230&lt;2),"",IF(Q2230=_xlfn.MINIFS($Q$2:$Q$3058,$A$2:$A$3058,A2230,$P$2:$P$3058,"OK"),"KEEP","DROP"))</f>
        <v/>
      </c>
      <c r="T2230" s="9" t="n">
        <f aca="false">IF(A2230="",1,0)</f>
        <v>0</v>
      </c>
      <c r="U2230" s="9" t="n">
        <f aca="false">IF(D2230="",1,0)</f>
        <v>0</v>
      </c>
      <c r="V2230" s="9" t="n">
        <f aca="false">IF(E2230="",1,0)</f>
        <v>0</v>
      </c>
      <c r="W2230" s="9" t="n">
        <f aca="false">IF(OR(H2230&lt;1,H2230&gt;10),1,0)</f>
        <v>0</v>
      </c>
      <c r="X2230" s="9" t="n">
        <f aca="false">IF(OR(I2230&lt;=0,I2230&gt;1500),1,0)</f>
        <v>0</v>
      </c>
      <c r="Y2230" s="9" t="n">
        <f aca="false">IF(J2230&gt;H2230*I2230,1,0)</f>
        <v>0</v>
      </c>
      <c r="Z2230" s="9" t="n">
        <f aca="false">IF(AND(N2230&lt;&gt;"",OR(N2230&lt;1,N2230&gt;5)),1,0)</f>
        <v>0</v>
      </c>
      <c r="AA2230" s="9" t="n">
        <f aca="false">IF(AND(M2230&lt;&gt;"",OR(M2230&lt;5,M2230&gt;180)),1,0)</f>
        <v>0</v>
      </c>
      <c r="AB2230" s="7" t="str">
        <f aca="false">IF(P2230="DUP","Exact duplicate row",IF(T2230=1,"Missing Order ID",IF(S2230="DROP","Duplicate Order ID (less complete row)",IF(U2230=1,"Missing Customer ID",IF(V2230=1,"Missing Restaurant name",IF(W2230=1,"Invalid/outlier quantity",IF(X2230=1,"Invalid/outlier unit price",IF(Y2230=1,"Discount greater than order value",""))))))))</f>
        <v/>
      </c>
      <c r="AC2230" s="7" t="str">
        <f aca="false">IF(AB2230="","KEEP","DROP")</f>
        <v>KEEP</v>
      </c>
      <c r="AD2230" s="7" t="str">
        <f aca="false">IF(TRIM(F2230)="",IFERROR(INDEX(Map_Tables!$I$4:$I$37,MATCH(TRIM(E2230),Map_Tables!$G$4:$G$37,0)),""),IFERROR(INDEX(Map_Tables!$B$4:$B$18,MATCH(TRIM(F2230),Map_Tables!$A$4:$A$18,0)),"CHECK"))</f>
        <v>Chennai</v>
      </c>
      <c r="AE2230" s="7" t="str">
        <f aca="false">IF(TRIM(E2230)="","",IFERROR(INDEX(Map_Tables!$H$4:$H$37,MATCH(TRIM(E2230),Map_Tables!$G$4:$G$37,0)),"CHECK"))</f>
        <v>Chettinad House</v>
      </c>
      <c r="AF2230" s="7" t="str">
        <f aca="false">IF(TRIM(K2230)="","Unknown",IFERROR(INDEX(Map_Tables!$E$4:$E$15,MATCH(TRIM(K2230),Map_Tables!$D$4:$D$15,0)),"CHECK"))</f>
        <v>UPI</v>
      </c>
      <c r="AG2230" s="7" t="str">
        <f aca="false">IF(LEFT(LOWER(TRIM(L2230)),6)="cancel","Cancelled","Delivered")</f>
        <v>Delivered</v>
      </c>
      <c r="AH2230" s="10" t="n">
        <f aca="false">IF(ISNUMBER(SEARCH("/",B2230)),DATE(VALUE(RIGHT(B2230,4)),VALUE(MID(B2230,4,2)),VALUE(LEFT(B2230,2))),IF(MID(B2230,5,1)="-",DATE(VALUE(LEFT(B2230,4)),VALUE(MID(B2230,6,2)),VALUE(RIGHT(B2230,2))),DATE(VALUE(RIGHT(B2230,4)),MATCH(MID(B2230,4,3),{"Jan","Feb","Mar","Apr","May","Jun","Jul","Aug","Sep","Oct","Nov","Dec"},0),VALUE(LEFT(B2230,2)))))</f>
        <v>45896</v>
      </c>
    </row>
    <row r="2231" customFormat="false" ht="15" hidden="false" customHeight="false" outlineLevel="0" collapsed="false">
      <c r="A2231" s="7" t="s">
        <v>5092</v>
      </c>
      <c r="B2231" s="7" t="s">
        <v>903</v>
      </c>
      <c r="C2231" s="7" t="s">
        <v>759</v>
      </c>
      <c r="D2231" s="7" t="s">
        <v>974</v>
      </c>
      <c r="E2231" s="7" t="s">
        <v>89</v>
      </c>
      <c r="F2231" s="7" t="s">
        <v>785</v>
      </c>
      <c r="G2231" s="7" t="s">
        <v>90</v>
      </c>
      <c r="H2231" s="7" t="n">
        <v>2</v>
      </c>
      <c r="I2231" s="7" t="n">
        <v>245</v>
      </c>
      <c r="J2231" s="7" t="n">
        <v>0</v>
      </c>
      <c r="K2231" s="7" t="s">
        <v>93</v>
      </c>
      <c r="L2231" s="7" t="s">
        <v>194</v>
      </c>
      <c r="M2231" s="7" t="n">
        <v>40</v>
      </c>
      <c r="N2231" s="7" t="n">
        <v>5</v>
      </c>
      <c r="O2231" s="7" t="str">
        <f aca="false">A2231&amp;"|"&amp;B2231&amp;"|"&amp;C2231&amp;"|"&amp;D2231&amp;"|"&amp;E2231&amp;"|"&amp;F2231&amp;"|"&amp;G2231&amp;"|"&amp;H2231&amp;"|"&amp;I2231&amp;"|"&amp;J2231&amp;"|"&amp;K2231&amp;"|"&amp;L2231&amp;"|"&amp;M2231&amp;"|"&amp;N2231</f>
        <v>ORD12399|2025-10-30|11:50|C0036|Spice Junction|Bengaluru |North Indian|2|245|0|Credit Card|Delivered|40|5</v>
      </c>
      <c r="P2231" s="7" t="str">
        <f aca="false">IF(COUNTIF($O$2:O2231,O2231)&gt;1,"DUP","OK")</f>
        <v>OK</v>
      </c>
      <c r="Q2231" s="7" t="n">
        <f aca="false">COUNTBLANK(A2231:N2231)</f>
        <v>0</v>
      </c>
      <c r="R2231" s="7" t="n">
        <f aca="false">IF(A2231="",0,COUNTIFS($A$2:$A$3058,A2231,$P$2:$P$3058,"OK"))</f>
        <v>1</v>
      </c>
      <c r="S2231" s="7" t="str">
        <f aca="false">IF(OR(A2231="",P2231="DUP",R2231&lt;2),"",IF(Q2231=_xlfn.MINIFS($Q$2:$Q$3058,$A$2:$A$3058,A2231,$P$2:$P$3058,"OK"),"KEEP","DROP"))</f>
        <v/>
      </c>
      <c r="T2231" s="9" t="n">
        <f aca="false">IF(A2231="",1,0)</f>
        <v>0</v>
      </c>
      <c r="U2231" s="9" t="n">
        <f aca="false">IF(D2231="",1,0)</f>
        <v>0</v>
      </c>
      <c r="V2231" s="9" t="n">
        <f aca="false">IF(E2231="",1,0)</f>
        <v>0</v>
      </c>
      <c r="W2231" s="9" t="n">
        <f aca="false">IF(OR(H2231&lt;1,H2231&gt;10),1,0)</f>
        <v>0</v>
      </c>
      <c r="X2231" s="9" t="n">
        <f aca="false">IF(OR(I2231&lt;=0,I2231&gt;1500),1,0)</f>
        <v>0</v>
      </c>
      <c r="Y2231" s="9" t="n">
        <f aca="false">IF(J2231&gt;H2231*I2231,1,0)</f>
        <v>0</v>
      </c>
      <c r="Z2231" s="9" t="n">
        <f aca="false">IF(AND(N2231&lt;&gt;"",OR(N2231&lt;1,N2231&gt;5)),1,0)</f>
        <v>0</v>
      </c>
      <c r="AA2231" s="9" t="n">
        <f aca="false">IF(AND(M2231&lt;&gt;"",OR(M2231&lt;5,M2231&gt;180)),1,0)</f>
        <v>0</v>
      </c>
      <c r="AB2231" s="7" t="str">
        <f aca="false">IF(P2231="DUP","Exact duplicate row",IF(T2231=1,"Missing Order ID",IF(S2231="DROP","Duplicate Order ID (less complete row)",IF(U2231=1,"Missing Customer ID",IF(V2231=1,"Missing Restaurant name",IF(W2231=1,"Invalid/outlier quantity",IF(X2231=1,"Invalid/outlier unit price",IF(Y2231=1,"Discount greater than order value",""))))))))</f>
        <v/>
      </c>
      <c r="AC2231" s="7" t="str">
        <f aca="false">IF(AB2231="","KEEP","DROP")</f>
        <v>KEEP</v>
      </c>
      <c r="AD2231" s="7" t="str">
        <f aca="false">IF(TRIM(F2231)="",IFERROR(INDEX(Map_Tables!$I$4:$I$37,MATCH(TRIM(E2231),Map_Tables!$G$4:$G$37,0)),""),IFERROR(INDEX(Map_Tables!$B$4:$B$18,MATCH(TRIM(F2231),Map_Tables!$A$4:$A$18,0)),"CHECK"))</f>
        <v>Bengaluru</v>
      </c>
      <c r="AE2231" s="7" t="str">
        <f aca="false">IF(TRIM(E2231)="","",IFERROR(INDEX(Map_Tables!$H$4:$H$37,MATCH(TRIM(E2231),Map_Tables!$G$4:$G$37,0)),"CHECK"))</f>
        <v>Spice Junction</v>
      </c>
      <c r="AF2231" s="7" t="str">
        <f aca="false">IF(TRIM(K2231)="","Unknown",IFERROR(INDEX(Map_Tables!$E$4:$E$15,MATCH(TRIM(K2231),Map_Tables!$D$4:$D$15,0)),"CHECK"))</f>
        <v>Credit Card</v>
      </c>
      <c r="AG2231" s="7" t="str">
        <f aca="false">IF(LEFT(LOWER(TRIM(L2231)),6)="cancel","Cancelled","Delivered")</f>
        <v>Delivered</v>
      </c>
      <c r="AH2231" s="10" t="n">
        <f aca="false">IF(ISNUMBER(SEARCH("/",B2231)),DATE(VALUE(RIGHT(B2231,4)),VALUE(MID(B2231,4,2)),VALUE(LEFT(B2231,2))),IF(MID(B2231,5,1)="-",DATE(VALUE(LEFT(B2231,4)),VALUE(MID(B2231,6,2)),VALUE(RIGHT(B2231,2))),DATE(VALUE(RIGHT(B2231,4)),MATCH(MID(B2231,4,3),{"Jan","Feb","Mar","Apr","May","Jun","Jul","Aug","Sep","Oct","Nov","Dec"},0),VALUE(LEFT(B2231,2)))))</f>
        <v>45960</v>
      </c>
    </row>
    <row r="2232" customFormat="false" ht="15" hidden="false" customHeight="false" outlineLevel="0" collapsed="false">
      <c r="A2232" s="7" t="s">
        <v>5093</v>
      </c>
      <c r="B2232" s="7" t="s">
        <v>838</v>
      </c>
      <c r="C2232" s="7" t="s">
        <v>821</v>
      </c>
      <c r="D2232" s="7" t="s">
        <v>1579</v>
      </c>
      <c r="E2232" s="7" t="s">
        <v>116</v>
      </c>
      <c r="F2232" s="7"/>
      <c r="G2232" s="7" t="s">
        <v>117</v>
      </c>
      <c r="H2232" s="7" t="n">
        <v>1</v>
      </c>
      <c r="I2232" s="7" t="n">
        <v>155</v>
      </c>
      <c r="J2232" s="7" t="n">
        <v>0</v>
      </c>
      <c r="K2232" s="7" t="s">
        <v>112</v>
      </c>
      <c r="L2232" s="7" t="s">
        <v>194</v>
      </c>
      <c r="M2232" s="7" t="n">
        <v>36</v>
      </c>
      <c r="N2232" s="7" t="n">
        <v>3</v>
      </c>
      <c r="O2232" s="7" t="str">
        <f aca="false">A2232&amp;"|"&amp;B2232&amp;"|"&amp;C2232&amp;"|"&amp;D2232&amp;"|"&amp;E2232&amp;"|"&amp;F2232&amp;"|"&amp;G2232&amp;"|"&amp;H2232&amp;"|"&amp;I2232&amp;"|"&amp;J2232&amp;"|"&amp;K2232&amp;"|"&amp;L2232&amp;"|"&amp;M2232&amp;"|"&amp;N2232</f>
        <v>ORD10437|2025-02-28|17:15|C0319|Pav Bhaji Point||Street Food|1|155|0|Cash on Delivery|Delivered|36|3</v>
      </c>
      <c r="P2232" s="7" t="str">
        <f aca="false">IF(COUNTIF($O$2:O2232,O2232)&gt;1,"DUP","OK")</f>
        <v>OK</v>
      </c>
      <c r="Q2232" s="7" t="n">
        <f aca="false">COUNTBLANK(A2232:N2232)</f>
        <v>1</v>
      </c>
      <c r="R2232" s="7" t="n">
        <f aca="false">IF(A2232="",0,COUNTIFS($A$2:$A$3058,A2232,$P$2:$P$3058,"OK"))</f>
        <v>1</v>
      </c>
      <c r="S2232" s="7" t="str">
        <f aca="false">IF(OR(A2232="",P2232="DUP",R2232&lt;2),"",IF(Q2232=_xlfn.MINIFS($Q$2:$Q$3058,$A$2:$A$3058,A2232,$P$2:$P$3058,"OK"),"KEEP","DROP"))</f>
        <v/>
      </c>
      <c r="T2232" s="9" t="n">
        <f aca="false">IF(A2232="",1,0)</f>
        <v>0</v>
      </c>
      <c r="U2232" s="9" t="n">
        <f aca="false">IF(D2232="",1,0)</f>
        <v>0</v>
      </c>
      <c r="V2232" s="9" t="n">
        <f aca="false">IF(E2232="",1,0)</f>
        <v>0</v>
      </c>
      <c r="W2232" s="9" t="n">
        <f aca="false">IF(OR(H2232&lt;1,H2232&gt;10),1,0)</f>
        <v>0</v>
      </c>
      <c r="X2232" s="9" t="n">
        <f aca="false">IF(OR(I2232&lt;=0,I2232&gt;1500),1,0)</f>
        <v>0</v>
      </c>
      <c r="Y2232" s="9" t="n">
        <f aca="false">IF(J2232&gt;H2232*I2232,1,0)</f>
        <v>0</v>
      </c>
      <c r="Z2232" s="9" t="n">
        <f aca="false">IF(AND(N2232&lt;&gt;"",OR(N2232&lt;1,N2232&gt;5)),1,0)</f>
        <v>0</v>
      </c>
      <c r="AA2232" s="9" t="n">
        <f aca="false">IF(AND(M2232&lt;&gt;"",OR(M2232&lt;5,M2232&gt;180)),1,0)</f>
        <v>0</v>
      </c>
      <c r="AB2232" s="7" t="str">
        <f aca="false">IF(P2232="DUP","Exact duplicate row",IF(T2232=1,"Missing Order ID",IF(S2232="DROP","Duplicate Order ID (less complete row)",IF(U2232=1,"Missing Customer ID",IF(V2232=1,"Missing Restaurant name",IF(W2232=1,"Invalid/outlier quantity",IF(X2232=1,"Invalid/outlier unit price",IF(Y2232=1,"Discount greater than order value",""))))))))</f>
        <v/>
      </c>
      <c r="AC2232" s="7" t="str">
        <f aca="false">IF(AB2232="","KEEP","DROP")</f>
        <v>KEEP</v>
      </c>
      <c r="AD2232" s="7" t="str">
        <f aca="false">IF(TRIM(F2232)="",IFERROR(INDEX(Map_Tables!$I$4:$I$37,MATCH(TRIM(E2232),Map_Tables!$G$4:$G$37,0)),""),IFERROR(INDEX(Map_Tables!$B$4:$B$18,MATCH(TRIM(F2232),Map_Tables!$A$4:$A$18,0)),"CHECK"))</f>
        <v>Mumbai</v>
      </c>
      <c r="AE2232" s="7" t="str">
        <f aca="false">IF(TRIM(E2232)="","",IFERROR(INDEX(Map_Tables!$H$4:$H$37,MATCH(TRIM(E2232),Map_Tables!$G$4:$G$37,0)),"CHECK"))</f>
        <v>Pav Bhaji Point</v>
      </c>
      <c r="AF2232" s="7" t="str">
        <f aca="false">IF(TRIM(K2232)="","Unknown",IFERROR(INDEX(Map_Tables!$E$4:$E$15,MATCH(TRIM(K2232),Map_Tables!$D$4:$D$15,0)),"CHECK"))</f>
        <v>Cash on Delivery</v>
      </c>
      <c r="AG2232" s="7" t="str">
        <f aca="false">IF(LEFT(LOWER(TRIM(L2232)),6)="cancel","Cancelled","Delivered")</f>
        <v>Delivered</v>
      </c>
      <c r="AH2232" s="10" t="n">
        <f aca="false">IF(ISNUMBER(SEARCH("/",B2232)),DATE(VALUE(RIGHT(B2232,4)),VALUE(MID(B2232,4,2)),VALUE(LEFT(B2232,2))),IF(MID(B2232,5,1)="-",DATE(VALUE(LEFT(B2232,4)),VALUE(MID(B2232,6,2)),VALUE(RIGHT(B2232,2))),DATE(VALUE(RIGHT(B2232,4)),MATCH(MID(B2232,4,3),{"Jan","Feb","Mar","Apr","May","Jun","Jul","Aug","Sep","Oct","Nov","Dec"},0),VALUE(LEFT(B2232,2)))))</f>
        <v>45716</v>
      </c>
    </row>
    <row r="2233" customFormat="false" ht="15" hidden="false" customHeight="false" outlineLevel="0" collapsed="false">
      <c r="A2233" s="7" t="s">
        <v>5094</v>
      </c>
      <c r="B2233" s="7" t="s">
        <v>869</v>
      </c>
      <c r="C2233" s="7" t="s">
        <v>4269</v>
      </c>
      <c r="D2233" s="7" t="s">
        <v>873</v>
      </c>
      <c r="E2233" s="7" t="s">
        <v>134</v>
      </c>
      <c r="F2233" s="7" t="s">
        <v>110</v>
      </c>
      <c r="G2233" s="7" t="s">
        <v>117</v>
      </c>
      <c r="H2233" s="7" t="n">
        <v>1</v>
      </c>
      <c r="I2233" s="7" t="n">
        <v>105</v>
      </c>
      <c r="J2233" s="7" t="n">
        <v>0</v>
      </c>
      <c r="K2233" s="7" t="s">
        <v>421</v>
      </c>
      <c r="L2233" s="7" t="s">
        <v>194</v>
      </c>
      <c r="M2233" s="7" t="n">
        <v>39</v>
      </c>
      <c r="N2233" s="7" t="n">
        <v>5</v>
      </c>
      <c r="O2233" s="7" t="str">
        <f aca="false">A2233&amp;"|"&amp;B2233&amp;"|"&amp;C2233&amp;"|"&amp;D2233&amp;"|"&amp;E2233&amp;"|"&amp;F2233&amp;"|"&amp;G2233&amp;"|"&amp;H2233&amp;"|"&amp;I2233&amp;"|"&amp;J2233&amp;"|"&amp;K2233&amp;"|"&amp;L2233&amp;"|"&amp;M2233&amp;"|"&amp;N2233</f>
        <v>ORD11317|2025-06-19|16:33|C0128|Chaat Corner|Delhi|Street Food|1|105|0|UPI |Delivered|39|5</v>
      </c>
      <c r="P2233" s="7" t="str">
        <f aca="false">IF(COUNTIF($O$2:O2233,O2233)&gt;1,"DUP","OK")</f>
        <v>OK</v>
      </c>
      <c r="Q2233" s="7" t="n">
        <f aca="false">COUNTBLANK(A2233:N2233)</f>
        <v>0</v>
      </c>
      <c r="R2233" s="7" t="n">
        <f aca="false">IF(A2233="",0,COUNTIFS($A$2:$A$3058,A2233,$P$2:$P$3058,"OK"))</f>
        <v>1</v>
      </c>
      <c r="S2233" s="7" t="str">
        <f aca="false">IF(OR(A2233="",P2233="DUP",R2233&lt;2),"",IF(Q2233=_xlfn.MINIFS($Q$2:$Q$3058,$A$2:$A$3058,A2233,$P$2:$P$3058,"OK"),"KEEP","DROP"))</f>
        <v/>
      </c>
      <c r="T2233" s="9" t="n">
        <f aca="false">IF(A2233="",1,0)</f>
        <v>0</v>
      </c>
      <c r="U2233" s="9" t="n">
        <f aca="false">IF(D2233="",1,0)</f>
        <v>0</v>
      </c>
      <c r="V2233" s="9" t="n">
        <f aca="false">IF(E2233="",1,0)</f>
        <v>0</v>
      </c>
      <c r="W2233" s="9" t="n">
        <f aca="false">IF(OR(H2233&lt;1,H2233&gt;10),1,0)</f>
        <v>0</v>
      </c>
      <c r="X2233" s="9" t="n">
        <f aca="false">IF(OR(I2233&lt;=0,I2233&gt;1500),1,0)</f>
        <v>0</v>
      </c>
      <c r="Y2233" s="9" t="n">
        <f aca="false">IF(J2233&gt;H2233*I2233,1,0)</f>
        <v>0</v>
      </c>
      <c r="Z2233" s="9" t="n">
        <f aca="false">IF(AND(N2233&lt;&gt;"",OR(N2233&lt;1,N2233&gt;5)),1,0)</f>
        <v>0</v>
      </c>
      <c r="AA2233" s="9" t="n">
        <f aca="false">IF(AND(M2233&lt;&gt;"",OR(M2233&lt;5,M2233&gt;180)),1,0)</f>
        <v>0</v>
      </c>
      <c r="AB2233" s="7" t="str">
        <f aca="false">IF(P2233="DUP","Exact duplicate row",IF(T2233=1,"Missing Order ID",IF(S2233="DROP","Duplicate Order ID (less complete row)",IF(U2233=1,"Missing Customer ID",IF(V2233=1,"Missing Restaurant name",IF(W2233=1,"Invalid/outlier quantity",IF(X2233=1,"Invalid/outlier unit price",IF(Y2233=1,"Discount greater than order value",""))))))))</f>
        <v/>
      </c>
      <c r="AC2233" s="7" t="str">
        <f aca="false">IF(AB2233="","KEEP","DROP")</f>
        <v>KEEP</v>
      </c>
      <c r="AD2233" s="7" t="str">
        <f aca="false">IF(TRIM(F2233)="",IFERROR(INDEX(Map_Tables!$I$4:$I$37,MATCH(TRIM(E2233),Map_Tables!$G$4:$G$37,0)),""),IFERROR(INDEX(Map_Tables!$B$4:$B$18,MATCH(TRIM(F2233),Map_Tables!$A$4:$A$18,0)),"CHECK"))</f>
        <v>Delhi</v>
      </c>
      <c r="AE2233" s="7" t="str">
        <f aca="false">IF(TRIM(E2233)="","",IFERROR(INDEX(Map_Tables!$H$4:$H$37,MATCH(TRIM(E2233),Map_Tables!$G$4:$G$37,0)),"CHECK"))</f>
        <v>Chaat Corner</v>
      </c>
      <c r="AF2233" s="7" t="str">
        <f aca="false">IF(TRIM(K2233)="","Unknown",IFERROR(INDEX(Map_Tables!$E$4:$E$15,MATCH(TRIM(K2233),Map_Tables!$D$4:$D$15,0)),"CHECK"))</f>
        <v>UPI</v>
      </c>
      <c r="AG2233" s="7" t="str">
        <f aca="false">IF(LEFT(LOWER(TRIM(L2233)),6)="cancel","Cancelled","Delivered")</f>
        <v>Delivered</v>
      </c>
      <c r="AH2233" s="10" t="n">
        <f aca="false">IF(ISNUMBER(SEARCH("/",B2233)),DATE(VALUE(RIGHT(B2233,4)),VALUE(MID(B2233,4,2)),VALUE(LEFT(B2233,2))),IF(MID(B2233,5,1)="-",DATE(VALUE(LEFT(B2233,4)),VALUE(MID(B2233,6,2)),VALUE(RIGHT(B2233,2))),DATE(VALUE(RIGHT(B2233,4)),MATCH(MID(B2233,4,3),{"Jan","Feb","Mar","Apr","May","Jun","Jul","Aug","Sep","Oct","Nov","Dec"},0),VALUE(LEFT(B2233,2)))))</f>
        <v>45827</v>
      </c>
    </row>
    <row r="2234" customFormat="false" ht="15" hidden="false" customHeight="false" outlineLevel="0" collapsed="false">
      <c r="A2234" s="7" t="s">
        <v>5095</v>
      </c>
      <c r="B2234" s="7" t="s">
        <v>1516</v>
      </c>
      <c r="C2234" s="7" t="s">
        <v>1023</v>
      </c>
      <c r="D2234" s="7" t="s">
        <v>5096</v>
      </c>
      <c r="E2234" s="7" t="s">
        <v>163</v>
      </c>
      <c r="F2234" s="7" t="s">
        <v>141</v>
      </c>
      <c r="G2234" s="7" t="s">
        <v>99</v>
      </c>
      <c r="H2234" s="7" t="n">
        <v>2</v>
      </c>
      <c r="I2234" s="7" t="n">
        <v>255</v>
      </c>
      <c r="J2234" s="7" t="n">
        <v>0</v>
      </c>
      <c r="K2234" s="7" t="s">
        <v>88</v>
      </c>
      <c r="L2234" s="7" t="s">
        <v>194</v>
      </c>
      <c r="M2234" s="7" t="n">
        <v>34</v>
      </c>
      <c r="N2234" s="7" t="n">
        <v>4</v>
      </c>
      <c r="O2234" s="7" t="str">
        <f aca="false">A2234&amp;"|"&amp;B2234&amp;"|"&amp;C2234&amp;"|"&amp;D2234&amp;"|"&amp;E2234&amp;"|"&amp;F2234&amp;"|"&amp;G2234&amp;"|"&amp;H2234&amp;"|"&amp;I2234&amp;"|"&amp;J2234&amp;"|"&amp;K2234&amp;"|"&amp;L2234&amp;"|"&amp;M2234&amp;"|"&amp;N2234</f>
        <v>ORD11624|2025-07-31|10:39|C1490|Biryani Baadshah|Kolkata|Biryani|2|255|0|UPI|Delivered|34|4</v>
      </c>
      <c r="P2234" s="7" t="str">
        <f aca="false">IF(COUNTIF($O$2:O2234,O2234)&gt;1,"DUP","OK")</f>
        <v>OK</v>
      </c>
      <c r="Q2234" s="7" t="n">
        <f aca="false">COUNTBLANK(A2234:N2234)</f>
        <v>0</v>
      </c>
      <c r="R2234" s="7" t="n">
        <f aca="false">IF(A2234="",0,COUNTIFS($A$2:$A$3058,A2234,$P$2:$P$3058,"OK"))</f>
        <v>1</v>
      </c>
      <c r="S2234" s="7" t="str">
        <f aca="false">IF(OR(A2234="",P2234="DUP",R2234&lt;2),"",IF(Q2234=_xlfn.MINIFS($Q$2:$Q$3058,$A$2:$A$3058,A2234,$P$2:$P$3058,"OK"),"KEEP","DROP"))</f>
        <v/>
      </c>
      <c r="T2234" s="9" t="n">
        <f aca="false">IF(A2234="",1,0)</f>
        <v>0</v>
      </c>
      <c r="U2234" s="9" t="n">
        <f aca="false">IF(D2234="",1,0)</f>
        <v>0</v>
      </c>
      <c r="V2234" s="9" t="n">
        <f aca="false">IF(E2234="",1,0)</f>
        <v>0</v>
      </c>
      <c r="W2234" s="9" t="n">
        <f aca="false">IF(OR(H2234&lt;1,H2234&gt;10),1,0)</f>
        <v>0</v>
      </c>
      <c r="X2234" s="9" t="n">
        <f aca="false">IF(OR(I2234&lt;=0,I2234&gt;1500),1,0)</f>
        <v>0</v>
      </c>
      <c r="Y2234" s="9" t="n">
        <f aca="false">IF(J2234&gt;H2234*I2234,1,0)</f>
        <v>0</v>
      </c>
      <c r="Z2234" s="9" t="n">
        <f aca="false">IF(AND(N2234&lt;&gt;"",OR(N2234&lt;1,N2234&gt;5)),1,0)</f>
        <v>0</v>
      </c>
      <c r="AA2234" s="9" t="n">
        <f aca="false">IF(AND(M2234&lt;&gt;"",OR(M2234&lt;5,M2234&gt;180)),1,0)</f>
        <v>0</v>
      </c>
      <c r="AB2234" s="7" t="str">
        <f aca="false">IF(P2234="DUP","Exact duplicate row",IF(T2234=1,"Missing Order ID",IF(S2234="DROP","Duplicate Order ID (less complete row)",IF(U2234=1,"Missing Customer ID",IF(V2234=1,"Missing Restaurant name",IF(W2234=1,"Invalid/outlier quantity",IF(X2234=1,"Invalid/outlier unit price",IF(Y2234=1,"Discount greater than order value",""))))))))</f>
        <v/>
      </c>
      <c r="AC2234" s="7" t="str">
        <f aca="false">IF(AB2234="","KEEP","DROP")</f>
        <v>KEEP</v>
      </c>
      <c r="AD2234" s="7" t="str">
        <f aca="false">IF(TRIM(F2234)="",IFERROR(INDEX(Map_Tables!$I$4:$I$37,MATCH(TRIM(E2234),Map_Tables!$G$4:$G$37,0)),""),IFERROR(INDEX(Map_Tables!$B$4:$B$18,MATCH(TRIM(F2234),Map_Tables!$A$4:$A$18,0)),"CHECK"))</f>
        <v>Kolkata</v>
      </c>
      <c r="AE2234" s="7" t="str">
        <f aca="false">IF(TRIM(E2234)="","",IFERROR(INDEX(Map_Tables!$H$4:$H$37,MATCH(TRIM(E2234),Map_Tables!$G$4:$G$37,0)),"CHECK"))</f>
        <v>Biryani Baadshah</v>
      </c>
      <c r="AF2234" s="7" t="str">
        <f aca="false">IF(TRIM(K2234)="","Unknown",IFERROR(INDEX(Map_Tables!$E$4:$E$15,MATCH(TRIM(K2234),Map_Tables!$D$4:$D$15,0)),"CHECK"))</f>
        <v>UPI</v>
      </c>
      <c r="AG2234" s="7" t="str">
        <f aca="false">IF(LEFT(LOWER(TRIM(L2234)),6)="cancel","Cancelled","Delivered")</f>
        <v>Delivered</v>
      </c>
      <c r="AH2234" s="10" t="n">
        <f aca="false">IF(ISNUMBER(SEARCH("/",B2234)),DATE(VALUE(RIGHT(B2234,4)),VALUE(MID(B2234,4,2)),VALUE(LEFT(B2234,2))),IF(MID(B2234,5,1)="-",DATE(VALUE(LEFT(B2234,4)),VALUE(MID(B2234,6,2)),VALUE(RIGHT(B2234,2))),DATE(VALUE(RIGHT(B2234,4)),MATCH(MID(B2234,4,3),{"Jan","Feb","Mar","Apr","May","Jun","Jul","Aug","Sep","Oct","Nov","Dec"},0),VALUE(LEFT(B2234,2)))))</f>
        <v>45869</v>
      </c>
    </row>
    <row r="2235" customFormat="false" ht="15" hidden="false" customHeight="false" outlineLevel="0" collapsed="false">
      <c r="A2235" s="7" t="s">
        <v>5097</v>
      </c>
      <c r="B2235" s="7" t="s">
        <v>3156</v>
      </c>
      <c r="C2235" s="7" t="s">
        <v>3921</v>
      </c>
      <c r="D2235" s="7" t="s">
        <v>5098</v>
      </c>
      <c r="E2235" s="7" t="s">
        <v>151</v>
      </c>
      <c r="F2235" s="7" t="s">
        <v>128</v>
      </c>
      <c r="G2235" s="7" t="s">
        <v>95</v>
      </c>
      <c r="H2235" s="7" t="n">
        <v>2</v>
      </c>
      <c r="I2235" s="7" t="n">
        <v>0</v>
      </c>
      <c r="J2235" s="7" t="n">
        <v>0</v>
      </c>
      <c r="K2235" s="7" t="s">
        <v>88</v>
      </c>
      <c r="L2235" s="7" t="s">
        <v>238</v>
      </c>
      <c r="M2235" s="7"/>
      <c r="N2235" s="7"/>
      <c r="O2235" s="7" t="str">
        <f aca="false">A2235&amp;"|"&amp;B2235&amp;"|"&amp;C2235&amp;"|"&amp;D2235&amp;"|"&amp;E2235&amp;"|"&amp;F2235&amp;"|"&amp;G2235&amp;"|"&amp;H2235&amp;"|"&amp;I2235&amp;"|"&amp;J2235&amp;"|"&amp;K2235&amp;"|"&amp;L2235&amp;"|"&amp;M2235&amp;"|"&amp;N2235</f>
        <v>ORD11481|2025-07-11|23:48|C1004|Chettinad House|Chennai|South Indian|2|0|0|UPI|Cancelled||</v>
      </c>
      <c r="P2235" s="7" t="str">
        <f aca="false">IF(COUNTIF($O$2:O2235,O2235)&gt;1,"DUP","OK")</f>
        <v>OK</v>
      </c>
      <c r="Q2235" s="7" t="n">
        <f aca="false">COUNTBLANK(A2235:N2235)</f>
        <v>2</v>
      </c>
      <c r="R2235" s="7" t="n">
        <f aca="false">IF(A2235="",0,COUNTIFS($A$2:$A$3058,A2235,$P$2:$P$3058,"OK"))</f>
        <v>1</v>
      </c>
      <c r="S2235" s="7" t="str">
        <f aca="false">IF(OR(A2235="",P2235="DUP",R2235&lt;2),"",IF(Q2235=_xlfn.MINIFS($Q$2:$Q$3058,$A$2:$A$3058,A2235,$P$2:$P$3058,"OK"),"KEEP","DROP"))</f>
        <v/>
      </c>
      <c r="T2235" s="9" t="n">
        <f aca="false">IF(A2235="",1,0)</f>
        <v>0</v>
      </c>
      <c r="U2235" s="9" t="n">
        <f aca="false">IF(D2235="",1,0)</f>
        <v>0</v>
      </c>
      <c r="V2235" s="9" t="n">
        <f aca="false">IF(E2235="",1,0)</f>
        <v>0</v>
      </c>
      <c r="W2235" s="9" t="n">
        <f aca="false">IF(OR(H2235&lt;1,H2235&gt;10),1,0)</f>
        <v>0</v>
      </c>
      <c r="X2235" s="9" t="n">
        <f aca="false">IF(OR(I2235&lt;=0,I2235&gt;1500),1,0)</f>
        <v>1</v>
      </c>
      <c r="Y2235" s="9" t="n">
        <f aca="false">IF(J2235&gt;H2235*I2235,1,0)</f>
        <v>0</v>
      </c>
      <c r="Z2235" s="9" t="n">
        <f aca="false">IF(AND(N2235&lt;&gt;"",OR(N2235&lt;1,N2235&gt;5)),1,0)</f>
        <v>0</v>
      </c>
      <c r="AA2235" s="9" t="n">
        <f aca="false">IF(AND(M2235&lt;&gt;"",OR(M2235&lt;5,M2235&gt;180)),1,0)</f>
        <v>0</v>
      </c>
      <c r="AB2235" s="7" t="str">
        <f aca="false">IF(P2235="DUP","Exact duplicate row",IF(T2235=1,"Missing Order ID",IF(S2235="DROP","Duplicate Order ID (less complete row)",IF(U2235=1,"Missing Customer ID",IF(V2235=1,"Missing Restaurant name",IF(W2235=1,"Invalid/outlier quantity",IF(X2235=1,"Invalid/outlier unit price",IF(Y2235=1,"Discount greater than order value",""))))))))</f>
        <v>Invalid/outlier unit price</v>
      </c>
      <c r="AC2235" s="7" t="str">
        <f aca="false">IF(AB2235="","KEEP","DROP")</f>
        <v>DROP</v>
      </c>
      <c r="AD2235" s="7" t="str">
        <f aca="false">IF(TRIM(F2235)="",IFERROR(INDEX(Map_Tables!$I$4:$I$37,MATCH(TRIM(E2235),Map_Tables!$G$4:$G$37,0)),""),IFERROR(INDEX(Map_Tables!$B$4:$B$18,MATCH(TRIM(F2235),Map_Tables!$A$4:$A$18,0)),"CHECK"))</f>
        <v>Chennai</v>
      </c>
      <c r="AE2235" s="7" t="str">
        <f aca="false">IF(TRIM(E2235)="","",IFERROR(INDEX(Map_Tables!$H$4:$H$37,MATCH(TRIM(E2235),Map_Tables!$G$4:$G$37,0)),"CHECK"))</f>
        <v>Chettinad House</v>
      </c>
      <c r="AF2235" s="7" t="str">
        <f aca="false">IF(TRIM(K2235)="","Unknown",IFERROR(INDEX(Map_Tables!$E$4:$E$15,MATCH(TRIM(K2235),Map_Tables!$D$4:$D$15,0)),"CHECK"))</f>
        <v>UPI</v>
      </c>
      <c r="AG2235" s="7" t="str">
        <f aca="false">IF(LEFT(LOWER(TRIM(L2235)),6)="cancel","Cancelled","Delivered")</f>
        <v>Cancelled</v>
      </c>
      <c r="AH2235" s="10" t="n">
        <f aca="false">IF(ISNUMBER(SEARCH("/",B2235)),DATE(VALUE(RIGHT(B2235,4)),VALUE(MID(B2235,4,2)),VALUE(LEFT(B2235,2))),IF(MID(B2235,5,1)="-",DATE(VALUE(LEFT(B2235,4)),VALUE(MID(B2235,6,2)),VALUE(RIGHT(B2235,2))),DATE(VALUE(RIGHT(B2235,4)),MATCH(MID(B2235,4,3),{"Jan","Feb","Mar","Apr","May","Jun","Jul","Aug","Sep","Oct","Nov","Dec"},0),VALUE(LEFT(B2235,2)))))</f>
        <v>45849</v>
      </c>
    </row>
    <row r="2236" customFormat="false" ht="15" hidden="false" customHeight="false" outlineLevel="0" collapsed="false">
      <c r="A2236" s="7" t="s">
        <v>5099</v>
      </c>
      <c r="B2236" s="7" t="s">
        <v>1883</v>
      </c>
      <c r="C2236" s="7" t="s">
        <v>1066</v>
      </c>
      <c r="D2236" s="7" t="s">
        <v>922</v>
      </c>
      <c r="E2236" s="7" t="s">
        <v>160</v>
      </c>
      <c r="F2236" s="7" t="s">
        <v>136</v>
      </c>
      <c r="G2236" s="7" t="s">
        <v>150</v>
      </c>
      <c r="H2236" s="7" t="n">
        <v>1</v>
      </c>
      <c r="I2236" s="7" t="n">
        <v>175</v>
      </c>
      <c r="J2236" s="7" t="n">
        <v>0</v>
      </c>
      <c r="K2236" s="7" t="s">
        <v>88</v>
      </c>
      <c r="L2236" s="7" t="s">
        <v>238</v>
      </c>
      <c r="M2236" s="7"/>
      <c r="N2236" s="7"/>
      <c r="O2236" s="7" t="str">
        <f aca="false">A2236&amp;"|"&amp;B2236&amp;"|"&amp;C2236&amp;"|"&amp;D2236&amp;"|"&amp;E2236&amp;"|"&amp;F2236&amp;"|"&amp;G2236&amp;"|"&amp;H2236&amp;"|"&amp;I2236&amp;"|"&amp;J2236&amp;"|"&amp;K2236&amp;"|"&amp;L2236&amp;"|"&amp;M2236&amp;"|"&amp;N2236</f>
        <v>ORD11649|2025-08-03|19:14|C0562|Cake Walk|Pune|Desserts|1|175|0|UPI|Cancelled||</v>
      </c>
      <c r="P2236" s="7" t="str">
        <f aca="false">IF(COUNTIF($O$2:O2236,O2236)&gt;1,"DUP","OK")</f>
        <v>OK</v>
      </c>
      <c r="Q2236" s="7" t="n">
        <f aca="false">COUNTBLANK(A2236:N2236)</f>
        <v>2</v>
      </c>
      <c r="R2236" s="7" t="n">
        <f aca="false">IF(A2236="",0,COUNTIFS($A$2:$A$3058,A2236,$P$2:$P$3058,"OK"))</f>
        <v>1</v>
      </c>
      <c r="S2236" s="7" t="str">
        <f aca="false">IF(OR(A2236="",P2236="DUP",R2236&lt;2),"",IF(Q2236=_xlfn.MINIFS($Q$2:$Q$3058,$A$2:$A$3058,A2236,$P$2:$P$3058,"OK"),"KEEP","DROP"))</f>
        <v/>
      </c>
      <c r="T2236" s="9" t="n">
        <f aca="false">IF(A2236="",1,0)</f>
        <v>0</v>
      </c>
      <c r="U2236" s="9" t="n">
        <f aca="false">IF(D2236="",1,0)</f>
        <v>0</v>
      </c>
      <c r="V2236" s="9" t="n">
        <f aca="false">IF(E2236="",1,0)</f>
        <v>0</v>
      </c>
      <c r="W2236" s="9" t="n">
        <f aca="false">IF(OR(H2236&lt;1,H2236&gt;10),1,0)</f>
        <v>0</v>
      </c>
      <c r="X2236" s="9" t="n">
        <f aca="false">IF(OR(I2236&lt;=0,I2236&gt;1500),1,0)</f>
        <v>0</v>
      </c>
      <c r="Y2236" s="9" t="n">
        <f aca="false">IF(J2236&gt;H2236*I2236,1,0)</f>
        <v>0</v>
      </c>
      <c r="Z2236" s="9" t="n">
        <f aca="false">IF(AND(N2236&lt;&gt;"",OR(N2236&lt;1,N2236&gt;5)),1,0)</f>
        <v>0</v>
      </c>
      <c r="AA2236" s="9" t="n">
        <f aca="false">IF(AND(M2236&lt;&gt;"",OR(M2236&lt;5,M2236&gt;180)),1,0)</f>
        <v>0</v>
      </c>
      <c r="AB2236" s="7" t="str">
        <f aca="false">IF(P2236="DUP","Exact duplicate row",IF(T2236=1,"Missing Order ID",IF(S2236="DROP","Duplicate Order ID (less complete row)",IF(U2236=1,"Missing Customer ID",IF(V2236=1,"Missing Restaurant name",IF(W2236=1,"Invalid/outlier quantity",IF(X2236=1,"Invalid/outlier unit price",IF(Y2236=1,"Discount greater than order value",""))))))))</f>
        <v/>
      </c>
      <c r="AC2236" s="7" t="str">
        <f aca="false">IF(AB2236="","KEEP","DROP")</f>
        <v>KEEP</v>
      </c>
      <c r="AD2236" s="7" t="str">
        <f aca="false">IF(TRIM(F2236)="",IFERROR(INDEX(Map_Tables!$I$4:$I$37,MATCH(TRIM(E2236),Map_Tables!$G$4:$G$37,0)),""),IFERROR(INDEX(Map_Tables!$B$4:$B$18,MATCH(TRIM(F2236),Map_Tables!$A$4:$A$18,0)),"CHECK"))</f>
        <v>Pune</v>
      </c>
      <c r="AE2236" s="7" t="str">
        <f aca="false">IF(TRIM(E2236)="","",IFERROR(INDEX(Map_Tables!$H$4:$H$37,MATCH(TRIM(E2236),Map_Tables!$G$4:$G$37,0)),"CHECK"))</f>
        <v>Cake Walk</v>
      </c>
      <c r="AF2236" s="7" t="str">
        <f aca="false">IF(TRIM(K2236)="","Unknown",IFERROR(INDEX(Map_Tables!$E$4:$E$15,MATCH(TRIM(K2236),Map_Tables!$D$4:$D$15,0)),"CHECK"))</f>
        <v>UPI</v>
      </c>
      <c r="AG2236" s="7" t="str">
        <f aca="false">IF(LEFT(LOWER(TRIM(L2236)),6)="cancel","Cancelled","Delivered")</f>
        <v>Cancelled</v>
      </c>
      <c r="AH2236" s="10" t="n">
        <f aca="false">IF(ISNUMBER(SEARCH("/",B2236)),DATE(VALUE(RIGHT(B2236,4)),VALUE(MID(B2236,4,2)),VALUE(LEFT(B2236,2))),IF(MID(B2236,5,1)="-",DATE(VALUE(LEFT(B2236,4)),VALUE(MID(B2236,6,2)),VALUE(RIGHT(B2236,2))),DATE(VALUE(RIGHT(B2236,4)),MATCH(MID(B2236,4,3),{"Jan","Feb","Mar","Apr","May","Jun","Jul","Aug","Sep","Oct","Nov","Dec"},0),VALUE(LEFT(B2236,2)))))</f>
        <v>45872</v>
      </c>
    </row>
    <row r="2237" customFormat="false" ht="15" hidden="false" customHeight="false" outlineLevel="0" collapsed="false">
      <c r="A2237" s="7" t="s">
        <v>3187</v>
      </c>
      <c r="B2237" s="7" t="s">
        <v>1376</v>
      </c>
      <c r="C2237" s="7" t="s">
        <v>1019</v>
      </c>
      <c r="D2237" s="7" t="s">
        <v>2639</v>
      </c>
      <c r="E2237" s="7" t="s">
        <v>144</v>
      </c>
      <c r="F2237" s="7" t="s">
        <v>118</v>
      </c>
      <c r="G2237" s="7" t="s">
        <v>99</v>
      </c>
      <c r="H2237" s="7" t="n">
        <v>4</v>
      </c>
      <c r="I2237" s="7" t="n">
        <v>345</v>
      </c>
      <c r="J2237" s="7" t="n">
        <v>100</v>
      </c>
      <c r="K2237" s="7" t="s">
        <v>88</v>
      </c>
      <c r="L2237" s="7" t="s">
        <v>194</v>
      </c>
      <c r="M2237" s="7" t="n">
        <v>43</v>
      </c>
      <c r="N2237" s="7"/>
      <c r="O2237" s="7" t="str">
        <f aca="false">A2237&amp;"|"&amp;B2237&amp;"|"&amp;C2237&amp;"|"&amp;D2237&amp;"|"&amp;E2237&amp;"|"&amp;F2237&amp;"|"&amp;G2237&amp;"|"&amp;H2237&amp;"|"&amp;I2237&amp;"|"&amp;J2237&amp;"|"&amp;K2237&amp;"|"&amp;L2237&amp;"|"&amp;M2237&amp;"|"&amp;N2237</f>
        <v>ORD11004|2025-05-07|19:25|C0408|Hyderabad Dum Biryani|hyderabad|Biryani|4|345|100|UPI|Delivered|43|</v>
      </c>
      <c r="P2237" s="7" t="str">
        <f aca="false">IF(COUNTIF($O$2:O2237,O2237)&gt;1,"DUP","OK")</f>
        <v>OK</v>
      </c>
      <c r="Q2237" s="7" t="n">
        <f aca="false">COUNTBLANK(A2237:N2237)</f>
        <v>1</v>
      </c>
      <c r="R2237" s="7" t="n">
        <f aca="false">IF(A2237="",0,COUNTIFS($A$2:$A$3058,A2237,$P$2:$P$3058,"OK"))</f>
        <v>2</v>
      </c>
      <c r="S2237" s="7" t="str">
        <f aca="false">IF(OR(A2237="",P2237="DUP",R2237&lt;2),"",IF(Q2237=_xlfn.MINIFS($Q$2:$Q$3058,$A$2:$A$3058,A2237,$P$2:$P$3058,"OK"),"KEEP","DROP"))</f>
        <v>DROP</v>
      </c>
      <c r="T2237" s="9" t="n">
        <f aca="false">IF(A2237="",1,0)</f>
        <v>0</v>
      </c>
      <c r="U2237" s="9" t="n">
        <f aca="false">IF(D2237="",1,0)</f>
        <v>0</v>
      </c>
      <c r="V2237" s="9" t="n">
        <f aca="false">IF(E2237="",1,0)</f>
        <v>0</v>
      </c>
      <c r="W2237" s="9" t="n">
        <f aca="false">IF(OR(H2237&lt;1,H2237&gt;10),1,0)</f>
        <v>0</v>
      </c>
      <c r="X2237" s="9" t="n">
        <f aca="false">IF(OR(I2237&lt;=0,I2237&gt;1500),1,0)</f>
        <v>0</v>
      </c>
      <c r="Y2237" s="9" t="n">
        <f aca="false">IF(J2237&gt;H2237*I2237,1,0)</f>
        <v>0</v>
      </c>
      <c r="Z2237" s="9" t="n">
        <f aca="false">IF(AND(N2237&lt;&gt;"",OR(N2237&lt;1,N2237&gt;5)),1,0)</f>
        <v>0</v>
      </c>
      <c r="AA2237" s="9" t="n">
        <f aca="false">IF(AND(M2237&lt;&gt;"",OR(M2237&lt;5,M2237&gt;180)),1,0)</f>
        <v>0</v>
      </c>
      <c r="AB2237" s="7" t="str">
        <f aca="false">IF(P2237="DUP","Exact duplicate row",IF(T2237=1,"Missing Order ID",IF(S2237="DROP","Duplicate Order ID (less complete row)",IF(U2237=1,"Missing Customer ID",IF(V2237=1,"Missing Restaurant name",IF(W2237=1,"Invalid/outlier quantity",IF(X2237=1,"Invalid/outlier unit price",IF(Y2237=1,"Discount greater than order value",""))))))))</f>
        <v>Duplicate Order ID (less complete row)</v>
      </c>
      <c r="AC2237" s="7" t="str">
        <f aca="false">IF(AB2237="","KEEP","DROP")</f>
        <v>DROP</v>
      </c>
      <c r="AD2237" s="7" t="str">
        <f aca="false">IF(TRIM(F2237)="",IFERROR(INDEX(Map_Tables!$I$4:$I$37,MATCH(TRIM(E2237),Map_Tables!$G$4:$G$37,0)),""),IFERROR(INDEX(Map_Tables!$B$4:$B$18,MATCH(TRIM(F2237),Map_Tables!$A$4:$A$18,0)),"CHECK"))</f>
        <v>Hyderabad</v>
      </c>
      <c r="AE2237" s="7" t="str">
        <f aca="false">IF(TRIM(E2237)="","",IFERROR(INDEX(Map_Tables!$H$4:$H$37,MATCH(TRIM(E2237),Map_Tables!$G$4:$G$37,0)),"CHECK"))</f>
        <v>Hyderabad Dum Biryani</v>
      </c>
      <c r="AF2237" s="7" t="str">
        <f aca="false">IF(TRIM(K2237)="","Unknown",IFERROR(INDEX(Map_Tables!$E$4:$E$15,MATCH(TRIM(K2237),Map_Tables!$D$4:$D$15,0)),"CHECK"))</f>
        <v>UPI</v>
      </c>
      <c r="AG2237" s="7" t="str">
        <f aca="false">IF(LEFT(LOWER(TRIM(L2237)),6)="cancel","Cancelled","Delivered")</f>
        <v>Delivered</v>
      </c>
      <c r="AH2237" s="10" t="n">
        <f aca="false">IF(ISNUMBER(SEARCH("/",B2237)),DATE(VALUE(RIGHT(B2237,4)),VALUE(MID(B2237,4,2)),VALUE(LEFT(B2237,2))),IF(MID(B2237,5,1)="-",DATE(VALUE(LEFT(B2237,4)),VALUE(MID(B2237,6,2)),VALUE(RIGHT(B2237,2))),DATE(VALUE(RIGHT(B2237,4)),MATCH(MID(B2237,4,3),{"Jan","Feb","Mar","Apr","May","Jun","Jul","Aug","Sep","Oct","Nov","Dec"},0),VALUE(LEFT(B2237,2)))))</f>
        <v>45784</v>
      </c>
    </row>
    <row r="2238" customFormat="false" ht="15" hidden="false" customHeight="false" outlineLevel="0" collapsed="false">
      <c r="A2238" s="7" t="s">
        <v>5100</v>
      </c>
      <c r="B2238" s="7" t="s">
        <v>1246</v>
      </c>
      <c r="C2238" s="7" t="s">
        <v>5101</v>
      </c>
      <c r="D2238" s="7" t="s">
        <v>5102</v>
      </c>
      <c r="E2238" s="7" t="s">
        <v>94</v>
      </c>
      <c r="F2238" s="7" t="s">
        <v>86</v>
      </c>
      <c r="G2238" s="7" t="s">
        <v>95</v>
      </c>
      <c r="H2238" s="7" t="n">
        <v>1</v>
      </c>
      <c r="I2238" s="7" t="n">
        <v>130</v>
      </c>
      <c r="J2238" s="7" t="n">
        <v>0</v>
      </c>
      <c r="K2238" s="7" t="s">
        <v>88</v>
      </c>
      <c r="L2238" s="7" t="s">
        <v>238</v>
      </c>
      <c r="M2238" s="7"/>
      <c r="N2238" s="7"/>
      <c r="O2238" s="7" t="str">
        <f aca="false">A2238&amp;"|"&amp;B2238&amp;"|"&amp;C2238&amp;"|"&amp;D2238&amp;"|"&amp;E2238&amp;"|"&amp;F2238&amp;"|"&amp;G2238&amp;"|"&amp;H2238&amp;"|"&amp;I2238&amp;"|"&amp;J2238&amp;"|"&amp;K2238&amp;"|"&amp;L2238&amp;"|"&amp;M2238&amp;"|"&amp;N2238</f>
        <v>ORD11279|2025-06-12|17:53|C0723|Dosa Darbar|Bengaluru|South Indian|1|130|0|UPI|Cancelled||</v>
      </c>
      <c r="P2238" s="7" t="str">
        <f aca="false">IF(COUNTIF($O$2:O2238,O2238)&gt;1,"DUP","OK")</f>
        <v>OK</v>
      </c>
      <c r="Q2238" s="7" t="n">
        <f aca="false">COUNTBLANK(A2238:N2238)</f>
        <v>2</v>
      </c>
      <c r="R2238" s="7" t="n">
        <f aca="false">IF(A2238="",0,COUNTIFS($A$2:$A$3058,A2238,$P$2:$P$3058,"OK"))</f>
        <v>1</v>
      </c>
      <c r="S2238" s="7" t="str">
        <f aca="false">IF(OR(A2238="",P2238="DUP",R2238&lt;2),"",IF(Q2238=_xlfn.MINIFS($Q$2:$Q$3058,$A$2:$A$3058,A2238,$P$2:$P$3058,"OK"),"KEEP","DROP"))</f>
        <v/>
      </c>
      <c r="T2238" s="9" t="n">
        <f aca="false">IF(A2238="",1,0)</f>
        <v>0</v>
      </c>
      <c r="U2238" s="9" t="n">
        <f aca="false">IF(D2238="",1,0)</f>
        <v>0</v>
      </c>
      <c r="V2238" s="9" t="n">
        <f aca="false">IF(E2238="",1,0)</f>
        <v>0</v>
      </c>
      <c r="W2238" s="9" t="n">
        <f aca="false">IF(OR(H2238&lt;1,H2238&gt;10),1,0)</f>
        <v>0</v>
      </c>
      <c r="X2238" s="9" t="n">
        <f aca="false">IF(OR(I2238&lt;=0,I2238&gt;1500),1,0)</f>
        <v>0</v>
      </c>
      <c r="Y2238" s="9" t="n">
        <f aca="false">IF(J2238&gt;H2238*I2238,1,0)</f>
        <v>0</v>
      </c>
      <c r="Z2238" s="9" t="n">
        <f aca="false">IF(AND(N2238&lt;&gt;"",OR(N2238&lt;1,N2238&gt;5)),1,0)</f>
        <v>0</v>
      </c>
      <c r="AA2238" s="9" t="n">
        <f aca="false">IF(AND(M2238&lt;&gt;"",OR(M2238&lt;5,M2238&gt;180)),1,0)</f>
        <v>0</v>
      </c>
      <c r="AB2238" s="7" t="str">
        <f aca="false">IF(P2238="DUP","Exact duplicate row",IF(T2238=1,"Missing Order ID",IF(S2238="DROP","Duplicate Order ID (less complete row)",IF(U2238=1,"Missing Customer ID",IF(V2238=1,"Missing Restaurant name",IF(W2238=1,"Invalid/outlier quantity",IF(X2238=1,"Invalid/outlier unit price",IF(Y2238=1,"Discount greater than order value",""))))))))</f>
        <v/>
      </c>
      <c r="AC2238" s="7" t="str">
        <f aca="false">IF(AB2238="","KEEP","DROP")</f>
        <v>KEEP</v>
      </c>
      <c r="AD2238" s="7" t="str">
        <f aca="false">IF(TRIM(F2238)="",IFERROR(INDEX(Map_Tables!$I$4:$I$37,MATCH(TRIM(E2238),Map_Tables!$G$4:$G$37,0)),""),IFERROR(INDEX(Map_Tables!$B$4:$B$18,MATCH(TRIM(F2238),Map_Tables!$A$4:$A$18,0)),"CHECK"))</f>
        <v>Bengaluru</v>
      </c>
      <c r="AE2238" s="7" t="str">
        <f aca="false">IF(TRIM(E2238)="","",IFERROR(INDEX(Map_Tables!$H$4:$H$37,MATCH(TRIM(E2238),Map_Tables!$G$4:$G$37,0)),"CHECK"))</f>
        <v>Dosa Darbar</v>
      </c>
      <c r="AF2238" s="7" t="str">
        <f aca="false">IF(TRIM(K2238)="","Unknown",IFERROR(INDEX(Map_Tables!$E$4:$E$15,MATCH(TRIM(K2238),Map_Tables!$D$4:$D$15,0)),"CHECK"))</f>
        <v>UPI</v>
      </c>
      <c r="AG2238" s="7" t="str">
        <f aca="false">IF(LEFT(LOWER(TRIM(L2238)),6)="cancel","Cancelled","Delivered")</f>
        <v>Cancelled</v>
      </c>
      <c r="AH2238" s="10" t="n">
        <f aca="false">IF(ISNUMBER(SEARCH("/",B2238)),DATE(VALUE(RIGHT(B2238,4)),VALUE(MID(B2238,4,2)),VALUE(LEFT(B2238,2))),IF(MID(B2238,5,1)="-",DATE(VALUE(LEFT(B2238,4)),VALUE(MID(B2238,6,2)),VALUE(RIGHT(B2238,2))),DATE(VALUE(RIGHT(B2238,4)),MATCH(MID(B2238,4,3),{"Jan","Feb","Mar","Apr","May","Jun","Jul","Aug","Sep","Oct","Nov","Dec"},0),VALUE(LEFT(B2238,2)))))</f>
        <v>45820</v>
      </c>
    </row>
    <row r="2239" customFormat="false" ht="15" hidden="false" customHeight="false" outlineLevel="0" collapsed="false">
      <c r="A2239" s="7" t="s">
        <v>5103</v>
      </c>
      <c r="B2239" s="7" t="s">
        <v>2162</v>
      </c>
      <c r="C2239" s="7" t="s">
        <v>3774</v>
      </c>
      <c r="D2239" s="7" t="s">
        <v>552</v>
      </c>
      <c r="E2239" s="7" t="s">
        <v>163</v>
      </c>
      <c r="F2239" s="7" t="s">
        <v>141</v>
      </c>
      <c r="G2239" s="7" t="s">
        <v>99</v>
      </c>
      <c r="H2239" s="7" t="n">
        <v>1</v>
      </c>
      <c r="I2239" s="7" t="n">
        <v>230</v>
      </c>
      <c r="J2239" s="7" t="n">
        <v>0</v>
      </c>
      <c r="K2239" s="7" t="s">
        <v>88</v>
      </c>
      <c r="L2239" s="7" t="s">
        <v>194</v>
      </c>
      <c r="M2239" s="7" t="n">
        <v>38</v>
      </c>
      <c r="N2239" s="7" t="n">
        <v>5</v>
      </c>
      <c r="O2239" s="7" t="str">
        <f aca="false">A2239&amp;"|"&amp;B2239&amp;"|"&amp;C2239&amp;"|"&amp;D2239&amp;"|"&amp;E2239&amp;"|"&amp;F2239&amp;"|"&amp;G2239&amp;"|"&amp;H2239&amp;"|"&amp;I2239&amp;"|"&amp;J2239&amp;"|"&amp;K2239&amp;"|"&amp;L2239&amp;"|"&amp;M2239&amp;"|"&amp;N2239</f>
        <v>ORD11824|2025-08-26|12:52|C0631|Biryani Baadshah|Kolkata|Biryani|1|230|0|UPI|Delivered|38|5</v>
      </c>
      <c r="P2239" s="7" t="str">
        <f aca="false">IF(COUNTIF($O$2:O2239,O2239)&gt;1,"DUP","OK")</f>
        <v>OK</v>
      </c>
      <c r="Q2239" s="7" t="n">
        <f aca="false">COUNTBLANK(A2239:N2239)</f>
        <v>0</v>
      </c>
      <c r="R2239" s="7" t="n">
        <f aca="false">IF(A2239="",0,COUNTIFS($A$2:$A$3058,A2239,$P$2:$P$3058,"OK"))</f>
        <v>1</v>
      </c>
      <c r="S2239" s="7" t="str">
        <f aca="false">IF(OR(A2239="",P2239="DUP",R2239&lt;2),"",IF(Q2239=_xlfn.MINIFS($Q$2:$Q$3058,$A$2:$A$3058,A2239,$P$2:$P$3058,"OK"),"KEEP","DROP"))</f>
        <v/>
      </c>
      <c r="T2239" s="9" t="n">
        <f aca="false">IF(A2239="",1,0)</f>
        <v>0</v>
      </c>
      <c r="U2239" s="9" t="n">
        <f aca="false">IF(D2239="",1,0)</f>
        <v>0</v>
      </c>
      <c r="V2239" s="9" t="n">
        <f aca="false">IF(E2239="",1,0)</f>
        <v>0</v>
      </c>
      <c r="W2239" s="9" t="n">
        <f aca="false">IF(OR(H2239&lt;1,H2239&gt;10),1,0)</f>
        <v>0</v>
      </c>
      <c r="X2239" s="9" t="n">
        <f aca="false">IF(OR(I2239&lt;=0,I2239&gt;1500),1,0)</f>
        <v>0</v>
      </c>
      <c r="Y2239" s="9" t="n">
        <f aca="false">IF(J2239&gt;H2239*I2239,1,0)</f>
        <v>0</v>
      </c>
      <c r="Z2239" s="9" t="n">
        <f aca="false">IF(AND(N2239&lt;&gt;"",OR(N2239&lt;1,N2239&gt;5)),1,0)</f>
        <v>0</v>
      </c>
      <c r="AA2239" s="9" t="n">
        <f aca="false">IF(AND(M2239&lt;&gt;"",OR(M2239&lt;5,M2239&gt;180)),1,0)</f>
        <v>0</v>
      </c>
      <c r="AB2239" s="7" t="str">
        <f aca="false">IF(P2239="DUP","Exact duplicate row",IF(T2239=1,"Missing Order ID",IF(S2239="DROP","Duplicate Order ID (less complete row)",IF(U2239=1,"Missing Customer ID",IF(V2239=1,"Missing Restaurant name",IF(W2239=1,"Invalid/outlier quantity",IF(X2239=1,"Invalid/outlier unit price",IF(Y2239=1,"Discount greater than order value",""))))))))</f>
        <v/>
      </c>
      <c r="AC2239" s="7" t="str">
        <f aca="false">IF(AB2239="","KEEP","DROP")</f>
        <v>KEEP</v>
      </c>
      <c r="AD2239" s="7" t="str">
        <f aca="false">IF(TRIM(F2239)="",IFERROR(INDEX(Map_Tables!$I$4:$I$37,MATCH(TRIM(E2239),Map_Tables!$G$4:$G$37,0)),""),IFERROR(INDEX(Map_Tables!$B$4:$B$18,MATCH(TRIM(F2239),Map_Tables!$A$4:$A$18,0)),"CHECK"))</f>
        <v>Kolkata</v>
      </c>
      <c r="AE2239" s="7" t="str">
        <f aca="false">IF(TRIM(E2239)="","",IFERROR(INDEX(Map_Tables!$H$4:$H$37,MATCH(TRIM(E2239),Map_Tables!$G$4:$G$37,0)),"CHECK"))</f>
        <v>Biryani Baadshah</v>
      </c>
      <c r="AF2239" s="7" t="str">
        <f aca="false">IF(TRIM(K2239)="","Unknown",IFERROR(INDEX(Map_Tables!$E$4:$E$15,MATCH(TRIM(K2239),Map_Tables!$D$4:$D$15,0)),"CHECK"))</f>
        <v>UPI</v>
      </c>
      <c r="AG2239" s="7" t="str">
        <f aca="false">IF(LEFT(LOWER(TRIM(L2239)),6)="cancel","Cancelled","Delivered")</f>
        <v>Delivered</v>
      </c>
      <c r="AH2239" s="10" t="n">
        <f aca="false">IF(ISNUMBER(SEARCH("/",B2239)),DATE(VALUE(RIGHT(B2239,4)),VALUE(MID(B2239,4,2)),VALUE(LEFT(B2239,2))),IF(MID(B2239,5,1)="-",DATE(VALUE(LEFT(B2239,4)),VALUE(MID(B2239,6,2)),VALUE(RIGHT(B2239,2))),DATE(VALUE(RIGHT(B2239,4)),MATCH(MID(B2239,4,3),{"Jan","Feb","Mar","Apr","May","Jun","Jul","Aug","Sep","Oct","Nov","Dec"},0),VALUE(LEFT(B2239,2)))))</f>
        <v>45895</v>
      </c>
    </row>
    <row r="2240" customFormat="false" ht="15" hidden="false" customHeight="false" outlineLevel="0" collapsed="false">
      <c r="A2240" s="7" t="s">
        <v>5104</v>
      </c>
      <c r="B2240" s="7" t="s">
        <v>1528</v>
      </c>
      <c r="C2240" s="7" t="s">
        <v>2410</v>
      </c>
      <c r="D2240" s="7" t="s">
        <v>843</v>
      </c>
      <c r="E2240" s="7" t="s">
        <v>122</v>
      </c>
      <c r="F2240" s="7" t="s">
        <v>101</v>
      </c>
      <c r="G2240" s="7" t="s">
        <v>123</v>
      </c>
      <c r="H2240" s="7" t="n">
        <v>2</v>
      </c>
      <c r="I2240" s="7" t="n">
        <v>390</v>
      </c>
      <c r="J2240" s="7" t="n">
        <v>0</v>
      </c>
      <c r="K2240" s="7" t="s">
        <v>88</v>
      </c>
      <c r="L2240" s="7" t="s">
        <v>238</v>
      </c>
      <c r="M2240" s="7"/>
      <c r="N2240" s="7"/>
      <c r="O2240" s="7" t="str">
        <f aca="false">A2240&amp;"|"&amp;B2240&amp;"|"&amp;C2240&amp;"|"&amp;D2240&amp;"|"&amp;E2240&amp;"|"&amp;F2240&amp;"|"&amp;G2240&amp;"|"&amp;H2240&amp;"|"&amp;I2240&amp;"|"&amp;J2240&amp;"|"&amp;K2240&amp;"|"&amp;L2240&amp;"|"&amp;M2240&amp;"|"&amp;N2240</f>
        <v>ORD12459|2025-11-05|12:50|C0923|Mumbai Pizza Co|Mumbai|Pizza|2|390|0|UPI|Cancelled||</v>
      </c>
      <c r="P2240" s="7" t="str">
        <f aca="false">IF(COUNTIF($O$2:O2240,O2240)&gt;1,"DUP","OK")</f>
        <v>OK</v>
      </c>
      <c r="Q2240" s="7" t="n">
        <f aca="false">COUNTBLANK(A2240:N2240)</f>
        <v>2</v>
      </c>
      <c r="R2240" s="7" t="n">
        <f aca="false">IF(A2240="",0,COUNTIFS($A$2:$A$3058,A2240,$P$2:$P$3058,"OK"))</f>
        <v>1</v>
      </c>
      <c r="S2240" s="7" t="str">
        <f aca="false">IF(OR(A2240="",P2240="DUP",R2240&lt;2),"",IF(Q2240=_xlfn.MINIFS($Q$2:$Q$3058,$A$2:$A$3058,A2240,$P$2:$P$3058,"OK"),"KEEP","DROP"))</f>
        <v/>
      </c>
      <c r="T2240" s="9" t="n">
        <f aca="false">IF(A2240="",1,0)</f>
        <v>0</v>
      </c>
      <c r="U2240" s="9" t="n">
        <f aca="false">IF(D2240="",1,0)</f>
        <v>0</v>
      </c>
      <c r="V2240" s="9" t="n">
        <f aca="false">IF(E2240="",1,0)</f>
        <v>0</v>
      </c>
      <c r="W2240" s="9" t="n">
        <f aca="false">IF(OR(H2240&lt;1,H2240&gt;10),1,0)</f>
        <v>0</v>
      </c>
      <c r="X2240" s="9" t="n">
        <f aca="false">IF(OR(I2240&lt;=0,I2240&gt;1500),1,0)</f>
        <v>0</v>
      </c>
      <c r="Y2240" s="9" t="n">
        <f aca="false">IF(J2240&gt;H2240*I2240,1,0)</f>
        <v>0</v>
      </c>
      <c r="Z2240" s="9" t="n">
        <f aca="false">IF(AND(N2240&lt;&gt;"",OR(N2240&lt;1,N2240&gt;5)),1,0)</f>
        <v>0</v>
      </c>
      <c r="AA2240" s="9" t="n">
        <f aca="false">IF(AND(M2240&lt;&gt;"",OR(M2240&lt;5,M2240&gt;180)),1,0)</f>
        <v>0</v>
      </c>
      <c r="AB2240" s="7" t="str">
        <f aca="false">IF(P2240="DUP","Exact duplicate row",IF(T2240=1,"Missing Order ID",IF(S2240="DROP","Duplicate Order ID (less complete row)",IF(U2240=1,"Missing Customer ID",IF(V2240=1,"Missing Restaurant name",IF(W2240=1,"Invalid/outlier quantity",IF(X2240=1,"Invalid/outlier unit price",IF(Y2240=1,"Discount greater than order value",""))))))))</f>
        <v/>
      </c>
      <c r="AC2240" s="7" t="str">
        <f aca="false">IF(AB2240="","KEEP","DROP")</f>
        <v>KEEP</v>
      </c>
      <c r="AD2240" s="7" t="str">
        <f aca="false">IF(TRIM(F2240)="",IFERROR(INDEX(Map_Tables!$I$4:$I$37,MATCH(TRIM(E2240),Map_Tables!$G$4:$G$37,0)),""),IFERROR(INDEX(Map_Tables!$B$4:$B$18,MATCH(TRIM(F2240),Map_Tables!$A$4:$A$18,0)),"CHECK"))</f>
        <v>Mumbai</v>
      </c>
      <c r="AE2240" s="7" t="str">
        <f aca="false">IF(TRIM(E2240)="","",IFERROR(INDEX(Map_Tables!$H$4:$H$37,MATCH(TRIM(E2240),Map_Tables!$G$4:$G$37,0)),"CHECK"))</f>
        <v>Mumbai Pizza Co</v>
      </c>
      <c r="AF2240" s="7" t="str">
        <f aca="false">IF(TRIM(K2240)="","Unknown",IFERROR(INDEX(Map_Tables!$E$4:$E$15,MATCH(TRIM(K2240),Map_Tables!$D$4:$D$15,0)),"CHECK"))</f>
        <v>UPI</v>
      </c>
      <c r="AG2240" s="7" t="str">
        <f aca="false">IF(LEFT(LOWER(TRIM(L2240)),6)="cancel","Cancelled","Delivered")</f>
        <v>Cancelled</v>
      </c>
      <c r="AH2240" s="10" t="n">
        <f aca="false">IF(ISNUMBER(SEARCH("/",B2240)),DATE(VALUE(RIGHT(B2240,4)),VALUE(MID(B2240,4,2)),VALUE(LEFT(B2240,2))),IF(MID(B2240,5,1)="-",DATE(VALUE(LEFT(B2240,4)),VALUE(MID(B2240,6,2)),VALUE(RIGHT(B2240,2))),DATE(VALUE(RIGHT(B2240,4)),MATCH(MID(B2240,4,3),{"Jan","Feb","Mar","Apr","May","Jun","Jul","Aug","Sep","Oct","Nov","Dec"},0),VALUE(LEFT(B2240,2)))))</f>
        <v>45966</v>
      </c>
    </row>
    <row r="2241" customFormat="false" ht="15" hidden="false" customHeight="false" outlineLevel="0" collapsed="false">
      <c r="A2241" s="7" t="s">
        <v>5105</v>
      </c>
      <c r="B2241" s="7" t="s">
        <v>5106</v>
      </c>
      <c r="C2241" s="7" t="s">
        <v>327</v>
      </c>
      <c r="D2241" s="7" t="s">
        <v>3484</v>
      </c>
      <c r="E2241" s="7" t="s">
        <v>149</v>
      </c>
      <c r="F2241" s="7" t="s">
        <v>119</v>
      </c>
      <c r="G2241" s="7" t="s">
        <v>150</v>
      </c>
      <c r="H2241" s="7" t="n">
        <v>3</v>
      </c>
      <c r="I2241" s="7" t="n">
        <v>175</v>
      </c>
      <c r="J2241" s="7" t="n">
        <v>0</v>
      </c>
      <c r="K2241" s="7" t="s">
        <v>103</v>
      </c>
      <c r="L2241" s="7" t="s">
        <v>194</v>
      </c>
      <c r="M2241" s="7" t="n">
        <v>29</v>
      </c>
      <c r="N2241" s="7" t="n">
        <v>4</v>
      </c>
      <c r="O2241" s="7" t="str">
        <f aca="false">A2241&amp;"|"&amp;B2241&amp;"|"&amp;C2241&amp;"|"&amp;D2241&amp;"|"&amp;E2241&amp;"|"&amp;F2241&amp;"|"&amp;G2241&amp;"|"&amp;H2241&amp;"|"&amp;I2241&amp;"|"&amp;J2241&amp;"|"&amp;K2241&amp;"|"&amp;L2241&amp;"|"&amp;M2241&amp;"|"&amp;N2241</f>
        <v>ORD12915|22-Dec-2025|19:10|C0916|Sweet Tooth Studio|Hyderabad|Desserts|3|175|0|Debit Card|Delivered|29|4</v>
      </c>
      <c r="P2241" s="7" t="str">
        <f aca="false">IF(COUNTIF($O$2:O2241,O2241)&gt;1,"DUP","OK")</f>
        <v>OK</v>
      </c>
      <c r="Q2241" s="7" t="n">
        <f aca="false">COUNTBLANK(A2241:N2241)</f>
        <v>0</v>
      </c>
      <c r="R2241" s="7" t="n">
        <f aca="false">IF(A2241="",0,COUNTIFS($A$2:$A$3058,A2241,$P$2:$P$3058,"OK"))</f>
        <v>1</v>
      </c>
      <c r="S2241" s="7" t="str">
        <f aca="false">IF(OR(A2241="",P2241="DUP",R2241&lt;2),"",IF(Q2241=_xlfn.MINIFS($Q$2:$Q$3058,$A$2:$A$3058,A2241,$P$2:$P$3058,"OK"),"KEEP","DROP"))</f>
        <v/>
      </c>
      <c r="T2241" s="9" t="n">
        <f aca="false">IF(A2241="",1,0)</f>
        <v>0</v>
      </c>
      <c r="U2241" s="9" t="n">
        <f aca="false">IF(D2241="",1,0)</f>
        <v>0</v>
      </c>
      <c r="V2241" s="9" t="n">
        <f aca="false">IF(E2241="",1,0)</f>
        <v>0</v>
      </c>
      <c r="W2241" s="9" t="n">
        <f aca="false">IF(OR(H2241&lt;1,H2241&gt;10),1,0)</f>
        <v>0</v>
      </c>
      <c r="X2241" s="9" t="n">
        <f aca="false">IF(OR(I2241&lt;=0,I2241&gt;1500),1,0)</f>
        <v>0</v>
      </c>
      <c r="Y2241" s="9" t="n">
        <f aca="false">IF(J2241&gt;H2241*I2241,1,0)</f>
        <v>0</v>
      </c>
      <c r="Z2241" s="9" t="n">
        <f aca="false">IF(AND(N2241&lt;&gt;"",OR(N2241&lt;1,N2241&gt;5)),1,0)</f>
        <v>0</v>
      </c>
      <c r="AA2241" s="9" t="n">
        <f aca="false">IF(AND(M2241&lt;&gt;"",OR(M2241&lt;5,M2241&gt;180)),1,0)</f>
        <v>0</v>
      </c>
      <c r="AB2241" s="7" t="str">
        <f aca="false">IF(P2241="DUP","Exact duplicate row",IF(T2241=1,"Missing Order ID",IF(S2241="DROP","Duplicate Order ID (less complete row)",IF(U2241=1,"Missing Customer ID",IF(V2241=1,"Missing Restaurant name",IF(W2241=1,"Invalid/outlier quantity",IF(X2241=1,"Invalid/outlier unit price",IF(Y2241=1,"Discount greater than order value",""))))))))</f>
        <v/>
      </c>
      <c r="AC2241" s="7" t="str">
        <f aca="false">IF(AB2241="","KEEP","DROP")</f>
        <v>KEEP</v>
      </c>
      <c r="AD2241" s="7" t="str">
        <f aca="false">IF(TRIM(F2241)="",IFERROR(INDEX(Map_Tables!$I$4:$I$37,MATCH(TRIM(E2241),Map_Tables!$G$4:$G$37,0)),""),IFERROR(INDEX(Map_Tables!$B$4:$B$18,MATCH(TRIM(F2241),Map_Tables!$A$4:$A$18,0)),"CHECK"))</f>
        <v>Hyderabad</v>
      </c>
      <c r="AE2241" s="7" t="str">
        <f aca="false">IF(TRIM(E2241)="","",IFERROR(INDEX(Map_Tables!$H$4:$H$37,MATCH(TRIM(E2241),Map_Tables!$G$4:$G$37,0)),"CHECK"))</f>
        <v>Sweet Tooth Studio</v>
      </c>
      <c r="AF2241" s="7" t="str">
        <f aca="false">IF(TRIM(K2241)="","Unknown",IFERROR(INDEX(Map_Tables!$E$4:$E$15,MATCH(TRIM(K2241),Map_Tables!$D$4:$D$15,0)),"CHECK"))</f>
        <v>Debit Card</v>
      </c>
      <c r="AG2241" s="7" t="str">
        <f aca="false">IF(LEFT(LOWER(TRIM(L2241)),6)="cancel","Cancelled","Delivered")</f>
        <v>Delivered</v>
      </c>
      <c r="AH2241" s="10" t="n">
        <f aca="false">IF(ISNUMBER(SEARCH("/",B2241)),DATE(VALUE(RIGHT(B2241,4)),VALUE(MID(B2241,4,2)),VALUE(LEFT(B2241,2))),IF(MID(B2241,5,1)="-",DATE(VALUE(LEFT(B2241,4)),VALUE(MID(B2241,6,2)),VALUE(RIGHT(B2241,2))),DATE(VALUE(RIGHT(B2241,4)),MATCH(MID(B2241,4,3),{"Jan","Feb","Mar","Apr","May","Jun","Jul","Aug","Sep","Oct","Nov","Dec"},0),VALUE(LEFT(B2241,2)))))</f>
        <v>46013</v>
      </c>
    </row>
    <row r="2242" customFormat="false" ht="15" hidden="false" customHeight="false" outlineLevel="0" collapsed="false">
      <c r="A2242" s="7" t="s">
        <v>5107</v>
      </c>
      <c r="B2242" s="7" t="s">
        <v>523</v>
      </c>
      <c r="C2242" s="7" t="s">
        <v>1153</v>
      </c>
      <c r="D2242" s="7" t="s">
        <v>1902</v>
      </c>
      <c r="E2242" s="7" t="s">
        <v>134</v>
      </c>
      <c r="F2242" s="7" t="s">
        <v>110</v>
      </c>
      <c r="G2242" s="7" t="s">
        <v>117</v>
      </c>
      <c r="H2242" s="7" t="n">
        <v>2</v>
      </c>
      <c r="I2242" s="7" t="n">
        <v>120</v>
      </c>
      <c r="J2242" s="7" t="n">
        <v>96</v>
      </c>
      <c r="K2242" s="7" t="s">
        <v>88</v>
      </c>
      <c r="L2242" s="7" t="s">
        <v>194</v>
      </c>
      <c r="M2242" s="7" t="n">
        <v>53</v>
      </c>
      <c r="N2242" s="7" t="n">
        <v>4</v>
      </c>
      <c r="O2242" s="7" t="str">
        <f aca="false">A2242&amp;"|"&amp;B2242&amp;"|"&amp;C2242&amp;"|"&amp;D2242&amp;"|"&amp;E2242&amp;"|"&amp;F2242&amp;"|"&amp;G2242&amp;"|"&amp;H2242&amp;"|"&amp;I2242&amp;"|"&amp;J2242&amp;"|"&amp;K2242&amp;"|"&amp;L2242&amp;"|"&amp;M2242&amp;"|"&amp;N2242</f>
        <v>ORD11837|2025-08-27|20:45|C0696|Chaat Corner|Delhi|Street Food|2|120|96|UPI|Delivered|53|4</v>
      </c>
      <c r="P2242" s="7" t="str">
        <f aca="false">IF(COUNTIF($O$2:O2242,O2242)&gt;1,"DUP","OK")</f>
        <v>OK</v>
      </c>
      <c r="Q2242" s="7" t="n">
        <f aca="false">COUNTBLANK(A2242:N2242)</f>
        <v>0</v>
      </c>
      <c r="R2242" s="7" t="n">
        <f aca="false">IF(A2242="",0,COUNTIFS($A$2:$A$3058,A2242,$P$2:$P$3058,"OK"))</f>
        <v>1</v>
      </c>
      <c r="S2242" s="7" t="str">
        <f aca="false">IF(OR(A2242="",P2242="DUP",R2242&lt;2),"",IF(Q2242=_xlfn.MINIFS($Q$2:$Q$3058,$A$2:$A$3058,A2242,$P$2:$P$3058,"OK"),"KEEP","DROP"))</f>
        <v/>
      </c>
      <c r="T2242" s="9" t="n">
        <f aca="false">IF(A2242="",1,0)</f>
        <v>0</v>
      </c>
      <c r="U2242" s="9" t="n">
        <f aca="false">IF(D2242="",1,0)</f>
        <v>0</v>
      </c>
      <c r="V2242" s="9" t="n">
        <f aca="false">IF(E2242="",1,0)</f>
        <v>0</v>
      </c>
      <c r="W2242" s="9" t="n">
        <f aca="false">IF(OR(H2242&lt;1,H2242&gt;10),1,0)</f>
        <v>0</v>
      </c>
      <c r="X2242" s="9" t="n">
        <f aca="false">IF(OR(I2242&lt;=0,I2242&gt;1500),1,0)</f>
        <v>0</v>
      </c>
      <c r="Y2242" s="9" t="n">
        <f aca="false">IF(J2242&gt;H2242*I2242,1,0)</f>
        <v>0</v>
      </c>
      <c r="Z2242" s="9" t="n">
        <f aca="false">IF(AND(N2242&lt;&gt;"",OR(N2242&lt;1,N2242&gt;5)),1,0)</f>
        <v>0</v>
      </c>
      <c r="AA2242" s="9" t="n">
        <f aca="false">IF(AND(M2242&lt;&gt;"",OR(M2242&lt;5,M2242&gt;180)),1,0)</f>
        <v>0</v>
      </c>
      <c r="AB2242" s="7" t="str">
        <f aca="false">IF(P2242="DUP","Exact duplicate row",IF(T2242=1,"Missing Order ID",IF(S2242="DROP","Duplicate Order ID (less complete row)",IF(U2242=1,"Missing Customer ID",IF(V2242=1,"Missing Restaurant name",IF(W2242=1,"Invalid/outlier quantity",IF(X2242=1,"Invalid/outlier unit price",IF(Y2242=1,"Discount greater than order value",""))))))))</f>
        <v/>
      </c>
      <c r="AC2242" s="7" t="str">
        <f aca="false">IF(AB2242="","KEEP","DROP")</f>
        <v>KEEP</v>
      </c>
      <c r="AD2242" s="7" t="str">
        <f aca="false">IF(TRIM(F2242)="",IFERROR(INDEX(Map_Tables!$I$4:$I$37,MATCH(TRIM(E2242),Map_Tables!$G$4:$G$37,0)),""),IFERROR(INDEX(Map_Tables!$B$4:$B$18,MATCH(TRIM(F2242),Map_Tables!$A$4:$A$18,0)),"CHECK"))</f>
        <v>Delhi</v>
      </c>
      <c r="AE2242" s="7" t="str">
        <f aca="false">IF(TRIM(E2242)="","",IFERROR(INDEX(Map_Tables!$H$4:$H$37,MATCH(TRIM(E2242),Map_Tables!$G$4:$G$37,0)),"CHECK"))</f>
        <v>Chaat Corner</v>
      </c>
      <c r="AF2242" s="7" t="str">
        <f aca="false">IF(TRIM(K2242)="","Unknown",IFERROR(INDEX(Map_Tables!$E$4:$E$15,MATCH(TRIM(K2242),Map_Tables!$D$4:$D$15,0)),"CHECK"))</f>
        <v>UPI</v>
      </c>
      <c r="AG2242" s="7" t="str">
        <f aca="false">IF(LEFT(LOWER(TRIM(L2242)),6)="cancel","Cancelled","Delivered")</f>
        <v>Delivered</v>
      </c>
      <c r="AH2242" s="10" t="n">
        <f aca="false">IF(ISNUMBER(SEARCH("/",B2242)),DATE(VALUE(RIGHT(B2242,4)),VALUE(MID(B2242,4,2)),VALUE(LEFT(B2242,2))),IF(MID(B2242,5,1)="-",DATE(VALUE(LEFT(B2242,4)),VALUE(MID(B2242,6,2)),VALUE(RIGHT(B2242,2))),DATE(VALUE(RIGHT(B2242,4)),MATCH(MID(B2242,4,3),{"Jan","Feb","Mar","Apr","May","Jun","Jul","Aug","Sep","Oct","Nov","Dec"},0),VALUE(LEFT(B2242,2)))))</f>
        <v>45896</v>
      </c>
    </row>
    <row r="2243" customFormat="false" ht="15" hidden="false" customHeight="false" outlineLevel="0" collapsed="false">
      <c r="A2243" s="7" t="s">
        <v>5108</v>
      </c>
      <c r="B2243" s="7" t="s">
        <v>787</v>
      </c>
      <c r="C2243" s="7" t="s">
        <v>5109</v>
      </c>
      <c r="D2243" s="7" t="s">
        <v>5110</v>
      </c>
      <c r="E2243" s="7" t="s">
        <v>168</v>
      </c>
      <c r="F2243" s="7" t="s">
        <v>146</v>
      </c>
      <c r="G2243" s="7" t="s">
        <v>123</v>
      </c>
      <c r="H2243" s="7" t="n">
        <v>4</v>
      </c>
      <c r="I2243" s="7" t="n">
        <v>325</v>
      </c>
      <c r="J2243" s="7" t="n">
        <v>20</v>
      </c>
      <c r="K2243" s="7" t="s">
        <v>88</v>
      </c>
      <c r="L2243" s="7" t="s">
        <v>194</v>
      </c>
      <c r="M2243" s="7" t="n">
        <v>30</v>
      </c>
      <c r="N2243" s="7" t="n">
        <v>3</v>
      </c>
      <c r="O2243" s="7" t="str">
        <f aca="false">A2243&amp;"|"&amp;B2243&amp;"|"&amp;C2243&amp;"|"&amp;D2243&amp;"|"&amp;E2243&amp;"|"&amp;F2243&amp;"|"&amp;G2243&amp;"|"&amp;H2243&amp;"|"&amp;I2243&amp;"|"&amp;J2243&amp;"|"&amp;K2243&amp;"|"&amp;L2243&amp;"|"&amp;M2243&amp;"|"&amp;N2243</f>
        <v>ORD12871|17/12/2025|22:26|C1415|Cheesy Slice|Ahmedabad|Pizza|4|325|20|UPI|Delivered|30|3</v>
      </c>
      <c r="P2243" s="7" t="str">
        <f aca="false">IF(COUNTIF($O$2:O2243,O2243)&gt;1,"DUP","OK")</f>
        <v>OK</v>
      </c>
      <c r="Q2243" s="7" t="n">
        <f aca="false">COUNTBLANK(A2243:N2243)</f>
        <v>0</v>
      </c>
      <c r="R2243" s="7" t="n">
        <f aca="false">IF(A2243="",0,COUNTIFS($A$2:$A$3058,A2243,$P$2:$P$3058,"OK"))</f>
        <v>1</v>
      </c>
      <c r="S2243" s="7" t="str">
        <f aca="false">IF(OR(A2243="",P2243="DUP",R2243&lt;2),"",IF(Q2243=_xlfn.MINIFS($Q$2:$Q$3058,$A$2:$A$3058,A2243,$P$2:$P$3058,"OK"),"KEEP","DROP"))</f>
        <v/>
      </c>
      <c r="T2243" s="9" t="n">
        <f aca="false">IF(A2243="",1,0)</f>
        <v>0</v>
      </c>
      <c r="U2243" s="9" t="n">
        <f aca="false">IF(D2243="",1,0)</f>
        <v>0</v>
      </c>
      <c r="V2243" s="9" t="n">
        <f aca="false">IF(E2243="",1,0)</f>
        <v>0</v>
      </c>
      <c r="W2243" s="9" t="n">
        <f aca="false">IF(OR(H2243&lt;1,H2243&gt;10),1,0)</f>
        <v>0</v>
      </c>
      <c r="X2243" s="9" t="n">
        <f aca="false">IF(OR(I2243&lt;=0,I2243&gt;1500),1,0)</f>
        <v>0</v>
      </c>
      <c r="Y2243" s="9" t="n">
        <f aca="false">IF(J2243&gt;H2243*I2243,1,0)</f>
        <v>0</v>
      </c>
      <c r="Z2243" s="9" t="n">
        <f aca="false">IF(AND(N2243&lt;&gt;"",OR(N2243&lt;1,N2243&gt;5)),1,0)</f>
        <v>0</v>
      </c>
      <c r="AA2243" s="9" t="n">
        <f aca="false">IF(AND(M2243&lt;&gt;"",OR(M2243&lt;5,M2243&gt;180)),1,0)</f>
        <v>0</v>
      </c>
      <c r="AB2243" s="7" t="str">
        <f aca="false">IF(P2243="DUP","Exact duplicate row",IF(T2243=1,"Missing Order ID",IF(S2243="DROP","Duplicate Order ID (less complete row)",IF(U2243=1,"Missing Customer ID",IF(V2243=1,"Missing Restaurant name",IF(W2243=1,"Invalid/outlier quantity",IF(X2243=1,"Invalid/outlier unit price",IF(Y2243=1,"Discount greater than order value",""))))))))</f>
        <v/>
      </c>
      <c r="AC2243" s="7" t="str">
        <f aca="false">IF(AB2243="","KEEP","DROP")</f>
        <v>KEEP</v>
      </c>
      <c r="AD2243" s="7" t="str">
        <f aca="false">IF(TRIM(F2243)="",IFERROR(INDEX(Map_Tables!$I$4:$I$37,MATCH(TRIM(E2243),Map_Tables!$G$4:$G$37,0)),""),IFERROR(INDEX(Map_Tables!$B$4:$B$18,MATCH(TRIM(F2243),Map_Tables!$A$4:$A$18,0)),"CHECK"))</f>
        <v>Ahmedabad</v>
      </c>
      <c r="AE2243" s="7" t="str">
        <f aca="false">IF(TRIM(E2243)="","",IFERROR(INDEX(Map_Tables!$H$4:$H$37,MATCH(TRIM(E2243),Map_Tables!$G$4:$G$37,0)),"CHECK"))</f>
        <v>Cheesy Slice</v>
      </c>
      <c r="AF2243" s="7" t="str">
        <f aca="false">IF(TRIM(K2243)="","Unknown",IFERROR(INDEX(Map_Tables!$E$4:$E$15,MATCH(TRIM(K2243),Map_Tables!$D$4:$D$15,0)),"CHECK"))</f>
        <v>UPI</v>
      </c>
      <c r="AG2243" s="7" t="str">
        <f aca="false">IF(LEFT(LOWER(TRIM(L2243)),6)="cancel","Cancelled","Delivered")</f>
        <v>Delivered</v>
      </c>
      <c r="AH2243" s="10" t="n">
        <f aca="false">IF(ISNUMBER(SEARCH("/",B2243)),DATE(VALUE(RIGHT(B2243,4)),VALUE(MID(B2243,4,2)),VALUE(LEFT(B2243,2))),IF(MID(B2243,5,1)="-",DATE(VALUE(LEFT(B2243,4)),VALUE(MID(B2243,6,2)),VALUE(RIGHT(B2243,2))),DATE(VALUE(RIGHT(B2243,4)),MATCH(MID(B2243,4,3),{"Jan","Feb","Mar","Apr","May","Jun","Jul","Aug","Sep","Oct","Nov","Dec"},0),VALUE(LEFT(B2243,2)))))</f>
        <v>46008</v>
      </c>
    </row>
    <row r="2244" customFormat="false" ht="15" hidden="false" customHeight="false" outlineLevel="0" collapsed="false">
      <c r="A2244" s="7" t="s">
        <v>5111</v>
      </c>
      <c r="B2244" s="7" t="s">
        <v>459</v>
      </c>
      <c r="C2244" s="7" t="s">
        <v>5112</v>
      </c>
      <c r="D2244" s="7" t="s">
        <v>5113</v>
      </c>
      <c r="E2244" s="7" t="s">
        <v>126</v>
      </c>
      <c r="F2244" s="7" t="s">
        <v>101</v>
      </c>
      <c r="G2244" s="7" t="s">
        <v>105</v>
      </c>
      <c r="H2244" s="7" t="n">
        <v>3</v>
      </c>
      <c r="I2244" s="7" t="n">
        <v>265</v>
      </c>
      <c r="J2244" s="7" t="n">
        <v>150</v>
      </c>
      <c r="K2244" s="7" t="s">
        <v>88</v>
      </c>
      <c r="L2244" s="7" t="s">
        <v>194</v>
      </c>
      <c r="M2244" s="7" t="n">
        <v>49</v>
      </c>
      <c r="N2244" s="7" t="n">
        <v>4</v>
      </c>
      <c r="O2244" s="7" t="str">
        <f aca="false">A2244&amp;"|"&amp;B2244&amp;"|"&amp;C2244&amp;"|"&amp;D2244&amp;"|"&amp;E2244&amp;"|"&amp;F2244&amp;"|"&amp;G2244&amp;"|"&amp;H2244&amp;"|"&amp;I2244&amp;"|"&amp;J2244&amp;"|"&amp;K2244&amp;"|"&amp;L2244&amp;"|"&amp;M2244&amp;"|"&amp;N2244</f>
        <v>ORD11547|2025-07-20|23:19|C0744|Dragon Express|Mumbai|Chinese|3|265|150|UPI|Delivered|49|4</v>
      </c>
      <c r="P2244" s="7" t="str">
        <f aca="false">IF(COUNTIF($O$2:O2244,O2244)&gt;1,"DUP","OK")</f>
        <v>OK</v>
      </c>
      <c r="Q2244" s="7" t="n">
        <f aca="false">COUNTBLANK(A2244:N2244)</f>
        <v>0</v>
      </c>
      <c r="R2244" s="7" t="n">
        <f aca="false">IF(A2244="",0,COUNTIFS($A$2:$A$3058,A2244,$P$2:$P$3058,"OK"))</f>
        <v>1</v>
      </c>
      <c r="S2244" s="7" t="str">
        <f aca="false">IF(OR(A2244="",P2244="DUP",R2244&lt;2),"",IF(Q2244=_xlfn.MINIFS($Q$2:$Q$3058,$A$2:$A$3058,A2244,$P$2:$P$3058,"OK"),"KEEP","DROP"))</f>
        <v/>
      </c>
      <c r="T2244" s="9" t="n">
        <f aca="false">IF(A2244="",1,0)</f>
        <v>0</v>
      </c>
      <c r="U2244" s="9" t="n">
        <f aca="false">IF(D2244="",1,0)</f>
        <v>0</v>
      </c>
      <c r="V2244" s="9" t="n">
        <f aca="false">IF(E2244="",1,0)</f>
        <v>0</v>
      </c>
      <c r="W2244" s="9" t="n">
        <f aca="false">IF(OR(H2244&lt;1,H2244&gt;10),1,0)</f>
        <v>0</v>
      </c>
      <c r="X2244" s="9" t="n">
        <f aca="false">IF(OR(I2244&lt;=0,I2244&gt;1500),1,0)</f>
        <v>0</v>
      </c>
      <c r="Y2244" s="9" t="n">
        <f aca="false">IF(J2244&gt;H2244*I2244,1,0)</f>
        <v>0</v>
      </c>
      <c r="Z2244" s="9" t="n">
        <f aca="false">IF(AND(N2244&lt;&gt;"",OR(N2244&lt;1,N2244&gt;5)),1,0)</f>
        <v>0</v>
      </c>
      <c r="AA2244" s="9" t="n">
        <f aca="false">IF(AND(M2244&lt;&gt;"",OR(M2244&lt;5,M2244&gt;180)),1,0)</f>
        <v>0</v>
      </c>
      <c r="AB2244" s="7" t="str">
        <f aca="false">IF(P2244="DUP","Exact duplicate row",IF(T2244=1,"Missing Order ID",IF(S2244="DROP","Duplicate Order ID (less complete row)",IF(U2244=1,"Missing Customer ID",IF(V2244=1,"Missing Restaurant name",IF(W2244=1,"Invalid/outlier quantity",IF(X2244=1,"Invalid/outlier unit price",IF(Y2244=1,"Discount greater than order value",""))))))))</f>
        <v/>
      </c>
      <c r="AC2244" s="7" t="str">
        <f aca="false">IF(AB2244="","KEEP","DROP")</f>
        <v>KEEP</v>
      </c>
      <c r="AD2244" s="7" t="str">
        <f aca="false">IF(TRIM(F2244)="",IFERROR(INDEX(Map_Tables!$I$4:$I$37,MATCH(TRIM(E2244),Map_Tables!$G$4:$G$37,0)),""),IFERROR(INDEX(Map_Tables!$B$4:$B$18,MATCH(TRIM(F2244),Map_Tables!$A$4:$A$18,0)),"CHECK"))</f>
        <v>Mumbai</v>
      </c>
      <c r="AE2244" s="7" t="str">
        <f aca="false">IF(TRIM(E2244)="","",IFERROR(INDEX(Map_Tables!$H$4:$H$37,MATCH(TRIM(E2244),Map_Tables!$G$4:$G$37,0)),"CHECK"))</f>
        <v>Dragon Express</v>
      </c>
      <c r="AF2244" s="7" t="str">
        <f aca="false">IF(TRIM(K2244)="","Unknown",IFERROR(INDEX(Map_Tables!$E$4:$E$15,MATCH(TRIM(K2244),Map_Tables!$D$4:$D$15,0)),"CHECK"))</f>
        <v>UPI</v>
      </c>
      <c r="AG2244" s="7" t="str">
        <f aca="false">IF(LEFT(LOWER(TRIM(L2244)),6)="cancel","Cancelled","Delivered")</f>
        <v>Delivered</v>
      </c>
      <c r="AH2244" s="10" t="n">
        <f aca="false">IF(ISNUMBER(SEARCH("/",B2244)),DATE(VALUE(RIGHT(B2244,4)),VALUE(MID(B2244,4,2)),VALUE(LEFT(B2244,2))),IF(MID(B2244,5,1)="-",DATE(VALUE(LEFT(B2244,4)),VALUE(MID(B2244,6,2)),VALUE(RIGHT(B2244,2))),DATE(VALUE(RIGHT(B2244,4)),MATCH(MID(B2244,4,3),{"Jan","Feb","Mar","Apr","May","Jun","Jul","Aug","Sep","Oct","Nov","Dec"},0),VALUE(LEFT(B2244,2)))))</f>
        <v>45858</v>
      </c>
    </row>
    <row r="2245" customFormat="false" ht="15" hidden="false" customHeight="false" outlineLevel="0" collapsed="false">
      <c r="A2245" s="7" t="s">
        <v>5114</v>
      </c>
      <c r="B2245" s="7" t="s">
        <v>5115</v>
      </c>
      <c r="C2245" s="7" t="s">
        <v>3448</v>
      </c>
      <c r="D2245" s="7" t="s">
        <v>336</v>
      </c>
      <c r="E2245" s="7" t="s">
        <v>89</v>
      </c>
      <c r="F2245" s="7" t="s">
        <v>86</v>
      </c>
      <c r="G2245" s="7" t="s">
        <v>1391</v>
      </c>
      <c r="H2245" s="7" t="n">
        <v>2</v>
      </c>
      <c r="I2245" s="7" t="n">
        <v>210</v>
      </c>
      <c r="J2245" s="7" t="n">
        <v>0</v>
      </c>
      <c r="K2245" s="7" t="s">
        <v>103</v>
      </c>
      <c r="L2245" s="7" t="s">
        <v>194</v>
      </c>
      <c r="M2245" s="7" t="n">
        <v>29</v>
      </c>
      <c r="N2245" s="7" t="n">
        <v>4</v>
      </c>
      <c r="O2245" s="7" t="str">
        <f aca="false">A2245&amp;"|"&amp;B2245&amp;"|"&amp;C2245&amp;"|"&amp;D2245&amp;"|"&amp;E2245&amp;"|"&amp;F2245&amp;"|"&amp;G2245&amp;"|"&amp;H2245&amp;"|"&amp;I2245&amp;"|"&amp;J2245&amp;"|"&amp;K2245&amp;"|"&amp;L2245&amp;"|"&amp;M2245&amp;"|"&amp;N2245</f>
        <v>ORD10336|2025-02-14|17:21|C1223|Spice Junction|Bengaluru|NORTH INDIAN|2|210|0|Debit Card|Delivered|29|4</v>
      </c>
      <c r="P2245" s="7" t="str">
        <f aca="false">IF(COUNTIF($O$2:O2245,O2245)&gt;1,"DUP","OK")</f>
        <v>OK</v>
      </c>
      <c r="Q2245" s="7" t="n">
        <f aca="false">COUNTBLANK(A2245:N2245)</f>
        <v>0</v>
      </c>
      <c r="R2245" s="7" t="n">
        <f aca="false">IF(A2245="",0,COUNTIFS($A$2:$A$3058,A2245,$P$2:$P$3058,"OK"))</f>
        <v>1</v>
      </c>
      <c r="S2245" s="7" t="str">
        <f aca="false">IF(OR(A2245="",P2245="DUP",R2245&lt;2),"",IF(Q2245=_xlfn.MINIFS($Q$2:$Q$3058,$A$2:$A$3058,A2245,$P$2:$P$3058,"OK"),"KEEP","DROP"))</f>
        <v/>
      </c>
      <c r="T2245" s="9" t="n">
        <f aca="false">IF(A2245="",1,0)</f>
        <v>0</v>
      </c>
      <c r="U2245" s="9" t="n">
        <f aca="false">IF(D2245="",1,0)</f>
        <v>0</v>
      </c>
      <c r="V2245" s="9" t="n">
        <f aca="false">IF(E2245="",1,0)</f>
        <v>0</v>
      </c>
      <c r="W2245" s="9" t="n">
        <f aca="false">IF(OR(H2245&lt;1,H2245&gt;10),1,0)</f>
        <v>0</v>
      </c>
      <c r="X2245" s="9" t="n">
        <f aca="false">IF(OR(I2245&lt;=0,I2245&gt;1500),1,0)</f>
        <v>0</v>
      </c>
      <c r="Y2245" s="9" t="n">
        <f aca="false">IF(J2245&gt;H2245*I2245,1,0)</f>
        <v>0</v>
      </c>
      <c r="Z2245" s="9" t="n">
        <f aca="false">IF(AND(N2245&lt;&gt;"",OR(N2245&lt;1,N2245&gt;5)),1,0)</f>
        <v>0</v>
      </c>
      <c r="AA2245" s="9" t="n">
        <f aca="false">IF(AND(M2245&lt;&gt;"",OR(M2245&lt;5,M2245&gt;180)),1,0)</f>
        <v>0</v>
      </c>
      <c r="AB2245" s="7" t="str">
        <f aca="false">IF(P2245="DUP","Exact duplicate row",IF(T2245=1,"Missing Order ID",IF(S2245="DROP","Duplicate Order ID (less complete row)",IF(U2245=1,"Missing Customer ID",IF(V2245=1,"Missing Restaurant name",IF(W2245=1,"Invalid/outlier quantity",IF(X2245=1,"Invalid/outlier unit price",IF(Y2245=1,"Discount greater than order value",""))))))))</f>
        <v/>
      </c>
      <c r="AC2245" s="7" t="str">
        <f aca="false">IF(AB2245="","KEEP","DROP")</f>
        <v>KEEP</v>
      </c>
      <c r="AD2245" s="7" t="str">
        <f aca="false">IF(TRIM(F2245)="",IFERROR(INDEX(Map_Tables!$I$4:$I$37,MATCH(TRIM(E2245),Map_Tables!$G$4:$G$37,0)),""),IFERROR(INDEX(Map_Tables!$B$4:$B$18,MATCH(TRIM(F2245),Map_Tables!$A$4:$A$18,0)),"CHECK"))</f>
        <v>Bengaluru</v>
      </c>
      <c r="AE2245" s="7" t="str">
        <f aca="false">IF(TRIM(E2245)="","",IFERROR(INDEX(Map_Tables!$H$4:$H$37,MATCH(TRIM(E2245),Map_Tables!$G$4:$G$37,0)),"CHECK"))</f>
        <v>Spice Junction</v>
      </c>
      <c r="AF2245" s="7" t="str">
        <f aca="false">IF(TRIM(K2245)="","Unknown",IFERROR(INDEX(Map_Tables!$E$4:$E$15,MATCH(TRIM(K2245),Map_Tables!$D$4:$D$15,0)),"CHECK"))</f>
        <v>Debit Card</v>
      </c>
      <c r="AG2245" s="7" t="str">
        <f aca="false">IF(LEFT(LOWER(TRIM(L2245)),6)="cancel","Cancelled","Delivered")</f>
        <v>Delivered</v>
      </c>
      <c r="AH2245" s="10" t="n">
        <f aca="false">IF(ISNUMBER(SEARCH("/",B2245)),DATE(VALUE(RIGHT(B2245,4)),VALUE(MID(B2245,4,2)),VALUE(LEFT(B2245,2))),IF(MID(B2245,5,1)="-",DATE(VALUE(LEFT(B2245,4)),VALUE(MID(B2245,6,2)),VALUE(RIGHT(B2245,2))),DATE(VALUE(RIGHT(B2245,4)),MATCH(MID(B2245,4,3),{"Jan","Feb","Mar","Apr","May","Jun","Jul","Aug","Sep","Oct","Nov","Dec"},0),VALUE(LEFT(B2245,2)))))</f>
        <v>45702</v>
      </c>
    </row>
    <row r="2246" customFormat="false" ht="15" hidden="false" customHeight="false" outlineLevel="0" collapsed="false">
      <c r="A2246" s="7" t="s">
        <v>5116</v>
      </c>
      <c r="B2246" s="7" t="s">
        <v>436</v>
      </c>
      <c r="C2246" s="7" t="s">
        <v>1194</v>
      </c>
      <c r="D2246" s="7" t="s">
        <v>5117</v>
      </c>
      <c r="E2246" s="7" t="s">
        <v>130</v>
      </c>
      <c r="F2246" s="7" t="s">
        <v>110</v>
      </c>
      <c r="G2246" s="7" t="s">
        <v>90</v>
      </c>
      <c r="H2246" s="7" t="n">
        <v>2</v>
      </c>
      <c r="I2246" s="7" t="n">
        <v>275</v>
      </c>
      <c r="J2246" s="7" t="n">
        <v>50</v>
      </c>
      <c r="K2246" s="7" t="s">
        <v>93</v>
      </c>
      <c r="L2246" s="7" t="s">
        <v>194</v>
      </c>
      <c r="M2246" s="7" t="n">
        <v>40</v>
      </c>
      <c r="N2246" s="7" t="n">
        <v>4</v>
      </c>
      <c r="O2246" s="7" t="str">
        <f aca="false">A2246&amp;"|"&amp;B2246&amp;"|"&amp;C2246&amp;"|"&amp;D2246&amp;"|"&amp;E2246&amp;"|"&amp;F2246&amp;"|"&amp;G2246&amp;"|"&amp;H2246&amp;"|"&amp;I2246&amp;"|"&amp;J2246&amp;"|"&amp;K2246&amp;"|"&amp;L2246&amp;"|"&amp;M2246&amp;"|"&amp;N2246</f>
        <v>ORD10089|2025-01-12|18:44|C1429|Tandoor Tales|Delhi|North Indian|2|275|50|Credit Card|Delivered|40|4</v>
      </c>
      <c r="P2246" s="7" t="str">
        <f aca="false">IF(COUNTIF($O$2:O2246,O2246)&gt;1,"DUP","OK")</f>
        <v>OK</v>
      </c>
      <c r="Q2246" s="7" t="n">
        <f aca="false">COUNTBLANK(A2246:N2246)</f>
        <v>0</v>
      </c>
      <c r="R2246" s="7" t="n">
        <f aca="false">IF(A2246="",0,COUNTIFS($A$2:$A$3058,A2246,$P$2:$P$3058,"OK"))</f>
        <v>1</v>
      </c>
      <c r="S2246" s="7" t="str">
        <f aca="false">IF(OR(A2246="",P2246="DUP",R2246&lt;2),"",IF(Q2246=_xlfn.MINIFS($Q$2:$Q$3058,$A$2:$A$3058,A2246,$P$2:$P$3058,"OK"),"KEEP","DROP"))</f>
        <v/>
      </c>
      <c r="T2246" s="9" t="n">
        <f aca="false">IF(A2246="",1,0)</f>
        <v>0</v>
      </c>
      <c r="U2246" s="9" t="n">
        <f aca="false">IF(D2246="",1,0)</f>
        <v>0</v>
      </c>
      <c r="V2246" s="9" t="n">
        <f aca="false">IF(E2246="",1,0)</f>
        <v>0</v>
      </c>
      <c r="W2246" s="9" t="n">
        <f aca="false">IF(OR(H2246&lt;1,H2246&gt;10),1,0)</f>
        <v>0</v>
      </c>
      <c r="X2246" s="9" t="n">
        <f aca="false">IF(OR(I2246&lt;=0,I2246&gt;1500),1,0)</f>
        <v>0</v>
      </c>
      <c r="Y2246" s="9" t="n">
        <f aca="false">IF(J2246&gt;H2246*I2246,1,0)</f>
        <v>0</v>
      </c>
      <c r="Z2246" s="9" t="n">
        <f aca="false">IF(AND(N2246&lt;&gt;"",OR(N2246&lt;1,N2246&gt;5)),1,0)</f>
        <v>0</v>
      </c>
      <c r="AA2246" s="9" t="n">
        <f aca="false">IF(AND(M2246&lt;&gt;"",OR(M2246&lt;5,M2246&gt;180)),1,0)</f>
        <v>0</v>
      </c>
      <c r="AB2246" s="7" t="str">
        <f aca="false">IF(P2246="DUP","Exact duplicate row",IF(T2246=1,"Missing Order ID",IF(S2246="DROP","Duplicate Order ID (less complete row)",IF(U2246=1,"Missing Customer ID",IF(V2246=1,"Missing Restaurant name",IF(W2246=1,"Invalid/outlier quantity",IF(X2246=1,"Invalid/outlier unit price",IF(Y2246=1,"Discount greater than order value",""))))))))</f>
        <v/>
      </c>
      <c r="AC2246" s="7" t="str">
        <f aca="false">IF(AB2246="","KEEP","DROP")</f>
        <v>KEEP</v>
      </c>
      <c r="AD2246" s="7" t="str">
        <f aca="false">IF(TRIM(F2246)="",IFERROR(INDEX(Map_Tables!$I$4:$I$37,MATCH(TRIM(E2246),Map_Tables!$G$4:$G$37,0)),""),IFERROR(INDEX(Map_Tables!$B$4:$B$18,MATCH(TRIM(F2246),Map_Tables!$A$4:$A$18,0)),"CHECK"))</f>
        <v>Delhi</v>
      </c>
      <c r="AE2246" s="7" t="str">
        <f aca="false">IF(TRIM(E2246)="","",IFERROR(INDEX(Map_Tables!$H$4:$H$37,MATCH(TRIM(E2246),Map_Tables!$G$4:$G$37,0)),"CHECK"))</f>
        <v>Tandoor Tales</v>
      </c>
      <c r="AF2246" s="7" t="str">
        <f aca="false">IF(TRIM(K2246)="","Unknown",IFERROR(INDEX(Map_Tables!$E$4:$E$15,MATCH(TRIM(K2246),Map_Tables!$D$4:$D$15,0)),"CHECK"))</f>
        <v>Credit Card</v>
      </c>
      <c r="AG2246" s="7" t="str">
        <f aca="false">IF(LEFT(LOWER(TRIM(L2246)),6)="cancel","Cancelled","Delivered")</f>
        <v>Delivered</v>
      </c>
      <c r="AH2246" s="10" t="n">
        <f aca="false">IF(ISNUMBER(SEARCH("/",B2246)),DATE(VALUE(RIGHT(B2246,4)),VALUE(MID(B2246,4,2)),VALUE(LEFT(B2246,2))),IF(MID(B2246,5,1)="-",DATE(VALUE(LEFT(B2246,4)),VALUE(MID(B2246,6,2)),VALUE(RIGHT(B2246,2))),DATE(VALUE(RIGHT(B2246,4)),MATCH(MID(B2246,4,3),{"Jan","Feb","Mar","Apr","May","Jun","Jul","Aug","Sep","Oct","Nov","Dec"},0),VALUE(LEFT(B2246,2)))))</f>
        <v>45669</v>
      </c>
    </row>
    <row r="2247" customFormat="false" ht="15" hidden="false" customHeight="false" outlineLevel="0" collapsed="false">
      <c r="A2247" s="7" t="s">
        <v>5118</v>
      </c>
      <c r="B2247" s="7" t="s">
        <v>938</v>
      </c>
      <c r="C2247" s="7" t="s">
        <v>2369</v>
      </c>
      <c r="D2247" s="7" t="s">
        <v>5096</v>
      </c>
      <c r="E2247" s="7" t="s">
        <v>164</v>
      </c>
      <c r="F2247" s="7" t="s">
        <v>141</v>
      </c>
      <c r="G2247" s="7" t="s">
        <v>150</v>
      </c>
      <c r="H2247" s="7" t="n">
        <v>1</v>
      </c>
      <c r="I2247" s="7" t="n">
        <v>160</v>
      </c>
      <c r="J2247" s="7" t="n">
        <v>0</v>
      </c>
      <c r="K2247" s="7" t="s">
        <v>88</v>
      </c>
      <c r="L2247" s="7" t="s">
        <v>194</v>
      </c>
      <c r="M2247" s="7" t="n">
        <v>43</v>
      </c>
      <c r="N2247" s="7" t="n">
        <v>3</v>
      </c>
      <c r="O2247" s="7" t="str">
        <f aca="false">A2247&amp;"|"&amp;B2247&amp;"|"&amp;C2247&amp;"|"&amp;D2247&amp;"|"&amp;E2247&amp;"|"&amp;F2247&amp;"|"&amp;G2247&amp;"|"&amp;H2247&amp;"|"&amp;I2247&amp;"|"&amp;J2247&amp;"|"&amp;K2247&amp;"|"&amp;L2247&amp;"|"&amp;M2247&amp;"|"&amp;N2247</f>
        <v>ORD10875|2025-04-20|21:38|C1490|Mishti Mandir|Kolkata|Desserts|1|160|0|UPI|Delivered|43|3</v>
      </c>
      <c r="P2247" s="7" t="str">
        <f aca="false">IF(COUNTIF($O$2:O2247,O2247)&gt;1,"DUP","OK")</f>
        <v>OK</v>
      </c>
      <c r="Q2247" s="7" t="n">
        <f aca="false">COUNTBLANK(A2247:N2247)</f>
        <v>0</v>
      </c>
      <c r="R2247" s="7" t="n">
        <f aca="false">IF(A2247="",0,COUNTIFS($A$2:$A$3058,A2247,$P$2:$P$3058,"OK"))</f>
        <v>1</v>
      </c>
      <c r="S2247" s="7" t="str">
        <f aca="false">IF(OR(A2247="",P2247="DUP",R2247&lt;2),"",IF(Q2247=_xlfn.MINIFS($Q$2:$Q$3058,$A$2:$A$3058,A2247,$P$2:$P$3058,"OK"),"KEEP","DROP"))</f>
        <v/>
      </c>
      <c r="T2247" s="9" t="n">
        <f aca="false">IF(A2247="",1,0)</f>
        <v>0</v>
      </c>
      <c r="U2247" s="9" t="n">
        <f aca="false">IF(D2247="",1,0)</f>
        <v>0</v>
      </c>
      <c r="V2247" s="9" t="n">
        <f aca="false">IF(E2247="",1,0)</f>
        <v>0</v>
      </c>
      <c r="W2247" s="9" t="n">
        <f aca="false">IF(OR(H2247&lt;1,H2247&gt;10),1,0)</f>
        <v>0</v>
      </c>
      <c r="X2247" s="9" t="n">
        <f aca="false">IF(OR(I2247&lt;=0,I2247&gt;1500),1,0)</f>
        <v>0</v>
      </c>
      <c r="Y2247" s="9" t="n">
        <f aca="false">IF(J2247&gt;H2247*I2247,1,0)</f>
        <v>0</v>
      </c>
      <c r="Z2247" s="9" t="n">
        <f aca="false">IF(AND(N2247&lt;&gt;"",OR(N2247&lt;1,N2247&gt;5)),1,0)</f>
        <v>0</v>
      </c>
      <c r="AA2247" s="9" t="n">
        <f aca="false">IF(AND(M2247&lt;&gt;"",OR(M2247&lt;5,M2247&gt;180)),1,0)</f>
        <v>0</v>
      </c>
      <c r="AB2247" s="7" t="str">
        <f aca="false">IF(P2247="DUP","Exact duplicate row",IF(T2247=1,"Missing Order ID",IF(S2247="DROP","Duplicate Order ID (less complete row)",IF(U2247=1,"Missing Customer ID",IF(V2247=1,"Missing Restaurant name",IF(W2247=1,"Invalid/outlier quantity",IF(X2247=1,"Invalid/outlier unit price",IF(Y2247=1,"Discount greater than order value",""))))))))</f>
        <v/>
      </c>
      <c r="AC2247" s="7" t="str">
        <f aca="false">IF(AB2247="","KEEP","DROP")</f>
        <v>KEEP</v>
      </c>
      <c r="AD2247" s="7" t="str">
        <f aca="false">IF(TRIM(F2247)="",IFERROR(INDEX(Map_Tables!$I$4:$I$37,MATCH(TRIM(E2247),Map_Tables!$G$4:$G$37,0)),""),IFERROR(INDEX(Map_Tables!$B$4:$B$18,MATCH(TRIM(F2247),Map_Tables!$A$4:$A$18,0)),"CHECK"))</f>
        <v>Kolkata</v>
      </c>
      <c r="AE2247" s="7" t="str">
        <f aca="false">IF(TRIM(E2247)="","",IFERROR(INDEX(Map_Tables!$H$4:$H$37,MATCH(TRIM(E2247),Map_Tables!$G$4:$G$37,0)),"CHECK"))</f>
        <v>Mishti Mandir</v>
      </c>
      <c r="AF2247" s="7" t="str">
        <f aca="false">IF(TRIM(K2247)="","Unknown",IFERROR(INDEX(Map_Tables!$E$4:$E$15,MATCH(TRIM(K2247),Map_Tables!$D$4:$D$15,0)),"CHECK"))</f>
        <v>UPI</v>
      </c>
      <c r="AG2247" s="7" t="str">
        <f aca="false">IF(LEFT(LOWER(TRIM(L2247)),6)="cancel","Cancelled","Delivered")</f>
        <v>Delivered</v>
      </c>
      <c r="AH2247" s="10" t="n">
        <f aca="false">IF(ISNUMBER(SEARCH("/",B2247)),DATE(VALUE(RIGHT(B2247,4)),VALUE(MID(B2247,4,2)),VALUE(LEFT(B2247,2))),IF(MID(B2247,5,1)="-",DATE(VALUE(LEFT(B2247,4)),VALUE(MID(B2247,6,2)),VALUE(RIGHT(B2247,2))),DATE(VALUE(RIGHT(B2247,4)),MATCH(MID(B2247,4,3),{"Jan","Feb","Mar","Apr","May","Jun","Jul","Aug","Sep","Oct","Nov","Dec"},0),VALUE(LEFT(B2247,2)))))</f>
        <v>45767</v>
      </c>
    </row>
    <row r="2248" customFormat="false" ht="15" hidden="false" customHeight="false" outlineLevel="0" collapsed="false">
      <c r="A2248" s="7" t="s">
        <v>5119</v>
      </c>
      <c r="B2248" s="7" t="s">
        <v>1972</v>
      </c>
      <c r="C2248" s="7" t="s">
        <v>331</v>
      </c>
      <c r="D2248" s="7" t="s">
        <v>4588</v>
      </c>
      <c r="E2248" s="7" t="s">
        <v>126</v>
      </c>
      <c r="F2248" s="7" t="s">
        <v>101</v>
      </c>
      <c r="G2248" s="7" t="s">
        <v>105</v>
      </c>
      <c r="H2248" s="7" t="n">
        <v>2</v>
      </c>
      <c r="I2248" s="7" t="n">
        <v>245</v>
      </c>
      <c r="J2248" s="7" t="n">
        <v>0</v>
      </c>
      <c r="K2248" s="7" t="s">
        <v>88</v>
      </c>
      <c r="L2248" s="7" t="s">
        <v>238</v>
      </c>
      <c r="M2248" s="7"/>
      <c r="N2248" s="7"/>
      <c r="O2248" s="7" t="str">
        <f aca="false">A2248&amp;"|"&amp;B2248&amp;"|"&amp;C2248&amp;"|"&amp;D2248&amp;"|"&amp;E2248&amp;"|"&amp;F2248&amp;"|"&amp;G2248&amp;"|"&amp;H2248&amp;"|"&amp;I2248&amp;"|"&amp;J2248&amp;"|"&amp;K2248&amp;"|"&amp;L2248&amp;"|"&amp;M2248&amp;"|"&amp;N2248</f>
        <v>ORD12657|2025-11-23|22:04|C1231|Dragon Express|Mumbai|Chinese|2|245|0|UPI|Cancelled||</v>
      </c>
      <c r="P2248" s="7" t="str">
        <f aca="false">IF(COUNTIF($O$2:O2248,O2248)&gt;1,"DUP","OK")</f>
        <v>OK</v>
      </c>
      <c r="Q2248" s="7" t="n">
        <f aca="false">COUNTBLANK(A2248:N2248)</f>
        <v>2</v>
      </c>
      <c r="R2248" s="7" t="n">
        <f aca="false">IF(A2248="",0,COUNTIFS($A$2:$A$3058,A2248,$P$2:$P$3058,"OK"))</f>
        <v>1</v>
      </c>
      <c r="S2248" s="7" t="str">
        <f aca="false">IF(OR(A2248="",P2248="DUP",R2248&lt;2),"",IF(Q2248=_xlfn.MINIFS($Q$2:$Q$3058,$A$2:$A$3058,A2248,$P$2:$P$3058,"OK"),"KEEP","DROP"))</f>
        <v/>
      </c>
      <c r="T2248" s="9" t="n">
        <f aca="false">IF(A2248="",1,0)</f>
        <v>0</v>
      </c>
      <c r="U2248" s="9" t="n">
        <f aca="false">IF(D2248="",1,0)</f>
        <v>0</v>
      </c>
      <c r="V2248" s="9" t="n">
        <f aca="false">IF(E2248="",1,0)</f>
        <v>0</v>
      </c>
      <c r="W2248" s="9" t="n">
        <f aca="false">IF(OR(H2248&lt;1,H2248&gt;10),1,0)</f>
        <v>0</v>
      </c>
      <c r="X2248" s="9" t="n">
        <f aca="false">IF(OR(I2248&lt;=0,I2248&gt;1500),1,0)</f>
        <v>0</v>
      </c>
      <c r="Y2248" s="9" t="n">
        <f aca="false">IF(J2248&gt;H2248*I2248,1,0)</f>
        <v>0</v>
      </c>
      <c r="Z2248" s="9" t="n">
        <f aca="false">IF(AND(N2248&lt;&gt;"",OR(N2248&lt;1,N2248&gt;5)),1,0)</f>
        <v>0</v>
      </c>
      <c r="AA2248" s="9" t="n">
        <f aca="false">IF(AND(M2248&lt;&gt;"",OR(M2248&lt;5,M2248&gt;180)),1,0)</f>
        <v>0</v>
      </c>
      <c r="AB2248" s="7" t="str">
        <f aca="false">IF(P2248="DUP","Exact duplicate row",IF(T2248=1,"Missing Order ID",IF(S2248="DROP","Duplicate Order ID (less complete row)",IF(U2248=1,"Missing Customer ID",IF(V2248=1,"Missing Restaurant name",IF(W2248=1,"Invalid/outlier quantity",IF(X2248=1,"Invalid/outlier unit price",IF(Y2248=1,"Discount greater than order value",""))))))))</f>
        <v/>
      </c>
      <c r="AC2248" s="7" t="str">
        <f aca="false">IF(AB2248="","KEEP","DROP")</f>
        <v>KEEP</v>
      </c>
      <c r="AD2248" s="7" t="str">
        <f aca="false">IF(TRIM(F2248)="",IFERROR(INDEX(Map_Tables!$I$4:$I$37,MATCH(TRIM(E2248),Map_Tables!$G$4:$G$37,0)),""),IFERROR(INDEX(Map_Tables!$B$4:$B$18,MATCH(TRIM(F2248),Map_Tables!$A$4:$A$18,0)),"CHECK"))</f>
        <v>Mumbai</v>
      </c>
      <c r="AE2248" s="7" t="str">
        <f aca="false">IF(TRIM(E2248)="","",IFERROR(INDEX(Map_Tables!$H$4:$H$37,MATCH(TRIM(E2248),Map_Tables!$G$4:$G$37,0)),"CHECK"))</f>
        <v>Dragon Express</v>
      </c>
      <c r="AF2248" s="7" t="str">
        <f aca="false">IF(TRIM(K2248)="","Unknown",IFERROR(INDEX(Map_Tables!$E$4:$E$15,MATCH(TRIM(K2248),Map_Tables!$D$4:$D$15,0)),"CHECK"))</f>
        <v>UPI</v>
      </c>
      <c r="AG2248" s="7" t="str">
        <f aca="false">IF(LEFT(LOWER(TRIM(L2248)),6)="cancel","Cancelled","Delivered")</f>
        <v>Cancelled</v>
      </c>
      <c r="AH2248" s="10" t="n">
        <f aca="false">IF(ISNUMBER(SEARCH("/",B2248)),DATE(VALUE(RIGHT(B2248,4)),VALUE(MID(B2248,4,2)),VALUE(LEFT(B2248,2))),IF(MID(B2248,5,1)="-",DATE(VALUE(LEFT(B2248,4)),VALUE(MID(B2248,6,2)),VALUE(RIGHT(B2248,2))),DATE(VALUE(RIGHT(B2248,4)),MATCH(MID(B2248,4,3),{"Jan","Feb","Mar","Apr","May","Jun","Jul","Aug","Sep","Oct","Nov","Dec"},0),VALUE(LEFT(B2248,2)))))</f>
        <v>45984</v>
      </c>
    </row>
    <row r="2249" customFormat="false" ht="15" hidden="false" customHeight="false" outlineLevel="0" collapsed="false">
      <c r="A2249" s="7" t="s">
        <v>5120</v>
      </c>
      <c r="B2249" s="7" t="s">
        <v>1160</v>
      </c>
      <c r="C2249" s="7" t="s">
        <v>3013</v>
      </c>
      <c r="D2249" s="7" t="s">
        <v>3588</v>
      </c>
      <c r="E2249" s="7" t="s">
        <v>149</v>
      </c>
      <c r="F2249" s="7" t="s">
        <v>119</v>
      </c>
      <c r="G2249" s="7" t="s">
        <v>150</v>
      </c>
      <c r="H2249" s="7" t="n">
        <v>2</v>
      </c>
      <c r="I2249" s="7" t="n">
        <v>175</v>
      </c>
      <c r="J2249" s="7" t="n">
        <v>0</v>
      </c>
      <c r="K2249" s="7" t="s">
        <v>298</v>
      </c>
      <c r="L2249" s="7" t="s">
        <v>194</v>
      </c>
      <c r="M2249" s="7" t="n">
        <v>30</v>
      </c>
      <c r="N2249" s="7" t="n">
        <v>4</v>
      </c>
      <c r="O2249" s="7" t="str">
        <f aca="false">A2249&amp;"|"&amp;B2249&amp;"|"&amp;C2249&amp;"|"&amp;D2249&amp;"|"&amp;E2249&amp;"|"&amp;F2249&amp;"|"&amp;G2249&amp;"|"&amp;H2249&amp;"|"&amp;I2249&amp;"|"&amp;J2249&amp;"|"&amp;K2249&amp;"|"&amp;L2249&amp;"|"&amp;M2249&amp;"|"&amp;N2249</f>
        <v>ORD10544|2025-03-11|11:18|C1174|Sweet Tooth Studio|Hyderabad|Desserts|2|175|0|Cash On Delivery|Delivered|30|4</v>
      </c>
      <c r="P2249" s="7" t="str">
        <f aca="false">IF(COUNTIF($O$2:O2249,O2249)&gt;1,"DUP","OK")</f>
        <v>OK</v>
      </c>
      <c r="Q2249" s="7" t="n">
        <f aca="false">COUNTBLANK(A2249:N2249)</f>
        <v>0</v>
      </c>
      <c r="R2249" s="7" t="n">
        <f aca="false">IF(A2249="",0,COUNTIFS($A$2:$A$3058,A2249,$P$2:$P$3058,"OK"))</f>
        <v>1</v>
      </c>
      <c r="S2249" s="7" t="str">
        <f aca="false">IF(OR(A2249="",P2249="DUP",R2249&lt;2),"",IF(Q2249=_xlfn.MINIFS($Q$2:$Q$3058,$A$2:$A$3058,A2249,$P$2:$P$3058,"OK"),"KEEP","DROP"))</f>
        <v/>
      </c>
      <c r="T2249" s="9" t="n">
        <f aca="false">IF(A2249="",1,0)</f>
        <v>0</v>
      </c>
      <c r="U2249" s="9" t="n">
        <f aca="false">IF(D2249="",1,0)</f>
        <v>0</v>
      </c>
      <c r="V2249" s="9" t="n">
        <f aca="false">IF(E2249="",1,0)</f>
        <v>0</v>
      </c>
      <c r="W2249" s="9" t="n">
        <f aca="false">IF(OR(H2249&lt;1,H2249&gt;10),1,0)</f>
        <v>0</v>
      </c>
      <c r="X2249" s="9" t="n">
        <f aca="false">IF(OR(I2249&lt;=0,I2249&gt;1500),1,0)</f>
        <v>0</v>
      </c>
      <c r="Y2249" s="9" t="n">
        <f aca="false">IF(J2249&gt;H2249*I2249,1,0)</f>
        <v>0</v>
      </c>
      <c r="Z2249" s="9" t="n">
        <f aca="false">IF(AND(N2249&lt;&gt;"",OR(N2249&lt;1,N2249&gt;5)),1,0)</f>
        <v>0</v>
      </c>
      <c r="AA2249" s="9" t="n">
        <f aca="false">IF(AND(M2249&lt;&gt;"",OR(M2249&lt;5,M2249&gt;180)),1,0)</f>
        <v>0</v>
      </c>
      <c r="AB2249" s="7" t="str">
        <f aca="false">IF(P2249="DUP","Exact duplicate row",IF(T2249=1,"Missing Order ID",IF(S2249="DROP","Duplicate Order ID (less complete row)",IF(U2249=1,"Missing Customer ID",IF(V2249=1,"Missing Restaurant name",IF(W2249=1,"Invalid/outlier quantity",IF(X2249=1,"Invalid/outlier unit price",IF(Y2249=1,"Discount greater than order value",""))))))))</f>
        <v/>
      </c>
      <c r="AC2249" s="7" t="str">
        <f aca="false">IF(AB2249="","KEEP","DROP")</f>
        <v>KEEP</v>
      </c>
      <c r="AD2249" s="7" t="str">
        <f aca="false">IF(TRIM(F2249)="",IFERROR(INDEX(Map_Tables!$I$4:$I$37,MATCH(TRIM(E2249),Map_Tables!$G$4:$G$37,0)),""),IFERROR(INDEX(Map_Tables!$B$4:$B$18,MATCH(TRIM(F2249),Map_Tables!$A$4:$A$18,0)),"CHECK"))</f>
        <v>Hyderabad</v>
      </c>
      <c r="AE2249" s="7" t="str">
        <f aca="false">IF(TRIM(E2249)="","",IFERROR(INDEX(Map_Tables!$H$4:$H$37,MATCH(TRIM(E2249),Map_Tables!$G$4:$G$37,0)),"CHECK"))</f>
        <v>Sweet Tooth Studio</v>
      </c>
      <c r="AF2249" s="7" t="str">
        <f aca="false">IF(TRIM(K2249)="","Unknown",IFERROR(INDEX(Map_Tables!$E$4:$E$15,MATCH(TRIM(K2249),Map_Tables!$D$4:$D$15,0)),"CHECK"))</f>
        <v>Cash on Delivery</v>
      </c>
      <c r="AG2249" s="7" t="str">
        <f aca="false">IF(LEFT(LOWER(TRIM(L2249)),6)="cancel","Cancelled","Delivered")</f>
        <v>Delivered</v>
      </c>
      <c r="AH2249" s="10" t="n">
        <f aca="false">IF(ISNUMBER(SEARCH("/",B2249)),DATE(VALUE(RIGHT(B2249,4)),VALUE(MID(B2249,4,2)),VALUE(LEFT(B2249,2))),IF(MID(B2249,5,1)="-",DATE(VALUE(LEFT(B2249,4)),VALUE(MID(B2249,6,2)),VALUE(RIGHT(B2249,2))),DATE(VALUE(RIGHT(B2249,4)),MATCH(MID(B2249,4,3),{"Jan","Feb","Mar","Apr","May","Jun","Jul","Aug","Sep","Oct","Nov","Dec"},0),VALUE(LEFT(B2249,2)))))</f>
        <v>45727</v>
      </c>
    </row>
    <row r="2250" customFormat="false" ht="15" hidden="false" customHeight="false" outlineLevel="0" collapsed="false">
      <c r="A2250" s="7" t="s">
        <v>5121</v>
      </c>
      <c r="B2250" s="7" t="s">
        <v>1943</v>
      </c>
      <c r="C2250" s="7" t="s">
        <v>4409</v>
      </c>
      <c r="D2250" s="7" t="s">
        <v>2429</v>
      </c>
      <c r="E2250" s="7" t="s">
        <v>94</v>
      </c>
      <c r="F2250" s="7" t="s">
        <v>86</v>
      </c>
      <c r="G2250" s="7" t="s">
        <v>95</v>
      </c>
      <c r="H2250" s="7" t="n">
        <v>4</v>
      </c>
      <c r="I2250" s="7" t="n">
        <v>155</v>
      </c>
      <c r="J2250" s="7" t="n">
        <v>0</v>
      </c>
      <c r="K2250" s="7" t="s">
        <v>88</v>
      </c>
      <c r="L2250" s="7" t="s">
        <v>194</v>
      </c>
      <c r="M2250" s="7" t="n">
        <v>41</v>
      </c>
      <c r="N2250" s="7" t="n">
        <v>5</v>
      </c>
      <c r="O2250" s="7" t="str">
        <f aca="false">A2250&amp;"|"&amp;B2250&amp;"|"&amp;C2250&amp;"|"&amp;D2250&amp;"|"&amp;E2250&amp;"|"&amp;F2250&amp;"|"&amp;G2250&amp;"|"&amp;H2250&amp;"|"&amp;I2250&amp;"|"&amp;J2250&amp;"|"&amp;K2250&amp;"|"&amp;L2250&amp;"|"&amp;M2250&amp;"|"&amp;N2250</f>
        <v>ORD11242|2025-06-07|23:21|C1033|Dosa Darbar|Bengaluru|South Indian|4|155|0|UPI|Delivered|41|5</v>
      </c>
      <c r="P2250" s="7" t="str">
        <f aca="false">IF(COUNTIF($O$2:O2250,O2250)&gt;1,"DUP","OK")</f>
        <v>OK</v>
      </c>
      <c r="Q2250" s="7" t="n">
        <f aca="false">COUNTBLANK(A2250:N2250)</f>
        <v>0</v>
      </c>
      <c r="R2250" s="7" t="n">
        <f aca="false">IF(A2250="",0,COUNTIFS($A$2:$A$3058,A2250,$P$2:$P$3058,"OK"))</f>
        <v>1</v>
      </c>
      <c r="S2250" s="7" t="str">
        <f aca="false">IF(OR(A2250="",P2250="DUP",R2250&lt;2),"",IF(Q2250=_xlfn.MINIFS($Q$2:$Q$3058,$A$2:$A$3058,A2250,$P$2:$P$3058,"OK"),"KEEP","DROP"))</f>
        <v/>
      </c>
      <c r="T2250" s="9" t="n">
        <f aca="false">IF(A2250="",1,0)</f>
        <v>0</v>
      </c>
      <c r="U2250" s="9" t="n">
        <f aca="false">IF(D2250="",1,0)</f>
        <v>0</v>
      </c>
      <c r="V2250" s="9" t="n">
        <f aca="false">IF(E2250="",1,0)</f>
        <v>0</v>
      </c>
      <c r="W2250" s="9" t="n">
        <f aca="false">IF(OR(H2250&lt;1,H2250&gt;10),1,0)</f>
        <v>0</v>
      </c>
      <c r="X2250" s="9" t="n">
        <f aca="false">IF(OR(I2250&lt;=0,I2250&gt;1500),1,0)</f>
        <v>0</v>
      </c>
      <c r="Y2250" s="9" t="n">
        <f aca="false">IF(J2250&gt;H2250*I2250,1,0)</f>
        <v>0</v>
      </c>
      <c r="Z2250" s="9" t="n">
        <f aca="false">IF(AND(N2250&lt;&gt;"",OR(N2250&lt;1,N2250&gt;5)),1,0)</f>
        <v>0</v>
      </c>
      <c r="AA2250" s="9" t="n">
        <f aca="false">IF(AND(M2250&lt;&gt;"",OR(M2250&lt;5,M2250&gt;180)),1,0)</f>
        <v>0</v>
      </c>
      <c r="AB2250" s="7" t="str">
        <f aca="false">IF(P2250="DUP","Exact duplicate row",IF(T2250=1,"Missing Order ID",IF(S2250="DROP","Duplicate Order ID (less complete row)",IF(U2250=1,"Missing Customer ID",IF(V2250=1,"Missing Restaurant name",IF(W2250=1,"Invalid/outlier quantity",IF(X2250=1,"Invalid/outlier unit price",IF(Y2250=1,"Discount greater than order value",""))))))))</f>
        <v/>
      </c>
      <c r="AC2250" s="7" t="str">
        <f aca="false">IF(AB2250="","KEEP","DROP")</f>
        <v>KEEP</v>
      </c>
      <c r="AD2250" s="7" t="str">
        <f aca="false">IF(TRIM(F2250)="",IFERROR(INDEX(Map_Tables!$I$4:$I$37,MATCH(TRIM(E2250),Map_Tables!$G$4:$G$37,0)),""),IFERROR(INDEX(Map_Tables!$B$4:$B$18,MATCH(TRIM(F2250),Map_Tables!$A$4:$A$18,0)),"CHECK"))</f>
        <v>Bengaluru</v>
      </c>
      <c r="AE2250" s="7" t="str">
        <f aca="false">IF(TRIM(E2250)="","",IFERROR(INDEX(Map_Tables!$H$4:$H$37,MATCH(TRIM(E2250),Map_Tables!$G$4:$G$37,0)),"CHECK"))</f>
        <v>Dosa Darbar</v>
      </c>
      <c r="AF2250" s="7" t="str">
        <f aca="false">IF(TRIM(K2250)="","Unknown",IFERROR(INDEX(Map_Tables!$E$4:$E$15,MATCH(TRIM(K2250),Map_Tables!$D$4:$D$15,0)),"CHECK"))</f>
        <v>UPI</v>
      </c>
      <c r="AG2250" s="7" t="str">
        <f aca="false">IF(LEFT(LOWER(TRIM(L2250)),6)="cancel","Cancelled","Delivered")</f>
        <v>Delivered</v>
      </c>
      <c r="AH2250" s="10" t="n">
        <f aca="false">IF(ISNUMBER(SEARCH("/",B2250)),DATE(VALUE(RIGHT(B2250,4)),VALUE(MID(B2250,4,2)),VALUE(LEFT(B2250,2))),IF(MID(B2250,5,1)="-",DATE(VALUE(LEFT(B2250,4)),VALUE(MID(B2250,6,2)),VALUE(RIGHT(B2250,2))),DATE(VALUE(RIGHT(B2250,4)),MATCH(MID(B2250,4,3),{"Jan","Feb","Mar","Apr","May","Jun","Jul","Aug","Sep","Oct","Nov","Dec"},0),VALUE(LEFT(B2250,2)))))</f>
        <v>45815</v>
      </c>
    </row>
    <row r="2251" customFormat="false" ht="15" hidden="false" customHeight="false" outlineLevel="0" collapsed="false">
      <c r="A2251" s="7" t="s">
        <v>5122</v>
      </c>
      <c r="B2251" s="7" t="s">
        <v>2283</v>
      </c>
      <c r="C2251" s="7" t="s">
        <v>638</v>
      </c>
      <c r="D2251" s="7" t="s">
        <v>3804</v>
      </c>
      <c r="E2251" s="7" t="s">
        <v>122</v>
      </c>
      <c r="F2251" s="7" t="s">
        <v>101</v>
      </c>
      <c r="G2251" s="7" t="s">
        <v>123</v>
      </c>
      <c r="H2251" s="7" t="n">
        <v>2</v>
      </c>
      <c r="I2251" s="7" t="n">
        <v>395</v>
      </c>
      <c r="J2251" s="7" t="n">
        <v>0</v>
      </c>
      <c r="K2251" s="7" t="s">
        <v>92</v>
      </c>
      <c r="L2251" s="7" t="s">
        <v>194</v>
      </c>
      <c r="M2251" s="7" t="n">
        <v>67</v>
      </c>
      <c r="N2251" s="7" t="n">
        <v>4</v>
      </c>
      <c r="O2251" s="7" t="str">
        <f aca="false">A2251&amp;"|"&amp;B2251&amp;"|"&amp;C2251&amp;"|"&amp;D2251&amp;"|"&amp;E2251&amp;"|"&amp;F2251&amp;"|"&amp;G2251&amp;"|"&amp;H2251&amp;"|"&amp;I2251&amp;"|"&amp;J2251&amp;"|"&amp;K2251&amp;"|"&amp;L2251&amp;"|"&amp;M2251&amp;"|"&amp;N2251</f>
        <v>ORD11881|2025-09-02|20:38|C0160|Mumbai Pizza Co|Mumbai|Pizza|2|395|0|credit card|Delivered|67|4</v>
      </c>
      <c r="P2251" s="7" t="str">
        <f aca="false">IF(COUNTIF($O$2:O2251,O2251)&gt;1,"DUP","OK")</f>
        <v>OK</v>
      </c>
      <c r="Q2251" s="7" t="n">
        <f aca="false">COUNTBLANK(A2251:N2251)</f>
        <v>0</v>
      </c>
      <c r="R2251" s="7" t="n">
        <f aca="false">IF(A2251="",0,COUNTIFS($A$2:$A$3058,A2251,$P$2:$P$3058,"OK"))</f>
        <v>1</v>
      </c>
      <c r="S2251" s="7" t="str">
        <f aca="false">IF(OR(A2251="",P2251="DUP",R2251&lt;2),"",IF(Q2251=_xlfn.MINIFS($Q$2:$Q$3058,$A$2:$A$3058,A2251,$P$2:$P$3058,"OK"),"KEEP","DROP"))</f>
        <v/>
      </c>
      <c r="T2251" s="9" t="n">
        <f aca="false">IF(A2251="",1,0)</f>
        <v>0</v>
      </c>
      <c r="U2251" s="9" t="n">
        <f aca="false">IF(D2251="",1,0)</f>
        <v>0</v>
      </c>
      <c r="V2251" s="9" t="n">
        <f aca="false">IF(E2251="",1,0)</f>
        <v>0</v>
      </c>
      <c r="W2251" s="9" t="n">
        <f aca="false">IF(OR(H2251&lt;1,H2251&gt;10),1,0)</f>
        <v>0</v>
      </c>
      <c r="X2251" s="9" t="n">
        <f aca="false">IF(OR(I2251&lt;=0,I2251&gt;1500),1,0)</f>
        <v>0</v>
      </c>
      <c r="Y2251" s="9" t="n">
        <f aca="false">IF(J2251&gt;H2251*I2251,1,0)</f>
        <v>0</v>
      </c>
      <c r="Z2251" s="9" t="n">
        <f aca="false">IF(AND(N2251&lt;&gt;"",OR(N2251&lt;1,N2251&gt;5)),1,0)</f>
        <v>0</v>
      </c>
      <c r="AA2251" s="9" t="n">
        <f aca="false">IF(AND(M2251&lt;&gt;"",OR(M2251&lt;5,M2251&gt;180)),1,0)</f>
        <v>0</v>
      </c>
      <c r="AB2251" s="7" t="str">
        <f aca="false">IF(P2251="DUP","Exact duplicate row",IF(T2251=1,"Missing Order ID",IF(S2251="DROP","Duplicate Order ID (less complete row)",IF(U2251=1,"Missing Customer ID",IF(V2251=1,"Missing Restaurant name",IF(W2251=1,"Invalid/outlier quantity",IF(X2251=1,"Invalid/outlier unit price",IF(Y2251=1,"Discount greater than order value",""))))))))</f>
        <v/>
      </c>
      <c r="AC2251" s="7" t="str">
        <f aca="false">IF(AB2251="","KEEP","DROP")</f>
        <v>KEEP</v>
      </c>
      <c r="AD2251" s="7" t="str">
        <f aca="false">IF(TRIM(F2251)="",IFERROR(INDEX(Map_Tables!$I$4:$I$37,MATCH(TRIM(E2251),Map_Tables!$G$4:$G$37,0)),""),IFERROR(INDEX(Map_Tables!$B$4:$B$18,MATCH(TRIM(F2251),Map_Tables!$A$4:$A$18,0)),"CHECK"))</f>
        <v>Mumbai</v>
      </c>
      <c r="AE2251" s="7" t="str">
        <f aca="false">IF(TRIM(E2251)="","",IFERROR(INDEX(Map_Tables!$H$4:$H$37,MATCH(TRIM(E2251),Map_Tables!$G$4:$G$37,0)),"CHECK"))</f>
        <v>Mumbai Pizza Co</v>
      </c>
      <c r="AF2251" s="7" t="str">
        <f aca="false">IF(TRIM(K2251)="","Unknown",IFERROR(INDEX(Map_Tables!$E$4:$E$15,MATCH(TRIM(K2251),Map_Tables!$D$4:$D$15,0)),"CHECK"))</f>
        <v>Credit Card</v>
      </c>
      <c r="AG2251" s="7" t="str">
        <f aca="false">IF(LEFT(LOWER(TRIM(L2251)),6)="cancel","Cancelled","Delivered")</f>
        <v>Delivered</v>
      </c>
      <c r="AH2251" s="10" t="n">
        <f aca="false">IF(ISNUMBER(SEARCH("/",B2251)),DATE(VALUE(RIGHT(B2251,4)),VALUE(MID(B2251,4,2)),VALUE(LEFT(B2251,2))),IF(MID(B2251,5,1)="-",DATE(VALUE(LEFT(B2251,4)),VALUE(MID(B2251,6,2)),VALUE(RIGHT(B2251,2))),DATE(VALUE(RIGHT(B2251,4)),MATCH(MID(B2251,4,3),{"Jan","Feb","Mar","Apr","May","Jun","Jul","Aug","Sep","Oct","Nov","Dec"},0),VALUE(LEFT(B2251,2)))))</f>
        <v>45902</v>
      </c>
    </row>
    <row r="2252" customFormat="false" ht="15" hidden="false" customHeight="false" outlineLevel="0" collapsed="false">
      <c r="A2252" s="7" t="s">
        <v>5123</v>
      </c>
      <c r="B2252" s="7" t="s">
        <v>875</v>
      </c>
      <c r="C2252" s="7" t="s">
        <v>2869</v>
      </c>
      <c r="D2252" s="7" t="s">
        <v>5124</v>
      </c>
      <c r="E2252" s="7" t="s">
        <v>5125</v>
      </c>
      <c r="F2252" s="7" t="s">
        <v>110</v>
      </c>
      <c r="G2252" s="7" t="s">
        <v>117</v>
      </c>
      <c r="H2252" s="7" t="n">
        <v>3</v>
      </c>
      <c r="I2252" s="7" t="n">
        <v>125</v>
      </c>
      <c r="J2252" s="7" t="n">
        <v>0</v>
      </c>
      <c r="K2252" s="7" t="s">
        <v>112</v>
      </c>
      <c r="L2252" s="7" t="s">
        <v>238</v>
      </c>
      <c r="M2252" s="7"/>
      <c r="N2252" s="7"/>
      <c r="O2252" s="7" t="str">
        <f aca="false">A2252&amp;"|"&amp;B2252&amp;"|"&amp;C2252&amp;"|"&amp;D2252&amp;"|"&amp;E2252&amp;"|"&amp;F2252&amp;"|"&amp;G2252&amp;"|"&amp;H2252&amp;"|"&amp;I2252&amp;"|"&amp;J2252&amp;"|"&amp;K2252&amp;"|"&amp;L2252&amp;"|"&amp;M2252&amp;"|"&amp;N2252</f>
        <v>ORD12923|2025-12-23|09:35|C0423|Chaat  Corner|Delhi|Street Food|3|125|0|Cash on Delivery|Cancelled||</v>
      </c>
      <c r="P2252" s="7" t="str">
        <f aca="false">IF(COUNTIF($O$2:O2252,O2252)&gt;1,"DUP","OK")</f>
        <v>OK</v>
      </c>
      <c r="Q2252" s="7" t="n">
        <f aca="false">COUNTBLANK(A2252:N2252)</f>
        <v>2</v>
      </c>
      <c r="R2252" s="7" t="n">
        <f aca="false">IF(A2252="",0,COUNTIFS($A$2:$A$3058,A2252,$P$2:$P$3058,"OK"))</f>
        <v>1</v>
      </c>
      <c r="S2252" s="7" t="str">
        <f aca="false">IF(OR(A2252="",P2252="DUP",R2252&lt;2),"",IF(Q2252=_xlfn.MINIFS($Q$2:$Q$3058,$A$2:$A$3058,A2252,$P$2:$P$3058,"OK"),"KEEP","DROP"))</f>
        <v/>
      </c>
      <c r="T2252" s="9" t="n">
        <f aca="false">IF(A2252="",1,0)</f>
        <v>0</v>
      </c>
      <c r="U2252" s="9" t="n">
        <f aca="false">IF(D2252="",1,0)</f>
        <v>0</v>
      </c>
      <c r="V2252" s="9" t="n">
        <f aca="false">IF(E2252="",1,0)</f>
        <v>0</v>
      </c>
      <c r="W2252" s="9" t="n">
        <f aca="false">IF(OR(H2252&lt;1,H2252&gt;10),1,0)</f>
        <v>0</v>
      </c>
      <c r="X2252" s="9" t="n">
        <f aca="false">IF(OR(I2252&lt;=0,I2252&gt;1500),1,0)</f>
        <v>0</v>
      </c>
      <c r="Y2252" s="9" t="n">
        <f aca="false">IF(J2252&gt;H2252*I2252,1,0)</f>
        <v>0</v>
      </c>
      <c r="Z2252" s="9" t="n">
        <f aca="false">IF(AND(N2252&lt;&gt;"",OR(N2252&lt;1,N2252&gt;5)),1,0)</f>
        <v>0</v>
      </c>
      <c r="AA2252" s="9" t="n">
        <f aca="false">IF(AND(M2252&lt;&gt;"",OR(M2252&lt;5,M2252&gt;180)),1,0)</f>
        <v>0</v>
      </c>
      <c r="AB2252" s="7" t="str">
        <f aca="false">IF(P2252="DUP","Exact duplicate row",IF(T2252=1,"Missing Order ID",IF(S2252="DROP","Duplicate Order ID (less complete row)",IF(U2252=1,"Missing Customer ID",IF(V2252=1,"Missing Restaurant name",IF(W2252=1,"Invalid/outlier quantity",IF(X2252=1,"Invalid/outlier unit price",IF(Y2252=1,"Discount greater than order value",""))))))))</f>
        <v/>
      </c>
      <c r="AC2252" s="7" t="str">
        <f aca="false">IF(AB2252="","KEEP","DROP")</f>
        <v>KEEP</v>
      </c>
      <c r="AD2252" s="7" t="str">
        <f aca="false">IF(TRIM(F2252)="",IFERROR(INDEX(Map_Tables!$I$4:$I$37,MATCH(TRIM(E2252),Map_Tables!$G$4:$G$37,0)),""),IFERROR(INDEX(Map_Tables!$B$4:$B$18,MATCH(TRIM(F2252),Map_Tables!$A$4:$A$18,0)),"CHECK"))</f>
        <v>Delhi</v>
      </c>
      <c r="AE2252" s="7" t="str">
        <f aca="false">IF(TRIM(E2252)="","",IFERROR(INDEX(Map_Tables!$H$4:$H$37,MATCH(TRIM(E2252),Map_Tables!$G$4:$G$37,0)),"CHECK"))</f>
        <v>Chaat Corner</v>
      </c>
      <c r="AF2252" s="7" t="str">
        <f aca="false">IF(TRIM(K2252)="","Unknown",IFERROR(INDEX(Map_Tables!$E$4:$E$15,MATCH(TRIM(K2252),Map_Tables!$D$4:$D$15,0)),"CHECK"))</f>
        <v>Cash on Delivery</v>
      </c>
      <c r="AG2252" s="7" t="str">
        <f aca="false">IF(LEFT(LOWER(TRIM(L2252)),6)="cancel","Cancelled","Delivered")</f>
        <v>Cancelled</v>
      </c>
      <c r="AH2252" s="10" t="n">
        <f aca="false">IF(ISNUMBER(SEARCH("/",B2252)),DATE(VALUE(RIGHT(B2252,4)),VALUE(MID(B2252,4,2)),VALUE(LEFT(B2252,2))),IF(MID(B2252,5,1)="-",DATE(VALUE(LEFT(B2252,4)),VALUE(MID(B2252,6,2)),VALUE(RIGHT(B2252,2))),DATE(VALUE(RIGHT(B2252,4)),MATCH(MID(B2252,4,3),{"Jan","Feb","Mar","Apr","May","Jun","Jul","Aug","Sep","Oct","Nov","Dec"},0),VALUE(LEFT(B2252,2)))))</f>
        <v>46014</v>
      </c>
    </row>
    <row r="2253" customFormat="false" ht="15" hidden="false" customHeight="false" outlineLevel="0" collapsed="false">
      <c r="A2253" s="7" t="s">
        <v>5126</v>
      </c>
      <c r="B2253" s="7" t="s">
        <v>892</v>
      </c>
      <c r="C2253" s="7" t="s">
        <v>759</v>
      </c>
      <c r="D2253" s="7" t="s">
        <v>2008</v>
      </c>
      <c r="E2253" s="7" t="s">
        <v>113</v>
      </c>
      <c r="F2253" s="7" t="s">
        <v>101</v>
      </c>
      <c r="G2253" s="7" t="s">
        <v>90</v>
      </c>
      <c r="H2253" s="7" t="n">
        <v>4</v>
      </c>
      <c r="I2253" s="7" t="n">
        <v>245</v>
      </c>
      <c r="J2253" s="7" t="n">
        <v>150</v>
      </c>
      <c r="K2253" s="7" t="s">
        <v>133</v>
      </c>
      <c r="L2253" s="7" t="s">
        <v>238</v>
      </c>
      <c r="M2253" s="7"/>
      <c r="N2253" s="7"/>
      <c r="O2253" s="7" t="str">
        <f aca="false">A2253&amp;"|"&amp;B2253&amp;"|"&amp;C2253&amp;"|"&amp;D2253&amp;"|"&amp;E2253&amp;"|"&amp;F2253&amp;"|"&amp;G2253&amp;"|"&amp;H2253&amp;"|"&amp;I2253&amp;"|"&amp;J2253&amp;"|"&amp;K2253&amp;"|"&amp;L2253&amp;"|"&amp;M2253&amp;"|"&amp;N2253</f>
        <v>ORD12522|2025-11-12|11:50|C1399|Curry Leaf Kitchen|Mumbai|North Indian|4|245|150|Net Banking|Cancelled||</v>
      </c>
      <c r="P2253" s="7" t="str">
        <f aca="false">IF(COUNTIF($O$2:O2253,O2253)&gt;1,"DUP","OK")</f>
        <v>OK</v>
      </c>
      <c r="Q2253" s="7" t="n">
        <f aca="false">COUNTBLANK(A2253:N2253)</f>
        <v>2</v>
      </c>
      <c r="R2253" s="7" t="n">
        <f aca="false">IF(A2253="",0,COUNTIFS($A$2:$A$3058,A2253,$P$2:$P$3058,"OK"))</f>
        <v>1</v>
      </c>
      <c r="S2253" s="7" t="str">
        <f aca="false">IF(OR(A2253="",P2253="DUP",R2253&lt;2),"",IF(Q2253=_xlfn.MINIFS($Q$2:$Q$3058,$A$2:$A$3058,A2253,$P$2:$P$3058,"OK"),"KEEP","DROP"))</f>
        <v/>
      </c>
      <c r="T2253" s="9" t="n">
        <f aca="false">IF(A2253="",1,0)</f>
        <v>0</v>
      </c>
      <c r="U2253" s="9" t="n">
        <f aca="false">IF(D2253="",1,0)</f>
        <v>0</v>
      </c>
      <c r="V2253" s="9" t="n">
        <f aca="false">IF(E2253="",1,0)</f>
        <v>0</v>
      </c>
      <c r="W2253" s="9" t="n">
        <f aca="false">IF(OR(H2253&lt;1,H2253&gt;10),1,0)</f>
        <v>0</v>
      </c>
      <c r="X2253" s="9" t="n">
        <f aca="false">IF(OR(I2253&lt;=0,I2253&gt;1500),1,0)</f>
        <v>0</v>
      </c>
      <c r="Y2253" s="9" t="n">
        <f aca="false">IF(J2253&gt;H2253*I2253,1,0)</f>
        <v>0</v>
      </c>
      <c r="Z2253" s="9" t="n">
        <f aca="false">IF(AND(N2253&lt;&gt;"",OR(N2253&lt;1,N2253&gt;5)),1,0)</f>
        <v>0</v>
      </c>
      <c r="AA2253" s="9" t="n">
        <f aca="false">IF(AND(M2253&lt;&gt;"",OR(M2253&lt;5,M2253&gt;180)),1,0)</f>
        <v>0</v>
      </c>
      <c r="AB2253" s="7" t="str">
        <f aca="false">IF(P2253="DUP","Exact duplicate row",IF(T2253=1,"Missing Order ID",IF(S2253="DROP","Duplicate Order ID (less complete row)",IF(U2253=1,"Missing Customer ID",IF(V2253=1,"Missing Restaurant name",IF(W2253=1,"Invalid/outlier quantity",IF(X2253=1,"Invalid/outlier unit price",IF(Y2253=1,"Discount greater than order value",""))))))))</f>
        <v/>
      </c>
      <c r="AC2253" s="7" t="str">
        <f aca="false">IF(AB2253="","KEEP","DROP")</f>
        <v>KEEP</v>
      </c>
      <c r="AD2253" s="7" t="str">
        <f aca="false">IF(TRIM(F2253)="",IFERROR(INDEX(Map_Tables!$I$4:$I$37,MATCH(TRIM(E2253),Map_Tables!$G$4:$G$37,0)),""),IFERROR(INDEX(Map_Tables!$B$4:$B$18,MATCH(TRIM(F2253),Map_Tables!$A$4:$A$18,0)),"CHECK"))</f>
        <v>Mumbai</v>
      </c>
      <c r="AE2253" s="7" t="str">
        <f aca="false">IF(TRIM(E2253)="","",IFERROR(INDEX(Map_Tables!$H$4:$H$37,MATCH(TRIM(E2253),Map_Tables!$G$4:$G$37,0)),"CHECK"))</f>
        <v>Curry Leaf Kitchen</v>
      </c>
      <c r="AF2253" s="7" t="str">
        <f aca="false">IF(TRIM(K2253)="","Unknown",IFERROR(INDEX(Map_Tables!$E$4:$E$15,MATCH(TRIM(K2253),Map_Tables!$D$4:$D$15,0)),"CHECK"))</f>
        <v>Net Banking</v>
      </c>
      <c r="AG2253" s="7" t="str">
        <f aca="false">IF(LEFT(LOWER(TRIM(L2253)),6)="cancel","Cancelled","Delivered")</f>
        <v>Cancelled</v>
      </c>
      <c r="AH2253" s="10" t="n">
        <f aca="false">IF(ISNUMBER(SEARCH("/",B2253)),DATE(VALUE(RIGHT(B2253,4)),VALUE(MID(B2253,4,2)),VALUE(LEFT(B2253,2))),IF(MID(B2253,5,1)="-",DATE(VALUE(LEFT(B2253,4)),VALUE(MID(B2253,6,2)),VALUE(RIGHT(B2253,2))),DATE(VALUE(RIGHT(B2253,4)),MATCH(MID(B2253,4,3),{"Jan","Feb","Mar","Apr","May","Jun","Jul","Aug","Sep","Oct","Nov","Dec"},0),VALUE(LEFT(B2253,2)))))</f>
        <v>45973</v>
      </c>
    </row>
    <row r="2254" customFormat="false" ht="15" hidden="false" customHeight="false" outlineLevel="0" collapsed="false">
      <c r="A2254" s="7" t="s">
        <v>5127</v>
      </c>
      <c r="B2254" s="7" t="s">
        <v>5128</v>
      </c>
      <c r="C2254" s="7" t="s">
        <v>361</v>
      </c>
      <c r="D2254" s="7" t="s">
        <v>2667</v>
      </c>
      <c r="E2254" s="7" t="s">
        <v>159</v>
      </c>
      <c r="F2254" s="7" t="s">
        <v>136</v>
      </c>
      <c r="G2254" s="7" t="s">
        <v>90</v>
      </c>
      <c r="H2254" s="7" t="n">
        <v>3</v>
      </c>
      <c r="I2254" s="7" t="n">
        <v>260</v>
      </c>
      <c r="J2254" s="7" t="n">
        <v>50</v>
      </c>
      <c r="K2254" s="7" t="s">
        <v>112</v>
      </c>
      <c r="L2254" s="7" t="s">
        <v>194</v>
      </c>
      <c r="M2254" s="7" t="n">
        <v>37</v>
      </c>
      <c r="N2254" s="7"/>
      <c r="O2254" s="7" t="str">
        <f aca="false">A2254&amp;"|"&amp;B2254&amp;"|"&amp;C2254&amp;"|"&amp;D2254&amp;"|"&amp;E2254&amp;"|"&amp;F2254&amp;"|"&amp;G2254&amp;"|"&amp;H2254&amp;"|"&amp;I2254&amp;"|"&amp;J2254&amp;"|"&amp;K2254&amp;"|"&amp;L2254&amp;"|"&amp;M2254&amp;"|"&amp;N2254</f>
        <v>ORD10320|12/02/2025|11:08|C0149|Maratha Thali House|Pune|North Indian|3|260|50|Cash on Delivery|Delivered|37|</v>
      </c>
      <c r="P2254" s="7" t="str">
        <f aca="false">IF(COUNTIF($O$2:O2254,O2254)&gt;1,"DUP","OK")</f>
        <v>OK</v>
      </c>
      <c r="Q2254" s="7" t="n">
        <f aca="false">COUNTBLANK(A2254:N2254)</f>
        <v>1</v>
      </c>
      <c r="R2254" s="7" t="n">
        <f aca="false">IF(A2254="",0,COUNTIFS($A$2:$A$3058,A2254,$P$2:$P$3058,"OK"))</f>
        <v>1</v>
      </c>
      <c r="S2254" s="7" t="str">
        <f aca="false">IF(OR(A2254="",P2254="DUP",R2254&lt;2),"",IF(Q2254=_xlfn.MINIFS($Q$2:$Q$3058,$A$2:$A$3058,A2254,$P$2:$P$3058,"OK"),"KEEP","DROP"))</f>
        <v/>
      </c>
      <c r="T2254" s="9" t="n">
        <f aca="false">IF(A2254="",1,0)</f>
        <v>0</v>
      </c>
      <c r="U2254" s="9" t="n">
        <f aca="false">IF(D2254="",1,0)</f>
        <v>0</v>
      </c>
      <c r="V2254" s="9" t="n">
        <f aca="false">IF(E2254="",1,0)</f>
        <v>0</v>
      </c>
      <c r="W2254" s="9" t="n">
        <f aca="false">IF(OR(H2254&lt;1,H2254&gt;10),1,0)</f>
        <v>0</v>
      </c>
      <c r="X2254" s="9" t="n">
        <f aca="false">IF(OR(I2254&lt;=0,I2254&gt;1500),1,0)</f>
        <v>0</v>
      </c>
      <c r="Y2254" s="9" t="n">
        <f aca="false">IF(J2254&gt;H2254*I2254,1,0)</f>
        <v>0</v>
      </c>
      <c r="Z2254" s="9" t="n">
        <f aca="false">IF(AND(N2254&lt;&gt;"",OR(N2254&lt;1,N2254&gt;5)),1,0)</f>
        <v>0</v>
      </c>
      <c r="AA2254" s="9" t="n">
        <f aca="false">IF(AND(M2254&lt;&gt;"",OR(M2254&lt;5,M2254&gt;180)),1,0)</f>
        <v>0</v>
      </c>
      <c r="AB2254" s="7" t="str">
        <f aca="false">IF(P2254="DUP","Exact duplicate row",IF(T2254=1,"Missing Order ID",IF(S2254="DROP","Duplicate Order ID (less complete row)",IF(U2254=1,"Missing Customer ID",IF(V2254=1,"Missing Restaurant name",IF(W2254=1,"Invalid/outlier quantity",IF(X2254=1,"Invalid/outlier unit price",IF(Y2254=1,"Discount greater than order value",""))))))))</f>
        <v/>
      </c>
      <c r="AC2254" s="7" t="str">
        <f aca="false">IF(AB2254="","KEEP","DROP")</f>
        <v>KEEP</v>
      </c>
      <c r="AD2254" s="7" t="str">
        <f aca="false">IF(TRIM(F2254)="",IFERROR(INDEX(Map_Tables!$I$4:$I$37,MATCH(TRIM(E2254),Map_Tables!$G$4:$G$37,0)),""),IFERROR(INDEX(Map_Tables!$B$4:$B$18,MATCH(TRIM(F2254),Map_Tables!$A$4:$A$18,0)),"CHECK"))</f>
        <v>Pune</v>
      </c>
      <c r="AE2254" s="7" t="str">
        <f aca="false">IF(TRIM(E2254)="","",IFERROR(INDEX(Map_Tables!$H$4:$H$37,MATCH(TRIM(E2254),Map_Tables!$G$4:$G$37,0)),"CHECK"))</f>
        <v>Maratha Thali House</v>
      </c>
      <c r="AF2254" s="7" t="str">
        <f aca="false">IF(TRIM(K2254)="","Unknown",IFERROR(INDEX(Map_Tables!$E$4:$E$15,MATCH(TRIM(K2254),Map_Tables!$D$4:$D$15,0)),"CHECK"))</f>
        <v>Cash on Delivery</v>
      </c>
      <c r="AG2254" s="7" t="str">
        <f aca="false">IF(LEFT(LOWER(TRIM(L2254)),6)="cancel","Cancelled","Delivered")</f>
        <v>Delivered</v>
      </c>
      <c r="AH2254" s="10" t="n">
        <f aca="false">IF(ISNUMBER(SEARCH("/",B2254)),DATE(VALUE(RIGHT(B2254,4)),VALUE(MID(B2254,4,2)),VALUE(LEFT(B2254,2))),IF(MID(B2254,5,1)="-",DATE(VALUE(LEFT(B2254,4)),VALUE(MID(B2254,6,2)),VALUE(RIGHT(B2254,2))),DATE(VALUE(RIGHT(B2254,4)),MATCH(MID(B2254,4,3),{"Jan","Feb","Mar","Apr","May","Jun","Jul","Aug","Sep","Oct","Nov","Dec"},0),VALUE(LEFT(B2254,2)))))</f>
        <v>45700</v>
      </c>
    </row>
    <row r="2255" customFormat="false" ht="15" hidden="false" customHeight="false" outlineLevel="0" collapsed="false">
      <c r="A2255" s="7" t="s">
        <v>5129</v>
      </c>
      <c r="B2255" s="7" t="s">
        <v>446</v>
      </c>
      <c r="C2255" s="7" t="s">
        <v>1125</v>
      </c>
      <c r="D2255" s="7" t="s">
        <v>3423</v>
      </c>
      <c r="E2255" s="7" t="s">
        <v>138</v>
      </c>
      <c r="F2255" s="7" t="s">
        <v>110</v>
      </c>
      <c r="G2255" s="7" t="s">
        <v>139</v>
      </c>
      <c r="H2255" s="7" t="n">
        <v>2</v>
      </c>
      <c r="I2255" s="7" t="n">
        <v>200</v>
      </c>
      <c r="J2255" s="7" t="n">
        <v>0</v>
      </c>
      <c r="K2255" s="7" t="s">
        <v>1739</v>
      </c>
      <c r="L2255" s="7" t="s">
        <v>194</v>
      </c>
      <c r="M2255" s="7" t="n">
        <v>39</v>
      </c>
      <c r="N2255" s="7"/>
      <c r="O2255" s="7" t="str">
        <f aca="false">A2255&amp;"|"&amp;B2255&amp;"|"&amp;C2255&amp;"|"&amp;D2255&amp;"|"&amp;E2255&amp;"|"&amp;F2255&amp;"|"&amp;G2255&amp;"|"&amp;H2255&amp;"|"&amp;I2255&amp;"|"&amp;J2255&amp;"|"&amp;K2255&amp;"|"&amp;L2255&amp;"|"&amp;M2255&amp;"|"&amp;N2255</f>
        <v>ORD10520|2025-03-09|11:49|C0840|Burger Barn|Delhi|Burgers|2|200|0|CC|Delivered|39|</v>
      </c>
      <c r="P2255" s="7" t="str">
        <f aca="false">IF(COUNTIF($O$2:O2255,O2255)&gt;1,"DUP","OK")</f>
        <v>OK</v>
      </c>
      <c r="Q2255" s="7" t="n">
        <f aca="false">COUNTBLANK(A2255:N2255)</f>
        <v>1</v>
      </c>
      <c r="R2255" s="7" t="n">
        <f aca="false">IF(A2255="",0,COUNTIFS($A$2:$A$3058,A2255,$P$2:$P$3058,"OK"))</f>
        <v>1</v>
      </c>
      <c r="S2255" s="7" t="str">
        <f aca="false">IF(OR(A2255="",P2255="DUP",R2255&lt;2),"",IF(Q2255=_xlfn.MINIFS($Q$2:$Q$3058,$A$2:$A$3058,A2255,$P$2:$P$3058,"OK"),"KEEP","DROP"))</f>
        <v/>
      </c>
      <c r="T2255" s="9" t="n">
        <f aca="false">IF(A2255="",1,0)</f>
        <v>0</v>
      </c>
      <c r="U2255" s="9" t="n">
        <f aca="false">IF(D2255="",1,0)</f>
        <v>0</v>
      </c>
      <c r="V2255" s="9" t="n">
        <f aca="false">IF(E2255="",1,0)</f>
        <v>0</v>
      </c>
      <c r="W2255" s="9" t="n">
        <f aca="false">IF(OR(H2255&lt;1,H2255&gt;10),1,0)</f>
        <v>0</v>
      </c>
      <c r="X2255" s="9" t="n">
        <f aca="false">IF(OR(I2255&lt;=0,I2255&gt;1500),1,0)</f>
        <v>0</v>
      </c>
      <c r="Y2255" s="9" t="n">
        <f aca="false">IF(J2255&gt;H2255*I2255,1,0)</f>
        <v>0</v>
      </c>
      <c r="Z2255" s="9" t="n">
        <f aca="false">IF(AND(N2255&lt;&gt;"",OR(N2255&lt;1,N2255&gt;5)),1,0)</f>
        <v>0</v>
      </c>
      <c r="AA2255" s="9" t="n">
        <f aca="false">IF(AND(M2255&lt;&gt;"",OR(M2255&lt;5,M2255&gt;180)),1,0)</f>
        <v>0</v>
      </c>
      <c r="AB2255" s="7" t="str">
        <f aca="false">IF(P2255="DUP","Exact duplicate row",IF(T2255=1,"Missing Order ID",IF(S2255="DROP","Duplicate Order ID (less complete row)",IF(U2255=1,"Missing Customer ID",IF(V2255=1,"Missing Restaurant name",IF(W2255=1,"Invalid/outlier quantity",IF(X2255=1,"Invalid/outlier unit price",IF(Y2255=1,"Discount greater than order value",""))))))))</f>
        <v/>
      </c>
      <c r="AC2255" s="7" t="str">
        <f aca="false">IF(AB2255="","KEEP","DROP")</f>
        <v>KEEP</v>
      </c>
      <c r="AD2255" s="7" t="str">
        <f aca="false">IF(TRIM(F2255)="",IFERROR(INDEX(Map_Tables!$I$4:$I$37,MATCH(TRIM(E2255),Map_Tables!$G$4:$G$37,0)),""),IFERROR(INDEX(Map_Tables!$B$4:$B$18,MATCH(TRIM(F2255),Map_Tables!$A$4:$A$18,0)),"CHECK"))</f>
        <v>Delhi</v>
      </c>
      <c r="AE2255" s="7" t="str">
        <f aca="false">IF(TRIM(E2255)="","",IFERROR(INDEX(Map_Tables!$H$4:$H$37,MATCH(TRIM(E2255),Map_Tables!$G$4:$G$37,0)),"CHECK"))</f>
        <v>Burger Barn</v>
      </c>
      <c r="AF2255" s="7" t="str">
        <f aca="false">IF(TRIM(K2255)="","Unknown",IFERROR(INDEX(Map_Tables!$E$4:$E$15,MATCH(TRIM(K2255),Map_Tables!$D$4:$D$15,0)),"CHECK"))</f>
        <v>Credit Card</v>
      </c>
      <c r="AG2255" s="7" t="str">
        <f aca="false">IF(LEFT(LOWER(TRIM(L2255)),6)="cancel","Cancelled","Delivered")</f>
        <v>Delivered</v>
      </c>
      <c r="AH2255" s="10" t="n">
        <f aca="false">IF(ISNUMBER(SEARCH("/",B2255)),DATE(VALUE(RIGHT(B2255,4)),VALUE(MID(B2255,4,2)),VALUE(LEFT(B2255,2))),IF(MID(B2255,5,1)="-",DATE(VALUE(LEFT(B2255,4)),VALUE(MID(B2255,6,2)),VALUE(RIGHT(B2255,2))),DATE(VALUE(RIGHT(B2255,4)),MATCH(MID(B2255,4,3),{"Jan","Feb","Mar","Apr","May","Jun","Jul","Aug","Sep","Oct","Nov","Dec"},0),VALUE(LEFT(B2255,2)))))</f>
        <v>45725</v>
      </c>
    </row>
    <row r="2256" customFormat="false" ht="15" hidden="false" customHeight="false" outlineLevel="0" collapsed="false">
      <c r="A2256" s="7" t="s">
        <v>5130</v>
      </c>
      <c r="B2256" s="7" t="s">
        <v>1260</v>
      </c>
      <c r="C2256" s="7" t="s">
        <v>3013</v>
      </c>
      <c r="D2256" s="7" t="s">
        <v>5131</v>
      </c>
      <c r="E2256" s="7" t="s">
        <v>113</v>
      </c>
      <c r="F2256" s="7" t="s">
        <v>498</v>
      </c>
      <c r="G2256" s="7" t="s">
        <v>90</v>
      </c>
      <c r="H2256" s="7" t="n">
        <v>1</v>
      </c>
      <c r="I2256" s="7" t="n">
        <v>260</v>
      </c>
      <c r="J2256" s="7" t="n">
        <v>104</v>
      </c>
      <c r="K2256" s="7" t="s">
        <v>93</v>
      </c>
      <c r="L2256" s="7" t="s">
        <v>194</v>
      </c>
      <c r="M2256" s="7" t="n">
        <v>44</v>
      </c>
      <c r="N2256" s="7" t="n">
        <v>4</v>
      </c>
      <c r="O2256" s="7" t="str">
        <f aca="false">A2256&amp;"|"&amp;B2256&amp;"|"&amp;C2256&amp;"|"&amp;D2256&amp;"|"&amp;E2256&amp;"|"&amp;F2256&amp;"|"&amp;G2256&amp;"|"&amp;H2256&amp;"|"&amp;I2256&amp;"|"&amp;J2256&amp;"|"&amp;K2256&amp;"|"&amp;L2256&amp;"|"&amp;M2256&amp;"|"&amp;N2256</f>
        <v>ORD12363|2025-10-25|11:18|C0910|Curry Leaf Kitchen|Bombay|North Indian|1|260|104|Credit Card|Delivered|44|4</v>
      </c>
      <c r="P2256" s="7" t="str">
        <f aca="false">IF(COUNTIF($O$2:O2256,O2256)&gt;1,"DUP","OK")</f>
        <v>OK</v>
      </c>
      <c r="Q2256" s="7" t="n">
        <f aca="false">COUNTBLANK(A2256:N2256)</f>
        <v>0</v>
      </c>
      <c r="R2256" s="7" t="n">
        <f aca="false">IF(A2256="",0,COUNTIFS($A$2:$A$3058,A2256,$P$2:$P$3058,"OK"))</f>
        <v>1</v>
      </c>
      <c r="S2256" s="7" t="str">
        <f aca="false">IF(OR(A2256="",P2256="DUP",R2256&lt;2),"",IF(Q2256=_xlfn.MINIFS($Q$2:$Q$3058,$A$2:$A$3058,A2256,$P$2:$P$3058,"OK"),"KEEP","DROP"))</f>
        <v/>
      </c>
      <c r="T2256" s="9" t="n">
        <f aca="false">IF(A2256="",1,0)</f>
        <v>0</v>
      </c>
      <c r="U2256" s="9" t="n">
        <f aca="false">IF(D2256="",1,0)</f>
        <v>0</v>
      </c>
      <c r="V2256" s="9" t="n">
        <f aca="false">IF(E2256="",1,0)</f>
        <v>0</v>
      </c>
      <c r="W2256" s="9" t="n">
        <f aca="false">IF(OR(H2256&lt;1,H2256&gt;10),1,0)</f>
        <v>0</v>
      </c>
      <c r="X2256" s="9" t="n">
        <f aca="false">IF(OR(I2256&lt;=0,I2256&gt;1500),1,0)</f>
        <v>0</v>
      </c>
      <c r="Y2256" s="9" t="n">
        <f aca="false">IF(J2256&gt;H2256*I2256,1,0)</f>
        <v>0</v>
      </c>
      <c r="Z2256" s="9" t="n">
        <f aca="false">IF(AND(N2256&lt;&gt;"",OR(N2256&lt;1,N2256&gt;5)),1,0)</f>
        <v>0</v>
      </c>
      <c r="AA2256" s="9" t="n">
        <f aca="false">IF(AND(M2256&lt;&gt;"",OR(M2256&lt;5,M2256&gt;180)),1,0)</f>
        <v>0</v>
      </c>
      <c r="AB2256" s="7" t="str">
        <f aca="false">IF(P2256="DUP","Exact duplicate row",IF(T2256=1,"Missing Order ID",IF(S2256="DROP","Duplicate Order ID (less complete row)",IF(U2256=1,"Missing Customer ID",IF(V2256=1,"Missing Restaurant name",IF(W2256=1,"Invalid/outlier quantity",IF(X2256=1,"Invalid/outlier unit price",IF(Y2256=1,"Discount greater than order value",""))))))))</f>
        <v/>
      </c>
      <c r="AC2256" s="7" t="str">
        <f aca="false">IF(AB2256="","KEEP","DROP")</f>
        <v>KEEP</v>
      </c>
      <c r="AD2256" s="7" t="str">
        <f aca="false">IF(TRIM(F2256)="",IFERROR(INDEX(Map_Tables!$I$4:$I$37,MATCH(TRIM(E2256),Map_Tables!$G$4:$G$37,0)),""),IFERROR(INDEX(Map_Tables!$B$4:$B$18,MATCH(TRIM(F2256),Map_Tables!$A$4:$A$18,0)),"CHECK"))</f>
        <v>Mumbai</v>
      </c>
      <c r="AE2256" s="7" t="str">
        <f aca="false">IF(TRIM(E2256)="","",IFERROR(INDEX(Map_Tables!$H$4:$H$37,MATCH(TRIM(E2256),Map_Tables!$G$4:$G$37,0)),"CHECK"))</f>
        <v>Curry Leaf Kitchen</v>
      </c>
      <c r="AF2256" s="7" t="str">
        <f aca="false">IF(TRIM(K2256)="","Unknown",IFERROR(INDEX(Map_Tables!$E$4:$E$15,MATCH(TRIM(K2256),Map_Tables!$D$4:$D$15,0)),"CHECK"))</f>
        <v>Credit Card</v>
      </c>
      <c r="AG2256" s="7" t="str">
        <f aca="false">IF(LEFT(LOWER(TRIM(L2256)),6)="cancel","Cancelled","Delivered")</f>
        <v>Delivered</v>
      </c>
      <c r="AH2256" s="10" t="n">
        <f aca="false">IF(ISNUMBER(SEARCH("/",B2256)),DATE(VALUE(RIGHT(B2256,4)),VALUE(MID(B2256,4,2)),VALUE(LEFT(B2256,2))),IF(MID(B2256,5,1)="-",DATE(VALUE(LEFT(B2256,4)),VALUE(MID(B2256,6,2)),VALUE(RIGHT(B2256,2))),DATE(VALUE(RIGHT(B2256,4)),MATCH(MID(B2256,4,3),{"Jan","Feb","Mar","Apr","May","Jun","Jul","Aug","Sep","Oct","Nov","Dec"},0),VALUE(LEFT(B2256,2)))))</f>
        <v>45955</v>
      </c>
    </row>
    <row r="2257" customFormat="false" ht="15" hidden="false" customHeight="false" outlineLevel="0" collapsed="false">
      <c r="A2257" s="7" t="s">
        <v>5132</v>
      </c>
      <c r="B2257" s="7" t="s">
        <v>1532</v>
      </c>
      <c r="C2257" s="7" t="s">
        <v>1995</v>
      </c>
      <c r="D2257" s="7" t="s">
        <v>1536</v>
      </c>
      <c r="E2257" s="7" t="s">
        <v>122</v>
      </c>
      <c r="F2257" s="7" t="s">
        <v>215</v>
      </c>
      <c r="G2257" s="7" t="s">
        <v>123</v>
      </c>
      <c r="H2257" s="7" t="n">
        <v>3</v>
      </c>
      <c r="I2257" s="7" t="n">
        <v>320</v>
      </c>
      <c r="J2257" s="7" t="n">
        <v>50</v>
      </c>
      <c r="K2257" s="7" t="s">
        <v>88</v>
      </c>
      <c r="L2257" s="7" t="s">
        <v>194</v>
      </c>
      <c r="M2257" s="7" t="n">
        <v>43</v>
      </c>
      <c r="N2257" s="7" t="n">
        <v>3</v>
      </c>
      <c r="O2257" s="7" t="str">
        <f aca="false">A2257&amp;"|"&amp;B2257&amp;"|"&amp;C2257&amp;"|"&amp;D2257&amp;"|"&amp;E2257&amp;"|"&amp;F2257&amp;"|"&amp;G2257&amp;"|"&amp;H2257&amp;"|"&amp;I2257&amp;"|"&amp;J2257&amp;"|"&amp;K2257&amp;"|"&amp;L2257&amp;"|"&amp;M2257&amp;"|"&amp;N2257</f>
        <v>ORD10879|2025-04-21|14:14|C1132|Mumbai Pizza Co|MUMBAI|Pizza|3|320|50|UPI|Delivered|43|3</v>
      </c>
      <c r="P2257" s="7" t="str">
        <f aca="false">IF(COUNTIF($O$2:O2257,O2257)&gt;1,"DUP","OK")</f>
        <v>OK</v>
      </c>
      <c r="Q2257" s="7" t="n">
        <f aca="false">COUNTBLANK(A2257:N2257)</f>
        <v>0</v>
      </c>
      <c r="R2257" s="7" t="n">
        <f aca="false">IF(A2257="",0,COUNTIFS($A$2:$A$3058,A2257,$P$2:$P$3058,"OK"))</f>
        <v>1</v>
      </c>
      <c r="S2257" s="7" t="str">
        <f aca="false">IF(OR(A2257="",P2257="DUP",R2257&lt;2),"",IF(Q2257=_xlfn.MINIFS($Q$2:$Q$3058,$A$2:$A$3058,A2257,$P$2:$P$3058,"OK"),"KEEP","DROP"))</f>
        <v/>
      </c>
      <c r="T2257" s="9" t="n">
        <f aca="false">IF(A2257="",1,0)</f>
        <v>0</v>
      </c>
      <c r="U2257" s="9" t="n">
        <f aca="false">IF(D2257="",1,0)</f>
        <v>0</v>
      </c>
      <c r="V2257" s="9" t="n">
        <f aca="false">IF(E2257="",1,0)</f>
        <v>0</v>
      </c>
      <c r="W2257" s="9" t="n">
        <f aca="false">IF(OR(H2257&lt;1,H2257&gt;10),1,0)</f>
        <v>0</v>
      </c>
      <c r="X2257" s="9" t="n">
        <f aca="false">IF(OR(I2257&lt;=0,I2257&gt;1500),1,0)</f>
        <v>0</v>
      </c>
      <c r="Y2257" s="9" t="n">
        <f aca="false">IF(J2257&gt;H2257*I2257,1,0)</f>
        <v>0</v>
      </c>
      <c r="Z2257" s="9" t="n">
        <f aca="false">IF(AND(N2257&lt;&gt;"",OR(N2257&lt;1,N2257&gt;5)),1,0)</f>
        <v>0</v>
      </c>
      <c r="AA2257" s="9" t="n">
        <f aca="false">IF(AND(M2257&lt;&gt;"",OR(M2257&lt;5,M2257&gt;180)),1,0)</f>
        <v>0</v>
      </c>
      <c r="AB2257" s="7" t="str">
        <f aca="false">IF(P2257="DUP","Exact duplicate row",IF(T2257=1,"Missing Order ID",IF(S2257="DROP","Duplicate Order ID (less complete row)",IF(U2257=1,"Missing Customer ID",IF(V2257=1,"Missing Restaurant name",IF(W2257=1,"Invalid/outlier quantity",IF(X2257=1,"Invalid/outlier unit price",IF(Y2257=1,"Discount greater than order value",""))))))))</f>
        <v/>
      </c>
      <c r="AC2257" s="7" t="str">
        <f aca="false">IF(AB2257="","KEEP","DROP")</f>
        <v>KEEP</v>
      </c>
      <c r="AD2257" s="7" t="str">
        <f aca="false">IF(TRIM(F2257)="",IFERROR(INDEX(Map_Tables!$I$4:$I$37,MATCH(TRIM(E2257),Map_Tables!$G$4:$G$37,0)),""),IFERROR(INDEX(Map_Tables!$B$4:$B$18,MATCH(TRIM(F2257),Map_Tables!$A$4:$A$18,0)),"CHECK"))</f>
        <v>Mumbai</v>
      </c>
      <c r="AE2257" s="7" t="str">
        <f aca="false">IF(TRIM(E2257)="","",IFERROR(INDEX(Map_Tables!$H$4:$H$37,MATCH(TRIM(E2257),Map_Tables!$G$4:$G$37,0)),"CHECK"))</f>
        <v>Mumbai Pizza Co</v>
      </c>
      <c r="AF2257" s="7" t="str">
        <f aca="false">IF(TRIM(K2257)="","Unknown",IFERROR(INDEX(Map_Tables!$E$4:$E$15,MATCH(TRIM(K2257),Map_Tables!$D$4:$D$15,0)),"CHECK"))</f>
        <v>UPI</v>
      </c>
      <c r="AG2257" s="7" t="str">
        <f aca="false">IF(LEFT(LOWER(TRIM(L2257)),6)="cancel","Cancelled","Delivered")</f>
        <v>Delivered</v>
      </c>
      <c r="AH2257" s="10" t="n">
        <f aca="false">IF(ISNUMBER(SEARCH("/",B2257)),DATE(VALUE(RIGHT(B2257,4)),VALUE(MID(B2257,4,2)),VALUE(LEFT(B2257,2))),IF(MID(B2257,5,1)="-",DATE(VALUE(LEFT(B2257,4)),VALUE(MID(B2257,6,2)),VALUE(RIGHT(B2257,2))),DATE(VALUE(RIGHT(B2257,4)),MATCH(MID(B2257,4,3),{"Jan","Feb","Mar","Apr","May","Jun","Jul","Aug","Sep","Oct","Nov","Dec"},0),VALUE(LEFT(B2257,2)))))</f>
        <v>45768</v>
      </c>
    </row>
    <row r="2258" customFormat="false" ht="15" hidden="false" customHeight="false" outlineLevel="0" collapsed="false">
      <c r="A2258" s="7" t="s">
        <v>5133</v>
      </c>
      <c r="B2258" s="7" t="s">
        <v>4596</v>
      </c>
      <c r="C2258" s="7" t="s">
        <v>3197</v>
      </c>
      <c r="D2258" s="7" t="s">
        <v>3612</v>
      </c>
      <c r="E2258" s="7" t="s">
        <v>126</v>
      </c>
      <c r="F2258" s="7" t="s">
        <v>101</v>
      </c>
      <c r="G2258" s="7" t="s">
        <v>531</v>
      </c>
      <c r="H2258" s="7" t="n">
        <v>2</v>
      </c>
      <c r="I2258" s="7" t="n">
        <v>205</v>
      </c>
      <c r="J2258" s="7" t="n">
        <v>0</v>
      </c>
      <c r="K2258" s="7" t="s">
        <v>121</v>
      </c>
      <c r="L2258" s="7" t="s">
        <v>194</v>
      </c>
      <c r="M2258" s="7" t="n">
        <v>41</v>
      </c>
      <c r="N2258" s="7" t="n">
        <v>4</v>
      </c>
      <c r="O2258" s="7" t="str">
        <f aca="false">A2258&amp;"|"&amp;B2258&amp;"|"&amp;C2258&amp;"|"&amp;D2258&amp;"|"&amp;E2258&amp;"|"&amp;F2258&amp;"|"&amp;G2258&amp;"|"&amp;H2258&amp;"|"&amp;I2258&amp;"|"&amp;J2258&amp;"|"&amp;K2258&amp;"|"&amp;L2258&amp;"|"&amp;M2258&amp;"|"&amp;N2258</f>
        <v>ORD10826|2025-04-15|10:36|C0275|Dragon Express|Mumbai|CHINESE|2|205|0|Wallet|Delivered|41|4</v>
      </c>
      <c r="P2258" s="7" t="str">
        <f aca="false">IF(COUNTIF($O$2:O2258,O2258)&gt;1,"DUP","OK")</f>
        <v>OK</v>
      </c>
      <c r="Q2258" s="7" t="n">
        <f aca="false">COUNTBLANK(A2258:N2258)</f>
        <v>0</v>
      </c>
      <c r="R2258" s="7" t="n">
        <f aca="false">IF(A2258="",0,COUNTIFS($A$2:$A$3058,A2258,$P$2:$P$3058,"OK"))</f>
        <v>1</v>
      </c>
      <c r="S2258" s="7" t="str">
        <f aca="false">IF(OR(A2258="",P2258="DUP",R2258&lt;2),"",IF(Q2258=_xlfn.MINIFS($Q$2:$Q$3058,$A$2:$A$3058,A2258,$P$2:$P$3058,"OK"),"KEEP","DROP"))</f>
        <v/>
      </c>
      <c r="T2258" s="9" t="n">
        <f aca="false">IF(A2258="",1,0)</f>
        <v>0</v>
      </c>
      <c r="U2258" s="9" t="n">
        <f aca="false">IF(D2258="",1,0)</f>
        <v>0</v>
      </c>
      <c r="V2258" s="9" t="n">
        <f aca="false">IF(E2258="",1,0)</f>
        <v>0</v>
      </c>
      <c r="W2258" s="9" t="n">
        <f aca="false">IF(OR(H2258&lt;1,H2258&gt;10),1,0)</f>
        <v>0</v>
      </c>
      <c r="X2258" s="9" t="n">
        <f aca="false">IF(OR(I2258&lt;=0,I2258&gt;1500),1,0)</f>
        <v>0</v>
      </c>
      <c r="Y2258" s="9" t="n">
        <f aca="false">IF(J2258&gt;H2258*I2258,1,0)</f>
        <v>0</v>
      </c>
      <c r="Z2258" s="9" t="n">
        <f aca="false">IF(AND(N2258&lt;&gt;"",OR(N2258&lt;1,N2258&gt;5)),1,0)</f>
        <v>0</v>
      </c>
      <c r="AA2258" s="9" t="n">
        <f aca="false">IF(AND(M2258&lt;&gt;"",OR(M2258&lt;5,M2258&gt;180)),1,0)</f>
        <v>0</v>
      </c>
      <c r="AB2258" s="7" t="str">
        <f aca="false">IF(P2258="DUP","Exact duplicate row",IF(T2258=1,"Missing Order ID",IF(S2258="DROP","Duplicate Order ID (less complete row)",IF(U2258=1,"Missing Customer ID",IF(V2258=1,"Missing Restaurant name",IF(W2258=1,"Invalid/outlier quantity",IF(X2258=1,"Invalid/outlier unit price",IF(Y2258=1,"Discount greater than order value",""))))))))</f>
        <v/>
      </c>
      <c r="AC2258" s="7" t="str">
        <f aca="false">IF(AB2258="","KEEP","DROP")</f>
        <v>KEEP</v>
      </c>
      <c r="AD2258" s="7" t="str">
        <f aca="false">IF(TRIM(F2258)="",IFERROR(INDEX(Map_Tables!$I$4:$I$37,MATCH(TRIM(E2258),Map_Tables!$G$4:$G$37,0)),""),IFERROR(INDEX(Map_Tables!$B$4:$B$18,MATCH(TRIM(F2258),Map_Tables!$A$4:$A$18,0)),"CHECK"))</f>
        <v>Mumbai</v>
      </c>
      <c r="AE2258" s="7" t="str">
        <f aca="false">IF(TRIM(E2258)="","",IFERROR(INDEX(Map_Tables!$H$4:$H$37,MATCH(TRIM(E2258),Map_Tables!$G$4:$G$37,0)),"CHECK"))</f>
        <v>Dragon Express</v>
      </c>
      <c r="AF2258" s="7" t="str">
        <f aca="false">IF(TRIM(K2258)="","Unknown",IFERROR(INDEX(Map_Tables!$E$4:$E$15,MATCH(TRIM(K2258),Map_Tables!$D$4:$D$15,0)),"CHECK"))</f>
        <v>Wallet</v>
      </c>
      <c r="AG2258" s="7" t="str">
        <f aca="false">IF(LEFT(LOWER(TRIM(L2258)),6)="cancel","Cancelled","Delivered")</f>
        <v>Delivered</v>
      </c>
      <c r="AH2258" s="10" t="n">
        <f aca="false">IF(ISNUMBER(SEARCH("/",B2258)),DATE(VALUE(RIGHT(B2258,4)),VALUE(MID(B2258,4,2)),VALUE(LEFT(B2258,2))),IF(MID(B2258,5,1)="-",DATE(VALUE(LEFT(B2258,4)),VALUE(MID(B2258,6,2)),VALUE(RIGHT(B2258,2))),DATE(VALUE(RIGHT(B2258,4)),MATCH(MID(B2258,4,3),{"Jan","Feb","Mar","Apr","May","Jun","Jul","Aug","Sep","Oct","Nov","Dec"},0),VALUE(LEFT(B2258,2)))))</f>
        <v>45762</v>
      </c>
    </row>
    <row r="2259" customFormat="false" ht="15" hidden="false" customHeight="false" outlineLevel="0" collapsed="false">
      <c r="A2259" s="7" t="s">
        <v>5134</v>
      </c>
      <c r="B2259" s="7" t="s">
        <v>2214</v>
      </c>
      <c r="C2259" s="7" t="s">
        <v>577</v>
      </c>
      <c r="D2259" s="7" t="s">
        <v>4464</v>
      </c>
      <c r="E2259" s="7" t="s">
        <v>122</v>
      </c>
      <c r="F2259" s="7" t="s">
        <v>101</v>
      </c>
      <c r="G2259" s="7" t="s">
        <v>123</v>
      </c>
      <c r="H2259" s="7" t="n">
        <v>3</v>
      </c>
      <c r="I2259" s="7" t="n">
        <v>275</v>
      </c>
      <c r="J2259" s="7" t="n">
        <v>50</v>
      </c>
      <c r="K2259" s="7" t="s">
        <v>88</v>
      </c>
      <c r="L2259" s="7" t="s">
        <v>194</v>
      </c>
      <c r="M2259" s="7" t="n">
        <v>33</v>
      </c>
      <c r="N2259" s="7" t="n">
        <v>4</v>
      </c>
      <c r="O2259" s="7" t="str">
        <f aca="false">A2259&amp;"|"&amp;B2259&amp;"|"&amp;C2259&amp;"|"&amp;D2259&amp;"|"&amp;E2259&amp;"|"&amp;F2259&amp;"|"&amp;G2259&amp;"|"&amp;H2259&amp;"|"&amp;I2259&amp;"|"&amp;J2259&amp;"|"&amp;K2259&amp;"|"&amp;L2259&amp;"|"&amp;M2259&amp;"|"&amp;N2259</f>
        <v>ORD11291|2025-06-14|12:20|C1232|Mumbai Pizza Co|Mumbai|Pizza|3|275|50|UPI|Delivered|33|4</v>
      </c>
      <c r="P2259" s="7" t="str">
        <f aca="false">IF(COUNTIF($O$2:O2259,O2259)&gt;1,"DUP","OK")</f>
        <v>OK</v>
      </c>
      <c r="Q2259" s="7" t="n">
        <f aca="false">COUNTBLANK(A2259:N2259)</f>
        <v>0</v>
      </c>
      <c r="R2259" s="7" t="n">
        <f aca="false">IF(A2259="",0,COUNTIFS($A$2:$A$3058,A2259,$P$2:$P$3058,"OK"))</f>
        <v>1</v>
      </c>
      <c r="S2259" s="7" t="str">
        <f aca="false">IF(OR(A2259="",P2259="DUP",R2259&lt;2),"",IF(Q2259=_xlfn.MINIFS($Q$2:$Q$3058,$A$2:$A$3058,A2259,$P$2:$P$3058,"OK"),"KEEP","DROP"))</f>
        <v/>
      </c>
      <c r="T2259" s="9" t="n">
        <f aca="false">IF(A2259="",1,0)</f>
        <v>0</v>
      </c>
      <c r="U2259" s="9" t="n">
        <f aca="false">IF(D2259="",1,0)</f>
        <v>0</v>
      </c>
      <c r="V2259" s="9" t="n">
        <f aca="false">IF(E2259="",1,0)</f>
        <v>0</v>
      </c>
      <c r="W2259" s="9" t="n">
        <f aca="false">IF(OR(H2259&lt;1,H2259&gt;10),1,0)</f>
        <v>0</v>
      </c>
      <c r="X2259" s="9" t="n">
        <f aca="false">IF(OR(I2259&lt;=0,I2259&gt;1500),1,0)</f>
        <v>0</v>
      </c>
      <c r="Y2259" s="9" t="n">
        <f aca="false">IF(J2259&gt;H2259*I2259,1,0)</f>
        <v>0</v>
      </c>
      <c r="Z2259" s="9" t="n">
        <f aca="false">IF(AND(N2259&lt;&gt;"",OR(N2259&lt;1,N2259&gt;5)),1,0)</f>
        <v>0</v>
      </c>
      <c r="AA2259" s="9" t="n">
        <f aca="false">IF(AND(M2259&lt;&gt;"",OR(M2259&lt;5,M2259&gt;180)),1,0)</f>
        <v>0</v>
      </c>
      <c r="AB2259" s="7" t="str">
        <f aca="false">IF(P2259="DUP","Exact duplicate row",IF(T2259=1,"Missing Order ID",IF(S2259="DROP","Duplicate Order ID (less complete row)",IF(U2259=1,"Missing Customer ID",IF(V2259=1,"Missing Restaurant name",IF(W2259=1,"Invalid/outlier quantity",IF(X2259=1,"Invalid/outlier unit price",IF(Y2259=1,"Discount greater than order value",""))))))))</f>
        <v/>
      </c>
      <c r="AC2259" s="7" t="str">
        <f aca="false">IF(AB2259="","KEEP","DROP")</f>
        <v>KEEP</v>
      </c>
      <c r="AD2259" s="7" t="str">
        <f aca="false">IF(TRIM(F2259)="",IFERROR(INDEX(Map_Tables!$I$4:$I$37,MATCH(TRIM(E2259),Map_Tables!$G$4:$G$37,0)),""),IFERROR(INDEX(Map_Tables!$B$4:$B$18,MATCH(TRIM(F2259),Map_Tables!$A$4:$A$18,0)),"CHECK"))</f>
        <v>Mumbai</v>
      </c>
      <c r="AE2259" s="7" t="str">
        <f aca="false">IF(TRIM(E2259)="","",IFERROR(INDEX(Map_Tables!$H$4:$H$37,MATCH(TRIM(E2259),Map_Tables!$G$4:$G$37,0)),"CHECK"))</f>
        <v>Mumbai Pizza Co</v>
      </c>
      <c r="AF2259" s="7" t="str">
        <f aca="false">IF(TRIM(K2259)="","Unknown",IFERROR(INDEX(Map_Tables!$E$4:$E$15,MATCH(TRIM(K2259),Map_Tables!$D$4:$D$15,0)),"CHECK"))</f>
        <v>UPI</v>
      </c>
      <c r="AG2259" s="7" t="str">
        <f aca="false">IF(LEFT(LOWER(TRIM(L2259)),6)="cancel","Cancelled","Delivered")</f>
        <v>Delivered</v>
      </c>
      <c r="AH2259" s="10" t="n">
        <f aca="false">IF(ISNUMBER(SEARCH("/",B2259)),DATE(VALUE(RIGHT(B2259,4)),VALUE(MID(B2259,4,2)),VALUE(LEFT(B2259,2))),IF(MID(B2259,5,1)="-",DATE(VALUE(LEFT(B2259,4)),VALUE(MID(B2259,6,2)),VALUE(RIGHT(B2259,2))),DATE(VALUE(RIGHT(B2259,4)),MATCH(MID(B2259,4,3),{"Jan","Feb","Mar","Apr","May","Jun","Jul","Aug","Sep","Oct","Nov","Dec"},0),VALUE(LEFT(B2259,2)))))</f>
        <v>45822</v>
      </c>
    </row>
    <row r="2260" customFormat="false" ht="15" hidden="false" customHeight="false" outlineLevel="0" collapsed="false">
      <c r="A2260" s="7" t="s">
        <v>5135</v>
      </c>
      <c r="B2260" s="7" t="s">
        <v>212</v>
      </c>
      <c r="C2260" s="7" t="s">
        <v>209</v>
      </c>
      <c r="D2260" s="7" t="s">
        <v>4694</v>
      </c>
      <c r="E2260" s="7" t="s">
        <v>168</v>
      </c>
      <c r="F2260" s="7" t="s">
        <v>901</v>
      </c>
      <c r="G2260" s="7" t="s">
        <v>123</v>
      </c>
      <c r="H2260" s="7" t="n">
        <v>2</v>
      </c>
      <c r="I2260" s="7" t="n">
        <v>370</v>
      </c>
      <c r="J2260" s="7" t="n">
        <v>0</v>
      </c>
      <c r="K2260" s="7" t="s">
        <v>112</v>
      </c>
      <c r="L2260" s="7" t="s">
        <v>194</v>
      </c>
      <c r="M2260" s="7" t="n">
        <v>31</v>
      </c>
      <c r="N2260" s="7" t="n">
        <v>5</v>
      </c>
      <c r="O2260" s="7" t="str">
        <f aca="false">A2260&amp;"|"&amp;B2260&amp;"|"&amp;C2260&amp;"|"&amp;D2260&amp;"|"&amp;E2260&amp;"|"&amp;F2260&amp;"|"&amp;G2260&amp;"|"&amp;H2260&amp;"|"&amp;I2260&amp;"|"&amp;J2260&amp;"|"&amp;K2260&amp;"|"&amp;L2260&amp;"|"&amp;M2260&amp;"|"&amp;N2260</f>
        <v>ORD12742|2025-12-01|21:40|C0787|Cheesy Slice|AHMEDABAD|Pizza|2|370|0|Cash on Delivery|Delivered|31|5</v>
      </c>
      <c r="P2260" s="7" t="str">
        <f aca="false">IF(COUNTIF($O$2:O2260,O2260)&gt;1,"DUP","OK")</f>
        <v>OK</v>
      </c>
      <c r="Q2260" s="7" t="n">
        <f aca="false">COUNTBLANK(A2260:N2260)</f>
        <v>0</v>
      </c>
      <c r="R2260" s="7" t="n">
        <f aca="false">IF(A2260="",0,COUNTIFS($A$2:$A$3058,A2260,$P$2:$P$3058,"OK"))</f>
        <v>1</v>
      </c>
      <c r="S2260" s="7" t="str">
        <f aca="false">IF(OR(A2260="",P2260="DUP",R2260&lt;2),"",IF(Q2260=_xlfn.MINIFS($Q$2:$Q$3058,$A$2:$A$3058,A2260,$P$2:$P$3058,"OK"),"KEEP","DROP"))</f>
        <v/>
      </c>
      <c r="T2260" s="9" t="n">
        <f aca="false">IF(A2260="",1,0)</f>
        <v>0</v>
      </c>
      <c r="U2260" s="9" t="n">
        <f aca="false">IF(D2260="",1,0)</f>
        <v>0</v>
      </c>
      <c r="V2260" s="9" t="n">
        <f aca="false">IF(E2260="",1,0)</f>
        <v>0</v>
      </c>
      <c r="W2260" s="9" t="n">
        <f aca="false">IF(OR(H2260&lt;1,H2260&gt;10),1,0)</f>
        <v>0</v>
      </c>
      <c r="X2260" s="9" t="n">
        <f aca="false">IF(OR(I2260&lt;=0,I2260&gt;1500),1,0)</f>
        <v>0</v>
      </c>
      <c r="Y2260" s="9" t="n">
        <f aca="false">IF(J2260&gt;H2260*I2260,1,0)</f>
        <v>0</v>
      </c>
      <c r="Z2260" s="9" t="n">
        <f aca="false">IF(AND(N2260&lt;&gt;"",OR(N2260&lt;1,N2260&gt;5)),1,0)</f>
        <v>0</v>
      </c>
      <c r="AA2260" s="9" t="n">
        <f aca="false">IF(AND(M2260&lt;&gt;"",OR(M2260&lt;5,M2260&gt;180)),1,0)</f>
        <v>0</v>
      </c>
      <c r="AB2260" s="7" t="str">
        <f aca="false">IF(P2260="DUP","Exact duplicate row",IF(T2260=1,"Missing Order ID",IF(S2260="DROP","Duplicate Order ID (less complete row)",IF(U2260=1,"Missing Customer ID",IF(V2260=1,"Missing Restaurant name",IF(W2260=1,"Invalid/outlier quantity",IF(X2260=1,"Invalid/outlier unit price",IF(Y2260=1,"Discount greater than order value",""))))))))</f>
        <v/>
      </c>
      <c r="AC2260" s="7" t="str">
        <f aca="false">IF(AB2260="","KEEP","DROP")</f>
        <v>KEEP</v>
      </c>
      <c r="AD2260" s="7" t="str">
        <f aca="false">IF(TRIM(F2260)="",IFERROR(INDEX(Map_Tables!$I$4:$I$37,MATCH(TRIM(E2260),Map_Tables!$G$4:$G$37,0)),""),IFERROR(INDEX(Map_Tables!$B$4:$B$18,MATCH(TRIM(F2260),Map_Tables!$A$4:$A$18,0)),"CHECK"))</f>
        <v>Ahmedabad</v>
      </c>
      <c r="AE2260" s="7" t="str">
        <f aca="false">IF(TRIM(E2260)="","",IFERROR(INDEX(Map_Tables!$H$4:$H$37,MATCH(TRIM(E2260),Map_Tables!$G$4:$G$37,0)),"CHECK"))</f>
        <v>Cheesy Slice</v>
      </c>
      <c r="AF2260" s="7" t="str">
        <f aca="false">IF(TRIM(K2260)="","Unknown",IFERROR(INDEX(Map_Tables!$E$4:$E$15,MATCH(TRIM(K2260),Map_Tables!$D$4:$D$15,0)),"CHECK"))</f>
        <v>Cash on Delivery</v>
      </c>
      <c r="AG2260" s="7" t="str">
        <f aca="false">IF(LEFT(LOWER(TRIM(L2260)),6)="cancel","Cancelled","Delivered")</f>
        <v>Delivered</v>
      </c>
      <c r="AH2260" s="10" t="n">
        <f aca="false">IF(ISNUMBER(SEARCH("/",B2260)),DATE(VALUE(RIGHT(B2260,4)),VALUE(MID(B2260,4,2)),VALUE(LEFT(B2260,2))),IF(MID(B2260,5,1)="-",DATE(VALUE(LEFT(B2260,4)),VALUE(MID(B2260,6,2)),VALUE(RIGHT(B2260,2))),DATE(VALUE(RIGHT(B2260,4)),MATCH(MID(B2260,4,3),{"Jan","Feb","Mar","Apr","May","Jun","Jul","Aug","Sep","Oct","Nov","Dec"},0),VALUE(LEFT(B2260,2)))))</f>
        <v>45992</v>
      </c>
    </row>
    <row r="2261" customFormat="false" ht="15" hidden="false" customHeight="false" outlineLevel="0" collapsed="false">
      <c r="A2261" s="7" t="s">
        <v>5136</v>
      </c>
      <c r="B2261" s="7" t="s">
        <v>1992</v>
      </c>
      <c r="C2261" s="7" t="s">
        <v>1153</v>
      </c>
      <c r="D2261" s="7" t="s">
        <v>833</v>
      </c>
      <c r="E2261" s="7" t="s">
        <v>116</v>
      </c>
      <c r="F2261" s="7" t="s">
        <v>101</v>
      </c>
      <c r="G2261" s="7" t="s">
        <v>117</v>
      </c>
      <c r="H2261" s="7" t="n">
        <v>1</v>
      </c>
      <c r="I2261" s="7" t="n">
        <v>120</v>
      </c>
      <c r="J2261" s="7" t="n">
        <v>0</v>
      </c>
      <c r="K2261" s="7" t="s">
        <v>103</v>
      </c>
      <c r="L2261" s="7" t="s">
        <v>194</v>
      </c>
      <c r="M2261" s="7" t="n">
        <v>42</v>
      </c>
      <c r="N2261" s="7" t="n">
        <v>4</v>
      </c>
      <c r="O2261" s="7" t="str">
        <f aca="false">A2261&amp;"|"&amp;B2261&amp;"|"&amp;C2261&amp;"|"&amp;D2261&amp;"|"&amp;E2261&amp;"|"&amp;F2261&amp;"|"&amp;G2261&amp;"|"&amp;H2261&amp;"|"&amp;I2261&amp;"|"&amp;J2261&amp;"|"&amp;K2261&amp;"|"&amp;L2261&amp;"|"&amp;M2261&amp;"|"&amp;N2261</f>
        <v>ORD12577|15/11/2025|20:45|C0406|Pav Bhaji Point|Mumbai|Street Food|1|120|0|Debit Card|Delivered|42|4</v>
      </c>
      <c r="P2261" s="7" t="str">
        <f aca="false">IF(COUNTIF($O$2:O2261,O2261)&gt;1,"DUP","OK")</f>
        <v>OK</v>
      </c>
      <c r="Q2261" s="7" t="n">
        <f aca="false">COUNTBLANK(A2261:N2261)</f>
        <v>0</v>
      </c>
      <c r="R2261" s="7" t="n">
        <f aca="false">IF(A2261="",0,COUNTIFS($A$2:$A$3058,A2261,$P$2:$P$3058,"OK"))</f>
        <v>1</v>
      </c>
      <c r="S2261" s="7" t="str">
        <f aca="false">IF(OR(A2261="",P2261="DUP",R2261&lt;2),"",IF(Q2261=_xlfn.MINIFS($Q$2:$Q$3058,$A$2:$A$3058,A2261,$P$2:$P$3058,"OK"),"KEEP","DROP"))</f>
        <v/>
      </c>
      <c r="T2261" s="9" t="n">
        <f aca="false">IF(A2261="",1,0)</f>
        <v>0</v>
      </c>
      <c r="U2261" s="9" t="n">
        <f aca="false">IF(D2261="",1,0)</f>
        <v>0</v>
      </c>
      <c r="V2261" s="9" t="n">
        <f aca="false">IF(E2261="",1,0)</f>
        <v>0</v>
      </c>
      <c r="W2261" s="9" t="n">
        <f aca="false">IF(OR(H2261&lt;1,H2261&gt;10),1,0)</f>
        <v>0</v>
      </c>
      <c r="X2261" s="9" t="n">
        <f aca="false">IF(OR(I2261&lt;=0,I2261&gt;1500),1,0)</f>
        <v>0</v>
      </c>
      <c r="Y2261" s="9" t="n">
        <f aca="false">IF(J2261&gt;H2261*I2261,1,0)</f>
        <v>0</v>
      </c>
      <c r="Z2261" s="9" t="n">
        <f aca="false">IF(AND(N2261&lt;&gt;"",OR(N2261&lt;1,N2261&gt;5)),1,0)</f>
        <v>0</v>
      </c>
      <c r="AA2261" s="9" t="n">
        <f aca="false">IF(AND(M2261&lt;&gt;"",OR(M2261&lt;5,M2261&gt;180)),1,0)</f>
        <v>0</v>
      </c>
      <c r="AB2261" s="7" t="str">
        <f aca="false">IF(P2261="DUP","Exact duplicate row",IF(T2261=1,"Missing Order ID",IF(S2261="DROP","Duplicate Order ID (less complete row)",IF(U2261=1,"Missing Customer ID",IF(V2261=1,"Missing Restaurant name",IF(W2261=1,"Invalid/outlier quantity",IF(X2261=1,"Invalid/outlier unit price",IF(Y2261=1,"Discount greater than order value",""))))))))</f>
        <v/>
      </c>
      <c r="AC2261" s="7" t="str">
        <f aca="false">IF(AB2261="","KEEP","DROP")</f>
        <v>KEEP</v>
      </c>
      <c r="AD2261" s="7" t="str">
        <f aca="false">IF(TRIM(F2261)="",IFERROR(INDEX(Map_Tables!$I$4:$I$37,MATCH(TRIM(E2261),Map_Tables!$G$4:$G$37,0)),""),IFERROR(INDEX(Map_Tables!$B$4:$B$18,MATCH(TRIM(F2261),Map_Tables!$A$4:$A$18,0)),"CHECK"))</f>
        <v>Mumbai</v>
      </c>
      <c r="AE2261" s="7" t="str">
        <f aca="false">IF(TRIM(E2261)="","",IFERROR(INDEX(Map_Tables!$H$4:$H$37,MATCH(TRIM(E2261),Map_Tables!$G$4:$G$37,0)),"CHECK"))</f>
        <v>Pav Bhaji Point</v>
      </c>
      <c r="AF2261" s="7" t="str">
        <f aca="false">IF(TRIM(K2261)="","Unknown",IFERROR(INDEX(Map_Tables!$E$4:$E$15,MATCH(TRIM(K2261),Map_Tables!$D$4:$D$15,0)),"CHECK"))</f>
        <v>Debit Card</v>
      </c>
      <c r="AG2261" s="7" t="str">
        <f aca="false">IF(LEFT(LOWER(TRIM(L2261)),6)="cancel","Cancelled","Delivered")</f>
        <v>Delivered</v>
      </c>
      <c r="AH2261" s="10" t="n">
        <f aca="false">IF(ISNUMBER(SEARCH("/",B2261)),DATE(VALUE(RIGHT(B2261,4)),VALUE(MID(B2261,4,2)),VALUE(LEFT(B2261,2))),IF(MID(B2261,5,1)="-",DATE(VALUE(LEFT(B2261,4)),VALUE(MID(B2261,6,2)),VALUE(RIGHT(B2261,2))),DATE(VALUE(RIGHT(B2261,4)),MATCH(MID(B2261,4,3),{"Jan","Feb","Mar","Apr","May","Jun","Jul","Aug","Sep","Oct","Nov","Dec"},0),VALUE(LEFT(B2261,2)))))</f>
        <v>45976</v>
      </c>
    </row>
    <row r="2262" customFormat="false" ht="15" hidden="false" customHeight="false" outlineLevel="0" collapsed="false">
      <c r="A2262" s="7" t="s">
        <v>5137</v>
      </c>
      <c r="B2262" s="7" t="s">
        <v>3689</v>
      </c>
      <c r="C2262" s="7" t="s">
        <v>1842</v>
      </c>
      <c r="D2262" s="7" t="s">
        <v>332</v>
      </c>
      <c r="E2262" s="7" t="s">
        <v>160</v>
      </c>
      <c r="F2262" s="7" t="s">
        <v>136</v>
      </c>
      <c r="G2262" s="7" t="s">
        <v>150</v>
      </c>
      <c r="H2262" s="7" t="n">
        <v>3</v>
      </c>
      <c r="I2262" s="7" t="n">
        <v>220</v>
      </c>
      <c r="J2262" s="7" t="n">
        <v>0</v>
      </c>
      <c r="K2262" s="7" t="s">
        <v>88</v>
      </c>
      <c r="L2262" s="7" t="s">
        <v>194</v>
      </c>
      <c r="M2262" s="7" t="n">
        <v>40</v>
      </c>
      <c r="N2262" s="7" t="n">
        <v>5</v>
      </c>
      <c r="O2262" s="7" t="str">
        <f aca="false">A2262&amp;"|"&amp;B2262&amp;"|"&amp;C2262&amp;"|"&amp;D2262&amp;"|"&amp;E2262&amp;"|"&amp;F2262&amp;"|"&amp;G2262&amp;"|"&amp;H2262&amp;"|"&amp;I2262&amp;"|"&amp;J2262&amp;"|"&amp;K2262&amp;"|"&amp;L2262&amp;"|"&amp;M2262&amp;"|"&amp;N2262</f>
        <v>ORD10139|2025-01-18|20:48|C1296|Cake Walk|Pune|Desserts|3|220|0|UPI|Delivered|40|5</v>
      </c>
      <c r="P2262" s="7" t="str">
        <f aca="false">IF(COUNTIF($O$2:O2262,O2262)&gt;1,"DUP","OK")</f>
        <v>OK</v>
      </c>
      <c r="Q2262" s="7" t="n">
        <f aca="false">COUNTBLANK(A2262:N2262)</f>
        <v>0</v>
      </c>
      <c r="R2262" s="7" t="n">
        <f aca="false">IF(A2262="",0,COUNTIFS($A$2:$A$3058,A2262,$P$2:$P$3058,"OK"))</f>
        <v>1</v>
      </c>
      <c r="S2262" s="7" t="str">
        <f aca="false">IF(OR(A2262="",P2262="DUP",R2262&lt;2),"",IF(Q2262=_xlfn.MINIFS($Q$2:$Q$3058,$A$2:$A$3058,A2262,$P$2:$P$3058,"OK"),"KEEP","DROP"))</f>
        <v/>
      </c>
      <c r="T2262" s="9" t="n">
        <f aca="false">IF(A2262="",1,0)</f>
        <v>0</v>
      </c>
      <c r="U2262" s="9" t="n">
        <f aca="false">IF(D2262="",1,0)</f>
        <v>0</v>
      </c>
      <c r="V2262" s="9" t="n">
        <f aca="false">IF(E2262="",1,0)</f>
        <v>0</v>
      </c>
      <c r="W2262" s="9" t="n">
        <f aca="false">IF(OR(H2262&lt;1,H2262&gt;10),1,0)</f>
        <v>0</v>
      </c>
      <c r="X2262" s="9" t="n">
        <f aca="false">IF(OR(I2262&lt;=0,I2262&gt;1500),1,0)</f>
        <v>0</v>
      </c>
      <c r="Y2262" s="9" t="n">
        <f aca="false">IF(J2262&gt;H2262*I2262,1,0)</f>
        <v>0</v>
      </c>
      <c r="Z2262" s="9" t="n">
        <f aca="false">IF(AND(N2262&lt;&gt;"",OR(N2262&lt;1,N2262&gt;5)),1,0)</f>
        <v>0</v>
      </c>
      <c r="AA2262" s="9" t="n">
        <f aca="false">IF(AND(M2262&lt;&gt;"",OR(M2262&lt;5,M2262&gt;180)),1,0)</f>
        <v>0</v>
      </c>
      <c r="AB2262" s="7" t="str">
        <f aca="false">IF(P2262="DUP","Exact duplicate row",IF(T2262=1,"Missing Order ID",IF(S2262="DROP","Duplicate Order ID (less complete row)",IF(U2262=1,"Missing Customer ID",IF(V2262=1,"Missing Restaurant name",IF(W2262=1,"Invalid/outlier quantity",IF(X2262=1,"Invalid/outlier unit price",IF(Y2262=1,"Discount greater than order value",""))))))))</f>
        <v/>
      </c>
      <c r="AC2262" s="7" t="str">
        <f aca="false">IF(AB2262="","KEEP","DROP")</f>
        <v>KEEP</v>
      </c>
      <c r="AD2262" s="7" t="str">
        <f aca="false">IF(TRIM(F2262)="",IFERROR(INDEX(Map_Tables!$I$4:$I$37,MATCH(TRIM(E2262),Map_Tables!$G$4:$G$37,0)),""),IFERROR(INDEX(Map_Tables!$B$4:$B$18,MATCH(TRIM(F2262),Map_Tables!$A$4:$A$18,0)),"CHECK"))</f>
        <v>Pune</v>
      </c>
      <c r="AE2262" s="7" t="str">
        <f aca="false">IF(TRIM(E2262)="","",IFERROR(INDEX(Map_Tables!$H$4:$H$37,MATCH(TRIM(E2262),Map_Tables!$G$4:$G$37,0)),"CHECK"))</f>
        <v>Cake Walk</v>
      </c>
      <c r="AF2262" s="7" t="str">
        <f aca="false">IF(TRIM(K2262)="","Unknown",IFERROR(INDEX(Map_Tables!$E$4:$E$15,MATCH(TRIM(K2262),Map_Tables!$D$4:$D$15,0)),"CHECK"))</f>
        <v>UPI</v>
      </c>
      <c r="AG2262" s="7" t="str">
        <f aca="false">IF(LEFT(LOWER(TRIM(L2262)),6)="cancel","Cancelled","Delivered")</f>
        <v>Delivered</v>
      </c>
      <c r="AH2262" s="10" t="n">
        <f aca="false">IF(ISNUMBER(SEARCH("/",B2262)),DATE(VALUE(RIGHT(B2262,4)),VALUE(MID(B2262,4,2)),VALUE(LEFT(B2262,2))),IF(MID(B2262,5,1)="-",DATE(VALUE(LEFT(B2262,4)),VALUE(MID(B2262,6,2)),VALUE(RIGHT(B2262,2))),DATE(VALUE(RIGHT(B2262,4)),MATCH(MID(B2262,4,3),{"Jan","Feb","Mar","Apr","May","Jun","Jul","Aug","Sep","Oct","Nov","Dec"},0),VALUE(LEFT(B2262,2)))))</f>
        <v>45675</v>
      </c>
    </row>
    <row r="2263" customFormat="false" ht="15" hidden="false" customHeight="false" outlineLevel="0" collapsed="false">
      <c r="A2263" s="7" t="s">
        <v>5138</v>
      </c>
      <c r="B2263" s="7" t="s">
        <v>3753</v>
      </c>
      <c r="C2263" s="7" t="s">
        <v>3600</v>
      </c>
      <c r="D2263" s="7" t="s">
        <v>4342</v>
      </c>
      <c r="E2263" s="7" t="s">
        <v>94</v>
      </c>
      <c r="F2263" s="7" t="s">
        <v>86</v>
      </c>
      <c r="G2263" s="7" t="s">
        <v>95</v>
      </c>
      <c r="H2263" s="7" t="n">
        <v>3</v>
      </c>
      <c r="I2263" s="7" t="n">
        <v>115</v>
      </c>
      <c r="J2263" s="7" t="n">
        <v>0</v>
      </c>
      <c r="K2263" s="7" t="s">
        <v>93</v>
      </c>
      <c r="L2263" s="7" t="s">
        <v>194</v>
      </c>
      <c r="M2263" s="7" t="n">
        <v>42</v>
      </c>
      <c r="N2263" s="7" t="n">
        <v>4</v>
      </c>
      <c r="O2263" s="7" t="str">
        <f aca="false">A2263&amp;"|"&amp;B2263&amp;"|"&amp;C2263&amp;"|"&amp;D2263&amp;"|"&amp;E2263&amp;"|"&amp;F2263&amp;"|"&amp;G2263&amp;"|"&amp;H2263&amp;"|"&amp;I2263&amp;"|"&amp;J2263&amp;"|"&amp;K2263&amp;"|"&amp;L2263&amp;"|"&amp;M2263&amp;"|"&amp;N2263</f>
        <v>ORD10164|2025-01-22|12:04|C0612|Dosa Darbar|Bengaluru|South Indian|3|115|0|Credit Card|Delivered|42|4</v>
      </c>
      <c r="P2263" s="7" t="str">
        <f aca="false">IF(COUNTIF($O$2:O2263,O2263)&gt;1,"DUP","OK")</f>
        <v>OK</v>
      </c>
      <c r="Q2263" s="7" t="n">
        <f aca="false">COUNTBLANK(A2263:N2263)</f>
        <v>0</v>
      </c>
      <c r="R2263" s="7" t="n">
        <f aca="false">IF(A2263="",0,COUNTIFS($A$2:$A$3058,A2263,$P$2:$P$3058,"OK"))</f>
        <v>1</v>
      </c>
      <c r="S2263" s="7" t="str">
        <f aca="false">IF(OR(A2263="",P2263="DUP",R2263&lt;2),"",IF(Q2263=_xlfn.MINIFS($Q$2:$Q$3058,$A$2:$A$3058,A2263,$P$2:$P$3058,"OK"),"KEEP","DROP"))</f>
        <v/>
      </c>
      <c r="T2263" s="9" t="n">
        <f aca="false">IF(A2263="",1,0)</f>
        <v>0</v>
      </c>
      <c r="U2263" s="9" t="n">
        <f aca="false">IF(D2263="",1,0)</f>
        <v>0</v>
      </c>
      <c r="V2263" s="9" t="n">
        <f aca="false">IF(E2263="",1,0)</f>
        <v>0</v>
      </c>
      <c r="W2263" s="9" t="n">
        <f aca="false">IF(OR(H2263&lt;1,H2263&gt;10),1,0)</f>
        <v>0</v>
      </c>
      <c r="X2263" s="9" t="n">
        <f aca="false">IF(OR(I2263&lt;=0,I2263&gt;1500),1,0)</f>
        <v>0</v>
      </c>
      <c r="Y2263" s="9" t="n">
        <f aca="false">IF(J2263&gt;H2263*I2263,1,0)</f>
        <v>0</v>
      </c>
      <c r="Z2263" s="9" t="n">
        <f aca="false">IF(AND(N2263&lt;&gt;"",OR(N2263&lt;1,N2263&gt;5)),1,0)</f>
        <v>0</v>
      </c>
      <c r="AA2263" s="9" t="n">
        <f aca="false">IF(AND(M2263&lt;&gt;"",OR(M2263&lt;5,M2263&gt;180)),1,0)</f>
        <v>0</v>
      </c>
      <c r="AB2263" s="7" t="str">
        <f aca="false">IF(P2263="DUP","Exact duplicate row",IF(T2263=1,"Missing Order ID",IF(S2263="DROP","Duplicate Order ID (less complete row)",IF(U2263=1,"Missing Customer ID",IF(V2263=1,"Missing Restaurant name",IF(W2263=1,"Invalid/outlier quantity",IF(X2263=1,"Invalid/outlier unit price",IF(Y2263=1,"Discount greater than order value",""))))))))</f>
        <v/>
      </c>
      <c r="AC2263" s="7" t="str">
        <f aca="false">IF(AB2263="","KEEP","DROP")</f>
        <v>KEEP</v>
      </c>
      <c r="AD2263" s="7" t="str">
        <f aca="false">IF(TRIM(F2263)="",IFERROR(INDEX(Map_Tables!$I$4:$I$37,MATCH(TRIM(E2263),Map_Tables!$G$4:$G$37,0)),""),IFERROR(INDEX(Map_Tables!$B$4:$B$18,MATCH(TRIM(F2263),Map_Tables!$A$4:$A$18,0)),"CHECK"))</f>
        <v>Bengaluru</v>
      </c>
      <c r="AE2263" s="7" t="str">
        <f aca="false">IF(TRIM(E2263)="","",IFERROR(INDEX(Map_Tables!$H$4:$H$37,MATCH(TRIM(E2263),Map_Tables!$G$4:$G$37,0)),"CHECK"))</f>
        <v>Dosa Darbar</v>
      </c>
      <c r="AF2263" s="7" t="str">
        <f aca="false">IF(TRIM(K2263)="","Unknown",IFERROR(INDEX(Map_Tables!$E$4:$E$15,MATCH(TRIM(K2263),Map_Tables!$D$4:$D$15,0)),"CHECK"))</f>
        <v>Credit Card</v>
      </c>
      <c r="AG2263" s="7" t="str">
        <f aca="false">IF(LEFT(LOWER(TRIM(L2263)),6)="cancel","Cancelled","Delivered")</f>
        <v>Delivered</v>
      </c>
      <c r="AH2263" s="10" t="n">
        <f aca="false">IF(ISNUMBER(SEARCH("/",B2263)),DATE(VALUE(RIGHT(B2263,4)),VALUE(MID(B2263,4,2)),VALUE(LEFT(B2263,2))),IF(MID(B2263,5,1)="-",DATE(VALUE(LEFT(B2263,4)),VALUE(MID(B2263,6,2)),VALUE(RIGHT(B2263,2))),DATE(VALUE(RIGHT(B2263,4)),MATCH(MID(B2263,4,3),{"Jan","Feb","Mar","Apr","May","Jun","Jul","Aug","Sep","Oct","Nov","Dec"},0),VALUE(LEFT(B2263,2)))))</f>
        <v>45679</v>
      </c>
    </row>
    <row r="2264" customFormat="false" ht="15" hidden="false" customHeight="false" outlineLevel="0" collapsed="false">
      <c r="A2264" s="7" t="s">
        <v>5139</v>
      </c>
      <c r="B2264" s="7" t="s">
        <v>507</v>
      </c>
      <c r="C2264" s="7" t="s">
        <v>5140</v>
      </c>
      <c r="D2264" s="7" t="s">
        <v>725</v>
      </c>
      <c r="E2264" s="7" t="s">
        <v>126</v>
      </c>
      <c r="F2264" s="7" t="s">
        <v>101</v>
      </c>
      <c r="G2264" s="7" t="s">
        <v>105</v>
      </c>
      <c r="H2264" s="7" t="n">
        <v>2</v>
      </c>
      <c r="I2264" s="7" t="n">
        <v>220</v>
      </c>
      <c r="J2264" s="7" t="n">
        <v>0</v>
      </c>
      <c r="K2264" s="7" t="s">
        <v>88</v>
      </c>
      <c r="L2264" s="7" t="s">
        <v>194</v>
      </c>
      <c r="M2264" s="7" t="n">
        <v>38</v>
      </c>
      <c r="N2264" s="7" t="n">
        <v>3</v>
      </c>
      <c r="O2264" s="7" t="str">
        <f aca="false">A2264&amp;"|"&amp;B2264&amp;"|"&amp;C2264&amp;"|"&amp;D2264&amp;"|"&amp;E2264&amp;"|"&amp;F2264&amp;"|"&amp;G2264&amp;"|"&amp;H2264&amp;"|"&amp;I2264&amp;"|"&amp;J2264&amp;"|"&amp;K2264&amp;"|"&amp;L2264&amp;"|"&amp;M2264&amp;"|"&amp;N2264</f>
        <v>ORD11619|2025-07-30|09:54|C0330|Dragon Express|Mumbai|Chinese|2|220|0|UPI|Delivered|38|3</v>
      </c>
      <c r="P2264" s="7" t="str">
        <f aca="false">IF(COUNTIF($O$2:O2264,O2264)&gt;1,"DUP","OK")</f>
        <v>OK</v>
      </c>
      <c r="Q2264" s="7" t="n">
        <f aca="false">COUNTBLANK(A2264:N2264)</f>
        <v>0</v>
      </c>
      <c r="R2264" s="7" t="n">
        <f aca="false">IF(A2264="",0,COUNTIFS($A$2:$A$3058,A2264,$P$2:$P$3058,"OK"))</f>
        <v>1</v>
      </c>
      <c r="S2264" s="7" t="str">
        <f aca="false">IF(OR(A2264="",P2264="DUP",R2264&lt;2),"",IF(Q2264=_xlfn.MINIFS($Q$2:$Q$3058,$A$2:$A$3058,A2264,$P$2:$P$3058,"OK"),"KEEP","DROP"))</f>
        <v/>
      </c>
      <c r="T2264" s="9" t="n">
        <f aca="false">IF(A2264="",1,0)</f>
        <v>0</v>
      </c>
      <c r="U2264" s="9" t="n">
        <f aca="false">IF(D2264="",1,0)</f>
        <v>0</v>
      </c>
      <c r="V2264" s="9" t="n">
        <f aca="false">IF(E2264="",1,0)</f>
        <v>0</v>
      </c>
      <c r="W2264" s="9" t="n">
        <f aca="false">IF(OR(H2264&lt;1,H2264&gt;10),1,0)</f>
        <v>0</v>
      </c>
      <c r="X2264" s="9" t="n">
        <f aca="false">IF(OR(I2264&lt;=0,I2264&gt;1500),1,0)</f>
        <v>0</v>
      </c>
      <c r="Y2264" s="9" t="n">
        <f aca="false">IF(J2264&gt;H2264*I2264,1,0)</f>
        <v>0</v>
      </c>
      <c r="Z2264" s="9" t="n">
        <f aca="false">IF(AND(N2264&lt;&gt;"",OR(N2264&lt;1,N2264&gt;5)),1,0)</f>
        <v>0</v>
      </c>
      <c r="AA2264" s="9" t="n">
        <f aca="false">IF(AND(M2264&lt;&gt;"",OR(M2264&lt;5,M2264&gt;180)),1,0)</f>
        <v>0</v>
      </c>
      <c r="AB2264" s="7" t="str">
        <f aca="false">IF(P2264="DUP","Exact duplicate row",IF(T2264=1,"Missing Order ID",IF(S2264="DROP","Duplicate Order ID (less complete row)",IF(U2264=1,"Missing Customer ID",IF(V2264=1,"Missing Restaurant name",IF(W2264=1,"Invalid/outlier quantity",IF(X2264=1,"Invalid/outlier unit price",IF(Y2264=1,"Discount greater than order value",""))))))))</f>
        <v/>
      </c>
      <c r="AC2264" s="7" t="str">
        <f aca="false">IF(AB2264="","KEEP","DROP")</f>
        <v>KEEP</v>
      </c>
      <c r="AD2264" s="7" t="str">
        <f aca="false">IF(TRIM(F2264)="",IFERROR(INDEX(Map_Tables!$I$4:$I$37,MATCH(TRIM(E2264),Map_Tables!$G$4:$G$37,0)),""),IFERROR(INDEX(Map_Tables!$B$4:$B$18,MATCH(TRIM(F2264),Map_Tables!$A$4:$A$18,0)),"CHECK"))</f>
        <v>Mumbai</v>
      </c>
      <c r="AE2264" s="7" t="str">
        <f aca="false">IF(TRIM(E2264)="","",IFERROR(INDEX(Map_Tables!$H$4:$H$37,MATCH(TRIM(E2264),Map_Tables!$G$4:$G$37,0)),"CHECK"))</f>
        <v>Dragon Express</v>
      </c>
      <c r="AF2264" s="7" t="str">
        <f aca="false">IF(TRIM(K2264)="","Unknown",IFERROR(INDEX(Map_Tables!$E$4:$E$15,MATCH(TRIM(K2264),Map_Tables!$D$4:$D$15,0)),"CHECK"))</f>
        <v>UPI</v>
      </c>
      <c r="AG2264" s="7" t="str">
        <f aca="false">IF(LEFT(LOWER(TRIM(L2264)),6)="cancel","Cancelled","Delivered")</f>
        <v>Delivered</v>
      </c>
      <c r="AH2264" s="10" t="n">
        <f aca="false">IF(ISNUMBER(SEARCH("/",B2264)),DATE(VALUE(RIGHT(B2264,4)),VALUE(MID(B2264,4,2)),VALUE(LEFT(B2264,2))),IF(MID(B2264,5,1)="-",DATE(VALUE(LEFT(B2264,4)),VALUE(MID(B2264,6,2)),VALUE(RIGHT(B2264,2))),DATE(VALUE(RIGHT(B2264,4)),MATCH(MID(B2264,4,3),{"Jan","Feb","Mar","Apr","May","Jun","Jul","Aug","Sep","Oct","Nov","Dec"},0),VALUE(LEFT(B2264,2)))))</f>
        <v>45868</v>
      </c>
    </row>
    <row r="2265" customFormat="false" ht="15" hidden="false" customHeight="false" outlineLevel="0" collapsed="false">
      <c r="A2265" s="7" t="s">
        <v>5141</v>
      </c>
      <c r="B2265" s="7" t="s">
        <v>2920</v>
      </c>
      <c r="C2265" s="7" t="s">
        <v>1562</v>
      </c>
      <c r="D2265" s="7" t="s">
        <v>5131</v>
      </c>
      <c r="E2265" s="7" t="s">
        <v>89</v>
      </c>
      <c r="F2265" s="7" t="s">
        <v>86</v>
      </c>
      <c r="G2265" s="7" t="s">
        <v>90</v>
      </c>
      <c r="H2265" s="7" t="n">
        <v>1</v>
      </c>
      <c r="I2265" s="7" t="n">
        <v>230</v>
      </c>
      <c r="J2265" s="7" t="n">
        <v>0</v>
      </c>
      <c r="K2265" s="7" t="s">
        <v>103</v>
      </c>
      <c r="L2265" s="7" t="s">
        <v>194</v>
      </c>
      <c r="M2265" s="7" t="n">
        <v>44</v>
      </c>
      <c r="N2265" s="7" t="n">
        <v>2</v>
      </c>
      <c r="O2265" s="7" t="str">
        <f aca="false">A2265&amp;"|"&amp;B2265&amp;"|"&amp;C2265&amp;"|"&amp;D2265&amp;"|"&amp;E2265&amp;"|"&amp;F2265&amp;"|"&amp;G2265&amp;"|"&amp;H2265&amp;"|"&amp;I2265&amp;"|"&amp;J2265&amp;"|"&amp;K2265&amp;"|"&amp;L2265&amp;"|"&amp;M2265&amp;"|"&amp;N2265</f>
        <v>ORD12860|2025-12-16|20:07|C0910|Spice Junction|Bengaluru|North Indian|1|230|0|Debit Card|Delivered|44|2</v>
      </c>
      <c r="P2265" s="7" t="str">
        <f aca="false">IF(COUNTIF($O$2:O2265,O2265)&gt;1,"DUP","OK")</f>
        <v>OK</v>
      </c>
      <c r="Q2265" s="7" t="n">
        <f aca="false">COUNTBLANK(A2265:N2265)</f>
        <v>0</v>
      </c>
      <c r="R2265" s="7" t="n">
        <f aca="false">IF(A2265="",0,COUNTIFS($A$2:$A$3058,A2265,$P$2:$P$3058,"OK"))</f>
        <v>1</v>
      </c>
      <c r="S2265" s="7" t="str">
        <f aca="false">IF(OR(A2265="",P2265="DUP",R2265&lt;2),"",IF(Q2265=_xlfn.MINIFS($Q$2:$Q$3058,$A$2:$A$3058,A2265,$P$2:$P$3058,"OK"),"KEEP","DROP"))</f>
        <v/>
      </c>
      <c r="T2265" s="9" t="n">
        <f aca="false">IF(A2265="",1,0)</f>
        <v>0</v>
      </c>
      <c r="U2265" s="9" t="n">
        <f aca="false">IF(D2265="",1,0)</f>
        <v>0</v>
      </c>
      <c r="V2265" s="9" t="n">
        <f aca="false">IF(E2265="",1,0)</f>
        <v>0</v>
      </c>
      <c r="W2265" s="9" t="n">
        <f aca="false">IF(OR(H2265&lt;1,H2265&gt;10),1,0)</f>
        <v>0</v>
      </c>
      <c r="X2265" s="9" t="n">
        <f aca="false">IF(OR(I2265&lt;=0,I2265&gt;1500),1,0)</f>
        <v>0</v>
      </c>
      <c r="Y2265" s="9" t="n">
        <f aca="false">IF(J2265&gt;H2265*I2265,1,0)</f>
        <v>0</v>
      </c>
      <c r="Z2265" s="9" t="n">
        <f aca="false">IF(AND(N2265&lt;&gt;"",OR(N2265&lt;1,N2265&gt;5)),1,0)</f>
        <v>0</v>
      </c>
      <c r="AA2265" s="9" t="n">
        <f aca="false">IF(AND(M2265&lt;&gt;"",OR(M2265&lt;5,M2265&gt;180)),1,0)</f>
        <v>0</v>
      </c>
      <c r="AB2265" s="7" t="str">
        <f aca="false">IF(P2265="DUP","Exact duplicate row",IF(T2265=1,"Missing Order ID",IF(S2265="DROP","Duplicate Order ID (less complete row)",IF(U2265=1,"Missing Customer ID",IF(V2265=1,"Missing Restaurant name",IF(W2265=1,"Invalid/outlier quantity",IF(X2265=1,"Invalid/outlier unit price",IF(Y2265=1,"Discount greater than order value",""))))))))</f>
        <v/>
      </c>
      <c r="AC2265" s="7" t="str">
        <f aca="false">IF(AB2265="","KEEP","DROP")</f>
        <v>KEEP</v>
      </c>
      <c r="AD2265" s="7" t="str">
        <f aca="false">IF(TRIM(F2265)="",IFERROR(INDEX(Map_Tables!$I$4:$I$37,MATCH(TRIM(E2265),Map_Tables!$G$4:$G$37,0)),""),IFERROR(INDEX(Map_Tables!$B$4:$B$18,MATCH(TRIM(F2265),Map_Tables!$A$4:$A$18,0)),"CHECK"))</f>
        <v>Bengaluru</v>
      </c>
      <c r="AE2265" s="7" t="str">
        <f aca="false">IF(TRIM(E2265)="","",IFERROR(INDEX(Map_Tables!$H$4:$H$37,MATCH(TRIM(E2265),Map_Tables!$G$4:$G$37,0)),"CHECK"))</f>
        <v>Spice Junction</v>
      </c>
      <c r="AF2265" s="7" t="str">
        <f aca="false">IF(TRIM(K2265)="","Unknown",IFERROR(INDEX(Map_Tables!$E$4:$E$15,MATCH(TRIM(K2265),Map_Tables!$D$4:$D$15,0)),"CHECK"))</f>
        <v>Debit Card</v>
      </c>
      <c r="AG2265" s="7" t="str">
        <f aca="false">IF(LEFT(LOWER(TRIM(L2265)),6)="cancel","Cancelled","Delivered")</f>
        <v>Delivered</v>
      </c>
      <c r="AH2265" s="10" t="n">
        <f aca="false">IF(ISNUMBER(SEARCH("/",B2265)),DATE(VALUE(RIGHT(B2265,4)),VALUE(MID(B2265,4,2)),VALUE(LEFT(B2265,2))),IF(MID(B2265,5,1)="-",DATE(VALUE(LEFT(B2265,4)),VALUE(MID(B2265,6,2)),VALUE(RIGHT(B2265,2))),DATE(VALUE(RIGHT(B2265,4)),MATCH(MID(B2265,4,3),{"Jan","Feb","Mar","Apr","May","Jun","Jul","Aug","Sep","Oct","Nov","Dec"},0),VALUE(LEFT(B2265,2)))))</f>
        <v>46007</v>
      </c>
    </row>
    <row r="2266" customFormat="false" ht="15" hidden="false" customHeight="false" outlineLevel="0" collapsed="false">
      <c r="A2266" s="7" t="s">
        <v>5142</v>
      </c>
      <c r="B2266" s="7" t="s">
        <v>696</v>
      </c>
      <c r="C2266" s="7" t="s">
        <v>1080</v>
      </c>
      <c r="D2266" s="7" t="s">
        <v>5143</v>
      </c>
      <c r="E2266" s="7" t="s">
        <v>4795</v>
      </c>
      <c r="F2266" s="7" t="s">
        <v>119</v>
      </c>
      <c r="G2266" s="7" t="s">
        <v>99</v>
      </c>
      <c r="H2266" s="7" t="n">
        <v>1</v>
      </c>
      <c r="I2266" s="7" t="n">
        <v>320</v>
      </c>
      <c r="J2266" s="7" t="n">
        <v>20</v>
      </c>
      <c r="K2266" s="7" t="s">
        <v>88</v>
      </c>
      <c r="L2266" s="7" t="s">
        <v>194</v>
      </c>
      <c r="M2266" s="7" t="n">
        <v>40</v>
      </c>
      <c r="N2266" s="7" t="n">
        <v>5</v>
      </c>
      <c r="O2266" s="7" t="str">
        <f aca="false">A2266&amp;"|"&amp;B2266&amp;"|"&amp;C2266&amp;"|"&amp;D2266&amp;"|"&amp;E2266&amp;"|"&amp;F2266&amp;"|"&amp;G2266&amp;"|"&amp;H2266&amp;"|"&amp;I2266&amp;"|"&amp;J2266&amp;"|"&amp;K2266&amp;"|"&amp;L2266&amp;"|"&amp;M2266&amp;"|"&amp;N2266</f>
        <v>ORD11792|2025-08-21|21:23|C1350|Hyderabad Dum Biryani |Hyderabad|Biryani|1|320|20|UPI|Delivered|40|5</v>
      </c>
      <c r="P2266" s="7" t="str">
        <f aca="false">IF(COUNTIF($O$2:O2266,O2266)&gt;1,"DUP","OK")</f>
        <v>OK</v>
      </c>
      <c r="Q2266" s="7" t="n">
        <f aca="false">COUNTBLANK(A2266:N2266)</f>
        <v>0</v>
      </c>
      <c r="R2266" s="7" t="n">
        <f aca="false">IF(A2266="",0,COUNTIFS($A$2:$A$3058,A2266,$P$2:$P$3058,"OK"))</f>
        <v>1</v>
      </c>
      <c r="S2266" s="7" t="str">
        <f aca="false">IF(OR(A2266="",P2266="DUP",R2266&lt;2),"",IF(Q2266=_xlfn.MINIFS($Q$2:$Q$3058,$A$2:$A$3058,A2266,$P$2:$P$3058,"OK"),"KEEP","DROP"))</f>
        <v/>
      </c>
      <c r="T2266" s="9" t="n">
        <f aca="false">IF(A2266="",1,0)</f>
        <v>0</v>
      </c>
      <c r="U2266" s="9" t="n">
        <f aca="false">IF(D2266="",1,0)</f>
        <v>0</v>
      </c>
      <c r="V2266" s="9" t="n">
        <f aca="false">IF(E2266="",1,0)</f>
        <v>0</v>
      </c>
      <c r="W2266" s="9" t="n">
        <f aca="false">IF(OR(H2266&lt;1,H2266&gt;10),1,0)</f>
        <v>0</v>
      </c>
      <c r="X2266" s="9" t="n">
        <f aca="false">IF(OR(I2266&lt;=0,I2266&gt;1500),1,0)</f>
        <v>0</v>
      </c>
      <c r="Y2266" s="9" t="n">
        <f aca="false">IF(J2266&gt;H2266*I2266,1,0)</f>
        <v>0</v>
      </c>
      <c r="Z2266" s="9" t="n">
        <f aca="false">IF(AND(N2266&lt;&gt;"",OR(N2266&lt;1,N2266&gt;5)),1,0)</f>
        <v>0</v>
      </c>
      <c r="AA2266" s="9" t="n">
        <f aca="false">IF(AND(M2266&lt;&gt;"",OR(M2266&lt;5,M2266&gt;180)),1,0)</f>
        <v>0</v>
      </c>
      <c r="AB2266" s="7" t="str">
        <f aca="false">IF(P2266="DUP","Exact duplicate row",IF(T2266=1,"Missing Order ID",IF(S2266="DROP","Duplicate Order ID (less complete row)",IF(U2266=1,"Missing Customer ID",IF(V2266=1,"Missing Restaurant name",IF(W2266=1,"Invalid/outlier quantity",IF(X2266=1,"Invalid/outlier unit price",IF(Y2266=1,"Discount greater than order value",""))))))))</f>
        <v/>
      </c>
      <c r="AC2266" s="7" t="str">
        <f aca="false">IF(AB2266="","KEEP","DROP")</f>
        <v>KEEP</v>
      </c>
      <c r="AD2266" s="7" t="str">
        <f aca="false">IF(TRIM(F2266)="",IFERROR(INDEX(Map_Tables!$I$4:$I$37,MATCH(TRIM(E2266),Map_Tables!$G$4:$G$37,0)),""),IFERROR(INDEX(Map_Tables!$B$4:$B$18,MATCH(TRIM(F2266),Map_Tables!$A$4:$A$18,0)),"CHECK"))</f>
        <v>Hyderabad</v>
      </c>
      <c r="AE2266" s="7" t="str">
        <f aca="false">IF(TRIM(E2266)="","",IFERROR(INDEX(Map_Tables!$H$4:$H$37,MATCH(TRIM(E2266),Map_Tables!$G$4:$G$37,0)),"CHECK"))</f>
        <v>Hyderabad Dum Biryani</v>
      </c>
      <c r="AF2266" s="7" t="str">
        <f aca="false">IF(TRIM(K2266)="","Unknown",IFERROR(INDEX(Map_Tables!$E$4:$E$15,MATCH(TRIM(K2266),Map_Tables!$D$4:$D$15,0)),"CHECK"))</f>
        <v>UPI</v>
      </c>
      <c r="AG2266" s="7" t="str">
        <f aca="false">IF(LEFT(LOWER(TRIM(L2266)),6)="cancel","Cancelled","Delivered")</f>
        <v>Delivered</v>
      </c>
      <c r="AH2266" s="10" t="n">
        <f aca="false">IF(ISNUMBER(SEARCH("/",B2266)),DATE(VALUE(RIGHT(B2266,4)),VALUE(MID(B2266,4,2)),VALUE(LEFT(B2266,2))),IF(MID(B2266,5,1)="-",DATE(VALUE(LEFT(B2266,4)),VALUE(MID(B2266,6,2)),VALUE(RIGHT(B2266,2))),DATE(VALUE(RIGHT(B2266,4)),MATCH(MID(B2266,4,3),{"Jan","Feb","Mar","Apr","May","Jun","Jul","Aug","Sep","Oct","Nov","Dec"},0),VALUE(LEFT(B2266,2)))))</f>
        <v>45890</v>
      </c>
    </row>
    <row r="2267" customFormat="false" ht="15" hidden="false" customHeight="false" outlineLevel="0" collapsed="false">
      <c r="A2267" s="7" t="s">
        <v>5144</v>
      </c>
      <c r="B2267" s="7" t="s">
        <v>3233</v>
      </c>
      <c r="C2267" s="7" t="s">
        <v>2923</v>
      </c>
      <c r="D2267" s="7" t="s">
        <v>3692</v>
      </c>
      <c r="E2267" s="7" t="s">
        <v>144</v>
      </c>
      <c r="F2267" s="7" t="s">
        <v>119</v>
      </c>
      <c r="G2267" s="7" t="s">
        <v>99</v>
      </c>
      <c r="H2267" s="7" t="n">
        <v>3</v>
      </c>
      <c r="I2267" s="7" t="n">
        <v>340</v>
      </c>
      <c r="J2267" s="7" t="n">
        <v>150</v>
      </c>
      <c r="K2267" s="7" t="s">
        <v>88</v>
      </c>
      <c r="L2267" s="7" t="s">
        <v>194</v>
      </c>
      <c r="M2267" s="7" t="n">
        <v>45</v>
      </c>
      <c r="N2267" s="7" t="n">
        <v>3</v>
      </c>
      <c r="O2267" s="7" t="str">
        <f aca="false">A2267&amp;"|"&amp;B2267&amp;"|"&amp;C2267&amp;"|"&amp;D2267&amp;"|"&amp;E2267&amp;"|"&amp;F2267&amp;"|"&amp;G2267&amp;"|"&amp;H2267&amp;"|"&amp;I2267&amp;"|"&amp;J2267&amp;"|"&amp;K2267&amp;"|"&amp;L2267&amp;"|"&amp;M2267&amp;"|"&amp;N2267</f>
        <v>ORD11046|2025-05-12|13:11|C1200|Hyderabad Dum Biryani|Hyderabad|Biryani|3|340|150|UPI|Delivered|45|3</v>
      </c>
      <c r="P2267" s="7" t="str">
        <f aca="false">IF(COUNTIF($O$2:O2267,O2267)&gt;1,"DUP","OK")</f>
        <v>OK</v>
      </c>
      <c r="Q2267" s="7" t="n">
        <f aca="false">COUNTBLANK(A2267:N2267)</f>
        <v>0</v>
      </c>
      <c r="R2267" s="7" t="n">
        <f aca="false">IF(A2267="",0,COUNTIFS($A$2:$A$3058,A2267,$P$2:$P$3058,"OK"))</f>
        <v>1</v>
      </c>
      <c r="S2267" s="7" t="str">
        <f aca="false">IF(OR(A2267="",P2267="DUP",R2267&lt;2),"",IF(Q2267=_xlfn.MINIFS($Q$2:$Q$3058,$A$2:$A$3058,A2267,$P$2:$P$3058,"OK"),"KEEP","DROP"))</f>
        <v/>
      </c>
      <c r="T2267" s="9" t="n">
        <f aca="false">IF(A2267="",1,0)</f>
        <v>0</v>
      </c>
      <c r="U2267" s="9" t="n">
        <f aca="false">IF(D2267="",1,0)</f>
        <v>0</v>
      </c>
      <c r="V2267" s="9" t="n">
        <f aca="false">IF(E2267="",1,0)</f>
        <v>0</v>
      </c>
      <c r="W2267" s="9" t="n">
        <f aca="false">IF(OR(H2267&lt;1,H2267&gt;10),1,0)</f>
        <v>0</v>
      </c>
      <c r="X2267" s="9" t="n">
        <f aca="false">IF(OR(I2267&lt;=0,I2267&gt;1500),1,0)</f>
        <v>0</v>
      </c>
      <c r="Y2267" s="9" t="n">
        <f aca="false">IF(J2267&gt;H2267*I2267,1,0)</f>
        <v>0</v>
      </c>
      <c r="Z2267" s="9" t="n">
        <f aca="false">IF(AND(N2267&lt;&gt;"",OR(N2267&lt;1,N2267&gt;5)),1,0)</f>
        <v>0</v>
      </c>
      <c r="AA2267" s="9" t="n">
        <f aca="false">IF(AND(M2267&lt;&gt;"",OR(M2267&lt;5,M2267&gt;180)),1,0)</f>
        <v>0</v>
      </c>
      <c r="AB2267" s="7" t="str">
        <f aca="false">IF(P2267="DUP","Exact duplicate row",IF(T2267=1,"Missing Order ID",IF(S2267="DROP","Duplicate Order ID (less complete row)",IF(U2267=1,"Missing Customer ID",IF(V2267=1,"Missing Restaurant name",IF(W2267=1,"Invalid/outlier quantity",IF(X2267=1,"Invalid/outlier unit price",IF(Y2267=1,"Discount greater than order value",""))))))))</f>
        <v/>
      </c>
      <c r="AC2267" s="7" t="str">
        <f aca="false">IF(AB2267="","KEEP","DROP")</f>
        <v>KEEP</v>
      </c>
      <c r="AD2267" s="7" t="str">
        <f aca="false">IF(TRIM(F2267)="",IFERROR(INDEX(Map_Tables!$I$4:$I$37,MATCH(TRIM(E2267),Map_Tables!$G$4:$G$37,0)),""),IFERROR(INDEX(Map_Tables!$B$4:$B$18,MATCH(TRIM(F2267),Map_Tables!$A$4:$A$18,0)),"CHECK"))</f>
        <v>Hyderabad</v>
      </c>
      <c r="AE2267" s="7" t="str">
        <f aca="false">IF(TRIM(E2267)="","",IFERROR(INDEX(Map_Tables!$H$4:$H$37,MATCH(TRIM(E2267),Map_Tables!$G$4:$G$37,0)),"CHECK"))</f>
        <v>Hyderabad Dum Biryani</v>
      </c>
      <c r="AF2267" s="7" t="str">
        <f aca="false">IF(TRIM(K2267)="","Unknown",IFERROR(INDEX(Map_Tables!$E$4:$E$15,MATCH(TRIM(K2267),Map_Tables!$D$4:$D$15,0)),"CHECK"))</f>
        <v>UPI</v>
      </c>
      <c r="AG2267" s="7" t="str">
        <f aca="false">IF(LEFT(LOWER(TRIM(L2267)),6)="cancel","Cancelled","Delivered")</f>
        <v>Delivered</v>
      </c>
      <c r="AH2267" s="10" t="n">
        <f aca="false">IF(ISNUMBER(SEARCH("/",B2267)),DATE(VALUE(RIGHT(B2267,4)),VALUE(MID(B2267,4,2)),VALUE(LEFT(B2267,2))),IF(MID(B2267,5,1)="-",DATE(VALUE(LEFT(B2267,4)),VALUE(MID(B2267,6,2)),VALUE(RIGHT(B2267,2))),DATE(VALUE(RIGHT(B2267,4)),MATCH(MID(B2267,4,3),{"Jan","Feb","Mar","Apr","May","Jun","Jul","Aug","Sep","Oct","Nov","Dec"},0),VALUE(LEFT(B2267,2)))))</f>
        <v>45789</v>
      </c>
    </row>
    <row r="2268" customFormat="false" ht="15" hidden="false" customHeight="false" outlineLevel="0" collapsed="false">
      <c r="A2268" s="7" t="s">
        <v>5145</v>
      </c>
      <c r="B2268" s="7" t="s">
        <v>5146</v>
      </c>
      <c r="C2268" s="7" t="s">
        <v>5109</v>
      </c>
      <c r="D2268" s="7" t="s">
        <v>5147</v>
      </c>
      <c r="E2268" s="7" t="s">
        <v>130</v>
      </c>
      <c r="F2268" s="7" t="s">
        <v>110</v>
      </c>
      <c r="G2268" s="7" t="s">
        <v>90</v>
      </c>
      <c r="H2268" s="7" t="n">
        <v>2</v>
      </c>
      <c r="I2268" s="7" t="n">
        <v>295</v>
      </c>
      <c r="J2268" s="7" t="n">
        <v>150</v>
      </c>
      <c r="K2268" s="7" t="s">
        <v>88</v>
      </c>
      <c r="L2268" s="7" t="s">
        <v>194</v>
      </c>
      <c r="M2268" s="7" t="n">
        <v>43</v>
      </c>
      <c r="N2268" s="7" t="n">
        <v>5</v>
      </c>
      <c r="O2268" s="7" t="str">
        <f aca="false">A2268&amp;"|"&amp;B2268&amp;"|"&amp;C2268&amp;"|"&amp;D2268&amp;"|"&amp;E2268&amp;"|"&amp;F2268&amp;"|"&amp;G2268&amp;"|"&amp;H2268&amp;"|"&amp;I2268&amp;"|"&amp;J2268&amp;"|"&amp;K2268&amp;"|"&amp;L2268&amp;"|"&amp;M2268&amp;"|"&amp;N2268</f>
        <v>ORD10961|01-May-2025|22:26|C1237|Tandoor Tales|Delhi|North Indian|2|295|150|UPI|Delivered|43|5</v>
      </c>
      <c r="P2268" s="7" t="str">
        <f aca="false">IF(COUNTIF($O$2:O2268,O2268)&gt;1,"DUP","OK")</f>
        <v>OK</v>
      </c>
      <c r="Q2268" s="7" t="n">
        <f aca="false">COUNTBLANK(A2268:N2268)</f>
        <v>0</v>
      </c>
      <c r="R2268" s="7" t="n">
        <f aca="false">IF(A2268="",0,COUNTIFS($A$2:$A$3058,A2268,$P$2:$P$3058,"OK"))</f>
        <v>1</v>
      </c>
      <c r="S2268" s="7" t="str">
        <f aca="false">IF(OR(A2268="",P2268="DUP",R2268&lt;2),"",IF(Q2268=_xlfn.MINIFS($Q$2:$Q$3058,$A$2:$A$3058,A2268,$P$2:$P$3058,"OK"),"KEEP","DROP"))</f>
        <v/>
      </c>
      <c r="T2268" s="9" t="n">
        <f aca="false">IF(A2268="",1,0)</f>
        <v>0</v>
      </c>
      <c r="U2268" s="9" t="n">
        <f aca="false">IF(D2268="",1,0)</f>
        <v>0</v>
      </c>
      <c r="V2268" s="9" t="n">
        <f aca="false">IF(E2268="",1,0)</f>
        <v>0</v>
      </c>
      <c r="W2268" s="9" t="n">
        <f aca="false">IF(OR(H2268&lt;1,H2268&gt;10),1,0)</f>
        <v>0</v>
      </c>
      <c r="X2268" s="9" t="n">
        <f aca="false">IF(OR(I2268&lt;=0,I2268&gt;1500),1,0)</f>
        <v>0</v>
      </c>
      <c r="Y2268" s="9" t="n">
        <f aca="false">IF(J2268&gt;H2268*I2268,1,0)</f>
        <v>0</v>
      </c>
      <c r="Z2268" s="9" t="n">
        <f aca="false">IF(AND(N2268&lt;&gt;"",OR(N2268&lt;1,N2268&gt;5)),1,0)</f>
        <v>0</v>
      </c>
      <c r="AA2268" s="9" t="n">
        <f aca="false">IF(AND(M2268&lt;&gt;"",OR(M2268&lt;5,M2268&gt;180)),1,0)</f>
        <v>0</v>
      </c>
      <c r="AB2268" s="7" t="str">
        <f aca="false">IF(P2268="DUP","Exact duplicate row",IF(T2268=1,"Missing Order ID",IF(S2268="DROP","Duplicate Order ID (less complete row)",IF(U2268=1,"Missing Customer ID",IF(V2268=1,"Missing Restaurant name",IF(W2268=1,"Invalid/outlier quantity",IF(X2268=1,"Invalid/outlier unit price",IF(Y2268=1,"Discount greater than order value",""))))))))</f>
        <v/>
      </c>
      <c r="AC2268" s="7" t="str">
        <f aca="false">IF(AB2268="","KEEP","DROP")</f>
        <v>KEEP</v>
      </c>
      <c r="AD2268" s="7" t="str">
        <f aca="false">IF(TRIM(F2268)="",IFERROR(INDEX(Map_Tables!$I$4:$I$37,MATCH(TRIM(E2268),Map_Tables!$G$4:$G$37,0)),""),IFERROR(INDEX(Map_Tables!$B$4:$B$18,MATCH(TRIM(F2268),Map_Tables!$A$4:$A$18,0)),"CHECK"))</f>
        <v>Delhi</v>
      </c>
      <c r="AE2268" s="7" t="str">
        <f aca="false">IF(TRIM(E2268)="","",IFERROR(INDEX(Map_Tables!$H$4:$H$37,MATCH(TRIM(E2268),Map_Tables!$G$4:$G$37,0)),"CHECK"))</f>
        <v>Tandoor Tales</v>
      </c>
      <c r="AF2268" s="7" t="str">
        <f aca="false">IF(TRIM(K2268)="","Unknown",IFERROR(INDEX(Map_Tables!$E$4:$E$15,MATCH(TRIM(K2268),Map_Tables!$D$4:$D$15,0)),"CHECK"))</f>
        <v>UPI</v>
      </c>
      <c r="AG2268" s="7" t="str">
        <f aca="false">IF(LEFT(LOWER(TRIM(L2268)),6)="cancel","Cancelled","Delivered")</f>
        <v>Delivered</v>
      </c>
      <c r="AH2268" s="10" t="n">
        <f aca="false">IF(ISNUMBER(SEARCH("/",B2268)),DATE(VALUE(RIGHT(B2268,4)),VALUE(MID(B2268,4,2)),VALUE(LEFT(B2268,2))),IF(MID(B2268,5,1)="-",DATE(VALUE(LEFT(B2268,4)),VALUE(MID(B2268,6,2)),VALUE(RIGHT(B2268,2))),DATE(VALUE(RIGHT(B2268,4)),MATCH(MID(B2268,4,3),{"Jan","Feb","Mar","Apr","May","Jun","Jul","Aug","Sep","Oct","Nov","Dec"},0),VALUE(LEFT(B2268,2)))))</f>
        <v>45778</v>
      </c>
    </row>
    <row r="2269" customFormat="false" ht="15" hidden="false" customHeight="false" outlineLevel="0" collapsed="false">
      <c r="A2269" s="7" t="s">
        <v>5148</v>
      </c>
      <c r="B2269" s="7" t="s">
        <v>2182</v>
      </c>
      <c r="C2269" s="7" t="s">
        <v>5149</v>
      </c>
      <c r="D2269" s="7" t="s">
        <v>2192</v>
      </c>
      <c r="E2269" s="7" t="s">
        <v>2229</v>
      </c>
      <c r="F2269" s="7" t="s">
        <v>101</v>
      </c>
      <c r="G2269" s="7" t="s">
        <v>105</v>
      </c>
      <c r="H2269" s="7" t="n">
        <v>1</v>
      </c>
      <c r="I2269" s="7" t="n">
        <v>280</v>
      </c>
      <c r="J2269" s="7" t="n">
        <v>112</v>
      </c>
      <c r="K2269" s="7" t="s">
        <v>88</v>
      </c>
      <c r="L2269" s="7" t="s">
        <v>194</v>
      </c>
      <c r="M2269" s="7" t="n">
        <v>32</v>
      </c>
      <c r="N2269" s="7"/>
      <c r="O2269" s="7" t="str">
        <f aca="false">A2269&amp;"|"&amp;B2269&amp;"|"&amp;C2269&amp;"|"&amp;D2269&amp;"|"&amp;E2269&amp;"|"&amp;F2269&amp;"|"&amp;G2269&amp;"|"&amp;H2269&amp;"|"&amp;I2269&amp;"|"&amp;J2269&amp;"|"&amp;K2269&amp;"|"&amp;L2269&amp;"|"&amp;M2269&amp;"|"&amp;N2269</f>
        <v>ORD11751|2025-08-17|17:26|C0580| Dragon Express|Mumbai|Chinese|1|280|112|UPI|Delivered|32|</v>
      </c>
      <c r="P2269" s="7" t="str">
        <f aca="false">IF(COUNTIF($O$2:O2269,O2269)&gt;1,"DUP","OK")</f>
        <v>OK</v>
      </c>
      <c r="Q2269" s="7" t="n">
        <f aca="false">COUNTBLANK(A2269:N2269)</f>
        <v>1</v>
      </c>
      <c r="R2269" s="7" t="n">
        <f aca="false">IF(A2269="",0,COUNTIFS($A$2:$A$3058,A2269,$P$2:$P$3058,"OK"))</f>
        <v>1</v>
      </c>
      <c r="S2269" s="7" t="str">
        <f aca="false">IF(OR(A2269="",P2269="DUP",R2269&lt;2),"",IF(Q2269=_xlfn.MINIFS($Q$2:$Q$3058,$A$2:$A$3058,A2269,$P$2:$P$3058,"OK"),"KEEP","DROP"))</f>
        <v/>
      </c>
      <c r="T2269" s="9" t="n">
        <f aca="false">IF(A2269="",1,0)</f>
        <v>0</v>
      </c>
      <c r="U2269" s="9" t="n">
        <f aca="false">IF(D2269="",1,0)</f>
        <v>0</v>
      </c>
      <c r="V2269" s="9" t="n">
        <f aca="false">IF(E2269="",1,0)</f>
        <v>0</v>
      </c>
      <c r="W2269" s="9" t="n">
        <f aca="false">IF(OR(H2269&lt;1,H2269&gt;10),1,0)</f>
        <v>0</v>
      </c>
      <c r="X2269" s="9" t="n">
        <f aca="false">IF(OR(I2269&lt;=0,I2269&gt;1500),1,0)</f>
        <v>0</v>
      </c>
      <c r="Y2269" s="9" t="n">
        <f aca="false">IF(J2269&gt;H2269*I2269,1,0)</f>
        <v>0</v>
      </c>
      <c r="Z2269" s="9" t="n">
        <f aca="false">IF(AND(N2269&lt;&gt;"",OR(N2269&lt;1,N2269&gt;5)),1,0)</f>
        <v>0</v>
      </c>
      <c r="AA2269" s="9" t="n">
        <f aca="false">IF(AND(M2269&lt;&gt;"",OR(M2269&lt;5,M2269&gt;180)),1,0)</f>
        <v>0</v>
      </c>
      <c r="AB2269" s="7" t="str">
        <f aca="false">IF(P2269="DUP","Exact duplicate row",IF(T2269=1,"Missing Order ID",IF(S2269="DROP","Duplicate Order ID (less complete row)",IF(U2269=1,"Missing Customer ID",IF(V2269=1,"Missing Restaurant name",IF(W2269=1,"Invalid/outlier quantity",IF(X2269=1,"Invalid/outlier unit price",IF(Y2269=1,"Discount greater than order value",""))))))))</f>
        <v/>
      </c>
      <c r="AC2269" s="7" t="str">
        <f aca="false">IF(AB2269="","KEEP","DROP")</f>
        <v>KEEP</v>
      </c>
      <c r="AD2269" s="7" t="str">
        <f aca="false">IF(TRIM(F2269)="",IFERROR(INDEX(Map_Tables!$I$4:$I$37,MATCH(TRIM(E2269),Map_Tables!$G$4:$G$37,0)),""),IFERROR(INDEX(Map_Tables!$B$4:$B$18,MATCH(TRIM(F2269),Map_Tables!$A$4:$A$18,0)),"CHECK"))</f>
        <v>Mumbai</v>
      </c>
      <c r="AE2269" s="7" t="str">
        <f aca="false">IF(TRIM(E2269)="","",IFERROR(INDEX(Map_Tables!$H$4:$H$37,MATCH(TRIM(E2269),Map_Tables!$G$4:$G$37,0)),"CHECK"))</f>
        <v>Dragon Express</v>
      </c>
      <c r="AF2269" s="7" t="str">
        <f aca="false">IF(TRIM(K2269)="","Unknown",IFERROR(INDEX(Map_Tables!$E$4:$E$15,MATCH(TRIM(K2269),Map_Tables!$D$4:$D$15,0)),"CHECK"))</f>
        <v>UPI</v>
      </c>
      <c r="AG2269" s="7" t="str">
        <f aca="false">IF(LEFT(LOWER(TRIM(L2269)),6)="cancel","Cancelled","Delivered")</f>
        <v>Delivered</v>
      </c>
      <c r="AH2269" s="10" t="n">
        <f aca="false">IF(ISNUMBER(SEARCH("/",B2269)),DATE(VALUE(RIGHT(B2269,4)),VALUE(MID(B2269,4,2)),VALUE(LEFT(B2269,2))),IF(MID(B2269,5,1)="-",DATE(VALUE(LEFT(B2269,4)),VALUE(MID(B2269,6,2)),VALUE(RIGHT(B2269,2))),DATE(VALUE(RIGHT(B2269,4)),MATCH(MID(B2269,4,3),{"Jan","Feb","Mar","Apr","May","Jun","Jul","Aug","Sep","Oct","Nov","Dec"},0),VALUE(LEFT(B2269,2)))))</f>
        <v>45886</v>
      </c>
    </row>
    <row r="2270" customFormat="false" ht="15" hidden="false" customHeight="false" outlineLevel="0" collapsed="false">
      <c r="A2270" s="7" t="s">
        <v>1143</v>
      </c>
      <c r="B2270" s="7" t="s">
        <v>1144</v>
      </c>
      <c r="C2270" s="7" t="s">
        <v>1145</v>
      </c>
      <c r="D2270" s="7" t="s">
        <v>1146</v>
      </c>
      <c r="E2270" s="7" t="s">
        <v>130</v>
      </c>
      <c r="F2270" s="7" t="s">
        <v>110</v>
      </c>
      <c r="G2270" s="7" t="s">
        <v>90</v>
      </c>
      <c r="H2270" s="7" t="n">
        <v>1</v>
      </c>
      <c r="I2270" s="7" t="n">
        <v>275</v>
      </c>
      <c r="J2270" s="7" t="n">
        <v>0</v>
      </c>
      <c r="K2270" s="7" t="s">
        <v>93</v>
      </c>
      <c r="L2270" s="7" t="s">
        <v>194</v>
      </c>
      <c r="M2270" s="7" t="n">
        <v>32</v>
      </c>
      <c r="N2270" s="7" t="n">
        <v>4</v>
      </c>
      <c r="O2270" s="7" t="str">
        <f aca="false">A2270&amp;"|"&amp;B2270&amp;"|"&amp;C2270&amp;"|"&amp;D2270&amp;"|"&amp;E2270&amp;"|"&amp;F2270&amp;"|"&amp;G2270&amp;"|"&amp;H2270&amp;"|"&amp;I2270&amp;"|"&amp;J2270&amp;"|"&amp;K2270&amp;"|"&amp;L2270&amp;"|"&amp;M2270&amp;"|"&amp;N2270</f>
        <v>ORD11437|2025-07-05|18:47|C1110|Tandoor Tales|Delhi|North Indian|1|275|0|Credit Card|Delivered|32|4</v>
      </c>
      <c r="P2270" s="7" t="str">
        <f aca="false">IF(COUNTIF($O$2:O2270,O2270)&gt;1,"DUP","OK")</f>
        <v>DUP</v>
      </c>
      <c r="Q2270" s="7" t="n">
        <f aca="false">COUNTBLANK(A2270:N2270)</f>
        <v>0</v>
      </c>
      <c r="R2270" s="7" t="n">
        <f aca="false">IF(A2270="",0,COUNTIFS($A$2:$A$3058,A2270,$P$2:$P$3058,"OK"))</f>
        <v>1</v>
      </c>
      <c r="S2270" s="7" t="str">
        <f aca="false">IF(OR(A2270="",P2270="DUP",R2270&lt;2),"",IF(Q2270=_xlfn.MINIFS($Q$2:$Q$3058,$A$2:$A$3058,A2270,$P$2:$P$3058,"OK"),"KEEP","DROP"))</f>
        <v/>
      </c>
      <c r="T2270" s="9" t="n">
        <f aca="false">IF(A2270="",1,0)</f>
        <v>0</v>
      </c>
      <c r="U2270" s="9" t="n">
        <f aca="false">IF(D2270="",1,0)</f>
        <v>0</v>
      </c>
      <c r="V2270" s="9" t="n">
        <f aca="false">IF(E2270="",1,0)</f>
        <v>0</v>
      </c>
      <c r="W2270" s="9" t="n">
        <f aca="false">IF(OR(H2270&lt;1,H2270&gt;10),1,0)</f>
        <v>0</v>
      </c>
      <c r="X2270" s="9" t="n">
        <f aca="false">IF(OR(I2270&lt;=0,I2270&gt;1500),1,0)</f>
        <v>0</v>
      </c>
      <c r="Y2270" s="9" t="n">
        <f aca="false">IF(J2270&gt;H2270*I2270,1,0)</f>
        <v>0</v>
      </c>
      <c r="Z2270" s="9" t="n">
        <f aca="false">IF(AND(N2270&lt;&gt;"",OR(N2270&lt;1,N2270&gt;5)),1,0)</f>
        <v>0</v>
      </c>
      <c r="AA2270" s="9" t="n">
        <f aca="false">IF(AND(M2270&lt;&gt;"",OR(M2270&lt;5,M2270&gt;180)),1,0)</f>
        <v>0</v>
      </c>
      <c r="AB2270" s="7" t="str">
        <f aca="false">IF(P2270="DUP","Exact duplicate row",IF(T2270=1,"Missing Order ID",IF(S2270="DROP","Duplicate Order ID (less complete row)",IF(U2270=1,"Missing Customer ID",IF(V2270=1,"Missing Restaurant name",IF(W2270=1,"Invalid/outlier quantity",IF(X2270=1,"Invalid/outlier unit price",IF(Y2270=1,"Discount greater than order value",""))))))))</f>
        <v>Exact duplicate row</v>
      </c>
      <c r="AC2270" s="7" t="str">
        <f aca="false">IF(AB2270="","KEEP","DROP")</f>
        <v>DROP</v>
      </c>
      <c r="AD2270" s="7" t="str">
        <f aca="false">IF(TRIM(F2270)="",IFERROR(INDEX(Map_Tables!$I$4:$I$37,MATCH(TRIM(E2270),Map_Tables!$G$4:$G$37,0)),""),IFERROR(INDEX(Map_Tables!$B$4:$B$18,MATCH(TRIM(F2270),Map_Tables!$A$4:$A$18,0)),"CHECK"))</f>
        <v>Delhi</v>
      </c>
      <c r="AE2270" s="7" t="str">
        <f aca="false">IF(TRIM(E2270)="","",IFERROR(INDEX(Map_Tables!$H$4:$H$37,MATCH(TRIM(E2270),Map_Tables!$G$4:$G$37,0)),"CHECK"))</f>
        <v>Tandoor Tales</v>
      </c>
      <c r="AF2270" s="7" t="str">
        <f aca="false">IF(TRIM(K2270)="","Unknown",IFERROR(INDEX(Map_Tables!$E$4:$E$15,MATCH(TRIM(K2270),Map_Tables!$D$4:$D$15,0)),"CHECK"))</f>
        <v>Credit Card</v>
      </c>
      <c r="AG2270" s="7" t="str">
        <f aca="false">IF(LEFT(LOWER(TRIM(L2270)),6)="cancel","Cancelled","Delivered")</f>
        <v>Delivered</v>
      </c>
      <c r="AH2270" s="10" t="n">
        <f aca="false">IF(ISNUMBER(SEARCH("/",B2270)),DATE(VALUE(RIGHT(B2270,4)),VALUE(MID(B2270,4,2)),VALUE(LEFT(B2270,2))),IF(MID(B2270,5,1)="-",DATE(VALUE(LEFT(B2270,4)),VALUE(MID(B2270,6,2)),VALUE(RIGHT(B2270,2))),DATE(VALUE(RIGHT(B2270,4)),MATCH(MID(B2270,4,3),{"Jan","Feb","Mar","Apr","May","Jun","Jul","Aug","Sep","Oct","Nov","Dec"},0),VALUE(LEFT(B2270,2)))))</f>
        <v>45843</v>
      </c>
    </row>
    <row r="2271" customFormat="false" ht="15" hidden="false" customHeight="false" outlineLevel="0" collapsed="false">
      <c r="A2271" s="7" t="s">
        <v>5150</v>
      </c>
      <c r="B2271" s="7" t="s">
        <v>5151</v>
      </c>
      <c r="C2271" s="7" t="s">
        <v>490</v>
      </c>
      <c r="D2271" s="7" t="s">
        <v>5117</v>
      </c>
      <c r="E2271" s="7" t="s">
        <v>104</v>
      </c>
      <c r="F2271" s="7" t="s">
        <v>86</v>
      </c>
      <c r="G2271" s="7" t="s">
        <v>105</v>
      </c>
      <c r="H2271" s="7" t="n">
        <v>2</v>
      </c>
      <c r="I2271" s="7" t="n">
        <v>240</v>
      </c>
      <c r="J2271" s="7" t="n">
        <v>125</v>
      </c>
      <c r="K2271" s="7" t="s">
        <v>88</v>
      </c>
      <c r="L2271" s="7" t="s">
        <v>194</v>
      </c>
      <c r="M2271" s="7" t="n">
        <v>37</v>
      </c>
      <c r="N2271" s="7" t="n">
        <v>4</v>
      </c>
      <c r="O2271" s="7" t="str">
        <f aca="false">A2271&amp;"|"&amp;B2271&amp;"|"&amp;C2271&amp;"|"&amp;D2271&amp;"|"&amp;E2271&amp;"|"&amp;F2271&amp;"|"&amp;G2271&amp;"|"&amp;H2271&amp;"|"&amp;I2271&amp;"|"&amp;J2271&amp;"|"&amp;K2271&amp;"|"&amp;L2271&amp;"|"&amp;M2271&amp;"|"&amp;N2271</f>
        <v>ORD12306|18/10/2025|19:03|C1429|Wok &amp; Roll|Bengaluru|Chinese|2|240|125|UPI|Delivered|37|4</v>
      </c>
      <c r="P2271" s="7" t="str">
        <f aca="false">IF(COUNTIF($O$2:O2271,O2271)&gt;1,"DUP","OK")</f>
        <v>OK</v>
      </c>
      <c r="Q2271" s="7" t="n">
        <f aca="false">COUNTBLANK(A2271:N2271)</f>
        <v>0</v>
      </c>
      <c r="R2271" s="7" t="n">
        <f aca="false">IF(A2271="",0,COUNTIFS($A$2:$A$3058,A2271,$P$2:$P$3058,"OK"))</f>
        <v>1</v>
      </c>
      <c r="S2271" s="7" t="str">
        <f aca="false">IF(OR(A2271="",P2271="DUP",R2271&lt;2),"",IF(Q2271=_xlfn.MINIFS($Q$2:$Q$3058,$A$2:$A$3058,A2271,$P$2:$P$3058,"OK"),"KEEP","DROP"))</f>
        <v/>
      </c>
      <c r="T2271" s="9" t="n">
        <f aca="false">IF(A2271="",1,0)</f>
        <v>0</v>
      </c>
      <c r="U2271" s="9" t="n">
        <f aca="false">IF(D2271="",1,0)</f>
        <v>0</v>
      </c>
      <c r="V2271" s="9" t="n">
        <f aca="false">IF(E2271="",1,0)</f>
        <v>0</v>
      </c>
      <c r="W2271" s="9" t="n">
        <f aca="false">IF(OR(H2271&lt;1,H2271&gt;10),1,0)</f>
        <v>0</v>
      </c>
      <c r="X2271" s="9" t="n">
        <f aca="false">IF(OR(I2271&lt;=0,I2271&gt;1500),1,0)</f>
        <v>0</v>
      </c>
      <c r="Y2271" s="9" t="n">
        <f aca="false">IF(J2271&gt;H2271*I2271,1,0)</f>
        <v>0</v>
      </c>
      <c r="Z2271" s="9" t="n">
        <f aca="false">IF(AND(N2271&lt;&gt;"",OR(N2271&lt;1,N2271&gt;5)),1,0)</f>
        <v>0</v>
      </c>
      <c r="AA2271" s="9" t="n">
        <f aca="false">IF(AND(M2271&lt;&gt;"",OR(M2271&lt;5,M2271&gt;180)),1,0)</f>
        <v>0</v>
      </c>
      <c r="AB2271" s="7" t="str">
        <f aca="false">IF(P2271="DUP","Exact duplicate row",IF(T2271=1,"Missing Order ID",IF(S2271="DROP","Duplicate Order ID (less complete row)",IF(U2271=1,"Missing Customer ID",IF(V2271=1,"Missing Restaurant name",IF(W2271=1,"Invalid/outlier quantity",IF(X2271=1,"Invalid/outlier unit price",IF(Y2271=1,"Discount greater than order value",""))))))))</f>
        <v/>
      </c>
      <c r="AC2271" s="7" t="str">
        <f aca="false">IF(AB2271="","KEEP","DROP")</f>
        <v>KEEP</v>
      </c>
      <c r="AD2271" s="7" t="str">
        <f aca="false">IF(TRIM(F2271)="",IFERROR(INDEX(Map_Tables!$I$4:$I$37,MATCH(TRIM(E2271),Map_Tables!$G$4:$G$37,0)),""),IFERROR(INDEX(Map_Tables!$B$4:$B$18,MATCH(TRIM(F2271),Map_Tables!$A$4:$A$18,0)),"CHECK"))</f>
        <v>Bengaluru</v>
      </c>
      <c r="AE2271" s="7" t="str">
        <f aca="false">IF(TRIM(E2271)="","",IFERROR(INDEX(Map_Tables!$H$4:$H$37,MATCH(TRIM(E2271),Map_Tables!$G$4:$G$37,0)),"CHECK"))</f>
        <v>Wok &amp; Roll</v>
      </c>
      <c r="AF2271" s="7" t="str">
        <f aca="false">IF(TRIM(K2271)="","Unknown",IFERROR(INDEX(Map_Tables!$E$4:$E$15,MATCH(TRIM(K2271),Map_Tables!$D$4:$D$15,0)),"CHECK"))</f>
        <v>UPI</v>
      </c>
      <c r="AG2271" s="7" t="str">
        <f aca="false">IF(LEFT(LOWER(TRIM(L2271)),6)="cancel","Cancelled","Delivered")</f>
        <v>Delivered</v>
      </c>
      <c r="AH2271" s="10" t="n">
        <f aca="false">IF(ISNUMBER(SEARCH("/",B2271)),DATE(VALUE(RIGHT(B2271,4)),VALUE(MID(B2271,4,2)),VALUE(LEFT(B2271,2))),IF(MID(B2271,5,1)="-",DATE(VALUE(LEFT(B2271,4)),VALUE(MID(B2271,6,2)),VALUE(RIGHT(B2271,2))),DATE(VALUE(RIGHT(B2271,4)),MATCH(MID(B2271,4,3),{"Jan","Feb","Mar","Apr","May","Jun","Jul","Aug","Sep","Oct","Nov","Dec"},0),VALUE(LEFT(B2271,2)))))</f>
        <v>45948</v>
      </c>
    </row>
    <row r="2272" customFormat="false" ht="15" hidden="false" customHeight="false" outlineLevel="0" collapsed="false">
      <c r="A2272" s="7" t="s">
        <v>5152</v>
      </c>
      <c r="B2272" s="7" t="s">
        <v>376</v>
      </c>
      <c r="C2272" s="7" t="s">
        <v>1983</v>
      </c>
      <c r="D2272" s="7" t="s">
        <v>2537</v>
      </c>
      <c r="E2272" s="7" t="s">
        <v>116</v>
      </c>
      <c r="F2272" s="7" t="s">
        <v>101</v>
      </c>
      <c r="G2272" s="7" t="s">
        <v>117</v>
      </c>
      <c r="H2272" s="7" t="n">
        <v>1</v>
      </c>
      <c r="I2272" s="7" t="n">
        <v>110</v>
      </c>
      <c r="J2272" s="7" t="n">
        <v>0</v>
      </c>
      <c r="K2272" s="7" t="s">
        <v>103</v>
      </c>
      <c r="L2272" s="7" t="s">
        <v>194</v>
      </c>
      <c r="M2272" s="7" t="n">
        <v>47</v>
      </c>
      <c r="N2272" s="7" t="n">
        <v>3</v>
      </c>
      <c r="O2272" s="7" t="str">
        <f aca="false">A2272&amp;"|"&amp;B2272&amp;"|"&amp;C2272&amp;"|"&amp;D2272&amp;"|"&amp;E2272&amp;"|"&amp;F2272&amp;"|"&amp;G2272&amp;"|"&amp;H2272&amp;"|"&amp;I2272&amp;"|"&amp;J2272&amp;"|"&amp;K2272&amp;"|"&amp;L2272&amp;"|"&amp;M2272&amp;"|"&amp;N2272</f>
        <v>ORD11505|2025-07-14|19:58|C0654|Pav Bhaji Point|Mumbai|Street Food|1|110|0|Debit Card|Delivered|47|3</v>
      </c>
      <c r="P2272" s="7" t="str">
        <f aca="false">IF(COUNTIF($O$2:O2272,O2272)&gt;1,"DUP","OK")</f>
        <v>OK</v>
      </c>
      <c r="Q2272" s="7" t="n">
        <f aca="false">COUNTBLANK(A2272:N2272)</f>
        <v>0</v>
      </c>
      <c r="R2272" s="7" t="n">
        <f aca="false">IF(A2272="",0,COUNTIFS($A$2:$A$3058,A2272,$P$2:$P$3058,"OK"))</f>
        <v>1</v>
      </c>
      <c r="S2272" s="7" t="str">
        <f aca="false">IF(OR(A2272="",P2272="DUP",R2272&lt;2),"",IF(Q2272=_xlfn.MINIFS($Q$2:$Q$3058,$A$2:$A$3058,A2272,$P$2:$P$3058,"OK"),"KEEP","DROP"))</f>
        <v/>
      </c>
      <c r="T2272" s="9" t="n">
        <f aca="false">IF(A2272="",1,0)</f>
        <v>0</v>
      </c>
      <c r="U2272" s="9" t="n">
        <f aca="false">IF(D2272="",1,0)</f>
        <v>0</v>
      </c>
      <c r="V2272" s="9" t="n">
        <f aca="false">IF(E2272="",1,0)</f>
        <v>0</v>
      </c>
      <c r="W2272" s="9" t="n">
        <f aca="false">IF(OR(H2272&lt;1,H2272&gt;10),1,0)</f>
        <v>0</v>
      </c>
      <c r="X2272" s="9" t="n">
        <f aca="false">IF(OR(I2272&lt;=0,I2272&gt;1500),1,0)</f>
        <v>0</v>
      </c>
      <c r="Y2272" s="9" t="n">
        <f aca="false">IF(J2272&gt;H2272*I2272,1,0)</f>
        <v>0</v>
      </c>
      <c r="Z2272" s="9" t="n">
        <f aca="false">IF(AND(N2272&lt;&gt;"",OR(N2272&lt;1,N2272&gt;5)),1,0)</f>
        <v>0</v>
      </c>
      <c r="AA2272" s="9" t="n">
        <f aca="false">IF(AND(M2272&lt;&gt;"",OR(M2272&lt;5,M2272&gt;180)),1,0)</f>
        <v>0</v>
      </c>
      <c r="AB2272" s="7" t="str">
        <f aca="false">IF(P2272="DUP","Exact duplicate row",IF(T2272=1,"Missing Order ID",IF(S2272="DROP","Duplicate Order ID (less complete row)",IF(U2272=1,"Missing Customer ID",IF(V2272=1,"Missing Restaurant name",IF(W2272=1,"Invalid/outlier quantity",IF(X2272=1,"Invalid/outlier unit price",IF(Y2272=1,"Discount greater than order value",""))))))))</f>
        <v/>
      </c>
      <c r="AC2272" s="7" t="str">
        <f aca="false">IF(AB2272="","KEEP","DROP")</f>
        <v>KEEP</v>
      </c>
      <c r="AD2272" s="7" t="str">
        <f aca="false">IF(TRIM(F2272)="",IFERROR(INDEX(Map_Tables!$I$4:$I$37,MATCH(TRIM(E2272),Map_Tables!$G$4:$G$37,0)),""),IFERROR(INDEX(Map_Tables!$B$4:$B$18,MATCH(TRIM(F2272),Map_Tables!$A$4:$A$18,0)),"CHECK"))</f>
        <v>Mumbai</v>
      </c>
      <c r="AE2272" s="7" t="str">
        <f aca="false">IF(TRIM(E2272)="","",IFERROR(INDEX(Map_Tables!$H$4:$H$37,MATCH(TRIM(E2272),Map_Tables!$G$4:$G$37,0)),"CHECK"))</f>
        <v>Pav Bhaji Point</v>
      </c>
      <c r="AF2272" s="7" t="str">
        <f aca="false">IF(TRIM(K2272)="","Unknown",IFERROR(INDEX(Map_Tables!$E$4:$E$15,MATCH(TRIM(K2272),Map_Tables!$D$4:$D$15,0)),"CHECK"))</f>
        <v>Debit Card</v>
      </c>
      <c r="AG2272" s="7" t="str">
        <f aca="false">IF(LEFT(LOWER(TRIM(L2272)),6)="cancel","Cancelled","Delivered")</f>
        <v>Delivered</v>
      </c>
      <c r="AH2272" s="10" t="n">
        <f aca="false">IF(ISNUMBER(SEARCH("/",B2272)),DATE(VALUE(RIGHT(B2272,4)),VALUE(MID(B2272,4,2)),VALUE(LEFT(B2272,2))),IF(MID(B2272,5,1)="-",DATE(VALUE(LEFT(B2272,4)),VALUE(MID(B2272,6,2)),VALUE(RIGHT(B2272,2))),DATE(VALUE(RIGHT(B2272,4)),MATCH(MID(B2272,4,3),{"Jan","Feb","Mar","Apr","May","Jun","Jul","Aug","Sep","Oct","Nov","Dec"},0),VALUE(LEFT(B2272,2)))))</f>
        <v>45852</v>
      </c>
    </row>
    <row r="2273" customFormat="false" ht="15" hidden="false" customHeight="false" outlineLevel="0" collapsed="false">
      <c r="A2273" s="7" t="s">
        <v>5153</v>
      </c>
      <c r="B2273" s="7" t="s">
        <v>1167</v>
      </c>
      <c r="C2273" s="7" t="s">
        <v>4024</v>
      </c>
      <c r="D2273" s="7" t="s">
        <v>1584</v>
      </c>
      <c r="E2273" s="7" t="s">
        <v>94</v>
      </c>
      <c r="F2273" s="7" t="s">
        <v>86</v>
      </c>
      <c r="G2273" s="7" t="s">
        <v>95</v>
      </c>
      <c r="H2273" s="7" t="n">
        <v>1</v>
      </c>
      <c r="I2273" s="7" t="n">
        <v>135</v>
      </c>
      <c r="J2273" s="7" t="n">
        <v>54</v>
      </c>
      <c r="K2273" s="7" t="s">
        <v>88</v>
      </c>
      <c r="L2273" s="7" t="s">
        <v>238</v>
      </c>
      <c r="M2273" s="7"/>
      <c r="N2273" s="7"/>
      <c r="O2273" s="7" t="str">
        <f aca="false">A2273&amp;"|"&amp;B2273&amp;"|"&amp;C2273&amp;"|"&amp;D2273&amp;"|"&amp;E2273&amp;"|"&amp;F2273&amp;"|"&amp;G2273&amp;"|"&amp;H2273&amp;"|"&amp;I2273&amp;"|"&amp;J2273&amp;"|"&amp;K2273&amp;"|"&amp;L2273&amp;"|"&amp;M2273&amp;"|"&amp;N2273</f>
        <v>ORD12353|2025-10-23|16:15|C0707|Dosa Darbar|Bengaluru|South Indian|1|135|54|UPI|Cancelled||</v>
      </c>
      <c r="P2273" s="7" t="str">
        <f aca="false">IF(COUNTIF($O$2:O2273,O2273)&gt;1,"DUP","OK")</f>
        <v>OK</v>
      </c>
      <c r="Q2273" s="7" t="n">
        <f aca="false">COUNTBLANK(A2273:N2273)</f>
        <v>2</v>
      </c>
      <c r="R2273" s="7" t="n">
        <f aca="false">IF(A2273="",0,COUNTIFS($A$2:$A$3058,A2273,$P$2:$P$3058,"OK"))</f>
        <v>1</v>
      </c>
      <c r="S2273" s="7" t="str">
        <f aca="false">IF(OR(A2273="",P2273="DUP",R2273&lt;2),"",IF(Q2273=_xlfn.MINIFS($Q$2:$Q$3058,$A$2:$A$3058,A2273,$P$2:$P$3058,"OK"),"KEEP","DROP"))</f>
        <v/>
      </c>
      <c r="T2273" s="9" t="n">
        <f aca="false">IF(A2273="",1,0)</f>
        <v>0</v>
      </c>
      <c r="U2273" s="9" t="n">
        <f aca="false">IF(D2273="",1,0)</f>
        <v>0</v>
      </c>
      <c r="V2273" s="9" t="n">
        <f aca="false">IF(E2273="",1,0)</f>
        <v>0</v>
      </c>
      <c r="W2273" s="9" t="n">
        <f aca="false">IF(OR(H2273&lt;1,H2273&gt;10),1,0)</f>
        <v>0</v>
      </c>
      <c r="X2273" s="9" t="n">
        <f aca="false">IF(OR(I2273&lt;=0,I2273&gt;1500),1,0)</f>
        <v>0</v>
      </c>
      <c r="Y2273" s="9" t="n">
        <f aca="false">IF(J2273&gt;H2273*I2273,1,0)</f>
        <v>0</v>
      </c>
      <c r="Z2273" s="9" t="n">
        <f aca="false">IF(AND(N2273&lt;&gt;"",OR(N2273&lt;1,N2273&gt;5)),1,0)</f>
        <v>0</v>
      </c>
      <c r="AA2273" s="9" t="n">
        <f aca="false">IF(AND(M2273&lt;&gt;"",OR(M2273&lt;5,M2273&gt;180)),1,0)</f>
        <v>0</v>
      </c>
      <c r="AB2273" s="7" t="str">
        <f aca="false">IF(P2273="DUP","Exact duplicate row",IF(T2273=1,"Missing Order ID",IF(S2273="DROP","Duplicate Order ID (less complete row)",IF(U2273=1,"Missing Customer ID",IF(V2273=1,"Missing Restaurant name",IF(W2273=1,"Invalid/outlier quantity",IF(X2273=1,"Invalid/outlier unit price",IF(Y2273=1,"Discount greater than order value",""))))))))</f>
        <v/>
      </c>
      <c r="AC2273" s="7" t="str">
        <f aca="false">IF(AB2273="","KEEP","DROP")</f>
        <v>KEEP</v>
      </c>
      <c r="AD2273" s="7" t="str">
        <f aca="false">IF(TRIM(F2273)="",IFERROR(INDEX(Map_Tables!$I$4:$I$37,MATCH(TRIM(E2273),Map_Tables!$G$4:$G$37,0)),""),IFERROR(INDEX(Map_Tables!$B$4:$B$18,MATCH(TRIM(F2273),Map_Tables!$A$4:$A$18,0)),"CHECK"))</f>
        <v>Bengaluru</v>
      </c>
      <c r="AE2273" s="7" t="str">
        <f aca="false">IF(TRIM(E2273)="","",IFERROR(INDEX(Map_Tables!$H$4:$H$37,MATCH(TRIM(E2273),Map_Tables!$G$4:$G$37,0)),"CHECK"))</f>
        <v>Dosa Darbar</v>
      </c>
      <c r="AF2273" s="7" t="str">
        <f aca="false">IF(TRIM(K2273)="","Unknown",IFERROR(INDEX(Map_Tables!$E$4:$E$15,MATCH(TRIM(K2273),Map_Tables!$D$4:$D$15,0)),"CHECK"))</f>
        <v>UPI</v>
      </c>
      <c r="AG2273" s="7" t="str">
        <f aca="false">IF(LEFT(LOWER(TRIM(L2273)),6)="cancel","Cancelled","Delivered")</f>
        <v>Cancelled</v>
      </c>
      <c r="AH2273" s="10" t="n">
        <f aca="false">IF(ISNUMBER(SEARCH("/",B2273)),DATE(VALUE(RIGHT(B2273,4)),VALUE(MID(B2273,4,2)),VALUE(LEFT(B2273,2))),IF(MID(B2273,5,1)="-",DATE(VALUE(LEFT(B2273,4)),VALUE(MID(B2273,6,2)),VALUE(RIGHT(B2273,2))),DATE(VALUE(RIGHT(B2273,4)),MATCH(MID(B2273,4,3),{"Jan","Feb","Mar","Apr","May","Jun","Jul","Aug","Sep","Oct","Nov","Dec"},0),VALUE(LEFT(B2273,2)))))</f>
        <v>45953</v>
      </c>
    </row>
    <row r="2274" customFormat="false" ht="15" hidden="false" customHeight="false" outlineLevel="0" collapsed="false">
      <c r="A2274" s="7" t="s">
        <v>5154</v>
      </c>
      <c r="B2274" s="7" t="s">
        <v>1603</v>
      </c>
      <c r="C2274" s="7" t="s">
        <v>3445</v>
      </c>
      <c r="D2274" s="7" t="s">
        <v>4285</v>
      </c>
      <c r="E2274" s="7" t="s">
        <v>149</v>
      </c>
      <c r="F2274" s="7" t="s">
        <v>119</v>
      </c>
      <c r="G2274" s="7" t="s">
        <v>150</v>
      </c>
      <c r="H2274" s="7" t="n">
        <v>3</v>
      </c>
      <c r="I2274" s="7" t="n">
        <v>140</v>
      </c>
      <c r="J2274" s="7" t="n">
        <v>125</v>
      </c>
      <c r="K2274" s="7" t="s">
        <v>88</v>
      </c>
      <c r="L2274" s="7" t="s">
        <v>194</v>
      </c>
      <c r="M2274" s="7" t="n">
        <v>34</v>
      </c>
      <c r="N2274" s="7" t="n">
        <v>4</v>
      </c>
      <c r="O2274" s="7" t="str">
        <f aca="false">A2274&amp;"|"&amp;B2274&amp;"|"&amp;C2274&amp;"|"&amp;D2274&amp;"|"&amp;E2274&amp;"|"&amp;F2274&amp;"|"&amp;G2274&amp;"|"&amp;H2274&amp;"|"&amp;I2274&amp;"|"&amp;J2274&amp;"|"&amp;K2274&amp;"|"&amp;L2274&amp;"|"&amp;M2274&amp;"|"&amp;N2274</f>
        <v>ORD12992|2025-12-30|22:50|C0630|Sweet Tooth Studio|Hyderabad|Desserts|3|140|125|UPI|Delivered|34|4</v>
      </c>
      <c r="P2274" s="7" t="str">
        <f aca="false">IF(COUNTIF($O$2:O2274,O2274)&gt;1,"DUP","OK")</f>
        <v>OK</v>
      </c>
      <c r="Q2274" s="7" t="n">
        <f aca="false">COUNTBLANK(A2274:N2274)</f>
        <v>0</v>
      </c>
      <c r="R2274" s="7" t="n">
        <f aca="false">IF(A2274="",0,COUNTIFS($A$2:$A$3058,A2274,$P$2:$P$3058,"OK"))</f>
        <v>1</v>
      </c>
      <c r="S2274" s="7" t="str">
        <f aca="false">IF(OR(A2274="",P2274="DUP",R2274&lt;2),"",IF(Q2274=_xlfn.MINIFS($Q$2:$Q$3058,$A$2:$A$3058,A2274,$P$2:$P$3058,"OK"),"KEEP","DROP"))</f>
        <v/>
      </c>
      <c r="T2274" s="9" t="n">
        <f aca="false">IF(A2274="",1,0)</f>
        <v>0</v>
      </c>
      <c r="U2274" s="9" t="n">
        <f aca="false">IF(D2274="",1,0)</f>
        <v>0</v>
      </c>
      <c r="V2274" s="9" t="n">
        <f aca="false">IF(E2274="",1,0)</f>
        <v>0</v>
      </c>
      <c r="W2274" s="9" t="n">
        <f aca="false">IF(OR(H2274&lt;1,H2274&gt;10),1,0)</f>
        <v>0</v>
      </c>
      <c r="X2274" s="9" t="n">
        <f aca="false">IF(OR(I2274&lt;=0,I2274&gt;1500),1,0)</f>
        <v>0</v>
      </c>
      <c r="Y2274" s="9" t="n">
        <f aca="false">IF(J2274&gt;H2274*I2274,1,0)</f>
        <v>0</v>
      </c>
      <c r="Z2274" s="9" t="n">
        <f aca="false">IF(AND(N2274&lt;&gt;"",OR(N2274&lt;1,N2274&gt;5)),1,0)</f>
        <v>0</v>
      </c>
      <c r="AA2274" s="9" t="n">
        <f aca="false">IF(AND(M2274&lt;&gt;"",OR(M2274&lt;5,M2274&gt;180)),1,0)</f>
        <v>0</v>
      </c>
      <c r="AB2274" s="7" t="str">
        <f aca="false">IF(P2274="DUP","Exact duplicate row",IF(T2274=1,"Missing Order ID",IF(S2274="DROP","Duplicate Order ID (less complete row)",IF(U2274=1,"Missing Customer ID",IF(V2274=1,"Missing Restaurant name",IF(W2274=1,"Invalid/outlier quantity",IF(X2274=1,"Invalid/outlier unit price",IF(Y2274=1,"Discount greater than order value",""))))))))</f>
        <v/>
      </c>
      <c r="AC2274" s="7" t="str">
        <f aca="false">IF(AB2274="","KEEP","DROP")</f>
        <v>KEEP</v>
      </c>
      <c r="AD2274" s="7" t="str">
        <f aca="false">IF(TRIM(F2274)="",IFERROR(INDEX(Map_Tables!$I$4:$I$37,MATCH(TRIM(E2274),Map_Tables!$G$4:$G$37,0)),""),IFERROR(INDEX(Map_Tables!$B$4:$B$18,MATCH(TRIM(F2274),Map_Tables!$A$4:$A$18,0)),"CHECK"))</f>
        <v>Hyderabad</v>
      </c>
      <c r="AE2274" s="7" t="str">
        <f aca="false">IF(TRIM(E2274)="","",IFERROR(INDEX(Map_Tables!$H$4:$H$37,MATCH(TRIM(E2274),Map_Tables!$G$4:$G$37,0)),"CHECK"))</f>
        <v>Sweet Tooth Studio</v>
      </c>
      <c r="AF2274" s="7" t="str">
        <f aca="false">IF(TRIM(K2274)="","Unknown",IFERROR(INDEX(Map_Tables!$E$4:$E$15,MATCH(TRIM(K2274),Map_Tables!$D$4:$D$15,0)),"CHECK"))</f>
        <v>UPI</v>
      </c>
      <c r="AG2274" s="7" t="str">
        <f aca="false">IF(LEFT(LOWER(TRIM(L2274)),6)="cancel","Cancelled","Delivered")</f>
        <v>Delivered</v>
      </c>
      <c r="AH2274" s="10" t="n">
        <f aca="false">IF(ISNUMBER(SEARCH("/",B2274)),DATE(VALUE(RIGHT(B2274,4)),VALUE(MID(B2274,4,2)),VALUE(LEFT(B2274,2))),IF(MID(B2274,5,1)="-",DATE(VALUE(LEFT(B2274,4)),VALUE(MID(B2274,6,2)),VALUE(RIGHT(B2274,2))),DATE(VALUE(RIGHT(B2274,4)),MATCH(MID(B2274,4,3),{"Jan","Feb","Mar","Apr","May","Jun","Jul","Aug","Sep","Oct","Nov","Dec"},0),VALUE(LEFT(B2274,2)))))</f>
        <v>46021</v>
      </c>
    </row>
    <row r="2275" customFormat="false" ht="15" hidden="false" customHeight="false" outlineLevel="0" collapsed="false">
      <c r="A2275" s="7" t="s">
        <v>5155</v>
      </c>
      <c r="B2275" s="7" t="s">
        <v>1469</v>
      </c>
      <c r="C2275" s="7" t="s">
        <v>3487</v>
      </c>
      <c r="D2275" s="7" t="s">
        <v>2951</v>
      </c>
      <c r="E2275" s="7" t="s">
        <v>104</v>
      </c>
      <c r="F2275" s="7" t="s">
        <v>729</v>
      </c>
      <c r="G2275" s="7" t="s">
        <v>105</v>
      </c>
      <c r="H2275" s="7" t="n">
        <v>2</v>
      </c>
      <c r="I2275" s="7" t="n">
        <v>200</v>
      </c>
      <c r="J2275" s="7" t="n">
        <v>125</v>
      </c>
      <c r="K2275" s="7" t="s">
        <v>103</v>
      </c>
      <c r="L2275" s="7" t="s">
        <v>194</v>
      </c>
      <c r="M2275" s="7" t="n">
        <v>46</v>
      </c>
      <c r="N2275" s="7" t="n">
        <v>3</v>
      </c>
      <c r="O2275" s="7" t="str">
        <f aca="false">A2275&amp;"|"&amp;B2275&amp;"|"&amp;C2275&amp;"|"&amp;D2275&amp;"|"&amp;E2275&amp;"|"&amp;F2275&amp;"|"&amp;G2275&amp;"|"&amp;H2275&amp;"|"&amp;I2275&amp;"|"&amp;J2275&amp;"|"&amp;K2275&amp;"|"&amp;L2275&amp;"|"&amp;M2275&amp;"|"&amp;N2275</f>
        <v>ORD11060|2025-05-14|20:57|C0596|Wok &amp; Roll|BENGALURU|Chinese|2|200|125|Debit Card|Delivered|46|3</v>
      </c>
      <c r="P2275" s="7" t="str">
        <f aca="false">IF(COUNTIF($O$2:O2275,O2275)&gt;1,"DUP","OK")</f>
        <v>OK</v>
      </c>
      <c r="Q2275" s="7" t="n">
        <f aca="false">COUNTBLANK(A2275:N2275)</f>
        <v>0</v>
      </c>
      <c r="R2275" s="7" t="n">
        <f aca="false">IF(A2275="",0,COUNTIFS($A$2:$A$3058,A2275,$P$2:$P$3058,"OK"))</f>
        <v>1</v>
      </c>
      <c r="S2275" s="7" t="str">
        <f aca="false">IF(OR(A2275="",P2275="DUP",R2275&lt;2),"",IF(Q2275=_xlfn.MINIFS($Q$2:$Q$3058,$A$2:$A$3058,A2275,$P$2:$P$3058,"OK"),"KEEP","DROP"))</f>
        <v/>
      </c>
      <c r="T2275" s="9" t="n">
        <f aca="false">IF(A2275="",1,0)</f>
        <v>0</v>
      </c>
      <c r="U2275" s="9" t="n">
        <f aca="false">IF(D2275="",1,0)</f>
        <v>0</v>
      </c>
      <c r="V2275" s="9" t="n">
        <f aca="false">IF(E2275="",1,0)</f>
        <v>0</v>
      </c>
      <c r="W2275" s="9" t="n">
        <f aca="false">IF(OR(H2275&lt;1,H2275&gt;10),1,0)</f>
        <v>0</v>
      </c>
      <c r="X2275" s="9" t="n">
        <f aca="false">IF(OR(I2275&lt;=0,I2275&gt;1500),1,0)</f>
        <v>0</v>
      </c>
      <c r="Y2275" s="9" t="n">
        <f aca="false">IF(J2275&gt;H2275*I2275,1,0)</f>
        <v>0</v>
      </c>
      <c r="Z2275" s="9" t="n">
        <f aca="false">IF(AND(N2275&lt;&gt;"",OR(N2275&lt;1,N2275&gt;5)),1,0)</f>
        <v>0</v>
      </c>
      <c r="AA2275" s="9" t="n">
        <f aca="false">IF(AND(M2275&lt;&gt;"",OR(M2275&lt;5,M2275&gt;180)),1,0)</f>
        <v>0</v>
      </c>
      <c r="AB2275" s="7" t="str">
        <f aca="false">IF(P2275="DUP","Exact duplicate row",IF(T2275=1,"Missing Order ID",IF(S2275="DROP","Duplicate Order ID (less complete row)",IF(U2275=1,"Missing Customer ID",IF(V2275=1,"Missing Restaurant name",IF(W2275=1,"Invalid/outlier quantity",IF(X2275=1,"Invalid/outlier unit price",IF(Y2275=1,"Discount greater than order value",""))))))))</f>
        <v/>
      </c>
      <c r="AC2275" s="7" t="str">
        <f aca="false">IF(AB2275="","KEEP","DROP")</f>
        <v>KEEP</v>
      </c>
      <c r="AD2275" s="7" t="str">
        <f aca="false">IF(TRIM(F2275)="",IFERROR(INDEX(Map_Tables!$I$4:$I$37,MATCH(TRIM(E2275),Map_Tables!$G$4:$G$37,0)),""),IFERROR(INDEX(Map_Tables!$B$4:$B$18,MATCH(TRIM(F2275),Map_Tables!$A$4:$A$18,0)),"CHECK"))</f>
        <v>Bengaluru</v>
      </c>
      <c r="AE2275" s="7" t="str">
        <f aca="false">IF(TRIM(E2275)="","",IFERROR(INDEX(Map_Tables!$H$4:$H$37,MATCH(TRIM(E2275),Map_Tables!$G$4:$G$37,0)),"CHECK"))</f>
        <v>Wok &amp; Roll</v>
      </c>
      <c r="AF2275" s="7" t="str">
        <f aca="false">IF(TRIM(K2275)="","Unknown",IFERROR(INDEX(Map_Tables!$E$4:$E$15,MATCH(TRIM(K2275),Map_Tables!$D$4:$D$15,0)),"CHECK"))</f>
        <v>Debit Card</v>
      </c>
      <c r="AG2275" s="7" t="str">
        <f aca="false">IF(LEFT(LOWER(TRIM(L2275)),6)="cancel","Cancelled","Delivered")</f>
        <v>Delivered</v>
      </c>
      <c r="AH2275" s="10" t="n">
        <f aca="false">IF(ISNUMBER(SEARCH("/",B2275)),DATE(VALUE(RIGHT(B2275,4)),VALUE(MID(B2275,4,2)),VALUE(LEFT(B2275,2))),IF(MID(B2275,5,1)="-",DATE(VALUE(LEFT(B2275,4)),VALUE(MID(B2275,6,2)),VALUE(RIGHT(B2275,2))),DATE(VALUE(RIGHT(B2275,4)),MATCH(MID(B2275,4,3),{"Jan","Feb","Mar","Apr","May","Jun","Jul","Aug","Sep","Oct","Nov","Dec"},0),VALUE(LEFT(B2275,2)))))</f>
        <v>45791</v>
      </c>
    </row>
    <row r="2276" customFormat="false" ht="15" hidden="false" customHeight="false" outlineLevel="0" collapsed="false">
      <c r="A2276" s="7" t="s">
        <v>5156</v>
      </c>
      <c r="B2276" s="7" t="s">
        <v>3813</v>
      </c>
      <c r="C2276" s="7" t="s">
        <v>209</v>
      </c>
      <c r="D2276" s="7" t="s">
        <v>5157</v>
      </c>
      <c r="E2276" s="7" t="s">
        <v>122</v>
      </c>
      <c r="F2276" s="7" t="s">
        <v>101</v>
      </c>
      <c r="G2276" s="7" t="s">
        <v>123</v>
      </c>
      <c r="H2276" s="7" t="n">
        <v>1</v>
      </c>
      <c r="I2276" s="7" t="n">
        <v>340</v>
      </c>
      <c r="J2276" s="7" t="n">
        <v>0</v>
      </c>
      <c r="K2276" s="7" t="s">
        <v>93</v>
      </c>
      <c r="L2276" s="7" t="s">
        <v>194</v>
      </c>
      <c r="M2276" s="7" t="n">
        <v>39</v>
      </c>
      <c r="N2276" s="7" t="n">
        <v>4</v>
      </c>
      <c r="O2276" s="7" t="str">
        <f aca="false">A2276&amp;"|"&amp;B2276&amp;"|"&amp;C2276&amp;"|"&amp;D2276&amp;"|"&amp;E2276&amp;"|"&amp;F2276&amp;"|"&amp;G2276&amp;"|"&amp;H2276&amp;"|"&amp;I2276&amp;"|"&amp;J2276&amp;"|"&amp;K2276&amp;"|"&amp;L2276&amp;"|"&amp;M2276&amp;"|"&amp;N2276</f>
        <v>ORD12754|02/12/2025|21:40|C0295|Mumbai Pizza Co|Mumbai|Pizza|1|340|0|Credit Card|Delivered|39|4</v>
      </c>
      <c r="P2276" s="7" t="str">
        <f aca="false">IF(COUNTIF($O$2:O2276,O2276)&gt;1,"DUP","OK")</f>
        <v>OK</v>
      </c>
      <c r="Q2276" s="7" t="n">
        <f aca="false">COUNTBLANK(A2276:N2276)</f>
        <v>0</v>
      </c>
      <c r="R2276" s="7" t="n">
        <f aca="false">IF(A2276="",0,COUNTIFS($A$2:$A$3058,A2276,$P$2:$P$3058,"OK"))</f>
        <v>1</v>
      </c>
      <c r="S2276" s="7" t="str">
        <f aca="false">IF(OR(A2276="",P2276="DUP",R2276&lt;2),"",IF(Q2276=_xlfn.MINIFS($Q$2:$Q$3058,$A$2:$A$3058,A2276,$P$2:$P$3058,"OK"),"KEEP","DROP"))</f>
        <v/>
      </c>
      <c r="T2276" s="9" t="n">
        <f aca="false">IF(A2276="",1,0)</f>
        <v>0</v>
      </c>
      <c r="U2276" s="9" t="n">
        <f aca="false">IF(D2276="",1,0)</f>
        <v>0</v>
      </c>
      <c r="V2276" s="9" t="n">
        <f aca="false">IF(E2276="",1,0)</f>
        <v>0</v>
      </c>
      <c r="W2276" s="9" t="n">
        <f aca="false">IF(OR(H2276&lt;1,H2276&gt;10),1,0)</f>
        <v>0</v>
      </c>
      <c r="X2276" s="9" t="n">
        <f aca="false">IF(OR(I2276&lt;=0,I2276&gt;1500),1,0)</f>
        <v>0</v>
      </c>
      <c r="Y2276" s="9" t="n">
        <f aca="false">IF(J2276&gt;H2276*I2276,1,0)</f>
        <v>0</v>
      </c>
      <c r="Z2276" s="9" t="n">
        <f aca="false">IF(AND(N2276&lt;&gt;"",OR(N2276&lt;1,N2276&gt;5)),1,0)</f>
        <v>0</v>
      </c>
      <c r="AA2276" s="9" t="n">
        <f aca="false">IF(AND(M2276&lt;&gt;"",OR(M2276&lt;5,M2276&gt;180)),1,0)</f>
        <v>0</v>
      </c>
      <c r="AB2276" s="7" t="str">
        <f aca="false">IF(P2276="DUP","Exact duplicate row",IF(T2276=1,"Missing Order ID",IF(S2276="DROP","Duplicate Order ID (less complete row)",IF(U2276=1,"Missing Customer ID",IF(V2276=1,"Missing Restaurant name",IF(W2276=1,"Invalid/outlier quantity",IF(X2276=1,"Invalid/outlier unit price",IF(Y2276=1,"Discount greater than order value",""))))))))</f>
        <v/>
      </c>
      <c r="AC2276" s="7" t="str">
        <f aca="false">IF(AB2276="","KEEP","DROP")</f>
        <v>KEEP</v>
      </c>
      <c r="AD2276" s="7" t="str">
        <f aca="false">IF(TRIM(F2276)="",IFERROR(INDEX(Map_Tables!$I$4:$I$37,MATCH(TRIM(E2276),Map_Tables!$G$4:$G$37,0)),""),IFERROR(INDEX(Map_Tables!$B$4:$B$18,MATCH(TRIM(F2276),Map_Tables!$A$4:$A$18,0)),"CHECK"))</f>
        <v>Mumbai</v>
      </c>
      <c r="AE2276" s="7" t="str">
        <f aca="false">IF(TRIM(E2276)="","",IFERROR(INDEX(Map_Tables!$H$4:$H$37,MATCH(TRIM(E2276),Map_Tables!$G$4:$G$37,0)),"CHECK"))</f>
        <v>Mumbai Pizza Co</v>
      </c>
      <c r="AF2276" s="7" t="str">
        <f aca="false">IF(TRIM(K2276)="","Unknown",IFERROR(INDEX(Map_Tables!$E$4:$E$15,MATCH(TRIM(K2276),Map_Tables!$D$4:$D$15,0)),"CHECK"))</f>
        <v>Credit Card</v>
      </c>
      <c r="AG2276" s="7" t="str">
        <f aca="false">IF(LEFT(LOWER(TRIM(L2276)),6)="cancel","Cancelled","Delivered")</f>
        <v>Delivered</v>
      </c>
      <c r="AH2276" s="10" t="n">
        <f aca="false">IF(ISNUMBER(SEARCH("/",B2276)),DATE(VALUE(RIGHT(B2276,4)),VALUE(MID(B2276,4,2)),VALUE(LEFT(B2276,2))),IF(MID(B2276,5,1)="-",DATE(VALUE(LEFT(B2276,4)),VALUE(MID(B2276,6,2)),VALUE(RIGHT(B2276,2))),DATE(VALUE(RIGHT(B2276,4)),MATCH(MID(B2276,4,3),{"Jan","Feb","Mar","Apr","May","Jun","Jul","Aug","Sep","Oct","Nov","Dec"},0),VALUE(LEFT(B2276,2)))))</f>
        <v>45993</v>
      </c>
    </row>
    <row r="2277" customFormat="false" ht="15" hidden="false" customHeight="false" outlineLevel="0" collapsed="false">
      <c r="A2277" s="7" t="s">
        <v>5158</v>
      </c>
      <c r="B2277" s="7" t="s">
        <v>1938</v>
      </c>
      <c r="C2277" s="7" t="s">
        <v>5159</v>
      </c>
      <c r="D2277" s="7" t="s">
        <v>2091</v>
      </c>
      <c r="E2277" s="7" t="s">
        <v>98</v>
      </c>
      <c r="F2277" s="7" t="s">
        <v>86</v>
      </c>
      <c r="G2277" s="7" t="s">
        <v>99</v>
      </c>
      <c r="H2277" s="7" t="n">
        <v>2</v>
      </c>
      <c r="I2277" s="7" t="n">
        <v>235</v>
      </c>
      <c r="J2277" s="7" t="n">
        <v>0</v>
      </c>
      <c r="K2277" s="7" t="s">
        <v>229</v>
      </c>
      <c r="L2277" s="7" t="s">
        <v>194</v>
      </c>
      <c r="M2277" s="7" t="n">
        <v>37</v>
      </c>
      <c r="N2277" s="7" t="n">
        <v>5</v>
      </c>
      <c r="O2277" s="7" t="str">
        <f aca="false">A2277&amp;"|"&amp;B2277&amp;"|"&amp;C2277&amp;"|"&amp;D2277&amp;"|"&amp;E2277&amp;"|"&amp;F2277&amp;"|"&amp;G2277&amp;"|"&amp;H2277&amp;"|"&amp;I2277&amp;"|"&amp;J2277&amp;"|"&amp;K2277&amp;"|"&amp;L2277&amp;"|"&amp;M2277&amp;"|"&amp;N2277</f>
        <v>ORD10656|2025-03-24|13:44|C1463|Nawabi Biryani House|Bengaluru|Biryani|2|235|0|Upi|Delivered|37|5</v>
      </c>
      <c r="P2277" s="7" t="str">
        <f aca="false">IF(COUNTIF($O$2:O2277,O2277)&gt;1,"DUP","OK")</f>
        <v>OK</v>
      </c>
      <c r="Q2277" s="7" t="n">
        <f aca="false">COUNTBLANK(A2277:N2277)</f>
        <v>0</v>
      </c>
      <c r="R2277" s="7" t="n">
        <f aca="false">IF(A2277="",0,COUNTIFS($A$2:$A$3058,A2277,$P$2:$P$3058,"OK"))</f>
        <v>1</v>
      </c>
      <c r="S2277" s="7" t="str">
        <f aca="false">IF(OR(A2277="",P2277="DUP",R2277&lt;2),"",IF(Q2277=_xlfn.MINIFS($Q$2:$Q$3058,$A$2:$A$3058,A2277,$P$2:$P$3058,"OK"),"KEEP","DROP"))</f>
        <v/>
      </c>
      <c r="T2277" s="9" t="n">
        <f aca="false">IF(A2277="",1,0)</f>
        <v>0</v>
      </c>
      <c r="U2277" s="9" t="n">
        <f aca="false">IF(D2277="",1,0)</f>
        <v>0</v>
      </c>
      <c r="V2277" s="9" t="n">
        <f aca="false">IF(E2277="",1,0)</f>
        <v>0</v>
      </c>
      <c r="W2277" s="9" t="n">
        <f aca="false">IF(OR(H2277&lt;1,H2277&gt;10),1,0)</f>
        <v>0</v>
      </c>
      <c r="X2277" s="9" t="n">
        <f aca="false">IF(OR(I2277&lt;=0,I2277&gt;1500),1,0)</f>
        <v>0</v>
      </c>
      <c r="Y2277" s="9" t="n">
        <f aca="false">IF(J2277&gt;H2277*I2277,1,0)</f>
        <v>0</v>
      </c>
      <c r="Z2277" s="9" t="n">
        <f aca="false">IF(AND(N2277&lt;&gt;"",OR(N2277&lt;1,N2277&gt;5)),1,0)</f>
        <v>0</v>
      </c>
      <c r="AA2277" s="9" t="n">
        <f aca="false">IF(AND(M2277&lt;&gt;"",OR(M2277&lt;5,M2277&gt;180)),1,0)</f>
        <v>0</v>
      </c>
      <c r="AB2277" s="7" t="str">
        <f aca="false">IF(P2277="DUP","Exact duplicate row",IF(T2277=1,"Missing Order ID",IF(S2277="DROP","Duplicate Order ID (less complete row)",IF(U2277=1,"Missing Customer ID",IF(V2277=1,"Missing Restaurant name",IF(W2277=1,"Invalid/outlier quantity",IF(X2277=1,"Invalid/outlier unit price",IF(Y2277=1,"Discount greater than order value",""))))))))</f>
        <v/>
      </c>
      <c r="AC2277" s="7" t="str">
        <f aca="false">IF(AB2277="","KEEP","DROP")</f>
        <v>KEEP</v>
      </c>
      <c r="AD2277" s="7" t="str">
        <f aca="false">IF(TRIM(F2277)="",IFERROR(INDEX(Map_Tables!$I$4:$I$37,MATCH(TRIM(E2277),Map_Tables!$G$4:$G$37,0)),""),IFERROR(INDEX(Map_Tables!$B$4:$B$18,MATCH(TRIM(F2277),Map_Tables!$A$4:$A$18,0)),"CHECK"))</f>
        <v>Bengaluru</v>
      </c>
      <c r="AE2277" s="7" t="str">
        <f aca="false">IF(TRIM(E2277)="","",IFERROR(INDEX(Map_Tables!$H$4:$H$37,MATCH(TRIM(E2277),Map_Tables!$G$4:$G$37,0)),"CHECK"))</f>
        <v>Nawabi Biryani House</v>
      </c>
      <c r="AF2277" s="7" t="str">
        <f aca="false">IF(TRIM(K2277)="","Unknown",IFERROR(INDEX(Map_Tables!$E$4:$E$15,MATCH(TRIM(K2277),Map_Tables!$D$4:$D$15,0)),"CHECK"))</f>
        <v>UPI</v>
      </c>
      <c r="AG2277" s="7" t="str">
        <f aca="false">IF(LEFT(LOWER(TRIM(L2277)),6)="cancel","Cancelled","Delivered")</f>
        <v>Delivered</v>
      </c>
      <c r="AH2277" s="10" t="n">
        <f aca="false">IF(ISNUMBER(SEARCH("/",B2277)),DATE(VALUE(RIGHT(B2277,4)),VALUE(MID(B2277,4,2)),VALUE(LEFT(B2277,2))),IF(MID(B2277,5,1)="-",DATE(VALUE(LEFT(B2277,4)),VALUE(MID(B2277,6,2)),VALUE(RIGHT(B2277,2))),DATE(VALUE(RIGHT(B2277,4)),MATCH(MID(B2277,4,3),{"Jan","Feb","Mar","Apr","May","Jun","Jul","Aug","Sep","Oct","Nov","Dec"},0),VALUE(LEFT(B2277,2)))))</f>
        <v>45740</v>
      </c>
    </row>
    <row r="2278" customFormat="false" ht="15" hidden="false" customHeight="false" outlineLevel="0" collapsed="false">
      <c r="A2278" s="7" t="s">
        <v>5160</v>
      </c>
      <c r="B2278" s="7" t="s">
        <v>2045</v>
      </c>
      <c r="C2278" s="7" t="s">
        <v>5161</v>
      </c>
      <c r="D2278" s="7" t="s">
        <v>5162</v>
      </c>
      <c r="E2278" s="7" t="s">
        <v>138</v>
      </c>
      <c r="F2278" s="7" t="s">
        <v>756</v>
      </c>
      <c r="G2278" s="7" t="s">
        <v>139</v>
      </c>
      <c r="H2278" s="7" t="n">
        <v>1</v>
      </c>
      <c r="I2278" s="7" t="n">
        <v>175</v>
      </c>
      <c r="J2278" s="7" t="n">
        <v>0</v>
      </c>
      <c r="K2278" s="7" t="s">
        <v>88</v>
      </c>
      <c r="L2278" s="7" t="s">
        <v>194</v>
      </c>
      <c r="M2278" s="7" t="n">
        <v>38</v>
      </c>
      <c r="N2278" s="7" t="n">
        <v>4</v>
      </c>
      <c r="O2278" s="7" t="str">
        <f aca="false">A2278&amp;"|"&amp;B2278&amp;"|"&amp;C2278&amp;"|"&amp;D2278&amp;"|"&amp;E2278&amp;"|"&amp;F2278&amp;"|"&amp;G2278&amp;"|"&amp;H2278&amp;"|"&amp;I2278&amp;"|"&amp;J2278&amp;"|"&amp;K2278&amp;"|"&amp;L2278&amp;"|"&amp;M2278&amp;"|"&amp;N2278</f>
        <v>ORD12065|2025-09-24|09:17|C0217|Burger Barn|Delhi |Burgers|1|175|0|UPI|Delivered|38|4</v>
      </c>
      <c r="P2278" s="7" t="str">
        <f aca="false">IF(COUNTIF($O$2:O2278,O2278)&gt;1,"DUP","OK")</f>
        <v>OK</v>
      </c>
      <c r="Q2278" s="7" t="n">
        <f aca="false">COUNTBLANK(A2278:N2278)</f>
        <v>0</v>
      </c>
      <c r="R2278" s="7" t="n">
        <f aca="false">IF(A2278="",0,COUNTIFS($A$2:$A$3058,A2278,$P$2:$P$3058,"OK"))</f>
        <v>1</v>
      </c>
      <c r="S2278" s="7" t="str">
        <f aca="false">IF(OR(A2278="",P2278="DUP",R2278&lt;2),"",IF(Q2278=_xlfn.MINIFS($Q$2:$Q$3058,$A$2:$A$3058,A2278,$P$2:$P$3058,"OK"),"KEEP","DROP"))</f>
        <v/>
      </c>
      <c r="T2278" s="9" t="n">
        <f aca="false">IF(A2278="",1,0)</f>
        <v>0</v>
      </c>
      <c r="U2278" s="9" t="n">
        <f aca="false">IF(D2278="",1,0)</f>
        <v>0</v>
      </c>
      <c r="V2278" s="9" t="n">
        <f aca="false">IF(E2278="",1,0)</f>
        <v>0</v>
      </c>
      <c r="W2278" s="9" t="n">
        <f aca="false">IF(OR(H2278&lt;1,H2278&gt;10),1,0)</f>
        <v>0</v>
      </c>
      <c r="X2278" s="9" t="n">
        <f aca="false">IF(OR(I2278&lt;=0,I2278&gt;1500),1,0)</f>
        <v>0</v>
      </c>
      <c r="Y2278" s="9" t="n">
        <f aca="false">IF(J2278&gt;H2278*I2278,1,0)</f>
        <v>0</v>
      </c>
      <c r="Z2278" s="9" t="n">
        <f aca="false">IF(AND(N2278&lt;&gt;"",OR(N2278&lt;1,N2278&gt;5)),1,0)</f>
        <v>0</v>
      </c>
      <c r="AA2278" s="9" t="n">
        <f aca="false">IF(AND(M2278&lt;&gt;"",OR(M2278&lt;5,M2278&gt;180)),1,0)</f>
        <v>0</v>
      </c>
      <c r="AB2278" s="7" t="str">
        <f aca="false">IF(P2278="DUP","Exact duplicate row",IF(T2278=1,"Missing Order ID",IF(S2278="DROP","Duplicate Order ID (less complete row)",IF(U2278=1,"Missing Customer ID",IF(V2278=1,"Missing Restaurant name",IF(W2278=1,"Invalid/outlier quantity",IF(X2278=1,"Invalid/outlier unit price",IF(Y2278=1,"Discount greater than order value",""))))))))</f>
        <v/>
      </c>
      <c r="AC2278" s="7" t="str">
        <f aca="false">IF(AB2278="","KEEP","DROP")</f>
        <v>KEEP</v>
      </c>
      <c r="AD2278" s="7" t="str">
        <f aca="false">IF(TRIM(F2278)="",IFERROR(INDEX(Map_Tables!$I$4:$I$37,MATCH(TRIM(E2278),Map_Tables!$G$4:$G$37,0)),""),IFERROR(INDEX(Map_Tables!$B$4:$B$18,MATCH(TRIM(F2278),Map_Tables!$A$4:$A$18,0)),"CHECK"))</f>
        <v>Delhi</v>
      </c>
      <c r="AE2278" s="7" t="str">
        <f aca="false">IF(TRIM(E2278)="","",IFERROR(INDEX(Map_Tables!$H$4:$H$37,MATCH(TRIM(E2278),Map_Tables!$G$4:$G$37,0)),"CHECK"))</f>
        <v>Burger Barn</v>
      </c>
      <c r="AF2278" s="7" t="str">
        <f aca="false">IF(TRIM(K2278)="","Unknown",IFERROR(INDEX(Map_Tables!$E$4:$E$15,MATCH(TRIM(K2278),Map_Tables!$D$4:$D$15,0)),"CHECK"))</f>
        <v>UPI</v>
      </c>
      <c r="AG2278" s="7" t="str">
        <f aca="false">IF(LEFT(LOWER(TRIM(L2278)),6)="cancel","Cancelled","Delivered")</f>
        <v>Delivered</v>
      </c>
      <c r="AH2278" s="10" t="n">
        <f aca="false">IF(ISNUMBER(SEARCH("/",B2278)),DATE(VALUE(RIGHT(B2278,4)),VALUE(MID(B2278,4,2)),VALUE(LEFT(B2278,2))),IF(MID(B2278,5,1)="-",DATE(VALUE(LEFT(B2278,4)),VALUE(MID(B2278,6,2)),VALUE(RIGHT(B2278,2))),DATE(VALUE(RIGHT(B2278,4)),MATCH(MID(B2278,4,3),{"Jan","Feb","Mar","Apr","May","Jun","Jul","Aug","Sep","Oct","Nov","Dec"},0),VALUE(LEFT(B2278,2)))))</f>
        <v>45924</v>
      </c>
    </row>
    <row r="2279" customFormat="false" ht="15" hidden="false" customHeight="false" outlineLevel="0" collapsed="false">
      <c r="A2279" s="7" t="s">
        <v>5163</v>
      </c>
      <c r="B2279" s="7" t="s">
        <v>5164</v>
      </c>
      <c r="C2279" s="7" t="s">
        <v>930</v>
      </c>
      <c r="D2279" s="7" t="s">
        <v>5165</v>
      </c>
      <c r="E2279" s="7" t="s">
        <v>149</v>
      </c>
      <c r="F2279" s="7" t="s">
        <v>119</v>
      </c>
      <c r="G2279" s="7" t="s">
        <v>150</v>
      </c>
      <c r="H2279" s="7" t="n">
        <v>2</v>
      </c>
      <c r="I2279" s="7" t="n">
        <v>170</v>
      </c>
      <c r="J2279" s="7" t="n">
        <v>136</v>
      </c>
      <c r="K2279" s="7" t="s">
        <v>112</v>
      </c>
      <c r="L2279" s="7" t="s">
        <v>194</v>
      </c>
      <c r="M2279" s="7" t="n">
        <v>28</v>
      </c>
      <c r="N2279" s="7" t="n">
        <v>5</v>
      </c>
      <c r="O2279" s="7" t="str">
        <f aca="false">A2279&amp;"|"&amp;B2279&amp;"|"&amp;C2279&amp;"|"&amp;D2279&amp;"|"&amp;E2279&amp;"|"&amp;F2279&amp;"|"&amp;G2279&amp;"|"&amp;H2279&amp;"|"&amp;I2279&amp;"|"&amp;J2279&amp;"|"&amp;K2279&amp;"|"&amp;L2279&amp;"|"&amp;M2279&amp;"|"&amp;N2279</f>
        <v>ORD12357|23-Oct-2025|20:56|C1438|Sweet Tooth Studio|Hyderabad|Desserts|2|170|136|Cash on Delivery|Delivered|28|5</v>
      </c>
      <c r="P2279" s="7" t="str">
        <f aca="false">IF(COUNTIF($O$2:O2279,O2279)&gt;1,"DUP","OK")</f>
        <v>OK</v>
      </c>
      <c r="Q2279" s="7" t="n">
        <f aca="false">COUNTBLANK(A2279:N2279)</f>
        <v>0</v>
      </c>
      <c r="R2279" s="7" t="n">
        <f aca="false">IF(A2279="",0,COUNTIFS($A$2:$A$3058,A2279,$P$2:$P$3058,"OK"))</f>
        <v>1</v>
      </c>
      <c r="S2279" s="7" t="str">
        <f aca="false">IF(OR(A2279="",P2279="DUP",R2279&lt;2),"",IF(Q2279=_xlfn.MINIFS($Q$2:$Q$3058,$A$2:$A$3058,A2279,$P$2:$P$3058,"OK"),"KEEP","DROP"))</f>
        <v/>
      </c>
      <c r="T2279" s="9" t="n">
        <f aca="false">IF(A2279="",1,0)</f>
        <v>0</v>
      </c>
      <c r="U2279" s="9" t="n">
        <f aca="false">IF(D2279="",1,0)</f>
        <v>0</v>
      </c>
      <c r="V2279" s="9" t="n">
        <f aca="false">IF(E2279="",1,0)</f>
        <v>0</v>
      </c>
      <c r="W2279" s="9" t="n">
        <f aca="false">IF(OR(H2279&lt;1,H2279&gt;10),1,0)</f>
        <v>0</v>
      </c>
      <c r="X2279" s="9" t="n">
        <f aca="false">IF(OR(I2279&lt;=0,I2279&gt;1500),1,0)</f>
        <v>0</v>
      </c>
      <c r="Y2279" s="9" t="n">
        <f aca="false">IF(J2279&gt;H2279*I2279,1,0)</f>
        <v>0</v>
      </c>
      <c r="Z2279" s="9" t="n">
        <f aca="false">IF(AND(N2279&lt;&gt;"",OR(N2279&lt;1,N2279&gt;5)),1,0)</f>
        <v>0</v>
      </c>
      <c r="AA2279" s="9" t="n">
        <f aca="false">IF(AND(M2279&lt;&gt;"",OR(M2279&lt;5,M2279&gt;180)),1,0)</f>
        <v>0</v>
      </c>
      <c r="AB2279" s="7" t="str">
        <f aca="false">IF(P2279="DUP","Exact duplicate row",IF(T2279=1,"Missing Order ID",IF(S2279="DROP","Duplicate Order ID (less complete row)",IF(U2279=1,"Missing Customer ID",IF(V2279=1,"Missing Restaurant name",IF(W2279=1,"Invalid/outlier quantity",IF(X2279=1,"Invalid/outlier unit price",IF(Y2279=1,"Discount greater than order value",""))))))))</f>
        <v/>
      </c>
      <c r="AC2279" s="7" t="str">
        <f aca="false">IF(AB2279="","KEEP","DROP")</f>
        <v>KEEP</v>
      </c>
      <c r="AD2279" s="7" t="str">
        <f aca="false">IF(TRIM(F2279)="",IFERROR(INDEX(Map_Tables!$I$4:$I$37,MATCH(TRIM(E2279),Map_Tables!$G$4:$G$37,0)),""),IFERROR(INDEX(Map_Tables!$B$4:$B$18,MATCH(TRIM(F2279),Map_Tables!$A$4:$A$18,0)),"CHECK"))</f>
        <v>Hyderabad</v>
      </c>
      <c r="AE2279" s="7" t="str">
        <f aca="false">IF(TRIM(E2279)="","",IFERROR(INDEX(Map_Tables!$H$4:$H$37,MATCH(TRIM(E2279),Map_Tables!$G$4:$G$37,0)),"CHECK"))</f>
        <v>Sweet Tooth Studio</v>
      </c>
      <c r="AF2279" s="7" t="str">
        <f aca="false">IF(TRIM(K2279)="","Unknown",IFERROR(INDEX(Map_Tables!$E$4:$E$15,MATCH(TRIM(K2279),Map_Tables!$D$4:$D$15,0)),"CHECK"))</f>
        <v>Cash on Delivery</v>
      </c>
      <c r="AG2279" s="7" t="str">
        <f aca="false">IF(LEFT(LOWER(TRIM(L2279)),6)="cancel","Cancelled","Delivered")</f>
        <v>Delivered</v>
      </c>
      <c r="AH2279" s="10" t="n">
        <f aca="false">IF(ISNUMBER(SEARCH("/",B2279)),DATE(VALUE(RIGHT(B2279,4)),VALUE(MID(B2279,4,2)),VALUE(LEFT(B2279,2))),IF(MID(B2279,5,1)="-",DATE(VALUE(LEFT(B2279,4)),VALUE(MID(B2279,6,2)),VALUE(RIGHT(B2279,2))),DATE(VALUE(RIGHT(B2279,4)),MATCH(MID(B2279,4,3),{"Jan","Feb","Mar","Apr","May","Jun","Jul","Aug","Sep","Oct","Nov","Dec"},0),VALUE(LEFT(B2279,2)))))</f>
        <v>45953</v>
      </c>
    </row>
    <row r="2280" customFormat="false" ht="15" hidden="false" customHeight="false" outlineLevel="0" collapsed="false">
      <c r="A2280" s="7" t="s">
        <v>5166</v>
      </c>
      <c r="B2280" s="7" t="s">
        <v>3689</v>
      </c>
      <c r="C2280" s="7" t="s">
        <v>3063</v>
      </c>
      <c r="D2280" s="7" t="s">
        <v>5131</v>
      </c>
      <c r="E2280" s="7" t="s">
        <v>148</v>
      </c>
      <c r="F2280" s="7" t="s">
        <v>119</v>
      </c>
      <c r="G2280" s="7" t="s">
        <v>123</v>
      </c>
      <c r="H2280" s="7" t="n">
        <v>1</v>
      </c>
      <c r="I2280" s="7" t="n">
        <v>415</v>
      </c>
      <c r="J2280" s="7" t="n">
        <v>125</v>
      </c>
      <c r="K2280" s="7" t="s">
        <v>112</v>
      </c>
      <c r="L2280" s="7" t="s">
        <v>194</v>
      </c>
      <c r="M2280" s="7" t="n">
        <v>46</v>
      </c>
      <c r="N2280" s="7" t="n">
        <v>5</v>
      </c>
      <c r="O2280" s="7" t="str">
        <f aca="false">A2280&amp;"|"&amp;B2280&amp;"|"&amp;C2280&amp;"|"&amp;D2280&amp;"|"&amp;E2280&amp;"|"&amp;F2280&amp;"|"&amp;G2280&amp;"|"&amp;H2280&amp;"|"&amp;I2280&amp;"|"&amp;J2280&amp;"|"&amp;K2280&amp;"|"&amp;L2280&amp;"|"&amp;M2280&amp;"|"&amp;N2280</f>
        <v>ORD10138|2025-01-18|16:42|C0910|Pizza Palace|Hyderabad|Pizza|1|415|125|Cash on Delivery|Delivered|46|5</v>
      </c>
      <c r="P2280" s="7" t="str">
        <f aca="false">IF(COUNTIF($O$2:O2280,O2280)&gt;1,"DUP","OK")</f>
        <v>OK</v>
      </c>
      <c r="Q2280" s="7" t="n">
        <f aca="false">COUNTBLANK(A2280:N2280)</f>
        <v>0</v>
      </c>
      <c r="R2280" s="7" t="n">
        <f aca="false">IF(A2280="",0,COUNTIFS($A$2:$A$3058,A2280,$P$2:$P$3058,"OK"))</f>
        <v>1</v>
      </c>
      <c r="S2280" s="7" t="str">
        <f aca="false">IF(OR(A2280="",P2280="DUP",R2280&lt;2),"",IF(Q2280=_xlfn.MINIFS($Q$2:$Q$3058,$A$2:$A$3058,A2280,$P$2:$P$3058,"OK"),"KEEP","DROP"))</f>
        <v/>
      </c>
      <c r="T2280" s="9" t="n">
        <f aca="false">IF(A2280="",1,0)</f>
        <v>0</v>
      </c>
      <c r="U2280" s="9" t="n">
        <f aca="false">IF(D2280="",1,0)</f>
        <v>0</v>
      </c>
      <c r="V2280" s="9" t="n">
        <f aca="false">IF(E2280="",1,0)</f>
        <v>0</v>
      </c>
      <c r="W2280" s="9" t="n">
        <f aca="false">IF(OR(H2280&lt;1,H2280&gt;10),1,0)</f>
        <v>0</v>
      </c>
      <c r="X2280" s="9" t="n">
        <f aca="false">IF(OR(I2280&lt;=0,I2280&gt;1500),1,0)</f>
        <v>0</v>
      </c>
      <c r="Y2280" s="9" t="n">
        <f aca="false">IF(J2280&gt;H2280*I2280,1,0)</f>
        <v>0</v>
      </c>
      <c r="Z2280" s="9" t="n">
        <f aca="false">IF(AND(N2280&lt;&gt;"",OR(N2280&lt;1,N2280&gt;5)),1,0)</f>
        <v>0</v>
      </c>
      <c r="AA2280" s="9" t="n">
        <f aca="false">IF(AND(M2280&lt;&gt;"",OR(M2280&lt;5,M2280&gt;180)),1,0)</f>
        <v>0</v>
      </c>
      <c r="AB2280" s="7" t="str">
        <f aca="false">IF(P2280="DUP","Exact duplicate row",IF(T2280=1,"Missing Order ID",IF(S2280="DROP","Duplicate Order ID (less complete row)",IF(U2280=1,"Missing Customer ID",IF(V2280=1,"Missing Restaurant name",IF(W2280=1,"Invalid/outlier quantity",IF(X2280=1,"Invalid/outlier unit price",IF(Y2280=1,"Discount greater than order value",""))))))))</f>
        <v/>
      </c>
      <c r="AC2280" s="7" t="str">
        <f aca="false">IF(AB2280="","KEEP","DROP")</f>
        <v>KEEP</v>
      </c>
      <c r="AD2280" s="7" t="str">
        <f aca="false">IF(TRIM(F2280)="",IFERROR(INDEX(Map_Tables!$I$4:$I$37,MATCH(TRIM(E2280),Map_Tables!$G$4:$G$37,0)),""),IFERROR(INDEX(Map_Tables!$B$4:$B$18,MATCH(TRIM(F2280),Map_Tables!$A$4:$A$18,0)),"CHECK"))</f>
        <v>Hyderabad</v>
      </c>
      <c r="AE2280" s="7" t="str">
        <f aca="false">IF(TRIM(E2280)="","",IFERROR(INDEX(Map_Tables!$H$4:$H$37,MATCH(TRIM(E2280),Map_Tables!$G$4:$G$37,0)),"CHECK"))</f>
        <v>Pizza Palace</v>
      </c>
      <c r="AF2280" s="7" t="str">
        <f aca="false">IF(TRIM(K2280)="","Unknown",IFERROR(INDEX(Map_Tables!$E$4:$E$15,MATCH(TRIM(K2280),Map_Tables!$D$4:$D$15,0)),"CHECK"))</f>
        <v>Cash on Delivery</v>
      </c>
      <c r="AG2280" s="7" t="str">
        <f aca="false">IF(LEFT(LOWER(TRIM(L2280)),6)="cancel","Cancelled","Delivered")</f>
        <v>Delivered</v>
      </c>
      <c r="AH2280" s="10" t="n">
        <f aca="false">IF(ISNUMBER(SEARCH("/",B2280)),DATE(VALUE(RIGHT(B2280,4)),VALUE(MID(B2280,4,2)),VALUE(LEFT(B2280,2))),IF(MID(B2280,5,1)="-",DATE(VALUE(LEFT(B2280,4)),VALUE(MID(B2280,6,2)),VALUE(RIGHT(B2280,2))),DATE(VALUE(RIGHT(B2280,4)),MATCH(MID(B2280,4,3),{"Jan","Feb","Mar","Apr","May","Jun","Jul","Aug","Sep","Oct","Nov","Dec"},0),VALUE(LEFT(B2280,2)))))</f>
        <v>45675</v>
      </c>
    </row>
    <row r="2281" customFormat="false" ht="15" hidden="false" customHeight="false" outlineLevel="0" collapsed="false">
      <c r="A2281" s="7" t="s">
        <v>5167</v>
      </c>
      <c r="B2281" s="7" t="s">
        <v>903</v>
      </c>
      <c r="C2281" s="7" t="s">
        <v>403</v>
      </c>
      <c r="D2281" s="7" t="s">
        <v>3737</v>
      </c>
      <c r="E2281" s="7" t="s">
        <v>152</v>
      </c>
      <c r="F2281" s="7" t="s">
        <v>128</v>
      </c>
      <c r="G2281" s="7" t="s">
        <v>95</v>
      </c>
      <c r="H2281" s="7" t="n">
        <v>1</v>
      </c>
      <c r="I2281" s="7" t="n">
        <v>95</v>
      </c>
      <c r="J2281" s="7" t="n">
        <v>38</v>
      </c>
      <c r="K2281" s="7" t="s">
        <v>88</v>
      </c>
      <c r="L2281" s="7" t="s">
        <v>194</v>
      </c>
      <c r="M2281" s="7" t="n">
        <v>17</v>
      </c>
      <c r="N2281" s="7" t="n">
        <v>4</v>
      </c>
      <c r="O2281" s="7" t="str">
        <f aca="false">A2281&amp;"|"&amp;B2281&amp;"|"&amp;C2281&amp;"|"&amp;D2281&amp;"|"&amp;E2281&amp;"|"&amp;F2281&amp;"|"&amp;G2281&amp;"|"&amp;H2281&amp;"|"&amp;I2281&amp;"|"&amp;J2281&amp;"|"&amp;K2281&amp;"|"&amp;L2281&amp;"|"&amp;M2281&amp;"|"&amp;N2281</f>
        <v>ORD12398|2025-10-30|11:13|C0897|Filter Coffee &amp; Tiffin|Chennai|South Indian|1|95|38|UPI|Delivered|17|4</v>
      </c>
      <c r="P2281" s="7" t="str">
        <f aca="false">IF(COUNTIF($O$2:O2281,O2281)&gt;1,"DUP","OK")</f>
        <v>OK</v>
      </c>
      <c r="Q2281" s="7" t="n">
        <f aca="false">COUNTBLANK(A2281:N2281)</f>
        <v>0</v>
      </c>
      <c r="R2281" s="7" t="n">
        <f aca="false">IF(A2281="",0,COUNTIFS($A$2:$A$3058,A2281,$P$2:$P$3058,"OK"))</f>
        <v>1</v>
      </c>
      <c r="S2281" s="7" t="str">
        <f aca="false">IF(OR(A2281="",P2281="DUP",R2281&lt;2),"",IF(Q2281=_xlfn.MINIFS($Q$2:$Q$3058,$A$2:$A$3058,A2281,$P$2:$P$3058,"OK"),"KEEP","DROP"))</f>
        <v/>
      </c>
      <c r="T2281" s="9" t="n">
        <f aca="false">IF(A2281="",1,0)</f>
        <v>0</v>
      </c>
      <c r="U2281" s="9" t="n">
        <f aca="false">IF(D2281="",1,0)</f>
        <v>0</v>
      </c>
      <c r="V2281" s="9" t="n">
        <f aca="false">IF(E2281="",1,0)</f>
        <v>0</v>
      </c>
      <c r="W2281" s="9" t="n">
        <f aca="false">IF(OR(H2281&lt;1,H2281&gt;10),1,0)</f>
        <v>0</v>
      </c>
      <c r="X2281" s="9" t="n">
        <f aca="false">IF(OR(I2281&lt;=0,I2281&gt;1500),1,0)</f>
        <v>0</v>
      </c>
      <c r="Y2281" s="9" t="n">
        <f aca="false">IF(J2281&gt;H2281*I2281,1,0)</f>
        <v>0</v>
      </c>
      <c r="Z2281" s="9" t="n">
        <f aca="false">IF(AND(N2281&lt;&gt;"",OR(N2281&lt;1,N2281&gt;5)),1,0)</f>
        <v>0</v>
      </c>
      <c r="AA2281" s="9" t="n">
        <f aca="false">IF(AND(M2281&lt;&gt;"",OR(M2281&lt;5,M2281&gt;180)),1,0)</f>
        <v>0</v>
      </c>
      <c r="AB2281" s="7" t="str">
        <f aca="false">IF(P2281="DUP","Exact duplicate row",IF(T2281=1,"Missing Order ID",IF(S2281="DROP","Duplicate Order ID (less complete row)",IF(U2281=1,"Missing Customer ID",IF(V2281=1,"Missing Restaurant name",IF(W2281=1,"Invalid/outlier quantity",IF(X2281=1,"Invalid/outlier unit price",IF(Y2281=1,"Discount greater than order value",""))))))))</f>
        <v/>
      </c>
      <c r="AC2281" s="7" t="str">
        <f aca="false">IF(AB2281="","KEEP","DROP")</f>
        <v>KEEP</v>
      </c>
      <c r="AD2281" s="7" t="str">
        <f aca="false">IF(TRIM(F2281)="",IFERROR(INDEX(Map_Tables!$I$4:$I$37,MATCH(TRIM(E2281),Map_Tables!$G$4:$G$37,0)),""),IFERROR(INDEX(Map_Tables!$B$4:$B$18,MATCH(TRIM(F2281),Map_Tables!$A$4:$A$18,0)),"CHECK"))</f>
        <v>Chennai</v>
      </c>
      <c r="AE2281" s="7" t="str">
        <f aca="false">IF(TRIM(E2281)="","",IFERROR(INDEX(Map_Tables!$H$4:$H$37,MATCH(TRIM(E2281),Map_Tables!$G$4:$G$37,0)),"CHECK"))</f>
        <v>Filter Coffee &amp; Tiffin</v>
      </c>
      <c r="AF2281" s="7" t="str">
        <f aca="false">IF(TRIM(K2281)="","Unknown",IFERROR(INDEX(Map_Tables!$E$4:$E$15,MATCH(TRIM(K2281),Map_Tables!$D$4:$D$15,0)),"CHECK"))</f>
        <v>UPI</v>
      </c>
      <c r="AG2281" s="7" t="str">
        <f aca="false">IF(LEFT(LOWER(TRIM(L2281)),6)="cancel","Cancelled","Delivered")</f>
        <v>Delivered</v>
      </c>
      <c r="AH2281" s="10" t="n">
        <f aca="false">IF(ISNUMBER(SEARCH("/",B2281)),DATE(VALUE(RIGHT(B2281,4)),VALUE(MID(B2281,4,2)),VALUE(LEFT(B2281,2))),IF(MID(B2281,5,1)="-",DATE(VALUE(LEFT(B2281,4)),VALUE(MID(B2281,6,2)),VALUE(RIGHT(B2281,2))),DATE(VALUE(RIGHT(B2281,4)),MATCH(MID(B2281,4,3),{"Jan","Feb","Mar","Apr","May","Jun","Jul","Aug","Sep","Oct","Nov","Dec"},0),VALUE(LEFT(B2281,2)))))</f>
        <v>45960</v>
      </c>
    </row>
    <row r="2282" customFormat="false" ht="15" hidden="false" customHeight="false" outlineLevel="0" collapsed="false">
      <c r="A2282" s="7" t="s">
        <v>5168</v>
      </c>
      <c r="B2282" s="7" t="s">
        <v>1136</v>
      </c>
      <c r="C2282" s="7" t="s">
        <v>5169</v>
      </c>
      <c r="D2282" s="7" t="s">
        <v>544</v>
      </c>
      <c r="E2282" s="7" t="s">
        <v>149</v>
      </c>
      <c r="F2282" s="7" t="s">
        <v>312</v>
      </c>
      <c r="G2282" s="7" t="s">
        <v>150</v>
      </c>
      <c r="H2282" s="7" t="n">
        <v>4</v>
      </c>
      <c r="I2282" s="7" t="n">
        <v>150</v>
      </c>
      <c r="J2282" s="7" t="n">
        <v>0</v>
      </c>
      <c r="K2282" s="7" t="s">
        <v>88</v>
      </c>
      <c r="L2282" s="7" t="s">
        <v>194</v>
      </c>
      <c r="M2282" s="7" t="n">
        <v>40</v>
      </c>
      <c r="N2282" s="7"/>
      <c r="O2282" s="7" t="str">
        <f aca="false">A2282&amp;"|"&amp;B2282&amp;"|"&amp;C2282&amp;"|"&amp;D2282&amp;"|"&amp;E2282&amp;"|"&amp;F2282&amp;"|"&amp;G2282&amp;"|"&amp;H2282&amp;"|"&amp;I2282&amp;"|"&amp;J2282&amp;"|"&amp;K2282&amp;"|"&amp;L2282&amp;"|"&amp;M2282&amp;"|"&amp;N2282</f>
        <v>ORD11977|2025-09-13|13:15|C0530|Sweet Tooth Studio|Hyd|Desserts|4|150|0|UPI|Delivered|40|</v>
      </c>
      <c r="P2282" s="7" t="str">
        <f aca="false">IF(COUNTIF($O$2:O2282,O2282)&gt;1,"DUP","OK")</f>
        <v>OK</v>
      </c>
      <c r="Q2282" s="7" t="n">
        <f aca="false">COUNTBLANK(A2282:N2282)</f>
        <v>1</v>
      </c>
      <c r="R2282" s="7" t="n">
        <f aca="false">IF(A2282="",0,COUNTIFS($A$2:$A$3058,A2282,$P$2:$P$3058,"OK"))</f>
        <v>1</v>
      </c>
      <c r="S2282" s="7" t="str">
        <f aca="false">IF(OR(A2282="",P2282="DUP",R2282&lt;2),"",IF(Q2282=_xlfn.MINIFS($Q$2:$Q$3058,$A$2:$A$3058,A2282,$P$2:$P$3058,"OK"),"KEEP","DROP"))</f>
        <v/>
      </c>
      <c r="T2282" s="9" t="n">
        <f aca="false">IF(A2282="",1,0)</f>
        <v>0</v>
      </c>
      <c r="U2282" s="9" t="n">
        <f aca="false">IF(D2282="",1,0)</f>
        <v>0</v>
      </c>
      <c r="V2282" s="9" t="n">
        <f aca="false">IF(E2282="",1,0)</f>
        <v>0</v>
      </c>
      <c r="W2282" s="9" t="n">
        <f aca="false">IF(OR(H2282&lt;1,H2282&gt;10),1,0)</f>
        <v>0</v>
      </c>
      <c r="X2282" s="9" t="n">
        <f aca="false">IF(OR(I2282&lt;=0,I2282&gt;1500),1,0)</f>
        <v>0</v>
      </c>
      <c r="Y2282" s="9" t="n">
        <f aca="false">IF(J2282&gt;H2282*I2282,1,0)</f>
        <v>0</v>
      </c>
      <c r="Z2282" s="9" t="n">
        <f aca="false">IF(AND(N2282&lt;&gt;"",OR(N2282&lt;1,N2282&gt;5)),1,0)</f>
        <v>0</v>
      </c>
      <c r="AA2282" s="9" t="n">
        <f aca="false">IF(AND(M2282&lt;&gt;"",OR(M2282&lt;5,M2282&gt;180)),1,0)</f>
        <v>0</v>
      </c>
      <c r="AB2282" s="7" t="str">
        <f aca="false">IF(P2282="DUP","Exact duplicate row",IF(T2282=1,"Missing Order ID",IF(S2282="DROP","Duplicate Order ID (less complete row)",IF(U2282=1,"Missing Customer ID",IF(V2282=1,"Missing Restaurant name",IF(W2282=1,"Invalid/outlier quantity",IF(X2282=1,"Invalid/outlier unit price",IF(Y2282=1,"Discount greater than order value",""))))))))</f>
        <v/>
      </c>
      <c r="AC2282" s="7" t="str">
        <f aca="false">IF(AB2282="","KEEP","DROP")</f>
        <v>KEEP</v>
      </c>
      <c r="AD2282" s="7" t="str">
        <f aca="false">IF(TRIM(F2282)="",IFERROR(INDEX(Map_Tables!$I$4:$I$37,MATCH(TRIM(E2282),Map_Tables!$G$4:$G$37,0)),""),IFERROR(INDEX(Map_Tables!$B$4:$B$18,MATCH(TRIM(F2282),Map_Tables!$A$4:$A$18,0)),"CHECK"))</f>
        <v>Hyderabad</v>
      </c>
      <c r="AE2282" s="7" t="str">
        <f aca="false">IF(TRIM(E2282)="","",IFERROR(INDEX(Map_Tables!$H$4:$H$37,MATCH(TRIM(E2282),Map_Tables!$G$4:$G$37,0)),"CHECK"))</f>
        <v>Sweet Tooth Studio</v>
      </c>
      <c r="AF2282" s="7" t="str">
        <f aca="false">IF(TRIM(K2282)="","Unknown",IFERROR(INDEX(Map_Tables!$E$4:$E$15,MATCH(TRIM(K2282),Map_Tables!$D$4:$D$15,0)),"CHECK"))</f>
        <v>UPI</v>
      </c>
      <c r="AG2282" s="7" t="str">
        <f aca="false">IF(LEFT(LOWER(TRIM(L2282)),6)="cancel","Cancelled","Delivered")</f>
        <v>Delivered</v>
      </c>
      <c r="AH2282" s="10" t="n">
        <f aca="false">IF(ISNUMBER(SEARCH("/",B2282)),DATE(VALUE(RIGHT(B2282,4)),VALUE(MID(B2282,4,2)),VALUE(LEFT(B2282,2))),IF(MID(B2282,5,1)="-",DATE(VALUE(LEFT(B2282,4)),VALUE(MID(B2282,6,2)),VALUE(RIGHT(B2282,2))),DATE(VALUE(RIGHT(B2282,4)),MATCH(MID(B2282,4,3),{"Jan","Feb","Mar","Apr","May","Jun","Jul","Aug","Sep","Oct","Nov","Dec"},0),VALUE(LEFT(B2282,2)))))</f>
        <v>45913</v>
      </c>
    </row>
    <row r="2283" customFormat="false" ht="15" hidden="false" customHeight="false" outlineLevel="0" collapsed="false">
      <c r="A2283" s="7" t="s">
        <v>5170</v>
      </c>
      <c r="B2283" s="7" t="s">
        <v>1183</v>
      </c>
      <c r="C2283" s="7" t="s">
        <v>1820</v>
      </c>
      <c r="D2283" s="7" t="s">
        <v>3584</v>
      </c>
      <c r="E2283" s="7" t="s">
        <v>167</v>
      </c>
      <c r="F2283" s="7" t="s">
        <v>146</v>
      </c>
      <c r="G2283" s="7" t="s">
        <v>156</v>
      </c>
      <c r="H2283" s="7" t="n">
        <v>1</v>
      </c>
      <c r="I2283" s="7" t="n">
        <v>265</v>
      </c>
      <c r="J2283" s="7" t="n">
        <v>0</v>
      </c>
      <c r="K2283" s="7" t="s">
        <v>121</v>
      </c>
      <c r="L2283" s="7" t="s">
        <v>194</v>
      </c>
      <c r="M2283" s="7" t="n">
        <v>29</v>
      </c>
      <c r="N2283" s="7" t="n">
        <v>4</v>
      </c>
      <c r="O2283" s="7" t="str">
        <f aca="false">A2283&amp;"|"&amp;B2283&amp;"|"&amp;C2283&amp;"|"&amp;D2283&amp;"|"&amp;E2283&amp;"|"&amp;F2283&amp;"|"&amp;G2283&amp;"|"&amp;H2283&amp;"|"&amp;I2283&amp;"|"&amp;J2283&amp;"|"&amp;K2283&amp;"|"&amp;L2283&amp;"|"&amp;M2283&amp;"|"&amp;N2283</f>
        <v>ORD11582|2025-07-26|12:34|C1188|Fit Fuel Kitchen|Ahmedabad|Healthy Food|1|265|0|Wallet|Delivered|29|4</v>
      </c>
      <c r="P2283" s="7" t="str">
        <f aca="false">IF(COUNTIF($O$2:O2283,O2283)&gt;1,"DUP","OK")</f>
        <v>OK</v>
      </c>
      <c r="Q2283" s="7" t="n">
        <f aca="false">COUNTBLANK(A2283:N2283)</f>
        <v>0</v>
      </c>
      <c r="R2283" s="7" t="n">
        <f aca="false">IF(A2283="",0,COUNTIFS($A$2:$A$3058,A2283,$P$2:$P$3058,"OK"))</f>
        <v>1</v>
      </c>
      <c r="S2283" s="7" t="str">
        <f aca="false">IF(OR(A2283="",P2283="DUP",R2283&lt;2),"",IF(Q2283=_xlfn.MINIFS($Q$2:$Q$3058,$A$2:$A$3058,A2283,$P$2:$P$3058,"OK"),"KEEP","DROP"))</f>
        <v/>
      </c>
      <c r="T2283" s="9" t="n">
        <f aca="false">IF(A2283="",1,0)</f>
        <v>0</v>
      </c>
      <c r="U2283" s="9" t="n">
        <f aca="false">IF(D2283="",1,0)</f>
        <v>0</v>
      </c>
      <c r="V2283" s="9" t="n">
        <f aca="false">IF(E2283="",1,0)</f>
        <v>0</v>
      </c>
      <c r="W2283" s="9" t="n">
        <f aca="false">IF(OR(H2283&lt;1,H2283&gt;10),1,0)</f>
        <v>0</v>
      </c>
      <c r="X2283" s="9" t="n">
        <f aca="false">IF(OR(I2283&lt;=0,I2283&gt;1500),1,0)</f>
        <v>0</v>
      </c>
      <c r="Y2283" s="9" t="n">
        <f aca="false">IF(J2283&gt;H2283*I2283,1,0)</f>
        <v>0</v>
      </c>
      <c r="Z2283" s="9" t="n">
        <f aca="false">IF(AND(N2283&lt;&gt;"",OR(N2283&lt;1,N2283&gt;5)),1,0)</f>
        <v>0</v>
      </c>
      <c r="AA2283" s="9" t="n">
        <f aca="false">IF(AND(M2283&lt;&gt;"",OR(M2283&lt;5,M2283&gt;180)),1,0)</f>
        <v>0</v>
      </c>
      <c r="AB2283" s="7" t="str">
        <f aca="false">IF(P2283="DUP","Exact duplicate row",IF(T2283=1,"Missing Order ID",IF(S2283="DROP","Duplicate Order ID (less complete row)",IF(U2283=1,"Missing Customer ID",IF(V2283=1,"Missing Restaurant name",IF(W2283=1,"Invalid/outlier quantity",IF(X2283=1,"Invalid/outlier unit price",IF(Y2283=1,"Discount greater than order value",""))))))))</f>
        <v/>
      </c>
      <c r="AC2283" s="7" t="str">
        <f aca="false">IF(AB2283="","KEEP","DROP")</f>
        <v>KEEP</v>
      </c>
      <c r="AD2283" s="7" t="str">
        <f aca="false">IF(TRIM(F2283)="",IFERROR(INDEX(Map_Tables!$I$4:$I$37,MATCH(TRIM(E2283),Map_Tables!$G$4:$G$37,0)),""),IFERROR(INDEX(Map_Tables!$B$4:$B$18,MATCH(TRIM(F2283),Map_Tables!$A$4:$A$18,0)),"CHECK"))</f>
        <v>Ahmedabad</v>
      </c>
      <c r="AE2283" s="7" t="str">
        <f aca="false">IF(TRIM(E2283)="","",IFERROR(INDEX(Map_Tables!$H$4:$H$37,MATCH(TRIM(E2283),Map_Tables!$G$4:$G$37,0)),"CHECK"))</f>
        <v>Fit Fuel Kitchen</v>
      </c>
      <c r="AF2283" s="7" t="str">
        <f aca="false">IF(TRIM(K2283)="","Unknown",IFERROR(INDEX(Map_Tables!$E$4:$E$15,MATCH(TRIM(K2283),Map_Tables!$D$4:$D$15,0)),"CHECK"))</f>
        <v>Wallet</v>
      </c>
      <c r="AG2283" s="7" t="str">
        <f aca="false">IF(LEFT(LOWER(TRIM(L2283)),6)="cancel","Cancelled","Delivered")</f>
        <v>Delivered</v>
      </c>
      <c r="AH2283" s="10" t="n">
        <f aca="false">IF(ISNUMBER(SEARCH("/",B2283)),DATE(VALUE(RIGHT(B2283,4)),VALUE(MID(B2283,4,2)),VALUE(LEFT(B2283,2))),IF(MID(B2283,5,1)="-",DATE(VALUE(LEFT(B2283,4)),VALUE(MID(B2283,6,2)),VALUE(RIGHT(B2283,2))),DATE(VALUE(RIGHT(B2283,4)),MATCH(MID(B2283,4,3),{"Jan","Feb","Mar","Apr","May","Jun","Jul","Aug","Sep","Oct","Nov","Dec"},0),VALUE(LEFT(B2283,2)))))</f>
        <v>45864</v>
      </c>
    </row>
    <row r="2284" customFormat="false" ht="15" hidden="false" customHeight="false" outlineLevel="0" collapsed="false">
      <c r="A2284" s="7" t="s">
        <v>5171</v>
      </c>
      <c r="B2284" s="7" t="s">
        <v>350</v>
      </c>
      <c r="C2284" s="7" t="s">
        <v>5172</v>
      </c>
      <c r="D2284" s="7" t="s">
        <v>2334</v>
      </c>
      <c r="E2284" s="7" t="s">
        <v>2395</v>
      </c>
      <c r="F2284" s="7" t="s">
        <v>101</v>
      </c>
      <c r="G2284" s="7" t="s">
        <v>90</v>
      </c>
      <c r="H2284" s="7" t="n">
        <v>3</v>
      </c>
      <c r="I2284" s="7" t="n">
        <v>255</v>
      </c>
      <c r="J2284" s="7" t="n">
        <v>0</v>
      </c>
      <c r="K2284" s="7" t="s">
        <v>103</v>
      </c>
      <c r="L2284" s="7" t="s">
        <v>194</v>
      </c>
      <c r="M2284" s="7" t="n">
        <v>36</v>
      </c>
      <c r="N2284" s="7" t="n">
        <v>3</v>
      </c>
      <c r="O2284" s="7" t="str">
        <f aca="false">A2284&amp;"|"&amp;B2284&amp;"|"&amp;C2284&amp;"|"&amp;D2284&amp;"|"&amp;E2284&amp;"|"&amp;F2284&amp;"|"&amp;G2284&amp;"|"&amp;H2284&amp;"|"&amp;I2284&amp;"|"&amp;J2284&amp;"|"&amp;K2284&amp;"|"&amp;L2284&amp;"|"&amp;M2284&amp;"|"&amp;N2284</f>
        <v>ORD10698|2025-03-29|16:27|C0052|Curry Leaf Kitchen |Mumbai|North Indian|3|255|0|Debit Card|Delivered|36|3</v>
      </c>
      <c r="P2284" s="7" t="str">
        <f aca="false">IF(COUNTIF($O$2:O2284,O2284)&gt;1,"DUP","OK")</f>
        <v>OK</v>
      </c>
      <c r="Q2284" s="7" t="n">
        <f aca="false">COUNTBLANK(A2284:N2284)</f>
        <v>0</v>
      </c>
      <c r="R2284" s="7" t="n">
        <f aca="false">IF(A2284="",0,COUNTIFS($A$2:$A$3058,A2284,$P$2:$P$3058,"OK"))</f>
        <v>1</v>
      </c>
      <c r="S2284" s="7" t="str">
        <f aca="false">IF(OR(A2284="",P2284="DUP",R2284&lt;2),"",IF(Q2284=_xlfn.MINIFS($Q$2:$Q$3058,$A$2:$A$3058,A2284,$P$2:$P$3058,"OK"),"KEEP","DROP"))</f>
        <v/>
      </c>
      <c r="T2284" s="9" t="n">
        <f aca="false">IF(A2284="",1,0)</f>
        <v>0</v>
      </c>
      <c r="U2284" s="9" t="n">
        <f aca="false">IF(D2284="",1,0)</f>
        <v>0</v>
      </c>
      <c r="V2284" s="9" t="n">
        <f aca="false">IF(E2284="",1,0)</f>
        <v>0</v>
      </c>
      <c r="W2284" s="9" t="n">
        <f aca="false">IF(OR(H2284&lt;1,H2284&gt;10),1,0)</f>
        <v>0</v>
      </c>
      <c r="X2284" s="9" t="n">
        <f aca="false">IF(OR(I2284&lt;=0,I2284&gt;1500),1,0)</f>
        <v>0</v>
      </c>
      <c r="Y2284" s="9" t="n">
        <f aca="false">IF(J2284&gt;H2284*I2284,1,0)</f>
        <v>0</v>
      </c>
      <c r="Z2284" s="9" t="n">
        <f aca="false">IF(AND(N2284&lt;&gt;"",OR(N2284&lt;1,N2284&gt;5)),1,0)</f>
        <v>0</v>
      </c>
      <c r="AA2284" s="9" t="n">
        <f aca="false">IF(AND(M2284&lt;&gt;"",OR(M2284&lt;5,M2284&gt;180)),1,0)</f>
        <v>0</v>
      </c>
      <c r="AB2284" s="7" t="str">
        <f aca="false">IF(P2284="DUP","Exact duplicate row",IF(T2284=1,"Missing Order ID",IF(S2284="DROP","Duplicate Order ID (less complete row)",IF(U2284=1,"Missing Customer ID",IF(V2284=1,"Missing Restaurant name",IF(W2284=1,"Invalid/outlier quantity",IF(X2284=1,"Invalid/outlier unit price",IF(Y2284=1,"Discount greater than order value",""))))))))</f>
        <v/>
      </c>
      <c r="AC2284" s="7" t="str">
        <f aca="false">IF(AB2284="","KEEP","DROP")</f>
        <v>KEEP</v>
      </c>
      <c r="AD2284" s="7" t="str">
        <f aca="false">IF(TRIM(F2284)="",IFERROR(INDEX(Map_Tables!$I$4:$I$37,MATCH(TRIM(E2284),Map_Tables!$G$4:$G$37,0)),""),IFERROR(INDEX(Map_Tables!$B$4:$B$18,MATCH(TRIM(F2284),Map_Tables!$A$4:$A$18,0)),"CHECK"))</f>
        <v>Mumbai</v>
      </c>
      <c r="AE2284" s="7" t="str">
        <f aca="false">IF(TRIM(E2284)="","",IFERROR(INDEX(Map_Tables!$H$4:$H$37,MATCH(TRIM(E2284),Map_Tables!$G$4:$G$37,0)),"CHECK"))</f>
        <v>Curry Leaf Kitchen</v>
      </c>
      <c r="AF2284" s="7" t="str">
        <f aca="false">IF(TRIM(K2284)="","Unknown",IFERROR(INDEX(Map_Tables!$E$4:$E$15,MATCH(TRIM(K2284),Map_Tables!$D$4:$D$15,0)),"CHECK"))</f>
        <v>Debit Card</v>
      </c>
      <c r="AG2284" s="7" t="str">
        <f aca="false">IF(LEFT(LOWER(TRIM(L2284)),6)="cancel","Cancelled","Delivered")</f>
        <v>Delivered</v>
      </c>
      <c r="AH2284" s="10" t="n">
        <f aca="false">IF(ISNUMBER(SEARCH("/",B2284)),DATE(VALUE(RIGHT(B2284,4)),VALUE(MID(B2284,4,2)),VALUE(LEFT(B2284,2))),IF(MID(B2284,5,1)="-",DATE(VALUE(LEFT(B2284,4)),VALUE(MID(B2284,6,2)),VALUE(RIGHT(B2284,2))),DATE(VALUE(RIGHT(B2284,4)),MATCH(MID(B2284,4,3),{"Jan","Feb","Mar","Apr","May","Jun","Jul","Aug","Sep","Oct","Nov","Dec"},0),VALUE(LEFT(B2284,2)))))</f>
        <v>45745</v>
      </c>
    </row>
    <row r="2285" customFormat="false" ht="15" hidden="false" customHeight="false" outlineLevel="0" collapsed="false">
      <c r="A2285" s="7" t="s">
        <v>5173</v>
      </c>
      <c r="B2285" s="7" t="s">
        <v>1312</v>
      </c>
      <c r="C2285" s="7" t="s">
        <v>2602</v>
      </c>
      <c r="D2285" s="7" t="s">
        <v>4755</v>
      </c>
      <c r="E2285" s="7" t="s">
        <v>149</v>
      </c>
      <c r="F2285" s="7" t="s">
        <v>119</v>
      </c>
      <c r="G2285" s="7" t="s">
        <v>150</v>
      </c>
      <c r="H2285" s="7" t="n">
        <v>1</v>
      </c>
      <c r="I2285" s="7" t="n">
        <v>160</v>
      </c>
      <c r="J2285" s="7" t="n">
        <v>30</v>
      </c>
      <c r="K2285" s="7" t="s">
        <v>88</v>
      </c>
      <c r="L2285" s="7" t="s">
        <v>194</v>
      </c>
      <c r="M2285" s="7" t="n">
        <v>32</v>
      </c>
      <c r="N2285" s="7" t="n">
        <v>3</v>
      </c>
      <c r="O2285" s="7" t="str">
        <f aca="false">A2285&amp;"|"&amp;B2285&amp;"|"&amp;C2285&amp;"|"&amp;D2285&amp;"|"&amp;E2285&amp;"|"&amp;F2285&amp;"|"&amp;G2285&amp;"|"&amp;H2285&amp;"|"&amp;I2285&amp;"|"&amp;J2285&amp;"|"&amp;K2285&amp;"|"&amp;L2285&amp;"|"&amp;M2285&amp;"|"&amp;N2285</f>
        <v>ORD11098|2025-05-19|18:41|C1306|Sweet Tooth Studio|Hyderabad|Desserts|1|160|30|UPI|Delivered|32|3</v>
      </c>
      <c r="P2285" s="7" t="str">
        <f aca="false">IF(COUNTIF($O$2:O2285,O2285)&gt;1,"DUP","OK")</f>
        <v>OK</v>
      </c>
      <c r="Q2285" s="7" t="n">
        <f aca="false">COUNTBLANK(A2285:N2285)</f>
        <v>0</v>
      </c>
      <c r="R2285" s="7" t="n">
        <f aca="false">IF(A2285="",0,COUNTIFS($A$2:$A$3058,A2285,$P$2:$P$3058,"OK"))</f>
        <v>1</v>
      </c>
      <c r="S2285" s="7" t="str">
        <f aca="false">IF(OR(A2285="",P2285="DUP",R2285&lt;2),"",IF(Q2285=_xlfn.MINIFS($Q$2:$Q$3058,$A$2:$A$3058,A2285,$P$2:$P$3058,"OK"),"KEEP","DROP"))</f>
        <v/>
      </c>
      <c r="T2285" s="9" t="n">
        <f aca="false">IF(A2285="",1,0)</f>
        <v>0</v>
      </c>
      <c r="U2285" s="9" t="n">
        <f aca="false">IF(D2285="",1,0)</f>
        <v>0</v>
      </c>
      <c r="V2285" s="9" t="n">
        <f aca="false">IF(E2285="",1,0)</f>
        <v>0</v>
      </c>
      <c r="W2285" s="9" t="n">
        <f aca="false">IF(OR(H2285&lt;1,H2285&gt;10),1,0)</f>
        <v>0</v>
      </c>
      <c r="X2285" s="9" t="n">
        <f aca="false">IF(OR(I2285&lt;=0,I2285&gt;1500),1,0)</f>
        <v>0</v>
      </c>
      <c r="Y2285" s="9" t="n">
        <f aca="false">IF(J2285&gt;H2285*I2285,1,0)</f>
        <v>0</v>
      </c>
      <c r="Z2285" s="9" t="n">
        <f aca="false">IF(AND(N2285&lt;&gt;"",OR(N2285&lt;1,N2285&gt;5)),1,0)</f>
        <v>0</v>
      </c>
      <c r="AA2285" s="9" t="n">
        <f aca="false">IF(AND(M2285&lt;&gt;"",OR(M2285&lt;5,M2285&gt;180)),1,0)</f>
        <v>0</v>
      </c>
      <c r="AB2285" s="7" t="str">
        <f aca="false">IF(P2285="DUP","Exact duplicate row",IF(T2285=1,"Missing Order ID",IF(S2285="DROP","Duplicate Order ID (less complete row)",IF(U2285=1,"Missing Customer ID",IF(V2285=1,"Missing Restaurant name",IF(W2285=1,"Invalid/outlier quantity",IF(X2285=1,"Invalid/outlier unit price",IF(Y2285=1,"Discount greater than order value",""))))))))</f>
        <v/>
      </c>
      <c r="AC2285" s="7" t="str">
        <f aca="false">IF(AB2285="","KEEP","DROP")</f>
        <v>KEEP</v>
      </c>
      <c r="AD2285" s="7" t="str">
        <f aca="false">IF(TRIM(F2285)="",IFERROR(INDEX(Map_Tables!$I$4:$I$37,MATCH(TRIM(E2285),Map_Tables!$G$4:$G$37,0)),""),IFERROR(INDEX(Map_Tables!$B$4:$B$18,MATCH(TRIM(F2285),Map_Tables!$A$4:$A$18,0)),"CHECK"))</f>
        <v>Hyderabad</v>
      </c>
      <c r="AE2285" s="7" t="str">
        <f aca="false">IF(TRIM(E2285)="","",IFERROR(INDEX(Map_Tables!$H$4:$H$37,MATCH(TRIM(E2285),Map_Tables!$G$4:$G$37,0)),"CHECK"))</f>
        <v>Sweet Tooth Studio</v>
      </c>
      <c r="AF2285" s="7" t="str">
        <f aca="false">IF(TRIM(K2285)="","Unknown",IFERROR(INDEX(Map_Tables!$E$4:$E$15,MATCH(TRIM(K2285),Map_Tables!$D$4:$D$15,0)),"CHECK"))</f>
        <v>UPI</v>
      </c>
      <c r="AG2285" s="7" t="str">
        <f aca="false">IF(LEFT(LOWER(TRIM(L2285)),6)="cancel","Cancelled","Delivered")</f>
        <v>Delivered</v>
      </c>
      <c r="AH2285" s="10" t="n">
        <f aca="false">IF(ISNUMBER(SEARCH("/",B2285)),DATE(VALUE(RIGHT(B2285,4)),VALUE(MID(B2285,4,2)),VALUE(LEFT(B2285,2))),IF(MID(B2285,5,1)="-",DATE(VALUE(LEFT(B2285,4)),VALUE(MID(B2285,6,2)),VALUE(RIGHT(B2285,2))),DATE(VALUE(RIGHT(B2285,4)),MATCH(MID(B2285,4,3),{"Jan","Feb","Mar","Apr","May","Jun","Jul","Aug","Sep","Oct","Nov","Dec"},0),VALUE(LEFT(B2285,2)))))</f>
        <v>45796</v>
      </c>
    </row>
    <row r="2286" customFormat="false" ht="15" hidden="false" customHeight="false" outlineLevel="0" collapsed="false">
      <c r="A2286" s="7" t="s">
        <v>5174</v>
      </c>
      <c r="B2286" s="7" t="s">
        <v>1079</v>
      </c>
      <c r="C2286" s="7" t="s">
        <v>4497</v>
      </c>
      <c r="D2286" s="7" t="s">
        <v>5175</v>
      </c>
      <c r="E2286" s="7" t="s">
        <v>147</v>
      </c>
      <c r="F2286" s="7" t="s">
        <v>119</v>
      </c>
      <c r="G2286" s="7" t="s">
        <v>95</v>
      </c>
      <c r="H2286" s="7" t="n">
        <v>2</v>
      </c>
      <c r="I2286" s="7" t="n">
        <v>125</v>
      </c>
      <c r="J2286" s="7" t="n">
        <v>75</v>
      </c>
      <c r="K2286" s="7" t="s">
        <v>88</v>
      </c>
      <c r="L2286" s="7" t="s">
        <v>194</v>
      </c>
      <c r="M2286" s="7"/>
      <c r="N2286" s="7" t="n">
        <v>5</v>
      </c>
      <c r="O2286" s="7" t="str">
        <f aca="false">A2286&amp;"|"&amp;B2286&amp;"|"&amp;C2286&amp;"|"&amp;D2286&amp;"|"&amp;E2286&amp;"|"&amp;F2286&amp;"|"&amp;G2286&amp;"|"&amp;H2286&amp;"|"&amp;I2286&amp;"|"&amp;J2286&amp;"|"&amp;K2286&amp;"|"&amp;L2286&amp;"|"&amp;M2286&amp;"|"&amp;N2286</f>
        <v>ORD12312|2025-10-19|08:13|C1398|Andhra Meals Mess|Hyderabad|South Indian|2|125|75|UPI|Delivered||5</v>
      </c>
      <c r="P2286" s="7" t="str">
        <f aca="false">IF(COUNTIF($O$2:O2286,O2286)&gt;1,"DUP","OK")</f>
        <v>OK</v>
      </c>
      <c r="Q2286" s="7" t="n">
        <f aca="false">COUNTBLANK(A2286:N2286)</f>
        <v>1</v>
      </c>
      <c r="R2286" s="7" t="n">
        <f aca="false">IF(A2286="",0,COUNTIFS($A$2:$A$3058,A2286,$P$2:$P$3058,"OK"))</f>
        <v>1</v>
      </c>
      <c r="S2286" s="7" t="str">
        <f aca="false">IF(OR(A2286="",P2286="DUP",R2286&lt;2),"",IF(Q2286=_xlfn.MINIFS($Q$2:$Q$3058,$A$2:$A$3058,A2286,$P$2:$P$3058,"OK"),"KEEP","DROP"))</f>
        <v/>
      </c>
      <c r="T2286" s="9" t="n">
        <f aca="false">IF(A2286="",1,0)</f>
        <v>0</v>
      </c>
      <c r="U2286" s="9" t="n">
        <f aca="false">IF(D2286="",1,0)</f>
        <v>0</v>
      </c>
      <c r="V2286" s="9" t="n">
        <f aca="false">IF(E2286="",1,0)</f>
        <v>0</v>
      </c>
      <c r="W2286" s="9" t="n">
        <f aca="false">IF(OR(H2286&lt;1,H2286&gt;10),1,0)</f>
        <v>0</v>
      </c>
      <c r="X2286" s="9" t="n">
        <f aca="false">IF(OR(I2286&lt;=0,I2286&gt;1500),1,0)</f>
        <v>0</v>
      </c>
      <c r="Y2286" s="9" t="n">
        <f aca="false">IF(J2286&gt;H2286*I2286,1,0)</f>
        <v>0</v>
      </c>
      <c r="Z2286" s="9" t="n">
        <f aca="false">IF(AND(N2286&lt;&gt;"",OR(N2286&lt;1,N2286&gt;5)),1,0)</f>
        <v>0</v>
      </c>
      <c r="AA2286" s="9" t="n">
        <f aca="false">IF(AND(M2286&lt;&gt;"",OR(M2286&lt;5,M2286&gt;180)),1,0)</f>
        <v>0</v>
      </c>
      <c r="AB2286" s="7" t="str">
        <f aca="false">IF(P2286="DUP","Exact duplicate row",IF(T2286=1,"Missing Order ID",IF(S2286="DROP","Duplicate Order ID (less complete row)",IF(U2286=1,"Missing Customer ID",IF(V2286=1,"Missing Restaurant name",IF(W2286=1,"Invalid/outlier quantity",IF(X2286=1,"Invalid/outlier unit price",IF(Y2286=1,"Discount greater than order value",""))))))))</f>
        <v/>
      </c>
      <c r="AC2286" s="7" t="str">
        <f aca="false">IF(AB2286="","KEEP","DROP")</f>
        <v>KEEP</v>
      </c>
      <c r="AD2286" s="7" t="str">
        <f aca="false">IF(TRIM(F2286)="",IFERROR(INDEX(Map_Tables!$I$4:$I$37,MATCH(TRIM(E2286),Map_Tables!$G$4:$G$37,0)),""),IFERROR(INDEX(Map_Tables!$B$4:$B$18,MATCH(TRIM(F2286),Map_Tables!$A$4:$A$18,0)),"CHECK"))</f>
        <v>Hyderabad</v>
      </c>
      <c r="AE2286" s="7" t="str">
        <f aca="false">IF(TRIM(E2286)="","",IFERROR(INDEX(Map_Tables!$H$4:$H$37,MATCH(TRIM(E2286),Map_Tables!$G$4:$G$37,0)),"CHECK"))</f>
        <v>Andhra Meals Mess</v>
      </c>
      <c r="AF2286" s="7" t="str">
        <f aca="false">IF(TRIM(K2286)="","Unknown",IFERROR(INDEX(Map_Tables!$E$4:$E$15,MATCH(TRIM(K2286),Map_Tables!$D$4:$D$15,0)),"CHECK"))</f>
        <v>UPI</v>
      </c>
      <c r="AG2286" s="7" t="str">
        <f aca="false">IF(LEFT(LOWER(TRIM(L2286)),6)="cancel","Cancelled","Delivered")</f>
        <v>Delivered</v>
      </c>
      <c r="AH2286" s="10" t="n">
        <f aca="false">IF(ISNUMBER(SEARCH("/",B2286)),DATE(VALUE(RIGHT(B2286,4)),VALUE(MID(B2286,4,2)),VALUE(LEFT(B2286,2))),IF(MID(B2286,5,1)="-",DATE(VALUE(LEFT(B2286,4)),VALUE(MID(B2286,6,2)),VALUE(RIGHT(B2286,2))),DATE(VALUE(RIGHT(B2286,4)),MATCH(MID(B2286,4,3),{"Jan","Feb","Mar","Apr","May","Jun","Jul","Aug","Sep","Oct","Nov","Dec"},0),VALUE(LEFT(B2286,2)))))</f>
        <v>45949</v>
      </c>
    </row>
    <row r="2287" customFormat="false" ht="15" hidden="false" customHeight="false" outlineLevel="0" collapsed="false">
      <c r="A2287" s="7" t="s">
        <v>5176</v>
      </c>
      <c r="B2287" s="7" t="s">
        <v>2097</v>
      </c>
      <c r="C2287" s="7" t="s">
        <v>5177</v>
      </c>
      <c r="D2287" s="7" t="s">
        <v>5178</v>
      </c>
      <c r="E2287" s="7" t="s">
        <v>147</v>
      </c>
      <c r="F2287" s="7" t="s">
        <v>119</v>
      </c>
      <c r="G2287" s="7" t="s">
        <v>95</v>
      </c>
      <c r="H2287" s="7" t="n">
        <v>2</v>
      </c>
      <c r="I2287" s="7" t="n">
        <v>105</v>
      </c>
      <c r="J2287" s="7" t="n">
        <v>0</v>
      </c>
      <c r="K2287" s="7" t="s">
        <v>88</v>
      </c>
      <c r="L2287" s="7" t="s">
        <v>194</v>
      </c>
      <c r="M2287" s="7" t="n">
        <v>32</v>
      </c>
      <c r="N2287" s="7" t="n">
        <v>3</v>
      </c>
      <c r="O2287" s="7" t="str">
        <f aca="false">A2287&amp;"|"&amp;B2287&amp;"|"&amp;C2287&amp;"|"&amp;D2287&amp;"|"&amp;E2287&amp;"|"&amp;F2287&amp;"|"&amp;G2287&amp;"|"&amp;H2287&amp;"|"&amp;I2287&amp;"|"&amp;J2287&amp;"|"&amp;K2287&amp;"|"&amp;L2287&amp;"|"&amp;M2287&amp;"|"&amp;N2287</f>
        <v>ORD12906|2025-12-21|14:46|C0673|Andhra Meals Mess|Hyderabad|South Indian|2|105|0|UPI|Delivered|32|3</v>
      </c>
      <c r="P2287" s="7" t="str">
        <f aca="false">IF(COUNTIF($O$2:O2287,O2287)&gt;1,"DUP","OK")</f>
        <v>OK</v>
      </c>
      <c r="Q2287" s="7" t="n">
        <f aca="false">COUNTBLANK(A2287:N2287)</f>
        <v>0</v>
      </c>
      <c r="R2287" s="7" t="n">
        <f aca="false">IF(A2287="",0,COUNTIFS($A$2:$A$3058,A2287,$P$2:$P$3058,"OK"))</f>
        <v>1</v>
      </c>
      <c r="S2287" s="7" t="str">
        <f aca="false">IF(OR(A2287="",P2287="DUP",R2287&lt;2),"",IF(Q2287=_xlfn.MINIFS($Q$2:$Q$3058,$A$2:$A$3058,A2287,$P$2:$P$3058,"OK"),"KEEP","DROP"))</f>
        <v/>
      </c>
      <c r="T2287" s="9" t="n">
        <f aca="false">IF(A2287="",1,0)</f>
        <v>0</v>
      </c>
      <c r="U2287" s="9" t="n">
        <f aca="false">IF(D2287="",1,0)</f>
        <v>0</v>
      </c>
      <c r="V2287" s="9" t="n">
        <f aca="false">IF(E2287="",1,0)</f>
        <v>0</v>
      </c>
      <c r="W2287" s="9" t="n">
        <f aca="false">IF(OR(H2287&lt;1,H2287&gt;10),1,0)</f>
        <v>0</v>
      </c>
      <c r="X2287" s="9" t="n">
        <f aca="false">IF(OR(I2287&lt;=0,I2287&gt;1500),1,0)</f>
        <v>0</v>
      </c>
      <c r="Y2287" s="9" t="n">
        <f aca="false">IF(J2287&gt;H2287*I2287,1,0)</f>
        <v>0</v>
      </c>
      <c r="Z2287" s="9" t="n">
        <f aca="false">IF(AND(N2287&lt;&gt;"",OR(N2287&lt;1,N2287&gt;5)),1,0)</f>
        <v>0</v>
      </c>
      <c r="AA2287" s="9" t="n">
        <f aca="false">IF(AND(M2287&lt;&gt;"",OR(M2287&lt;5,M2287&gt;180)),1,0)</f>
        <v>0</v>
      </c>
      <c r="AB2287" s="7" t="str">
        <f aca="false">IF(P2287="DUP","Exact duplicate row",IF(T2287=1,"Missing Order ID",IF(S2287="DROP","Duplicate Order ID (less complete row)",IF(U2287=1,"Missing Customer ID",IF(V2287=1,"Missing Restaurant name",IF(W2287=1,"Invalid/outlier quantity",IF(X2287=1,"Invalid/outlier unit price",IF(Y2287=1,"Discount greater than order value",""))))))))</f>
        <v/>
      </c>
      <c r="AC2287" s="7" t="str">
        <f aca="false">IF(AB2287="","KEEP","DROP")</f>
        <v>KEEP</v>
      </c>
      <c r="AD2287" s="7" t="str">
        <f aca="false">IF(TRIM(F2287)="",IFERROR(INDEX(Map_Tables!$I$4:$I$37,MATCH(TRIM(E2287),Map_Tables!$G$4:$G$37,0)),""),IFERROR(INDEX(Map_Tables!$B$4:$B$18,MATCH(TRIM(F2287),Map_Tables!$A$4:$A$18,0)),"CHECK"))</f>
        <v>Hyderabad</v>
      </c>
      <c r="AE2287" s="7" t="str">
        <f aca="false">IF(TRIM(E2287)="","",IFERROR(INDEX(Map_Tables!$H$4:$H$37,MATCH(TRIM(E2287),Map_Tables!$G$4:$G$37,0)),"CHECK"))</f>
        <v>Andhra Meals Mess</v>
      </c>
      <c r="AF2287" s="7" t="str">
        <f aca="false">IF(TRIM(K2287)="","Unknown",IFERROR(INDEX(Map_Tables!$E$4:$E$15,MATCH(TRIM(K2287),Map_Tables!$D$4:$D$15,0)),"CHECK"))</f>
        <v>UPI</v>
      </c>
      <c r="AG2287" s="7" t="str">
        <f aca="false">IF(LEFT(LOWER(TRIM(L2287)),6)="cancel","Cancelled","Delivered")</f>
        <v>Delivered</v>
      </c>
      <c r="AH2287" s="10" t="n">
        <f aca="false">IF(ISNUMBER(SEARCH("/",B2287)),DATE(VALUE(RIGHT(B2287,4)),VALUE(MID(B2287,4,2)),VALUE(LEFT(B2287,2))),IF(MID(B2287,5,1)="-",DATE(VALUE(LEFT(B2287,4)),VALUE(MID(B2287,6,2)),VALUE(RIGHT(B2287,2))),DATE(VALUE(RIGHT(B2287,4)),MATCH(MID(B2287,4,3),{"Jan","Feb","Mar","Apr","May","Jun","Jul","Aug","Sep","Oct","Nov","Dec"},0),VALUE(LEFT(B2287,2)))))</f>
        <v>46012</v>
      </c>
    </row>
    <row r="2288" customFormat="false" ht="15" hidden="false" customHeight="false" outlineLevel="0" collapsed="false">
      <c r="A2288" s="7" t="s">
        <v>5179</v>
      </c>
      <c r="B2288" s="7" t="s">
        <v>1930</v>
      </c>
      <c r="C2288" s="7" t="s">
        <v>5066</v>
      </c>
      <c r="D2288" s="7" t="s">
        <v>5165</v>
      </c>
      <c r="E2288" s="7" t="s">
        <v>104</v>
      </c>
      <c r="F2288" s="7" t="s">
        <v>86</v>
      </c>
      <c r="G2288" s="7" t="s">
        <v>105</v>
      </c>
      <c r="H2288" s="7" t="n">
        <v>2</v>
      </c>
      <c r="I2288" s="7" t="n">
        <v>230</v>
      </c>
      <c r="J2288" s="7" t="n">
        <v>0</v>
      </c>
      <c r="K2288" s="7" t="s">
        <v>120</v>
      </c>
      <c r="L2288" s="7" t="s">
        <v>194</v>
      </c>
      <c r="M2288" s="7" t="n">
        <v>37</v>
      </c>
      <c r="N2288" s="7" t="n">
        <v>4</v>
      </c>
      <c r="O2288" s="7" t="str">
        <f aca="false">A2288&amp;"|"&amp;B2288&amp;"|"&amp;C2288&amp;"|"&amp;D2288&amp;"|"&amp;E2288&amp;"|"&amp;F2288&amp;"|"&amp;G2288&amp;"|"&amp;H2288&amp;"|"&amp;I2288&amp;"|"&amp;J2288&amp;"|"&amp;K2288&amp;"|"&amp;L2288&amp;"|"&amp;M2288&amp;"|"&amp;N2288</f>
        <v>ORD11393|2025-06-29|22:49|C1438|Wok &amp; Roll|Bengaluru|Chinese|2|230|0|wallet|Delivered|37|4</v>
      </c>
      <c r="P2288" s="7" t="str">
        <f aca="false">IF(COUNTIF($O$2:O2288,O2288)&gt;1,"DUP","OK")</f>
        <v>OK</v>
      </c>
      <c r="Q2288" s="7" t="n">
        <f aca="false">COUNTBLANK(A2288:N2288)</f>
        <v>0</v>
      </c>
      <c r="R2288" s="7" t="n">
        <f aca="false">IF(A2288="",0,COUNTIFS($A$2:$A$3058,A2288,$P$2:$P$3058,"OK"))</f>
        <v>1</v>
      </c>
      <c r="S2288" s="7" t="str">
        <f aca="false">IF(OR(A2288="",P2288="DUP",R2288&lt;2),"",IF(Q2288=_xlfn.MINIFS($Q$2:$Q$3058,$A$2:$A$3058,A2288,$P$2:$P$3058,"OK"),"KEEP","DROP"))</f>
        <v/>
      </c>
      <c r="T2288" s="9" t="n">
        <f aca="false">IF(A2288="",1,0)</f>
        <v>0</v>
      </c>
      <c r="U2288" s="9" t="n">
        <f aca="false">IF(D2288="",1,0)</f>
        <v>0</v>
      </c>
      <c r="V2288" s="9" t="n">
        <f aca="false">IF(E2288="",1,0)</f>
        <v>0</v>
      </c>
      <c r="W2288" s="9" t="n">
        <f aca="false">IF(OR(H2288&lt;1,H2288&gt;10),1,0)</f>
        <v>0</v>
      </c>
      <c r="X2288" s="9" t="n">
        <f aca="false">IF(OR(I2288&lt;=0,I2288&gt;1500),1,0)</f>
        <v>0</v>
      </c>
      <c r="Y2288" s="9" t="n">
        <f aca="false">IF(J2288&gt;H2288*I2288,1,0)</f>
        <v>0</v>
      </c>
      <c r="Z2288" s="9" t="n">
        <f aca="false">IF(AND(N2288&lt;&gt;"",OR(N2288&lt;1,N2288&gt;5)),1,0)</f>
        <v>0</v>
      </c>
      <c r="AA2288" s="9" t="n">
        <f aca="false">IF(AND(M2288&lt;&gt;"",OR(M2288&lt;5,M2288&gt;180)),1,0)</f>
        <v>0</v>
      </c>
      <c r="AB2288" s="7" t="str">
        <f aca="false">IF(P2288="DUP","Exact duplicate row",IF(T2288=1,"Missing Order ID",IF(S2288="DROP","Duplicate Order ID (less complete row)",IF(U2288=1,"Missing Customer ID",IF(V2288=1,"Missing Restaurant name",IF(W2288=1,"Invalid/outlier quantity",IF(X2288=1,"Invalid/outlier unit price",IF(Y2288=1,"Discount greater than order value",""))))))))</f>
        <v/>
      </c>
      <c r="AC2288" s="7" t="str">
        <f aca="false">IF(AB2288="","KEEP","DROP")</f>
        <v>KEEP</v>
      </c>
      <c r="AD2288" s="7" t="str">
        <f aca="false">IF(TRIM(F2288)="",IFERROR(INDEX(Map_Tables!$I$4:$I$37,MATCH(TRIM(E2288),Map_Tables!$G$4:$G$37,0)),""),IFERROR(INDEX(Map_Tables!$B$4:$B$18,MATCH(TRIM(F2288),Map_Tables!$A$4:$A$18,0)),"CHECK"))</f>
        <v>Bengaluru</v>
      </c>
      <c r="AE2288" s="7" t="str">
        <f aca="false">IF(TRIM(E2288)="","",IFERROR(INDEX(Map_Tables!$H$4:$H$37,MATCH(TRIM(E2288),Map_Tables!$G$4:$G$37,0)),"CHECK"))</f>
        <v>Wok &amp; Roll</v>
      </c>
      <c r="AF2288" s="7" t="str">
        <f aca="false">IF(TRIM(K2288)="","Unknown",IFERROR(INDEX(Map_Tables!$E$4:$E$15,MATCH(TRIM(K2288),Map_Tables!$D$4:$D$15,0)),"CHECK"))</f>
        <v>Wallet</v>
      </c>
      <c r="AG2288" s="7" t="str">
        <f aca="false">IF(LEFT(LOWER(TRIM(L2288)),6)="cancel","Cancelled","Delivered")</f>
        <v>Delivered</v>
      </c>
      <c r="AH2288" s="10" t="n">
        <f aca="false">IF(ISNUMBER(SEARCH("/",B2288)),DATE(VALUE(RIGHT(B2288,4)),VALUE(MID(B2288,4,2)),VALUE(LEFT(B2288,2))),IF(MID(B2288,5,1)="-",DATE(VALUE(LEFT(B2288,4)),VALUE(MID(B2288,6,2)),VALUE(RIGHT(B2288,2))),DATE(VALUE(RIGHT(B2288,4)),MATCH(MID(B2288,4,3),{"Jan","Feb","Mar","Apr","May","Jun","Jul","Aug","Sep","Oct","Nov","Dec"},0),VALUE(LEFT(B2288,2)))))</f>
        <v>45837</v>
      </c>
    </row>
    <row r="2289" customFormat="false" ht="15" hidden="false" customHeight="false" outlineLevel="0" collapsed="false">
      <c r="A2289" s="7" t="s">
        <v>5180</v>
      </c>
      <c r="B2289" s="7" t="s">
        <v>1650</v>
      </c>
      <c r="C2289" s="7" t="s">
        <v>5181</v>
      </c>
      <c r="D2289" s="7" t="s">
        <v>4423</v>
      </c>
      <c r="E2289" s="7" t="s">
        <v>122</v>
      </c>
      <c r="F2289" s="7" t="s">
        <v>100</v>
      </c>
      <c r="G2289" s="7" t="s">
        <v>123</v>
      </c>
      <c r="H2289" s="7" t="n">
        <v>4</v>
      </c>
      <c r="I2289" s="7" t="n">
        <v>370</v>
      </c>
      <c r="J2289" s="7" t="n">
        <v>0</v>
      </c>
      <c r="K2289" s="7" t="s">
        <v>88</v>
      </c>
      <c r="L2289" s="7" t="s">
        <v>194</v>
      </c>
      <c r="M2289" s="7" t="n">
        <v>50</v>
      </c>
      <c r="N2289" s="7" t="n">
        <v>4</v>
      </c>
      <c r="O2289" s="7" t="str">
        <f aca="false">A2289&amp;"|"&amp;B2289&amp;"|"&amp;C2289&amp;"|"&amp;D2289&amp;"|"&amp;E2289&amp;"|"&amp;F2289&amp;"|"&amp;G2289&amp;"|"&amp;H2289&amp;"|"&amp;I2289&amp;"|"&amp;J2289&amp;"|"&amp;K2289&amp;"|"&amp;L2289&amp;"|"&amp;M2289&amp;"|"&amp;N2289</f>
        <v>ORD12958|2025-12-27|18:13|C0466|Mumbai Pizza Co|mumbai|Pizza|4|370|0|UPI|Delivered|50|4</v>
      </c>
      <c r="P2289" s="7" t="str">
        <f aca="false">IF(COUNTIF($O$2:O2289,O2289)&gt;1,"DUP","OK")</f>
        <v>OK</v>
      </c>
      <c r="Q2289" s="7" t="n">
        <f aca="false">COUNTBLANK(A2289:N2289)</f>
        <v>0</v>
      </c>
      <c r="R2289" s="7" t="n">
        <f aca="false">IF(A2289="",0,COUNTIFS($A$2:$A$3058,A2289,$P$2:$P$3058,"OK"))</f>
        <v>1</v>
      </c>
      <c r="S2289" s="7" t="str">
        <f aca="false">IF(OR(A2289="",P2289="DUP",R2289&lt;2),"",IF(Q2289=_xlfn.MINIFS($Q$2:$Q$3058,$A$2:$A$3058,A2289,$P$2:$P$3058,"OK"),"KEEP","DROP"))</f>
        <v/>
      </c>
      <c r="T2289" s="9" t="n">
        <f aca="false">IF(A2289="",1,0)</f>
        <v>0</v>
      </c>
      <c r="U2289" s="9" t="n">
        <f aca="false">IF(D2289="",1,0)</f>
        <v>0</v>
      </c>
      <c r="V2289" s="9" t="n">
        <f aca="false">IF(E2289="",1,0)</f>
        <v>0</v>
      </c>
      <c r="W2289" s="9" t="n">
        <f aca="false">IF(OR(H2289&lt;1,H2289&gt;10),1,0)</f>
        <v>0</v>
      </c>
      <c r="X2289" s="9" t="n">
        <f aca="false">IF(OR(I2289&lt;=0,I2289&gt;1500),1,0)</f>
        <v>0</v>
      </c>
      <c r="Y2289" s="9" t="n">
        <f aca="false">IF(J2289&gt;H2289*I2289,1,0)</f>
        <v>0</v>
      </c>
      <c r="Z2289" s="9" t="n">
        <f aca="false">IF(AND(N2289&lt;&gt;"",OR(N2289&lt;1,N2289&gt;5)),1,0)</f>
        <v>0</v>
      </c>
      <c r="AA2289" s="9" t="n">
        <f aca="false">IF(AND(M2289&lt;&gt;"",OR(M2289&lt;5,M2289&gt;180)),1,0)</f>
        <v>0</v>
      </c>
      <c r="AB2289" s="7" t="str">
        <f aca="false">IF(P2289="DUP","Exact duplicate row",IF(T2289=1,"Missing Order ID",IF(S2289="DROP","Duplicate Order ID (less complete row)",IF(U2289=1,"Missing Customer ID",IF(V2289=1,"Missing Restaurant name",IF(W2289=1,"Invalid/outlier quantity",IF(X2289=1,"Invalid/outlier unit price",IF(Y2289=1,"Discount greater than order value",""))))))))</f>
        <v/>
      </c>
      <c r="AC2289" s="7" t="str">
        <f aca="false">IF(AB2289="","KEEP","DROP")</f>
        <v>KEEP</v>
      </c>
      <c r="AD2289" s="7" t="str">
        <f aca="false">IF(TRIM(F2289)="",IFERROR(INDEX(Map_Tables!$I$4:$I$37,MATCH(TRIM(E2289),Map_Tables!$G$4:$G$37,0)),""),IFERROR(INDEX(Map_Tables!$B$4:$B$18,MATCH(TRIM(F2289),Map_Tables!$A$4:$A$18,0)),"CHECK"))</f>
        <v>Mumbai</v>
      </c>
      <c r="AE2289" s="7" t="str">
        <f aca="false">IF(TRIM(E2289)="","",IFERROR(INDEX(Map_Tables!$H$4:$H$37,MATCH(TRIM(E2289),Map_Tables!$G$4:$G$37,0)),"CHECK"))</f>
        <v>Mumbai Pizza Co</v>
      </c>
      <c r="AF2289" s="7" t="str">
        <f aca="false">IF(TRIM(K2289)="","Unknown",IFERROR(INDEX(Map_Tables!$E$4:$E$15,MATCH(TRIM(K2289),Map_Tables!$D$4:$D$15,0)),"CHECK"))</f>
        <v>UPI</v>
      </c>
      <c r="AG2289" s="7" t="str">
        <f aca="false">IF(LEFT(LOWER(TRIM(L2289)),6)="cancel","Cancelled","Delivered")</f>
        <v>Delivered</v>
      </c>
      <c r="AH2289" s="10" t="n">
        <f aca="false">IF(ISNUMBER(SEARCH("/",B2289)),DATE(VALUE(RIGHT(B2289,4)),VALUE(MID(B2289,4,2)),VALUE(LEFT(B2289,2))),IF(MID(B2289,5,1)="-",DATE(VALUE(LEFT(B2289,4)),VALUE(MID(B2289,6,2)),VALUE(RIGHT(B2289,2))),DATE(VALUE(RIGHT(B2289,4)),MATCH(MID(B2289,4,3),{"Jan","Feb","Mar","Apr","May","Jun","Jul","Aug","Sep","Oct","Nov","Dec"},0),VALUE(LEFT(B2289,2)))))</f>
        <v>46018</v>
      </c>
    </row>
    <row r="2290" customFormat="false" ht="15" hidden="false" customHeight="false" outlineLevel="0" collapsed="false">
      <c r="A2290" s="7" t="s">
        <v>5182</v>
      </c>
      <c r="B2290" s="7" t="s">
        <v>715</v>
      </c>
      <c r="C2290" s="7" t="s">
        <v>2202</v>
      </c>
      <c r="D2290" s="7" t="s">
        <v>3127</v>
      </c>
      <c r="E2290" s="7" t="s">
        <v>98</v>
      </c>
      <c r="F2290" s="7" t="s">
        <v>928</v>
      </c>
      <c r="G2290" s="7" t="s">
        <v>99</v>
      </c>
      <c r="H2290" s="7" t="n">
        <v>1</v>
      </c>
      <c r="I2290" s="7" t="n">
        <v>270</v>
      </c>
      <c r="J2290" s="7" t="n">
        <v>20</v>
      </c>
      <c r="K2290" s="7" t="s">
        <v>103</v>
      </c>
      <c r="L2290" s="7" t="s">
        <v>194</v>
      </c>
      <c r="M2290" s="7" t="n">
        <v>34</v>
      </c>
      <c r="N2290" s="7" t="n">
        <v>5</v>
      </c>
      <c r="O2290" s="7" t="str">
        <f aca="false">A2290&amp;"|"&amp;B2290&amp;"|"&amp;C2290&amp;"|"&amp;D2290&amp;"|"&amp;E2290&amp;"|"&amp;F2290&amp;"|"&amp;G2290&amp;"|"&amp;H2290&amp;"|"&amp;I2290&amp;"|"&amp;J2290&amp;"|"&amp;K2290&amp;"|"&amp;L2290&amp;"|"&amp;M2290&amp;"|"&amp;N2290</f>
        <v>ORD11267|2025-06-11|12:40|C1459|Nawabi Biryani House|Bangalore|Biryani|1|270|20|Debit Card|Delivered|34|5</v>
      </c>
      <c r="P2290" s="7" t="str">
        <f aca="false">IF(COUNTIF($O$2:O2290,O2290)&gt;1,"DUP","OK")</f>
        <v>OK</v>
      </c>
      <c r="Q2290" s="7" t="n">
        <f aca="false">COUNTBLANK(A2290:N2290)</f>
        <v>0</v>
      </c>
      <c r="R2290" s="7" t="n">
        <f aca="false">IF(A2290="",0,COUNTIFS($A$2:$A$3058,A2290,$P$2:$P$3058,"OK"))</f>
        <v>1</v>
      </c>
      <c r="S2290" s="7" t="str">
        <f aca="false">IF(OR(A2290="",P2290="DUP",R2290&lt;2),"",IF(Q2290=_xlfn.MINIFS($Q$2:$Q$3058,$A$2:$A$3058,A2290,$P$2:$P$3058,"OK"),"KEEP","DROP"))</f>
        <v/>
      </c>
      <c r="T2290" s="9" t="n">
        <f aca="false">IF(A2290="",1,0)</f>
        <v>0</v>
      </c>
      <c r="U2290" s="9" t="n">
        <f aca="false">IF(D2290="",1,0)</f>
        <v>0</v>
      </c>
      <c r="V2290" s="9" t="n">
        <f aca="false">IF(E2290="",1,0)</f>
        <v>0</v>
      </c>
      <c r="W2290" s="9" t="n">
        <f aca="false">IF(OR(H2290&lt;1,H2290&gt;10),1,0)</f>
        <v>0</v>
      </c>
      <c r="X2290" s="9" t="n">
        <f aca="false">IF(OR(I2290&lt;=0,I2290&gt;1500),1,0)</f>
        <v>0</v>
      </c>
      <c r="Y2290" s="9" t="n">
        <f aca="false">IF(J2290&gt;H2290*I2290,1,0)</f>
        <v>0</v>
      </c>
      <c r="Z2290" s="9" t="n">
        <f aca="false">IF(AND(N2290&lt;&gt;"",OR(N2290&lt;1,N2290&gt;5)),1,0)</f>
        <v>0</v>
      </c>
      <c r="AA2290" s="9" t="n">
        <f aca="false">IF(AND(M2290&lt;&gt;"",OR(M2290&lt;5,M2290&gt;180)),1,0)</f>
        <v>0</v>
      </c>
      <c r="AB2290" s="7" t="str">
        <f aca="false">IF(P2290="DUP","Exact duplicate row",IF(T2290=1,"Missing Order ID",IF(S2290="DROP","Duplicate Order ID (less complete row)",IF(U2290=1,"Missing Customer ID",IF(V2290=1,"Missing Restaurant name",IF(W2290=1,"Invalid/outlier quantity",IF(X2290=1,"Invalid/outlier unit price",IF(Y2290=1,"Discount greater than order value",""))))))))</f>
        <v/>
      </c>
      <c r="AC2290" s="7" t="str">
        <f aca="false">IF(AB2290="","KEEP","DROP")</f>
        <v>KEEP</v>
      </c>
      <c r="AD2290" s="7" t="str">
        <f aca="false">IF(TRIM(F2290)="",IFERROR(INDEX(Map_Tables!$I$4:$I$37,MATCH(TRIM(E2290),Map_Tables!$G$4:$G$37,0)),""),IFERROR(INDEX(Map_Tables!$B$4:$B$18,MATCH(TRIM(F2290),Map_Tables!$A$4:$A$18,0)),"CHECK"))</f>
        <v>Bengaluru</v>
      </c>
      <c r="AE2290" s="7" t="str">
        <f aca="false">IF(TRIM(E2290)="","",IFERROR(INDEX(Map_Tables!$H$4:$H$37,MATCH(TRIM(E2290),Map_Tables!$G$4:$G$37,0)),"CHECK"))</f>
        <v>Nawabi Biryani House</v>
      </c>
      <c r="AF2290" s="7" t="str">
        <f aca="false">IF(TRIM(K2290)="","Unknown",IFERROR(INDEX(Map_Tables!$E$4:$E$15,MATCH(TRIM(K2290),Map_Tables!$D$4:$D$15,0)),"CHECK"))</f>
        <v>Debit Card</v>
      </c>
      <c r="AG2290" s="7" t="str">
        <f aca="false">IF(LEFT(LOWER(TRIM(L2290)),6)="cancel","Cancelled","Delivered")</f>
        <v>Delivered</v>
      </c>
      <c r="AH2290" s="10" t="n">
        <f aca="false">IF(ISNUMBER(SEARCH("/",B2290)),DATE(VALUE(RIGHT(B2290,4)),VALUE(MID(B2290,4,2)),VALUE(LEFT(B2290,2))),IF(MID(B2290,5,1)="-",DATE(VALUE(LEFT(B2290,4)),VALUE(MID(B2290,6,2)),VALUE(RIGHT(B2290,2))),DATE(VALUE(RIGHT(B2290,4)),MATCH(MID(B2290,4,3),{"Jan","Feb","Mar","Apr","May","Jun","Jul","Aug","Sep","Oct","Nov","Dec"},0),VALUE(LEFT(B2290,2)))))</f>
        <v>45819</v>
      </c>
    </row>
    <row r="2291" customFormat="false" ht="15" hidden="false" customHeight="false" outlineLevel="0" collapsed="false">
      <c r="A2291" s="7" t="s">
        <v>5183</v>
      </c>
      <c r="B2291" s="7" t="s">
        <v>3689</v>
      </c>
      <c r="C2291" s="7" t="s">
        <v>3183</v>
      </c>
      <c r="D2291" s="7" t="s">
        <v>1510</v>
      </c>
      <c r="E2291" s="7" t="s">
        <v>130</v>
      </c>
      <c r="F2291" s="7" t="s">
        <v>110</v>
      </c>
      <c r="G2291" s="7" t="s">
        <v>90</v>
      </c>
      <c r="H2291" s="7" t="n">
        <v>4</v>
      </c>
      <c r="I2291" s="7" t="n">
        <v>245</v>
      </c>
      <c r="J2291" s="7" t="n">
        <v>0</v>
      </c>
      <c r="K2291" s="7" t="s">
        <v>526</v>
      </c>
      <c r="L2291" s="7" t="s">
        <v>194</v>
      </c>
      <c r="M2291" s="7" t="n">
        <v>46</v>
      </c>
      <c r="N2291" s="7" t="n">
        <v>3</v>
      </c>
      <c r="O2291" s="7" t="str">
        <f aca="false">A2291&amp;"|"&amp;B2291&amp;"|"&amp;C2291&amp;"|"&amp;D2291&amp;"|"&amp;E2291&amp;"|"&amp;F2291&amp;"|"&amp;G2291&amp;"|"&amp;H2291&amp;"|"&amp;I2291&amp;"|"&amp;J2291&amp;"|"&amp;K2291&amp;"|"&amp;L2291&amp;"|"&amp;M2291&amp;"|"&amp;N2291</f>
        <v>ORD10136|2025-01-18|12:05|C0287|Tandoor Tales|Delhi|North Indian|4|245|0|DC|Delivered|46|3</v>
      </c>
      <c r="P2291" s="7" t="str">
        <f aca="false">IF(COUNTIF($O$2:O2291,O2291)&gt;1,"DUP","OK")</f>
        <v>OK</v>
      </c>
      <c r="Q2291" s="7" t="n">
        <f aca="false">COUNTBLANK(A2291:N2291)</f>
        <v>0</v>
      </c>
      <c r="R2291" s="7" t="n">
        <f aca="false">IF(A2291="",0,COUNTIFS($A$2:$A$3058,A2291,$P$2:$P$3058,"OK"))</f>
        <v>1</v>
      </c>
      <c r="S2291" s="7" t="str">
        <f aca="false">IF(OR(A2291="",P2291="DUP",R2291&lt;2),"",IF(Q2291=_xlfn.MINIFS($Q$2:$Q$3058,$A$2:$A$3058,A2291,$P$2:$P$3058,"OK"),"KEEP","DROP"))</f>
        <v/>
      </c>
      <c r="T2291" s="9" t="n">
        <f aca="false">IF(A2291="",1,0)</f>
        <v>0</v>
      </c>
      <c r="U2291" s="9" t="n">
        <f aca="false">IF(D2291="",1,0)</f>
        <v>0</v>
      </c>
      <c r="V2291" s="9" t="n">
        <f aca="false">IF(E2291="",1,0)</f>
        <v>0</v>
      </c>
      <c r="W2291" s="9" t="n">
        <f aca="false">IF(OR(H2291&lt;1,H2291&gt;10),1,0)</f>
        <v>0</v>
      </c>
      <c r="X2291" s="9" t="n">
        <f aca="false">IF(OR(I2291&lt;=0,I2291&gt;1500),1,0)</f>
        <v>0</v>
      </c>
      <c r="Y2291" s="9" t="n">
        <f aca="false">IF(J2291&gt;H2291*I2291,1,0)</f>
        <v>0</v>
      </c>
      <c r="Z2291" s="9" t="n">
        <f aca="false">IF(AND(N2291&lt;&gt;"",OR(N2291&lt;1,N2291&gt;5)),1,0)</f>
        <v>0</v>
      </c>
      <c r="AA2291" s="9" t="n">
        <f aca="false">IF(AND(M2291&lt;&gt;"",OR(M2291&lt;5,M2291&gt;180)),1,0)</f>
        <v>0</v>
      </c>
      <c r="AB2291" s="7" t="str">
        <f aca="false">IF(P2291="DUP","Exact duplicate row",IF(T2291=1,"Missing Order ID",IF(S2291="DROP","Duplicate Order ID (less complete row)",IF(U2291=1,"Missing Customer ID",IF(V2291=1,"Missing Restaurant name",IF(W2291=1,"Invalid/outlier quantity",IF(X2291=1,"Invalid/outlier unit price",IF(Y2291=1,"Discount greater than order value",""))))))))</f>
        <v/>
      </c>
      <c r="AC2291" s="7" t="str">
        <f aca="false">IF(AB2291="","KEEP","DROP")</f>
        <v>KEEP</v>
      </c>
      <c r="AD2291" s="7" t="str">
        <f aca="false">IF(TRIM(F2291)="",IFERROR(INDEX(Map_Tables!$I$4:$I$37,MATCH(TRIM(E2291),Map_Tables!$G$4:$G$37,0)),""),IFERROR(INDEX(Map_Tables!$B$4:$B$18,MATCH(TRIM(F2291),Map_Tables!$A$4:$A$18,0)),"CHECK"))</f>
        <v>Delhi</v>
      </c>
      <c r="AE2291" s="7" t="str">
        <f aca="false">IF(TRIM(E2291)="","",IFERROR(INDEX(Map_Tables!$H$4:$H$37,MATCH(TRIM(E2291),Map_Tables!$G$4:$G$37,0)),"CHECK"))</f>
        <v>Tandoor Tales</v>
      </c>
      <c r="AF2291" s="7" t="str">
        <f aca="false">IF(TRIM(K2291)="","Unknown",IFERROR(INDEX(Map_Tables!$E$4:$E$15,MATCH(TRIM(K2291),Map_Tables!$D$4:$D$15,0)),"CHECK"))</f>
        <v>Debit Card</v>
      </c>
      <c r="AG2291" s="7" t="str">
        <f aca="false">IF(LEFT(LOWER(TRIM(L2291)),6)="cancel","Cancelled","Delivered")</f>
        <v>Delivered</v>
      </c>
      <c r="AH2291" s="10" t="n">
        <f aca="false">IF(ISNUMBER(SEARCH("/",B2291)),DATE(VALUE(RIGHT(B2291,4)),VALUE(MID(B2291,4,2)),VALUE(LEFT(B2291,2))),IF(MID(B2291,5,1)="-",DATE(VALUE(LEFT(B2291,4)),VALUE(MID(B2291,6,2)),VALUE(RIGHT(B2291,2))),DATE(VALUE(RIGHT(B2291,4)),MATCH(MID(B2291,4,3),{"Jan","Feb","Mar","Apr","May","Jun","Jul","Aug","Sep","Oct","Nov","Dec"},0),VALUE(LEFT(B2291,2)))))</f>
        <v>45675</v>
      </c>
    </row>
    <row r="2292" customFormat="false" ht="15" hidden="false" customHeight="false" outlineLevel="0" collapsed="false">
      <c r="A2292" s="7" t="s">
        <v>5184</v>
      </c>
      <c r="B2292" s="7" t="s">
        <v>2333</v>
      </c>
      <c r="C2292" s="7" t="s">
        <v>2155</v>
      </c>
      <c r="D2292" s="7" t="s">
        <v>2746</v>
      </c>
      <c r="E2292" s="7" t="s">
        <v>166</v>
      </c>
      <c r="F2292" s="7"/>
      <c r="G2292" s="7" t="s">
        <v>117</v>
      </c>
      <c r="H2292" s="7" t="n">
        <v>3</v>
      </c>
      <c r="I2292" s="7" t="n">
        <v>80</v>
      </c>
      <c r="J2292" s="7" t="n">
        <v>0</v>
      </c>
      <c r="K2292" s="7" t="s">
        <v>88</v>
      </c>
      <c r="L2292" s="7" t="s">
        <v>194</v>
      </c>
      <c r="M2292" s="7" t="n">
        <v>20</v>
      </c>
      <c r="N2292" s="7" t="n">
        <v>3</v>
      </c>
      <c r="O2292" s="7" t="str">
        <f aca="false">A2292&amp;"|"&amp;B2292&amp;"|"&amp;C2292&amp;"|"&amp;D2292&amp;"|"&amp;E2292&amp;"|"&amp;F2292&amp;"|"&amp;G2292&amp;"|"&amp;H2292&amp;"|"&amp;I2292&amp;"|"&amp;J2292&amp;"|"&amp;K2292&amp;"|"&amp;L2292&amp;"|"&amp;M2292&amp;"|"&amp;N2292</f>
        <v>ORD11170|2025-05-29|12:10|C0129|Dhokla Delight||Street Food|3|80|0|UPI|Delivered|20|3</v>
      </c>
      <c r="P2292" s="7" t="str">
        <f aca="false">IF(COUNTIF($O$2:O2292,O2292)&gt;1,"DUP","OK")</f>
        <v>OK</v>
      </c>
      <c r="Q2292" s="7" t="n">
        <f aca="false">COUNTBLANK(A2292:N2292)</f>
        <v>1</v>
      </c>
      <c r="R2292" s="7" t="n">
        <f aca="false">IF(A2292="",0,COUNTIFS($A$2:$A$3058,A2292,$P$2:$P$3058,"OK"))</f>
        <v>1</v>
      </c>
      <c r="S2292" s="7" t="str">
        <f aca="false">IF(OR(A2292="",P2292="DUP",R2292&lt;2),"",IF(Q2292=_xlfn.MINIFS($Q$2:$Q$3058,$A$2:$A$3058,A2292,$P$2:$P$3058,"OK"),"KEEP","DROP"))</f>
        <v/>
      </c>
      <c r="T2292" s="9" t="n">
        <f aca="false">IF(A2292="",1,0)</f>
        <v>0</v>
      </c>
      <c r="U2292" s="9" t="n">
        <f aca="false">IF(D2292="",1,0)</f>
        <v>0</v>
      </c>
      <c r="V2292" s="9" t="n">
        <f aca="false">IF(E2292="",1,0)</f>
        <v>0</v>
      </c>
      <c r="W2292" s="9" t="n">
        <f aca="false">IF(OR(H2292&lt;1,H2292&gt;10),1,0)</f>
        <v>0</v>
      </c>
      <c r="X2292" s="9" t="n">
        <f aca="false">IF(OR(I2292&lt;=0,I2292&gt;1500),1,0)</f>
        <v>0</v>
      </c>
      <c r="Y2292" s="9" t="n">
        <f aca="false">IF(J2292&gt;H2292*I2292,1,0)</f>
        <v>0</v>
      </c>
      <c r="Z2292" s="9" t="n">
        <f aca="false">IF(AND(N2292&lt;&gt;"",OR(N2292&lt;1,N2292&gt;5)),1,0)</f>
        <v>0</v>
      </c>
      <c r="AA2292" s="9" t="n">
        <f aca="false">IF(AND(M2292&lt;&gt;"",OR(M2292&lt;5,M2292&gt;180)),1,0)</f>
        <v>0</v>
      </c>
      <c r="AB2292" s="7" t="str">
        <f aca="false">IF(P2292="DUP","Exact duplicate row",IF(T2292=1,"Missing Order ID",IF(S2292="DROP","Duplicate Order ID (less complete row)",IF(U2292=1,"Missing Customer ID",IF(V2292=1,"Missing Restaurant name",IF(W2292=1,"Invalid/outlier quantity",IF(X2292=1,"Invalid/outlier unit price",IF(Y2292=1,"Discount greater than order value",""))))))))</f>
        <v/>
      </c>
      <c r="AC2292" s="7" t="str">
        <f aca="false">IF(AB2292="","KEEP","DROP")</f>
        <v>KEEP</v>
      </c>
      <c r="AD2292" s="7" t="str">
        <f aca="false">IF(TRIM(F2292)="",IFERROR(INDEX(Map_Tables!$I$4:$I$37,MATCH(TRIM(E2292),Map_Tables!$G$4:$G$37,0)),""),IFERROR(INDEX(Map_Tables!$B$4:$B$18,MATCH(TRIM(F2292),Map_Tables!$A$4:$A$18,0)),"CHECK"))</f>
        <v>Ahmedabad</v>
      </c>
      <c r="AE2292" s="7" t="str">
        <f aca="false">IF(TRIM(E2292)="","",IFERROR(INDEX(Map_Tables!$H$4:$H$37,MATCH(TRIM(E2292),Map_Tables!$G$4:$G$37,0)),"CHECK"))</f>
        <v>Dhokla Delight</v>
      </c>
      <c r="AF2292" s="7" t="str">
        <f aca="false">IF(TRIM(K2292)="","Unknown",IFERROR(INDEX(Map_Tables!$E$4:$E$15,MATCH(TRIM(K2292),Map_Tables!$D$4:$D$15,0)),"CHECK"))</f>
        <v>UPI</v>
      </c>
      <c r="AG2292" s="7" t="str">
        <f aca="false">IF(LEFT(LOWER(TRIM(L2292)),6)="cancel","Cancelled","Delivered")</f>
        <v>Delivered</v>
      </c>
      <c r="AH2292" s="10" t="n">
        <f aca="false">IF(ISNUMBER(SEARCH("/",B2292)),DATE(VALUE(RIGHT(B2292,4)),VALUE(MID(B2292,4,2)),VALUE(LEFT(B2292,2))),IF(MID(B2292,5,1)="-",DATE(VALUE(LEFT(B2292,4)),VALUE(MID(B2292,6,2)),VALUE(RIGHT(B2292,2))),DATE(VALUE(RIGHT(B2292,4)),MATCH(MID(B2292,4,3),{"Jan","Feb","Mar","Apr","May","Jun","Jul","Aug","Sep","Oct","Nov","Dec"},0),VALUE(LEFT(B2292,2)))))</f>
        <v>45806</v>
      </c>
    </row>
    <row r="2293" customFormat="false" ht="15" hidden="false" customHeight="false" outlineLevel="0" collapsed="false">
      <c r="A2293" s="7" t="s">
        <v>5185</v>
      </c>
      <c r="B2293" s="7" t="s">
        <v>719</v>
      </c>
      <c r="C2293" s="7" t="s">
        <v>4383</v>
      </c>
      <c r="D2293" s="7" t="s">
        <v>2290</v>
      </c>
      <c r="E2293" s="7" t="s">
        <v>94</v>
      </c>
      <c r="F2293" s="7" t="s">
        <v>86</v>
      </c>
      <c r="G2293" s="7" t="s">
        <v>95</v>
      </c>
      <c r="H2293" s="7" t="n">
        <v>1</v>
      </c>
      <c r="I2293" s="7" t="n">
        <v>115</v>
      </c>
      <c r="J2293" s="7" t="n">
        <v>46</v>
      </c>
      <c r="K2293" s="7" t="s">
        <v>112</v>
      </c>
      <c r="L2293" s="7" t="s">
        <v>238</v>
      </c>
      <c r="M2293" s="7"/>
      <c r="N2293" s="7"/>
      <c r="O2293" s="7" t="str">
        <f aca="false">A2293&amp;"|"&amp;B2293&amp;"|"&amp;C2293&amp;"|"&amp;D2293&amp;"|"&amp;E2293&amp;"|"&amp;F2293&amp;"|"&amp;G2293&amp;"|"&amp;H2293&amp;"|"&amp;I2293&amp;"|"&amp;J2293&amp;"|"&amp;K2293&amp;"|"&amp;L2293&amp;"|"&amp;M2293&amp;"|"&amp;N2293</f>
        <v>ORD12136|01/10/2025|13:53|C0239|Dosa Darbar|Bengaluru|South Indian|1|115|46|Cash on Delivery|Cancelled||</v>
      </c>
      <c r="P2293" s="7" t="str">
        <f aca="false">IF(COUNTIF($O$2:O2293,O2293)&gt;1,"DUP","OK")</f>
        <v>OK</v>
      </c>
      <c r="Q2293" s="7" t="n">
        <f aca="false">COUNTBLANK(A2293:N2293)</f>
        <v>2</v>
      </c>
      <c r="R2293" s="7" t="n">
        <f aca="false">IF(A2293="",0,COUNTIFS($A$2:$A$3058,A2293,$P$2:$P$3058,"OK"))</f>
        <v>1</v>
      </c>
      <c r="S2293" s="7" t="str">
        <f aca="false">IF(OR(A2293="",P2293="DUP",R2293&lt;2),"",IF(Q2293=_xlfn.MINIFS($Q$2:$Q$3058,$A$2:$A$3058,A2293,$P$2:$P$3058,"OK"),"KEEP","DROP"))</f>
        <v/>
      </c>
      <c r="T2293" s="9" t="n">
        <f aca="false">IF(A2293="",1,0)</f>
        <v>0</v>
      </c>
      <c r="U2293" s="9" t="n">
        <f aca="false">IF(D2293="",1,0)</f>
        <v>0</v>
      </c>
      <c r="V2293" s="9" t="n">
        <f aca="false">IF(E2293="",1,0)</f>
        <v>0</v>
      </c>
      <c r="W2293" s="9" t="n">
        <f aca="false">IF(OR(H2293&lt;1,H2293&gt;10),1,0)</f>
        <v>0</v>
      </c>
      <c r="X2293" s="9" t="n">
        <f aca="false">IF(OR(I2293&lt;=0,I2293&gt;1500),1,0)</f>
        <v>0</v>
      </c>
      <c r="Y2293" s="9" t="n">
        <f aca="false">IF(J2293&gt;H2293*I2293,1,0)</f>
        <v>0</v>
      </c>
      <c r="Z2293" s="9" t="n">
        <f aca="false">IF(AND(N2293&lt;&gt;"",OR(N2293&lt;1,N2293&gt;5)),1,0)</f>
        <v>0</v>
      </c>
      <c r="AA2293" s="9" t="n">
        <f aca="false">IF(AND(M2293&lt;&gt;"",OR(M2293&lt;5,M2293&gt;180)),1,0)</f>
        <v>0</v>
      </c>
      <c r="AB2293" s="7" t="str">
        <f aca="false">IF(P2293="DUP","Exact duplicate row",IF(T2293=1,"Missing Order ID",IF(S2293="DROP","Duplicate Order ID (less complete row)",IF(U2293=1,"Missing Customer ID",IF(V2293=1,"Missing Restaurant name",IF(W2293=1,"Invalid/outlier quantity",IF(X2293=1,"Invalid/outlier unit price",IF(Y2293=1,"Discount greater than order value",""))))))))</f>
        <v/>
      </c>
      <c r="AC2293" s="7" t="str">
        <f aca="false">IF(AB2293="","KEEP","DROP")</f>
        <v>KEEP</v>
      </c>
      <c r="AD2293" s="7" t="str">
        <f aca="false">IF(TRIM(F2293)="",IFERROR(INDEX(Map_Tables!$I$4:$I$37,MATCH(TRIM(E2293),Map_Tables!$G$4:$G$37,0)),""),IFERROR(INDEX(Map_Tables!$B$4:$B$18,MATCH(TRIM(F2293),Map_Tables!$A$4:$A$18,0)),"CHECK"))</f>
        <v>Bengaluru</v>
      </c>
      <c r="AE2293" s="7" t="str">
        <f aca="false">IF(TRIM(E2293)="","",IFERROR(INDEX(Map_Tables!$H$4:$H$37,MATCH(TRIM(E2293),Map_Tables!$G$4:$G$37,0)),"CHECK"))</f>
        <v>Dosa Darbar</v>
      </c>
      <c r="AF2293" s="7" t="str">
        <f aca="false">IF(TRIM(K2293)="","Unknown",IFERROR(INDEX(Map_Tables!$E$4:$E$15,MATCH(TRIM(K2293),Map_Tables!$D$4:$D$15,0)),"CHECK"))</f>
        <v>Cash on Delivery</v>
      </c>
      <c r="AG2293" s="7" t="str">
        <f aca="false">IF(LEFT(LOWER(TRIM(L2293)),6)="cancel","Cancelled","Delivered")</f>
        <v>Cancelled</v>
      </c>
      <c r="AH2293" s="10" t="n">
        <f aca="false">IF(ISNUMBER(SEARCH("/",B2293)),DATE(VALUE(RIGHT(B2293,4)),VALUE(MID(B2293,4,2)),VALUE(LEFT(B2293,2))),IF(MID(B2293,5,1)="-",DATE(VALUE(LEFT(B2293,4)),VALUE(MID(B2293,6,2)),VALUE(RIGHT(B2293,2))),DATE(VALUE(RIGHT(B2293,4)),MATCH(MID(B2293,4,3),{"Jan","Feb","Mar","Apr","May","Jun","Jul","Aug","Sep","Oct","Nov","Dec"},0),VALUE(LEFT(B2293,2)))))</f>
        <v>45931</v>
      </c>
    </row>
    <row r="2294" customFormat="false" ht="15" hidden="false" customHeight="false" outlineLevel="0" collapsed="false">
      <c r="A2294" s="7" t="s">
        <v>5186</v>
      </c>
      <c r="B2294" s="7" t="s">
        <v>376</v>
      </c>
      <c r="C2294" s="7" t="s">
        <v>1737</v>
      </c>
      <c r="D2294" s="7" t="s">
        <v>2642</v>
      </c>
      <c r="E2294" s="7" t="s">
        <v>5187</v>
      </c>
      <c r="F2294" s="7" t="s">
        <v>128</v>
      </c>
      <c r="G2294" s="7" t="s">
        <v>99</v>
      </c>
      <c r="H2294" s="7" t="n">
        <v>1</v>
      </c>
      <c r="I2294" s="7" t="n">
        <v>225</v>
      </c>
      <c r="J2294" s="7" t="n">
        <v>40</v>
      </c>
      <c r="K2294" s="7" t="s">
        <v>88</v>
      </c>
      <c r="L2294" s="7" t="s">
        <v>194</v>
      </c>
      <c r="M2294" s="7" t="n">
        <v>26</v>
      </c>
      <c r="N2294" s="7" t="n">
        <v>2</v>
      </c>
      <c r="O2294" s="7" t="str">
        <f aca="false">A2294&amp;"|"&amp;B2294&amp;"|"&amp;C2294&amp;"|"&amp;D2294&amp;"|"&amp;E2294&amp;"|"&amp;F2294&amp;"|"&amp;G2294&amp;"|"&amp;H2294&amp;"|"&amp;I2294&amp;"|"&amp;J2294&amp;"|"&amp;K2294&amp;"|"&amp;L2294&amp;"|"&amp;M2294&amp;"|"&amp;N2294</f>
        <v>ORD11504|2025-07-14|19:27|C0983| Madras Biryani Co|Chennai|Biryani|1|225|40|UPI|Delivered|26|2</v>
      </c>
      <c r="P2294" s="7" t="str">
        <f aca="false">IF(COUNTIF($O$2:O2294,O2294)&gt;1,"DUP","OK")</f>
        <v>OK</v>
      </c>
      <c r="Q2294" s="7" t="n">
        <f aca="false">COUNTBLANK(A2294:N2294)</f>
        <v>0</v>
      </c>
      <c r="R2294" s="7" t="n">
        <f aca="false">IF(A2294="",0,COUNTIFS($A$2:$A$3058,A2294,$P$2:$P$3058,"OK"))</f>
        <v>1</v>
      </c>
      <c r="S2294" s="7" t="str">
        <f aca="false">IF(OR(A2294="",P2294="DUP",R2294&lt;2),"",IF(Q2294=_xlfn.MINIFS($Q$2:$Q$3058,$A$2:$A$3058,A2294,$P$2:$P$3058,"OK"),"KEEP","DROP"))</f>
        <v/>
      </c>
      <c r="T2294" s="9" t="n">
        <f aca="false">IF(A2294="",1,0)</f>
        <v>0</v>
      </c>
      <c r="U2294" s="9" t="n">
        <f aca="false">IF(D2294="",1,0)</f>
        <v>0</v>
      </c>
      <c r="V2294" s="9" t="n">
        <f aca="false">IF(E2294="",1,0)</f>
        <v>0</v>
      </c>
      <c r="W2294" s="9" t="n">
        <f aca="false">IF(OR(H2294&lt;1,H2294&gt;10),1,0)</f>
        <v>0</v>
      </c>
      <c r="X2294" s="9" t="n">
        <f aca="false">IF(OR(I2294&lt;=0,I2294&gt;1500),1,0)</f>
        <v>0</v>
      </c>
      <c r="Y2294" s="9" t="n">
        <f aca="false">IF(J2294&gt;H2294*I2294,1,0)</f>
        <v>0</v>
      </c>
      <c r="Z2294" s="9" t="n">
        <f aca="false">IF(AND(N2294&lt;&gt;"",OR(N2294&lt;1,N2294&gt;5)),1,0)</f>
        <v>0</v>
      </c>
      <c r="AA2294" s="9" t="n">
        <f aca="false">IF(AND(M2294&lt;&gt;"",OR(M2294&lt;5,M2294&gt;180)),1,0)</f>
        <v>0</v>
      </c>
      <c r="AB2294" s="7" t="str">
        <f aca="false">IF(P2294="DUP","Exact duplicate row",IF(T2294=1,"Missing Order ID",IF(S2294="DROP","Duplicate Order ID (less complete row)",IF(U2294=1,"Missing Customer ID",IF(V2294=1,"Missing Restaurant name",IF(W2294=1,"Invalid/outlier quantity",IF(X2294=1,"Invalid/outlier unit price",IF(Y2294=1,"Discount greater than order value",""))))))))</f>
        <v/>
      </c>
      <c r="AC2294" s="7" t="str">
        <f aca="false">IF(AB2294="","KEEP","DROP")</f>
        <v>KEEP</v>
      </c>
      <c r="AD2294" s="7" t="str">
        <f aca="false">IF(TRIM(F2294)="",IFERROR(INDEX(Map_Tables!$I$4:$I$37,MATCH(TRIM(E2294),Map_Tables!$G$4:$G$37,0)),""),IFERROR(INDEX(Map_Tables!$B$4:$B$18,MATCH(TRIM(F2294),Map_Tables!$A$4:$A$18,0)),"CHECK"))</f>
        <v>Chennai</v>
      </c>
      <c r="AE2294" s="7" t="str">
        <f aca="false">IF(TRIM(E2294)="","",IFERROR(INDEX(Map_Tables!$H$4:$H$37,MATCH(TRIM(E2294),Map_Tables!$G$4:$G$37,0)),"CHECK"))</f>
        <v>Madras Biryani Co</v>
      </c>
      <c r="AF2294" s="7" t="str">
        <f aca="false">IF(TRIM(K2294)="","Unknown",IFERROR(INDEX(Map_Tables!$E$4:$E$15,MATCH(TRIM(K2294),Map_Tables!$D$4:$D$15,0)),"CHECK"))</f>
        <v>UPI</v>
      </c>
      <c r="AG2294" s="7" t="str">
        <f aca="false">IF(LEFT(LOWER(TRIM(L2294)),6)="cancel","Cancelled","Delivered")</f>
        <v>Delivered</v>
      </c>
      <c r="AH2294" s="10" t="n">
        <f aca="false">IF(ISNUMBER(SEARCH("/",B2294)),DATE(VALUE(RIGHT(B2294,4)),VALUE(MID(B2294,4,2)),VALUE(LEFT(B2294,2))),IF(MID(B2294,5,1)="-",DATE(VALUE(LEFT(B2294,4)),VALUE(MID(B2294,6,2)),VALUE(RIGHT(B2294,2))),DATE(VALUE(RIGHT(B2294,4)),MATCH(MID(B2294,4,3),{"Jan","Feb","Mar","Apr","May","Jun","Jul","Aug","Sep","Oct","Nov","Dec"},0),VALUE(LEFT(B2294,2)))))</f>
        <v>45852</v>
      </c>
    </row>
    <row r="2295" customFormat="false" ht="15" hidden="false" customHeight="false" outlineLevel="0" collapsed="false">
      <c r="A2295" s="7" t="s">
        <v>5188</v>
      </c>
      <c r="B2295" s="7" t="s">
        <v>500</v>
      </c>
      <c r="C2295" s="7" t="s">
        <v>1317</v>
      </c>
      <c r="D2295" s="7" t="s">
        <v>4000</v>
      </c>
      <c r="E2295" s="7" t="s">
        <v>104</v>
      </c>
      <c r="F2295" s="7" t="s">
        <v>86</v>
      </c>
      <c r="G2295" s="7" t="s">
        <v>105</v>
      </c>
      <c r="H2295" s="7" t="n">
        <v>3</v>
      </c>
      <c r="I2295" s="7" t="n">
        <v>230</v>
      </c>
      <c r="J2295" s="7" t="n">
        <v>20</v>
      </c>
      <c r="K2295" s="7" t="s">
        <v>112</v>
      </c>
      <c r="L2295" s="7" t="s">
        <v>194</v>
      </c>
      <c r="M2295" s="7" t="n">
        <v>38</v>
      </c>
      <c r="N2295" s="7" t="n">
        <v>3</v>
      </c>
      <c r="O2295" s="7" t="str">
        <f aca="false">A2295&amp;"|"&amp;B2295&amp;"|"&amp;C2295&amp;"|"&amp;D2295&amp;"|"&amp;E2295&amp;"|"&amp;F2295&amp;"|"&amp;G2295&amp;"|"&amp;H2295&amp;"|"&amp;I2295&amp;"|"&amp;J2295&amp;"|"&amp;K2295&amp;"|"&amp;L2295&amp;"|"&amp;M2295&amp;"|"&amp;N2295</f>
        <v>ORD11363|2025-06-24|20:35|C0008|Wok &amp; Roll|Bengaluru|Chinese|3|230|20|Cash on Delivery|Delivered|38|3</v>
      </c>
      <c r="P2295" s="7" t="str">
        <f aca="false">IF(COUNTIF($O$2:O2295,O2295)&gt;1,"DUP","OK")</f>
        <v>OK</v>
      </c>
      <c r="Q2295" s="7" t="n">
        <f aca="false">COUNTBLANK(A2295:N2295)</f>
        <v>0</v>
      </c>
      <c r="R2295" s="7" t="n">
        <f aca="false">IF(A2295="",0,COUNTIFS($A$2:$A$3058,A2295,$P$2:$P$3058,"OK"))</f>
        <v>1</v>
      </c>
      <c r="S2295" s="7" t="str">
        <f aca="false">IF(OR(A2295="",P2295="DUP",R2295&lt;2),"",IF(Q2295=_xlfn.MINIFS($Q$2:$Q$3058,$A$2:$A$3058,A2295,$P$2:$P$3058,"OK"),"KEEP","DROP"))</f>
        <v/>
      </c>
      <c r="T2295" s="9" t="n">
        <f aca="false">IF(A2295="",1,0)</f>
        <v>0</v>
      </c>
      <c r="U2295" s="9" t="n">
        <f aca="false">IF(D2295="",1,0)</f>
        <v>0</v>
      </c>
      <c r="V2295" s="9" t="n">
        <f aca="false">IF(E2295="",1,0)</f>
        <v>0</v>
      </c>
      <c r="W2295" s="9" t="n">
        <f aca="false">IF(OR(H2295&lt;1,H2295&gt;10),1,0)</f>
        <v>0</v>
      </c>
      <c r="X2295" s="9" t="n">
        <f aca="false">IF(OR(I2295&lt;=0,I2295&gt;1500),1,0)</f>
        <v>0</v>
      </c>
      <c r="Y2295" s="9" t="n">
        <f aca="false">IF(J2295&gt;H2295*I2295,1,0)</f>
        <v>0</v>
      </c>
      <c r="Z2295" s="9" t="n">
        <f aca="false">IF(AND(N2295&lt;&gt;"",OR(N2295&lt;1,N2295&gt;5)),1,0)</f>
        <v>0</v>
      </c>
      <c r="AA2295" s="9" t="n">
        <f aca="false">IF(AND(M2295&lt;&gt;"",OR(M2295&lt;5,M2295&gt;180)),1,0)</f>
        <v>0</v>
      </c>
      <c r="AB2295" s="7" t="str">
        <f aca="false">IF(P2295="DUP","Exact duplicate row",IF(T2295=1,"Missing Order ID",IF(S2295="DROP","Duplicate Order ID (less complete row)",IF(U2295=1,"Missing Customer ID",IF(V2295=1,"Missing Restaurant name",IF(W2295=1,"Invalid/outlier quantity",IF(X2295=1,"Invalid/outlier unit price",IF(Y2295=1,"Discount greater than order value",""))))))))</f>
        <v/>
      </c>
      <c r="AC2295" s="7" t="str">
        <f aca="false">IF(AB2295="","KEEP","DROP")</f>
        <v>KEEP</v>
      </c>
      <c r="AD2295" s="7" t="str">
        <f aca="false">IF(TRIM(F2295)="",IFERROR(INDEX(Map_Tables!$I$4:$I$37,MATCH(TRIM(E2295),Map_Tables!$G$4:$G$37,0)),""),IFERROR(INDEX(Map_Tables!$B$4:$B$18,MATCH(TRIM(F2295),Map_Tables!$A$4:$A$18,0)),"CHECK"))</f>
        <v>Bengaluru</v>
      </c>
      <c r="AE2295" s="7" t="str">
        <f aca="false">IF(TRIM(E2295)="","",IFERROR(INDEX(Map_Tables!$H$4:$H$37,MATCH(TRIM(E2295),Map_Tables!$G$4:$G$37,0)),"CHECK"))</f>
        <v>Wok &amp; Roll</v>
      </c>
      <c r="AF2295" s="7" t="str">
        <f aca="false">IF(TRIM(K2295)="","Unknown",IFERROR(INDEX(Map_Tables!$E$4:$E$15,MATCH(TRIM(K2295),Map_Tables!$D$4:$D$15,0)),"CHECK"))</f>
        <v>Cash on Delivery</v>
      </c>
      <c r="AG2295" s="7" t="str">
        <f aca="false">IF(LEFT(LOWER(TRIM(L2295)),6)="cancel","Cancelled","Delivered")</f>
        <v>Delivered</v>
      </c>
      <c r="AH2295" s="10" t="n">
        <f aca="false">IF(ISNUMBER(SEARCH("/",B2295)),DATE(VALUE(RIGHT(B2295,4)),VALUE(MID(B2295,4,2)),VALUE(LEFT(B2295,2))),IF(MID(B2295,5,1)="-",DATE(VALUE(LEFT(B2295,4)),VALUE(MID(B2295,6,2)),VALUE(RIGHT(B2295,2))),DATE(VALUE(RIGHT(B2295,4)),MATCH(MID(B2295,4,3),{"Jan","Feb","Mar","Apr","May","Jun","Jul","Aug","Sep","Oct","Nov","Dec"},0),VALUE(LEFT(B2295,2)))))</f>
        <v>45832</v>
      </c>
    </row>
    <row r="2296" customFormat="false" ht="15" hidden="false" customHeight="false" outlineLevel="0" collapsed="false">
      <c r="A2296" s="7" t="s">
        <v>5189</v>
      </c>
      <c r="B2296" s="7" t="s">
        <v>791</v>
      </c>
      <c r="C2296" s="7" t="s">
        <v>3152</v>
      </c>
      <c r="D2296" s="7" t="s">
        <v>603</v>
      </c>
      <c r="E2296" s="7" t="s">
        <v>144</v>
      </c>
      <c r="F2296" s="7" t="s">
        <v>119</v>
      </c>
      <c r="G2296" s="7" t="s">
        <v>99</v>
      </c>
      <c r="H2296" s="7" t="n">
        <v>4</v>
      </c>
      <c r="I2296" s="7" t="n">
        <v>340</v>
      </c>
      <c r="J2296" s="7" t="n">
        <v>0</v>
      </c>
      <c r="K2296" s="7" t="s">
        <v>103</v>
      </c>
      <c r="L2296" s="7" t="s">
        <v>194</v>
      </c>
      <c r="M2296" s="7" t="n">
        <v>39</v>
      </c>
      <c r="N2296" s="7" t="n">
        <v>5</v>
      </c>
      <c r="O2296" s="7" t="str">
        <f aca="false">A2296&amp;"|"&amp;B2296&amp;"|"&amp;C2296&amp;"|"&amp;D2296&amp;"|"&amp;E2296&amp;"|"&amp;F2296&amp;"|"&amp;G2296&amp;"|"&amp;H2296&amp;"|"&amp;I2296&amp;"|"&amp;J2296&amp;"|"&amp;K2296&amp;"|"&amp;L2296&amp;"|"&amp;M2296&amp;"|"&amp;N2296</f>
        <v>ORD12506|2025-11-10|18:37|C0743|Hyderabad Dum Biryani|Hyderabad|Biryani|4|340|0|Debit Card|Delivered|39|5</v>
      </c>
      <c r="P2296" s="7" t="str">
        <f aca="false">IF(COUNTIF($O$2:O2296,O2296)&gt;1,"DUP","OK")</f>
        <v>OK</v>
      </c>
      <c r="Q2296" s="7" t="n">
        <f aca="false">COUNTBLANK(A2296:N2296)</f>
        <v>0</v>
      </c>
      <c r="R2296" s="7" t="n">
        <f aca="false">IF(A2296="",0,COUNTIFS($A$2:$A$3058,A2296,$P$2:$P$3058,"OK"))</f>
        <v>1</v>
      </c>
      <c r="S2296" s="7" t="str">
        <f aca="false">IF(OR(A2296="",P2296="DUP",R2296&lt;2),"",IF(Q2296=_xlfn.MINIFS($Q$2:$Q$3058,$A$2:$A$3058,A2296,$P$2:$P$3058,"OK"),"KEEP","DROP"))</f>
        <v/>
      </c>
      <c r="T2296" s="9" t="n">
        <f aca="false">IF(A2296="",1,0)</f>
        <v>0</v>
      </c>
      <c r="U2296" s="9" t="n">
        <f aca="false">IF(D2296="",1,0)</f>
        <v>0</v>
      </c>
      <c r="V2296" s="9" t="n">
        <f aca="false">IF(E2296="",1,0)</f>
        <v>0</v>
      </c>
      <c r="W2296" s="9" t="n">
        <f aca="false">IF(OR(H2296&lt;1,H2296&gt;10),1,0)</f>
        <v>0</v>
      </c>
      <c r="X2296" s="9" t="n">
        <f aca="false">IF(OR(I2296&lt;=0,I2296&gt;1500),1,0)</f>
        <v>0</v>
      </c>
      <c r="Y2296" s="9" t="n">
        <f aca="false">IF(J2296&gt;H2296*I2296,1,0)</f>
        <v>0</v>
      </c>
      <c r="Z2296" s="9" t="n">
        <f aca="false">IF(AND(N2296&lt;&gt;"",OR(N2296&lt;1,N2296&gt;5)),1,0)</f>
        <v>0</v>
      </c>
      <c r="AA2296" s="9" t="n">
        <f aca="false">IF(AND(M2296&lt;&gt;"",OR(M2296&lt;5,M2296&gt;180)),1,0)</f>
        <v>0</v>
      </c>
      <c r="AB2296" s="7" t="str">
        <f aca="false">IF(P2296="DUP","Exact duplicate row",IF(T2296=1,"Missing Order ID",IF(S2296="DROP","Duplicate Order ID (less complete row)",IF(U2296=1,"Missing Customer ID",IF(V2296=1,"Missing Restaurant name",IF(W2296=1,"Invalid/outlier quantity",IF(X2296=1,"Invalid/outlier unit price",IF(Y2296=1,"Discount greater than order value",""))))))))</f>
        <v/>
      </c>
      <c r="AC2296" s="7" t="str">
        <f aca="false">IF(AB2296="","KEEP","DROP")</f>
        <v>KEEP</v>
      </c>
      <c r="AD2296" s="7" t="str">
        <f aca="false">IF(TRIM(F2296)="",IFERROR(INDEX(Map_Tables!$I$4:$I$37,MATCH(TRIM(E2296),Map_Tables!$G$4:$G$37,0)),""),IFERROR(INDEX(Map_Tables!$B$4:$B$18,MATCH(TRIM(F2296),Map_Tables!$A$4:$A$18,0)),"CHECK"))</f>
        <v>Hyderabad</v>
      </c>
      <c r="AE2296" s="7" t="str">
        <f aca="false">IF(TRIM(E2296)="","",IFERROR(INDEX(Map_Tables!$H$4:$H$37,MATCH(TRIM(E2296),Map_Tables!$G$4:$G$37,0)),"CHECK"))</f>
        <v>Hyderabad Dum Biryani</v>
      </c>
      <c r="AF2296" s="7" t="str">
        <f aca="false">IF(TRIM(K2296)="","Unknown",IFERROR(INDEX(Map_Tables!$E$4:$E$15,MATCH(TRIM(K2296),Map_Tables!$D$4:$D$15,0)),"CHECK"))</f>
        <v>Debit Card</v>
      </c>
      <c r="AG2296" s="7" t="str">
        <f aca="false">IF(LEFT(LOWER(TRIM(L2296)),6)="cancel","Cancelled","Delivered")</f>
        <v>Delivered</v>
      </c>
      <c r="AH2296" s="10" t="n">
        <f aca="false">IF(ISNUMBER(SEARCH("/",B2296)),DATE(VALUE(RIGHT(B2296,4)),VALUE(MID(B2296,4,2)),VALUE(LEFT(B2296,2))),IF(MID(B2296,5,1)="-",DATE(VALUE(LEFT(B2296,4)),VALUE(MID(B2296,6,2)),VALUE(RIGHT(B2296,2))),DATE(VALUE(RIGHT(B2296,4)),MATCH(MID(B2296,4,3),{"Jan","Feb","Mar","Apr","May","Jun","Jul","Aug","Sep","Oct","Nov","Dec"},0),VALUE(LEFT(B2296,2)))))</f>
        <v>45971</v>
      </c>
    </row>
    <row r="2297" customFormat="false" ht="15" hidden="false" customHeight="false" outlineLevel="0" collapsed="false">
      <c r="A2297" s="7" t="s">
        <v>5190</v>
      </c>
      <c r="B2297" s="7" t="s">
        <v>1309</v>
      </c>
      <c r="C2297" s="7" t="s">
        <v>2209</v>
      </c>
      <c r="D2297" s="7" t="s">
        <v>922</v>
      </c>
      <c r="E2297" s="7" t="s">
        <v>3059</v>
      </c>
      <c r="F2297" s="7" t="s">
        <v>110</v>
      </c>
      <c r="G2297" s="7" t="s">
        <v>117</v>
      </c>
      <c r="H2297" s="7" t="n">
        <v>4</v>
      </c>
      <c r="I2297" s="7" t="n">
        <v>110</v>
      </c>
      <c r="J2297" s="7" t="n">
        <v>0</v>
      </c>
      <c r="K2297" s="7" t="s">
        <v>93</v>
      </c>
      <c r="L2297" s="7" t="s">
        <v>194</v>
      </c>
      <c r="M2297" s="7" t="n">
        <v>30</v>
      </c>
      <c r="N2297" s="7" t="n">
        <v>4</v>
      </c>
      <c r="O2297" s="7" t="str">
        <f aca="false">A2297&amp;"|"&amp;B2297&amp;"|"&amp;C2297&amp;"|"&amp;D2297&amp;"|"&amp;E2297&amp;"|"&amp;F2297&amp;"|"&amp;G2297&amp;"|"&amp;H2297&amp;"|"&amp;I2297&amp;"|"&amp;J2297&amp;"|"&amp;K2297&amp;"|"&amp;L2297&amp;"|"&amp;M2297&amp;"|"&amp;N2297</f>
        <v>ORD10149|2025-01-20|10:29|C0562|CHAAT CORNER|Delhi|Street Food|4|110|0|Credit Card|Delivered|30|4</v>
      </c>
      <c r="P2297" s="7" t="str">
        <f aca="false">IF(COUNTIF($O$2:O2297,O2297)&gt;1,"DUP","OK")</f>
        <v>OK</v>
      </c>
      <c r="Q2297" s="7" t="n">
        <f aca="false">COUNTBLANK(A2297:N2297)</f>
        <v>0</v>
      </c>
      <c r="R2297" s="7" t="n">
        <f aca="false">IF(A2297="",0,COUNTIFS($A$2:$A$3058,A2297,$P$2:$P$3058,"OK"))</f>
        <v>1</v>
      </c>
      <c r="S2297" s="7" t="str">
        <f aca="false">IF(OR(A2297="",P2297="DUP",R2297&lt;2),"",IF(Q2297=_xlfn.MINIFS($Q$2:$Q$3058,$A$2:$A$3058,A2297,$P$2:$P$3058,"OK"),"KEEP","DROP"))</f>
        <v/>
      </c>
      <c r="T2297" s="9" t="n">
        <f aca="false">IF(A2297="",1,0)</f>
        <v>0</v>
      </c>
      <c r="U2297" s="9" t="n">
        <f aca="false">IF(D2297="",1,0)</f>
        <v>0</v>
      </c>
      <c r="V2297" s="9" t="n">
        <f aca="false">IF(E2297="",1,0)</f>
        <v>0</v>
      </c>
      <c r="W2297" s="9" t="n">
        <f aca="false">IF(OR(H2297&lt;1,H2297&gt;10),1,0)</f>
        <v>0</v>
      </c>
      <c r="X2297" s="9" t="n">
        <f aca="false">IF(OR(I2297&lt;=0,I2297&gt;1500),1,0)</f>
        <v>0</v>
      </c>
      <c r="Y2297" s="9" t="n">
        <f aca="false">IF(J2297&gt;H2297*I2297,1,0)</f>
        <v>0</v>
      </c>
      <c r="Z2297" s="9" t="n">
        <f aca="false">IF(AND(N2297&lt;&gt;"",OR(N2297&lt;1,N2297&gt;5)),1,0)</f>
        <v>0</v>
      </c>
      <c r="AA2297" s="9" t="n">
        <f aca="false">IF(AND(M2297&lt;&gt;"",OR(M2297&lt;5,M2297&gt;180)),1,0)</f>
        <v>0</v>
      </c>
      <c r="AB2297" s="7" t="str">
        <f aca="false">IF(P2297="DUP","Exact duplicate row",IF(T2297=1,"Missing Order ID",IF(S2297="DROP","Duplicate Order ID (less complete row)",IF(U2297=1,"Missing Customer ID",IF(V2297=1,"Missing Restaurant name",IF(W2297=1,"Invalid/outlier quantity",IF(X2297=1,"Invalid/outlier unit price",IF(Y2297=1,"Discount greater than order value",""))))))))</f>
        <v/>
      </c>
      <c r="AC2297" s="7" t="str">
        <f aca="false">IF(AB2297="","KEEP","DROP")</f>
        <v>KEEP</v>
      </c>
      <c r="AD2297" s="7" t="str">
        <f aca="false">IF(TRIM(F2297)="",IFERROR(INDEX(Map_Tables!$I$4:$I$37,MATCH(TRIM(E2297),Map_Tables!$G$4:$G$37,0)),""),IFERROR(INDEX(Map_Tables!$B$4:$B$18,MATCH(TRIM(F2297),Map_Tables!$A$4:$A$18,0)),"CHECK"))</f>
        <v>Delhi</v>
      </c>
      <c r="AE2297" s="7" t="str">
        <f aca="false">IF(TRIM(E2297)="","",IFERROR(INDEX(Map_Tables!$H$4:$H$37,MATCH(TRIM(E2297),Map_Tables!$G$4:$G$37,0)),"CHECK"))</f>
        <v>Chaat Corner</v>
      </c>
      <c r="AF2297" s="7" t="str">
        <f aca="false">IF(TRIM(K2297)="","Unknown",IFERROR(INDEX(Map_Tables!$E$4:$E$15,MATCH(TRIM(K2297),Map_Tables!$D$4:$D$15,0)),"CHECK"))</f>
        <v>Credit Card</v>
      </c>
      <c r="AG2297" s="7" t="str">
        <f aca="false">IF(LEFT(LOWER(TRIM(L2297)),6)="cancel","Cancelled","Delivered")</f>
        <v>Delivered</v>
      </c>
      <c r="AH2297" s="10" t="n">
        <f aca="false">IF(ISNUMBER(SEARCH("/",B2297)),DATE(VALUE(RIGHT(B2297,4)),VALUE(MID(B2297,4,2)),VALUE(LEFT(B2297,2))),IF(MID(B2297,5,1)="-",DATE(VALUE(LEFT(B2297,4)),VALUE(MID(B2297,6,2)),VALUE(RIGHT(B2297,2))),DATE(VALUE(RIGHT(B2297,4)),MATCH(MID(B2297,4,3),{"Jan","Feb","Mar","Apr","May","Jun","Jul","Aug","Sep","Oct","Nov","Dec"},0),VALUE(LEFT(B2297,2)))))</f>
        <v>45677</v>
      </c>
    </row>
    <row r="2298" customFormat="false" ht="15" hidden="false" customHeight="false" outlineLevel="0" collapsed="false">
      <c r="A2298" s="7" t="s">
        <v>5191</v>
      </c>
      <c r="B2298" s="7" t="s">
        <v>1923</v>
      </c>
      <c r="C2298" s="7" t="s">
        <v>5192</v>
      </c>
      <c r="D2298" s="7" t="s">
        <v>4818</v>
      </c>
      <c r="E2298" s="7" t="s">
        <v>142</v>
      </c>
      <c r="F2298" s="7" t="s">
        <v>110</v>
      </c>
      <c r="G2298" s="7" t="s">
        <v>105</v>
      </c>
      <c r="H2298" s="7" t="n">
        <v>1</v>
      </c>
      <c r="I2298" s="7" t="n">
        <v>185</v>
      </c>
      <c r="J2298" s="7" t="n">
        <v>20</v>
      </c>
      <c r="K2298" s="7" t="s">
        <v>121</v>
      </c>
      <c r="L2298" s="7" t="s">
        <v>194</v>
      </c>
      <c r="M2298" s="7"/>
      <c r="N2298" s="7" t="n">
        <v>3</v>
      </c>
      <c r="O2298" s="7" t="str">
        <f aca="false">A2298&amp;"|"&amp;B2298&amp;"|"&amp;C2298&amp;"|"&amp;D2298&amp;"|"&amp;E2298&amp;"|"&amp;F2298&amp;"|"&amp;G2298&amp;"|"&amp;H2298&amp;"|"&amp;I2298&amp;"|"&amp;J2298&amp;"|"&amp;K2298&amp;"|"&amp;L2298&amp;"|"&amp;M2298&amp;"|"&amp;N2298</f>
        <v>ORD10304|2025-02-10|23:40|C0029|Momo Magic|Delhi|Chinese|1|185|20|Wallet|Delivered||3</v>
      </c>
      <c r="P2298" s="7" t="str">
        <f aca="false">IF(COUNTIF($O$2:O2298,O2298)&gt;1,"DUP","OK")</f>
        <v>OK</v>
      </c>
      <c r="Q2298" s="7" t="n">
        <f aca="false">COUNTBLANK(A2298:N2298)</f>
        <v>1</v>
      </c>
      <c r="R2298" s="7" t="n">
        <f aca="false">IF(A2298="",0,COUNTIFS($A$2:$A$3058,A2298,$P$2:$P$3058,"OK"))</f>
        <v>1</v>
      </c>
      <c r="S2298" s="7" t="str">
        <f aca="false">IF(OR(A2298="",P2298="DUP",R2298&lt;2),"",IF(Q2298=_xlfn.MINIFS($Q$2:$Q$3058,$A$2:$A$3058,A2298,$P$2:$P$3058,"OK"),"KEEP","DROP"))</f>
        <v/>
      </c>
      <c r="T2298" s="9" t="n">
        <f aca="false">IF(A2298="",1,0)</f>
        <v>0</v>
      </c>
      <c r="U2298" s="9" t="n">
        <f aca="false">IF(D2298="",1,0)</f>
        <v>0</v>
      </c>
      <c r="V2298" s="9" t="n">
        <f aca="false">IF(E2298="",1,0)</f>
        <v>0</v>
      </c>
      <c r="W2298" s="9" t="n">
        <f aca="false">IF(OR(H2298&lt;1,H2298&gt;10),1,0)</f>
        <v>0</v>
      </c>
      <c r="X2298" s="9" t="n">
        <f aca="false">IF(OR(I2298&lt;=0,I2298&gt;1500),1,0)</f>
        <v>0</v>
      </c>
      <c r="Y2298" s="9" t="n">
        <f aca="false">IF(J2298&gt;H2298*I2298,1,0)</f>
        <v>0</v>
      </c>
      <c r="Z2298" s="9" t="n">
        <f aca="false">IF(AND(N2298&lt;&gt;"",OR(N2298&lt;1,N2298&gt;5)),1,0)</f>
        <v>0</v>
      </c>
      <c r="AA2298" s="9" t="n">
        <f aca="false">IF(AND(M2298&lt;&gt;"",OR(M2298&lt;5,M2298&gt;180)),1,0)</f>
        <v>0</v>
      </c>
      <c r="AB2298" s="7" t="str">
        <f aca="false">IF(P2298="DUP","Exact duplicate row",IF(T2298=1,"Missing Order ID",IF(S2298="DROP","Duplicate Order ID (less complete row)",IF(U2298=1,"Missing Customer ID",IF(V2298=1,"Missing Restaurant name",IF(W2298=1,"Invalid/outlier quantity",IF(X2298=1,"Invalid/outlier unit price",IF(Y2298=1,"Discount greater than order value",""))))))))</f>
        <v/>
      </c>
      <c r="AC2298" s="7" t="str">
        <f aca="false">IF(AB2298="","KEEP","DROP")</f>
        <v>KEEP</v>
      </c>
      <c r="AD2298" s="7" t="str">
        <f aca="false">IF(TRIM(F2298)="",IFERROR(INDEX(Map_Tables!$I$4:$I$37,MATCH(TRIM(E2298),Map_Tables!$G$4:$G$37,0)),""),IFERROR(INDEX(Map_Tables!$B$4:$B$18,MATCH(TRIM(F2298),Map_Tables!$A$4:$A$18,0)),"CHECK"))</f>
        <v>Delhi</v>
      </c>
      <c r="AE2298" s="7" t="str">
        <f aca="false">IF(TRIM(E2298)="","",IFERROR(INDEX(Map_Tables!$H$4:$H$37,MATCH(TRIM(E2298),Map_Tables!$G$4:$G$37,0)),"CHECK"))</f>
        <v>Momo Magic</v>
      </c>
      <c r="AF2298" s="7" t="str">
        <f aca="false">IF(TRIM(K2298)="","Unknown",IFERROR(INDEX(Map_Tables!$E$4:$E$15,MATCH(TRIM(K2298),Map_Tables!$D$4:$D$15,0)),"CHECK"))</f>
        <v>Wallet</v>
      </c>
      <c r="AG2298" s="7" t="str">
        <f aca="false">IF(LEFT(LOWER(TRIM(L2298)),6)="cancel","Cancelled","Delivered")</f>
        <v>Delivered</v>
      </c>
      <c r="AH2298" s="10" t="n">
        <f aca="false">IF(ISNUMBER(SEARCH("/",B2298)),DATE(VALUE(RIGHT(B2298,4)),VALUE(MID(B2298,4,2)),VALUE(LEFT(B2298,2))),IF(MID(B2298,5,1)="-",DATE(VALUE(LEFT(B2298,4)),VALUE(MID(B2298,6,2)),VALUE(RIGHT(B2298,2))),DATE(VALUE(RIGHT(B2298,4)),MATCH(MID(B2298,4,3),{"Jan","Feb","Mar","Apr","May","Jun","Jul","Aug","Sep","Oct","Nov","Dec"},0),VALUE(LEFT(B2298,2)))))</f>
        <v>45698</v>
      </c>
    </row>
    <row r="2299" customFormat="false" ht="15" hidden="false" customHeight="false" outlineLevel="0" collapsed="false">
      <c r="A2299" s="7" t="s">
        <v>5193</v>
      </c>
      <c r="B2299" s="7" t="s">
        <v>1951</v>
      </c>
      <c r="C2299" s="7" t="s">
        <v>2076</v>
      </c>
      <c r="D2299" s="7" t="s">
        <v>2256</v>
      </c>
      <c r="E2299" s="7" t="s">
        <v>113</v>
      </c>
      <c r="F2299" s="7" t="s">
        <v>101</v>
      </c>
      <c r="G2299" s="7" t="s">
        <v>90</v>
      </c>
      <c r="H2299" s="7" t="n">
        <v>3</v>
      </c>
      <c r="I2299" s="7" t="n">
        <v>290</v>
      </c>
      <c r="J2299" s="7" t="n">
        <v>0</v>
      </c>
      <c r="K2299" s="7" t="s">
        <v>93</v>
      </c>
      <c r="L2299" s="7" t="s">
        <v>194</v>
      </c>
      <c r="M2299" s="7" t="n">
        <v>51</v>
      </c>
      <c r="N2299" s="7" t="n">
        <v>2</v>
      </c>
      <c r="O2299" s="7" t="str">
        <f aca="false">A2299&amp;"|"&amp;B2299&amp;"|"&amp;C2299&amp;"|"&amp;D2299&amp;"|"&amp;E2299&amp;"|"&amp;F2299&amp;"|"&amp;G2299&amp;"|"&amp;H2299&amp;"|"&amp;I2299&amp;"|"&amp;J2299&amp;"|"&amp;K2299&amp;"|"&amp;L2299&amp;"|"&amp;M2299&amp;"|"&amp;N2299</f>
        <v>ORD11018|2025-05-09|19:11|C1066|Curry Leaf Kitchen|Mumbai|North Indian|3|290|0|Credit Card|Delivered|51|2</v>
      </c>
      <c r="P2299" s="7" t="str">
        <f aca="false">IF(COUNTIF($O$2:O2299,O2299)&gt;1,"DUP","OK")</f>
        <v>OK</v>
      </c>
      <c r="Q2299" s="7" t="n">
        <f aca="false">COUNTBLANK(A2299:N2299)</f>
        <v>0</v>
      </c>
      <c r="R2299" s="7" t="n">
        <f aca="false">IF(A2299="",0,COUNTIFS($A$2:$A$3058,A2299,$P$2:$P$3058,"OK"))</f>
        <v>1</v>
      </c>
      <c r="S2299" s="7" t="str">
        <f aca="false">IF(OR(A2299="",P2299="DUP",R2299&lt;2),"",IF(Q2299=_xlfn.MINIFS($Q$2:$Q$3058,$A$2:$A$3058,A2299,$P$2:$P$3058,"OK"),"KEEP","DROP"))</f>
        <v/>
      </c>
      <c r="T2299" s="9" t="n">
        <f aca="false">IF(A2299="",1,0)</f>
        <v>0</v>
      </c>
      <c r="U2299" s="9" t="n">
        <f aca="false">IF(D2299="",1,0)</f>
        <v>0</v>
      </c>
      <c r="V2299" s="9" t="n">
        <f aca="false">IF(E2299="",1,0)</f>
        <v>0</v>
      </c>
      <c r="W2299" s="9" t="n">
        <f aca="false">IF(OR(H2299&lt;1,H2299&gt;10),1,0)</f>
        <v>0</v>
      </c>
      <c r="X2299" s="9" t="n">
        <f aca="false">IF(OR(I2299&lt;=0,I2299&gt;1500),1,0)</f>
        <v>0</v>
      </c>
      <c r="Y2299" s="9" t="n">
        <f aca="false">IF(J2299&gt;H2299*I2299,1,0)</f>
        <v>0</v>
      </c>
      <c r="Z2299" s="9" t="n">
        <f aca="false">IF(AND(N2299&lt;&gt;"",OR(N2299&lt;1,N2299&gt;5)),1,0)</f>
        <v>0</v>
      </c>
      <c r="AA2299" s="9" t="n">
        <f aca="false">IF(AND(M2299&lt;&gt;"",OR(M2299&lt;5,M2299&gt;180)),1,0)</f>
        <v>0</v>
      </c>
      <c r="AB2299" s="7" t="str">
        <f aca="false">IF(P2299="DUP","Exact duplicate row",IF(T2299=1,"Missing Order ID",IF(S2299="DROP","Duplicate Order ID (less complete row)",IF(U2299=1,"Missing Customer ID",IF(V2299=1,"Missing Restaurant name",IF(W2299=1,"Invalid/outlier quantity",IF(X2299=1,"Invalid/outlier unit price",IF(Y2299=1,"Discount greater than order value",""))))))))</f>
        <v/>
      </c>
      <c r="AC2299" s="7" t="str">
        <f aca="false">IF(AB2299="","KEEP","DROP")</f>
        <v>KEEP</v>
      </c>
      <c r="AD2299" s="7" t="str">
        <f aca="false">IF(TRIM(F2299)="",IFERROR(INDEX(Map_Tables!$I$4:$I$37,MATCH(TRIM(E2299),Map_Tables!$G$4:$G$37,0)),""),IFERROR(INDEX(Map_Tables!$B$4:$B$18,MATCH(TRIM(F2299),Map_Tables!$A$4:$A$18,0)),"CHECK"))</f>
        <v>Mumbai</v>
      </c>
      <c r="AE2299" s="7" t="str">
        <f aca="false">IF(TRIM(E2299)="","",IFERROR(INDEX(Map_Tables!$H$4:$H$37,MATCH(TRIM(E2299),Map_Tables!$G$4:$G$37,0)),"CHECK"))</f>
        <v>Curry Leaf Kitchen</v>
      </c>
      <c r="AF2299" s="7" t="str">
        <f aca="false">IF(TRIM(K2299)="","Unknown",IFERROR(INDEX(Map_Tables!$E$4:$E$15,MATCH(TRIM(K2299),Map_Tables!$D$4:$D$15,0)),"CHECK"))</f>
        <v>Credit Card</v>
      </c>
      <c r="AG2299" s="7" t="str">
        <f aca="false">IF(LEFT(LOWER(TRIM(L2299)),6)="cancel","Cancelled","Delivered")</f>
        <v>Delivered</v>
      </c>
      <c r="AH2299" s="10" t="n">
        <f aca="false">IF(ISNUMBER(SEARCH("/",B2299)),DATE(VALUE(RIGHT(B2299,4)),VALUE(MID(B2299,4,2)),VALUE(LEFT(B2299,2))),IF(MID(B2299,5,1)="-",DATE(VALUE(LEFT(B2299,4)),VALUE(MID(B2299,6,2)),VALUE(RIGHT(B2299,2))),DATE(VALUE(RIGHT(B2299,4)),MATCH(MID(B2299,4,3),{"Jan","Feb","Mar","Apr","May","Jun","Jul","Aug","Sep","Oct","Nov","Dec"},0),VALUE(LEFT(B2299,2)))))</f>
        <v>45786</v>
      </c>
    </row>
    <row r="2300" customFormat="false" ht="15" hidden="false" customHeight="false" outlineLevel="0" collapsed="false">
      <c r="A2300" s="7" t="s">
        <v>5194</v>
      </c>
      <c r="B2300" s="7" t="s">
        <v>3294</v>
      </c>
      <c r="C2300" s="7" t="s">
        <v>2743</v>
      </c>
      <c r="D2300" s="7" t="s">
        <v>3308</v>
      </c>
      <c r="E2300" s="7" t="s">
        <v>98</v>
      </c>
      <c r="F2300" s="7" t="s">
        <v>86</v>
      </c>
      <c r="G2300" s="7" t="s">
        <v>99</v>
      </c>
      <c r="H2300" s="7" t="n">
        <v>5</v>
      </c>
      <c r="I2300" s="7" t="n">
        <v>290</v>
      </c>
      <c r="J2300" s="7" t="n">
        <v>0</v>
      </c>
      <c r="K2300" s="7" t="s">
        <v>112</v>
      </c>
      <c r="L2300" s="7" t="s">
        <v>194</v>
      </c>
      <c r="M2300" s="7" t="n">
        <v>57</v>
      </c>
      <c r="N2300" s="7" t="n">
        <v>3</v>
      </c>
      <c r="O2300" s="7" t="str">
        <f aca="false">A2300&amp;"|"&amp;B2300&amp;"|"&amp;C2300&amp;"|"&amp;D2300&amp;"|"&amp;E2300&amp;"|"&amp;F2300&amp;"|"&amp;G2300&amp;"|"&amp;H2300&amp;"|"&amp;I2300&amp;"|"&amp;J2300&amp;"|"&amp;K2300&amp;"|"&amp;L2300&amp;"|"&amp;M2300&amp;"|"&amp;N2300</f>
        <v>ORD11925|2025-09-07|12:51|C0551|Nawabi Biryani House|Bengaluru|Biryani|5|290|0|Cash on Delivery|Delivered|57|3</v>
      </c>
      <c r="P2300" s="7" t="str">
        <f aca="false">IF(COUNTIF($O$2:O2300,O2300)&gt;1,"DUP","OK")</f>
        <v>OK</v>
      </c>
      <c r="Q2300" s="7" t="n">
        <f aca="false">COUNTBLANK(A2300:N2300)</f>
        <v>0</v>
      </c>
      <c r="R2300" s="7" t="n">
        <f aca="false">IF(A2300="",0,COUNTIFS($A$2:$A$3058,A2300,$P$2:$P$3058,"OK"))</f>
        <v>1</v>
      </c>
      <c r="S2300" s="7" t="str">
        <f aca="false">IF(OR(A2300="",P2300="DUP",R2300&lt;2),"",IF(Q2300=_xlfn.MINIFS($Q$2:$Q$3058,$A$2:$A$3058,A2300,$P$2:$P$3058,"OK"),"KEEP","DROP"))</f>
        <v/>
      </c>
      <c r="T2300" s="9" t="n">
        <f aca="false">IF(A2300="",1,0)</f>
        <v>0</v>
      </c>
      <c r="U2300" s="9" t="n">
        <f aca="false">IF(D2300="",1,0)</f>
        <v>0</v>
      </c>
      <c r="V2300" s="9" t="n">
        <f aca="false">IF(E2300="",1,0)</f>
        <v>0</v>
      </c>
      <c r="W2300" s="9" t="n">
        <f aca="false">IF(OR(H2300&lt;1,H2300&gt;10),1,0)</f>
        <v>0</v>
      </c>
      <c r="X2300" s="9" t="n">
        <f aca="false">IF(OR(I2300&lt;=0,I2300&gt;1500),1,0)</f>
        <v>0</v>
      </c>
      <c r="Y2300" s="9" t="n">
        <f aca="false">IF(J2300&gt;H2300*I2300,1,0)</f>
        <v>0</v>
      </c>
      <c r="Z2300" s="9" t="n">
        <f aca="false">IF(AND(N2300&lt;&gt;"",OR(N2300&lt;1,N2300&gt;5)),1,0)</f>
        <v>0</v>
      </c>
      <c r="AA2300" s="9" t="n">
        <f aca="false">IF(AND(M2300&lt;&gt;"",OR(M2300&lt;5,M2300&gt;180)),1,0)</f>
        <v>0</v>
      </c>
      <c r="AB2300" s="7" t="str">
        <f aca="false">IF(P2300="DUP","Exact duplicate row",IF(T2300=1,"Missing Order ID",IF(S2300="DROP","Duplicate Order ID (less complete row)",IF(U2300=1,"Missing Customer ID",IF(V2300=1,"Missing Restaurant name",IF(W2300=1,"Invalid/outlier quantity",IF(X2300=1,"Invalid/outlier unit price",IF(Y2300=1,"Discount greater than order value",""))))))))</f>
        <v/>
      </c>
      <c r="AC2300" s="7" t="str">
        <f aca="false">IF(AB2300="","KEEP","DROP")</f>
        <v>KEEP</v>
      </c>
      <c r="AD2300" s="7" t="str">
        <f aca="false">IF(TRIM(F2300)="",IFERROR(INDEX(Map_Tables!$I$4:$I$37,MATCH(TRIM(E2300),Map_Tables!$G$4:$G$37,0)),""),IFERROR(INDEX(Map_Tables!$B$4:$B$18,MATCH(TRIM(F2300),Map_Tables!$A$4:$A$18,0)),"CHECK"))</f>
        <v>Bengaluru</v>
      </c>
      <c r="AE2300" s="7" t="str">
        <f aca="false">IF(TRIM(E2300)="","",IFERROR(INDEX(Map_Tables!$H$4:$H$37,MATCH(TRIM(E2300),Map_Tables!$G$4:$G$37,0)),"CHECK"))</f>
        <v>Nawabi Biryani House</v>
      </c>
      <c r="AF2300" s="7" t="str">
        <f aca="false">IF(TRIM(K2300)="","Unknown",IFERROR(INDEX(Map_Tables!$E$4:$E$15,MATCH(TRIM(K2300),Map_Tables!$D$4:$D$15,0)),"CHECK"))</f>
        <v>Cash on Delivery</v>
      </c>
      <c r="AG2300" s="7" t="str">
        <f aca="false">IF(LEFT(LOWER(TRIM(L2300)),6)="cancel","Cancelled","Delivered")</f>
        <v>Delivered</v>
      </c>
      <c r="AH2300" s="10" t="n">
        <f aca="false">IF(ISNUMBER(SEARCH("/",B2300)),DATE(VALUE(RIGHT(B2300,4)),VALUE(MID(B2300,4,2)),VALUE(LEFT(B2300,2))),IF(MID(B2300,5,1)="-",DATE(VALUE(LEFT(B2300,4)),VALUE(MID(B2300,6,2)),VALUE(RIGHT(B2300,2))),DATE(VALUE(RIGHT(B2300,4)),MATCH(MID(B2300,4,3),{"Jan","Feb","Mar","Apr","May","Jun","Jul","Aug","Sep","Oct","Nov","Dec"},0),VALUE(LEFT(B2300,2)))))</f>
        <v>45907</v>
      </c>
    </row>
    <row r="2301" customFormat="false" ht="15" hidden="false" customHeight="false" outlineLevel="0" collapsed="false">
      <c r="A2301" s="7" t="s">
        <v>5195</v>
      </c>
      <c r="B2301" s="7" t="s">
        <v>322</v>
      </c>
      <c r="C2301" s="7" t="s">
        <v>241</v>
      </c>
      <c r="D2301" s="7" t="s">
        <v>3129</v>
      </c>
      <c r="E2301" s="7" t="s">
        <v>138</v>
      </c>
      <c r="F2301" s="7" t="s">
        <v>110</v>
      </c>
      <c r="G2301" s="7" t="s">
        <v>139</v>
      </c>
      <c r="H2301" s="7" t="n">
        <v>3</v>
      </c>
      <c r="I2301" s="7" t="n">
        <v>200</v>
      </c>
      <c r="J2301" s="7" t="n">
        <v>0</v>
      </c>
      <c r="K2301" s="7" t="s">
        <v>103</v>
      </c>
      <c r="L2301" s="7" t="s">
        <v>194</v>
      </c>
      <c r="M2301" s="7" t="n">
        <v>31</v>
      </c>
      <c r="N2301" s="7" t="n">
        <v>5</v>
      </c>
      <c r="O2301" s="7" t="str">
        <f aca="false">A2301&amp;"|"&amp;B2301&amp;"|"&amp;C2301&amp;"|"&amp;D2301&amp;"|"&amp;E2301&amp;"|"&amp;F2301&amp;"|"&amp;G2301&amp;"|"&amp;H2301&amp;"|"&amp;I2301&amp;"|"&amp;J2301&amp;"|"&amp;K2301&amp;"|"&amp;L2301&amp;"|"&amp;M2301&amp;"|"&amp;N2301</f>
        <v>ORD11053|2025-05-13|11:59|C0793|Burger Barn|Delhi|Burgers|3|200|0|Debit Card|Delivered|31|5</v>
      </c>
      <c r="P2301" s="7" t="str">
        <f aca="false">IF(COUNTIF($O$2:O2301,O2301)&gt;1,"DUP","OK")</f>
        <v>OK</v>
      </c>
      <c r="Q2301" s="7" t="n">
        <f aca="false">COUNTBLANK(A2301:N2301)</f>
        <v>0</v>
      </c>
      <c r="R2301" s="7" t="n">
        <f aca="false">IF(A2301="",0,COUNTIFS($A$2:$A$3058,A2301,$P$2:$P$3058,"OK"))</f>
        <v>1</v>
      </c>
      <c r="S2301" s="7" t="str">
        <f aca="false">IF(OR(A2301="",P2301="DUP",R2301&lt;2),"",IF(Q2301=_xlfn.MINIFS($Q$2:$Q$3058,$A$2:$A$3058,A2301,$P$2:$P$3058,"OK"),"KEEP","DROP"))</f>
        <v/>
      </c>
      <c r="T2301" s="9" t="n">
        <f aca="false">IF(A2301="",1,0)</f>
        <v>0</v>
      </c>
      <c r="U2301" s="9" t="n">
        <f aca="false">IF(D2301="",1,0)</f>
        <v>0</v>
      </c>
      <c r="V2301" s="9" t="n">
        <f aca="false">IF(E2301="",1,0)</f>
        <v>0</v>
      </c>
      <c r="W2301" s="9" t="n">
        <f aca="false">IF(OR(H2301&lt;1,H2301&gt;10),1,0)</f>
        <v>0</v>
      </c>
      <c r="X2301" s="9" t="n">
        <f aca="false">IF(OR(I2301&lt;=0,I2301&gt;1500),1,0)</f>
        <v>0</v>
      </c>
      <c r="Y2301" s="9" t="n">
        <f aca="false">IF(J2301&gt;H2301*I2301,1,0)</f>
        <v>0</v>
      </c>
      <c r="Z2301" s="9" t="n">
        <f aca="false">IF(AND(N2301&lt;&gt;"",OR(N2301&lt;1,N2301&gt;5)),1,0)</f>
        <v>0</v>
      </c>
      <c r="AA2301" s="9" t="n">
        <f aca="false">IF(AND(M2301&lt;&gt;"",OR(M2301&lt;5,M2301&gt;180)),1,0)</f>
        <v>0</v>
      </c>
      <c r="AB2301" s="7" t="str">
        <f aca="false">IF(P2301="DUP","Exact duplicate row",IF(T2301=1,"Missing Order ID",IF(S2301="DROP","Duplicate Order ID (less complete row)",IF(U2301=1,"Missing Customer ID",IF(V2301=1,"Missing Restaurant name",IF(W2301=1,"Invalid/outlier quantity",IF(X2301=1,"Invalid/outlier unit price",IF(Y2301=1,"Discount greater than order value",""))))))))</f>
        <v/>
      </c>
      <c r="AC2301" s="7" t="str">
        <f aca="false">IF(AB2301="","KEEP","DROP")</f>
        <v>KEEP</v>
      </c>
      <c r="AD2301" s="7" t="str">
        <f aca="false">IF(TRIM(F2301)="",IFERROR(INDEX(Map_Tables!$I$4:$I$37,MATCH(TRIM(E2301),Map_Tables!$G$4:$G$37,0)),""),IFERROR(INDEX(Map_Tables!$B$4:$B$18,MATCH(TRIM(F2301),Map_Tables!$A$4:$A$18,0)),"CHECK"))</f>
        <v>Delhi</v>
      </c>
      <c r="AE2301" s="7" t="str">
        <f aca="false">IF(TRIM(E2301)="","",IFERROR(INDEX(Map_Tables!$H$4:$H$37,MATCH(TRIM(E2301),Map_Tables!$G$4:$G$37,0)),"CHECK"))</f>
        <v>Burger Barn</v>
      </c>
      <c r="AF2301" s="7" t="str">
        <f aca="false">IF(TRIM(K2301)="","Unknown",IFERROR(INDEX(Map_Tables!$E$4:$E$15,MATCH(TRIM(K2301),Map_Tables!$D$4:$D$15,0)),"CHECK"))</f>
        <v>Debit Card</v>
      </c>
      <c r="AG2301" s="7" t="str">
        <f aca="false">IF(LEFT(LOWER(TRIM(L2301)),6)="cancel","Cancelled","Delivered")</f>
        <v>Delivered</v>
      </c>
      <c r="AH2301" s="10" t="n">
        <f aca="false">IF(ISNUMBER(SEARCH("/",B2301)),DATE(VALUE(RIGHT(B2301,4)),VALUE(MID(B2301,4,2)),VALUE(LEFT(B2301,2))),IF(MID(B2301,5,1)="-",DATE(VALUE(LEFT(B2301,4)),VALUE(MID(B2301,6,2)),VALUE(RIGHT(B2301,2))),DATE(VALUE(RIGHT(B2301,4)),MATCH(MID(B2301,4,3),{"Jan","Feb","Mar","Apr","May","Jun","Jul","Aug","Sep","Oct","Nov","Dec"},0),VALUE(LEFT(B2301,2)))))</f>
        <v>45790</v>
      </c>
    </row>
    <row r="2302" customFormat="false" ht="15" hidden="false" customHeight="false" outlineLevel="0" collapsed="false">
      <c r="A2302" s="7" t="s">
        <v>5196</v>
      </c>
      <c r="B2302" s="7" t="s">
        <v>1127</v>
      </c>
      <c r="C2302" s="7" t="s">
        <v>1718</v>
      </c>
      <c r="D2302" s="7" t="s">
        <v>4869</v>
      </c>
      <c r="E2302" s="7" t="s">
        <v>122</v>
      </c>
      <c r="F2302" s="7"/>
      <c r="G2302" s="7" t="s">
        <v>123</v>
      </c>
      <c r="H2302" s="7" t="n">
        <v>3</v>
      </c>
      <c r="I2302" s="7" t="n">
        <v>335</v>
      </c>
      <c r="J2302" s="7" t="n">
        <v>40</v>
      </c>
      <c r="K2302" s="7" t="s">
        <v>88</v>
      </c>
      <c r="L2302" s="7" t="s">
        <v>194</v>
      </c>
      <c r="M2302" s="7" t="n">
        <v>44</v>
      </c>
      <c r="N2302" s="7" t="n">
        <v>5</v>
      </c>
      <c r="O2302" s="7" t="str">
        <f aca="false">A2302&amp;"|"&amp;B2302&amp;"|"&amp;C2302&amp;"|"&amp;D2302&amp;"|"&amp;E2302&amp;"|"&amp;F2302&amp;"|"&amp;G2302&amp;"|"&amp;H2302&amp;"|"&amp;I2302&amp;"|"&amp;J2302&amp;"|"&amp;K2302&amp;"|"&amp;L2302&amp;"|"&amp;M2302&amp;"|"&amp;N2302</f>
        <v>ORD12765|2025-12-03|20:13|C0145|Mumbai Pizza Co||Pizza|3|335|40|UPI|Delivered|44|5</v>
      </c>
      <c r="P2302" s="7" t="str">
        <f aca="false">IF(COUNTIF($O$2:O2302,O2302)&gt;1,"DUP","OK")</f>
        <v>OK</v>
      </c>
      <c r="Q2302" s="7" t="n">
        <f aca="false">COUNTBLANK(A2302:N2302)</f>
        <v>1</v>
      </c>
      <c r="R2302" s="7" t="n">
        <f aca="false">IF(A2302="",0,COUNTIFS($A$2:$A$3058,A2302,$P$2:$P$3058,"OK"))</f>
        <v>1</v>
      </c>
      <c r="S2302" s="7" t="str">
        <f aca="false">IF(OR(A2302="",P2302="DUP",R2302&lt;2),"",IF(Q2302=_xlfn.MINIFS($Q$2:$Q$3058,$A$2:$A$3058,A2302,$P$2:$P$3058,"OK"),"KEEP","DROP"))</f>
        <v/>
      </c>
      <c r="T2302" s="9" t="n">
        <f aca="false">IF(A2302="",1,0)</f>
        <v>0</v>
      </c>
      <c r="U2302" s="9" t="n">
        <f aca="false">IF(D2302="",1,0)</f>
        <v>0</v>
      </c>
      <c r="V2302" s="9" t="n">
        <f aca="false">IF(E2302="",1,0)</f>
        <v>0</v>
      </c>
      <c r="W2302" s="9" t="n">
        <f aca="false">IF(OR(H2302&lt;1,H2302&gt;10),1,0)</f>
        <v>0</v>
      </c>
      <c r="X2302" s="9" t="n">
        <f aca="false">IF(OR(I2302&lt;=0,I2302&gt;1500),1,0)</f>
        <v>0</v>
      </c>
      <c r="Y2302" s="9" t="n">
        <f aca="false">IF(J2302&gt;H2302*I2302,1,0)</f>
        <v>0</v>
      </c>
      <c r="Z2302" s="9" t="n">
        <f aca="false">IF(AND(N2302&lt;&gt;"",OR(N2302&lt;1,N2302&gt;5)),1,0)</f>
        <v>0</v>
      </c>
      <c r="AA2302" s="9" t="n">
        <f aca="false">IF(AND(M2302&lt;&gt;"",OR(M2302&lt;5,M2302&gt;180)),1,0)</f>
        <v>0</v>
      </c>
      <c r="AB2302" s="7" t="str">
        <f aca="false">IF(P2302="DUP","Exact duplicate row",IF(T2302=1,"Missing Order ID",IF(S2302="DROP","Duplicate Order ID (less complete row)",IF(U2302=1,"Missing Customer ID",IF(V2302=1,"Missing Restaurant name",IF(W2302=1,"Invalid/outlier quantity",IF(X2302=1,"Invalid/outlier unit price",IF(Y2302=1,"Discount greater than order value",""))))))))</f>
        <v/>
      </c>
      <c r="AC2302" s="7" t="str">
        <f aca="false">IF(AB2302="","KEEP","DROP")</f>
        <v>KEEP</v>
      </c>
      <c r="AD2302" s="7" t="str">
        <f aca="false">IF(TRIM(F2302)="",IFERROR(INDEX(Map_Tables!$I$4:$I$37,MATCH(TRIM(E2302),Map_Tables!$G$4:$G$37,0)),""),IFERROR(INDEX(Map_Tables!$B$4:$B$18,MATCH(TRIM(F2302),Map_Tables!$A$4:$A$18,0)),"CHECK"))</f>
        <v>Mumbai</v>
      </c>
      <c r="AE2302" s="7" t="str">
        <f aca="false">IF(TRIM(E2302)="","",IFERROR(INDEX(Map_Tables!$H$4:$H$37,MATCH(TRIM(E2302),Map_Tables!$G$4:$G$37,0)),"CHECK"))</f>
        <v>Mumbai Pizza Co</v>
      </c>
      <c r="AF2302" s="7" t="str">
        <f aca="false">IF(TRIM(K2302)="","Unknown",IFERROR(INDEX(Map_Tables!$E$4:$E$15,MATCH(TRIM(K2302),Map_Tables!$D$4:$D$15,0)),"CHECK"))</f>
        <v>UPI</v>
      </c>
      <c r="AG2302" s="7" t="str">
        <f aca="false">IF(LEFT(LOWER(TRIM(L2302)),6)="cancel","Cancelled","Delivered")</f>
        <v>Delivered</v>
      </c>
      <c r="AH2302" s="10" t="n">
        <f aca="false">IF(ISNUMBER(SEARCH("/",B2302)),DATE(VALUE(RIGHT(B2302,4)),VALUE(MID(B2302,4,2)),VALUE(LEFT(B2302,2))),IF(MID(B2302,5,1)="-",DATE(VALUE(LEFT(B2302,4)),VALUE(MID(B2302,6,2)),VALUE(RIGHT(B2302,2))),DATE(VALUE(RIGHT(B2302,4)),MATCH(MID(B2302,4,3),{"Jan","Feb","Mar","Apr","May","Jun","Jul","Aug","Sep","Oct","Nov","Dec"},0),VALUE(LEFT(B2302,2)))))</f>
        <v>45994</v>
      </c>
    </row>
    <row r="2303" customFormat="false" ht="15" hidden="false" customHeight="false" outlineLevel="0" collapsed="false">
      <c r="A2303" s="7" t="s">
        <v>5197</v>
      </c>
      <c r="B2303" s="7" t="s">
        <v>1022</v>
      </c>
      <c r="C2303" s="7" t="s">
        <v>4591</v>
      </c>
      <c r="D2303" s="7" t="s">
        <v>192</v>
      </c>
      <c r="E2303" s="7" t="s">
        <v>159</v>
      </c>
      <c r="F2303" s="7" t="s">
        <v>136</v>
      </c>
      <c r="G2303" s="7" t="s">
        <v>90</v>
      </c>
      <c r="H2303" s="7" t="n">
        <v>1</v>
      </c>
      <c r="I2303" s="7" t="n">
        <v>255</v>
      </c>
      <c r="J2303" s="7" t="n">
        <v>0</v>
      </c>
      <c r="K2303" s="7" t="s">
        <v>93</v>
      </c>
      <c r="L2303" s="7" t="s">
        <v>194</v>
      </c>
      <c r="M2303" s="7" t="n">
        <v>43</v>
      </c>
      <c r="N2303" s="7" t="n">
        <v>5</v>
      </c>
      <c r="O2303" s="7" t="str">
        <f aca="false">A2303&amp;"|"&amp;B2303&amp;"|"&amp;C2303&amp;"|"&amp;D2303&amp;"|"&amp;E2303&amp;"|"&amp;F2303&amp;"|"&amp;G2303&amp;"|"&amp;H2303&amp;"|"&amp;I2303&amp;"|"&amp;J2303&amp;"|"&amp;K2303&amp;"|"&amp;L2303&amp;"|"&amp;M2303&amp;"|"&amp;N2303</f>
        <v>ORD12392|28-Oct-2025|21:50|C0623|Maratha Thali House|Pune|North Indian|1|255|0|Credit Card|Delivered|43|5</v>
      </c>
      <c r="P2303" s="7" t="str">
        <f aca="false">IF(COUNTIF($O$2:O2303,O2303)&gt;1,"DUP","OK")</f>
        <v>OK</v>
      </c>
      <c r="Q2303" s="7" t="n">
        <f aca="false">COUNTBLANK(A2303:N2303)</f>
        <v>0</v>
      </c>
      <c r="R2303" s="7" t="n">
        <f aca="false">IF(A2303="",0,COUNTIFS($A$2:$A$3058,A2303,$P$2:$P$3058,"OK"))</f>
        <v>1</v>
      </c>
      <c r="S2303" s="7" t="str">
        <f aca="false">IF(OR(A2303="",P2303="DUP",R2303&lt;2),"",IF(Q2303=_xlfn.MINIFS($Q$2:$Q$3058,$A$2:$A$3058,A2303,$P$2:$P$3058,"OK"),"KEEP","DROP"))</f>
        <v/>
      </c>
      <c r="T2303" s="9" t="n">
        <f aca="false">IF(A2303="",1,0)</f>
        <v>0</v>
      </c>
      <c r="U2303" s="9" t="n">
        <f aca="false">IF(D2303="",1,0)</f>
        <v>0</v>
      </c>
      <c r="V2303" s="9" t="n">
        <f aca="false">IF(E2303="",1,0)</f>
        <v>0</v>
      </c>
      <c r="W2303" s="9" t="n">
        <f aca="false">IF(OR(H2303&lt;1,H2303&gt;10),1,0)</f>
        <v>0</v>
      </c>
      <c r="X2303" s="9" t="n">
        <f aca="false">IF(OR(I2303&lt;=0,I2303&gt;1500),1,0)</f>
        <v>0</v>
      </c>
      <c r="Y2303" s="9" t="n">
        <f aca="false">IF(J2303&gt;H2303*I2303,1,0)</f>
        <v>0</v>
      </c>
      <c r="Z2303" s="9" t="n">
        <f aca="false">IF(AND(N2303&lt;&gt;"",OR(N2303&lt;1,N2303&gt;5)),1,0)</f>
        <v>0</v>
      </c>
      <c r="AA2303" s="9" t="n">
        <f aca="false">IF(AND(M2303&lt;&gt;"",OR(M2303&lt;5,M2303&gt;180)),1,0)</f>
        <v>0</v>
      </c>
      <c r="AB2303" s="7" t="str">
        <f aca="false">IF(P2303="DUP","Exact duplicate row",IF(T2303=1,"Missing Order ID",IF(S2303="DROP","Duplicate Order ID (less complete row)",IF(U2303=1,"Missing Customer ID",IF(V2303=1,"Missing Restaurant name",IF(W2303=1,"Invalid/outlier quantity",IF(X2303=1,"Invalid/outlier unit price",IF(Y2303=1,"Discount greater than order value",""))))))))</f>
        <v/>
      </c>
      <c r="AC2303" s="7" t="str">
        <f aca="false">IF(AB2303="","KEEP","DROP")</f>
        <v>KEEP</v>
      </c>
      <c r="AD2303" s="7" t="str">
        <f aca="false">IF(TRIM(F2303)="",IFERROR(INDEX(Map_Tables!$I$4:$I$37,MATCH(TRIM(E2303),Map_Tables!$G$4:$G$37,0)),""),IFERROR(INDEX(Map_Tables!$B$4:$B$18,MATCH(TRIM(F2303),Map_Tables!$A$4:$A$18,0)),"CHECK"))</f>
        <v>Pune</v>
      </c>
      <c r="AE2303" s="7" t="str">
        <f aca="false">IF(TRIM(E2303)="","",IFERROR(INDEX(Map_Tables!$H$4:$H$37,MATCH(TRIM(E2303),Map_Tables!$G$4:$G$37,0)),"CHECK"))</f>
        <v>Maratha Thali House</v>
      </c>
      <c r="AF2303" s="7" t="str">
        <f aca="false">IF(TRIM(K2303)="","Unknown",IFERROR(INDEX(Map_Tables!$E$4:$E$15,MATCH(TRIM(K2303),Map_Tables!$D$4:$D$15,0)),"CHECK"))</f>
        <v>Credit Card</v>
      </c>
      <c r="AG2303" s="7" t="str">
        <f aca="false">IF(LEFT(LOWER(TRIM(L2303)),6)="cancel","Cancelled","Delivered")</f>
        <v>Delivered</v>
      </c>
      <c r="AH2303" s="10" t="n">
        <f aca="false">IF(ISNUMBER(SEARCH("/",B2303)),DATE(VALUE(RIGHT(B2303,4)),VALUE(MID(B2303,4,2)),VALUE(LEFT(B2303,2))),IF(MID(B2303,5,1)="-",DATE(VALUE(LEFT(B2303,4)),VALUE(MID(B2303,6,2)),VALUE(RIGHT(B2303,2))),DATE(VALUE(RIGHT(B2303,4)),MATCH(MID(B2303,4,3),{"Jan","Feb","Mar","Apr","May","Jun","Jul","Aug","Sep","Oct","Nov","Dec"},0),VALUE(LEFT(B2303,2)))))</f>
        <v>45958</v>
      </c>
    </row>
    <row r="2304" customFormat="false" ht="15" hidden="false" customHeight="false" outlineLevel="0" collapsed="false">
      <c r="A2304" s="7" t="s">
        <v>5198</v>
      </c>
      <c r="B2304" s="7" t="s">
        <v>2357</v>
      </c>
      <c r="C2304" s="7" t="s">
        <v>3489</v>
      </c>
      <c r="D2304" s="7" t="s">
        <v>2127</v>
      </c>
      <c r="E2304" s="7" t="s">
        <v>138</v>
      </c>
      <c r="F2304" s="7" t="s">
        <v>110</v>
      </c>
      <c r="G2304" s="7" t="s">
        <v>251</v>
      </c>
      <c r="H2304" s="7" t="n">
        <v>1</v>
      </c>
      <c r="I2304" s="7" t="n">
        <v>200</v>
      </c>
      <c r="J2304" s="7" t="n">
        <v>0</v>
      </c>
      <c r="K2304" s="7" t="s">
        <v>103</v>
      </c>
      <c r="L2304" s="7" t="s">
        <v>194</v>
      </c>
      <c r="M2304" s="7" t="n">
        <v>48</v>
      </c>
      <c r="N2304" s="7" t="n">
        <v>5</v>
      </c>
      <c r="O2304" s="7" t="str">
        <f aca="false">A2304&amp;"|"&amp;B2304&amp;"|"&amp;C2304&amp;"|"&amp;D2304&amp;"|"&amp;E2304&amp;"|"&amp;F2304&amp;"|"&amp;G2304&amp;"|"&amp;H2304&amp;"|"&amp;I2304&amp;"|"&amp;J2304&amp;"|"&amp;K2304&amp;"|"&amp;L2304&amp;"|"&amp;M2304&amp;"|"&amp;N2304</f>
        <v>ORD11905|2025-09-04|21:20|C0737|Burger Barn|Delhi|burgers|1|200|0|Debit Card|Delivered|48|5</v>
      </c>
      <c r="P2304" s="7" t="str">
        <f aca="false">IF(COUNTIF($O$2:O2304,O2304)&gt;1,"DUP","OK")</f>
        <v>OK</v>
      </c>
      <c r="Q2304" s="7" t="n">
        <f aca="false">COUNTBLANK(A2304:N2304)</f>
        <v>0</v>
      </c>
      <c r="R2304" s="7" t="n">
        <f aca="false">IF(A2304="",0,COUNTIFS($A$2:$A$3058,A2304,$P$2:$P$3058,"OK"))</f>
        <v>1</v>
      </c>
      <c r="S2304" s="7" t="str">
        <f aca="false">IF(OR(A2304="",P2304="DUP",R2304&lt;2),"",IF(Q2304=_xlfn.MINIFS($Q$2:$Q$3058,$A$2:$A$3058,A2304,$P$2:$P$3058,"OK"),"KEEP","DROP"))</f>
        <v/>
      </c>
      <c r="T2304" s="9" t="n">
        <f aca="false">IF(A2304="",1,0)</f>
        <v>0</v>
      </c>
      <c r="U2304" s="9" t="n">
        <f aca="false">IF(D2304="",1,0)</f>
        <v>0</v>
      </c>
      <c r="V2304" s="9" t="n">
        <f aca="false">IF(E2304="",1,0)</f>
        <v>0</v>
      </c>
      <c r="W2304" s="9" t="n">
        <f aca="false">IF(OR(H2304&lt;1,H2304&gt;10),1,0)</f>
        <v>0</v>
      </c>
      <c r="X2304" s="9" t="n">
        <f aca="false">IF(OR(I2304&lt;=0,I2304&gt;1500),1,0)</f>
        <v>0</v>
      </c>
      <c r="Y2304" s="9" t="n">
        <f aca="false">IF(J2304&gt;H2304*I2304,1,0)</f>
        <v>0</v>
      </c>
      <c r="Z2304" s="9" t="n">
        <f aca="false">IF(AND(N2304&lt;&gt;"",OR(N2304&lt;1,N2304&gt;5)),1,0)</f>
        <v>0</v>
      </c>
      <c r="AA2304" s="9" t="n">
        <f aca="false">IF(AND(M2304&lt;&gt;"",OR(M2304&lt;5,M2304&gt;180)),1,0)</f>
        <v>0</v>
      </c>
      <c r="AB2304" s="7" t="str">
        <f aca="false">IF(P2304="DUP","Exact duplicate row",IF(T2304=1,"Missing Order ID",IF(S2304="DROP","Duplicate Order ID (less complete row)",IF(U2304=1,"Missing Customer ID",IF(V2304=1,"Missing Restaurant name",IF(W2304=1,"Invalid/outlier quantity",IF(X2304=1,"Invalid/outlier unit price",IF(Y2304=1,"Discount greater than order value",""))))))))</f>
        <v/>
      </c>
      <c r="AC2304" s="7" t="str">
        <f aca="false">IF(AB2304="","KEEP","DROP")</f>
        <v>KEEP</v>
      </c>
      <c r="AD2304" s="7" t="str">
        <f aca="false">IF(TRIM(F2304)="",IFERROR(INDEX(Map_Tables!$I$4:$I$37,MATCH(TRIM(E2304),Map_Tables!$G$4:$G$37,0)),""),IFERROR(INDEX(Map_Tables!$B$4:$B$18,MATCH(TRIM(F2304),Map_Tables!$A$4:$A$18,0)),"CHECK"))</f>
        <v>Delhi</v>
      </c>
      <c r="AE2304" s="7" t="str">
        <f aca="false">IF(TRIM(E2304)="","",IFERROR(INDEX(Map_Tables!$H$4:$H$37,MATCH(TRIM(E2304),Map_Tables!$G$4:$G$37,0)),"CHECK"))</f>
        <v>Burger Barn</v>
      </c>
      <c r="AF2304" s="7" t="str">
        <f aca="false">IF(TRIM(K2304)="","Unknown",IFERROR(INDEX(Map_Tables!$E$4:$E$15,MATCH(TRIM(K2304),Map_Tables!$D$4:$D$15,0)),"CHECK"))</f>
        <v>Debit Card</v>
      </c>
      <c r="AG2304" s="7" t="str">
        <f aca="false">IF(LEFT(LOWER(TRIM(L2304)),6)="cancel","Cancelled","Delivered")</f>
        <v>Delivered</v>
      </c>
      <c r="AH2304" s="10" t="n">
        <f aca="false">IF(ISNUMBER(SEARCH("/",B2304)),DATE(VALUE(RIGHT(B2304,4)),VALUE(MID(B2304,4,2)),VALUE(LEFT(B2304,2))),IF(MID(B2304,5,1)="-",DATE(VALUE(LEFT(B2304,4)),VALUE(MID(B2304,6,2)),VALUE(RIGHT(B2304,2))),DATE(VALUE(RIGHT(B2304,4)),MATCH(MID(B2304,4,3),{"Jan","Feb","Mar","Apr","May","Jun","Jul","Aug","Sep","Oct","Nov","Dec"},0),VALUE(LEFT(B2304,2)))))</f>
        <v>45904</v>
      </c>
    </row>
    <row r="2305" customFormat="false" ht="15" hidden="false" customHeight="false" outlineLevel="0" collapsed="false">
      <c r="A2305" s="7" t="s">
        <v>5199</v>
      </c>
      <c r="B2305" s="7" t="s">
        <v>2097</v>
      </c>
      <c r="C2305" s="7" t="s">
        <v>1795</v>
      </c>
      <c r="D2305" s="7" t="s">
        <v>5200</v>
      </c>
      <c r="E2305" s="7" t="s">
        <v>94</v>
      </c>
      <c r="F2305" s="7" t="s">
        <v>86</v>
      </c>
      <c r="G2305" s="7" t="s">
        <v>95</v>
      </c>
      <c r="H2305" s="7" t="n">
        <v>1</v>
      </c>
      <c r="I2305" s="7" t="n">
        <v>115</v>
      </c>
      <c r="J2305" s="7" t="n">
        <v>40</v>
      </c>
      <c r="K2305" s="7" t="s">
        <v>88</v>
      </c>
      <c r="L2305" s="7" t="s">
        <v>194</v>
      </c>
      <c r="M2305" s="7" t="n">
        <v>40</v>
      </c>
      <c r="N2305" s="7" t="n">
        <v>4</v>
      </c>
      <c r="O2305" s="7" t="str">
        <f aca="false">A2305&amp;"|"&amp;B2305&amp;"|"&amp;C2305&amp;"|"&amp;D2305&amp;"|"&amp;E2305&amp;"|"&amp;F2305&amp;"|"&amp;G2305&amp;"|"&amp;H2305&amp;"|"&amp;I2305&amp;"|"&amp;J2305&amp;"|"&amp;K2305&amp;"|"&amp;L2305&amp;"|"&amp;M2305&amp;"|"&amp;N2305</f>
        <v>ORD12903|2025-12-21|12:33|C1005|Dosa Darbar|Bengaluru|South Indian|1|115|40|UPI|Delivered|40|4</v>
      </c>
      <c r="P2305" s="7" t="str">
        <f aca="false">IF(COUNTIF($O$2:O2305,O2305)&gt;1,"DUP","OK")</f>
        <v>OK</v>
      </c>
      <c r="Q2305" s="7" t="n">
        <f aca="false">COUNTBLANK(A2305:N2305)</f>
        <v>0</v>
      </c>
      <c r="R2305" s="7" t="n">
        <f aca="false">IF(A2305="",0,COUNTIFS($A$2:$A$3058,A2305,$P$2:$P$3058,"OK"))</f>
        <v>1</v>
      </c>
      <c r="S2305" s="7" t="str">
        <f aca="false">IF(OR(A2305="",P2305="DUP",R2305&lt;2),"",IF(Q2305=_xlfn.MINIFS($Q$2:$Q$3058,$A$2:$A$3058,A2305,$P$2:$P$3058,"OK"),"KEEP","DROP"))</f>
        <v/>
      </c>
      <c r="T2305" s="9" t="n">
        <f aca="false">IF(A2305="",1,0)</f>
        <v>0</v>
      </c>
      <c r="U2305" s="9" t="n">
        <f aca="false">IF(D2305="",1,0)</f>
        <v>0</v>
      </c>
      <c r="V2305" s="9" t="n">
        <f aca="false">IF(E2305="",1,0)</f>
        <v>0</v>
      </c>
      <c r="W2305" s="9" t="n">
        <f aca="false">IF(OR(H2305&lt;1,H2305&gt;10),1,0)</f>
        <v>0</v>
      </c>
      <c r="X2305" s="9" t="n">
        <f aca="false">IF(OR(I2305&lt;=0,I2305&gt;1500),1,0)</f>
        <v>0</v>
      </c>
      <c r="Y2305" s="9" t="n">
        <f aca="false">IF(J2305&gt;H2305*I2305,1,0)</f>
        <v>0</v>
      </c>
      <c r="Z2305" s="9" t="n">
        <f aca="false">IF(AND(N2305&lt;&gt;"",OR(N2305&lt;1,N2305&gt;5)),1,0)</f>
        <v>0</v>
      </c>
      <c r="AA2305" s="9" t="n">
        <f aca="false">IF(AND(M2305&lt;&gt;"",OR(M2305&lt;5,M2305&gt;180)),1,0)</f>
        <v>0</v>
      </c>
      <c r="AB2305" s="7" t="str">
        <f aca="false">IF(P2305="DUP","Exact duplicate row",IF(T2305=1,"Missing Order ID",IF(S2305="DROP","Duplicate Order ID (less complete row)",IF(U2305=1,"Missing Customer ID",IF(V2305=1,"Missing Restaurant name",IF(W2305=1,"Invalid/outlier quantity",IF(X2305=1,"Invalid/outlier unit price",IF(Y2305=1,"Discount greater than order value",""))))))))</f>
        <v/>
      </c>
      <c r="AC2305" s="7" t="str">
        <f aca="false">IF(AB2305="","KEEP","DROP")</f>
        <v>KEEP</v>
      </c>
      <c r="AD2305" s="7" t="str">
        <f aca="false">IF(TRIM(F2305)="",IFERROR(INDEX(Map_Tables!$I$4:$I$37,MATCH(TRIM(E2305),Map_Tables!$G$4:$G$37,0)),""),IFERROR(INDEX(Map_Tables!$B$4:$B$18,MATCH(TRIM(F2305),Map_Tables!$A$4:$A$18,0)),"CHECK"))</f>
        <v>Bengaluru</v>
      </c>
      <c r="AE2305" s="7" t="str">
        <f aca="false">IF(TRIM(E2305)="","",IFERROR(INDEX(Map_Tables!$H$4:$H$37,MATCH(TRIM(E2305),Map_Tables!$G$4:$G$37,0)),"CHECK"))</f>
        <v>Dosa Darbar</v>
      </c>
      <c r="AF2305" s="7" t="str">
        <f aca="false">IF(TRIM(K2305)="","Unknown",IFERROR(INDEX(Map_Tables!$E$4:$E$15,MATCH(TRIM(K2305),Map_Tables!$D$4:$D$15,0)),"CHECK"))</f>
        <v>UPI</v>
      </c>
      <c r="AG2305" s="7" t="str">
        <f aca="false">IF(LEFT(LOWER(TRIM(L2305)),6)="cancel","Cancelled","Delivered")</f>
        <v>Delivered</v>
      </c>
      <c r="AH2305" s="10" t="n">
        <f aca="false">IF(ISNUMBER(SEARCH("/",B2305)),DATE(VALUE(RIGHT(B2305,4)),VALUE(MID(B2305,4,2)),VALUE(LEFT(B2305,2))),IF(MID(B2305,5,1)="-",DATE(VALUE(LEFT(B2305,4)),VALUE(MID(B2305,6,2)),VALUE(RIGHT(B2305,2))),DATE(VALUE(RIGHT(B2305,4)),MATCH(MID(B2305,4,3),{"Jan","Feb","Mar","Apr","May","Jun","Jul","Aug","Sep","Oct","Nov","Dec"},0),VALUE(LEFT(B2305,2)))))</f>
        <v>46012</v>
      </c>
    </row>
    <row r="2306" customFormat="false" ht="15" hidden="false" customHeight="false" outlineLevel="0" collapsed="false">
      <c r="A2306" s="7" t="s">
        <v>5201</v>
      </c>
      <c r="B2306" s="7" t="s">
        <v>2564</v>
      </c>
      <c r="C2306" s="7" t="s">
        <v>1664</v>
      </c>
      <c r="D2306" s="7" t="s">
        <v>1665</v>
      </c>
      <c r="E2306" s="7" t="s">
        <v>98</v>
      </c>
      <c r="F2306" s="7" t="s">
        <v>449</v>
      </c>
      <c r="G2306" s="7" t="s">
        <v>99</v>
      </c>
      <c r="H2306" s="7" t="n">
        <v>2</v>
      </c>
      <c r="I2306" s="7" t="n">
        <v>245</v>
      </c>
      <c r="J2306" s="7" t="n">
        <v>30</v>
      </c>
      <c r="K2306" s="7" t="s">
        <v>88</v>
      </c>
      <c r="L2306" s="7" t="s">
        <v>194</v>
      </c>
      <c r="M2306" s="7" t="n">
        <v>52</v>
      </c>
      <c r="N2306" s="7" t="n">
        <v>2</v>
      </c>
      <c r="O2306" s="7" t="str">
        <f aca="false">A2306&amp;"|"&amp;B2306&amp;"|"&amp;C2306&amp;"|"&amp;D2306&amp;"|"&amp;E2306&amp;"|"&amp;F2306&amp;"|"&amp;G2306&amp;"|"&amp;H2306&amp;"|"&amp;I2306&amp;"|"&amp;J2306&amp;"|"&amp;K2306&amp;"|"&amp;L2306&amp;"|"&amp;M2306&amp;"|"&amp;N2306</f>
        <v>ORD10199|2025-01-27|18:35|C0151|Nawabi Biryani House|BLR|Biryani|2|245|30|UPI|Delivered|52|2</v>
      </c>
      <c r="P2306" s="7" t="str">
        <f aca="false">IF(COUNTIF($O$2:O2306,O2306)&gt;1,"DUP","OK")</f>
        <v>OK</v>
      </c>
      <c r="Q2306" s="7" t="n">
        <f aca="false">COUNTBLANK(A2306:N2306)</f>
        <v>0</v>
      </c>
      <c r="R2306" s="7" t="n">
        <f aca="false">IF(A2306="",0,COUNTIFS($A$2:$A$3058,A2306,$P$2:$P$3058,"OK"))</f>
        <v>1</v>
      </c>
      <c r="S2306" s="7" t="str">
        <f aca="false">IF(OR(A2306="",P2306="DUP",R2306&lt;2),"",IF(Q2306=_xlfn.MINIFS($Q$2:$Q$3058,$A$2:$A$3058,A2306,$P$2:$P$3058,"OK"),"KEEP","DROP"))</f>
        <v/>
      </c>
      <c r="T2306" s="9" t="n">
        <f aca="false">IF(A2306="",1,0)</f>
        <v>0</v>
      </c>
      <c r="U2306" s="9" t="n">
        <f aca="false">IF(D2306="",1,0)</f>
        <v>0</v>
      </c>
      <c r="V2306" s="9" t="n">
        <f aca="false">IF(E2306="",1,0)</f>
        <v>0</v>
      </c>
      <c r="W2306" s="9" t="n">
        <f aca="false">IF(OR(H2306&lt;1,H2306&gt;10),1,0)</f>
        <v>0</v>
      </c>
      <c r="X2306" s="9" t="n">
        <f aca="false">IF(OR(I2306&lt;=0,I2306&gt;1500),1,0)</f>
        <v>0</v>
      </c>
      <c r="Y2306" s="9" t="n">
        <f aca="false">IF(J2306&gt;H2306*I2306,1,0)</f>
        <v>0</v>
      </c>
      <c r="Z2306" s="9" t="n">
        <f aca="false">IF(AND(N2306&lt;&gt;"",OR(N2306&lt;1,N2306&gt;5)),1,0)</f>
        <v>0</v>
      </c>
      <c r="AA2306" s="9" t="n">
        <f aca="false">IF(AND(M2306&lt;&gt;"",OR(M2306&lt;5,M2306&gt;180)),1,0)</f>
        <v>0</v>
      </c>
      <c r="AB2306" s="7" t="str">
        <f aca="false">IF(P2306="DUP","Exact duplicate row",IF(T2306=1,"Missing Order ID",IF(S2306="DROP","Duplicate Order ID (less complete row)",IF(U2306=1,"Missing Customer ID",IF(V2306=1,"Missing Restaurant name",IF(W2306=1,"Invalid/outlier quantity",IF(X2306=1,"Invalid/outlier unit price",IF(Y2306=1,"Discount greater than order value",""))))))))</f>
        <v/>
      </c>
      <c r="AC2306" s="7" t="str">
        <f aca="false">IF(AB2306="","KEEP","DROP")</f>
        <v>KEEP</v>
      </c>
      <c r="AD2306" s="7" t="str">
        <f aca="false">IF(TRIM(F2306)="",IFERROR(INDEX(Map_Tables!$I$4:$I$37,MATCH(TRIM(E2306),Map_Tables!$G$4:$G$37,0)),""),IFERROR(INDEX(Map_Tables!$B$4:$B$18,MATCH(TRIM(F2306),Map_Tables!$A$4:$A$18,0)),"CHECK"))</f>
        <v>Bengaluru</v>
      </c>
      <c r="AE2306" s="7" t="str">
        <f aca="false">IF(TRIM(E2306)="","",IFERROR(INDEX(Map_Tables!$H$4:$H$37,MATCH(TRIM(E2306),Map_Tables!$G$4:$G$37,0)),"CHECK"))</f>
        <v>Nawabi Biryani House</v>
      </c>
      <c r="AF2306" s="7" t="str">
        <f aca="false">IF(TRIM(K2306)="","Unknown",IFERROR(INDEX(Map_Tables!$E$4:$E$15,MATCH(TRIM(K2306),Map_Tables!$D$4:$D$15,0)),"CHECK"))</f>
        <v>UPI</v>
      </c>
      <c r="AG2306" s="7" t="str">
        <f aca="false">IF(LEFT(LOWER(TRIM(L2306)),6)="cancel","Cancelled","Delivered")</f>
        <v>Delivered</v>
      </c>
      <c r="AH2306" s="10" t="n">
        <f aca="false">IF(ISNUMBER(SEARCH("/",B2306)),DATE(VALUE(RIGHT(B2306,4)),VALUE(MID(B2306,4,2)),VALUE(LEFT(B2306,2))),IF(MID(B2306,5,1)="-",DATE(VALUE(LEFT(B2306,4)),VALUE(MID(B2306,6,2)),VALUE(RIGHT(B2306,2))),DATE(VALUE(RIGHT(B2306,4)),MATCH(MID(B2306,4,3),{"Jan","Feb","Mar","Apr","May","Jun","Jul","Aug","Sep","Oct","Nov","Dec"},0),VALUE(LEFT(B2306,2)))))</f>
        <v>45684</v>
      </c>
    </row>
    <row r="2307" customFormat="false" ht="15" hidden="false" customHeight="false" outlineLevel="0" collapsed="false">
      <c r="A2307" s="7" t="s">
        <v>5202</v>
      </c>
      <c r="B2307" s="7" t="s">
        <v>2150</v>
      </c>
      <c r="C2307" s="7" t="s">
        <v>1400</v>
      </c>
      <c r="D2307" s="7" t="s">
        <v>1146</v>
      </c>
      <c r="E2307" s="7" t="s">
        <v>89</v>
      </c>
      <c r="F2307" s="7" t="s">
        <v>86</v>
      </c>
      <c r="G2307" s="7" t="s">
        <v>90</v>
      </c>
      <c r="H2307" s="7" t="n">
        <v>5</v>
      </c>
      <c r="I2307" s="7" t="n">
        <v>205</v>
      </c>
      <c r="J2307" s="7" t="n">
        <v>0</v>
      </c>
      <c r="K2307" s="7" t="s">
        <v>88</v>
      </c>
      <c r="L2307" s="7" t="s">
        <v>194</v>
      </c>
      <c r="M2307" s="7" t="n">
        <v>45</v>
      </c>
      <c r="N2307" s="7" t="n">
        <v>5</v>
      </c>
      <c r="O2307" s="7" t="str">
        <f aca="false">A2307&amp;"|"&amp;B2307&amp;"|"&amp;C2307&amp;"|"&amp;D2307&amp;"|"&amp;E2307&amp;"|"&amp;F2307&amp;"|"&amp;G2307&amp;"|"&amp;H2307&amp;"|"&amp;I2307&amp;"|"&amp;J2307&amp;"|"&amp;K2307&amp;"|"&amp;L2307&amp;"|"&amp;M2307&amp;"|"&amp;N2307</f>
        <v>ORD11769|2025-08-19|20:32|C1110|Spice Junction|Bengaluru|North Indian|5|205|0|UPI|Delivered|45|5</v>
      </c>
      <c r="P2307" s="7" t="str">
        <f aca="false">IF(COUNTIF($O$2:O2307,O2307)&gt;1,"DUP","OK")</f>
        <v>OK</v>
      </c>
      <c r="Q2307" s="7" t="n">
        <f aca="false">COUNTBLANK(A2307:N2307)</f>
        <v>0</v>
      </c>
      <c r="R2307" s="7" t="n">
        <f aca="false">IF(A2307="",0,COUNTIFS($A$2:$A$3058,A2307,$P$2:$P$3058,"OK"))</f>
        <v>1</v>
      </c>
      <c r="S2307" s="7" t="str">
        <f aca="false">IF(OR(A2307="",P2307="DUP",R2307&lt;2),"",IF(Q2307=_xlfn.MINIFS($Q$2:$Q$3058,$A$2:$A$3058,A2307,$P$2:$P$3058,"OK"),"KEEP","DROP"))</f>
        <v/>
      </c>
      <c r="T2307" s="9" t="n">
        <f aca="false">IF(A2307="",1,0)</f>
        <v>0</v>
      </c>
      <c r="U2307" s="9" t="n">
        <f aca="false">IF(D2307="",1,0)</f>
        <v>0</v>
      </c>
      <c r="V2307" s="9" t="n">
        <f aca="false">IF(E2307="",1,0)</f>
        <v>0</v>
      </c>
      <c r="W2307" s="9" t="n">
        <f aca="false">IF(OR(H2307&lt;1,H2307&gt;10),1,0)</f>
        <v>0</v>
      </c>
      <c r="X2307" s="9" t="n">
        <f aca="false">IF(OR(I2307&lt;=0,I2307&gt;1500),1,0)</f>
        <v>0</v>
      </c>
      <c r="Y2307" s="9" t="n">
        <f aca="false">IF(J2307&gt;H2307*I2307,1,0)</f>
        <v>0</v>
      </c>
      <c r="Z2307" s="9" t="n">
        <f aca="false">IF(AND(N2307&lt;&gt;"",OR(N2307&lt;1,N2307&gt;5)),1,0)</f>
        <v>0</v>
      </c>
      <c r="AA2307" s="9" t="n">
        <f aca="false">IF(AND(M2307&lt;&gt;"",OR(M2307&lt;5,M2307&gt;180)),1,0)</f>
        <v>0</v>
      </c>
      <c r="AB2307" s="7" t="str">
        <f aca="false">IF(P2307="DUP","Exact duplicate row",IF(T2307=1,"Missing Order ID",IF(S2307="DROP","Duplicate Order ID (less complete row)",IF(U2307=1,"Missing Customer ID",IF(V2307=1,"Missing Restaurant name",IF(W2307=1,"Invalid/outlier quantity",IF(X2307=1,"Invalid/outlier unit price",IF(Y2307=1,"Discount greater than order value",""))))))))</f>
        <v/>
      </c>
      <c r="AC2307" s="7" t="str">
        <f aca="false">IF(AB2307="","KEEP","DROP")</f>
        <v>KEEP</v>
      </c>
      <c r="AD2307" s="7" t="str">
        <f aca="false">IF(TRIM(F2307)="",IFERROR(INDEX(Map_Tables!$I$4:$I$37,MATCH(TRIM(E2307),Map_Tables!$G$4:$G$37,0)),""),IFERROR(INDEX(Map_Tables!$B$4:$B$18,MATCH(TRIM(F2307),Map_Tables!$A$4:$A$18,0)),"CHECK"))</f>
        <v>Bengaluru</v>
      </c>
      <c r="AE2307" s="7" t="str">
        <f aca="false">IF(TRIM(E2307)="","",IFERROR(INDEX(Map_Tables!$H$4:$H$37,MATCH(TRIM(E2307),Map_Tables!$G$4:$G$37,0)),"CHECK"))</f>
        <v>Spice Junction</v>
      </c>
      <c r="AF2307" s="7" t="str">
        <f aca="false">IF(TRIM(K2307)="","Unknown",IFERROR(INDEX(Map_Tables!$E$4:$E$15,MATCH(TRIM(K2307),Map_Tables!$D$4:$D$15,0)),"CHECK"))</f>
        <v>UPI</v>
      </c>
      <c r="AG2307" s="7" t="str">
        <f aca="false">IF(LEFT(LOWER(TRIM(L2307)),6)="cancel","Cancelled","Delivered")</f>
        <v>Delivered</v>
      </c>
      <c r="AH2307" s="10" t="n">
        <f aca="false">IF(ISNUMBER(SEARCH("/",B2307)),DATE(VALUE(RIGHT(B2307,4)),VALUE(MID(B2307,4,2)),VALUE(LEFT(B2307,2))),IF(MID(B2307,5,1)="-",DATE(VALUE(LEFT(B2307,4)),VALUE(MID(B2307,6,2)),VALUE(RIGHT(B2307,2))),DATE(VALUE(RIGHT(B2307,4)),MATCH(MID(B2307,4,3),{"Jan","Feb","Mar","Apr","May","Jun","Jul","Aug","Sep","Oct","Nov","Dec"},0),VALUE(LEFT(B2307,2)))))</f>
        <v>45888</v>
      </c>
    </row>
    <row r="2308" customFormat="false" ht="15" hidden="false" customHeight="false" outlineLevel="0" collapsed="false">
      <c r="A2308" s="7" t="s">
        <v>5203</v>
      </c>
      <c r="B2308" s="7" t="s">
        <v>2846</v>
      </c>
      <c r="C2308" s="7" t="s">
        <v>649</v>
      </c>
      <c r="D2308" s="7" t="s">
        <v>4586</v>
      </c>
      <c r="E2308" s="7" t="s">
        <v>151</v>
      </c>
      <c r="F2308" s="7" t="s">
        <v>128</v>
      </c>
      <c r="G2308" s="7" t="s">
        <v>95</v>
      </c>
      <c r="H2308" s="7" t="n">
        <v>3</v>
      </c>
      <c r="I2308" s="7" t="n">
        <v>165</v>
      </c>
      <c r="J2308" s="7" t="n">
        <v>75</v>
      </c>
      <c r="K2308" s="7" t="s">
        <v>88</v>
      </c>
      <c r="L2308" s="7" t="s">
        <v>194</v>
      </c>
      <c r="M2308" s="7" t="n">
        <v>47</v>
      </c>
      <c r="N2308" s="7" t="n">
        <v>3</v>
      </c>
      <c r="O2308" s="7" t="str">
        <f aca="false">A2308&amp;"|"&amp;B2308&amp;"|"&amp;C2308&amp;"|"&amp;D2308&amp;"|"&amp;E2308&amp;"|"&amp;F2308&amp;"|"&amp;G2308&amp;"|"&amp;H2308&amp;"|"&amp;I2308&amp;"|"&amp;J2308&amp;"|"&amp;K2308&amp;"|"&amp;L2308&amp;"|"&amp;M2308&amp;"|"&amp;N2308</f>
        <v>ORD12241|2025-10-11|21:56|C1329|Chettinad House|Chennai|South Indian|3|165|75|UPI|Delivered|47|3</v>
      </c>
      <c r="P2308" s="7" t="str">
        <f aca="false">IF(COUNTIF($O$2:O2308,O2308)&gt;1,"DUP","OK")</f>
        <v>OK</v>
      </c>
      <c r="Q2308" s="7" t="n">
        <f aca="false">COUNTBLANK(A2308:N2308)</f>
        <v>0</v>
      </c>
      <c r="R2308" s="7" t="n">
        <f aca="false">IF(A2308="",0,COUNTIFS($A$2:$A$3058,A2308,$P$2:$P$3058,"OK"))</f>
        <v>1</v>
      </c>
      <c r="S2308" s="7" t="str">
        <f aca="false">IF(OR(A2308="",P2308="DUP",R2308&lt;2),"",IF(Q2308=_xlfn.MINIFS($Q$2:$Q$3058,$A$2:$A$3058,A2308,$P$2:$P$3058,"OK"),"KEEP","DROP"))</f>
        <v/>
      </c>
      <c r="T2308" s="9" t="n">
        <f aca="false">IF(A2308="",1,0)</f>
        <v>0</v>
      </c>
      <c r="U2308" s="9" t="n">
        <f aca="false">IF(D2308="",1,0)</f>
        <v>0</v>
      </c>
      <c r="V2308" s="9" t="n">
        <f aca="false">IF(E2308="",1,0)</f>
        <v>0</v>
      </c>
      <c r="W2308" s="9" t="n">
        <f aca="false">IF(OR(H2308&lt;1,H2308&gt;10),1,0)</f>
        <v>0</v>
      </c>
      <c r="X2308" s="9" t="n">
        <f aca="false">IF(OR(I2308&lt;=0,I2308&gt;1500),1,0)</f>
        <v>0</v>
      </c>
      <c r="Y2308" s="9" t="n">
        <f aca="false">IF(J2308&gt;H2308*I2308,1,0)</f>
        <v>0</v>
      </c>
      <c r="Z2308" s="9" t="n">
        <f aca="false">IF(AND(N2308&lt;&gt;"",OR(N2308&lt;1,N2308&gt;5)),1,0)</f>
        <v>0</v>
      </c>
      <c r="AA2308" s="9" t="n">
        <f aca="false">IF(AND(M2308&lt;&gt;"",OR(M2308&lt;5,M2308&gt;180)),1,0)</f>
        <v>0</v>
      </c>
      <c r="AB2308" s="7" t="str">
        <f aca="false">IF(P2308="DUP","Exact duplicate row",IF(T2308=1,"Missing Order ID",IF(S2308="DROP","Duplicate Order ID (less complete row)",IF(U2308=1,"Missing Customer ID",IF(V2308=1,"Missing Restaurant name",IF(W2308=1,"Invalid/outlier quantity",IF(X2308=1,"Invalid/outlier unit price",IF(Y2308=1,"Discount greater than order value",""))))))))</f>
        <v/>
      </c>
      <c r="AC2308" s="7" t="str">
        <f aca="false">IF(AB2308="","KEEP","DROP")</f>
        <v>KEEP</v>
      </c>
      <c r="AD2308" s="7" t="str">
        <f aca="false">IF(TRIM(F2308)="",IFERROR(INDEX(Map_Tables!$I$4:$I$37,MATCH(TRIM(E2308),Map_Tables!$G$4:$G$37,0)),""),IFERROR(INDEX(Map_Tables!$B$4:$B$18,MATCH(TRIM(F2308),Map_Tables!$A$4:$A$18,0)),"CHECK"))</f>
        <v>Chennai</v>
      </c>
      <c r="AE2308" s="7" t="str">
        <f aca="false">IF(TRIM(E2308)="","",IFERROR(INDEX(Map_Tables!$H$4:$H$37,MATCH(TRIM(E2308),Map_Tables!$G$4:$G$37,0)),"CHECK"))</f>
        <v>Chettinad House</v>
      </c>
      <c r="AF2308" s="7" t="str">
        <f aca="false">IF(TRIM(K2308)="","Unknown",IFERROR(INDEX(Map_Tables!$E$4:$E$15,MATCH(TRIM(K2308),Map_Tables!$D$4:$D$15,0)),"CHECK"))</f>
        <v>UPI</v>
      </c>
      <c r="AG2308" s="7" t="str">
        <f aca="false">IF(LEFT(LOWER(TRIM(L2308)),6)="cancel","Cancelled","Delivered")</f>
        <v>Delivered</v>
      </c>
      <c r="AH2308" s="10" t="n">
        <f aca="false">IF(ISNUMBER(SEARCH("/",B2308)),DATE(VALUE(RIGHT(B2308,4)),VALUE(MID(B2308,4,2)),VALUE(LEFT(B2308,2))),IF(MID(B2308,5,1)="-",DATE(VALUE(LEFT(B2308,4)),VALUE(MID(B2308,6,2)),VALUE(RIGHT(B2308,2))),DATE(VALUE(RIGHT(B2308,4)),MATCH(MID(B2308,4,3),{"Jan","Feb","Mar","Apr","May","Jun","Jul","Aug","Sep","Oct","Nov","Dec"},0),VALUE(LEFT(B2308,2)))))</f>
        <v>45941</v>
      </c>
    </row>
    <row r="2309" customFormat="false" ht="15" hidden="false" customHeight="false" outlineLevel="0" collapsed="false">
      <c r="A2309" s="7" t="s">
        <v>5204</v>
      </c>
      <c r="B2309" s="7" t="s">
        <v>4352</v>
      </c>
      <c r="C2309" s="7" t="s">
        <v>573</v>
      </c>
      <c r="D2309" s="7" t="s">
        <v>5205</v>
      </c>
      <c r="E2309" s="7" t="s">
        <v>147</v>
      </c>
      <c r="F2309" s="7" t="s">
        <v>119</v>
      </c>
      <c r="G2309" s="7" t="s">
        <v>95</v>
      </c>
      <c r="H2309" s="7" t="n">
        <v>4</v>
      </c>
      <c r="I2309" s="7" t="n">
        <v>175</v>
      </c>
      <c r="J2309" s="7" t="n">
        <v>125</v>
      </c>
      <c r="K2309" s="7" t="s">
        <v>88</v>
      </c>
      <c r="L2309" s="7" t="s">
        <v>194</v>
      </c>
      <c r="M2309" s="7" t="n">
        <v>34</v>
      </c>
      <c r="N2309" s="7" t="n">
        <v>5</v>
      </c>
      <c r="O2309" s="7" t="str">
        <f aca="false">A2309&amp;"|"&amp;B2309&amp;"|"&amp;C2309&amp;"|"&amp;D2309&amp;"|"&amp;E2309&amp;"|"&amp;F2309&amp;"|"&amp;G2309&amp;"|"&amp;H2309&amp;"|"&amp;I2309&amp;"|"&amp;J2309&amp;"|"&amp;K2309&amp;"|"&amp;L2309&amp;"|"&amp;M2309&amp;"|"&amp;N2309</f>
        <v>ORD10405|2025-02-23|21:43|C0026|Andhra Meals Mess|Hyderabad|South Indian|4|175|125|UPI|Delivered|34|5</v>
      </c>
      <c r="P2309" s="7" t="str">
        <f aca="false">IF(COUNTIF($O$2:O2309,O2309)&gt;1,"DUP","OK")</f>
        <v>OK</v>
      </c>
      <c r="Q2309" s="7" t="n">
        <f aca="false">COUNTBLANK(A2309:N2309)</f>
        <v>0</v>
      </c>
      <c r="R2309" s="7" t="n">
        <f aca="false">IF(A2309="",0,COUNTIFS($A$2:$A$3058,A2309,$P$2:$P$3058,"OK"))</f>
        <v>1</v>
      </c>
      <c r="S2309" s="7" t="str">
        <f aca="false">IF(OR(A2309="",P2309="DUP",R2309&lt;2),"",IF(Q2309=_xlfn.MINIFS($Q$2:$Q$3058,$A$2:$A$3058,A2309,$P$2:$P$3058,"OK"),"KEEP","DROP"))</f>
        <v/>
      </c>
      <c r="T2309" s="9" t="n">
        <f aca="false">IF(A2309="",1,0)</f>
        <v>0</v>
      </c>
      <c r="U2309" s="9" t="n">
        <f aca="false">IF(D2309="",1,0)</f>
        <v>0</v>
      </c>
      <c r="V2309" s="9" t="n">
        <f aca="false">IF(E2309="",1,0)</f>
        <v>0</v>
      </c>
      <c r="W2309" s="9" t="n">
        <f aca="false">IF(OR(H2309&lt;1,H2309&gt;10),1,0)</f>
        <v>0</v>
      </c>
      <c r="X2309" s="9" t="n">
        <f aca="false">IF(OR(I2309&lt;=0,I2309&gt;1500),1,0)</f>
        <v>0</v>
      </c>
      <c r="Y2309" s="9" t="n">
        <f aca="false">IF(J2309&gt;H2309*I2309,1,0)</f>
        <v>0</v>
      </c>
      <c r="Z2309" s="9" t="n">
        <f aca="false">IF(AND(N2309&lt;&gt;"",OR(N2309&lt;1,N2309&gt;5)),1,0)</f>
        <v>0</v>
      </c>
      <c r="AA2309" s="9" t="n">
        <f aca="false">IF(AND(M2309&lt;&gt;"",OR(M2309&lt;5,M2309&gt;180)),1,0)</f>
        <v>0</v>
      </c>
      <c r="AB2309" s="7" t="str">
        <f aca="false">IF(P2309="DUP","Exact duplicate row",IF(T2309=1,"Missing Order ID",IF(S2309="DROP","Duplicate Order ID (less complete row)",IF(U2309=1,"Missing Customer ID",IF(V2309=1,"Missing Restaurant name",IF(W2309=1,"Invalid/outlier quantity",IF(X2309=1,"Invalid/outlier unit price",IF(Y2309=1,"Discount greater than order value",""))))))))</f>
        <v/>
      </c>
      <c r="AC2309" s="7" t="str">
        <f aca="false">IF(AB2309="","KEEP","DROP")</f>
        <v>KEEP</v>
      </c>
      <c r="AD2309" s="7" t="str">
        <f aca="false">IF(TRIM(F2309)="",IFERROR(INDEX(Map_Tables!$I$4:$I$37,MATCH(TRIM(E2309),Map_Tables!$G$4:$G$37,0)),""),IFERROR(INDEX(Map_Tables!$B$4:$B$18,MATCH(TRIM(F2309),Map_Tables!$A$4:$A$18,0)),"CHECK"))</f>
        <v>Hyderabad</v>
      </c>
      <c r="AE2309" s="7" t="str">
        <f aca="false">IF(TRIM(E2309)="","",IFERROR(INDEX(Map_Tables!$H$4:$H$37,MATCH(TRIM(E2309),Map_Tables!$G$4:$G$37,0)),"CHECK"))</f>
        <v>Andhra Meals Mess</v>
      </c>
      <c r="AF2309" s="7" t="str">
        <f aca="false">IF(TRIM(K2309)="","Unknown",IFERROR(INDEX(Map_Tables!$E$4:$E$15,MATCH(TRIM(K2309),Map_Tables!$D$4:$D$15,0)),"CHECK"))</f>
        <v>UPI</v>
      </c>
      <c r="AG2309" s="7" t="str">
        <f aca="false">IF(LEFT(LOWER(TRIM(L2309)),6)="cancel","Cancelled","Delivered")</f>
        <v>Delivered</v>
      </c>
      <c r="AH2309" s="10" t="n">
        <f aca="false">IF(ISNUMBER(SEARCH("/",B2309)),DATE(VALUE(RIGHT(B2309,4)),VALUE(MID(B2309,4,2)),VALUE(LEFT(B2309,2))),IF(MID(B2309,5,1)="-",DATE(VALUE(LEFT(B2309,4)),VALUE(MID(B2309,6,2)),VALUE(RIGHT(B2309,2))),DATE(VALUE(RIGHT(B2309,4)),MATCH(MID(B2309,4,3),{"Jan","Feb","Mar","Apr","May","Jun","Jul","Aug","Sep","Oct","Nov","Dec"},0),VALUE(LEFT(B2309,2)))))</f>
        <v>45711</v>
      </c>
    </row>
    <row r="2310" customFormat="false" ht="15" hidden="false" customHeight="false" outlineLevel="0" collapsed="false">
      <c r="A2310" s="7" t="s">
        <v>5206</v>
      </c>
      <c r="B2310" s="7" t="s">
        <v>2617</v>
      </c>
      <c r="C2310" s="7" t="s">
        <v>1400</v>
      </c>
      <c r="D2310" s="7" t="s">
        <v>1827</v>
      </c>
      <c r="E2310" s="7" t="s">
        <v>168</v>
      </c>
      <c r="F2310" s="7" t="s">
        <v>146</v>
      </c>
      <c r="G2310" s="7" t="s">
        <v>123</v>
      </c>
      <c r="H2310" s="7" t="n">
        <v>2</v>
      </c>
      <c r="I2310" s="7" t="n">
        <v>330</v>
      </c>
      <c r="J2310" s="7" t="n">
        <v>150</v>
      </c>
      <c r="K2310" s="7" t="s">
        <v>88</v>
      </c>
      <c r="L2310" s="7" t="s">
        <v>194</v>
      </c>
      <c r="M2310" s="7" t="n">
        <v>45</v>
      </c>
      <c r="N2310" s="7" t="n">
        <v>5</v>
      </c>
      <c r="O2310" s="7" t="str">
        <f aca="false">A2310&amp;"|"&amp;B2310&amp;"|"&amp;C2310&amp;"|"&amp;D2310&amp;"|"&amp;E2310&amp;"|"&amp;F2310&amp;"|"&amp;G2310&amp;"|"&amp;H2310&amp;"|"&amp;I2310&amp;"|"&amp;J2310&amp;"|"&amp;K2310&amp;"|"&amp;L2310&amp;"|"&amp;M2310&amp;"|"&amp;N2310</f>
        <v>ORD12691|2025-11-27|20:32|C1101|Cheesy Slice|Ahmedabad|Pizza|2|330|150|UPI|Delivered|45|5</v>
      </c>
      <c r="P2310" s="7" t="str">
        <f aca="false">IF(COUNTIF($O$2:O2310,O2310)&gt;1,"DUP","OK")</f>
        <v>OK</v>
      </c>
      <c r="Q2310" s="7" t="n">
        <f aca="false">COUNTBLANK(A2310:N2310)</f>
        <v>0</v>
      </c>
      <c r="R2310" s="7" t="n">
        <f aca="false">IF(A2310="",0,COUNTIFS($A$2:$A$3058,A2310,$P$2:$P$3058,"OK"))</f>
        <v>1</v>
      </c>
      <c r="S2310" s="7" t="str">
        <f aca="false">IF(OR(A2310="",P2310="DUP",R2310&lt;2),"",IF(Q2310=_xlfn.MINIFS($Q$2:$Q$3058,$A$2:$A$3058,A2310,$P$2:$P$3058,"OK"),"KEEP","DROP"))</f>
        <v/>
      </c>
      <c r="T2310" s="9" t="n">
        <f aca="false">IF(A2310="",1,0)</f>
        <v>0</v>
      </c>
      <c r="U2310" s="9" t="n">
        <f aca="false">IF(D2310="",1,0)</f>
        <v>0</v>
      </c>
      <c r="V2310" s="9" t="n">
        <f aca="false">IF(E2310="",1,0)</f>
        <v>0</v>
      </c>
      <c r="W2310" s="9" t="n">
        <f aca="false">IF(OR(H2310&lt;1,H2310&gt;10),1,0)</f>
        <v>0</v>
      </c>
      <c r="X2310" s="9" t="n">
        <f aca="false">IF(OR(I2310&lt;=0,I2310&gt;1500),1,0)</f>
        <v>0</v>
      </c>
      <c r="Y2310" s="9" t="n">
        <f aca="false">IF(J2310&gt;H2310*I2310,1,0)</f>
        <v>0</v>
      </c>
      <c r="Z2310" s="9" t="n">
        <f aca="false">IF(AND(N2310&lt;&gt;"",OR(N2310&lt;1,N2310&gt;5)),1,0)</f>
        <v>0</v>
      </c>
      <c r="AA2310" s="9" t="n">
        <f aca="false">IF(AND(M2310&lt;&gt;"",OR(M2310&lt;5,M2310&gt;180)),1,0)</f>
        <v>0</v>
      </c>
      <c r="AB2310" s="7" t="str">
        <f aca="false">IF(P2310="DUP","Exact duplicate row",IF(T2310=1,"Missing Order ID",IF(S2310="DROP","Duplicate Order ID (less complete row)",IF(U2310=1,"Missing Customer ID",IF(V2310=1,"Missing Restaurant name",IF(W2310=1,"Invalid/outlier quantity",IF(X2310=1,"Invalid/outlier unit price",IF(Y2310=1,"Discount greater than order value",""))))))))</f>
        <v/>
      </c>
      <c r="AC2310" s="7" t="str">
        <f aca="false">IF(AB2310="","KEEP","DROP")</f>
        <v>KEEP</v>
      </c>
      <c r="AD2310" s="7" t="str">
        <f aca="false">IF(TRIM(F2310)="",IFERROR(INDEX(Map_Tables!$I$4:$I$37,MATCH(TRIM(E2310),Map_Tables!$G$4:$G$37,0)),""),IFERROR(INDEX(Map_Tables!$B$4:$B$18,MATCH(TRIM(F2310),Map_Tables!$A$4:$A$18,0)),"CHECK"))</f>
        <v>Ahmedabad</v>
      </c>
      <c r="AE2310" s="7" t="str">
        <f aca="false">IF(TRIM(E2310)="","",IFERROR(INDEX(Map_Tables!$H$4:$H$37,MATCH(TRIM(E2310),Map_Tables!$G$4:$G$37,0)),"CHECK"))</f>
        <v>Cheesy Slice</v>
      </c>
      <c r="AF2310" s="7" t="str">
        <f aca="false">IF(TRIM(K2310)="","Unknown",IFERROR(INDEX(Map_Tables!$E$4:$E$15,MATCH(TRIM(K2310),Map_Tables!$D$4:$D$15,0)),"CHECK"))</f>
        <v>UPI</v>
      </c>
      <c r="AG2310" s="7" t="str">
        <f aca="false">IF(LEFT(LOWER(TRIM(L2310)),6)="cancel","Cancelled","Delivered")</f>
        <v>Delivered</v>
      </c>
      <c r="AH2310" s="10" t="n">
        <f aca="false">IF(ISNUMBER(SEARCH("/",B2310)),DATE(VALUE(RIGHT(B2310,4)),VALUE(MID(B2310,4,2)),VALUE(LEFT(B2310,2))),IF(MID(B2310,5,1)="-",DATE(VALUE(LEFT(B2310,4)),VALUE(MID(B2310,6,2)),VALUE(RIGHT(B2310,2))),DATE(VALUE(RIGHT(B2310,4)),MATCH(MID(B2310,4,3),{"Jan","Feb","Mar","Apr","May","Jun","Jul","Aug","Sep","Oct","Nov","Dec"},0),VALUE(LEFT(B2310,2)))))</f>
        <v>45988</v>
      </c>
    </row>
    <row r="2311" customFormat="false" ht="15" hidden="false" customHeight="false" outlineLevel="0" collapsed="false">
      <c r="A2311" s="7" t="s">
        <v>5207</v>
      </c>
      <c r="B2311" s="7" t="s">
        <v>3647</v>
      </c>
      <c r="C2311" s="7" t="s">
        <v>2317</v>
      </c>
      <c r="D2311" s="7" t="s">
        <v>5131</v>
      </c>
      <c r="E2311" s="7" t="s">
        <v>89</v>
      </c>
      <c r="F2311" s="7" t="s">
        <v>86</v>
      </c>
      <c r="G2311" s="7" t="s">
        <v>90</v>
      </c>
      <c r="H2311" s="7" t="n">
        <v>2</v>
      </c>
      <c r="I2311" s="7" t="n">
        <v>205</v>
      </c>
      <c r="J2311" s="7" t="n">
        <v>0</v>
      </c>
      <c r="K2311" s="7" t="s">
        <v>88</v>
      </c>
      <c r="L2311" s="7" t="s">
        <v>194</v>
      </c>
      <c r="M2311" s="7" t="n">
        <v>43</v>
      </c>
      <c r="N2311" s="7" t="n">
        <v>4</v>
      </c>
      <c r="O2311" s="7" t="str">
        <f aca="false">A2311&amp;"|"&amp;B2311&amp;"|"&amp;C2311&amp;"|"&amp;D2311&amp;"|"&amp;E2311&amp;"|"&amp;F2311&amp;"|"&amp;G2311&amp;"|"&amp;H2311&amp;"|"&amp;I2311&amp;"|"&amp;J2311&amp;"|"&amp;K2311&amp;"|"&amp;L2311&amp;"|"&amp;M2311&amp;"|"&amp;N2311</f>
        <v>ORD12613|19/11/2025|13:06|C0910|Spice Junction|Bengaluru|North Indian|2|205|0|UPI|Delivered|43|4</v>
      </c>
      <c r="P2311" s="7" t="str">
        <f aca="false">IF(COUNTIF($O$2:O2311,O2311)&gt;1,"DUP","OK")</f>
        <v>OK</v>
      </c>
      <c r="Q2311" s="7" t="n">
        <f aca="false">COUNTBLANK(A2311:N2311)</f>
        <v>0</v>
      </c>
      <c r="R2311" s="7" t="n">
        <f aca="false">IF(A2311="",0,COUNTIFS($A$2:$A$3058,A2311,$P$2:$P$3058,"OK"))</f>
        <v>1</v>
      </c>
      <c r="S2311" s="7" t="str">
        <f aca="false">IF(OR(A2311="",P2311="DUP",R2311&lt;2),"",IF(Q2311=_xlfn.MINIFS($Q$2:$Q$3058,$A$2:$A$3058,A2311,$P$2:$P$3058,"OK"),"KEEP","DROP"))</f>
        <v/>
      </c>
      <c r="T2311" s="9" t="n">
        <f aca="false">IF(A2311="",1,0)</f>
        <v>0</v>
      </c>
      <c r="U2311" s="9" t="n">
        <f aca="false">IF(D2311="",1,0)</f>
        <v>0</v>
      </c>
      <c r="V2311" s="9" t="n">
        <f aca="false">IF(E2311="",1,0)</f>
        <v>0</v>
      </c>
      <c r="W2311" s="9" t="n">
        <f aca="false">IF(OR(H2311&lt;1,H2311&gt;10),1,0)</f>
        <v>0</v>
      </c>
      <c r="X2311" s="9" t="n">
        <f aca="false">IF(OR(I2311&lt;=0,I2311&gt;1500),1,0)</f>
        <v>0</v>
      </c>
      <c r="Y2311" s="9" t="n">
        <f aca="false">IF(J2311&gt;H2311*I2311,1,0)</f>
        <v>0</v>
      </c>
      <c r="Z2311" s="9" t="n">
        <f aca="false">IF(AND(N2311&lt;&gt;"",OR(N2311&lt;1,N2311&gt;5)),1,0)</f>
        <v>0</v>
      </c>
      <c r="AA2311" s="9" t="n">
        <f aca="false">IF(AND(M2311&lt;&gt;"",OR(M2311&lt;5,M2311&gt;180)),1,0)</f>
        <v>0</v>
      </c>
      <c r="AB2311" s="7" t="str">
        <f aca="false">IF(P2311="DUP","Exact duplicate row",IF(T2311=1,"Missing Order ID",IF(S2311="DROP","Duplicate Order ID (less complete row)",IF(U2311=1,"Missing Customer ID",IF(V2311=1,"Missing Restaurant name",IF(W2311=1,"Invalid/outlier quantity",IF(X2311=1,"Invalid/outlier unit price",IF(Y2311=1,"Discount greater than order value",""))))))))</f>
        <v/>
      </c>
      <c r="AC2311" s="7" t="str">
        <f aca="false">IF(AB2311="","KEEP","DROP")</f>
        <v>KEEP</v>
      </c>
      <c r="AD2311" s="7" t="str">
        <f aca="false">IF(TRIM(F2311)="",IFERROR(INDEX(Map_Tables!$I$4:$I$37,MATCH(TRIM(E2311),Map_Tables!$G$4:$G$37,0)),""),IFERROR(INDEX(Map_Tables!$B$4:$B$18,MATCH(TRIM(F2311),Map_Tables!$A$4:$A$18,0)),"CHECK"))</f>
        <v>Bengaluru</v>
      </c>
      <c r="AE2311" s="7" t="str">
        <f aca="false">IF(TRIM(E2311)="","",IFERROR(INDEX(Map_Tables!$H$4:$H$37,MATCH(TRIM(E2311),Map_Tables!$G$4:$G$37,0)),"CHECK"))</f>
        <v>Spice Junction</v>
      </c>
      <c r="AF2311" s="7" t="str">
        <f aca="false">IF(TRIM(K2311)="","Unknown",IFERROR(INDEX(Map_Tables!$E$4:$E$15,MATCH(TRIM(K2311),Map_Tables!$D$4:$D$15,0)),"CHECK"))</f>
        <v>UPI</v>
      </c>
      <c r="AG2311" s="7" t="str">
        <f aca="false">IF(LEFT(LOWER(TRIM(L2311)),6)="cancel","Cancelled","Delivered")</f>
        <v>Delivered</v>
      </c>
      <c r="AH2311" s="10" t="n">
        <f aca="false">IF(ISNUMBER(SEARCH("/",B2311)),DATE(VALUE(RIGHT(B2311,4)),VALUE(MID(B2311,4,2)),VALUE(LEFT(B2311,2))),IF(MID(B2311,5,1)="-",DATE(VALUE(LEFT(B2311,4)),VALUE(MID(B2311,6,2)),VALUE(RIGHT(B2311,2))),DATE(VALUE(RIGHT(B2311,4)),MATCH(MID(B2311,4,3),{"Jan","Feb","Mar","Apr","May","Jun","Jul","Aug","Sep","Oct","Nov","Dec"},0),VALUE(LEFT(B2311,2)))))</f>
        <v>45980</v>
      </c>
    </row>
    <row r="2312" customFormat="false" ht="15" hidden="false" customHeight="false" outlineLevel="0" collapsed="false">
      <c r="A2312" s="7" t="s">
        <v>5208</v>
      </c>
      <c r="B2312" s="7" t="s">
        <v>1267</v>
      </c>
      <c r="C2312" s="7" t="s">
        <v>762</v>
      </c>
      <c r="D2312" s="7" t="s">
        <v>2464</v>
      </c>
      <c r="E2312" s="7" t="s">
        <v>5209</v>
      </c>
      <c r="F2312" s="7" t="s">
        <v>136</v>
      </c>
      <c r="G2312" s="7" t="s">
        <v>117</v>
      </c>
      <c r="H2312" s="7" t="n">
        <v>1</v>
      </c>
      <c r="I2312" s="7" t="n">
        <v>90</v>
      </c>
      <c r="J2312" s="7" t="n">
        <v>0</v>
      </c>
      <c r="K2312" s="7" t="s">
        <v>93</v>
      </c>
      <c r="L2312" s="7" t="s">
        <v>194</v>
      </c>
      <c r="M2312" s="7" t="n">
        <v>50</v>
      </c>
      <c r="N2312" s="7" t="n">
        <v>3</v>
      </c>
      <c r="O2312" s="7" t="str">
        <f aca="false">A2312&amp;"|"&amp;B2312&amp;"|"&amp;C2312&amp;"|"&amp;D2312&amp;"|"&amp;E2312&amp;"|"&amp;F2312&amp;"|"&amp;G2312&amp;"|"&amp;H2312&amp;"|"&amp;I2312&amp;"|"&amp;J2312&amp;"|"&amp;K2312&amp;"|"&amp;L2312&amp;"|"&amp;M2312&amp;"|"&amp;N2312</f>
        <v>ORD10484|2025-03-05|13:50|C0301|Misal  Mantra|Pune|Street Food|1|90|0|Credit Card|Delivered|50|3</v>
      </c>
      <c r="P2312" s="7" t="str">
        <f aca="false">IF(COUNTIF($O$2:O2312,O2312)&gt;1,"DUP","OK")</f>
        <v>OK</v>
      </c>
      <c r="Q2312" s="7" t="n">
        <f aca="false">COUNTBLANK(A2312:N2312)</f>
        <v>0</v>
      </c>
      <c r="R2312" s="7" t="n">
        <f aca="false">IF(A2312="",0,COUNTIFS($A$2:$A$3058,A2312,$P$2:$P$3058,"OK"))</f>
        <v>1</v>
      </c>
      <c r="S2312" s="7" t="str">
        <f aca="false">IF(OR(A2312="",P2312="DUP",R2312&lt;2),"",IF(Q2312=_xlfn.MINIFS($Q$2:$Q$3058,$A$2:$A$3058,A2312,$P$2:$P$3058,"OK"),"KEEP","DROP"))</f>
        <v/>
      </c>
      <c r="T2312" s="9" t="n">
        <f aca="false">IF(A2312="",1,0)</f>
        <v>0</v>
      </c>
      <c r="U2312" s="9" t="n">
        <f aca="false">IF(D2312="",1,0)</f>
        <v>0</v>
      </c>
      <c r="V2312" s="9" t="n">
        <f aca="false">IF(E2312="",1,0)</f>
        <v>0</v>
      </c>
      <c r="W2312" s="9" t="n">
        <f aca="false">IF(OR(H2312&lt;1,H2312&gt;10),1,0)</f>
        <v>0</v>
      </c>
      <c r="X2312" s="9" t="n">
        <f aca="false">IF(OR(I2312&lt;=0,I2312&gt;1500),1,0)</f>
        <v>0</v>
      </c>
      <c r="Y2312" s="9" t="n">
        <f aca="false">IF(J2312&gt;H2312*I2312,1,0)</f>
        <v>0</v>
      </c>
      <c r="Z2312" s="9" t="n">
        <f aca="false">IF(AND(N2312&lt;&gt;"",OR(N2312&lt;1,N2312&gt;5)),1,0)</f>
        <v>0</v>
      </c>
      <c r="AA2312" s="9" t="n">
        <f aca="false">IF(AND(M2312&lt;&gt;"",OR(M2312&lt;5,M2312&gt;180)),1,0)</f>
        <v>0</v>
      </c>
      <c r="AB2312" s="7" t="str">
        <f aca="false">IF(P2312="DUP","Exact duplicate row",IF(T2312=1,"Missing Order ID",IF(S2312="DROP","Duplicate Order ID (less complete row)",IF(U2312=1,"Missing Customer ID",IF(V2312=1,"Missing Restaurant name",IF(W2312=1,"Invalid/outlier quantity",IF(X2312=1,"Invalid/outlier unit price",IF(Y2312=1,"Discount greater than order value",""))))))))</f>
        <v/>
      </c>
      <c r="AC2312" s="7" t="str">
        <f aca="false">IF(AB2312="","KEEP","DROP")</f>
        <v>KEEP</v>
      </c>
      <c r="AD2312" s="7" t="str">
        <f aca="false">IF(TRIM(F2312)="",IFERROR(INDEX(Map_Tables!$I$4:$I$37,MATCH(TRIM(E2312),Map_Tables!$G$4:$G$37,0)),""),IFERROR(INDEX(Map_Tables!$B$4:$B$18,MATCH(TRIM(F2312),Map_Tables!$A$4:$A$18,0)),"CHECK"))</f>
        <v>Pune</v>
      </c>
      <c r="AE2312" s="7" t="str">
        <f aca="false">IF(TRIM(E2312)="","",IFERROR(INDEX(Map_Tables!$H$4:$H$37,MATCH(TRIM(E2312),Map_Tables!$G$4:$G$37,0)),"CHECK"))</f>
        <v>Misal Mantra</v>
      </c>
      <c r="AF2312" s="7" t="str">
        <f aca="false">IF(TRIM(K2312)="","Unknown",IFERROR(INDEX(Map_Tables!$E$4:$E$15,MATCH(TRIM(K2312),Map_Tables!$D$4:$D$15,0)),"CHECK"))</f>
        <v>Credit Card</v>
      </c>
      <c r="AG2312" s="7" t="str">
        <f aca="false">IF(LEFT(LOWER(TRIM(L2312)),6)="cancel","Cancelled","Delivered")</f>
        <v>Delivered</v>
      </c>
      <c r="AH2312" s="10" t="n">
        <f aca="false">IF(ISNUMBER(SEARCH("/",B2312)),DATE(VALUE(RIGHT(B2312,4)),VALUE(MID(B2312,4,2)),VALUE(LEFT(B2312,2))),IF(MID(B2312,5,1)="-",DATE(VALUE(LEFT(B2312,4)),VALUE(MID(B2312,6,2)),VALUE(RIGHT(B2312,2))),DATE(VALUE(RIGHT(B2312,4)),MATCH(MID(B2312,4,3),{"Jan","Feb","Mar","Apr","May","Jun","Jul","Aug","Sep","Oct","Nov","Dec"},0),VALUE(LEFT(B2312,2)))))</f>
        <v>45721</v>
      </c>
    </row>
    <row r="2313" customFormat="false" ht="15" hidden="false" customHeight="false" outlineLevel="0" collapsed="false">
      <c r="A2313" s="7" t="s">
        <v>5210</v>
      </c>
      <c r="B2313" s="7" t="s">
        <v>1329</v>
      </c>
      <c r="C2313" s="7" t="s">
        <v>213</v>
      </c>
      <c r="D2313" s="7" t="s">
        <v>5211</v>
      </c>
      <c r="E2313" s="7" t="s">
        <v>147</v>
      </c>
      <c r="F2313" s="7" t="s">
        <v>119</v>
      </c>
      <c r="G2313" s="7" t="s">
        <v>95</v>
      </c>
      <c r="H2313" s="7" t="n">
        <v>4</v>
      </c>
      <c r="I2313" s="7" t="n">
        <v>135</v>
      </c>
      <c r="J2313" s="7" t="n">
        <v>0</v>
      </c>
      <c r="K2313" s="7" t="s">
        <v>526</v>
      </c>
      <c r="L2313" s="7" t="s">
        <v>194</v>
      </c>
      <c r="M2313" s="7" t="n">
        <v>40</v>
      </c>
      <c r="N2313" s="7" t="n">
        <v>5</v>
      </c>
      <c r="O2313" s="7" t="str">
        <f aca="false">A2313&amp;"|"&amp;B2313&amp;"|"&amp;C2313&amp;"|"&amp;D2313&amp;"|"&amp;E2313&amp;"|"&amp;F2313&amp;"|"&amp;G2313&amp;"|"&amp;H2313&amp;"|"&amp;I2313&amp;"|"&amp;J2313&amp;"|"&amp;K2313&amp;"|"&amp;L2313&amp;"|"&amp;M2313&amp;"|"&amp;N2313</f>
        <v>ORD11183|2025-05-30|20:37|C0660|Andhra Meals Mess|Hyderabad|South Indian|4|135|0|DC|Delivered|40|5</v>
      </c>
      <c r="P2313" s="7" t="str">
        <f aca="false">IF(COUNTIF($O$2:O2313,O2313)&gt;1,"DUP","OK")</f>
        <v>OK</v>
      </c>
      <c r="Q2313" s="7" t="n">
        <f aca="false">COUNTBLANK(A2313:N2313)</f>
        <v>0</v>
      </c>
      <c r="R2313" s="7" t="n">
        <f aca="false">IF(A2313="",0,COUNTIFS($A$2:$A$3058,A2313,$P$2:$P$3058,"OK"))</f>
        <v>1</v>
      </c>
      <c r="S2313" s="7" t="str">
        <f aca="false">IF(OR(A2313="",P2313="DUP",R2313&lt;2),"",IF(Q2313=_xlfn.MINIFS($Q$2:$Q$3058,$A$2:$A$3058,A2313,$P$2:$P$3058,"OK"),"KEEP","DROP"))</f>
        <v/>
      </c>
      <c r="T2313" s="9" t="n">
        <f aca="false">IF(A2313="",1,0)</f>
        <v>0</v>
      </c>
      <c r="U2313" s="9" t="n">
        <f aca="false">IF(D2313="",1,0)</f>
        <v>0</v>
      </c>
      <c r="V2313" s="9" t="n">
        <f aca="false">IF(E2313="",1,0)</f>
        <v>0</v>
      </c>
      <c r="W2313" s="9" t="n">
        <f aca="false">IF(OR(H2313&lt;1,H2313&gt;10),1,0)</f>
        <v>0</v>
      </c>
      <c r="X2313" s="9" t="n">
        <f aca="false">IF(OR(I2313&lt;=0,I2313&gt;1500),1,0)</f>
        <v>0</v>
      </c>
      <c r="Y2313" s="9" t="n">
        <f aca="false">IF(J2313&gt;H2313*I2313,1,0)</f>
        <v>0</v>
      </c>
      <c r="Z2313" s="9" t="n">
        <f aca="false">IF(AND(N2313&lt;&gt;"",OR(N2313&lt;1,N2313&gt;5)),1,0)</f>
        <v>0</v>
      </c>
      <c r="AA2313" s="9" t="n">
        <f aca="false">IF(AND(M2313&lt;&gt;"",OR(M2313&lt;5,M2313&gt;180)),1,0)</f>
        <v>0</v>
      </c>
      <c r="AB2313" s="7" t="str">
        <f aca="false">IF(P2313="DUP","Exact duplicate row",IF(T2313=1,"Missing Order ID",IF(S2313="DROP","Duplicate Order ID (less complete row)",IF(U2313=1,"Missing Customer ID",IF(V2313=1,"Missing Restaurant name",IF(W2313=1,"Invalid/outlier quantity",IF(X2313=1,"Invalid/outlier unit price",IF(Y2313=1,"Discount greater than order value",""))))))))</f>
        <v/>
      </c>
      <c r="AC2313" s="7" t="str">
        <f aca="false">IF(AB2313="","KEEP","DROP")</f>
        <v>KEEP</v>
      </c>
      <c r="AD2313" s="7" t="str">
        <f aca="false">IF(TRIM(F2313)="",IFERROR(INDEX(Map_Tables!$I$4:$I$37,MATCH(TRIM(E2313),Map_Tables!$G$4:$G$37,0)),""),IFERROR(INDEX(Map_Tables!$B$4:$B$18,MATCH(TRIM(F2313),Map_Tables!$A$4:$A$18,0)),"CHECK"))</f>
        <v>Hyderabad</v>
      </c>
      <c r="AE2313" s="7" t="str">
        <f aca="false">IF(TRIM(E2313)="","",IFERROR(INDEX(Map_Tables!$H$4:$H$37,MATCH(TRIM(E2313),Map_Tables!$G$4:$G$37,0)),"CHECK"))</f>
        <v>Andhra Meals Mess</v>
      </c>
      <c r="AF2313" s="7" t="str">
        <f aca="false">IF(TRIM(K2313)="","Unknown",IFERROR(INDEX(Map_Tables!$E$4:$E$15,MATCH(TRIM(K2313),Map_Tables!$D$4:$D$15,0)),"CHECK"))</f>
        <v>Debit Card</v>
      </c>
      <c r="AG2313" s="7" t="str">
        <f aca="false">IF(LEFT(LOWER(TRIM(L2313)),6)="cancel","Cancelled","Delivered")</f>
        <v>Delivered</v>
      </c>
      <c r="AH2313" s="10" t="n">
        <f aca="false">IF(ISNUMBER(SEARCH("/",B2313)),DATE(VALUE(RIGHT(B2313,4)),VALUE(MID(B2313,4,2)),VALUE(LEFT(B2313,2))),IF(MID(B2313,5,1)="-",DATE(VALUE(LEFT(B2313,4)),VALUE(MID(B2313,6,2)),VALUE(RIGHT(B2313,2))),DATE(VALUE(RIGHT(B2313,4)),MATCH(MID(B2313,4,3),{"Jan","Feb","Mar","Apr","May","Jun","Jul","Aug","Sep","Oct","Nov","Dec"},0),VALUE(LEFT(B2313,2)))))</f>
        <v>45807</v>
      </c>
    </row>
    <row r="2314" customFormat="false" ht="15" hidden="false" customHeight="false" outlineLevel="0" collapsed="false">
      <c r="A2314" s="7" t="s">
        <v>5212</v>
      </c>
      <c r="B2314" s="7" t="s">
        <v>4135</v>
      </c>
      <c r="C2314" s="7" t="s">
        <v>2410</v>
      </c>
      <c r="D2314" s="7" t="s">
        <v>5213</v>
      </c>
      <c r="E2314" s="7" t="s">
        <v>164</v>
      </c>
      <c r="F2314" s="7" t="s">
        <v>141</v>
      </c>
      <c r="G2314" s="7" t="s">
        <v>150</v>
      </c>
      <c r="H2314" s="7" t="n">
        <v>5</v>
      </c>
      <c r="I2314" s="7" t="n">
        <v>155</v>
      </c>
      <c r="J2314" s="7" t="n">
        <v>30</v>
      </c>
      <c r="K2314" s="7" t="s">
        <v>112</v>
      </c>
      <c r="L2314" s="7" t="s">
        <v>194</v>
      </c>
      <c r="M2314" s="7" t="n">
        <v>29</v>
      </c>
      <c r="N2314" s="7" t="n">
        <v>4</v>
      </c>
      <c r="O2314" s="7" t="str">
        <f aca="false">A2314&amp;"|"&amp;B2314&amp;"|"&amp;C2314&amp;"|"&amp;D2314&amp;"|"&amp;E2314&amp;"|"&amp;F2314&amp;"|"&amp;G2314&amp;"|"&amp;H2314&amp;"|"&amp;I2314&amp;"|"&amp;J2314&amp;"|"&amp;K2314&amp;"|"&amp;L2314&amp;"|"&amp;M2314&amp;"|"&amp;N2314</f>
        <v>ORD11340|22/06/2025|12:50|C0331|Mishti Mandir|Kolkata|Desserts|5|155|30|Cash on Delivery|Delivered|29|4</v>
      </c>
      <c r="P2314" s="7" t="str">
        <f aca="false">IF(COUNTIF($O$2:O2314,O2314)&gt;1,"DUP","OK")</f>
        <v>OK</v>
      </c>
      <c r="Q2314" s="7" t="n">
        <f aca="false">COUNTBLANK(A2314:N2314)</f>
        <v>0</v>
      </c>
      <c r="R2314" s="7" t="n">
        <f aca="false">IF(A2314="",0,COUNTIFS($A$2:$A$3058,A2314,$P$2:$P$3058,"OK"))</f>
        <v>1</v>
      </c>
      <c r="S2314" s="7" t="str">
        <f aca="false">IF(OR(A2314="",P2314="DUP",R2314&lt;2),"",IF(Q2314=_xlfn.MINIFS($Q$2:$Q$3058,$A$2:$A$3058,A2314,$P$2:$P$3058,"OK"),"KEEP","DROP"))</f>
        <v/>
      </c>
      <c r="T2314" s="9" t="n">
        <f aca="false">IF(A2314="",1,0)</f>
        <v>0</v>
      </c>
      <c r="U2314" s="9" t="n">
        <f aca="false">IF(D2314="",1,0)</f>
        <v>0</v>
      </c>
      <c r="V2314" s="9" t="n">
        <f aca="false">IF(E2314="",1,0)</f>
        <v>0</v>
      </c>
      <c r="W2314" s="9" t="n">
        <f aca="false">IF(OR(H2314&lt;1,H2314&gt;10),1,0)</f>
        <v>0</v>
      </c>
      <c r="X2314" s="9" t="n">
        <f aca="false">IF(OR(I2314&lt;=0,I2314&gt;1500),1,0)</f>
        <v>0</v>
      </c>
      <c r="Y2314" s="9" t="n">
        <f aca="false">IF(J2314&gt;H2314*I2314,1,0)</f>
        <v>0</v>
      </c>
      <c r="Z2314" s="9" t="n">
        <f aca="false">IF(AND(N2314&lt;&gt;"",OR(N2314&lt;1,N2314&gt;5)),1,0)</f>
        <v>0</v>
      </c>
      <c r="AA2314" s="9" t="n">
        <f aca="false">IF(AND(M2314&lt;&gt;"",OR(M2314&lt;5,M2314&gt;180)),1,0)</f>
        <v>0</v>
      </c>
      <c r="AB2314" s="7" t="str">
        <f aca="false">IF(P2314="DUP","Exact duplicate row",IF(T2314=1,"Missing Order ID",IF(S2314="DROP","Duplicate Order ID (less complete row)",IF(U2314=1,"Missing Customer ID",IF(V2314=1,"Missing Restaurant name",IF(W2314=1,"Invalid/outlier quantity",IF(X2314=1,"Invalid/outlier unit price",IF(Y2314=1,"Discount greater than order value",""))))))))</f>
        <v/>
      </c>
      <c r="AC2314" s="7" t="str">
        <f aca="false">IF(AB2314="","KEEP","DROP")</f>
        <v>KEEP</v>
      </c>
      <c r="AD2314" s="7" t="str">
        <f aca="false">IF(TRIM(F2314)="",IFERROR(INDEX(Map_Tables!$I$4:$I$37,MATCH(TRIM(E2314),Map_Tables!$G$4:$G$37,0)),""),IFERROR(INDEX(Map_Tables!$B$4:$B$18,MATCH(TRIM(F2314),Map_Tables!$A$4:$A$18,0)),"CHECK"))</f>
        <v>Kolkata</v>
      </c>
      <c r="AE2314" s="7" t="str">
        <f aca="false">IF(TRIM(E2314)="","",IFERROR(INDEX(Map_Tables!$H$4:$H$37,MATCH(TRIM(E2314),Map_Tables!$G$4:$G$37,0)),"CHECK"))</f>
        <v>Mishti Mandir</v>
      </c>
      <c r="AF2314" s="7" t="str">
        <f aca="false">IF(TRIM(K2314)="","Unknown",IFERROR(INDEX(Map_Tables!$E$4:$E$15,MATCH(TRIM(K2314),Map_Tables!$D$4:$D$15,0)),"CHECK"))</f>
        <v>Cash on Delivery</v>
      </c>
      <c r="AG2314" s="7" t="str">
        <f aca="false">IF(LEFT(LOWER(TRIM(L2314)),6)="cancel","Cancelled","Delivered")</f>
        <v>Delivered</v>
      </c>
      <c r="AH2314" s="10" t="n">
        <f aca="false">IF(ISNUMBER(SEARCH("/",B2314)),DATE(VALUE(RIGHT(B2314,4)),VALUE(MID(B2314,4,2)),VALUE(LEFT(B2314,2))),IF(MID(B2314,5,1)="-",DATE(VALUE(LEFT(B2314,4)),VALUE(MID(B2314,6,2)),VALUE(RIGHT(B2314,2))),DATE(VALUE(RIGHT(B2314,4)),MATCH(MID(B2314,4,3),{"Jan","Feb","Mar","Apr","May","Jun","Jul","Aug","Sep","Oct","Nov","Dec"},0),VALUE(LEFT(B2314,2)))))</f>
        <v>45830</v>
      </c>
    </row>
    <row r="2315" customFormat="false" ht="15" hidden="false" customHeight="false" outlineLevel="0" collapsed="false">
      <c r="A2315" s="7" t="s">
        <v>5214</v>
      </c>
      <c r="B2315" s="7" t="s">
        <v>1246</v>
      </c>
      <c r="C2315" s="7" t="s">
        <v>1610</v>
      </c>
      <c r="D2315" s="7" t="s">
        <v>2682</v>
      </c>
      <c r="E2315" s="7" t="s">
        <v>104</v>
      </c>
      <c r="F2315" s="7" t="s">
        <v>86</v>
      </c>
      <c r="G2315" s="7" t="s">
        <v>105</v>
      </c>
      <c r="H2315" s="7" t="n">
        <v>2</v>
      </c>
      <c r="I2315" s="7" t="n">
        <v>180</v>
      </c>
      <c r="J2315" s="7" t="n">
        <v>0</v>
      </c>
      <c r="K2315" s="7" t="s">
        <v>88</v>
      </c>
      <c r="L2315" s="7" t="s">
        <v>194</v>
      </c>
      <c r="M2315" s="7" t="n">
        <v>48</v>
      </c>
      <c r="N2315" s="7" t="n">
        <v>3</v>
      </c>
      <c r="O2315" s="7" t="str">
        <f aca="false">A2315&amp;"|"&amp;B2315&amp;"|"&amp;C2315&amp;"|"&amp;D2315&amp;"|"&amp;E2315&amp;"|"&amp;F2315&amp;"|"&amp;G2315&amp;"|"&amp;H2315&amp;"|"&amp;I2315&amp;"|"&amp;J2315&amp;"|"&amp;K2315&amp;"|"&amp;L2315&amp;"|"&amp;M2315&amp;"|"&amp;N2315</f>
        <v>ORD11281|2025-06-12|22:10|C0492|Wok &amp; Roll|Bengaluru|Chinese|2|180|0|UPI|Delivered|48|3</v>
      </c>
      <c r="P2315" s="7" t="str">
        <f aca="false">IF(COUNTIF($O$2:O2315,O2315)&gt;1,"DUP","OK")</f>
        <v>OK</v>
      </c>
      <c r="Q2315" s="7" t="n">
        <f aca="false">COUNTBLANK(A2315:N2315)</f>
        <v>0</v>
      </c>
      <c r="R2315" s="7" t="n">
        <f aca="false">IF(A2315="",0,COUNTIFS($A$2:$A$3058,A2315,$P$2:$P$3058,"OK"))</f>
        <v>1</v>
      </c>
      <c r="S2315" s="7" t="str">
        <f aca="false">IF(OR(A2315="",P2315="DUP",R2315&lt;2),"",IF(Q2315=_xlfn.MINIFS($Q$2:$Q$3058,$A$2:$A$3058,A2315,$P$2:$P$3058,"OK"),"KEEP","DROP"))</f>
        <v/>
      </c>
      <c r="T2315" s="9" t="n">
        <f aca="false">IF(A2315="",1,0)</f>
        <v>0</v>
      </c>
      <c r="U2315" s="9" t="n">
        <f aca="false">IF(D2315="",1,0)</f>
        <v>0</v>
      </c>
      <c r="V2315" s="9" t="n">
        <f aca="false">IF(E2315="",1,0)</f>
        <v>0</v>
      </c>
      <c r="W2315" s="9" t="n">
        <f aca="false">IF(OR(H2315&lt;1,H2315&gt;10),1,0)</f>
        <v>0</v>
      </c>
      <c r="X2315" s="9" t="n">
        <f aca="false">IF(OR(I2315&lt;=0,I2315&gt;1500),1,0)</f>
        <v>0</v>
      </c>
      <c r="Y2315" s="9" t="n">
        <f aca="false">IF(J2315&gt;H2315*I2315,1,0)</f>
        <v>0</v>
      </c>
      <c r="Z2315" s="9" t="n">
        <f aca="false">IF(AND(N2315&lt;&gt;"",OR(N2315&lt;1,N2315&gt;5)),1,0)</f>
        <v>0</v>
      </c>
      <c r="AA2315" s="9" t="n">
        <f aca="false">IF(AND(M2315&lt;&gt;"",OR(M2315&lt;5,M2315&gt;180)),1,0)</f>
        <v>0</v>
      </c>
      <c r="AB2315" s="7" t="str">
        <f aca="false">IF(P2315="DUP","Exact duplicate row",IF(T2315=1,"Missing Order ID",IF(S2315="DROP","Duplicate Order ID (less complete row)",IF(U2315=1,"Missing Customer ID",IF(V2315=1,"Missing Restaurant name",IF(W2315=1,"Invalid/outlier quantity",IF(X2315=1,"Invalid/outlier unit price",IF(Y2315=1,"Discount greater than order value",""))))))))</f>
        <v/>
      </c>
      <c r="AC2315" s="7" t="str">
        <f aca="false">IF(AB2315="","KEEP","DROP")</f>
        <v>KEEP</v>
      </c>
      <c r="AD2315" s="7" t="str">
        <f aca="false">IF(TRIM(F2315)="",IFERROR(INDEX(Map_Tables!$I$4:$I$37,MATCH(TRIM(E2315),Map_Tables!$G$4:$G$37,0)),""),IFERROR(INDEX(Map_Tables!$B$4:$B$18,MATCH(TRIM(F2315),Map_Tables!$A$4:$A$18,0)),"CHECK"))</f>
        <v>Bengaluru</v>
      </c>
      <c r="AE2315" s="7" t="str">
        <f aca="false">IF(TRIM(E2315)="","",IFERROR(INDEX(Map_Tables!$H$4:$H$37,MATCH(TRIM(E2315),Map_Tables!$G$4:$G$37,0)),"CHECK"))</f>
        <v>Wok &amp; Roll</v>
      </c>
      <c r="AF2315" s="7" t="str">
        <f aca="false">IF(TRIM(K2315)="","Unknown",IFERROR(INDEX(Map_Tables!$E$4:$E$15,MATCH(TRIM(K2315),Map_Tables!$D$4:$D$15,0)),"CHECK"))</f>
        <v>UPI</v>
      </c>
      <c r="AG2315" s="7" t="str">
        <f aca="false">IF(LEFT(LOWER(TRIM(L2315)),6)="cancel","Cancelled","Delivered")</f>
        <v>Delivered</v>
      </c>
      <c r="AH2315" s="10" t="n">
        <f aca="false">IF(ISNUMBER(SEARCH("/",B2315)),DATE(VALUE(RIGHT(B2315,4)),VALUE(MID(B2315,4,2)),VALUE(LEFT(B2315,2))),IF(MID(B2315,5,1)="-",DATE(VALUE(LEFT(B2315,4)),VALUE(MID(B2315,6,2)),VALUE(RIGHT(B2315,2))),DATE(VALUE(RIGHT(B2315,4)),MATCH(MID(B2315,4,3),{"Jan","Feb","Mar","Apr","May","Jun","Jul","Aug","Sep","Oct","Nov","Dec"},0),VALUE(LEFT(B2315,2)))))</f>
        <v>45820</v>
      </c>
    </row>
    <row r="2316" customFormat="false" ht="15" hidden="false" customHeight="false" outlineLevel="0" collapsed="false">
      <c r="A2316" s="7" t="s">
        <v>5215</v>
      </c>
      <c r="B2316" s="7" t="s">
        <v>1458</v>
      </c>
      <c r="C2316" s="7" t="s">
        <v>655</v>
      </c>
      <c r="D2316" s="7" t="s">
        <v>5216</v>
      </c>
      <c r="E2316" s="7" t="s">
        <v>113</v>
      </c>
      <c r="F2316" s="7" t="s">
        <v>101</v>
      </c>
      <c r="G2316" s="7" t="s">
        <v>90</v>
      </c>
      <c r="H2316" s="7" t="n">
        <v>5</v>
      </c>
      <c r="I2316" s="7" t="n">
        <v>270</v>
      </c>
      <c r="J2316" s="7" t="n">
        <v>150</v>
      </c>
      <c r="K2316" s="7" t="s">
        <v>526</v>
      </c>
      <c r="L2316" s="7" t="s">
        <v>194</v>
      </c>
      <c r="M2316" s="7" t="n">
        <v>28</v>
      </c>
      <c r="N2316" s="7" t="n">
        <v>2</v>
      </c>
      <c r="O2316" s="7" t="str">
        <f aca="false">A2316&amp;"|"&amp;B2316&amp;"|"&amp;C2316&amp;"|"&amp;D2316&amp;"|"&amp;E2316&amp;"|"&amp;F2316&amp;"|"&amp;G2316&amp;"|"&amp;H2316&amp;"|"&amp;I2316&amp;"|"&amp;J2316&amp;"|"&amp;K2316&amp;"|"&amp;L2316&amp;"|"&amp;M2316&amp;"|"&amp;N2316</f>
        <v>ORD11032|2025-05-10|19:22|C0230|Curry Leaf Kitchen|Mumbai|North Indian|5|270|150|DC|Delivered|28|2</v>
      </c>
      <c r="P2316" s="7" t="str">
        <f aca="false">IF(COUNTIF($O$2:O2316,O2316)&gt;1,"DUP","OK")</f>
        <v>OK</v>
      </c>
      <c r="Q2316" s="7" t="n">
        <f aca="false">COUNTBLANK(A2316:N2316)</f>
        <v>0</v>
      </c>
      <c r="R2316" s="7" t="n">
        <f aca="false">IF(A2316="",0,COUNTIFS($A$2:$A$3058,A2316,$P$2:$P$3058,"OK"))</f>
        <v>1</v>
      </c>
      <c r="S2316" s="7" t="str">
        <f aca="false">IF(OR(A2316="",P2316="DUP",R2316&lt;2),"",IF(Q2316=_xlfn.MINIFS($Q$2:$Q$3058,$A$2:$A$3058,A2316,$P$2:$P$3058,"OK"),"KEEP","DROP"))</f>
        <v/>
      </c>
      <c r="T2316" s="9" t="n">
        <f aca="false">IF(A2316="",1,0)</f>
        <v>0</v>
      </c>
      <c r="U2316" s="9" t="n">
        <f aca="false">IF(D2316="",1,0)</f>
        <v>0</v>
      </c>
      <c r="V2316" s="9" t="n">
        <f aca="false">IF(E2316="",1,0)</f>
        <v>0</v>
      </c>
      <c r="W2316" s="9" t="n">
        <f aca="false">IF(OR(H2316&lt;1,H2316&gt;10),1,0)</f>
        <v>0</v>
      </c>
      <c r="X2316" s="9" t="n">
        <f aca="false">IF(OR(I2316&lt;=0,I2316&gt;1500),1,0)</f>
        <v>0</v>
      </c>
      <c r="Y2316" s="9" t="n">
        <f aca="false">IF(J2316&gt;H2316*I2316,1,0)</f>
        <v>0</v>
      </c>
      <c r="Z2316" s="9" t="n">
        <f aca="false">IF(AND(N2316&lt;&gt;"",OR(N2316&lt;1,N2316&gt;5)),1,0)</f>
        <v>0</v>
      </c>
      <c r="AA2316" s="9" t="n">
        <f aca="false">IF(AND(M2316&lt;&gt;"",OR(M2316&lt;5,M2316&gt;180)),1,0)</f>
        <v>0</v>
      </c>
      <c r="AB2316" s="7" t="str">
        <f aca="false">IF(P2316="DUP","Exact duplicate row",IF(T2316=1,"Missing Order ID",IF(S2316="DROP","Duplicate Order ID (less complete row)",IF(U2316=1,"Missing Customer ID",IF(V2316=1,"Missing Restaurant name",IF(W2316=1,"Invalid/outlier quantity",IF(X2316=1,"Invalid/outlier unit price",IF(Y2316=1,"Discount greater than order value",""))))))))</f>
        <v/>
      </c>
      <c r="AC2316" s="7" t="str">
        <f aca="false">IF(AB2316="","KEEP","DROP")</f>
        <v>KEEP</v>
      </c>
      <c r="AD2316" s="7" t="str">
        <f aca="false">IF(TRIM(F2316)="",IFERROR(INDEX(Map_Tables!$I$4:$I$37,MATCH(TRIM(E2316),Map_Tables!$G$4:$G$37,0)),""),IFERROR(INDEX(Map_Tables!$B$4:$B$18,MATCH(TRIM(F2316),Map_Tables!$A$4:$A$18,0)),"CHECK"))</f>
        <v>Mumbai</v>
      </c>
      <c r="AE2316" s="7" t="str">
        <f aca="false">IF(TRIM(E2316)="","",IFERROR(INDEX(Map_Tables!$H$4:$H$37,MATCH(TRIM(E2316),Map_Tables!$G$4:$G$37,0)),"CHECK"))</f>
        <v>Curry Leaf Kitchen</v>
      </c>
      <c r="AF2316" s="7" t="str">
        <f aca="false">IF(TRIM(K2316)="","Unknown",IFERROR(INDEX(Map_Tables!$E$4:$E$15,MATCH(TRIM(K2316),Map_Tables!$D$4:$D$15,0)),"CHECK"))</f>
        <v>Debit Card</v>
      </c>
      <c r="AG2316" s="7" t="str">
        <f aca="false">IF(LEFT(LOWER(TRIM(L2316)),6)="cancel","Cancelled","Delivered")</f>
        <v>Delivered</v>
      </c>
      <c r="AH2316" s="10" t="n">
        <f aca="false">IF(ISNUMBER(SEARCH("/",B2316)),DATE(VALUE(RIGHT(B2316,4)),VALUE(MID(B2316,4,2)),VALUE(LEFT(B2316,2))),IF(MID(B2316,5,1)="-",DATE(VALUE(LEFT(B2316,4)),VALUE(MID(B2316,6,2)),VALUE(RIGHT(B2316,2))),DATE(VALUE(RIGHT(B2316,4)),MATCH(MID(B2316,4,3),{"Jan","Feb","Mar","Apr","May","Jun","Jul","Aug","Sep","Oct","Nov","Dec"},0),VALUE(LEFT(B2316,2)))))</f>
        <v>45787</v>
      </c>
    </row>
    <row r="2317" customFormat="false" ht="15" hidden="false" customHeight="false" outlineLevel="0" collapsed="false">
      <c r="A2317" s="7" t="s">
        <v>5217</v>
      </c>
      <c r="B2317" s="7" t="s">
        <v>2727</v>
      </c>
      <c r="C2317" s="7" t="s">
        <v>1654</v>
      </c>
      <c r="D2317" s="7" t="s">
        <v>3409</v>
      </c>
      <c r="E2317" s="7" t="s">
        <v>94</v>
      </c>
      <c r="F2317" s="7" t="s">
        <v>85</v>
      </c>
      <c r="G2317" s="7" t="s">
        <v>95</v>
      </c>
      <c r="H2317" s="7" t="n">
        <v>2</v>
      </c>
      <c r="I2317" s="7" t="n">
        <v>120</v>
      </c>
      <c r="J2317" s="7" t="n">
        <v>0</v>
      </c>
      <c r="K2317" s="7" t="s">
        <v>88</v>
      </c>
      <c r="L2317" s="7" t="s">
        <v>238</v>
      </c>
      <c r="M2317" s="7"/>
      <c r="N2317" s="7"/>
      <c r="O2317" s="7" t="str">
        <f aca="false">A2317&amp;"|"&amp;B2317&amp;"|"&amp;C2317&amp;"|"&amp;D2317&amp;"|"&amp;E2317&amp;"|"&amp;F2317&amp;"|"&amp;G2317&amp;"|"&amp;H2317&amp;"|"&amp;I2317&amp;"|"&amp;J2317&amp;"|"&amp;K2317&amp;"|"&amp;L2317&amp;"|"&amp;M2317&amp;"|"&amp;N2317</f>
        <v>ORD10792|2025-04-10|23:41|C0428|Dosa Darbar|bangalore|South Indian|2|120|0|UPI|Cancelled||</v>
      </c>
      <c r="P2317" s="7" t="str">
        <f aca="false">IF(COUNTIF($O$2:O2317,O2317)&gt;1,"DUP","OK")</f>
        <v>OK</v>
      </c>
      <c r="Q2317" s="7" t="n">
        <f aca="false">COUNTBLANK(A2317:N2317)</f>
        <v>2</v>
      </c>
      <c r="R2317" s="7" t="n">
        <f aca="false">IF(A2317="",0,COUNTIFS($A$2:$A$3058,A2317,$P$2:$P$3058,"OK"))</f>
        <v>1</v>
      </c>
      <c r="S2317" s="7" t="str">
        <f aca="false">IF(OR(A2317="",P2317="DUP",R2317&lt;2),"",IF(Q2317=_xlfn.MINIFS($Q$2:$Q$3058,$A$2:$A$3058,A2317,$P$2:$P$3058,"OK"),"KEEP","DROP"))</f>
        <v/>
      </c>
      <c r="T2317" s="9" t="n">
        <f aca="false">IF(A2317="",1,0)</f>
        <v>0</v>
      </c>
      <c r="U2317" s="9" t="n">
        <f aca="false">IF(D2317="",1,0)</f>
        <v>0</v>
      </c>
      <c r="V2317" s="9" t="n">
        <f aca="false">IF(E2317="",1,0)</f>
        <v>0</v>
      </c>
      <c r="W2317" s="9" t="n">
        <f aca="false">IF(OR(H2317&lt;1,H2317&gt;10),1,0)</f>
        <v>0</v>
      </c>
      <c r="X2317" s="9" t="n">
        <f aca="false">IF(OR(I2317&lt;=0,I2317&gt;1500),1,0)</f>
        <v>0</v>
      </c>
      <c r="Y2317" s="9" t="n">
        <f aca="false">IF(J2317&gt;H2317*I2317,1,0)</f>
        <v>0</v>
      </c>
      <c r="Z2317" s="9" t="n">
        <f aca="false">IF(AND(N2317&lt;&gt;"",OR(N2317&lt;1,N2317&gt;5)),1,0)</f>
        <v>0</v>
      </c>
      <c r="AA2317" s="9" t="n">
        <f aca="false">IF(AND(M2317&lt;&gt;"",OR(M2317&lt;5,M2317&gt;180)),1,0)</f>
        <v>0</v>
      </c>
      <c r="AB2317" s="7" t="str">
        <f aca="false">IF(P2317="DUP","Exact duplicate row",IF(T2317=1,"Missing Order ID",IF(S2317="DROP","Duplicate Order ID (less complete row)",IF(U2317=1,"Missing Customer ID",IF(V2317=1,"Missing Restaurant name",IF(W2317=1,"Invalid/outlier quantity",IF(X2317=1,"Invalid/outlier unit price",IF(Y2317=1,"Discount greater than order value",""))))))))</f>
        <v/>
      </c>
      <c r="AC2317" s="7" t="str">
        <f aca="false">IF(AB2317="","KEEP","DROP")</f>
        <v>KEEP</v>
      </c>
      <c r="AD2317" s="7" t="str">
        <f aca="false">IF(TRIM(F2317)="",IFERROR(INDEX(Map_Tables!$I$4:$I$37,MATCH(TRIM(E2317),Map_Tables!$G$4:$G$37,0)),""),IFERROR(INDEX(Map_Tables!$B$4:$B$18,MATCH(TRIM(F2317),Map_Tables!$A$4:$A$18,0)),"CHECK"))</f>
        <v>Bengaluru</v>
      </c>
      <c r="AE2317" s="7" t="str">
        <f aca="false">IF(TRIM(E2317)="","",IFERROR(INDEX(Map_Tables!$H$4:$H$37,MATCH(TRIM(E2317),Map_Tables!$G$4:$G$37,0)),"CHECK"))</f>
        <v>Dosa Darbar</v>
      </c>
      <c r="AF2317" s="7" t="str">
        <f aca="false">IF(TRIM(K2317)="","Unknown",IFERROR(INDEX(Map_Tables!$E$4:$E$15,MATCH(TRIM(K2317),Map_Tables!$D$4:$D$15,0)),"CHECK"))</f>
        <v>UPI</v>
      </c>
      <c r="AG2317" s="7" t="str">
        <f aca="false">IF(LEFT(LOWER(TRIM(L2317)),6)="cancel","Cancelled","Delivered")</f>
        <v>Cancelled</v>
      </c>
      <c r="AH2317" s="10" t="n">
        <f aca="false">IF(ISNUMBER(SEARCH("/",B2317)),DATE(VALUE(RIGHT(B2317,4)),VALUE(MID(B2317,4,2)),VALUE(LEFT(B2317,2))),IF(MID(B2317,5,1)="-",DATE(VALUE(LEFT(B2317,4)),VALUE(MID(B2317,6,2)),VALUE(RIGHT(B2317,2))),DATE(VALUE(RIGHT(B2317,4)),MATCH(MID(B2317,4,3),{"Jan","Feb","Mar","Apr","May","Jun","Jul","Aug","Sep","Oct","Nov","Dec"},0),VALUE(LEFT(B2317,2)))))</f>
        <v>45757</v>
      </c>
    </row>
    <row r="2318" customFormat="false" ht="15" hidden="false" customHeight="false" outlineLevel="0" collapsed="false">
      <c r="A2318" s="7" t="s">
        <v>5218</v>
      </c>
      <c r="B2318" s="7" t="s">
        <v>739</v>
      </c>
      <c r="C2318" s="7" t="s">
        <v>319</v>
      </c>
      <c r="D2318" s="7" t="s">
        <v>1799</v>
      </c>
      <c r="E2318" s="7" t="s">
        <v>148</v>
      </c>
      <c r="F2318" s="7" t="s">
        <v>119</v>
      </c>
      <c r="G2318" s="7" t="s">
        <v>123</v>
      </c>
      <c r="H2318" s="7" t="n">
        <v>2</v>
      </c>
      <c r="I2318" s="7" t="n">
        <v>315</v>
      </c>
      <c r="J2318" s="7" t="n">
        <v>75</v>
      </c>
      <c r="K2318" s="7" t="s">
        <v>87</v>
      </c>
      <c r="L2318" s="7" t="s">
        <v>194</v>
      </c>
      <c r="M2318" s="7" t="n">
        <v>45</v>
      </c>
      <c r="N2318" s="7" t="n">
        <v>4</v>
      </c>
      <c r="O2318" s="7" t="str">
        <f aca="false">A2318&amp;"|"&amp;B2318&amp;"|"&amp;C2318&amp;"|"&amp;D2318&amp;"|"&amp;E2318&amp;"|"&amp;F2318&amp;"|"&amp;G2318&amp;"|"&amp;H2318&amp;"|"&amp;I2318&amp;"|"&amp;J2318&amp;"|"&amp;K2318&amp;"|"&amp;L2318&amp;"|"&amp;M2318&amp;"|"&amp;N2318</f>
        <v>ORD10800|2025-04-11|21:52|C1175|Pizza Palace|Hyderabad|Pizza|2|315|75|upi|Delivered|45|4</v>
      </c>
      <c r="P2318" s="7" t="str">
        <f aca="false">IF(COUNTIF($O$2:O2318,O2318)&gt;1,"DUP","OK")</f>
        <v>OK</v>
      </c>
      <c r="Q2318" s="7" t="n">
        <f aca="false">COUNTBLANK(A2318:N2318)</f>
        <v>0</v>
      </c>
      <c r="R2318" s="7" t="n">
        <f aca="false">IF(A2318="",0,COUNTIFS($A$2:$A$3058,A2318,$P$2:$P$3058,"OK"))</f>
        <v>1</v>
      </c>
      <c r="S2318" s="7" t="str">
        <f aca="false">IF(OR(A2318="",P2318="DUP",R2318&lt;2),"",IF(Q2318=_xlfn.MINIFS($Q$2:$Q$3058,$A$2:$A$3058,A2318,$P$2:$P$3058,"OK"),"KEEP","DROP"))</f>
        <v/>
      </c>
      <c r="T2318" s="9" t="n">
        <f aca="false">IF(A2318="",1,0)</f>
        <v>0</v>
      </c>
      <c r="U2318" s="9" t="n">
        <f aca="false">IF(D2318="",1,0)</f>
        <v>0</v>
      </c>
      <c r="V2318" s="9" t="n">
        <f aca="false">IF(E2318="",1,0)</f>
        <v>0</v>
      </c>
      <c r="W2318" s="9" t="n">
        <f aca="false">IF(OR(H2318&lt;1,H2318&gt;10),1,0)</f>
        <v>0</v>
      </c>
      <c r="X2318" s="9" t="n">
        <f aca="false">IF(OR(I2318&lt;=0,I2318&gt;1500),1,0)</f>
        <v>0</v>
      </c>
      <c r="Y2318" s="9" t="n">
        <f aca="false">IF(J2318&gt;H2318*I2318,1,0)</f>
        <v>0</v>
      </c>
      <c r="Z2318" s="9" t="n">
        <f aca="false">IF(AND(N2318&lt;&gt;"",OR(N2318&lt;1,N2318&gt;5)),1,0)</f>
        <v>0</v>
      </c>
      <c r="AA2318" s="9" t="n">
        <f aca="false">IF(AND(M2318&lt;&gt;"",OR(M2318&lt;5,M2318&gt;180)),1,0)</f>
        <v>0</v>
      </c>
      <c r="AB2318" s="7" t="str">
        <f aca="false">IF(P2318="DUP","Exact duplicate row",IF(T2318=1,"Missing Order ID",IF(S2318="DROP","Duplicate Order ID (less complete row)",IF(U2318=1,"Missing Customer ID",IF(V2318=1,"Missing Restaurant name",IF(W2318=1,"Invalid/outlier quantity",IF(X2318=1,"Invalid/outlier unit price",IF(Y2318=1,"Discount greater than order value",""))))))))</f>
        <v/>
      </c>
      <c r="AC2318" s="7" t="str">
        <f aca="false">IF(AB2318="","KEEP","DROP")</f>
        <v>KEEP</v>
      </c>
      <c r="AD2318" s="7" t="str">
        <f aca="false">IF(TRIM(F2318)="",IFERROR(INDEX(Map_Tables!$I$4:$I$37,MATCH(TRIM(E2318),Map_Tables!$G$4:$G$37,0)),""),IFERROR(INDEX(Map_Tables!$B$4:$B$18,MATCH(TRIM(F2318),Map_Tables!$A$4:$A$18,0)),"CHECK"))</f>
        <v>Hyderabad</v>
      </c>
      <c r="AE2318" s="7" t="str">
        <f aca="false">IF(TRIM(E2318)="","",IFERROR(INDEX(Map_Tables!$H$4:$H$37,MATCH(TRIM(E2318),Map_Tables!$G$4:$G$37,0)),"CHECK"))</f>
        <v>Pizza Palace</v>
      </c>
      <c r="AF2318" s="7" t="str">
        <f aca="false">IF(TRIM(K2318)="","Unknown",IFERROR(INDEX(Map_Tables!$E$4:$E$15,MATCH(TRIM(K2318),Map_Tables!$D$4:$D$15,0)),"CHECK"))</f>
        <v>UPI</v>
      </c>
      <c r="AG2318" s="7" t="str">
        <f aca="false">IF(LEFT(LOWER(TRIM(L2318)),6)="cancel","Cancelled","Delivered")</f>
        <v>Delivered</v>
      </c>
      <c r="AH2318" s="10" t="n">
        <f aca="false">IF(ISNUMBER(SEARCH("/",B2318)),DATE(VALUE(RIGHT(B2318,4)),VALUE(MID(B2318,4,2)),VALUE(LEFT(B2318,2))),IF(MID(B2318,5,1)="-",DATE(VALUE(LEFT(B2318,4)),VALUE(MID(B2318,6,2)),VALUE(RIGHT(B2318,2))),DATE(VALUE(RIGHT(B2318,4)),MATCH(MID(B2318,4,3),{"Jan","Feb","Mar","Apr","May","Jun","Jul","Aug","Sep","Oct","Nov","Dec"},0),VALUE(LEFT(B2318,2)))))</f>
        <v>45758</v>
      </c>
    </row>
    <row r="2319" customFormat="false" ht="15" hidden="false" customHeight="false" outlineLevel="0" collapsed="false">
      <c r="A2319" s="7" t="s">
        <v>5219</v>
      </c>
      <c r="B2319" s="7" t="s">
        <v>1389</v>
      </c>
      <c r="C2319" s="7" t="s">
        <v>258</v>
      </c>
      <c r="D2319" s="7" t="s">
        <v>4706</v>
      </c>
      <c r="E2319" s="7" t="s">
        <v>138</v>
      </c>
      <c r="F2319" s="7" t="s">
        <v>110</v>
      </c>
      <c r="G2319" s="7" t="s">
        <v>139</v>
      </c>
      <c r="H2319" s="7" t="n">
        <v>3</v>
      </c>
      <c r="I2319" s="7" t="n">
        <v>190</v>
      </c>
      <c r="J2319" s="7" t="n">
        <v>0</v>
      </c>
      <c r="K2319" s="7" t="s">
        <v>88</v>
      </c>
      <c r="L2319" s="7" t="s">
        <v>194</v>
      </c>
      <c r="M2319" s="7" t="n">
        <v>48</v>
      </c>
      <c r="N2319" s="7" t="n">
        <v>4</v>
      </c>
      <c r="O2319" s="7" t="str">
        <f aca="false">A2319&amp;"|"&amp;B2319&amp;"|"&amp;C2319&amp;"|"&amp;D2319&amp;"|"&amp;E2319&amp;"|"&amp;F2319&amp;"|"&amp;G2319&amp;"|"&amp;H2319&amp;"|"&amp;I2319&amp;"|"&amp;J2319&amp;"|"&amp;K2319&amp;"|"&amp;L2319&amp;"|"&amp;M2319&amp;"|"&amp;N2319</f>
        <v>ORD11202|2025-06-01|20:24|C1180|Burger Barn|Delhi|Burgers|3|190|0|UPI|Delivered|48|4</v>
      </c>
      <c r="P2319" s="7" t="str">
        <f aca="false">IF(COUNTIF($O$2:O2319,O2319)&gt;1,"DUP","OK")</f>
        <v>OK</v>
      </c>
      <c r="Q2319" s="7" t="n">
        <f aca="false">COUNTBLANK(A2319:N2319)</f>
        <v>0</v>
      </c>
      <c r="R2319" s="7" t="n">
        <f aca="false">IF(A2319="",0,COUNTIFS($A$2:$A$3058,A2319,$P$2:$P$3058,"OK"))</f>
        <v>1</v>
      </c>
      <c r="S2319" s="7" t="str">
        <f aca="false">IF(OR(A2319="",P2319="DUP",R2319&lt;2),"",IF(Q2319=_xlfn.MINIFS($Q$2:$Q$3058,$A$2:$A$3058,A2319,$P$2:$P$3058,"OK"),"KEEP","DROP"))</f>
        <v/>
      </c>
      <c r="T2319" s="9" t="n">
        <f aca="false">IF(A2319="",1,0)</f>
        <v>0</v>
      </c>
      <c r="U2319" s="9" t="n">
        <f aca="false">IF(D2319="",1,0)</f>
        <v>0</v>
      </c>
      <c r="V2319" s="9" t="n">
        <f aca="false">IF(E2319="",1,0)</f>
        <v>0</v>
      </c>
      <c r="W2319" s="9" t="n">
        <f aca="false">IF(OR(H2319&lt;1,H2319&gt;10),1,0)</f>
        <v>0</v>
      </c>
      <c r="X2319" s="9" t="n">
        <f aca="false">IF(OR(I2319&lt;=0,I2319&gt;1500),1,0)</f>
        <v>0</v>
      </c>
      <c r="Y2319" s="9" t="n">
        <f aca="false">IF(J2319&gt;H2319*I2319,1,0)</f>
        <v>0</v>
      </c>
      <c r="Z2319" s="9" t="n">
        <f aca="false">IF(AND(N2319&lt;&gt;"",OR(N2319&lt;1,N2319&gt;5)),1,0)</f>
        <v>0</v>
      </c>
      <c r="AA2319" s="9" t="n">
        <f aca="false">IF(AND(M2319&lt;&gt;"",OR(M2319&lt;5,M2319&gt;180)),1,0)</f>
        <v>0</v>
      </c>
      <c r="AB2319" s="7" t="str">
        <f aca="false">IF(P2319="DUP","Exact duplicate row",IF(T2319=1,"Missing Order ID",IF(S2319="DROP","Duplicate Order ID (less complete row)",IF(U2319=1,"Missing Customer ID",IF(V2319=1,"Missing Restaurant name",IF(W2319=1,"Invalid/outlier quantity",IF(X2319=1,"Invalid/outlier unit price",IF(Y2319=1,"Discount greater than order value",""))))))))</f>
        <v/>
      </c>
      <c r="AC2319" s="7" t="str">
        <f aca="false">IF(AB2319="","KEEP","DROP")</f>
        <v>KEEP</v>
      </c>
      <c r="AD2319" s="7" t="str">
        <f aca="false">IF(TRIM(F2319)="",IFERROR(INDEX(Map_Tables!$I$4:$I$37,MATCH(TRIM(E2319),Map_Tables!$G$4:$G$37,0)),""),IFERROR(INDEX(Map_Tables!$B$4:$B$18,MATCH(TRIM(F2319),Map_Tables!$A$4:$A$18,0)),"CHECK"))</f>
        <v>Delhi</v>
      </c>
      <c r="AE2319" s="7" t="str">
        <f aca="false">IF(TRIM(E2319)="","",IFERROR(INDEX(Map_Tables!$H$4:$H$37,MATCH(TRIM(E2319),Map_Tables!$G$4:$G$37,0)),"CHECK"))</f>
        <v>Burger Barn</v>
      </c>
      <c r="AF2319" s="7" t="str">
        <f aca="false">IF(TRIM(K2319)="","Unknown",IFERROR(INDEX(Map_Tables!$E$4:$E$15,MATCH(TRIM(K2319),Map_Tables!$D$4:$D$15,0)),"CHECK"))</f>
        <v>UPI</v>
      </c>
      <c r="AG2319" s="7" t="str">
        <f aca="false">IF(LEFT(LOWER(TRIM(L2319)),6)="cancel","Cancelled","Delivered")</f>
        <v>Delivered</v>
      </c>
      <c r="AH2319" s="10" t="n">
        <f aca="false">IF(ISNUMBER(SEARCH("/",B2319)),DATE(VALUE(RIGHT(B2319,4)),VALUE(MID(B2319,4,2)),VALUE(LEFT(B2319,2))),IF(MID(B2319,5,1)="-",DATE(VALUE(LEFT(B2319,4)),VALUE(MID(B2319,6,2)),VALUE(RIGHT(B2319,2))),DATE(VALUE(RIGHT(B2319,4)),MATCH(MID(B2319,4,3),{"Jan","Feb","Mar","Apr","May","Jun","Jul","Aug","Sep","Oct","Nov","Dec"},0),VALUE(LEFT(B2319,2)))))</f>
        <v>45809</v>
      </c>
    </row>
    <row r="2320" customFormat="false" ht="15" hidden="false" customHeight="false" outlineLevel="0" collapsed="false">
      <c r="A2320" s="7" t="s">
        <v>5220</v>
      </c>
      <c r="B2320" s="7" t="s">
        <v>667</v>
      </c>
      <c r="C2320" s="7" t="s">
        <v>519</v>
      </c>
      <c r="D2320" s="7" t="s">
        <v>339</v>
      </c>
      <c r="E2320" s="7" t="s">
        <v>98</v>
      </c>
      <c r="F2320" s="7" t="s">
        <v>449</v>
      </c>
      <c r="G2320" s="7" t="s">
        <v>99</v>
      </c>
      <c r="H2320" s="7" t="n">
        <v>1</v>
      </c>
      <c r="I2320" s="7" t="n">
        <v>275</v>
      </c>
      <c r="J2320" s="7" t="n">
        <v>75</v>
      </c>
      <c r="K2320" s="7" t="s">
        <v>103</v>
      </c>
      <c r="L2320" s="7" t="s">
        <v>194</v>
      </c>
      <c r="M2320" s="7" t="n">
        <v>48</v>
      </c>
      <c r="N2320" s="7"/>
      <c r="O2320" s="7" t="str">
        <f aca="false">A2320&amp;"|"&amp;B2320&amp;"|"&amp;C2320&amp;"|"&amp;D2320&amp;"|"&amp;E2320&amp;"|"&amp;F2320&amp;"|"&amp;G2320&amp;"|"&amp;H2320&amp;"|"&amp;I2320&amp;"|"&amp;J2320&amp;"|"&amp;K2320&amp;"|"&amp;L2320&amp;"|"&amp;M2320&amp;"|"&amp;N2320</f>
        <v>ORD10423|2025-02-26|19:06|C0245|Nawabi Biryani House|BLR|Biryani|1|275|75|Debit Card|Delivered|48|</v>
      </c>
      <c r="P2320" s="7" t="str">
        <f aca="false">IF(COUNTIF($O$2:O2320,O2320)&gt;1,"DUP","OK")</f>
        <v>OK</v>
      </c>
      <c r="Q2320" s="7" t="n">
        <f aca="false">COUNTBLANK(A2320:N2320)</f>
        <v>1</v>
      </c>
      <c r="R2320" s="7" t="n">
        <f aca="false">IF(A2320="",0,COUNTIFS($A$2:$A$3058,A2320,$P$2:$P$3058,"OK"))</f>
        <v>1</v>
      </c>
      <c r="S2320" s="7" t="str">
        <f aca="false">IF(OR(A2320="",P2320="DUP",R2320&lt;2),"",IF(Q2320=_xlfn.MINIFS($Q$2:$Q$3058,$A$2:$A$3058,A2320,$P$2:$P$3058,"OK"),"KEEP","DROP"))</f>
        <v/>
      </c>
      <c r="T2320" s="9" t="n">
        <f aca="false">IF(A2320="",1,0)</f>
        <v>0</v>
      </c>
      <c r="U2320" s="9" t="n">
        <f aca="false">IF(D2320="",1,0)</f>
        <v>0</v>
      </c>
      <c r="V2320" s="9" t="n">
        <f aca="false">IF(E2320="",1,0)</f>
        <v>0</v>
      </c>
      <c r="W2320" s="9" t="n">
        <f aca="false">IF(OR(H2320&lt;1,H2320&gt;10),1,0)</f>
        <v>0</v>
      </c>
      <c r="X2320" s="9" t="n">
        <f aca="false">IF(OR(I2320&lt;=0,I2320&gt;1500),1,0)</f>
        <v>0</v>
      </c>
      <c r="Y2320" s="9" t="n">
        <f aca="false">IF(J2320&gt;H2320*I2320,1,0)</f>
        <v>0</v>
      </c>
      <c r="Z2320" s="9" t="n">
        <f aca="false">IF(AND(N2320&lt;&gt;"",OR(N2320&lt;1,N2320&gt;5)),1,0)</f>
        <v>0</v>
      </c>
      <c r="AA2320" s="9" t="n">
        <f aca="false">IF(AND(M2320&lt;&gt;"",OR(M2320&lt;5,M2320&gt;180)),1,0)</f>
        <v>0</v>
      </c>
      <c r="AB2320" s="7" t="str">
        <f aca="false">IF(P2320="DUP","Exact duplicate row",IF(T2320=1,"Missing Order ID",IF(S2320="DROP","Duplicate Order ID (less complete row)",IF(U2320=1,"Missing Customer ID",IF(V2320=1,"Missing Restaurant name",IF(W2320=1,"Invalid/outlier quantity",IF(X2320=1,"Invalid/outlier unit price",IF(Y2320=1,"Discount greater than order value",""))))))))</f>
        <v/>
      </c>
      <c r="AC2320" s="7" t="str">
        <f aca="false">IF(AB2320="","KEEP","DROP")</f>
        <v>KEEP</v>
      </c>
      <c r="AD2320" s="7" t="str">
        <f aca="false">IF(TRIM(F2320)="",IFERROR(INDEX(Map_Tables!$I$4:$I$37,MATCH(TRIM(E2320),Map_Tables!$G$4:$G$37,0)),""),IFERROR(INDEX(Map_Tables!$B$4:$B$18,MATCH(TRIM(F2320),Map_Tables!$A$4:$A$18,0)),"CHECK"))</f>
        <v>Bengaluru</v>
      </c>
      <c r="AE2320" s="7" t="str">
        <f aca="false">IF(TRIM(E2320)="","",IFERROR(INDEX(Map_Tables!$H$4:$H$37,MATCH(TRIM(E2320),Map_Tables!$G$4:$G$37,0)),"CHECK"))</f>
        <v>Nawabi Biryani House</v>
      </c>
      <c r="AF2320" s="7" t="str">
        <f aca="false">IF(TRIM(K2320)="","Unknown",IFERROR(INDEX(Map_Tables!$E$4:$E$15,MATCH(TRIM(K2320),Map_Tables!$D$4:$D$15,0)),"CHECK"))</f>
        <v>Debit Card</v>
      </c>
      <c r="AG2320" s="7" t="str">
        <f aca="false">IF(LEFT(LOWER(TRIM(L2320)),6)="cancel","Cancelled","Delivered")</f>
        <v>Delivered</v>
      </c>
      <c r="AH2320" s="10" t="n">
        <f aca="false">IF(ISNUMBER(SEARCH("/",B2320)),DATE(VALUE(RIGHT(B2320,4)),VALUE(MID(B2320,4,2)),VALUE(LEFT(B2320,2))),IF(MID(B2320,5,1)="-",DATE(VALUE(LEFT(B2320,4)),VALUE(MID(B2320,6,2)),VALUE(RIGHT(B2320,2))),DATE(VALUE(RIGHT(B2320,4)),MATCH(MID(B2320,4,3),{"Jan","Feb","Mar","Apr","May","Jun","Jul","Aug","Sep","Oct","Nov","Dec"},0),VALUE(LEFT(B2320,2)))))</f>
        <v>45714</v>
      </c>
    </row>
    <row r="2321" customFormat="false" ht="15" hidden="false" customHeight="false" outlineLevel="0" collapsed="false">
      <c r="A2321" s="7" t="s">
        <v>4614</v>
      </c>
      <c r="B2321" s="7" t="s">
        <v>1923</v>
      </c>
      <c r="C2321" s="7" t="s">
        <v>2552</v>
      </c>
      <c r="D2321" s="7" t="s">
        <v>2310</v>
      </c>
      <c r="E2321" s="7" t="s">
        <v>138</v>
      </c>
      <c r="F2321" s="7" t="s">
        <v>110</v>
      </c>
      <c r="G2321" s="7" t="s">
        <v>139</v>
      </c>
      <c r="H2321" s="7" t="n">
        <v>1</v>
      </c>
      <c r="I2321" s="7" t="n">
        <v>165</v>
      </c>
      <c r="J2321" s="7" t="n">
        <v>20</v>
      </c>
      <c r="K2321" s="7" t="s">
        <v>112</v>
      </c>
      <c r="L2321" s="7" t="s">
        <v>194</v>
      </c>
      <c r="M2321" s="7" t="n">
        <v>48</v>
      </c>
      <c r="N2321" s="7" t="n">
        <v>5</v>
      </c>
      <c r="O2321" s="7" t="str">
        <f aca="false">A2321&amp;"|"&amp;B2321&amp;"|"&amp;C2321&amp;"|"&amp;D2321&amp;"|"&amp;E2321&amp;"|"&amp;F2321&amp;"|"&amp;G2321&amp;"|"&amp;H2321&amp;"|"&amp;I2321&amp;"|"&amp;J2321&amp;"|"&amp;K2321&amp;"|"&amp;L2321&amp;"|"&amp;M2321&amp;"|"&amp;N2321</f>
        <v>ORD10298|2025-02-10|10:38|C0240|Burger Barn|Delhi|Burgers|1|165|20|Cash on Delivery|Delivered|48|5</v>
      </c>
      <c r="P2321" s="7" t="str">
        <f aca="false">IF(COUNTIF($O$2:O2321,O2321)&gt;1,"DUP","OK")</f>
        <v>DUP</v>
      </c>
      <c r="Q2321" s="7" t="n">
        <f aca="false">COUNTBLANK(A2321:N2321)</f>
        <v>0</v>
      </c>
      <c r="R2321" s="7" t="n">
        <f aca="false">IF(A2321="",0,COUNTIFS($A$2:$A$3058,A2321,$P$2:$P$3058,"OK"))</f>
        <v>1</v>
      </c>
      <c r="S2321" s="7" t="str">
        <f aca="false">IF(OR(A2321="",P2321="DUP",R2321&lt;2),"",IF(Q2321=_xlfn.MINIFS($Q$2:$Q$3058,$A$2:$A$3058,A2321,$P$2:$P$3058,"OK"),"KEEP","DROP"))</f>
        <v/>
      </c>
      <c r="T2321" s="9" t="n">
        <f aca="false">IF(A2321="",1,0)</f>
        <v>0</v>
      </c>
      <c r="U2321" s="9" t="n">
        <f aca="false">IF(D2321="",1,0)</f>
        <v>0</v>
      </c>
      <c r="V2321" s="9" t="n">
        <f aca="false">IF(E2321="",1,0)</f>
        <v>0</v>
      </c>
      <c r="W2321" s="9" t="n">
        <f aca="false">IF(OR(H2321&lt;1,H2321&gt;10),1,0)</f>
        <v>0</v>
      </c>
      <c r="X2321" s="9" t="n">
        <f aca="false">IF(OR(I2321&lt;=0,I2321&gt;1500),1,0)</f>
        <v>0</v>
      </c>
      <c r="Y2321" s="9" t="n">
        <f aca="false">IF(J2321&gt;H2321*I2321,1,0)</f>
        <v>0</v>
      </c>
      <c r="Z2321" s="9" t="n">
        <f aca="false">IF(AND(N2321&lt;&gt;"",OR(N2321&lt;1,N2321&gt;5)),1,0)</f>
        <v>0</v>
      </c>
      <c r="AA2321" s="9" t="n">
        <f aca="false">IF(AND(M2321&lt;&gt;"",OR(M2321&lt;5,M2321&gt;180)),1,0)</f>
        <v>0</v>
      </c>
      <c r="AB2321" s="7" t="str">
        <f aca="false">IF(P2321="DUP","Exact duplicate row",IF(T2321=1,"Missing Order ID",IF(S2321="DROP","Duplicate Order ID (less complete row)",IF(U2321=1,"Missing Customer ID",IF(V2321=1,"Missing Restaurant name",IF(W2321=1,"Invalid/outlier quantity",IF(X2321=1,"Invalid/outlier unit price",IF(Y2321=1,"Discount greater than order value",""))))))))</f>
        <v>Exact duplicate row</v>
      </c>
      <c r="AC2321" s="7" t="str">
        <f aca="false">IF(AB2321="","KEEP","DROP")</f>
        <v>DROP</v>
      </c>
      <c r="AD2321" s="7" t="str">
        <f aca="false">IF(TRIM(F2321)="",IFERROR(INDEX(Map_Tables!$I$4:$I$37,MATCH(TRIM(E2321),Map_Tables!$G$4:$G$37,0)),""),IFERROR(INDEX(Map_Tables!$B$4:$B$18,MATCH(TRIM(F2321),Map_Tables!$A$4:$A$18,0)),"CHECK"))</f>
        <v>Delhi</v>
      </c>
      <c r="AE2321" s="7" t="str">
        <f aca="false">IF(TRIM(E2321)="","",IFERROR(INDEX(Map_Tables!$H$4:$H$37,MATCH(TRIM(E2321),Map_Tables!$G$4:$G$37,0)),"CHECK"))</f>
        <v>Burger Barn</v>
      </c>
      <c r="AF2321" s="7" t="str">
        <f aca="false">IF(TRIM(K2321)="","Unknown",IFERROR(INDEX(Map_Tables!$E$4:$E$15,MATCH(TRIM(K2321),Map_Tables!$D$4:$D$15,0)),"CHECK"))</f>
        <v>Cash on Delivery</v>
      </c>
      <c r="AG2321" s="7" t="str">
        <f aca="false">IF(LEFT(LOWER(TRIM(L2321)),6)="cancel","Cancelled","Delivered")</f>
        <v>Delivered</v>
      </c>
      <c r="AH2321" s="10" t="n">
        <f aca="false">IF(ISNUMBER(SEARCH("/",B2321)),DATE(VALUE(RIGHT(B2321,4)),VALUE(MID(B2321,4,2)),VALUE(LEFT(B2321,2))),IF(MID(B2321,5,1)="-",DATE(VALUE(LEFT(B2321,4)),VALUE(MID(B2321,6,2)),VALUE(RIGHT(B2321,2))),DATE(VALUE(RIGHT(B2321,4)),MATCH(MID(B2321,4,3),{"Jan","Feb","Mar","Apr","May","Jun","Jul","Aug","Sep","Oct","Nov","Dec"},0),VALUE(LEFT(B2321,2)))))</f>
        <v>45698</v>
      </c>
    </row>
    <row r="2322" customFormat="false" ht="15" hidden="false" customHeight="false" outlineLevel="0" collapsed="false">
      <c r="A2322" s="7" t="s">
        <v>5221</v>
      </c>
      <c r="B2322" s="7" t="s">
        <v>1373</v>
      </c>
      <c r="C2322" s="7" t="s">
        <v>3758</v>
      </c>
      <c r="D2322" s="7" t="s">
        <v>3284</v>
      </c>
      <c r="E2322" s="7" t="s">
        <v>130</v>
      </c>
      <c r="F2322" s="7" t="s">
        <v>110</v>
      </c>
      <c r="G2322" s="7" t="s">
        <v>90</v>
      </c>
      <c r="H2322" s="7" t="n">
        <v>1</v>
      </c>
      <c r="I2322" s="7" t="n">
        <v>280</v>
      </c>
      <c r="J2322" s="7" t="n">
        <v>0</v>
      </c>
      <c r="K2322" s="7" t="s">
        <v>88</v>
      </c>
      <c r="L2322" s="7" t="s">
        <v>194</v>
      </c>
      <c r="M2322" s="7" t="n">
        <v>42</v>
      </c>
      <c r="N2322" s="7" t="n">
        <v>4</v>
      </c>
      <c r="O2322" s="7" t="str">
        <f aca="false">A2322&amp;"|"&amp;B2322&amp;"|"&amp;C2322&amp;"|"&amp;D2322&amp;"|"&amp;E2322&amp;"|"&amp;F2322&amp;"|"&amp;G2322&amp;"|"&amp;H2322&amp;"|"&amp;I2322&amp;"|"&amp;J2322&amp;"|"&amp;K2322&amp;"|"&amp;L2322&amp;"|"&amp;M2322&amp;"|"&amp;N2322</f>
        <v>ORD11884|2025-09-03|10:13|C0767|Tandoor Tales|Delhi|North Indian|1|280|0|UPI|Delivered|42|4</v>
      </c>
      <c r="P2322" s="7" t="str">
        <f aca="false">IF(COUNTIF($O$2:O2322,O2322)&gt;1,"DUP","OK")</f>
        <v>OK</v>
      </c>
      <c r="Q2322" s="7" t="n">
        <f aca="false">COUNTBLANK(A2322:N2322)</f>
        <v>0</v>
      </c>
      <c r="R2322" s="7" t="n">
        <f aca="false">IF(A2322="",0,COUNTIFS($A$2:$A$3058,A2322,$P$2:$P$3058,"OK"))</f>
        <v>1</v>
      </c>
      <c r="S2322" s="7" t="str">
        <f aca="false">IF(OR(A2322="",P2322="DUP",R2322&lt;2),"",IF(Q2322=_xlfn.MINIFS($Q$2:$Q$3058,$A$2:$A$3058,A2322,$P$2:$P$3058,"OK"),"KEEP","DROP"))</f>
        <v/>
      </c>
      <c r="T2322" s="9" t="n">
        <f aca="false">IF(A2322="",1,0)</f>
        <v>0</v>
      </c>
      <c r="U2322" s="9" t="n">
        <f aca="false">IF(D2322="",1,0)</f>
        <v>0</v>
      </c>
      <c r="V2322" s="9" t="n">
        <f aca="false">IF(E2322="",1,0)</f>
        <v>0</v>
      </c>
      <c r="W2322" s="9" t="n">
        <f aca="false">IF(OR(H2322&lt;1,H2322&gt;10),1,0)</f>
        <v>0</v>
      </c>
      <c r="X2322" s="9" t="n">
        <f aca="false">IF(OR(I2322&lt;=0,I2322&gt;1500),1,0)</f>
        <v>0</v>
      </c>
      <c r="Y2322" s="9" t="n">
        <f aca="false">IF(J2322&gt;H2322*I2322,1,0)</f>
        <v>0</v>
      </c>
      <c r="Z2322" s="9" t="n">
        <f aca="false">IF(AND(N2322&lt;&gt;"",OR(N2322&lt;1,N2322&gt;5)),1,0)</f>
        <v>0</v>
      </c>
      <c r="AA2322" s="9" t="n">
        <f aca="false">IF(AND(M2322&lt;&gt;"",OR(M2322&lt;5,M2322&gt;180)),1,0)</f>
        <v>0</v>
      </c>
      <c r="AB2322" s="7" t="str">
        <f aca="false">IF(P2322="DUP","Exact duplicate row",IF(T2322=1,"Missing Order ID",IF(S2322="DROP","Duplicate Order ID (less complete row)",IF(U2322=1,"Missing Customer ID",IF(V2322=1,"Missing Restaurant name",IF(W2322=1,"Invalid/outlier quantity",IF(X2322=1,"Invalid/outlier unit price",IF(Y2322=1,"Discount greater than order value",""))))))))</f>
        <v/>
      </c>
      <c r="AC2322" s="7" t="str">
        <f aca="false">IF(AB2322="","KEEP","DROP")</f>
        <v>KEEP</v>
      </c>
      <c r="AD2322" s="7" t="str">
        <f aca="false">IF(TRIM(F2322)="",IFERROR(INDEX(Map_Tables!$I$4:$I$37,MATCH(TRIM(E2322),Map_Tables!$G$4:$G$37,0)),""),IFERROR(INDEX(Map_Tables!$B$4:$B$18,MATCH(TRIM(F2322),Map_Tables!$A$4:$A$18,0)),"CHECK"))</f>
        <v>Delhi</v>
      </c>
      <c r="AE2322" s="7" t="str">
        <f aca="false">IF(TRIM(E2322)="","",IFERROR(INDEX(Map_Tables!$H$4:$H$37,MATCH(TRIM(E2322),Map_Tables!$G$4:$G$37,0)),"CHECK"))</f>
        <v>Tandoor Tales</v>
      </c>
      <c r="AF2322" s="7" t="str">
        <f aca="false">IF(TRIM(K2322)="","Unknown",IFERROR(INDEX(Map_Tables!$E$4:$E$15,MATCH(TRIM(K2322),Map_Tables!$D$4:$D$15,0)),"CHECK"))</f>
        <v>UPI</v>
      </c>
      <c r="AG2322" s="7" t="str">
        <f aca="false">IF(LEFT(LOWER(TRIM(L2322)),6)="cancel","Cancelled","Delivered")</f>
        <v>Delivered</v>
      </c>
      <c r="AH2322" s="10" t="n">
        <f aca="false">IF(ISNUMBER(SEARCH("/",B2322)),DATE(VALUE(RIGHT(B2322,4)),VALUE(MID(B2322,4,2)),VALUE(LEFT(B2322,2))),IF(MID(B2322,5,1)="-",DATE(VALUE(LEFT(B2322,4)),VALUE(MID(B2322,6,2)),VALUE(RIGHT(B2322,2))),DATE(VALUE(RIGHT(B2322,4)),MATCH(MID(B2322,4,3),{"Jan","Feb","Mar","Apr","May","Jun","Jul","Aug","Sep","Oct","Nov","Dec"},0),VALUE(LEFT(B2322,2)))))</f>
        <v>45903</v>
      </c>
    </row>
    <row r="2323" customFormat="false" ht="15" hidden="false" customHeight="false" outlineLevel="0" collapsed="false">
      <c r="A2323" s="7" t="s">
        <v>5222</v>
      </c>
      <c r="B2323" s="7" t="s">
        <v>1603</v>
      </c>
      <c r="C2323" s="7" t="s">
        <v>2048</v>
      </c>
      <c r="D2323" s="7" t="s">
        <v>1110</v>
      </c>
      <c r="E2323" s="7" t="s">
        <v>113</v>
      </c>
      <c r="F2323" s="7" t="s">
        <v>101</v>
      </c>
      <c r="G2323" s="7" t="s">
        <v>90</v>
      </c>
      <c r="H2323" s="7" t="n">
        <v>1</v>
      </c>
      <c r="I2323" s="7" t="n">
        <v>275</v>
      </c>
      <c r="J2323" s="7" t="n">
        <v>50</v>
      </c>
      <c r="K2323" s="7" t="s">
        <v>88</v>
      </c>
      <c r="L2323" s="7" t="s">
        <v>194</v>
      </c>
      <c r="M2323" s="7" t="n">
        <v>51</v>
      </c>
      <c r="N2323" s="7" t="n">
        <v>4</v>
      </c>
      <c r="O2323" s="7" t="str">
        <f aca="false">A2323&amp;"|"&amp;B2323&amp;"|"&amp;C2323&amp;"|"&amp;D2323&amp;"|"&amp;E2323&amp;"|"&amp;F2323&amp;"|"&amp;G2323&amp;"|"&amp;H2323&amp;"|"&amp;I2323&amp;"|"&amp;J2323&amp;"|"&amp;K2323&amp;"|"&amp;L2323&amp;"|"&amp;M2323&amp;"|"&amp;N2323</f>
        <v>ORD12986|2025-12-30|12:58|C1252|Curry Leaf Kitchen|Mumbai|North Indian|1|275|50|UPI|Delivered|51|4</v>
      </c>
      <c r="P2323" s="7" t="str">
        <f aca="false">IF(COUNTIF($O$2:O2323,O2323)&gt;1,"DUP","OK")</f>
        <v>OK</v>
      </c>
      <c r="Q2323" s="7" t="n">
        <f aca="false">COUNTBLANK(A2323:N2323)</f>
        <v>0</v>
      </c>
      <c r="R2323" s="7" t="n">
        <f aca="false">IF(A2323="",0,COUNTIFS($A$2:$A$3058,A2323,$P$2:$P$3058,"OK"))</f>
        <v>1</v>
      </c>
      <c r="S2323" s="7" t="str">
        <f aca="false">IF(OR(A2323="",P2323="DUP",R2323&lt;2),"",IF(Q2323=_xlfn.MINIFS($Q$2:$Q$3058,$A$2:$A$3058,A2323,$P$2:$P$3058,"OK"),"KEEP","DROP"))</f>
        <v/>
      </c>
      <c r="T2323" s="9" t="n">
        <f aca="false">IF(A2323="",1,0)</f>
        <v>0</v>
      </c>
      <c r="U2323" s="9" t="n">
        <f aca="false">IF(D2323="",1,0)</f>
        <v>0</v>
      </c>
      <c r="V2323" s="9" t="n">
        <f aca="false">IF(E2323="",1,0)</f>
        <v>0</v>
      </c>
      <c r="W2323" s="9" t="n">
        <f aca="false">IF(OR(H2323&lt;1,H2323&gt;10),1,0)</f>
        <v>0</v>
      </c>
      <c r="X2323" s="9" t="n">
        <f aca="false">IF(OR(I2323&lt;=0,I2323&gt;1500),1,0)</f>
        <v>0</v>
      </c>
      <c r="Y2323" s="9" t="n">
        <f aca="false">IF(J2323&gt;H2323*I2323,1,0)</f>
        <v>0</v>
      </c>
      <c r="Z2323" s="9" t="n">
        <f aca="false">IF(AND(N2323&lt;&gt;"",OR(N2323&lt;1,N2323&gt;5)),1,0)</f>
        <v>0</v>
      </c>
      <c r="AA2323" s="9" t="n">
        <f aca="false">IF(AND(M2323&lt;&gt;"",OR(M2323&lt;5,M2323&gt;180)),1,0)</f>
        <v>0</v>
      </c>
      <c r="AB2323" s="7" t="str">
        <f aca="false">IF(P2323="DUP","Exact duplicate row",IF(T2323=1,"Missing Order ID",IF(S2323="DROP","Duplicate Order ID (less complete row)",IF(U2323=1,"Missing Customer ID",IF(V2323=1,"Missing Restaurant name",IF(W2323=1,"Invalid/outlier quantity",IF(X2323=1,"Invalid/outlier unit price",IF(Y2323=1,"Discount greater than order value",""))))))))</f>
        <v/>
      </c>
      <c r="AC2323" s="7" t="str">
        <f aca="false">IF(AB2323="","KEEP","DROP")</f>
        <v>KEEP</v>
      </c>
      <c r="AD2323" s="7" t="str">
        <f aca="false">IF(TRIM(F2323)="",IFERROR(INDEX(Map_Tables!$I$4:$I$37,MATCH(TRIM(E2323),Map_Tables!$G$4:$G$37,0)),""),IFERROR(INDEX(Map_Tables!$B$4:$B$18,MATCH(TRIM(F2323),Map_Tables!$A$4:$A$18,0)),"CHECK"))</f>
        <v>Mumbai</v>
      </c>
      <c r="AE2323" s="7" t="str">
        <f aca="false">IF(TRIM(E2323)="","",IFERROR(INDEX(Map_Tables!$H$4:$H$37,MATCH(TRIM(E2323),Map_Tables!$G$4:$G$37,0)),"CHECK"))</f>
        <v>Curry Leaf Kitchen</v>
      </c>
      <c r="AF2323" s="7" t="str">
        <f aca="false">IF(TRIM(K2323)="","Unknown",IFERROR(INDEX(Map_Tables!$E$4:$E$15,MATCH(TRIM(K2323),Map_Tables!$D$4:$D$15,0)),"CHECK"))</f>
        <v>UPI</v>
      </c>
      <c r="AG2323" s="7" t="str">
        <f aca="false">IF(LEFT(LOWER(TRIM(L2323)),6)="cancel","Cancelled","Delivered")</f>
        <v>Delivered</v>
      </c>
      <c r="AH2323" s="10" t="n">
        <f aca="false">IF(ISNUMBER(SEARCH("/",B2323)),DATE(VALUE(RIGHT(B2323,4)),VALUE(MID(B2323,4,2)),VALUE(LEFT(B2323,2))),IF(MID(B2323,5,1)="-",DATE(VALUE(LEFT(B2323,4)),VALUE(MID(B2323,6,2)),VALUE(RIGHT(B2323,2))),DATE(VALUE(RIGHT(B2323,4)),MATCH(MID(B2323,4,3),{"Jan","Feb","Mar","Apr","May","Jun","Jul","Aug","Sep","Oct","Nov","Dec"},0),VALUE(LEFT(B2323,2)))))</f>
        <v>46021</v>
      </c>
    </row>
    <row r="2324" customFormat="false" ht="15" hidden="false" customHeight="false" outlineLevel="0" collapsed="false">
      <c r="A2324" s="7" t="s">
        <v>5223</v>
      </c>
      <c r="B2324" s="7" t="s">
        <v>3156</v>
      </c>
      <c r="C2324" s="7" t="s">
        <v>3564</v>
      </c>
      <c r="D2324" s="7" t="s">
        <v>5224</v>
      </c>
      <c r="E2324" s="7" t="s">
        <v>134</v>
      </c>
      <c r="F2324" s="7" t="s">
        <v>110</v>
      </c>
      <c r="G2324" s="7" t="s">
        <v>117</v>
      </c>
      <c r="H2324" s="7" t="n">
        <v>4</v>
      </c>
      <c r="I2324" s="7" t="n">
        <v>105</v>
      </c>
      <c r="J2324" s="7" t="n">
        <v>0</v>
      </c>
      <c r="K2324" s="7" t="s">
        <v>88</v>
      </c>
      <c r="L2324" s="7" t="s">
        <v>194</v>
      </c>
      <c r="M2324" s="7" t="n">
        <v>37</v>
      </c>
      <c r="N2324" s="7" t="n">
        <v>5</v>
      </c>
      <c r="O2324" s="7" t="str">
        <f aca="false">A2324&amp;"|"&amp;B2324&amp;"|"&amp;C2324&amp;"|"&amp;D2324&amp;"|"&amp;E2324&amp;"|"&amp;F2324&amp;"|"&amp;G2324&amp;"|"&amp;H2324&amp;"|"&amp;I2324&amp;"|"&amp;J2324&amp;"|"&amp;K2324&amp;"|"&amp;L2324&amp;"|"&amp;M2324&amp;"|"&amp;N2324</f>
        <v>ORD11480|2025-07-11|21:42|C1354|Chaat Corner|Delhi|Street Food|4|105|0|UPI|Delivered|37|5</v>
      </c>
      <c r="P2324" s="7" t="str">
        <f aca="false">IF(COUNTIF($O$2:O2324,O2324)&gt;1,"DUP","OK")</f>
        <v>OK</v>
      </c>
      <c r="Q2324" s="7" t="n">
        <f aca="false">COUNTBLANK(A2324:N2324)</f>
        <v>0</v>
      </c>
      <c r="R2324" s="7" t="n">
        <f aca="false">IF(A2324="",0,COUNTIFS($A$2:$A$3058,A2324,$P$2:$P$3058,"OK"))</f>
        <v>1</v>
      </c>
      <c r="S2324" s="7" t="str">
        <f aca="false">IF(OR(A2324="",P2324="DUP",R2324&lt;2),"",IF(Q2324=_xlfn.MINIFS($Q$2:$Q$3058,$A$2:$A$3058,A2324,$P$2:$P$3058,"OK"),"KEEP","DROP"))</f>
        <v/>
      </c>
      <c r="T2324" s="9" t="n">
        <f aca="false">IF(A2324="",1,0)</f>
        <v>0</v>
      </c>
      <c r="U2324" s="9" t="n">
        <f aca="false">IF(D2324="",1,0)</f>
        <v>0</v>
      </c>
      <c r="V2324" s="9" t="n">
        <f aca="false">IF(E2324="",1,0)</f>
        <v>0</v>
      </c>
      <c r="W2324" s="9" t="n">
        <f aca="false">IF(OR(H2324&lt;1,H2324&gt;10),1,0)</f>
        <v>0</v>
      </c>
      <c r="X2324" s="9" t="n">
        <f aca="false">IF(OR(I2324&lt;=0,I2324&gt;1500),1,0)</f>
        <v>0</v>
      </c>
      <c r="Y2324" s="9" t="n">
        <f aca="false">IF(J2324&gt;H2324*I2324,1,0)</f>
        <v>0</v>
      </c>
      <c r="Z2324" s="9" t="n">
        <f aca="false">IF(AND(N2324&lt;&gt;"",OR(N2324&lt;1,N2324&gt;5)),1,0)</f>
        <v>0</v>
      </c>
      <c r="AA2324" s="9" t="n">
        <f aca="false">IF(AND(M2324&lt;&gt;"",OR(M2324&lt;5,M2324&gt;180)),1,0)</f>
        <v>0</v>
      </c>
      <c r="AB2324" s="7" t="str">
        <f aca="false">IF(P2324="DUP","Exact duplicate row",IF(T2324=1,"Missing Order ID",IF(S2324="DROP","Duplicate Order ID (less complete row)",IF(U2324=1,"Missing Customer ID",IF(V2324=1,"Missing Restaurant name",IF(W2324=1,"Invalid/outlier quantity",IF(X2324=1,"Invalid/outlier unit price",IF(Y2324=1,"Discount greater than order value",""))))))))</f>
        <v/>
      </c>
      <c r="AC2324" s="7" t="str">
        <f aca="false">IF(AB2324="","KEEP","DROP")</f>
        <v>KEEP</v>
      </c>
      <c r="AD2324" s="7" t="str">
        <f aca="false">IF(TRIM(F2324)="",IFERROR(INDEX(Map_Tables!$I$4:$I$37,MATCH(TRIM(E2324),Map_Tables!$G$4:$G$37,0)),""),IFERROR(INDEX(Map_Tables!$B$4:$B$18,MATCH(TRIM(F2324),Map_Tables!$A$4:$A$18,0)),"CHECK"))</f>
        <v>Delhi</v>
      </c>
      <c r="AE2324" s="7" t="str">
        <f aca="false">IF(TRIM(E2324)="","",IFERROR(INDEX(Map_Tables!$H$4:$H$37,MATCH(TRIM(E2324),Map_Tables!$G$4:$G$37,0)),"CHECK"))</f>
        <v>Chaat Corner</v>
      </c>
      <c r="AF2324" s="7" t="str">
        <f aca="false">IF(TRIM(K2324)="","Unknown",IFERROR(INDEX(Map_Tables!$E$4:$E$15,MATCH(TRIM(K2324),Map_Tables!$D$4:$D$15,0)),"CHECK"))</f>
        <v>UPI</v>
      </c>
      <c r="AG2324" s="7" t="str">
        <f aca="false">IF(LEFT(LOWER(TRIM(L2324)),6)="cancel","Cancelled","Delivered")</f>
        <v>Delivered</v>
      </c>
      <c r="AH2324" s="10" t="n">
        <f aca="false">IF(ISNUMBER(SEARCH("/",B2324)),DATE(VALUE(RIGHT(B2324,4)),VALUE(MID(B2324,4,2)),VALUE(LEFT(B2324,2))),IF(MID(B2324,5,1)="-",DATE(VALUE(LEFT(B2324,4)),VALUE(MID(B2324,6,2)),VALUE(RIGHT(B2324,2))),DATE(VALUE(RIGHT(B2324,4)),MATCH(MID(B2324,4,3),{"Jan","Feb","Mar","Apr","May","Jun","Jul","Aug","Sep","Oct","Nov","Dec"},0),VALUE(LEFT(B2324,2)))))</f>
        <v>45849</v>
      </c>
    </row>
    <row r="2325" customFormat="false" ht="15" hidden="false" customHeight="false" outlineLevel="0" collapsed="false">
      <c r="A2325" s="7" t="s">
        <v>5225</v>
      </c>
      <c r="B2325" s="7" t="s">
        <v>3294</v>
      </c>
      <c r="C2325" s="7" t="s">
        <v>2939</v>
      </c>
      <c r="D2325" s="7" t="s">
        <v>5226</v>
      </c>
      <c r="E2325" s="7" t="s">
        <v>138</v>
      </c>
      <c r="F2325" s="7" t="s">
        <v>110</v>
      </c>
      <c r="G2325" s="7" t="s">
        <v>139</v>
      </c>
      <c r="H2325" s="7" t="n">
        <v>60</v>
      </c>
      <c r="I2325" s="7" t="n">
        <v>235</v>
      </c>
      <c r="J2325" s="7" t="n">
        <v>40</v>
      </c>
      <c r="K2325" s="7" t="s">
        <v>88</v>
      </c>
      <c r="L2325" s="7" t="s">
        <v>194</v>
      </c>
      <c r="M2325" s="7" t="n">
        <v>30</v>
      </c>
      <c r="N2325" s="7" t="n">
        <v>5</v>
      </c>
      <c r="O2325" s="7" t="str">
        <f aca="false">A2325&amp;"|"&amp;B2325&amp;"|"&amp;C2325&amp;"|"&amp;D2325&amp;"|"&amp;E2325&amp;"|"&amp;F2325&amp;"|"&amp;G2325&amp;"|"&amp;H2325&amp;"|"&amp;I2325&amp;"|"&amp;J2325&amp;"|"&amp;K2325&amp;"|"&amp;L2325&amp;"|"&amp;M2325&amp;"|"&amp;N2325</f>
        <v>ORD11929|2025-09-07|17:33|C0247|Burger Barn|Delhi|Burgers|60|235|40|UPI|Delivered|30|5</v>
      </c>
      <c r="P2325" s="7" t="str">
        <f aca="false">IF(COUNTIF($O$2:O2325,O2325)&gt;1,"DUP","OK")</f>
        <v>OK</v>
      </c>
      <c r="Q2325" s="7" t="n">
        <f aca="false">COUNTBLANK(A2325:N2325)</f>
        <v>0</v>
      </c>
      <c r="R2325" s="7" t="n">
        <f aca="false">IF(A2325="",0,COUNTIFS($A$2:$A$3058,A2325,$P$2:$P$3058,"OK"))</f>
        <v>1</v>
      </c>
      <c r="S2325" s="7" t="str">
        <f aca="false">IF(OR(A2325="",P2325="DUP",R2325&lt;2),"",IF(Q2325=_xlfn.MINIFS($Q$2:$Q$3058,$A$2:$A$3058,A2325,$P$2:$P$3058,"OK"),"KEEP","DROP"))</f>
        <v/>
      </c>
      <c r="T2325" s="9" t="n">
        <f aca="false">IF(A2325="",1,0)</f>
        <v>0</v>
      </c>
      <c r="U2325" s="9" t="n">
        <f aca="false">IF(D2325="",1,0)</f>
        <v>0</v>
      </c>
      <c r="V2325" s="9" t="n">
        <f aca="false">IF(E2325="",1,0)</f>
        <v>0</v>
      </c>
      <c r="W2325" s="9" t="n">
        <f aca="false">IF(OR(H2325&lt;1,H2325&gt;10),1,0)</f>
        <v>1</v>
      </c>
      <c r="X2325" s="9" t="n">
        <f aca="false">IF(OR(I2325&lt;=0,I2325&gt;1500),1,0)</f>
        <v>0</v>
      </c>
      <c r="Y2325" s="9" t="n">
        <f aca="false">IF(J2325&gt;H2325*I2325,1,0)</f>
        <v>0</v>
      </c>
      <c r="Z2325" s="9" t="n">
        <f aca="false">IF(AND(N2325&lt;&gt;"",OR(N2325&lt;1,N2325&gt;5)),1,0)</f>
        <v>0</v>
      </c>
      <c r="AA2325" s="9" t="n">
        <f aca="false">IF(AND(M2325&lt;&gt;"",OR(M2325&lt;5,M2325&gt;180)),1,0)</f>
        <v>0</v>
      </c>
      <c r="AB2325" s="7" t="str">
        <f aca="false">IF(P2325="DUP","Exact duplicate row",IF(T2325=1,"Missing Order ID",IF(S2325="DROP","Duplicate Order ID (less complete row)",IF(U2325=1,"Missing Customer ID",IF(V2325=1,"Missing Restaurant name",IF(W2325=1,"Invalid/outlier quantity",IF(X2325=1,"Invalid/outlier unit price",IF(Y2325=1,"Discount greater than order value",""))))))))</f>
        <v>Invalid/outlier quantity</v>
      </c>
      <c r="AC2325" s="7" t="str">
        <f aca="false">IF(AB2325="","KEEP","DROP")</f>
        <v>DROP</v>
      </c>
      <c r="AD2325" s="7" t="str">
        <f aca="false">IF(TRIM(F2325)="",IFERROR(INDEX(Map_Tables!$I$4:$I$37,MATCH(TRIM(E2325),Map_Tables!$G$4:$G$37,0)),""),IFERROR(INDEX(Map_Tables!$B$4:$B$18,MATCH(TRIM(F2325),Map_Tables!$A$4:$A$18,0)),"CHECK"))</f>
        <v>Delhi</v>
      </c>
      <c r="AE2325" s="7" t="str">
        <f aca="false">IF(TRIM(E2325)="","",IFERROR(INDEX(Map_Tables!$H$4:$H$37,MATCH(TRIM(E2325),Map_Tables!$G$4:$G$37,0)),"CHECK"))</f>
        <v>Burger Barn</v>
      </c>
      <c r="AF2325" s="7" t="str">
        <f aca="false">IF(TRIM(K2325)="","Unknown",IFERROR(INDEX(Map_Tables!$E$4:$E$15,MATCH(TRIM(K2325),Map_Tables!$D$4:$D$15,0)),"CHECK"))</f>
        <v>UPI</v>
      </c>
      <c r="AG2325" s="7" t="str">
        <f aca="false">IF(LEFT(LOWER(TRIM(L2325)),6)="cancel","Cancelled","Delivered")</f>
        <v>Delivered</v>
      </c>
      <c r="AH2325" s="10" t="n">
        <f aca="false">IF(ISNUMBER(SEARCH("/",B2325)),DATE(VALUE(RIGHT(B2325,4)),VALUE(MID(B2325,4,2)),VALUE(LEFT(B2325,2))),IF(MID(B2325,5,1)="-",DATE(VALUE(LEFT(B2325,4)),VALUE(MID(B2325,6,2)),VALUE(RIGHT(B2325,2))),DATE(VALUE(RIGHT(B2325,4)),MATCH(MID(B2325,4,3),{"Jan","Feb","Mar","Apr","May","Jun","Jul","Aug","Sep","Oct","Nov","Dec"},0),VALUE(LEFT(B2325,2)))))</f>
        <v>45907</v>
      </c>
    </row>
    <row r="2326" customFormat="false" ht="15" hidden="false" customHeight="false" outlineLevel="0" collapsed="false">
      <c r="A2326" s="7" t="s">
        <v>4412</v>
      </c>
      <c r="B2326" s="7" t="s">
        <v>2351</v>
      </c>
      <c r="C2326" s="7" t="s">
        <v>3774</v>
      </c>
      <c r="D2326" s="7" t="s">
        <v>3354</v>
      </c>
      <c r="E2326" s="7" t="s">
        <v>144</v>
      </c>
      <c r="F2326" s="7" t="s">
        <v>119</v>
      </c>
      <c r="G2326" s="7" t="s">
        <v>99</v>
      </c>
      <c r="H2326" s="7" t="n">
        <v>1</v>
      </c>
      <c r="I2326" s="7" t="n">
        <v>320</v>
      </c>
      <c r="J2326" s="7" t="n">
        <v>30</v>
      </c>
      <c r="K2326" s="7" t="s">
        <v>88</v>
      </c>
      <c r="L2326" s="7" t="s">
        <v>194</v>
      </c>
      <c r="M2326" s="7" t="n">
        <v>30</v>
      </c>
      <c r="N2326" s="7" t="n">
        <v>4</v>
      </c>
      <c r="O2326" s="7" t="str">
        <f aca="false">A2326&amp;"|"&amp;B2326&amp;"|"&amp;C2326&amp;"|"&amp;D2326&amp;"|"&amp;E2326&amp;"|"&amp;F2326&amp;"|"&amp;G2326&amp;"|"&amp;H2326&amp;"|"&amp;I2326&amp;"|"&amp;J2326&amp;"|"&amp;K2326&amp;"|"&amp;L2326&amp;"|"&amp;M2326&amp;"|"&amp;N2326</f>
        <v>ORD12379|2025-10-27|12:52|C1323|Hyderabad Dum Biryani|Hyderabad|Biryani|1|320|30|UPI|Delivered|30|4</v>
      </c>
      <c r="P2326" s="7" t="str">
        <f aca="false">IF(COUNTIF($O$2:O2326,O2326)&gt;1,"DUP","OK")</f>
        <v>OK</v>
      </c>
      <c r="Q2326" s="7" t="n">
        <f aca="false">COUNTBLANK(A2326:N2326)</f>
        <v>0</v>
      </c>
      <c r="R2326" s="7" t="n">
        <f aca="false">IF(A2326="",0,COUNTIFS($A$2:$A$3058,A2326,$P$2:$P$3058,"OK"))</f>
        <v>2</v>
      </c>
      <c r="S2326" s="7" t="str">
        <f aca="false">IF(OR(A2326="",P2326="DUP",R2326&lt;2),"",IF(Q2326=_xlfn.MINIFS($Q$2:$Q$3058,$A$2:$A$3058,A2326,$P$2:$P$3058,"OK"),"KEEP","DROP"))</f>
        <v>KEEP</v>
      </c>
      <c r="T2326" s="9" t="n">
        <f aca="false">IF(A2326="",1,0)</f>
        <v>0</v>
      </c>
      <c r="U2326" s="9" t="n">
        <f aca="false">IF(D2326="",1,0)</f>
        <v>0</v>
      </c>
      <c r="V2326" s="9" t="n">
        <f aca="false">IF(E2326="",1,0)</f>
        <v>0</v>
      </c>
      <c r="W2326" s="9" t="n">
        <f aca="false">IF(OR(H2326&lt;1,H2326&gt;10),1,0)</f>
        <v>0</v>
      </c>
      <c r="X2326" s="9" t="n">
        <f aca="false">IF(OR(I2326&lt;=0,I2326&gt;1500),1,0)</f>
        <v>0</v>
      </c>
      <c r="Y2326" s="9" t="n">
        <f aca="false">IF(J2326&gt;H2326*I2326,1,0)</f>
        <v>0</v>
      </c>
      <c r="Z2326" s="9" t="n">
        <f aca="false">IF(AND(N2326&lt;&gt;"",OR(N2326&lt;1,N2326&gt;5)),1,0)</f>
        <v>0</v>
      </c>
      <c r="AA2326" s="9" t="n">
        <f aca="false">IF(AND(M2326&lt;&gt;"",OR(M2326&lt;5,M2326&gt;180)),1,0)</f>
        <v>0</v>
      </c>
      <c r="AB2326" s="7" t="str">
        <f aca="false">IF(P2326="DUP","Exact duplicate row",IF(T2326=1,"Missing Order ID",IF(S2326="DROP","Duplicate Order ID (less complete row)",IF(U2326=1,"Missing Customer ID",IF(V2326=1,"Missing Restaurant name",IF(W2326=1,"Invalid/outlier quantity",IF(X2326=1,"Invalid/outlier unit price",IF(Y2326=1,"Discount greater than order value",""))))))))</f>
        <v/>
      </c>
      <c r="AC2326" s="7" t="str">
        <f aca="false">IF(AB2326="","KEEP","DROP")</f>
        <v>KEEP</v>
      </c>
      <c r="AD2326" s="7" t="str">
        <f aca="false">IF(TRIM(F2326)="",IFERROR(INDEX(Map_Tables!$I$4:$I$37,MATCH(TRIM(E2326),Map_Tables!$G$4:$G$37,0)),""),IFERROR(INDEX(Map_Tables!$B$4:$B$18,MATCH(TRIM(F2326),Map_Tables!$A$4:$A$18,0)),"CHECK"))</f>
        <v>Hyderabad</v>
      </c>
      <c r="AE2326" s="7" t="str">
        <f aca="false">IF(TRIM(E2326)="","",IFERROR(INDEX(Map_Tables!$H$4:$H$37,MATCH(TRIM(E2326),Map_Tables!$G$4:$G$37,0)),"CHECK"))</f>
        <v>Hyderabad Dum Biryani</v>
      </c>
      <c r="AF2326" s="7" t="str">
        <f aca="false">IF(TRIM(K2326)="","Unknown",IFERROR(INDEX(Map_Tables!$E$4:$E$15,MATCH(TRIM(K2326),Map_Tables!$D$4:$D$15,0)),"CHECK"))</f>
        <v>UPI</v>
      </c>
      <c r="AG2326" s="7" t="str">
        <f aca="false">IF(LEFT(LOWER(TRIM(L2326)),6)="cancel","Cancelled","Delivered")</f>
        <v>Delivered</v>
      </c>
      <c r="AH2326" s="10" t="n">
        <f aca="false">IF(ISNUMBER(SEARCH("/",B2326)),DATE(VALUE(RIGHT(B2326,4)),VALUE(MID(B2326,4,2)),VALUE(LEFT(B2326,2))),IF(MID(B2326,5,1)="-",DATE(VALUE(LEFT(B2326,4)),VALUE(MID(B2326,6,2)),VALUE(RIGHT(B2326,2))),DATE(VALUE(RIGHT(B2326,4)),MATCH(MID(B2326,4,3),{"Jan","Feb","Mar","Apr","May","Jun","Jul","Aug","Sep","Oct","Nov","Dec"},0),VALUE(LEFT(B2326,2)))))</f>
        <v>45957</v>
      </c>
    </row>
    <row r="2327" customFormat="false" ht="15" hidden="false" customHeight="false" outlineLevel="0" collapsed="false">
      <c r="A2327" s="7" t="s">
        <v>5227</v>
      </c>
      <c r="B2327" s="7" t="s">
        <v>451</v>
      </c>
      <c r="C2327" s="7" t="s">
        <v>2160</v>
      </c>
      <c r="D2327" s="7" t="s">
        <v>4244</v>
      </c>
      <c r="E2327" s="7" t="s">
        <v>138</v>
      </c>
      <c r="F2327" s="7" t="s">
        <v>110</v>
      </c>
      <c r="G2327" s="7" t="s">
        <v>139</v>
      </c>
      <c r="H2327" s="7" t="n">
        <v>2</v>
      </c>
      <c r="I2327" s="7" t="n">
        <v>170</v>
      </c>
      <c r="J2327" s="7" t="n">
        <v>0</v>
      </c>
      <c r="K2327" s="7" t="s">
        <v>121</v>
      </c>
      <c r="L2327" s="7" t="s">
        <v>457</v>
      </c>
      <c r="M2327" s="7" t="n">
        <v>40</v>
      </c>
      <c r="N2327" s="7" t="n">
        <v>5</v>
      </c>
      <c r="O2327" s="7" t="str">
        <f aca="false">A2327&amp;"|"&amp;B2327&amp;"|"&amp;C2327&amp;"|"&amp;D2327&amp;"|"&amp;E2327&amp;"|"&amp;F2327&amp;"|"&amp;G2327&amp;"|"&amp;H2327&amp;"|"&amp;I2327&amp;"|"&amp;J2327&amp;"|"&amp;K2327&amp;"|"&amp;L2327&amp;"|"&amp;M2327&amp;"|"&amp;N2327</f>
        <v>ORD11530|2025-07-17|21:35|C0356|Burger Barn|Delhi|Burgers|2|170|0|Wallet|Delivered |40|5</v>
      </c>
      <c r="P2327" s="7" t="str">
        <f aca="false">IF(COUNTIF($O$2:O2327,O2327)&gt;1,"DUP","OK")</f>
        <v>OK</v>
      </c>
      <c r="Q2327" s="7" t="n">
        <f aca="false">COUNTBLANK(A2327:N2327)</f>
        <v>0</v>
      </c>
      <c r="R2327" s="7" t="n">
        <f aca="false">IF(A2327="",0,COUNTIFS($A$2:$A$3058,A2327,$P$2:$P$3058,"OK"))</f>
        <v>1</v>
      </c>
      <c r="S2327" s="7" t="str">
        <f aca="false">IF(OR(A2327="",P2327="DUP",R2327&lt;2),"",IF(Q2327=_xlfn.MINIFS($Q$2:$Q$3058,$A$2:$A$3058,A2327,$P$2:$P$3058,"OK"),"KEEP","DROP"))</f>
        <v/>
      </c>
      <c r="T2327" s="9" t="n">
        <f aca="false">IF(A2327="",1,0)</f>
        <v>0</v>
      </c>
      <c r="U2327" s="9" t="n">
        <f aca="false">IF(D2327="",1,0)</f>
        <v>0</v>
      </c>
      <c r="V2327" s="9" t="n">
        <f aca="false">IF(E2327="",1,0)</f>
        <v>0</v>
      </c>
      <c r="W2327" s="9" t="n">
        <f aca="false">IF(OR(H2327&lt;1,H2327&gt;10),1,0)</f>
        <v>0</v>
      </c>
      <c r="X2327" s="9" t="n">
        <f aca="false">IF(OR(I2327&lt;=0,I2327&gt;1500),1,0)</f>
        <v>0</v>
      </c>
      <c r="Y2327" s="9" t="n">
        <f aca="false">IF(J2327&gt;H2327*I2327,1,0)</f>
        <v>0</v>
      </c>
      <c r="Z2327" s="9" t="n">
        <f aca="false">IF(AND(N2327&lt;&gt;"",OR(N2327&lt;1,N2327&gt;5)),1,0)</f>
        <v>0</v>
      </c>
      <c r="AA2327" s="9" t="n">
        <f aca="false">IF(AND(M2327&lt;&gt;"",OR(M2327&lt;5,M2327&gt;180)),1,0)</f>
        <v>0</v>
      </c>
      <c r="AB2327" s="7" t="str">
        <f aca="false">IF(P2327="DUP","Exact duplicate row",IF(T2327=1,"Missing Order ID",IF(S2327="DROP","Duplicate Order ID (less complete row)",IF(U2327=1,"Missing Customer ID",IF(V2327=1,"Missing Restaurant name",IF(W2327=1,"Invalid/outlier quantity",IF(X2327=1,"Invalid/outlier unit price",IF(Y2327=1,"Discount greater than order value",""))))))))</f>
        <v/>
      </c>
      <c r="AC2327" s="7" t="str">
        <f aca="false">IF(AB2327="","KEEP","DROP")</f>
        <v>KEEP</v>
      </c>
      <c r="AD2327" s="7" t="str">
        <f aca="false">IF(TRIM(F2327)="",IFERROR(INDEX(Map_Tables!$I$4:$I$37,MATCH(TRIM(E2327),Map_Tables!$G$4:$G$37,0)),""),IFERROR(INDEX(Map_Tables!$B$4:$B$18,MATCH(TRIM(F2327),Map_Tables!$A$4:$A$18,0)),"CHECK"))</f>
        <v>Delhi</v>
      </c>
      <c r="AE2327" s="7" t="str">
        <f aca="false">IF(TRIM(E2327)="","",IFERROR(INDEX(Map_Tables!$H$4:$H$37,MATCH(TRIM(E2327),Map_Tables!$G$4:$G$37,0)),"CHECK"))</f>
        <v>Burger Barn</v>
      </c>
      <c r="AF2327" s="7" t="str">
        <f aca="false">IF(TRIM(K2327)="","Unknown",IFERROR(INDEX(Map_Tables!$E$4:$E$15,MATCH(TRIM(K2327),Map_Tables!$D$4:$D$15,0)),"CHECK"))</f>
        <v>Wallet</v>
      </c>
      <c r="AG2327" s="7" t="str">
        <f aca="false">IF(LEFT(LOWER(TRIM(L2327)),6)="cancel","Cancelled","Delivered")</f>
        <v>Delivered</v>
      </c>
      <c r="AH2327" s="10" t="n">
        <f aca="false">IF(ISNUMBER(SEARCH("/",B2327)),DATE(VALUE(RIGHT(B2327,4)),VALUE(MID(B2327,4,2)),VALUE(LEFT(B2327,2))),IF(MID(B2327,5,1)="-",DATE(VALUE(LEFT(B2327,4)),VALUE(MID(B2327,6,2)),VALUE(RIGHT(B2327,2))),DATE(VALUE(RIGHT(B2327,4)),MATCH(MID(B2327,4,3),{"Jan","Feb","Mar","Apr","May","Jun","Jul","Aug","Sep","Oct","Nov","Dec"},0),VALUE(LEFT(B2327,2)))))</f>
        <v>45855</v>
      </c>
    </row>
    <row r="2328" customFormat="false" ht="15" hidden="false" customHeight="false" outlineLevel="0" collapsed="false">
      <c r="A2328" s="7" t="s">
        <v>5228</v>
      </c>
      <c r="B2328" s="7" t="s">
        <v>5229</v>
      </c>
      <c r="C2328" s="7" t="s">
        <v>4591</v>
      </c>
      <c r="D2328" s="7" t="s">
        <v>982</v>
      </c>
      <c r="E2328" s="7" t="s">
        <v>98</v>
      </c>
      <c r="F2328" s="7" t="s">
        <v>86</v>
      </c>
      <c r="G2328" s="7" t="s">
        <v>99</v>
      </c>
      <c r="H2328" s="7" t="n">
        <v>2</v>
      </c>
      <c r="I2328" s="7" t="n">
        <v>330</v>
      </c>
      <c r="J2328" s="7" t="n">
        <v>0</v>
      </c>
      <c r="K2328" s="7" t="s">
        <v>103</v>
      </c>
      <c r="L2328" s="7" t="s">
        <v>194</v>
      </c>
      <c r="M2328" s="7" t="n">
        <v>53</v>
      </c>
      <c r="N2328" s="7" t="n">
        <v>5</v>
      </c>
      <c r="O2328" s="7" t="str">
        <f aca="false">A2328&amp;"|"&amp;B2328&amp;"|"&amp;C2328&amp;"|"&amp;D2328&amp;"|"&amp;E2328&amp;"|"&amp;F2328&amp;"|"&amp;G2328&amp;"|"&amp;H2328&amp;"|"&amp;I2328&amp;"|"&amp;J2328&amp;"|"&amp;K2328&amp;"|"&amp;L2328&amp;"|"&amp;M2328&amp;"|"&amp;N2328</f>
        <v>ORD10903|23-Apr-2025|21:50|C1144|Nawabi Biryani House|Bengaluru|Biryani|2|330|0|Debit Card|Delivered|53|5</v>
      </c>
      <c r="P2328" s="7" t="str">
        <f aca="false">IF(COUNTIF($O$2:O2328,O2328)&gt;1,"DUP","OK")</f>
        <v>OK</v>
      </c>
      <c r="Q2328" s="7" t="n">
        <f aca="false">COUNTBLANK(A2328:N2328)</f>
        <v>0</v>
      </c>
      <c r="R2328" s="7" t="n">
        <f aca="false">IF(A2328="",0,COUNTIFS($A$2:$A$3058,A2328,$P$2:$P$3058,"OK"))</f>
        <v>1</v>
      </c>
      <c r="S2328" s="7" t="str">
        <f aca="false">IF(OR(A2328="",P2328="DUP",R2328&lt;2),"",IF(Q2328=_xlfn.MINIFS($Q$2:$Q$3058,$A$2:$A$3058,A2328,$P$2:$P$3058,"OK"),"KEEP","DROP"))</f>
        <v/>
      </c>
      <c r="T2328" s="9" t="n">
        <f aca="false">IF(A2328="",1,0)</f>
        <v>0</v>
      </c>
      <c r="U2328" s="9" t="n">
        <f aca="false">IF(D2328="",1,0)</f>
        <v>0</v>
      </c>
      <c r="V2328" s="9" t="n">
        <f aca="false">IF(E2328="",1,0)</f>
        <v>0</v>
      </c>
      <c r="W2328" s="9" t="n">
        <f aca="false">IF(OR(H2328&lt;1,H2328&gt;10),1,0)</f>
        <v>0</v>
      </c>
      <c r="X2328" s="9" t="n">
        <f aca="false">IF(OR(I2328&lt;=0,I2328&gt;1500),1,0)</f>
        <v>0</v>
      </c>
      <c r="Y2328" s="9" t="n">
        <f aca="false">IF(J2328&gt;H2328*I2328,1,0)</f>
        <v>0</v>
      </c>
      <c r="Z2328" s="9" t="n">
        <f aca="false">IF(AND(N2328&lt;&gt;"",OR(N2328&lt;1,N2328&gt;5)),1,0)</f>
        <v>0</v>
      </c>
      <c r="AA2328" s="9" t="n">
        <f aca="false">IF(AND(M2328&lt;&gt;"",OR(M2328&lt;5,M2328&gt;180)),1,0)</f>
        <v>0</v>
      </c>
      <c r="AB2328" s="7" t="str">
        <f aca="false">IF(P2328="DUP","Exact duplicate row",IF(T2328=1,"Missing Order ID",IF(S2328="DROP","Duplicate Order ID (less complete row)",IF(U2328=1,"Missing Customer ID",IF(V2328=1,"Missing Restaurant name",IF(W2328=1,"Invalid/outlier quantity",IF(X2328=1,"Invalid/outlier unit price",IF(Y2328=1,"Discount greater than order value",""))))))))</f>
        <v/>
      </c>
      <c r="AC2328" s="7" t="str">
        <f aca="false">IF(AB2328="","KEEP","DROP")</f>
        <v>KEEP</v>
      </c>
      <c r="AD2328" s="7" t="str">
        <f aca="false">IF(TRIM(F2328)="",IFERROR(INDEX(Map_Tables!$I$4:$I$37,MATCH(TRIM(E2328),Map_Tables!$G$4:$G$37,0)),""),IFERROR(INDEX(Map_Tables!$B$4:$B$18,MATCH(TRIM(F2328),Map_Tables!$A$4:$A$18,0)),"CHECK"))</f>
        <v>Bengaluru</v>
      </c>
      <c r="AE2328" s="7" t="str">
        <f aca="false">IF(TRIM(E2328)="","",IFERROR(INDEX(Map_Tables!$H$4:$H$37,MATCH(TRIM(E2328),Map_Tables!$G$4:$G$37,0)),"CHECK"))</f>
        <v>Nawabi Biryani House</v>
      </c>
      <c r="AF2328" s="7" t="str">
        <f aca="false">IF(TRIM(K2328)="","Unknown",IFERROR(INDEX(Map_Tables!$E$4:$E$15,MATCH(TRIM(K2328),Map_Tables!$D$4:$D$15,0)),"CHECK"))</f>
        <v>Debit Card</v>
      </c>
      <c r="AG2328" s="7" t="str">
        <f aca="false">IF(LEFT(LOWER(TRIM(L2328)),6)="cancel","Cancelled","Delivered")</f>
        <v>Delivered</v>
      </c>
      <c r="AH2328" s="10" t="n">
        <f aca="false">IF(ISNUMBER(SEARCH("/",B2328)),DATE(VALUE(RIGHT(B2328,4)),VALUE(MID(B2328,4,2)),VALUE(LEFT(B2328,2))),IF(MID(B2328,5,1)="-",DATE(VALUE(LEFT(B2328,4)),VALUE(MID(B2328,6,2)),VALUE(RIGHT(B2328,2))),DATE(VALUE(RIGHT(B2328,4)),MATCH(MID(B2328,4,3),{"Jan","Feb","Mar","Apr","May","Jun","Jul","Aug","Sep","Oct","Nov","Dec"},0),VALUE(LEFT(B2328,2)))))</f>
        <v>45770</v>
      </c>
    </row>
    <row r="2329" customFormat="false" ht="15" hidden="false" customHeight="false" outlineLevel="0" collapsed="false">
      <c r="A2329" s="7" t="s">
        <v>5230</v>
      </c>
      <c r="B2329" s="7" t="s">
        <v>1132</v>
      </c>
      <c r="C2329" s="7" t="s">
        <v>5231</v>
      </c>
      <c r="D2329" s="7" t="s">
        <v>444</v>
      </c>
      <c r="E2329" s="7" t="s">
        <v>144</v>
      </c>
      <c r="F2329" s="7" t="s">
        <v>119</v>
      </c>
      <c r="G2329" s="7" t="s">
        <v>99</v>
      </c>
      <c r="H2329" s="7" t="n">
        <v>2</v>
      </c>
      <c r="I2329" s="7" t="n">
        <v>335</v>
      </c>
      <c r="J2329" s="7" t="n">
        <v>0</v>
      </c>
      <c r="K2329" s="7" t="s">
        <v>93</v>
      </c>
      <c r="L2329" s="7" t="s">
        <v>194</v>
      </c>
      <c r="M2329" s="7" t="n">
        <v>44</v>
      </c>
      <c r="N2329" s="7" t="n">
        <v>4</v>
      </c>
      <c r="O2329" s="7" t="str">
        <f aca="false">A2329&amp;"|"&amp;B2329&amp;"|"&amp;C2329&amp;"|"&amp;D2329&amp;"|"&amp;E2329&amp;"|"&amp;F2329&amp;"|"&amp;G2329&amp;"|"&amp;H2329&amp;"|"&amp;I2329&amp;"|"&amp;J2329&amp;"|"&amp;K2329&amp;"|"&amp;L2329&amp;"|"&amp;M2329&amp;"|"&amp;N2329</f>
        <v>ORD10686|2025-03-28|14:55|C0480|Hyderabad Dum Biryani|Hyderabad|Biryani|2|335|0|Credit Card|Delivered|44|4</v>
      </c>
      <c r="P2329" s="7" t="str">
        <f aca="false">IF(COUNTIF($O$2:O2329,O2329)&gt;1,"DUP","OK")</f>
        <v>OK</v>
      </c>
      <c r="Q2329" s="7" t="n">
        <f aca="false">COUNTBLANK(A2329:N2329)</f>
        <v>0</v>
      </c>
      <c r="R2329" s="7" t="n">
        <f aca="false">IF(A2329="",0,COUNTIFS($A$2:$A$3058,A2329,$P$2:$P$3058,"OK"))</f>
        <v>1</v>
      </c>
      <c r="S2329" s="7" t="str">
        <f aca="false">IF(OR(A2329="",P2329="DUP",R2329&lt;2),"",IF(Q2329=_xlfn.MINIFS($Q$2:$Q$3058,$A$2:$A$3058,A2329,$P$2:$P$3058,"OK"),"KEEP","DROP"))</f>
        <v/>
      </c>
      <c r="T2329" s="9" t="n">
        <f aca="false">IF(A2329="",1,0)</f>
        <v>0</v>
      </c>
      <c r="U2329" s="9" t="n">
        <f aca="false">IF(D2329="",1,0)</f>
        <v>0</v>
      </c>
      <c r="V2329" s="9" t="n">
        <f aca="false">IF(E2329="",1,0)</f>
        <v>0</v>
      </c>
      <c r="W2329" s="9" t="n">
        <f aca="false">IF(OR(H2329&lt;1,H2329&gt;10),1,0)</f>
        <v>0</v>
      </c>
      <c r="X2329" s="9" t="n">
        <f aca="false">IF(OR(I2329&lt;=0,I2329&gt;1500),1,0)</f>
        <v>0</v>
      </c>
      <c r="Y2329" s="9" t="n">
        <f aca="false">IF(J2329&gt;H2329*I2329,1,0)</f>
        <v>0</v>
      </c>
      <c r="Z2329" s="9" t="n">
        <f aca="false">IF(AND(N2329&lt;&gt;"",OR(N2329&lt;1,N2329&gt;5)),1,0)</f>
        <v>0</v>
      </c>
      <c r="AA2329" s="9" t="n">
        <f aca="false">IF(AND(M2329&lt;&gt;"",OR(M2329&lt;5,M2329&gt;180)),1,0)</f>
        <v>0</v>
      </c>
      <c r="AB2329" s="7" t="str">
        <f aca="false">IF(P2329="DUP","Exact duplicate row",IF(T2329=1,"Missing Order ID",IF(S2329="DROP","Duplicate Order ID (less complete row)",IF(U2329=1,"Missing Customer ID",IF(V2329=1,"Missing Restaurant name",IF(W2329=1,"Invalid/outlier quantity",IF(X2329=1,"Invalid/outlier unit price",IF(Y2329=1,"Discount greater than order value",""))))))))</f>
        <v/>
      </c>
      <c r="AC2329" s="7" t="str">
        <f aca="false">IF(AB2329="","KEEP","DROP")</f>
        <v>KEEP</v>
      </c>
      <c r="AD2329" s="7" t="str">
        <f aca="false">IF(TRIM(F2329)="",IFERROR(INDEX(Map_Tables!$I$4:$I$37,MATCH(TRIM(E2329),Map_Tables!$G$4:$G$37,0)),""),IFERROR(INDEX(Map_Tables!$B$4:$B$18,MATCH(TRIM(F2329),Map_Tables!$A$4:$A$18,0)),"CHECK"))</f>
        <v>Hyderabad</v>
      </c>
      <c r="AE2329" s="7" t="str">
        <f aca="false">IF(TRIM(E2329)="","",IFERROR(INDEX(Map_Tables!$H$4:$H$37,MATCH(TRIM(E2329),Map_Tables!$G$4:$G$37,0)),"CHECK"))</f>
        <v>Hyderabad Dum Biryani</v>
      </c>
      <c r="AF2329" s="7" t="str">
        <f aca="false">IF(TRIM(K2329)="","Unknown",IFERROR(INDEX(Map_Tables!$E$4:$E$15,MATCH(TRIM(K2329),Map_Tables!$D$4:$D$15,0)),"CHECK"))</f>
        <v>Credit Card</v>
      </c>
      <c r="AG2329" s="7" t="str">
        <f aca="false">IF(LEFT(LOWER(TRIM(L2329)),6)="cancel","Cancelled","Delivered")</f>
        <v>Delivered</v>
      </c>
      <c r="AH2329" s="10" t="n">
        <f aca="false">IF(ISNUMBER(SEARCH("/",B2329)),DATE(VALUE(RIGHT(B2329,4)),VALUE(MID(B2329,4,2)),VALUE(LEFT(B2329,2))),IF(MID(B2329,5,1)="-",DATE(VALUE(LEFT(B2329,4)),VALUE(MID(B2329,6,2)),VALUE(RIGHT(B2329,2))),DATE(VALUE(RIGHT(B2329,4)),MATCH(MID(B2329,4,3),{"Jan","Feb","Mar","Apr","May","Jun","Jul","Aug","Sep","Oct","Nov","Dec"},0),VALUE(LEFT(B2329,2)))))</f>
        <v>45744</v>
      </c>
    </row>
    <row r="2330" customFormat="false" ht="15" hidden="false" customHeight="false" outlineLevel="0" collapsed="false">
      <c r="A2330" s="7" t="s">
        <v>5232</v>
      </c>
      <c r="B2330" s="7" t="s">
        <v>503</v>
      </c>
      <c r="C2330" s="7" t="s">
        <v>5233</v>
      </c>
      <c r="D2330" s="7" t="s">
        <v>2618</v>
      </c>
      <c r="E2330" s="7" t="s">
        <v>94</v>
      </c>
      <c r="F2330" s="7" t="s">
        <v>86</v>
      </c>
      <c r="G2330" s="7" t="s">
        <v>95</v>
      </c>
      <c r="H2330" s="7" t="n">
        <v>3</v>
      </c>
      <c r="I2330" s="7" t="n">
        <v>135</v>
      </c>
      <c r="J2330" s="7" t="n">
        <v>150</v>
      </c>
      <c r="K2330" s="7" t="s">
        <v>103</v>
      </c>
      <c r="L2330" s="7" t="s">
        <v>194</v>
      </c>
      <c r="M2330" s="7" t="n">
        <v>58</v>
      </c>
      <c r="N2330" s="7" t="n">
        <v>3</v>
      </c>
      <c r="O2330" s="7" t="str">
        <f aca="false">A2330&amp;"|"&amp;B2330&amp;"|"&amp;C2330&amp;"|"&amp;D2330&amp;"|"&amp;E2330&amp;"|"&amp;F2330&amp;"|"&amp;G2330&amp;"|"&amp;H2330&amp;"|"&amp;I2330&amp;"|"&amp;J2330&amp;"|"&amp;K2330&amp;"|"&amp;L2330&amp;"|"&amp;M2330&amp;"|"&amp;N2330</f>
        <v>ORD11552|2025-07-21|17:23|C1168|Dosa Darbar|Bengaluru|South Indian|3|135|150|Debit Card|Delivered|58|3</v>
      </c>
      <c r="P2330" s="7" t="str">
        <f aca="false">IF(COUNTIF($O$2:O2330,O2330)&gt;1,"DUP","OK")</f>
        <v>OK</v>
      </c>
      <c r="Q2330" s="7" t="n">
        <f aca="false">COUNTBLANK(A2330:N2330)</f>
        <v>0</v>
      </c>
      <c r="R2330" s="7" t="n">
        <f aca="false">IF(A2330="",0,COUNTIFS($A$2:$A$3058,A2330,$P$2:$P$3058,"OK"))</f>
        <v>1</v>
      </c>
      <c r="S2330" s="7" t="str">
        <f aca="false">IF(OR(A2330="",P2330="DUP",R2330&lt;2),"",IF(Q2330=_xlfn.MINIFS($Q$2:$Q$3058,$A$2:$A$3058,A2330,$P$2:$P$3058,"OK"),"KEEP","DROP"))</f>
        <v/>
      </c>
      <c r="T2330" s="9" t="n">
        <f aca="false">IF(A2330="",1,0)</f>
        <v>0</v>
      </c>
      <c r="U2330" s="9" t="n">
        <f aca="false">IF(D2330="",1,0)</f>
        <v>0</v>
      </c>
      <c r="V2330" s="9" t="n">
        <f aca="false">IF(E2330="",1,0)</f>
        <v>0</v>
      </c>
      <c r="W2330" s="9" t="n">
        <f aca="false">IF(OR(H2330&lt;1,H2330&gt;10),1,0)</f>
        <v>0</v>
      </c>
      <c r="X2330" s="9" t="n">
        <f aca="false">IF(OR(I2330&lt;=0,I2330&gt;1500),1,0)</f>
        <v>0</v>
      </c>
      <c r="Y2330" s="9" t="n">
        <f aca="false">IF(J2330&gt;H2330*I2330,1,0)</f>
        <v>0</v>
      </c>
      <c r="Z2330" s="9" t="n">
        <f aca="false">IF(AND(N2330&lt;&gt;"",OR(N2330&lt;1,N2330&gt;5)),1,0)</f>
        <v>0</v>
      </c>
      <c r="AA2330" s="9" t="n">
        <f aca="false">IF(AND(M2330&lt;&gt;"",OR(M2330&lt;5,M2330&gt;180)),1,0)</f>
        <v>0</v>
      </c>
      <c r="AB2330" s="7" t="str">
        <f aca="false">IF(P2330="DUP","Exact duplicate row",IF(T2330=1,"Missing Order ID",IF(S2330="DROP","Duplicate Order ID (less complete row)",IF(U2330=1,"Missing Customer ID",IF(V2330=1,"Missing Restaurant name",IF(W2330=1,"Invalid/outlier quantity",IF(X2330=1,"Invalid/outlier unit price",IF(Y2330=1,"Discount greater than order value",""))))))))</f>
        <v/>
      </c>
      <c r="AC2330" s="7" t="str">
        <f aca="false">IF(AB2330="","KEEP","DROP")</f>
        <v>KEEP</v>
      </c>
      <c r="AD2330" s="7" t="str">
        <f aca="false">IF(TRIM(F2330)="",IFERROR(INDEX(Map_Tables!$I$4:$I$37,MATCH(TRIM(E2330),Map_Tables!$G$4:$G$37,0)),""),IFERROR(INDEX(Map_Tables!$B$4:$B$18,MATCH(TRIM(F2330),Map_Tables!$A$4:$A$18,0)),"CHECK"))</f>
        <v>Bengaluru</v>
      </c>
      <c r="AE2330" s="7" t="str">
        <f aca="false">IF(TRIM(E2330)="","",IFERROR(INDEX(Map_Tables!$H$4:$H$37,MATCH(TRIM(E2330),Map_Tables!$G$4:$G$37,0)),"CHECK"))</f>
        <v>Dosa Darbar</v>
      </c>
      <c r="AF2330" s="7" t="str">
        <f aca="false">IF(TRIM(K2330)="","Unknown",IFERROR(INDEX(Map_Tables!$E$4:$E$15,MATCH(TRIM(K2330),Map_Tables!$D$4:$D$15,0)),"CHECK"))</f>
        <v>Debit Card</v>
      </c>
      <c r="AG2330" s="7" t="str">
        <f aca="false">IF(LEFT(LOWER(TRIM(L2330)),6)="cancel","Cancelled","Delivered")</f>
        <v>Delivered</v>
      </c>
      <c r="AH2330" s="10" t="n">
        <f aca="false">IF(ISNUMBER(SEARCH("/",B2330)),DATE(VALUE(RIGHT(B2330,4)),VALUE(MID(B2330,4,2)),VALUE(LEFT(B2330,2))),IF(MID(B2330,5,1)="-",DATE(VALUE(LEFT(B2330,4)),VALUE(MID(B2330,6,2)),VALUE(RIGHT(B2330,2))),DATE(VALUE(RIGHT(B2330,4)),MATCH(MID(B2330,4,3),{"Jan","Feb","Mar","Apr","May","Jun","Jul","Aug","Sep","Oct","Nov","Dec"},0),VALUE(LEFT(B2330,2)))))</f>
        <v>45859</v>
      </c>
    </row>
    <row r="2331" customFormat="false" ht="15" hidden="false" customHeight="false" outlineLevel="0" collapsed="false">
      <c r="A2331" s="7" t="s">
        <v>5234</v>
      </c>
      <c r="B2331" s="7" t="s">
        <v>3200</v>
      </c>
      <c r="C2331" s="7" t="s">
        <v>2410</v>
      </c>
      <c r="D2331" s="7" t="s">
        <v>2086</v>
      </c>
      <c r="E2331" s="7" t="s">
        <v>94</v>
      </c>
      <c r="F2331" s="7" t="s">
        <v>86</v>
      </c>
      <c r="G2331" s="7" t="s">
        <v>95</v>
      </c>
      <c r="H2331" s="7" t="n">
        <v>2</v>
      </c>
      <c r="I2331" s="7" t="n">
        <v>125</v>
      </c>
      <c r="J2331" s="7" t="n">
        <v>100</v>
      </c>
      <c r="K2331" s="7" t="s">
        <v>120</v>
      </c>
      <c r="L2331" s="7" t="s">
        <v>194</v>
      </c>
      <c r="M2331" s="7" t="n">
        <v>43</v>
      </c>
      <c r="N2331" s="7" t="n">
        <v>3</v>
      </c>
      <c r="O2331" s="7" t="str">
        <f aca="false">A2331&amp;"|"&amp;B2331&amp;"|"&amp;C2331&amp;"|"&amp;D2331&amp;"|"&amp;E2331&amp;"|"&amp;F2331&amp;"|"&amp;G2331&amp;"|"&amp;H2331&amp;"|"&amp;I2331&amp;"|"&amp;J2331&amp;"|"&amp;K2331&amp;"|"&amp;L2331&amp;"|"&amp;M2331&amp;"|"&amp;N2331</f>
        <v>ORD10160|2025-01-21|12:50|C0165|Dosa Darbar|Bengaluru|South Indian|2|125|100|wallet|Delivered|43|3</v>
      </c>
      <c r="P2331" s="7" t="str">
        <f aca="false">IF(COUNTIF($O$2:O2331,O2331)&gt;1,"DUP","OK")</f>
        <v>OK</v>
      </c>
      <c r="Q2331" s="7" t="n">
        <f aca="false">COUNTBLANK(A2331:N2331)</f>
        <v>0</v>
      </c>
      <c r="R2331" s="7" t="n">
        <f aca="false">IF(A2331="",0,COUNTIFS($A$2:$A$3058,A2331,$P$2:$P$3058,"OK"))</f>
        <v>1</v>
      </c>
      <c r="S2331" s="7" t="str">
        <f aca="false">IF(OR(A2331="",P2331="DUP",R2331&lt;2),"",IF(Q2331=_xlfn.MINIFS($Q$2:$Q$3058,$A$2:$A$3058,A2331,$P$2:$P$3058,"OK"),"KEEP","DROP"))</f>
        <v/>
      </c>
      <c r="T2331" s="9" t="n">
        <f aca="false">IF(A2331="",1,0)</f>
        <v>0</v>
      </c>
      <c r="U2331" s="9" t="n">
        <f aca="false">IF(D2331="",1,0)</f>
        <v>0</v>
      </c>
      <c r="V2331" s="9" t="n">
        <f aca="false">IF(E2331="",1,0)</f>
        <v>0</v>
      </c>
      <c r="W2331" s="9" t="n">
        <f aca="false">IF(OR(H2331&lt;1,H2331&gt;10),1,0)</f>
        <v>0</v>
      </c>
      <c r="X2331" s="9" t="n">
        <f aca="false">IF(OR(I2331&lt;=0,I2331&gt;1500),1,0)</f>
        <v>0</v>
      </c>
      <c r="Y2331" s="9" t="n">
        <f aca="false">IF(J2331&gt;H2331*I2331,1,0)</f>
        <v>0</v>
      </c>
      <c r="Z2331" s="9" t="n">
        <f aca="false">IF(AND(N2331&lt;&gt;"",OR(N2331&lt;1,N2331&gt;5)),1,0)</f>
        <v>0</v>
      </c>
      <c r="AA2331" s="9" t="n">
        <f aca="false">IF(AND(M2331&lt;&gt;"",OR(M2331&lt;5,M2331&gt;180)),1,0)</f>
        <v>0</v>
      </c>
      <c r="AB2331" s="7" t="str">
        <f aca="false">IF(P2331="DUP","Exact duplicate row",IF(T2331=1,"Missing Order ID",IF(S2331="DROP","Duplicate Order ID (less complete row)",IF(U2331=1,"Missing Customer ID",IF(V2331=1,"Missing Restaurant name",IF(W2331=1,"Invalid/outlier quantity",IF(X2331=1,"Invalid/outlier unit price",IF(Y2331=1,"Discount greater than order value",""))))))))</f>
        <v/>
      </c>
      <c r="AC2331" s="7" t="str">
        <f aca="false">IF(AB2331="","KEEP","DROP")</f>
        <v>KEEP</v>
      </c>
      <c r="AD2331" s="7" t="str">
        <f aca="false">IF(TRIM(F2331)="",IFERROR(INDEX(Map_Tables!$I$4:$I$37,MATCH(TRIM(E2331),Map_Tables!$G$4:$G$37,0)),""),IFERROR(INDEX(Map_Tables!$B$4:$B$18,MATCH(TRIM(F2331),Map_Tables!$A$4:$A$18,0)),"CHECK"))</f>
        <v>Bengaluru</v>
      </c>
      <c r="AE2331" s="7" t="str">
        <f aca="false">IF(TRIM(E2331)="","",IFERROR(INDEX(Map_Tables!$H$4:$H$37,MATCH(TRIM(E2331),Map_Tables!$G$4:$G$37,0)),"CHECK"))</f>
        <v>Dosa Darbar</v>
      </c>
      <c r="AF2331" s="7" t="str">
        <f aca="false">IF(TRIM(K2331)="","Unknown",IFERROR(INDEX(Map_Tables!$E$4:$E$15,MATCH(TRIM(K2331),Map_Tables!$D$4:$D$15,0)),"CHECK"))</f>
        <v>Wallet</v>
      </c>
      <c r="AG2331" s="7" t="str">
        <f aca="false">IF(LEFT(LOWER(TRIM(L2331)),6)="cancel","Cancelled","Delivered")</f>
        <v>Delivered</v>
      </c>
      <c r="AH2331" s="10" t="n">
        <f aca="false">IF(ISNUMBER(SEARCH("/",B2331)),DATE(VALUE(RIGHT(B2331,4)),VALUE(MID(B2331,4,2)),VALUE(LEFT(B2331,2))),IF(MID(B2331,5,1)="-",DATE(VALUE(LEFT(B2331,4)),VALUE(MID(B2331,6,2)),VALUE(RIGHT(B2331,2))),DATE(VALUE(RIGHT(B2331,4)),MATCH(MID(B2331,4,3),{"Jan","Feb","Mar","Apr","May","Jun","Jul","Aug","Sep","Oct","Nov","Dec"},0),VALUE(LEFT(B2331,2)))))</f>
        <v>45678</v>
      </c>
    </row>
    <row r="2332" customFormat="false" ht="15" hidden="false" customHeight="false" outlineLevel="0" collapsed="false">
      <c r="A2332" s="7" t="s">
        <v>5235</v>
      </c>
      <c r="B2332" s="7" t="s">
        <v>1376</v>
      </c>
      <c r="C2332" s="7" t="s">
        <v>284</v>
      </c>
      <c r="D2332" s="7" t="s">
        <v>1333</v>
      </c>
      <c r="E2332" s="7" t="s">
        <v>122</v>
      </c>
      <c r="F2332" s="7" t="s">
        <v>101</v>
      </c>
      <c r="G2332" s="7" t="s">
        <v>123</v>
      </c>
      <c r="H2332" s="7" t="n">
        <v>2</v>
      </c>
      <c r="I2332" s="7" t="n">
        <v>315</v>
      </c>
      <c r="J2332" s="7" t="n">
        <v>20</v>
      </c>
      <c r="K2332" s="7" t="s">
        <v>88</v>
      </c>
      <c r="L2332" s="7" t="s">
        <v>194</v>
      </c>
      <c r="M2332" s="7" t="n">
        <v>29</v>
      </c>
      <c r="N2332" s="7" t="n">
        <v>4</v>
      </c>
      <c r="O2332" s="7" t="str">
        <f aca="false">A2332&amp;"|"&amp;B2332&amp;"|"&amp;C2332&amp;"|"&amp;D2332&amp;"|"&amp;E2332&amp;"|"&amp;F2332&amp;"|"&amp;G2332&amp;"|"&amp;H2332&amp;"|"&amp;I2332&amp;"|"&amp;J2332&amp;"|"&amp;K2332&amp;"|"&amp;L2332&amp;"|"&amp;M2332&amp;"|"&amp;N2332</f>
        <v>ORD11000|2025-05-07|11:51|C0411|Mumbai Pizza Co|Mumbai|Pizza|2|315|20|UPI|Delivered|29|4</v>
      </c>
      <c r="P2332" s="7" t="str">
        <f aca="false">IF(COUNTIF($O$2:O2332,O2332)&gt;1,"DUP","OK")</f>
        <v>OK</v>
      </c>
      <c r="Q2332" s="7" t="n">
        <f aca="false">COUNTBLANK(A2332:N2332)</f>
        <v>0</v>
      </c>
      <c r="R2332" s="7" t="n">
        <f aca="false">IF(A2332="",0,COUNTIFS($A$2:$A$3058,A2332,$P$2:$P$3058,"OK"))</f>
        <v>1</v>
      </c>
      <c r="S2332" s="7" t="str">
        <f aca="false">IF(OR(A2332="",P2332="DUP",R2332&lt;2),"",IF(Q2332=_xlfn.MINIFS($Q$2:$Q$3058,$A$2:$A$3058,A2332,$P$2:$P$3058,"OK"),"KEEP","DROP"))</f>
        <v/>
      </c>
      <c r="T2332" s="9" t="n">
        <f aca="false">IF(A2332="",1,0)</f>
        <v>0</v>
      </c>
      <c r="U2332" s="9" t="n">
        <f aca="false">IF(D2332="",1,0)</f>
        <v>0</v>
      </c>
      <c r="V2332" s="9" t="n">
        <f aca="false">IF(E2332="",1,0)</f>
        <v>0</v>
      </c>
      <c r="W2332" s="9" t="n">
        <f aca="false">IF(OR(H2332&lt;1,H2332&gt;10),1,0)</f>
        <v>0</v>
      </c>
      <c r="X2332" s="9" t="n">
        <f aca="false">IF(OR(I2332&lt;=0,I2332&gt;1500),1,0)</f>
        <v>0</v>
      </c>
      <c r="Y2332" s="9" t="n">
        <f aca="false">IF(J2332&gt;H2332*I2332,1,0)</f>
        <v>0</v>
      </c>
      <c r="Z2332" s="9" t="n">
        <f aca="false">IF(AND(N2332&lt;&gt;"",OR(N2332&lt;1,N2332&gt;5)),1,0)</f>
        <v>0</v>
      </c>
      <c r="AA2332" s="9" t="n">
        <f aca="false">IF(AND(M2332&lt;&gt;"",OR(M2332&lt;5,M2332&gt;180)),1,0)</f>
        <v>0</v>
      </c>
      <c r="AB2332" s="7" t="str">
        <f aca="false">IF(P2332="DUP","Exact duplicate row",IF(T2332=1,"Missing Order ID",IF(S2332="DROP","Duplicate Order ID (less complete row)",IF(U2332=1,"Missing Customer ID",IF(V2332=1,"Missing Restaurant name",IF(W2332=1,"Invalid/outlier quantity",IF(X2332=1,"Invalid/outlier unit price",IF(Y2332=1,"Discount greater than order value",""))))))))</f>
        <v/>
      </c>
      <c r="AC2332" s="7" t="str">
        <f aca="false">IF(AB2332="","KEEP","DROP")</f>
        <v>KEEP</v>
      </c>
      <c r="AD2332" s="7" t="str">
        <f aca="false">IF(TRIM(F2332)="",IFERROR(INDEX(Map_Tables!$I$4:$I$37,MATCH(TRIM(E2332),Map_Tables!$G$4:$G$37,0)),""),IFERROR(INDEX(Map_Tables!$B$4:$B$18,MATCH(TRIM(F2332),Map_Tables!$A$4:$A$18,0)),"CHECK"))</f>
        <v>Mumbai</v>
      </c>
      <c r="AE2332" s="7" t="str">
        <f aca="false">IF(TRIM(E2332)="","",IFERROR(INDEX(Map_Tables!$H$4:$H$37,MATCH(TRIM(E2332),Map_Tables!$G$4:$G$37,0)),"CHECK"))</f>
        <v>Mumbai Pizza Co</v>
      </c>
      <c r="AF2332" s="7" t="str">
        <f aca="false">IF(TRIM(K2332)="","Unknown",IFERROR(INDEX(Map_Tables!$E$4:$E$15,MATCH(TRIM(K2332),Map_Tables!$D$4:$D$15,0)),"CHECK"))</f>
        <v>UPI</v>
      </c>
      <c r="AG2332" s="7" t="str">
        <f aca="false">IF(LEFT(LOWER(TRIM(L2332)),6)="cancel","Cancelled","Delivered")</f>
        <v>Delivered</v>
      </c>
      <c r="AH2332" s="10" t="n">
        <f aca="false">IF(ISNUMBER(SEARCH("/",B2332)),DATE(VALUE(RIGHT(B2332,4)),VALUE(MID(B2332,4,2)),VALUE(LEFT(B2332,2))),IF(MID(B2332,5,1)="-",DATE(VALUE(LEFT(B2332,4)),VALUE(MID(B2332,6,2)),VALUE(RIGHT(B2332,2))),DATE(VALUE(RIGHT(B2332,4)),MATCH(MID(B2332,4,3),{"Jan","Feb","Mar","Apr","May","Jun","Jul","Aug","Sep","Oct","Nov","Dec"},0),VALUE(LEFT(B2332,2)))))</f>
        <v>45784</v>
      </c>
    </row>
    <row r="2333" customFormat="false" ht="15" hidden="false" customHeight="false" outlineLevel="0" collapsed="false">
      <c r="A2333" s="7" t="s">
        <v>5236</v>
      </c>
      <c r="B2333" s="7" t="s">
        <v>4373</v>
      </c>
      <c r="C2333" s="7" t="s">
        <v>2957</v>
      </c>
      <c r="D2333" s="7" t="s">
        <v>2796</v>
      </c>
      <c r="E2333" s="7" t="s">
        <v>161</v>
      </c>
      <c r="F2333" s="7" t="s">
        <v>141</v>
      </c>
      <c r="G2333" s="7" t="s">
        <v>117</v>
      </c>
      <c r="H2333" s="7" t="n">
        <v>4</v>
      </c>
      <c r="I2333" s="7" t="n">
        <v>5000</v>
      </c>
      <c r="J2333" s="7" t="n">
        <v>0</v>
      </c>
      <c r="K2333" s="7" t="s">
        <v>88</v>
      </c>
      <c r="L2333" s="7" t="s">
        <v>194</v>
      </c>
      <c r="M2333" s="7" t="n">
        <v>37</v>
      </c>
      <c r="N2333" s="7" t="n">
        <v>5</v>
      </c>
      <c r="O2333" s="7" t="str">
        <f aca="false">A2333&amp;"|"&amp;B2333&amp;"|"&amp;C2333&amp;"|"&amp;D2333&amp;"|"&amp;E2333&amp;"|"&amp;F2333&amp;"|"&amp;G2333&amp;"|"&amp;H2333&amp;"|"&amp;I2333&amp;"|"&amp;J2333&amp;"|"&amp;K2333&amp;"|"&amp;L2333&amp;"|"&amp;M2333&amp;"|"&amp;N2333</f>
        <v>ORD12481|2025-11-07|19:42|C0321|Bengal Bites|Kolkata|Street Food|4|5000|0|UPI|Delivered|37|5</v>
      </c>
      <c r="P2333" s="7" t="str">
        <f aca="false">IF(COUNTIF($O$2:O2333,O2333)&gt;1,"DUP","OK")</f>
        <v>OK</v>
      </c>
      <c r="Q2333" s="7" t="n">
        <f aca="false">COUNTBLANK(A2333:N2333)</f>
        <v>0</v>
      </c>
      <c r="R2333" s="7" t="n">
        <f aca="false">IF(A2333="",0,COUNTIFS($A$2:$A$3058,A2333,$P$2:$P$3058,"OK"))</f>
        <v>1</v>
      </c>
      <c r="S2333" s="7" t="str">
        <f aca="false">IF(OR(A2333="",P2333="DUP",R2333&lt;2),"",IF(Q2333=_xlfn.MINIFS($Q$2:$Q$3058,$A$2:$A$3058,A2333,$P$2:$P$3058,"OK"),"KEEP","DROP"))</f>
        <v/>
      </c>
      <c r="T2333" s="9" t="n">
        <f aca="false">IF(A2333="",1,0)</f>
        <v>0</v>
      </c>
      <c r="U2333" s="9" t="n">
        <f aca="false">IF(D2333="",1,0)</f>
        <v>0</v>
      </c>
      <c r="V2333" s="9" t="n">
        <f aca="false">IF(E2333="",1,0)</f>
        <v>0</v>
      </c>
      <c r="W2333" s="9" t="n">
        <f aca="false">IF(OR(H2333&lt;1,H2333&gt;10),1,0)</f>
        <v>0</v>
      </c>
      <c r="X2333" s="9" t="n">
        <f aca="false">IF(OR(I2333&lt;=0,I2333&gt;1500),1,0)</f>
        <v>1</v>
      </c>
      <c r="Y2333" s="9" t="n">
        <f aca="false">IF(J2333&gt;H2333*I2333,1,0)</f>
        <v>0</v>
      </c>
      <c r="Z2333" s="9" t="n">
        <f aca="false">IF(AND(N2333&lt;&gt;"",OR(N2333&lt;1,N2333&gt;5)),1,0)</f>
        <v>0</v>
      </c>
      <c r="AA2333" s="9" t="n">
        <f aca="false">IF(AND(M2333&lt;&gt;"",OR(M2333&lt;5,M2333&gt;180)),1,0)</f>
        <v>0</v>
      </c>
      <c r="AB2333" s="7" t="str">
        <f aca="false">IF(P2333="DUP","Exact duplicate row",IF(T2333=1,"Missing Order ID",IF(S2333="DROP","Duplicate Order ID (less complete row)",IF(U2333=1,"Missing Customer ID",IF(V2333=1,"Missing Restaurant name",IF(W2333=1,"Invalid/outlier quantity",IF(X2333=1,"Invalid/outlier unit price",IF(Y2333=1,"Discount greater than order value",""))))))))</f>
        <v>Invalid/outlier unit price</v>
      </c>
      <c r="AC2333" s="7" t="str">
        <f aca="false">IF(AB2333="","KEEP","DROP")</f>
        <v>DROP</v>
      </c>
      <c r="AD2333" s="7" t="str">
        <f aca="false">IF(TRIM(F2333)="",IFERROR(INDEX(Map_Tables!$I$4:$I$37,MATCH(TRIM(E2333),Map_Tables!$G$4:$G$37,0)),""),IFERROR(INDEX(Map_Tables!$B$4:$B$18,MATCH(TRIM(F2333),Map_Tables!$A$4:$A$18,0)),"CHECK"))</f>
        <v>Kolkata</v>
      </c>
      <c r="AE2333" s="7" t="str">
        <f aca="false">IF(TRIM(E2333)="","",IFERROR(INDEX(Map_Tables!$H$4:$H$37,MATCH(TRIM(E2333),Map_Tables!$G$4:$G$37,0)),"CHECK"))</f>
        <v>Bengal Bites</v>
      </c>
      <c r="AF2333" s="7" t="str">
        <f aca="false">IF(TRIM(K2333)="","Unknown",IFERROR(INDEX(Map_Tables!$E$4:$E$15,MATCH(TRIM(K2333),Map_Tables!$D$4:$D$15,0)),"CHECK"))</f>
        <v>UPI</v>
      </c>
      <c r="AG2333" s="7" t="str">
        <f aca="false">IF(LEFT(LOWER(TRIM(L2333)),6)="cancel","Cancelled","Delivered")</f>
        <v>Delivered</v>
      </c>
      <c r="AH2333" s="10" t="n">
        <f aca="false">IF(ISNUMBER(SEARCH("/",B2333)),DATE(VALUE(RIGHT(B2333,4)),VALUE(MID(B2333,4,2)),VALUE(LEFT(B2333,2))),IF(MID(B2333,5,1)="-",DATE(VALUE(LEFT(B2333,4)),VALUE(MID(B2333,6,2)),VALUE(RIGHT(B2333,2))),DATE(VALUE(RIGHT(B2333,4)),MATCH(MID(B2333,4,3),{"Jan","Feb","Mar","Apr","May","Jun","Jul","Aug","Sep","Oct","Nov","Dec"},0),VALUE(LEFT(B2333,2)))))</f>
        <v>45968</v>
      </c>
    </row>
    <row r="2334" customFormat="false" ht="15" hidden="false" customHeight="false" outlineLevel="0" collapsed="false">
      <c r="A2334" s="7" t="s">
        <v>3395</v>
      </c>
      <c r="B2334" s="7" t="s">
        <v>2920</v>
      </c>
      <c r="C2334" s="7" t="s">
        <v>2384</v>
      </c>
      <c r="D2334" s="7" t="s">
        <v>3396</v>
      </c>
      <c r="E2334" s="7" t="s">
        <v>3397</v>
      </c>
      <c r="F2334" s="7" t="s">
        <v>101</v>
      </c>
      <c r="G2334" s="7" t="s">
        <v>90</v>
      </c>
      <c r="H2334" s="7" t="n">
        <v>1</v>
      </c>
      <c r="I2334" s="7" t="n">
        <v>235</v>
      </c>
      <c r="J2334" s="7" t="n">
        <v>0</v>
      </c>
      <c r="K2334" s="7" t="s">
        <v>93</v>
      </c>
      <c r="L2334" s="7" t="s">
        <v>194</v>
      </c>
      <c r="M2334" s="7" t="n">
        <v>33</v>
      </c>
      <c r="N2334" s="7"/>
      <c r="O2334" s="7" t="str">
        <f aca="false">A2334&amp;"|"&amp;B2334&amp;"|"&amp;C2334&amp;"|"&amp;D2334&amp;"|"&amp;E2334&amp;"|"&amp;F2334&amp;"|"&amp;G2334&amp;"|"&amp;H2334&amp;"|"&amp;I2334&amp;"|"&amp;J2334&amp;"|"&amp;K2334&amp;"|"&amp;L2334&amp;"|"&amp;M2334&amp;"|"&amp;N2334</f>
        <v>ORD12856|2025-12-16|11:07|C0942|CURRY LEAF KITCHEN|Mumbai|North Indian|1|235|0|Credit Card|Delivered|33|</v>
      </c>
      <c r="P2334" s="7" t="str">
        <f aca="false">IF(COUNTIF($O$2:O2334,O2334)&gt;1,"DUP","OK")</f>
        <v>DUP</v>
      </c>
      <c r="Q2334" s="7" t="n">
        <f aca="false">COUNTBLANK(A2334:N2334)</f>
        <v>1</v>
      </c>
      <c r="R2334" s="7" t="n">
        <f aca="false">IF(A2334="",0,COUNTIFS($A$2:$A$3058,A2334,$P$2:$P$3058,"OK"))</f>
        <v>1</v>
      </c>
      <c r="S2334" s="7" t="str">
        <f aca="false">IF(OR(A2334="",P2334="DUP",R2334&lt;2),"",IF(Q2334=_xlfn.MINIFS($Q$2:$Q$3058,$A$2:$A$3058,A2334,$P$2:$P$3058,"OK"),"KEEP","DROP"))</f>
        <v/>
      </c>
      <c r="T2334" s="9" t="n">
        <f aca="false">IF(A2334="",1,0)</f>
        <v>0</v>
      </c>
      <c r="U2334" s="9" t="n">
        <f aca="false">IF(D2334="",1,0)</f>
        <v>0</v>
      </c>
      <c r="V2334" s="9" t="n">
        <f aca="false">IF(E2334="",1,0)</f>
        <v>0</v>
      </c>
      <c r="W2334" s="9" t="n">
        <f aca="false">IF(OR(H2334&lt;1,H2334&gt;10),1,0)</f>
        <v>0</v>
      </c>
      <c r="X2334" s="9" t="n">
        <f aca="false">IF(OR(I2334&lt;=0,I2334&gt;1500),1,0)</f>
        <v>0</v>
      </c>
      <c r="Y2334" s="9" t="n">
        <f aca="false">IF(J2334&gt;H2334*I2334,1,0)</f>
        <v>0</v>
      </c>
      <c r="Z2334" s="9" t="n">
        <f aca="false">IF(AND(N2334&lt;&gt;"",OR(N2334&lt;1,N2334&gt;5)),1,0)</f>
        <v>0</v>
      </c>
      <c r="AA2334" s="9" t="n">
        <f aca="false">IF(AND(M2334&lt;&gt;"",OR(M2334&lt;5,M2334&gt;180)),1,0)</f>
        <v>0</v>
      </c>
      <c r="AB2334" s="7" t="str">
        <f aca="false">IF(P2334="DUP","Exact duplicate row",IF(T2334=1,"Missing Order ID",IF(S2334="DROP","Duplicate Order ID (less complete row)",IF(U2334=1,"Missing Customer ID",IF(V2334=1,"Missing Restaurant name",IF(W2334=1,"Invalid/outlier quantity",IF(X2334=1,"Invalid/outlier unit price",IF(Y2334=1,"Discount greater than order value",""))))))))</f>
        <v>Exact duplicate row</v>
      </c>
      <c r="AC2334" s="7" t="str">
        <f aca="false">IF(AB2334="","KEEP","DROP")</f>
        <v>DROP</v>
      </c>
      <c r="AD2334" s="7" t="str">
        <f aca="false">IF(TRIM(F2334)="",IFERROR(INDEX(Map_Tables!$I$4:$I$37,MATCH(TRIM(E2334),Map_Tables!$G$4:$G$37,0)),""),IFERROR(INDEX(Map_Tables!$B$4:$B$18,MATCH(TRIM(F2334),Map_Tables!$A$4:$A$18,0)),"CHECK"))</f>
        <v>Mumbai</v>
      </c>
      <c r="AE2334" s="7" t="str">
        <f aca="false">IF(TRIM(E2334)="","",IFERROR(INDEX(Map_Tables!$H$4:$H$37,MATCH(TRIM(E2334),Map_Tables!$G$4:$G$37,0)),"CHECK"))</f>
        <v>Curry Leaf Kitchen</v>
      </c>
      <c r="AF2334" s="7" t="str">
        <f aca="false">IF(TRIM(K2334)="","Unknown",IFERROR(INDEX(Map_Tables!$E$4:$E$15,MATCH(TRIM(K2334),Map_Tables!$D$4:$D$15,0)),"CHECK"))</f>
        <v>Credit Card</v>
      </c>
      <c r="AG2334" s="7" t="str">
        <f aca="false">IF(LEFT(LOWER(TRIM(L2334)),6)="cancel","Cancelled","Delivered")</f>
        <v>Delivered</v>
      </c>
      <c r="AH2334" s="10" t="n">
        <f aca="false">IF(ISNUMBER(SEARCH("/",B2334)),DATE(VALUE(RIGHT(B2334,4)),VALUE(MID(B2334,4,2)),VALUE(LEFT(B2334,2))),IF(MID(B2334,5,1)="-",DATE(VALUE(LEFT(B2334,4)),VALUE(MID(B2334,6,2)),VALUE(RIGHT(B2334,2))),DATE(VALUE(RIGHT(B2334,4)),MATCH(MID(B2334,4,3),{"Jan","Feb","Mar","Apr","May","Jun","Jul","Aug","Sep","Oct","Nov","Dec"},0),VALUE(LEFT(B2334,2)))))</f>
        <v>46007</v>
      </c>
    </row>
    <row r="2335" customFormat="false" ht="15" hidden="false" customHeight="false" outlineLevel="0" collapsed="false">
      <c r="A2335" s="7" t="s">
        <v>5237</v>
      </c>
      <c r="B2335" s="7" t="s">
        <v>2501</v>
      </c>
      <c r="C2335" s="7" t="s">
        <v>1062</v>
      </c>
      <c r="D2335" s="7" t="s">
        <v>5238</v>
      </c>
      <c r="E2335" s="7" t="s">
        <v>98</v>
      </c>
      <c r="F2335" s="7" t="s">
        <v>86</v>
      </c>
      <c r="G2335" s="7" t="s">
        <v>99</v>
      </c>
      <c r="H2335" s="7" t="n">
        <v>2</v>
      </c>
      <c r="I2335" s="7" t="n">
        <v>240</v>
      </c>
      <c r="J2335" s="7" t="n">
        <v>0</v>
      </c>
      <c r="K2335" s="7" t="s">
        <v>88</v>
      </c>
      <c r="L2335" s="7" t="s">
        <v>194</v>
      </c>
      <c r="M2335" s="7" t="n">
        <v>55</v>
      </c>
      <c r="N2335" s="7" t="n">
        <v>5</v>
      </c>
      <c r="O2335" s="7" t="str">
        <f aca="false">A2335&amp;"|"&amp;B2335&amp;"|"&amp;C2335&amp;"|"&amp;D2335&amp;"|"&amp;E2335&amp;"|"&amp;F2335&amp;"|"&amp;G2335&amp;"|"&amp;H2335&amp;"|"&amp;I2335&amp;"|"&amp;J2335&amp;"|"&amp;K2335&amp;"|"&amp;L2335&amp;"|"&amp;M2335&amp;"|"&amp;N2335</f>
        <v>ORD12251|2025-10-12|21:10|C1128|Nawabi Biryani House|Bengaluru|Biryani|2|240|0|UPI|Delivered|55|5</v>
      </c>
      <c r="P2335" s="7" t="str">
        <f aca="false">IF(COUNTIF($O$2:O2335,O2335)&gt;1,"DUP","OK")</f>
        <v>OK</v>
      </c>
      <c r="Q2335" s="7" t="n">
        <f aca="false">COUNTBLANK(A2335:N2335)</f>
        <v>0</v>
      </c>
      <c r="R2335" s="7" t="n">
        <f aca="false">IF(A2335="",0,COUNTIFS($A$2:$A$3058,A2335,$P$2:$P$3058,"OK"))</f>
        <v>1</v>
      </c>
      <c r="S2335" s="7" t="str">
        <f aca="false">IF(OR(A2335="",P2335="DUP",R2335&lt;2),"",IF(Q2335=_xlfn.MINIFS($Q$2:$Q$3058,$A$2:$A$3058,A2335,$P$2:$P$3058,"OK"),"KEEP","DROP"))</f>
        <v/>
      </c>
      <c r="T2335" s="9" t="n">
        <f aca="false">IF(A2335="",1,0)</f>
        <v>0</v>
      </c>
      <c r="U2335" s="9" t="n">
        <f aca="false">IF(D2335="",1,0)</f>
        <v>0</v>
      </c>
      <c r="V2335" s="9" t="n">
        <f aca="false">IF(E2335="",1,0)</f>
        <v>0</v>
      </c>
      <c r="W2335" s="9" t="n">
        <f aca="false">IF(OR(H2335&lt;1,H2335&gt;10),1,0)</f>
        <v>0</v>
      </c>
      <c r="X2335" s="9" t="n">
        <f aca="false">IF(OR(I2335&lt;=0,I2335&gt;1500),1,0)</f>
        <v>0</v>
      </c>
      <c r="Y2335" s="9" t="n">
        <f aca="false">IF(J2335&gt;H2335*I2335,1,0)</f>
        <v>0</v>
      </c>
      <c r="Z2335" s="9" t="n">
        <f aca="false">IF(AND(N2335&lt;&gt;"",OR(N2335&lt;1,N2335&gt;5)),1,0)</f>
        <v>0</v>
      </c>
      <c r="AA2335" s="9" t="n">
        <f aca="false">IF(AND(M2335&lt;&gt;"",OR(M2335&lt;5,M2335&gt;180)),1,0)</f>
        <v>0</v>
      </c>
      <c r="AB2335" s="7" t="str">
        <f aca="false">IF(P2335="DUP","Exact duplicate row",IF(T2335=1,"Missing Order ID",IF(S2335="DROP","Duplicate Order ID (less complete row)",IF(U2335=1,"Missing Customer ID",IF(V2335=1,"Missing Restaurant name",IF(W2335=1,"Invalid/outlier quantity",IF(X2335=1,"Invalid/outlier unit price",IF(Y2335=1,"Discount greater than order value",""))))))))</f>
        <v/>
      </c>
      <c r="AC2335" s="7" t="str">
        <f aca="false">IF(AB2335="","KEEP","DROP")</f>
        <v>KEEP</v>
      </c>
      <c r="AD2335" s="7" t="str">
        <f aca="false">IF(TRIM(F2335)="",IFERROR(INDEX(Map_Tables!$I$4:$I$37,MATCH(TRIM(E2335),Map_Tables!$G$4:$G$37,0)),""),IFERROR(INDEX(Map_Tables!$B$4:$B$18,MATCH(TRIM(F2335),Map_Tables!$A$4:$A$18,0)),"CHECK"))</f>
        <v>Bengaluru</v>
      </c>
      <c r="AE2335" s="7" t="str">
        <f aca="false">IF(TRIM(E2335)="","",IFERROR(INDEX(Map_Tables!$H$4:$H$37,MATCH(TRIM(E2335),Map_Tables!$G$4:$G$37,0)),"CHECK"))</f>
        <v>Nawabi Biryani House</v>
      </c>
      <c r="AF2335" s="7" t="str">
        <f aca="false">IF(TRIM(K2335)="","Unknown",IFERROR(INDEX(Map_Tables!$E$4:$E$15,MATCH(TRIM(K2335),Map_Tables!$D$4:$D$15,0)),"CHECK"))</f>
        <v>UPI</v>
      </c>
      <c r="AG2335" s="7" t="str">
        <f aca="false">IF(LEFT(LOWER(TRIM(L2335)),6)="cancel","Cancelled","Delivered")</f>
        <v>Delivered</v>
      </c>
      <c r="AH2335" s="10" t="n">
        <f aca="false">IF(ISNUMBER(SEARCH("/",B2335)),DATE(VALUE(RIGHT(B2335,4)),VALUE(MID(B2335,4,2)),VALUE(LEFT(B2335,2))),IF(MID(B2335,5,1)="-",DATE(VALUE(LEFT(B2335,4)),VALUE(MID(B2335,6,2)),VALUE(RIGHT(B2335,2))),DATE(VALUE(RIGHT(B2335,4)),MATCH(MID(B2335,4,3),{"Jan","Feb","Mar","Apr","May","Jun","Jul","Aug","Sep","Oct","Nov","Dec"},0),VALUE(LEFT(B2335,2)))))</f>
        <v>45942</v>
      </c>
    </row>
    <row r="2336" customFormat="false" ht="15" hidden="false" customHeight="false" outlineLevel="0" collapsed="false">
      <c r="A2336" s="7" t="s">
        <v>5239</v>
      </c>
      <c r="B2336" s="7" t="s">
        <v>5240</v>
      </c>
      <c r="C2336" s="7" t="s">
        <v>3774</v>
      </c>
      <c r="D2336" s="7" t="s">
        <v>985</v>
      </c>
      <c r="E2336" s="7" t="s">
        <v>104</v>
      </c>
      <c r="F2336" s="7" t="s">
        <v>86</v>
      </c>
      <c r="G2336" s="7" t="s">
        <v>105</v>
      </c>
      <c r="H2336" s="7" t="n">
        <v>1</v>
      </c>
      <c r="I2336" s="7" t="n">
        <v>250</v>
      </c>
      <c r="J2336" s="7" t="n">
        <v>0</v>
      </c>
      <c r="K2336" s="7" t="s">
        <v>133</v>
      </c>
      <c r="L2336" s="7" t="s">
        <v>194</v>
      </c>
      <c r="M2336" s="7" t="n">
        <v>35</v>
      </c>
      <c r="N2336" s="7" t="n">
        <v>4</v>
      </c>
      <c r="O2336" s="7" t="str">
        <f aca="false">A2336&amp;"|"&amp;B2336&amp;"|"&amp;C2336&amp;"|"&amp;D2336&amp;"|"&amp;E2336&amp;"|"&amp;F2336&amp;"|"&amp;G2336&amp;"|"&amp;H2336&amp;"|"&amp;I2336&amp;"|"&amp;J2336&amp;"|"&amp;K2336&amp;"|"&amp;L2336&amp;"|"&amp;M2336&amp;"|"&amp;N2336</f>
        <v>ORD10113|15/01/2025|12:52|C0143|Wok &amp; Roll|Bengaluru|Chinese|1|250|0|Net Banking|Delivered|35|4</v>
      </c>
      <c r="P2336" s="7" t="str">
        <f aca="false">IF(COUNTIF($O$2:O2336,O2336)&gt;1,"DUP","OK")</f>
        <v>OK</v>
      </c>
      <c r="Q2336" s="7" t="n">
        <f aca="false">COUNTBLANK(A2336:N2336)</f>
        <v>0</v>
      </c>
      <c r="R2336" s="7" t="n">
        <f aca="false">IF(A2336="",0,COUNTIFS($A$2:$A$3058,A2336,$P$2:$P$3058,"OK"))</f>
        <v>1</v>
      </c>
      <c r="S2336" s="7" t="str">
        <f aca="false">IF(OR(A2336="",P2336="DUP",R2336&lt;2),"",IF(Q2336=_xlfn.MINIFS($Q$2:$Q$3058,$A$2:$A$3058,A2336,$P$2:$P$3058,"OK"),"KEEP","DROP"))</f>
        <v/>
      </c>
      <c r="T2336" s="9" t="n">
        <f aca="false">IF(A2336="",1,0)</f>
        <v>0</v>
      </c>
      <c r="U2336" s="9" t="n">
        <f aca="false">IF(D2336="",1,0)</f>
        <v>0</v>
      </c>
      <c r="V2336" s="9" t="n">
        <f aca="false">IF(E2336="",1,0)</f>
        <v>0</v>
      </c>
      <c r="W2336" s="9" t="n">
        <f aca="false">IF(OR(H2336&lt;1,H2336&gt;10),1,0)</f>
        <v>0</v>
      </c>
      <c r="X2336" s="9" t="n">
        <f aca="false">IF(OR(I2336&lt;=0,I2336&gt;1500),1,0)</f>
        <v>0</v>
      </c>
      <c r="Y2336" s="9" t="n">
        <f aca="false">IF(J2336&gt;H2336*I2336,1,0)</f>
        <v>0</v>
      </c>
      <c r="Z2336" s="9" t="n">
        <f aca="false">IF(AND(N2336&lt;&gt;"",OR(N2336&lt;1,N2336&gt;5)),1,0)</f>
        <v>0</v>
      </c>
      <c r="AA2336" s="9" t="n">
        <f aca="false">IF(AND(M2336&lt;&gt;"",OR(M2336&lt;5,M2336&gt;180)),1,0)</f>
        <v>0</v>
      </c>
      <c r="AB2336" s="7" t="str">
        <f aca="false">IF(P2336="DUP","Exact duplicate row",IF(T2336=1,"Missing Order ID",IF(S2336="DROP","Duplicate Order ID (less complete row)",IF(U2336=1,"Missing Customer ID",IF(V2336=1,"Missing Restaurant name",IF(W2336=1,"Invalid/outlier quantity",IF(X2336=1,"Invalid/outlier unit price",IF(Y2336=1,"Discount greater than order value",""))))))))</f>
        <v/>
      </c>
      <c r="AC2336" s="7" t="str">
        <f aca="false">IF(AB2336="","KEEP","DROP")</f>
        <v>KEEP</v>
      </c>
      <c r="AD2336" s="7" t="str">
        <f aca="false">IF(TRIM(F2336)="",IFERROR(INDEX(Map_Tables!$I$4:$I$37,MATCH(TRIM(E2336),Map_Tables!$G$4:$G$37,0)),""),IFERROR(INDEX(Map_Tables!$B$4:$B$18,MATCH(TRIM(F2336),Map_Tables!$A$4:$A$18,0)),"CHECK"))</f>
        <v>Bengaluru</v>
      </c>
      <c r="AE2336" s="7" t="str">
        <f aca="false">IF(TRIM(E2336)="","",IFERROR(INDEX(Map_Tables!$H$4:$H$37,MATCH(TRIM(E2336),Map_Tables!$G$4:$G$37,0)),"CHECK"))</f>
        <v>Wok &amp; Roll</v>
      </c>
      <c r="AF2336" s="7" t="str">
        <f aca="false">IF(TRIM(K2336)="","Unknown",IFERROR(INDEX(Map_Tables!$E$4:$E$15,MATCH(TRIM(K2336),Map_Tables!$D$4:$D$15,0)),"CHECK"))</f>
        <v>Net Banking</v>
      </c>
      <c r="AG2336" s="7" t="str">
        <f aca="false">IF(LEFT(LOWER(TRIM(L2336)),6)="cancel","Cancelled","Delivered")</f>
        <v>Delivered</v>
      </c>
      <c r="AH2336" s="10" t="n">
        <f aca="false">IF(ISNUMBER(SEARCH("/",B2336)),DATE(VALUE(RIGHT(B2336,4)),VALUE(MID(B2336,4,2)),VALUE(LEFT(B2336,2))),IF(MID(B2336,5,1)="-",DATE(VALUE(LEFT(B2336,4)),VALUE(MID(B2336,6,2)),VALUE(RIGHT(B2336,2))),DATE(VALUE(RIGHT(B2336,4)),MATCH(MID(B2336,4,3),{"Jan","Feb","Mar","Apr","May","Jun","Jul","Aug","Sep","Oct","Nov","Dec"},0),VALUE(LEFT(B2336,2)))))</f>
        <v>45672</v>
      </c>
    </row>
    <row r="2337" customFormat="false" ht="15" hidden="false" customHeight="false" outlineLevel="0" collapsed="false">
      <c r="A2337" s="7" t="s">
        <v>5241</v>
      </c>
      <c r="B2337" s="7" t="s">
        <v>3637</v>
      </c>
      <c r="C2337" s="7" t="s">
        <v>796</v>
      </c>
      <c r="D2337" s="7" t="s">
        <v>2861</v>
      </c>
      <c r="E2337" s="7" t="s">
        <v>130</v>
      </c>
      <c r="F2337" s="7" t="s">
        <v>110</v>
      </c>
      <c r="G2337" s="7" t="s">
        <v>90</v>
      </c>
      <c r="H2337" s="7" t="n">
        <v>2</v>
      </c>
      <c r="I2337" s="7" t="n">
        <v>220</v>
      </c>
      <c r="J2337" s="7" t="n">
        <v>0</v>
      </c>
      <c r="K2337" s="7" t="s">
        <v>88</v>
      </c>
      <c r="L2337" s="7" t="s">
        <v>194</v>
      </c>
      <c r="M2337" s="7" t="n">
        <v>41</v>
      </c>
      <c r="N2337" s="7"/>
      <c r="O2337" s="7" t="str">
        <f aca="false">A2337&amp;"|"&amp;B2337&amp;"|"&amp;C2337&amp;"|"&amp;D2337&amp;"|"&amp;E2337&amp;"|"&amp;F2337&amp;"|"&amp;G2337&amp;"|"&amp;H2337&amp;"|"&amp;I2337&amp;"|"&amp;J2337&amp;"|"&amp;K2337&amp;"|"&amp;L2337&amp;"|"&amp;M2337&amp;"|"&amp;N2337</f>
        <v>ORD12882|2025-12-19|13:38|C1230|Tandoor Tales|Delhi|North Indian|2|220|0|UPI|Delivered|41|</v>
      </c>
      <c r="P2337" s="7" t="str">
        <f aca="false">IF(COUNTIF($O$2:O2337,O2337)&gt;1,"DUP","OK")</f>
        <v>OK</v>
      </c>
      <c r="Q2337" s="7" t="n">
        <f aca="false">COUNTBLANK(A2337:N2337)</f>
        <v>1</v>
      </c>
      <c r="R2337" s="7" t="n">
        <f aca="false">IF(A2337="",0,COUNTIFS($A$2:$A$3058,A2337,$P$2:$P$3058,"OK"))</f>
        <v>1</v>
      </c>
      <c r="S2337" s="7" t="str">
        <f aca="false">IF(OR(A2337="",P2337="DUP",R2337&lt;2),"",IF(Q2337=_xlfn.MINIFS($Q$2:$Q$3058,$A$2:$A$3058,A2337,$P$2:$P$3058,"OK"),"KEEP","DROP"))</f>
        <v/>
      </c>
      <c r="T2337" s="9" t="n">
        <f aca="false">IF(A2337="",1,0)</f>
        <v>0</v>
      </c>
      <c r="U2337" s="9" t="n">
        <f aca="false">IF(D2337="",1,0)</f>
        <v>0</v>
      </c>
      <c r="V2337" s="9" t="n">
        <f aca="false">IF(E2337="",1,0)</f>
        <v>0</v>
      </c>
      <c r="W2337" s="9" t="n">
        <f aca="false">IF(OR(H2337&lt;1,H2337&gt;10),1,0)</f>
        <v>0</v>
      </c>
      <c r="X2337" s="9" t="n">
        <f aca="false">IF(OR(I2337&lt;=0,I2337&gt;1500),1,0)</f>
        <v>0</v>
      </c>
      <c r="Y2337" s="9" t="n">
        <f aca="false">IF(J2337&gt;H2337*I2337,1,0)</f>
        <v>0</v>
      </c>
      <c r="Z2337" s="9" t="n">
        <f aca="false">IF(AND(N2337&lt;&gt;"",OR(N2337&lt;1,N2337&gt;5)),1,0)</f>
        <v>0</v>
      </c>
      <c r="AA2337" s="9" t="n">
        <f aca="false">IF(AND(M2337&lt;&gt;"",OR(M2337&lt;5,M2337&gt;180)),1,0)</f>
        <v>0</v>
      </c>
      <c r="AB2337" s="7" t="str">
        <f aca="false">IF(P2337="DUP","Exact duplicate row",IF(T2337=1,"Missing Order ID",IF(S2337="DROP","Duplicate Order ID (less complete row)",IF(U2337=1,"Missing Customer ID",IF(V2337=1,"Missing Restaurant name",IF(W2337=1,"Invalid/outlier quantity",IF(X2337=1,"Invalid/outlier unit price",IF(Y2337=1,"Discount greater than order value",""))))))))</f>
        <v/>
      </c>
      <c r="AC2337" s="7" t="str">
        <f aca="false">IF(AB2337="","KEEP","DROP")</f>
        <v>KEEP</v>
      </c>
      <c r="AD2337" s="7" t="str">
        <f aca="false">IF(TRIM(F2337)="",IFERROR(INDEX(Map_Tables!$I$4:$I$37,MATCH(TRIM(E2337),Map_Tables!$G$4:$G$37,0)),""),IFERROR(INDEX(Map_Tables!$B$4:$B$18,MATCH(TRIM(F2337),Map_Tables!$A$4:$A$18,0)),"CHECK"))</f>
        <v>Delhi</v>
      </c>
      <c r="AE2337" s="7" t="str">
        <f aca="false">IF(TRIM(E2337)="","",IFERROR(INDEX(Map_Tables!$H$4:$H$37,MATCH(TRIM(E2337),Map_Tables!$G$4:$G$37,0)),"CHECK"))</f>
        <v>Tandoor Tales</v>
      </c>
      <c r="AF2337" s="7" t="str">
        <f aca="false">IF(TRIM(K2337)="","Unknown",IFERROR(INDEX(Map_Tables!$E$4:$E$15,MATCH(TRIM(K2337),Map_Tables!$D$4:$D$15,0)),"CHECK"))</f>
        <v>UPI</v>
      </c>
      <c r="AG2337" s="7" t="str">
        <f aca="false">IF(LEFT(LOWER(TRIM(L2337)),6)="cancel","Cancelled","Delivered")</f>
        <v>Delivered</v>
      </c>
      <c r="AH2337" s="10" t="n">
        <f aca="false">IF(ISNUMBER(SEARCH("/",B2337)),DATE(VALUE(RIGHT(B2337,4)),VALUE(MID(B2337,4,2)),VALUE(LEFT(B2337,2))),IF(MID(B2337,5,1)="-",DATE(VALUE(LEFT(B2337,4)),VALUE(MID(B2337,6,2)),VALUE(RIGHT(B2337,2))),DATE(VALUE(RIGHT(B2337,4)),MATCH(MID(B2337,4,3),{"Jan","Feb","Mar","Apr","May","Jun","Jul","Aug","Sep","Oct","Nov","Dec"},0),VALUE(LEFT(B2337,2)))))</f>
        <v>46010</v>
      </c>
    </row>
    <row r="2338" customFormat="false" ht="15" hidden="false" customHeight="false" outlineLevel="0" collapsed="false">
      <c r="A2338" s="7" t="s">
        <v>5242</v>
      </c>
      <c r="B2338" s="7" t="s">
        <v>3551</v>
      </c>
      <c r="C2338" s="7" t="s">
        <v>2271</v>
      </c>
      <c r="D2338" s="7" t="s">
        <v>1705</v>
      </c>
      <c r="E2338" s="7" t="s">
        <v>138</v>
      </c>
      <c r="F2338" s="7" t="s">
        <v>110</v>
      </c>
      <c r="G2338" s="7" t="s">
        <v>139</v>
      </c>
      <c r="H2338" s="7" t="n">
        <v>2</v>
      </c>
      <c r="I2338" s="7" t="n">
        <v>225</v>
      </c>
      <c r="J2338" s="7" t="n">
        <v>125</v>
      </c>
      <c r="K2338" s="7" t="s">
        <v>112</v>
      </c>
      <c r="L2338" s="7" t="s">
        <v>194</v>
      </c>
      <c r="M2338" s="7" t="n">
        <v>46</v>
      </c>
      <c r="N2338" s="7" t="n">
        <v>4</v>
      </c>
      <c r="O2338" s="7" t="str">
        <f aca="false">A2338&amp;"|"&amp;B2338&amp;"|"&amp;C2338&amp;"|"&amp;D2338&amp;"|"&amp;E2338&amp;"|"&amp;F2338&amp;"|"&amp;G2338&amp;"|"&amp;H2338&amp;"|"&amp;I2338&amp;"|"&amp;J2338&amp;"|"&amp;K2338&amp;"|"&amp;L2338&amp;"|"&amp;M2338&amp;"|"&amp;N2338</f>
        <v>ORD11447|07/07/2025|12:38|C1181|Burger Barn|Delhi|Burgers|2|225|125|Cash on Delivery|Delivered|46|4</v>
      </c>
      <c r="P2338" s="7" t="str">
        <f aca="false">IF(COUNTIF($O$2:O2338,O2338)&gt;1,"DUP","OK")</f>
        <v>OK</v>
      </c>
      <c r="Q2338" s="7" t="n">
        <f aca="false">COUNTBLANK(A2338:N2338)</f>
        <v>0</v>
      </c>
      <c r="R2338" s="7" t="n">
        <f aca="false">IF(A2338="",0,COUNTIFS($A$2:$A$3058,A2338,$P$2:$P$3058,"OK"))</f>
        <v>1</v>
      </c>
      <c r="S2338" s="7" t="str">
        <f aca="false">IF(OR(A2338="",P2338="DUP",R2338&lt;2),"",IF(Q2338=_xlfn.MINIFS($Q$2:$Q$3058,$A$2:$A$3058,A2338,$P$2:$P$3058,"OK"),"KEEP","DROP"))</f>
        <v/>
      </c>
      <c r="T2338" s="9" t="n">
        <f aca="false">IF(A2338="",1,0)</f>
        <v>0</v>
      </c>
      <c r="U2338" s="9" t="n">
        <f aca="false">IF(D2338="",1,0)</f>
        <v>0</v>
      </c>
      <c r="V2338" s="9" t="n">
        <f aca="false">IF(E2338="",1,0)</f>
        <v>0</v>
      </c>
      <c r="W2338" s="9" t="n">
        <f aca="false">IF(OR(H2338&lt;1,H2338&gt;10),1,0)</f>
        <v>0</v>
      </c>
      <c r="X2338" s="9" t="n">
        <f aca="false">IF(OR(I2338&lt;=0,I2338&gt;1500),1,0)</f>
        <v>0</v>
      </c>
      <c r="Y2338" s="9" t="n">
        <f aca="false">IF(J2338&gt;H2338*I2338,1,0)</f>
        <v>0</v>
      </c>
      <c r="Z2338" s="9" t="n">
        <f aca="false">IF(AND(N2338&lt;&gt;"",OR(N2338&lt;1,N2338&gt;5)),1,0)</f>
        <v>0</v>
      </c>
      <c r="AA2338" s="9" t="n">
        <f aca="false">IF(AND(M2338&lt;&gt;"",OR(M2338&lt;5,M2338&gt;180)),1,0)</f>
        <v>0</v>
      </c>
      <c r="AB2338" s="7" t="str">
        <f aca="false">IF(P2338="DUP","Exact duplicate row",IF(T2338=1,"Missing Order ID",IF(S2338="DROP","Duplicate Order ID (less complete row)",IF(U2338=1,"Missing Customer ID",IF(V2338=1,"Missing Restaurant name",IF(W2338=1,"Invalid/outlier quantity",IF(X2338=1,"Invalid/outlier unit price",IF(Y2338=1,"Discount greater than order value",""))))))))</f>
        <v/>
      </c>
      <c r="AC2338" s="7" t="str">
        <f aca="false">IF(AB2338="","KEEP","DROP")</f>
        <v>KEEP</v>
      </c>
      <c r="AD2338" s="7" t="str">
        <f aca="false">IF(TRIM(F2338)="",IFERROR(INDEX(Map_Tables!$I$4:$I$37,MATCH(TRIM(E2338),Map_Tables!$G$4:$G$37,0)),""),IFERROR(INDEX(Map_Tables!$B$4:$B$18,MATCH(TRIM(F2338),Map_Tables!$A$4:$A$18,0)),"CHECK"))</f>
        <v>Delhi</v>
      </c>
      <c r="AE2338" s="7" t="str">
        <f aca="false">IF(TRIM(E2338)="","",IFERROR(INDEX(Map_Tables!$H$4:$H$37,MATCH(TRIM(E2338),Map_Tables!$G$4:$G$37,0)),"CHECK"))</f>
        <v>Burger Barn</v>
      </c>
      <c r="AF2338" s="7" t="str">
        <f aca="false">IF(TRIM(K2338)="","Unknown",IFERROR(INDEX(Map_Tables!$E$4:$E$15,MATCH(TRIM(K2338),Map_Tables!$D$4:$D$15,0)),"CHECK"))</f>
        <v>Cash on Delivery</v>
      </c>
      <c r="AG2338" s="7" t="str">
        <f aca="false">IF(LEFT(LOWER(TRIM(L2338)),6)="cancel","Cancelled","Delivered")</f>
        <v>Delivered</v>
      </c>
      <c r="AH2338" s="10" t="n">
        <f aca="false">IF(ISNUMBER(SEARCH("/",B2338)),DATE(VALUE(RIGHT(B2338,4)),VALUE(MID(B2338,4,2)),VALUE(LEFT(B2338,2))),IF(MID(B2338,5,1)="-",DATE(VALUE(LEFT(B2338,4)),VALUE(MID(B2338,6,2)),VALUE(RIGHT(B2338,2))),DATE(VALUE(RIGHT(B2338,4)),MATCH(MID(B2338,4,3),{"Jan","Feb","Mar","Apr","May","Jun","Jul","Aug","Sep","Oct","Nov","Dec"},0),VALUE(LEFT(B2338,2)))))</f>
        <v>45845</v>
      </c>
    </row>
    <row r="2339" customFormat="false" ht="15" hidden="false" customHeight="false" outlineLevel="0" collapsed="false">
      <c r="A2339" s="7" t="s">
        <v>5243</v>
      </c>
      <c r="B2339" s="7" t="s">
        <v>3695</v>
      </c>
      <c r="C2339" s="7" t="s">
        <v>4312</v>
      </c>
      <c r="D2339" s="7" t="s">
        <v>665</v>
      </c>
      <c r="E2339" s="7" t="s">
        <v>164</v>
      </c>
      <c r="F2339" s="7" t="s">
        <v>141</v>
      </c>
      <c r="G2339" s="7" t="s">
        <v>150</v>
      </c>
      <c r="H2339" s="7" t="n">
        <v>1</v>
      </c>
      <c r="I2339" s="7" t="n">
        <v>145</v>
      </c>
      <c r="J2339" s="7" t="n">
        <v>0</v>
      </c>
      <c r="K2339" s="7" t="s">
        <v>93</v>
      </c>
      <c r="L2339" s="7" t="s">
        <v>194</v>
      </c>
      <c r="M2339" s="7" t="n">
        <v>40</v>
      </c>
      <c r="N2339" s="7" t="n">
        <v>4</v>
      </c>
      <c r="O2339" s="7" t="str">
        <f aca="false">A2339&amp;"|"&amp;B2339&amp;"|"&amp;C2339&amp;"|"&amp;D2339&amp;"|"&amp;E2339&amp;"|"&amp;F2339&amp;"|"&amp;G2339&amp;"|"&amp;H2339&amp;"|"&amp;I2339&amp;"|"&amp;J2339&amp;"|"&amp;K2339&amp;"|"&amp;L2339&amp;"|"&amp;M2339&amp;"|"&amp;N2339</f>
        <v>ORD11953|2025-09-10|21:18|C1010|Mishti Mandir|Kolkata|Desserts|1|145|0|Credit Card|Delivered|40|4</v>
      </c>
      <c r="P2339" s="7" t="str">
        <f aca="false">IF(COUNTIF($O$2:O2339,O2339)&gt;1,"DUP","OK")</f>
        <v>OK</v>
      </c>
      <c r="Q2339" s="7" t="n">
        <f aca="false">COUNTBLANK(A2339:N2339)</f>
        <v>0</v>
      </c>
      <c r="R2339" s="7" t="n">
        <f aca="false">IF(A2339="",0,COUNTIFS($A$2:$A$3058,A2339,$P$2:$P$3058,"OK"))</f>
        <v>1</v>
      </c>
      <c r="S2339" s="7" t="str">
        <f aca="false">IF(OR(A2339="",P2339="DUP",R2339&lt;2),"",IF(Q2339=_xlfn.MINIFS($Q$2:$Q$3058,$A$2:$A$3058,A2339,$P$2:$P$3058,"OK"),"KEEP","DROP"))</f>
        <v/>
      </c>
      <c r="T2339" s="9" t="n">
        <f aca="false">IF(A2339="",1,0)</f>
        <v>0</v>
      </c>
      <c r="U2339" s="9" t="n">
        <f aca="false">IF(D2339="",1,0)</f>
        <v>0</v>
      </c>
      <c r="V2339" s="9" t="n">
        <f aca="false">IF(E2339="",1,0)</f>
        <v>0</v>
      </c>
      <c r="W2339" s="9" t="n">
        <f aca="false">IF(OR(H2339&lt;1,H2339&gt;10),1,0)</f>
        <v>0</v>
      </c>
      <c r="X2339" s="9" t="n">
        <f aca="false">IF(OR(I2339&lt;=0,I2339&gt;1500),1,0)</f>
        <v>0</v>
      </c>
      <c r="Y2339" s="9" t="n">
        <f aca="false">IF(J2339&gt;H2339*I2339,1,0)</f>
        <v>0</v>
      </c>
      <c r="Z2339" s="9" t="n">
        <f aca="false">IF(AND(N2339&lt;&gt;"",OR(N2339&lt;1,N2339&gt;5)),1,0)</f>
        <v>0</v>
      </c>
      <c r="AA2339" s="9" t="n">
        <f aca="false">IF(AND(M2339&lt;&gt;"",OR(M2339&lt;5,M2339&gt;180)),1,0)</f>
        <v>0</v>
      </c>
      <c r="AB2339" s="7" t="str">
        <f aca="false">IF(P2339="DUP","Exact duplicate row",IF(T2339=1,"Missing Order ID",IF(S2339="DROP","Duplicate Order ID (less complete row)",IF(U2339=1,"Missing Customer ID",IF(V2339=1,"Missing Restaurant name",IF(W2339=1,"Invalid/outlier quantity",IF(X2339=1,"Invalid/outlier unit price",IF(Y2339=1,"Discount greater than order value",""))))))))</f>
        <v/>
      </c>
      <c r="AC2339" s="7" t="str">
        <f aca="false">IF(AB2339="","KEEP","DROP")</f>
        <v>KEEP</v>
      </c>
      <c r="AD2339" s="7" t="str">
        <f aca="false">IF(TRIM(F2339)="",IFERROR(INDEX(Map_Tables!$I$4:$I$37,MATCH(TRIM(E2339),Map_Tables!$G$4:$G$37,0)),""),IFERROR(INDEX(Map_Tables!$B$4:$B$18,MATCH(TRIM(F2339),Map_Tables!$A$4:$A$18,0)),"CHECK"))</f>
        <v>Kolkata</v>
      </c>
      <c r="AE2339" s="7" t="str">
        <f aca="false">IF(TRIM(E2339)="","",IFERROR(INDEX(Map_Tables!$H$4:$H$37,MATCH(TRIM(E2339),Map_Tables!$G$4:$G$37,0)),"CHECK"))</f>
        <v>Mishti Mandir</v>
      </c>
      <c r="AF2339" s="7" t="str">
        <f aca="false">IF(TRIM(K2339)="","Unknown",IFERROR(INDEX(Map_Tables!$E$4:$E$15,MATCH(TRIM(K2339),Map_Tables!$D$4:$D$15,0)),"CHECK"))</f>
        <v>Credit Card</v>
      </c>
      <c r="AG2339" s="7" t="str">
        <f aca="false">IF(LEFT(LOWER(TRIM(L2339)),6)="cancel","Cancelled","Delivered")</f>
        <v>Delivered</v>
      </c>
      <c r="AH2339" s="10" t="n">
        <f aca="false">IF(ISNUMBER(SEARCH("/",B2339)),DATE(VALUE(RIGHT(B2339,4)),VALUE(MID(B2339,4,2)),VALUE(LEFT(B2339,2))),IF(MID(B2339,5,1)="-",DATE(VALUE(LEFT(B2339,4)),VALUE(MID(B2339,6,2)),VALUE(RIGHT(B2339,2))),DATE(VALUE(RIGHT(B2339,4)),MATCH(MID(B2339,4,3),{"Jan","Feb","Mar","Apr","May","Jun","Jul","Aug","Sep","Oct","Nov","Dec"},0),VALUE(LEFT(B2339,2)))))</f>
        <v>45910</v>
      </c>
    </row>
    <row r="2340" customFormat="false" ht="15" hidden="false" customHeight="false" outlineLevel="0" collapsed="false">
      <c r="A2340" s="7" t="s">
        <v>5244</v>
      </c>
      <c r="B2340" s="7" t="s">
        <v>2535</v>
      </c>
      <c r="C2340" s="7" t="s">
        <v>595</v>
      </c>
      <c r="D2340" s="7" t="s">
        <v>4871</v>
      </c>
      <c r="E2340" s="7" t="s">
        <v>168</v>
      </c>
      <c r="F2340" s="7" t="s">
        <v>146</v>
      </c>
      <c r="G2340" s="7" t="s">
        <v>123</v>
      </c>
      <c r="H2340" s="7" t="n">
        <v>2</v>
      </c>
      <c r="I2340" s="7" t="n">
        <v>405</v>
      </c>
      <c r="J2340" s="7" t="n">
        <v>30</v>
      </c>
      <c r="K2340" s="7" t="s">
        <v>971</v>
      </c>
      <c r="L2340" s="7" t="s">
        <v>194</v>
      </c>
      <c r="M2340" s="7" t="n">
        <v>37</v>
      </c>
      <c r="N2340" s="7" t="n">
        <v>2</v>
      </c>
      <c r="O2340" s="7" t="str">
        <f aca="false">A2340&amp;"|"&amp;B2340&amp;"|"&amp;C2340&amp;"|"&amp;D2340&amp;"|"&amp;E2340&amp;"|"&amp;F2340&amp;"|"&amp;G2340&amp;"|"&amp;H2340&amp;"|"&amp;I2340&amp;"|"&amp;J2340&amp;"|"&amp;K2340&amp;"|"&amp;L2340&amp;"|"&amp;M2340&amp;"|"&amp;N2340</f>
        <v>ORD10923|2025-04-27|12:30|C0420|Cheesy Slice|Ahmedabad|Pizza|2|405|30|Paytm Wallet|Delivered|37|2</v>
      </c>
      <c r="P2340" s="7" t="str">
        <f aca="false">IF(COUNTIF($O$2:O2340,O2340)&gt;1,"DUP","OK")</f>
        <v>OK</v>
      </c>
      <c r="Q2340" s="7" t="n">
        <f aca="false">COUNTBLANK(A2340:N2340)</f>
        <v>0</v>
      </c>
      <c r="R2340" s="7" t="n">
        <f aca="false">IF(A2340="",0,COUNTIFS($A$2:$A$3058,A2340,$P$2:$P$3058,"OK"))</f>
        <v>1</v>
      </c>
      <c r="S2340" s="7" t="str">
        <f aca="false">IF(OR(A2340="",P2340="DUP",R2340&lt;2),"",IF(Q2340=_xlfn.MINIFS($Q$2:$Q$3058,$A$2:$A$3058,A2340,$P$2:$P$3058,"OK"),"KEEP","DROP"))</f>
        <v/>
      </c>
      <c r="T2340" s="9" t="n">
        <f aca="false">IF(A2340="",1,0)</f>
        <v>0</v>
      </c>
      <c r="U2340" s="9" t="n">
        <f aca="false">IF(D2340="",1,0)</f>
        <v>0</v>
      </c>
      <c r="V2340" s="9" t="n">
        <f aca="false">IF(E2340="",1,0)</f>
        <v>0</v>
      </c>
      <c r="W2340" s="9" t="n">
        <f aca="false">IF(OR(H2340&lt;1,H2340&gt;10),1,0)</f>
        <v>0</v>
      </c>
      <c r="X2340" s="9" t="n">
        <f aca="false">IF(OR(I2340&lt;=0,I2340&gt;1500),1,0)</f>
        <v>0</v>
      </c>
      <c r="Y2340" s="9" t="n">
        <f aca="false">IF(J2340&gt;H2340*I2340,1,0)</f>
        <v>0</v>
      </c>
      <c r="Z2340" s="9" t="n">
        <f aca="false">IF(AND(N2340&lt;&gt;"",OR(N2340&lt;1,N2340&gt;5)),1,0)</f>
        <v>0</v>
      </c>
      <c r="AA2340" s="9" t="n">
        <f aca="false">IF(AND(M2340&lt;&gt;"",OR(M2340&lt;5,M2340&gt;180)),1,0)</f>
        <v>0</v>
      </c>
      <c r="AB2340" s="7" t="str">
        <f aca="false">IF(P2340="DUP","Exact duplicate row",IF(T2340=1,"Missing Order ID",IF(S2340="DROP","Duplicate Order ID (less complete row)",IF(U2340=1,"Missing Customer ID",IF(V2340=1,"Missing Restaurant name",IF(W2340=1,"Invalid/outlier quantity",IF(X2340=1,"Invalid/outlier unit price",IF(Y2340=1,"Discount greater than order value",""))))))))</f>
        <v/>
      </c>
      <c r="AC2340" s="7" t="str">
        <f aca="false">IF(AB2340="","KEEP","DROP")</f>
        <v>KEEP</v>
      </c>
      <c r="AD2340" s="7" t="str">
        <f aca="false">IF(TRIM(F2340)="",IFERROR(INDEX(Map_Tables!$I$4:$I$37,MATCH(TRIM(E2340),Map_Tables!$G$4:$G$37,0)),""),IFERROR(INDEX(Map_Tables!$B$4:$B$18,MATCH(TRIM(F2340),Map_Tables!$A$4:$A$18,0)),"CHECK"))</f>
        <v>Ahmedabad</v>
      </c>
      <c r="AE2340" s="7" t="str">
        <f aca="false">IF(TRIM(E2340)="","",IFERROR(INDEX(Map_Tables!$H$4:$H$37,MATCH(TRIM(E2340),Map_Tables!$G$4:$G$37,0)),"CHECK"))</f>
        <v>Cheesy Slice</v>
      </c>
      <c r="AF2340" s="7" t="str">
        <f aca="false">IF(TRIM(K2340)="","Unknown",IFERROR(INDEX(Map_Tables!$E$4:$E$15,MATCH(TRIM(K2340),Map_Tables!$D$4:$D$15,0)),"CHECK"))</f>
        <v>Wallet</v>
      </c>
      <c r="AG2340" s="7" t="str">
        <f aca="false">IF(LEFT(LOWER(TRIM(L2340)),6)="cancel","Cancelled","Delivered")</f>
        <v>Delivered</v>
      </c>
      <c r="AH2340" s="10" t="n">
        <f aca="false">IF(ISNUMBER(SEARCH("/",B2340)),DATE(VALUE(RIGHT(B2340,4)),VALUE(MID(B2340,4,2)),VALUE(LEFT(B2340,2))),IF(MID(B2340,5,1)="-",DATE(VALUE(LEFT(B2340,4)),VALUE(MID(B2340,6,2)),VALUE(RIGHT(B2340,2))),DATE(VALUE(RIGHT(B2340,4)),MATCH(MID(B2340,4,3),{"Jan","Feb","Mar","Apr","May","Jun","Jul","Aug","Sep","Oct","Nov","Dec"},0),VALUE(LEFT(B2340,2)))))</f>
        <v>45774</v>
      </c>
    </row>
    <row r="2341" customFormat="false" ht="15" hidden="false" customHeight="false" outlineLevel="0" collapsed="false">
      <c r="A2341" s="7" t="s">
        <v>5245</v>
      </c>
      <c r="B2341" s="7" t="s">
        <v>1516</v>
      </c>
      <c r="C2341" s="7" t="s">
        <v>1692</v>
      </c>
      <c r="D2341" s="7" t="s">
        <v>2139</v>
      </c>
      <c r="E2341" s="7" t="s">
        <v>130</v>
      </c>
      <c r="F2341" s="7" t="s">
        <v>110</v>
      </c>
      <c r="G2341" s="7" t="s">
        <v>90</v>
      </c>
      <c r="H2341" s="7" t="n">
        <v>1</v>
      </c>
      <c r="I2341" s="7" t="n">
        <v>255</v>
      </c>
      <c r="J2341" s="7" t="n">
        <v>50</v>
      </c>
      <c r="K2341" s="7" t="s">
        <v>88</v>
      </c>
      <c r="L2341" s="7" t="s">
        <v>194</v>
      </c>
      <c r="M2341" s="7" t="n">
        <v>29</v>
      </c>
      <c r="N2341" s="7" t="n">
        <v>5</v>
      </c>
      <c r="O2341" s="7" t="str">
        <f aca="false">A2341&amp;"|"&amp;B2341&amp;"|"&amp;C2341&amp;"|"&amp;D2341&amp;"|"&amp;E2341&amp;"|"&amp;F2341&amp;"|"&amp;G2341&amp;"|"&amp;H2341&amp;"|"&amp;I2341&amp;"|"&amp;J2341&amp;"|"&amp;K2341&amp;"|"&amp;L2341&amp;"|"&amp;M2341&amp;"|"&amp;N2341</f>
        <v>ORD11625|2025-07-31|12:03|C0675|Tandoor Tales|Delhi|North Indian|1|255|50|UPI|Delivered|29|5</v>
      </c>
      <c r="P2341" s="7" t="str">
        <f aca="false">IF(COUNTIF($O$2:O2341,O2341)&gt;1,"DUP","OK")</f>
        <v>OK</v>
      </c>
      <c r="Q2341" s="7" t="n">
        <f aca="false">COUNTBLANK(A2341:N2341)</f>
        <v>0</v>
      </c>
      <c r="R2341" s="7" t="n">
        <f aca="false">IF(A2341="",0,COUNTIFS($A$2:$A$3058,A2341,$P$2:$P$3058,"OK"))</f>
        <v>1</v>
      </c>
      <c r="S2341" s="7" t="str">
        <f aca="false">IF(OR(A2341="",P2341="DUP",R2341&lt;2),"",IF(Q2341=_xlfn.MINIFS($Q$2:$Q$3058,$A$2:$A$3058,A2341,$P$2:$P$3058,"OK"),"KEEP","DROP"))</f>
        <v/>
      </c>
      <c r="T2341" s="9" t="n">
        <f aca="false">IF(A2341="",1,0)</f>
        <v>0</v>
      </c>
      <c r="U2341" s="9" t="n">
        <f aca="false">IF(D2341="",1,0)</f>
        <v>0</v>
      </c>
      <c r="V2341" s="9" t="n">
        <f aca="false">IF(E2341="",1,0)</f>
        <v>0</v>
      </c>
      <c r="W2341" s="9" t="n">
        <f aca="false">IF(OR(H2341&lt;1,H2341&gt;10),1,0)</f>
        <v>0</v>
      </c>
      <c r="X2341" s="9" t="n">
        <f aca="false">IF(OR(I2341&lt;=0,I2341&gt;1500),1,0)</f>
        <v>0</v>
      </c>
      <c r="Y2341" s="9" t="n">
        <f aca="false">IF(J2341&gt;H2341*I2341,1,0)</f>
        <v>0</v>
      </c>
      <c r="Z2341" s="9" t="n">
        <f aca="false">IF(AND(N2341&lt;&gt;"",OR(N2341&lt;1,N2341&gt;5)),1,0)</f>
        <v>0</v>
      </c>
      <c r="AA2341" s="9" t="n">
        <f aca="false">IF(AND(M2341&lt;&gt;"",OR(M2341&lt;5,M2341&gt;180)),1,0)</f>
        <v>0</v>
      </c>
      <c r="AB2341" s="7" t="str">
        <f aca="false">IF(P2341="DUP","Exact duplicate row",IF(T2341=1,"Missing Order ID",IF(S2341="DROP","Duplicate Order ID (less complete row)",IF(U2341=1,"Missing Customer ID",IF(V2341=1,"Missing Restaurant name",IF(W2341=1,"Invalid/outlier quantity",IF(X2341=1,"Invalid/outlier unit price",IF(Y2341=1,"Discount greater than order value",""))))))))</f>
        <v/>
      </c>
      <c r="AC2341" s="7" t="str">
        <f aca="false">IF(AB2341="","KEEP","DROP")</f>
        <v>KEEP</v>
      </c>
      <c r="AD2341" s="7" t="str">
        <f aca="false">IF(TRIM(F2341)="",IFERROR(INDEX(Map_Tables!$I$4:$I$37,MATCH(TRIM(E2341),Map_Tables!$G$4:$G$37,0)),""),IFERROR(INDEX(Map_Tables!$B$4:$B$18,MATCH(TRIM(F2341),Map_Tables!$A$4:$A$18,0)),"CHECK"))</f>
        <v>Delhi</v>
      </c>
      <c r="AE2341" s="7" t="str">
        <f aca="false">IF(TRIM(E2341)="","",IFERROR(INDEX(Map_Tables!$H$4:$H$37,MATCH(TRIM(E2341),Map_Tables!$G$4:$G$37,0)),"CHECK"))</f>
        <v>Tandoor Tales</v>
      </c>
      <c r="AF2341" s="7" t="str">
        <f aca="false">IF(TRIM(K2341)="","Unknown",IFERROR(INDEX(Map_Tables!$E$4:$E$15,MATCH(TRIM(K2341),Map_Tables!$D$4:$D$15,0)),"CHECK"))</f>
        <v>UPI</v>
      </c>
      <c r="AG2341" s="7" t="str">
        <f aca="false">IF(LEFT(LOWER(TRIM(L2341)),6)="cancel","Cancelled","Delivered")</f>
        <v>Delivered</v>
      </c>
      <c r="AH2341" s="10" t="n">
        <f aca="false">IF(ISNUMBER(SEARCH("/",B2341)),DATE(VALUE(RIGHT(B2341,4)),VALUE(MID(B2341,4,2)),VALUE(LEFT(B2341,2))),IF(MID(B2341,5,1)="-",DATE(VALUE(LEFT(B2341,4)),VALUE(MID(B2341,6,2)),VALUE(RIGHT(B2341,2))),DATE(VALUE(RIGHT(B2341,4)),MATCH(MID(B2341,4,3),{"Jan","Feb","Mar","Apr","May","Jun","Jul","Aug","Sep","Oct","Nov","Dec"},0),VALUE(LEFT(B2341,2)))))</f>
        <v>45869</v>
      </c>
    </row>
    <row r="2342" customFormat="false" ht="15" hidden="false" customHeight="false" outlineLevel="0" collapsed="false">
      <c r="A2342" s="7" t="s">
        <v>5207</v>
      </c>
      <c r="B2342" s="7" t="s">
        <v>3647</v>
      </c>
      <c r="C2342" s="7" t="s">
        <v>2317</v>
      </c>
      <c r="D2342" s="7" t="s">
        <v>5131</v>
      </c>
      <c r="E2342" s="7" t="s">
        <v>89</v>
      </c>
      <c r="F2342" s="7" t="s">
        <v>86</v>
      </c>
      <c r="G2342" s="7" t="s">
        <v>90</v>
      </c>
      <c r="H2342" s="7" t="n">
        <v>2</v>
      </c>
      <c r="I2342" s="7" t="n">
        <v>205</v>
      </c>
      <c r="J2342" s="7" t="n">
        <v>0</v>
      </c>
      <c r="K2342" s="7" t="s">
        <v>88</v>
      </c>
      <c r="L2342" s="7" t="s">
        <v>194</v>
      </c>
      <c r="M2342" s="7" t="n">
        <v>43</v>
      </c>
      <c r="N2342" s="7" t="n">
        <v>4</v>
      </c>
      <c r="O2342" s="7" t="str">
        <f aca="false">A2342&amp;"|"&amp;B2342&amp;"|"&amp;C2342&amp;"|"&amp;D2342&amp;"|"&amp;E2342&amp;"|"&amp;F2342&amp;"|"&amp;G2342&amp;"|"&amp;H2342&amp;"|"&amp;I2342&amp;"|"&amp;J2342&amp;"|"&amp;K2342&amp;"|"&amp;L2342&amp;"|"&amp;M2342&amp;"|"&amp;N2342</f>
        <v>ORD12613|19/11/2025|13:06|C0910|Spice Junction|Bengaluru|North Indian|2|205|0|UPI|Delivered|43|4</v>
      </c>
      <c r="P2342" s="7" t="str">
        <f aca="false">IF(COUNTIF($O$2:O2342,O2342)&gt;1,"DUP","OK")</f>
        <v>DUP</v>
      </c>
      <c r="Q2342" s="7" t="n">
        <f aca="false">COUNTBLANK(A2342:N2342)</f>
        <v>0</v>
      </c>
      <c r="R2342" s="7" t="n">
        <f aca="false">IF(A2342="",0,COUNTIFS($A$2:$A$3058,A2342,$P$2:$P$3058,"OK"))</f>
        <v>1</v>
      </c>
      <c r="S2342" s="7" t="str">
        <f aca="false">IF(OR(A2342="",P2342="DUP",R2342&lt;2),"",IF(Q2342=_xlfn.MINIFS($Q$2:$Q$3058,$A$2:$A$3058,A2342,$P$2:$P$3058,"OK"),"KEEP","DROP"))</f>
        <v/>
      </c>
      <c r="T2342" s="9" t="n">
        <f aca="false">IF(A2342="",1,0)</f>
        <v>0</v>
      </c>
      <c r="U2342" s="9" t="n">
        <f aca="false">IF(D2342="",1,0)</f>
        <v>0</v>
      </c>
      <c r="V2342" s="9" t="n">
        <f aca="false">IF(E2342="",1,0)</f>
        <v>0</v>
      </c>
      <c r="W2342" s="9" t="n">
        <f aca="false">IF(OR(H2342&lt;1,H2342&gt;10),1,0)</f>
        <v>0</v>
      </c>
      <c r="X2342" s="9" t="n">
        <f aca="false">IF(OR(I2342&lt;=0,I2342&gt;1500),1,0)</f>
        <v>0</v>
      </c>
      <c r="Y2342" s="9" t="n">
        <f aca="false">IF(J2342&gt;H2342*I2342,1,0)</f>
        <v>0</v>
      </c>
      <c r="Z2342" s="9" t="n">
        <f aca="false">IF(AND(N2342&lt;&gt;"",OR(N2342&lt;1,N2342&gt;5)),1,0)</f>
        <v>0</v>
      </c>
      <c r="AA2342" s="9" t="n">
        <f aca="false">IF(AND(M2342&lt;&gt;"",OR(M2342&lt;5,M2342&gt;180)),1,0)</f>
        <v>0</v>
      </c>
      <c r="AB2342" s="7" t="str">
        <f aca="false">IF(P2342="DUP","Exact duplicate row",IF(T2342=1,"Missing Order ID",IF(S2342="DROP","Duplicate Order ID (less complete row)",IF(U2342=1,"Missing Customer ID",IF(V2342=1,"Missing Restaurant name",IF(W2342=1,"Invalid/outlier quantity",IF(X2342=1,"Invalid/outlier unit price",IF(Y2342=1,"Discount greater than order value",""))))))))</f>
        <v>Exact duplicate row</v>
      </c>
      <c r="AC2342" s="7" t="str">
        <f aca="false">IF(AB2342="","KEEP","DROP")</f>
        <v>DROP</v>
      </c>
      <c r="AD2342" s="7" t="str">
        <f aca="false">IF(TRIM(F2342)="",IFERROR(INDEX(Map_Tables!$I$4:$I$37,MATCH(TRIM(E2342),Map_Tables!$G$4:$G$37,0)),""),IFERROR(INDEX(Map_Tables!$B$4:$B$18,MATCH(TRIM(F2342),Map_Tables!$A$4:$A$18,0)),"CHECK"))</f>
        <v>Bengaluru</v>
      </c>
      <c r="AE2342" s="7" t="str">
        <f aca="false">IF(TRIM(E2342)="","",IFERROR(INDEX(Map_Tables!$H$4:$H$37,MATCH(TRIM(E2342),Map_Tables!$G$4:$G$37,0)),"CHECK"))</f>
        <v>Spice Junction</v>
      </c>
      <c r="AF2342" s="7" t="str">
        <f aca="false">IF(TRIM(K2342)="","Unknown",IFERROR(INDEX(Map_Tables!$E$4:$E$15,MATCH(TRIM(K2342),Map_Tables!$D$4:$D$15,0)),"CHECK"))</f>
        <v>UPI</v>
      </c>
      <c r="AG2342" s="7" t="str">
        <f aca="false">IF(LEFT(LOWER(TRIM(L2342)),6)="cancel","Cancelled","Delivered")</f>
        <v>Delivered</v>
      </c>
      <c r="AH2342" s="10" t="n">
        <f aca="false">IF(ISNUMBER(SEARCH("/",B2342)),DATE(VALUE(RIGHT(B2342,4)),VALUE(MID(B2342,4,2)),VALUE(LEFT(B2342,2))),IF(MID(B2342,5,1)="-",DATE(VALUE(LEFT(B2342,4)),VALUE(MID(B2342,6,2)),VALUE(RIGHT(B2342,2))),DATE(VALUE(RIGHT(B2342,4)),MATCH(MID(B2342,4,3),{"Jan","Feb","Mar","Apr","May","Jun","Jul","Aug","Sep","Oct","Nov","Dec"},0),VALUE(LEFT(B2342,2)))))</f>
        <v>45980</v>
      </c>
    </row>
    <row r="2343" customFormat="false" ht="15" hidden="false" customHeight="false" outlineLevel="0" collapsed="false">
      <c r="A2343" s="7" t="s">
        <v>5246</v>
      </c>
      <c r="B2343" s="7" t="s">
        <v>869</v>
      </c>
      <c r="C2343" s="7" t="s">
        <v>4540</v>
      </c>
      <c r="D2343" s="7" t="s">
        <v>2459</v>
      </c>
      <c r="E2343" s="7" t="s">
        <v>142</v>
      </c>
      <c r="F2343" s="7" t="s">
        <v>110</v>
      </c>
      <c r="G2343" s="7" t="s">
        <v>105</v>
      </c>
      <c r="H2343" s="7" t="n">
        <v>4</v>
      </c>
      <c r="I2343" s="7" t="n">
        <v>155</v>
      </c>
      <c r="J2343" s="7" t="n">
        <v>125</v>
      </c>
      <c r="K2343" s="7" t="s">
        <v>93</v>
      </c>
      <c r="L2343" s="7" t="s">
        <v>194</v>
      </c>
      <c r="M2343" s="7" t="n">
        <v>46</v>
      </c>
      <c r="N2343" s="7"/>
      <c r="O2343" s="7" t="str">
        <f aca="false">A2343&amp;"|"&amp;B2343&amp;"|"&amp;C2343&amp;"|"&amp;D2343&amp;"|"&amp;E2343&amp;"|"&amp;F2343&amp;"|"&amp;G2343&amp;"|"&amp;H2343&amp;"|"&amp;I2343&amp;"|"&amp;J2343&amp;"|"&amp;K2343&amp;"|"&amp;L2343&amp;"|"&amp;M2343&amp;"|"&amp;N2343</f>
        <v>ORD11320|2025-06-19|18:45|C0846|Momo Magic|Delhi|Chinese|4|155|125|Credit Card|Delivered|46|</v>
      </c>
      <c r="P2343" s="7" t="str">
        <f aca="false">IF(COUNTIF($O$2:O2343,O2343)&gt;1,"DUP","OK")</f>
        <v>OK</v>
      </c>
      <c r="Q2343" s="7" t="n">
        <f aca="false">COUNTBLANK(A2343:N2343)</f>
        <v>1</v>
      </c>
      <c r="R2343" s="7" t="n">
        <f aca="false">IF(A2343="",0,COUNTIFS($A$2:$A$3058,A2343,$P$2:$P$3058,"OK"))</f>
        <v>1</v>
      </c>
      <c r="S2343" s="7" t="str">
        <f aca="false">IF(OR(A2343="",P2343="DUP",R2343&lt;2),"",IF(Q2343=_xlfn.MINIFS($Q$2:$Q$3058,$A$2:$A$3058,A2343,$P$2:$P$3058,"OK"),"KEEP","DROP"))</f>
        <v/>
      </c>
      <c r="T2343" s="9" t="n">
        <f aca="false">IF(A2343="",1,0)</f>
        <v>0</v>
      </c>
      <c r="U2343" s="9" t="n">
        <f aca="false">IF(D2343="",1,0)</f>
        <v>0</v>
      </c>
      <c r="V2343" s="9" t="n">
        <f aca="false">IF(E2343="",1,0)</f>
        <v>0</v>
      </c>
      <c r="W2343" s="9" t="n">
        <f aca="false">IF(OR(H2343&lt;1,H2343&gt;10),1,0)</f>
        <v>0</v>
      </c>
      <c r="X2343" s="9" t="n">
        <f aca="false">IF(OR(I2343&lt;=0,I2343&gt;1500),1,0)</f>
        <v>0</v>
      </c>
      <c r="Y2343" s="9" t="n">
        <f aca="false">IF(J2343&gt;H2343*I2343,1,0)</f>
        <v>0</v>
      </c>
      <c r="Z2343" s="9" t="n">
        <f aca="false">IF(AND(N2343&lt;&gt;"",OR(N2343&lt;1,N2343&gt;5)),1,0)</f>
        <v>0</v>
      </c>
      <c r="AA2343" s="9" t="n">
        <f aca="false">IF(AND(M2343&lt;&gt;"",OR(M2343&lt;5,M2343&gt;180)),1,0)</f>
        <v>0</v>
      </c>
      <c r="AB2343" s="7" t="str">
        <f aca="false">IF(P2343="DUP","Exact duplicate row",IF(T2343=1,"Missing Order ID",IF(S2343="DROP","Duplicate Order ID (less complete row)",IF(U2343=1,"Missing Customer ID",IF(V2343=1,"Missing Restaurant name",IF(W2343=1,"Invalid/outlier quantity",IF(X2343=1,"Invalid/outlier unit price",IF(Y2343=1,"Discount greater than order value",""))))))))</f>
        <v/>
      </c>
      <c r="AC2343" s="7" t="str">
        <f aca="false">IF(AB2343="","KEEP","DROP")</f>
        <v>KEEP</v>
      </c>
      <c r="AD2343" s="7" t="str">
        <f aca="false">IF(TRIM(F2343)="",IFERROR(INDEX(Map_Tables!$I$4:$I$37,MATCH(TRIM(E2343),Map_Tables!$G$4:$G$37,0)),""),IFERROR(INDEX(Map_Tables!$B$4:$B$18,MATCH(TRIM(F2343),Map_Tables!$A$4:$A$18,0)),"CHECK"))</f>
        <v>Delhi</v>
      </c>
      <c r="AE2343" s="7" t="str">
        <f aca="false">IF(TRIM(E2343)="","",IFERROR(INDEX(Map_Tables!$H$4:$H$37,MATCH(TRIM(E2343),Map_Tables!$G$4:$G$37,0)),"CHECK"))</f>
        <v>Momo Magic</v>
      </c>
      <c r="AF2343" s="7" t="str">
        <f aca="false">IF(TRIM(K2343)="","Unknown",IFERROR(INDEX(Map_Tables!$E$4:$E$15,MATCH(TRIM(K2343),Map_Tables!$D$4:$D$15,0)),"CHECK"))</f>
        <v>Credit Card</v>
      </c>
      <c r="AG2343" s="7" t="str">
        <f aca="false">IF(LEFT(LOWER(TRIM(L2343)),6)="cancel","Cancelled","Delivered")</f>
        <v>Delivered</v>
      </c>
      <c r="AH2343" s="10" t="n">
        <f aca="false">IF(ISNUMBER(SEARCH("/",B2343)),DATE(VALUE(RIGHT(B2343,4)),VALUE(MID(B2343,4,2)),VALUE(LEFT(B2343,2))),IF(MID(B2343,5,1)="-",DATE(VALUE(LEFT(B2343,4)),VALUE(MID(B2343,6,2)),VALUE(RIGHT(B2343,2))),DATE(VALUE(RIGHT(B2343,4)),MATCH(MID(B2343,4,3),{"Jan","Feb","Mar","Apr","May","Jun","Jul","Aug","Sep","Oct","Nov","Dec"},0),VALUE(LEFT(B2343,2)))))</f>
        <v>45827</v>
      </c>
    </row>
    <row r="2344" customFormat="false" ht="15" hidden="false" customHeight="false" outlineLevel="0" collapsed="false">
      <c r="A2344" s="7" t="s">
        <v>5247</v>
      </c>
      <c r="B2344" s="7" t="s">
        <v>1049</v>
      </c>
      <c r="C2344" s="7" t="s">
        <v>3378</v>
      </c>
      <c r="D2344" s="7" t="s">
        <v>5248</v>
      </c>
      <c r="E2344" s="7" t="s">
        <v>5249</v>
      </c>
      <c r="F2344" s="7" t="s">
        <v>86</v>
      </c>
      <c r="G2344" s="7" t="s">
        <v>95</v>
      </c>
      <c r="H2344" s="7" t="n">
        <v>2</v>
      </c>
      <c r="I2344" s="7" t="n">
        <v>105</v>
      </c>
      <c r="J2344" s="7" t="n">
        <v>0</v>
      </c>
      <c r="K2344" s="7" t="s">
        <v>112</v>
      </c>
      <c r="L2344" s="7" t="s">
        <v>194</v>
      </c>
      <c r="M2344" s="7" t="n">
        <v>36</v>
      </c>
      <c r="N2344" s="7" t="n">
        <v>4</v>
      </c>
      <c r="O2344" s="7" t="str">
        <f aca="false">A2344&amp;"|"&amp;B2344&amp;"|"&amp;C2344&amp;"|"&amp;D2344&amp;"|"&amp;E2344&amp;"|"&amp;F2344&amp;"|"&amp;G2344&amp;"|"&amp;H2344&amp;"|"&amp;I2344&amp;"|"&amp;J2344&amp;"|"&amp;K2344&amp;"|"&amp;L2344&amp;"|"&amp;M2344&amp;"|"&amp;N2344</f>
        <v>ORD11664|2025-08-05|13:41|C1142|dosa darbar|Bengaluru|South Indian|2|105|0|Cash on Delivery|Delivered|36|4</v>
      </c>
      <c r="P2344" s="7" t="str">
        <f aca="false">IF(COUNTIF($O$2:O2344,O2344)&gt;1,"DUP","OK")</f>
        <v>OK</v>
      </c>
      <c r="Q2344" s="7" t="n">
        <f aca="false">COUNTBLANK(A2344:N2344)</f>
        <v>0</v>
      </c>
      <c r="R2344" s="7" t="n">
        <f aca="false">IF(A2344="",0,COUNTIFS($A$2:$A$3058,A2344,$P$2:$P$3058,"OK"))</f>
        <v>1</v>
      </c>
      <c r="S2344" s="7" t="str">
        <f aca="false">IF(OR(A2344="",P2344="DUP",R2344&lt;2),"",IF(Q2344=_xlfn.MINIFS($Q$2:$Q$3058,$A$2:$A$3058,A2344,$P$2:$P$3058,"OK"),"KEEP","DROP"))</f>
        <v/>
      </c>
      <c r="T2344" s="9" t="n">
        <f aca="false">IF(A2344="",1,0)</f>
        <v>0</v>
      </c>
      <c r="U2344" s="9" t="n">
        <f aca="false">IF(D2344="",1,0)</f>
        <v>0</v>
      </c>
      <c r="V2344" s="9" t="n">
        <f aca="false">IF(E2344="",1,0)</f>
        <v>0</v>
      </c>
      <c r="W2344" s="9" t="n">
        <f aca="false">IF(OR(H2344&lt;1,H2344&gt;10),1,0)</f>
        <v>0</v>
      </c>
      <c r="X2344" s="9" t="n">
        <f aca="false">IF(OR(I2344&lt;=0,I2344&gt;1500),1,0)</f>
        <v>0</v>
      </c>
      <c r="Y2344" s="9" t="n">
        <f aca="false">IF(J2344&gt;H2344*I2344,1,0)</f>
        <v>0</v>
      </c>
      <c r="Z2344" s="9" t="n">
        <f aca="false">IF(AND(N2344&lt;&gt;"",OR(N2344&lt;1,N2344&gt;5)),1,0)</f>
        <v>0</v>
      </c>
      <c r="AA2344" s="9" t="n">
        <f aca="false">IF(AND(M2344&lt;&gt;"",OR(M2344&lt;5,M2344&gt;180)),1,0)</f>
        <v>0</v>
      </c>
      <c r="AB2344" s="7" t="str">
        <f aca="false">IF(P2344="DUP","Exact duplicate row",IF(T2344=1,"Missing Order ID",IF(S2344="DROP","Duplicate Order ID (less complete row)",IF(U2344=1,"Missing Customer ID",IF(V2344=1,"Missing Restaurant name",IF(W2344=1,"Invalid/outlier quantity",IF(X2344=1,"Invalid/outlier unit price",IF(Y2344=1,"Discount greater than order value",""))))))))</f>
        <v/>
      </c>
      <c r="AC2344" s="7" t="str">
        <f aca="false">IF(AB2344="","KEEP","DROP")</f>
        <v>KEEP</v>
      </c>
      <c r="AD2344" s="7" t="str">
        <f aca="false">IF(TRIM(F2344)="",IFERROR(INDEX(Map_Tables!$I$4:$I$37,MATCH(TRIM(E2344),Map_Tables!$G$4:$G$37,0)),""),IFERROR(INDEX(Map_Tables!$B$4:$B$18,MATCH(TRIM(F2344),Map_Tables!$A$4:$A$18,0)),"CHECK"))</f>
        <v>Bengaluru</v>
      </c>
      <c r="AE2344" s="7" t="str">
        <f aca="false">IF(TRIM(E2344)="","",IFERROR(INDEX(Map_Tables!$H$4:$H$37,MATCH(TRIM(E2344),Map_Tables!$G$4:$G$37,0)),"CHECK"))</f>
        <v>Dosa Darbar</v>
      </c>
      <c r="AF2344" s="7" t="str">
        <f aca="false">IF(TRIM(K2344)="","Unknown",IFERROR(INDEX(Map_Tables!$E$4:$E$15,MATCH(TRIM(K2344),Map_Tables!$D$4:$D$15,0)),"CHECK"))</f>
        <v>Cash on Delivery</v>
      </c>
      <c r="AG2344" s="7" t="str">
        <f aca="false">IF(LEFT(LOWER(TRIM(L2344)),6)="cancel","Cancelled","Delivered")</f>
        <v>Delivered</v>
      </c>
      <c r="AH2344" s="10" t="n">
        <f aca="false">IF(ISNUMBER(SEARCH("/",B2344)),DATE(VALUE(RIGHT(B2344,4)),VALUE(MID(B2344,4,2)),VALUE(LEFT(B2344,2))),IF(MID(B2344,5,1)="-",DATE(VALUE(LEFT(B2344,4)),VALUE(MID(B2344,6,2)),VALUE(RIGHT(B2344,2))),DATE(VALUE(RIGHT(B2344,4)),MATCH(MID(B2344,4,3),{"Jan","Feb","Mar","Apr","May","Jun","Jul","Aug","Sep","Oct","Nov","Dec"},0),VALUE(LEFT(B2344,2)))))</f>
        <v>45874</v>
      </c>
    </row>
    <row r="2345" customFormat="false" ht="15" hidden="false" customHeight="false" outlineLevel="0" collapsed="false">
      <c r="A2345" s="7" t="s">
        <v>5250</v>
      </c>
      <c r="B2345" s="7" t="s">
        <v>5251</v>
      </c>
      <c r="C2345" s="7" t="s">
        <v>3344</v>
      </c>
      <c r="D2345" s="7" t="s">
        <v>255</v>
      </c>
      <c r="E2345" s="7" t="s">
        <v>138</v>
      </c>
      <c r="F2345" s="7" t="s">
        <v>110</v>
      </c>
      <c r="G2345" s="7" t="s">
        <v>139</v>
      </c>
      <c r="H2345" s="7" t="n">
        <v>1</v>
      </c>
      <c r="I2345" s="7" t="n">
        <v>215</v>
      </c>
      <c r="J2345" s="7" t="n">
        <v>86</v>
      </c>
      <c r="K2345" s="7" t="s">
        <v>121</v>
      </c>
      <c r="L2345" s="7" t="s">
        <v>194</v>
      </c>
      <c r="M2345" s="7" t="n">
        <v>48</v>
      </c>
      <c r="N2345" s="7" t="n">
        <v>3</v>
      </c>
      <c r="O2345" s="7" t="str">
        <f aca="false">A2345&amp;"|"&amp;B2345&amp;"|"&amp;C2345&amp;"|"&amp;D2345&amp;"|"&amp;E2345&amp;"|"&amp;F2345&amp;"|"&amp;G2345&amp;"|"&amp;H2345&amp;"|"&amp;I2345&amp;"|"&amp;J2345&amp;"|"&amp;K2345&amp;"|"&amp;L2345&amp;"|"&amp;M2345&amp;"|"&amp;N2345</f>
        <v>ORD10816|13/04/2025|21:25|C0821|Burger Barn|Delhi|Burgers|1|215|86|Wallet|Delivered|48|3</v>
      </c>
      <c r="P2345" s="7" t="str">
        <f aca="false">IF(COUNTIF($O$2:O2345,O2345)&gt;1,"DUP","OK")</f>
        <v>OK</v>
      </c>
      <c r="Q2345" s="7" t="n">
        <f aca="false">COUNTBLANK(A2345:N2345)</f>
        <v>0</v>
      </c>
      <c r="R2345" s="7" t="n">
        <f aca="false">IF(A2345="",0,COUNTIFS($A$2:$A$3058,A2345,$P$2:$P$3058,"OK"))</f>
        <v>1</v>
      </c>
      <c r="S2345" s="7" t="str">
        <f aca="false">IF(OR(A2345="",P2345="DUP",R2345&lt;2),"",IF(Q2345=_xlfn.MINIFS($Q$2:$Q$3058,$A$2:$A$3058,A2345,$P$2:$P$3058,"OK"),"KEEP","DROP"))</f>
        <v/>
      </c>
      <c r="T2345" s="9" t="n">
        <f aca="false">IF(A2345="",1,0)</f>
        <v>0</v>
      </c>
      <c r="U2345" s="9" t="n">
        <f aca="false">IF(D2345="",1,0)</f>
        <v>0</v>
      </c>
      <c r="V2345" s="9" t="n">
        <f aca="false">IF(E2345="",1,0)</f>
        <v>0</v>
      </c>
      <c r="W2345" s="9" t="n">
        <f aca="false">IF(OR(H2345&lt;1,H2345&gt;10),1,0)</f>
        <v>0</v>
      </c>
      <c r="X2345" s="9" t="n">
        <f aca="false">IF(OR(I2345&lt;=0,I2345&gt;1500),1,0)</f>
        <v>0</v>
      </c>
      <c r="Y2345" s="9" t="n">
        <f aca="false">IF(J2345&gt;H2345*I2345,1,0)</f>
        <v>0</v>
      </c>
      <c r="Z2345" s="9" t="n">
        <f aca="false">IF(AND(N2345&lt;&gt;"",OR(N2345&lt;1,N2345&gt;5)),1,0)</f>
        <v>0</v>
      </c>
      <c r="AA2345" s="9" t="n">
        <f aca="false">IF(AND(M2345&lt;&gt;"",OR(M2345&lt;5,M2345&gt;180)),1,0)</f>
        <v>0</v>
      </c>
      <c r="AB2345" s="7" t="str">
        <f aca="false">IF(P2345="DUP","Exact duplicate row",IF(T2345=1,"Missing Order ID",IF(S2345="DROP","Duplicate Order ID (less complete row)",IF(U2345=1,"Missing Customer ID",IF(V2345=1,"Missing Restaurant name",IF(W2345=1,"Invalid/outlier quantity",IF(X2345=1,"Invalid/outlier unit price",IF(Y2345=1,"Discount greater than order value",""))))))))</f>
        <v/>
      </c>
      <c r="AC2345" s="7" t="str">
        <f aca="false">IF(AB2345="","KEEP","DROP")</f>
        <v>KEEP</v>
      </c>
      <c r="AD2345" s="7" t="str">
        <f aca="false">IF(TRIM(F2345)="",IFERROR(INDEX(Map_Tables!$I$4:$I$37,MATCH(TRIM(E2345),Map_Tables!$G$4:$G$37,0)),""),IFERROR(INDEX(Map_Tables!$B$4:$B$18,MATCH(TRIM(F2345),Map_Tables!$A$4:$A$18,0)),"CHECK"))</f>
        <v>Delhi</v>
      </c>
      <c r="AE2345" s="7" t="str">
        <f aca="false">IF(TRIM(E2345)="","",IFERROR(INDEX(Map_Tables!$H$4:$H$37,MATCH(TRIM(E2345),Map_Tables!$G$4:$G$37,0)),"CHECK"))</f>
        <v>Burger Barn</v>
      </c>
      <c r="AF2345" s="7" t="str">
        <f aca="false">IF(TRIM(K2345)="","Unknown",IFERROR(INDEX(Map_Tables!$E$4:$E$15,MATCH(TRIM(K2345),Map_Tables!$D$4:$D$15,0)),"CHECK"))</f>
        <v>Wallet</v>
      </c>
      <c r="AG2345" s="7" t="str">
        <f aca="false">IF(LEFT(LOWER(TRIM(L2345)),6)="cancel","Cancelled","Delivered")</f>
        <v>Delivered</v>
      </c>
      <c r="AH2345" s="10" t="n">
        <f aca="false">IF(ISNUMBER(SEARCH("/",B2345)),DATE(VALUE(RIGHT(B2345,4)),VALUE(MID(B2345,4,2)),VALUE(LEFT(B2345,2))),IF(MID(B2345,5,1)="-",DATE(VALUE(LEFT(B2345,4)),VALUE(MID(B2345,6,2)),VALUE(RIGHT(B2345,2))),DATE(VALUE(RIGHT(B2345,4)),MATCH(MID(B2345,4,3),{"Jan","Feb","Mar","Apr","May","Jun","Jul","Aug","Sep","Oct","Nov","Dec"},0),VALUE(LEFT(B2345,2)))))</f>
        <v>45760</v>
      </c>
    </row>
    <row r="2346" customFormat="false" ht="15" hidden="false" customHeight="false" outlineLevel="0" collapsed="false">
      <c r="A2346" s="7" t="s">
        <v>5252</v>
      </c>
      <c r="B2346" s="7" t="s">
        <v>418</v>
      </c>
      <c r="C2346" s="7" t="s">
        <v>5253</v>
      </c>
      <c r="D2346" s="7" t="s">
        <v>370</v>
      </c>
      <c r="E2346" s="7" t="s">
        <v>89</v>
      </c>
      <c r="F2346" s="7" t="s">
        <v>86</v>
      </c>
      <c r="G2346" s="7" t="s">
        <v>90</v>
      </c>
      <c r="H2346" s="7" t="n">
        <v>1</v>
      </c>
      <c r="I2346" s="7" t="n">
        <v>190</v>
      </c>
      <c r="J2346" s="7" t="n">
        <v>0</v>
      </c>
      <c r="K2346" s="7" t="s">
        <v>121</v>
      </c>
      <c r="L2346" s="7" t="s">
        <v>194</v>
      </c>
      <c r="M2346" s="7" t="n">
        <v>43</v>
      </c>
      <c r="N2346" s="7"/>
      <c r="O2346" s="7" t="str">
        <f aca="false">A2346&amp;"|"&amp;B2346&amp;"|"&amp;C2346&amp;"|"&amp;D2346&amp;"|"&amp;E2346&amp;"|"&amp;F2346&amp;"|"&amp;G2346&amp;"|"&amp;H2346&amp;"|"&amp;I2346&amp;"|"&amp;J2346&amp;"|"&amp;K2346&amp;"|"&amp;L2346&amp;"|"&amp;M2346&amp;"|"&amp;N2346</f>
        <v>ORD12267|2025-10-14|22:18|C0092|Spice Junction|Bengaluru|North Indian|1|190|0|Wallet|Delivered|43|</v>
      </c>
      <c r="P2346" s="7" t="str">
        <f aca="false">IF(COUNTIF($O$2:O2346,O2346)&gt;1,"DUP","OK")</f>
        <v>OK</v>
      </c>
      <c r="Q2346" s="7" t="n">
        <f aca="false">COUNTBLANK(A2346:N2346)</f>
        <v>1</v>
      </c>
      <c r="R2346" s="7" t="n">
        <f aca="false">IF(A2346="",0,COUNTIFS($A$2:$A$3058,A2346,$P$2:$P$3058,"OK"))</f>
        <v>1</v>
      </c>
      <c r="S2346" s="7" t="str">
        <f aca="false">IF(OR(A2346="",P2346="DUP",R2346&lt;2),"",IF(Q2346=_xlfn.MINIFS($Q$2:$Q$3058,$A$2:$A$3058,A2346,$P$2:$P$3058,"OK"),"KEEP","DROP"))</f>
        <v/>
      </c>
      <c r="T2346" s="9" t="n">
        <f aca="false">IF(A2346="",1,0)</f>
        <v>0</v>
      </c>
      <c r="U2346" s="9" t="n">
        <f aca="false">IF(D2346="",1,0)</f>
        <v>0</v>
      </c>
      <c r="V2346" s="9" t="n">
        <f aca="false">IF(E2346="",1,0)</f>
        <v>0</v>
      </c>
      <c r="W2346" s="9" t="n">
        <f aca="false">IF(OR(H2346&lt;1,H2346&gt;10),1,0)</f>
        <v>0</v>
      </c>
      <c r="X2346" s="9" t="n">
        <f aca="false">IF(OR(I2346&lt;=0,I2346&gt;1500),1,0)</f>
        <v>0</v>
      </c>
      <c r="Y2346" s="9" t="n">
        <f aca="false">IF(J2346&gt;H2346*I2346,1,0)</f>
        <v>0</v>
      </c>
      <c r="Z2346" s="9" t="n">
        <f aca="false">IF(AND(N2346&lt;&gt;"",OR(N2346&lt;1,N2346&gt;5)),1,0)</f>
        <v>0</v>
      </c>
      <c r="AA2346" s="9" t="n">
        <f aca="false">IF(AND(M2346&lt;&gt;"",OR(M2346&lt;5,M2346&gt;180)),1,0)</f>
        <v>0</v>
      </c>
      <c r="AB2346" s="7" t="str">
        <f aca="false">IF(P2346="DUP","Exact duplicate row",IF(T2346=1,"Missing Order ID",IF(S2346="DROP","Duplicate Order ID (less complete row)",IF(U2346=1,"Missing Customer ID",IF(V2346=1,"Missing Restaurant name",IF(W2346=1,"Invalid/outlier quantity",IF(X2346=1,"Invalid/outlier unit price",IF(Y2346=1,"Discount greater than order value",""))))))))</f>
        <v/>
      </c>
      <c r="AC2346" s="7" t="str">
        <f aca="false">IF(AB2346="","KEEP","DROP")</f>
        <v>KEEP</v>
      </c>
      <c r="AD2346" s="7" t="str">
        <f aca="false">IF(TRIM(F2346)="",IFERROR(INDEX(Map_Tables!$I$4:$I$37,MATCH(TRIM(E2346),Map_Tables!$G$4:$G$37,0)),""),IFERROR(INDEX(Map_Tables!$B$4:$B$18,MATCH(TRIM(F2346),Map_Tables!$A$4:$A$18,0)),"CHECK"))</f>
        <v>Bengaluru</v>
      </c>
      <c r="AE2346" s="7" t="str">
        <f aca="false">IF(TRIM(E2346)="","",IFERROR(INDEX(Map_Tables!$H$4:$H$37,MATCH(TRIM(E2346),Map_Tables!$G$4:$G$37,0)),"CHECK"))</f>
        <v>Spice Junction</v>
      </c>
      <c r="AF2346" s="7" t="str">
        <f aca="false">IF(TRIM(K2346)="","Unknown",IFERROR(INDEX(Map_Tables!$E$4:$E$15,MATCH(TRIM(K2346),Map_Tables!$D$4:$D$15,0)),"CHECK"))</f>
        <v>Wallet</v>
      </c>
      <c r="AG2346" s="7" t="str">
        <f aca="false">IF(LEFT(LOWER(TRIM(L2346)),6)="cancel","Cancelled","Delivered")</f>
        <v>Delivered</v>
      </c>
      <c r="AH2346" s="10" t="n">
        <f aca="false">IF(ISNUMBER(SEARCH("/",B2346)),DATE(VALUE(RIGHT(B2346,4)),VALUE(MID(B2346,4,2)),VALUE(LEFT(B2346,2))),IF(MID(B2346,5,1)="-",DATE(VALUE(LEFT(B2346,4)),VALUE(MID(B2346,6,2)),VALUE(RIGHT(B2346,2))),DATE(VALUE(RIGHT(B2346,4)),MATCH(MID(B2346,4,3),{"Jan","Feb","Mar","Apr","May","Jun","Jul","Aug","Sep","Oct","Nov","Dec"},0),VALUE(LEFT(B2346,2)))))</f>
        <v>45944</v>
      </c>
    </row>
    <row r="2347" customFormat="false" ht="15" hidden="false" customHeight="false" outlineLevel="0" collapsed="false">
      <c r="A2347" s="7" t="s">
        <v>5254</v>
      </c>
      <c r="B2347" s="7" t="s">
        <v>5255</v>
      </c>
      <c r="C2347" s="7" t="s">
        <v>1280</v>
      </c>
      <c r="D2347" s="7" t="s">
        <v>2786</v>
      </c>
      <c r="E2347" s="7" t="s">
        <v>89</v>
      </c>
      <c r="F2347" s="7" t="s">
        <v>86</v>
      </c>
      <c r="G2347" s="7" t="s">
        <v>90</v>
      </c>
      <c r="H2347" s="7" t="n">
        <v>1</v>
      </c>
      <c r="I2347" s="7" t="n">
        <v>240</v>
      </c>
      <c r="J2347" s="7" t="n">
        <v>40</v>
      </c>
      <c r="K2347" s="7" t="s">
        <v>93</v>
      </c>
      <c r="L2347" s="7" t="s">
        <v>194</v>
      </c>
      <c r="M2347" s="7" t="n">
        <v>42</v>
      </c>
      <c r="N2347" s="7"/>
      <c r="O2347" s="7" t="str">
        <f aca="false">A2347&amp;"|"&amp;B2347&amp;"|"&amp;C2347&amp;"|"&amp;D2347&amp;"|"&amp;E2347&amp;"|"&amp;F2347&amp;"|"&amp;G2347&amp;"|"&amp;H2347&amp;"|"&amp;I2347&amp;"|"&amp;J2347&amp;"|"&amp;K2347&amp;"|"&amp;L2347&amp;"|"&amp;M2347&amp;"|"&amp;N2347</f>
        <v>ORD11474|11-Jul-2025|12:21|C0023|Spice Junction|Bengaluru|North Indian|1|240|40|Credit Card|Delivered|42|</v>
      </c>
      <c r="P2347" s="7" t="str">
        <f aca="false">IF(COUNTIF($O$2:O2347,O2347)&gt;1,"DUP","OK")</f>
        <v>OK</v>
      </c>
      <c r="Q2347" s="7" t="n">
        <f aca="false">COUNTBLANK(A2347:N2347)</f>
        <v>1</v>
      </c>
      <c r="R2347" s="7" t="n">
        <f aca="false">IF(A2347="",0,COUNTIFS($A$2:$A$3058,A2347,$P$2:$P$3058,"OK"))</f>
        <v>1</v>
      </c>
      <c r="S2347" s="7" t="str">
        <f aca="false">IF(OR(A2347="",P2347="DUP",R2347&lt;2),"",IF(Q2347=_xlfn.MINIFS($Q$2:$Q$3058,$A$2:$A$3058,A2347,$P$2:$P$3058,"OK"),"KEEP","DROP"))</f>
        <v/>
      </c>
      <c r="T2347" s="9" t="n">
        <f aca="false">IF(A2347="",1,0)</f>
        <v>0</v>
      </c>
      <c r="U2347" s="9" t="n">
        <f aca="false">IF(D2347="",1,0)</f>
        <v>0</v>
      </c>
      <c r="V2347" s="9" t="n">
        <f aca="false">IF(E2347="",1,0)</f>
        <v>0</v>
      </c>
      <c r="W2347" s="9" t="n">
        <f aca="false">IF(OR(H2347&lt;1,H2347&gt;10),1,0)</f>
        <v>0</v>
      </c>
      <c r="X2347" s="9" t="n">
        <f aca="false">IF(OR(I2347&lt;=0,I2347&gt;1500),1,0)</f>
        <v>0</v>
      </c>
      <c r="Y2347" s="9" t="n">
        <f aca="false">IF(J2347&gt;H2347*I2347,1,0)</f>
        <v>0</v>
      </c>
      <c r="Z2347" s="9" t="n">
        <f aca="false">IF(AND(N2347&lt;&gt;"",OR(N2347&lt;1,N2347&gt;5)),1,0)</f>
        <v>0</v>
      </c>
      <c r="AA2347" s="9" t="n">
        <f aca="false">IF(AND(M2347&lt;&gt;"",OR(M2347&lt;5,M2347&gt;180)),1,0)</f>
        <v>0</v>
      </c>
      <c r="AB2347" s="7" t="str">
        <f aca="false">IF(P2347="DUP","Exact duplicate row",IF(T2347=1,"Missing Order ID",IF(S2347="DROP","Duplicate Order ID (less complete row)",IF(U2347=1,"Missing Customer ID",IF(V2347=1,"Missing Restaurant name",IF(W2347=1,"Invalid/outlier quantity",IF(X2347=1,"Invalid/outlier unit price",IF(Y2347=1,"Discount greater than order value",""))))))))</f>
        <v/>
      </c>
      <c r="AC2347" s="7" t="str">
        <f aca="false">IF(AB2347="","KEEP","DROP")</f>
        <v>KEEP</v>
      </c>
      <c r="AD2347" s="7" t="str">
        <f aca="false">IF(TRIM(F2347)="",IFERROR(INDEX(Map_Tables!$I$4:$I$37,MATCH(TRIM(E2347),Map_Tables!$G$4:$G$37,0)),""),IFERROR(INDEX(Map_Tables!$B$4:$B$18,MATCH(TRIM(F2347),Map_Tables!$A$4:$A$18,0)),"CHECK"))</f>
        <v>Bengaluru</v>
      </c>
      <c r="AE2347" s="7" t="str">
        <f aca="false">IF(TRIM(E2347)="","",IFERROR(INDEX(Map_Tables!$H$4:$H$37,MATCH(TRIM(E2347),Map_Tables!$G$4:$G$37,0)),"CHECK"))</f>
        <v>Spice Junction</v>
      </c>
      <c r="AF2347" s="7" t="str">
        <f aca="false">IF(TRIM(K2347)="","Unknown",IFERROR(INDEX(Map_Tables!$E$4:$E$15,MATCH(TRIM(K2347),Map_Tables!$D$4:$D$15,0)),"CHECK"))</f>
        <v>Credit Card</v>
      </c>
      <c r="AG2347" s="7" t="str">
        <f aca="false">IF(LEFT(LOWER(TRIM(L2347)),6)="cancel","Cancelled","Delivered")</f>
        <v>Delivered</v>
      </c>
      <c r="AH2347" s="10" t="n">
        <f aca="false">IF(ISNUMBER(SEARCH("/",B2347)),DATE(VALUE(RIGHT(B2347,4)),VALUE(MID(B2347,4,2)),VALUE(LEFT(B2347,2))),IF(MID(B2347,5,1)="-",DATE(VALUE(LEFT(B2347,4)),VALUE(MID(B2347,6,2)),VALUE(RIGHT(B2347,2))),DATE(VALUE(RIGHT(B2347,4)),MATCH(MID(B2347,4,3),{"Jan","Feb","Mar","Apr","May","Jun","Jul","Aug","Sep","Oct","Nov","Dec"},0),VALUE(LEFT(B2347,2)))))</f>
        <v>45849</v>
      </c>
    </row>
    <row r="2348" customFormat="false" ht="15" hidden="false" customHeight="false" outlineLevel="0" collapsed="false">
      <c r="A2348" s="7" t="s">
        <v>5256</v>
      </c>
      <c r="B2348" s="7" t="s">
        <v>563</v>
      </c>
      <c r="C2348" s="7" t="s">
        <v>241</v>
      </c>
      <c r="D2348" s="7" t="s">
        <v>5257</v>
      </c>
      <c r="E2348" s="7" t="s">
        <v>138</v>
      </c>
      <c r="F2348" s="7" t="s">
        <v>110</v>
      </c>
      <c r="G2348" s="7" t="s">
        <v>139</v>
      </c>
      <c r="H2348" s="7" t="n">
        <v>3</v>
      </c>
      <c r="I2348" s="7" t="n">
        <v>185</v>
      </c>
      <c r="J2348" s="7" t="n">
        <v>75</v>
      </c>
      <c r="K2348" s="7" t="s">
        <v>121</v>
      </c>
      <c r="L2348" s="7" t="s">
        <v>194</v>
      </c>
      <c r="M2348" s="7" t="n">
        <v>34</v>
      </c>
      <c r="N2348" s="7"/>
      <c r="O2348" s="7" t="str">
        <f aca="false">A2348&amp;"|"&amp;B2348&amp;"|"&amp;C2348&amp;"|"&amp;D2348&amp;"|"&amp;E2348&amp;"|"&amp;F2348&amp;"|"&amp;G2348&amp;"|"&amp;H2348&amp;"|"&amp;I2348&amp;"|"&amp;J2348&amp;"|"&amp;K2348&amp;"|"&amp;L2348&amp;"|"&amp;M2348&amp;"|"&amp;N2348</f>
        <v>ORD11774|2025-08-20|11:59|C1076|Burger Barn|Delhi|Burgers|3|185|75|Wallet|Delivered|34|</v>
      </c>
      <c r="P2348" s="7" t="str">
        <f aca="false">IF(COUNTIF($O$2:O2348,O2348)&gt;1,"DUP","OK")</f>
        <v>OK</v>
      </c>
      <c r="Q2348" s="7" t="n">
        <f aca="false">COUNTBLANK(A2348:N2348)</f>
        <v>1</v>
      </c>
      <c r="R2348" s="7" t="n">
        <f aca="false">IF(A2348="",0,COUNTIFS($A$2:$A$3058,A2348,$P$2:$P$3058,"OK"))</f>
        <v>1</v>
      </c>
      <c r="S2348" s="7" t="str">
        <f aca="false">IF(OR(A2348="",P2348="DUP",R2348&lt;2),"",IF(Q2348=_xlfn.MINIFS($Q$2:$Q$3058,$A$2:$A$3058,A2348,$P$2:$P$3058,"OK"),"KEEP","DROP"))</f>
        <v/>
      </c>
      <c r="T2348" s="9" t="n">
        <f aca="false">IF(A2348="",1,0)</f>
        <v>0</v>
      </c>
      <c r="U2348" s="9" t="n">
        <f aca="false">IF(D2348="",1,0)</f>
        <v>0</v>
      </c>
      <c r="V2348" s="9" t="n">
        <f aca="false">IF(E2348="",1,0)</f>
        <v>0</v>
      </c>
      <c r="W2348" s="9" t="n">
        <f aca="false">IF(OR(H2348&lt;1,H2348&gt;10),1,0)</f>
        <v>0</v>
      </c>
      <c r="X2348" s="9" t="n">
        <f aca="false">IF(OR(I2348&lt;=0,I2348&gt;1500),1,0)</f>
        <v>0</v>
      </c>
      <c r="Y2348" s="9" t="n">
        <f aca="false">IF(J2348&gt;H2348*I2348,1,0)</f>
        <v>0</v>
      </c>
      <c r="Z2348" s="9" t="n">
        <f aca="false">IF(AND(N2348&lt;&gt;"",OR(N2348&lt;1,N2348&gt;5)),1,0)</f>
        <v>0</v>
      </c>
      <c r="AA2348" s="9" t="n">
        <f aca="false">IF(AND(M2348&lt;&gt;"",OR(M2348&lt;5,M2348&gt;180)),1,0)</f>
        <v>0</v>
      </c>
      <c r="AB2348" s="7" t="str">
        <f aca="false">IF(P2348="DUP","Exact duplicate row",IF(T2348=1,"Missing Order ID",IF(S2348="DROP","Duplicate Order ID (less complete row)",IF(U2348=1,"Missing Customer ID",IF(V2348=1,"Missing Restaurant name",IF(W2348=1,"Invalid/outlier quantity",IF(X2348=1,"Invalid/outlier unit price",IF(Y2348=1,"Discount greater than order value",""))))))))</f>
        <v/>
      </c>
      <c r="AC2348" s="7" t="str">
        <f aca="false">IF(AB2348="","KEEP","DROP")</f>
        <v>KEEP</v>
      </c>
      <c r="AD2348" s="7" t="str">
        <f aca="false">IF(TRIM(F2348)="",IFERROR(INDEX(Map_Tables!$I$4:$I$37,MATCH(TRIM(E2348),Map_Tables!$G$4:$G$37,0)),""),IFERROR(INDEX(Map_Tables!$B$4:$B$18,MATCH(TRIM(F2348),Map_Tables!$A$4:$A$18,0)),"CHECK"))</f>
        <v>Delhi</v>
      </c>
      <c r="AE2348" s="7" t="str">
        <f aca="false">IF(TRIM(E2348)="","",IFERROR(INDEX(Map_Tables!$H$4:$H$37,MATCH(TRIM(E2348),Map_Tables!$G$4:$G$37,0)),"CHECK"))</f>
        <v>Burger Barn</v>
      </c>
      <c r="AF2348" s="7" t="str">
        <f aca="false">IF(TRIM(K2348)="","Unknown",IFERROR(INDEX(Map_Tables!$E$4:$E$15,MATCH(TRIM(K2348),Map_Tables!$D$4:$D$15,0)),"CHECK"))</f>
        <v>Wallet</v>
      </c>
      <c r="AG2348" s="7" t="str">
        <f aca="false">IF(LEFT(LOWER(TRIM(L2348)),6)="cancel","Cancelled","Delivered")</f>
        <v>Delivered</v>
      </c>
      <c r="AH2348" s="10" t="n">
        <f aca="false">IF(ISNUMBER(SEARCH("/",B2348)),DATE(VALUE(RIGHT(B2348,4)),VALUE(MID(B2348,4,2)),VALUE(LEFT(B2348,2))),IF(MID(B2348,5,1)="-",DATE(VALUE(LEFT(B2348,4)),VALUE(MID(B2348,6,2)),VALUE(RIGHT(B2348,2))),DATE(VALUE(RIGHT(B2348,4)),MATCH(MID(B2348,4,3),{"Jan","Feb","Mar","Apr","May","Jun","Jul","Aug","Sep","Oct","Nov","Dec"},0),VALUE(LEFT(B2348,2)))))</f>
        <v>45889</v>
      </c>
    </row>
    <row r="2349" customFormat="false" ht="15" hidden="false" customHeight="false" outlineLevel="0" collapsed="false">
      <c r="A2349" s="7" t="s">
        <v>5258</v>
      </c>
      <c r="B2349" s="7" t="s">
        <v>190</v>
      </c>
      <c r="C2349" s="7" t="s">
        <v>5192</v>
      </c>
      <c r="D2349" s="7" t="s">
        <v>3500</v>
      </c>
      <c r="E2349" s="7" t="s">
        <v>153</v>
      </c>
      <c r="F2349" s="7" t="s">
        <v>128</v>
      </c>
      <c r="G2349" s="7" t="s">
        <v>95</v>
      </c>
      <c r="H2349" s="7" t="n">
        <v>5</v>
      </c>
      <c r="I2349" s="7" t="n">
        <v>100</v>
      </c>
      <c r="J2349" s="7" t="n">
        <v>150</v>
      </c>
      <c r="K2349" s="7" t="s">
        <v>88</v>
      </c>
      <c r="L2349" s="7" t="s">
        <v>194</v>
      </c>
      <c r="M2349" s="7" t="n">
        <v>33</v>
      </c>
      <c r="N2349" s="7" t="n">
        <v>3</v>
      </c>
      <c r="O2349" s="7" t="str">
        <f aca="false">A2349&amp;"|"&amp;B2349&amp;"|"&amp;C2349&amp;"|"&amp;D2349&amp;"|"&amp;E2349&amp;"|"&amp;F2349&amp;"|"&amp;G2349&amp;"|"&amp;H2349&amp;"|"&amp;I2349&amp;"|"&amp;J2349&amp;"|"&amp;K2349&amp;"|"&amp;L2349&amp;"|"&amp;M2349&amp;"|"&amp;N2349</f>
        <v>ORD10680|2025-03-27|23:40|C0252|Filter Coffee and Tiffin|Chennai|South Indian|5|100|150|UPI|Delivered|33|3</v>
      </c>
      <c r="P2349" s="7" t="str">
        <f aca="false">IF(COUNTIF($O$2:O2349,O2349)&gt;1,"DUP","OK")</f>
        <v>OK</v>
      </c>
      <c r="Q2349" s="7" t="n">
        <f aca="false">COUNTBLANK(A2349:N2349)</f>
        <v>0</v>
      </c>
      <c r="R2349" s="7" t="n">
        <f aca="false">IF(A2349="",0,COUNTIFS($A$2:$A$3058,A2349,$P$2:$P$3058,"OK"))</f>
        <v>1</v>
      </c>
      <c r="S2349" s="7" t="str">
        <f aca="false">IF(OR(A2349="",P2349="DUP",R2349&lt;2),"",IF(Q2349=_xlfn.MINIFS($Q$2:$Q$3058,$A$2:$A$3058,A2349,$P$2:$P$3058,"OK"),"KEEP","DROP"))</f>
        <v/>
      </c>
      <c r="T2349" s="9" t="n">
        <f aca="false">IF(A2349="",1,0)</f>
        <v>0</v>
      </c>
      <c r="U2349" s="9" t="n">
        <f aca="false">IF(D2349="",1,0)</f>
        <v>0</v>
      </c>
      <c r="V2349" s="9" t="n">
        <f aca="false">IF(E2349="",1,0)</f>
        <v>0</v>
      </c>
      <c r="W2349" s="9" t="n">
        <f aca="false">IF(OR(H2349&lt;1,H2349&gt;10),1,0)</f>
        <v>0</v>
      </c>
      <c r="X2349" s="9" t="n">
        <f aca="false">IF(OR(I2349&lt;=0,I2349&gt;1500),1,0)</f>
        <v>0</v>
      </c>
      <c r="Y2349" s="9" t="n">
        <f aca="false">IF(J2349&gt;H2349*I2349,1,0)</f>
        <v>0</v>
      </c>
      <c r="Z2349" s="9" t="n">
        <f aca="false">IF(AND(N2349&lt;&gt;"",OR(N2349&lt;1,N2349&gt;5)),1,0)</f>
        <v>0</v>
      </c>
      <c r="AA2349" s="9" t="n">
        <f aca="false">IF(AND(M2349&lt;&gt;"",OR(M2349&lt;5,M2349&gt;180)),1,0)</f>
        <v>0</v>
      </c>
      <c r="AB2349" s="7" t="str">
        <f aca="false">IF(P2349="DUP","Exact duplicate row",IF(T2349=1,"Missing Order ID",IF(S2349="DROP","Duplicate Order ID (less complete row)",IF(U2349=1,"Missing Customer ID",IF(V2349=1,"Missing Restaurant name",IF(W2349=1,"Invalid/outlier quantity",IF(X2349=1,"Invalid/outlier unit price",IF(Y2349=1,"Discount greater than order value",""))))))))</f>
        <v/>
      </c>
      <c r="AC2349" s="7" t="str">
        <f aca="false">IF(AB2349="","KEEP","DROP")</f>
        <v>KEEP</v>
      </c>
      <c r="AD2349" s="7" t="str">
        <f aca="false">IF(TRIM(F2349)="",IFERROR(INDEX(Map_Tables!$I$4:$I$37,MATCH(TRIM(E2349),Map_Tables!$G$4:$G$37,0)),""),IFERROR(INDEX(Map_Tables!$B$4:$B$18,MATCH(TRIM(F2349),Map_Tables!$A$4:$A$18,0)),"CHECK"))</f>
        <v>Chennai</v>
      </c>
      <c r="AE2349" s="7" t="str">
        <f aca="false">IF(TRIM(E2349)="","",IFERROR(INDEX(Map_Tables!$H$4:$H$37,MATCH(TRIM(E2349),Map_Tables!$G$4:$G$37,0)),"CHECK"))</f>
        <v>Filter Coffee &amp; Tiffin</v>
      </c>
      <c r="AF2349" s="7" t="str">
        <f aca="false">IF(TRIM(K2349)="","Unknown",IFERROR(INDEX(Map_Tables!$E$4:$E$15,MATCH(TRIM(K2349),Map_Tables!$D$4:$D$15,0)),"CHECK"))</f>
        <v>UPI</v>
      </c>
      <c r="AG2349" s="7" t="str">
        <f aca="false">IF(LEFT(LOWER(TRIM(L2349)),6)="cancel","Cancelled","Delivered")</f>
        <v>Delivered</v>
      </c>
      <c r="AH2349" s="10" t="n">
        <f aca="false">IF(ISNUMBER(SEARCH("/",B2349)),DATE(VALUE(RIGHT(B2349,4)),VALUE(MID(B2349,4,2)),VALUE(LEFT(B2349,2))),IF(MID(B2349,5,1)="-",DATE(VALUE(LEFT(B2349,4)),VALUE(MID(B2349,6,2)),VALUE(RIGHT(B2349,2))),DATE(VALUE(RIGHT(B2349,4)),MATCH(MID(B2349,4,3),{"Jan","Feb","Mar","Apr","May","Jun","Jul","Aug","Sep","Oct","Nov","Dec"},0),VALUE(LEFT(B2349,2)))))</f>
        <v>45743</v>
      </c>
    </row>
    <row r="2350" customFormat="false" ht="15" hidden="false" customHeight="false" outlineLevel="0" collapsed="false">
      <c r="A2350" s="7" t="s">
        <v>5259</v>
      </c>
      <c r="B2350" s="7" t="s">
        <v>1733</v>
      </c>
      <c r="C2350" s="7" t="s">
        <v>323</v>
      </c>
      <c r="D2350" s="7" t="s">
        <v>425</v>
      </c>
      <c r="E2350" s="7" t="s">
        <v>104</v>
      </c>
      <c r="F2350" s="7" t="s">
        <v>86</v>
      </c>
      <c r="G2350" s="7" t="s">
        <v>105</v>
      </c>
      <c r="H2350" s="7" t="n">
        <v>2</v>
      </c>
      <c r="I2350" s="7" t="n">
        <v>235</v>
      </c>
      <c r="J2350" s="7" t="n">
        <v>125</v>
      </c>
      <c r="K2350" s="7" t="s">
        <v>93</v>
      </c>
      <c r="L2350" s="7" t="s">
        <v>194</v>
      </c>
      <c r="M2350" s="7" t="n">
        <v>43</v>
      </c>
      <c r="N2350" s="7" t="n">
        <v>4</v>
      </c>
      <c r="O2350" s="7" t="str">
        <f aca="false">A2350&amp;"|"&amp;B2350&amp;"|"&amp;C2350&amp;"|"&amp;D2350&amp;"|"&amp;E2350&amp;"|"&amp;F2350&amp;"|"&amp;G2350&amp;"|"&amp;H2350&amp;"|"&amp;I2350&amp;"|"&amp;J2350&amp;"|"&amp;K2350&amp;"|"&amp;L2350&amp;"|"&amp;M2350&amp;"|"&amp;N2350</f>
        <v>ORD12590|2025-11-17|08:25|C1386|Wok &amp; Roll|Bengaluru|Chinese|2|235|125|Credit Card|Delivered|43|4</v>
      </c>
      <c r="P2350" s="7" t="str">
        <f aca="false">IF(COUNTIF($O$2:O2350,O2350)&gt;1,"DUP","OK")</f>
        <v>OK</v>
      </c>
      <c r="Q2350" s="7" t="n">
        <f aca="false">COUNTBLANK(A2350:N2350)</f>
        <v>0</v>
      </c>
      <c r="R2350" s="7" t="n">
        <f aca="false">IF(A2350="",0,COUNTIFS($A$2:$A$3058,A2350,$P$2:$P$3058,"OK"))</f>
        <v>1</v>
      </c>
      <c r="S2350" s="7" t="str">
        <f aca="false">IF(OR(A2350="",P2350="DUP",R2350&lt;2),"",IF(Q2350=_xlfn.MINIFS($Q$2:$Q$3058,$A$2:$A$3058,A2350,$P$2:$P$3058,"OK"),"KEEP","DROP"))</f>
        <v/>
      </c>
      <c r="T2350" s="9" t="n">
        <f aca="false">IF(A2350="",1,0)</f>
        <v>0</v>
      </c>
      <c r="U2350" s="9" t="n">
        <f aca="false">IF(D2350="",1,0)</f>
        <v>0</v>
      </c>
      <c r="V2350" s="9" t="n">
        <f aca="false">IF(E2350="",1,0)</f>
        <v>0</v>
      </c>
      <c r="W2350" s="9" t="n">
        <f aca="false">IF(OR(H2350&lt;1,H2350&gt;10),1,0)</f>
        <v>0</v>
      </c>
      <c r="X2350" s="9" t="n">
        <f aca="false">IF(OR(I2350&lt;=0,I2350&gt;1500),1,0)</f>
        <v>0</v>
      </c>
      <c r="Y2350" s="9" t="n">
        <f aca="false">IF(J2350&gt;H2350*I2350,1,0)</f>
        <v>0</v>
      </c>
      <c r="Z2350" s="9" t="n">
        <f aca="false">IF(AND(N2350&lt;&gt;"",OR(N2350&lt;1,N2350&gt;5)),1,0)</f>
        <v>0</v>
      </c>
      <c r="AA2350" s="9" t="n">
        <f aca="false">IF(AND(M2350&lt;&gt;"",OR(M2350&lt;5,M2350&gt;180)),1,0)</f>
        <v>0</v>
      </c>
      <c r="AB2350" s="7" t="str">
        <f aca="false">IF(P2350="DUP","Exact duplicate row",IF(T2350=1,"Missing Order ID",IF(S2350="DROP","Duplicate Order ID (less complete row)",IF(U2350=1,"Missing Customer ID",IF(V2350=1,"Missing Restaurant name",IF(W2350=1,"Invalid/outlier quantity",IF(X2350=1,"Invalid/outlier unit price",IF(Y2350=1,"Discount greater than order value",""))))))))</f>
        <v/>
      </c>
      <c r="AC2350" s="7" t="str">
        <f aca="false">IF(AB2350="","KEEP","DROP")</f>
        <v>KEEP</v>
      </c>
      <c r="AD2350" s="7" t="str">
        <f aca="false">IF(TRIM(F2350)="",IFERROR(INDEX(Map_Tables!$I$4:$I$37,MATCH(TRIM(E2350),Map_Tables!$G$4:$G$37,0)),""),IFERROR(INDEX(Map_Tables!$B$4:$B$18,MATCH(TRIM(F2350),Map_Tables!$A$4:$A$18,0)),"CHECK"))</f>
        <v>Bengaluru</v>
      </c>
      <c r="AE2350" s="7" t="str">
        <f aca="false">IF(TRIM(E2350)="","",IFERROR(INDEX(Map_Tables!$H$4:$H$37,MATCH(TRIM(E2350),Map_Tables!$G$4:$G$37,0)),"CHECK"))</f>
        <v>Wok &amp; Roll</v>
      </c>
      <c r="AF2350" s="7" t="str">
        <f aca="false">IF(TRIM(K2350)="","Unknown",IFERROR(INDEX(Map_Tables!$E$4:$E$15,MATCH(TRIM(K2350),Map_Tables!$D$4:$D$15,0)),"CHECK"))</f>
        <v>Credit Card</v>
      </c>
      <c r="AG2350" s="7" t="str">
        <f aca="false">IF(LEFT(LOWER(TRIM(L2350)),6)="cancel","Cancelled","Delivered")</f>
        <v>Delivered</v>
      </c>
      <c r="AH2350" s="10" t="n">
        <f aca="false">IF(ISNUMBER(SEARCH("/",B2350)),DATE(VALUE(RIGHT(B2350,4)),VALUE(MID(B2350,4,2)),VALUE(LEFT(B2350,2))),IF(MID(B2350,5,1)="-",DATE(VALUE(LEFT(B2350,4)),VALUE(MID(B2350,6,2)),VALUE(RIGHT(B2350,2))),DATE(VALUE(RIGHT(B2350,4)),MATCH(MID(B2350,4,3),{"Jan","Feb","Mar","Apr","May","Jun","Jul","Aug","Sep","Oct","Nov","Dec"},0),VALUE(LEFT(B2350,2)))))</f>
        <v>45978</v>
      </c>
    </row>
    <row r="2351" customFormat="false" ht="15" hidden="false" customHeight="false" outlineLevel="0" collapsed="false">
      <c r="A2351" s="7" t="s">
        <v>5260</v>
      </c>
      <c r="B2351" s="7" t="s">
        <v>1312</v>
      </c>
      <c r="C2351" s="7" t="s">
        <v>4171</v>
      </c>
      <c r="D2351" s="7" t="s">
        <v>5261</v>
      </c>
      <c r="E2351" s="7" t="s">
        <v>149</v>
      </c>
      <c r="F2351" s="7" t="s">
        <v>119</v>
      </c>
      <c r="G2351" s="7" t="s">
        <v>150</v>
      </c>
      <c r="H2351" s="7" t="n">
        <v>2</v>
      </c>
      <c r="I2351" s="7" t="n">
        <v>180</v>
      </c>
      <c r="J2351" s="7" t="n">
        <v>0</v>
      </c>
      <c r="K2351" s="7" t="s">
        <v>229</v>
      </c>
      <c r="L2351" s="7" t="s">
        <v>238</v>
      </c>
      <c r="M2351" s="7"/>
      <c r="N2351" s="7"/>
      <c r="O2351" s="7" t="str">
        <f aca="false">A2351&amp;"|"&amp;B2351&amp;"|"&amp;C2351&amp;"|"&amp;D2351&amp;"|"&amp;E2351&amp;"|"&amp;F2351&amp;"|"&amp;G2351&amp;"|"&amp;H2351&amp;"|"&amp;I2351&amp;"|"&amp;J2351&amp;"|"&amp;K2351&amp;"|"&amp;L2351&amp;"|"&amp;M2351&amp;"|"&amp;N2351</f>
        <v>ORD11094|2025-05-19|09:19|C0708|Sweet Tooth Studio|Hyderabad|Desserts|2|180|0|Upi|Cancelled||</v>
      </c>
      <c r="P2351" s="7" t="str">
        <f aca="false">IF(COUNTIF($O$2:O2351,O2351)&gt;1,"DUP","OK")</f>
        <v>OK</v>
      </c>
      <c r="Q2351" s="7" t="n">
        <f aca="false">COUNTBLANK(A2351:N2351)</f>
        <v>2</v>
      </c>
      <c r="R2351" s="7" t="n">
        <f aca="false">IF(A2351="",0,COUNTIFS($A$2:$A$3058,A2351,$P$2:$P$3058,"OK"))</f>
        <v>1</v>
      </c>
      <c r="S2351" s="7" t="str">
        <f aca="false">IF(OR(A2351="",P2351="DUP",R2351&lt;2),"",IF(Q2351=_xlfn.MINIFS($Q$2:$Q$3058,$A$2:$A$3058,A2351,$P$2:$P$3058,"OK"),"KEEP","DROP"))</f>
        <v/>
      </c>
      <c r="T2351" s="9" t="n">
        <f aca="false">IF(A2351="",1,0)</f>
        <v>0</v>
      </c>
      <c r="U2351" s="9" t="n">
        <f aca="false">IF(D2351="",1,0)</f>
        <v>0</v>
      </c>
      <c r="V2351" s="9" t="n">
        <f aca="false">IF(E2351="",1,0)</f>
        <v>0</v>
      </c>
      <c r="W2351" s="9" t="n">
        <f aca="false">IF(OR(H2351&lt;1,H2351&gt;10),1,0)</f>
        <v>0</v>
      </c>
      <c r="X2351" s="9" t="n">
        <f aca="false">IF(OR(I2351&lt;=0,I2351&gt;1500),1,0)</f>
        <v>0</v>
      </c>
      <c r="Y2351" s="9" t="n">
        <f aca="false">IF(J2351&gt;H2351*I2351,1,0)</f>
        <v>0</v>
      </c>
      <c r="Z2351" s="9" t="n">
        <f aca="false">IF(AND(N2351&lt;&gt;"",OR(N2351&lt;1,N2351&gt;5)),1,0)</f>
        <v>0</v>
      </c>
      <c r="AA2351" s="9" t="n">
        <f aca="false">IF(AND(M2351&lt;&gt;"",OR(M2351&lt;5,M2351&gt;180)),1,0)</f>
        <v>0</v>
      </c>
      <c r="AB2351" s="7" t="str">
        <f aca="false">IF(P2351="DUP","Exact duplicate row",IF(T2351=1,"Missing Order ID",IF(S2351="DROP","Duplicate Order ID (less complete row)",IF(U2351=1,"Missing Customer ID",IF(V2351=1,"Missing Restaurant name",IF(W2351=1,"Invalid/outlier quantity",IF(X2351=1,"Invalid/outlier unit price",IF(Y2351=1,"Discount greater than order value",""))))))))</f>
        <v/>
      </c>
      <c r="AC2351" s="7" t="str">
        <f aca="false">IF(AB2351="","KEEP","DROP")</f>
        <v>KEEP</v>
      </c>
      <c r="AD2351" s="7" t="str">
        <f aca="false">IF(TRIM(F2351)="",IFERROR(INDEX(Map_Tables!$I$4:$I$37,MATCH(TRIM(E2351),Map_Tables!$G$4:$G$37,0)),""),IFERROR(INDEX(Map_Tables!$B$4:$B$18,MATCH(TRIM(F2351),Map_Tables!$A$4:$A$18,0)),"CHECK"))</f>
        <v>Hyderabad</v>
      </c>
      <c r="AE2351" s="7" t="str">
        <f aca="false">IF(TRIM(E2351)="","",IFERROR(INDEX(Map_Tables!$H$4:$H$37,MATCH(TRIM(E2351),Map_Tables!$G$4:$G$37,0)),"CHECK"))</f>
        <v>Sweet Tooth Studio</v>
      </c>
      <c r="AF2351" s="7" t="str">
        <f aca="false">IF(TRIM(K2351)="","Unknown",IFERROR(INDEX(Map_Tables!$E$4:$E$15,MATCH(TRIM(K2351),Map_Tables!$D$4:$D$15,0)),"CHECK"))</f>
        <v>UPI</v>
      </c>
      <c r="AG2351" s="7" t="str">
        <f aca="false">IF(LEFT(LOWER(TRIM(L2351)),6)="cancel","Cancelled","Delivered")</f>
        <v>Cancelled</v>
      </c>
      <c r="AH2351" s="10" t="n">
        <f aca="false">IF(ISNUMBER(SEARCH("/",B2351)),DATE(VALUE(RIGHT(B2351,4)),VALUE(MID(B2351,4,2)),VALUE(LEFT(B2351,2))),IF(MID(B2351,5,1)="-",DATE(VALUE(LEFT(B2351,4)),VALUE(MID(B2351,6,2)),VALUE(RIGHT(B2351,2))),DATE(VALUE(RIGHT(B2351,4)),MATCH(MID(B2351,4,3),{"Jan","Feb","Mar","Apr","May","Jun","Jul","Aug","Sep","Oct","Nov","Dec"},0),VALUE(LEFT(B2351,2)))))</f>
        <v>45796</v>
      </c>
    </row>
    <row r="2352" customFormat="false" ht="15" hidden="false" customHeight="false" outlineLevel="0" collapsed="false">
      <c r="A2352" s="7" t="s">
        <v>5262</v>
      </c>
      <c r="B2352" s="7" t="s">
        <v>1065</v>
      </c>
      <c r="C2352" s="7" t="s">
        <v>1704</v>
      </c>
      <c r="D2352" s="7" t="s">
        <v>4521</v>
      </c>
      <c r="E2352" s="7" t="s">
        <v>149</v>
      </c>
      <c r="F2352" s="7" t="s">
        <v>119</v>
      </c>
      <c r="G2352" s="7" t="s">
        <v>150</v>
      </c>
      <c r="H2352" s="7" t="n">
        <v>1</v>
      </c>
      <c r="I2352" s="7" t="n">
        <v>180</v>
      </c>
      <c r="J2352" s="7" t="n">
        <v>0</v>
      </c>
      <c r="K2352" s="7"/>
      <c r="L2352" s="7" t="s">
        <v>194</v>
      </c>
      <c r="M2352" s="7" t="n">
        <v>35</v>
      </c>
      <c r="N2352" s="7" t="n">
        <v>3</v>
      </c>
      <c r="O2352" s="7" t="str">
        <f aca="false">A2352&amp;"|"&amp;B2352&amp;"|"&amp;C2352&amp;"|"&amp;D2352&amp;"|"&amp;E2352&amp;"|"&amp;F2352&amp;"|"&amp;G2352&amp;"|"&amp;H2352&amp;"|"&amp;I2352&amp;"|"&amp;J2352&amp;"|"&amp;K2352&amp;"|"&amp;L2352&amp;"|"&amp;M2352&amp;"|"&amp;N2352</f>
        <v>ORD10081|2025-01-11|20:01|C0526|Sweet Tooth Studio|Hyderabad|Desserts|1|180|0||Delivered|35|3</v>
      </c>
      <c r="P2352" s="7" t="str">
        <f aca="false">IF(COUNTIF($O$2:O2352,O2352)&gt;1,"DUP","OK")</f>
        <v>OK</v>
      </c>
      <c r="Q2352" s="7" t="n">
        <f aca="false">COUNTBLANK(A2352:N2352)</f>
        <v>1</v>
      </c>
      <c r="R2352" s="7" t="n">
        <f aca="false">IF(A2352="",0,COUNTIFS($A$2:$A$3058,A2352,$P$2:$P$3058,"OK"))</f>
        <v>1</v>
      </c>
      <c r="S2352" s="7" t="str">
        <f aca="false">IF(OR(A2352="",P2352="DUP",R2352&lt;2),"",IF(Q2352=_xlfn.MINIFS($Q$2:$Q$3058,$A$2:$A$3058,A2352,$P$2:$P$3058,"OK"),"KEEP","DROP"))</f>
        <v/>
      </c>
      <c r="T2352" s="9" t="n">
        <f aca="false">IF(A2352="",1,0)</f>
        <v>0</v>
      </c>
      <c r="U2352" s="9" t="n">
        <f aca="false">IF(D2352="",1,0)</f>
        <v>0</v>
      </c>
      <c r="V2352" s="9" t="n">
        <f aca="false">IF(E2352="",1,0)</f>
        <v>0</v>
      </c>
      <c r="W2352" s="9" t="n">
        <f aca="false">IF(OR(H2352&lt;1,H2352&gt;10),1,0)</f>
        <v>0</v>
      </c>
      <c r="X2352" s="9" t="n">
        <f aca="false">IF(OR(I2352&lt;=0,I2352&gt;1500),1,0)</f>
        <v>0</v>
      </c>
      <c r="Y2352" s="9" t="n">
        <f aca="false">IF(J2352&gt;H2352*I2352,1,0)</f>
        <v>0</v>
      </c>
      <c r="Z2352" s="9" t="n">
        <f aca="false">IF(AND(N2352&lt;&gt;"",OR(N2352&lt;1,N2352&gt;5)),1,0)</f>
        <v>0</v>
      </c>
      <c r="AA2352" s="9" t="n">
        <f aca="false">IF(AND(M2352&lt;&gt;"",OR(M2352&lt;5,M2352&gt;180)),1,0)</f>
        <v>0</v>
      </c>
      <c r="AB2352" s="7" t="str">
        <f aca="false">IF(P2352="DUP","Exact duplicate row",IF(T2352=1,"Missing Order ID",IF(S2352="DROP","Duplicate Order ID (less complete row)",IF(U2352=1,"Missing Customer ID",IF(V2352=1,"Missing Restaurant name",IF(W2352=1,"Invalid/outlier quantity",IF(X2352=1,"Invalid/outlier unit price",IF(Y2352=1,"Discount greater than order value",""))))))))</f>
        <v/>
      </c>
      <c r="AC2352" s="7" t="str">
        <f aca="false">IF(AB2352="","KEEP","DROP")</f>
        <v>KEEP</v>
      </c>
      <c r="AD2352" s="7" t="str">
        <f aca="false">IF(TRIM(F2352)="",IFERROR(INDEX(Map_Tables!$I$4:$I$37,MATCH(TRIM(E2352),Map_Tables!$G$4:$G$37,0)),""),IFERROR(INDEX(Map_Tables!$B$4:$B$18,MATCH(TRIM(F2352),Map_Tables!$A$4:$A$18,0)),"CHECK"))</f>
        <v>Hyderabad</v>
      </c>
      <c r="AE2352" s="7" t="str">
        <f aca="false">IF(TRIM(E2352)="","",IFERROR(INDEX(Map_Tables!$H$4:$H$37,MATCH(TRIM(E2352),Map_Tables!$G$4:$G$37,0)),"CHECK"))</f>
        <v>Sweet Tooth Studio</v>
      </c>
      <c r="AF2352" s="7" t="str">
        <f aca="false">IF(TRIM(K2352)="","Unknown",IFERROR(INDEX(Map_Tables!$E$4:$E$15,MATCH(TRIM(K2352),Map_Tables!$D$4:$D$15,0)),"CHECK"))</f>
        <v>Unknown</v>
      </c>
      <c r="AG2352" s="7" t="str">
        <f aca="false">IF(LEFT(LOWER(TRIM(L2352)),6)="cancel","Cancelled","Delivered")</f>
        <v>Delivered</v>
      </c>
      <c r="AH2352" s="10" t="n">
        <f aca="false">IF(ISNUMBER(SEARCH("/",B2352)),DATE(VALUE(RIGHT(B2352,4)),VALUE(MID(B2352,4,2)),VALUE(LEFT(B2352,2))),IF(MID(B2352,5,1)="-",DATE(VALUE(LEFT(B2352,4)),VALUE(MID(B2352,6,2)),VALUE(RIGHT(B2352,2))),DATE(VALUE(RIGHT(B2352,4)),MATCH(MID(B2352,4,3),{"Jan","Feb","Mar","Apr","May","Jun","Jul","Aug","Sep","Oct","Nov","Dec"},0),VALUE(LEFT(B2352,2)))))</f>
        <v>45668</v>
      </c>
    </row>
    <row r="2353" customFormat="false" ht="15" hidden="false" customHeight="false" outlineLevel="0" collapsed="false">
      <c r="A2353" s="7" t="s">
        <v>5263</v>
      </c>
      <c r="B2353" s="7" t="s">
        <v>3695</v>
      </c>
      <c r="C2353" s="7" t="s">
        <v>1474</v>
      </c>
      <c r="D2353" s="7" t="s">
        <v>840</v>
      </c>
      <c r="E2353" s="7" t="s">
        <v>138</v>
      </c>
      <c r="F2353" s="7" t="s">
        <v>110</v>
      </c>
      <c r="G2353" s="7" t="s">
        <v>139</v>
      </c>
      <c r="H2353" s="7" t="n">
        <v>3</v>
      </c>
      <c r="I2353" s="7" t="n">
        <v>195</v>
      </c>
      <c r="J2353" s="7" t="n">
        <v>0</v>
      </c>
      <c r="K2353" s="7" t="s">
        <v>88</v>
      </c>
      <c r="L2353" s="7" t="s">
        <v>194</v>
      </c>
      <c r="M2353" s="7" t="n">
        <v>42</v>
      </c>
      <c r="N2353" s="7"/>
      <c r="O2353" s="7" t="str">
        <f aca="false">A2353&amp;"|"&amp;B2353&amp;"|"&amp;C2353&amp;"|"&amp;D2353&amp;"|"&amp;E2353&amp;"|"&amp;F2353&amp;"|"&amp;G2353&amp;"|"&amp;H2353&amp;"|"&amp;I2353&amp;"|"&amp;J2353&amp;"|"&amp;K2353&amp;"|"&amp;L2353&amp;"|"&amp;M2353&amp;"|"&amp;N2353</f>
        <v>ORD11951|2025-09-10|19:37|C0393|Burger Barn|Delhi|Burgers|3|195|0|UPI|Delivered|42|</v>
      </c>
      <c r="P2353" s="7" t="str">
        <f aca="false">IF(COUNTIF($O$2:O2353,O2353)&gt;1,"DUP","OK")</f>
        <v>OK</v>
      </c>
      <c r="Q2353" s="7" t="n">
        <f aca="false">COUNTBLANK(A2353:N2353)</f>
        <v>1</v>
      </c>
      <c r="R2353" s="7" t="n">
        <f aca="false">IF(A2353="",0,COUNTIFS($A$2:$A$3058,A2353,$P$2:$P$3058,"OK"))</f>
        <v>1</v>
      </c>
      <c r="S2353" s="7" t="str">
        <f aca="false">IF(OR(A2353="",P2353="DUP",R2353&lt;2),"",IF(Q2353=_xlfn.MINIFS($Q$2:$Q$3058,$A$2:$A$3058,A2353,$P$2:$P$3058,"OK"),"KEEP","DROP"))</f>
        <v/>
      </c>
      <c r="T2353" s="9" t="n">
        <f aca="false">IF(A2353="",1,0)</f>
        <v>0</v>
      </c>
      <c r="U2353" s="9" t="n">
        <f aca="false">IF(D2353="",1,0)</f>
        <v>0</v>
      </c>
      <c r="V2353" s="9" t="n">
        <f aca="false">IF(E2353="",1,0)</f>
        <v>0</v>
      </c>
      <c r="W2353" s="9" t="n">
        <f aca="false">IF(OR(H2353&lt;1,H2353&gt;10),1,0)</f>
        <v>0</v>
      </c>
      <c r="X2353" s="9" t="n">
        <f aca="false">IF(OR(I2353&lt;=0,I2353&gt;1500),1,0)</f>
        <v>0</v>
      </c>
      <c r="Y2353" s="9" t="n">
        <f aca="false">IF(J2353&gt;H2353*I2353,1,0)</f>
        <v>0</v>
      </c>
      <c r="Z2353" s="9" t="n">
        <f aca="false">IF(AND(N2353&lt;&gt;"",OR(N2353&lt;1,N2353&gt;5)),1,0)</f>
        <v>0</v>
      </c>
      <c r="AA2353" s="9" t="n">
        <f aca="false">IF(AND(M2353&lt;&gt;"",OR(M2353&lt;5,M2353&gt;180)),1,0)</f>
        <v>0</v>
      </c>
      <c r="AB2353" s="7" t="str">
        <f aca="false">IF(P2353="DUP","Exact duplicate row",IF(T2353=1,"Missing Order ID",IF(S2353="DROP","Duplicate Order ID (less complete row)",IF(U2353=1,"Missing Customer ID",IF(V2353=1,"Missing Restaurant name",IF(W2353=1,"Invalid/outlier quantity",IF(X2353=1,"Invalid/outlier unit price",IF(Y2353=1,"Discount greater than order value",""))))))))</f>
        <v/>
      </c>
      <c r="AC2353" s="7" t="str">
        <f aca="false">IF(AB2353="","KEEP","DROP")</f>
        <v>KEEP</v>
      </c>
      <c r="AD2353" s="7" t="str">
        <f aca="false">IF(TRIM(F2353)="",IFERROR(INDEX(Map_Tables!$I$4:$I$37,MATCH(TRIM(E2353),Map_Tables!$G$4:$G$37,0)),""),IFERROR(INDEX(Map_Tables!$B$4:$B$18,MATCH(TRIM(F2353),Map_Tables!$A$4:$A$18,0)),"CHECK"))</f>
        <v>Delhi</v>
      </c>
      <c r="AE2353" s="7" t="str">
        <f aca="false">IF(TRIM(E2353)="","",IFERROR(INDEX(Map_Tables!$H$4:$H$37,MATCH(TRIM(E2353),Map_Tables!$G$4:$G$37,0)),"CHECK"))</f>
        <v>Burger Barn</v>
      </c>
      <c r="AF2353" s="7" t="str">
        <f aca="false">IF(TRIM(K2353)="","Unknown",IFERROR(INDEX(Map_Tables!$E$4:$E$15,MATCH(TRIM(K2353),Map_Tables!$D$4:$D$15,0)),"CHECK"))</f>
        <v>UPI</v>
      </c>
      <c r="AG2353" s="7" t="str">
        <f aca="false">IF(LEFT(LOWER(TRIM(L2353)),6)="cancel","Cancelled","Delivered")</f>
        <v>Delivered</v>
      </c>
      <c r="AH2353" s="10" t="n">
        <f aca="false">IF(ISNUMBER(SEARCH("/",B2353)),DATE(VALUE(RIGHT(B2353,4)),VALUE(MID(B2353,4,2)),VALUE(LEFT(B2353,2))),IF(MID(B2353,5,1)="-",DATE(VALUE(LEFT(B2353,4)),VALUE(MID(B2353,6,2)),VALUE(RIGHT(B2353,2))),DATE(VALUE(RIGHT(B2353,4)),MATCH(MID(B2353,4,3),{"Jan","Feb","Mar","Apr","May","Jun","Jul","Aug","Sep","Oct","Nov","Dec"},0),VALUE(LEFT(B2353,2)))))</f>
        <v>45910</v>
      </c>
    </row>
    <row r="2354" customFormat="false" ht="15" hidden="false" customHeight="false" outlineLevel="0" collapsed="false">
      <c r="A2354" s="7" t="s">
        <v>5264</v>
      </c>
      <c r="B2354" s="7" t="s">
        <v>3122</v>
      </c>
      <c r="C2354" s="7" t="s">
        <v>377</v>
      </c>
      <c r="D2354" s="7" t="s">
        <v>2424</v>
      </c>
      <c r="E2354" s="7" t="s">
        <v>130</v>
      </c>
      <c r="F2354" s="7" t="s">
        <v>109</v>
      </c>
      <c r="G2354" s="7" t="s">
        <v>90</v>
      </c>
      <c r="H2354" s="7" t="n">
        <v>1</v>
      </c>
      <c r="I2354" s="7" t="n">
        <v>310</v>
      </c>
      <c r="J2354" s="7" t="n">
        <v>0</v>
      </c>
      <c r="K2354" s="7" t="s">
        <v>93</v>
      </c>
      <c r="L2354" s="7" t="s">
        <v>194</v>
      </c>
      <c r="M2354" s="7" t="n">
        <v>35</v>
      </c>
      <c r="N2354" s="7" t="n">
        <v>3</v>
      </c>
      <c r="O2354" s="7" t="str">
        <f aca="false">A2354&amp;"|"&amp;B2354&amp;"|"&amp;C2354&amp;"|"&amp;D2354&amp;"|"&amp;E2354&amp;"|"&amp;F2354&amp;"|"&amp;G2354&amp;"|"&amp;H2354&amp;"|"&amp;I2354&amp;"|"&amp;J2354&amp;"|"&amp;K2354&amp;"|"&amp;L2354&amp;"|"&amp;M2354&amp;"|"&amp;N2354</f>
        <v>ORD12493|2025-11-09|12:00|C0267|Tandoor Tales|delhi|North Indian|1|310|0|Credit Card|Delivered|35|3</v>
      </c>
      <c r="P2354" s="7" t="str">
        <f aca="false">IF(COUNTIF($O$2:O2354,O2354)&gt;1,"DUP","OK")</f>
        <v>OK</v>
      </c>
      <c r="Q2354" s="7" t="n">
        <f aca="false">COUNTBLANK(A2354:N2354)</f>
        <v>0</v>
      </c>
      <c r="R2354" s="7" t="n">
        <f aca="false">IF(A2354="",0,COUNTIFS($A$2:$A$3058,A2354,$P$2:$P$3058,"OK"))</f>
        <v>1</v>
      </c>
      <c r="S2354" s="7" t="str">
        <f aca="false">IF(OR(A2354="",P2354="DUP",R2354&lt;2),"",IF(Q2354=_xlfn.MINIFS($Q$2:$Q$3058,$A$2:$A$3058,A2354,$P$2:$P$3058,"OK"),"KEEP","DROP"))</f>
        <v/>
      </c>
      <c r="T2354" s="9" t="n">
        <f aca="false">IF(A2354="",1,0)</f>
        <v>0</v>
      </c>
      <c r="U2354" s="9" t="n">
        <f aca="false">IF(D2354="",1,0)</f>
        <v>0</v>
      </c>
      <c r="V2354" s="9" t="n">
        <f aca="false">IF(E2354="",1,0)</f>
        <v>0</v>
      </c>
      <c r="W2354" s="9" t="n">
        <f aca="false">IF(OR(H2354&lt;1,H2354&gt;10),1,0)</f>
        <v>0</v>
      </c>
      <c r="X2354" s="9" t="n">
        <f aca="false">IF(OR(I2354&lt;=0,I2354&gt;1500),1,0)</f>
        <v>0</v>
      </c>
      <c r="Y2354" s="9" t="n">
        <f aca="false">IF(J2354&gt;H2354*I2354,1,0)</f>
        <v>0</v>
      </c>
      <c r="Z2354" s="9" t="n">
        <f aca="false">IF(AND(N2354&lt;&gt;"",OR(N2354&lt;1,N2354&gt;5)),1,0)</f>
        <v>0</v>
      </c>
      <c r="AA2354" s="9" t="n">
        <f aca="false">IF(AND(M2354&lt;&gt;"",OR(M2354&lt;5,M2354&gt;180)),1,0)</f>
        <v>0</v>
      </c>
      <c r="AB2354" s="7" t="str">
        <f aca="false">IF(P2354="DUP","Exact duplicate row",IF(T2354=1,"Missing Order ID",IF(S2354="DROP","Duplicate Order ID (less complete row)",IF(U2354=1,"Missing Customer ID",IF(V2354=1,"Missing Restaurant name",IF(W2354=1,"Invalid/outlier quantity",IF(X2354=1,"Invalid/outlier unit price",IF(Y2354=1,"Discount greater than order value",""))))))))</f>
        <v/>
      </c>
      <c r="AC2354" s="7" t="str">
        <f aca="false">IF(AB2354="","KEEP","DROP")</f>
        <v>KEEP</v>
      </c>
      <c r="AD2354" s="7" t="str">
        <f aca="false">IF(TRIM(F2354)="",IFERROR(INDEX(Map_Tables!$I$4:$I$37,MATCH(TRIM(E2354),Map_Tables!$G$4:$G$37,0)),""),IFERROR(INDEX(Map_Tables!$B$4:$B$18,MATCH(TRIM(F2354),Map_Tables!$A$4:$A$18,0)),"CHECK"))</f>
        <v>Delhi</v>
      </c>
      <c r="AE2354" s="7" t="str">
        <f aca="false">IF(TRIM(E2354)="","",IFERROR(INDEX(Map_Tables!$H$4:$H$37,MATCH(TRIM(E2354),Map_Tables!$G$4:$G$37,0)),"CHECK"))</f>
        <v>Tandoor Tales</v>
      </c>
      <c r="AF2354" s="7" t="str">
        <f aca="false">IF(TRIM(K2354)="","Unknown",IFERROR(INDEX(Map_Tables!$E$4:$E$15,MATCH(TRIM(K2354),Map_Tables!$D$4:$D$15,0)),"CHECK"))</f>
        <v>Credit Card</v>
      </c>
      <c r="AG2354" s="7" t="str">
        <f aca="false">IF(LEFT(LOWER(TRIM(L2354)),6)="cancel","Cancelled","Delivered")</f>
        <v>Delivered</v>
      </c>
      <c r="AH2354" s="10" t="n">
        <f aca="false">IF(ISNUMBER(SEARCH("/",B2354)),DATE(VALUE(RIGHT(B2354,4)),VALUE(MID(B2354,4,2)),VALUE(LEFT(B2354,2))),IF(MID(B2354,5,1)="-",DATE(VALUE(LEFT(B2354,4)),VALUE(MID(B2354,6,2)),VALUE(RIGHT(B2354,2))),DATE(VALUE(RIGHT(B2354,4)),MATCH(MID(B2354,4,3),{"Jan","Feb","Mar","Apr","May","Jun","Jul","Aug","Sep","Oct","Nov","Dec"},0),VALUE(LEFT(B2354,2)))))</f>
        <v>45970</v>
      </c>
    </row>
    <row r="2355" customFormat="false" ht="15" hidden="false" customHeight="false" outlineLevel="0" collapsed="false">
      <c r="A2355" s="7" t="s">
        <v>5265</v>
      </c>
      <c r="B2355" s="7" t="s">
        <v>1943</v>
      </c>
      <c r="C2355" s="7" t="s">
        <v>2607</v>
      </c>
      <c r="D2355" s="7" t="s">
        <v>1753</v>
      </c>
      <c r="E2355" s="7" t="s">
        <v>116</v>
      </c>
      <c r="F2355" s="7" t="s">
        <v>101</v>
      </c>
      <c r="G2355" s="7" t="s">
        <v>117</v>
      </c>
      <c r="H2355" s="7" t="n">
        <v>1</v>
      </c>
      <c r="I2355" s="7" t="n">
        <v>135</v>
      </c>
      <c r="J2355" s="7" t="n">
        <v>0</v>
      </c>
      <c r="K2355" s="7" t="s">
        <v>93</v>
      </c>
      <c r="L2355" s="7" t="s">
        <v>194</v>
      </c>
      <c r="M2355" s="7" t="n">
        <v>35</v>
      </c>
      <c r="N2355" s="7" t="n">
        <v>5</v>
      </c>
      <c r="O2355" s="7" t="str">
        <f aca="false">A2355&amp;"|"&amp;B2355&amp;"|"&amp;C2355&amp;"|"&amp;D2355&amp;"|"&amp;E2355&amp;"|"&amp;F2355&amp;"|"&amp;G2355&amp;"|"&amp;H2355&amp;"|"&amp;I2355&amp;"|"&amp;J2355&amp;"|"&amp;K2355&amp;"|"&amp;L2355&amp;"|"&amp;M2355&amp;"|"&amp;N2355</f>
        <v>ORD11240|2025-06-07|12:01|C1218|Pav Bhaji Point|Mumbai|Street Food|1|135|0|Credit Card|Delivered|35|5</v>
      </c>
      <c r="P2355" s="7" t="str">
        <f aca="false">IF(COUNTIF($O$2:O2355,O2355)&gt;1,"DUP","OK")</f>
        <v>OK</v>
      </c>
      <c r="Q2355" s="7" t="n">
        <f aca="false">COUNTBLANK(A2355:N2355)</f>
        <v>0</v>
      </c>
      <c r="R2355" s="7" t="n">
        <f aca="false">IF(A2355="",0,COUNTIFS($A$2:$A$3058,A2355,$P$2:$P$3058,"OK"))</f>
        <v>1</v>
      </c>
      <c r="S2355" s="7" t="str">
        <f aca="false">IF(OR(A2355="",P2355="DUP",R2355&lt;2),"",IF(Q2355=_xlfn.MINIFS($Q$2:$Q$3058,$A$2:$A$3058,A2355,$P$2:$P$3058,"OK"),"KEEP","DROP"))</f>
        <v/>
      </c>
      <c r="T2355" s="9" t="n">
        <f aca="false">IF(A2355="",1,0)</f>
        <v>0</v>
      </c>
      <c r="U2355" s="9" t="n">
        <f aca="false">IF(D2355="",1,0)</f>
        <v>0</v>
      </c>
      <c r="V2355" s="9" t="n">
        <f aca="false">IF(E2355="",1,0)</f>
        <v>0</v>
      </c>
      <c r="W2355" s="9" t="n">
        <f aca="false">IF(OR(H2355&lt;1,H2355&gt;10),1,0)</f>
        <v>0</v>
      </c>
      <c r="X2355" s="9" t="n">
        <f aca="false">IF(OR(I2355&lt;=0,I2355&gt;1500),1,0)</f>
        <v>0</v>
      </c>
      <c r="Y2355" s="9" t="n">
        <f aca="false">IF(J2355&gt;H2355*I2355,1,0)</f>
        <v>0</v>
      </c>
      <c r="Z2355" s="9" t="n">
        <f aca="false">IF(AND(N2355&lt;&gt;"",OR(N2355&lt;1,N2355&gt;5)),1,0)</f>
        <v>0</v>
      </c>
      <c r="AA2355" s="9" t="n">
        <f aca="false">IF(AND(M2355&lt;&gt;"",OR(M2355&lt;5,M2355&gt;180)),1,0)</f>
        <v>0</v>
      </c>
      <c r="AB2355" s="7" t="str">
        <f aca="false">IF(P2355="DUP","Exact duplicate row",IF(T2355=1,"Missing Order ID",IF(S2355="DROP","Duplicate Order ID (less complete row)",IF(U2355=1,"Missing Customer ID",IF(V2355=1,"Missing Restaurant name",IF(W2355=1,"Invalid/outlier quantity",IF(X2355=1,"Invalid/outlier unit price",IF(Y2355=1,"Discount greater than order value",""))))))))</f>
        <v/>
      </c>
      <c r="AC2355" s="7" t="str">
        <f aca="false">IF(AB2355="","KEEP","DROP")</f>
        <v>KEEP</v>
      </c>
      <c r="AD2355" s="7" t="str">
        <f aca="false">IF(TRIM(F2355)="",IFERROR(INDEX(Map_Tables!$I$4:$I$37,MATCH(TRIM(E2355),Map_Tables!$G$4:$G$37,0)),""),IFERROR(INDEX(Map_Tables!$B$4:$B$18,MATCH(TRIM(F2355),Map_Tables!$A$4:$A$18,0)),"CHECK"))</f>
        <v>Mumbai</v>
      </c>
      <c r="AE2355" s="7" t="str">
        <f aca="false">IF(TRIM(E2355)="","",IFERROR(INDEX(Map_Tables!$H$4:$H$37,MATCH(TRIM(E2355),Map_Tables!$G$4:$G$37,0)),"CHECK"))</f>
        <v>Pav Bhaji Point</v>
      </c>
      <c r="AF2355" s="7" t="str">
        <f aca="false">IF(TRIM(K2355)="","Unknown",IFERROR(INDEX(Map_Tables!$E$4:$E$15,MATCH(TRIM(K2355),Map_Tables!$D$4:$D$15,0)),"CHECK"))</f>
        <v>Credit Card</v>
      </c>
      <c r="AG2355" s="7" t="str">
        <f aca="false">IF(LEFT(LOWER(TRIM(L2355)),6)="cancel","Cancelled","Delivered")</f>
        <v>Delivered</v>
      </c>
      <c r="AH2355" s="10" t="n">
        <f aca="false">IF(ISNUMBER(SEARCH("/",B2355)),DATE(VALUE(RIGHT(B2355,4)),VALUE(MID(B2355,4,2)),VALUE(LEFT(B2355,2))),IF(MID(B2355,5,1)="-",DATE(VALUE(LEFT(B2355,4)),VALUE(MID(B2355,6,2)),VALUE(RIGHT(B2355,2))),DATE(VALUE(RIGHT(B2355,4)),MATCH(MID(B2355,4,3),{"Jan","Feb","Mar","Apr","May","Jun","Jul","Aug","Sep","Oct","Nov","Dec"},0),VALUE(LEFT(B2355,2)))))</f>
        <v>45815</v>
      </c>
    </row>
    <row r="2356" customFormat="false" ht="15" hidden="false" customHeight="false" outlineLevel="0" collapsed="false">
      <c r="A2356" s="7" t="s">
        <v>5266</v>
      </c>
      <c r="B2356" s="7" t="s">
        <v>3277</v>
      </c>
      <c r="C2356" s="7" t="s">
        <v>1559</v>
      </c>
      <c r="D2356" s="7" t="s">
        <v>1996</v>
      </c>
      <c r="E2356" s="7" t="s">
        <v>134</v>
      </c>
      <c r="F2356" s="7" t="s">
        <v>110</v>
      </c>
      <c r="G2356" s="7" t="s">
        <v>117</v>
      </c>
      <c r="H2356" s="7" t="n">
        <v>2</v>
      </c>
      <c r="I2356" s="7" t="n">
        <v>105</v>
      </c>
      <c r="J2356" s="7" t="n">
        <v>50</v>
      </c>
      <c r="K2356" s="7" t="s">
        <v>229</v>
      </c>
      <c r="L2356" s="7" t="s">
        <v>194</v>
      </c>
      <c r="M2356" s="7" t="n">
        <v>45</v>
      </c>
      <c r="N2356" s="7" t="n">
        <v>4</v>
      </c>
      <c r="O2356" s="7" t="str">
        <f aca="false">A2356&amp;"|"&amp;B2356&amp;"|"&amp;C2356&amp;"|"&amp;D2356&amp;"|"&amp;E2356&amp;"|"&amp;F2356&amp;"|"&amp;G2356&amp;"|"&amp;H2356&amp;"|"&amp;I2356&amp;"|"&amp;J2356&amp;"|"&amp;K2356&amp;"|"&amp;L2356&amp;"|"&amp;M2356&amp;"|"&amp;N2356</f>
        <v>ORD10330|2025-02-13|09:02|C0437|Chaat Corner|Delhi|Street Food|2|105|50|Upi|Delivered|45|4</v>
      </c>
      <c r="P2356" s="7" t="str">
        <f aca="false">IF(COUNTIF($O$2:O2356,O2356)&gt;1,"DUP","OK")</f>
        <v>OK</v>
      </c>
      <c r="Q2356" s="7" t="n">
        <f aca="false">COUNTBLANK(A2356:N2356)</f>
        <v>0</v>
      </c>
      <c r="R2356" s="7" t="n">
        <f aca="false">IF(A2356="",0,COUNTIFS($A$2:$A$3058,A2356,$P$2:$P$3058,"OK"))</f>
        <v>1</v>
      </c>
      <c r="S2356" s="7" t="str">
        <f aca="false">IF(OR(A2356="",P2356="DUP",R2356&lt;2),"",IF(Q2356=_xlfn.MINIFS($Q$2:$Q$3058,$A$2:$A$3058,A2356,$P$2:$P$3058,"OK"),"KEEP","DROP"))</f>
        <v/>
      </c>
      <c r="T2356" s="9" t="n">
        <f aca="false">IF(A2356="",1,0)</f>
        <v>0</v>
      </c>
      <c r="U2356" s="9" t="n">
        <f aca="false">IF(D2356="",1,0)</f>
        <v>0</v>
      </c>
      <c r="V2356" s="9" t="n">
        <f aca="false">IF(E2356="",1,0)</f>
        <v>0</v>
      </c>
      <c r="W2356" s="9" t="n">
        <f aca="false">IF(OR(H2356&lt;1,H2356&gt;10),1,0)</f>
        <v>0</v>
      </c>
      <c r="X2356" s="9" t="n">
        <f aca="false">IF(OR(I2356&lt;=0,I2356&gt;1500),1,0)</f>
        <v>0</v>
      </c>
      <c r="Y2356" s="9" t="n">
        <f aca="false">IF(J2356&gt;H2356*I2356,1,0)</f>
        <v>0</v>
      </c>
      <c r="Z2356" s="9" t="n">
        <f aca="false">IF(AND(N2356&lt;&gt;"",OR(N2356&lt;1,N2356&gt;5)),1,0)</f>
        <v>0</v>
      </c>
      <c r="AA2356" s="9" t="n">
        <f aca="false">IF(AND(M2356&lt;&gt;"",OR(M2356&lt;5,M2356&gt;180)),1,0)</f>
        <v>0</v>
      </c>
      <c r="AB2356" s="7" t="str">
        <f aca="false">IF(P2356="DUP","Exact duplicate row",IF(T2356=1,"Missing Order ID",IF(S2356="DROP","Duplicate Order ID (less complete row)",IF(U2356=1,"Missing Customer ID",IF(V2356=1,"Missing Restaurant name",IF(W2356=1,"Invalid/outlier quantity",IF(X2356=1,"Invalid/outlier unit price",IF(Y2356=1,"Discount greater than order value",""))))))))</f>
        <v/>
      </c>
      <c r="AC2356" s="7" t="str">
        <f aca="false">IF(AB2356="","KEEP","DROP")</f>
        <v>KEEP</v>
      </c>
      <c r="AD2356" s="7" t="str">
        <f aca="false">IF(TRIM(F2356)="",IFERROR(INDEX(Map_Tables!$I$4:$I$37,MATCH(TRIM(E2356),Map_Tables!$G$4:$G$37,0)),""),IFERROR(INDEX(Map_Tables!$B$4:$B$18,MATCH(TRIM(F2356),Map_Tables!$A$4:$A$18,0)),"CHECK"))</f>
        <v>Delhi</v>
      </c>
      <c r="AE2356" s="7" t="str">
        <f aca="false">IF(TRIM(E2356)="","",IFERROR(INDEX(Map_Tables!$H$4:$H$37,MATCH(TRIM(E2356),Map_Tables!$G$4:$G$37,0)),"CHECK"))</f>
        <v>Chaat Corner</v>
      </c>
      <c r="AF2356" s="7" t="str">
        <f aca="false">IF(TRIM(K2356)="","Unknown",IFERROR(INDEX(Map_Tables!$E$4:$E$15,MATCH(TRIM(K2356),Map_Tables!$D$4:$D$15,0)),"CHECK"))</f>
        <v>UPI</v>
      </c>
      <c r="AG2356" s="7" t="str">
        <f aca="false">IF(LEFT(LOWER(TRIM(L2356)),6)="cancel","Cancelled","Delivered")</f>
        <v>Delivered</v>
      </c>
      <c r="AH2356" s="10" t="n">
        <f aca="false">IF(ISNUMBER(SEARCH("/",B2356)),DATE(VALUE(RIGHT(B2356,4)),VALUE(MID(B2356,4,2)),VALUE(LEFT(B2356,2))),IF(MID(B2356,5,1)="-",DATE(VALUE(LEFT(B2356,4)),VALUE(MID(B2356,6,2)),VALUE(RIGHT(B2356,2))),DATE(VALUE(RIGHT(B2356,4)),MATCH(MID(B2356,4,3),{"Jan","Feb","Mar","Apr","May","Jun","Jul","Aug","Sep","Oct","Nov","Dec"},0),VALUE(LEFT(B2356,2)))))</f>
        <v>45701</v>
      </c>
    </row>
    <row r="2357" customFormat="false" ht="15" hidden="false" customHeight="false" outlineLevel="0" collapsed="false">
      <c r="A2357" s="7" t="s">
        <v>5267</v>
      </c>
      <c r="B2357" s="7" t="s">
        <v>1760</v>
      </c>
      <c r="C2357" s="7" t="s">
        <v>1501</v>
      </c>
      <c r="D2357" s="7" t="s">
        <v>5268</v>
      </c>
      <c r="E2357" s="7" t="s">
        <v>142</v>
      </c>
      <c r="F2357" s="7" t="s">
        <v>110</v>
      </c>
      <c r="G2357" s="7" t="s">
        <v>105</v>
      </c>
      <c r="H2357" s="7" t="n">
        <v>1</v>
      </c>
      <c r="I2357" s="7" t="n">
        <v>190</v>
      </c>
      <c r="J2357" s="7" t="n">
        <v>76</v>
      </c>
      <c r="K2357" s="7" t="s">
        <v>121</v>
      </c>
      <c r="L2357" s="7" t="s">
        <v>194</v>
      </c>
      <c r="M2357" s="7" t="n">
        <v>54</v>
      </c>
      <c r="N2357" s="7" t="n">
        <v>4</v>
      </c>
      <c r="O2357" s="7" t="str">
        <f aca="false">A2357&amp;"|"&amp;B2357&amp;"|"&amp;C2357&amp;"|"&amp;D2357&amp;"|"&amp;E2357&amp;"|"&amp;F2357&amp;"|"&amp;G2357&amp;"|"&amp;H2357&amp;"|"&amp;I2357&amp;"|"&amp;J2357&amp;"|"&amp;K2357&amp;"|"&amp;L2357&amp;"|"&amp;M2357&amp;"|"&amp;N2357</f>
        <v>ORD10243|2025-02-01|20:40|C0352|Momo Magic|Delhi|Chinese|1|190|76|Wallet|Delivered|54|4</v>
      </c>
      <c r="P2357" s="7" t="str">
        <f aca="false">IF(COUNTIF($O$2:O2357,O2357)&gt;1,"DUP","OK")</f>
        <v>OK</v>
      </c>
      <c r="Q2357" s="7" t="n">
        <f aca="false">COUNTBLANK(A2357:N2357)</f>
        <v>0</v>
      </c>
      <c r="R2357" s="7" t="n">
        <f aca="false">IF(A2357="",0,COUNTIFS($A$2:$A$3058,A2357,$P$2:$P$3058,"OK"))</f>
        <v>1</v>
      </c>
      <c r="S2357" s="7" t="str">
        <f aca="false">IF(OR(A2357="",P2357="DUP",R2357&lt;2),"",IF(Q2357=_xlfn.MINIFS($Q$2:$Q$3058,$A$2:$A$3058,A2357,$P$2:$P$3058,"OK"),"KEEP","DROP"))</f>
        <v/>
      </c>
      <c r="T2357" s="9" t="n">
        <f aca="false">IF(A2357="",1,0)</f>
        <v>0</v>
      </c>
      <c r="U2357" s="9" t="n">
        <f aca="false">IF(D2357="",1,0)</f>
        <v>0</v>
      </c>
      <c r="V2357" s="9" t="n">
        <f aca="false">IF(E2357="",1,0)</f>
        <v>0</v>
      </c>
      <c r="W2357" s="9" t="n">
        <f aca="false">IF(OR(H2357&lt;1,H2357&gt;10),1,0)</f>
        <v>0</v>
      </c>
      <c r="X2357" s="9" t="n">
        <f aca="false">IF(OR(I2357&lt;=0,I2357&gt;1500),1,0)</f>
        <v>0</v>
      </c>
      <c r="Y2357" s="9" t="n">
        <f aca="false">IF(J2357&gt;H2357*I2357,1,0)</f>
        <v>0</v>
      </c>
      <c r="Z2357" s="9" t="n">
        <f aca="false">IF(AND(N2357&lt;&gt;"",OR(N2357&lt;1,N2357&gt;5)),1,0)</f>
        <v>0</v>
      </c>
      <c r="AA2357" s="9" t="n">
        <f aca="false">IF(AND(M2357&lt;&gt;"",OR(M2357&lt;5,M2357&gt;180)),1,0)</f>
        <v>0</v>
      </c>
      <c r="AB2357" s="7" t="str">
        <f aca="false">IF(P2357="DUP","Exact duplicate row",IF(T2357=1,"Missing Order ID",IF(S2357="DROP","Duplicate Order ID (less complete row)",IF(U2357=1,"Missing Customer ID",IF(V2357=1,"Missing Restaurant name",IF(W2357=1,"Invalid/outlier quantity",IF(X2357=1,"Invalid/outlier unit price",IF(Y2357=1,"Discount greater than order value",""))))))))</f>
        <v/>
      </c>
      <c r="AC2357" s="7" t="str">
        <f aca="false">IF(AB2357="","KEEP","DROP")</f>
        <v>KEEP</v>
      </c>
      <c r="AD2357" s="7" t="str">
        <f aca="false">IF(TRIM(F2357)="",IFERROR(INDEX(Map_Tables!$I$4:$I$37,MATCH(TRIM(E2357),Map_Tables!$G$4:$G$37,0)),""),IFERROR(INDEX(Map_Tables!$B$4:$B$18,MATCH(TRIM(F2357),Map_Tables!$A$4:$A$18,0)),"CHECK"))</f>
        <v>Delhi</v>
      </c>
      <c r="AE2357" s="7" t="str">
        <f aca="false">IF(TRIM(E2357)="","",IFERROR(INDEX(Map_Tables!$H$4:$H$37,MATCH(TRIM(E2357),Map_Tables!$G$4:$G$37,0)),"CHECK"))</f>
        <v>Momo Magic</v>
      </c>
      <c r="AF2357" s="7" t="str">
        <f aca="false">IF(TRIM(K2357)="","Unknown",IFERROR(INDEX(Map_Tables!$E$4:$E$15,MATCH(TRIM(K2357),Map_Tables!$D$4:$D$15,0)),"CHECK"))</f>
        <v>Wallet</v>
      </c>
      <c r="AG2357" s="7" t="str">
        <f aca="false">IF(LEFT(LOWER(TRIM(L2357)),6)="cancel","Cancelled","Delivered")</f>
        <v>Delivered</v>
      </c>
      <c r="AH2357" s="10" t="n">
        <f aca="false">IF(ISNUMBER(SEARCH("/",B2357)),DATE(VALUE(RIGHT(B2357,4)),VALUE(MID(B2357,4,2)),VALUE(LEFT(B2357,2))),IF(MID(B2357,5,1)="-",DATE(VALUE(LEFT(B2357,4)),VALUE(MID(B2357,6,2)),VALUE(RIGHT(B2357,2))),DATE(VALUE(RIGHT(B2357,4)),MATCH(MID(B2357,4,3),{"Jan","Feb","Mar","Apr","May","Jun","Jul","Aug","Sep","Oct","Nov","Dec"},0),VALUE(LEFT(B2357,2)))))</f>
        <v>45689</v>
      </c>
    </row>
    <row r="2358" customFormat="false" ht="15" hidden="false" customHeight="false" outlineLevel="0" collapsed="false">
      <c r="A2358" s="7" t="s">
        <v>5269</v>
      </c>
      <c r="B2358" s="7" t="s">
        <v>813</v>
      </c>
      <c r="C2358" s="7" t="s">
        <v>3217</v>
      </c>
      <c r="D2358" s="7" t="s">
        <v>3719</v>
      </c>
      <c r="E2358" s="7" t="s">
        <v>155</v>
      </c>
      <c r="F2358" s="7" t="s">
        <v>128</v>
      </c>
      <c r="G2358" s="7" t="s">
        <v>156</v>
      </c>
      <c r="H2358" s="7" t="n">
        <v>2</v>
      </c>
      <c r="I2358" s="7" t="n">
        <v>325</v>
      </c>
      <c r="J2358" s="7" t="n">
        <v>0</v>
      </c>
      <c r="K2358" s="7" t="s">
        <v>88</v>
      </c>
      <c r="L2358" s="7" t="s">
        <v>194</v>
      </c>
      <c r="M2358" s="7" t="n">
        <v>35</v>
      </c>
      <c r="N2358" s="7" t="n">
        <v>4</v>
      </c>
      <c r="O2358" s="7" t="str">
        <f aca="false">A2358&amp;"|"&amp;B2358&amp;"|"&amp;C2358&amp;"|"&amp;D2358&amp;"|"&amp;E2358&amp;"|"&amp;F2358&amp;"|"&amp;G2358&amp;"|"&amp;H2358&amp;"|"&amp;I2358&amp;"|"&amp;J2358&amp;"|"&amp;K2358&amp;"|"&amp;L2358&amp;"|"&amp;M2358&amp;"|"&amp;N2358</f>
        <v>ORD10642|2025-03-23|12:17|C0349|Green Bowl Kitchen|Chennai|Healthy Food|2|325|0|UPI|Delivered|35|4</v>
      </c>
      <c r="P2358" s="7" t="str">
        <f aca="false">IF(COUNTIF($O$2:O2358,O2358)&gt;1,"DUP","OK")</f>
        <v>OK</v>
      </c>
      <c r="Q2358" s="7" t="n">
        <f aca="false">COUNTBLANK(A2358:N2358)</f>
        <v>0</v>
      </c>
      <c r="R2358" s="7" t="n">
        <f aca="false">IF(A2358="",0,COUNTIFS($A$2:$A$3058,A2358,$P$2:$P$3058,"OK"))</f>
        <v>1</v>
      </c>
      <c r="S2358" s="7" t="str">
        <f aca="false">IF(OR(A2358="",P2358="DUP",R2358&lt;2),"",IF(Q2358=_xlfn.MINIFS($Q$2:$Q$3058,$A$2:$A$3058,A2358,$P$2:$P$3058,"OK"),"KEEP","DROP"))</f>
        <v/>
      </c>
      <c r="T2358" s="9" t="n">
        <f aca="false">IF(A2358="",1,0)</f>
        <v>0</v>
      </c>
      <c r="U2358" s="9" t="n">
        <f aca="false">IF(D2358="",1,0)</f>
        <v>0</v>
      </c>
      <c r="V2358" s="9" t="n">
        <f aca="false">IF(E2358="",1,0)</f>
        <v>0</v>
      </c>
      <c r="W2358" s="9" t="n">
        <f aca="false">IF(OR(H2358&lt;1,H2358&gt;10),1,0)</f>
        <v>0</v>
      </c>
      <c r="X2358" s="9" t="n">
        <f aca="false">IF(OR(I2358&lt;=0,I2358&gt;1500),1,0)</f>
        <v>0</v>
      </c>
      <c r="Y2358" s="9" t="n">
        <f aca="false">IF(J2358&gt;H2358*I2358,1,0)</f>
        <v>0</v>
      </c>
      <c r="Z2358" s="9" t="n">
        <f aca="false">IF(AND(N2358&lt;&gt;"",OR(N2358&lt;1,N2358&gt;5)),1,0)</f>
        <v>0</v>
      </c>
      <c r="AA2358" s="9" t="n">
        <f aca="false">IF(AND(M2358&lt;&gt;"",OR(M2358&lt;5,M2358&gt;180)),1,0)</f>
        <v>0</v>
      </c>
      <c r="AB2358" s="7" t="str">
        <f aca="false">IF(P2358="DUP","Exact duplicate row",IF(T2358=1,"Missing Order ID",IF(S2358="DROP","Duplicate Order ID (less complete row)",IF(U2358=1,"Missing Customer ID",IF(V2358=1,"Missing Restaurant name",IF(W2358=1,"Invalid/outlier quantity",IF(X2358=1,"Invalid/outlier unit price",IF(Y2358=1,"Discount greater than order value",""))))))))</f>
        <v/>
      </c>
      <c r="AC2358" s="7" t="str">
        <f aca="false">IF(AB2358="","KEEP","DROP")</f>
        <v>KEEP</v>
      </c>
      <c r="AD2358" s="7" t="str">
        <f aca="false">IF(TRIM(F2358)="",IFERROR(INDEX(Map_Tables!$I$4:$I$37,MATCH(TRIM(E2358),Map_Tables!$G$4:$G$37,0)),""),IFERROR(INDEX(Map_Tables!$B$4:$B$18,MATCH(TRIM(F2358),Map_Tables!$A$4:$A$18,0)),"CHECK"))</f>
        <v>Chennai</v>
      </c>
      <c r="AE2358" s="7" t="str">
        <f aca="false">IF(TRIM(E2358)="","",IFERROR(INDEX(Map_Tables!$H$4:$H$37,MATCH(TRIM(E2358),Map_Tables!$G$4:$G$37,0)),"CHECK"))</f>
        <v>Green Bowl Kitchen</v>
      </c>
      <c r="AF2358" s="7" t="str">
        <f aca="false">IF(TRIM(K2358)="","Unknown",IFERROR(INDEX(Map_Tables!$E$4:$E$15,MATCH(TRIM(K2358),Map_Tables!$D$4:$D$15,0)),"CHECK"))</f>
        <v>UPI</v>
      </c>
      <c r="AG2358" s="7" t="str">
        <f aca="false">IF(LEFT(LOWER(TRIM(L2358)),6)="cancel","Cancelled","Delivered")</f>
        <v>Delivered</v>
      </c>
      <c r="AH2358" s="10" t="n">
        <f aca="false">IF(ISNUMBER(SEARCH("/",B2358)),DATE(VALUE(RIGHT(B2358,4)),VALUE(MID(B2358,4,2)),VALUE(LEFT(B2358,2))),IF(MID(B2358,5,1)="-",DATE(VALUE(LEFT(B2358,4)),VALUE(MID(B2358,6,2)),VALUE(RIGHT(B2358,2))),DATE(VALUE(RIGHT(B2358,4)),MATCH(MID(B2358,4,3),{"Jan","Feb","Mar","Apr","May","Jun","Jul","Aug","Sep","Oct","Nov","Dec"},0),VALUE(LEFT(B2358,2)))))</f>
        <v>45739</v>
      </c>
    </row>
    <row r="2359" customFormat="false" ht="15" hidden="false" customHeight="false" outlineLevel="0" collapsed="false">
      <c r="A2359" s="7" t="s">
        <v>5270</v>
      </c>
      <c r="B2359" s="7" t="s">
        <v>350</v>
      </c>
      <c r="C2359" s="7" t="s">
        <v>3025</v>
      </c>
      <c r="D2359" s="7" t="s">
        <v>5257</v>
      </c>
      <c r="E2359" s="7" t="s">
        <v>116</v>
      </c>
      <c r="F2359" s="7" t="s">
        <v>215</v>
      </c>
      <c r="G2359" s="7" t="s">
        <v>117</v>
      </c>
      <c r="H2359" s="7" t="n">
        <v>1</v>
      </c>
      <c r="I2359" s="7" t="n">
        <v>130</v>
      </c>
      <c r="J2359" s="7" t="n">
        <v>0</v>
      </c>
      <c r="K2359" s="7" t="s">
        <v>93</v>
      </c>
      <c r="L2359" s="7" t="s">
        <v>194</v>
      </c>
      <c r="M2359" s="7" t="n">
        <v>36</v>
      </c>
      <c r="N2359" s="7" t="n">
        <v>3</v>
      </c>
      <c r="O2359" s="7" t="str">
        <f aca="false">A2359&amp;"|"&amp;B2359&amp;"|"&amp;C2359&amp;"|"&amp;D2359&amp;"|"&amp;E2359&amp;"|"&amp;F2359&amp;"|"&amp;G2359&amp;"|"&amp;H2359&amp;"|"&amp;I2359&amp;"|"&amp;J2359&amp;"|"&amp;K2359&amp;"|"&amp;L2359&amp;"|"&amp;M2359&amp;"|"&amp;N2359</f>
        <v>ORD10697|2025-03-29|14:08|C1076|Pav Bhaji Point|MUMBAI|Street Food|1|130|0|Credit Card|Delivered|36|3</v>
      </c>
      <c r="P2359" s="7" t="str">
        <f aca="false">IF(COUNTIF($O$2:O2359,O2359)&gt;1,"DUP","OK")</f>
        <v>OK</v>
      </c>
      <c r="Q2359" s="7" t="n">
        <f aca="false">COUNTBLANK(A2359:N2359)</f>
        <v>0</v>
      </c>
      <c r="R2359" s="7" t="n">
        <f aca="false">IF(A2359="",0,COUNTIFS($A$2:$A$3058,A2359,$P$2:$P$3058,"OK"))</f>
        <v>1</v>
      </c>
      <c r="S2359" s="7" t="str">
        <f aca="false">IF(OR(A2359="",P2359="DUP",R2359&lt;2),"",IF(Q2359=_xlfn.MINIFS($Q$2:$Q$3058,$A$2:$A$3058,A2359,$P$2:$P$3058,"OK"),"KEEP","DROP"))</f>
        <v/>
      </c>
      <c r="T2359" s="9" t="n">
        <f aca="false">IF(A2359="",1,0)</f>
        <v>0</v>
      </c>
      <c r="U2359" s="9" t="n">
        <f aca="false">IF(D2359="",1,0)</f>
        <v>0</v>
      </c>
      <c r="V2359" s="9" t="n">
        <f aca="false">IF(E2359="",1,0)</f>
        <v>0</v>
      </c>
      <c r="W2359" s="9" t="n">
        <f aca="false">IF(OR(H2359&lt;1,H2359&gt;10),1,0)</f>
        <v>0</v>
      </c>
      <c r="X2359" s="9" t="n">
        <f aca="false">IF(OR(I2359&lt;=0,I2359&gt;1500),1,0)</f>
        <v>0</v>
      </c>
      <c r="Y2359" s="9" t="n">
        <f aca="false">IF(J2359&gt;H2359*I2359,1,0)</f>
        <v>0</v>
      </c>
      <c r="Z2359" s="9" t="n">
        <f aca="false">IF(AND(N2359&lt;&gt;"",OR(N2359&lt;1,N2359&gt;5)),1,0)</f>
        <v>0</v>
      </c>
      <c r="AA2359" s="9" t="n">
        <f aca="false">IF(AND(M2359&lt;&gt;"",OR(M2359&lt;5,M2359&gt;180)),1,0)</f>
        <v>0</v>
      </c>
      <c r="AB2359" s="7" t="str">
        <f aca="false">IF(P2359="DUP","Exact duplicate row",IF(T2359=1,"Missing Order ID",IF(S2359="DROP","Duplicate Order ID (less complete row)",IF(U2359=1,"Missing Customer ID",IF(V2359=1,"Missing Restaurant name",IF(W2359=1,"Invalid/outlier quantity",IF(X2359=1,"Invalid/outlier unit price",IF(Y2359=1,"Discount greater than order value",""))))))))</f>
        <v/>
      </c>
      <c r="AC2359" s="7" t="str">
        <f aca="false">IF(AB2359="","KEEP","DROP")</f>
        <v>KEEP</v>
      </c>
      <c r="AD2359" s="7" t="str">
        <f aca="false">IF(TRIM(F2359)="",IFERROR(INDEX(Map_Tables!$I$4:$I$37,MATCH(TRIM(E2359),Map_Tables!$G$4:$G$37,0)),""),IFERROR(INDEX(Map_Tables!$B$4:$B$18,MATCH(TRIM(F2359),Map_Tables!$A$4:$A$18,0)),"CHECK"))</f>
        <v>Mumbai</v>
      </c>
      <c r="AE2359" s="7" t="str">
        <f aca="false">IF(TRIM(E2359)="","",IFERROR(INDEX(Map_Tables!$H$4:$H$37,MATCH(TRIM(E2359),Map_Tables!$G$4:$G$37,0)),"CHECK"))</f>
        <v>Pav Bhaji Point</v>
      </c>
      <c r="AF2359" s="7" t="str">
        <f aca="false">IF(TRIM(K2359)="","Unknown",IFERROR(INDEX(Map_Tables!$E$4:$E$15,MATCH(TRIM(K2359),Map_Tables!$D$4:$D$15,0)),"CHECK"))</f>
        <v>Credit Card</v>
      </c>
      <c r="AG2359" s="7" t="str">
        <f aca="false">IF(LEFT(LOWER(TRIM(L2359)),6)="cancel","Cancelled","Delivered")</f>
        <v>Delivered</v>
      </c>
      <c r="AH2359" s="10" t="n">
        <f aca="false">IF(ISNUMBER(SEARCH("/",B2359)),DATE(VALUE(RIGHT(B2359,4)),VALUE(MID(B2359,4,2)),VALUE(LEFT(B2359,2))),IF(MID(B2359,5,1)="-",DATE(VALUE(LEFT(B2359,4)),VALUE(MID(B2359,6,2)),VALUE(RIGHT(B2359,2))),DATE(VALUE(RIGHT(B2359,4)),MATCH(MID(B2359,4,3),{"Jan","Feb","Mar","Apr","May","Jun","Jul","Aug","Sep","Oct","Nov","Dec"},0),VALUE(LEFT(B2359,2)))))</f>
        <v>45745</v>
      </c>
    </row>
    <row r="2360" customFormat="false" ht="15" hidden="false" customHeight="false" outlineLevel="0" collapsed="false">
      <c r="A2360" s="7" t="s">
        <v>5271</v>
      </c>
      <c r="B2360" s="7" t="s">
        <v>1548</v>
      </c>
      <c r="C2360" s="7" t="s">
        <v>2921</v>
      </c>
      <c r="D2360" s="7" t="s">
        <v>1771</v>
      </c>
      <c r="E2360" s="7" t="s">
        <v>94</v>
      </c>
      <c r="F2360" s="7" t="s">
        <v>86</v>
      </c>
      <c r="G2360" s="7" t="s">
        <v>95</v>
      </c>
      <c r="H2360" s="7" t="n">
        <v>3</v>
      </c>
      <c r="I2360" s="7" t="n">
        <v>140</v>
      </c>
      <c r="J2360" s="7" t="n">
        <v>0</v>
      </c>
      <c r="K2360" s="7" t="s">
        <v>88</v>
      </c>
      <c r="L2360" s="7" t="s">
        <v>194</v>
      </c>
      <c r="M2360" s="7" t="n">
        <v>41</v>
      </c>
      <c r="N2360" s="7" t="n">
        <v>5</v>
      </c>
      <c r="O2360" s="7" t="str">
        <f aca="false">A2360&amp;"|"&amp;B2360&amp;"|"&amp;C2360&amp;"|"&amp;D2360&amp;"|"&amp;E2360&amp;"|"&amp;F2360&amp;"|"&amp;G2360&amp;"|"&amp;H2360&amp;"|"&amp;I2360&amp;"|"&amp;J2360&amp;"|"&amp;K2360&amp;"|"&amp;L2360&amp;"|"&amp;M2360&amp;"|"&amp;N2360</f>
        <v>ORD12258|2025-10-13|12:44|C0958|Dosa Darbar|Bengaluru|South Indian|3|140|0|UPI|Delivered|41|5</v>
      </c>
      <c r="P2360" s="7" t="str">
        <f aca="false">IF(COUNTIF($O$2:O2360,O2360)&gt;1,"DUP","OK")</f>
        <v>OK</v>
      </c>
      <c r="Q2360" s="7" t="n">
        <f aca="false">COUNTBLANK(A2360:N2360)</f>
        <v>0</v>
      </c>
      <c r="R2360" s="7" t="n">
        <f aca="false">IF(A2360="",0,COUNTIFS($A$2:$A$3058,A2360,$P$2:$P$3058,"OK"))</f>
        <v>1</v>
      </c>
      <c r="S2360" s="7" t="str">
        <f aca="false">IF(OR(A2360="",P2360="DUP",R2360&lt;2),"",IF(Q2360=_xlfn.MINIFS($Q$2:$Q$3058,$A$2:$A$3058,A2360,$P$2:$P$3058,"OK"),"KEEP","DROP"))</f>
        <v/>
      </c>
      <c r="T2360" s="9" t="n">
        <f aca="false">IF(A2360="",1,0)</f>
        <v>0</v>
      </c>
      <c r="U2360" s="9" t="n">
        <f aca="false">IF(D2360="",1,0)</f>
        <v>0</v>
      </c>
      <c r="V2360" s="9" t="n">
        <f aca="false">IF(E2360="",1,0)</f>
        <v>0</v>
      </c>
      <c r="W2360" s="9" t="n">
        <f aca="false">IF(OR(H2360&lt;1,H2360&gt;10),1,0)</f>
        <v>0</v>
      </c>
      <c r="X2360" s="9" t="n">
        <f aca="false">IF(OR(I2360&lt;=0,I2360&gt;1500),1,0)</f>
        <v>0</v>
      </c>
      <c r="Y2360" s="9" t="n">
        <f aca="false">IF(J2360&gt;H2360*I2360,1,0)</f>
        <v>0</v>
      </c>
      <c r="Z2360" s="9" t="n">
        <f aca="false">IF(AND(N2360&lt;&gt;"",OR(N2360&lt;1,N2360&gt;5)),1,0)</f>
        <v>0</v>
      </c>
      <c r="AA2360" s="9" t="n">
        <f aca="false">IF(AND(M2360&lt;&gt;"",OR(M2360&lt;5,M2360&gt;180)),1,0)</f>
        <v>0</v>
      </c>
      <c r="AB2360" s="7" t="str">
        <f aca="false">IF(P2360="DUP","Exact duplicate row",IF(T2360=1,"Missing Order ID",IF(S2360="DROP","Duplicate Order ID (less complete row)",IF(U2360=1,"Missing Customer ID",IF(V2360=1,"Missing Restaurant name",IF(W2360=1,"Invalid/outlier quantity",IF(X2360=1,"Invalid/outlier unit price",IF(Y2360=1,"Discount greater than order value",""))))))))</f>
        <v/>
      </c>
      <c r="AC2360" s="7" t="str">
        <f aca="false">IF(AB2360="","KEEP","DROP")</f>
        <v>KEEP</v>
      </c>
      <c r="AD2360" s="7" t="str">
        <f aca="false">IF(TRIM(F2360)="",IFERROR(INDEX(Map_Tables!$I$4:$I$37,MATCH(TRIM(E2360),Map_Tables!$G$4:$G$37,0)),""),IFERROR(INDEX(Map_Tables!$B$4:$B$18,MATCH(TRIM(F2360),Map_Tables!$A$4:$A$18,0)),"CHECK"))</f>
        <v>Bengaluru</v>
      </c>
      <c r="AE2360" s="7" t="str">
        <f aca="false">IF(TRIM(E2360)="","",IFERROR(INDEX(Map_Tables!$H$4:$H$37,MATCH(TRIM(E2360),Map_Tables!$G$4:$G$37,0)),"CHECK"))</f>
        <v>Dosa Darbar</v>
      </c>
      <c r="AF2360" s="7" t="str">
        <f aca="false">IF(TRIM(K2360)="","Unknown",IFERROR(INDEX(Map_Tables!$E$4:$E$15,MATCH(TRIM(K2360),Map_Tables!$D$4:$D$15,0)),"CHECK"))</f>
        <v>UPI</v>
      </c>
      <c r="AG2360" s="7" t="str">
        <f aca="false">IF(LEFT(LOWER(TRIM(L2360)),6)="cancel","Cancelled","Delivered")</f>
        <v>Delivered</v>
      </c>
      <c r="AH2360" s="10" t="n">
        <f aca="false">IF(ISNUMBER(SEARCH("/",B2360)),DATE(VALUE(RIGHT(B2360,4)),VALUE(MID(B2360,4,2)),VALUE(LEFT(B2360,2))),IF(MID(B2360,5,1)="-",DATE(VALUE(LEFT(B2360,4)),VALUE(MID(B2360,6,2)),VALUE(RIGHT(B2360,2))),DATE(VALUE(RIGHT(B2360,4)),MATCH(MID(B2360,4,3),{"Jan","Feb","Mar","Apr","May","Jun","Jul","Aug","Sep","Oct","Nov","Dec"},0),VALUE(LEFT(B2360,2)))))</f>
        <v>45943</v>
      </c>
    </row>
    <row r="2361" customFormat="false" ht="15" hidden="false" customHeight="false" outlineLevel="0" collapsed="false">
      <c r="A2361" s="7" t="s">
        <v>5272</v>
      </c>
      <c r="B2361" s="7" t="s">
        <v>318</v>
      </c>
      <c r="C2361" s="7" t="s">
        <v>619</v>
      </c>
      <c r="D2361" s="7" t="s">
        <v>3575</v>
      </c>
      <c r="E2361" s="7" t="s">
        <v>160</v>
      </c>
      <c r="F2361" s="7" t="s">
        <v>136</v>
      </c>
      <c r="G2361" s="7" t="s">
        <v>150</v>
      </c>
      <c r="H2361" s="7" t="n">
        <v>2</v>
      </c>
      <c r="I2361" s="7" t="n">
        <v>170</v>
      </c>
      <c r="J2361" s="7" t="n">
        <v>125</v>
      </c>
      <c r="K2361" s="7" t="s">
        <v>133</v>
      </c>
      <c r="L2361" s="7" t="s">
        <v>194</v>
      </c>
      <c r="M2361" s="7" t="n">
        <v>32</v>
      </c>
      <c r="N2361" s="7" t="n">
        <v>4</v>
      </c>
      <c r="O2361" s="7" t="str">
        <f aca="false">A2361&amp;"|"&amp;B2361&amp;"|"&amp;C2361&amp;"|"&amp;D2361&amp;"|"&amp;E2361&amp;"|"&amp;F2361&amp;"|"&amp;G2361&amp;"|"&amp;H2361&amp;"|"&amp;I2361&amp;"|"&amp;J2361&amp;"|"&amp;K2361&amp;"|"&amp;L2361&amp;"|"&amp;M2361&amp;"|"&amp;N2361</f>
        <v>ORD10754|2025-04-05|21:59|C1342|Cake Walk|Pune|Desserts|2|170|125|Net Banking|Delivered|32|4</v>
      </c>
      <c r="P2361" s="7" t="str">
        <f aca="false">IF(COUNTIF($O$2:O2361,O2361)&gt;1,"DUP","OK")</f>
        <v>OK</v>
      </c>
      <c r="Q2361" s="7" t="n">
        <f aca="false">COUNTBLANK(A2361:N2361)</f>
        <v>0</v>
      </c>
      <c r="R2361" s="7" t="n">
        <f aca="false">IF(A2361="",0,COUNTIFS($A$2:$A$3058,A2361,$P$2:$P$3058,"OK"))</f>
        <v>1</v>
      </c>
      <c r="S2361" s="7" t="str">
        <f aca="false">IF(OR(A2361="",P2361="DUP",R2361&lt;2),"",IF(Q2361=_xlfn.MINIFS($Q$2:$Q$3058,$A$2:$A$3058,A2361,$P$2:$P$3058,"OK"),"KEEP","DROP"))</f>
        <v/>
      </c>
      <c r="T2361" s="9" t="n">
        <f aca="false">IF(A2361="",1,0)</f>
        <v>0</v>
      </c>
      <c r="U2361" s="9" t="n">
        <f aca="false">IF(D2361="",1,0)</f>
        <v>0</v>
      </c>
      <c r="V2361" s="9" t="n">
        <f aca="false">IF(E2361="",1,0)</f>
        <v>0</v>
      </c>
      <c r="W2361" s="9" t="n">
        <f aca="false">IF(OR(H2361&lt;1,H2361&gt;10),1,0)</f>
        <v>0</v>
      </c>
      <c r="X2361" s="9" t="n">
        <f aca="false">IF(OR(I2361&lt;=0,I2361&gt;1500),1,0)</f>
        <v>0</v>
      </c>
      <c r="Y2361" s="9" t="n">
        <f aca="false">IF(J2361&gt;H2361*I2361,1,0)</f>
        <v>0</v>
      </c>
      <c r="Z2361" s="9" t="n">
        <f aca="false">IF(AND(N2361&lt;&gt;"",OR(N2361&lt;1,N2361&gt;5)),1,0)</f>
        <v>0</v>
      </c>
      <c r="AA2361" s="9" t="n">
        <f aca="false">IF(AND(M2361&lt;&gt;"",OR(M2361&lt;5,M2361&gt;180)),1,0)</f>
        <v>0</v>
      </c>
      <c r="AB2361" s="7" t="str">
        <f aca="false">IF(P2361="DUP","Exact duplicate row",IF(T2361=1,"Missing Order ID",IF(S2361="DROP","Duplicate Order ID (less complete row)",IF(U2361=1,"Missing Customer ID",IF(V2361=1,"Missing Restaurant name",IF(W2361=1,"Invalid/outlier quantity",IF(X2361=1,"Invalid/outlier unit price",IF(Y2361=1,"Discount greater than order value",""))))))))</f>
        <v/>
      </c>
      <c r="AC2361" s="7" t="str">
        <f aca="false">IF(AB2361="","KEEP","DROP")</f>
        <v>KEEP</v>
      </c>
      <c r="AD2361" s="7" t="str">
        <f aca="false">IF(TRIM(F2361)="",IFERROR(INDEX(Map_Tables!$I$4:$I$37,MATCH(TRIM(E2361),Map_Tables!$G$4:$G$37,0)),""),IFERROR(INDEX(Map_Tables!$B$4:$B$18,MATCH(TRIM(F2361),Map_Tables!$A$4:$A$18,0)),"CHECK"))</f>
        <v>Pune</v>
      </c>
      <c r="AE2361" s="7" t="str">
        <f aca="false">IF(TRIM(E2361)="","",IFERROR(INDEX(Map_Tables!$H$4:$H$37,MATCH(TRIM(E2361),Map_Tables!$G$4:$G$37,0)),"CHECK"))</f>
        <v>Cake Walk</v>
      </c>
      <c r="AF2361" s="7" t="str">
        <f aca="false">IF(TRIM(K2361)="","Unknown",IFERROR(INDEX(Map_Tables!$E$4:$E$15,MATCH(TRIM(K2361),Map_Tables!$D$4:$D$15,0)),"CHECK"))</f>
        <v>Net Banking</v>
      </c>
      <c r="AG2361" s="7" t="str">
        <f aca="false">IF(LEFT(LOWER(TRIM(L2361)),6)="cancel","Cancelled","Delivered")</f>
        <v>Delivered</v>
      </c>
      <c r="AH2361" s="10" t="n">
        <f aca="false">IF(ISNUMBER(SEARCH("/",B2361)),DATE(VALUE(RIGHT(B2361,4)),VALUE(MID(B2361,4,2)),VALUE(LEFT(B2361,2))),IF(MID(B2361,5,1)="-",DATE(VALUE(LEFT(B2361,4)),VALUE(MID(B2361,6,2)),VALUE(RIGHT(B2361,2))),DATE(VALUE(RIGHT(B2361,4)),MATCH(MID(B2361,4,3),{"Jan","Feb","Mar","Apr","May","Jun","Jul","Aug","Sep","Oct","Nov","Dec"},0),VALUE(LEFT(B2361,2)))))</f>
        <v>45752</v>
      </c>
    </row>
    <row r="2362" customFormat="false" ht="15" hidden="false" customHeight="false" outlineLevel="0" collapsed="false">
      <c r="A2362" s="7" t="s">
        <v>5273</v>
      </c>
      <c r="B2362" s="7" t="s">
        <v>838</v>
      </c>
      <c r="C2362" s="7" t="s">
        <v>5274</v>
      </c>
      <c r="D2362" s="7" t="s">
        <v>5275</v>
      </c>
      <c r="E2362" s="7" t="s">
        <v>157</v>
      </c>
      <c r="F2362" s="7" t="s">
        <v>135</v>
      </c>
      <c r="G2362" s="7" t="s">
        <v>117</v>
      </c>
      <c r="H2362" s="7" t="n">
        <v>2</v>
      </c>
      <c r="I2362" s="7" t="n">
        <v>135</v>
      </c>
      <c r="J2362" s="7" t="n">
        <v>0</v>
      </c>
      <c r="K2362" s="7" t="s">
        <v>112</v>
      </c>
      <c r="L2362" s="7" t="s">
        <v>194</v>
      </c>
      <c r="M2362" s="7" t="n">
        <v>31</v>
      </c>
      <c r="N2362" s="7" t="n">
        <v>4</v>
      </c>
      <c r="O2362" s="7" t="str">
        <f aca="false">A2362&amp;"|"&amp;B2362&amp;"|"&amp;C2362&amp;"|"&amp;D2362&amp;"|"&amp;E2362&amp;"|"&amp;F2362&amp;"|"&amp;G2362&amp;"|"&amp;H2362&amp;"|"&amp;I2362&amp;"|"&amp;J2362&amp;"|"&amp;K2362&amp;"|"&amp;L2362&amp;"|"&amp;M2362&amp;"|"&amp;N2362</f>
        <v>ORD10436|2025-02-28|14:34|C0241|Misal Mantra|pune|Street Food|2|135|0|Cash on Delivery|Delivered|31|4</v>
      </c>
      <c r="P2362" s="7" t="str">
        <f aca="false">IF(COUNTIF($O$2:O2362,O2362)&gt;1,"DUP","OK")</f>
        <v>OK</v>
      </c>
      <c r="Q2362" s="7" t="n">
        <f aca="false">COUNTBLANK(A2362:N2362)</f>
        <v>0</v>
      </c>
      <c r="R2362" s="7" t="n">
        <f aca="false">IF(A2362="",0,COUNTIFS($A$2:$A$3058,A2362,$P$2:$P$3058,"OK"))</f>
        <v>1</v>
      </c>
      <c r="S2362" s="7" t="str">
        <f aca="false">IF(OR(A2362="",P2362="DUP",R2362&lt;2),"",IF(Q2362=_xlfn.MINIFS($Q$2:$Q$3058,$A$2:$A$3058,A2362,$P$2:$P$3058,"OK"),"KEEP","DROP"))</f>
        <v/>
      </c>
      <c r="T2362" s="9" t="n">
        <f aca="false">IF(A2362="",1,0)</f>
        <v>0</v>
      </c>
      <c r="U2362" s="9" t="n">
        <f aca="false">IF(D2362="",1,0)</f>
        <v>0</v>
      </c>
      <c r="V2362" s="9" t="n">
        <f aca="false">IF(E2362="",1,0)</f>
        <v>0</v>
      </c>
      <c r="W2362" s="9" t="n">
        <f aca="false">IF(OR(H2362&lt;1,H2362&gt;10),1,0)</f>
        <v>0</v>
      </c>
      <c r="X2362" s="9" t="n">
        <f aca="false">IF(OR(I2362&lt;=0,I2362&gt;1500),1,0)</f>
        <v>0</v>
      </c>
      <c r="Y2362" s="9" t="n">
        <f aca="false">IF(J2362&gt;H2362*I2362,1,0)</f>
        <v>0</v>
      </c>
      <c r="Z2362" s="9" t="n">
        <f aca="false">IF(AND(N2362&lt;&gt;"",OR(N2362&lt;1,N2362&gt;5)),1,0)</f>
        <v>0</v>
      </c>
      <c r="AA2362" s="9" t="n">
        <f aca="false">IF(AND(M2362&lt;&gt;"",OR(M2362&lt;5,M2362&gt;180)),1,0)</f>
        <v>0</v>
      </c>
      <c r="AB2362" s="7" t="str">
        <f aca="false">IF(P2362="DUP","Exact duplicate row",IF(T2362=1,"Missing Order ID",IF(S2362="DROP","Duplicate Order ID (less complete row)",IF(U2362=1,"Missing Customer ID",IF(V2362=1,"Missing Restaurant name",IF(W2362=1,"Invalid/outlier quantity",IF(X2362=1,"Invalid/outlier unit price",IF(Y2362=1,"Discount greater than order value",""))))))))</f>
        <v/>
      </c>
      <c r="AC2362" s="7" t="str">
        <f aca="false">IF(AB2362="","KEEP","DROP")</f>
        <v>KEEP</v>
      </c>
      <c r="AD2362" s="7" t="str">
        <f aca="false">IF(TRIM(F2362)="",IFERROR(INDEX(Map_Tables!$I$4:$I$37,MATCH(TRIM(E2362),Map_Tables!$G$4:$G$37,0)),""),IFERROR(INDEX(Map_Tables!$B$4:$B$18,MATCH(TRIM(F2362),Map_Tables!$A$4:$A$18,0)),"CHECK"))</f>
        <v>Pune</v>
      </c>
      <c r="AE2362" s="7" t="str">
        <f aca="false">IF(TRIM(E2362)="","",IFERROR(INDEX(Map_Tables!$H$4:$H$37,MATCH(TRIM(E2362),Map_Tables!$G$4:$G$37,0)),"CHECK"))</f>
        <v>Misal Mantra</v>
      </c>
      <c r="AF2362" s="7" t="str">
        <f aca="false">IF(TRIM(K2362)="","Unknown",IFERROR(INDEX(Map_Tables!$E$4:$E$15,MATCH(TRIM(K2362),Map_Tables!$D$4:$D$15,0)),"CHECK"))</f>
        <v>Cash on Delivery</v>
      </c>
      <c r="AG2362" s="7" t="str">
        <f aca="false">IF(LEFT(LOWER(TRIM(L2362)),6)="cancel","Cancelled","Delivered")</f>
        <v>Delivered</v>
      </c>
      <c r="AH2362" s="10" t="n">
        <f aca="false">IF(ISNUMBER(SEARCH("/",B2362)),DATE(VALUE(RIGHT(B2362,4)),VALUE(MID(B2362,4,2)),VALUE(LEFT(B2362,2))),IF(MID(B2362,5,1)="-",DATE(VALUE(LEFT(B2362,4)),VALUE(MID(B2362,6,2)),VALUE(RIGHT(B2362,2))),DATE(VALUE(RIGHT(B2362,4)),MATCH(MID(B2362,4,3),{"Jan","Feb","Mar","Apr","May","Jun","Jul","Aug","Sep","Oct","Nov","Dec"},0),VALUE(LEFT(B2362,2)))))</f>
        <v>45716</v>
      </c>
    </row>
    <row r="2363" customFormat="false" ht="15" hidden="false" customHeight="false" outlineLevel="0" collapsed="false">
      <c r="A2363" s="7" t="s">
        <v>5276</v>
      </c>
      <c r="B2363" s="7" t="s">
        <v>1614</v>
      </c>
      <c r="C2363" s="7" t="s">
        <v>5277</v>
      </c>
      <c r="D2363" s="7" t="s">
        <v>843</v>
      </c>
      <c r="E2363" s="7" t="s">
        <v>5249</v>
      </c>
      <c r="F2363" s="7" t="s">
        <v>86</v>
      </c>
      <c r="G2363" s="7" t="s">
        <v>95</v>
      </c>
      <c r="H2363" s="7" t="n">
        <v>1</v>
      </c>
      <c r="I2363" s="7" t="n">
        <v>130</v>
      </c>
      <c r="J2363" s="7" t="n">
        <v>52</v>
      </c>
      <c r="K2363" s="7" t="s">
        <v>93</v>
      </c>
      <c r="L2363" s="7" t="s">
        <v>194</v>
      </c>
      <c r="M2363" s="7" t="n">
        <v>41</v>
      </c>
      <c r="N2363" s="7" t="n">
        <v>5</v>
      </c>
      <c r="O2363" s="7" t="str">
        <f aca="false">A2363&amp;"|"&amp;B2363&amp;"|"&amp;C2363&amp;"|"&amp;D2363&amp;"|"&amp;E2363&amp;"|"&amp;F2363&amp;"|"&amp;G2363&amp;"|"&amp;H2363&amp;"|"&amp;I2363&amp;"|"&amp;J2363&amp;"|"&amp;K2363&amp;"|"&amp;L2363&amp;"|"&amp;M2363&amp;"|"&amp;N2363</f>
        <v>ORD11564|2025-07-23|15:02|C0923|dosa darbar|Bengaluru|South Indian|1|130|52|Credit Card|Delivered|41|5</v>
      </c>
      <c r="P2363" s="7" t="str">
        <f aca="false">IF(COUNTIF($O$2:O2363,O2363)&gt;1,"DUP","OK")</f>
        <v>OK</v>
      </c>
      <c r="Q2363" s="7" t="n">
        <f aca="false">COUNTBLANK(A2363:N2363)</f>
        <v>0</v>
      </c>
      <c r="R2363" s="7" t="n">
        <f aca="false">IF(A2363="",0,COUNTIFS($A$2:$A$3058,A2363,$P$2:$P$3058,"OK"))</f>
        <v>1</v>
      </c>
      <c r="S2363" s="7" t="str">
        <f aca="false">IF(OR(A2363="",P2363="DUP",R2363&lt;2),"",IF(Q2363=_xlfn.MINIFS($Q$2:$Q$3058,$A$2:$A$3058,A2363,$P$2:$P$3058,"OK"),"KEEP","DROP"))</f>
        <v/>
      </c>
      <c r="T2363" s="9" t="n">
        <f aca="false">IF(A2363="",1,0)</f>
        <v>0</v>
      </c>
      <c r="U2363" s="9" t="n">
        <f aca="false">IF(D2363="",1,0)</f>
        <v>0</v>
      </c>
      <c r="V2363" s="9" t="n">
        <f aca="false">IF(E2363="",1,0)</f>
        <v>0</v>
      </c>
      <c r="W2363" s="9" t="n">
        <f aca="false">IF(OR(H2363&lt;1,H2363&gt;10),1,0)</f>
        <v>0</v>
      </c>
      <c r="X2363" s="9" t="n">
        <f aca="false">IF(OR(I2363&lt;=0,I2363&gt;1500),1,0)</f>
        <v>0</v>
      </c>
      <c r="Y2363" s="9" t="n">
        <f aca="false">IF(J2363&gt;H2363*I2363,1,0)</f>
        <v>0</v>
      </c>
      <c r="Z2363" s="9" t="n">
        <f aca="false">IF(AND(N2363&lt;&gt;"",OR(N2363&lt;1,N2363&gt;5)),1,0)</f>
        <v>0</v>
      </c>
      <c r="AA2363" s="9" t="n">
        <f aca="false">IF(AND(M2363&lt;&gt;"",OR(M2363&lt;5,M2363&gt;180)),1,0)</f>
        <v>0</v>
      </c>
      <c r="AB2363" s="7" t="str">
        <f aca="false">IF(P2363="DUP","Exact duplicate row",IF(T2363=1,"Missing Order ID",IF(S2363="DROP","Duplicate Order ID (less complete row)",IF(U2363=1,"Missing Customer ID",IF(V2363=1,"Missing Restaurant name",IF(W2363=1,"Invalid/outlier quantity",IF(X2363=1,"Invalid/outlier unit price",IF(Y2363=1,"Discount greater than order value",""))))))))</f>
        <v/>
      </c>
      <c r="AC2363" s="7" t="str">
        <f aca="false">IF(AB2363="","KEEP","DROP")</f>
        <v>KEEP</v>
      </c>
      <c r="AD2363" s="7" t="str">
        <f aca="false">IF(TRIM(F2363)="",IFERROR(INDEX(Map_Tables!$I$4:$I$37,MATCH(TRIM(E2363),Map_Tables!$G$4:$G$37,0)),""),IFERROR(INDEX(Map_Tables!$B$4:$B$18,MATCH(TRIM(F2363),Map_Tables!$A$4:$A$18,0)),"CHECK"))</f>
        <v>Bengaluru</v>
      </c>
      <c r="AE2363" s="7" t="str">
        <f aca="false">IF(TRIM(E2363)="","",IFERROR(INDEX(Map_Tables!$H$4:$H$37,MATCH(TRIM(E2363),Map_Tables!$G$4:$G$37,0)),"CHECK"))</f>
        <v>Dosa Darbar</v>
      </c>
      <c r="AF2363" s="7" t="str">
        <f aca="false">IF(TRIM(K2363)="","Unknown",IFERROR(INDEX(Map_Tables!$E$4:$E$15,MATCH(TRIM(K2363),Map_Tables!$D$4:$D$15,0)),"CHECK"))</f>
        <v>Credit Card</v>
      </c>
      <c r="AG2363" s="7" t="str">
        <f aca="false">IF(LEFT(LOWER(TRIM(L2363)),6)="cancel","Cancelled","Delivered")</f>
        <v>Delivered</v>
      </c>
      <c r="AH2363" s="10" t="n">
        <f aca="false">IF(ISNUMBER(SEARCH("/",B2363)),DATE(VALUE(RIGHT(B2363,4)),VALUE(MID(B2363,4,2)),VALUE(LEFT(B2363,2))),IF(MID(B2363,5,1)="-",DATE(VALUE(LEFT(B2363,4)),VALUE(MID(B2363,6,2)),VALUE(RIGHT(B2363,2))),DATE(VALUE(RIGHT(B2363,4)),MATCH(MID(B2363,4,3),{"Jan","Feb","Mar","Apr","May","Jun","Jul","Aug","Sep","Oct","Nov","Dec"},0),VALUE(LEFT(B2363,2)))))</f>
        <v>45861</v>
      </c>
    </row>
    <row r="2364" customFormat="false" ht="15" hidden="false" customHeight="false" outlineLevel="0" collapsed="false">
      <c r="A2364" s="7" t="s">
        <v>5278</v>
      </c>
      <c r="B2364" s="7" t="s">
        <v>5279</v>
      </c>
      <c r="C2364" s="7" t="s">
        <v>5280</v>
      </c>
      <c r="D2364" s="7" t="s">
        <v>1097</v>
      </c>
      <c r="E2364" s="7" t="s">
        <v>130</v>
      </c>
      <c r="F2364" s="7" t="s">
        <v>110</v>
      </c>
      <c r="G2364" s="7" t="s">
        <v>90</v>
      </c>
      <c r="H2364" s="7" t="n">
        <v>3</v>
      </c>
      <c r="I2364" s="7" t="n">
        <v>185</v>
      </c>
      <c r="J2364" s="7" t="n">
        <v>30</v>
      </c>
      <c r="K2364" s="7" t="s">
        <v>93</v>
      </c>
      <c r="L2364" s="7" t="s">
        <v>194</v>
      </c>
      <c r="M2364" s="7" t="n">
        <v>38</v>
      </c>
      <c r="N2364" s="7" t="n">
        <v>4</v>
      </c>
      <c r="O2364" s="7" t="str">
        <f aca="false">A2364&amp;"|"&amp;B2364&amp;"|"&amp;C2364&amp;"|"&amp;D2364&amp;"|"&amp;E2364&amp;"|"&amp;F2364&amp;"|"&amp;G2364&amp;"|"&amp;H2364&amp;"|"&amp;I2364&amp;"|"&amp;J2364&amp;"|"&amp;K2364&amp;"|"&amp;L2364&amp;"|"&amp;M2364&amp;"|"&amp;N2364</f>
        <v>ORD11935|09/09/2025|08:23|C1078|Tandoor Tales|Delhi|North Indian|3|185|30|Credit Card|Delivered|38|4</v>
      </c>
      <c r="P2364" s="7" t="str">
        <f aca="false">IF(COUNTIF($O$2:O2364,O2364)&gt;1,"DUP","OK")</f>
        <v>OK</v>
      </c>
      <c r="Q2364" s="7" t="n">
        <f aca="false">COUNTBLANK(A2364:N2364)</f>
        <v>0</v>
      </c>
      <c r="R2364" s="7" t="n">
        <f aca="false">IF(A2364="",0,COUNTIFS($A$2:$A$3058,A2364,$P$2:$P$3058,"OK"))</f>
        <v>1</v>
      </c>
      <c r="S2364" s="7" t="str">
        <f aca="false">IF(OR(A2364="",P2364="DUP",R2364&lt;2),"",IF(Q2364=_xlfn.MINIFS($Q$2:$Q$3058,$A$2:$A$3058,A2364,$P$2:$P$3058,"OK"),"KEEP","DROP"))</f>
        <v/>
      </c>
      <c r="T2364" s="9" t="n">
        <f aca="false">IF(A2364="",1,0)</f>
        <v>0</v>
      </c>
      <c r="U2364" s="9" t="n">
        <f aca="false">IF(D2364="",1,0)</f>
        <v>0</v>
      </c>
      <c r="V2364" s="9" t="n">
        <f aca="false">IF(E2364="",1,0)</f>
        <v>0</v>
      </c>
      <c r="W2364" s="9" t="n">
        <f aca="false">IF(OR(H2364&lt;1,H2364&gt;10),1,0)</f>
        <v>0</v>
      </c>
      <c r="X2364" s="9" t="n">
        <f aca="false">IF(OR(I2364&lt;=0,I2364&gt;1500),1,0)</f>
        <v>0</v>
      </c>
      <c r="Y2364" s="9" t="n">
        <f aca="false">IF(J2364&gt;H2364*I2364,1,0)</f>
        <v>0</v>
      </c>
      <c r="Z2364" s="9" t="n">
        <f aca="false">IF(AND(N2364&lt;&gt;"",OR(N2364&lt;1,N2364&gt;5)),1,0)</f>
        <v>0</v>
      </c>
      <c r="AA2364" s="9" t="n">
        <f aca="false">IF(AND(M2364&lt;&gt;"",OR(M2364&lt;5,M2364&gt;180)),1,0)</f>
        <v>0</v>
      </c>
      <c r="AB2364" s="7" t="str">
        <f aca="false">IF(P2364="DUP","Exact duplicate row",IF(T2364=1,"Missing Order ID",IF(S2364="DROP","Duplicate Order ID (less complete row)",IF(U2364=1,"Missing Customer ID",IF(V2364=1,"Missing Restaurant name",IF(W2364=1,"Invalid/outlier quantity",IF(X2364=1,"Invalid/outlier unit price",IF(Y2364=1,"Discount greater than order value",""))))))))</f>
        <v/>
      </c>
      <c r="AC2364" s="7" t="str">
        <f aca="false">IF(AB2364="","KEEP","DROP")</f>
        <v>KEEP</v>
      </c>
      <c r="AD2364" s="7" t="str">
        <f aca="false">IF(TRIM(F2364)="",IFERROR(INDEX(Map_Tables!$I$4:$I$37,MATCH(TRIM(E2364),Map_Tables!$G$4:$G$37,0)),""),IFERROR(INDEX(Map_Tables!$B$4:$B$18,MATCH(TRIM(F2364),Map_Tables!$A$4:$A$18,0)),"CHECK"))</f>
        <v>Delhi</v>
      </c>
      <c r="AE2364" s="7" t="str">
        <f aca="false">IF(TRIM(E2364)="","",IFERROR(INDEX(Map_Tables!$H$4:$H$37,MATCH(TRIM(E2364),Map_Tables!$G$4:$G$37,0)),"CHECK"))</f>
        <v>Tandoor Tales</v>
      </c>
      <c r="AF2364" s="7" t="str">
        <f aca="false">IF(TRIM(K2364)="","Unknown",IFERROR(INDEX(Map_Tables!$E$4:$E$15,MATCH(TRIM(K2364),Map_Tables!$D$4:$D$15,0)),"CHECK"))</f>
        <v>Credit Card</v>
      </c>
      <c r="AG2364" s="7" t="str">
        <f aca="false">IF(LEFT(LOWER(TRIM(L2364)),6)="cancel","Cancelled","Delivered")</f>
        <v>Delivered</v>
      </c>
      <c r="AH2364" s="10" t="n">
        <f aca="false">IF(ISNUMBER(SEARCH("/",B2364)),DATE(VALUE(RIGHT(B2364,4)),VALUE(MID(B2364,4,2)),VALUE(LEFT(B2364,2))),IF(MID(B2364,5,1)="-",DATE(VALUE(LEFT(B2364,4)),VALUE(MID(B2364,6,2)),VALUE(RIGHT(B2364,2))),DATE(VALUE(RIGHT(B2364,4)),MATCH(MID(B2364,4,3),{"Jan","Feb","Mar","Apr","May","Jun","Jul","Aug","Sep","Oct","Nov","Dec"},0),VALUE(LEFT(B2364,2)))))</f>
        <v>45909</v>
      </c>
    </row>
    <row r="2365" customFormat="false" ht="15" hidden="false" customHeight="false" outlineLevel="0" collapsed="false">
      <c r="A2365" s="7" t="s">
        <v>5281</v>
      </c>
      <c r="B2365" s="7" t="s">
        <v>222</v>
      </c>
      <c r="C2365" s="7" t="s">
        <v>1565</v>
      </c>
      <c r="D2365" s="7" t="s">
        <v>569</v>
      </c>
      <c r="E2365" s="7" t="s">
        <v>94</v>
      </c>
      <c r="F2365" s="7" t="s">
        <v>86</v>
      </c>
      <c r="G2365" s="7" t="s">
        <v>95</v>
      </c>
      <c r="H2365" s="7" t="n">
        <v>3</v>
      </c>
      <c r="I2365" s="7" t="n">
        <v>115</v>
      </c>
      <c r="J2365" s="7" t="n">
        <v>75</v>
      </c>
      <c r="K2365" s="7" t="s">
        <v>88</v>
      </c>
      <c r="L2365" s="7" t="s">
        <v>194</v>
      </c>
      <c r="M2365" s="7" t="n">
        <v>49</v>
      </c>
      <c r="N2365" s="7" t="n">
        <v>4</v>
      </c>
      <c r="O2365" s="7" t="str">
        <f aca="false">A2365&amp;"|"&amp;B2365&amp;"|"&amp;C2365&amp;"|"&amp;D2365&amp;"|"&amp;E2365&amp;"|"&amp;F2365&amp;"|"&amp;G2365&amp;"|"&amp;H2365&amp;"|"&amp;I2365&amp;"|"&amp;J2365&amp;"|"&amp;K2365&amp;"|"&amp;L2365&amp;"|"&amp;M2365&amp;"|"&amp;N2365</f>
        <v>ORD12795|2025-12-07|21:30|C0668|Dosa Darbar|Bengaluru|South Indian|3|115|75|UPI|Delivered|49|4</v>
      </c>
      <c r="P2365" s="7" t="str">
        <f aca="false">IF(COUNTIF($O$2:O2365,O2365)&gt;1,"DUP","OK")</f>
        <v>OK</v>
      </c>
      <c r="Q2365" s="7" t="n">
        <f aca="false">COUNTBLANK(A2365:N2365)</f>
        <v>0</v>
      </c>
      <c r="R2365" s="7" t="n">
        <f aca="false">IF(A2365="",0,COUNTIFS($A$2:$A$3058,A2365,$P$2:$P$3058,"OK"))</f>
        <v>1</v>
      </c>
      <c r="S2365" s="7" t="str">
        <f aca="false">IF(OR(A2365="",P2365="DUP",R2365&lt;2),"",IF(Q2365=_xlfn.MINIFS($Q$2:$Q$3058,$A$2:$A$3058,A2365,$P$2:$P$3058,"OK"),"KEEP","DROP"))</f>
        <v/>
      </c>
      <c r="T2365" s="9" t="n">
        <f aca="false">IF(A2365="",1,0)</f>
        <v>0</v>
      </c>
      <c r="U2365" s="9" t="n">
        <f aca="false">IF(D2365="",1,0)</f>
        <v>0</v>
      </c>
      <c r="V2365" s="9" t="n">
        <f aca="false">IF(E2365="",1,0)</f>
        <v>0</v>
      </c>
      <c r="W2365" s="9" t="n">
        <f aca="false">IF(OR(H2365&lt;1,H2365&gt;10),1,0)</f>
        <v>0</v>
      </c>
      <c r="X2365" s="9" t="n">
        <f aca="false">IF(OR(I2365&lt;=0,I2365&gt;1500),1,0)</f>
        <v>0</v>
      </c>
      <c r="Y2365" s="9" t="n">
        <f aca="false">IF(J2365&gt;H2365*I2365,1,0)</f>
        <v>0</v>
      </c>
      <c r="Z2365" s="9" t="n">
        <f aca="false">IF(AND(N2365&lt;&gt;"",OR(N2365&lt;1,N2365&gt;5)),1,0)</f>
        <v>0</v>
      </c>
      <c r="AA2365" s="9" t="n">
        <f aca="false">IF(AND(M2365&lt;&gt;"",OR(M2365&lt;5,M2365&gt;180)),1,0)</f>
        <v>0</v>
      </c>
      <c r="AB2365" s="7" t="str">
        <f aca="false">IF(P2365="DUP","Exact duplicate row",IF(T2365=1,"Missing Order ID",IF(S2365="DROP","Duplicate Order ID (less complete row)",IF(U2365=1,"Missing Customer ID",IF(V2365=1,"Missing Restaurant name",IF(W2365=1,"Invalid/outlier quantity",IF(X2365=1,"Invalid/outlier unit price",IF(Y2365=1,"Discount greater than order value",""))))))))</f>
        <v/>
      </c>
      <c r="AC2365" s="7" t="str">
        <f aca="false">IF(AB2365="","KEEP","DROP")</f>
        <v>KEEP</v>
      </c>
      <c r="AD2365" s="7" t="str">
        <f aca="false">IF(TRIM(F2365)="",IFERROR(INDEX(Map_Tables!$I$4:$I$37,MATCH(TRIM(E2365),Map_Tables!$G$4:$G$37,0)),""),IFERROR(INDEX(Map_Tables!$B$4:$B$18,MATCH(TRIM(F2365),Map_Tables!$A$4:$A$18,0)),"CHECK"))</f>
        <v>Bengaluru</v>
      </c>
      <c r="AE2365" s="7" t="str">
        <f aca="false">IF(TRIM(E2365)="","",IFERROR(INDEX(Map_Tables!$H$4:$H$37,MATCH(TRIM(E2365),Map_Tables!$G$4:$G$37,0)),"CHECK"))</f>
        <v>Dosa Darbar</v>
      </c>
      <c r="AF2365" s="7" t="str">
        <f aca="false">IF(TRIM(K2365)="","Unknown",IFERROR(INDEX(Map_Tables!$E$4:$E$15,MATCH(TRIM(K2365),Map_Tables!$D$4:$D$15,0)),"CHECK"))</f>
        <v>UPI</v>
      </c>
      <c r="AG2365" s="7" t="str">
        <f aca="false">IF(LEFT(LOWER(TRIM(L2365)),6)="cancel","Cancelled","Delivered")</f>
        <v>Delivered</v>
      </c>
      <c r="AH2365" s="10" t="n">
        <f aca="false">IF(ISNUMBER(SEARCH("/",B2365)),DATE(VALUE(RIGHT(B2365,4)),VALUE(MID(B2365,4,2)),VALUE(LEFT(B2365,2))),IF(MID(B2365,5,1)="-",DATE(VALUE(LEFT(B2365,4)),VALUE(MID(B2365,6,2)),VALUE(RIGHT(B2365,2))),DATE(VALUE(RIGHT(B2365,4)),MATCH(MID(B2365,4,3),{"Jan","Feb","Mar","Apr","May","Jun","Jul","Aug","Sep","Oct","Nov","Dec"},0),VALUE(LEFT(B2365,2)))))</f>
        <v>45998</v>
      </c>
    </row>
    <row r="2366" customFormat="false" ht="15" hidden="false" customHeight="false" outlineLevel="0" collapsed="false">
      <c r="A2366" s="7" t="s">
        <v>5282</v>
      </c>
      <c r="B2366" s="7" t="s">
        <v>1680</v>
      </c>
      <c r="C2366" s="7" t="s">
        <v>825</v>
      </c>
      <c r="D2366" s="7" t="s">
        <v>1954</v>
      </c>
      <c r="E2366" s="7" t="s">
        <v>138</v>
      </c>
      <c r="F2366" s="7" t="s">
        <v>110</v>
      </c>
      <c r="G2366" s="7" t="s">
        <v>139</v>
      </c>
      <c r="H2366" s="7" t="n">
        <v>4</v>
      </c>
      <c r="I2366" s="7" t="n">
        <v>175</v>
      </c>
      <c r="J2366" s="7" t="n">
        <v>0</v>
      </c>
      <c r="K2366" s="7" t="s">
        <v>526</v>
      </c>
      <c r="L2366" s="7" t="s">
        <v>194</v>
      </c>
      <c r="M2366" s="7" t="n">
        <v>47</v>
      </c>
      <c r="N2366" s="7" t="n">
        <v>5</v>
      </c>
      <c r="O2366" s="7" t="str">
        <f aca="false">A2366&amp;"|"&amp;B2366&amp;"|"&amp;C2366&amp;"|"&amp;D2366&amp;"|"&amp;E2366&amp;"|"&amp;F2366&amp;"|"&amp;G2366&amp;"|"&amp;H2366&amp;"|"&amp;I2366&amp;"|"&amp;J2366&amp;"|"&amp;K2366&amp;"|"&amp;L2366&amp;"|"&amp;M2366&amp;"|"&amp;N2366</f>
        <v>ORD11713|2025-08-13|15:36|C1044|Burger Barn|Delhi|Burgers|4|175|0|DC|Delivered|47|5</v>
      </c>
      <c r="P2366" s="7" t="str">
        <f aca="false">IF(COUNTIF($O$2:O2366,O2366)&gt;1,"DUP","OK")</f>
        <v>OK</v>
      </c>
      <c r="Q2366" s="7" t="n">
        <f aca="false">COUNTBLANK(A2366:N2366)</f>
        <v>0</v>
      </c>
      <c r="R2366" s="7" t="n">
        <f aca="false">IF(A2366="",0,COUNTIFS($A$2:$A$3058,A2366,$P$2:$P$3058,"OK"))</f>
        <v>1</v>
      </c>
      <c r="S2366" s="7" t="str">
        <f aca="false">IF(OR(A2366="",P2366="DUP",R2366&lt;2),"",IF(Q2366=_xlfn.MINIFS($Q$2:$Q$3058,$A$2:$A$3058,A2366,$P$2:$P$3058,"OK"),"KEEP","DROP"))</f>
        <v/>
      </c>
      <c r="T2366" s="9" t="n">
        <f aca="false">IF(A2366="",1,0)</f>
        <v>0</v>
      </c>
      <c r="U2366" s="9" t="n">
        <f aca="false">IF(D2366="",1,0)</f>
        <v>0</v>
      </c>
      <c r="V2366" s="9" t="n">
        <f aca="false">IF(E2366="",1,0)</f>
        <v>0</v>
      </c>
      <c r="W2366" s="9" t="n">
        <f aca="false">IF(OR(H2366&lt;1,H2366&gt;10),1,0)</f>
        <v>0</v>
      </c>
      <c r="X2366" s="9" t="n">
        <f aca="false">IF(OR(I2366&lt;=0,I2366&gt;1500),1,0)</f>
        <v>0</v>
      </c>
      <c r="Y2366" s="9" t="n">
        <f aca="false">IF(J2366&gt;H2366*I2366,1,0)</f>
        <v>0</v>
      </c>
      <c r="Z2366" s="9" t="n">
        <f aca="false">IF(AND(N2366&lt;&gt;"",OR(N2366&lt;1,N2366&gt;5)),1,0)</f>
        <v>0</v>
      </c>
      <c r="AA2366" s="9" t="n">
        <f aca="false">IF(AND(M2366&lt;&gt;"",OR(M2366&lt;5,M2366&gt;180)),1,0)</f>
        <v>0</v>
      </c>
      <c r="AB2366" s="7" t="str">
        <f aca="false">IF(P2366="DUP","Exact duplicate row",IF(T2366=1,"Missing Order ID",IF(S2366="DROP","Duplicate Order ID (less complete row)",IF(U2366=1,"Missing Customer ID",IF(V2366=1,"Missing Restaurant name",IF(W2366=1,"Invalid/outlier quantity",IF(X2366=1,"Invalid/outlier unit price",IF(Y2366=1,"Discount greater than order value",""))))))))</f>
        <v/>
      </c>
      <c r="AC2366" s="7" t="str">
        <f aca="false">IF(AB2366="","KEEP","DROP")</f>
        <v>KEEP</v>
      </c>
      <c r="AD2366" s="7" t="str">
        <f aca="false">IF(TRIM(F2366)="",IFERROR(INDEX(Map_Tables!$I$4:$I$37,MATCH(TRIM(E2366),Map_Tables!$G$4:$G$37,0)),""),IFERROR(INDEX(Map_Tables!$B$4:$B$18,MATCH(TRIM(F2366),Map_Tables!$A$4:$A$18,0)),"CHECK"))</f>
        <v>Delhi</v>
      </c>
      <c r="AE2366" s="7" t="str">
        <f aca="false">IF(TRIM(E2366)="","",IFERROR(INDEX(Map_Tables!$H$4:$H$37,MATCH(TRIM(E2366),Map_Tables!$G$4:$G$37,0)),"CHECK"))</f>
        <v>Burger Barn</v>
      </c>
      <c r="AF2366" s="7" t="str">
        <f aca="false">IF(TRIM(K2366)="","Unknown",IFERROR(INDEX(Map_Tables!$E$4:$E$15,MATCH(TRIM(K2366),Map_Tables!$D$4:$D$15,0)),"CHECK"))</f>
        <v>Debit Card</v>
      </c>
      <c r="AG2366" s="7" t="str">
        <f aca="false">IF(LEFT(LOWER(TRIM(L2366)),6)="cancel","Cancelled","Delivered")</f>
        <v>Delivered</v>
      </c>
      <c r="AH2366" s="10" t="n">
        <f aca="false">IF(ISNUMBER(SEARCH("/",B2366)),DATE(VALUE(RIGHT(B2366,4)),VALUE(MID(B2366,4,2)),VALUE(LEFT(B2366,2))),IF(MID(B2366,5,1)="-",DATE(VALUE(LEFT(B2366,4)),VALUE(MID(B2366,6,2)),VALUE(RIGHT(B2366,2))),DATE(VALUE(RIGHT(B2366,4)),MATCH(MID(B2366,4,3),{"Jan","Feb","Mar","Apr","May","Jun","Jul","Aug","Sep","Oct","Nov","Dec"},0),VALUE(LEFT(B2366,2)))))</f>
        <v>45882</v>
      </c>
    </row>
    <row r="2367" customFormat="false" ht="15" hidden="false" customHeight="false" outlineLevel="0" collapsed="false">
      <c r="A2367" s="7" t="s">
        <v>5283</v>
      </c>
      <c r="B2367" s="7" t="s">
        <v>1160</v>
      </c>
      <c r="C2367" s="7" t="s">
        <v>1211</v>
      </c>
      <c r="D2367" s="7" t="s">
        <v>2086</v>
      </c>
      <c r="E2367" s="7" t="s">
        <v>113</v>
      </c>
      <c r="F2367" s="7" t="s">
        <v>101</v>
      </c>
      <c r="G2367" s="7" t="s">
        <v>90</v>
      </c>
      <c r="H2367" s="7" t="n">
        <v>2</v>
      </c>
      <c r="I2367" s="7" t="n">
        <v>180</v>
      </c>
      <c r="J2367" s="7" t="n">
        <v>100</v>
      </c>
      <c r="K2367" s="7" t="s">
        <v>88</v>
      </c>
      <c r="L2367" s="7" t="s">
        <v>194</v>
      </c>
      <c r="M2367" s="7" t="n">
        <v>49</v>
      </c>
      <c r="N2367" s="7" t="n">
        <v>3</v>
      </c>
      <c r="O2367" s="7" t="str">
        <f aca="false">A2367&amp;"|"&amp;B2367&amp;"|"&amp;C2367&amp;"|"&amp;D2367&amp;"|"&amp;E2367&amp;"|"&amp;F2367&amp;"|"&amp;G2367&amp;"|"&amp;H2367&amp;"|"&amp;I2367&amp;"|"&amp;J2367&amp;"|"&amp;K2367&amp;"|"&amp;L2367&amp;"|"&amp;M2367&amp;"|"&amp;N2367</f>
        <v>ORD10552|2025-03-11|20:42|C0165|Curry Leaf Kitchen|Mumbai|North Indian|2|180|100|UPI|Delivered|49|3</v>
      </c>
      <c r="P2367" s="7" t="str">
        <f aca="false">IF(COUNTIF($O$2:O2367,O2367)&gt;1,"DUP","OK")</f>
        <v>OK</v>
      </c>
      <c r="Q2367" s="7" t="n">
        <f aca="false">COUNTBLANK(A2367:N2367)</f>
        <v>0</v>
      </c>
      <c r="R2367" s="7" t="n">
        <f aca="false">IF(A2367="",0,COUNTIFS($A$2:$A$3058,A2367,$P$2:$P$3058,"OK"))</f>
        <v>1</v>
      </c>
      <c r="S2367" s="7" t="str">
        <f aca="false">IF(OR(A2367="",P2367="DUP",R2367&lt;2),"",IF(Q2367=_xlfn.MINIFS($Q$2:$Q$3058,$A$2:$A$3058,A2367,$P$2:$P$3058,"OK"),"KEEP","DROP"))</f>
        <v/>
      </c>
      <c r="T2367" s="9" t="n">
        <f aca="false">IF(A2367="",1,0)</f>
        <v>0</v>
      </c>
      <c r="U2367" s="9" t="n">
        <f aca="false">IF(D2367="",1,0)</f>
        <v>0</v>
      </c>
      <c r="V2367" s="9" t="n">
        <f aca="false">IF(E2367="",1,0)</f>
        <v>0</v>
      </c>
      <c r="W2367" s="9" t="n">
        <f aca="false">IF(OR(H2367&lt;1,H2367&gt;10),1,0)</f>
        <v>0</v>
      </c>
      <c r="X2367" s="9" t="n">
        <f aca="false">IF(OR(I2367&lt;=0,I2367&gt;1500),1,0)</f>
        <v>0</v>
      </c>
      <c r="Y2367" s="9" t="n">
        <f aca="false">IF(J2367&gt;H2367*I2367,1,0)</f>
        <v>0</v>
      </c>
      <c r="Z2367" s="9" t="n">
        <f aca="false">IF(AND(N2367&lt;&gt;"",OR(N2367&lt;1,N2367&gt;5)),1,0)</f>
        <v>0</v>
      </c>
      <c r="AA2367" s="9" t="n">
        <f aca="false">IF(AND(M2367&lt;&gt;"",OR(M2367&lt;5,M2367&gt;180)),1,0)</f>
        <v>0</v>
      </c>
      <c r="AB2367" s="7" t="str">
        <f aca="false">IF(P2367="DUP","Exact duplicate row",IF(T2367=1,"Missing Order ID",IF(S2367="DROP","Duplicate Order ID (less complete row)",IF(U2367=1,"Missing Customer ID",IF(V2367=1,"Missing Restaurant name",IF(W2367=1,"Invalid/outlier quantity",IF(X2367=1,"Invalid/outlier unit price",IF(Y2367=1,"Discount greater than order value",""))))))))</f>
        <v/>
      </c>
      <c r="AC2367" s="7" t="str">
        <f aca="false">IF(AB2367="","KEEP","DROP")</f>
        <v>KEEP</v>
      </c>
      <c r="AD2367" s="7" t="str">
        <f aca="false">IF(TRIM(F2367)="",IFERROR(INDEX(Map_Tables!$I$4:$I$37,MATCH(TRIM(E2367),Map_Tables!$G$4:$G$37,0)),""),IFERROR(INDEX(Map_Tables!$B$4:$B$18,MATCH(TRIM(F2367),Map_Tables!$A$4:$A$18,0)),"CHECK"))</f>
        <v>Mumbai</v>
      </c>
      <c r="AE2367" s="7" t="str">
        <f aca="false">IF(TRIM(E2367)="","",IFERROR(INDEX(Map_Tables!$H$4:$H$37,MATCH(TRIM(E2367),Map_Tables!$G$4:$G$37,0)),"CHECK"))</f>
        <v>Curry Leaf Kitchen</v>
      </c>
      <c r="AF2367" s="7" t="str">
        <f aca="false">IF(TRIM(K2367)="","Unknown",IFERROR(INDEX(Map_Tables!$E$4:$E$15,MATCH(TRIM(K2367),Map_Tables!$D$4:$D$15,0)),"CHECK"))</f>
        <v>UPI</v>
      </c>
      <c r="AG2367" s="7" t="str">
        <f aca="false">IF(LEFT(LOWER(TRIM(L2367)),6)="cancel","Cancelled","Delivered")</f>
        <v>Delivered</v>
      </c>
      <c r="AH2367" s="10" t="n">
        <f aca="false">IF(ISNUMBER(SEARCH("/",B2367)),DATE(VALUE(RIGHT(B2367,4)),VALUE(MID(B2367,4,2)),VALUE(LEFT(B2367,2))),IF(MID(B2367,5,1)="-",DATE(VALUE(LEFT(B2367,4)),VALUE(MID(B2367,6,2)),VALUE(RIGHT(B2367,2))),DATE(VALUE(RIGHT(B2367,4)),MATCH(MID(B2367,4,3),{"Jan","Feb","Mar","Apr","May","Jun","Jul","Aug","Sep","Oct","Nov","Dec"},0),VALUE(LEFT(B2367,2)))))</f>
        <v>45727</v>
      </c>
    </row>
    <row r="2368" customFormat="false" ht="15" hidden="false" customHeight="false" outlineLevel="0" collapsed="false">
      <c r="A2368" s="7" t="s">
        <v>5284</v>
      </c>
      <c r="B2368" s="7" t="s">
        <v>865</v>
      </c>
      <c r="C2368" s="7" t="s">
        <v>236</v>
      </c>
      <c r="D2368" s="7" t="s">
        <v>2540</v>
      </c>
      <c r="E2368" s="7" t="s">
        <v>1319</v>
      </c>
      <c r="F2368" s="7" t="s">
        <v>86</v>
      </c>
      <c r="G2368" s="7" t="s">
        <v>95</v>
      </c>
      <c r="H2368" s="7" t="n">
        <v>1</v>
      </c>
      <c r="I2368" s="7" t="n">
        <v>125</v>
      </c>
      <c r="J2368" s="7" t="n">
        <v>0</v>
      </c>
      <c r="K2368" s="7" t="s">
        <v>88</v>
      </c>
      <c r="L2368" s="7" t="s">
        <v>194</v>
      </c>
      <c r="M2368" s="7" t="n">
        <v>39</v>
      </c>
      <c r="N2368" s="7"/>
      <c r="O2368" s="7" t="str">
        <f aca="false">A2368&amp;"|"&amp;B2368&amp;"|"&amp;C2368&amp;"|"&amp;D2368&amp;"|"&amp;E2368&amp;"|"&amp;F2368&amp;"|"&amp;G2368&amp;"|"&amp;H2368&amp;"|"&amp;I2368&amp;"|"&amp;J2368&amp;"|"&amp;K2368&amp;"|"&amp;L2368&amp;"|"&amp;M2368&amp;"|"&amp;N2368</f>
        <v>ORD12638|2025-11-22|19:26|C0903|DOSA DARBAR|Bengaluru|South Indian|1|125|0|UPI|Delivered|39|</v>
      </c>
      <c r="P2368" s="7" t="str">
        <f aca="false">IF(COUNTIF($O$2:O2368,O2368)&gt;1,"DUP","OK")</f>
        <v>OK</v>
      </c>
      <c r="Q2368" s="7" t="n">
        <f aca="false">COUNTBLANK(A2368:N2368)</f>
        <v>1</v>
      </c>
      <c r="R2368" s="7" t="n">
        <f aca="false">IF(A2368="",0,COUNTIFS($A$2:$A$3058,A2368,$P$2:$P$3058,"OK"))</f>
        <v>1</v>
      </c>
      <c r="S2368" s="7" t="str">
        <f aca="false">IF(OR(A2368="",P2368="DUP",R2368&lt;2),"",IF(Q2368=_xlfn.MINIFS($Q$2:$Q$3058,$A$2:$A$3058,A2368,$P$2:$P$3058,"OK"),"KEEP","DROP"))</f>
        <v/>
      </c>
      <c r="T2368" s="9" t="n">
        <f aca="false">IF(A2368="",1,0)</f>
        <v>0</v>
      </c>
      <c r="U2368" s="9" t="n">
        <f aca="false">IF(D2368="",1,0)</f>
        <v>0</v>
      </c>
      <c r="V2368" s="9" t="n">
        <f aca="false">IF(E2368="",1,0)</f>
        <v>0</v>
      </c>
      <c r="W2368" s="9" t="n">
        <f aca="false">IF(OR(H2368&lt;1,H2368&gt;10),1,0)</f>
        <v>0</v>
      </c>
      <c r="X2368" s="9" t="n">
        <f aca="false">IF(OR(I2368&lt;=0,I2368&gt;1500),1,0)</f>
        <v>0</v>
      </c>
      <c r="Y2368" s="9" t="n">
        <f aca="false">IF(J2368&gt;H2368*I2368,1,0)</f>
        <v>0</v>
      </c>
      <c r="Z2368" s="9" t="n">
        <f aca="false">IF(AND(N2368&lt;&gt;"",OR(N2368&lt;1,N2368&gt;5)),1,0)</f>
        <v>0</v>
      </c>
      <c r="AA2368" s="9" t="n">
        <f aca="false">IF(AND(M2368&lt;&gt;"",OR(M2368&lt;5,M2368&gt;180)),1,0)</f>
        <v>0</v>
      </c>
      <c r="AB2368" s="7" t="str">
        <f aca="false">IF(P2368="DUP","Exact duplicate row",IF(T2368=1,"Missing Order ID",IF(S2368="DROP","Duplicate Order ID (less complete row)",IF(U2368=1,"Missing Customer ID",IF(V2368=1,"Missing Restaurant name",IF(W2368=1,"Invalid/outlier quantity",IF(X2368=1,"Invalid/outlier unit price",IF(Y2368=1,"Discount greater than order value",""))))))))</f>
        <v/>
      </c>
      <c r="AC2368" s="7" t="str">
        <f aca="false">IF(AB2368="","KEEP","DROP")</f>
        <v>KEEP</v>
      </c>
      <c r="AD2368" s="7" t="str">
        <f aca="false">IF(TRIM(F2368)="",IFERROR(INDEX(Map_Tables!$I$4:$I$37,MATCH(TRIM(E2368),Map_Tables!$G$4:$G$37,0)),""),IFERROR(INDEX(Map_Tables!$B$4:$B$18,MATCH(TRIM(F2368),Map_Tables!$A$4:$A$18,0)),"CHECK"))</f>
        <v>Bengaluru</v>
      </c>
      <c r="AE2368" s="7" t="str">
        <f aca="false">IF(TRIM(E2368)="","",IFERROR(INDEX(Map_Tables!$H$4:$H$37,MATCH(TRIM(E2368),Map_Tables!$G$4:$G$37,0)),"CHECK"))</f>
        <v>Dosa Darbar</v>
      </c>
      <c r="AF2368" s="7" t="str">
        <f aca="false">IF(TRIM(K2368)="","Unknown",IFERROR(INDEX(Map_Tables!$E$4:$E$15,MATCH(TRIM(K2368),Map_Tables!$D$4:$D$15,0)),"CHECK"))</f>
        <v>UPI</v>
      </c>
      <c r="AG2368" s="7" t="str">
        <f aca="false">IF(LEFT(LOWER(TRIM(L2368)),6)="cancel","Cancelled","Delivered")</f>
        <v>Delivered</v>
      </c>
      <c r="AH2368" s="10" t="n">
        <f aca="false">IF(ISNUMBER(SEARCH("/",B2368)),DATE(VALUE(RIGHT(B2368,4)),VALUE(MID(B2368,4,2)),VALUE(LEFT(B2368,2))),IF(MID(B2368,5,1)="-",DATE(VALUE(LEFT(B2368,4)),VALUE(MID(B2368,6,2)),VALUE(RIGHT(B2368,2))),DATE(VALUE(RIGHT(B2368,4)),MATCH(MID(B2368,4,3),{"Jan","Feb","Mar","Apr","May","Jun","Jul","Aug","Sep","Oct","Nov","Dec"},0),VALUE(LEFT(B2368,2)))))</f>
        <v>45983</v>
      </c>
    </row>
    <row r="2369" customFormat="false" ht="15" hidden="false" customHeight="false" outlineLevel="0" collapsed="false">
      <c r="A2369" s="7" t="s">
        <v>5285</v>
      </c>
      <c r="B2369" s="7" t="s">
        <v>442</v>
      </c>
      <c r="C2369" s="7" t="s">
        <v>1133</v>
      </c>
      <c r="D2369" s="7" t="s">
        <v>1815</v>
      </c>
      <c r="E2369" s="7" t="s">
        <v>151</v>
      </c>
      <c r="F2369" s="7" t="s">
        <v>128</v>
      </c>
      <c r="G2369" s="7" t="s">
        <v>95</v>
      </c>
      <c r="H2369" s="7" t="n">
        <v>5</v>
      </c>
      <c r="I2369" s="7" t="n">
        <v>195</v>
      </c>
      <c r="J2369" s="7" t="n">
        <v>0</v>
      </c>
      <c r="K2369" s="7"/>
      <c r="L2369" s="7" t="s">
        <v>194</v>
      </c>
      <c r="M2369" s="7" t="n">
        <v>35</v>
      </c>
      <c r="N2369" s="7" t="n">
        <v>5</v>
      </c>
      <c r="O2369" s="7" t="str">
        <f aca="false">A2369&amp;"|"&amp;B2369&amp;"|"&amp;C2369&amp;"|"&amp;D2369&amp;"|"&amp;E2369&amp;"|"&amp;F2369&amp;"|"&amp;G2369&amp;"|"&amp;H2369&amp;"|"&amp;I2369&amp;"|"&amp;J2369&amp;"|"&amp;K2369&amp;"|"&amp;L2369&amp;"|"&amp;M2369&amp;"|"&amp;N2369</f>
        <v>ORD10602|2025-03-17|20:44|C0231|Chettinad House|Chennai|South Indian|5|195|0||Delivered|35|5</v>
      </c>
      <c r="P2369" s="7" t="str">
        <f aca="false">IF(COUNTIF($O$2:O2369,O2369)&gt;1,"DUP","OK")</f>
        <v>OK</v>
      </c>
      <c r="Q2369" s="7" t="n">
        <f aca="false">COUNTBLANK(A2369:N2369)</f>
        <v>1</v>
      </c>
      <c r="R2369" s="7" t="n">
        <f aca="false">IF(A2369="",0,COUNTIFS($A$2:$A$3058,A2369,$P$2:$P$3058,"OK"))</f>
        <v>1</v>
      </c>
      <c r="S2369" s="7" t="str">
        <f aca="false">IF(OR(A2369="",P2369="DUP",R2369&lt;2),"",IF(Q2369=_xlfn.MINIFS($Q$2:$Q$3058,$A$2:$A$3058,A2369,$P$2:$P$3058,"OK"),"KEEP","DROP"))</f>
        <v/>
      </c>
      <c r="T2369" s="9" t="n">
        <f aca="false">IF(A2369="",1,0)</f>
        <v>0</v>
      </c>
      <c r="U2369" s="9" t="n">
        <f aca="false">IF(D2369="",1,0)</f>
        <v>0</v>
      </c>
      <c r="V2369" s="9" t="n">
        <f aca="false">IF(E2369="",1,0)</f>
        <v>0</v>
      </c>
      <c r="W2369" s="9" t="n">
        <f aca="false">IF(OR(H2369&lt;1,H2369&gt;10),1,0)</f>
        <v>0</v>
      </c>
      <c r="X2369" s="9" t="n">
        <f aca="false">IF(OR(I2369&lt;=0,I2369&gt;1500),1,0)</f>
        <v>0</v>
      </c>
      <c r="Y2369" s="9" t="n">
        <f aca="false">IF(J2369&gt;H2369*I2369,1,0)</f>
        <v>0</v>
      </c>
      <c r="Z2369" s="9" t="n">
        <f aca="false">IF(AND(N2369&lt;&gt;"",OR(N2369&lt;1,N2369&gt;5)),1,0)</f>
        <v>0</v>
      </c>
      <c r="AA2369" s="9" t="n">
        <f aca="false">IF(AND(M2369&lt;&gt;"",OR(M2369&lt;5,M2369&gt;180)),1,0)</f>
        <v>0</v>
      </c>
      <c r="AB2369" s="7" t="str">
        <f aca="false">IF(P2369="DUP","Exact duplicate row",IF(T2369=1,"Missing Order ID",IF(S2369="DROP","Duplicate Order ID (less complete row)",IF(U2369=1,"Missing Customer ID",IF(V2369=1,"Missing Restaurant name",IF(W2369=1,"Invalid/outlier quantity",IF(X2369=1,"Invalid/outlier unit price",IF(Y2369=1,"Discount greater than order value",""))))))))</f>
        <v/>
      </c>
      <c r="AC2369" s="7" t="str">
        <f aca="false">IF(AB2369="","KEEP","DROP")</f>
        <v>KEEP</v>
      </c>
      <c r="AD2369" s="7" t="str">
        <f aca="false">IF(TRIM(F2369)="",IFERROR(INDEX(Map_Tables!$I$4:$I$37,MATCH(TRIM(E2369),Map_Tables!$G$4:$G$37,0)),""),IFERROR(INDEX(Map_Tables!$B$4:$B$18,MATCH(TRIM(F2369),Map_Tables!$A$4:$A$18,0)),"CHECK"))</f>
        <v>Chennai</v>
      </c>
      <c r="AE2369" s="7" t="str">
        <f aca="false">IF(TRIM(E2369)="","",IFERROR(INDEX(Map_Tables!$H$4:$H$37,MATCH(TRIM(E2369),Map_Tables!$G$4:$G$37,0)),"CHECK"))</f>
        <v>Chettinad House</v>
      </c>
      <c r="AF2369" s="7" t="str">
        <f aca="false">IF(TRIM(K2369)="","Unknown",IFERROR(INDEX(Map_Tables!$E$4:$E$15,MATCH(TRIM(K2369),Map_Tables!$D$4:$D$15,0)),"CHECK"))</f>
        <v>Unknown</v>
      </c>
      <c r="AG2369" s="7" t="str">
        <f aca="false">IF(LEFT(LOWER(TRIM(L2369)),6)="cancel","Cancelled","Delivered")</f>
        <v>Delivered</v>
      </c>
      <c r="AH2369" s="10" t="n">
        <f aca="false">IF(ISNUMBER(SEARCH("/",B2369)),DATE(VALUE(RIGHT(B2369,4)),VALUE(MID(B2369,4,2)),VALUE(LEFT(B2369,2))),IF(MID(B2369,5,1)="-",DATE(VALUE(LEFT(B2369,4)),VALUE(MID(B2369,6,2)),VALUE(RIGHT(B2369,2))),DATE(VALUE(RIGHT(B2369,4)),MATCH(MID(B2369,4,3),{"Jan","Feb","Mar","Apr","May","Jun","Jul","Aug","Sep","Oct","Nov","Dec"},0),VALUE(LEFT(B2369,2)))))</f>
        <v>45733</v>
      </c>
    </row>
    <row r="2370" customFormat="false" ht="15" hidden="false" customHeight="false" outlineLevel="0" collapsed="false">
      <c r="A2370" s="7" t="s">
        <v>5286</v>
      </c>
      <c r="B2370" s="7" t="s">
        <v>5287</v>
      </c>
      <c r="C2370" s="7" t="s">
        <v>1626</v>
      </c>
      <c r="D2370" s="7" t="s">
        <v>737</v>
      </c>
      <c r="E2370" s="7" t="s">
        <v>89</v>
      </c>
      <c r="F2370" s="7" t="s">
        <v>86</v>
      </c>
      <c r="G2370" s="7" t="s">
        <v>90</v>
      </c>
      <c r="H2370" s="7" t="n">
        <v>1</v>
      </c>
      <c r="I2370" s="7" t="n">
        <v>255</v>
      </c>
      <c r="J2370" s="7" t="n">
        <v>100</v>
      </c>
      <c r="K2370" s="7" t="s">
        <v>93</v>
      </c>
      <c r="L2370" s="7" t="s">
        <v>194</v>
      </c>
      <c r="M2370" s="7" t="n">
        <v>46</v>
      </c>
      <c r="N2370" s="7" t="n">
        <v>4</v>
      </c>
      <c r="O2370" s="7" t="str">
        <f aca="false">A2370&amp;"|"&amp;B2370&amp;"|"&amp;C2370&amp;"|"&amp;D2370&amp;"|"&amp;E2370&amp;"|"&amp;F2370&amp;"|"&amp;G2370&amp;"|"&amp;H2370&amp;"|"&amp;I2370&amp;"|"&amp;J2370&amp;"|"&amp;K2370&amp;"|"&amp;L2370&amp;"|"&amp;M2370&amp;"|"&amp;N2370</f>
        <v>ORD11965|12/09/2025|11:40|C0519|Spice Junction|Bengaluru|North Indian|1|255|100|Credit Card|Delivered|46|4</v>
      </c>
      <c r="P2370" s="7" t="str">
        <f aca="false">IF(COUNTIF($O$2:O2370,O2370)&gt;1,"DUP","OK")</f>
        <v>OK</v>
      </c>
      <c r="Q2370" s="7" t="n">
        <f aca="false">COUNTBLANK(A2370:N2370)</f>
        <v>0</v>
      </c>
      <c r="R2370" s="7" t="n">
        <f aca="false">IF(A2370="",0,COUNTIFS($A$2:$A$3058,A2370,$P$2:$P$3058,"OK"))</f>
        <v>1</v>
      </c>
      <c r="S2370" s="7" t="str">
        <f aca="false">IF(OR(A2370="",P2370="DUP",R2370&lt;2),"",IF(Q2370=_xlfn.MINIFS($Q$2:$Q$3058,$A$2:$A$3058,A2370,$P$2:$P$3058,"OK"),"KEEP","DROP"))</f>
        <v/>
      </c>
      <c r="T2370" s="9" t="n">
        <f aca="false">IF(A2370="",1,0)</f>
        <v>0</v>
      </c>
      <c r="U2370" s="9" t="n">
        <f aca="false">IF(D2370="",1,0)</f>
        <v>0</v>
      </c>
      <c r="V2370" s="9" t="n">
        <f aca="false">IF(E2370="",1,0)</f>
        <v>0</v>
      </c>
      <c r="W2370" s="9" t="n">
        <f aca="false">IF(OR(H2370&lt;1,H2370&gt;10),1,0)</f>
        <v>0</v>
      </c>
      <c r="X2370" s="9" t="n">
        <f aca="false">IF(OR(I2370&lt;=0,I2370&gt;1500),1,0)</f>
        <v>0</v>
      </c>
      <c r="Y2370" s="9" t="n">
        <f aca="false">IF(J2370&gt;H2370*I2370,1,0)</f>
        <v>0</v>
      </c>
      <c r="Z2370" s="9" t="n">
        <f aca="false">IF(AND(N2370&lt;&gt;"",OR(N2370&lt;1,N2370&gt;5)),1,0)</f>
        <v>0</v>
      </c>
      <c r="AA2370" s="9" t="n">
        <f aca="false">IF(AND(M2370&lt;&gt;"",OR(M2370&lt;5,M2370&gt;180)),1,0)</f>
        <v>0</v>
      </c>
      <c r="AB2370" s="7" t="str">
        <f aca="false">IF(P2370="DUP","Exact duplicate row",IF(T2370=1,"Missing Order ID",IF(S2370="DROP","Duplicate Order ID (less complete row)",IF(U2370=1,"Missing Customer ID",IF(V2370=1,"Missing Restaurant name",IF(W2370=1,"Invalid/outlier quantity",IF(X2370=1,"Invalid/outlier unit price",IF(Y2370=1,"Discount greater than order value",""))))))))</f>
        <v/>
      </c>
      <c r="AC2370" s="7" t="str">
        <f aca="false">IF(AB2370="","KEEP","DROP")</f>
        <v>KEEP</v>
      </c>
      <c r="AD2370" s="7" t="str">
        <f aca="false">IF(TRIM(F2370)="",IFERROR(INDEX(Map_Tables!$I$4:$I$37,MATCH(TRIM(E2370),Map_Tables!$G$4:$G$37,0)),""),IFERROR(INDEX(Map_Tables!$B$4:$B$18,MATCH(TRIM(F2370),Map_Tables!$A$4:$A$18,0)),"CHECK"))</f>
        <v>Bengaluru</v>
      </c>
      <c r="AE2370" s="7" t="str">
        <f aca="false">IF(TRIM(E2370)="","",IFERROR(INDEX(Map_Tables!$H$4:$H$37,MATCH(TRIM(E2370),Map_Tables!$G$4:$G$37,0)),"CHECK"))</f>
        <v>Spice Junction</v>
      </c>
      <c r="AF2370" s="7" t="str">
        <f aca="false">IF(TRIM(K2370)="","Unknown",IFERROR(INDEX(Map_Tables!$E$4:$E$15,MATCH(TRIM(K2370),Map_Tables!$D$4:$D$15,0)),"CHECK"))</f>
        <v>Credit Card</v>
      </c>
      <c r="AG2370" s="7" t="str">
        <f aca="false">IF(LEFT(LOWER(TRIM(L2370)),6)="cancel","Cancelled","Delivered")</f>
        <v>Delivered</v>
      </c>
      <c r="AH2370" s="10" t="n">
        <f aca="false">IF(ISNUMBER(SEARCH("/",B2370)),DATE(VALUE(RIGHT(B2370,4)),VALUE(MID(B2370,4,2)),VALUE(LEFT(B2370,2))),IF(MID(B2370,5,1)="-",DATE(VALUE(LEFT(B2370,4)),VALUE(MID(B2370,6,2)),VALUE(RIGHT(B2370,2))),DATE(VALUE(RIGHT(B2370,4)),MATCH(MID(B2370,4,3),{"Jan","Feb","Mar","Apr","May","Jun","Jul","Aug","Sep","Oct","Nov","Dec"},0),VALUE(LEFT(B2370,2)))))</f>
        <v>45912</v>
      </c>
    </row>
    <row r="2371" customFormat="false" ht="15" hidden="false" customHeight="false" outlineLevel="0" collapsed="false">
      <c r="A2371" s="7" t="s">
        <v>5288</v>
      </c>
      <c r="B2371" s="7" t="s">
        <v>1951</v>
      </c>
      <c r="C2371" s="7" t="s">
        <v>547</v>
      </c>
      <c r="D2371" s="7" t="s">
        <v>4728</v>
      </c>
      <c r="E2371" s="7" t="s">
        <v>116</v>
      </c>
      <c r="F2371" s="7" t="s">
        <v>100</v>
      </c>
      <c r="G2371" s="7" t="s">
        <v>117</v>
      </c>
      <c r="H2371" s="7" t="n">
        <v>3</v>
      </c>
      <c r="I2371" s="7" t="n">
        <v>140</v>
      </c>
      <c r="J2371" s="7" t="n">
        <v>40</v>
      </c>
      <c r="K2371" s="7" t="s">
        <v>103</v>
      </c>
      <c r="L2371" s="7" t="s">
        <v>194</v>
      </c>
      <c r="M2371" s="7" t="n">
        <v>50</v>
      </c>
      <c r="N2371" s="7" t="n">
        <v>4</v>
      </c>
      <c r="O2371" s="7" t="str">
        <f aca="false">A2371&amp;"|"&amp;B2371&amp;"|"&amp;C2371&amp;"|"&amp;D2371&amp;"|"&amp;E2371&amp;"|"&amp;F2371&amp;"|"&amp;G2371&amp;"|"&amp;H2371&amp;"|"&amp;I2371&amp;"|"&amp;J2371&amp;"|"&amp;K2371&amp;"|"&amp;L2371&amp;"|"&amp;M2371&amp;"|"&amp;N2371</f>
        <v>ORD11014|2025-05-09|11:20|C0600|Pav Bhaji Point|mumbai|Street Food|3|140|40|Debit Card|Delivered|50|4</v>
      </c>
      <c r="P2371" s="7" t="str">
        <f aca="false">IF(COUNTIF($O$2:O2371,O2371)&gt;1,"DUP","OK")</f>
        <v>OK</v>
      </c>
      <c r="Q2371" s="7" t="n">
        <f aca="false">COUNTBLANK(A2371:N2371)</f>
        <v>0</v>
      </c>
      <c r="R2371" s="7" t="n">
        <f aca="false">IF(A2371="",0,COUNTIFS($A$2:$A$3058,A2371,$P$2:$P$3058,"OK"))</f>
        <v>1</v>
      </c>
      <c r="S2371" s="7" t="str">
        <f aca="false">IF(OR(A2371="",P2371="DUP",R2371&lt;2),"",IF(Q2371=_xlfn.MINIFS($Q$2:$Q$3058,$A$2:$A$3058,A2371,$P$2:$P$3058,"OK"),"KEEP","DROP"))</f>
        <v/>
      </c>
      <c r="T2371" s="9" t="n">
        <f aca="false">IF(A2371="",1,0)</f>
        <v>0</v>
      </c>
      <c r="U2371" s="9" t="n">
        <f aca="false">IF(D2371="",1,0)</f>
        <v>0</v>
      </c>
      <c r="V2371" s="9" t="n">
        <f aca="false">IF(E2371="",1,0)</f>
        <v>0</v>
      </c>
      <c r="W2371" s="9" t="n">
        <f aca="false">IF(OR(H2371&lt;1,H2371&gt;10),1,0)</f>
        <v>0</v>
      </c>
      <c r="X2371" s="9" t="n">
        <f aca="false">IF(OR(I2371&lt;=0,I2371&gt;1500),1,0)</f>
        <v>0</v>
      </c>
      <c r="Y2371" s="9" t="n">
        <f aca="false">IF(J2371&gt;H2371*I2371,1,0)</f>
        <v>0</v>
      </c>
      <c r="Z2371" s="9" t="n">
        <f aca="false">IF(AND(N2371&lt;&gt;"",OR(N2371&lt;1,N2371&gt;5)),1,0)</f>
        <v>0</v>
      </c>
      <c r="AA2371" s="9" t="n">
        <f aca="false">IF(AND(M2371&lt;&gt;"",OR(M2371&lt;5,M2371&gt;180)),1,0)</f>
        <v>0</v>
      </c>
      <c r="AB2371" s="7" t="str">
        <f aca="false">IF(P2371="DUP","Exact duplicate row",IF(T2371=1,"Missing Order ID",IF(S2371="DROP","Duplicate Order ID (less complete row)",IF(U2371=1,"Missing Customer ID",IF(V2371=1,"Missing Restaurant name",IF(W2371=1,"Invalid/outlier quantity",IF(X2371=1,"Invalid/outlier unit price",IF(Y2371=1,"Discount greater than order value",""))))))))</f>
        <v/>
      </c>
      <c r="AC2371" s="7" t="str">
        <f aca="false">IF(AB2371="","KEEP","DROP")</f>
        <v>KEEP</v>
      </c>
      <c r="AD2371" s="7" t="str">
        <f aca="false">IF(TRIM(F2371)="",IFERROR(INDEX(Map_Tables!$I$4:$I$37,MATCH(TRIM(E2371),Map_Tables!$G$4:$G$37,0)),""),IFERROR(INDEX(Map_Tables!$B$4:$B$18,MATCH(TRIM(F2371),Map_Tables!$A$4:$A$18,0)),"CHECK"))</f>
        <v>Mumbai</v>
      </c>
      <c r="AE2371" s="7" t="str">
        <f aca="false">IF(TRIM(E2371)="","",IFERROR(INDEX(Map_Tables!$H$4:$H$37,MATCH(TRIM(E2371),Map_Tables!$G$4:$G$37,0)),"CHECK"))</f>
        <v>Pav Bhaji Point</v>
      </c>
      <c r="AF2371" s="7" t="str">
        <f aca="false">IF(TRIM(K2371)="","Unknown",IFERROR(INDEX(Map_Tables!$E$4:$E$15,MATCH(TRIM(K2371),Map_Tables!$D$4:$D$15,0)),"CHECK"))</f>
        <v>Debit Card</v>
      </c>
      <c r="AG2371" s="7" t="str">
        <f aca="false">IF(LEFT(LOWER(TRIM(L2371)),6)="cancel","Cancelled","Delivered")</f>
        <v>Delivered</v>
      </c>
      <c r="AH2371" s="10" t="n">
        <f aca="false">IF(ISNUMBER(SEARCH("/",B2371)),DATE(VALUE(RIGHT(B2371,4)),VALUE(MID(B2371,4,2)),VALUE(LEFT(B2371,2))),IF(MID(B2371,5,1)="-",DATE(VALUE(LEFT(B2371,4)),VALUE(MID(B2371,6,2)),VALUE(RIGHT(B2371,2))),DATE(VALUE(RIGHT(B2371,4)),MATCH(MID(B2371,4,3),{"Jan","Feb","Mar","Apr","May","Jun","Jul","Aug","Sep","Oct","Nov","Dec"},0),VALUE(LEFT(B2371,2)))))</f>
        <v>45786</v>
      </c>
    </row>
    <row r="2372" customFormat="false" ht="15" hidden="false" customHeight="false" outlineLevel="0" collapsed="false">
      <c r="A2372" s="7" t="s">
        <v>5289</v>
      </c>
      <c r="B2372" s="7" t="s">
        <v>3122</v>
      </c>
      <c r="C2372" s="7" t="s">
        <v>2125</v>
      </c>
      <c r="D2372" s="7" t="s">
        <v>5290</v>
      </c>
      <c r="E2372" s="7" t="s">
        <v>164</v>
      </c>
      <c r="F2372" s="7" t="s">
        <v>141</v>
      </c>
      <c r="G2372" s="7" t="s">
        <v>150</v>
      </c>
      <c r="H2372" s="7" t="n">
        <v>2</v>
      </c>
      <c r="I2372" s="7" t="n">
        <v>130</v>
      </c>
      <c r="J2372" s="7" t="n">
        <v>0</v>
      </c>
      <c r="K2372" s="7" t="s">
        <v>112</v>
      </c>
      <c r="L2372" s="7" t="s">
        <v>194</v>
      </c>
      <c r="M2372" s="7" t="n">
        <v>52</v>
      </c>
      <c r="N2372" s="7"/>
      <c r="O2372" s="7" t="str">
        <f aca="false">A2372&amp;"|"&amp;B2372&amp;"|"&amp;C2372&amp;"|"&amp;D2372&amp;"|"&amp;E2372&amp;"|"&amp;F2372&amp;"|"&amp;G2372&amp;"|"&amp;H2372&amp;"|"&amp;I2372&amp;"|"&amp;J2372&amp;"|"&amp;K2372&amp;"|"&amp;L2372&amp;"|"&amp;M2372&amp;"|"&amp;N2372</f>
        <v>ORD12496|2025-11-09|17:20|C0887|Mishti Mandir|Kolkata|Desserts|2|130|0|Cash on Delivery|Delivered|52|</v>
      </c>
      <c r="P2372" s="7" t="str">
        <f aca="false">IF(COUNTIF($O$2:O2372,O2372)&gt;1,"DUP","OK")</f>
        <v>OK</v>
      </c>
      <c r="Q2372" s="7" t="n">
        <f aca="false">COUNTBLANK(A2372:N2372)</f>
        <v>1</v>
      </c>
      <c r="R2372" s="7" t="n">
        <f aca="false">IF(A2372="",0,COUNTIFS($A$2:$A$3058,A2372,$P$2:$P$3058,"OK"))</f>
        <v>1</v>
      </c>
      <c r="S2372" s="7" t="str">
        <f aca="false">IF(OR(A2372="",P2372="DUP",R2372&lt;2),"",IF(Q2372=_xlfn.MINIFS($Q$2:$Q$3058,$A$2:$A$3058,A2372,$P$2:$P$3058,"OK"),"KEEP","DROP"))</f>
        <v/>
      </c>
      <c r="T2372" s="9" t="n">
        <f aca="false">IF(A2372="",1,0)</f>
        <v>0</v>
      </c>
      <c r="U2372" s="9" t="n">
        <f aca="false">IF(D2372="",1,0)</f>
        <v>0</v>
      </c>
      <c r="V2372" s="9" t="n">
        <f aca="false">IF(E2372="",1,0)</f>
        <v>0</v>
      </c>
      <c r="W2372" s="9" t="n">
        <f aca="false">IF(OR(H2372&lt;1,H2372&gt;10),1,0)</f>
        <v>0</v>
      </c>
      <c r="X2372" s="9" t="n">
        <f aca="false">IF(OR(I2372&lt;=0,I2372&gt;1500),1,0)</f>
        <v>0</v>
      </c>
      <c r="Y2372" s="9" t="n">
        <f aca="false">IF(J2372&gt;H2372*I2372,1,0)</f>
        <v>0</v>
      </c>
      <c r="Z2372" s="9" t="n">
        <f aca="false">IF(AND(N2372&lt;&gt;"",OR(N2372&lt;1,N2372&gt;5)),1,0)</f>
        <v>0</v>
      </c>
      <c r="AA2372" s="9" t="n">
        <f aca="false">IF(AND(M2372&lt;&gt;"",OR(M2372&lt;5,M2372&gt;180)),1,0)</f>
        <v>0</v>
      </c>
      <c r="AB2372" s="7" t="str">
        <f aca="false">IF(P2372="DUP","Exact duplicate row",IF(T2372=1,"Missing Order ID",IF(S2372="DROP","Duplicate Order ID (less complete row)",IF(U2372=1,"Missing Customer ID",IF(V2372=1,"Missing Restaurant name",IF(W2372=1,"Invalid/outlier quantity",IF(X2372=1,"Invalid/outlier unit price",IF(Y2372=1,"Discount greater than order value",""))))))))</f>
        <v/>
      </c>
      <c r="AC2372" s="7" t="str">
        <f aca="false">IF(AB2372="","KEEP","DROP")</f>
        <v>KEEP</v>
      </c>
      <c r="AD2372" s="7" t="str">
        <f aca="false">IF(TRIM(F2372)="",IFERROR(INDEX(Map_Tables!$I$4:$I$37,MATCH(TRIM(E2372),Map_Tables!$G$4:$G$37,0)),""),IFERROR(INDEX(Map_Tables!$B$4:$B$18,MATCH(TRIM(F2372),Map_Tables!$A$4:$A$18,0)),"CHECK"))</f>
        <v>Kolkata</v>
      </c>
      <c r="AE2372" s="7" t="str">
        <f aca="false">IF(TRIM(E2372)="","",IFERROR(INDEX(Map_Tables!$H$4:$H$37,MATCH(TRIM(E2372),Map_Tables!$G$4:$G$37,0)),"CHECK"))</f>
        <v>Mishti Mandir</v>
      </c>
      <c r="AF2372" s="7" t="str">
        <f aca="false">IF(TRIM(K2372)="","Unknown",IFERROR(INDEX(Map_Tables!$E$4:$E$15,MATCH(TRIM(K2372),Map_Tables!$D$4:$D$15,0)),"CHECK"))</f>
        <v>Cash on Delivery</v>
      </c>
      <c r="AG2372" s="7" t="str">
        <f aca="false">IF(LEFT(LOWER(TRIM(L2372)),6)="cancel","Cancelled","Delivered")</f>
        <v>Delivered</v>
      </c>
      <c r="AH2372" s="10" t="n">
        <f aca="false">IF(ISNUMBER(SEARCH("/",B2372)),DATE(VALUE(RIGHT(B2372,4)),VALUE(MID(B2372,4,2)),VALUE(LEFT(B2372,2))),IF(MID(B2372,5,1)="-",DATE(VALUE(LEFT(B2372,4)),VALUE(MID(B2372,6,2)),VALUE(RIGHT(B2372,2))),DATE(VALUE(RIGHT(B2372,4)),MATCH(MID(B2372,4,3),{"Jan","Feb","Mar","Apr","May","Jun","Jul","Aug","Sep","Oct","Nov","Dec"},0),VALUE(LEFT(B2372,2)))))</f>
        <v>45970</v>
      </c>
    </row>
    <row r="2373" customFormat="false" ht="15" hidden="false" customHeight="false" outlineLevel="0" collapsed="false">
      <c r="A2373" s="7" t="s">
        <v>5291</v>
      </c>
      <c r="B2373" s="7" t="s">
        <v>1144</v>
      </c>
      <c r="C2373" s="7" t="s">
        <v>284</v>
      </c>
      <c r="D2373" s="7" t="s">
        <v>797</v>
      </c>
      <c r="E2373" s="7" t="s">
        <v>113</v>
      </c>
      <c r="F2373" s="7" t="s">
        <v>101</v>
      </c>
      <c r="G2373" s="7" t="s">
        <v>90</v>
      </c>
      <c r="H2373" s="7" t="n">
        <v>4</v>
      </c>
      <c r="I2373" s="7" t="n">
        <v>280</v>
      </c>
      <c r="J2373" s="7" t="n">
        <v>0</v>
      </c>
      <c r="K2373" s="7" t="s">
        <v>93</v>
      </c>
      <c r="L2373" s="7" t="s">
        <v>194</v>
      </c>
      <c r="M2373" s="7" t="n">
        <v>39</v>
      </c>
      <c r="N2373" s="7" t="n">
        <v>4</v>
      </c>
      <c r="O2373" s="7" t="str">
        <f aca="false">A2373&amp;"|"&amp;B2373&amp;"|"&amp;C2373&amp;"|"&amp;D2373&amp;"|"&amp;E2373&amp;"|"&amp;F2373&amp;"|"&amp;G2373&amp;"|"&amp;H2373&amp;"|"&amp;I2373&amp;"|"&amp;J2373&amp;"|"&amp;K2373&amp;"|"&amp;L2373&amp;"|"&amp;M2373&amp;"|"&amp;N2373</f>
        <v>ORD11428|2025-07-05|11:51|C0944|Curry Leaf Kitchen|Mumbai|North Indian|4|280|0|Credit Card|Delivered|39|4</v>
      </c>
      <c r="P2373" s="7" t="str">
        <f aca="false">IF(COUNTIF($O$2:O2373,O2373)&gt;1,"DUP","OK")</f>
        <v>OK</v>
      </c>
      <c r="Q2373" s="7" t="n">
        <f aca="false">COUNTBLANK(A2373:N2373)</f>
        <v>0</v>
      </c>
      <c r="R2373" s="7" t="n">
        <f aca="false">IF(A2373="",0,COUNTIFS($A$2:$A$3058,A2373,$P$2:$P$3058,"OK"))</f>
        <v>1</v>
      </c>
      <c r="S2373" s="7" t="str">
        <f aca="false">IF(OR(A2373="",P2373="DUP",R2373&lt;2),"",IF(Q2373=_xlfn.MINIFS($Q$2:$Q$3058,$A$2:$A$3058,A2373,$P$2:$P$3058,"OK"),"KEEP","DROP"))</f>
        <v/>
      </c>
      <c r="T2373" s="9" t="n">
        <f aca="false">IF(A2373="",1,0)</f>
        <v>0</v>
      </c>
      <c r="U2373" s="9" t="n">
        <f aca="false">IF(D2373="",1,0)</f>
        <v>0</v>
      </c>
      <c r="V2373" s="9" t="n">
        <f aca="false">IF(E2373="",1,0)</f>
        <v>0</v>
      </c>
      <c r="W2373" s="9" t="n">
        <f aca="false">IF(OR(H2373&lt;1,H2373&gt;10),1,0)</f>
        <v>0</v>
      </c>
      <c r="X2373" s="9" t="n">
        <f aca="false">IF(OR(I2373&lt;=0,I2373&gt;1500),1,0)</f>
        <v>0</v>
      </c>
      <c r="Y2373" s="9" t="n">
        <f aca="false">IF(J2373&gt;H2373*I2373,1,0)</f>
        <v>0</v>
      </c>
      <c r="Z2373" s="9" t="n">
        <f aca="false">IF(AND(N2373&lt;&gt;"",OR(N2373&lt;1,N2373&gt;5)),1,0)</f>
        <v>0</v>
      </c>
      <c r="AA2373" s="9" t="n">
        <f aca="false">IF(AND(M2373&lt;&gt;"",OR(M2373&lt;5,M2373&gt;180)),1,0)</f>
        <v>0</v>
      </c>
      <c r="AB2373" s="7" t="str">
        <f aca="false">IF(P2373="DUP","Exact duplicate row",IF(T2373=1,"Missing Order ID",IF(S2373="DROP","Duplicate Order ID (less complete row)",IF(U2373=1,"Missing Customer ID",IF(V2373=1,"Missing Restaurant name",IF(W2373=1,"Invalid/outlier quantity",IF(X2373=1,"Invalid/outlier unit price",IF(Y2373=1,"Discount greater than order value",""))))))))</f>
        <v/>
      </c>
      <c r="AC2373" s="7" t="str">
        <f aca="false">IF(AB2373="","KEEP","DROP")</f>
        <v>KEEP</v>
      </c>
      <c r="AD2373" s="7" t="str">
        <f aca="false">IF(TRIM(F2373)="",IFERROR(INDEX(Map_Tables!$I$4:$I$37,MATCH(TRIM(E2373),Map_Tables!$G$4:$G$37,0)),""),IFERROR(INDEX(Map_Tables!$B$4:$B$18,MATCH(TRIM(F2373),Map_Tables!$A$4:$A$18,0)),"CHECK"))</f>
        <v>Mumbai</v>
      </c>
      <c r="AE2373" s="7" t="str">
        <f aca="false">IF(TRIM(E2373)="","",IFERROR(INDEX(Map_Tables!$H$4:$H$37,MATCH(TRIM(E2373),Map_Tables!$G$4:$G$37,0)),"CHECK"))</f>
        <v>Curry Leaf Kitchen</v>
      </c>
      <c r="AF2373" s="7" t="str">
        <f aca="false">IF(TRIM(K2373)="","Unknown",IFERROR(INDEX(Map_Tables!$E$4:$E$15,MATCH(TRIM(K2373),Map_Tables!$D$4:$D$15,0)),"CHECK"))</f>
        <v>Credit Card</v>
      </c>
      <c r="AG2373" s="7" t="str">
        <f aca="false">IF(LEFT(LOWER(TRIM(L2373)),6)="cancel","Cancelled","Delivered")</f>
        <v>Delivered</v>
      </c>
      <c r="AH2373" s="10" t="n">
        <f aca="false">IF(ISNUMBER(SEARCH("/",B2373)),DATE(VALUE(RIGHT(B2373,4)),VALUE(MID(B2373,4,2)),VALUE(LEFT(B2373,2))),IF(MID(B2373,5,1)="-",DATE(VALUE(LEFT(B2373,4)),VALUE(MID(B2373,6,2)),VALUE(RIGHT(B2373,2))),DATE(VALUE(RIGHT(B2373,4)),MATCH(MID(B2373,4,3),{"Jan","Feb","Mar","Apr","May","Jun","Jul","Aug","Sep","Oct","Nov","Dec"},0),VALUE(LEFT(B2373,2)))))</f>
        <v>45843</v>
      </c>
    </row>
    <row r="2374" customFormat="false" ht="15" hidden="false" customHeight="false" outlineLevel="0" collapsed="false">
      <c r="A2374" s="7" t="s">
        <v>5292</v>
      </c>
      <c r="B2374" s="7" t="s">
        <v>5293</v>
      </c>
      <c r="C2374" s="7" t="s">
        <v>2781</v>
      </c>
      <c r="D2374" s="7" t="s">
        <v>5294</v>
      </c>
      <c r="E2374" s="7" t="s">
        <v>161</v>
      </c>
      <c r="F2374" s="7" t="s">
        <v>141</v>
      </c>
      <c r="G2374" s="7" t="s">
        <v>117</v>
      </c>
      <c r="H2374" s="7" t="n">
        <v>1</v>
      </c>
      <c r="I2374" s="7" t="n">
        <v>155</v>
      </c>
      <c r="J2374" s="7" t="n">
        <v>62</v>
      </c>
      <c r="K2374" s="7" t="s">
        <v>112</v>
      </c>
      <c r="L2374" s="7" t="s">
        <v>194</v>
      </c>
      <c r="M2374" s="7" t="n">
        <v>39</v>
      </c>
      <c r="N2374" s="7"/>
      <c r="O2374" s="7" t="str">
        <f aca="false">A2374&amp;"|"&amp;B2374&amp;"|"&amp;C2374&amp;"|"&amp;D2374&amp;"|"&amp;E2374&amp;"|"&amp;F2374&amp;"|"&amp;G2374&amp;"|"&amp;H2374&amp;"|"&amp;I2374&amp;"|"&amp;J2374&amp;"|"&amp;K2374&amp;"|"&amp;L2374&amp;"|"&amp;M2374&amp;"|"&amp;N2374</f>
        <v>ORD12013|18-Sep-2025|13:19|C0661|Bengal Bites|Kolkata|Street Food|1|155|62|Cash on Delivery|Delivered|39|</v>
      </c>
      <c r="P2374" s="7" t="str">
        <f aca="false">IF(COUNTIF($O$2:O2374,O2374)&gt;1,"DUP","OK")</f>
        <v>OK</v>
      </c>
      <c r="Q2374" s="7" t="n">
        <f aca="false">COUNTBLANK(A2374:N2374)</f>
        <v>1</v>
      </c>
      <c r="R2374" s="7" t="n">
        <f aca="false">IF(A2374="",0,COUNTIFS($A$2:$A$3058,A2374,$P$2:$P$3058,"OK"))</f>
        <v>1</v>
      </c>
      <c r="S2374" s="7" t="str">
        <f aca="false">IF(OR(A2374="",P2374="DUP",R2374&lt;2),"",IF(Q2374=_xlfn.MINIFS($Q$2:$Q$3058,$A$2:$A$3058,A2374,$P$2:$P$3058,"OK"),"KEEP","DROP"))</f>
        <v/>
      </c>
      <c r="T2374" s="9" t="n">
        <f aca="false">IF(A2374="",1,0)</f>
        <v>0</v>
      </c>
      <c r="U2374" s="9" t="n">
        <f aca="false">IF(D2374="",1,0)</f>
        <v>0</v>
      </c>
      <c r="V2374" s="9" t="n">
        <f aca="false">IF(E2374="",1,0)</f>
        <v>0</v>
      </c>
      <c r="W2374" s="9" t="n">
        <f aca="false">IF(OR(H2374&lt;1,H2374&gt;10),1,0)</f>
        <v>0</v>
      </c>
      <c r="X2374" s="9" t="n">
        <f aca="false">IF(OR(I2374&lt;=0,I2374&gt;1500),1,0)</f>
        <v>0</v>
      </c>
      <c r="Y2374" s="9" t="n">
        <f aca="false">IF(J2374&gt;H2374*I2374,1,0)</f>
        <v>0</v>
      </c>
      <c r="Z2374" s="9" t="n">
        <f aca="false">IF(AND(N2374&lt;&gt;"",OR(N2374&lt;1,N2374&gt;5)),1,0)</f>
        <v>0</v>
      </c>
      <c r="AA2374" s="9" t="n">
        <f aca="false">IF(AND(M2374&lt;&gt;"",OR(M2374&lt;5,M2374&gt;180)),1,0)</f>
        <v>0</v>
      </c>
      <c r="AB2374" s="7" t="str">
        <f aca="false">IF(P2374="DUP","Exact duplicate row",IF(T2374=1,"Missing Order ID",IF(S2374="DROP","Duplicate Order ID (less complete row)",IF(U2374=1,"Missing Customer ID",IF(V2374=1,"Missing Restaurant name",IF(W2374=1,"Invalid/outlier quantity",IF(X2374=1,"Invalid/outlier unit price",IF(Y2374=1,"Discount greater than order value",""))))))))</f>
        <v/>
      </c>
      <c r="AC2374" s="7" t="str">
        <f aca="false">IF(AB2374="","KEEP","DROP")</f>
        <v>KEEP</v>
      </c>
      <c r="AD2374" s="7" t="str">
        <f aca="false">IF(TRIM(F2374)="",IFERROR(INDEX(Map_Tables!$I$4:$I$37,MATCH(TRIM(E2374),Map_Tables!$G$4:$G$37,0)),""),IFERROR(INDEX(Map_Tables!$B$4:$B$18,MATCH(TRIM(F2374),Map_Tables!$A$4:$A$18,0)),"CHECK"))</f>
        <v>Kolkata</v>
      </c>
      <c r="AE2374" s="7" t="str">
        <f aca="false">IF(TRIM(E2374)="","",IFERROR(INDEX(Map_Tables!$H$4:$H$37,MATCH(TRIM(E2374),Map_Tables!$G$4:$G$37,0)),"CHECK"))</f>
        <v>Bengal Bites</v>
      </c>
      <c r="AF2374" s="7" t="str">
        <f aca="false">IF(TRIM(K2374)="","Unknown",IFERROR(INDEX(Map_Tables!$E$4:$E$15,MATCH(TRIM(K2374),Map_Tables!$D$4:$D$15,0)),"CHECK"))</f>
        <v>Cash on Delivery</v>
      </c>
      <c r="AG2374" s="7" t="str">
        <f aca="false">IF(LEFT(LOWER(TRIM(L2374)),6)="cancel","Cancelled","Delivered")</f>
        <v>Delivered</v>
      </c>
      <c r="AH2374" s="10" t="n">
        <f aca="false">IF(ISNUMBER(SEARCH("/",B2374)),DATE(VALUE(RIGHT(B2374,4)),VALUE(MID(B2374,4,2)),VALUE(LEFT(B2374,2))),IF(MID(B2374,5,1)="-",DATE(VALUE(LEFT(B2374,4)),VALUE(MID(B2374,6,2)),VALUE(RIGHT(B2374,2))),DATE(VALUE(RIGHT(B2374,4)),MATCH(MID(B2374,4,3),{"Jan","Feb","Mar","Apr","May","Jun","Jul","Aug","Sep","Oct","Nov","Dec"},0),VALUE(LEFT(B2374,2)))))</f>
        <v>45918</v>
      </c>
    </row>
    <row r="2375" customFormat="false" ht="15" hidden="false" customHeight="false" outlineLevel="0" collapsed="false">
      <c r="A2375" s="7" t="s">
        <v>5295</v>
      </c>
      <c r="B2375" s="7" t="s">
        <v>1930</v>
      </c>
      <c r="C2375" s="7" t="s">
        <v>1486</v>
      </c>
      <c r="D2375" s="7" t="s">
        <v>3737</v>
      </c>
      <c r="E2375" s="7" t="s">
        <v>126</v>
      </c>
      <c r="F2375" s="7" t="s">
        <v>101</v>
      </c>
      <c r="G2375" s="7" t="s">
        <v>105</v>
      </c>
      <c r="H2375" s="7" t="n">
        <v>1</v>
      </c>
      <c r="I2375" s="7" t="n">
        <v>210</v>
      </c>
      <c r="J2375" s="7" t="n">
        <v>0</v>
      </c>
      <c r="K2375" s="7" t="s">
        <v>88</v>
      </c>
      <c r="L2375" s="7" t="s">
        <v>194</v>
      </c>
      <c r="M2375" s="7" t="n">
        <v>27</v>
      </c>
      <c r="N2375" s="7" t="n">
        <v>5</v>
      </c>
      <c r="O2375" s="7" t="str">
        <f aca="false">A2375&amp;"|"&amp;B2375&amp;"|"&amp;C2375&amp;"|"&amp;D2375&amp;"|"&amp;E2375&amp;"|"&amp;F2375&amp;"|"&amp;G2375&amp;"|"&amp;H2375&amp;"|"&amp;I2375&amp;"|"&amp;J2375&amp;"|"&amp;K2375&amp;"|"&amp;L2375&amp;"|"&amp;M2375&amp;"|"&amp;N2375</f>
        <v>ORD11387|2025-06-29|11:43|C0897|Dragon Express|Mumbai|Chinese|1|210|0|UPI|Delivered|27|5</v>
      </c>
      <c r="P2375" s="7" t="str">
        <f aca="false">IF(COUNTIF($O$2:O2375,O2375)&gt;1,"DUP","OK")</f>
        <v>OK</v>
      </c>
      <c r="Q2375" s="7" t="n">
        <f aca="false">COUNTBLANK(A2375:N2375)</f>
        <v>0</v>
      </c>
      <c r="R2375" s="7" t="n">
        <f aca="false">IF(A2375="",0,COUNTIFS($A$2:$A$3058,A2375,$P$2:$P$3058,"OK"))</f>
        <v>1</v>
      </c>
      <c r="S2375" s="7" t="str">
        <f aca="false">IF(OR(A2375="",P2375="DUP",R2375&lt;2),"",IF(Q2375=_xlfn.MINIFS($Q$2:$Q$3058,$A$2:$A$3058,A2375,$P$2:$P$3058,"OK"),"KEEP","DROP"))</f>
        <v/>
      </c>
      <c r="T2375" s="9" t="n">
        <f aca="false">IF(A2375="",1,0)</f>
        <v>0</v>
      </c>
      <c r="U2375" s="9" t="n">
        <f aca="false">IF(D2375="",1,0)</f>
        <v>0</v>
      </c>
      <c r="V2375" s="9" t="n">
        <f aca="false">IF(E2375="",1,0)</f>
        <v>0</v>
      </c>
      <c r="W2375" s="9" t="n">
        <f aca="false">IF(OR(H2375&lt;1,H2375&gt;10),1,0)</f>
        <v>0</v>
      </c>
      <c r="X2375" s="9" t="n">
        <f aca="false">IF(OR(I2375&lt;=0,I2375&gt;1500),1,0)</f>
        <v>0</v>
      </c>
      <c r="Y2375" s="9" t="n">
        <f aca="false">IF(J2375&gt;H2375*I2375,1,0)</f>
        <v>0</v>
      </c>
      <c r="Z2375" s="9" t="n">
        <f aca="false">IF(AND(N2375&lt;&gt;"",OR(N2375&lt;1,N2375&gt;5)),1,0)</f>
        <v>0</v>
      </c>
      <c r="AA2375" s="9" t="n">
        <f aca="false">IF(AND(M2375&lt;&gt;"",OR(M2375&lt;5,M2375&gt;180)),1,0)</f>
        <v>0</v>
      </c>
      <c r="AB2375" s="7" t="str">
        <f aca="false">IF(P2375="DUP","Exact duplicate row",IF(T2375=1,"Missing Order ID",IF(S2375="DROP","Duplicate Order ID (less complete row)",IF(U2375=1,"Missing Customer ID",IF(V2375=1,"Missing Restaurant name",IF(W2375=1,"Invalid/outlier quantity",IF(X2375=1,"Invalid/outlier unit price",IF(Y2375=1,"Discount greater than order value",""))))))))</f>
        <v/>
      </c>
      <c r="AC2375" s="7" t="str">
        <f aca="false">IF(AB2375="","KEEP","DROP")</f>
        <v>KEEP</v>
      </c>
      <c r="AD2375" s="7" t="str">
        <f aca="false">IF(TRIM(F2375)="",IFERROR(INDEX(Map_Tables!$I$4:$I$37,MATCH(TRIM(E2375),Map_Tables!$G$4:$G$37,0)),""),IFERROR(INDEX(Map_Tables!$B$4:$B$18,MATCH(TRIM(F2375),Map_Tables!$A$4:$A$18,0)),"CHECK"))</f>
        <v>Mumbai</v>
      </c>
      <c r="AE2375" s="7" t="str">
        <f aca="false">IF(TRIM(E2375)="","",IFERROR(INDEX(Map_Tables!$H$4:$H$37,MATCH(TRIM(E2375),Map_Tables!$G$4:$G$37,0)),"CHECK"))</f>
        <v>Dragon Express</v>
      </c>
      <c r="AF2375" s="7" t="str">
        <f aca="false">IF(TRIM(K2375)="","Unknown",IFERROR(INDEX(Map_Tables!$E$4:$E$15,MATCH(TRIM(K2375),Map_Tables!$D$4:$D$15,0)),"CHECK"))</f>
        <v>UPI</v>
      </c>
      <c r="AG2375" s="7" t="str">
        <f aca="false">IF(LEFT(LOWER(TRIM(L2375)),6)="cancel","Cancelled","Delivered")</f>
        <v>Delivered</v>
      </c>
      <c r="AH2375" s="10" t="n">
        <f aca="false">IF(ISNUMBER(SEARCH("/",B2375)),DATE(VALUE(RIGHT(B2375,4)),VALUE(MID(B2375,4,2)),VALUE(LEFT(B2375,2))),IF(MID(B2375,5,1)="-",DATE(VALUE(LEFT(B2375,4)),VALUE(MID(B2375,6,2)),VALUE(RIGHT(B2375,2))),DATE(VALUE(RIGHT(B2375,4)),MATCH(MID(B2375,4,3),{"Jan","Feb","Mar","Apr","May","Jun","Jul","Aug","Sep","Oct","Nov","Dec"},0),VALUE(LEFT(B2375,2)))))</f>
        <v>45837</v>
      </c>
    </row>
    <row r="2376" customFormat="false" ht="15" hidden="false" customHeight="false" outlineLevel="0" collapsed="false">
      <c r="A2376" s="7" t="s">
        <v>5296</v>
      </c>
      <c r="B2376" s="7" t="s">
        <v>2079</v>
      </c>
      <c r="C2376" s="7" t="s">
        <v>3952</v>
      </c>
      <c r="D2376" s="7" t="s">
        <v>1678</v>
      </c>
      <c r="E2376" s="7" t="s">
        <v>142</v>
      </c>
      <c r="F2376" s="7" t="s">
        <v>110</v>
      </c>
      <c r="G2376" s="7" t="s">
        <v>105</v>
      </c>
      <c r="H2376" s="7" t="n">
        <v>1</v>
      </c>
      <c r="I2376" s="7" t="n">
        <v>160</v>
      </c>
      <c r="J2376" s="7" t="n">
        <v>0</v>
      </c>
      <c r="K2376" s="7" t="s">
        <v>93</v>
      </c>
      <c r="L2376" s="7" t="s">
        <v>194</v>
      </c>
      <c r="M2376" s="7" t="n">
        <v>43</v>
      </c>
      <c r="N2376" s="7"/>
      <c r="O2376" s="7" t="str">
        <f aca="false">A2376&amp;"|"&amp;B2376&amp;"|"&amp;C2376&amp;"|"&amp;D2376&amp;"|"&amp;E2376&amp;"|"&amp;F2376&amp;"|"&amp;G2376&amp;"|"&amp;H2376&amp;"|"&amp;I2376&amp;"|"&amp;J2376&amp;"|"&amp;K2376&amp;"|"&amp;L2376&amp;"|"&amp;M2376&amp;"|"&amp;N2376</f>
        <v>ORD11296|15/06/2025|15:45|C0598|Momo Magic|Delhi|Chinese|1|160|0|Credit Card|Delivered|43|</v>
      </c>
      <c r="P2376" s="7" t="str">
        <f aca="false">IF(COUNTIF($O$2:O2376,O2376)&gt;1,"DUP","OK")</f>
        <v>OK</v>
      </c>
      <c r="Q2376" s="7" t="n">
        <f aca="false">COUNTBLANK(A2376:N2376)</f>
        <v>1</v>
      </c>
      <c r="R2376" s="7" t="n">
        <f aca="false">IF(A2376="",0,COUNTIFS($A$2:$A$3058,A2376,$P$2:$P$3058,"OK"))</f>
        <v>1</v>
      </c>
      <c r="S2376" s="7" t="str">
        <f aca="false">IF(OR(A2376="",P2376="DUP",R2376&lt;2),"",IF(Q2376=_xlfn.MINIFS($Q$2:$Q$3058,$A$2:$A$3058,A2376,$P$2:$P$3058,"OK"),"KEEP","DROP"))</f>
        <v/>
      </c>
      <c r="T2376" s="9" t="n">
        <f aca="false">IF(A2376="",1,0)</f>
        <v>0</v>
      </c>
      <c r="U2376" s="9" t="n">
        <f aca="false">IF(D2376="",1,0)</f>
        <v>0</v>
      </c>
      <c r="V2376" s="9" t="n">
        <f aca="false">IF(E2376="",1,0)</f>
        <v>0</v>
      </c>
      <c r="W2376" s="9" t="n">
        <f aca="false">IF(OR(H2376&lt;1,H2376&gt;10),1,0)</f>
        <v>0</v>
      </c>
      <c r="X2376" s="9" t="n">
        <f aca="false">IF(OR(I2376&lt;=0,I2376&gt;1500),1,0)</f>
        <v>0</v>
      </c>
      <c r="Y2376" s="9" t="n">
        <f aca="false">IF(J2376&gt;H2376*I2376,1,0)</f>
        <v>0</v>
      </c>
      <c r="Z2376" s="9" t="n">
        <f aca="false">IF(AND(N2376&lt;&gt;"",OR(N2376&lt;1,N2376&gt;5)),1,0)</f>
        <v>0</v>
      </c>
      <c r="AA2376" s="9" t="n">
        <f aca="false">IF(AND(M2376&lt;&gt;"",OR(M2376&lt;5,M2376&gt;180)),1,0)</f>
        <v>0</v>
      </c>
      <c r="AB2376" s="7" t="str">
        <f aca="false">IF(P2376="DUP","Exact duplicate row",IF(T2376=1,"Missing Order ID",IF(S2376="DROP","Duplicate Order ID (less complete row)",IF(U2376=1,"Missing Customer ID",IF(V2376=1,"Missing Restaurant name",IF(W2376=1,"Invalid/outlier quantity",IF(X2376=1,"Invalid/outlier unit price",IF(Y2376=1,"Discount greater than order value",""))))))))</f>
        <v/>
      </c>
      <c r="AC2376" s="7" t="str">
        <f aca="false">IF(AB2376="","KEEP","DROP")</f>
        <v>KEEP</v>
      </c>
      <c r="AD2376" s="7" t="str">
        <f aca="false">IF(TRIM(F2376)="",IFERROR(INDEX(Map_Tables!$I$4:$I$37,MATCH(TRIM(E2376),Map_Tables!$G$4:$G$37,0)),""),IFERROR(INDEX(Map_Tables!$B$4:$B$18,MATCH(TRIM(F2376),Map_Tables!$A$4:$A$18,0)),"CHECK"))</f>
        <v>Delhi</v>
      </c>
      <c r="AE2376" s="7" t="str">
        <f aca="false">IF(TRIM(E2376)="","",IFERROR(INDEX(Map_Tables!$H$4:$H$37,MATCH(TRIM(E2376),Map_Tables!$G$4:$G$37,0)),"CHECK"))</f>
        <v>Momo Magic</v>
      </c>
      <c r="AF2376" s="7" t="str">
        <f aca="false">IF(TRIM(K2376)="","Unknown",IFERROR(INDEX(Map_Tables!$E$4:$E$15,MATCH(TRIM(K2376),Map_Tables!$D$4:$D$15,0)),"CHECK"))</f>
        <v>Credit Card</v>
      </c>
      <c r="AG2376" s="7" t="str">
        <f aca="false">IF(LEFT(LOWER(TRIM(L2376)),6)="cancel","Cancelled","Delivered")</f>
        <v>Delivered</v>
      </c>
      <c r="AH2376" s="10" t="n">
        <f aca="false">IF(ISNUMBER(SEARCH("/",B2376)),DATE(VALUE(RIGHT(B2376,4)),VALUE(MID(B2376,4,2)),VALUE(LEFT(B2376,2))),IF(MID(B2376,5,1)="-",DATE(VALUE(LEFT(B2376,4)),VALUE(MID(B2376,6,2)),VALUE(RIGHT(B2376,2))),DATE(VALUE(RIGHT(B2376,4)),MATCH(MID(B2376,4,3),{"Jan","Feb","Mar","Apr","May","Jun","Jul","Aug","Sep","Oct","Nov","Dec"},0),VALUE(LEFT(B2376,2)))))</f>
        <v>45823</v>
      </c>
    </row>
    <row r="2377" customFormat="false" ht="15" hidden="false" customHeight="false" outlineLevel="0" collapsed="false">
      <c r="A2377" s="7" t="s">
        <v>5297</v>
      </c>
      <c r="B2377" s="7" t="s">
        <v>1057</v>
      </c>
      <c r="C2377" s="7" t="s">
        <v>1133</v>
      </c>
      <c r="D2377" s="7" t="s">
        <v>744</v>
      </c>
      <c r="E2377" s="7" t="s">
        <v>126</v>
      </c>
      <c r="F2377" s="7" t="s">
        <v>101</v>
      </c>
      <c r="G2377" s="7" t="s">
        <v>105</v>
      </c>
      <c r="H2377" s="7" t="n">
        <v>2</v>
      </c>
      <c r="I2377" s="7" t="n">
        <v>195</v>
      </c>
      <c r="J2377" s="7" t="n">
        <v>30</v>
      </c>
      <c r="K2377" s="7" t="s">
        <v>88</v>
      </c>
      <c r="L2377" s="7" t="s">
        <v>194</v>
      </c>
      <c r="M2377" s="7" t="n">
        <v>50</v>
      </c>
      <c r="N2377" s="7" t="n">
        <v>4</v>
      </c>
      <c r="O2377" s="7" t="str">
        <f aca="false">A2377&amp;"|"&amp;B2377&amp;"|"&amp;C2377&amp;"|"&amp;D2377&amp;"|"&amp;E2377&amp;"|"&amp;F2377&amp;"|"&amp;G2377&amp;"|"&amp;H2377&amp;"|"&amp;I2377&amp;"|"&amp;J2377&amp;"|"&amp;K2377&amp;"|"&amp;L2377&amp;"|"&amp;M2377&amp;"|"&amp;N2377</f>
        <v>ORD10467|2025-03-03|20:44|C1096|Dragon Express|Mumbai|Chinese|2|195|30|UPI|Delivered|50|4</v>
      </c>
      <c r="P2377" s="7" t="str">
        <f aca="false">IF(COUNTIF($O$2:O2377,O2377)&gt;1,"DUP","OK")</f>
        <v>OK</v>
      </c>
      <c r="Q2377" s="7" t="n">
        <f aca="false">COUNTBLANK(A2377:N2377)</f>
        <v>0</v>
      </c>
      <c r="R2377" s="7" t="n">
        <f aca="false">IF(A2377="",0,COUNTIFS($A$2:$A$3058,A2377,$P$2:$P$3058,"OK"))</f>
        <v>1</v>
      </c>
      <c r="S2377" s="7" t="str">
        <f aca="false">IF(OR(A2377="",P2377="DUP",R2377&lt;2),"",IF(Q2377=_xlfn.MINIFS($Q$2:$Q$3058,$A$2:$A$3058,A2377,$P$2:$P$3058,"OK"),"KEEP","DROP"))</f>
        <v/>
      </c>
      <c r="T2377" s="9" t="n">
        <f aca="false">IF(A2377="",1,0)</f>
        <v>0</v>
      </c>
      <c r="U2377" s="9" t="n">
        <f aca="false">IF(D2377="",1,0)</f>
        <v>0</v>
      </c>
      <c r="V2377" s="9" t="n">
        <f aca="false">IF(E2377="",1,0)</f>
        <v>0</v>
      </c>
      <c r="W2377" s="9" t="n">
        <f aca="false">IF(OR(H2377&lt;1,H2377&gt;10),1,0)</f>
        <v>0</v>
      </c>
      <c r="X2377" s="9" t="n">
        <f aca="false">IF(OR(I2377&lt;=0,I2377&gt;1500),1,0)</f>
        <v>0</v>
      </c>
      <c r="Y2377" s="9" t="n">
        <f aca="false">IF(J2377&gt;H2377*I2377,1,0)</f>
        <v>0</v>
      </c>
      <c r="Z2377" s="9" t="n">
        <f aca="false">IF(AND(N2377&lt;&gt;"",OR(N2377&lt;1,N2377&gt;5)),1,0)</f>
        <v>0</v>
      </c>
      <c r="AA2377" s="9" t="n">
        <f aca="false">IF(AND(M2377&lt;&gt;"",OR(M2377&lt;5,M2377&gt;180)),1,0)</f>
        <v>0</v>
      </c>
      <c r="AB2377" s="7" t="str">
        <f aca="false">IF(P2377="DUP","Exact duplicate row",IF(T2377=1,"Missing Order ID",IF(S2377="DROP","Duplicate Order ID (less complete row)",IF(U2377=1,"Missing Customer ID",IF(V2377=1,"Missing Restaurant name",IF(W2377=1,"Invalid/outlier quantity",IF(X2377=1,"Invalid/outlier unit price",IF(Y2377=1,"Discount greater than order value",""))))))))</f>
        <v/>
      </c>
      <c r="AC2377" s="7" t="str">
        <f aca="false">IF(AB2377="","KEEP","DROP")</f>
        <v>KEEP</v>
      </c>
      <c r="AD2377" s="7" t="str">
        <f aca="false">IF(TRIM(F2377)="",IFERROR(INDEX(Map_Tables!$I$4:$I$37,MATCH(TRIM(E2377),Map_Tables!$G$4:$G$37,0)),""),IFERROR(INDEX(Map_Tables!$B$4:$B$18,MATCH(TRIM(F2377),Map_Tables!$A$4:$A$18,0)),"CHECK"))</f>
        <v>Mumbai</v>
      </c>
      <c r="AE2377" s="7" t="str">
        <f aca="false">IF(TRIM(E2377)="","",IFERROR(INDEX(Map_Tables!$H$4:$H$37,MATCH(TRIM(E2377),Map_Tables!$G$4:$G$37,0)),"CHECK"))</f>
        <v>Dragon Express</v>
      </c>
      <c r="AF2377" s="7" t="str">
        <f aca="false">IF(TRIM(K2377)="","Unknown",IFERROR(INDEX(Map_Tables!$E$4:$E$15,MATCH(TRIM(K2377),Map_Tables!$D$4:$D$15,0)),"CHECK"))</f>
        <v>UPI</v>
      </c>
      <c r="AG2377" s="7" t="str">
        <f aca="false">IF(LEFT(LOWER(TRIM(L2377)),6)="cancel","Cancelled","Delivered")</f>
        <v>Delivered</v>
      </c>
      <c r="AH2377" s="10" t="n">
        <f aca="false">IF(ISNUMBER(SEARCH("/",B2377)),DATE(VALUE(RIGHT(B2377,4)),VALUE(MID(B2377,4,2)),VALUE(LEFT(B2377,2))),IF(MID(B2377,5,1)="-",DATE(VALUE(LEFT(B2377,4)),VALUE(MID(B2377,6,2)),VALUE(RIGHT(B2377,2))),DATE(VALUE(RIGHT(B2377,4)),MATCH(MID(B2377,4,3),{"Jan","Feb","Mar","Apr","May","Jun","Jul","Aug","Sep","Oct","Nov","Dec"},0),VALUE(LEFT(B2377,2)))))</f>
        <v>45719</v>
      </c>
    </row>
    <row r="2378" customFormat="false" ht="15" hidden="false" customHeight="false" outlineLevel="0" collapsed="false">
      <c r="A2378" s="7" t="s">
        <v>5298</v>
      </c>
      <c r="B2378" s="7" t="s">
        <v>4652</v>
      </c>
      <c r="C2378" s="7" t="s">
        <v>1529</v>
      </c>
      <c r="D2378" s="7" t="s">
        <v>471</v>
      </c>
      <c r="E2378" s="7" t="s">
        <v>130</v>
      </c>
      <c r="F2378" s="7" t="s">
        <v>110</v>
      </c>
      <c r="G2378" s="7" t="s">
        <v>90</v>
      </c>
      <c r="H2378" s="7" t="n">
        <v>2</v>
      </c>
      <c r="I2378" s="7" t="n">
        <v>230</v>
      </c>
      <c r="J2378" s="7" t="n">
        <v>0</v>
      </c>
      <c r="K2378" s="7" t="s">
        <v>88</v>
      </c>
      <c r="L2378" s="7" t="s">
        <v>194</v>
      </c>
      <c r="M2378" s="7" t="n">
        <v>35</v>
      </c>
      <c r="N2378" s="7" t="n">
        <v>5</v>
      </c>
      <c r="O2378" s="7" t="str">
        <f aca="false">A2378&amp;"|"&amp;B2378&amp;"|"&amp;C2378&amp;"|"&amp;D2378&amp;"|"&amp;E2378&amp;"|"&amp;F2378&amp;"|"&amp;G2378&amp;"|"&amp;H2378&amp;"|"&amp;I2378&amp;"|"&amp;J2378&amp;"|"&amp;K2378&amp;"|"&amp;L2378&amp;"|"&amp;M2378&amp;"|"&amp;N2378</f>
        <v>ORD11500|14/07/2025|12:45|C0728|Tandoor Tales|Delhi|North Indian|2|230|0|UPI|Delivered|35|5</v>
      </c>
      <c r="P2378" s="7" t="str">
        <f aca="false">IF(COUNTIF($O$2:O2378,O2378)&gt;1,"DUP","OK")</f>
        <v>OK</v>
      </c>
      <c r="Q2378" s="7" t="n">
        <f aca="false">COUNTBLANK(A2378:N2378)</f>
        <v>0</v>
      </c>
      <c r="R2378" s="7" t="n">
        <f aca="false">IF(A2378="",0,COUNTIFS($A$2:$A$3058,A2378,$P$2:$P$3058,"OK"))</f>
        <v>1</v>
      </c>
      <c r="S2378" s="7" t="str">
        <f aca="false">IF(OR(A2378="",P2378="DUP",R2378&lt;2),"",IF(Q2378=_xlfn.MINIFS($Q$2:$Q$3058,$A$2:$A$3058,A2378,$P$2:$P$3058,"OK"),"KEEP","DROP"))</f>
        <v/>
      </c>
      <c r="T2378" s="9" t="n">
        <f aca="false">IF(A2378="",1,0)</f>
        <v>0</v>
      </c>
      <c r="U2378" s="9" t="n">
        <f aca="false">IF(D2378="",1,0)</f>
        <v>0</v>
      </c>
      <c r="V2378" s="9" t="n">
        <f aca="false">IF(E2378="",1,0)</f>
        <v>0</v>
      </c>
      <c r="W2378" s="9" t="n">
        <f aca="false">IF(OR(H2378&lt;1,H2378&gt;10),1,0)</f>
        <v>0</v>
      </c>
      <c r="X2378" s="9" t="n">
        <f aca="false">IF(OR(I2378&lt;=0,I2378&gt;1500),1,0)</f>
        <v>0</v>
      </c>
      <c r="Y2378" s="9" t="n">
        <f aca="false">IF(J2378&gt;H2378*I2378,1,0)</f>
        <v>0</v>
      </c>
      <c r="Z2378" s="9" t="n">
        <f aca="false">IF(AND(N2378&lt;&gt;"",OR(N2378&lt;1,N2378&gt;5)),1,0)</f>
        <v>0</v>
      </c>
      <c r="AA2378" s="9" t="n">
        <f aca="false">IF(AND(M2378&lt;&gt;"",OR(M2378&lt;5,M2378&gt;180)),1,0)</f>
        <v>0</v>
      </c>
      <c r="AB2378" s="7" t="str">
        <f aca="false">IF(P2378="DUP","Exact duplicate row",IF(T2378=1,"Missing Order ID",IF(S2378="DROP","Duplicate Order ID (less complete row)",IF(U2378=1,"Missing Customer ID",IF(V2378=1,"Missing Restaurant name",IF(W2378=1,"Invalid/outlier quantity",IF(X2378=1,"Invalid/outlier unit price",IF(Y2378=1,"Discount greater than order value",""))))))))</f>
        <v/>
      </c>
      <c r="AC2378" s="7" t="str">
        <f aca="false">IF(AB2378="","KEEP","DROP")</f>
        <v>KEEP</v>
      </c>
      <c r="AD2378" s="7" t="str">
        <f aca="false">IF(TRIM(F2378)="",IFERROR(INDEX(Map_Tables!$I$4:$I$37,MATCH(TRIM(E2378),Map_Tables!$G$4:$G$37,0)),""),IFERROR(INDEX(Map_Tables!$B$4:$B$18,MATCH(TRIM(F2378),Map_Tables!$A$4:$A$18,0)),"CHECK"))</f>
        <v>Delhi</v>
      </c>
      <c r="AE2378" s="7" t="str">
        <f aca="false">IF(TRIM(E2378)="","",IFERROR(INDEX(Map_Tables!$H$4:$H$37,MATCH(TRIM(E2378),Map_Tables!$G$4:$G$37,0)),"CHECK"))</f>
        <v>Tandoor Tales</v>
      </c>
      <c r="AF2378" s="7" t="str">
        <f aca="false">IF(TRIM(K2378)="","Unknown",IFERROR(INDEX(Map_Tables!$E$4:$E$15,MATCH(TRIM(K2378),Map_Tables!$D$4:$D$15,0)),"CHECK"))</f>
        <v>UPI</v>
      </c>
      <c r="AG2378" s="7" t="str">
        <f aca="false">IF(LEFT(LOWER(TRIM(L2378)),6)="cancel","Cancelled","Delivered")</f>
        <v>Delivered</v>
      </c>
      <c r="AH2378" s="10" t="n">
        <f aca="false">IF(ISNUMBER(SEARCH("/",B2378)),DATE(VALUE(RIGHT(B2378,4)),VALUE(MID(B2378,4,2)),VALUE(LEFT(B2378,2))),IF(MID(B2378,5,1)="-",DATE(VALUE(LEFT(B2378,4)),VALUE(MID(B2378,6,2)),VALUE(RIGHT(B2378,2))),DATE(VALUE(RIGHT(B2378,4)),MATCH(MID(B2378,4,3),{"Jan","Feb","Mar","Apr","May","Jun","Jul","Aug","Sep","Oct","Nov","Dec"},0),VALUE(LEFT(B2378,2)))))</f>
        <v>45852</v>
      </c>
    </row>
    <row r="2379" customFormat="false" ht="15" hidden="false" customHeight="false" outlineLevel="0" collapsed="false">
      <c r="A2379" s="7" t="s">
        <v>5299</v>
      </c>
      <c r="B2379" s="7" t="s">
        <v>546</v>
      </c>
      <c r="C2379" s="7" t="s">
        <v>3789</v>
      </c>
      <c r="D2379" s="7" t="s">
        <v>5300</v>
      </c>
      <c r="E2379" s="7" t="s">
        <v>160</v>
      </c>
      <c r="F2379" s="7" t="s">
        <v>136</v>
      </c>
      <c r="G2379" s="7" t="s">
        <v>150</v>
      </c>
      <c r="H2379" s="7" t="n">
        <v>3</v>
      </c>
      <c r="I2379" s="7" t="n">
        <v>195</v>
      </c>
      <c r="J2379" s="7" t="n">
        <v>0</v>
      </c>
      <c r="K2379" s="7" t="s">
        <v>93</v>
      </c>
      <c r="L2379" s="7" t="s">
        <v>220</v>
      </c>
      <c r="M2379" s="7" t="n">
        <v>40</v>
      </c>
      <c r="N2379" s="7" t="n">
        <v>4</v>
      </c>
      <c r="O2379" s="7" t="str">
        <f aca="false">A2379&amp;"|"&amp;B2379&amp;"|"&amp;C2379&amp;"|"&amp;D2379&amp;"|"&amp;E2379&amp;"|"&amp;F2379&amp;"|"&amp;G2379&amp;"|"&amp;H2379&amp;"|"&amp;I2379&amp;"|"&amp;J2379&amp;"|"&amp;K2379&amp;"|"&amp;L2379&amp;"|"&amp;M2379&amp;"|"&amp;N2379</f>
        <v>ORD12604|2025-11-18|16:28|C1041|Cake Walk|Pune|Desserts|3|195|0|Credit Card|DELIVERED|40|4</v>
      </c>
      <c r="P2379" s="7" t="str">
        <f aca="false">IF(COUNTIF($O$2:O2379,O2379)&gt;1,"DUP","OK")</f>
        <v>OK</v>
      </c>
      <c r="Q2379" s="7" t="n">
        <f aca="false">COUNTBLANK(A2379:N2379)</f>
        <v>0</v>
      </c>
      <c r="R2379" s="7" t="n">
        <f aca="false">IF(A2379="",0,COUNTIFS($A$2:$A$3058,A2379,$P$2:$P$3058,"OK"))</f>
        <v>1</v>
      </c>
      <c r="S2379" s="7" t="str">
        <f aca="false">IF(OR(A2379="",P2379="DUP",R2379&lt;2),"",IF(Q2379=_xlfn.MINIFS($Q$2:$Q$3058,$A$2:$A$3058,A2379,$P$2:$P$3058,"OK"),"KEEP","DROP"))</f>
        <v/>
      </c>
      <c r="T2379" s="9" t="n">
        <f aca="false">IF(A2379="",1,0)</f>
        <v>0</v>
      </c>
      <c r="U2379" s="9" t="n">
        <f aca="false">IF(D2379="",1,0)</f>
        <v>0</v>
      </c>
      <c r="V2379" s="9" t="n">
        <f aca="false">IF(E2379="",1,0)</f>
        <v>0</v>
      </c>
      <c r="W2379" s="9" t="n">
        <f aca="false">IF(OR(H2379&lt;1,H2379&gt;10),1,0)</f>
        <v>0</v>
      </c>
      <c r="X2379" s="9" t="n">
        <f aca="false">IF(OR(I2379&lt;=0,I2379&gt;1500),1,0)</f>
        <v>0</v>
      </c>
      <c r="Y2379" s="9" t="n">
        <f aca="false">IF(J2379&gt;H2379*I2379,1,0)</f>
        <v>0</v>
      </c>
      <c r="Z2379" s="9" t="n">
        <f aca="false">IF(AND(N2379&lt;&gt;"",OR(N2379&lt;1,N2379&gt;5)),1,0)</f>
        <v>0</v>
      </c>
      <c r="AA2379" s="9" t="n">
        <f aca="false">IF(AND(M2379&lt;&gt;"",OR(M2379&lt;5,M2379&gt;180)),1,0)</f>
        <v>0</v>
      </c>
      <c r="AB2379" s="7" t="str">
        <f aca="false">IF(P2379="DUP","Exact duplicate row",IF(T2379=1,"Missing Order ID",IF(S2379="DROP","Duplicate Order ID (less complete row)",IF(U2379=1,"Missing Customer ID",IF(V2379=1,"Missing Restaurant name",IF(W2379=1,"Invalid/outlier quantity",IF(X2379=1,"Invalid/outlier unit price",IF(Y2379=1,"Discount greater than order value",""))))))))</f>
        <v/>
      </c>
      <c r="AC2379" s="7" t="str">
        <f aca="false">IF(AB2379="","KEEP","DROP")</f>
        <v>KEEP</v>
      </c>
      <c r="AD2379" s="7" t="str">
        <f aca="false">IF(TRIM(F2379)="",IFERROR(INDEX(Map_Tables!$I$4:$I$37,MATCH(TRIM(E2379),Map_Tables!$G$4:$G$37,0)),""),IFERROR(INDEX(Map_Tables!$B$4:$B$18,MATCH(TRIM(F2379),Map_Tables!$A$4:$A$18,0)),"CHECK"))</f>
        <v>Pune</v>
      </c>
      <c r="AE2379" s="7" t="str">
        <f aca="false">IF(TRIM(E2379)="","",IFERROR(INDEX(Map_Tables!$H$4:$H$37,MATCH(TRIM(E2379),Map_Tables!$G$4:$G$37,0)),"CHECK"))</f>
        <v>Cake Walk</v>
      </c>
      <c r="AF2379" s="7" t="str">
        <f aca="false">IF(TRIM(K2379)="","Unknown",IFERROR(INDEX(Map_Tables!$E$4:$E$15,MATCH(TRIM(K2379),Map_Tables!$D$4:$D$15,0)),"CHECK"))</f>
        <v>Credit Card</v>
      </c>
      <c r="AG2379" s="7" t="str">
        <f aca="false">IF(LEFT(LOWER(TRIM(L2379)),6)="cancel","Cancelled","Delivered")</f>
        <v>Delivered</v>
      </c>
      <c r="AH2379" s="10" t="n">
        <f aca="false">IF(ISNUMBER(SEARCH("/",B2379)),DATE(VALUE(RIGHT(B2379,4)),VALUE(MID(B2379,4,2)),VALUE(LEFT(B2379,2))),IF(MID(B2379,5,1)="-",DATE(VALUE(LEFT(B2379,4)),VALUE(MID(B2379,6,2)),VALUE(RIGHT(B2379,2))),DATE(VALUE(RIGHT(B2379,4)),MATCH(MID(B2379,4,3),{"Jan","Feb","Mar","Apr","May","Jun","Jul","Aug","Sep","Oct","Nov","Dec"},0),VALUE(LEFT(B2379,2)))))</f>
        <v>45979</v>
      </c>
    </row>
    <row r="2380" customFormat="false" ht="15" hidden="false" customHeight="false" outlineLevel="0" collapsed="false">
      <c r="A2380" s="7" t="s">
        <v>5301</v>
      </c>
      <c r="B2380" s="7" t="s">
        <v>835</v>
      </c>
      <c r="C2380" s="7" t="s">
        <v>2634</v>
      </c>
      <c r="D2380" s="7" t="s">
        <v>5147</v>
      </c>
      <c r="E2380" s="7" t="s">
        <v>94</v>
      </c>
      <c r="F2380" s="7" t="s">
        <v>86</v>
      </c>
      <c r="G2380" s="7" t="s">
        <v>95</v>
      </c>
      <c r="H2380" s="7" t="n">
        <v>1</v>
      </c>
      <c r="I2380" s="7" t="n">
        <v>125</v>
      </c>
      <c r="J2380" s="7" t="n">
        <v>50</v>
      </c>
      <c r="K2380" s="7" t="s">
        <v>88</v>
      </c>
      <c r="L2380" s="7" t="s">
        <v>194</v>
      </c>
      <c r="M2380" s="7" t="n">
        <v>36</v>
      </c>
      <c r="N2380" s="7" t="n">
        <v>4</v>
      </c>
      <c r="O2380" s="7" t="str">
        <f aca="false">A2380&amp;"|"&amp;B2380&amp;"|"&amp;C2380&amp;"|"&amp;D2380&amp;"|"&amp;E2380&amp;"|"&amp;F2380&amp;"|"&amp;G2380&amp;"|"&amp;H2380&amp;"|"&amp;I2380&amp;"|"&amp;J2380&amp;"|"&amp;K2380&amp;"|"&amp;L2380&amp;"|"&amp;M2380&amp;"|"&amp;N2380</f>
        <v>ORD12973|2025-12-28|23:02|C1237|Dosa Darbar|Bengaluru|South Indian|1|125|50|UPI|Delivered|36|4</v>
      </c>
      <c r="P2380" s="7" t="str">
        <f aca="false">IF(COUNTIF($O$2:O2380,O2380)&gt;1,"DUP","OK")</f>
        <v>OK</v>
      </c>
      <c r="Q2380" s="7" t="n">
        <f aca="false">COUNTBLANK(A2380:N2380)</f>
        <v>0</v>
      </c>
      <c r="R2380" s="7" t="n">
        <f aca="false">IF(A2380="",0,COUNTIFS($A$2:$A$3058,A2380,$P$2:$P$3058,"OK"))</f>
        <v>1</v>
      </c>
      <c r="S2380" s="7" t="str">
        <f aca="false">IF(OR(A2380="",P2380="DUP",R2380&lt;2),"",IF(Q2380=_xlfn.MINIFS($Q$2:$Q$3058,$A$2:$A$3058,A2380,$P$2:$P$3058,"OK"),"KEEP","DROP"))</f>
        <v/>
      </c>
      <c r="T2380" s="9" t="n">
        <f aca="false">IF(A2380="",1,0)</f>
        <v>0</v>
      </c>
      <c r="U2380" s="9" t="n">
        <f aca="false">IF(D2380="",1,0)</f>
        <v>0</v>
      </c>
      <c r="V2380" s="9" t="n">
        <f aca="false">IF(E2380="",1,0)</f>
        <v>0</v>
      </c>
      <c r="W2380" s="9" t="n">
        <f aca="false">IF(OR(H2380&lt;1,H2380&gt;10),1,0)</f>
        <v>0</v>
      </c>
      <c r="X2380" s="9" t="n">
        <f aca="false">IF(OR(I2380&lt;=0,I2380&gt;1500),1,0)</f>
        <v>0</v>
      </c>
      <c r="Y2380" s="9" t="n">
        <f aca="false">IF(J2380&gt;H2380*I2380,1,0)</f>
        <v>0</v>
      </c>
      <c r="Z2380" s="9" t="n">
        <f aca="false">IF(AND(N2380&lt;&gt;"",OR(N2380&lt;1,N2380&gt;5)),1,0)</f>
        <v>0</v>
      </c>
      <c r="AA2380" s="9" t="n">
        <f aca="false">IF(AND(M2380&lt;&gt;"",OR(M2380&lt;5,M2380&gt;180)),1,0)</f>
        <v>0</v>
      </c>
      <c r="AB2380" s="7" t="str">
        <f aca="false">IF(P2380="DUP","Exact duplicate row",IF(T2380=1,"Missing Order ID",IF(S2380="DROP","Duplicate Order ID (less complete row)",IF(U2380=1,"Missing Customer ID",IF(V2380=1,"Missing Restaurant name",IF(W2380=1,"Invalid/outlier quantity",IF(X2380=1,"Invalid/outlier unit price",IF(Y2380=1,"Discount greater than order value",""))))))))</f>
        <v/>
      </c>
      <c r="AC2380" s="7" t="str">
        <f aca="false">IF(AB2380="","KEEP","DROP")</f>
        <v>KEEP</v>
      </c>
      <c r="AD2380" s="7" t="str">
        <f aca="false">IF(TRIM(F2380)="",IFERROR(INDEX(Map_Tables!$I$4:$I$37,MATCH(TRIM(E2380),Map_Tables!$G$4:$G$37,0)),""),IFERROR(INDEX(Map_Tables!$B$4:$B$18,MATCH(TRIM(F2380),Map_Tables!$A$4:$A$18,0)),"CHECK"))</f>
        <v>Bengaluru</v>
      </c>
      <c r="AE2380" s="7" t="str">
        <f aca="false">IF(TRIM(E2380)="","",IFERROR(INDEX(Map_Tables!$H$4:$H$37,MATCH(TRIM(E2380),Map_Tables!$G$4:$G$37,0)),"CHECK"))</f>
        <v>Dosa Darbar</v>
      </c>
      <c r="AF2380" s="7" t="str">
        <f aca="false">IF(TRIM(K2380)="","Unknown",IFERROR(INDEX(Map_Tables!$E$4:$E$15,MATCH(TRIM(K2380),Map_Tables!$D$4:$D$15,0)),"CHECK"))</f>
        <v>UPI</v>
      </c>
      <c r="AG2380" s="7" t="str">
        <f aca="false">IF(LEFT(LOWER(TRIM(L2380)),6)="cancel","Cancelled","Delivered")</f>
        <v>Delivered</v>
      </c>
      <c r="AH2380" s="10" t="n">
        <f aca="false">IF(ISNUMBER(SEARCH("/",B2380)),DATE(VALUE(RIGHT(B2380,4)),VALUE(MID(B2380,4,2)),VALUE(LEFT(B2380,2))),IF(MID(B2380,5,1)="-",DATE(VALUE(LEFT(B2380,4)),VALUE(MID(B2380,6,2)),VALUE(RIGHT(B2380,2))),DATE(VALUE(RIGHT(B2380,4)),MATCH(MID(B2380,4,3),{"Jan","Feb","Mar","Apr","May","Jun","Jul","Aug","Sep","Oct","Nov","Dec"},0),VALUE(LEFT(B2380,2)))))</f>
        <v>46019</v>
      </c>
    </row>
    <row r="2381" customFormat="false" ht="15" hidden="false" customHeight="false" outlineLevel="0" collapsed="false">
      <c r="A2381" s="7" t="s">
        <v>5302</v>
      </c>
      <c r="B2381" s="7" t="s">
        <v>410</v>
      </c>
      <c r="C2381" s="7" t="s">
        <v>1688</v>
      </c>
      <c r="D2381" s="7" t="s">
        <v>5303</v>
      </c>
      <c r="E2381" s="7" t="s">
        <v>3518</v>
      </c>
      <c r="F2381" s="7" t="s">
        <v>136</v>
      </c>
      <c r="G2381" s="7" t="s">
        <v>90</v>
      </c>
      <c r="H2381" s="7" t="n">
        <v>3</v>
      </c>
      <c r="I2381" s="7" t="n">
        <v>235</v>
      </c>
      <c r="J2381" s="7" t="n">
        <v>0</v>
      </c>
      <c r="K2381" s="7" t="s">
        <v>88</v>
      </c>
      <c r="L2381" s="7" t="s">
        <v>194</v>
      </c>
      <c r="M2381" s="7" t="n">
        <v>29</v>
      </c>
      <c r="N2381" s="7"/>
      <c r="O2381" s="7" t="str">
        <f aca="false">A2381&amp;"|"&amp;B2381&amp;"|"&amp;C2381&amp;"|"&amp;D2381&amp;"|"&amp;E2381&amp;"|"&amp;F2381&amp;"|"&amp;G2381&amp;"|"&amp;H2381&amp;"|"&amp;I2381&amp;"|"&amp;J2381&amp;"|"&amp;K2381&amp;"|"&amp;L2381&amp;"|"&amp;M2381&amp;"|"&amp;N2381</f>
        <v>ORD10278|2025-02-07|19:44|C0405| Maratha Thali House|Pune|North Indian|3|235|0|UPI|Delivered|29|</v>
      </c>
      <c r="P2381" s="7" t="str">
        <f aca="false">IF(COUNTIF($O$2:O2381,O2381)&gt;1,"DUP","OK")</f>
        <v>OK</v>
      </c>
      <c r="Q2381" s="7" t="n">
        <f aca="false">COUNTBLANK(A2381:N2381)</f>
        <v>1</v>
      </c>
      <c r="R2381" s="7" t="n">
        <f aca="false">IF(A2381="",0,COUNTIFS($A$2:$A$3058,A2381,$P$2:$P$3058,"OK"))</f>
        <v>1</v>
      </c>
      <c r="S2381" s="7" t="str">
        <f aca="false">IF(OR(A2381="",P2381="DUP",R2381&lt;2),"",IF(Q2381=_xlfn.MINIFS($Q$2:$Q$3058,$A$2:$A$3058,A2381,$P$2:$P$3058,"OK"),"KEEP","DROP"))</f>
        <v/>
      </c>
      <c r="T2381" s="9" t="n">
        <f aca="false">IF(A2381="",1,0)</f>
        <v>0</v>
      </c>
      <c r="U2381" s="9" t="n">
        <f aca="false">IF(D2381="",1,0)</f>
        <v>0</v>
      </c>
      <c r="V2381" s="9" t="n">
        <f aca="false">IF(E2381="",1,0)</f>
        <v>0</v>
      </c>
      <c r="W2381" s="9" t="n">
        <f aca="false">IF(OR(H2381&lt;1,H2381&gt;10),1,0)</f>
        <v>0</v>
      </c>
      <c r="X2381" s="9" t="n">
        <f aca="false">IF(OR(I2381&lt;=0,I2381&gt;1500),1,0)</f>
        <v>0</v>
      </c>
      <c r="Y2381" s="9" t="n">
        <f aca="false">IF(J2381&gt;H2381*I2381,1,0)</f>
        <v>0</v>
      </c>
      <c r="Z2381" s="9" t="n">
        <f aca="false">IF(AND(N2381&lt;&gt;"",OR(N2381&lt;1,N2381&gt;5)),1,0)</f>
        <v>0</v>
      </c>
      <c r="AA2381" s="9" t="n">
        <f aca="false">IF(AND(M2381&lt;&gt;"",OR(M2381&lt;5,M2381&gt;180)),1,0)</f>
        <v>0</v>
      </c>
      <c r="AB2381" s="7" t="str">
        <f aca="false">IF(P2381="DUP","Exact duplicate row",IF(T2381=1,"Missing Order ID",IF(S2381="DROP","Duplicate Order ID (less complete row)",IF(U2381=1,"Missing Customer ID",IF(V2381=1,"Missing Restaurant name",IF(W2381=1,"Invalid/outlier quantity",IF(X2381=1,"Invalid/outlier unit price",IF(Y2381=1,"Discount greater than order value",""))))))))</f>
        <v/>
      </c>
      <c r="AC2381" s="7" t="str">
        <f aca="false">IF(AB2381="","KEEP","DROP")</f>
        <v>KEEP</v>
      </c>
      <c r="AD2381" s="7" t="str">
        <f aca="false">IF(TRIM(F2381)="",IFERROR(INDEX(Map_Tables!$I$4:$I$37,MATCH(TRIM(E2381),Map_Tables!$G$4:$G$37,0)),""),IFERROR(INDEX(Map_Tables!$B$4:$B$18,MATCH(TRIM(F2381),Map_Tables!$A$4:$A$18,0)),"CHECK"))</f>
        <v>Pune</v>
      </c>
      <c r="AE2381" s="7" t="str">
        <f aca="false">IF(TRIM(E2381)="","",IFERROR(INDEX(Map_Tables!$H$4:$H$37,MATCH(TRIM(E2381),Map_Tables!$G$4:$G$37,0)),"CHECK"))</f>
        <v>Maratha Thali House</v>
      </c>
      <c r="AF2381" s="7" t="str">
        <f aca="false">IF(TRIM(K2381)="","Unknown",IFERROR(INDEX(Map_Tables!$E$4:$E$15,MATCH(TRIM(K2381),Map_Tables!$D$4:$D$15,0)),"CHECK"))</f>
        <v>UPI</v>
      </c>
      <c r="AG2381" s="7" t="str">
        <f aca="false">IF(LEFT(LOWER(TRIM(L2381)),6)="cancel","Cancelled","Delivered")</f>
        <v>Delivered</v>
      </c>
      <c r="AH2381" s="10" t="n">
        <f aca="false">IF(ISNUMBER(SEARCH("/",B2381)),DATE(VALUE(RIGHT(B2381,4)),VALUE(MID(B2381,4,2)),VALUE(LEFT(B2381,2))),IF(MID(B2381,5,1)="-",DATE(VALUE(LEFT(B2381,4)),VALUE(MID(B2381,6,2)),VALUE(RIGHT(B2381,2))),DATE(VALUE(RIGHT(B2381,4)),MATCH(MID(B2381,4,3),{"Jan","Feb","Mar","Apr","May","Jun","Jul","Aug","Sep","Oct","Nov","Dec"},0),VALUE(LEFT(B2381,2)))))</f>
        <v>45695</v>
      </c>
    </row>
    <row r="2382" customFormat="false" ht="15" hidden="false" customHeight="false" outlineLevel="0" collapsed="false">
      <c r="A2382" s="7" t="s">
        <v>5304</v>
      </c>
      <c r="B2382" s="7" t="s">
        <v>1790</v>
      </c>
      <c r="C2382" s="7" t="s">
        <v>585</v>
      </c>
      <c r="D2382" s="7" t="s">
        <v>2902</v>
      </c>
      <c r="E2382" s="7" t="s">
        <v>165</v>
      </c>
      <c r="F2382" s="7" t="s">
        <v>146</v>
      </c>
      <c r="G2382" s="7" t="s">
        <v>90</v>
      </c>
      <c r="H2382" s="7" t="n">
        <v>2</v>
      </c>
      <c r="I2382" s="7" t="n">
        <v>230</v>
      </c>
      <c r="J2382" s="7" t="n">
        <v>150</v>
      </c>
      <c r="K2382" s="7" t="s">
        <v>112</v>
      </c>
      <c r="L2382" s="7" t="s">
        <v>194</v>
      </c>
      <c r="M2382" s="7" t="n">
        <v>25</v>
      </c>
      <c r="N2382" s="7"/>
      <c r="O2382" s="7" t="str">
        <f aca="false">A2382&amp;"|"&amp;B2382&amp;"|"&amp;C2382&amp;"|"&amp;D2382&amp;"|"&amp;E2382&amp;"|"&amp;F2382&amp;"|"&amp;G2382&amp;"|"&amp;H2382&amp;"|"&amp;I2382&amp;"|"&amp;J2382&amp;"|"&amp;K2382&amp;"|"&amp;L2382&amp;"|"&amp;M2382&amp;"|"&amp;N2382</f>
        <v>ORD11070|2025-05-15|21:34|C0839|Gujarati Thali Ghar|Ahmedabad|North Indian|2|230|150|Cash on Delivery|Delivered|25|</v>
      </c>
      <c r="P2382" s="7" t="str">
        <f aca="false">IF(COUNTIF($O$2:O2382,O2382)&gt;1,"DUP","OK")</f>
        <v>OK</v>
      </c>
      <c r="Q2382" s="7" t="n">
        <f aca="false">COUNTBLANK(A2382:N2382)</f>
        <v>1</v>
      </c>
      <c r="R2382" s="7" t="n">
        <f aca="false">IF(A2382="",0,COUNTIFS($A$2:$A$3058,A2382,$P$2:$P$3058,"OK"))</f>
        <v>1</v>
      </c>
      <c r="S2382" s="7" t="str">
        <f aca="false">IF(OR(A2382="",P2382="DUP",R2382&lt;2),"",IF(Q2382=_xlfn.MINIFS($Q$2:$Q$3058,$A$2:$A$3058,A2382,$P$2:$P$3058,"OK"),"KEEP","DROP"))</f>
        <v/>
      </c>
      <c r="T2382" s="9" t="n">
        <f aca="false">IF(A2382="",1,0)</f>
        <v>0</v>
      </c>
      <c r="U2382" s="9" t="n">
        <f aca="false">IF(D2382="",1,0)</f>
        <v>0</v>
      </c>
      <c r="V2382" s="9" t="n">
        <f aca="false">IF(E2382="",1,0)</f>
        <v>0</v>
      </c>
      <c r="W2382" s="9" t="n">
        <f aca="false">IF(OR(H2382&lt;1,H2382&gt;10),1,0)</f>
        <v>0</v>
      </c>
      <c r="X2382" s="9" t="n">
        <f aca="false">IF(OR(I2382&lt;=0,I2382&gt;1500),1,0)</f>
        <v>0</v>
      </c>
      <c r="Y2382" s="9" t="n">
        <f aca="false">IF(J2382&gt;H2382*I2382,1,0)</f>
        <v>0</v>
      </c>
      <c r="Z2382" s="9" t="n">
        <f aca="false">IF(AND(N2382&lt;&gt;"",OR(N2382&lt;1,N2382&gt;5)),1,0)</f>
        <v>0</v>
      </c>
      <c r="AA2382" s="9" t="n">
        <f aca="false">IF(AND(M2382&lt;&gt;"",OR(M2382&lt;5,M2382&gt;180)),1,0)</f>
        <v>0</v>
      </c>
      <c r="AB2382" s="7" t="str">
        <f aca="false">IF(P2382="DUP","Exact duplicate row",IF(T2382=1,"Missing Order ID",IF(S2382="DROP","Duplicate Order ID (less complete row)",IF(U2382=1,"Missing Customer ID",IF(V2382=1,"Missing Restaurant name",IF(W2382=1,"Invalid/outlier quantity",IF(X2382=1,"Invalid/outlier unit price",IF(Y2382=1,"Discount greater than order value",""))))))))</f>
        <v/>
      </c>
      <c r="AC2382" s="7" t="str">
        <f aca="false">IF(AB2382="","KEEP","DROP")</f>
        <v>KEEP</v>
      </c>
      <c r="AD2382" s="7" t="str">
        <f aca="false">IF(TRIM(F2382)="",IFERROR(INDEX(Map_Tables!$I$4:$I$37,MATCH(TRIM(E2382),Map_Tables!$G$4:$G$37,0)),""),IFERROR(INDEX(Map_Tables!$B$4:$B$18,MATCH(TRIM(F2382),Map_Tables!$A$4:$A$18,0)),"CHECK"))</f>
        <v>Ahmedabad</v>
      </c>
      <c r="AE2382" s="7" t="str">
        <f aca="false">IF(TRIM(E2382)="","",IFERROR(INDEX(Map_Tables!$H$4:$H$37,MATCH(TRIM(E2382),Map_Tables!$G$4:$G$37,0)),"CHECK"))</f>
        <v>Gujarati Thali Ghar</v>
      </c>
      <c r="AF2382" s="7" t="str">
        <f aca="false">IF(TRIM(K2382)="","Unknown",IFERROR(INDEX(Map_Tables!$E$4:$E$15,MATCH(TRIM(K2382),Map_Tables!$D$4:$D$15,0)),"CHECK"))</f>
        <v>Cash on Delivery</v>
      </c>
      <c r="AG2382" s="7" t="str">
        <f aca="false">IF(LEFT(LOWER(TRIM(L2382)),6)="cancel","Cancelled","Delivered")</f>
        <v>Delivered</v>
      </c>
      <c r="AH2382" s="10" t="n">
        <f aca="false">IF(ISNUMBER(SEARCH("/",B2382)),DATE(VALUE(RIGHT(B2382,4)),VALUE(MID(B2382,4,2)),VALUE(LEFT(B2382,2))),IF(MID(B2382,5,1)="-",DATE(VALUE(LEFT(B2382,4)),VALUE(MID(B2382,6,2)),VALUE(RIGHT(B2382,2))),DATE(VALUE(RIGHT(B2382,4)),MATCH(MID(B2382,4,3),{"Jan","Feb","Mar","Apr","May","Jun","Jul","Aug","Sep","Oct","Nov","Dec"},0),VALUE(LEFT(B2382,2)))))</f>
        <v>45792</v>
      </c>
    </row>
    <row r="2383" customFormat="false" ht="15" hidden="false" customHeight="false" outlineLevel="0" collapsed="false">
      <c r="A2383" s="7" t="s">
        <v>5305</v>
      </c>
      <c r="B2383" s="7" t="s">
        <v>1888</v>
      </c>
      <c r="C2383" s="7" t="s">
        <v>2202</v>
      </c>
      <c r="D2383" s="7" t="s">
        <v>3820</v>
      </c>
      <c r="E2383" s="7" t="s">
        <v>151</v>
      </c>
      <c r="F2383" s="7" t="s">
        <v>128</v>
      </c>
      <c r="G2383" s="7" t="s">
        <v>95</v>
      </c>
      <c r="H2383" s="7" t="n">
        <v>1</v>
      </c>
      <c r="I2383" s="7" t="n">
        <v>175</v>
      </c>
      <c r="J2383" s="7" t="n">
        <v>0</v>
      </c>
      <c r="K2383" s="7" t="s">
        <v>88</v>
      </c>
      <c r="L2383" s="7" t="s">
        <v>194</v>
      </c>
      <c r="M2383" s="7" t="n">
        <v>37</v>
      </c>
      <c r="N2383" s="7" t="n">
        <v>4</v>
      </c>
      <c r="O2383" s="7" t="str">
        <f aca="false">A2383&amp;"|"&amp;B2383&amp;"|"&amp;C2383&amp;"|"&amp;D2383&amp;"|"&amp;E2383&amp;"|"&amp;F2383&amp;"|"&amp;G2383&amp;"|"&amp;H2383&amp;"|"&amp;I2383&amp;"|"&amp;J2383&amp;"|"&amp;K2383&amp;"|"&amp;L2383&amp;"|"&amp;M2383&amp;"|"&amp;N2383</f>
        <v>ORD11549|21/07/2025|12:40|C0591|Chettinad House|Chennai|South Indian|1|175|0|UPI|Delivered|37|4</v>
      </c>
      <c r="P2383" s="7" t="str">
        <f aca="false">IF(COUNTIF($O$2:O2383,O2383)&gt;1,"DUP","OK")</f>
        <v>OK</v>
      </c>
      <c r="Q2383" s="7" t="n">
        <f aca="false">COUNTBLANK(A2383:N2383)</f>
        <v>0</v>
      </c>
      <c r="R2383" s="7" t="n">
        <f aca="false">IF(A2383="",0,COUNTIFS($A$2:$A$3058,A2383,$P$2:$P$3058,"OK"))</f>
        <v>1</v>
      </c>
      <c r="S2383" s="7" t="str">
        <f aca="false">IF(OR(A2383="",P2383="DUP",R2383&lt;2),"",IF(Q2383=_xlfn.MINIFS($Q$2:$Q$3058,$A$2:$A$3058,A2383,$P$2:$P$3058,"OK"),"KEEP","DROP"))</f>
        <v/>
      </c>
      <c r="T2383" s="9" t="n">
        <f aca="false">IF(A2383="",1,0)</f>
        <v>0</v>
      </c>
      <c r="U2383" s="9" t="n">
        <f aca="false">IF(D2383="",1,0)</f>
        <v>0</v>
      </c>
      <c r="V2383" s="9" t="n">
        <f aca="false">IF(E2383="",1,0)</f>
        <v>0</v>
      </c>
      <c r="W2383" s="9" t="n">
        <f aca="false">IF(OR(H2383&lt;1,H2383&gt;10),1,0)</f>
        <v>0</v>
      </c>
      <c r="X2383" s="9" t="n">
        <f aca="false">IF(OR(I2383&lt;=0,I2383&gt;1500),1,0)</f>
        <v>0</v>
      </c>
      <c r="Y2383" s="9" t="n">
        <f aca="false">IF(J2383&gt;H2383*I2383,1,0)</f>
        <v>0</v>
      </c>
      <c r="Z2383" s="9" t="n">
        <f aca="false">IF(AND(N2383&lt;&gt;"",OR(N2383&lt;1,N2383&gt;5)),1,0)</f>
        <v>0</v>
      </c>
      <c r="AA2383" s="9" t="n">
        <f aca="false">IF(AND(M2383&lt;&gt;"",OR(M2383&lt;5,M2383&gt;180)),1,0)</f>
        <v>0</v>
      </c>
      <c r="AB2383" s="7" t="str">
        <f aca="false">IF(P2383="DUP","Exact duplicate row",IF(T2383=1,"Missing Order ID",IF(S2383="DROP","Duplicate Order ID (less complete row)",IF(U2383=1,"Missing Customer ID",IF(V2383=1,"Missing Restaurant name",IF(W2383=1,"Invalid/outlier quantity",IF(X2383=1,"Invalid/outlier unit price",IF(Y2383=1,"Discount greater than order value",""))))))))</f>
        <v/>
      </c>
      <c r="AC2383" s="7" t="str">
        <f aca="false">IF(AB2383="","KEEP","DROP")</f>
        <v>KEEP</v>
      </c>
      <c r="AD2383" s="7" t="str">
        <f aca="false">IF(TRIM(F2383)="",IFERROR(INDEX(Map_Tables!$I$4:$I$37,MATCH(TRIM(E2383),Map_Tables!$G$4:$G$37,0)),""),IFERROR(INDEX(Map_Tables!$B$4:$B$18,MATCH(TRIM(F2383),Map_Tables!$A$4:$A$18,0)),"CHECK"))</f>
        <v>Chennai</v>
      </c>
      <c r="AE2383" s="7" t="str">
        <f aca="false">IF(TRIM(E2383)="","",IFERROR(INDEX(Map_Tables!$H$4:$H$37,MATCH(TRIM(E2383),Map_Tables!$G$4:$G$37,0)),"CHECK"))</f>
        <v>Chettinad House</v>
      </c>
      <c r="AF2383" s="7" t="str">
        <f aca="false">IF(TRIM(K2383)="","Unknown",IFERROR(INDEX(Map_Tables!$E$4:$E$15,MATCH(TRIM(K2383),Map_Tables!$D$4:$D$15,0)),"CHECK"))</f>
        <v>UPI</v>
      </c>
      <c r="AG2383" s="7" t="str">
        <f aca="false">IF(LEFT(LOWER(TRIM(L2383)),6)="cancel","Cancelled","Delivered")</f>
        <v>Delivered</v>
      </c>
      <c r="AH2383" s="10" t="n">
        <f aca="false">IF(ISNUMBER(SEARCH("/",B2383)),DATE(VALUE(RIGHT(B2383,4)),VALUE(MID(B2383,4,2)),VALUE(LEFT(B2383,2))),IF(MID(B2383,5,1)="-",DATE(VALUE(LEFT(B2383,4)),VALUE(MID(B2383,6,2)),VALUE(RIGHT(B2383,2))),DATE(VALUE(RIGHT(B2383,4)),MATCH(MID(B2383,4,3),{"Jan","Feb","Mar","Apr","May","Jun","Jul","Aug","Sep","Oct","Nov","Dec"},0),VALUE(LEFT(B2383,2)))))</f>
        <v>45859</v>
      </c>
    </row>
    <row r="2384" customFormat="false" ht="15" hidden="false" customHeight="false" outlineLevel="0" collapsed="false">
      <c r="A2384" s="7" t="s">
        <v>5306</v>
      </c>
      <c r="B2384" s="7" t="s">
        <v>1458</v>
      </c>
      <c r="C2384" s="7" t="s">
        <v>470</v>
      </c>
      <c r="D2384" s="7" t="s">
        <v>5307</v>
      </c>
      <c r="E2384" s="7" t="s">
        <v>94</v>
      </c>
      <c r="F2384" s="7" t="s">
        <v>86</v>
      </c>
      <c r="G2384" s="7" t="s">
        <v>95</v>
      </c>
      <c r="H2384" s="7" t="n">
        <v>2</v>
      </c>
      <c r="I2384" s="7" t="n">
        <v>150</v>
      </c>
      <c r="J2384" s="7" t="n">
        <v>0</v>
      </c>
      <c r="K2384" s="7" t="s">
        <v>112</v>
      </c>
      <c r="L2384" s="7" t="s">
        <v>194</v>
      </c>
      <c r="M2384" s="7" t="n">
        <v>32</v>
      </c>
      <c r="N2384" s="7" t="n">
        <v>5</v>
      </c>
      <c r="O2384" s="7" t="str">
        <f aca="false">A2384&amp;"|"&amp;B2384&amp;"|"&amp;C2384&amp;"|"&amp;D2384&amp;"|"&amp;E2384&amp;"|"&amp;F2384&amp;"|"&amp;G2384&amp;"|"&amp;H2384&amp;"|"&amp;I2384&amp;"|"&amp;J2384&amp;"|"&amp;K2384&amp;"|"&amp;L2384&amp;"|"&amp;M2384&amp;"|"&amp;N2384</f>
        <v>ORD11025|2025-05-10|11:29|C1337|Dosa Darbar|Bengaluru|South Indian|2|150|0|Cash on Delivery|Delivered|32|5</v>
      </c>
      <c r="P2384" s="7" t="str">
        <f aca="false">IF(COUNTIF($O$2:O2384,O2384)&gt;1,"DUP","OK")</f>
        <v>OK</v>
      </c>
      <c r="Q2384" s="7" t="n">
        <f aca="false">COUNTBLANK(A2384:N2384)</f>
        <v>0</v>
      </c>
      <c r="R2384" s="7" t="n">
        <f aca="false">IF(A2384="",0,COUNTIFS($A$2:$A$3058,A2384,$P$2:$P$3058,"OK"))</f>
        <v>1</v>
      </c>
      <c r="S2384" s="7" t="str">
        <f aca="false">IF(OR(A2384="",P2384="DUP",R2384&lt;2),"",IF(Q2384=_xlfn.MINIFS($Q$2:$Q$3058,$A$2:$A$3058,A2384,$P$2:$P$3058,"OK"),"KEEP","DROP"))</f>
        <v/>
      </c>
      <c r="T2384" s="9" t="n">
        <f aca="false">IF(A2384="",1,0)</f>
        <v>0</v>
      </c>
      <c r="U2384" s="9" t="n">
        <f aca="false">IF(D2384="",1,0)</f>
        <v>0</v>
      </c>
      <c r="V2384" s="9" t="n">
        <f aca="false">IF(E2384="",1,0)</f>
        <v>0</v>
      </c>
      <c r="W2384" s="9" t="n">
        <f aca="false">IF(OR(H2384&lt;1,H2384&gt;10),1,0)</f>
        <v>0</v>
      </c>
      <c r="X2384" s="9" t="n">
        <f aca="false">IF(OR(I2384&lt;=0,I2384&gt;1500),1,0)</f>
        <v>0</v>
      </c>
      <c r="Y2384" s="9" t="n">
        <f aca="false">IF(J2384&gt;H2384*I2384,1,0)</f>
        <v>0</v>
      </c>
      <c r="Z2384" s="9" t="n">
        <f aca="false">IF(AND(N2384&lt;&gt;"",OR(N2384&lt;1,N2384&gt;5)),1,0)</f>
        <v>0</v>
      </c>
      <c r="AA2384" s="9" t="n">
        <f aca="false">IF(AND(M2384&lt;&gt;"",OR(M2384&lt;5,M2384&gt;180)),1,0)</f>
        <v>0</v>
      </c>
      <c r="AB2384" s="7" t="str">
        <f aca="false">IF(P2384="DUP","Exact duplicate row",IF(T2384=1,"Missing Order ID",IF(S2384="DROP","Duplicate Order ID (less complete row)",IF(U2384=1,"Missing Customer ID",IF(V2384=1,"Missing Restaurant name",IF(W2384=1,"Invalid/outlier quantity",IF(X2384=1,"Invalid/outlier unit price",IF(Y2384=1,"Discount greater than order value",""))))))))</f>
        <v/>
      </c>
      <c r="AC2384" s="7" t="str">
        <f aca="false">IF(AB2384="","KEEP","DROP")</f>
        <v>KEEP</v>
      </c>
      <c r="AD2384" s="7" t="str">
        <f aca="false">IF(TRIM(F2384)="",IFERROR(INDEX(Map_Tables!$I$4:$I$37,MATCH(TRIM(E2384),Map_Tables!$G$4:$G$37,0)),""),IFERROR(INDEX(Map_Tables!$B$4:$B$18,MATCH(TRIM(F2384),Map_Tables!$A$4:$A$18,0)),"CHECK"))</f>
        <v>Bengaluru</v>
      </c>
      <c r="AE2384" s="7" t="str">
        <f aca="false">IF(TRIM(E2384)="","",IFERROR(INDEX(Map_Tables!$H$4:$H$37,MATCH(TRIM(E2384),Map_Tables!$G$4:$G$37,0)),"CHECK"))</f>
        <v>Dosa Darbar</v>
      </c>
      <c r="AF2384" s="7" t="str">
        <f aca="false">IF(TRIM(K2384)="","Unknown",IFERROR(INDEX(Map_Tables!$E$4:$E$15,MATCH(TRIM(K2384),Map_Tables!$D$4:$D$15,0)),"CHECK"))</f>
        <v>Cash on Delivery</v>
      </c>
      <c r="AG2384" s="7" t="str">
        <f aca="false">IF(LEFT(LOWER(TRIM(L2384)),6)="cancel","Cancelled","Delivered")</f>
        <v>Delivered</v>
      </c>
      <c r="AH2384" s="10" t="n">
        <f aca="false">IF(ISNUMBER(SEARCH("/",B2384)),DATE(VALUE(RIGHT(B2384,4)),VALUE(MID(B2384,4,2)),VALUE(LEFT(B2384,2))),IF(MID(B2384,5,1)="-",DATE(VALUE(LEFT(B2384,4)),VALUE(MID(B2384,6,2)),VALUE(RIGHT(B2384,2))),DATE(VALUE(RIGHT(B2384,4)),MATCH(MID(B2384,4,3),{"Jan","Feb","Mar","Apr","May","Jun","Jul","Aug","Sep","Oct","Nov","Dec"},0),VALUE(LEFT(B2384,2)))))</f>
        <v>45787</v>
      </c>
    </row>
    <row r="2385" customFormat="false" ht="15" hidden="false" customHeight="false" outlineLevel="0" collapsed="false">
      <c r="A2385" s="7" t="s">
        <v>5308</v>
      </c>
      <c r="B2385" s="7" t="s">
        <v>518</v>
      </c>
      <c r="C2385" s="7" t="s">
        <v>1523</v>
      </c>
      <c r="D2385" s="7" t="s">
        <v>370</v>
      </c>
      <c r="E2385" s="7" t="s">
        <v>144</v>
      </c>
      <c r="F2385" s="7" t="s">
        <v>119</v>
      </c>
      <c r="G2385" s="7" t="s">
        <v>99</v>
      </c>
      <c r="H2385" s="7" t="n">
        <v>2</v>
      </c>
      <c r="I2385" s="7" t="n">
        <v>310</v>
      </c>
      <c r="J2385" s="7" t="n">
        <v>100</v>
      </c>
      <c r="K2385" s="7" t="s">
        <v>87</v>
      </c>
      <c r="L2385" s="7" t="s">
        <v>194</v>
      </c>
      <c r="M2385" s="7" t="n">
        <v>20</v>
      </c>
      <c r="N2385" s="7" t="n">
        <v>4</v>
      </c>
      <c r="O2385" s="7" t="str">
        <f aca="false">A2385&amp;"|"&amp;B2385&amp;"|"&amp;C2385&amp;"|"&amp;D2385&amp;"|"&amp;E2385&amp;"|"&amp;F2385&amp;"|"&amp;G2385&amp;"|"&amp;H2385&amp;"|"&amp;I2385&amp;"|"&amp;J2385&amp;"|"&amp;K2385&amp;"|"&amp;L2385&amp;"|"&amp;M2385&amp;"|"&amp;N2385</f>
        <v>ORD11466|2025-07-09|23:36|C0092|Hyderabad Dum Biryani|Hyderabad|Biryani|2|310|100|upi|Delivered|20|4</v>
      </c>
      <c r="P2385" s="7" t="str">
        <f aca="false">IF(COUNTIF($O$2:O2385,O2385)&gt;1,"DUP","OK")</f>
        <v>OK</v>
      </c>
      <c r="Q2385" s="7" t="n">
        <f aca="false">COUNTBLANK(A2385:N2385)</f>
        <v>0</v>
      </c>
      <c r="R2385" s="7" t="n">
        <f aca="false">IF(A2385="",0,COUNTIFS($A$2:$A$3058,A2385,$P$2:$P$3058,"OK"))</f>
        <v>1</v>
      </c>
      <c r="S2385" s="7" t="str">
        <f aca="false">IF(OR(A2385="",P2385="DUP",R2385&lt;2),"",IF(Q2385=_xlfn.MINIFS($Q$2:$Q$3058,$A$2:$A$3058,A2385,$P$2:$P$3058,"OK"),"KEEP","DROP"))</f>
        <v/>
      </c>
      <c r="T2385" s="9" t="n">
        <f aca="false">IF(A2385="",1,0)</f>
        <v>0</v>
      </c>
      <c r="U2385" s="9" t="n">
        <f aca="false">IF(D2385="",1,0)</f>
        <v>0</v>
      </c>
      <c r="V2385" s="9" t="n">
        <f aca="false">IF(E2385="",1,0)</f>
        <v>0</v>
      </c>
      <c r="W2385" s="9" t="n">
        <f aca="false">IF(OR(H2385&lt;1,H2385&gt;10),1,0)</f>
        <v>0</v>
      </c>
      <c r="X2385" s="9" t="n">
        <f aca="false">IF(OR(I2385&lt;=0,I2385&gt;1500),1,0)</f>
        <v>0</v>
      </c>
      <c r="Y2385" s="9" t="n">
        <f aca="false">IF(J2385&gt;H2385*I2385,1,0)</f>
        <v>0</v>
      </c>
      <c r="Z2385" s="9" t="n">
        <f aca="false">IF(AND(N2385&lt;&gt;"",OR(N2385&lt;1,N2385&gt;5)),1,0)</f>
        <v>0</v>
      </c>
      <c r="AA2385" s="9" t="n">
        <f aca="false">IF(AND(M2385&lt;&gt;"",OR(M2385&lt;5,M2385&gt;180)),1,0)</f>
        <v>0</v>
      </c>
      <c r="AB2385" s="7" t="str">
        <f aca="false">IF(P2385="DUP","Exact duplicate row",IF(T2385=1,"Missing Order ID",IF(S2385="DROP","Duplicate Order ID (less complete row)",IF(U2385=1,"Missing Customer ID",IF(V2385=1,"Missing Restaurant name",IF(W2385=1,"Invalid/outlier quantity",IF(X2385=1,"Invalid/outlier unit price",IF(Y2385=1,"Discount greater than order value",""))))))))</f>
        <v/>
      </c>
      <c r="AC2385" s="7" t="str">
        <f aca="false">IF(AB2385="","KEEP","DROP")</f>
        <v>KEEP</v>
      </c>
      <c r="AD2385" s="7" t="str">
        <f aca="false">IF(TRIM(F2385)="",IFERROR(INDEX(Map_Tables!$I$4:$I$37,MATCH(TRIM(E2385),Map_Tables!$G$4:$G$37,0)),""),IFERROR(INDEX(Map_Tables!$B$4:$B$18,MATCH(TRIM(F2385),Map_Tables!$A$4:$A$18,0)),"CHECK"))</f>
        <v>Hyderabad</v>
      </c>
      <c r="AE2385" s="7" t="str">
        <f aca="false">IF(TRIM(E2385)="","",IFERROR(INDEX(Map_Tables!$H$4:$H$37,MATCH(TRIM(E2385),Map_Tables!$G$4:$G$37,0)),"CHECK"))</f>
        <v>Hyderabad Dum Biryani</v>
      </c>
      <c r="AF2385" s="7" t="str">
        <f aca="false">IF(TRIM(K2385)="","Unknown",IFERROR(INDEX(Map_Tables!$E$4:$E$15,MATCH(TRIM(K2385),Map_Tables!$D$4:$D$15,0)),"CHECK"))</f>
        <v>UPI</v>
      </c>
      <c r="AG2385" s="7" t="str">
        <f aca="false">IF(LEFT(LOWER(TRIM(L2385)),6)="cancel","Cancelled","Delivered")</f>
        <v>Delivered</v>
      </c>
      <c r="AH2385" s="10" t="n">
        <f aca="false">IF(ISNUMBER(SEARCH("/",B2385)),DATE(VALUE(RIGHT(B2385,4)),VALUE(MID(B2385,4,2)),VALUE(LEFT(B2385,2))),IF(MID(B2385,5,1)="-",DATE(VALUE(LEFT(B2385,4)),VALUE(MID(B2385,6,2)),VALUE(RIGHT(B2385,2))),DATE(VALUE(RIGHT(B2385,4)),MATCH(MID(B2385,4,3),{"Jan","Feb","Mar","Apr","May","Jun","Jul","Aug","Sep","Oct","Nov","Dec"},0),VALUE(LEFT(B2385,2)))))</f>
        <v>45847</v>
      </c>
    </row>
    <row r="2386" customFormat="false" ht="15" hidden="false" customHeight="false" outlineLevel="0" collapsed="false">
      <c r="A2386" s="7" t="s">
        <v>5309</v>
      </c>
      <c r="B2386" s="7" t="s">
        <v>855</v>
      </c>
      <c r="C2386" s="7" t="s">
        <v>1050</v>
      </c>
      <c r="D2386" s="7" t="s">
        <v>1006</v>
      </c>
      <c r="E2386" s="7" t="s">
        <v>149</v>
      </c>
      <c r="F2386" s="7" t="s">
        <v>119</v>
      </c>
      <c r="G2386" s="7" t="s">
        <v>150</v>
      </c>
      <c r="H2386" s="7" t="n">
        <v>1</v>
      </c>
      <c r="I2386" s="7" t="n">
        <v>200</v>
      </c>
      <c r="J2386" s="7" t="n">
        <v>0</v>
      </c>
      <c r="K2386" s="7" t="s">
        <v>112</v>
      </c>
      <c r="L2386" s="7" t="s">
        <v>238</v>
      </c>
      <c r="M2386" s="7"/>
      <c r="N2386" s="7"/>
      <c r="O2386" s="7" t="str">
        <f aca="false">A2386&amp;"|"&amp;B2386&amp;"|"&amp;C2386&amp;"|"&amp;D2386&amp;"|"&amp;E2386&amp;"|"&amp;F2386&amp;"|"&amp;G2386&amp;"|"&amp;H2386&amp;"|"&amp;I2386&amp;"|"&amp;J2386&amp;"|"&amp;K2386&amp;"|"&amp;L2386&amp;"|"&amp;M2386&amp;"|"&amp;N2386</f>
        <v>ORD10941|2025-04-29|12:29|C0135|Sweet Tooth Studio|Hyderabad|Desserts|1|200|0|Cash on Delivery|Cancelled||</v>
      </c>
      <c r="P2386" s="7" t="str">
        <f aca="false">IF(COUNTIF($O$2:O2386,O2386)&gt;1,"DUP","OK")</f>
        <v>OK</v>
      </c>
      <c r="Q2386" s="7" t="n">
        <f aca="false">COUNTBLANK(A2386:N2386)</f>
        <v>2</v>
      </c>
      <c r="R2386" s="7" t="n">
        <f aca="false">IF(A2386="",0,COUNTIFS($A$2:$A$3058,A2386,$P$2:$P$3058,"OK"))</f>
        <v>1</v>
      </c>
      <c r="S2386" s="7" t="str">
        <f aca="false">IF(OR(A2386="",P2386="DUP",R2386&lt;2),"",IF(Q2386=_xlfn.MINIFS($Q$2:$Q$3058,$A$2:$A$3058,A2386,$P$2:$P$3058,"OK"),"KEEP","DROP"))</f>
        <v/>
      </c>
      <c r="T2386" s="9" t="n">
        <f aca="false">IF(A2386="",1,0)</f>
        <v>0</v>
      </c>
      <c r="U2386" s="9" t="n">
        <f aca="false">IF(D2386="",1,0)</f>
        <v>0</v>
      </c>
      <c r="V2386" s="9" t="n">
        <f aca="false">IF(E2386="",1,0)</f>
        <v>0</v>
      </c>
      <c r="W2386" s="9" t="n">
        <f aca="false">IF(OR(H2386&lt;1,H2386&gt;10),1,0)</f>
        <v>0</v>
      </c>
      <c r="X2386" s="9" t="n">
        <f aca="false">IF(OR(I2386&lt;=0,I2386&gt;1500),1,0)</f>
        <v>0</v>
      </c>
      <c r="Y2386" s="9" t="n">
        <f aca="false">IF(J2386&gt;H2386*I2386,1,0)</f>
        <v>0</v>
      </c>
      <c r="Z2386" s="9" t="n">
        <f aca="false">IF(AND(N2386&lt;&gt;"",OR(N2386&lt;1,N2386&gt;5)),1,0)</f>
        <v>0</v>
      </c>
      <c r="AA2386" s="9" t="n">
        <f aca="false">IF(AND(M2386&lt;&gt;"",OR(M2386&lt;5,M2386&gt;180)),1,0)</f>
        <v>0</v>
      </c>
      <c r="AB2386" s="7" t="str">
        <f aca="false">IF(P2386="DUP","Exact duplicate row",IF(T2386=1,"Missing Order ID",IF(S2386="DROP","Duplicate Order ID (less complete row)",IF(U2386=1,"Missing Customer ID",IF(V2386=1,"Missing Restaurant name",IF(W2386=1,"Invalid/outlier quantity",IF(X2386=1,"Invalid/outlier unit price",IF(Y2386=1,"Discount greater than order value",""))))))))</f>
        <v/>
      </c>
      <c r="AC2386" s="7" t="str">
        <f aca="false">IF(AB2386="","KEEP","DROP")</f>
        <v>KEEP</v>
      </c>
      <c r="AD2386" s="7" t="str">
        <f aca="false">IF(TRIM(F2386)="",IFERROR(INDEX(Map_Tables!$I$4:$I$37,MATCH(TRIM(E2386),Map_Tables!$G$4:$G$37,0)),""),IFERROR(INDEX(Map_Tables!$B$4:$B$18,MATCH(TRIM(F2386),Map_Tables!$A$4:$A$18,0)),"CHECK"))</f>
        <v>Hyderabad</v>
      </c>
      <c r="AE2386" s="7" t="str">
        <f aca="false">IF(TRIM(E2386)="","",IFERROR(INDEX(Map_Tables!$H$4:$H$37,MATCH(TRIM(E2386),Map_Tables!$G$4:$G$37,0)),"CHECK"))</f>
        <v>Sweet Tooth Studio</v>
      </c>
      <c r="AF2386" s="7" t="str">
        <f aca="false">IF(TRIM(K2386)="","Unknown",IFERROR(INDEX(Map_Tables!$E$4:$E$15,MATCH(TRIM(K2386),Map_Tables!$D$4:$D$15,0)),"CHECK"))</f>
        <v>Cash on Delivery</v>
      </c>
      <c r="AG2386" s="7" t="str">
        <f aca="false">IF(LEFT(LOWER(TRIM(L2386)),6)="cancel","Cancelled","Delivered")</f>
        <v>Cancelled</v>
      </c>
      <c r="AH2386" s="10" t="n">
        <f aca="false">IF(ISNUMBER(SEARCH("/",B2386)),DATE(VALUE(RIGHT(B2386,4)),VALUE(MID(B2386,4,2)),VALUE(LEFT(B2386,2))),IF(MID(B2386,5,1)="-",DATE(VALUE(LEFT(B2386,4)),VALUE(MID(B2386,6,2)),VALUE(RIGHT(B2386,2))),DATE(VALUE(RIGHT(B2386,4)),MATCH(MID(B2386,4,3),{"Jan","Feb","Mar","Apr","May","Jun","Jul","Aug","Sep","Oct","Nov","Dec"},0),VALUE(LEFT(B2386,2)))))</f>
        <v>45776</v>
      </c>
    </row>
    <row r="2387" customFormat="false" ht="15" hidden="false" customHeight="false" outlineLevel="0" collapsed="false">
      <c r="A2387" s="7" t="s">
        <v>5310</v>
      </c>
      <c r="B2387" s="7" t="s">
        <v>2320</v>
      </c>
      <c r="C2387" s="7" t="s">
        <v>4644</v>
      </c>
      <c r="D2387" s="7" t="s">
        <v>471</v>
      </c>
      <c r="E2387" s="7" t="s">
        <v>151</v>
      </c>
      <c r="F2387" s="7" t="s">
        <v>128</v>
      </c>
      <c r="G2387" s="7" t="s">
        <v>95</v>
      </c>
      <c r="H2387" s="7" t="n">
        <v>2</v>
      </c>
      <c r="I2387" s="7" t="n">
        <v>195</v>
      </c>
      <c r="J2387" s="7" t="n">
        <v>0</v>
      </c>
      <c r="K2387" s="7" t="s">
        <v>566</v>
      </c>
      <c r="L2387" s="7" t="s">
        <v>194</v>
      </c>
      <c r="M2387" s="7" t="n">
        <v>41</v>
      </c>
      <c r="N2387" s="7" t="n">
        <v>3</v>
      </c>
      <c r="O2387" s="7" t="str">
        <f aca="false">A2387&amp;"|"&amp;B2387&amp;"|"&amp;C2387&amp;"|"&amp;D2387&amp;"|"&amp;E2387&amp;"|"&amp;F2387&amp;"|"&amp;G2387&amp;"|"&amp;H2387&amp;"|"&amp;I2387&amp;"|"&amp;J2387&amp;"|"&amp;K2387&amp;"|"&amp;L2387&amp;"|"&amp;M2387&amp;"|"&amp;N2387</f>
        <v>ORD11467|2025-07-10|09:43|C0728|Chettinad House|Chennai|South Indian|2|195|0|NetBanking|Delivered|41|3</v>
      </c>
      <c r="P2387" s="7" t="str">
        <f aca="false">IF(COUNTIF($O$2:O2387,O2387)&gt;1,"DUP","OK")</f>
        <v>OK</v>
      </c>
      <c r="Q2387" s="7" t="n">
        <f aca="false">COUNTBLANK(A2387:N2387)</f>
        <v>0</v>
      </c>
      <c r="R2387" s="7" t="n">
        <f aca="false">IF(A2387="",0,COUNTIFS($A$2:$A$3058,A2387,$P$2:$P$3058,"OK"))</f>
        <v>1</v>
      </c>
      <c r="S2387" s="7" t="str">
        <f aca="false">IF(OR(A2387="",P2387="DUP",R2387&lt;2),"",IF(Q2387=_xlfn.MINIFS($Q$2:$Q$3058,$A$2:$A$3058,A2387,$P$2:$P$3058,"OK"),"KEEP","DROP"))</f>
        <v/>
      </c>
      <c r="T2387" s="9" t="n">
        <f aca="false">IF(A2387="",1,0)</f>
        <v>0</v>
      </c>
      <c r="U2387" s="9" t="n">
        <f aca="false">IF(D2387="",1,0)</f>
        <v>0</v>
      </c>
      <c r="V2387" s="9" t="n">
        <f aca="false">IF(E2387="",1,0)</f>
        <v>0</v>
      </c>
      <c r="W2387" s="9" t="n">
        <f aca="false">IF(OR(H2387&lt;1,H2387&gt;10),1,0)</f>
        <v>0</v>
      </c>
      <c r="X2387" s="9" t="n">
        <f aca="false">IF(OR(I2387&lt;=0,I2387&gt;1500),1,0)</f>
        <v>0</v>
      </c>
      <c r="Y2387" s="9" t="n">
        <f aca="false">IF(J2387&gt;H2387*I2387,1,0)</f>
        <v>0</v>
      </c>
      <c r="Z2387" s="9" t="n">
        <f aca="false">IF(AND(N2387&lt;&gt;"",OR(N2387&lt;1,N2387&gt;5)),1,0)</f>
        <v>0</v>
      </c>
      <c r="AA2387" s="9" t="n">
        <f aca="false">IF(AND(M2387&lt;&gt;"",OR(M2387&lt;5,M2387&gt;180)),1,0)</f>
        <v>0</v>
      </c>
      <c r="AB2387" s="7" t="str">
        <f aca="false">IF(P2387="DUP","Exact duplicate row",IF(T2387=1,"Missing Order ID",IF(S2387="DROP","Duplicate Order ID (less complete row)",IF(U2387=1,"Missing Customer ID",IF(V2387=1,"Missing Restaurant name",IF(W2387=1,"Invalid/outlier quantity",IF(X2387=1,"Invalid/outlier unit price",IF(Y2387=1,"Discount greater than order value",""))))))))</f>
        <v/>
      </c>
      <c r="AC2387" s="7" t="str">
        <f aca="false">IF(AB2387="","KEEP","DROP")</f>
        <v>KEEP</v>
      </c>
      <c r="AD2387" s="7" t="str">
        <f aca="false">IF(TRIM(F2387)="",IFERROR(INDEX(Map_Tables!$I$4:$I$37,MATCH(TRIM(E2387),Map_Tables!$G$4:$G$37,0)),""),IFERROR(INDEX(Map_Tables!$B$4:$B$18,MATCH(TRIM(F2387),Map_Tables!$A$4:$A$18,0)),"CHECK"))</f>
        <v>Chennai</v>
      </c>
      <c r="AE2387" s="7" t="str">
        <f aca="false">IF(TRIM(E2387)="","",IFERROR(INDEX(Map_Tables!$H$4:$H$37,MATCH(TRIM(E2387),Map_Tables!$G$4:$G$37,0)),"CHECK"))</f>
        <v>Chettinad House</v>
      </c>
      <c r="AF2387" s="7" t="str">
        <f aca="false">IF(TRIM(K2387)="","Unknown",IFERROR(INDEX(Map_Tables!$E$4:$E$15,MATCH(TRIM(K2387),Map_Tables!$D$4:$D$15,0)),"CHECK"))</f>
        <v>Net Banking</v>
      </c>
      <c r="AG2387" s="7" t="str">
        <f aca="false">IF(LEFT(LOWER(TRIM(L2387)),6)="cancel","Cancelled","Delivered")</f>
        <v>Delivered</v>
      </c>
      <c r="AH2387" s="10" t="n">
        <f aca="false">IF(ISNUMBER(SEARCH("/",B2387)),DATE(VALUE(RIGHT(B2387,4)),VALUE(MID(B2387,4,2)),VALUE(LEFT(B2387,2))),IF(MID(B2387,5,1)="-",DATE(VALUE(LEFT(B2387,4)),VALUE(MID(B2387,6,2)),VALUE(RIGHT(B2387,2))),DATE(VALUE(RIGHT(B2387,4)),MATCH(MID(B2387,4,3),{"Jan","Feb","Mar","Apr","May","Jun","Jul","Aug","Sep","Oct","Nov","Dec"},0),VALUE(LEFT(B2387,2)))))</f>
        <v>45848</v>
      </c>
    </row>
    <row r="2388" customFormat="false" ht="15" hidden="false" customHeight="false" outlineLevel="0" collapsed="false">
      <c r="A2388" s="7" t="s">
        <v>5311</v>
      </c>
      <c r="B2388" s="7" t="s">
        <v>594</v>
      </c>
      <c r="C2388" s="7" t="s">
        <v>755</v>
      </c>
      <c r="D2388" s="7" t="s">
        <v>2994</v>
      </c>
      <c r="E2388" s="7" t="s">
        <v>2294</v>
      </c>
      <c r="F2388" s="7" t="s">
        <v>110</v>
      </c>
      <c r="G2388" s="7" t="s">
        <v>139</v>
      </c>
      <c r="H2388" s="7" t="n">
        <v>5</v>
      </c>
      <c r="I2388" s="7" t="n">
        <v>225</v>
      </c>
      <c r="J2388" s="7" t="n">
        <v>150</v>
      </c>
      <c r="K2388" s="7" t="s">
        <v>88</v>
      </c>
      <c r="L2388" s="7" t="s">
        <v>194</v>
      </c>
      <c r="M2388" s="7" t="n">
        <v>42</v>
      </c>
      <c r="N2388" s="7" t="n">
        <v>5</v>
      </c>
      <c r="O2388" s="7" t="str">
        <f aca="false">A2388&amp;"|"&amp;B2388&amp;"|"&amp;C2388&amp;"|"&amp;D2388&amp;"|"&amp;E2388&amp;"|"&amp;F2388&amp;"|"&amp;G2388&amp;"|"&amp;H2388&amp;"|"&amp;I2388&amp;"|"&amp;J2388&amp;"|"&amp;K2388&amp;"|"&amp;L2388&amp;"|"&amp;M2388&amp;"|"&amp;N2388</f>
        <v>ORD11324|2025-06-20|11:24|C0967|burger barn|Delhi|Burgers|5|225|150|UPI|Delivered|42|5</v>
      </c>
      <c r="P2388" s="7" t="str">
        <f aca="false">IF(COUNTIF($O$2:O2388,O2388)&gt;1,"DUP","OK")</f>
        <v>OK</v>
      </c>
      <c r="Q2388" s="7" t="n">
        <f aca="false">COUNTBLANK(A2388:N2388)</f>
        <v>0</v>
      </c>
      <c r="R2388" s="7" t="n">
        <f aca="false">IF(A2388="",0,COUNTIFS($A$2:$A$3058,A2388,$P$2:$P$3058,"OK"))</f>
        <v>1</v>
      </c>
      <c r="S2388" s="7" t="str">
        <f aca="false">IF(OR(A2388="",P2388="DUP",R2388&lt;2),"",IF(Q2388=_xlfn.MINIFS($Q$2:$Q$3058,$A$2:$A$3058,A2388,$P$2:$P$3058,"OK"),"KEEP","DROP"))</f>
        <v/>
      </c>
      <c r="T2388" s="9" t="n">
        <f aca="false">IF(A2388="",1,0)</f>
        <v>0</v>
      </c>
      <c r="U2388" s="9" t="n">
        <f aca="false">IF(D2388="",1,0)</f>
        <v>0</v>
      </c>
      <c r="V2388" s="9" t="n">
        <f aca="false">IF(E2388="",1,0)</f>
        <v>0</v>
      </c>
      <c r="W2388" s="9" t="n">
        <f aca="false">IF(OR(H2388&lt;1,H2388&gt;10),1,0)</f>
        <v>0</v>
      </c>
      <c r="X2388" s="9" t="n">
        <f aca="false">IF(OR(I2388&lt;=0,I2388&gt;1500),1,0)</f>
        <v>0</v>
      </c>
      <c r="Y2388" s="9" t="n">
        <f aca="false">IF(J2388&gt;H2388*I2388,1,0)</f>
        <v>0</v>
      </c>
      <c r="Z2388" s="9" t="n">
        <f aca="false">IF(AND(N2388&lt;&gt;"",OR(N2388&lt;1,N2388&gt;5)),1,0)</f>
        <v>0</v>
      </c>
      <c r="AA2388" s="9" t="n">
        <f aca="false">IF(AND(M2388&lt;&gt;"",OR(M2388&lt;5,M2388&gt;180)),1,0)</f>
        <v>0</v>
      </c>
      <c r="AB2388" s="7" t="str">
        <f aca="false">IF(P2388="DUP","Exact duplicate row",IF(T2388=1,"Missing Order ID",IF(S2388="DROP","Duplicate Order ID (less complete row)",IF(U2388=1,"Missing Customer ID",IF(V2388=1,"Missing Restaurant name",IF(W2388=1,"Invalid/outlier quantity",IF(X2388=1,"Invalid/outlier unit price",IF(Y2388=1,"Discount greater than order value",""))))))))</f>
        <v/>
      </c>
      <c r="AC2388" s="7" t="str">
        <f aca="false">IF(AB2388="","KEEP","DROP")</f>
        <v>KEEP</v>
      </c>
      <c r="AD2388" s="7" t="str">
        <f aca="false">IF(TRIM(F2388)="",IFERROR(INDEX(Map_Tables!$I$4:$I$37,MATCH(TRIM(E2388),Map_Tables!$G$4:$G$37,0)),""),IFERROR(INDEX(Map_Tables!$B$4:$B$18,MATCH(TRIM(F2388),Map_Tables!$A$4:$A$18,0)),"CHECK"))</f>
        <v>Delhi</v>
      </c>
      <c r="AE2388" s="7" t="str">
        <f aca="false">IF(TRIM(E2388)="","",IFERROR(INDEX(Map_Tables!$H$4:$H$37,MATCH(TRIM(E2388),Map_Tables!$G$4:$G$37,0)),"CHECK"))</f>
        <v>Burger Barn</v>
      </c>
      <c r="AF2388" s="7" t="str">
        <f aca="false">IF(TRIM(K2388)="","Unknown",IFERROR(INDEX(Map_Tables!$E$4:$E$15,MATCH(TRIM(K2388),Map_Tables!$D$4:$D$15,0)),"CHECK"))</f>
        <v>UPI</v>
      </c>
      <c r="AG2388" s="7" t="str">
        <f aca="false">IF(LEFT(LOWER(TRIM(L2388)),6)="cancel","Cancelled","Delivered")</f>
        <v>Delivered</v>
      </c>
      <c r="AH2388" s="10" t="n">
        <f aca="false">IF(ISNUMBER(SEARCH("/",B2388)),DATE(VALUE(RIGHT(B2388,4)),VALUE(MID(B2388,4,2)),VALUE(LEFT(B2388,2))),IF(MID(B2388,5,1)="-",DATE(VALUE(LEFT(B2388,4)),VALUE(MID(B2388,6,2)),VALUE(RIGHT(B2388,2))),DATE(VALUE(RIGHT(B2388,4)),MATCH(MID(B2388,4,3),{"Jan","Feb","Mar","Apr","May","Jun","Jul","Aug","Sep","Oct","Nov","Dec"},0),VALUE(LEFT(B2388,2)))))</f>
        <v>45828</v>
      </c>
    </row>
    <row r="2389" customFormat="false" ht="15" hidden="false" customHeight="false" outlineLevel="0" collapsed="false">
      <c r="A2389" s="7" t="s">
        <v>5312</v>
      </c>
      <c r="B2389" s="7" t="s">
        <v>1989</v>
      </c>
      <c r="C2389" s="7" t="s">
        <v>447</v>
      </c>
      <c r="D2389" s="7" t="s">
        <v>4533</v>
      </c>
      <c r="E2389" s="7" t="s">
        <v>130</v>
      </c>
      <c r="F2389" s="7" t="s">
        <v>110</v>
      </c>
      <c r="G2389" s="7" t="s">
        <v>90</v>
      </c>
      <c r="H2389" s="7" t="n">
        <v>2</v>
      </c>
      <c r="I2389" s="7" t="n">
        <v>225</v>
      </c>
      <c r="J2389" s="7" t="n">
        <v>0</v>
      </c>
      <c r="K2389" s="7" t="s">
        <v>103</v>
      </c>
      <c r="L2389" s="7" t="s">
        <v>194</v>
      </c>
      <c r="M2389" s="7" t="n">
        <v>51</v>
      </c>
      <c r="N2389" s="7" t="n">
        <v>4</v>
      </c>
      <c r="O2389" s="7" t="str">
        <f aca="false">A2389&amp;"|"&amp;B2389&amp;"|"&amp;C2389&amp;"|"&amp;D2389&amp;"|"&amp;E2389&amp;"|"&amp;F2389&amp;"|"&amp;G2389&amp;"|"&amp;H2389&amp;"|"&amp;I2389&amp;"|"&amp;J2389&amp;"|"&amp;K2389&amp;"|"&amp;L2389&amp;"|"&amp;M2389&amp;"|"&amp;N2389</f>
        <v>ORD11400|2025-06-30|20:28|C0068|Tandoor Tales|Delhi|North Indian|2|225|0|Debit Card|Delivered|51|4</v>
      </c>
      <c r="P2389" s="7" t="str">
        <f aca="false">IF(COUNTIF($O$2:O2389,O2389)&gt;1,"DUP","OK")</f>
        <v>OK</v>
      </c>
      <c r="Q2389" s="7" t="n">
        <f aca="false">COUNTBLANK(A2389:N2389)</f>
        <v>0</v>
      </c>
      <c r="R2389" s="7" t="n">
        <f aca="false">IF(A2389="",0,COUNTIFS($A$2:$A$3058,A2389,$P$2:$P$3058,"OK"))</f>
        <v>1</v>
      </c>
      <c r="S2389" s="7" t="str">
        <f aca="false">IF(OR(A2389="",P2389="DUP",R2389&lt;2),"",IF(Q2389=_xlfn.MINIFS($Q$2:$Q$3058,$A$2:$A$3058,A2389,$P$2:$P$3058,"OK"),"KEEP","DROP"))</f>
        <v/>
      </c>
      <c r="T2389" s="9" t="n">
        <f aca="false">IF(A2389="",1,0)</f>
        <v>0</v>
      </c>
      <c r="U2389" s="9" t="n">
        <f aca="false">IF(D2389="",1,0)</f>
        <v>0</v>
      </c>
      <c r="V2389" s="9" t="n">
        <f aca="false">IF(E2389="",1,0)</f>
        <v>0</v>
      </c>
      <c r="W2389" s="9" t="n">
        <f aca="false">IF(OR(H2389&lt;1,H2389&gt;10),1,0)</f>
        <v>0</v>
      </c>
      <c r="X2389" s="9" t="n">
        <f aca="false">IF(OR(I2389&lt;=0,I2389&gt;1500),1,0)</f>
        <v>0</v>
      </c>
      <c r="Y2389" s="9" t="n">
        <f aca="false">IF(J2389&gt;H2389*I2389,1,0)</f>
        <v>0</v>
      </c>
      <c r="Z2389" s="9" t="n">
        <f aca="false">IF(AND(N2389&lt;&gt;"",OR(N2389&lt;1,N2389&gt;5)),1,0)</f>
        <v>0</v>
      </c>
      <c r="AA2389" s="9" t="n">
        <f aca="false">IF(AND(M2389&lt;&gt;"",OR(M2389&lt;5,M2389&gt;180)),1,0)</f>
        <v>0</v>
      </c>
      <c r="AB2389" s="7" t="str">
        <f aca="false">IF(P2389="DUP","Exact duplicate row",IF(T2389=1,"Missing Order ID",IF(S2389="DROP","Duplicate Order ID (less complete row)",IF(U2389=1,"Missing Customer ID",IF(V2389=1,"Missing Restaurant name",IF(W2389=1,"Invalid/outlier quantity",IF(X2389=1,"Invalid/outlier unit price",IF(Y2389=1,"Discount greater than order value",""))))))))</f>
        <v/>
      </c>
      <c r="AC2389" s="7" t="str">
        <f aca="false">IF(AB2389="","KEEP","DROP")</f>
        <v>KEEP</v>
      </c>
      <c r="AD2389" s="7" t="str">
        <f aca="false">IF(TRIM(F2389)="",IFERROR(INDEX(Map_Tables!$I$4:$I$37,MATCH(TRIM(E2389),Map_Tables!$G$4:$G$37,0)),""),IFERROR(INDEX(Map_Tables!$B$4:$B$18,MATCH(TRIM(F2389),Map_Tables!$A$4:$A$18,0)),"CHECK"))</f>
        <v>Delhi</v>
      </c>
      <c r="AE2389" s="7" t="str">
        <f aca="false">IF(TRIM(E2389)="","",IFERROR(INDEX(Map_Tables!$H$4:$H$37,MATCH(TRIM(E2389),Map_Tables!$G$4:$G$37,0)),"CHECK"))</f>
        <v>Tandoor Tales</v>
      </c>
      <c r="AF2389" s="7" t="str">
        <f aca="false">IF(TRIM(K2389)="","Unknown",IFERROR(INDEX(Map_Tables!$E$4:$E$15,MATCH(TRIM(K2389),Map_Tables!$D$4:$D$15,0)),"CHECK"))</f>
        <v>Debit Card</v>
      </c>
      <c r="AG2389" s="7" t="str">
        <f aca="false">IF(LEFT(LOWER(TRIM(L2389)),6)="cancel","Cancelled","Delivered")</f>
        <v>Delivered</v>
      </c>
      <c r="AH2389" s="10" t="n">
        <f aca="false">IF(ISNUMBER(SEARCH("/",B2389)),DATE(VALUE(RIGHT(B2389,4)),VALUE(MID(B2389,4,2)),VALUE(LEFT(B2389,2))),IF(MID(B2389,5,1)="-",DATE(VALUE(LEFT(B2389,4)),VALUE(MID(B2389,6,2)),VALUE(RIGHT(B2389,2))),DATE(VALUE(RIGHT(B2389,4)),MATCH(MID(B2389,4,3),{"Jan","Feb","Mar","Apr","May","Jun","Jul","Aug","Sep","Oct","Nov","Dec"},0),VALUE(LEFT(B2389,2)))))</f>
        <v>45838</v>
      </c>
    </row>
    <row r="2390" customFormat="false" ht="15" hidden="false" customHeight="false" outlineLevel="0" collapsed="false">
      <c r="A2390" s="7" t="s">
        <v>5313</v>
      </c>
      <c r="B2390" s="7" t="s">
        <v>1061</v>
      </c>
      <c r="C2390" s="7" t="s">
        <v>755</v>
      </c>
      <c r="D2390" s="7" t="s">
        <v>4805</v>
      </c>
      <c r="E2390" s="7" t="s">
        <v>147</v>
      </c>
      <c r="F2390" s="7" t="s">
        <v>119</v>
      </c>
      <c r="G2390" s="7" t="s">
        <v>95</v>
      </c>
      <c r="H2390" s="7" t="n">
        <v>3</v>
      </c>
      <c r="I2390" s="7" t="n">
        <v>150</v>
      </c>
      <c r="J2390" s="7" t="n">
        <v>0</v>
      </c>
      <c r="K2390" s="7" t="s">
        <v>121</v>
      </c>
      <c r="L2390" s="7" t="s">
        <v>194</v>
      </c>
      <c r="M2390" s="7" t="n">
        <v>30</v>
      </c>
      <c r="N2390" s="7" t="n">
        <v>5</v>
      </c>
      <c r="O2390" s="7" t="str">
        <f aca="false">A2390&amp;"|"&amp;B2390&amp;"|"&amp;C2390&amp;"|"&amp;D2390&amp;"|"&amp;E2390&amp;"|"&amp;F2390&amp;"|"&amp;G2390&amp;"|"&amp;H2390&amp;"|"&amp;I2390&amp;"|"&amp;J2390&amp;"|"&amp;K2390&amp;"|"&amp;L2390&amp;"|"&amp;M2390&amp;"|"&amp;N2390</f>
        <v>ORD12513|2025-11-11|11:24|C1011|Andhra Meals Mess|Hyderabad|South Indian|3|150|0|Wallet|Delivered|30|5</v>
      </c>
      <c r="P2390" s="7" t="str">
        <f aca="false">IF(COUNTIF($O$2:O2390,O2390)&gt;1,"DUP","OK")</f>
        <v>OK</v>
      </c>
      <c r="Q2390" s="7" t="n">
        <f aca="false">COUNTBLANK(A2390:N2390)</f>
        <v>0</v>
      </c>
      <c r="R2390" s="7" t="n">
        <f aca="false">IF(A2390="",0,COUNTIFS($A$2:$A$3058,A2390,$P$2:$P$3058,"OK"))</f>
        <v>1</v>
      </c>
      <c r="S2390" s="7" t="str">
        <f aca="false">IF(OR(A2390="",P2390="DUP",R2390&lt;2),"",IF(Q2390=_xlfn.MINIFS($Q$2:$Q$3058,$A$2:$A$3058,A2390,$P$2:$P$3058,"OK"),"KEEP","DROP"))</f>
        <v/>
      </c>
      <c r="T2390" s="9" t="n">
        <f aca="false">IF(A2390="",1,0)</f>
        <v>0</v>
      </c>
      <c r="U2390" s="9" t="n">
        <f aca="false">IF(D2390="",1,0)</f>
        <v>0</v>
      </c>
      <c r="V2390" s="9" t="n">
        <f aca="false">IF(E2390="",1,0)</f>
        <v>0</v>
      </c>
      <c r="W2390" s="9" t="n">
        <f aca="false">IF(OR(H2390&lt;1,H2390&gt;10),1,0)</f>
        <v>0</v>
      </c>
      <c r="X2390" s="9" t="n">
        <f aca="false">IF(OR(I2390&lt;=0,I2390&gt;1500),1,0)</f>
        <v>0</v>
      </c>
      <c r="Y2390" s="9" t="n">
        <f aca="false">IF(J2390&gt;H2390*I2390,1,0)</f>
        <v>0</v>
      </c>
      <c r="Z2390" s="9" t="n">
        <f aca="false">IF(AND(N2390&lt;&gt;"",OR(N2390&lt;1,N2390&gt;5)),1,0)</f>
        <v>0</v>
      </c>
      <c r="AA2390" s="9" t="n">
        <f aca="false">IF(AND(M2390&lt;&gt;"",OR(M2390&lt;5,M2390&gt;180)),1,0)</f>
        <v>0</v>
      </c>
      <c r="AB2390" s="7" t="str">
        <f aca="false">IF(P2390="DUP","Exact duplicate row",IF(T2390=1,"Missing Order ID",IF(S2390="DROP","Duplicate Order ID (less complete row)",IF(U2390=1,"Missing Customer ID",IF(V2390=1,"Missing Restaurant name",IF(W2390=1,"Invalid/outlier quantity",IF(X2390=1,"Invalid/outlier unit price",IF(Y2390=1,"Discount greater than order value",""))))))))</f>
        <v/>
      </c>
      <c r="AC2390" s="7" t="str">
        <f aca="false">IF(AB2390="","KEEP","DROP")</f>
        <v>KEEP</v>
      </c>
      <c r="AD2390" s="7" t="str">
        <f aca="false">IF(TRIM(F2390)="",IFERROR(INDEX(Map_Tables!$I$4:$I$37,MATCH(TRIM(E2390),Map_Tables!$G$4:$G$37,0)),""),IFERROR(INDEX(Map_Tables!$B$4:$B$18,MATCH(TRIM(F2390),Map_Tables!$A$4:$A$18,0)),"CHECK"))</f>
        <v>Hyderabad</v>
      </c>
      <c r="AE2390" s="7" t="str">
        <f aca="false">IF(TRIM(E2390)="","",IFERROR(INDEX(Map_Tables!$H$4:$H$37,MATCH(TRIM(E2390),Map_Tables!$G$4:$G$37,0)),"CHECK"))</f>
        <v>Andhra Meals Mess</v>
      </c>
      <c r="AF2390" s="7" t="str">
        <f aca="false">IF(TRIM(K2390)="","Unknown",IFERROR(INDEX(Map_Tables!$E$4:$E$15,MATCH(TRIM(K2390),Map_Tables!$D$4:$D$15,0)),"CHECK"))</f>
        <v>Wallet</v>
      </c>
      <c r="AG2390" s="7" t="str">
        <f aca="false">IF(LEFT(LOWER(TRIM(L2390)),6)="cancel","Cancelled","Delivered")</f>
        <v>Delivered</v>
      </c>
      <c r="AH2390" s="10" t="n">
        <f aca="false">IF(ISNUMBER(SEARCH("/",B2390)),DATE(VALUE(RIGHT(B2390,4)),VALUE(MID(B2390,4,2)),VALUE(LEFT(B2390,2))),IF(MID(B2390,5,1)="-",DATE(VALUE(LEFT(B2390,4)),VALUE(MID(B2390,6,2)),VALUE(RIGHT(B2390,2))),DATE(VALUE(RIGHT(B2390,4)),MATCH(MID(B2390,4,3),{"Jan","Feb","Mar","Apr","May","Jun","Jul","Aug","Sep","Oct","Nov","Dec"},0),VALUE(LEFT(B2390,2)))))</f>
        <v>45972</v>
      </c>
    </row>
    <row r="2391" customFormat="false" ht="15" hidden="false" customHeight="false" outlineLevel="0" collapsed="false">
      <c r="A2391" s="7" t="s">
        <v>5314</v>
      </c>
      <c r="B2391" s="7" t="s">
        <v>955</v>
      </c>
      <c r="C2391" s="7" t="s">
        <v>2263</v>
      </c>
      <c r="D2391" s="7" t="s">
        <v>5315</v>
      </c>
      <c r="E2391" s="7" t="s">
        <v>113</v>
      </c>
      <c r="F2391" s="7" t="s">
        <v>100</v>
      </c>
      <c r="G2391" s="7" t="s">
        <v>90</v>
      </c>
      <c r="H2391" s="7" t="n">
        <v>2</v>
      </c>
      <c r="I2391" s="7" t="n">
        <v>220</v>
      </c>
      <c r="J2391" s="7" t="n">
        <v>100</v>
      </c>
      <c r="K2391" s="7" t="s">
        <v>88</v>
      </c>
      <c r="L2391" s="7" t="s">
        <v>194</v>
      </c>
      <c r="M2391" s="7" t="n">
        <v>42</v>
      </c>
      <c r="N2391" s="7"/>
      <c r="O2391" s="7" t="str">
        <f aca="false">A2391&amp;"|"&amp;B2391&amp;"|"&amp;C2391&amp;"|"&amp;D2391&amp;"|"&amp;E2391&amp;"|"&amp;F2391&amp;"|"&amp;G2391&amp;"|"&amp;H2391&amp;"|"&amp;I2391&amp;"|"&amp;J2391&amp;"|"&amp;K2391&amp;"|"&amp;L2391&amp;"|"&amp;M2391&amp;"|"&amp;N2391</f>
        <v>ORD11450|2025-07-07|21:41|C0074|Curry Leaf Kitchen|mumbai|North Indian|2|220|100|UPI|Delivered|42|</v>
      </c>
      <c r="P2391" s="7" t="str">
        <f aca="false">IF(COUNTIF($O$2:O2391,O2391)&gt;1,"DUP","OK")</f>
        <v>OK</v>
      </c>
      <c r="Q2391" s="7" t="n">
        <f aca="false">COUNTBLANK(A2391:N2391)</f>
        <v>1</v>
      </c>
      <c r="R2391" s="7" t="n">
        <f aca="false">IF(A2391="",0,COUNTIFS($A$2:$A$3058,A2391,$P$2:$P$3058,"OK"))</f>
        <v>1</v>
      </c>
      <c r="S2391" s="7" t="str">
        <f aca="false">IF(OR(A2391="",P2391="DUP",R2391&lt;2),"",IF(Q2391=_xlfn.MINIFS($Q$2:$Q$3058,$A$2:$A$3058,A2391,$P$2:$P$3058,"OK"),"KEEP","DROP"))</f>
        <v/>
      </c>
      <c r="T2391" s="9" t="n">
        <f aca="false">IF(A2391="",1,0)</f>
        <v>0</v>
      </c>
      <c r="U2391" s="9" t="n">
        <f aca="false">IF(D2391="",1,0)</f>
        <v>0</v>
      </c>
      <c r="V2391" s="9" t="n">
        <f aca="false">IF(E2391="",1,0)</f>
        <v>0</v>
      </c>
      <c r="W2391" s="9" t="n">
        <f aca="false">IF(OR(H2391&lt;1,H2391&gt;10),1,0)</f>
        <v>0</v>
      </c>
      <c r="X2391" s="9" t="n">
        <f aca="false">IF(OR(I2391&lt;=0,I2391&gt;1500),1,0)</f>
        <v>0</v>
      </c>
      <c r="Y2391" s="9" t="n">
        <f aca="false">IF(J2391&gt;H2391*I2391,1,0)</f>
        <v>0</v>
      </c>
      <c r="Z2391" s="9" t="n">
        <f aca="false">IF(AND(N2391&lt;&gt;"",OR(N2391&lt;1,N2391&gt;5)),1,0)</f>
        <v>0</v>
      </c>
      <c r="AA2391" s="9" t="n">
        <f aca="false">IF(AND(M2391&lt;&gt;"",OR(M2391&lt;5,M2391&gt;180)),1,0)</f>
        <v>0</v>
      </c>
      <c r="AB2391" s="7" t="str">
        <f aca="false">IF(P2391="DUP","Exact duplicate row",IF(T2391=1,"Missing Order ID",IF(S2391="DROP","Duplicate Order ID (less complete row)",IF(U2391=1,"Missing Customer ID",IF(V2391=1,"Missing Restaurant name",IF(W2391=1,"Invalid/outlier quantity",IF(X2391=1,"Invalid/outlier unit price",IF(Y2391=1,"Discount greater than order value",""))))))))</f>
        <v/>
      </c>
      <c r="AC2391" s="7" t="str">
        <f aca="false">IF(AB2391="","KEEP","DROP")</f>
        <v>KEEP</v>
      </c>
      <c r="AD2391" s="7" t="str">
        <f aca="false">IF(TRIM(F2391)="",IFERROR(INDEX(Map_Tables!$I$4:$I$37,MATCH(TRIM(E2391),Map_Tables!$G$4:$G$37,0)),""),IFERROR(INDEX(Map_Tables!$B$4:$B$18,MATCH(TRIM(F2391),Map_Tables!$A$4:$A$18,0)),"CHECK"))</f>
        <v>Mumbai</v>
      </c>
      <c r="AE2391" s="7" t="str">
        <f aca="false">IF(TRIM(E2391)="","",IFERROR(INDEX(Map_Tables!$H$4:$H$37,MATCH(TRIM(E2391),Map_Tables!$G$4:$G$37,0)),"CHECK"))</f>
        <v>Curry Leaf Kitchen</v>
      </c>
      <c r="AF2391" s="7" t="str">
        <f aca="false">IF(TRIM(K2391)="","Unknown",IFERROR(INDEX(Map_Tables!$E$4:$E$15,MATCH(TRIM(K2391),Map_Tables!$D$4:$D$15,0)),"CHECK"))</f>
        <v>UPI</v>
      </c>
      <c r="AG2391" s="7" t="str">
        <f aca="false">IF(LEFT(LOWER(TRIM(L2391)),6)="cancel","Cancelled","Delivered")</f>
        <v>Delivered</v>
      </c>
      <c r="AH2391" s="10" t="n">
        <f aca="false">IF(ISNUMBER(SEARCH("/",B2391)),DATE(VALUE(RIGHT(B2391,4)),VALUE(MID(B2391,4,2)),VALUE(LEFT(B2391,2))),IF(MID(B2391,5,1)="-",DATE(VALUE(LEFT(B2391,4)),VALUE(MID(B2391,6,2)),VALUE(RIGHT(B2391,2))),DATE(VALUE(RIGHT(B2391,4)),MATCH(MID(B2391,4,3),{"Jan","Feb","Mar","Apr","May","Jun","Jul","Aug","Sep","Oct","Nov","Dec"},0),VALUE(LEFT(B2391,2)))))</f>
        <v>45845</v>
      </c>
    </row>
    <row r="2392" customFormat="false" ht="15" hidden="false" customHeight="false" outlineLevel="0" collapsed="false">
      <c r="A2392" s="7" t="s">
        <v>5316</v>
      </c>
      <c r="B2392" s="7" t="s">
        <v>2912</v>
      </c>
      <c r="C2392" s="7" t="s">
        <v>1812</v>
      </c>
      <c r="D2392" s="7" t="s">
        <v>1493</v>
      </c>
      <c r="E2392" s="7" t="s">
        <v>5317</v>
      </c>
      <c r="F2392" s="7" t="s">
        <v>119</v>
      </c>
      <c r="G2392" s="7" t="s">
        <v>95</v>
      </c>
      <c r="H2392" s="7" t="n">
        <v>3</v>
      </c>
      <c r="I2392" s="7" t="n">
        <v>125</v>
      </c>
      <c r="J2392" s="7" t="n">
        <v>0</v>
      </c>
      <c r="K2392" s="7" t="s">
        <v>88</v>
      </c>
      <c r="L2392" s="7" t="s">
        <v>194</v>
      </c>
      <c r="M2392" s="7" t="n">
        <v>36</v>
      </c>
      <c r="N2392" s="7" t="n">
        <v>5</v>
      </c>
      <c r="O2392" s="7" t="str">
        <f aca="false">A2392&amp;"|"&amp;B2392&amp;"|"&amp;C2392&amp;"|"&amp;D2392&amp;"|"&amp;E2392&amp;"|"&amp;F2392&amp;"|"&amp;G2392&amp;"|"&amp;H2392&amp;"|"&amp;I2392&amp;"|"&amp;J2392&amp;"|"&amp;K2392&amp;"|"&amp;L2392&amp;"|"&amp;M2392&amp;"|"&amp;N2392</f>
        <v>ORD10907|2025-04-24|12:28|C0300|ANDHRA MEALS MESS|Hyderabad|South Indian|3|125|0|UPI|Delivered|36|5</v>
      </c>
      <c r="P2392" s="7" t="str">
        <f aca="false">IF(COUNTIF($O$2:O2392,O2392)&gt;1,"DUP","OK")</f>
        <v>OK</v>
      </c>
      <c r="Q2392" s="7" t="n">
        <f aca="false">COUNTBLANK(A2392:N2392)</f>
        <v>0</v>
      </c>
      <c r="R2392" s="7" t="n">
        <f aca="false">IF(A2392="",0,COUNTIFS($A$2:$A$3058,A2392,$P$2:$P$3058,"OK"))</f>
        <v>1</v>
      </c>
      <c r="S2392" s="7" t="str">
        <f aca="false">IF(OR(A2392="",P2392="DUP",R2392&lt;2),"",IF(Q2392=_xlfn.MINIFS($Q$2:$Q$3058,$A$2:$A$3058,A2392,$P$2:$P$3058,"OK"),"KEEP","DROP"))</f>
        <v/>
      </c>
      <c r="T2392" s="9" t="n">
        <f aca="false">IF(A2392="",1,0)</f>
        <v>0</v>
      </c>
      <c r="U2392" s="9" t="n">
        <f aca="false">IF(D2392="",1,0)</f>
        <v>0</v>
      </c>
      <c r="V2392" s="9" t="n">
        <f aca="false">IF(E2392="",1,0)</f>
        <v>0</v>
      </c>
      <c r="W2392" s="9" t="n">
        <f aca="false">IF(OR(H2392&lt;1,H2392&gt;10),1,0)</f>
        <v>0</v>
      </c>
      <c r="X2392" s="9" t="n">
        <f aca="false">IF(OR(I2392&lt;=0,I2392&gt;1500),1,0)</f>
        <v>0</v>
      </c>
      <c r="Y2392" s="9" t="n">
        <f aca="false">IF(J2392&gt;H2392*I2392,1,0)</f>
        <v>0</v>
      </c>
      <c r="Z2392" s="9" t="n">
        <f aca="false">IF(AND(N2392&lt;&gt;"",OR(N2392&lt;1,N2392&gt;5)),1,0)</f>
        <v>0</v>
      </c>
      <c r="AA2392" s="9" t="n">
        <f aca="false">IF(AND(M2392&lt;&gt;"",OR(M2392&lt;5,M2392&gt;180)),1,0)</f>
        <v>0</v>
      </c>
      <c r="AB2392" s="7" t="str">
        <f aca="false">IF(P2392="DUP","Exact duplicate row",IF(T2392=1,"Missing Order ID",IF(S2392="DROP","Duplicate Order ID (less complete row)",IF(U2392=1,"Missing Customer ID",IF(V2392=1,"Missing Restaurant name",IF(W2392=1,"Invalid/outlier quantity",IF(X2392=1,"Invalid/outlier unit price",IF(Y2392=1,"Discount greater than order value",""))))))))</f>
        <v/>
      </c>
      <c r="AC2392" s="7" t="str">
        <f aca="false">IF(AB2392="","KEEP","DROP")</f>
        <v>KEEP</v>
      </c>
      <c r="AD2392" s="7" t="str">
        <f aca="false">IF(TRIM(F2392)="",IFERROR(INDEX(Map_Tables!$I$4:$I$37,MATCH(TRIM(E2392),Map_Tables!$G$4:$G$37,0)),""),IFERROR(INDEX(Map_Tables!$B$4:$B$18,MATCH(TRIM(F2392),Map_Tables!$A$4:$A$18,0)),"CHECK"))</f>
        <v>Hyderabad</v>
      </c>
      <c r="AE2392" s="7" t="str">
        <f aca="false">IF(TRIM(E2392)="","",IFERROR(INDEX(Map_Tables!$H$4:$H$37,MATCH(TRIM(E2392),Map_Tables!$G$4:$G$37,0)),"CHECK"))</f>
        <v>Andhra Meals Mess</v>
      </c>
      <c r="AF2392" s="7" t="str">
        <f aca="false">IF(TRIM(K2392)="","Unknown",IFERROR(INDEX(Map_Tables!$E$4:$E$15,MATCH(TRIM(K2392),Map_Tables!$D$4:$D$15,0)),"CHECK"))</f>
        <v>UPI</v>
      </c>
      <c r="AG2392" s="7" t="str">
        <f aca="false">IF(LEFT(LOWER(TRIM(L2392)),6)="cancel","Cancelled","Delivered")</f>
        <v>Delivered</v>
      </c>
      <c r="AH2392" s="10" t="n">
        <f aca="false">IF(ISNUMBER(SEARCH("/",B2392)),DATE(VALUE(RIGHT(B2392,4)),VALUE(MID(B2392,4,2)),VALUE(LEFT(B2392,2))),IF(MID(B2392,5,1)="-",DATE(VALUE(LEFT(B2392,4)),VALUE(MID(B2392,6,2)),VALUE(RIGHT(B2392,2))),DATE(VALUE(RIGHT(B2392,4)),MATCH(MID(B2392,4,3),{"Jan","Feb","Mar","Apr","May","Jun","Jul","Aug","Sep","Oct","Nov","Dec"},0),VALUE(LEFT(B2392,2)))))</f>
        <v>45771</v>
      </c>
    </row>
    <row r="2393" customFormat="false" ht="15" hidden="false" customHeight="false" outlineLevel="0" collapsed="false">
      <c r="A2393" s="7" t="s">
        <v>5318</v>
      </c>
      <c r="B2393" s="7" t="s">
        <v>2798</v>
      </c>
      <c r="C2393" s="7" t="s">
        <v>369</v>
      </c>
      <c r="D2393" s="7" t="s">
        <v>5319</v>
      </c>
      <c r="E2393" s="7" t="s">
        <v>134</v>
      </c>
      <c r="F2393" s="7" t="s">
        <v>110</v>
      </c>
      <c r="G2393" s="7" t="s">
        <v>117</v>
      </c>
      <c r="H2393" s="7" t="n">
        <v>1</v>
      </c>
      <c r="I2393" s="7" t="n">
        <v>110</v>
      </c>
      <c r="J2393" s="7" t="n">
        <v>44</v>
      </c>
      <c r="K2393" s="7" t="s">
        <v>112</v>
      </c>
      <c r="L2393" s="7" t="s">
        <v>194</v>
      </c>
      <c r="M2393" s="7" t="n">
        <v>34</v>
      </c>
      <c r="N2393" s="7" t="n">
        <v>5</v>
      </c>
      <c r="O2393" s="7" t="str">
        <f aca="false">A2393&amp;"|"&amp;B2393&amp;"|"&amp;C2393&amp;"|"&amp;D2393&amp;"|"&amp;E2393&amp;"|"&amp;F2393&amp;"|"&amp;G2393&amp;"|"&amp;H2393&amp;"|"&amp;I2393&amp;"|"&amp;J2393&amp;"|"&amp;K2393&amp;"|"&amp;L2393&amp;"|"&amp;M2393&amp;"|"&amp;N2393</f>
        <v>ORD12708|2025-11-29|19:29|C0139|Chaat Corner|Delhi|Street Food|1|110|44|Cash on Delivery|Delivered|34|5</v>
      </c>
      <c r="P2393" s="7" t="str">
        <f aca="false">IF(COUNTIF($O$2:O2393,O2393)&gt;1,"DUP","OK")</f>
        <v>OK</v>
      </c>
      <c r="Q2393" s="7" t="n">
        <f aca="false">COUNTBLANK(A2393:N2393)</f>
        <v>0</v>
      </c>
      <c r="R2393" s="7" t="n">
        <f aca="false">IF(A2393="",0,COUNTIFS($A$2:$A$3058,A2393,$P$2:$P$3058,"OK"))</f>
        <v>1</v>
      </c>
      <c r="S2393" s="7" t="str">
        <f aca="false">IF(OR(A2393="",P2393="DUP",R2393&lt;2),"",IF(Q2393=_xlfn.MINIFS($Q$2:$Q$3058,$A$2:$A$3058,A2393,$P$2:$P$3058,"OK"),"KEEP","DROP"))</f>
        <v/>
      </c>
      <c r="T2393" s="9" t="n">
        <f aca="false">IF(A2393="",1,0)</f>
        <v>0</v>
      </c>
      <c r="U2393" s="9" t="n">
        <f aca="false">IF(D2393="",1,0)</f>
        <v>0</v>
      </c>
      <c r="V2393" s="9" t="n">
        <f aca="false">IF(E2393="",1,0)</f>
        <v>0</v>
      </c>
      <c r="W2393" s="9" t="n">
        <f aca="false">IF(OR(H2393&lt;1,H2393&gt;10),1,0)</f>
        <v>0</v>
      </c>
      <c r="X2393" s="9" t="n">
        <f aca="false">IF(OR(I2393&lt;=0,I2393&gt;1500),1,0)</f>
        <v>0</v>
      </c>
      <c r="Y2393" s="9" t="n">
        <f aca="false">IF(J2393&gt;H2393*I2393,1,0)</f>
        <v>0</v>
      </c>
      <c r="Z2393" s="9" t="n">
        <f aca="false">IF(AND(N2393&lt;&gt;"",OR(N2393&lt;1,N2393&gt;5)),1,0)</f>
        <v>0</v>
      </c>
      <c r="AA2393" s="9" t="n">
        <f aca="false">IF(AND(M2393&lt;&gt;"",OR(M2393&lt;5,M2393&gt;180)),1,0)</f>
        <v>0</v>
      </c>
      <c r="AB2393" s="7" t="str">
        <f aca="false">IF(P2393="DUP","Exact duplicate row",IF(T2393=1,"Missing Order ID",IF(S2393="DROP","Duplicate Order ID (less complete row)",IF(U2393=1,"Missing Customer ID",IF(V2393=1,"Missing Restaurant name",IF(W2393=1,"Invalid/outlier quantity",IF(X2393=1,"Invalid/outlier unit price",IF(Y2393=1,"Discount greater than order value",""))))))))</f>
        <v/>
      </c>
      <c r="AC2393" s="7" t="str">
        <f aca="false">IF(AB2393="","KEEP","DROP")</f>
        <v>KEEP</v>
      </c>
      <c r="AD2393" s="7" t="str">
        <f aca="false">IF(TRIM(F2393)="",IFERROR(INDEX(Map_Tables!$I$4:$I$37,MATCH(TRIM(E2393),Map_Tables!$G$4:$G$37,0)),""),IFERROR(INDEX(Map_Tables!$B$4:$B$18,MATCH(TRIM(F2393),Map_Tables!$A$4:$A$18,0)),"CHECK"))</f>
        <v>Delhi</v>
      </c>
      <c r="AE2393" s="7" t="str">
        <f aca="false">IF(TRIM(E2393)="","",IFERROR(INDEX(Map_Tables!$H$4:$H$37,MATCH(TRIM(E2393),Map_Tables!$G$4:$G$37,0)),"CHECK"))</f>
        <v>Chaat Corner</v>
      </c>
      <c r="AF2393" s="7" t="str">
        <f aca="false">IF(TRIM(K2393)="","Unknown",IFERROR(INDEX(Map_Tables!$E$4:$E$15,MATCH(TRIM(K2393),Map_Tables!$D$4:$D$15,0)),"CHECK"))</f>
        <v>Cash on Delivery</v>
      </c>
      <c r="AG2393" s="7" t="str">
        <f aca="false">IF(LEFT(LOWER(TRIM(L2393)),6)="cancel","Cancelled","Delivered")</f>
        <v>Delivered</v>
      </c>
      <c r="AH2393" s="10" t="n">
        <f aca="false">IF(ISNUMBER(SEARCH("/",B2393)),DATE(VALUE(RIGHT(B2393,4)),VALUE(MID(B2393,4,2)),VALUE(LEFT(B2393,2))),IF(MID(B2393,5,1)="-",DATE(VALUE(LEFT(B2393,4)),VALUE(MID(B2393,6,2)),VALUE(RIGHT(B2393,2))),DATE(VALUE(RIGHT(B2393,4)),MATCH(MID(B2393,4,3),{"Jan","Feb","Mar","Apr","May","Jun","Jul","Aug","Sep","Oct","Nov","Dec"},0),VALUE(LEFT(B2393,2)))))</f>
        <v>45990</v>
      </c>
    </row>
    <row r="2394" customFormat="false" ht="15" hidden="false" customHeight="false" outlineLevel="0" collapsed="false">
      <c r="A2394" s="7" t="s">
        <v>5320</v>
      </c>
      <c r="B2394" s="7" t="s">
        <v>2357</v>
      </c>
      <c r="C2394" s="7" t="s">
        <v>2521</v>
      </c>
      <c r="D2394" s="7" t="s">
        <v>623</v>
      </c>
      <c r="E2394" s="7" t="s">
        <v>94</v>
      </c>
      <c r="F2394" s="7" t="s">
        <v>86</v>
      </c>
      <c r="G2394" s="7" t="s">
        <v>95</v>
      </c>
      <c r="H2394" s="7" t="n">
        <v>4</v>
      </c>
      <c r="I2394" s="7" t="n">
        <v>100</v>
      </c>
      <c r="J2394" s="7" t="n">
        <v>0</v>
      </c>
      <c r="K2394" s="7" t="s">
        <v>93</v>
      </c>
      <c r="L2394" s="7" t="s">
        <v>194</v>
      </c>
      <c r="M2394" s="7" t="n">
        <v>39</v>
      </c>
      <c r="N2394" s="7" t="n">
        <v>3</v>
      </c>
      <c r="O2394" s="7" t="str">
        <f aca="false">A2394&amp;"|"&amp;B2394&amp;"|"&amp;C2394&amp;"|"&amp;D2394&amp;"|"&amp;E2394&amp;"|"&amp;F2394&amp;"|"&amp;G2394&amp;"|"&amp;H2394&amp;"|"&amp;I2394&amp;"|"&amp;J2394&amp;"|"&amp;K2394&amp;"|"&amp;L2394&amp;"|"&amp;M2394&amp;"|"&amp;N2394</f>
        <v>ORD11896|2025-09-04|10:35|C1385|Dosa Darbar|Bengaluru|South Indian|4|100|0|Credit Card|Delivered|39|3</v>
      </c>
      <c r="P2394" s="7" t="str">
        <f aca="false">IF(COUNTIF($O$2:O2394,O2394)&gt;1,"DUP","OK")</f>
        <v>OK</v>
      </c>
      <c r="Q2394" s="7" t="n">
        <f aca="false">COUNTBLANK(A2394:N2394)</f>
        <v>0</v>
      </c>
      <c r="R2394" s="7" t="n">
        <f aca="false">IF(A2394="",0,COUNTIFS($A$2:$A$3058,A2394,$P$2:$P$3058,"OK"))</f>
        <v>1</v>
      </c>
      <c r="S2394" s="7" t="str">
        <f aca="false">IF(OR(A2394="",P2394="DUP",R2394&lt;2),"",IF(Q2394=_xlfn.MINIFS($Q$2:$Q$3058,$A$2:$A$3058,A2394,$P$2:$P$3058,"OK"),"KEEP","DROP"))</f>
        <v/>
      </c>
      <c r="T2394" s="9" t="n">
        <f aca="false">IF(A2394="",1,0)</f>
        <v>0</v>
      </c>
      <c r="U2394" s="9" t="n">
        <f aca="false">IF(D2394="",1,0)</f>
        <v>0</v>
      </c>
      <c r="V2394" s="9" t="n">
        <f aca="false">IF(E2394="",1,0)</f>
        <v>0</v>
      </c>
      <c r="W2394" s="9" t="n">
        <f aca="false">IF(OR(H2394&lt;1,H2394&gt;10),1,0)</f>
        <v>0</v>
      </c>
      <c r="X2394" s="9" t="n">
        <f aca="false">IF(OR(I2394&lt;=0,I2394&gt;1500),1,0)</f>
        <v>0</v>
      </c>
      <c r="Y2394" s="9" t="n">
        <f aca="false">IF(J2394&gt;H2394*I2394,1,0)</f>
        <v>0</v>
      </c>
      <c r="Z2394" s="9" t="n">
        <f aca="false">IF(AND(N2394&lt;&gt;"",OR(N2394&lt;1,N2394&gt;5)),1,0)</f>
        <v>0</v>
      </c>
      <c r="AA2394" s="9" t="n">
        <f aca="false">IF(AND(M2394&lt;&gt;"",OR(M2394&lt;5,M2394&gt;180)),1,0)</f>
        <v>0</v>
      </c>
      <c r="AB2394" s="7" t="str">
        <f aca="false">IF(P2394="DUP","Exact duplicate row",IF(T2394=1,"Missing Order ID",IF(S2394="DROP","Duplicate Order ID (less complete row)",IF(U2394=1,"Missing Customer ID",IF(V2394=1,"Missing Restaurant name",IF(W2394=1,"Invalid/outlier quantity",IF(X2394=1,"Invalid/outlier unit price",IF(Y2394=1,"Discount greater than order value",""))))))))</f>
        <v/>
      </c>
      <c r="AC2394" s="7" t="str">
        <f aca="false">IF(AB2394="","KEEP","DROP")</f>
        <v>KEEP</v>
      </c>
      <c r="AD2394" s="7" t="str">
        <f aca="false">IF(TRIM(F2394)="",IFERROR(INDEX(Map_Tables!$I$4:$I$37,MATCH(TRIM(E2394),Map_Tables!$G$4:$G$37,0)),""),IFERROR(INDEX(Map_Tables!$B$4:$B$18,MATCH(TRIM(F2394),Map_Tables!$A$4:$A$18,0)),"CHECK"))</f>
        <v>Bengaluru</v>
      </c>
      <c r="AE2394" s="7" t="str">
        <f aca="false">IF(TRIM(E2394)="","",IFERROR(INDEX(Map_Tables!$H$4:$H$37,MATCH(TRIM(E2394),Map_Tables!$G$4:$G$37,0)),"CHECK"))</f>
        <v>Dosa Darbar</v>
      </c>
      <c r="AF2394" s="7" t="str">
        <f aca="false">IF(TRIM(K2394)="","Unknown",IFERROR(INDEX(Map_Tables!$E$4:$E$15,MATCH(TRIM(K2394),Map_Tables!$D$4:$D$15,0)),"CHECK"))</f>
        <v>Credit Card</v>
      </c>
      <c r="AG2394" s="7" t="str">
        <f aca="false">IF(LEFT(LOWER(TRIM(L2394)),6)="cancel","Cancelled","Delivered")</f>
        <v>Delivered</v>
      </c>
      <c r="AH2394" s="10" t="n">
        <f aca="false">IF(ISNUMBER(SEARCH("/",B2394)),DATE(VALUE(RIGHT(B2394,4)),VALUE(MID(B2394,4,2)),VALUE(LEFT(B2394,2))),IF(MID(B2394,5,1)="-",DATE(VALUE(LEFT(B2394,4)),VALUE(MID(B2394,6,2)),VALUE(RIGHT(B2394,2))),DATE(VALUE(RIGHT(B2394,4)),MATCH(MID(B2394,4,3),{"Jan","Feb","Mar","Apr","May","Jun","Jul","Aug","Sep","Oct","Nov","Dec"},0),VALUE(LEFT(B2394,2)))))</f>
        <v>45904</v>
      </c>
    </row>
    <row r="2395" customFormat="false" ht="15" hidden="false" customHeight="false" outlineLevel="0" collapsed="false">
      <c r="A2395" s="7" t="s">
        <v>5321</v>
      </c>
      <c r="B2395" s="7" t="s">
        <v>1345</v>
      </c>
      <c r="C2395" s="7" t="s">
        <v>3767</v>
      </c>
      <c r="D2395" s="7" t="s">
        <v>1966</v>
      </c>
      <c r="E2395" s="7" t="s">
        <v>154</v>
      </c>
      <c r="F2395" s="7" t="s">
        <v>702</v>
      </c>
      <c r="G2395" s="7" t="s">
        <v>99</v>
      </c>
      <c r="H2395" s="7" t="n">
        <v>2</v>
      </c>
      <c r="I2395" s="7" t="n">
        <v>260</v>
      </c>
      <c r="J2395" s="7" t="n">
        <v>30</v>
      </c>
      <c r="K2395" s="7" t="s">
        <v>88</v>
      </c>
      <c r="L2395" s="7" t="s">
        <v>194</v>
      </c>
      <c r="M2395" s="7" t="n">
        <v>15</v>
      </c>
      <c r="N2395" s="7"/>
      <c r="O2395" s="7" t="str">
        <f aca="false">A2395&amp;"|"&amp;B2395&amp;"|"&amp;C2395&amp;"|"&amp;D2395&amp;"|"&amp;E2395&amp;"|"&amp;F2395&amp;"|"&amp;G2395&amp;"|"&amp;H2395&amp;"|"&amp;I2395&amp;"|"&amp;J2395&amp;"|"&amp;K2395&amp;"|"&amp;L2395&amp;"|"&amp;M2395&amp;"|"&amp;N2395</f>
        <v>ORD10389|2025-02-21|15:23|C1333|Madras Biryani Co|CHENNAI |Biryani|2|260|30|UPI|Delivered|15|</v>
      </c>
      <c r="P2395" s="7" t="str">
        <f aca="false">IF(COUNTIF($O$2:O2395,O2395)&gt;1,"DUP","OK")</f>
        <v>OK</v>
      </c>
      <c r="Q2395" s="7" t="n">
        <f aca="false">COUNTBLANK(A2395:N2395)</f>
        <v>1</v>
      </c>
      <c r="R2395" s="7" t="n">
        <f aca="false">IF(A2395="",0,COUNTIFS($A$2:$A$3058,A2395,$P$2:$P$3058,"OK"))</f>
        <v>1</v>
      </c>
      <c r="S2395" s="7" t="str">
        <f aca="false">IF(OR(A2395="",P2395="DUP",R2395&lt;2),"",IF(Q2395=_xlfn.MINIFS($Q$2:$Q$3058,$A$2:$A$3058,A2395,$P$2:$P$3058,"OK"),"KEEP","DROP"))</f>
        <v/>
      </c>
      <c r="T2395" s="9" t="n">
        <f aca="false">IF(A2395="",1,0)</f>
        <v>0</v>
      </c>
      <c r="U2395" s="9" t="n">
        <f aca="false">IF(D2395="",1,0)</f>
        <v>0</v>
      </c>
      <c r="V2395" s="9" t="n">
        <f aca="false">IF(E2395="",1,0)</f>
        <v>0</v>
      </c>
      <c r="W2395" s="9" t="n">
        <f aca="false">IF(OR(H2395&lt;1,H2395&gt;10),1,0)</f>
        <v>0</v>
      </c>
      <c r="X2395" s="9" t="n">
        <f aca="false">IF(OR(I2395&lt;=0,I2395&gt;1500),1,0)</f>
        <v>0</v>
      </c>
      <c r="Y2395" s="9" t="n">
        <f aca="false">IF(J2395&gt;H2395*I2395,1,0)</f>
        <v>0</v>
      </c>
      <c r="Z2395" s="9" t="n">
        <f aca="false">IF(AND(N2395&lt;&gt;"",OR(N2395&lt;1,N2395&gt;5)),1,0)</f>
        <v>0</v>
      </c>
      <c r="AA2395" s="9" t="n">
        <f aca="false">IF(AND(M2395&lt;&gt;"",OR(M2395&lt;5,M2395&gt;180)),1,0)</f>
        <v>0</v>
      </c>
      <c r="AB2395" s="7" t="str">
        <f aca="false">IF(P2395="DUP","Exact duplicate row",IF(T2395=1,"Missing Order ID",IF(S2395="DROP","Duplicate Order ID (less complete row)",IF(U2395=1,"Missing Customer ID",IF(V2395=1,"Missing Restaurant name",IF(W2395=1,"Invalid/outlier quantity",IF(X2395=1,"Invalid/outlier unit price",IF(Y2395=1,"Discount greater than order value",""))))))))</f>
        <v/>
      </c>
      <c r="AC2395" s="7" t="str">
        <f aca="false">IF(AB2395="","KEEP","DROP")</f>
        <v>KEEP</v>
      </c>
      <c r="AD2395" s="7" t="str">
        <f aca="false">IF(TRIM(F2395)="",IFERROR(INDEX(Map_Tables!$I$4:$I$37,MATCH(TRIM(E2395),Map_Tables!$G$4:$G$37,0)),""),IFERROR(INDEX(Map_Tables!$B$4:$B$18,MATCH(TRIM(F2395),Map_Tables!$A$4:$A$18,0)),"CHECK"))</f>
        <v>Chennai</v>
      </c>
      <c r="AE2395" s="7" t="str">
        <f aca="false">IF(TRIM(E2395)="","",IFERROR(INDEX(Map_Tables!$H$4:$H$37,MATCH(TRIM(E2395),Map_Tables!$G$4:$G$37,0)),"CHECK"))</f>
        <v>Madras Biryani Co</v>
      </c>
      <c r="AF2395" s="7" t="str">
        <f aca="false">IF(TRIM(K2395)="","Unknown",IFERROR(INDEX(Map_Tables!$E$4:$E$15,MATCH(TRIM(K2395),Map_Tables!$D$4:$D$15,0)),"CHECK"))</f>
        <v>UPI</v>
      </c>
      <c r="AG2395" s="7" t="str">
        <f aca="false">IF(LEFT(LOWER(TRIM(L2395)),6)="cancel","Cancelled","Delivered")</f>
        <v>Delivered</v>
      </c>
      <c r="AH2395" s="10" t="n">
        <f aca="false">IF(ISNUMBER(SEARCH("/",B2395)),DATE(VALUE(RIGHT(B2395,4)),VALUE(MID(B2395,4,2)),VALUE(LEFT(B2395,2))),IF(MID(B2395,5,1)="-",DATE(VALUE(LEFT(B2395,4)),VALUE(MID(B2395,6,2)),VALUE(RIGHT(B2395,2))),DATE(VALUE(RIGHT(B2395,4)),MATCH(MID(B2395,4,3),{"Jan","Feb","Mar","Apr","May","Jun","Jul","Aug","Sep","Oct","Nov","Dec"},0),VALUE(LEFT(B2395,2)))))</f>
        <v>45709</v>
      </c>
    </row>
    <row r="2396" customFormat="false" ht="15" hidden="false" customHeight="false" outlineLevel="0" collapsed="false">
      <c r="A2396" s="7" t="s">
        <v>5322</v>
      </c>
      <c r="B2396" s="7" t="s">
        <v>2045</v>
      </c>
      <c r="C2396" s="7" t="s">
        <v>3033</v>
      </c>
      <c r="D2396" s="7" t="s">
        <v>4380</v>
      </c>
      <c r="E2396" s="7" t="s">
        <v>94</v>
      </c>
      <c r="F2396" s="7" t="s">
        <v>86</v>
      </c>
      <c r="G2396" s="7" t="s">
        <v>95</v>
      </c>
      <c r="H2396" s="7" t="n">
        <v>2</v>
      </c>
      <c r="I2396" s="7" t="n">
        <v>120</v>
      </c>
      <c r="J2396" s="7" t="n">
        <v>50</v>
      </c>
      <c r="K2396" s="7" t="s">
        <v>421</v>
      </c>
      <c r="L2396" s="7" t="s">
        <v>194</v>
      </c>
      <c r="M2396" s="7" t="n">
        <v>43</v>
      </c>
      <c r="N2396" s="7" t="n">
        <v>4</v>
      </c>
      <c r="O2396" s="7" t="str">
        <f aca="false">A2396&amp;"|"&amp;B2396&amp;"|"&amp;C2396&amp;"|"&amp;D2396&amp;"|"&amp;E2396&amp;"|"&amp;F2396&amp;"|"&amp;G2396&amp;"|"&amp;H2396&amp;"|"&amp;I2396&amp;"|"&amp;J2396&amp;"|"&amp;K2396&amp;"|"&amp;L2396&amp;"|"&amp;M2396&amp;"|"&amp;N2396</f>
        <v>ORD12071|2025-09-24|14:17|C0925|Dosa Darbar|Bengaluru|South Indian|2|120|50|UPI |Delivered|43|4</v>
      </c>
      <c r="P2396" s="7" t="str">
        <f aca="false">IF(COUNTIF($O$2:O2396,O2396)&gt;1,"DUP","OK")</f>
        <v>OK</v>
      </c>
      <c r="Q2396" s="7" t="n">
        <f aca="false">COUNTBLANK(A2396:N2396)</f>
        <v>0</v>
      </c>
      <c r="R2396" s="7" t="n">
        <f aca="false">IF(A2396="",0,COUNTIFS($A$2:$A$3058,A2396,$P$2:$P$3058,"OK"))</f>
        <v>1</v>
      </c>
      <c r="S2396" s="7" t="str">
        <f aca="false">IF(OR(A2396="",P2396="DUP",R2396&lt;2),"",IF(Q2396=_xlfn.MINIFS($Q$2:$Q$3058,$A$2:$A$3058,A2396,$P$2:$P$3058,"OK"),"KEEP","DROP"))</f>
        <v/>
      </c>
      <c r="T2396" s="9" t="n">
        <f aca="false">IF(A2396="",1,0)</f>
        <v>0</v>
      </c>
      <c r="U2396" s="9" t="n">
        <f aca="false">IF(D2396="",1,0)</f>
        <v>0</v>
      </c>
      <c r="V2396" s="9" t="n">
        <f aca="false">IF(E2396="",1,0)</f>
        <v>0</v>
      </c>
      <c r="W2396" s="9" t="n">
        <f aca="false">IF(OR(H2396&lt;1,H2396&gt;10),1,0)</f>
        <v>0</v>
      </c>
      <c r="X2396" s="9" t="n">
        <f aca="false">IF(OR(I2396&lt;=0,I2396&gt;1500),1,0)</f>
        <v>0</v>
      </c>
      <c r="Y2396" s="9" t="n">
        <f aca="false">IF(J2396&gt;H2396*I2396,1,0)</f>
        <v>0</v>
      </c>
      <c r="Z2396" s="9" t="n">
        <f aca="false">IF(AND(N2396&lt;&gt;"",OR(N2396&lt;1,N2396&gt;5)),1,0)</f>
        <v>0</v>
      </c>
      <c r="AA2396" s="9" t="n">
        <f aca="false">IF(AND(M2396&lt;&gt;"",OR(M2396&lt;5,M2396&gt;180)),1,0)</f>
        <v>0</v>
      </c>
      <c r="AB2396" s="7" t="str">
        <f aca="false">IF(P2396="DUP","Exact duplicate row",IF(T2396=1,"Missing Order ID",IF(S2396="DROP","Duplicate Order ID (less complete row)",IF(U2396=1,"Missing Customer ID",IF(V2396=1,"Missing Restaurant name",IF(W2396=1,"Invalid/outlier quantity",IF(X2396=1,"Invalid/outlier unit price",IF(Y2396=1,"Discount greater than order value",""))))))))</f>
        <v/>
      </c>
      <c r="AC2396" s="7" t="str">
        <f aca="false">IF(AB2396="","KEEP","DROP")</f>
        <v>KEEP</v>
      </c>
      <c r="AD2396" s="7" t="str">
        <f aca="false">IF(TRIM(F2396)="",IFERROR(INDEX(Map_Tables!$I$4:$I$37,MATCH(TRIM(E2396),Map_Tables!$G$4:$G$37,0)),""),IFERROR(INDEX(Map_Tables!$B$4:$B$18,MATCH(TRIM(F2396),Map_Tables!$A$4:$A$18,0)),"CHECK"))</f>
        <v>Bengaluru</v>
      </c>
      <c r="AE2396" s="7" t="str">
        <f aca="false">IF(TRIM(E2396)="","",IFERROR(INDEX(Map_Tables!$H$4:$H$37,MATCH(TRIM(E2396),Map_Tables!$G$4:$G$37,0)),"CHECK"))</f>
        <v>Dosa Darbar</v>
      </c>
      <c r="AF2396" s="7" t="str">
        <f aca="false">IF(TRIM(K2396)="","Unknown",IFERROR(INDEX(Map_Tables!$E$4:$E$15,MATCH(TRIM(K2396),Map_Tables!$D$4:$D$15,0)),"CHECK"))</f>
        <v>UPI</v>
      </c>
      <c r="AG2396" s="7" t="str">
        <f aca="false">IF(LEFT(LOWER(TRIM(L2396)),6)="cancel","Cancelled","Delivered")</f>
        <v>Delivered</v>
      </c>
      <c r="AH2396" s="10" t="n">
        <f aca="false">IF(ISNUMBER(SEARCH("/",B2396)),DATE(VALUE(RIGHT(B2396,4)),VALUE(MID(B2396,4,2)),VALUE(LEFT(B2396,2))),IF(MID(B2396,5,1)="-",DATE(VALUE(LEFT(B2396,4)),VALUE(MID(B2396,6,2)),VALUE(RIGHT(B2396,2))),DATE(VALUE(RIGHT(B2396,4)),MATCH(MID(B2396,4,3),{"Jan","Feb","Mar","Apr","May","Jun","Jul","Aug","Sep","Oct","Nov","Dec"},0),VALUE(LEFT(B2396,2)))))</f>
        <v>45924</v>
      </c>
    </row>
    <row r="2397" customFormat="false" ht="15" hidden="false" customHeight="false" outlineLevel="0" collapsed="false">
      <c r="A2397" s="7" t="s">
        <v>5323</v>
      </c>
      <c r="B2397" s="7" t="s">
        <v>903</v>
      </c>
      <c r="C2397" s="7" t="s">
        <v>5324</v>
      </c>
      <c r="D2397" s="7" t="s">
        <v>324</v>
      </c>
      <c r="E2397" s="7" t="s">
        <v>89</v>
      </c>
      <c r="F2397" s="7" t="s">
        <v>785</v>
      </c>
      <c r="G2397" s="7" t="s">
        <v>90</v>
      </c>
      <c r="H2397" s="7" t="n">
        <v>1</v>
      </c>
      <c r="I2397" s="7" t="n">
        <v>275</v>
      </c>
      <c r="J2397" s="7" t="n">
        <v>0</v>
      </c>
      <c r="K2397" s="7" t="s">
        <v>93</v>
      </c>
      <c r="L2397" s="7" t="s">
        <v>194</v>
      </c>
      <c r="M2397" s="7" t="n">
        <v>36</v>
      </c>
      <c r="N2397" s="7" t="n">
        <v>3</v>
      </c>
      <c r="O2397" s="7" t="str">
        <f aca="false">A2397&amp;"|"&amp;B2397&amp;"|"&amp;C2397&amp;"|"&amp;D2397&amp;"|"&amp;E2397&amp;"|"&amp;F2397&amp;"|"&amp;G2397&amp;"|"&amp;H2397&amp;"|"&amp;I2397&amp;"|"&amp;J2397&amp;"|"&amp;K2397&amp;"|"&amp;L2397&amp;"|"&amp;M2397&amp;"|"&amp;N2397</f>
        <v>ORD12397|2025-10-30|01:15|C1126|Spice Junction|Bengaluru |North Indian|1|275|0|Credit Card|Delivered|36|3</v>
      </c>
      <c r="P2397" s="7" t="str">
        <f aca="false">IF(COUNTIF($O$2:O2397,O2397)&gt;1,"DUP","OK")</f>
        <v>OK</v>
      </c>
      <c r="Q2397" s="7" t="n">
        <f aca="false">COUNTBLANK(A2397:N2397)</f>
        <v>0</v>
      </c>
      <c r="R2397" s="7" t="n">
        <f aca="false">IF(A2397="",0,COUNTIFS($A$2:$A$3058,A2397,$P$2:$P$3058,"OK"))</f>
        <v>1</v>
      </c>
      <c r="S2397" s="7" t="str">
        <f aca="false">IF(OR(A2397="",P2397="DUP",R2397&lt;2),"",IF(Q2397=_xlfn.MINIFS($Q$2:$Q$3058,$A$2:$A$3058,A2397,$P$2:$P$3058,"OK"),"KEEP","DROP"))</f>
        <v/>
      </c>
      <c r="T2397" s="9" t="n">
        <f aca="false">IF(A2397="",1,0)</f>
        <v>0</v>
      </c>
      <c r="U2397" s="9" t="n">
        <f aca="false">IF(D2397="",1,0)</f>
        <v>0</v>
      </c>
      <c r="V2397" s="9" t="n">
        <f aca="false">IF(E2397="",1,0)</f>
        <v>0</v>
      </c>
      <c r="W2397" s="9" t="n">
        <f aca="false">IF(OR(H2397&lt;1,H2397&gt;10),1,0)</f>
        <v>0</v>
      </c>
      <c r="X2397" s="9" t="n">
        <f aca="false">IF(OR(I2397&lt;=0,I2397&gt;1500),1,0)</f>
        <v>0</v>
      </c>
      <c r="Y2397" s="9" t="n">
        <f aca="false">IF(J2397&gt;H2397*I2397,1,0)</f>
        <v>0</v>
      </c>
      <c r="Z2397" s="9" t="n">
        <f aca="false">IF(AND(N2397&lt;&gt;"",OR(N2397&lt;1,N2397&gt;5)),1,0)</f>
        <v>0</v>
      </c>
      <c r="AA2397" s="9" t="n">
        <f aca="false">IF(AND(M2397&lt;&gt;"",OR(M2397&lt;5,M2397&gt;180)),1,0)</f>
        <v>0</v>
      </c>
      <c r="AB2397" s="7" t="str">
        <f aca="false">IF(P2397="DUP","Exact duplicate row",IF(T2397=1,"Missing Order ID",IF(S2397="DROP","Duplicate Order ID (less complete row)",IF(U2397=1,"Missing Customer ID",IF(V2397=1,"Missing Restaurant name",IF(W2397=1,"Invalid/outlier quantity",IF(X2397=1,"Invalid/outlier unit price",IF(Y2397=1,"Discount greater than order value",""))))))))</f>
        <v/>
      </c>
      <c r="AC2397" s="7" t="str">
        <f aca="false">IF(AB2397="","KEEP","DROP")</f>
        <v>KEEP</v>
      </c>
      <c r="AD2397" s="7" t="str">
        <f aca="false">IF(TRIM(F2397)="",IFERROR(INDEX(Map_Tables!$I$4:$I$37,MATCH(TRIM(E2397),Map_Tables!$G$4:$G$37,0)),""),IFERROR(INDEX(Map_Tables!$B$4:$B$18,MATCH(TRIM(F2397),Map_Tables!$A$4:$A$18,0)),"CHECK"))</f>
        <v>Bengaluru</v>
      </c>
      <c r="AE2397" s="7" t="str">
        <f aca="false">IF(TRIM(E2397)="","",IFERROR(INDEX(Map_Tables!$H$4:$H$37,MATCH(TRIM(E2397),Map_Tables!$G$4:$G$37,0)),"CHECK"))</f>
        <v>Spice Junction</v>
      </c>
      <c r="AF2397" s="7" t="str">
        <f aca="false">IF(TRIM(K2397)="","Unknown",IFERROR(INDEX(Map_Tables!$E$4:$E$15,MATCH(TRIM(K2397),Map_Tables!$D$4:$D$15,0)),"CHECK"))</f>
        <v>Credit Card</v>
      </c>
      <c r="AG2397" s="7" t="str">
        <f aca="false">IF(LEFT(LOWER(TRIM(L2397)),6)="cancel","Cancelled","Delivered")</f>
        <v>Delivered</v>
      </c>
      <c r="AH2397" s="10" t="n">
        <f aca="false">IF(ISNUMBER(SEARCH("/",B2397)),DATE(VALUE(RIGHT(B2397,4)),VALUE(MID(B2397,4,2)),VALUE(LEFT(B2397,2))),IF(MID(B2397,5,1)="-",DATE(VALUE(LEFT(B2397,4)),VALUE(MID(B2397,6,2)),VALUE(RIGHT(B2397,2))),DATE(VALUE(RIGHT(B2397,4)),MATCH(MID(B2397,4,3),{"Jan","Feb","Mar","Apr","May","Jun","Jul","Aug","Sep","Oct","Nov","Dec"},0),VALUE(LEFT(B2397,2)))))</f>
        <v>45960</v>
      </c>
    </row>
    <row r="2398" customFormat="false" ht="15" hidden="false" customHeight="false" outlineLevel="0" collapsed="false">
      <c r="A2398" s="7" t="s">
        <v>5325</v>
      </c>
      <c r="B2398" s="7" t="s">
        <v>1171</v>
      </c>
      <c r="C2398" s="7" t="s">
        <v>2758</v>
      </c>
      <c r="D2398" s="7" t="s">
        <v>5326</v>
      </c>
      <c r="E2398" s="7" t="s">
        <v>104</v>
      </c>
      <c r="F2398" s="7" t="s">
        <v>86</v>
      </c>
      <c r="G2398" s="7" t="s">
        <v>105</v>
      </c>
      <c r="H2398" s="7" t="n">
        <v>1</v>
      </c>
      <c r="I2398" s="7" t="n">
        <v>205</v>
      </c>
      <c r="J2398" s="7" t="n">
        <v>0</v>
      </c>
      <c r="K2398" s="7" t="s">
        <v>133</v>
      </c>
      <c r="L2398" s="7" t="s">
        <v>194</v>
      </c>
      <c r="M2398" s="7" t="n">
        <v>25</v>
      </c>
      <c r="N2398" s="7" t="n">
        <v>3</v>
      </c>
      <c r="O2398" s="7" t="str">
        <f aca="false">A2398&amp;"|"&amp;B2398&amp;"|"&amp;C2398&amp;"|"&amp;D2398&amp;"|"&amp;E2398&amp;"|"&amp;F2398&amp;"|"&amp;G2398&amp;"|"&amp;H2398&amp;"|"&amp;I2398&amp;"|"&amp;J2398&amp;"|"&amp;K2398&amp;"|"&amp;L2398&amp;"|"&amp;M2398&amp;"|"&amp;N2398</f>
        <v>ORD12173|2025-10-04|16:08|C1436|Wok &amp; Roll|Bengaluru|Chinese|1|205|0|Net Banking|Delivered|25|3</v>
      </c>
      <c r="P2398" s="7" t="str">
        <f aca="false">IF(COUNTIF($O$2:O2398,O2398)&gt;1,"DUP","OK")</f>
        <v>OK</v>
      </c>
      <c r="Q2398" s="7" t="n">
        <f aca="false">COUNTBLANK(A2398:N2398)</f>
        <v>0</v>
      </c>
      <c r="R2398" s="7" t="n">
        <f aca="false">IF(A2398="",0,COUNTIFS($A$2:$A$3058,A2398,$P$2:$P$3058,"OK"))</f>
        <v>1</v>
      </c>
      <c r="S2398" s="7" t="str">
        <f aca="false">IF(OR(A2398="",P2398="DUP",R2398&lt;2),"",IF(Q2398=_xlfn.MINIFS($Q$2:$Q$3058,$A$2:$A$3058,A2398,$P$2:$P$3058,"OK"),"KEEP","DROP"))</f>
        <v/>
      </c>
      <c r="T2398" s="9" t="n">
        <f aca="false">IF(A2398="",1,0)</f>
        <v>0</v>
      </c>
      <c r="U2398" s="9" t="n">
        <f aca="false">IF(D2398="",1,0)</f>
        <v>0</v>
      </c>
      <c r="V2398" s="9" t="n">
        <f aca="false">IF(E2398="",1,0)</f>
        <v>0</v>
      </c>
      <c r="W2398" s="9" t="n">
        <f aca="false">IF(OR(H2398&lt;1,H2398&gt;10),1,0)</f>
        <v>0</v>
      </c>
      <c r="X2398" s="9" t="n">
        <f aca="false">IF(OR(I2398&lt;=0,I2398&gt;1500),1,0)</f>
        <v>0</v>
      </c>
      <c r="Y2398" s="9" t="n">
        <f aca="false">IF(J2398&gt;H2398*I2398,1,0)</f>
        <v>0</v>
      </c>
      <c r="Z2398" s="9" t="n">
        <f aca="false">IF(AND(N2398&lt;&gt;"",OR(N2398&lt;1,N2398&gt;5)),1,0)</f>
        <v>0</v>
      </c>
      <c r="AA2398" s="9" t="n">
        <f aca="false">IF(AND(M2398&lt;&gt;"",OR(M2398&lt;5,M2398&gt;180)),1,0)</f>
        <v>0</v>
      </c>
      <c r="AB2398" s="7" t="str">
        <f aca="false">IF(P2398="DUP","Exact duplicate row",IF(T2398=1,"Missing Order ID",IF(S2398="DROP","Duplicate Order ID (less complete row)",IF(U2398=1,"Missing Customer ID",IF(V2398=1,"Missing Restaurant name",IF(W2398=1,"Invalid/outlier quantity",IF(X2398=1,"Invalid/outlier unit price",IF(Y2398=1,"Discount greater than order value",""))))))))</f>
        <v/>
      </c>
      <c r="AC2398" s="7" t="str">
        <f aca="false">IF(AB2398="","KEEP","DROP")</f>
        <v>KEEP</v>
      </c>
      <c r="AD2398" s="7" t="str">
        <f aca="false">IF(TRIM(F2398)="",IFERROR(INDEX(Map_Tables!$I$4:$I$37,MATCH(TRIM(E2398),Map_Tables!$G$4:$G$37,0)),""),IFERROR(INDEX(Map_Tables!$B$4:$B$18,MATCH(TRIM(F2398),Map_Tables!$A$4:$A$18,0)),"CHECK"))</f>
        <v>Bengaluru</v>
      </c>
      <c r="AE2398" s="7" t="str">
        <f aca="false">IF(TRIM(E2398)="","",IFERROR(INDEX(Map_Tables!$H$4:$H$37,MATCH(TRIM(E2398),Map_Tables!$G$4:$G$37,0)),"CHECK"))</f>
        <v>Wok &amp; Roll</v>
      </c>
      <c r="AF2398" s="7" t="str">
        <f aca="false">IF(TRIM(K2398)="","Unknown",IFERROR(INDEX(Map_Tables!$E$4:$E$15,MATCH(TRIM(K2398),Map_Tables!$D$4:$D$15,0)),"CHECK"))</f>
        <v>Net Banking</v>
      </c>
      <c r="AG2398" s="7" t="str">
        <f aca="false">IF(LEFT(LOWER(TRIM(L2398)),6)="cancel","Cancelled","Delivered")</f>
        <v>Delivered</v>
      </c>
      <c r="AH2398" s="10" t="n">
        <f aca="false">IF(ISNUMBER(SEARCH("/",B2398)),DATE(VALUE(RIGHT(B2398,4)),VALUE(MID(B2398,4,2)),VALUE(LEFT(B2398,2))),IF(MID(B2398,5,1)="-",DATE(VALUE(LEFT(B2398,4)),VALUE(MID(B2398,6,2)),VALUE(RIGHT(B2398,2))),DATE(VALUE(RIGHT(B2398,4)),MATCH(MID(B2398,4,3),{"Jan","Feb","Mar","Apr","May","Jun","Jul","Aug","Sep","Oct","Nov","Dec"},0),VALUE(LEFT(B2398,2)))))</f>
        <v>45934</v>
      </c>
    </row>
    <row r="2399" customFormat="false" ht="15" hidden="false" customHeight="false" outlineLevel="0" collapsed="false">
      <c r="A2399" s="7" t="s">
        <v>5327</v>
      </c>
      <c r="B2399" s="7" t="s">
        <v>1532</v>
      </c>
      <c r="C2399" s="7" t="s">
        <v>1758</v>
      </c>
      <c r="D2399" s="7" t="s">
        <v>5328</v>
      </c>
      <c r="E2399" s="7" t="s">
        <v>130</v>
      </c>
      <c r="F2399" s="7" t="s">
        <v>110</v>
      </c>
      <c r="G2399" s="7" t="s">
        <v>90</v>
      </c>
      <c r="H2399" s="7" t="n">
        <v>5</v>
      </c>
      <c r="I2399" s="7" t="n">
        <v>265</v>
      </c>
      <c r="J2399" s="7" t="n">
        <v>0</v>
      </c>
      <c r="K2399" s="7" t="s">
        <v>103</v>
      </c>
      <c r="L2399" s="7" t="s">
        <v>194</v>
      </c>
      <c r="M2399" s="7" t="n">
        <v>43</v>
      </c>
      <c r="N2399" s="7" t="n">
        <v>4</v>
      </c>
      <c r="O2399" s="7" t="str">
        <f aca="false">A2399&amp;"|"&amp;B2399&amp;"|"&amp;C2399&amp;"|"&amp;D2399&amp;"|"&amp;E2399&amp;"|"&amp;F2399&amp;"|"&amp;G2399&amp;"|"&amp;H2399&amp;"|"&amp;I2399&amp;"|"&amp;J2399&amp;"|"&amp;K2399&amp;"|"&amp;L2399&amp;"|"&amp;M2399&amp;"|"&amp;N2399</f>
        <v>ORD10881|2025-04-21|20:10|C0812|Tandoor Tales|Delhi|North Indian|5|265|0|Debit Card|Delivered|43|4</v>
      </c>
      <c r="P2399" s="7" t="str">
        <f aca="false">IF(COUNTIF($O$2:O2399,O2399)&gt;1,"DUP","OK")</f>
        <v>OK</v>
      </c>
      <c r="Q2399" s="7" t="n">
        <f aca="false">COUNTBLANK(A2399:N2399)</f>
        <v>0</v>
      </c>
      <c r="R2399" s="7" t="n">
        <f aca="false">IF(A2399="",0,COUNTIFS($A$2:$A$3058,A2399,$P$2:$P$3058,"OK"))</f>
        <v>1</v>
      </c>
      <c r="S2399" s="7" t="str">
        <f aca="false">IF(OR(A2399="",P2399="DUP",R2399&lt;2),"",IF(Q2399=_xlfn.MINIFS($Q$2:$Q$3058,$A$2:$A$3058,A2399,$P$2:$P$3058,"OK"),"KEEP","DROP"))</f>
        <v/>
      </c>
      <c r="T2399" s="9" t="n">
        <f aca="false">IF(A2399="",1,0)</f>
        <v>0</v>
      </c>
      <c r="U2399" s="9" t="n">
        <f aca="false">IF(D2399="",1,0)</f>
        <v>0</v>
      </c>
      <c r="V2399" s="9" t="n">
        <f aca="false">IF(E2399="",1,0)</f>
        <v>0</v>
      </c>
      <c r="W2399" s="9" t="n">
        <f aca="false">IF(OR(H2399&lt;1,H2399&gt;10),1,0)</f>
        <v>0</v>
      </c>
      <c r="X2399" s="9" t="n">
        <f aca="false">IF(OR(I2399&lt;=0,I2399&gt;1500),1,0)</f>
        <v>0</v>
      </c>
      <c r="Y2399" s="9" t="n">
        <f aca="false">IF(J2399&gt;H2399*I2399,1,0)</f>
        <v>0</v>
      </c>
      <c r="Z2399" s="9" t="n">
        <f aca="false">IF(AND(N2399&lt;&gt;"",OR(N2399&lt;1,N2399&gt;5)),1,0)</f>
        <v>0</v>
      </c>
      <c r="AA2399" s="9" t="n">
        <f aca="false">IF(AND(M2399&lt;&gt;"",OR(M2399&lt;5,M2399&gt;180)),1,0)</f>
        <v>0</v>
      </c>
      <c r="AB2399" s="7" t="str">
        <f aca="false">IF(P2399="DUP","Exact duplicate row",IF(T2399=1,"Missing Order ID",IF(S2399="DROP","Duplicate Order ID (less complete row)",IF(U2399=1,"Missing Customer ID",IF(V2399=1,"Missing Restaurant name",IF(W2399=1,"Invalid/outlier quantity",IF(X2399=1,"Invalid/outlier unit price",IF(Y2399=1,"Discount greater than order value",""))))))))</f>
        <v/>
      </c>
      <c r="AC2399" s="7" t="str">
        <f aca="false">IF(AB2399="","KEEP","DROP")</f>
        <v>KEEP</v>
      </c>
      <c r="AD2399" s="7" t="str">
        <f aca="false">IF(TRIM(F2399)="",IFERROR(INDEX(Map_Tables!$I$4:$I$37,MATCH(TRIM(E2399),Map_Tables!$G$4:$G$37,0)),""),IFERROR(INDEX(Map_Tables!$B$4:$B$18,MATCH(TRIM(F2399),Map_Tables!$A$4:$A$18,0)),"CHECK"))</f>
        <v>Delhi</v>
      </c>
      <c r="AE2399" s="7" t="str">
        <f aca="false">IF(TRIM(E2399)="","",IFERROR(INDEX(Map_Tables!$H$4:$H$37,MATCH(TRIM(E2399),Map_Tables!$G$4:$G$37,0)),"CHECK"))</f>
        <v>Tandoor Tales</v>
      </c>
      <c r="AF2399" s="7" t="str">
        <f aca="false">IF(TRIM(K2399)="","Unknown",IFERROR(INDEX(Map_Tables!$E$4:$E$15,MATCH(TRIM(K2399),Map_Tables!$D$4:$D$15,0)),"CHECK"))</f>
        <v>Debit Card</v>
      </c>
      <c r="AG2399" s="7" t="str">
        <f aca="false">IF(LEFT(LOWER(TRIM(L2399)),6)="cancel","Cancelled","Delivered")</f>
        <v>Delivered</v>
      </c>
      <c r="AH2399" s="10" t="n">
        <f aca="false">IF(ISNUMBER(SEARCH("/",B2399)),DATE(VALUE(RIGHT(B2399,4)),VALUE(MID(B2399,4,2)),VALUE(LEFT(B2399,2))),IF(MID(B2399,5,1)="-",DATE(VALUE(LEFT(B2399,4)),VALUE(MID(B2399,6,2)),VALUE(RIGHT(B2399,2))),DATE(VALUE(RIGHT(B2399,4)),MATCH(MID(B2399,4,3),{"Jan","Feb","Mar","Apr","May","Jun","Jul","Aug","Sep","Oct","Nov","Dec"},0),VALUE(LEFT(B2399,2)))))</f>
        <v>45768</v>
      </c>
    </row>
    <row r="2400" customFormat="false" ht="15" hidden="false" customHeight="false" outlineLevel="0" collapsed="false">
      <c r="A2400" s="7" t="s">
        <v>5329</v>
      </c>
      <c r="B2400" s="7" t="s">
        <v>1127</v>
      </c>
      <c r="C2400" s="7" t="s">
        <v>5330</v>
      </c>
      <c r="D2400" s="7" t="s">
        <v>5331</v>
      </c>
      <c r="E2400" s="7" t="s">
        <v>126</v>
      </c>
      <c r="F2400" s="7" t="s">
        <v>101</v>
      </c>
      <c r="G2400" s="7" t="s">
        <v>105</v>
      </c>
      <c r="H2400" s="7" t="n">
        <v>1</v>
      </c>
      <c r="I2400" s="7" t="n">
        <v>235</v>
      </c>
      <c r="J2400" s="7" t="n">
        <v>0</v>
      </c>
      <c r="K2400" s="7" t="s">
        <v>112</v>
      </c>
      <c r="L2400" s="7" t="s">
        <v>194</v>
      </c>
      <c r="M2400" s="7" t="n">
        <v>45</v>
      </c>
      <c r="N2400" s="7" t="n">
        <v>5</v>
      </c>
      <c r="O2400" s="7" t="str">
        <f aca="false">A2400&amp;"|"&amp;B2400&amp;"|"&amp;C2400&amp;"|"&amp;D2400&amp;"|"&amp;E2400&amp;"|"&amp;F2400&amp;"|"&amp;G2400&amp;"|"&amp;H2400&amp;"|"&amp;I2400&amp;"|"&amp;J2400&amp;"|"&amp;K2400&amp;"|"&amp;L2400&amp;"|"&amp;M2400&amp;"|"&amp;N2400</f>
        <v>ORD12767|2025-12-03|23:34|C1032|Dragon Express|Mumbai|Chinese|1|235|0|Cash on Delivery|Delivered|45|5</v>
      </c>
      <c r="P2400" s="7" t="str">
        <f aca="false">IF(COUNTIF($O$2:O2400,O2400)&gt;1,"DUP","OK")</f>
        <v>OK</v>
      </c>
      <c r="Q2400" s="7" t="n">
        <f aca="false">COUNTBLANK(A2400:N2400)</f>
        <v>0</v>
      </c>
      <c r="R2400" s="7" t="n">
        <f aca="false">IF(A2400="",0,COUNTIFS($A$2:$A$3058,A2400,$P$2:$P$3058,"OK"))</f>
        <v>1</v>
      </c>
      <c r="S2400" s="7" t="str">
        <f aca="false">IF(OR(A2400="",P2400="DUP",R2400&lt;2),"",IF(Q2400=_xlfn.MINIFS($Q$2:$Q$3058,$A$2:$A$3058,A2400,$P$2:$P$3058,"OK"),"KEEP","DROP"))</f>
        <v/>
      </c>
      <c r="T2400" s="9" t="n">
        <f aca="false">IF(A2400="",1,0)</f>
        <v>0</v>
      </c>
      <c r="U2400" s="9" t="n">
        <f aca="false">IF(D2400="",1,0)</f>
        <v>0</v>
      </c>
      <c r="V2400" s="9" t="n">
        <f aca="false">IF(E2400="",1,0)</f>
        <v>0</v>
      </c>
      <c r="W2400" s="9" t="n">
        <f aca="false">IF(OR(H2400&lt;1,H2400&gt;10),1,0)</f>
        <v>0</v>
      </c>
      <c r="X2400" s="9" t="n">
        <f aca="false">IF(OR(I2400&lt;=0,I2400&gt;1500),1,0)</f>
        <v>0</v>
      </c>
      <c r="Y2400" s="9" t="n">
        <f aca="false">IF(J2400&gt;H2400*I2400,1,0)</f>
        <v>0</v>
      </c>
      <c r="Z2400" s="9" t="n">
        <f aca="false">IF(AND(N2400&lt;&gt;"",OR(N2400&lt;1,N2400&gt;5)),1,0)</f>
        <v>0</v>
      </c>
      <c r="AA2400" s="9" t="n">
        <f aca="false">IF(AND(M2400&lt;&gt;"",OR(M2400&lt;5,M2400&gt;180)),1,0)</f>
        <v>0</v>
      </c>
      <c r="AB2400" s="7" t="str">
        <f aca="false">IF(P2400="DUP","Exact duplicate row",IF(T2400=1,"Missing Order ID",IF(S2400="DROP","Duplicate Order ID (less complete row)",IF(U2400=1,"Missing Customer ID",IF(V2400=1,"Missing Restaurant name",IF(W2400=1,"Invalid/outlier quantity",IF(X2400=1,"Invalid/outlier unit price",IF(Y2400=1,"Discount greater than order value",""))))))))</f>
        <v/>
      </c>
      <c r="AC2400" s="7" t="str">
        <f aca="false">IF(AB2400="","KEEP","DROP")</f>
        <v>KEEP</v>
      </c>
      <c r="AD2400" s="7" t="str">
        <f aca="false">IF(TRIM(F2400)="",IFERROR(INDEX(Map_Tables!$I$4:$I$37,MATCH(TRIM(E2400),Map_Tables!$G$4:$G$37,0)),""),IFERROR(INDEX(Map_Tables!$B$4:$B$18,MATCH(TRIM(F2400),Map_Tables!$A$4:$A$18,0)),"CHECK"))</f>
        <v>Mumbai</v>
      </c>
      <c r="AE2400" s="7" t="str">
        <f aca="false">IF(TRIM(E2400)="","",IFERROR(INDEX(Map_Tables!$H$4:$H$37,MATCH(TRIM(E2400),Map_Tables!$G$4:$G$37,0)),"CHECK"))</f>
        <v>Dragon Express</v>
      </c>
      <c r="AF2400" s="7" t="str">
        <f aca="false">IF(TRIM(K2400)="","Unknown",IFERROR(INDEX(Map_Tables!$E$4:$E$15,MATCH(TRIM(K2400),Map_Tables!$D$4:$D$15,0)),"CHECK"))</f>
        <v>Cash on Delivery</v>
      </c>
      <c r="AG2400" s="7" t="str">
        <f aca="false">IF(LEFT(LOWER(TRIM(L2400)),6)="cancel","Cancelled","Delivered")</f>
        <v>Delivered</v>
      </c>
      <c r="AH2400" s="10" t="n">
        <f aca="false">IF(ISNUMBER(SEARCH("/",B2400)),DATE(VALUE(RIGHT(B2400,4)),VALUE(MID(B2400,4,2)),VALUE(LEFT(B2400,2))),IF(MID(B2400,5,1)="-",DATE(VALUE(LEFT(B2400,4)),VALUE(MID(B2400,6,2)),VALUE(RIGHT(B2400,2))),DATE(VALUE(RIGHT(B2400,4)),MATCH(MID(B2400,4,3),{"Jan","Feb","Mar","Apr","May","Jun","Jul","Aug","Sep","Oct","Nov","Dec"},0),VALUE(LEFT(B2400,2)))))</f>
        <v>45994</v>
      </c>
    </row>
    <row r="2401" customFormat="false" ht="15" hidden="false" customHeight="false" outlineLevel="0" collapsed="false">
      <c r="A2401" s="7" t="s">
        <v>5332</v>
      </c>
      <c r="B2401" s="7" t="s">
        <v>1907</v>
      </c>
      <c r="C2401" s="7" t="s">
        <v>2202</v>
      </c>
      <c r="D2401" s="7" t="s">
        <v>766</v>
      </c>
      <c r="E2401" s="7" t="s">
        <v>2505</v>
      </c>
      <c r="F2401" s="7" t="s">
        <v>86</v>
      </c>
      <c r="G2401" s="7" t="s">
        <v>99</v>
      </c>
      <c r="H2401" s="7" t="n">
        <v>1</v>
      </c>
      <c r="I2401" s="7" t="n">
        <v>285</v>
      </c>
      <c r="J2401" s="7" t="n">
        <v>0</v>
      </c>
      <c r="K2401" s="7" t="s">
        <v>112</v>
      </c>
      <c r="L2401" s="7" t="s">
        <v>194</v>
      </c>
      <c r="M2401" s="7" t="n">
        <v>51</v>
      </c>
      <c r="N2401" s="7" t="n">
        <v>5</v>
      </c>
      <c r="O2401" s="7" t="str">
        <f aca="false">A2401&amp;"|"&amp;B2401&amp;"|"&amp;C2401&amp;"|"&amp;D2401&amp;"|"&amp;E2401&amp;"|"&amp;F2401&amp;"|"&amp;G2401&amp;"|"&amp;H2401&amp;"|"&amp;I2401&amp;"|"&amp;J2401&amp;"|"&amp;K2401&amp;"|"&amp;L2401&amp;"|"&amp;M2401&amp;"|"&amp;N2401</f>
        <v>ORD10051|2025-01-08|12:40|C1437|NAWABI BIRYANI HOUSE|Bengaluru|Biryani|1|285|0|Cash on Delivery|Delivered|51|5</v>
      </c>
      <c r="P2401" s="7" t="str">
        <f aca="false">IF(COUNTIF($O$2:O2401,O2401)&gt;1,"DUP","OK")</f>
        <v>OK</v>
      </c>
      <c r="Q2401" s="7" t="n">
        <f aca="false">COUNTBLANK(A2401:N2401)</f>
        <v>0</v>
      </c>
      <c r="R2401" s="7" t="n">
        <f aca="false">IF(A2401="",0,COUNTIFS($A$2:$A$3058,A2401,$P$2:$P$3058,"OK"))</f>
        <v>1</v>
      </c>
      <c r="S2401" s="7" t="str">
        <f aca="false">IF(OR(A2401="",P2401="DUP",R2401&lt;2),"",IF(Q2401=_xlfn.MINIFS($Q$2:$Q$3058,$A$2:$A$3058,A2401,$P$2:$P$3058,"OK"),"KEEP","DROP"))</f>
        <v/>
      </c>
      <c r="T2401" s="9" t="n">
        <f aca="false">IF(A2401="",1,0)</f>
        <v>0</v>
      </c>
      <c r="U2401" s="9" t="n">
        <f aca="false">IF(D2401="",1,0)</f>
        <v>0</v>
      </c>
      <c r="V2401" s="9" t="n">
        <f aca="false">IF(E2401="",1,0)</f>
        <v>0</v>
      </c>
      <c r="W2401" s="9" t="n">
        <f aca="false">IF(OR(H2401&lt;1,H2401&gt;10),1,0)</f>
        <v>0</v>
      </c>
      <c r="X2401" s="9" t="n">
        <f aca="false">IF(OR(I2401&lt;=0,I2401&gt;1500),1,0)</f>
        <v>0</v>
      </c>
      <c r="Y2401" s="9" t="n">
        <f aca="false">IF(J2401&gt;H2401*I2401,1,0)</f>
        <v>0</v>
      </c>
      <c r="Z2401" s="9" t="n">
        <f aca="false">IF(AND(N2401&lt;&gt;"",OR(N2401&lt;1,N2401&gt;5)),1,0)</f>
        <v>0</v>
      </c>
      <c r="AA2401" s="9" t="n">
        <f aca="false">IF(AND(M2401&lt;&gt;"",OR(M2401&lt;5,M2401&gt;180)),1,0)</f>
        <v>0</v>
      </c>
      <c r="AB2401" s="7" t="str">
        <f aca="false">IF(P2401="DUP","Exact duplicate row",IF(T2401=1,"Missing Order ID",IF(S2401="DROP","Duplicate Order ID (less complete row)",IF(U2401=1,"Missing Customer ID",IF(V2401=1,"Missing Restaurant name",IF(W2401=1,"Invalid/outlier quantity",IF(X2401=1,"Invalid/outlier unit price",IF(Y2401=1,"Discount greater than order value",""))))))))</f>
        <v/>
      </c>
      <c r="AC2401" s="7" t="str">
        <f aca="false">IF(AB2401="","KEEP","DROP")</f>
        <v>KEEP</v>
      </c>
      <c r="AD2401" s="7" t="str">
        <f aca="false">IF(TRIM(F2401)="",IFERROR(INDEX(Map_Tables!$I$4:$I$37,MATCH(TRIM(E2401),Map_Tables!$G$4:$G$37,0)),""),IFERROR(INDEX(Map_Tables!$B$4:$B$18,MATCH(TRIM(F2401),Map_Tables!$A$4:$A$18,0)),"CHECK"))</f>
        <v>Bengaluru</v>
      </c>
      <c r="AE2401" s="7" t="str">
        <f aca="false">IF(TRIM(E2401)="","",IFERROR(INDEX(Map_Tables!$H$4:$H$37,MATCH(TRIM(E2401),Map_Tables!$G$4:$G$37,0)),"CHECK"))</f>
        <v>Nawabi Biryani House</v>
      </c>
      <c r="AF2401" s="7" t="str">
        <f aca="false">IF(TRIM(K2401)="","Unknown",IFERROR(INDEX(Map_Tables!$E$4:$E$15,MATCH(TRIM(K2401),Map_Tables!$D$4:$D$15,0)),"CHECK"))</f>
        <v>Cash on Delivery</v>
      </c>
      <c r="AG2401" s="7" t="str">
        <f aca="false">IF(LEFT(LOWER(TRIM(L2401)),6)="cancel","Cancelled","Delivered")</f>
        <v>Delivered</v>
      </c>
      <c r="AH2401" s="10" t="n">
        <f aca="false">IF(ISNUMBER(SEARCH("/",B2401)),DATE(VALUE(RIGHT(B2401,4)),VALUE(MID(B2401,4,2)),VALUE(LEFT(B2401,2))),IF(MID(B2401,5,1)="-",DATE(VALUE(LEFT(B2401,4)),VALUE(MID(B2401,6,2)),VALUE(RIGHT(B2401,2))),DATE(VALUE(RIGHT(B2401,4)),MATCH(MID(B2401,4,3),{"Jan","Feb","Mar","Apr","May","Jun","Jul","Aug","Sep","Oct","Nov","Dec"},0),VALUE(LEFT(B2401,2)))))</f>
        <v>45665</v>
      </c>
    </row>
    <row r="2402" customFormat="false" ht="15" hidden="false" customHeight="false" outlineLevel="0" collapsed="false">
      <c r="A2402" s="7" t="s">
        <v>5333</v>
      </c>
      <c r="B2402" s="7" t="s">
        <v>1373</v>
      </c>
      <c r="C2402" s="7" t="s">
        <v>2202</v>
      </c>
      <c r="D2402" s="7" t="s">
        <v>1020</v>
      </c>
      <c r="E2402" s="7" t="s">
        <v>144</v>
      </c>
      <c r="F2402" s="7" t="s">
        <v>119</v>
      </c>
      <c r="G2402" s="7" t="s">
        <v>99</v>
      </c>
      <c r="H2402" s="7" t="n">
        <v>2</v>
      </c>
      <c r="I2402" s="7" t="n">
        <v>315</v>
      </c>
      <c r="J2402" s="7" t="n">
        <v>0</v>
      </c>
      <c r="K2402" s="7" t="s">
        <v>88</v>
      </c>
      <c r="L2402" s="7" t="s">
        <v>194</v>
      </c>
      <c r="M2402" s="7" t="n">
        <v>35</v>
      </c>
      <c r="N2402" s="7" t="n">
        <v>5</v>
      </c>
      <c r="O2402" s="7" t="str">
        <f aca="false">A2402&amp;"|"&amp;B2402&amp;"|"&amp;C2402&amp;"|"&amp;D2402&amp;"|"&amp;E2402&amp;"|"&amp;F2402&amp;"|"&amp;G2402&amp;"|"&amp;H2402&amp;"|"&amp;I2402&amp;"|"&amp;J2402&amp;"|"&amp;K2402&amp;"|"&amp;L2402&amp;"|"&amp;M2402&amp;"|"&amp;N2402</f>
        <v>ORD11888|2025-09-03|12:40|C1422|Hyderabad Dum Biryani|Hyderabad|Biryani|2|315|0|UPI|Delivered|35|5</v>
      </c>
      <c r="P2402" s="7" t="str">
        <f aca="false">IF(COUNTIF($O$2:O2402,O2402)&gt;1,"DUP","OK")</f>
        <v>OK</v>
      </c>
      <c r="Q2402" s="7" t="n">
        <f aca="false">COUNTBLANK(A2402:N2402)</f>
        <v>0</v>
      </c>
      <c r="R2402" s="7" t="n">
        <f aca="false">IF(A2402="",0,COUNTIFS($A$2:$A$3058,A2402,$P$2:$P$3058,"OK"))</f>
        <v>1</v>
      </c>
      <c r="S2402" s="7" t="str">
        <f aca="false">IF(OR(A2402="",P2402="DUP",R2402&lt;2),"",IF(Q2402=_xlfn.MINIFS($Q$2:$Q$3058,$A$2:$A$3058,A2402,$P$2:$P$3058,"OK"),"KEEP","DROP"))</f>
        <v/>
      </c>
      <c r="T2402" s="9" t="n">
        <f aca="false">IF(A2402="",1,0)</f>
        <v>0</v>
      </c>
      <c r="U2402" s="9" t="n">
        <f aca="false">IF(D2402="",1,0)</f>
        <v>0</v>
      </c>
      <c r="V2402" s="9" t="n">
        <f aca="false">IF(E2402="",1,0)</f>
        <v>0</v>
      </c>
      <c r="W2402" s="9" t="n">
        <f aca="false">IF(OR(H2402&lt;1,H2402&gt;10),1,0)</f>
        <v>0</v>
      </c>
      <c r="X2402" s="9" t="n">
        <f aca="false">IF(OR(I2402&lt;=0,I2402&gt;1500),1,0)</f>
        <v>0</v>
      </c>
      <c r="Y2402" s="9" t="n">
        <f aca="false">IF(J2402&gt;H2402*I2402,1,0)</f>
        <v>0</v>
      </c>
      <c r="Z2402" s="9" t="n">
        <f aca="false">IF(AND(N2402&lt;&gt;"",OR(N2402&lt;1,N2402&gt;5)),1,0)</f>
        <v>0</v>
      </c>
      <c r="AA2402" s="9" t="n">
        <f aca="false">IF(AND(M2402&lt;&gt;"",OR(M2402&lt;5,M2402&gt;180)),1,0)</f>
        <v>0</v>
      </c>
      <c r="AB2402" s="7" t="str">
        <f aca="false">IF(P2402="DUP","Exact duplicate row",IF(T2402=1,"Missing Order ID",IF(S2402="DROP","Duplicate Order ID (less complete row)",IF(U2402=1,"Missing Customer ID",IF(V2402=1,"Missing Restaurant name",IF(W2402=1,"Invalid/outlier quantity",IF(X2402=1,"Invalid/outlier unit price",IF(Y2402=1,"Discount greater than order value",""))))))))</f>
        <v/>
      </c>
      <c r="AC2402" s="7" t="str">
        <f aca="false">IF(AB2402="","KEEP","DROP")</f>
        <v>KEEP</v>
      </c>
      <c r="AD2402" s="7" t="str">
        <f aca="false">IF(TRIM(F2402)="",IFERROR(INDEX(Map_Tables!$I$4:$I$37,MATCH(TRIM(E2402),Map_Tables!$G$4:$G$37,0)),""),IFERROR(INDEX(Map_Tables!$B$4:$B$18,MATCH(TRIM(F2402),Map_Tables!$A$4:$A$18,0)),"CHECK"))</f>
        <v>Hyderabad</v>
      </c>
      <c r="AE2402" s="7" t="str">
        <f aca="false">IF(TRIM(E2402)="","",IFERROR(INDEX(Map_Tables!$H$4:$H$37,MATCH(TRIM(E2402),Map_Tables!$G$4:$G$37,0)),"CHECK"))</f>
        <v>Hyderabad Dum Biryani</v>
      </c>
      <c r="AF2402" s="7" t="str">
        <f aca="false">IF(TRIM(K2402)="","Unknown",IFERROR(INDEX(Map_Tables!$E$4:$E$15,MATCH(TRIM(K2402),Map_Tables!$D$4:$D$15,0)),"CHECK"))</f>
        <v>UPI</v>
      </c>
      <c r="AG2402" s="7" t="str">
        <f aca="false">IF(LEFT(LOWER(TRIM(L2402)),6)="cancel","Cancelled","Delivered")</f>
        <v>Delivered</v>
      </c>
      <c r="AH2402" s="10" t="n">
        <f aca="false">IF(ISNUMBER(SEARCH("/",B2402)),DATE(VALUE(RIGHT(B2402,4)),VALUE(MID(B2402,4,2)),VALUE(LEFT(B2402,2))),IF(MID(B2402,5,1)="-",DATE(VALUE(LEFT(B2402,4)),VALUE(MID(B2402,6,2)),VALUE(RIGHT(B2402,2))),DATE(VALUE(RIGHT(B2402,4)),MATCH(MID(B2402,4,3),{"Jan","Feb","Mar","Apr","May","Jun","Jul","Aug","Sep","Oct","Nov","Dec"},0),VALUE(LEFT(B2402,2)))))</f>
        <v>45903</v>
      </c>
    </row>
    <row r="2403" customFormat="false" ht="15" hidden="false" customHeight="false" outlineLevel="0" collapsed="false">
      <c r="A2403" s="7" t="s">
        <v>5334</v>
      </c>
      <c r="B2403" s="7" t="s">
        <v>612</v>
      </c>
      <c r="C2403" s="7" t="s">
        <v>2791</v>
      </c>
      <c r="D2403" s="7" t="s">
        <v>2885</v>
      </c>
      <c r="E2403" s="7" t="s">
        <v>167</v>
      </c>
      <c r="F2403" s="7" t="s">
        <v>146</v>
      </c>
      <c r="G2403" s="7" t="s">
        <v>156</v>
      </c>
      <c r="H2403" s="7" t="n">
        <v>2</v>
      </c>
      <c r="I2403" s="7" t="n">
        <v>265</v>
      </c>
      <c r="J2403" s="7" t="n">
        <v>20</v>
      </c>
      <c r="K2403" s="7" t="s">
        <v>112</v>
      </c>
      <c r="L2403" s="7" t="s">
        <v>194</v>
      </c>
      <c r="M2403" s="7" t="n">
        <v>29</v>
      </c>
      <c r="N2403" s="7" t="n">
        <v>4</v>
      </c>
      <c r="O2403" s="7" t="str">
        <f aca="false">A2403&amp;"|"&amp;B2403&amp;"|"&amp;C2403&amp;"|"&amp;D2403&amp;"|"&amp;E2403&amp;"|"&amp;F2403&amp;"|"&amp;G2403&amp;"|"&amp;H2403&amp;"|"&amp;I2403&amp;"|"&amp;J2403&amp;"|"&amp;K2403&amp;"|"&amp;L2403&amp;"|"&amp;M2403&amp;"|"&amp;N2403</f>
        <v>ORD11703|2025-08-12|09:09|C0367|Fit Fuel Kitchen|Ahmedabad|Healthy Food|2|265|20|Cash on Delivery|Delivered|29|4</v>
      </c>
      <c r="P2403" s="7" t="str">
        <f aca="false">IF(COUNTIF($O$2:O2403,O2403)&gt;1,"DUP","OK")</f>
        <v>OK</v>
      </c>
      <c r="Q2403" s="7" t="n">
        <f aca="false">COUNTBLANK(A2403:N2403)</f>
        <v>0</v>
      </c>
      <c r="R2403" s="7" t="n">
        <f aca="false">IF(A2403="",0,COUNTIFS($A$2:$A$3058,A2403,$P$2:$P$3058,"OK"))</f>
        <v>1</v>
      </c>
      <c r="S2403" s="7" t="str">
        <f aca="false">IF(OR(A2403="",P2403="DUP",R2403&lt;2),"",IF(Q2403=_xlfn.MINIFS($Q$2:$Q$3058,$A$2:$A$3058,A2403,$P$2:$P$3058,"OK"),"KEEP","DROP"))</f>
        <v/>
      </c>
      <c r="T2403" s="9" t="n">
        <f aca="false">IF(A2403="",1,0)</f>
        <v>0</v>
      </c>
      <c r="U2403" s="9" t="n">
        <f aca="false">IF(D2403="",1,0)</f>
        <v>0</v>
      </c>
      <c r="V2403" s="9" t="n">
        <f aca="false">IF(E2403="",1,0)</f>
        <v>0</v>
      </c>
      <c r="W2403" s="9" t="n">
        <f aca="false">IF(OR(H2403&lt;1,H2403&gt;10),1,0)</f>
        <v>0</v>
      </c>
      <c r="X2403" s="9" t="n">
        <f aca="false">IF(OR(I2403&lt;=0,I2403&gt;1500),1,0)</f>
        <v>0</v>
      </c>
      <c r="Y2403" s="9" t="n">
        <f aca="false">IF(J2403&gt;H2403*I2403,1,0)</f>
        <v>0</v>
      </c>
      <c r="Z2403" s="9" t="n">
        <f aca="false">IF(AND(N2403&lt;&gt;"",OR(N2403&lt;1,N2403&gt;5)),1,0)</f>
        <v>0</v>
      </c>
      <c r="AA2403" s="9" t="n">
        <f aca="false">IF(AND(M2403&lt;&gt;"",OR(M2403&lt;5,M2403&gt;180)),1,0)</f>
        <v>0</v>
      </c>
      <c r="AB2403" s="7" t="str">
        <f aca="false">IF(P2403="DUP","Exact duplicate row",IF(T2403=1,"Missing Order ID",IF(S2403="DROP","Duplicate Order ID (less complete row)",IF(U2403=1,"Missing Customer ID",IF(V2403=1,"Missing Restaurant name",IF(W2403=1,"Invalid/outlier quantity",IF(X2403=1,"Invalid/outlier unit price",IF(Y2403=1,"Discount greater than order value",""))))))))</f>
        <v/>
      </c>
      <c r="AC2403" s="7" t="str">
        <f aca="false">IF(AB2403="","KEEP","DROP")</f>
        <v>KEEP</v>
      </c>
      <c r="AD2403" s="7" t="str">
        <f aca="false">IF(TRIM(F2403)="",IFERROR(INDEX(Map_Tables!$I$4:$I$37,MATCH(TRIM(E2403),Map_Tables!$G$4:$G$37,0)),""),IFERROR(INDEX(Map_Tables!$B$4:$B$18,MATCH(TRIM(F2403),Map_Tables!$A$4:$A$18,0)),"CHECK"))</f>
        <v>Ahmedabad</v>
      </c>
      <c r="AE2403" s="7" t="str">
        <f aca="false">IF(TRIM(E2403)="","",IFERROR(INDEX(Map_Tables!$H$4:$H$37,MATCH(TRIM(E2403),Map_Tables!$G$4:$G$37,0)),"CHECK"))</f>
        <v>Fit Fuel Kitchen</v>
      </c>
      <c r="AF2403" s="7" t="str">
        <f aca="false">IF(TRIM(K2403)="","Unknown",IFERROR(INDEX(Map_Tables!$E$4:$E$15,MATCH(TRIM(K2403),Map_Tables!$D$4:$D$15,0)),"CHECK"))</f>
        <v>Cash on Delivery</v>
      </c>
      <c r="AG2403" s="7" t="str">
        <f aca="false">IF(LEFT(LOWER(TRIM(L2403)),6)="cancel","Cancelled","Delivered")</f>
        <v>Delivered</v>
      </c>
      <c r="AH2403" s="10" t="n">
        <f aca="false">IF(ISNUMBER(SEARCH("/",B2403)),DATE(VALUE(RIGHT(B2403,4)),VALUE(MID(B2403,4,2)),VALUE(LEFT(B2403,2))),IF(MID(B2403,5,1)="-",DATE(VALUE(LEFT(B2403,4)),VALUE(MID(B2403,6,2)),VALUE(RIGHT(B2403,2))),DATE(VALUE(RIGHT(B2403,4)),MATCH(MID(B2403,4,3),{"Jan","Feb","Mar","Apr","May","Jun","Jul","Aug","Sep","Oct","Nov","Dec"},0),VALUE(LEFT(B2403,2)))))</f>
        <v>45881</v>
      </c>
    </row>
    <row r="2404" customFormat="false" ht="15" hidden="false" customHeight="false" outlineLevel="0" collapsed="false">
      <c r="A2404" s="7" t="s">
        <v>5335</v>
      </c>
      <c r="B2404" s="7" t="s">
        <v>3689</v>
      </c>
      <c r="C2404" s="7" t="s">
        <v>1112</v>
      </c>
      <c r="D2404" s="7" t="s">
        <v>1333</v>
      </c>
      <c r="E2404" s="7" t="s">
        <v>149</v>
      </c>
      <c r="F2404" s="7" t="s">
        <v>119</v>
      </c>
      <c r="G2404" s="7" t="s">
        <v>150</v>
      </c>
      <c r="H2404" s="7" t="n">
        <v>1</v>
      </c>
      <c r="I2404" s="7" t="n">
        <v>165</v>
      </c>
      <c r="J2404" s="7" t="n">
        <v>0</v>
      </c>
      <c r="K2404" s="7" t="s">
        <v>88</v>
      </c>
      <c r="L2404" s="7" t="s">
        <v>194</v>
      </c>
      <c r="M2404" s="7" t="n">
        <v>27</v>
      </c>
      <c r="N2404" s="7" t="n">
        <v>5</v>
      </c>
      <c r="O2404" s="7" t="str">
        <f aca="false">A2404&amp;"|"&amp;B2404&amp;"|"&amp;C2404&amp;"|"&amp;D2404&amp;"|"&amp;E2404&amp;"|"&amp;F2404&amp;"|"&amp;G2404&amp;"|"&amp;H2404&amp;"|"&amp;I2404&amp;"|"&amp;J2404&amp;"|"&amp;K2404&amp;"|"&amp;L2404&amp;"|"&amp;M2404&amp;"|"&amp;N2404</f>
        <v>ORD10134|2025-01-18|11:26|C0411|Sweet Tooth Studio|Hyderabad|Desserts|1|165|0|UPI|Delivered|27|5</v>
      </c>
      <c r="P2404" s="7" t="str">
        <f aca="false">IF(COUNTIF($O$2:O2404,O2404)&gt;1,"DUP","OK")</f>
        <v>OK</v>
      </c>
      <c r="Q2404" s="7" t="n">
        <f aca="false">COUNTBLANK(A2404:N2404)</f>
        <v>0</v>
      </c>
      <c r="R2404" s="7" t="n">
        <f aca="false">IF(A2404="",0,COUNTIFS($A$2:$A$3058,A2404,$P$2:$P$3058,"OK"))</f>
        <v>1</v>
      </c>
      <c r="S2404" s="7" t="str">
        <f aca="false">IF(OR(A2404="",P2404="DUP",R2404&lt;2),"",IF(Q2404=_xlfn.MINIFS($Q$2:$Q$3058,$A$2:$A$3058,A2404,$P$2:$P$3058,"OK"),"KEEP","DROP"))</f>
        <v/>
      </c>
      <c r="T2404" s="9" t="n">
        <f aca="false">IF(A2404="",1,0)</f>
        <v>0</v>
      </c>
      <c r="U2404" s="9" t="n">
        <f aca="false">IF(D2404="",1,0)</f>
        <v>0</v>
      </c>
      <c r="V2404" s="9" t="n">
        <f aca="false">IF(E2404="",1,0)</f>
        <v>0</v>
      </c>
      <c r="W2404" s="9" t="n">
        <f aca="false">IF(OR(H2404&lt;1,H2404&gt;10),1,0)</f>
        <v>0</v>
      </c>
      <c r="X2404" s="9" t="n">
        <f aca="false">IF(OR(I2404&lt;=0,I2404&gt;1500),1,0)</f>
        <v>0</v>
      </c>
      <c r="Y2404" s="9" t="n">
        <f aca="false">IF(J2404&gt;H2404*I2404,1,0)</f>
        <v>0</v>
      </c>
      <c r="Z2404" s="9" t="n">
        <f aca="false">IF(AND(N2404&lt;&gt;"",OR(N2404&lt;1,N2404&gt;5)),1,0)</f>
        <v>0</v>
      </c>
      <c r="AA2404" s="9" t="n">
        <f aca="false">IF(AND(M2404&lt;&gt;"",OR(M2404&lt;5,M2404&gt;180)),1,0)</f>
        <v>0</v>
      </c>
      <c r="AB2404" s="7" t="str">
        <f aca="false">IF(P2404="DUP","Exact duplicate row",IF(T2404=1,"Missing Order ID",IF(S2404="DROP","Duplicate Order ID (less complete row)",IF(U2404=1,"Missing Customer ID",IF(V2404=1,"Missing Restaurant name",IF(W2404=1,"Invalid/outlier quantity",IF(X2404=1,"Invalid/outlier unit price",IF(Y2404=1,"Discount greater than order value",""))))))))</f>
        <v/>
      </c>
      <c r="AC2404" s="7" t="str">
        <f aca="false">IF(AB2404="","KEEP","DROP")</f>
        <v>KEEP</v>
      </c>
      <c r="AD2404" s="7" t="str">
        <f aca="false">IF(TRIM(F2404)="",IFERROR(INDEX(Map_Tables!$I$4:$I$37,MATCH(TRIM(E2404),Map_Tables!$G$4:$G$37,0)),""),IFERROR(INDEX(Map_Tables!$B$4:$B$18,MATCH(TRIM(F2404),Map_Tables!$A$4:$A$18,0)),"CHECK"))</f>
        <v>Hyderabad</v>
      </c>
      <c r="AE2404" s="7" t="str">
        <f aca="false">IF(TRIM(E2404)="","",IFERROR(INDEX(Map_Tables!$H$4:$H$37,MATCH(TRIM(E2404),Map_Tables!$G$4:$G$37,0)),"CHECK"))</f>
        <v>Sweet Tooth Studio</v>
      </c>
      <c r="AF2404" s="7" t="str">
        <f aca="false">IF(TRIM(K2404)="","Unknown",IFERROR(INDEX(Map_Tables!$E$4:$E$15,MATCH(TRIM(K2404),Map_Tables!$D$4:$D$15,0)),"CHECK"))</f>
        <v>UPI</v>
      </c>
      <c r="AG2404" s="7" t="str">
        <f aca="false">IF(LEFT(LOWER(TRIM(L2404)),6)="cancel","Cancelled","Delivered")</f>
        <v>Delivered</v>
      </c>
      <c r="AH2404" s="10" t="n">
        <f aca="false">IF(ISNUMBER(SEARCH("/",B2404)),DATE(VALUE(RIGHT(B2404,4)),VALUE(MID(B2404,4,2)),VALUE(LEFT(B2404,2))),IF(MID(B2404,5,1)="-",DATE(VALUE(LEFT(B2404,4)),VALUE(MID(B2404,6,2)),VALUE(RIGHT(B2404,2))),DATE(VALUE(RIGHT(B2404,4)),MATCH(MID(B2404,4,3),{"Jan","Feb","Mar","Apr","May","Jun","Jul","Aug","Sep","Oct","Nov","Dec"},0),VALUE(LEFT(B2404,2)))))</f>
        <v>45675</v>
      </c>
    </row>
    <row r="2405" customFormat="false" ht="15" hidden="false" customHeight="false" outlineLevel="0" collapsed="false">
      <c r="A2405" s="7" t="s">
        <v>5336</v>
      </c>
      <c r="B2405" s="7" t="s">
        <v>2916</v>
      </c>
      <c r="C2405" s="7" t="s">
        <v>555</v>
      </c>
      <c r="D2405" s="7" t="s">
        <v>1627</v>
      </c>
      <c r="E2405" s="7" t="s">
        <v>152</v>
      </c>
      <c r="F2405" s="7" t="s">
        <v>806</v>
      </c>
      <c r="G2405" s="7" t="s">
        <v>95</v>
      </c>
      <c r="H2405" s="7" t="n">
        <v>2</v>
      </c>
      <c r="I2405" s="7" t="n">
        <v>105</v>
      </c>
      <c r="J2405" s="7" t="n">
        <v>40</v>
      </c>
      <c r="K2405" s="7" t="s">
        <v>103</v>
      </c>
      <c r="L2405" s="7" t="s">
        <v>194</v>
      </c>
      <c r="M2405" s="7" t="n">
        <v>34</v>
      </c>
      <c r="N2405" s="7" t="n">
        <v>5</v>
      </c>
      <c r="O2405" s="7" t="str">
        <f aca="false">A2405&amp;"|"&amp;B2405&amp;"|"&amp;C2405&amp;"|"&amp;D2405&amp;"|"&amp;E2405&amp;"|"&amp;F2405&amp;"|"&amp;G2405&amp;"|"&amp;H2405&amp;"|"&amp;I2405&amp;"|"&amp;J2405&amp;"|"&amp;K2405&amp;"|"&amp;L2405&amp;"|"&amp;M2405&amp;"|"&amp;N2405</f>
        <v>ORD11106|2025-05-20|18:12|C1420|Filter Coffee &amp; Tiffin|Madras|South Indian|2|105|40|Debit Card|Delivered|34|5</v>
      </c>
      <c r="P2405" s="7" t="str">
        <f aca="false">IF(COUNTIF($O$2:O2405,O2405)&gt;1,"DUP","OK")</f>
        <v>OK</v>
      </c>
      <c r="Q2405" s="7" t="n">
        <f aca="false">COUNTBLANK(A2405:N2405)</f>
        <v>0</v>
      </c>
      <c r="R2405" s="7" t="n">
        <f aca="false">IF(A2405="",0,COUNTIFS($A$2:$A$3058,A2405,$P$2:$P$3058,"OK"))</f>
        <v>1</v>
      </c>
      <c r="S2405" s="7" t="str">
        <f aca="false">IF(OR(A2405="",P2405="DUP",R2405&lt;2),"",IF(Q2405=_xlfn.MINIFS($Q$2:$Q$3058,$A$2:$A$3058,A2405,$P$2:$P$3058,"OK"),"KEEP","DROP"))</f>
        <v/>
      </c>
      <c r="T2405" s="9" t="n">
        <f aca="false">IF(A2405="",1,0)</f>
        <v>0</v>
      </c>
      <c r="U2405" s="9" t="n">
        <f aca="false">IF(D2405="",1,0)</f>
        <v>0</v>
      </c>
      <c r="V2405" s="9" t="n">
        <f aca="false">IF(E2405="",1,0)</f>
        <v>0</v>
      </c>
      <c r="W2405" s="9" t="n">
        <f aca="false">IF(OR(H2405&lt;1,H2405&gt;10),1,0)</f>
        <v>0</v>
      </c>
      <c r="X2405" s="9" t="n">
        <f aca="false">IF(OR(I2405&lt;=0,I2405&gt;1500),1,0)</f>
        <v>0</v>
      </c>
      <c r="Y2405" s="9" t="n">
        <f aca="false">IF(J2405&gt;H2405*I2405,1,0)</f>
        <v>0</v>
      </c>
      <c r="Z2405" s="9" t="n">
        <f aca="false">IF(AND(N2405&lt;&gt;"",OR(N2405&lt;1,N2405&gt;5)),1,0)</f>
        <v>0</v>
      </c>
      <c r="AA2405" s="9" t="n">
        <f aca="false">IF(AND(M2405&lt;&gt;"",OR(M2405&lt;5,M2405&gt;180)),1,0)</f>
        <v>0</v>
      </c>
      <c r="AB2405" s="7" t="str">
        <f aca="false">IF(P2405="DUP","Exact duplicate row",IF(T2405=1,"Missing Order ID",IF(S2405="DROP","Duplicate Order ID (less complete row)",IF(U2405=1,"Missing Customer ID",IF(V2405=1,"Missing Restaurant name",IF(W2405=1,"Invalid/outlier quantity",IF(X2405=1,"Invalid/outlier unit price",IF(Y2405=1,"Discount greater than order value",""))))))))</f>
        <v/>
      </c>
      <c r="AC2405" s="7" t="str">
        <f aca="false">IF(AB2405="","KEEP","DROP")</f>
        <v>KEEP</v>
      </c>
      <c r="AD2405" s="7" t="str">
        <f aca="false">IF(TRIM(F2405)="",IFERROR(INDEX(Map_Tables!$I$4:$I$37,MATCH(TRIM(E2405),Map_Tables!$G$4:$G$37,0)),""),IFERROR(INDEX(Map_Tables!$B$4:$B$18,MATCH(TRIM(F2405),Map_Tables!$A$4:$A$18,0)),"CHECK"))</f>
        <v>Chennai</v>
      </c>
      <c r="AE2405" s="7" t="str">
        <f aca="false">IF(TRIM(E2405)="","",IFERROR(INDEX(Map_Tables!$H$4:$H$37,MATCH(TRIM(E2405),Map_Tables!$G$4:$G$37,0)),"CHECK"))</f>
        <v>Filter Coffee &amp; Tiffin</v>
      </c>
      <c r="AF2405" s="7" t="str">
        <f aca="false">IF(TRIM(K2405)="","Unknown",IFERROR(INDEX(Map_Tables!$E$4:$E$15,MATCH(TRIM(K2405),Map_Tables!$D$4:$D$15,0)),"CHECK"))</f>
        <v>Debit Card</v>
      </c>
      <c r="AG2405" s="7" t="str">
        <f aca="false">IF(LEFT(LOWER(TRIM(L2405)),6)="cancel","Cancelled","Delivered")</f>
        <v>Delivered</v>
      </c>
      <c r="AH2405" s="10" t="n">
        <f aca="false">IF(ISNUMBER(SEARCH("/",B2405)),DATE(VALUE(RIGHT(B2405,4)),VALUE(MID(B2405,4,2)),VALUE(LEFT(B2405,2))),IF(MID(B2405,5,1)="-",DATE(VALUE(LEFT(B2405,4)),VALUE(MID(B2405,6,2)),VALUE(RIGHT(B2405,2))),DATE(VALUE(RIGHT(B2405,4)),MATCH(MID(B2405,4,3),{"Jan","Feb","Mar","Apr","May","Jun","Jul","Aug","Sep","Oct","Nov","Dec"},0),VALUE(LEFT(B2405,2)))))</f>
        <v>45797</v>
      </c>
    </row>
    <row r="2406" customFormat="false" ht="15" hidden="false" customHeight="false" outlineLevel="0" collapsed="false">
      <c r="A2406" s="7" t="s">
        <v>5337</v>
      </c>
      <c r="B2406" s="7" t="s">
        <v>1361</v>
      </c>
      <c r="C2406" s="7" t="s">
        <v>4917</v>
      </c>
      <c r="D2406" s="7" t="s">
        <v>4996</v>
      </c>
      <c r="E2406" s="7" t="s">
        <v>116</v>
      </c>
      <c r="F2406" s="7" t="s">
        <v>101</v>
      </c>
      <c r="G2406" s="7" t="s">
        <v>117</v>
      </c>
      <c r="H2406" s="7" t="n">
        <v>5</v>
      </c>
      <c r="I2406" s="7" t="n">
        <v>130</v>
      </c>
      <c r="J2406" s="7" t="n">
        <v>0</v>
      </c>
      <c r="K2406" s="7" t="s">
        <v>88</v>
      </c>
      <c r="L2406" s="7" t="s">
        <v>194</v>
      </c>
      <c r="M2406" s="7" t="n">
        <v>45</v>
      </c>
      <c r="N2406" s="7"/>
      <c r="O2406" s="7" t="str">
        <f aca="false">A2406&amp;"|"&amp;B2406&amp;"|"&amp;C2406&amp;"|"&amp;D2406&amp;"|"&amp;E2406&amp;"|"&amp;F2406&amp;"|"&amp;G2406&amp;"|"&amp;H2406&amp;"|"&amp;I2406&amp;"|"&amp;J2406&amp;"|"&amp;K2406&amp;"|"&amp;L2406&amp;"|"&amp;M2406&amp;"|"&amp;N2406</f>
        <v>ORD10704|2025-03-30|16:38|C0541|Pav Bhaji Point|Mumbai|Street Food|5|130|0|UPI|Delivered|45|</v>
      </c>
      <c r="P2406" s="7" t="str">
        <f aca="false">IF(COUNTIF($O$2:O2406,O2406)&gt;1,"DUP","OK")</f>
        <v>OK</v>
      </c>
      <c r="Q2406" s="7" t="n">
        <f aca="false">COUNTBLANK(A2406:N2406)</f>
        <v>1</v>
      </c>
      <c r="R2406" s="7" t="n">
        <f aca="false">IF(A2406="",0,COUNTIFS($A$2:$A$3058,A2406,$P$2:$P$3058,"OK"))</f>
        <v>1</v>
      </c>
      <c r="S2406" s="7" t="str">
        <f aca="false">IF(OR(A2406="",P2406="DUP",R2406&lt;2),"",IF(Q2406=_xlfn.MINIFS($Q$2:$Q$3058,$A$2:$A$3058,A2406,$P$2:$P$3058,"OK"),"KEEP","DROP"))</f>
        <v/>
      </c>
      <c r="T2406" s="9" t="n">
        <f aca="false">IF(A2406="",1,0)</f>
        <v>0</v>
      </c>
      <c r="U2406" s="9" t="n">
        <f aca="false">IF(D2406="",1,0)</f>
        <v>0</v>
      </c>
      <c r="V2406" s="9" t="n">
        <f aca="false">IF(E2406="",1,0)</f>
        <v>0</v>
      </c>
      <c r="W2406" s="9" t="n">
        <f aca="false">IF(OR(H2406&lt;1,H2406&gt;10),1,0)</f>
        <v>0</v>
      </c>
      <c r="X2406" s="9" t="n">
        <f aca="false">IF(OR(I2406&lt;=0,I2406&gt;1500),1,0)</f>
        <v>0</v>
      </c>
      <c r="Y2406" s="9" t="n">
        <f aca="false">IF(J2406&gt;H2406*I2406,1,0)</f>
        <v>0</v>
      </c>
      <c r="Z2406" s="9" t="n">
        <f aca="false">IF(AND(N2406&lt;&gt;"",OR(N2406&lt;1,N2406&gt;5)),1,0)</f>
        <v>0</v>
      </c>
      <c r="AA2406" s="9" t="n">
        <f aca="false">IF(AND(M2406&lt;&gt;"",OR(M2406&lt;5,M2406&gt;180)),1,0)</f>
        <v>0</v>
      </c>
      <c r="AB2406" s="7" t="str">
        <f aca="false">IF(P2406="DUP","Exact duplicate row",IF(T2406=1,"Missing Order ID",IF(S2406="DROP","Duplicate Order ID (less complete row)",IF(U2406=1,"Missing Customer ID",IF(V2406=1,"Missing Restaurant name",IF(W2406=1,"Invalid/outlier quantity",IF(X2406=1,"Invalid/outlier unit price",IF(Y2406=1,"Discount greater than order value",""))))))))</f>
        <v/>
      </c>
      <c r="AC2406" s="7" t="str">
        <f aca="false">IF(AB2406="","KEEP","DROP")</f>
        <v>KEEP</v>
      </c>
      <c r="AD2406" s="7" t="str">
        <f aca="false">IF(TRIM(F2406)="",IFERROR(INDEX(Map_Tables!$I$4:$I$37,MATCH(TRIM(E2406),Map_Tables!$G$4:$G$37,0)),""),IFERROR(INDEX(Map_Tables!$B$4:$B$18,MATCH(TRIM(F2406),Map_Tables!$A$4:$A$18,0)),"CHECK"))</f>
        <v>Mumbai</v>
      </c>
      <c r="AE2406" s="7" t="str">
        <f aca="false">IF(TRIM(E2406)="","",IFERROR(INDEX(Map_Tables!$H$4:$H$37,MATCH(TRIM(E2406),Map_Tables!$G$4:$G$37,0)),"CHECK"))</f>
        <v>Pav Bhaji Point</v>
      </c>
      <c r="AF2406" s="7" t="str">
        <f aca="false">IF(TRIM(K2406)="","Unknown",IFERROR(INDEX(Map_Tables!$E$4:$E$15,MATCH(TRIM(K2406),Map_Tables!$D$4:$D$15,0)),"CHECK"))</f>
        <v>UPI</v>
      </c>
      <c r="AG2406" s="7" t="str">
        <f aca="false">IF(LEFT(LOWER(TRIM(L2406)),6)="cancel","Cancelled","Delivered")</f>
        <v>Delivered</v>
      </c>
      <c r="AH2406" s="10" t="n">
        <f aca="false">IF(ISNUMBER(SEARCH("/",B2406)),DATE(VALUE(RIGHT(B2406,4)),VALUE(MID(B2406,4,2)),VALUE(LEFT(B2406,2))),IF(MID(B2406,5,1)="-",DATE(VALUE(LEFT(B2406,4)),VALUE(MID(B2406,6,2)),VALUE(RIGHT(B2406,2))),DATE(VALUE(RIGHT(B2406,4)),MATCH(MID(B2406,4,3),{"Jan","Feb","Mar","Apr","May","Jun","Jul","Aug","Sep","Oct","Nov","Dec"},0),VALUE(LEFT(B2406,2)))))</f>
        <v>45746</v>
      </c>
    </row>
    <row r="2407" customFormat="false" ht="15" hidden="false" customHeight="false" outlineLevel="0" collapsed="false">
      <c r="A2407" s="7" t="s">
        <v>5338</v>
      </c>
      <c r="B2407" s="7" t="s">
        <v>1267</v>
      </c>
      <c r="C2407" s="7" t="s">
        <v>5169</v>
      </c>
      <c r="D2407" s="7" t="s">
        <v>1782</v>
      </c>
      <c r="E2407" s="7" t="s">
        <v>2434</v>
      </c>
      <c r="F2407" s="7" t="s">
        <v>110</v>
      </c>
      <c r="G2407" s="7" t="s">
        <v>90</v>
      </c>
      <c r="H2407" s="7" t="n">
        <v>4</v>
      </c>
      <c r="I2407" s="7" t="n">
        <v>225</v>
      </c>
      <c r="J2407" s="7" t="n">
        <v>75</v>
      </c>
      <c r="K2407" s="7" t="s">
        <v>121</v>
      </c>
      <c r="L2407" s="7" t="s">
        <v>194</v>
      </c>
      <c r="M2407" s="7" t="n">
        <v>41</v>
      </c>
      <c r="N2407" s="7" t="n">
        <v>4</v>
      </c>
      <c r="O2407" s="7" t="str">
        <f aca="false">A2407&amp;"|"&amp;B2407&amp;"|"&amp;C2407&amp;"|"&amp;D2407&amp;"|"&amp;E2407&amp;"|"&amp;F2407&amp;"|"&amp;G2407&amp;"|"&amp;H2407&amp;"|"&amp;I2407&amp;"|"&amp;J2407&amp;"|"&amp;K2407&amp;"|"&amp;L2407&amp;"|"&amp;M2407&amp;"|"&amp;N2407</f>
        <v>ORD10483|2025-03-05|13:15|C0539|tandoor tales|Delhi|North Indian|4|225|75|Wallet|Delivered|41|4</v>
      </c>
      <c r="P2407" s="7" t="str">
        <f aca="false">IF(COUNTIF($O$2:O2407,O2407)&gt;1,"DUP","OK")</f>
        <v>OK</v>
      </c>
      <c r="Q2407" s="7" t="n">
        <f aca="false">COUNTBLANK(A2407:N2407)</f>
        <v>0</v>
      </c>
      <c r="R2407" s="7" t="n">
        <f aca="false">IF(A2407="",0,COUNTIFS($A$2:$A$3058,A2407,$P$2:$P$3058,"OK"))</f>
        <v>1</v>
      </c>
      <c r="S2407" s="7" t="str">
        <f aca="false">IF(OR(A2407="",P2407="DUP",R2407&lt;2),"",IF(Q2407=_xlfn.MINIFS($Q$2:$Q$3058,$A$2:$A$3058,A2407,$P$2:$P$3058,"OK"),"KEEP","DROP"))</f>
        <v/>
      </c>
      <c r="T2407" s="9" t="n">
        <f aca="false">IF(A2407="",1,0)</f>
        <v>0</v>
      </c>
      <c r="U2407" s="9" t="n">
        <f aca="false">IF(D2407="",1,0)</f>
        <v>0</v>
      </c>
      <c r="V2407" s="9" t="n">
        <f aca="false">IF(E2407="",1,0)</f>
        <v>0</v>
      </c>
      <c r="W2407" s="9" t="n">
        <f aca="false">IF(OR(H2407&lt;1,H2407&gt;10),1,0)</f>
        <v>0</v>
      </c>
      <c r="X2407" s="9" t="n">
        <f aca="false">IF(OR(I2407&lt;=0,I2407&gt;1500),1,0)</f>
        <v>0</v>
      </c>
      <c r="Y2407" s="9" t="n">
        <f aca="false">IF(J2407&gt;H2407*I2407,1,0)</f>
        <v>0</v>
      </c>
      <c r="Z2407" s="9" t="n">
        <f aca="false">IF(AND(N2407&lt;&gt;"",OR(N2407&lt;1,N2407&gt;5)),1,0)</f>
        <v>0</v>
      </c>
      <c r="AA2407" s="9" t="n">
        <f aca="false">IF(AND(M2407&lt;&gt;"",OR(M2407&lt;5,M2407&gt;180)),1,0)</f>
        <v>0</v>
      </c>
      <c r="AB2407" s="7" t="str">
        <f aca="false">IF(P2407="DUP","Exact duplicate row",IF(T2407=1,"Missing Order ID",IF(S2407="DROP","Duplicate Order ID (less complete row)",IF(U2407=1,"Missing Customer ID",IF(V2407=1,"Missing Restaurant name",IF(W2407=1,"Invalid/outlier quantity",IF(X2407=1,"Invalid/outlier unit price",IF(Y2407=1,"Discount greater than order value",""))))))))</f>
        <v/>
      </c>
      <c r="AC2407" s="7" t="str">
        <f aca="false">IF(AB2407="","KEEP","DROP")</f>
        <v>KEEP</v>
      </c>
      <c r="AD2407" s="7" t="str">
        <f aca="false">IF(TRIM(F2407)="",IFERROR(INDEX(Map_Tables!$I$4:$I$37,MATCH(TRIM(E2407),Map_Tables!$G$4:$G$37,0)),""),IFERROR(INDEX(Map_Tables!$B$4:$B$18,MATCH(TRIM(F2407),Map_Tables!$A$4:$A$18,0)),"CHECK"))</f>
        <v>Delhi</v>
      </c>
      <c r="AE2407" s="7" t="str">
        <f aca="false">IF(TRIM(E2407)="","",IFERROR(INDEX(Map_Tables!$H$4:$H$37,MATCH(TRIM(E2407),Map_Tables!$G$4:$G$37,0)),"CHECK"))</f>
        <v>Tandoor Tales</v>
      </c>
      <c r="AF2407" s="7" t="str">
        <f aca="false">IF(TRIM(K2407)="","Unknown",IFERROR(INDEX(Map_Tables!$E$4:$E$15,MATCH(TRIM(K2407),Map_Tables!$D$4:$D$15,0)),"CHECK"))</f>
        <v>Wallet</v>
      </c>
      <c r="AG2407" s="7" t="str">
        <f aca="false">IF(LEFT(LOWER(TRIM(L2407)),6)="cancel","Cancelled","Delivered")</f>
        <v>Delivered</v>
      </c>
      <c r="AH2407" s="10" t="n">
        <f aca="false">IF(ISNUMBER(SEARCH("/",B2407)),DATE(VALUE(RIGHT(B2407,4)),VALUE(MID(B2407,4,2)),VALUE(LEFT(B2407,2))),IF(MID(B2407,5,1)="-",DATE(VALUE(LEFT(B2407,4)),VALUE(MID(B2407,6,2)),VALUE(RIGHT(B2407,2))),DATE(VALUE(RIGHT(B2407,4)),MATCH(MID(B2407,4,3),{"Jan","Feb","Mar","Apr","May","Jun","Jul","Aug","Sep","Oct","Nov","Dec"},0),VALUE(LEFT(B2407,2)))))</f>
        <v>45721</v>
      </c>
    </row>
    <row r="2408" customFormat="false" ht="15" hidden="false" customHeight="false" outlineLevel="0" collapsed="false">
      <c r="A2408" s="7" t="s">
        <v>5339</v>
      </c>
      <c r="B2408" s="7" t="s">
        <v>654</v>
      </c>
      <c r="C2408" s="7" t="s">
        <v>2659</v>
      </c>
      <c r="D2408" s="7" t="s">
        <v>1655</v>
      </c>
      <c r="E2408" s="7" t="s">
        <v>161</v>
      </c>
      <c r="F2408" s="7" t="s">
        <v>141</v>
      </c>
      <c r="G2408" s="7" t="s">
        <v>117</v>
      </c>
      <c r="H2408" s="7" t="n">
        <v>2</v>
      </c>
      <c r="I2408" s="7" t="n">
        <v>125</v>
      </c>
      <c r="J2408" s="7" t="n">
        <v>0</v>
      </c>
      <c r="K2408" s="7" t="s">
        <v>103</v>
      </c>
      <c r="L2408" s="7" t="s">
        <v>194</v>
      </c>
      <c r="M2408" s="7" t="n">
        <v>48</v>
      </c>
      <c r="N2408" s="7" t="n">
        <v>4</v>
      </c>
      <c r="O2408" s="7" t="str">
        <f aca="false">A2408&amp;"|"&amp;B2408&amp;"|"&amp;C2408&amp;"|"&amp;D2408&amp;"|"&amp;E2408&amp;"|"&amp;F2408&amp;"|"&amp;G2408&amp;"|"&amp;H2408&amp;"|"&amp;I2408&amp;"|"&amp;J2408&amp;"|"&amp;K2408&amp;"|"&amp;L2408&amp;"|"&amp;M2408&amp;"|"&amp;N2408</f>
        <v>ORD11146|2025-05-26|19:31|C0195|Bengal Bites|Kolkata|Street Food|2|125|0|Debit Card|Delivered|48|4</v>
      </c>
      <c r="P2408" s="7" t="str">
        <f aca="false">IF(COUNTIF($O$2:O2408,O2408)&gt;1,"DUP","OK")</f>
        <v>OK</v>
      </c>
      <c r="Q2408" s="7" t="n">
        <f aca="false">COUNTBLANK(A2408:N2408)</f>
        <v>0</v>
      </c>
      <c r="R2408" s="7" t="n">
        <f aca="false">IF(A2408="",0,COUNTIFS($A$2:$A$3058,A2408,$P$2:$P$3058,"OK"))</f>
        <v>1</v>
      </c>
      <c r="S2408" s="7" t="str">
        <f aca="false">IF(OR(A2408="",P2408="DUP",R2408&lt;2),"",IF(Q2408=_xlfn.MINIFS($Q$2:$Q$3058,$A$2:$A$3058,A2408,$P$2:$P$3058,"OK"),"KEEP","DROP"))</f>
        <v/>
      </c>
      <c r="T2408" s="9" t="n">
        <f aca="false">IF(A2408="",1,0)</f>
        <v>0</v>
      </c>
      <c r="U2408" s="9" t="n">
        <f aca="false">IF(D2408="",1,0)</f>
        <v>0</v>
      </c>
      <c r="V2408" s="9" t="n">
        <f aca="false">IF(E2408="",1,0)</f>
        <v>0</v>
      </c>
      <c r="W2408" s="9" t="n">
        <f aca="false">IF(OR(H2408&lt;1,H2408&gt;10),1,0)</f>
        <v>0</v>
      </c>
      <c r="X2408" s="9" t="n">
        <f aca="false">IF(OR(I2408&lt;=0,I2408&gt;1500),1,0)</f>
        <v>0</v>
      </c>
      <c r="Y2408" s="9" t="n">
        <f aca="false">IF(J2408&gt;H2408*I2408,1,0)</f>
        <v>0</v>
      </c>
      <c r="Z2408" s="9" t="n">
        <f aca="false">IF(AND(N2408&lt;&gt;"",OR(N2408&lt;1,N2408&gt;5)),1,0)</f>
        <v>0</v>
      </c>
      <c r="AA2408" s="9" t="n">
        <f aca="false">IF(AND(M2408&lt;&gt;"",OR(M2408&lt;5,M2408&gt;180)),1,0)</f>
        <v>0</v>
      </c>
      <c r="AB2408" s="7" t="str">
        <f aca="false">IF(P2408="DUP","Exact duplicate row",IF(T2408=1,"Missing Order ID",IF(S2408="DROP","Duplicate Order ID (less complete row)",IF(U2408=1,"Missing Customer ID",IF(V2408=1,"Missing Restaurant name",IF(W2408=1,"Invalid/outlier quantity",IF(X2408=1,"Invalid/outlier unit price",IF(Y2408=1,"Discount greater than order value",""))))))))</f>
        <v/>
      </c>
      <c r="AC2408" s="7" t="str">
        <f aca="false">IF(AB2408="","KEEP","DROP")</f>
        <v>KEEP</v>
      </c>
      <c r="AD2408" s="7" t="str">
        <f aca="false">IF(TRIM(F2408)="",IFERROR(INDEX(Map_Tables!$I$4:$I$37,MATCH(TRIM(E2408),Map_Tables!$G$4:$G$37,0)),""),IFERROR(INDEX(Map_Tables!$B$4:$B$18,MATCH(TRIM(F2408),Map_Tables!$A$4:$A$18,0)),"CHECK"))</f>
        <v>Kolkata</v>
      </c>
      <c r="AE2408" s="7" t="str">
        <f aca="false">IF(TRIM(E2408)="","",IFERROR(INDEX(Map_Tables!$H$4:$H$37,MATCH(TRIM(E2408),Map_Tables!$G$4:$G$37,0)),"CHECK"))</f>
        <v>Bengal Bites</v>
      </c>
      <c r="AF2408" s="7" t="str">
        <f aca="false">IF(TRIM(K2408)="","Unknown",IFERROR(INDEX(Map_Tables!$E$4:$E$15,MATCH(TRIM(K2408),Map_Tables!$D$4:$D$15,0)),"CHECK"))</f>
        <v>Debit Card</v>
      </c>
      <c r="AG2408" s="7" t="str">
        <f aca="false">IF(LEFT(LOWER(TRIM(L2408)),6)="cancel","Cancelled","Delivered")</f>
        <v>Delivered</v>
      </c>
      <c r="AH2408" s="10" t="n">
        <f aca="false">IF(ISNUMBER(SEARCH("/",B2408)),DATE(VALUE(RIGHT(B2408,4)),VALUE(MID(B2408,4,2)),VALUE(LEFT(B2408,2))),IF(MID(B2408,5,1)="-",DATE(VALUE(LEFT(B2408,4)),VALUE(MID(B2408,6,2)),VALUE(RIGHT(B2408,2))),DATE(VALUE(RIGHT(B2408,4)),MATCH(MID(B2408,4,3),{"Jan","Feb","Mar","Apr","May","Jun","Jul","Aug","Sep","Oct","Nov","Dec"},0),VALUE(LEFT(B2408,2)))))</f>
        <v>45803</v>
      </c>
    </row>
    <row r="2409" customFormat="false" ht="15" hidden="false" customHeight="false" outlineLevel="0" collapsed="false">
      <c r="A2409" s="7" t="s">
        <v>5340</v>
      </c>
      <c r="B2409" s="7" t="s">
        <v>537</v>
      </c>
      <c r="C2409" s="7" t="s">
        <v>3080</v>
      </c>
      <c r="D2409" s="7" t="s">
        <v>1244</v>
      </c>
      <c r="E2409" s="7" t="s">
        <v>165</v>
      </c>
      <c r="F2409" s="7" t="s">
        <v>146</v>
      </c>
      <c r="G2409" s="7" t="s">
        <v>90</v>
      </c>
      <c r="H2409" s="7" t="n">
        <v>2</v>
      </c>
      <c r="I2409" s="7" t="n">
        <v>220</v>
      </c>
      <c r="J2409" s="7" t="n">
        <v>0</v>
      </c>
      <c r="K2409" s="7" t="s">
        <v>1173</v>
      </c>
      <c r="L2409" s="7" t="s">
        <v>194</v>
      </c>
      <c r="M2409" s="7" t="n">
        <v>24</v>
      </c>
      <c r="N2409" s="7" t="n">
        <v>5</v>
      </c>
      <c r="O2409" s="7" t="str">
        <f aca="false">A2409&amp;"|"&amp;B2409&amp;"|"&amp;C2409&amp;"|"&amp;D2409&amp;"|"&amp;E2409&amp;"|"&amp;F2409&amp;"|"&amp;G2409&amp;"|"&amp;H2409&amp;"|"&amp;I2409&amp;"|"&amp;J2409&amp;"|"&amp;K2409&amp;"|"&amp;L2409&amp;"|"&amp;M2409&amp;"|"&amp;N2409</f>
        <v>ORD12039|2025-09-20|23:51|C0850|Gujarati Thali Ghar|Ahmedabad|North Indian|2|220|0|E-Wallet|Delivered|24|5</v>
      </c>
      <c r="P2409" s="7" t="str">
        <f aca="false">IF(COUNTIF($O$2:O2409,O2409)&gt;1,"DUP","OK")</f>
        <v>OK</v>
      </c>
      <c r="Q2409" s="7" t="n">
        <f aca="false">COUNTBLANK(A2409:N2409)</f>
        <v>0</v>
      </c>
      <c r="R2409" s="7" t="n">
        <f aca="false">IF(A2409="",0,COUNTIFS($A$2:$A$3058,A2409,$P$2:$P$3058,"OK"))</f>
        <v>1</v>
      </c>
      <c r="S2409" s="7" t="str">
        <f aca="false">IF(OR(A2409="",P2409="DUP",R2409&lt;2),"",IF(Q2409=_xlfn.MINIFS($Q$2:$Q$3058,$A$2:$A$3058,A2409,$P$2:$P$3058,"OK"),"KEEP","DROP"))</f>
        <v/>
      </c>
      <c r="T2409" s="9" t="n">
        <f aca="false">IF(A2409="",1,0)</f>
        <v>0</v>
      </c>
      <c r="U2409" s="9" t="n">
        <f aca="false">IF(D2409="",1,0)</f>
        <v>0</v>
      </c>
      <c r="V2409" s="9" t="n">
        <f aca="false">IF(E2409="",1,0)</f>
        <v>0</v>
      </c>
      <c r="W2409" s="9" t="n">
        <f aca="false">IF(OR(H2409&lt;1,H2409&gt;10),1,0)</f>
        <v>0</v>
      </c>
      <c r="X2409" s="9" t="n">
        <f aca="false">IF(OR(I2409&lt;=0,I2409&gt;1500),1,0)</f>
        <v>0</v>
      </c>
      <c r="Y2409" s="9" t="n">
        <f aca="false">IF(J2409&gt;H2409*I2409,1,0)</f>
        <v>0</v>
      </c>
      <c r="Z2409" s="9" t="n">
        <f aca="false">IF(AND(N2409&lt;&gt;"",OR(N2409&lt;1,N2409&gt;5)),1,0)</f>
        <v>0</v>
      </c>
      <c r="AA2409" s="9" t="n">
        <f aca="false">IF(AND(M2409&lt;&gt;"",OR(M2409&lt;5,M2409&gt;180)),1,0)</f>
        <v>0</v>
      </c>
      <c r="AB2409" s="7" t="str">
        <f aca="false">IF(P2409="DUP","Exact duplicate row",IF(T2409=1,"Missing Order ID",IF(S2409="DROP","Duplicate Order ID (less complete row)",IF(U2409=1,"Missing Customer ID",IF(V2409=1,"Missing Restaurant name",IF(W2409=1,"Invalid/outlier quantity",IF(X2409=1,"Invalid/outlier unit price",IF(Y2409=1,"Discount greater than order value",""))))))))</f>
        <v/>
      </c>
      <c r="AC2409" s="7" t="str">
        <f aca="false">IF(AB2409="","KEEP","DROP")</f>
        <v>KEEP</v>
      </c>
      <c r="AD2409" s="7" t="str">
        <f aca="false">IF(TRIM(F2409)="",IFERROR(INDEX(Map_Tables!$I$4:$I$37,MATCH(TRIM(E2409),Map_Tables!$G$4:$G$37,0)),""),IFERROR(INDEX(Map_Tables!$B$4:$B$18,MATCH(TRIM(F2409),Map_Tables!$A$4:$A$18,0)),"CHECK"))</f>
        <v>Ahmedabad</v>
      </c>
      <c r="AE2409" s="7" t="str">
        <f aca="false">IF(TRIM(E2409)="","",IFERROR(INDEX(Map_Tables!$H$4:$H$37,MATCH(TRIM(E2409),Map_Tables!$G$4:$G$37,0)),"CHECK"))</f>
        <v>Gujarati Thali Ghar</v>
      </c>
      <c r="AF2409" s="7" t="str">
        <f aca="false">IF(TRIM(K2409)="","Unknown",IFERROR(INDEX(Map_Tables!$E$4:$E$15,MATCH(TRIM(K2409),Map_Tables!$D$4:$D$15,0)),"CHECK"))</f>
        <v>Wallet</v>
      </c>
      <c r="AG2409" s="7" t="str">
        <f aca="false">IF(LEFT(LOWER(TRIM(L2409)),6)="cancel","Cancelled","Delivered")</f>
        <v>Delivered</v>
      </c>
      <c r="AH2409" s="10" t="n">
        <f aca="false">IF(ISNUMBER(SEARCH("/",B2409)),DATE(VALUE(RIGHT(B2409,4)),VALUE(MID(B2409,4,2)),VALUE(LEFT(B2409,2))),IF(MID(B2409,5,1)="-",DATE(VALUE(LEFT(B2409,4)),VALUE(MID(B2409,6,2)),VALUE(RIGHT(B2409,2))),DATE(VALUE(RIGHT(B2409,4)),MATCH(MID(B2409,4,3),{"Jan","Feb","Mar","Apr","May","Jun","Jul","Aug","Sep","Oct","Nov","Dec"},0),VALUE(LEFT(B2409,2)))))</f>
        <v>45920</v>
      </c>
    </row>
    <row r="2410" customFormat="false" ht="15" hidden="false" customHeight="false" outlineLevel="0" collapsed="false">
      <c r="A2410" s="7" t="s">
        <v>5341</v>
      </c>
      <c r="B2410" s="7" t="s">
        <v>660</v>
      </c>
      <c r="C2410" s="7" t="s">
        <v>1449</v>
      </c>
      <c r="D2410" s="7" t="s">
        <v>2279</v>
      </c>
      <c r="E2410" s="7" t="s">
        <v>168</v>
      </c>
      <c r="F2410" s="7" t="s">
        <v>146</v>
      </c>
      <c r="G2410" s="7" t="s">
        <v>123</v>
      </c>
      <c r="H2410" s="7" t="n">
        <v>2</v>
      </c>
      <c r="I2410" s="7" t="n">
        <v>285</v>
      </c>
      <c r="J2410" s="7" t="n">
        <v>100</v>
      </c>
      <c r="K2410" s="7" t="s">
        <v>103</v>
      </c>
      <c r="L2410" s="7" t="s">
        <v>194</v>
      </c>
      <c r="M2410" s="7" t="n">
        <v>20</v>
      </c>
      <c r="N2410" s="7" t="n">
        <v>2</v>
      </c>
      <c r="O2410" s="7" t="str">
        <f aca="false">A2410&amp;"|"&amp;B2410&amp;"|"&amp;C2410&amp;"|"&amp;D2410&amp;"|"&amp;E2410&amp;"|"&amp;F2410&amp;"|"&amp;G2410&amp;"|"&amp;H2410&amp;"|"&amp;I2410&amp;"|"&amp;J2410&amp;"|"&amp;K2410&amp;"|"&amp;L2410&amp;"|"&amp;M2410&amp;"|"&amp;N2410</f>
        <v>ORD12976|2025-12-29|11:58|C0126|Cheesy Slice|Ahmedabad|Pizza|2|285|100|Debit Card|Delivered|20|2</v>
      </c>
      <c r="P2410" s="7" t="str">
        <f aca="false">IF(COUNTIF($O$2:O2410,O2410)&gt;1,"DUP","OK")</f>
        <v>OK</v>
      </c>
      <c r="Q2410" s="7" t="n">
        <f aca="false">COUNTBLANK(A2410:N2410)</f>
        <v>0</v>
      </c>
      <c r="R2410" s="7" t="n">
        <f aca="false">IF(A2410="",0,COUNTIFS($A$2:$A$3058,A2410,$P$2:$P$3058,"OK"))</f>
        <v>1</v>
      </c>
      <c r="S2410" s="7" t="str">
        <f aca="false">IF(OR(A2410="",P2410="DUP",R2410&lt;2),"",IF(Q2410=_xlfn.MINIFS($Q$2:$Q$3058,$A$2:$A$3058,A2410,$P$2:$P$3058,"OK"),"KEEP","DROP"))</f>
        <v/>
      </c>
      <c r="T2410" s="9" t="n">
        <f aca="false">IF(A2410="",1,0)</f>
        <v>0</v>
      </c>
      <c r="U2410" s="9" t="n">
        <f aca="false">IF(D2410="",1,0)</f>
        <v>0</v>
      </c>
      <c r="V2410" s="9" t="n">
        <f aca="false">IF(E2410="",1,0)</f>
        <v>0</v>
      </c>
      <c r="W2410" s="9" t="n">
        <f aca="false">IF(OR(H2410&lt;1,H2410&gt;10),1,0)</f>
        <v>0</v>
      </c>
      <c r="X2410" s="9" t="n">
        <f aca="false">IF(OR(I2410&lt;=0,I2410&gt;1500),1,0)</f>
        <v>0</v>
      </c>
      <c r="Y2410" s="9" t="n">
        <f aca="false">IF(J2410&gt;H2410*I2410,1,0)</f>
        <v>0</v>
      </c>
      <c r="Z2410" s="9" t="n">
        <f aca="false">IF(AND(N2410&lt;&gt;"",OR(N2410&lt;1,N2410&gt;5)),1,0)</f>
        <v>0</v>
      </c>
      <c r="AA2410" s="9" t="n">
        <f aca="false">IF(AND(M2410&lt;&gt;"",OR(M2410&lt;5,M2410&gt;180)),1,0)</f>
        <v>0</v>
      </c>
      <c r="AB2410" s="7" t="str">
        <f aca="false">IF(P2410="DUP","Exact duplicate row",IF(T2410=1,"Missing Order ID",IF(S2410="DROP","Duplicate Order ID (less complete row)",IF(U2410=1,"Missing Customer ID",IF(V2410=1,"Missing Restaurant name",IF(W2410=1,"Invalid/outlier quantity",IF(X2410=1,"Invalid/outlier unit price",IF(Y2410=1,"Discount greater than order value",""))))))))</f>
        <v/>
      </c>
      <c r="AC2410" s="7" t="str">
        <f aca="false">IF(AB2410="","KEEP","DROP")</f>
        <v>KEEP</v>
      </c>
      <c r="AD2410" s="7" t="str">
        <f aca="false">IF(TRIM(F2410)="",IFERROR(INDEX(Map_Tables!$I$4:$I$37,MATCH(TRIM(E2410),Map_Tables!$G$4:$G$37,0)),""),IFERROR(INDEX(Map_Tables!$B$4:$B$18,MATCH(TRIM(F2410),Map_Tables!$A$4:$A$18,0)),"CHECK"))</f>
        <v>Ahmedabad</v>
      </c>
      <c r="AE2410" s="7" t="str">
        <f aca="false">IF(TRIM(E2410)="","",IFERROR(INDEX(Map_Tables!$H$4:$H$37,MATCH(TRIM(E2410),Map_Tables!$G$4:$G$37,0)),"CHECK"))</f>
        <v>Cheesy Slice</v>
      </c>
      <c r="AF2410" s="7" t="str">
        <f aca="false">IF(TRIM(K2410)="","Unknown",IFERROR(INDEX(Map_Tables!$E$4:$E$15,MATCH(TRIM(K2410),Map_Tables!$D$4:$D$15,0)),"CHECK"))</f>
        <v>Debit Card</v>
      </c>
      <c r="AG2410" s="7" t="str">
        <f aca="false">IF(LEFT(LOWER(TRIM(L2410)),6)="cancel","Cancelled","Delivered")</f>
        <v>Delivered</v>
      </c>
      <c r="AH2410" s="10" t="n">
        <f aca="false">IF(ISNUMBER(SEARCH("/",B2410)),DATE(VALUE(RIGHT(B2410,4)),VALUE(MID(B2410,4,2)),VALUE(LEFT(B2410,2))),IF(MID(B2410,5,1)="-",DATE(VALUE(LEFT(B2410,4)),VALUE(MID(B2410,6,2)),VALUE(RIGHT(B2410,2))),DATE(VALUE(RIGHT(B2410,4)),MATCH(MID(B2410,4,3),{"Jan","Feb","Mar","Apr","May","Jun","Jul","Aug","Sep","Oct","Nov","Dec"},0),VALUE(LEFT(B2410,2)))))</f>
        <v>46020</v>
      </c>
    </row>
    <row r="2411" customFormat="false" ht="15" hidden="false" customHeight="false" outlineLevel="0" collapsed="false">
      <c r="A2411" s="7" t="s">
        <v>5342</v>
      </c>
      <c r="B2411" s="7" t="s">
        <v>1714</v>
      </c>
      <c r="C2411" s="7" t="s">
        <v>1501</v>
      </c>
      <c r="D2411" s="7" t="s">
        <v>370</v>
      </c>
      <c r="E2411" s="7" t="s">
        <v>116</v>
      </c>
      <c r="F2411" s="7" t="s">
        <v>101</v>
      </c>
      <c r="G2411" s="7" t="s">
        <v>117</v>
      </c>
      <c r="H2411" s="7" t="n">
        <v>4</v>
      </c>
      <c r="I2411" s="7" t="n">
        <v>155</v>
      </c>
      <c r="J2411" s="7" t="n">
        <v>100</v>
      </c>
      <c r="K2411" s="7" t="s">
        <v>88</v>
      </c>
      <c r="L2411" s="7" t="s">
        <v>194</v>
      </c>
      <c r="M2411" s="7" t="n">
        <v>43</v>
      </c>
      <c r="N2411" s="7" t="n">
        <v>5</v>
      </c>
      <c r="O2411" s="7" t="str">
        <f aca="false">A2411&amp;"|"&amp;B2411&amp;"|"&amp;C2411&amp;"|"&amp;D2411&amp;"|"&amp;E2411&amp;"|"&amp;F2411&amp;"|"&amp;G2411&amp;"|"&amp;H2411&amp;"|"&amp;I2411&amp;"|"&amp;J2411&amp;"|"&amp;K2411&amp;"|"&amp;L2411&amp;"|"&amp;M2411&amp;"|"&amp;N2411</f>
        <v>ORD10067|2025-01-09|20:40|C0092|Pav Bhaji Point|Mumbai|Street Food|4|155|100|UPI|Delivered|43|5</v>
      </c>
      <c r="P2411" s="7" t="str">
        <f aca="false">IF(COUNTIF($O$2:O2411,O2411)&gt;1,"DUP","OK")</f>
        <v>OK</v>
      </c>
      <c r="Q2411" s="7" t="n">
        <f aca="false">COUNTBLANK(A2411:N2411)</f>
        <v>0</v>
      </c>
      <c r="R2411" s="7" t="n">
        <f aca="false">IF(A2411="",0,COUNTIFS($A$2:$A$3058,A2411,$P$2:$P$3058,"OK"))</f>
        <v>1</v>
      </c>
      <c r="S2411" s="7" t="str">
        <f aca="false">IF(OR(A2411="",P2411="DUP",R2411&lt;2),"",IF(Q2411=_xlfn.MINIFS($Q$2:$Q$3058,$A$2:$A$3058,A2411,$P$2:$P$3058,"OK"),"KEEP","DROP"))</f>
        <v/>
      </c>
      <c r="T2411" s="9" t="n">
        <f aca="false">IF(A2411="",1,0)</f>
        <v>0</v>
      </c>
      <c r="U2411" s="9" t="n">
        <f aca="false">IF(D2411="",1,0)</f>
        <v>0</v>
      </c>
      <c r="V2411" s="9" t="n">
        <f aca="false">IF(E2411="",1,0)</f>
        <v>0</v>
      </c>
      <c r="W2411" s="9" t="n">
        <f aca="false">IF(OR(H2411&lt;1,H2411&gt;10),1,0)</f>
        <v>0</v>
      </c>
      <c r="X2411" s="9" t="n">
        <f aca="false">IF(OR(I2411&lt;=0,I2411&gt;1500),1,0)</f>
        <v>0</v>
      </c>
      <c r="Y2411" s="9" t="n">
        <f aca="false">IF(J2411&gt;H2411*I2411,1,0)</f>
        <v>0</v>
      </c>
      <c r="Z2411" s="9" t="n">
        <f aca="false">IF(AND(N2411&lt;&gt;"",OR(N2411&lt;1,N2411&gt;5)),1,0)</f>
        <v>0</v>
      </c>
      <c r="AA2411" s="9" t="n">
        <f aca="false">IF(AND(M2411&lt;&gt;"",OR(M2411&lt;5,M2411&gt;180)),1,0)</f>
        <v>0</v>
      </c>
      <c r="AB2411" s="7" t="str">
        <f aca="false">IF(P2411="DUP","Exact duplicate row",IF(T2411=1,"Missing Order ID",IF(S2411="DROP","Duplicate Order ID (less complete row)",IF(U2411=1,"Missing Customer ID",IF(V2411=1,"Missing Restaurant name",IF(W2411=1,"Invalid/outlier quantity",IF(X2411=1,"Invalid/outlier unit price",IF(Y2411=1,"Discount greater than order value",""))))))))</f>
        <v/>
      </c>
      <c r="AC2411" s="7" t="str">
        <f aca="false">IF(AB2411="","KEEP","DROP")</f>
        <v>KEEP</v>
      </c>
      <c r="AD2411" s="7" t="str">
        <f aca="false">IF(TRIM(F2411)="",IFERROR(INDEX(Map_Tables!$I$4:$I$37,MATCH(TRIM(E2411),Map_Tables!$G$4:$G$37,0)),""),IFERROR(INDEX(Map_Tables!$B$4:$B$18,MATCH(TRIM(F2411),Map_Tables!$A$4:$A$18,0)),"CHECK"))</f>
        <v>Mumbai</v>
      </c>
      <c r="AE2411" s="7" t="str">
        <f aca="false">IF(TRIM(E2411)="","",IFERROR(INDEX(Map_Tables!$H$4:$H$37,MATCH(TRIM(E2411),Map_Tables!$G$4:$G$37,0)),"CHECK"))</f>
        <v>Pav Bhaji Point</v>
      </c>
      <c r="AF2411" s="7" t="str">
        <f aca="false">IF(TRIM(K2411)="","Unknown",IFERROR(INDEX(Map_Tables!$E$4:$E$15,MATCH(TRIM(K2411),Map_Tables!$D$4:$D$15,0)),"CHECK"))</f>
        <v>UPI</v>
      </c>
      <c r="AG2411" s="7" t="str">
        <f aca="false">IF(LEFT(LOWER(TRIM(L2411)),6)="cancel","Cancelled","Delivered")</f>
        <v>Delivered</v>
      </c>
      <c r="AH2411" s="10" t="n">
        <f aca="false">IF(ISNUMBER(SEARCH("/",B2411)),DATE(VALUE(RIGHT(B2411,4)),VALUE(MID(B2411,4,2)),VALUE(LEFT(B2411,2))),IF(MID(B2411,5,1)="-",DATE(VALUE(LEFT(B2411,4)),VALUE(MID(B2411,6,2)),VALUE(RIGHT(B2411,2))),DATE(VALUE(RIGHT(B2411,4)),MATCH(MID(B2411,4,3),{"Jan","Feb","Mar","Apr","May","Jun","Jul","Aug","Sep","Oct","Nov","Dec"},0),VALUE(LEFT(B2411,2)))))</f>
        <v>45666</v>
      </c>
    </row>
    <row r="2412" customFormat="false" ht="15" hidden="false" customHeight="false" outlineLevel="0" collapsed="false">
      <c r="A2412" s="7" t="s">
        <v>5343</v>
      </c>
      <c r="B2412" s="7" t="s">
        <v>1079</v>
      </c>
      <c r="C2412" s="7" t="s">
        <v>1529</v>
      </c>
      <c r="D2412" s="7" t="s">
        <v>2805</v>
      </c>
      <c r="E2412" s="7" t="s">
        <v>98</v>
      </c>
      <c r="F2412" s="7" t="s">
        <v>85</v>
      </c>
      <c r="G2412" s="7" t="s">
        <v>99</v>
      </c>
      <c r="H2412" s="7" t="n">
        <v>5</v>
      </c>
      <c r="I2412" s="7" t="n">
        <v>275</v>
      </c>
      <c r="J2412" s="7" t="n">
        <v>40</v>
      </c>
      <c r="K2412" s="7" t="s">
        <v>88</v>
      </c>
      <c r="L2412" s="7" t="s">
        <v>194</v>
      </c>
      <c r="M2412" s="7" t="n">
        <v>42</v>
      </c>
      <c r="N2412" s="7"/>
      <c r="O2412" s="7" t="str">
        <f aca="false">A2412&amp;"|"&amp;B2412&amp;"|"&amp;C2412&amp;"|"&amp;D2412&amp;"|"&amp;E2412&amp;"|"&amp;F2412&amp;"|"&amp;G2412&amp;"|"&amp;H2412&amp;"|"&amp;I2412&amp;"|"&amp;J2412&amp;"|"&amp;K2412&amp;"|"&amp;L2412&amp;"|"&amp;M2412&amp;"|"&amp;N2412</f>
        <v>ORD12314|2025-10-19|12:45|C0138|Nawabi Biryani House|bangalore|Biryani|5|275|40|UPI|Delivered|42|</v>
      </c>
      <c r="P2412" s="7" t="str">
        <f aca="false">IF(COUNTIF($O$2:O2412,O2412)&gt;1,"DUP","OK")</f>
        <v>OK</v>
      </c>
      <c r="Q2412" s="7" t="n">
        <f aca="false">COUNTBLANK(A2412:N2412)</f>
        <v>1</v>
      </c>
      <c r="R2412" s="7" t="n">
        <f aca="false">IF(A2412="",0,COUNTIFS($A$2:$A$3058,A2412,$P$2:$P$3058,"OK"))</f>
        <v>1</v>
      </c>
      <c r="S2412" s="7" t="str">
        <f aca="false">IF(OR(A2412="",P2412="DUP",R2412&lt;2),"",IF(Q2412=_xlfn.MINIFS($Q$2:$Q$3058,$A$2:$A$3058,A2412,$P$2:$P$3058,"OK"),"KEEP","DROP"))</f>
        <v/>
      </c>
      <c r="T2412" s="9" t="n">
        <f aca="false">IF(A2412="",1,0)</f>
        <v>0</v>
      </c>
      <c r="U2412" s="9" t="n">
        <f aca="false">IF(D2412="",1,0)</f>
        <v>0</v>
      </c>
      <c r="V2412" s="9" t="n">
        <f aca="false">IF(E2412="",1,0)</f>
        <v>0</v>
      </c>
      <c r="W2412" s="9" t="n">
        <f aca="false">IF(OR(H2412&lt;1,H2412&gt;10),1,0)</f>
        <v>0</v>
      </c>
      <c r="X2412" s="9" t="n">
        <f aca="false">IF(OR(I2412&lt;=0,I2412&gt;1500),1,0)</f>
        <v>0</v>
      </c>
      <c r="Y2412" s="9" t="n">
        <f aca="false">IF(J2412&gt;H2412*I2412,1,0)</f>
        <v>0</v>
      </c>
      <c r="Z2412" s="9" t="n">
        <f aca="false">IF(AND(N2412&lt;&gt;"",OR(N2412&lt;1,N2412&gt;5)),1,0)</f>
        <v>0</v>
      </c>
      <c r="AA2412" s="9" t="n">
        <f aca="false">IF(AND(M2412&lt;&gt;"",OR(M2412&lt;5,M2412&gt;180)),1,0)</f>
        <v>0</v>
      </c>
      <c r="AB2412" s="7" t="str">
        <f aca="false">IF(P2412="DUP","Exact duplicate row",IF(T2412=1,"Missing Order ID",IF(S2412="DROP","Duplicate Order ID (less complete row)",IF(U2412=1,"Missing Customer ID",IF(V2412=1,"Missing Restaurant name",IF(W2412=1,"Invalid/outlier quantity",IF(X2412=1,"Invalid/outlier unit price",IF(Y2412=1,"Discount greater than order value",""))))))))</f>
        <v/>
      </c>
      <c r="AC2412" s="7" t="str">
        <f aca="false">IF(AB2412="","KEEP","DROP")</f>
        <v>KEEP</v>
      </c>
      <c r="AD2412" s="7" t="str">
        <f aca="false">IF(TRIM(F2412)="",IFERROR(INDEX(Map_Tables!$I$4:$I$37,MATCH(TRIM(E2412),Map_Tables!$G$4:$G$37,0)),""),IFERROR(INDEX(Map_Tables!$B$4:$B$18,MATCH(TRIM(F2412),Map_Tables!$A$4:$A$18,0)),"CHECK"))</f>
        <v>Bengaluru</v>
      </c>
      <c r="AE2412" s="7" t="str">
        <f aca="false">IF(TRIM(E2412)="","",IFERROR(INDEX(Map_Tables!$H$4:$H$37,MATCH(TRIM(E2412),Map_Tables!$G$4:$G$37,0)),"CHECK"))</f>
        <v>Nawabi Biryani House</v>
      </c>
      <c r="AF2412" s="7" t="str">
        <f aca="false">IF(TRIM(K2412)="","Unknown",IFERROR(INDEX(Map_Tables!$E$4:$E$15,MATCH(TRIM(K2412),Map_Tables!$D$4:$D$15,0)),"CHECK"))</f>
        <v>UPI</v>
      </c>
      <c r="AG2412" s="7" t="str">
        <f aca="false">IF(LEFT(LOWER(TRIM(L2412)),6)="cancel","Cancelled","Delivered")</f>
        <v>Delivered</v>
      </c>
      <c r="AH2412" s="10" t="n">
        <f aca="false">IF(ISNUMBER(SEARCH("/",B2412)),DATE(VALUE(RIGHT(B2412,4)),VALUE(MID(B2412,4,2)),VALUE(LEFT(B2412,2))),IF(MID(B2412,5,1)="-",DATE(VALUE(LEFT(B2412,4)),VALUE(MID(B2412,6,2)),VALUE(RIGHT(B2412,2))),DATE(VALUE(RIGHT(B2412,4)),MATCH(MID(B2412,4,3),{"Jan","Feb","Mar","Apr","May","Jun","Jul","Aug","Sep","Oct","Nov","Dec"},0),VALUE(LEFT(B2412,2)))))</f>
        <v>45949</v>
      </c>
    </row>
    <row r="2413" customFormat="false" ht="15" hidden="false" customHeight="false" outlineLevel="0" collapsed="false">
      <c r="A2413" s="7" t="s">
        <v>4583</v>
      </c>
      <c r="B2413" s="7" t="s">
        <v>196</v>
      </c>
      <c r="C2413" s="7" t="s">
        <v>1228</v>
      </c>
      <c r="D2413" s="7" t="s">
        <v>4584</v>
      </c>
      <c r="E2413" s="7" t="s">
        <v>166</v>
      </c>
      <c r="F2413" s="7" t="s">
        <v>146</v>
      </c>
      <c r="G2413" s="7" t="s">
        <v>117</v>
      </c>
      <c r="H2413" s="7" t="n">
        <v>2</v>
      </c>
      <c r="I2413" s="7" t="n">
        <v>95</v>
      </c>
      <c r="J2413" s="7" t="n">
        <v>240</v>
      </c>
      <c r="K2413" s="7" t="s">
        <v>88</v>
      </c>
      <c r="L2413" s="7" t="s">
        <v>194</v>
      </c>
      <c r="M2413" s="7" t="n">
        <v>35</v>
      </c>
      <c r="N2413" s="7"/>
      <c r="O2413" s="7" t="str">
        <f aca="false">A2413&amp;"|"&amp;B2413&amp;"|"&amp;C2413&amp;"|"&amp;D2413&amp;"|"&amp;E2413&amp;"|"&amp;F2413&amp;"|"&amp;G2413&amp;"|"&amp;H2413&amp;"|"&amp;I2413&amp;"|"&amp;J2413&amp;"|"&amp;K2413&amp;"|"&amp;L2413&amp;"|"&amp;M2413&amp;"|"&amp;N2413</f>
        <v>ORD12669|2025-11-24|21:00|C0529|Dhokla Delight|Ahmedabad|Street Food|2|95|240|UPI|Delivered|35|</v>
      </c>
      <c r="P2413" s="7" t="str">
        <f aca="false">IF(COUNTIF($O$2:O2413,O2413)&gt;1,"DUP","OK")</f>
        <v>OK</v>
      </c>
      <c r="Q2413" s="7" t="n">
        <f aca="false">COUNTBLANK(A2413:N2413)</f>
        <v>1</v>
      </c>
      <c r="R2413" s="7" t="n">
        <f aca="false">IF(A2413="",0,COUNTIFS($A$2:$A$3058,A2413,$P$2:$P$3058,"OK"))</f>
        <v>2</v>
      </c>
      <c r="S2413" s="7" t="str">
        <f aca="false">IF(OR(A2413="",P2413="DUP",R2413&lt;2),"",IF(Q2413=_xlfn.MINIFS($Q$2:$Q$3058,$A$2:$A$3058,A2413,$P$2:$P$3058,"OK"),"KEEP","DROP"))</f>
        <v>DROP</v>
      </c>
      <c r="T2413" s="9" t="n">
        <f aca="false">IF(A2413="",1,0)</f>
        <v>0</v>
      </c>
      <c r="U2413" s="9" t="n">
        <f aca="false">IF(D2413="",1,0)</f>
        <v>0</v>
      </c>
      <c r="V2413" s="9" t="n">
        <f aca="false">IF(E2413="",1,0)</f>
        <v>0</v>
      </c>
      <c r="W2413" s="9" t="n">
        <f aca="false">IF(OR(H2413&lt;1,H2413&gt;10),1,0)</f>
        <v>0</v>
      </c>
      <c r="X2413" s="9" t="n">
        <f aca="false">IF(OR(I2413&lt;=0,I2413&gt;1500),1,0)</f>
        <v>0</v>
      </c>
      <c r="Y2413" s="9" t="n">
        <f aca="false">IF(J2413&gt;H2413*I2413,1,0)</f>
        <v>1</v>
      </c>
      <c r="Z2413" s="9" t="n">
        <f aca="false">IF(AND(N2413&lt;&gt;"",OR(N2413&lt;1,N2413&gt;5)),1,0)</f>
        <v>0</v>
      </c>
      <c r="AA2413" s="9" t="n">
        <f aca="false">IF(AND(M2413&lt;&gt;"",OR(M2413&lt;5,M2413&gt;180)),1,0)</f>
        <v>0</v>
      </c>
      <c r="AB2413" s="7" t="str">
        <f aca="false">IF(P2413="DUP","Exact duplicate row",IF(T2413=1,"Missing Order ID",IF(S2413="DROP","Duplicate Order ID (less complete row)",IF(U2413=1,"Missing Customer ID",IF(V2413=1,"Missing Restaurant name",IF(W2413=1,"Invalid/outlier quantity",IF(X2413=1,"Invalid/outlier unit price",IF(Y2413=1,"Discount greater than order value",""))))))))</f>
        <v>Duplicate Order ID (less complete row)</v>
      </c>
      <c r="AC2413" s="7" t="str">
        <f aca="false">IF(AB2413="","KEEP","DROP")</f>
        <v>DROP</v>
      </c>
      <c r="AD2413" s="7" t="str">
        <f aca="false">IF(TRIM(F2413)="",IFERROR(INDEX(Map_Tables!$I$4:$I$37,MATCH(TRIM(E2413),Map_Tables!$G$4:$G$37,0)),""),IFERROR(INDEX(Map_Tables!$B$4:$B$18,MATCH(TRIM(F2413),Map_Tables!$A$4:$A$18,0)),"CHECK"))</f>
        <v>Ahmedabad</v>
      </c>
      <c r="AE2413" s="7" t="str">
        <f aca="false">IF(TRIM(E2413)="","",IFERROR(INDEX(Map_Tables!$H$4:$H$37,MATCH(TRIM(E2413),Map_Tables!$G$4:$G$37,0)),"CHECK"))</f>
        <v>Dhokla Delight</v>
      </c>
      <c r="AF2413" s="7" t="str">
        <f aca="false">IF(TRIM(K2413)="","Unknown",IFERROR(INDEX(Map_Tables!$E$4:$E$15,MATCH(TRIM(K2413),Map_Tables!$D$4:$D$15,0)),"CHECK"))</f>
        <v>UPI</v>
      </c>
      <c r="AG2413" s="7" t="str">
        <f aca="false">IF(LEFT(LOWER(TRIM(L2413)),6)="cancel","Cancelled","Delivered")</f>
        <v>Delivered</v>
      </c>
      <c r="AH2413" s="10" t="n">
        <f aca="false">IF(ISNUMBER(SEARCH("/",B2413)),DATE(VALUE(RIGHT(B2413,4)),VALUE(MID(B2413,4,2)),VALUE(LEFT(B2413,2))),IF(MID(B2413,5,1)="-",DATE(VALUE(LEFT(B2413,4)),VALUE(MID(B2413,6,2)),VALUE(RIGHT(B2413,2))),DATE(VALUE(RIGHT(B2413,4)),MATCH(MID(B2413,4,3),{"Jan","Feb","Mar","Apr","May","Jun","Jul","Aug","Sep","Oct","Nov","Dec"},0),VALUE(LEFT(B2413,2)))))</f>
        <v>45985</v>
      </c>
    </row>
    <row r="2414" customFormat="false" ht="15" hidden="false" customHeight="false" outlineLevel="0" collapsed="false">
      <c r="A2414" s="7" t="s">
        <v>5344</v>
      </c>
      <c r="B2414" s="7" t="s">
        <v>2912</v>
      </c>
      <c r="C2414" s="7" t="s">
        <v>644</v>
      </c>
      <c r="D2414" s="7" t="s">
        <v>1966</v>
      </c>
      <c r="E2414" s="7" t="s">
        <v>130</v>
      </c>
      <c r="F2414" s="7" t="s">
        <v>110</v>
      </c>
      <c r="G2414" s="7" t="s">
        <v>90</v>
      </c>
      <c r="H2414" s="7" t="n">
        <v>4</v>
      </c>
      <c r="I2414" s="7" t="n">
        <v>-260</v>
      </c>
      <c r="J2414" s="7" t="n">
        <v>0</v>
      </c>
      <c r="K2414" s="7" t="s">
        <v>93</v>
      </c>
      <c r="L2414" s="7" t="s">
        <v>194</v>
      </c>
      <c r="M2414" s="7" t="n">
        <v>43</v>
      </c>
      <c r="N2414" s="7"/>
      <c r="O2414" s="7" t="str">
        <f aca="false">A2414&amp;"|"&amp;B2414&amp;"|"&amp;C2414&amp;"|"&amp;D2414&amp;"|"&amp;E2414&amp;"|"&amp;F2414&amp;"|"&amp;G2414&amp;"|"&amp;H2414&amp;"|"&amp;I2414&amp;"|"&amp;J2414&amp;"|"&amp;K2414&amp;"|"&amp;L2414&amp;"|"&amp;M2414&amp;"|"&amp;N2414</f>
        <v>ORD10908|2025-04-24|13:27|C1333|Tandoor Tales|Delhi|North Indian|4|-260|0|Credit Card|Delivered|43|</v>
      </c>
      <c r="P2414" s="7" t="str">
        <f aca="false">IF(COUNTIF($O$2:O2414,O2414)&gt;1,"DUP","OK")</f>
        <v>OK</v>
      </c>
      <c r="Q2414" s="7" t="n">
        <f aca="false">COUNTBLANK(A2414:N2414)</f>
        <v>1</v>
      </c>
      <c r="R2414" s="7" t="n">
        <f aca="false">IF(A2414="",0,COUNTIFS($A$2:$A$3058,A2414,$P$2:$P$3058,"OK"))</f>
        <v>1</v>
      </c>
      <c r="S2414" s="7" t="str">
        <f aca="false">IF(OR(A2414="",P2414="DUP",R2414&lt;2),"",IF(Q2414=_xlfn.MINIFS($Q$2:$Q$3058,$A$2:$A$3058,A2414,$P$2:$P$3058,"OK"),"KEEP","DROP"))</f>
        <v/>
      </c>
      <c r="T2414" s="9" t="n">
        <f aca="false">IF(A2414="",1,0)</f>
        <v>0</v>
      </c>
      <c r="U2414" s="9" t="n">
        <f aca="false">IF(D2414="",1,0)</f>
        <v>0</v>
      </c>
      <c r="V2414" s="9" t="n">
        <f aca="false">IF(E2414="",1,0)</f>
        <v>0</v>
      </c>
      <c r="W2414" s="9" t="n">
        <f aca="false">IF(OR(H2414&lt;1,H2414&gt;10),1,0)</f>
        <v>0</v>
      </c>
      <c r="X2414" s="9" t="n">
        <f aca="false">IF(OR(I2414&lt;=0,I2414&gt;1500),1,0)</f>
        <v>1</v>
      </c>
      <c r="Y2414" s="9" t="n">
        <f aca="false">IF(J2414&gt;H2414*I2414,1,0)</f>
        <v>1</v>
      </c>
      <c r="Z2414" s="9" t="n">
        <f aca="false">IF(AND(N2414&lt;&gt;"",OR(N2414&lt;1,N2414&gt;5)),1,0)</f>
        <v>0</v>
      </c>
      <c r="AA2414" s="9" t="n">
        <f aca="false">IF(AND(M2414&lt;&gt;"",OR(M2414&lt;5,M2414&gt;180)),1,0)</f>
        <v>0</v>
      </c>
      <c r="AB2414" s="7" t="str">
        <f aca="false">IF(P2414="DUP","Exact duplicate row",IF(T2414=1,"Missing Order ID",IF(S2414="DROP","Duplicate Order ID (less complete row)",IF(U2414=1,"Missing Customer ID",IF(V2414=1,"Missing Restaurant name",IF(W2414=1,"Invalid/outlier quantity",IF(X2414=1,"Invalid/outlier unit price",IF(Y2414=1,"Discount greater than order value",""))))))))</f>
        <v>Invalid/outlier unit price</v>
      </c>
      <c r="AC2414" s="7" t="str">
        <f aca="false">IF(AB2414="","KEEP","DROP")</f>
        <v>DROP</v>
      </c>
      <c r="AD2414" s="7" t="str">
        <f aca="false">IF(TRIM(F2414)="",IFERROR(INDEX(Map_Tables!$I$4:$I$37,MATCH(TRIM(E2414),Map_Tables!$G$4:$G$37,0)),""),IFERROR(INDEX(Map_Tables!$B$4:$B$18,MATCH(TRIM(F2414),Map_Tables!$A$4:$A$18,0)),"CHECK"))</f>
        <v>Delhi</v>
      </c>
      <c r="AE2414" s="7" t="str">
        <f aca="false">IF(TRIM(E2414)="","",IFERROR(INDEX(Map_Tables!$H$4:$H$37,MATCH(TRIM(E2414),Map_Tables!$G$4:$G$37,0)),"CHECK"))</f>
        <v>Tandoor Tales</v>
      </c>
      <c r="AF2414" s="7" t="str">
        <f aca="false">IF(TRIM(K2414)="","Unknown",IFERROR(INDEX(Map_Tables!$E$4:$E$15,MATCH(TRIM(K2414),Map_Tables!$D$4:$D$15,0)),"CHECK"))</f>
        <v>Credit Card</v>
      </c>
      <c r="AG2414" s="7" t="str">
        <f aca="false">IF(LEFT(LOWER(TRIM(L2414)),6)="cancel","Cancelled","Delivered")</f>
        <v>Delivered</v>
      </c>
      <c r="AH2414" s="10" t="n">
        <f aca="false">IF(ISNUMBER(SEARCH("/",B2414)),DATE(VALUE(RIGHT(B2414,4)),VALUE(MID(B2414,4,2)),VALUE(LEFT(B2414,2))),IF(MID(B2414,5,1)="-",DATE(VALUE(LEFT(B2414,4)),VALUE(MID(B2414,6,2)),VALUE(RIGHT(B2414,2))),DATE(VALUE(RIGHT(B2414,4)),MATCH(MID(B2414,4,3),{"Jan","Feb","Mar","Apr","May","Jun","Jul","Aug","Sep","Oct","Nov","Dec"},0),VALUE(LEFT(B2414,2)))))</f>
        <v>45771</v>
      </c>
    </row>
    <row r="2415" customFormat="false" ht="15" hidden="false" customHeight="false" outlineLevel="0" collapsed="false">
      <c r="A2415" s="7" t="s">
        <v>5345</v>
      </c>
      <c r="B2415" s="7" t="s">
        <v>958</v>
      </c>
      <c r="C2415" s="7" t="s">
        <v>1161</v>
      </c>
      <c r="D2415" s="7" t="s">
        <v>3529</v>
      </c>
      <c r="E2415" s="7" t="s">
        <v>122</v>
      </c>
      <c r="F2415" s="7" t="s">
        <v>498</v>
      </c>
      <c r="G2415" s="7" t="s">
        <v>123</v>
      </c>
      <c r="H2415" s="7" t="n">
        <v>1</v>
      </c>
      <c r="I2415" s="7" t="n">
        <v>340</v>
      </c>
      <c r="J2415" s="7" t="n">
        <v>100</v>
      </c>
      <c r="K2415" s="7" t="s">
        <v>88</v>
      </c>
      <c r="L2415" s="7" t="s">
        <v>194</v>
      </c>
      <c r="M2415" s="7" t="n">
        <v>48</v>
      </c>
      <c r="N2415" s="7" t="n">
        <v>5</v>
      </c>
      <c r="O2415" s="7" t="str">
        <f aca="false">A2415&amp;"|"&amp;B2415&amp;"|"&amp;C2415&amp;"|"&amp;D2415&amp;"|"&amp;E2415&amp;"|"&amp;F2415&amp;"|"&amp;G2415&amp;"|"&amp;H2415&amp;"|"&amp;I2415&amp;"|"&amp;J2415&amp;"|"&amp;K2415&amp;"|"&amp;L2415&amp;"|"&amp;M2415&amp;"|"&amp;N2415</f>
        <v>ORD10032|2025-01-05|13:17|C0746|Mumbai Pizza Co|Bombay|Pizza|1|340|100|UPI|Delivered|48|5</v>
      </c>
      <c r="P2415" s="7" t="str">
        <f aca="false">IF(COUNTIF($O$2:O2415,O2415)&gt;1,"DUP","OK")</f>
        <v>OK</v>
      </c>
      <c r="Q2415" s="7" t="n">
        <f aca="false">COUNTBLANK(A2415:N2415)</f>
        <v>0</v>
      </c>
      <c r="R2415" s="7" t="n">
        <f aca="false">IF(A2415="",0,COUNTIFS($A$2:$A$3058,A2415,$P$2:$P$3058,"OK"))</f>
        <v>1</v>
      </c>
      <c r="S2415" s="7" t="str">
        <f aca="false">IF(OR(A2415="",P2415="DUP",R2415&lt;2),"",IF(Q2415=_xlfn.MINIFS($Q$2:$Q$3058,$A$2:$A$3058,A2415,$P$2:$P$3058,"OK"),"KEEP","DROP"))</f>
        <v/>
      </c>
      <c r="T2415" s="9" t="n">
        <f aca="false">IF(A2415="",1,0)</f>
        <v>0</v>
      </c>
      <c r="U2415" s="9" t="n">
        <f aca="false">IF(D2415="",1,0)</f>
        <v>0</v>
      </c>
      <c r="V2415" s="9" t="n">
        <f aca="false">IF(E2415="",1,0)</f>
        <v>0</v>
      </c>
      <c r="W2415" s="9" t="n">
        <f aca="false">IF(OR(H2415&lt;1,H2415&gt;10),1,0)</f>
        <v>0</v>
      </c>
      <c r="X2415" s="9" t="n">
        <f aca="false">IF(OR(I2415&lt;=0,I2415&gt;1500),1,0)</f>
        <v>0</v>
      </c>
      <c r="Y2415" s="9" t="n">
        <f aca="false">IF(J2415&gt;H2415*I2415,1,0)</f>
        <v>0</v>
      </c>
      <c r="Z2415" s="9" t="n">
        <f aca="false">IF(AND(N2415&lt;&gt;"",OR(N2415&lt;1,N2415&gt;5)),1,0)</f>
        <v>0</v>
      </c>
      <c r="AA2415" s="9" t="n">
        <f aca="false">IF(AND(M2415&lt;&gt;"",OR(M2415&lt;5,M2415&gt;180)),1,0)</f>
        <v>0</v>
      </c>
      <c r="AB2415" s="7" t="str">
        <f aca="false">IF(P2415="DUP","Exact duplicate row",IF(T2415=1,"Missing Order ID",IF(S2415="DROP","Duplicate Order ID (less complete row)",IF(U2415=1,"Missing Customer ID",IF(V2415=1,"Missing Restaurant name",IF(W2415=1,"Invalid/outlier quantity",IF(X2415=1,"Invalid/outlier unit price",IF(Y2415=1,"Discount greater than order value",""))))))))</f>
        <v/>
      </c>
      <c r="AC2415" s="7" t="str">
        <f aca="false">IF(AB2415="","KEEP","DROP")</f>
        <v>KEEP</v>
      </c>
      <c r="AD2415" s="7" t="str">
        <f aca="false">IF(TRIM(F2415)="",IFERROR(INDEX(Map_Tables!$I$4:$I$37,MATCH(TRIM(E2415),Map_Tables!$G$4:$G$37,0)),""),IFERROR(INDEX(Map_Tables!$B$4:$B$18,MATCH(TRIM(F2415),Map_Tables!$A$4:$A$18,0)),"CHECK"))</f>
        <v>Mumbai</v>
      </c>
      <c r="AE2415" s="7" t="str">
        <f aca="false">IF(TRIM(E2415)="","",IFERROR(INDEX(Map_Tables!$H$4:$H$37,MATCH(TRIM(E2415),Map_Tables!$G$4:$G$37,0)),"CHECK"))</f>
        <v>Mumbai Pizza Co</v>
      </c>
      <c r="AF2415" s="7" t="str">
        <f aca="false">IF(TRIM(K2415)="","Unknown",IFERROR(INDEX(Map_Tables!$E$4:$E$15,MATCH(TRIM(K2415),Map_Tables!$D$4:$D$15,0)),"CHECK"))</f>
        <v>UPI</v>
      </c>
      <c r="AG2415" s="7" t="str">
        <f aca="false">IF(LEFT(LOWER(TRIM(L2415)),6)="cancel","Cancelled","Delivered")</f>
        <v>Delivered</v>
      </c>
      <c r="AH2415" s="10" t="n">
        <f aca="false">IF(ISNUMBER(SEARCH("/",B2415)),DATE(VALUE(RIGHT(B2415,4)),VALUE(MID(B2415,4,2)),VALUE(LEFT(B2415,2))),IF(MID(B2415,5,1)="-",DATE(VALUE(LEFT(B2415,4)),VALUE(MID(B2415,6,2)),VALUE(RIGHT(B2415,2))),DATE(VALUE(RIGHT(B2415,4)),MATCH(MID(B2415,4,3),{"Jan","Feb","Mar","Apr","May","Jun","Jul","Aug","Sep","Oct","Nov","Dec"},0),VALUE(LEFT(B2415,2)))))</f>
        <v>45662</v>
      </c>
    </row>
    <row r="2416" customFormat="false" ht="15" hidden="false" customHeight="false" outlineLevel="0" collapsed="false">
      <c r="A2416" s="7" t="s">
        <v>5346</v>
      </c>
      <c r="B2416" s="7" t="s">
        <v>643</v>
      </c>
      <c r="C2416" s="7" t="s">
        <v>2402</v>
      </c>
      <c r="D2416" s="7" t="s">
        <v>2349</v>
      </c>
      <c r="E2416" s="7" t="s">
        <v>158</v>
      </c>
      <c r="F2416" s="7" t="s">
        <v>303</v>
      </c>
      <c r="G2416" s="7" t="s">
        <v>139</v>
      </c>
      <c r="H2416" s="7" t="n">
        <v>2</v>
      </c>
      <c r="I2416" s="7" t="n">
        <v>210</v>
      </c>
      <c r="J2416" s="7" t="n">
        <v>50</v>
      </c>
      <c r="K2416" s="7" t="s">
        <v>88</v>
      </c>
      <c r="L2416" s="7" t="s">
        <v>194</v>
      </c>
      <c r="M2416" s="7" t="n">
        <v>34</v>
      </c>
      <c r="N2416" s="7" t="n">
        <v>4</v>
      </c>
      <c r="O2416" s="7" t="str">
        <f aca="false">A2416&amp;"|"&amp;B2416&amp;"|"&amp;C2416&amp;"|"&amp;D2416&amp;"|"&amp;E2416&amp;"|"&amp;F2416&amp;"|"&amp;G2416&amp;"|"&amp;H2416&amp;"|"&amp;I2416&amp;"|"&amp;J2416&amp;"|"&amp;K2416&amp;"|"&amp;L2416&amp;"|"&amp;M2416&amp;"|"&amp;N2416</f>
        <v>ORD12868|2025-12-17|19:55|C1424|Pune Burger Hub|PUNE|Burgers|2|210|50|UPI|Delivered|34|4</v>
      </c>
      <c r="P2416" s="7" t="str">
        <f aca="false">IF(COUNTIF($O$2:O2416,O2416)&gt;1,"DUP","OK")</f>
        <v>OK</v>
      </c>
      <c r="Q2416" s="7" t="n">
        <f aca="false">COUNTBLANK(A2416:N2416)</f>
        <v>0</v>
      </c>
      <c r="R2416" s="7" t="n">
        <f aca="false">IF(A2416="",0,COUNTIFS($A$2:$A$3058,A2416,$P$2:$P$3058,"OK"))</f>
        <v>1</v>
      </c>
      <c r="S2416" s="7" t="str">
        <f aca="false">IF(OR(A2416="",P2416="DUP",R2416&lt;2),"",IF(Q2416=_xlfn.MINIFS($Q$2:$Q$3058,$A$2:$A$3058,A2416,$P$2:$P$3058,"OK"),"KEEP","DROP"))</f>
        <v/>
      </c>
      <c r="T2416" s="9" t="n">
        <f aca="false">IF(A2416="",1,0)</f>
        <v>0</v>
      </c>
      <c r="U2416" s="9" t="n">
        <f aca="false">IF(D2416="",1,0)</f>
        <v>0</v>
      </c>
      <c r="V2416" s="9" t="n">
        <f aca="false">IF(E2416="",1,0)</f>
        <v>0</v>
      </c>
      <c r="W2416" s="9" t="n">
        <f aca="false">IF(OR(H2416&lt;1,H2416&gt;10),1,0)</f>
        <v>0</v>
      </c>
      <c r="X2416" s="9" t="n">
        <f aca="false">IF(OR(I2416&lt;=0,I2416&gt;1500),1,0)</f>
        <v>0</v>
      </c>
      <c r="Y2416" s="9" t="n">
        <f aca="false">IF(J2416&gt;H2416*I2416,1,0)</f>
        <v>0</v>
      </c>
      <c r="Z2416" s="9" t="n">
        <f aca="false">IF(AND(N2416&lt;&gt;"",OR(N2416&lt;1,N2416&gt;5)),1,0)</f>
        <v>0</v>
      </c>
      <c r="AA2416" s="9" t="n">
        <f aca="false">IF(AND(M2416&lt;&gt;"",OR(M2416&lt;5,M2416&gt;180)),1,0)</f>
        <v>0</v>
      </c>
      <c r="AB2416" s="7" t="str">
        <f aca="false">IF(P2416="DUP","Exact duplicate row",IF(T2416=1,"Missing Order ID",IF(S2416="DROP","Duplicate Order ID (less complete row)",IF(U2416=1,"Missing Customer ID",IF(V2416=1,"Missing Restaurant name",IF(W2416=1,"Invalid/outlier quantity",IF(X2416=1,"Invalid/outlier unit price",IF(Y2416=1,"Discount greater than order value",""))))))))</f>
        <v/>
      </c>
      <c r="AC2416" s="7" t="str">
        <f aca="false">IF(AB2416="","KEEP","DROP")</f>
        <v>KEEP</v>
      </c>
      <c r="AD2416" s="7" t="str">
        <f aca="false">IF(TRIM(F2416)="",IFERROR(INDEX(Map_Tables!$I$4:$I$37,MATCH(TRIM(E2416),Map_Tables!$G$4:$G$37,0)),""),IFERROR(INDEX(Map_Tables!$B$4:$B$18,MATCH(TRIM(F2416),Map_Tables!$A$4:$A$18,0)),"CHECK"))</f>
        <v>Pune</v>
      </c>
      <c r="AE2416" s="7" t="str">
        <f aca="false">IF(TRIM(E2416)="","",IFERROR(INDEX(Map_Tables!$H$4:$H$37,MATCH(TRIM(E2416),Map_Tables!$G$4:$G$37,0)),"CHECK"))</f>
        <v>Pune Burger Hub</v>
      </c>
      <c r="AF2416" s="7" t="str">
        <f aca="false">IF(TRIM(K2416)="","Unknown",IFERROR(INDEX(Map_Tables!$E$4:$E$15,MATCH(TRIM(K2416),Map_Tables!$D$4:$D$15,0)),"CHECK"))</f>
        <v>UPI</v>
      </c>
      <c r="AG2416" s="7" t="str">
        <f aca="false">IF(LEFT(LOWER(TRIM(L2416)),6)="cancel","Cancelled","Delivered")</f>
        <v>Delivered</v>
      </c>
      <c r="AH2416" s="10" t="n">
        <f aca="false">IF(ISNUMBER(SEARCH("/",B2416)),DATE(VALUE(RIGHT(B2416,4)),VALUE(MID(B2416,4,2)),VALUE(LEFT(B2416,2))),IF(MID(B2416,5,1)="-",DATE(VALUE(LEFT(B2416,4)),VALUE(MID(B2416,6,2)),VALUE(RIGHT(B2416,2))),DATE(VALUE(RIGHT(B2416,4)),MATCH(MID(B2416,4,3),{"Jan","Feb","Mar","Apr","May","Jun","Jul","Aug","Sep","Oct","Nov","Dec"},0),VALUE(LEFT(B2416,2)))))</f>
        <v>46008</v>
      </c>
    </row>
    <row r="2417" customFormat="false" ht="15" hidden="false" customHeight="false" outlineLevel="0" collapsed="false">
      <c r="A2417" s="7" t="s">
        <v>5347</v>
      </c>
      <c r="B2417" s="7" t="s">
        <v>2632</v>
      </c>
      <c r="C2417" s="7" t="s">
        <v>1145</v>
      </c>
      <c r="D2417" s="7" t="s">
        <v>3624</v>
      </c>
      <c r="E2417" s="7" t="s">
        <v>126</v>
      </c>
      <c r="F2417" s="7" t="s">
        <v>101</v>
      </c>
      <c r="G2417" s="7" t="s">
        <v>105</v>
      </c>
      <c r="H2417" s="7" t="n">
        <v>2</v>
      </c>
      <c r="I2417" s="7" t="n">
        <v>260</v>
      </c>
      <c r="J2417" s="7" t="n">
        <v>125</v>
      </c>
      <c r="K2417" s="7" t="s">
        <v>87</v>
      </c>
      <c r="L2417" s="7" t="s">
        <v>194</v>
      </c>
      <c r="M2417" s="7" t="n">
        <v>45</v>
      </c>
      <c r="N2417" s="7" t="n">
        <v>4</v>
      </c>
      <c r="O2417" s="7" t="str">
        <f aca="false">A2417&amp;"|"&amp;B2417&amp;"|"&amp;C2417&amp;"|"&amp;D2417&amp;"|"&amp;E2417&amp;"|"&amp;F2417&amp;"|"&amp;G2417&amp;"|"&amp;H2417&amp;"|"&amp;I2417&amp;"|"&amp;J2417&amp;"|"&amp;K2417&amp;"|"&amp;L2417&amp;"|"&amp;M2417&amp;"|"&amp;N2417</f>
        <v>ORD10011|2025-01-02|18:47|C0831|Dragon Express|Mumbai|Chinese|2|260|125|upi|Delivered|45|4</v>
      </c>
      <c r="P2417" s="7" t="str">
        <f aca="false">IF(COUNTIF($O$2:O2417,O2417)&gt;1,"DUP","OK")</f>
        <v>OK</v>
      </c>
      <c r="Q2417" s="7" t="n">
        <f aca="false">COUNTBLANK(A2417:N2417)</f>
        <v>0</v>
      </c>
      <c r="R2417" s="7" t="n">
        <f aca="false">IF(A2417="",0,COUNTIFS($A$2:$A$3058,A2417,$P$2:$P$3058,"OK"))</f>
        <v>1</v>
      </c>
      <c r="S2417" s="7" t="str">
        <f aca="false">IF(OR(A2417="",P2417="DUP",R2417&lt;2),"",IF(Q2417=_xlfn.MINIFS($Q$2:$Q$3058,$A$2:$A$3058,A2417,$P$2:$P$3058,"OK"),"KEEP","DROP"))</f>
        <v/>
      </c>
      <c r="T2417" s="9" t="n">
        <f aca="false">IF(A2417="",1,0)</f>
        <v>0</v>
      </c>
      <c r="U2417" s="9" t="n">
        <f aca="false">IF(D2417="",1,0)</f>
        <v>0</v>
      </c>
      <c r="V2417" s="9" t="n">
        <f aca="false">IF(E2417="",1,0)</f>
        <v>0</v>
      </c>
      <c r="W2417" s="9" t="n">
        <f aca="false">IF(OR(H2417&lt;1,H2417&gt;10),1,0)</f>
        <v>0</v>
      </c>
      <c r="X2417" s="9" t="n">
        <f aca="false">IF(OR(I2417&lt;=0,I2417&gt;1500),1,0)</f>
        <v>0</v>
      </c>
      <c r="Y2417" s="9" t="n">
        <f aca="false">IF(J2417&gt;H2417*I2417,1,0)</f>
        <v>0</v>
      </c>
      <c r="Z2417" s="9" t="n">
        <f aca="false">IF(AND(N2417&lt;&gt;"",OR(N2417&lt;1,N2417&gt;5)),1,0)</f>
        <v>0</v>
      </c>
      <c r="AA2417" s="9" t="n">
        <f aca="false">IF(AND(M2417&lt;&gt;"",OR(M2417&lt;5,M2417&gt;180)),1,0)</f>
        <v>0</v>
      </c>
      <c r="AB2417" s="7" t="str">
        <f aca="false">IF(P2417="DUP","Exact duplicate row",IF(T2417=1,"Missing Order ID",IF(S2417="DROP","Duplicate Order ID (less complete row)",IF(U2417=1,"Missing Customer ID",IF(V2417=1,"Missing Restaurant name",IF(W2417=1,"Invalid/outlier quantity",IF(X2417=1,"Invalid/outlier unit price",IF(Y2417=1,"Discount greater than order value",""))))))))</f>
        <v/>
      </c>
      <c r="AC2417" s="7" t="str">
        <f aca="false">IF(AB2417="","KEEP","DROP")</f>
        <v>KEEP</v>
      </c>
      <c r="AD2417" s="7" t="str">
        <f aca="false">IF(TRIM(F2417)="",IFERROR(INDEX(Map_Tables!$I$4:$I$37,MATCH(TRIM(E2417),Map_Tables!$G$4:$G$37,0)),""),IFERROR(INDEX(Map_Tables!$B$4:$B$18,MATCH(TRIM(F2417),Map_Tables!$A$4:$A$18,0)),"CHECK"))</f>
        <v>Mumbai</v>
      </c>
      <c r="AE2417" s="7" t="str">
        <f aca="false">IF(TRIM(E2417)="","",IFERROR(INDEX(Map_Tables!$H$4:$H$37,MATCH(TRIM(E2417),Map_Tables!$G$4:$G$37,0)),"CHECK"))</f>
        <v>Dragon Express</v>
      </c>
      <c r="AF2417" s="7" t="str">
        <f aca="false">IF(TRIM(K2417)="","Unknown",IFERROR(INDEX(Map_Tables!$E$4:$E$15,MATCH(TRIM(K2417),Map_Tables!$D$4:$D$15,0)),"CHECK"))</f>
        <v>UPI</v>
      </c>
      <c r="AG2417" s="7" t="str">
        <f aca="false">IF(LEFT(LOWER(TRIM(L2417)),6)="cancel","Cancelled","Delivered")</f>
        <v>Delivered</v>
      </c>
      <c r="AH2417" s="10" t="n">
        <f aca="false">IF(ISNUMBER(SEARCH("/",B2417)),DATE(VALUE(RIGHT(B2417,4)),VALUE(MID(B2417,4,2)),VALUE(LEFT(B2417,2))),IF(MID(B2417,5,1)="-",DATE(VALUE(LEFT(B2417,4)),VALUE(MID(B2417,6,2)),VALUE(RIGHT(B2417,2))),DATE(VALUE(RIGHT(B2417,4)),MATCH(MID(B2417,4,3),{"Jan","Feb","Mar","Apr","May","Jun","Jul","Aug","Sep","Oct","Nov","Dec"},0),VALUE(LEFT(B2417,2)))))</f>
        <v>45659</v>
      </c>
    </row>
    <row r="2418" customFormat="false" ht="15" hidden="false" customHeight="false" outlineLevel="0" collapsed="false">
      <c r="A2418" s="7" t="s">
        <v>5348</v>
      </c>
      <c r="B2418" s="7" t="s">
        <v>1714</v>
      </c>
      <c r="C2418" s="7" t="s">
        <v>391</v>
      </c>
      <c r="D2418" s="7" t="s">
        <v>3692</v>
      </c>
      <c r="E2418" s="7" t="s">
        <v>113</v>
      </c>
      <c r="F2418" s="7" t="s">
        <v>101</v>
      </c>
      <c r="G2418" s="7" t="s">
        <v>90</v>
      </c>
      <c r="H2418" s="7" t="n">
        <v>1</v>
      </c>
      <c r="I2418" s="7" t="n">
        <v>195</v>
      </c>
      <c r="J2418" s="7" t="n">
        <v>40</v>
      </c>
      <c r="K2418" s="7" t="s">
        <v>88</v>
      </c>
      <c r="L2418" s="7" t="s">
        <v>220</v>
      </c>
      <c r="M2418" s="7" t="n">
        <v>47</v>
      </c>
      <c r="N2418" s="7" t="n">
        <v>4</v>
      </c>
      <c r="O2418" s="7" t="str">
        <f aca="false">A2418&amp;"|"&amp;B2418&amp;"|"&amp;C2418&amp;"|"&amp;D2418&amp;"|"&amp;E2418&amp;"|"&amp;F2418&amp;"|"&amp;G2418&amp;"|"&amp;H2418&amp;"|"&amp;I2418&amp;"|"&amp;J2418&amp;"|"&amp;K2418&amp;"|"&amp;L2418&amp;"|"&amp;M2418&amp;"|"&amp;N2418</f>
        <v>ORD10065|2025-01-09|19:50|C1200|Curry Leaf Kitchen|Mumbai|North Indian|1|195|40|UPI|DELIVERED|47|4</v>
      </c>
      <c r="P2418" s="7" t="str">
        <f aca="false">IF(COUNTIF($O$2:O2418,O2418)&gt;1,"DUP","OK")</f>
        <v>OK</v>
      </c>
      <c r="Q2418" s="7" t="n">
        <f aca="false">COUNTBLANK(A2418:N2418)</f>
        <v>0</v>
      </c>
      <c r="R2418" s="7" t="n">
        <f aca="false">IF(A2418="",0,COUNTIFS($A$2:$A$3058,A2418,$P$2:$P$3058,"OK"))</f>
        <v>1</v>
      </c>
      <c r="S2418" s="7" t="str">
        <f aca="false">IF(OR(A2418="",P2418="DUP",R2418&lt;2),"",IF(Q2418=_xlfn.MINIFS($Q$2:$Q$3058,$A$2:$A$3058,A2418,$P$2:$P$3058,"OK"),"KEEP","DROP"))</f>
        <v/>
      </c>
      <c r="T2418" s="9" t="n">
        <f aca="false">IF(A2418="",1,0)</f>
        <v>0</v>
      </c>
      <c r="U2418" s="9" t="n">
        <f aca="false">IF(D2418="",1,0)</f>
        <v>0</v>
      </c>
      <c r="V2418" s="9" t="n">
        <f aca="false">IF(E2418="",1,0)</f>
        <v>0</v>
      </c>
      <c r="W2418" s="9" t="n">
        <f aca="false">IF(OR(H2418&lt;1,H2418&gt;10),1,0)</f>
        <v>0</v>
      </c>
      <c r="X2418" s="9" t="n">
        <f aca="false">IF(OR(I2418&lt;=0,I2418&gt;1500),1,0)</f>
        <v>0</v>
      </c>
      <c r="Y2418" s="9" t="n">
        <f aca="false">IF(J2418&gt;H2418*I2418,1,0)</f>
        <v>0</v>
      </c>
      <c r="Z2418" s="9" t="n">
        <f aca="false">IF(AND(N2418&lt;&gt;"",OR(N2418&lt;1,N2418&gt;5)),1,0)</f>
        <v>0</v>
      </c>
      <c r="AA2418" s="9" t="n">
        <f aca="false">IF(AND(M2418&lt;&gt;"",OR(M2418&lt;5,M2418&gt;180)),1,0)</f>
        <v>0</v>
      </c>
      <c r="AB2418" s="7" t="str">
        <f aca="false">IF(P2418="DUP","Exact duplicate row",IF(T2418=1,"Missing Order ID",IF(S2418="DROP","Duplicate Order ID (less complete row)",IF(U2418=1,"Missing Customer ID",IF(V2418=1,"Missing Restaurant name",IF(W2418=1,"Invalid/outlier quantity",IF(X2418=1,"Invalid/outlier unit price",IF(Y2418=1,"Discount greater than order value",""))))))))</f>
        <v/>
      </c>
      <c r="AC2418" s="7" t="str">
        <f aca="false">IF(AB2418="","KEEP","DROP")</f>
        <v>KEEP</v>
      </c>
      <c r="AD2418" s="7" t="str">
        <f aca="false">IF(TRIM(F2418)="",IFERROR(INDEX(Map_Tables!$I$4:$I$37,MATCH(TRIM(E2418),Map_Tables!$G$4:$G$37,0)),""),IFERROR(INDEX(Map_Tables!$B$4:$B$18,MATCH(TRIM(F2418),Map_Tables!$A$4:$A$18,0)),"CHECK"))</f>
        <v>Mumbai</v>
      </c>
      <c r="AE2418" s="7" t="str">
        <f aca="false">IF(TRIM(E2418)="","",IFERROR(INDEX(Map_Tables!$H$4:$H$37,MATCH(TRIM(E2418),Map_Tables!$G$4:$G$37,0)),"CHECK"))</f>
        <v>Curry Leaf Kitchen</v>
      </c>
      <c r="AF2418" s="7" t="str">
        <f aca="false">IF(TRIM(K2418)="","Unknown",IFERROR(INDEX(Map_Tables!$E$4:$E$15,MATCH(TRIM(K2418),Map_Tables!$D$4:$D$15,0)),"CHECK"))</f>
        <v>UPI</v>
      </c>
      <c r="AG2418" s="7" t="str">
        <f aca="false">IF(LEFT(LOWER(TRIM(L2418)),6)="cancel","Cancelled","Delivered")</f>
        <v>Delivered</v>
      </c>
      <c r="AH2418" s="10" t="n">
        <f aca="false">IF(ISNUMBER(SEARCH("/",B2418)),DATE(VALUE(RIGHT(B2418,4)),VALUE(MID(B2418,4,2)),VALUE(LEFT(B2418,2))),IF(MID(B2418,5,1)="-",DATE(VALUE(LEFT(B2418,4)),VALUE(MID(B2418,6,2)),VALUE(RIGHT(B2418,2))),DATE(VALUE(RIGHT(B2418,4)),MATCH(MID(B2418,4,3),{"Jan","Feb","Mar","Apr","May","Jun","Jul","Aug","Sep","Oct","Nov","Dec"},0),VALUE(LEFT(B2418,2)))))</f>
        <v>45666</v>
      </c>
    </row>
    <row r="2419" customFormat="false" ht="15" hidden="false" customHeight="false" outlineLevel="0" collapsed="false">
      <c r="A2419" s="7" t="s">
        <v>5349</v>
      </c>
      <c r="B2419" s="7" t="s">
        <v>1324</v>
      </c>
      <c r="C2419" s="7" t="s">
        <v>1565</v>
      </c>
      <c r="D2419" s="7" t="s">
        <v>2290</v>
      </c>
      <c r="E2419" s="7" t="s">
        <v>138</v>
      </c>
      <c r="F2419" s="7" t="s">
        <v>756</v>
      </c>
      <c r="G2419" s="7" t="s">
        <v>139</v>
      </c>
      <c r="H2419" s="7" t="n">
        <v>4</v>
      </c>
      <c r="I2419" s="7" t="n">
        <v>225</v>
      </c>
      <c r="J2419" s="7" t="n">
        <v>100</v>
      </c>
      <c r="K2419" s="7" t="s">
        <v>112</v>
      </c>
      <c r="L2419" s="7" t="s">
        <v>194</v>
      </c>
      <c r="M2419" s="7" t="n">
        <v>43</v>
      </c>
      <c r="N2419" s="7"/>
      <c r="O2419" s="7" t="str">
        <f aca="false">A2419&amp;"|"&amp;B2419&amp;"|"&amp;C2419&amp;"|"&amp;D2419&amp;"|"&amp;E2419&amp;"|"&amp;F2419&amp;"|"&amp;G2419&amp;"|"&amp;H2419&amp;"|"&amp;I2419&amp;"|"&amp;J2419&amp;"|"&amp;K2419&amp;"|"&amp;L2419&amp;"|"&amp;M2419&amp;"|"&amp;N2419</f>
        <v>ORD10777|2025-04-08|21:30|C0239|Burger Barn|Delhi |Burgers|4|225|100|Cash on Delivery|Delivered|43|</v>
      </c>
      <c r="P2419" s="7" t="str">
        <f aca="false">IF(COUNTIF($O$2:O2419,O2419)&gt;1,"DUP","OK")</f>
        <v>OK</v>
      </c>
      <c r="Q2419" s="7" t="n">
        <f aca="false">COUNTBLANK(A2419:N2419)</f>
        <v>1</v>
      </c>
      <c r="R2419" s="7" t="n">
        <f aca="false">IF(A2419="",0,COUNTIFS($A$2:$A$3058,A2419,$P$2:$P$3058,"OK"))</f>
        <v>1</v>
      </c>
      <c r="S2419" s="7" t="str">
        <f aca="false">IF(OR(A2419="",P2419="DUP",R2419&lt;2),"",IF(Q2419=_xlfn.MINIFS($Q$2:$Q$3058,$A$2:$A$3058,A2419,$P$2:$P$3058,"OK"),"KEEP","DROP"))</f>
        <v/>
      </c>
      <c r="T2419" s="9" t="n">
        <f aca="false">IF(A2419="",1,0)</f>
        <v>0</v>
      </c>
      <c r="U2419" s="9" t="n">
        <f aca="false">IF(D2419="",1,0)</f>
        <v>0</v>
      </c>
      <c r="V2419" s="9" t="n">
        <f aca="false">IF(E2419="",1,0)</f>
        <v>0</v>
      </c>
      <c r="W2419" s="9" t="n">
        <f aca="false">IF(OR(H2419&lt;1,H2419&gt;10),1,0)</f>
        <v>0</v>
      </c>
      <c r="X2419" s="9" t="n">
        <f aca="false">IF(OR(I2419&lt;=0,I2419&gt;1500),1,0)</f>
        <v>0</v>
      </c>
      <c r="Y2419" s="9" t="n">
        <f aca="false">IF(J2419&gt;H2419*I2419,1,0)</f>
        <v>0</v>
      </c>
      <c r="Z2419" s="9" t="n">
        <f aca="false">IF(AND(N2419&lt;&gt;"",OR(N2419&lt;1,N2419&gt;5)),1,0)</f>
        <v>0</v>
      </c>
      <c r="AA2419" s="9" t="n">
        <f aca="false">IF(AND(M2419&lt;&gt;"",OR(M2419&lt;5,M2419&gt;180)),1,0)</f>
        <v>0</v>
      </c>
      <c r="AB2419" s="7" t="str">
        <f aca="false">IF(P2419="DUP","Exact duplicate row",IF(T2419=1,"Missing Order ID",IF(S2419="DROP","Duplicate Order ID (less complete row)",IF(U2419=1,"Missing Customer ID",IF(V2419=1,"Missing Restaurant name",IF(W2419=1,"Invalid/outlier quantity",IF(X2419=1,"Invalid/outlier unit price",IF(Y2419=1,"Discount greater than order value",""))))))))</f>
        <v/>
      </c>
      <c r="AC2419" s="7" t="str">
        <f aca="false">IF(AB2419="","KEEP","DROP")</f>
        <v>KEEP</v>
      </c>
      <c r="AD2419" s="7" t="str">
        <f aca="false">IF(TRIM(F2419)="",IFERROR(INDEX(Map_Tables!$I$4:$I$37,MATCH(TRIM(E2419),Map_Tables!$G$4:$G$37,0)),""),IFERROR(INDEX(Map_Tables!$B$4:$B$18,MATCH(TRIM(F2419),Map_Tables!$A$4:$A$18,0)),"CHECK"))</f>
        <v>Delhi</v>
      </c>
      <c r="AE2419" s="7" t="str">
        <f aca="false">IF(TRIM(E2419)="","",IFERROR(INDEX(Map_Tables!$H$4:$H$37,MATCH(TRIM(E2419),Map_Tables!$G$4:$G$37,0)),"CHECK"))</f>
        <v>Burger Barn</v>
      </c>
      <c r="AF2419" s="7" t="str">
        <f aca="false">IF(TRIM(K2419)="","Unknown",IFERROR(INDEX(Map_Tables!$E$4:$E$15,MATCH(TRIM(K2419),Map_Tables!$D$4:$D$15,0)),"CHECK"))</f>
        <v>Cash on Delivery</v>
      </c>
      <c r="AG2419" s="7" t="str">
        <f aca="false">IF(LEFT(LOWER(TRIM(L2419)),6)="cancel","Cancelled","Delivered")</f>
        <v>Delivered</v>
      </c>
      <c r="AH2419" s="10" t="n">
        <f aca="false">IF(ISNUMBER(SEARCH("/",B2419)),DATE(VALUE(RIGHT(B2419,4)),VALUE(MID(B2419,4,2)),VALUE(LEFT(B2419,2))),IF(MID(B2419,5,1)="-",DATE(VALUE(LEFT(B2419,4)),VALUE(MID(B2419,6,2)),VALUE(RIGHT(B2419,2))),DATE(VALUE(RIGHT(B2419,4)),MATCH(MID(B2419,4,3),{"Jan","Feb","Mar","Apr","May","Jun","Jul","Aug","Sep","Oct","Nov","Dec"},0),VALUE(LEFT(B2419,2)))))</f>
        <v>45755</v>
      </c>
    </row>
    <row r="2420" customFormat="false" ht="15" hidden="false" customHeight="false" outlineLevel="0" collapsed="false">
      <c r="A2420" s="7" t="s">
        <v>5350</v>
      </c>
      <c r="B2420" s="7" t="s">
        <v>1065</v>
      </c>
      <c r="C2420" s="7" t="s">
        <v>4156</v>
      </c>
      <c r="D2420" s="7" t="s">
        <v>3237</v>
      </c>
      <c r="E2420" s="7" t="s">
        <v>161</v>
      </c>
      <c r="F2420" s="7" t="s">
        <v>141</v>
      </c>
      <c r="G2420" s="7" t="s">
        <v>117</v>
      </c>
      <c r="H2420" s="7" t="n">
        <v>1</v>
      </c>
      <c r="I2420" s="7" t="n">
        <v>-150</v>
      </c>
      <c r="J2420" s="7" t="n">
        <v>0</v>
      </c>
      <c r="K2420" s="7" t="s">
        <v>88</v>
      </c>
      <c r="L2420" s="7" t="s">
        <v>238</v>
      </c>
      <c r="M2420" s="7"/>
      <c r="N2420" s="7"/>
      <c r="O2420" s="7" t="str">
        <f aca="false">A2420&amp;"|"&amp;B2420&amp;"|"&amp;C2420&amp;"|"&amp;D2420&amp;"|"&amp;E2420&amp;"|"&amp;F2420&amp;"|"&amp;G2420&amp;"|"&amp;H2420&amp;"|"&amp;I2420&amp;"|"&amp;J2420&amp;"|"&amp;K2420&amp;"|"&amp;L2420&amp;"|"&amp;M2420&amp;"|"&amp;N2420</f>
        <v>ORD10078|2025-01-11|12:19|C1067|Bengal Bites|Kolkata|Street Food|1|-150|0|UPI|Cancelled||</v>
      </c>
      <c r="P2420" s="7" t="str">
        <f aca="false">IF(COUNTIF($O$2:O2420,O2420)&gt;1,"DUP","OK")</f>
        <v>OK</v>
      </c>
      <c r="Q2420" s="7" t="n">
        <f aca="false">COUNTBLANK(A2420:N2420)</f>
        <v>2</v>
      </c>
      <c r="R2420" s="7" t="n">
        <f aca="false">IF(A2420="",0,COUNTIFS($A$2:$A$3058,A2420,$P$2:$P$3058,"OK"))</f>
        <v>1</v>
      </c>
      <c r="S2420" s="7" t="str">
        <f aca="false">IF(OR(A2420="",P2420="DUP",R2420&lt;2),"",IF(Q2420=_xlfn.MINIFS($Q$2:$Q$3058,$A$2:$A$3058,A2420,$P$2:$P$3058,"OK"),"KEEP","DROP"))</f>
        <v/>
      </c>
      <c r="T2420" s="9" t="n">
        <f aca="false">IF(A2420="",1,0)</f>
        <v>0</v>
      </c>
      <c r="U2420" s="9" t="n">
        <f aca="false">IF(D2420="",1,0)</f>
        <v>0</v>
      </c>
      <c r="V2420" s="9" t="n">
        <f aca="false">IF(E2420="",1,0)</f>
        <v>0</v>
      </c>
      <c r="W2420" s="9" t="n">
        <f aca="false">IF(OR(H2420&lt;1,H2420&gt;10),1,0)</f>
        <v>0</v>
      </c>
      <c r="X2420" s="9" t="n">
        <f aca="false">IF(OR(I2420&lt;=0,I2420&gt;1500),1,0)</f>
        <v>1</v>
      </c>
      <c r="Y2420" s="9" t="n">
        <f aca="false">IF(J2420&gt;H2420*I2420,1,0)</f>
        <v>1</v>
      </c>
      <c r="Z2420" s="9" t="n">
        <f aca="false">IF(AND(N2420&lt;&gt;"",OR(N2420&lt;1,N2420&gt;5)),1,0)</f>
        <v>0</v>
      </c>
      <c r="AA2420" s="9" t="n">
        <f aca="false">IF(AND(M2420&lt;&gt;"",OR(M2420&lt;5,M2420&gt;180)),1,0)</f>
        <v>0</v>
      </c>
      <c r="AB2420" s="7" t="str">
        <f aca="false">IF(P2420="DUP","Exact duplicate row",IF(T2420=1,"Missing Order ID",IF(S2420="DROP","Duplicate Order ID (less complete row)",IF(U2420=1,"Missing Customer ID",IF(V2420=1,"Missing Restaurant name",IF(W2420=1,"Invalid/outlier quantity",IF(X2420=1,"Invalid/outlier unit price",IF(Y2420=1,"Discount greater than order value",""))))))))</f>
        <v>Invalid/outlier unit price</v>
      </c>
      <c r="AC2420" s="7" t="str">
        <f aca="false">IF(AB2420="","KEEP","DROP")</f>
        <v>DROP</v>
      </c>
      <c r="AD2420" s="7" t="str">
        <f aca="false">IF(TRIM(F2420)="",IFERROR(INDEX(Map_Tables!$I$4:$I$37,MATCH(TRIM(E2420),Map_Tables!$G$4:$G$37,0)),""),IFERROR(INDEX(Map_Tables!$B$4:$B$18,MATCH(TRIM(F2420),Map_Tables!$A$4:$A$18,0)),"CHECK"))</f>
        <v>Kolkata</v>
      </c>
      <c r="AE2420" s="7" t="str">
        <f aca="false">IF(TRIM(E2420)="","",IFERROR(INDEX(Map_Tables!$H$4:$H$37,MATCH(TRIM(E2420),Map_Tables!$G$4:$G$37,0)),"CHECK"))</f>
        <v>Bengal Bites</v>
      </c>
      <c r="AF2420" s="7" t="str">
        <f aca="false">IF(TRIM(K2420)="","Unknown",IFERROR(INDEX(Map_Tables!$E$4:$E$15,MATCH(TRIM(K2420),Map_Tables!$D$4:$D$15,0)),"CHECK"))</f>
        <v>UPI</v>
      </c>
      <c r="AG2420" s="7" t="str">
        <f aca="false">IF(LEFT(LOWER(TRIM(L2420)),6)="cancel","Cancelled","Delivered")</f>
        <v>Cancelled</v>
      </c>
      <c r="AH2420" s="10" t="n">
        <f aca="false">IF(ISNUMBER(SEARCH("/",B2420)),DATE(VALUE(RIGHT(B2420,4)),VALUE(MID(B2420,4,2)),VALUE(LEFT(B2420,2))),IF(MID(B2420,5,1)="-",DATE(VALUE(LEFT(B2420,4)),VALUE(MID(B2420,6,2)),VALUE(RIGHT(B2420,2))),DATE(VALUE(RIGHT(B2420,4)),MATCH(MID(B2420,4,3),{"Jan","Feb","Mar","Apr","May","Jun","Jul","Aug","Sep","Oct","Nov","Dec"},0),VALUE(LEFT(B2420,2)))))</f>
        <v>45668</v>
      </c>
    </row>
    <row r="2421" customFormat="false" ht="15" hidden="false" customHeight="false" outlineLevel="0" collapsed="false">
      <c r="A2421" s="7" t="s">
        <v>5351</v>
      </c>
      <c r="B2421" s="7" t="s">
        <v>2010</v>
      </c>
      <c r="C2421" s="7" t="s">
        <v>3566</v>
      </c>
      <c r="D2421" s="7" t="s">
        <v>3331</v>
      </c>
      <c r="E2421" s="7" t="s">
        <v>113</v>
      </c>
      <c r="F2421" s="7" t="s">
        <v>101</v>
      </c>
      <c r="G2421" s="7" t="s">
        <v>90</v>
      </c>
      <c r="H2421" s="7" t="n">
        <v>2</v>
      </c>
      <c r="I2421" s="7" t="n">
        <v>285</v>
      </c>
      <c r="J2421" s="7" t="n">
        <v>0</v>
      </c>
      <c r="K2421" s="7" t="s">
        <v>88</v>
      </c>
      <c r="L2421" s="7" t="s">
        <v>194</v>
      </c>
      <c r="M2421" s="7" t="n">
        <v>42</v>
      </c>
      <c r="N2421" s="7" t="n">
        <v>3</v>
      </c>
      <c r="O2421" s="7" t="str">
        <f aca="false">A2421&amp;"|"&amp;B2421&amp;"|"&amp;C2421&amp;"|"&amp;D2421&amp;"|"&amp;E2421&amp;"|"&amp;F2421&amp;"|"&amp;G2421&amp;"|"&amp;H2421&amp;"|"&amp;I2421&amp;"|"&amp;J2421&amp;"|"&amp;K2421&amp;"|"&amp;L2421&amp;"|"&amp;M2421&amp;"|"&amp;N2421</f>
        <v>ORD10492|2025-03-06|11:06|C0815|Curry Leaf Kitchen|Mumbai|North Indian|2|285|0|UPI|Delivered|42|3</v>
      </c>
      <c r="P2421" s="7" t="str">
        <f aca="false">IF(COUNTIF($O$2:O2421,O2421)&gt;1,"DUP","OK")</f>
        <v>OK</v>
      </c>
      <c r="Q2421" s="7" t="n">
        <f aca="false">COUNTBLANK(A2421:N2421)</f>
        <v>0</v>
      </c>
      <c r="R2421" s="7" t="n">
        <f aca="false">IF(A2421="",0,COUNTIFS($A$2:$A$3058,A2421,$P$2:$P$3058,"OK"))</f>
        <v>1</v>
      </c>
      <c r="S2421" s="7" t="str">
        <f aca="false">IF(OR(A2421="",P2421="DUP",R2421&lt;2),"",IF(Q2421=_xlfn.MINIFS($Q$2:$Q$3058,$A$2:$A$3058,A2421,$P$2:$P$3058,"OK"),"KEEP","DROP"))</f>
        <v/>
      </c>
      <c r="T2421" s="9" t="n">
        <f aca="false">IF(A2421="",1,0)</f>
        <v>0</v>
      </c>
      <c r="U2421" s="9" t="n">
        <f aca="false">IF(D2421="",1,0)</f>
        <v>0</v>
      </c>
      <c r="V2421" s="9" t="n">
        <f aca="false">IF(E2421="",1,0)</f>
        <v>0</v>
      </c>
      <c r="W2421" s="9" t="n">
        <f aca="false">IF(OR(H2421&lt;1,H2421&gt;10),1,0)</f>
        <v>0</v>
      </c>
      <c r="X2421" s="9" t="n">
        <f aca="false">IF(OR(I2421&lt;=0,I2421&gt;1500),1,0)</f>
        <v>0</v>
      </c>
      <c r="Y2421" s="9" t="n">
        <f aca="false">IF(J2421&gt;H2421*I2421,1,0)</f>
        <v>0</v>
      </c>
      <c r="Z2421" s="9" t="n">
        <f aca="false">IF(AND(N2421&lt;&gt;"",OR(N2421&lt;1,N2421&gt;5)),1,0)</f>
        <v>0</v>
      </c>
      <c r="AA2421" s="9" t="n">
        <f aca="false">IF(AND(M2421&lt;&gt;"",OR(M2421&lt;5,M2421&gt;180)),1,0)</f>
        <v>0</v>
      </c>
      <c r="AB2421" s="7" t="str">
        <f aca="false">IF(P2421="DUP","Exact duplicate row",IF(T2421=1,"Missing Order ID",IF(S2421="DROP","Duplicate Order ID (less complete row)",IF(U2421=1,"Missing Customer ID",IF(V2421=1,"Missing Restaurant name",IF(W2421=1,"Invalid/outlier quantity",IF(X2421=1,"Invalid/outlier unit price",IF(Y2421=1,"Discount greater than order value",""))))))))</f>
        <v/>
      </c>
      <c r="AC2421" s="7" t="str">
        <f aca="false">IF(AB2421="","KEEP","DROP")</f>
        <v>KEEP</v>
      </c>
      <c r="AD2421" s="7" t="str">
        <f aca="false">IF(TRIM(F2421)="",IFERROR(INDEX(Map_Tables!$I$4:$I$37,MATCH(TRIM(E2421),Map_Tables!$G$4:$G$37,0)),""),IFERROR(INDEX(Map_Tables!$B$4:$B$18,MATCH(TRIM(F2421),Map_Tables!$A$4:$A$18,0)),"CHECK"))</f>
        <v>Mumbai</v>
      </c>
      <c r="AE2421" s="7" t="str">
        <f aca="false">IF(TRIM(E2421)="","",IFERROR(INDEX(Map_Tables!$H$4:$H$37,MATCH(TRIM(E2421),Map_Tables!$G$4:$G$37,0)),"CHECK"))</f>
        <v>Curry Leaf Kitchen</v>
      </c>
      <c r="AF2421" s="7" t="str">
        <f aca="false">IF(TRIM(K2421)="","Unknown",IFERROR(INDEX(Map_Tables!$E$4:$E$15,MATCH(TRIM(K2421),Map_Tables!$D$4:$D$15,0)),"CHECK"))</f>
        <v>UPI</v>
      </c>
      <c r="AG2421" s="7" t="str">
        <f aca="false">IF(LEFT(LOWER(TRIM(L2421)),6)="cancel","Cancelled","Delivered")</f>
        <v>Delivered</v>
      </c>
      <c r="AH2421" s="10" t="n">
        <f aca="false">IF(ISNUMBER(SEARCH("/",B2421)),DATE(VALUE(RIGHT(B2421,4)),VALUE(MID(B2421,4,2)),VALUE(LEFT(B2421,2))),IF(MID(B2421,5,1)="-",DATE(VALUE(LEFT(B2421,4)),VALUE(MID(B2421,6,2)),VALUE(RIGHT(B2421,2))),DATE(VALUE(RIGHT(B2421,4)),MATCH(MID(B2421,4,3),{"Jan","Feb","Mar","Apr","May","Jun","Jul","Aug","Sep","Oct","Nov","Dec"},0),VALUE(LEFT(B2421,2)))))</f>
        <v>45722</v>
      </c>
    </row>
    <row r="2422" customFormat="false" ht="15" hidden="false" customHeight="false" outlineLevel="0" collapsed="false">
      <c r="A2422" s="7" t="s">
        <v>5352</v>
      </c>
      <c r="B2422" s="7" t="s">
        <v>1972</v>
      </c>
      <c r="C2422" s="7" t="s">
        <v>1631</v>
      </c>
      <c r="D2422" s="7" t="s">
        <v>4070</v>
      </c>
      <c r="E2422" s="7" t="s">
        <v>1142</v>
      </c>
      <c r="F2422" s="7" t="s">
        <v>101</v>
      </c>
      <c r="G2422" s="7" t="s">
        <v>105</v>
      </c>
      <c r="H2422" s="7" t="n">
        <v>3</v>
      </c>
      <c r="I2422" s="7" t="n">
        <v>195</v>
      </c>
      <c r="J2422" s="7" t="n">
        <v>0</v>
      </c>
      <c r="K2422" s="7" t="s">
        <v>103</v>
      </c>
      <c r="L2422" s="7" t="s">
        <v>194</v>
      </c>
      <c r="M2422" s="7" t="n">
        <v>36</v>
      </c>
      <c r="N2422" s="7" t="n">
        <v>5</v>
      </c>
      <c r="O2422" s="7" t="str">
        <f aca="false">A2422&amp;"|"&amp;B2422&amp;"|"&amp;C2422&amp;"|"&amp;D2422&amp;"|"&amp;E2422&amp;"|"&amp;F2422&amp;"|"&amp;G2422&amp;"|"&amp;H2422&amp;"|"&amp;I2422&amp;"|"&amp;J2422&amp;"|"&amp;K2422&amp;"|"&amp;L2422&amp;"|"&amp;M2422&amp;"|"&amp;N2422</f>
        <v>ORD12651|2025-11-23|19:53|C1311|Dragon  Express|Mumbai|Chinese|3|195|0|Debit Card|Delivered|36|5</v>
      </c>
      <c r="P2422" s="7" t="str">
        <f aca="false">IF(COUNTIF($O$2:O2422,O2422)&gt;1,"DUP","OK")</f>
        <v>OK</v>
      </c>
      <c r="Q2422" s="7" t="n">
        <f aca="false">COUNTBLANK(A2422:N2422)</f>
        <v>0</v>
      </c>
      <c r="R2422" s="7" t="n">
        <f aca="false">IF(A2422="",0,COUNTIFS($A$2:$A$3058,A2422,$P$2:$P$3058,"OK"))</f>
        <v>1</v>
      </c>
      <c r="S2422" s="7" t="str">
        <f aca="false">IF(OR(A2422="",P2422="DUP",R2422&lt;2),"",IF(Q2422=_xlfn.MINIFS($Q$2:$Q$3058,$A$2:$A$3058,A2422,$P$2:$P$3058,"OK"),"KEEP","DROP"))</f>
        <v/>
      </c>
      <c r="T2422" s="9" t="n">
        <f aca="false">IF(A2422="",1,0)</f>
        <v>0</v>
      </c>
      <c r="U2422" s="9" t="n">
        <f aca="false">IF(D2422="",1,0)</f>
        <v>0</v>
      </c>
      <c r="V2422" s="9" t="n">
        <f aca="false">IF(E2422="",1,0)</f>
        <v>0</v>
      </c>
      <c r="W2422" s="9" t="n">
        <f aca="false">IF(OR(H2422&lt;1,H2422&gt;10),1,0)</f>
        <v>0</v>
      </c>
      <c r="X2422" s="9" t="n">
        <f aca="false">IF(OR(I2422&lt;=0,I2422&gt;1500),1,0)</f>
        <v>0</v>
      </c>
      <c r="Y2422" s="9" t="n">
        <f aca="false">IF(J2422&gt;H2422*I2422,1,0)</f>
        <v>0</v>
      </c>
      <c r="Z2422" s="9" t="n">
        <f aca="false">IF(AND(N2422&lt;&gt;"",OR(N2422&lt;1,N2422&gt;5)),1,0)</f>
        <v>0</v>
      </c>
      <c r="AA2422" s="9" t="n">
        <f aca="false">IF(AND(M2422&lt;&gt;"",OR(M2422&lt;5,M2422&gt;180)),1,0)</f>
        <v>0</v>
      </c>
      <c r="AB2422" s="7" t="str">
        <f aca="false">IF(P2422="DUP","Exact duplicate row",IF(T2422=1,"Missing Order ID",IF(S2422="DROP","Duplicate Order ID (less complete row)",IF(U2422=1,"Missing Customer ID",IF(V2422=1,"Missing Restaurant name",IF(W2422=1,"Invalid/outlier quantity",IF(X2422=1,"Invalid/outlier unit price",IF(Y2422=1,"Discount greater than order value",""))))))))</f>
        <v/>
      </c>
      <c r="AC2422" s="7" t="str">
        <f aca="false">IF(AB2422="","KEEP","DROP")</f>
        <v>KEEP</v>
      </c>
      <c r="AD2422" s="7" t="str">
        <f aca="false">IF(TRIM(F2422)="",IFERROR(INDEX(Map_Tables!$I$4:$I$37,MATCH(TRIM(E2422),Map_Tables!$G$4:$G$37,0)),""),IFERROR(INDEX(Map_Tables!$B$4:$B$18,MATCH(TRIM(F2422),Map_Tables!$A$4:$A$18,0)),"CHECK"))</f>
        <v>Mumbai</v>
      </c>
      <c r="AE2422" s="7" t="str">
        <f aca="false">IF(TRIM(E2422)="","",IFERROR(INDEX(Map_Tables!$H$4:$H$37,MATCH(TRIM(E2422),Map_Tables!$G$4:$G$37,0)),"CHECK"))</f>
        <v>Dragon Express</v>
      </c>
      <c r="AF2422" s="7" t="str">
        <f aca="false">IF(TRIM(K2422)="","Unknown",IFERROR(INDEX(Map_Tables!$E$4:$E$15,MATCH(TRIM(K2422),Map_Tables!$D$4:$D$15,0)),"CHECK"))</f>
        <v>Debit Card</v>
      </c>
      <c r="AG2422" s="7" t="str">
        <f aca="false">IF(LEFT(LOWER(TRIM(L2422)),6)="cancel","Cancelled","Delivered")</f>
        <v>Delivered</v>
      </c>
      <c r="AH2422" s="10" t="n">
        <f aca="false">IF(ISNUMBER(SEARCH("/",B2422)),DATE(VALUE(RIGHT(B2422,4)),VALUE(MID(B2422,4,2)),VALUE(LEFT(B2422,2))),IF(MID(B2422,5,1)="-",DATE(VALUE(LEFT(B2422,4)),VALUE(MID(B2422,6,2)),VALUE(RIGHT(B2422,2))),DATE(VALUE(RIGHT(B2422,4)),MATCH(MID(B2422,4,3),{"Jan","Feb","Mar","Apr","May","Jun","Jul","Aug","Sep","Oct","Nov","Dec"},0),VALUE(LEFT(B2422,2)))))</f>
        <v>45984</v>
      </c>
    </row>
    <row r="2423" customFormat="false" ht="15" hidden="false" customHeight="false" outlineLevel="0" collapsed="false">
      <c r="A2423" s="7" t="s">
        <v>5353</v>
      </c>
      <c r="B2423" s="7" t="s">
        <v>528</v>
      </c>
      <c r="C2423" s="7" t="s">
        <v>547</v>
      </c>
      <c r="D2423" s="7" t="s">
        <v>5354</v>
      </c>
      <c r="E2423" s="7" t="s">
        <v>89</v>
      </c>
      <c r="F2423" s="7" t="s">
        <v>86</v>
      </c>
      <c r="G2423" s="7" t="s">
        <v>90</v>
      </c>
      <c r="H2423" s="7" t="n">
        <v>5</v>
      </c>
      <c r="I2423" s="7" t="n">
        <v>280</v>
      </c>
      <c r="J2423" s="7" t="n">
        <v>0</v>
      </c>
      <c r="K2423" s="7" t="s">
        <v>132</v>
      </c>
      <c r="L2423" s="7" t="s">
        <v>194</v>
      </c>
      <c r="M2423" s="7" t="n">
        <v>34</v>
      </c>
      <c r="N2423" s="7" t="n">
        <v>4</v>
      </c>
      <c r="O2423" s="7" t="str">
        <f aca="false">A2423&amp;"|"&amp;B2423&amp;"|"&amp;C2423&amp;"|"&amp;D2423&amp;"|"&amp;E2423&amp;"|"&amp;F2423&amp;"|"&amp;G2423&amp;"|"&amp;H2423&amp;"|"&amp;I2423&amp;"|"&amp;J2423&amp;"|"&amp;K2423&amp;"|"&amp;L2423&amp;"|"&amp;M2423&amp;"|"&amp;N2423</f>
        <v>ORD12114|2025-09-29|11:20|C0569|Spice Junction|Bengaluru|North Indian|5|280|0|net banking|Delivered|34|4</v>
      </c>
      <c r="P2423" s="7" t="str">
        <f aca="false">IF(COUNTIF($O$2:O2423,O2423)&gt;1,"DUP","OK")</f>
        <v>OK</v>
      </c>
      <c r="Q2423" s="7" t="n">
        <f aca="false">COUNTBLANK(A2423:N2423)</f>
        <v>0</v>
      </c>
      <c r="R2423" s="7" t="n">
        <f aca="false">IF(A2423="",0,COUNTIFS($A$2:$A$3058,A2423,$P$2:$P$3058,"OK"))</f>
        <v>1</v>
      </c>
      <c r="S2423" s="7" t="str">
        <f aca="false">IF(OR(A2423="",P2423="DUP",R2423&lt;2),"",IF(Q2423=_xlfn.MINIFS($Q$2:$Q$3058,$A$2:$A$3058,A2423,$P$2:$P$3058,"OK"),"KEEP","DROP"))</f>
        <v/>
      </c>
      <c r="T2423" s="9" t="n">
        <f aca="false">IF(A2423="",1,0)</f>
        <v>0</v>
      </c>
      <c r="U2423" s="9" t="n">
        <f aca="false">IF(D2423="",1,0)</f>
        <v>0</v>
      </c>
      <c r="V2423" s="9" t="n">
        <f aca="false">IF(E2423="",1,0)</f>
        <v>0</v>
      </c>
      <c r="W2423" s="9" t="n">
        <f aca="false">IF(OR(H2423&lt;1,H2423&gt;10),1,0)</f>
        <v>0</v>
      </c>
      <c r="X2423" s="9" t="n">
        <f aca="false">IF(OR(I2423&lt;=0,I2423&gt;1500),1,0)</f>
        <v>0</v>
      </c>
      <c r="Y2423" s="9" t="n">
        <f aca="false">IF(J2423&gt;H2423*I2423,1,0)</f>
        <v>0</v>
      </c>
      <c r="Z2423" s="9" t="n">
        <f aca="false">IF(AND(N2423&lt;&gt;"",OR(N2423&lt;1,N2423&gt;5)),1,0)</f>
        <v>0</v>
      </c>
      <c r="AA2423" s="9" t="n">
        <f aca="false">IF(AND(M2423&lt;&gt;"",OR(M2423&lt;5,M2423&gt;180)),1,0)</f>
        <v>0</v>
      </c>
      <c r="AB2423" s="7" t="str">
        <f aca="false">IF(P2423="DUP","Exact duplicate row",IF(T2423=1,"Missing Order ID",IF(S2423="DROP","Duplicate Order ID (less complete row)",IF(U2423=1,"Missing Customer ID",IF(V2423=1,"Missing Restaurant name",IF(W2423=1,"Invalid/outlier quantity",IF(X2423=1,"Invalid/outlier unit price",IF(Y2423=1,"Discount greater than order value",""))))))))</f>
        <v/>
      </c>
      <c r="AC2423" s="7" t="str">
        <f aca="false">IF(AB2423="","KEEP","DROP")</f>
        <v>KEEP</v>
      </c>
      <c r="AD2423" s="7" t="str">
        <f aca="false">IF(TRIM(F2423)="",IFERROR(INDEX(Map_Tables!$I$4:$I$37,MATCH(TRIM(E2423),Map_Tables!$G$4:$G$37,0)),""),IFERROR(INDEX(Map_Tables!$B$4:$B$18,MATCH(TRIM(F2423),Map_Tables!$A$4:$A$18,0)),"CHECK"))</f>
        <v>Bengaluru</v>
      </c>
      <c r="AE2423" s="7" t="str">
        <f aca="false">IF(TRIM(E2423)="","",IFERROR(INDEX(Map_Tables!$H$4:$H$37,MATCH(TRIM(E2423),Map_Tables!$G$4:$G$37,0)),"CHECK"))</f>
        <v>Spice Junction</v>
      </c>
      <c r="AF2423" s="7" t="str">
        <f aca="false">IF(TRIM(K2423)="","Unknown",IFERROR(INDEX(Map_Tables!$E$4:$E$15,MATCH(TRIM(K2423),Map_Tables!$D$4:$D$15,0)),"CHECK"))</f>
        <v>Net Banking</v>
      </c>
      <c r="AG2423" s="7" t="str">
        <f aca="false">IF(LEFT(LOWER(TRIM(L2423)),6)="cancel","Cancelled","Delivered")</f>
        <v>Delivered</v>
      </c>
      <c r="AH2423" s="10" t="n">
        <f aca="false">IF(ISNUMBER(SEARCH("/",B2423)),DATE(VALUE(RIGHT(B2423,4)),VALUE(MID(B2423,4,2)),VALUE(LEFT(B2423,2))),IF(MID(B2423,5,1)="-",DATE(VALUE(LEFT(B2423,4)),VALUE(MID(B2423,6,2)),VALUE(RIGHT(B2423,2))),DATE(VALUE(RIGHT(B2423,4)),MATCH(MID(B2423,4,3),{"Jan","Feb","Mar","Apr","May","Jun","Jul","Aug","Sep","Oct","Nov","Dec"},0),VALUE(LEFT(B2423,2)))))</f>
        <v>45929</v>
      </c>
    </row>
    <row r="2424" customFormat="false" ht="15" hidden="false" customHeight="false" outlineLevel="0" collapsed="false">
      <c r="A2424" s="7" t="s">
        <v>5355</v>
      </c>
      <c r="B2424" s="7" t="s">
        <v>222</v>
      </c>
      <c r="C2424" s="7" t="s">
        <v>1708</v>
      </c>
      <c r="D2424" s="7" t="s">
        <v>5356</v>
      </c>
      <c r="E2424" s="7" t="s">
        <v>148</v>
      </c>
      <c r="F2424" s="7" t="s">
        <v>119</v>
      </c>
      <c r="G2424" s="7" t="s">
        <v>123</v>
      </c>
      <c r="H2424" s="7" t="n">
        <v>1</v>
      </c>
      <c r="I2424" s="7" t="n">
        <v>340</v>
      </c>
      <c r="J2424" s="7" t="n">
        <v>125</v>
      </c>
      <c r="K2424" s="7" t="s">
        <v>88</v>
      </c>
      <c r="L2424" s="7" t="s">
        <v>194</v>
      </c>
      <c r="M2424" s="7" t="n">
        <v>31</v>
      </c>
      <c r="N2424" s="7" t="n">
        <v>4</v>
      </c>
      <c r="O2424" s="7" t="str">
        <f aca="false">A2424&amp;"|"&amp;B2424&amp;"|"&amp;C2424&amp;"|"&amp;D2424&amp;"|"&amp;E2424&amp;"|"&amp;F2424&amp;"|"&amp;G2424&amp;"|"&amp;H2424&amp;"|"&amp;I2424&amp;"|"&amp;J2424&amp;"|"&amp;K2424&amp;"|"&amp;L2424&amp;"|"&amp;M2424&amp;"|"&amp;N2424</f>
        <v>ORD12792|2025-12-07|17:47|C0161|Pizza Palace|Hyderabad|Pizza|1|340|125|UPI|Delivered|31|4</v>
      </c>
      <c r="P2424" s="7" t="str">
        <f aca="false">IF(COUNTIF($O$2:O2424,O2424)&gt;1,"DUP","OK")</f>
        <v>OK</v>
      </c>
      <c r="Q2424" s="7" t="n">
        <f aca="false">COUNTBLANK(A2424:N2424)</f>
        <v>0</v>
      </c>
      <c r="R2424" s="7" t="n">
        <f aca="false">IF(A2424="",0,COUNTIFS($A$2:$A$3058,A2424,$P$2:$P$3058,"OK"))</f>
        <v>1</v>
      </c>
      <c r="S2424" s="7" t="str">
        <f aca="false">IF(OR(A2424="",P2424="DUP",R2424&lt;2),"",IF(Q2424=_xlfn.MINIFS($Q$2:$Q$3058,$A$2:$A$3058,A2424,$P$2:$P$3058,"OK"),"KEEP","DROP"))</f>
        <v/>
      </c>
      <c r="T2424" s="9" t="n">
        <f aca="false">IF(A2424="",1,0)</f>
        <v>0</v>
      </c>
      <c r="U2424" s="9" t="n">
        <f aca="false">IF(D2424="",1,0)</f>
        <v>0</v>
      </c>
      <c r="V2424" s="9" t="n">
        <f aca="false">IF(E2424="",1,0)</f>
        <v>0</v>
      </c>
      <c r="W2424" s="9" t="n">
        <f aca="false">IF(OR(H2424&lt;1,H2424&gt;10),1,0)</f>
        <v>0</v>
      </c>
      <c r="X2424" s="9" t="n">
        <f aca="false">IF(OR(I2424&lt;=0,I2424&gt;1500),1,0)</f>
        <v>0</v>
      </c>
      <c r="Y2424" s="9" t="n">
        <f aca="false">IF(J2424&gt;H2424*I2424,1,0)</f>
        <v>0</v>
      </c>
      <c r="Z2424" s="9" t="n">
        <f aca="false">IF(AND(N2424&lt;&gt;"",OR(N2424&lt;1,N2424&gt;5)),1,0)</f>
        <v>0</v>
      </c>
      <c r="AA2424" s="9" t="n">
        <f aca="false">IF(AND(M2424&lt;&gt;"",OR(M2424&lt;5,M2424&gt;180)),1,0)</f>
        <v>0</v>
      </c>
      <c r="AB2424" s="7" t="str">
        <f aca="false">IF(P2424="DUP","Exact duplicate row",IF(T2424=1,"Missing Order ID",IF(S2424="DROP","Duplicate Order ID (less complete row)",IF(U2424=1,"Missing Customer ID",IF(V2424=1,"Missing Restaurant name",IF(W2424=1,"Invalid/outlier quantity",IF(X2424=1,"Invalid/outlier unit price",IF(Y2424=1,"Discount greater than order value",""))))))))</f>
        <v/>
      </c>
      <c r="AC2424" s="7" t="str">
        <f aca="false">IF(AB2424="","KEEP","DROP")</f>
        <v>KEEP</v>
      </c>
      <c r="AD2424" s="7" t="str">
        <f aca="false">IF(TRIM(F2424)="",IFERROR(INDEX(Map_Tables!$I$4:$I$37,MATCH(TRIM(E2424),Map_Tables!$G$4:$G$37,0)),""),IFERROR(INDEX(Map_Tables!$B$4:$B$18,MATCH(TRIM(F2424),Map_Tables!$A$4:$A$18,0)),"CHECK"))</f>
        <v>Hyderabad</v>
      </c>
      <c r="AE2424" s="7" t="str">
        <f aca="false">IF(TRIM(E2424)="","",IFERROR(INDEX(Map_Tables!$H$4:$H$37,MATCH(TRIM(E2424),Map_Tables!$G$4:$G$37,0)),"CHECK"))</f>
        <v>Pizza Palace</v>
      </c>
      <c r="AF2424" s="7" t="str">
        <f aca="false">IF(TRIM(K2424)="","Unknown",IFERROR(INDEX(Map_Tables!$E$4:$E$15,MATCH(TRIM(K2424),Map_Tables!$D$4:$D$15,0)),"CHECK"))</f>
        <v>UPI</v>
      </c>
      <c r="AG2424" s="7" t="str">
        <f aca="false">IF(LEFT(LOWER(TRIM(L2424)),6)="cancel","Cancelled","Delivered")</f>
        <v>Delivered</v>
      </c>
      <c r="AH2424" s="10" t="n">
        <f aca="false">IF(ISNUMBER(SEARCH("/",B2424)),DATE(VALUE(RIGHT(B2424,4)),VALUE(MID(B2424,4,2)),VALUE(LEFT(B2424,2))),IF(MID(B2424,5,1)="-",DATE(VALUE(LEFT(B2424,4)),VALUE(MID(B2424,6,2)),VALUE(RIGHT(B2424,2))),DATE(VALUE(RIGHT(B2424,4)),MATCH(MID(B2424,4,3),{"Jan","Feb","Mar","Apr","May","Jun","Jul","Aug","Sep","Oct","Nov","Dec"},0),VALUE(LEFT(B2424,2)))))</f>
        <v>45998</v>
      </c>
    </row>
    <row r="2425" customFormat="false" ht="15" hidden="false" customHeight="false" outlineLevel="0" collapsed="false">
      <c r="A2425" s="7" t="s">
        <v>5357</v>
      </c>
      <c r="B2425" s="7" t="s">
        <v>2231</v>
      </c>
      <c r="C2425" s="7" t="s">
        <v>1474</v>
      </c>
      <c r="D2425" s="7" t="s">
        <v>3295</v>
      </c>
      <c r="E2425" s="7" t="s">
        <v>154</v>
      </c>
      <c r="F2425" s="7" t="s">
        <v>128</v>
      </c>
      <c r="G2425" s="7" t="s">
        <v>99</v>
      </c>
      <c r="H2425" s="7" t="n">
        <v>5</v>
      </c>
      <c r="I2425" s="7" t="n">
        <v>225</v>
      </c>
      <c r="J2425" s="7" t="n">
        <v>75</v>
      </c>
      <c r="K2425" s="7" t="s">
        <v>88</v>
      </c>
      <c r="L2425" s="7" t="s">
        <v>194</v>
      </c>
      <c r="M2425" s="7" t="n">
        <v>37</v>
      </c>
      <c r="N2425" s="7" t="n">
        <v>2</v>
      </c>
      <c r="O2425" s="7" t="str">
        <f aca="false">A2425&amp;"|"&amp;B2425&amp;"|"&amp;C2425&amp;"|"&amp;D2425&amp;"|"&amp;E2425&amp;"|"&amp;F2425&amp;"|"&amp;G2425&amp;"|"&amp;H2425&amp;"|"&amp;I2425&amp;"|"&amp;J2425&amp;"|"&amp;K2425&amp;"|"&amp;L2425&amp;"|"&amp;M2425&amp;"|"&amp;N2425</f>
        <v>ORD12345|2025-10-22|19:37|C1187|Madras Biryani Co|Chennai|Biryani|5|225|75|UPI|Delivered|37|2</v>
      </c>
      <c r="P2425" s="7" t="str">
        <f aca="false">IF(COUNTIF($O$2:O2425,O2425)&gt;1,"DUP","OK")</f>
        <v>OK</v>
      </c>
      <c r="Q2425" s="7" t="n">
        <f aca="false">COUNTBLANK(A2425:N2425)</f>
        <v>0</v>
      </c>
      <c r="R2425" s="7" t="n">
        <f aca="false">IF(A2425="",0,COUNTIFS($A$2:$A$3058,A2425,$P$2:$P$3058,"OK"))</f>
        <v>1</v>
      </c>
      <c r="S2425" s="7" t="str">
        <f aca="false">IF(OR(A2425="",P2425="DUP",R2425&lt;2),"",IF(Q2425=_xlfn.MINIFS($Q$2:$Q$3058,$A$2:$A$3058,A2425,$P$2:$P$3058,"OK"),"KEEP","DROP"))</f>
        <v/>
      </c>
      <c r="T2425" s="9" t="n">
        <f aca="false">IF(A2425="",1,0)</f>
        <v>0</v>
      </c>
      <c r="U2425" s="9" t="n">
        <f aca="false">IF(D2425="",1,0)</f>
        <v>0</v>
      </c>
      <c r="V2425" s="9" t="n">
        <f aca="false">IF(E2425="",1,0)</f>
        <v>0</v>
      </c>
      <c r="W2425" s="9" t="n">
        <f aca="false">IF(OR(H2425&lt;1,H2425&gt;10),1,0)</f>
        <v>0</v>
      </c>
      <c r="X2425" s="9" t="n">
        <f aca="false">IF(OR(I2425&lt;=0,I2425&gt;1500),1,0)</f>
        <v>0</v>
      </c>
      <c r="Y2425" s="9" t="n">
        <f aca="false">IF(J2425&gt;H2425*I2425,1,0)</f>
        <v>0</v>
      </c>
      <c r="Z2425" s="9" t="n">
        <f aca="false">IF(AND(N2425&lt;&gt;"",OR(N2425&lt;1,N2425&gt;5)),1,0)</f>
        <v>0</v>
      </c>
      <c r="AA2425" s="9" t="n">
        <f aca="false">IF(AND(M2425&lt;&gt;"",OR(M2425&lt;5,M2425&gt;180)),1,0)</f>
        <v>0</v>
      </c>
      <c r="AB2425" s="7" t="str">
        <f aca="false">IF(P2425="DUP","Exact duplicate row",IF(T2425=1,"Missing Order ID",IF(S2425="DROP","Duplicate Order ID (less complete row)",IF(U2425=1,"Missing Customer ID",IF(V2425=1,"Missing Restaurant name",IF(W2425=1,"Invalid/outlier quantity",IF(X2425=1,"Invalid/outlier unit price",IF(Y2425=1,"Discount greater than order value",""))))))))</f>
        <v/>
      </c>
      <c r="AC2425" s="7" t="str">
        <f aca="false">IF(AB2425="","KEEP","DROP")</f>
        <v>KEEP</v>
      </c>
      <c r="AD2425" s="7" t="str">
        <f aca="false">IF(TRIM(F2425)="",IFERROR(INDEX(Map_Tables!$I$4:$I$37,MATCH(TRIM(E2425),Map_Tables!$G$4:$G$37,0)),""),IFERROR(INDEX(Map_Tables!$B$4:$B$18,MATCH(TRIM(F2425),Map_Tables!$A$4:$A$18,0)),"CHECK"))</f>
        <v>Chennai</v>
      </c>
      <c r="AE2425" s="7" t="str">
        <f aca="false">IF(TRIM(E2425)="","",IFERROR(INDEX(Map_Tables!$H$4:$H$37,MATCH(TRIM(E2425),Map_Tables!$G$4:$G$37,0)),"CHECK"))</f>
        <v>Madras Biryani Co</v>
      </c>
      <c r="AF2425" s="7" t="str">
        <f aca="false">IF(TRIM(K2425)="","Unknown",IFERROR(INDEX(Map_Tables!$E$4:$E$15,MATCH(TRIM(K2425),Map_Tables!$D$4:$D$15,0)),"CHECK"))</f>
        <v>UPI</v>
      </c>
      <c r="AG2425" s="7" t="str">
        <f aca="false">IF(LEFT(LOWER(TRIM(L2425)),6)="cancel","Cancelled","Delivered")</f>
        <v>Delivered</v>
      </c>
      <c r="AH2425" s="10" t="n">
        <f aca="false">IF(ISNUMBER(SEARCH("/",B2425)),DATE(VALUE(RIGHT(B2425,4)),VALUE(MID(B2425,4,2)),VALUE(LEFT(B2425,2))),IF(MID(B2425,5,1)="-",DATE(VALUE(LEFT(B2425,4)),VALUE(MID(B2425,6,2)),VALUE(RIGHT(B2425,2))),DATE(VALUE(RIGHT(B2425,4)),MATCH(MID(B2425,4,3),{"Jan","Feb","Mar","Apr","May","Jun","Jul","Aug","Sep","Oct","Nov","Dec"},0),VALUE(LEFT(B2425,2)))))</f>
        <v>45952</v>
      </c>
    </row>
    <row r="2426" customFormat="false" ht="15" hidden="false" customHeight="false" outlineLevel="0" collapsed="false">
      <c r="A2426" s="7" t="s">
        <v>5358</v>
      </c>
      <c r="B2426" s="7" t="s">
        <v>1872</v>
      </c>
      <c r="C2426" s="7" t="s">
        <v>3209</v>
      </c>
      <c r="D2426" s="7" t="s">
        <v>1042</v>
      </c>
      <c r="E2426" s="7" t="s">
        <v>113</v>
      </c>
      <c r="F2426" s="7"/>
      <c r="G2426" s="7" t="s">
        <v>90</v>
      </c>
      <c r="H2426" s="7" t="n">
        <v>1</v>
      </c>
      <c r="I2426" s="7" t="n">
        <v>255</v>
      </c>
      <c r="J2426" s="7" t="n">
        <v>0</v>
      </c>
      <c r="K2426" s="7" t="s">
        <v>88</v>
      </c>
      <c r="L2426" s="7" t="s">
        <v>194</v>
      </c>
      <c r="M2426" s="7" t="n">
        <v>49</v>
      </c>
      <c r="N2426" s="7" t="n">
        <v>3</v>
      </c>
      <c r="O2426" s="7" t="str">
        <f aca="false">A2426&amp;"|"&amp;B2426&amp;"|"&amp;C2426&amp;"|"&amp;D2426&amp;"|"&amp;E2426&amp;"|"&amp;F2426&amp;"|"&amp;G2426&amp;"|"&amp;H2426&amp;"|"&amp;I2426&amp;"|"&amp;J2426&amp;"|"&amp;K2426&amp;"|"&amp;L2426&amp;"|"&amp;M2426&amp;"|"&amp;N2426</f>
        <v>ORD10592|2025-03-16|20:08|C0976|Curry Leaf Kitchen||North Indian|1|255|0|UPI|Delivered|49|3</v>
      </c>
      <c r="P2426" s="7" t="str">
        <f aca="false">IF(COUNTIF($O$2:O2426,O2426)&gt;1,"DUP","OK")</f>
        <v>OK</v>
      </c>
      <c r="Q2426" s="7" t="n">
        <f aca="false">COUNTBLANK(A2426:N2426)</f>
        <v>1</v>
      </c>
      <c r="R2426" s="7" t="n">
        <f aca="false">IF(A2426="",0,COUNTIFS($A$2:$A$3058,A2426,$P$2:$P$3058,"OK"))</f>
        <v>1</v>
      </c>
      <c r="S2426" s="7" t="str">
        <f aca="false">IF(OR(A2426="",P2426="DUP",R2426&lt;2),"",IF(Q2426=_xlfn.MINIFS($Q$2:$Q$3058,$A$2:$A$3058,A2426,$P$2:$P$3058,"OK"),"KEEP","DROP"))</f>
        <v/>
      </c>
      <c r="T2426" s="9" t="n">
        <f aca="false">IF(A2426="",1,0)</f>
        <v>0</v>
      </c>
      <c r="U2426" s="9" t="n">
        <f aca="false">IF(D2426="",1,0)</f>
        <v>0</v>
      </c>
      <c r="V2426" s="9" t="n">
        <f aca="false">IF(E2426="",1,0)</f>
        <v>0</v>
      </c>
      <c r="W2426" s="9" t="n">
        <f aca="false">IF(OR(H2426&lt;1,H2426&gt;10),1,0)</f>
        <v>0</v>
      </c>
      <c r="X2426" s="9" t="n">
        <f aca="false">IF(OR(I2426&lt;=0,I2426&gt;1500),1,0)</f>
        <v>0</v>
      </c>
      <c r="Y2426" s="9" t="n">
        <f aca="false">IF(J2426&gt;H2426*I2426,1,0)</f>
        <v>0</v>
      </c>
      <c r="Z2426" s="9" t="n">
        <f aca="false">IF(AND(N2426&lt;&gt;"",OR(N2426&lt;1,N2426&gt;5)),1,0)</f>
        <v>0</v>
      </c>
      <c r="AA2426" s="9" t="n">
        <f aca="false">IF(AND(M2426&lt;&gt;"",OR(M2426&lt;5,M2426&gt;180)),1,0)</f>
        <v>0</v>
      </c>
      <c r="AB2426" s="7" t="str">
        <f aca="false">IF(P2426="DUP","Exact duplicate row",IF(T2426=1,"Missing Order ID",IF(S2426="DROP","Duplicate Order ID (less complete row)",IF(U2426=1,"Missing Customer ID",IF(V2426=1,"Missing Restaurant name",IF(W2426=1,"Invalid/outlier quantity",IF(X2426=1,"Invalid/outlier unit price",IF(Y2426=1,"Discount greater than order value",""))))))))</f>
        <v/>
      </c>
      <c r="AC2426" s="7" t="str">
        <f aca="false">IF(AB2426="","KEEP","DROP")</f>
        <v>KEEP</v>
      </c>
      <c r="AD2426" s="7" t="str">
        <f aca="false">IF(TRIM(F2426)="",IFERROR(INDEX(Map_Tables!$I$4:$I$37,MATCH(TRIM(E2426),Map_Tables!$G$4:$G$37,0)),""),IFERROR(INDEX(Map_Tables!$B$4:$B$18,MATCH(TRIM(F2426),Map_Tables!$A$4:$A$18,0)),"CHECK"))</f>
        <v>Mumbai</v>
      </c>
      <c r="AE2426" s="7" t="str">
        <f aca="false">IF(TRIM(E2426)="","",IFERROR(INDEX(Map_Tables!$H$4:$H$37,MATCH(TRIM(E2426),Map_Tables!$G$4:$G$37,0)),"CHECK"))</f>
        <v>Curry Leaf Kitchen</v>
      </c>
      <c r="AF2426" s="7" t="str">
        <f aca="false">IF(TRIM(K2426)="","Unknown",IFERROR(INDEX(Map_Tables!$E$4:$E$15,MATCH(TRIM(K2426),Map_Tables!$D$4:$D$15,0)),"CHECK"))</f>
        <v>UPI</v>
      </c>
      <c r="AG2426" s="7" t="str">
        <f aca="false">IF(LEFT(LOWER(TRIM(L2426)),6)="cancel","Cancelled","Delivered")</f>
        <v>Delivered</v>
      </c>
      <c r="AH2426" s="10" t="n">
        <f aca="false">IF(ISNUMBER(SEARCH("/",B2426)),DATE(VALUE(RIGHT(B2426,4)),VALUE(MID(B2426,4,2)),VALUE(LEFT(B2426,2))),IF(MID(B2426,5,1)="-",DATE(VALUE(LEFT(B2426,4)),VALUE(MID(B2426,6,2)),VALUE(RIGHT(B2426,2))),DATE(VALUE(RIGHT(B2426,4)),MATCH(MID(B2426,4,3),{"Jan","Feb","Mar","Apr","May","Jun","Jul","Aug","Sep","Oct","Nov","Dec"},0),VALUE(LEFT(B2426,2)))))</f>
        <v>45732</v>
      </c>
    </row>
    <row r="2427" customFormat="false" ht="15" hidden="false" customHeight="false" outlineLevel="0" collapsed="false">
      <c r="A2427" s="7" t="s">
        <v>5359</v>
      </c>
      <c r="B2427" s="7" t="s">
        <v>3572</v>
      </c>
      <c r="C2427" s="7" t="s">
        <v>2701</v>
      </c>
      <c r="D2427" s="7" t="s">
        <v>3971</v>
      </c>
      <c r="E2427" s="7" t="s">
        <v>126</v>
      </c>
      <c r="F2427" s="7" t="s">
        <v>101</v>
      </c>
      <c r="G2427" s="7" t="s">
        <v>105</v>
      </c>
      <c r="H2427" s="7" t="n">
        <v>1</v>
      </c>
      <c r="I2427" s="7" t="n">
        <v>200</v>
      </c>
      <c r="J2427" s="7" t="n">
        <v>80</v>
      </c>
      <c r="K2427" s="7" t="s">
        <v>120</v>
      </c>
      <c r="L2427" s="7" t="s">
        <v>194</v>
      </c>
      <c r="M2427" s="7" t="n">
        <v>40</v>
      </c>
      <c r="N2427" s="7" t="n">
        <v>5</v>
      </c>
      <c r="O2427" s="7" t="str">
        <f aca="false">A2427&amp;"|"&amp;B2427&amp;"|"&amp;C2427&amp;"|"&amp;D2427&amp;"|"&amp;E2427&amp;"|"&amp;F2427&amp;"|"&amp;G2427&amp;"|"&amp;H2427&amp;"|"&amp;I2427&amp;"|"&amp;J2427&amp;"|"&amp;K2427&amp;"|"&amp;L2427&amp;"|"&amp;M2427&amp;"|"&amp;N2427</f>
        <v>ORD11286|2025-06-13|14:39|C0101|Dragon Express|Mumbai|Chinese|1|200|80|wallet|Delivered|40|5</v>
      </c>
      <c r="P2427" s="7" t="str">
        <f aca="false">IF(COUNTIF($O$2:O2427,O2427)&gt;1,"DUP","OK")</f>
        <v>OK</v>
      </c>
      <c r="Q2427" s="7" t="n">
        <f aca="false">COUNTBLANK(A2427:N2427)</f>
        <v>0</v>
      </c>
      <c r="R2427" s="7" t="n">
        <f aca="false">IF(A2427="",0,COUNTIFS($A$2:$A$3058,A2427,$P$2:$P$3058,"OK"))</f>
        <v>1</v>
      </c>
      <c r="S2427" s="7" t="str">
        <f aca="false">IF(OR(A2427="",P2427="DUP",R2427&lt;2),"",IF(Q2427=_xlfn.MINIFS($Q$2:$Q$3058,$A$2:$A$3058,A2427,$P$2:$P$3058,"OK"),"KEEP","DROP"))</f>
        <v/>
      </c>
      <c r="T2427" s="9" t="n">
        <f aca="false">IF(A2427="",1,0)</f>
        <v>0</v>
      </c>
      <c r="U2427" s="9" t="n">
        <f aca="false">IF(D2427="",1,0)</f>
        <v>0</v>
      </c>
      <c r="V2427" s="9" t="n">
        <f aca="false">IF(E2427="",1,0)</f>
        <v>0</v>
      </c>
      <c r="W2427" s="9" t="n">
        <f aca="false">IF(OR(H2427&lt;1,H2427&gt;10),1,0)</f>
        <v>0</v>
      </c>
      <c r="X2427" s="9" t="n">
        <f aca="false">IF(OR(I2427&lt;=0,I2427&gt;1500),1,0)</f>
        <v>0</v>
      </c>
      <c r="Y2427" s="9" t="n">
        <f aca="false">IF(J2427&gt;H2427*I2427,1,0)</f>
        <v>0</v>
      </c>
      <c r="Z2427" s="9" t="n">
        <f aca="false">IF(AND(N2427&lt;&gt;"",OR(N2427&lt;1,N2427&gt;5)),1,0)</f>
        <v>0</v>
      </c>
      <c r="AA2427" s="9" t="n">
        <f aca="false">IF(AND(M2427&lt;&gt;"",OR(M2427&lt;5,M2427&gt;180)),1,0)</f>
        <v>0</v>
      </c>
      <c r="AB2427" s="7" t="str">
        <f aca="false">IF(P2427="DUP","Exact duplicate row",IF(T2427=1,"Missing Order ID",IF(S2427="DROP","Duplicate Order ID (less complete row)",IF(U2427=1,"Missing Customer ID",IF(V2427=1,"Missing Restaurant name",IF(W2427=1,"Invalid/outlier quantity",IF(X2427=1,"Invalid/outlier unit price",IF(Y2427=1,"Discount greater than order value",""))))))))</f>
        <v/>
      </c>
      <c r="AC2427" s="7" t="str">
        <f aca="false">IF(AB2427="","KEEP","DROP")</f>
        <v>KEEP</v>
      </c>
      <c r="AD2427" s="7" t="str">
        <f aca="false">IF(TRIM(F2427)="",IFERROR(INDEX(Map_Tables!$I$4:$I$37,MATCH(TRIM(E2427),Map_Tables!$G$4:$G$37,0)),""),IFERROR(INDEX(Map_Tables!$B$4:$B$18,MATCH(TRIM(F2427),Map_Tables!$A$4:$A$18,0)),"CHECK"))</f>
        <v>Mumbai</v>
      </c>
      <c r="AE2427" s="7" t="str">
        <f aca="false">IF(TRIM(E2427)="","",IFERROR(INDEX(Map_Tables!$H$4:$H$37,MATCH(TRIM(E2427),Map_Tables!$G$4:$G$37,0)),"CHECK"))</f>
        <v>Dragon Express</v>
      </c>
      <c r="AF2427" s="7" t="str">
        <f aca="false">IF(TRIM(K2427)="","Unknown",IFERROR(INDEX(Map_Tables!$E$4:$E$15,MATCH(TRIM(K2427),Map_Tables!$D$4:$D$15,0)),"CHECK"))</f>
        <v>Wallet</v>
      </c>
      <c r="AG2427" s="7" t="str">
        <f aca="false">IF(LEFT(LOWER(TRIM(L2427)),6)="cancel","Cancelled","Delivered")</f>
        <v>Delivered</v>
      </c>
      <c r="AH2427" s="10" t="n">
        <f aca="false">IF(ISNUMBER(SEARCH("/",B2427)),DATE(VALUE(RIGHT(B2427,4)),VALUE(MID(B2427,4,2)),VALUE(LEFT(B2427,2))),IF(MID(B2427,5,1)="-",DATE(VALUE(LEFT(B2427,4)),VALUE(MID(B2427,6,2)),VALUE(RIGHT(B2427,2))),DATE(VALUE(RIGHT(B2427,4)),MATCH(MID(B2427,4,3),{"Jan","Feb","Mar","Apr","May","Jun","Jul","Aug","Sep","Oct","Nov","Dec"},0),VALUE(LEFT(B2427,2)))))</f>
        <v>45821</v>
      </c>
    </row>
    <row r="2428" customFormat="false" ht="15" hidden="false" customHeight="false" outlineLevel="0" collapsed="false">
      <c r="A2428" s="7"/>
      <c r="B2428" s="7" t="s">
        <v>671</v>
      </c>
      <c r="C2428" s="7" t="s">
        <v>1125</v>
      </c>
      <c r="D2428" s="7" t="s">
        <v>5063</v>
      </c>
      <c r="E2428" s="7" t="s">
        <v>126</v>
      </c>
      <c r="F2428" s="7" t="s">
        <v>101</v>
      </c>
      <c r="G2428" s="7" t="s">
        <v>105</v>
      </c>
      <c r="H2428" s="7" t="n">
        <v>1</v>
      </c>
      <c r="I2428" s="7" t="n">
        <v>165</v>
      </c>
      <c r="J2428" s="7" t="n">
        <v>0</v>
      </c>
      <c r="K2428" s="7" t="s">
        <v>112</v>
      </c>
      <c r="L2428" s="7" t="s">
        <v>194</v>
      </c>
      <c r="M2428" s="7" t="n">
        <v>46</v>
      </c>
      <c r="N2428" s="7" t="n">
        <v>5</v>
      </c>
      <c r="O2428" s="7" t="str">
        <f aca="false">A2428&amp;"|"&amp;B2428&amp;"|"&amp;C2428&amp;"|"&amp;D2428&amp;"|"&amp;E2428&amp;"|"&amp;F2428&amp;"|"&amp;G2428&amp;"|"&amp;H2428&amp;"|"&amp;I2428&amp;"|"&amp;J2428&amp;"|"&amp;K2428&amp;"|"&amp;L2428&amp;"|"&amp;M2428&amp;"|"&amp;N2428</f>
        <v>|2025-11-14|11:49|C0930|Dragon Express|Mumbai|Chinese|1|165|0|Cash on Delivery|Delivered|46|5</v>
      </c>
      <c r="P2428" s="7" t="str">
        <f aca="false">IF(COUNTIF($O$2:O2428,O2428)&gt;1,"DUP","OK")</f>
        <v>OK</v>
      </c>
      <c r="Q2428" s="7" t="n">
        <f aca="false">COUNTBLANK(A2428:N2428)</f>
        <v>1</v>
      </c>
      <c r="R2428" s="7" t="n">
        <f aca="false">IF(A2428="",0,COUNTIFS($A$2:$A$3058,A2428,$P$2:$P$3058,"OK"))</f>
        <v>0</v>
      </c>
      <c r="S2428" s="7" t="str">
        <f aca="false">IF(OR(A2428="",P2428="DUP",R2428&lt;2),"",IF(Q2428=_xlfn.MINIFS($Q$2:$Q$3058,$A$2:$A$3058,A2428,$P$2:$P$3058,"OK"),"KEEP","DROP"))</f>
        <v/>
      </c>
      <c r="T2428" s="9" t="n">
        <f aca="false">IF(A2428="",1,0)</f>
        <v>1</v>
      </c>
      <c r="U2428" s="9" t="n">
        <f aca="false">IF(D2428="",1,0)</f>
        <v>0</v>
      </c>
      <c r="V2428" s="9" t="n">
        <f aca="false">IF(E2428="",1,0)</f>
        <v>0</v>
      </c>
      <c r="W2428" s="9" t="n">
        <f aca="false">IF(OR(H2428&lt;1,H2428&gt;10),1,0)</f>
        <v>0</v>
      </c>
      <c r="X2428" s="9" t="n">
        <f aca="false">IF(OR(I2428&lt;=0,I2428&gt;1500),1,0)</f>
        <v>0</v>
      </c>
      <c r="Y2428" s="9" t="n">
        <f aca="false">IF(J2428&gt;H2428*I2428,1,0)</f>
        <v>0</v>
      </c>
      <c r="Z2428" s="9" t="n">
        <f aca="false">IF(AND(N2428&lt;&gt;"",OR(N2428&lt;1,N2428&gt;5)),1,0)</f>
        <v>0</v>
      </c>
      <c r="AA2428" s="9" t="n">
        <f aca="false">IF(AND(M2428&lt;&gt;"",OR(M2428&lt;5,M2428&gt;180)),1,0)</f>
        <v>0</v>
      </c>
      <c r="AB2428" s="7" t="str">
        <f aca="false">IF(P2428="DUP","Exact duplicate row",IF(T2428=1,"Missing Order ID",IF(S2428="DROP","Duplicate Order ID (less complete row)",IF(U2428=1,"Missing Customer ID",IF(V2428=1,"Missing Restaurant name",IF(W2428=1,"Invalid/outlier quantity",IF(X2428=1,"Invalid/outlier unit price",IF(Y2428=1,"Discount greater than order value",""))))))))</f>
        <v>Missing Order ID</v>
      </c>
      <c r="AC2428" s="7" t="str">
        <f aca="false">IF(AB2428="","KEEP","DROP")</f>
        <v>DROP</v>
      </c>
      <c r="AD2428" s="7" t="str">
        <f aca="false">IF(TRIM(F2428)="",IFERROR(INDEX(Map_Tables!$I$4:$I$37,MATCH(TRIM(E2428),Map_Tables!$G$4:$G$37,0)),""),IFERROR(INDEX(Map_Tables!$B$4:$B$18,MATCH(TRIM(F2428),Map_Tables!$A$4:$A$18,0)),"CHECK"))</f>
        <v>Mumbai</v>
      </c>
      <c r="AE2428" s="7" t="str">
        <f aca="false">IF(TRIM(E2428)="","",IFERROR(INDEX(Map_Tables!$H$4:$H$37,MATCH(TRIM(E2428),Map_Tables!$G$4:$G$37,0)),"CHECK"))</f>
        <v>Dragon Express</v>
      </c>
      <c r="AF2428" s="7" t="str">
        <f aca="false">IF(TRIM(K2428)="","Unknown",IFERROR(INDEX(Map_Tables!$E$4:$E$15,MATCH(TRIM(K2428),Map_Tables!$D$4:$D$15,0)),"CHECK"))</f>
        <v>Cash on Delivery</v>
      </c>
      <c r="AG2428" s="7" t="str">
        <f aca="false">IF(LEFT(LOWER(TRIM(L2428)),6)="cancel","Cancelled","Delivered")</f>
        <v>Delivered</v>
      </c>
      <c r="AH2428" s="10" t="n">
        <f aca="false">IF(ISNUMBER(SEARCH("/",B2428)),DATE(VALUE(RIGHT(B2428,4)),VALUE(MID(B2428,4,2)),VALUE(LEFT(B2428,2))),IF(MID(B2428,5,1)="-",DATE(VALUE(LEFT(B2428,4)),VALUE(MID(B2428,6,2)),VALUE(RIGHT(B2428,2))),DATE(VALUE(RIGHT(B2428,4)),MATCH(MID(B2428,4,3),{"Jan","Feb","Mar","Apr","May","Jun","Jul","Aug","Sep","Oct","Nov","Dec"},0),VALUE(LEFT(B2428,2)))))</f>
        <v>45975</v>
      </c>
    </row>
    <row r="2429" customFormat="false" ht="15" hidden="false" customHeight="false" outlineLevel="0" collapsed="false">
      <c r="A2429" s="7" t="s">
        <v>5360</v>
      </c>
      <c r="B2429" s="7" t="s">
        <v>360</v>
      </c>
      <c r="C2429" s="7" t="s">
        <v>346</v>
      </c>
      <c r="D2429" s="7" t="s">
        <v>5361</v>
      </c>
      <c r="E2429" s="7" t="s">
        <v>142</v>
      </c>
      <c r="F2429" s="7" t="s">
        <v>110</v>
      </c>
      <c r="G2429" s="7" t="s">
        <v>105</v>
      </c>
      <c r="H2429" s="7" t="n">
        <v>1</v>
      </c>
      <c r="I2429" s="7" t="n">
        <v>155</v>
      </c>
      <c r="J2429" s="7" t="n">
        <v>0</v>
      </c>
      <c r="K2429" s="7" t="s">
        <v>88</v>
      </c>
      <c r="L2429" s="7" t="s">
        <v>194</v>
      </c>
      <c r="M2429" s="7" t="n">
        <v>48</v>
      </c>
      <c r="N2429" s="7" t="n">
        <v>4</v>
      </c>
      <c r="O2429" s="7" t="str">
        <f aca="false">A2429&amp;"|"&amp;B2429&amp;"|"&amp;C2429&amp;"|"&amp;D2429&amp;"|"&amp;E2429&amp;"|"&amp;F2429&amp;"|"&amp;G2429&amp;"|"&amp;H2429&amp;"|"&amp;I2429&amp;"|"&amp;J2429&amp;"|"&amp;K2429&amp;"|"&amp;L2429&amp;"|"&amp;M2429&amp;"|"&amp;N2429</f>
        <v>ORD10725|2025-04-02|19:18|C0896|Momo Magic|Delhi|Chinese|1|155|0|UPI|Delivered|48|4</v>
      </c>
      <c r="P2429" s="7" t="str">
        <f aca="false">IF(COUNTIF($O$2:O2429,O2429)&gt;1,"DUP","OK")</f>
        <v>OK</v>
      </c>
      <c r="Q2429" s="7" t="n">
        <f aca="false">COUNTBLANK(A2429:N2429)</f>
        <v>0</v>
      </c>
      <c r="R2429" s="7" t="n">
        <f aca="false">IF(A2429="",0,COUNTIFS($A$2:$A$3058,A2429,$P$2:$P$3058,"OK"))</f>
        <v>1</v>
      </c>
      <c r="S2429" s="7" t="str">
        <f aca="false">IF(OR(A2429="",P2429="DUP",R2429&lt;2),"",IF(Q2429=_xlfn.MINIFS($Q$2:$Q$3058,$A$2:$A$3058,A2429,$P$2:$P$3058,"OK"),"KEEP","DROP"))</f>
        <v/>
      </c>
      <c r="T2429" s="9" t="n">
        <f aca="false">IF(A2429="",1,0)</f>
        <v>0</v>
      </c>
      <c r="U2429" s="9" t="n">
        <f aca="false">IF(D2429="",1,0)</f>
        <v>0</v>
      </c>
      <c r="V2429" s="9" t="n">
        <f aca="false">IF(E2429="",1,0)</f>
        <v>0</v>
      </c>
      <c r="W2429" s="9" t="n">
        <f aca="false">IF(OR(H2429&lt;1,H2429&gt;10),1,0)</f>
        <v>0</v>
      </c>
      <c r="X2429" s="9" t="n">
        <f aca="false">IF(OR(I2429&lt;=0,I2429&gt;1500),1,0)</f>
        <v>0</v>
      </c>
      <c r="Y2429" s="9" t="n">
        <f aca="false">IF(J2429&gt;H2429*I2429,1,0)</f>
        <v>0</v>
      </c>
      <c r="Z2429" s="9" t="n">
        <f aca="false">IF(AND(N2429&lt;&gt;"",OR(N2429&lt;1,N2429&gt;5)),1,0)</f>
        <v>0</v>
      </c>
      <c r="AA2429" s="9" t="n">
        <f aca="false">IF(AND(M2429&lt;&gt;"",OR(M2429&lt;5,M2429&gt;180)),1,0)</f>
        <v>0</v>
      </c>
      <c r="AB2429" s="7" t="str">
        <f aca="false">IF(P2429="DUP","Exact duplicate row",IF(T2429=1,"Missing Order ID",IF(S2429="DROP","Duplicate Order ID (less complete row)",IF(U2429=1,"Missing Customer ID",IF(V2429=1,"Missing Restaurant name",IF(W2429=1,"Invalid/outlier quantity",IF(X2429=1,"Invalid/outlier unit price",IF(Y2429=1,"Discount greater than order value",""))))))))</f>
        <v/>
      </c>
      <c r="AC2429" s="7" t="str">
        <f aca="false">IF(AB2429="","KEEP","DROP")</f>
        <v>KEEP</v>
      </c>
      <c r="AD2429" s="7" t="str">
        <f aca="false">IF(TRIM(F2429)="",IFERROR(INDEX(Map_Tables!$I$4:$I$37,MATCH(TRIM(E2429),Map_Tables!$G$4:$G$37,0)),""),IFERROR(INDEX(Map_Tables!$B$4:$B$18,MATCH(TRIM(F2429),Map_Tables!$A$4:$A$18,0)),"CHECK"))</f>
        <v>Delhi</v>
      </c>
      <c r="AE2429" s="7" t="str">
        <f aca="false">IF(TRIM(E2429)="","",IFERROR(INDEX(Map_Tables!$H$4:$H$37,MATCH(TRIM(E2429),Map_Tables!$G$4:$G$37,0)),"CHECK"))</f>
        <v>Momo Magic</v>
      </c>
      <c r="AF2429" s="7" t="str">
        <f aca="false">IF(TRIM(K2429)="","Unknown",IFERROR(INDEX(Map_Tables!$E$4:$E$15,MATCH(TRIM(K2429),Map_Tables!$D$4:$D$15,0)),"CHECK"))</f>
        <v>UPI</v>
      </c>
      <c r="AG2429" s="7" t="str">
        <f aca="false">IF(LEFT(LOWER(TRIM(L2429)),6)="cancel","Cancelled","Delivered")</f>
        <v>Delivered</v>
      </c>
      <c r="AH2429" s="10" t="n">
        <f aca="false">IF(ISNUMBER(SEARCH("/",B2429)),DATE(VALUE(RIGHT(B2429,4)),VALUE(MID(B2429,4,2)),VALUE(LEFT(B2429,2))),IF(MID(B2429,5,1)="-",DATE(VALUE(LEFT(B2429,4)),VALUE(MID(B2429,6,2)),VALUE(RIGHT(B2429,2))),DATE(VALUE(RIGHT(B2429,4)),MATCH(MID(B2429,4,3),{"Jan","Feb","Mar","Apr","May","Jun","Jul","Aug","Sep","Oct","Nov","Dec"},0),VALUE(LEFT(B2429,2)))))</f>
        <v>45749</v>
      </c>
    </row>
    <row r="2430" customFormat="false" ht="15" hidden="false" customHeight="false" outlineLevel="0" collapsed="false">
      <c r="A2430" s="7" t="s">
        <v>5362</v>
      </c>
      <c r="B2430" s="7" t="s">
        <v>671</v>
      </c>
      <c r="C2430" s="7" t="s">
        <v>1438</v>
      </c>
      <c r="D2430" s="7" t="s">
        <v>5363</v>
      </c>
      <c r="E2430" s="7" t="s">
        <v>1806</v>
      </c>
      <c r="F2430" s="7" t="s">
        <v>101</v>
      </c>
      <c r="G2430" s="7" t="s">
        <v>90</v>
      </c>
      <c r="H2430" s="7" t="n">
        <v>2</v>
      </c>
      <c r="I2430" s="7" t="n">
        <v>245</v>
      </c>
      <c r="J2430" s="7" t="n">
        <v>75</v>
      </c>
      <c r="K2430" s="7" t="s">
        <v>93</v>
      </c>
      <c r="L2430" s="7" t="s">
        <v>194</v>
      </c>
      <c r="M2430" s="7" t="n">
        <v>33</v>
      </c>
      <c r="N2430" s="7" t="n">
        <v>3</v>
      </c>
      <c r="O2430" s="7" t="str">
        <f aca="false">A2430&amp;"|"&amp;B2430&amp;"|"&amp;C2430&amp;"|"&amp;D2430&amp;"|"&amp;E2430&amp;"|"&amp;F2430&amp;"|"&amp;G2430&amp;"|"&amp;H2430&amp;"|"&amp;I2430&amp;"|"&amp;J2430&amp;"|"&amp;K2430&amp;"|"&amp;L2430&amp;"|"&amp;M2430&amp;"|"&amp;N2430</f>
        <v>ORD12547|2025-11-14|09:47|C0353|curry leaf kitchen|Mumbai|North Indian|2|245|75|Credit Card|Delivered|33|3</v>
      </c>
      <c r="P2430" s="7" t="str">
        <f aca="false">IF(COUNTIF($O$2:O2430,O2430)&gt;1,"DUP","OK")</f>
        <v>OK</v>
      </c>
      <c r="Q2430" s="7" t="n">
        <f aca="false">COUNTBLANK(A2430:N2430)</f>
        <v>0</v>
      </c>
      <c r="R2430" s="7" t="n">
        <f aca="false">IF(A2430="",0,COUNTIFS($A$2:$A$3058,A2430,$P$2:$P$3058,"OK"))</f>
        <v>1</v>
      </c>
      <c r="S2430" s="7" t="str">
        <f aca="false">IF(OR(A2430="",P2430="DUP",R2430&lt;2),"",IF(Q2430=_xlfn.MINIFS($Q$2:$Q$3058,$A$2:$A$3058,A2430,$P$2:$P$3058,"OK"),"KEEP","DROP"))</f>
        <v/>
      </c>
      <c r="T2430" s="9" t="n">
        <f aca="false">IF(A2430="",1,0)</f>
        <v>0</v>
      </c>
      <c r="U2430" s="9" t="n">
        <f aca="false">IF(D2430="",1,0)</f>
        <v>0</v>
      </c>
      <c r="V2430" s="9" t="n">
        <f aca="false">IF(E2430="",1,0)</f>
        <v>0</v>
      </c>
      <c r="W2430" s="9" t="n">
        <f aca="false">IF(OR(H2430&lt;1,H2430&gt;10),1,0)</f>
        <v>0</v>
      </c>
      <c r="X2430" s="9" t="n">
        <f aca="false">IF(OR(I2430&lt;=0,I2430&gt;1500),1,0)</f>
        <v>0</v>
      </c>
      <c r="Y2430" s="9" t="n">
        <f aca="false">IF(J2430&gt;H2430*I2430,1,0)</f>
        <v>0</v>
      </c>
      <c r="Z2430" s="9" t="n">
        <f aca="false">IF(AND(N2430&lt;&gt;"",OR(N2430&lt;1,N2430&gt;5)),1,0)</f>
        <v>0</v>
      </c>
      <c r="AA2430" s="9" t="n">
        <f aca="false">IF(AND(M2430&lt;&gt;"",OR(M2430&lt;5,M2430&gt;180)),1,0)</f>
        <v>0</v>
      </c>
      <c r="AB2430" s="7" t="str">
        <f aca="false">IF(P2430="DUP","Exact duplicate row",IF(T2430=1,"Missing Order ID",IF(S2430="DROP","Duplicate Order ID (less complete row)",IF(U2430=1,"Missing Customer ID",IF(V2430=1,"Missing Restaurant name",IF(W2430=1,"Invalid/outlier quantity",IF(X2430=1,"Invalid/outlier unit price",IF(Y2430=1,"Discount greater than order value",""))))))))</f>
        <v/>
      </c>
      <c r="AC2430" s="7" t="str">
        <f aca="false">IF(AB2430="","KEEP","DROP")</f>
        <v>KEEP</v>
      </c>
      <c r="AD2430" s="7" t="str">
        <f aca="false">IF(TRIM(F2430)="",IFERROR(INDEX(Map_Tables!$I$4:$I$37,MATCH(TRIM(E2430),Map_Tables!$G$4:$G$37,0)),""),IFERROR(INDEX(Map_Tables!$B$4:$B$18,MATCH(TRIM(F2430),Map_Tables!$A$4:$A$18,0)),"CHECK"))</f>
        <v>Mumbai</v>
      </c>
      <c r="AE2430" s="7" t="str">
        <f aca="false">IF(TRIM(E2430)="","",IFERROR(INDEX(Map_Tables!$H$4:$H$37,MATCH(TRIM(E2430),Map_Tables!$G$4:$G$37,0)),"CHECK"))</f>
        <v>Curry Leaf Kitchen</v>
      </c>
      <c r="AF2430" s="7" t="str">
        <f aca="false">IF(TRIM(K2430)="","Unknown",IFERROR(INDEX(Map_Tables!$E$4:$E$15,MATCH(TRIM(K2430),Map_Tables!$D$4:$D$15,0)),"CHECK"))</f>
        <v>Credit Card</v>
      </c>
      <c r="AG2430" s="7" t="str">
        <f aca="false">IF(LEFT(LOWER(TRIM(L2430)),6)="cancel","Cancelled","Delivered")</f>
        <v>Delivered</v>
      </c>
      <c r="AH2430" s="10" t="n">
        <f aca="false">IF(ISNUMBER(SEARCH("/",B2430)),DATE(VALUE(RIGHT(B2430,4)),VALUE(MID(B2430,4,2)),VALUE(LEFT(B2430,2))),IF(MID(B2430,5,1)="-",DATE(VALUE(LEFT(B2430,4)),VALUE(MID(B2430,6,2)),VALUE(RIGHT(B2430,2))),DATE(VALUE(RIGHT(B2430,4)),MATCH(MID(B2430,4,3),{"Jan","Feb","Mar","Apr","May","Jun","Jul","Aug","Sep","Oct","Nov","Dec"},0),VALUE(LEFT(B2430,2)))))</f>
        <v>45975</v>
      </c>
    </row>
    <row r="2431" customFormat="false" ht="15" hidden="false" customHeight="false" outlineLevel="0" collapsed="false">
      <c r="A2431" s="7" t="s">
        <v>5364</v>
      </c>
      <c r="B2431" s="7" t="s">
        <v>5365</v>
      </c>
      <c r="C2431" s="7" t="s">
        <v>2592</v>
      </c>
      <c r="D2431" s="7" t="s">
        <v>538</v>
      </c>
      <c r="E2431" s="7" t="s">
        <v>98</v>
      </c>
      <c r="F2431" s="7" t="s">
        <v>86</v>
      </c>
      <c r="G2431" s="7" t="s">
        <v>99</v>
      </c>
      <c r="H2431" s="7" t="n">
        <v>2</v>
      </c>
      <c r="I2431" s="7" t="n">
        <v>245</v>
      </c>
      <c r="J2431" s="7" t="n">
        <v>40</v>
      </c>
      <c r="K2431" s="7" t="s">
        <v>88</v>
      </c>
      <c r="L2431" s="7" t="s">
        <v>194</v>
      </c>
      <c r="M2431" s="7" t="n">
        <v>36</v>
      </c>
      <c r="N2431" s="7" t="n">
        <v>5</v>
      </c>
      <c r="O2431" s="7" t="str">
        <f aca="false">A2431&amp;"|"&amp;B2431&amp;"|"&amp;C2431&amp;"|"&amp;D2431&amp;"|"&amp;E2431&amp;"|"&amp;F2431&amp;"|"&amp;G2431&amp;"|"&amp;H2431&amp;"|"&amp;I2431&amp;"|"&amp;J2431&amp;"|"&amp;K2431&amp;"|"&amp;L2431&amp;"|"&amp;M2431&amp;"|"&amp;N2431</f>
        <v>ORD11213|03/06/2025|11:03|C1155|Nawabi Biryani House|Bengaluru|Biryani|2|245|40|UPI|Delivered|36|5</v>
      </c>
      <c r="P2431" s="7" t="str">
        <f aca="false">IF(COUNTIF($O$2:O2431,O2431)&gt;1,"DUP","OK")</f>
        <v>OK</v>
      </c>
      <c r="Q2431" s="7" t="n">
        <f aca="false">COUNTBLANK(A2431:N2431)</f>
        <v>0</v>
      </c>
      <c r="R2431" s="7" t="n">
        <f aca="false">IF(A2431="",0,COUNTIFS($A$2:$A$3058,A2431,$P$2:$P$3058,"OK"))</f>
        <v>1</v>
      </c>
      <c r="S2431" s="7" t="str">
        <f aca="false">IF(OR(A2431="",P2431="DUP",R2431&lt;2),"",IF(Q2431=_xlfn.MINIFS($Q$2:$Q$3058,$A$2:$A$3058,A2431,$P$2:$P$3058,"OK"),"KEEP","DROP"))</f>
        <v/>
      </c>
      <c r="T2431" s="9" t="n">
        <f aca="false">IF(A2431="",1,0)</f>
        <v>0</v>
      </c>
      <c r="U2431" s="9" t="n">
        <f aca="false">IF(D2431="",1,0)</f>
        <v>0</v>
      </c>
      <c r="V2431" s="9" t="n">
        <f aca="false">IF(E2431="",1,0)</f>
        <v>0</v>
      </c>
      <c r="W2431" s="9" t="n">
        <f aca="false">IF(OR(H2431&lt;1,H2431&gt;10),1,0)</f>
        <v>0</v>
      </c>
      <c r="X2431" s="9" t="n">
        <f aca="false">IF(OR(I2431&lt;=0,I2431&gt;1500),1,0)</f>
        <v>0</v>
      </c>
      <c r="Y2431" s="9" t="n">
        <f aca="false">IF(J2431&gt;H2431*I2431,1,0)</f>
        <v>0</v>
      </c>
      <c r="Z2431" s="9" t="n">
        <f aca="false">IF(AND(N2431&lt;&gt;"",OR(N2431&lt;1,N2431&gt;5)),1,0)</f>
        <v>0</v>
      </c>
      <c r="AA2431" s="9" t="n">
        <f aca="false">IF(AND(M2431&lt;&gt;"",OR(M2431&lt;5,M2431&gt;180)),1,0)</f>
        <v>0</v>
      </c>
      <c r="AB2431" s="7" t="str">
        <f aca="false">IF(P2431="DUP","Exact duplicate row",IF(T2431=1,"Missing Order ID",IF(S2431="DROP","Duplicate Order ID (less complete row)",IF(U2431=1,"Missing Customer ID",IF(V2431=1,"Missing Restaurant name",IF(W2431=1,"Invalid/outlier quantity",IF(X2431=1,"Invalid/outlier unit price",IF(Y2431=1,"Discount greater than order value",""))))))))</f>
        <v/>
      </c>
      <c r="AC2431" s="7" t="str">
        <f aca="false">IF(AB2431="","KEEP","DROP")</f>
        <v>KEEP</v>
      </c>
      <c r="AD2431" s="7" t="str">
        <f aca="false">IF(TRIM(F2431)="",IFERROR(INDEX(Map_Tables!$I$4:$I$37,MATCH(TRIM(E2431),Map_Tables!$G$4:$G$37,0)),""),IFERROR(INDEX(Map_Tables!$B$4:$B$18,MATCH(TRIM(F2431),Map_Tables!$A$4:$A$18,0)),"CHECK"))</f>
        <v>Bengaluru</v>
      </c>
      <c r="AE2431" s="7" t="str">
        <f aca="false">IF(TRIM(E2431)="","",IFERROR(INDEX(Map_Tables!$H$4:$H$37,MATCH(TRIM(E2431),Map_Tables!$G$4:$G$37,0)),"CHECK"))</f>
        <v>Nawabi Biryani House</v>
      </c>
      <c r="AF2431" s="7" t="str">
        <f aca="false">IF(TRIM(K2431)="","Unknown",IFERROR(INDEX(Map_Tables!$E$4:$E$15,MATCH(TRIM(K2431),Map_Tables!$D$4:$D$15,0)),"CHECK"))</f>
        <v>UPI</v>
      </c>
      <c r="AG2431" s="7" t="str">
        <f aca="false">IF(LEFT(LOWER(TRIM(L2431)),6)="cancel","Cancelled","Delivered")</f>
        <v>Delivered</v>
      </c>
      <c r="AH2431" s="10" t="n">
        <f aca="false">IF(ISNUMBER(SEARCH("/",B2431)),DATE(VALUE(RIGHT(B2431,4)),VALUE(MID(B2431,4,2)),VALUE(LEFT(B2431,2))),IF(MID(B2431,5,1)="-",DATE(VALUE(LEFT(B2431,4)),VALUE(MID(B2431,6,2)),VALUE(RIGHT(B2431,2))),DATE(VALUE(RIGHT(B2431,4)),MATCH(MID(B2431,4,3),{"Jan","Feb","Mar","Apr","May","Jun","Jul","Aug","Sep","Oct","Nov","Dec"},0),VALUE(LEFT(B2431,2)))))</f>
        <v>45811</v>
      </c>
    </row>
    <row r="2432" customFormat="false" ht="15" hidden="false" customHeight="false" outlineLevel="0" collapsed="false">
      <c r="A2432" s="7" t="s">
        <v>5366</v>
      </c>
      <c r="B2432" s="7" t="s">
        <v>2303</v>
      </c>
      <c r="C2432" s="7" t="s">
        <v>1058</v>
      </c>
      <c r="D2432" s="7" t="s">
        <v>1072</v>
      </c>
      <c r="E2432" s="7" t="s">
        <v>142</v>
      </c>
      <c r="F2432" s="7" t="s">
        <v>110</v>
      </c>
      <c r="G2432" s="7" t="s">
        <v>105</v>
      </c>
      <c r="H2432" s="7" t="n">
        <v>1</v>
      </c>
      <c r="I2432" s="7" t="n">
        <v>175</v>
      </c>
      <c r="J2432" s="7" t="n">
        <v>0</v>
      </c>
      <c r="K2432" s="7" t="s">
        <v>93</v>
      </c>
      <c r="L2432" s="7" t="s">
        <v>194</v>
      </c>
      <c r="M2432" s="7" t="n">
        <v>48</v>
      </c>
      <c r="N2432" s="7" t="n">
        <v>4</v>
      </c>
      <c r="O2432" s="7" t="str">
        <f aca="false">A2432&amp;"|"&amp;B2432&amp;"|"&amp;C2432&amp;"|"&amp;D2432&amp;"|"&amp;E2432&amp;"|"&amp;F2432&amp;"|"&amp;G2432&amp;"|"&amp;H2432&amp;"|"&amp;I2432&amp;"|"&amp;J2432&amp;"|"&amp;K2432&amp;"|"&amp;L2432&amp;"|"&amp;M2432&amp;"|"&amp;N2432</f>
        <v>ORD12300|2025-10-17|20:49|C0699|Momo Magic|Delhi|Chinese|1|175|0|Credit Card|Delivered|48|4</v>
      </c>
      <c r="P2432" s="7" t="str">
        <f aca="false">IF(COUNTIF($O$2:O2432,O2432)&gt;1,"DUP","OK")</f>
        <v>OK</v>
      </c>
      <c r="Q2432" s="7" t="n">
        <f aca="false">COUNTBLANK(A2432:N2432)</f>
        <v>0</v>
      </c>
      <c r="R2432" s="7" t="n">
        <f aca="false">IF(A2432="",0,COUNTIFS($A$2:$A$3058,A2432,$P$2:$P$3058,"OK"))</f>
        <v>1</v>
      </c>
      <c r="S2432" s="7" t="str">
        <f aca="false">IF(OR(A2432="",P2432="DUP",R2432&lt;2),"",IF(Q2432=_xlfn.MINIFS($Q$2:$Q$3058,$A$2:$A$3058,A2432,$P$2:$P$3058,"OK"),"KEEP","DROP"))</f>
        <v/>
      </c>
      <c r="T2432" s="9" t="n">
        <f aca="false">IF(A2432="",1,0)</f>
        <v>0</v>
      </c>
      <c r="U2432" s="9" t="n">
        <f aca="false">IF(D2432="",1,0)</f>
        <v>0</v>
      </c>
      <c r="V2432" s="9" t="n">
        <f aca="false">IF(E2432="",1,0)</f>
        <v>0</v>
      </c>
      <c r="W2432" s="9" t="n">
        <f aca="false">IF(OR(H2432&lt;1,H2432&gt;10),1,0)</f>
        <v>0</v>
      </c>
      <c r="X2432" s="9" t="n">
        <f aca="false">IF(OR(I2432&lt;=0,I2432&gt;1500),1,0)</f>
        <v>0</v>
      </c>
      <c r="Y2432" s="9" t="n">
        <f aca="false">IF(J2432&gt;H2432*I2432,1,0)</f>
        <v>0</v>
      </c>
      <c r="Z2432" s="9" t="n">
        <f aca="false">IF(AND(N2432&lt;&gt;"",OR(N2432&lt;1,N2432&gt;5)),1,0)</f>
        <v>0</v>
      </c>
      <c r="AA2432" s="9" t="n">
        <f aca="false">IF(AND(M2432&lt;&gt;"",OR(M2432&lt;5,M2432&gt;180)),1,0)</f>
        <v>0</v>
      </c>
      <c r="AB2432" s="7" t="str">
        <f aca="false">IF(P2432="DUP","Exact duplicate row",IF(T2432=1,"Missing Order ID",IF(S2432="DROP","Duplicate Order ID (less complete row)",IF(U2432=1,"Missing Customer ID",IF(V2432=1,"Missing Restaurant name",IF(W2432=1,"Invalid/outlier quantity",IF(X2432=1,"Invalid/outlier unit price",IF(Y2432=1,"Discount greater than order value",""))))))))</f>
        <v/>
      </c>
      <c r="AC2432" s="7" t="str">
        <f aca="false">IF(AB2432="","KEEP","DROP")</f>
        <v>KEEP</v>
      </c>
      <c r="AD2432" s="7" t="str">
        <f aca="false">IF(TRIM(F2432)="",IFERROR(INDEX(Map_Tables!$I$4:$I$37,MATCH(TRIM(E2432),Map_Tables!$G$4:$G$37,0)),""),IFERROR(INDEX(Map_Tables!$B$4:$B$18,MATCH(TRIM(F2432),Map_Tables!$A$4:$A$18,0)),"CHECK"))</f>
        <v>Delhi</v>
      </c>
      <c r="AE2432" s="7" t="str">
        <f aca="false">IF(TRIM(E2432)="","",IFERROR(INDEX(Map_Tables!$H$4:$H$37,MATCH(TRIM(E2432),Map_Tables!$G$4:$G$37,0)),"CHECK"))</f>
        <v>Momo Magic</v>
      </c>
      <c r="AF2432" s="7" t="str">
        <f aca="false">IF(TRIM(K2432)="","Unknown",IFERROR(INDEX(Map_Tables!$E$4:$E$15,MATCH(TRIM(K2432),Map_Tables!$D$4:$D$15,0)),"CHECK"))</f>
        <v>Credit Card</v>
      </c>
      <c r="AG2432" s="7" t="str">
        <f aca="false">IF(LEFT(LOWER(TRIM(L2432)),6)="cancel","Cancelled","Delivered")</f>
        <v>Delivered</v>
      </c>
      <c r="AH2432" s="10" t="n">
        <f aca="false">IF(ISNUMBER(SEARCH("/",B2432)),DATE(VALUE(RIGHT(B2432,4)),VALUE(MID(B2432,4,2)),VALUE(LEFT(B2432,2))),IF(MID(B2432,5,1)="-",DATE(VALUE(LEFT(B2432,4)),VALUE(MID(B2432,6,2)),VALUE(RIGHT(B2432,2))),DATE(VALUE(RIGHT(B2432,4)),MATCH(MID(B2432,4,3),{"Jan","Feb","Mar","Apr","May","Jun","Jul","Aug","Sep","Oct","Nov","Dec"},0),VALUE(LEFT(B2432,2)))))</f>
        <v>45947</v>
      </c>
    </row>
    <row r="2433" customFormat="false" ht="15" hidden="false" customHeight="false" outlineLevel="0" collapsed="false">
      <c r="A2433" s="7" t="s">
        <v>5367</v>
      </c>
      <c r="B2433" s="7" t="s">
        <v>546</v>
      </c>
      <c r="C2433" s="7" t="s">
        <v>1737</v>
      </c>
      <c r="D2433" s="7" t="s">
        <v>1371</v>
      </c>
      <c r="E2433" s="7" t="s">
        <v>168</v>
      </c>
      <c r="F2433" s="7" t="s">
        <v>146</v>
      </c>
      <c r="G2433" s="7" t="s">
        <v>123</v>
      </c>
      <c r="H2433" s="7" t="n">
        <v>1</v>
      </c>
      <c r="I2433" s="7" t="n">
        <v>320</v>
      </c>
      <c r="J2433" s="7" t="n">
        <v>100</v>
      </c>
      <c r="K2433" s="7" t="s">
        <v>421</v>
      </c>
      <c r="L2433" s="7" t="s">
        <v>194</v>
      </c>
      <c r="M2433" s="7" t="n">
        <v>38</v>
      </c>
      <c r="N2433" s="7" t="n">
        <v>5</v>
      </c>
      <c r="O2433" s="7" t="str">
        <f aca="false">A2433&amp;"|"&amp;B2433&amp;"|"&amp;C2433&amp;"|"&amp;D2433&amp;"|"&amp;E2433&amp;"|"&amp;F2433&amp;"|"&amp;G2433&amp;"|"&amp;H2433&amp;"|"&amp;I2433&amp;"|"&amp;J2433&amp;"|"&amp;K2433&amp;"|"&amp;L2433&amp;"|"&amp;M2433&amp;"|"&amp;N2433</f>
        <v>ORD12608|2025-11-18|19:27|C0663|Cheesy Slice|Ahmedabad|Pizza|1|320|100|UPI |Delivered|38|5</v>
      </c>
      <c r="P2433" s="7" t="str">
        <f aca="false">IF(COUNTIF($O$2:O2433,O2433)&gt;1,"DUP","OK")</f>
        <v>OK</v>
      </c>
      <c r="Q2433" s="7" t="n">
        <f aca="false">COUNTBLANK(A2433:N2433)</f>
        <v>0</v>
      </c>
      <c r="R2433" s="7" t="n">
        <f aca="false">IF(A2433="",0,COUNTIFS($A$2:$A$3058,A2433,$P$2:$P$3058,"OK"))</f>
        <v>1</v>
      </c>
      <c r="S2433" s="7" t="str">
        <f aca="false">IF(OR(A2433="",P2433="DUP",R2433&lt;2),"",IF(Q2433=_xlfn.MINIFS($Q$2:$Q$3058,$A$2:$A$3058,A2433,$P$2:$P$3058,"OK"),"KEEP","DROP"))</f>
        <v/>
      </c>
      <c r="T2433" s="9" t="n">
        <f aca="false">IF(A2433="",1,0)</f>
        <v>0</v>
      </c>
      <c r="U2433" s="9" t="n">
        <f aca="false">IF(D2433="",1,0)</f>
        <v>0</v>
      </c>
      <c r="V2433" s="9" t="n">
        <f aca="false">IF(E2433="",1,0)</f>
        <v>0</v>
      </c>
      <c r="W2433" s="9" t="n">
        <f aca="false">IF(OR(H2433&lt;1,H2433&gt;10),1,0)</f>
        <v>0</v>
      </c>
      <c r="X2433" s="9" t="n">
        <f aca="false">IF(OR(I2433&lt;=0,I2433&gt;1500),1,0)</f>
        <v>0</v>
      </c>
      <c r="Y2433" s="9" t="n">
        <f aca="false">IF(J2433&gt;H2433*I2433,1,0)</f>
        <v>0</v>
      </c>
      <c r="Z2433" s="9" t="n">
        <f aca="false">IF(AND(N2433&lt;&gt;"",OR(N2433&lt;1,N2433&gt;5)),1,0)</f>
        <v>0</v>
      </c>
      <c r="AA2433" s="9" t="n">
        <f aca="false">IF(AND(M2433&lt;&gt;"",OR(M2433&lt;5,M2433&gt;180)),1,0)</f>
        <v>0</v>
      </c>
      <c r="AB2433" s="7" t="str">
        <f aca="false">IF(P2433="DUP","Exact duplicate row",IF(T2433=1,"Missing Order ID",IF(S2433="DROP","Duplicate Order ID (less complete row)",IF(U2433=1,"Missing Customer ID",IF(V2433=1,"Missing Restaurant name",IF(W2433=1,"Invalid/outlier quantity",IF(X2433=1,"Invalid/outlier unit price",IF(Y2433=1,"Discount greater than order value",""))))))))</f>
        <v/>
      </c>
      <c r="AC2433" s="7" t="str">
        <f aca="false">IF(AB2433="","KEEP","DROP")</f>
        <v>KEEP</v>
      </c>
      <c r="AD2433" s="7" t="str">
        <f aca="false">IF(TRIM(F2433)="",IFERROR(INDEX(Map_Tables!$I$4:$I$37,MATCH(TRIM(E2433),Map_Tables!$G$4:$G$37,0)),""),IFERROR(INDEX(Map_Tables!$B$4:$B$18,MATCH(TRIM(F2433),Map_Tables!$A$4:$A$18,0)),"CHECK"))</f>
        <v>Ahmedabad</v>
      </c>
      <c r="AE2433" s="7" t="str">
        <f aca="false">IF(TRIM(E2433)="","",IFERROR(INDEX(Map_Tables!$H$4:$H$37,MATCH(TRIM(E2433),Map_Tables!$G$4:$G$37,0)),"CHECK"))</f>
        <v>Cheesy Slice</v>
      </c>
      <c r="AF2433" s="7" t="str">
        <f aca="false">IF(TRIM(K2433)="","Unknown",IFERROR(INDEX(Map_Tables!$E$4:$E$15,MATCH(TRIM(K2433),Map_Tables!$D$4:$D$15,0)),"CHECK"))</f>
        <v>UPI</v>
      </c>
      <c r="AG2433" s="7" t="str">
        <f aca="false">IF(LEFT(LOWER(TRIM(L2433)),6)="cancel","Cancelled","Delivered")</f>
        <v>Delivered</v>
      </c>
      <c r="AH2433" s="10" t="n">
        <f aca="false">IF(ISNUMBER(SEARCH("/",B2433)),DATE(VALUE(RIGHT(B2433,4)),VALUE(MID(B2433,4,2)),VALUE(LEFT(B2433,2))),IF(MID(B2433,5,1)="-",DATE(VALUE(LEFT(B2433,4)),VALUE(MID(B2433,6,2)),VALUE(RIGHT(B2433,2))),DATE(VALUE(RIGHT(B2433,4)),MATCH(MID(B2433,4,3),{"Jan","Feb","Mar","Apr","May","Jun","Jul","Aug","Sep","Oct","Nov","Dec"},0),VALUE(LEFT(B2433,2)))))</f>
        <v>45979</v>
      </c>
    </row>
    <row r="2434" customFormat="false" ht="15" hidden="false" customHeight="false" outlineLevel="0" collapsed="false">
      <c r="A2434" s="7" t="s">
        <v>5368</v>
      </c>
      <c r="B2434" s="7" t="s">
        <v>1437</v>
      </c>
      <c r="C2434" s="7" t="s">
        <v>1795</v>
      </c>
      <c r="D2434" s="7" t="s">
        <v>1796</v>
      </c>
      <c r="E2434" s="7" t="s">
        <v>116</v>
      </c>
      <c r="F2434" s="7" t="s">
        <v>101</v>
      </c>
      <c r="G2434" s="7" t="s">
        <v>117</v>
      </c>
      <c r="H2434" s="7" t="n">
        <v>1</v>
      </c>
      <c r="I2434" s="7" t="n">
        <v>165</v>
      </c>
      <c r="J2434" s="7" t="n">
        <v>40</v>
      </c>
      <c r="K2434" s="7" t="s">
        <v>93</v>
      </c>
      <c r="L2434" s="7" t="s">
        <v>194</v>
      </c>
      <c r="M2434" s="7" t="n">
        <v>50</v>
      </c>
      <c r="N2434" s="7" t="n">
        <v>3</v>
      </c>
      <c r="O2434" s="7" t="str">
        <f aca="false">A2434&amp;"|"&amp;B2434&amp;"|"&amp;C2434&amp;"|"&amp;D2434&amp;"|"&amp;E2434&amp;"|"&amp;F2434&amp;"|"&amp;G2434&amp;"|"&amp;H2434&amp;"|"&amp;I2434&amp;"|"&amp;J2434&amp;"|"&amp;K2434&amp;"|"&amp;L2434&amp;"|"&amp;M2434&amp;"|"&amp;N2434</f>
        <v>ORD11638|2025-08-02|12:33|C1207|Pav Bhaji Point|Mumbai|Street Food|1|165|40|Credit Card|Delivered|50|3</v>
      </c>
      <c r="P2434" s="7" t="str">
        <f aca="false">IF(COUNTIF($O$2:O2434,O2434)&gt;1,"DUP","OK")</f>
        <v>OK</v>
      </c>
      <c r="Q2434" s="7" t="n">
        <f aca="false">COUNTBLANK(A2434:N2434)</f>
        <v>0</v>
      </c>
      <c r="R2434" s="7" t="n">
        <f aca="false">IF(A2434="",0,COUNTIFS($A$2:$A$3058,A2434,$P$2:$P$3058,"OK"))</f>
        <v>1</v>
      </c>
      <c r="S2434" s="7" t="str">
        <f aca="false">IF(OR(A2434="",P2434="DUP",R2434&lt;2),"",IF(Q2434=_xlfn.MINIFS($Q$2:$Q$3058,$A$2:$A$3058,A2434,$P$2:$P$3058,"OK"),"KEEP","DROP"))</f>
        <v/>
      </c>
      <c r="T2434" s="9" t="n">
        <f aca="false">IF(A2434="",1,0)</f>
        <v>0</v>
      </c>
      <c r="U2434" s="9" t="n">
        <f aca="false">IF(D2434="",1,0)</f>
        <v>0</v>
      </c>
      <c r="V2434" s="9" t="n">
        <f aca="false">IF(E2434="",1,0)</f>
        <v>0</v>
      </c>
      <c r="W2434" s="9" t="n">
        <f aca="false">IF(OR(H2434&lt;1,H2434&gt;10),1,0)</f>
        <v>0</v>
      </c>
      <c r="X2434" s="9" t="n">
        <f aca="false">IF(OR(I2434&lt;=0,I2434&gt;1500),1,0)</f>
        <v>0</v>
      </c>
      <c r="Y2434" s="9" t="n">
        <f aca="false">IF(J2434&gt;H2434*I2434,1,0)</f>
        <v>0</v>
      </c>
      <c r="Z2434" s="9" t="n">
        <f aca="false">IF(AND(N2434&lt;&gt;"",OR(N2434&lt;1,N2434&gt;5)),1,0)</f>
        <v>0</v>
      </c>
      <c r="AA2434" s="9" t="n">
        <f aca="false">IF(AND(M2434&lt;&gt;"",OR(M2434&lt;5,M2434&gt;180)),1,0)</f>
        <v>0</v>
      </c>
      <c r="AB2434" s="7" t="str">
        <f aca="false">IF(P2434="DUP","Exact duplicate row",IF(T2434=1,"Missing Order ID",IF(S2434="DROP","Duplicate Order ID (less complete row)",IF(U2434=1,"Missing Customer ID",IF(V2434=1,"Missing Restaurant name",IF(W2434=1,"Invalid/outlier quantity",IF(X2434=1,"Invalid/outlier unit price",IF(Y2434=1,"Discount greater than order value",""))))))))</f>
        <v/>
      </c>
      <c r="AC2434" s="7" t="str">
        <f aca="false">IF(AB2434="","KEEP","DROP")</f>
        <v>KEEP</v>
      </c>
      <c r="AD2434" s="7" t="str">
        <f aca="false">IF(TRIM(F2434)="",IFERROR(INDEX(Map_Tables!$I$4:$I$37,MATCH(TRIM(E2434),Map_Tables!$G$4:$G$37,0)),""),IFERROR(INDEX(Map_Tables!$B$4:$B$18,MATCH(TRIM(F2434),Map_Tables!$A$4:$A$18,0)),"CHECK"))</f>
        <v>Mumbai</v>
      </c>
      <c r="AE2434" s="7" t="str">
        <f aca="false">IF(TRIM(E2434)="","",IFERROR(INDEX(Map_Tables!$H$4:$H$37,MATCH(TRIM(E2434),Map_Tables!$G$4:$G$37,0)),"CHECK"))</f>
        <v>Pav Bhaji Point</v>
      </c>
      <c r="AF2434" s="7" t="str">
        <f aca="false">IF(TRIM(K2434)="","Unknown",IFERROR(INDEX(Map_Tables!$E$4:$E$15,MATCH(TRIM(K2434),Map_Tables!$D$4:$D$15,0)),"CHECK"))</f>
        <v>Credit Card</v>
      </c>
      <c r="AG2434" s="7" t="str">
        <f aca="false">IF(LEFT(LOWER(TRIM(L2434)),6)="cancel","Cancelled","Delivered")</f>
        <v>Delivered</v>
      </c>
      <c r="AH2434" s="10" t="n">
        <f aca="false">IF(ISNUMBER(SEARCH("/",B2434)),DATE(VALUE(RIGHT(B2434,4)),VALUE(MID(B2434,4,2)),VALUE(LEFT(B2434,2))),IF(MID(B2434,5,1)="-",DATE(VALUE(LEFT(B2434,4)),VALUE(MID(B2434,6,2)),VALUE(RIGHT(B2434,2))),DATE(VALUE(RIGHT(B2434,4)),MATCH(MID(B2434,4,3),{"Jan","Feb","Mar","Apr","May","Jun","Jul","Aug","Sep","Oct","Nov","Dec"},0),VALUE(LEFT(B2434,2)))))</f>
        <v>45871</v>
      </c>
    </row>
    <row r="2435" customFormat="false" ht="15" hidden="false" customHeight="false" outlineLevel="0" collapsed="false">
      <c r="A2435" s="7" t="s">
        <v>5369</v>
      </c>
      <c r="B2435" s="7" t="s">
        <v>3637</v>
      </c>
      <c r="C2435" s="7" t="s">
        <v>788</v>
      </c>
      <c r="D2435" s="7" t="s">
        <v>610</v>
      </c>
      <c r="E2435" s="7" t="s">
        <v>94</v>
      </c>
      <c r="F2435" s="7" t="s">
        <v>86</v>
      </c>
      <c r="G2435" s="7" t="s">
        <v>95</v>
      </c>
      <c r="H2435" s="7" t="n">
        <v>2</v>
      </c>
      <c r="I2435" s="7" t="n">
        <v>100</v>
      </c>
      <c r="J2435" s="7" t="n">
        <v>0</v>
      </c>
      <c r="K2435" s="7" t="s">
        <v>971</v>
      </c>
      <c r="L2435" s="7" t="s">
        <v>194</v>
      </c>
      <c r="M2435" s="7" t="n">
        <v>36</v>
      </c>
      <c r="N2435" s="7" t="n">
        <v>4</v>
      </c>
      <c r="O2435" s="7" t="str">
        <f aca="false">A2435&amp;"|"&amp;B2435&amp;"|"&amp;C2435&amp;"|"&amp;D2435&amp;"|"&amp;E2435&amp;"|"&amp;F2435&amp;"|"&amp;G2435&amp;"|"&amp;H2435&amp;"|"&amp;I2435&amp;"|"&amp;J2435&amp;"|"&amp;K2435&amp;"|"&amp;L2435&amp;"|"&amp;M2435&amp;"|"&amp;N2435</f>
        <v>ORD12888|2025-12-19|19:35|C0892|Dosa Darbar|Bengaluru|South Indian|2|100|0|Paytm Wallet|Delivered|36|4</v>
      </c>
      <c r="P2435" s="7" t="str">
        <f aca="false">IF(COUNTIF($O$2:O2435,O2435)&gt;1,"DUP","OK")</f>
        <v>OK</v>
      </c>
      <c r="Q2435" s="7" t="n">
        <f aca="false">COUNTBLANK(A2435:N2435)</f>
        <v>0</v>
      </c>
      <c r="R2435" s="7" t="n">
        <f aca="false">IF(A2435="",0,COUNTIFS($A$2:$A$3058,A2435,$P$2:$P$3058,"OK"))</f>
        <v>1</v>
      </c>
      <c r="S2435" s="7" t="str">
        <f aca="false">IF(OR(A2435="",P2435="DUP",R2435&lt;2),"",IF(Q2435=_xlfn.MINIFS($Q$2:$Q$3058,$A$2:$A$3058,A2435,$P$2:$P$3058,"OK"),"KEEP","DROP"))</f>
        <v/>
      </c>
      <c r="T2435" s="9" t="n">
        <f aca="false">IF(A2435="",1,0)</f>
        <v>0</v>
      </c>
      <c r="U2435" s="9" t="n">
        <f aca="false">IF(D2435="",1,0)</f>
        <v>0</v>
      </c>
      <c r="V2435" s="9" t="n">
        <f aca="false">IF(E2435="",1,0)</f>
        <v>0</v>
      </c>
      <c r="W2435" s="9" t="n">
        <f aca="false">IF(OR(H2435&lt;1,H2435&gt;10),1,0)</f>
        <v>0</v>
      </c>
      <c r="X2435" s="9" t="n">
        <f aca="false">IF(OR(I2435&lt;=0,I2435&gt;1500),1,0)</f>
        <v>0</v>
      </c>
      <c r="Y2435" s="9" t="n">
        <f aca="false">IF(J2435&gt;H2435*I2435,1,0)</f>
        <v>0</v>
      </c>
      <c r="Z2435" s="9" t="n">
        <f aca="false">IF(AND(N2435&lt;&gt;"",OR(N2435&lt;1,N2435&gt;5)),1,0)</f>
        <v>0</v>
      </c>
      <c r="AA2435" s="9" t="n">
        <f aca="false">IF(AND(M2435&lt;&gt;"",OR(M2435&lt;5,M2435&gt;180)),1,0)</f>
        <v>0</v>
      </c>
      <c r="AB2435" s="7" t="str">
        <f aca="false">IF(P2435="DUP","Exact duplicate row",IF(T2435=1,"Missing Order ID",IF(S2435="DROP","Duplicate Order ID (less complete row)",IF(U2435=1,"Missing Customer ID",IF(V2435=1,"Missing Restaurant name",IF(W2435=1,"Invalid/outlier quantity",IF(X2435=1,"Invalid/outlier unit price",IF(Y2435=1,"Discount greater than order value",""))))))))</f>
        <v/>
      </c>
      <c r="AC2435" s="7" t="str">
        <f aca="false">IF(AB2435="","KEEP","DROP")</f>
        <v>KEEP</v>
      </c>
      <c r="AD2435" s="7" t="str">
        <f aca="false">IF(TRIM(F2435)="",IFERROR(INDEX(Map_Tables!$I$4:$I$37,MATCH(TRIM(E2435),Map_Tables!$G$4:$G$37,0)),""),IFERROR(INDEX(Map_Tables!$B$4:$B$18,MATCH(TRIM(F2435),Map_Tables!$A$4:$A$18,0)),"CHECK"))</f>
        <v>Bengaluru</v>
      </c>
      <c r="AE2435" s="7" t="str">
        <f aca="false">IF(TRIM(E2435)="","",IFERROR(INDEX(Map_Tables!$H$4:$H$37,MATCH(TRIM(E2435),Map_Tables!$G$4:$G$37,0)),"CHECK"))</f>
        <v>Dosa Darbar</v>
      </c>
      <c r="AF2435" s="7" t="str">
        <f aca="false">IF(TRIM(K2435)="","Unknown",IFERROR(INDEX(Map_Tables!$E$4:$E$15,MATCH(TRIM(K2435),Map_Tables!$D$4:$D$15,0)),"CHECK"))</f>
        <v>Wallet</v>
      </c>
      <c r="AG2435" s="7" t="str">
        <f aca="false">IF(LEFT(LOWER(TRIM(L2435)),6)="cancel","Cancelled","Delivered")</f>
        <v>Delivered</v>
      </c>
      <c r="AH2435" s="10" t="n">
        <f aca="false">IF(ISNUMBER(SEARCH("/",B2435)),DATE(VALUE(RIGHT(B2435,4)),VALUE(MID(B2435,4,2)),VALUE(LEFT(B2435,2))),IF(MID(B2435,5,1)="-",DATE(VALUE(LEFT(B2435,4)),VALUE(MID(B2435,6,2)),VALUE(RIGHT(B2435,2))),DATE(VALUE(RIGHT(B2435,4)),MATCH(MID(B2435,4,3),{"Jan","Feb","Mar","Apr","May","Jun","Jul","Aug","Sep","Oct","Nov","Dec"},0),VALUE(LEFT(B2435,2)))))</f>
        <v>46010</v>
      </c>
    </row>
    <row r="2436" customFormat="false" ht="15" hidden="false" customHeight="false" outlineLevel="0" collapsed="false">
      <c r="A2436" s="7" t="s">
        <v>5370</v>
      </c>
      <c r="B2436" s="7" t="s">
        <v>835</v>
      </c>
      <c r="C2436" s="7" t="s">
        <v>2758</v>
      </c>
      <c r="D2436" s="7" t="s">
        <v>5371</v>
      </c>
      <c r="E2436" s="7" t="s">
        <v>163</v>
      </c>
      <c r="F2436" s="7" t="s">
        <v>141</v>
      </c>
      <c r="G2436" s="7" t="s">
        <v>99</v>
      </c>
      <c r="H2436" s="7" t="n">
        <v>1</v>
      </c>
      <c r="I2436" s="7" t="n">
        <v>245</v>
      </c>
      <c r="J2436" s="7" t="n">
        <v>98</v>
      </c>
      <c r="K2436" s="7" t="s">
        <v>88</v>
      </c>
      <c r="L2436" s="7" t="s">
        <v>194</v>
      </c>
      <c r="M2436" s="7" t="n">
        <v>39</v>
      </c>
      <c r="N2436" s="7" t="n">
        <v>4</v>
      </c>
      <c r="O2436" s="7" t="str">
        <f aca="false">A2436&amp;"|"&amp;B2436&amp;"|"&amp;C2436&amp;"|"&amp;D2436&amp;"|"&amp;E2436&amp;"|"&amp;F2436&amp;"|"&amp;G2436&amp;"|"&amp;H2436&amp;"|"&amp;I2436&amp;"|"&amp;J2436&amp;"|"&amp;K2436&amp;"|"&amp;L2436&amp;"|"&amp;M2436&amp;"|"&amp;N2436</f>
        <v>ORD12968|2025-12-28|16:08|C1001|Biryani Baadshah|Kolkata|Biryani|1|245|98|UPI|Delivered|39|4</v>
      </c>
      <c r="P2436" s="7" t="str">
        <f aca="false">IF(COUNTIF($O$2:O2436,O2436)&gt;1,"DUP","OK")</f>
        <v>OK</v>
      </c>
      <c r="Q2436" s="7" t="n">
        <f aca="false">COUNTBLANK(A2436:N2436)</f>
        <v>0</v>
      </c>
      <c r="R2436" s="7" t="n">
        <f aca="false">IF(A2436="",0,COUNTIFS($A$2:$A$3058,A2436,$P$2:$P$3058,"OK"))</f>
        <v>1</v>
      </c>
      <c r="S2436" s="7" t="str">
        <f aca="false">IF(OR(A2436="",P2436="DUP",R2436&lt;2),"",IF(Q2436=_xlfn.MINIFS($Q$2:$Q$3058,$A$2:$A$3058,A2436,$P$2:$P$3058,"OK"),"KEEP","DROP"))</f>
        <v/>
      </c>
      <c r="T2436" s="9" t="n">
        <f aca="false">IF(A2436="",1,0)</f>
        <v>0</v>
      </c>
      <c r="U2436" s="9" t="n">
        <f aca="false">IF(D2436="",1,0)</f>
        <v>0</v>
      </c>
      <c r="V2436" s="9" t="n">
        <f aca="false">IF(E2436="",1,0)</f>
        <v>0</v>
      </c>
      <c r="W2436" s="9" t="n">
        <f aca="false">IF(OR(H2436&lt;1,H2436&gt;10),1,0)</f>
        <v>0</v>
      </c>
      <c r="X2436" s="9" t="n">
        <f aca="false">IF(OR(I2436&lt;=0,I2436&gt;1500),1,0)</f>
        <v>0</v>
      </c>
      <c r="Y2436" s="9" t="n">
        <f aca="false">IF(J2436&gt;H2436*I2436,1,0)</f>
        <v>0</v>
      </c>
      <c r="Z2436" s="9" t="n">
        <f aca="false">IF(AND(N2436&lt;&gt;"",OR(N2436&lt;1,N2436&gt;5)),1,0)</f>
        <v>0</v>
      </c>
      <c r="AA2436" s="9" t="n">
        <f aca="false">IF(AND(M2436&lt;&gt;"",OR(M2436&lt;5,M2436&gt;180)),1,0)</f>
        <v>0</v>
      </c>
      <c r="AB2436" s="7" t="str">
        <f aca="false">IF(P2436="DUP","Exact duplicate row",IF(T2436=1,"Missing Order ID",IF(S2436="DROP","Duplicate Order ID (less complete row)",IF(U2436=1,"Missing Customer ID",IF(V2436=1,"Missing Restaurant name",IF(W2436=1,"Invalid/outlier quantity",IF(X2436=1,"Invalid/outlier unit price",IF(Y2436=1,"Discount greater than order value",""))))))))</f>
        <v/>
      </c>
      <c r="AC2436" s="7" t="str">
        <f aca="false">IF(AB2436="","KEEP","DROP")</f>
        <v>KEEP</v>
      </c>
      <c r="AD2436" s="7" t="str">
        <f aca="false">IF(TRIM(F2436)="",IFERROR(INDEX(Map_Tables!$I$4:$I$37,MATCH(TRIM(E2436),Map_Tables!$G$4:$G$37,0)),""),IFERROR(INDEX(Map_Tables!$B$4:$B$18,MATCH(TRIM(F2436),Map_Tables!$A$4:$A$18,0)),"CHECK"))</f>
        <v>Kolkata</v>
      </c>
      <c r="AE2436" s="7" t="str">
        <f aca="false">IF(TRIM(E2436)="","",IFERROR(INDEX(Map_Tables!$H$4:$H$37,MATCH(TRIM(E2436),Map_Tables!$G$4:$G$37,0)),"CHECK"))</f>
        <v>Biryani Baadshah</v>
      </c>
      <c r="AF2436" s="7" t="str">
        <f aca="false">IF(TRIM(K2436)="","Unknown",IFERROR(INDEX(Map_Tables!$E$4:$E$15,MATCH(TRIM(K2436),Map_Tables!$D$4:$D$15,0)),"CHECK"))</f>
        <v>UPI</v>
      </c>
      <c r="AG2436" s="7" t="str">
        <f aca="false">IF(LEFT(LOWER(TRIM(L2436)),6)="cancel","Cancelled","Delivered")</f>
        <v>Delivered</v>
      </c>
      <c r="AH2436" s="10" t="n">
        <f aca="false">IF(ISNUMBER(SEARCH("/",B2436)),DATE(VALUE(RIGHT(B2436,4)),VALUE(MID(B2436,4,2)),VALUE(LEFT(B2436,2))),IF(MID(B2436,5,1)="-",DATE(VALUE(LEFT(B2436,4)),VALUE(MID(B2436,6,2)),VALUE(RIGHT(B2436,2))),DATE(VALUE(RIGHT(B2436,4)),MATCH(MID(B2436,4,3),{"Jan","Feb","Mar","Apr","May","Jun","Jul","Aug","Sep","Oct","Nov","Dec"},0),VALUE(LEFT(B2436,2)))))</f>
        <v>46019</v>
      </c>
    </row>
    <row r="2437" customFormat="false" ht="15" hidden="false" customHeight="false" outlineLevel="0" collapsed="false">
      <c r="A2437" s="7" t="s">
        <v>5372</v>
      </c>
      <c r="B2437" s="7" t="s">
        <v>2397</v>
      </c>
      <c r="C2437" s="7" t="s">
        <v>1809</v>
      </c>
      <c r="D2437" s="7" t="s">
        <v>396</v>
      </c>
      <c r="E2437" s="7" t="s">
        <v>113</v>
      </c>
      <c r="F2437" s="7" t="s">
        <v>101</v>
      </c>
      <c r="G2437" s="7" t="s">
        <v>90</v>
      </c>
      <c r="H2437" s="7" t="n">
        <v>4</v>
      </c>
      <c r="I2437" s="7" t="n">
        <v>300</v>
      </c>
      <c r="J2437" s="7" t="n">
        <v>0</v>
      </c>
      <c r="K2437" s="7" t="s">
        <v>133</v>
      </c>
      <c r="L2437" s="7" t="s">
        <v>194</v>
      </c>
      <c r="M2437" s="7" t="n">
        <v>42</v>
      </c>
      <c r="N2437" s="7" t="n">
        <v>4</v>
      </c>
      <c r="O2437" s="7" t="str">
        <f aca="false">A2437&amp;"|"&amp;B2437&amp;"|"&amp;C2437&amp;"|"&amp;D2437&amp;"|"&amp;E2437&amp;"|"&amp;F2437&amp;"|"&amp;G2437&amp;"|"&amp;H2437&amp;"|"&amp;I2437&amp;"|"&amp;J2437&amp;"|"&amp;K2437&amp;"|"&amp;L2437&amp;"|"&amp;M2437&amp;"|"&amp;N2437</f>
        <v>ORD10983|2025-05-05|12:07|C0312|Curry Leaf Kitchen|Mumbai|North Indian|4|300|0|Net Banking|Delivered|42|4</v>
      </c>
      <c r="P2437" s="7" t="str">
        <f aca="false">IF(COUNTIF($O$2:O2437,O2437)&gt;1,"DUP","OK")</f>
        <v>OK</v>
      </c>
      <c r="Q2437" s="7" t="n">
        <f aca="false">COUNTBLANK(A2437:N2437)</f>
        <v>0</v>
      </c>
      <c r="R2437" s="7" t="n">
        <f aca="false">IF(A2437="",0,COUNTIFS($A$2:$A$3058,A2437,$P$2:$P$3058,"OK"))</f>
        <v>1</v>
      </c>
      <c r="S2437" s="7" t="str">
        <f aca="false">IF(OR(A2437="",P2437="DUP",R2437&lt;2),"",IF(Q2437=_xlfn.MINIFS($Q$2:$Q$3058,$A$2:$A$3058,A2437,$P$2:$P$3058,"OK"),"KEEP","DROP"))</f>
        <v/>
      </c>
      <c r="T2437" s="9" t="n">
        <f aca="false">IF(A2437="",1,0)</f>
        <v>0</v>
      </c>
      <c r="U2437" s="9" t="n">
        <f aca="false">IF(D2437="",1,0)</f>
        <v>0</v>
      </c>
      <c r="V2437" s="9" t="n">
        <f aca="false">IF(E2437="",1,0)</f>
        <v>0</v>
      </c>
      <c r="W2437" s="9" t="n">
        <f aca="false">IF(OR(H2437&lt;1,H2437&gt;10),1,0)</f>
        <v>0</v>
      </c>
      <c r="X2437" s="9" t="n">
        <f aca="false">IF(OR(I2437&lt;=0,I2437&gt;1500),1,0)</f>
        <v>0</v>
      </c>
      <c r="Y2437" s="9" t="n">
        <f aca="false">IF(J2437&gt;H2437*I2437,1,0)</f>
        <v>0</v>
      </c>
      <c r="Z2437" s="9" t="n">
        <f aca="false">IF(AND(N2437&lt;&gt;"",OR(N2437&lt;1,N2437&gt;5)),1,0)</f>
        <v>0</v>
      </c>
      <c r="AA2437" s="9" t="n">
        <f aca="false">IF(AND(M2437&lt;&gt;"",OR(M2437&lt;5,M2437&gt;180)),1,0)</f>
        <v>0</v>
      </c>
      <c r="AB2437" s="7" t="str">
        <f aca="false">IF(P2437="DUP","Exact duplicate row",IF(T2437=1,"Missing Order ID",IF(S2437="DROP","Duplicate Order ID (less complete row)",IF(U2437=1,"Missing Customer ID",IF(V2437=1,"Missing Restaurant name",IF(W2437=1,"Invalid/outlier quantity",IF(X2437=1,"Invalid/outlier unit price",IF(Y2437=1,"Discount greater than order value",""))))))))</f>
        <v/>
      </c>
      <c r="AC2437" s="7" t="str">
        <f aca="false">IF(AB2437="","KEEP","DROP")</f>
        <v>KEEP</v>
      </c>
      <c r="AD2437" s="7" t="str">
        <f aca="false">IF(TRIM(F2437)="",IFERROR(INDEX(Map_Tables!$I$4:$I$37,MATCH(TRIM(E2437),Map_Tables!$G$4:$G$37,0)),""),IFERROR(INDEX(Map_Tables!$B$4:$B$18,MATCH(TRIM(F2437),Map_Tables!$A$4:$A$18,0)),"CHECK"))</f>
        <v>Mumbai</v>
      </c>
      <c r="AE2437" s="7" t="str">
        <f aca="false">IF(TRIM(E2437)="","",IFERROR(INDEX(Map_Tables!$H$4:$H$37,MATCH(TRIM(E2437),Map_Tables!$G$4:$G$37,0)),"CHECK"))</f>
        <v>Curry Leaf Kitchen</v>
      </c>
      <c r="AF2437" s="7" t="str">
        <f aca="false">IF(TRIM(K2437)="","Unknown",IFERROR(INDEX(Map_Tables!$E$4:$E$15,MATCH(TRIM(K2437),Map_Tables!$D$4:$D$15,0)),"CHECK"))</f>
        <v>Net Banking</v>
      </c>
      <c r="AG2437" s="7" t="str">
        <f aca="false">IF(LEFT(LOWER(TRIM(L2437)),6)="cancel","Cancelled","Delivered")</f>
        <v>Delivered</v>
      </c>
      <c r="AH2437" s="10" t="n">
        <f aca="false">IF(ISNUMBER(SEARCH("/",B2437)),DATE(VALUE(RIGHT(B2437,4)),VALUE(MID(B2437,4,2)),VALUE(LEFT(B2437,2))),IF(MID(B2437,5,1)="-",DATE(VALUE(LEFT(B2437,4)),VALUE(MID(B2437,6,2)),VALUE(RIGHT(B2437,2))),DATE(VALUE(RIGHT(B2437,4)),MATCH(MID(B2437,4,3),{"Jan","Feb","Mar","Apr","May","Jun","Jul","Aug","Sep","Oct","Nov","Dec"},0),VALUE(LEFT(B2437,2)))))</f>
        <v>45782</v>
      </c>
    </row>
    <row r="2438" customFormat="false" ht="15" hidden="false" customHeight="false" outlineLevel="0" collapsed="false">
      <c r="A2438" s="7" t="s">
        <v>5373</v>
      </c>
      <c r="B2438" s="7" t="s">
        <v>1361</v>
      </c>
      <c r="C2438" s="7" t="s">
        <v>268</v>
      </c>
      <c r="D2438" s="7" t="s">
        <v>5374</v>
      </c>
      <c r="E2438" s="7" t="s">
        <v>159</v>
      </c>
      <c r="F2438" s="7" t="s">
        <v>136</v>
      </c>
      <c r="G2438" s="7" t="s">
        <v>90</v>
      </c>
      <c r="H2438" s="7" t="n">
        <v>2</v>
      </c>
      <c r="I2438" s="7" t="n">
        <v>260</v>
      </c>
      <c r="J2438" s="7" t="n">
        <v>0</v>
      </c>
      <c r="K2438" s="7" t="s">
        <v>112</v>
      </c>
      <c r="L2438" s="7" t="s">
        <v>194</v>
      </c>
      <c r="M2438" s="7" t="n">
        <v>36</v>
      </c>
      <c r="N2438" s="7" t="n">
        <v>5</v>
      </c>
      <c r="O2438" s="7" t="str">
        <f aca="false">A2438&amp;"|"&amp;B2438&amp;"|"&amp;C2438&amp;"|"&amp;D2438&amp;"|"&amp;E2438&amp;"|"&amp;F2438&amp;"|"&amp;G2438&amp;"|"&amp;H2438&amp;"|"&amp;I2438&amp;"|"&amp;J2438&amp;"|"&amp;K2438&amp;"|"&amp;L2438&amp;"|"&amp;M2438&amp;"|"&amp;N2438</f>
        <v>ORD10707|2025-03-30|19:16|C0790|Maratha Thali House|Pune|North Indian|2|260|0|Cash on Delivery|Delivered|36|5</v>
      </c>
      <c r="P2438" s="7" t="str">
        <f aca="false">IF(COUNTIF($O$2:O2438,O2438)&gt;1,"DUP","OK")</f>
        <v>OK</v>
      </c>
      <c r="Q2438" s="7" t="n">
        <f aca="false">COUNTBLANK(A2438:N2438)</f>
        <v>0</v>
      </c>
      <c r="R2438" s="7" t="n">
        <f aca="false">IF(A2438="",0,COUNTIFS($A$2:$A$3058,A2438,$P$2:$P$3058,"OK"))</f>
        <v>1</v>
      </c>
      <c r="S2438" s="7" t="str">
        <f aca="false">IF(OR(A2438="",P2438="DUP",R2438&lt;2),"",IF(Q2438=_xlfn.MINIFS($Q$2:$Q$3058,$A$2:$A$3058,A2438,$P$2:$P$3058,"OK"),"KEEP","DROP"))</f>
        <v/>
      </c>
      <c r="T2438" s="9" t="n">
        <f aca="false">IF(A2438="",1,0)</f>
        <v>0</v>
      </c>
      <c r="U2438" s="9" t="n">
        <f aca="false">IF(D2438="",1,0)</f>
        <v>0</v>
      </c>
      <c r="V2438" s="9" t="n">
        <f aca="false">IF(E2438="",1,0)</f>
        <v>0</v>
      </c>
      <c r="W2438" s="9" t="n">
        <f aca="false">IF(OR(H2438&lt;1,H2438&gt;10),1,0)</f>
        <v>0</v>
      </c>
      <c r="X2438" s="9" t="n">
        <f aca="false">IF(OR(I2438&lt;=0,I2438&gt;1500),1,0)</f>
        <v>0</v>
      </c>
      <c r="Y2438" s="9" t="n">
        <f aca="false">IF(J2438&gt;H2438*I2438,1,0)</f>
        <v>0</v>
      </c>
      <c r="Z2438" s="9" t="n">
        <f aca="false">IF(AND(N2438&lt;&gt;"",OR(N2438&lt;1,N2438&gt;5)),1,0)</f>
        <v>0</v>
      </c>
      <c r="AA2438" s="9" t="n">
        <f aca="false">IF(AND(M2438&lt;&gt;"",OR(M2438&lt;5,M2438&gt;180)),1,0)</f>
        <v>0</v>
      </c>
      <c r="AB2438" s="7" t="str">
        <f aca="false">IF(P2438="DUP","Exact duplicate row",IF(T2438=1,"Missing Order ID",IF(S2438="DROP","Duplicate Order ID (less complete row)",IF(U2438=1,"Missing Customer ID",IF(V2438=1,"Missing Restaurant name",IF(W2438=1,"Invalid/outlier quantity",IF(X2438=1,"Invalid/outlier unit price",IF(Y2438=1,"Discount greater than order value",""))))))))</f>
        <v/>
      </c>
      <c r="AC2438" s="7" t="str">
        <f aca="false">IF(AB2438="","KEEP","DROP")</f>
        <v>KEEP</v>
      </c>
      <c r="AD2438" s="7" t="str">
        <f aca="false">IF(TRIM(F2438)="",IFERROR(INDEX(Map_Tables!$I$4:$I$37,MATCH(TRIM(E2438),Map_Tables!$G$4:$G$37,0)),""),IFERROR(INDEX(Map_Tables!$B$4:$B$18,MATCH(TRIM(F2438),Map_Tables!$A$4:$A$18,0)),"CHECK"))</f>
        <v>Pune</v>
      </c>
      <c r="AE2438" s="7" t="str">
        <f aca="false">IF(TRIM(E2438)="","",IFERROR(INDEX(Map_Tables!$H$4:$H$37,MATCH(TRIM(E2438),Map_Tables!$G$4:$G$37,0)),"CHECK"))</f>
        <v>Maratha Thali House</v>
      </c>
      <c r="AF2438" s="7" t="str">
        <f aca="false">IF(TRIM(K2438)="","Unknown",IFERROR(INDEX(Map_Tables!$E$4:$E$15,MATCH(TRIM(K2438),Map_Tables!$D$4:$D$15,0)),"CHECK"))</f>
        <v>Cash on Delivery</v>
      </c>
      <c r="AG2438" s="7" t="str">
        <f aca="false">IF(LEFT(LOWER(TRIM(L2438)),6)="cancel","Cancelled","Delivered")</f>
        <v>Delivered</v>
      </c>
      <c r="AH2438" s="10" t="n">
        <f aca="false">IF(ISNUMBER(SEARCH("/",B2438)),DATE(VALUE(RIGHT(B2438,4)),VALUE(MID(B2438,4,2)),VALUE(LEFT(B2438,2))),IF(MID(B2438,5,1)="-",DATE(VALUE(LEFT(B2438,4)),VALUE(MID(B2438,6,2)),VALUE(RIGHT(B2438,2))),DATE(VALUE(RIGHT(B2438,4)),MATCH(MID(B2438,4,3),{"Jan","Feb","Mar","Apr","May","Jun","Jul","Aug","Sep","Oct","Nov","Dec"},0),VALUE(LEFT(B2438,2)))))</f>
        <v>45746</v>
      </c>
    </row>
    <row r="2439" customFormat="false" ht="15" hidden="false" customHeight="false" outlineLevel="0" collapsed="false">
      <c r="A2439" s="7" t="s">
        <v>5375</v>
      </c>
      <c r="B2439" s="7" t="s">
        <v>1276</v>
      </c>
      <c r="C2439" s="7" t="s">
        <v>2271</v>
      </c>
      <c r="D2439" s="7" t="s">
        <v>5376</v>
      </c>
      <c r="E2439" s="7" t="s">
        <v>161</v>
      </c>
      <c r="F2439" s="7" t="s">
        <v>141</v>
      </c>
      <c r="G2439" s="7" t="s">
        <v>844</v>
      </c>
      <c r="H2439" s="7" t="n">
        <v>4</v>
      </c>
      <c r="I2439" s="7" t="n">
        <v>145</v>
      </c>
      <c r="J2439" s="7" t="n">
        <v>0</v>
      </c>
      <c r="K2439" s="7" t="s">
        <v>88</v>
      </c>
      <c r="L2439" s="7" t="s">
        <v>194</v>
      </c>
      <c r="M2439" s="7" t="n">
        <v>46</v>
      </c>
      <c r="N2439" s="7" t="n">
        <v>3</v>
      </c>
      <c r="O2439" s="7" t="str">
        <f aca="false">A2439&amp;"|"&amp;B2439&amp;"|"&amp;C2439&amp;"|"&amp;D2439&amp;"|"&amp;E2439&amp;"|"&amp;F2439&amp;"|"&amp;G2439&amp;"|"&amp;H2439&amp;"|"&amp;I2439&amp;"|"&amp;J2439&amp;"|"&amp;K2439&amp;"|"&amp;L2439&amp;"|"&amp;M2439&amp;"|"&amp;N2439</f>
        <v>ORD11688|2025-08-09|12:38|C0286|Bengal Bites|Kolkata|STREET FOOD|4|145|0|UPI|Delivered|46|3</v>
      </c>
      <c r="P2439" s="7" t="str">
        <f aca="false">IF(COUNTIF($O$2:O2439,O2439)&gt;1,"DUP","OK")</f>
        <v>OK</v>
      </c>
      <c r="Q2439" s="7" t="n">
        <f aca="false">COUNTBLANK(A2439:N2439)</f>
        <v>0</v>
      </c>
      <c r="R2439" s="7" t="n">
        <f aca="false">IF(A2439="",0,COUNTIFS($A$2:$A$3058,A2439,$P$2:$P$3058,"OK"))</f>
        <v>1</v>
      </c>
      <c r="S2439" s="7" t="str">
        <f aca="false">IF(OR(A2439="",P2439="DUP",R2439&lt;2),"",IF(Q2439=_xlfn.MINIFS($Q$2:$Q$3058,$A$2:$A$3058,A2439,$P$2:$P$3058,"OK"),"KEEP","DROP"))</f>
        <v/>
      </c>
      <c r="T2439" s="9" t="n">
        <f aca="false">IF(A2439="",1,0)</f>
        <v>0</v>
      </c>
      <c r="U2439" s="9" t="n">
        <f aca="false">IF(D2439="",1,0)</f>
        <v>0</v>
      </c>
      <c r="V2439" s="9" t="n">
        <f aca="false">IF(E2439="",1,0)</f>
        <v>0</v>
      </c>
      <c r="W2439" s="9" t="n">
        <f aca="false">IF(OR(H2439&lt;1,H2439&gt;10),1,0)</f>
        <v>0</v>
      </c>
      <c r="X2439" s="9" t="n">
        <f aca="false">IF(OR(I2439&lt;=0,I2439&gt;1500),1,0)</f>
        <v>0</v>
      </c>
      <c r="Y2439" s="9" t="n">
        <f aca="false">IF(J2439&gt;H2439*I2439,1,0)</f>
        <v>0</v>
      </c>
      <c r="Z2439" s="9" t="n">
        <f aca="false">IF(AND(N2439&lt;&gt;"",OR(N2439&lt;1,N2439&gt;5)),1,0)</f>
        <v>0</v>
      </c>
      <c r="AA2439" s="9" t="n">
        <f aca="false">IF(AND(M2439&lt;&gt;"",OR(M2439&lt;5,M2439&gt;180)),1,0)</f>
        <v>0</v>
      </c>
      <c r="AB2439" s="7" t="str">
        <f aca="false">IF(P2439="DUP","Exact duplicate row",IF(T2439=1,"Missing Order ID",IF(S2439="DROP","Duplicate Order ID (less complete row)",IF(U2439=1,"Missing Customer ID",IF(V2439=1,"Missing Restaurant name",IF(W2439=1,"Invalid/outlier quantity",IF(X2439=1,"Invalid/outlier unit price",IF(Y2439=1,"Discount greater than order value",""))))))))</f>
        <v/>
      </c>
      <c r="AC2439" s="7" t="str">
        <f aca="false">IF(AB2439="","KEEP","DROP")</f>
        <v>KEEP</v>
      </c>
      <c r="AD2439" s="7" t="str">
        <f aca="false">IF(TRIM(F2439)="",IFERROR(INDEX(Map_Tables!$I$4:$I$37,MATCH(TRIM(E2439),Map_Tables!$G$4:$G$37,0)),""),IFERROR(INDEX(Map_Tables!$B$4:$B$18,MATCH(TRIM(F2439),Map_Tables!$A$4:$A$18,0)),"CHECK"))</f>
        <v>Kolkata</v>
      </c>
      <c r="AE2439" s="7" t="str">
        <f aca="false">IF(TRIM(E2439)="","",IFERROR(INDEX(Map_Tables!$H$4:$H$37,MATCH(TRIM(E2439),Map_Tables!$G$4:$G$37,0)),"CHECK"))</f>
        <v>Bengal Bites</v>
      </c>
      <c r="AF2439" s="7" t="str">
        <f aca="false">IF(TRIM(K2439)="","Unknown",IFERROR(INDEX(Map_Tables!$E$4:$E$15,MATCH(TRIM(K2439),Map_Tables!$D$4:$D$15,0)),"CHECK"))</f>
        <v>UPI</v>
      </c>
      <c r="AG2439" s="7" t="str">
        <f aca="false">IF(LEFT(LOWER(TRIM(L2439)),6)="cancel","Cancelled","Delivered")</f>
        <v>Delivered</v>
      </c>
      <c r="AH2439" s="10" t="n">
        <f aca="false">IF(ISNUMBER(SEARCH("/",B2439)),DATE(VALUE(RIGHT(B2439,4)),VALUE(MID(B2439,4,2)),VALUE(LEFT(B2439,2))),IF(MID(B2439,5,1)="-",DATE(VALUE(LEFT(B2439,4)),VALUE(MID(B2439,6,2)),VALUE(RIGHT(B2439,2))),DATE(VALUE(RIGHT(B2439,4)),MATCH(MID(B2439,4,3),{"Jan","Feb","Mar","Apr","May","Jun","Jul","Aug","Sep","Oct","Nov","Dec"},0),VALUE(LEFT(B2439,2)))))</f>
        <v>45878</v>
      </c>
    </row>
    <row r="2440" customFormat="false" ht="15" hidden="false" customHeight="false" outlineLevel="0" collapsed="false">
      <c r="A2440" s="7" t="s">
        <v>2769</v>
      </c>
      <c r="B2440" s="7" t="s">
        <v>1972</v>
      </c>
      <c r="C2440" s="7" t="s">
        <v>2770</v>
      </c>
      <c r="D2440" s="7" t="s">
        <v>293</v>
      </c>
      <c r="E2440" s="7" t="s">
        <v>116</v>
      </c>
      <c r="F2440" s="7" t="s">
        <v>101</v>
      </c>
      <c r="G2440" s="7" t="s">
        <v>117</v>
      </c>
      <c r="H2440" s="7" t="n">
        <v>1</v>
      </c>
      <c r="I2440" s="7" t="n">
        <v>135</v>
      </c>
      <c r="J2440" s="7" t="n">
        <v>20</v>
      </c>
      <c r="K2440" s="7" t="s">
        <v>93</v>
      </c>
      <c r="L2440" s="7" t="s">
        <v>194</v>
      </c>
      <c r="M2440" s="7" t="n">
        <v>48</v>
      </c>
      <c r="N2440" s="7" t="n">
        <v>5</v>
      </c>
      <c r="O2440" s="7" t="str">
        <f aca="false">A2440&amp;"|"&amp;B2440&amp;"|"&amp;C2440&amp;"|"&amp;D2440&amp;"|"&amp;E2440&amp;"|"&amp;F2440&amp;"|"&amp;G2440&amp;"|"&amp;H2440&amp;"|"&amp;I2440&amp;"|"&amp;J2440&amp;"|"&amp;K2440&amp;"|"&amp;L2440&amp;"|"&amp;M2440&amp;"|"&amp;N2440</f>
        <v>ORD12649|2025-11-23|15:56|C1451|Pav Bhaji Point|Mumbai|Street Food|1|135|20|Credit Card|Delivered|48|5</v>
      </c>
      <c r="P2440" s="7" t="str">
        <f aca="false">IF(COUNTIF($O$2:O2440,O2440)&gt;1,"DUP","OK")</f>
        <v>DUP</v>
      </c>
      <c r="Q2440" s="7" t="n">
        <f aca="false">COUNTBLANK(A2440:N2440)</f>
        <v>0</v>
      </c>
      <c r="R2440" s="7" t="n">
        <f aca="false">IF(A2440="",0,COUNTIFS($A$2:$A$3058,A2440,$P$2:$P$3058,"OK"))</f>
        <v>1</v>
      </c>
      <c r="S2440" s="7" t="str">
        <f aca="false">IF(OR(A2440="",P2440="DUP",R2440&lt;2),"",IF(Q2440=_xlfn.MINIFS($Q$2:$Q$3058,$A$2:$A$3058,A2440,$P$2:$P$3058,"OK"),"KEEP","DROP"))</f>
        <v/>
      </c>
      <c r="T2440" s="9" t="n">
        <f aca="false">IF(A2440="",1,0)</f>
        <v>0</v>
      </c>
      <c r="U2440" s="9" t="n">
        <f aca="false">IF(D2440="",1,0)</f>
        <v>0</v>
      </c>
      <c r="V2440" s="9" t="n">
        <f aca="false">IF(E2440="",1,0)</f>
        <v>0</v>
      </c>
      <c r="W2440" s="9" t="n">
        <f aca="false">IF(OR(H2440&lt;1,H2440&gt;10),1,0)</f>
        <v>0</v>
      </c>
      <c r="X2440" s="9" t="n">
        <f aca="false">IF(OR(I2440&lt;=0,I2440&gt;1500),1,0)</f>
        <v>0</v>
      </c>
      <c r="Y2440" s="9" t="n">
        <f aca="false">IF(J2440&gt;H2440*I2440,1,0)</f>
        <v>0</v>
      </c>
      <c r="Z2440" s="9" t="n">
        <f aca="false">IF(AND(N2440&lt;&gt;"",OR(N2440&lt;1,N2440&gt;5)),1,0)</f>
        <v>0</v>
      </c>
      <c r="AA2440" s="9" t="n">
        <f aca="false">IF(AND(M2440&lt;&gt;"",OR(M2440&lt;5,M2440&gt;180)),1,0)</f>
        <v>0</v>
      </c>
      <c r="AB2440" s="7" t="str">
        <f aca="false">IF(P2440="DUP","Exact duplicate row",IF(T2440=1,"Missing Order ID",IF(S2440="DROP","Duplicate Order ID (less complete row)",IF(U2440=1,"Missing Customer ID",IF(V2440=1,"Missing Restaurant name",IF(W2440=1,"Invalid/outlier quantity",IF(X2440=1,"Invalid/outlier unit price",IF(Y2440=1,"Discount greater than order value",""))))))))</f>
        <v>Exact duplicate row</v>
      </c>
      <c r="AC2440" s="7" t="str">
        <f aca="false">IF(AB2440="","KEEP","DROP")</f>
        <v>DROP</v>
      </c>
      <c r="AD2440" s="7" t="str">
        <f aca="false">IF(TRIM(F2440)="",IFERROR(INDEX(Map_Tables!$I$4:$I$37,MATCH(TRIM(E2440),Map_Tables!$G$4:$G$37,0)),""),IFERROR(INDEX(Map_Tables!$B$4:$B$18,MATCH(TRIM(F2440),Map_Tables!$A$4:$A$18,0)),"CHECK"))</f>
        <v>Mumbai</v>
      </c>
      <c r="AE2440" s="7" t="str">
        <f aca="false">IF(TRIM(E2440)="","",IFERROR(INDEX(Map_Tables!$H$4:$H$37,MATCH(TRIM(E2440),Map_Tables!$G$4:$G$37,0)),"CHECK"))</f>
        <v>Pav Bhaji Point</v>
      </c>
      <c r="AF2440" s="7" t="str">
        <f aca="false">IF(TRIM(K2440)="","Unknown",IFERROR(INDEX(Map_Tables!$E$4:$E$15,MATCH(TRIM(K2440),Map_Tables!$D$4:$D$15,0)),"CHECK"))</f>
        <v>Credit Card</v>
      </c>
      <c r="AG2440" s="7" t="str">
        <f aca="false">IF(LEFT(LOWER(TRIM(L2440)),6)="cancel","Cancelled","Delivered")</f>
        <v>Delivered</v>
      </c>
      <c r="AH2440" s="10" t="n">
        <f aca="false">IF(ISNUMBER(SEARCH("/",B2440)),DATE(VALUE(RIGHT(B2440,4)),VALUE(MID(B2440,4,2)),VALUE(LEFT(B2440,2))),IF(MID(B2440,5,1)="-",DATE(VALUE(LEFT(B2440,4)),VALUE(MID(B2440,6,2)),VALUE(RIGHT(B2440,2))),DATE(VALUE(RIGHT(B2440,4)),MATCH(MID(B2440,4,3),{"Jan","Feb","Mar","Apr","May","Jun","Jul","Aug","Sep","Oct","Nov","Dec"},0),VALUE(LEFT(B2440,2)))))</f>
        <v>45984</v>
      </c>
    </row>
    <row r="2441" customFormat="false" ht="15" hidden="false" customHeight="false" outlineLevel="0" collapsed="false">
      <c r="A2441" s="7" t="s">
        <v>5377</v>
      </c>
      <c r="B2441" s="7" t="s">
        <v>4973</v>
      </c>
      <c r="C2441" s="7" t="s">
        <v>622</v>
      </c>
      <c r="D2441" s="7" t="s">
        <v>4169</v>
      </c>
      <c r="E2441" s="7" t="s">
        <v>89</v>
      </c>
      <c r="F2441" s="7" t="s">
        <v>86</v>
      </c>
      <c r="G2441" s="7" t="s">
        <v>90</v>
      </c>
      <c r="H2441" s="7" t="n">
        <v>3</v>
      </c>
      <c r="I2441" s="7" t="n">
        <v>205</v>
      </c>
      <c r="J2441" s="7" t="n">
        <v>0</v>
      </c>
      <c r="K2441" s="7" t="s">
        <v>133</v>
      </c>
      <c r="L2441" s="7" t="s">
        <v>194</v>
      </c>
      <c r="M2441" s="7" t="n">
        <v>44</v>
      </c>
      <c r="N2441" s="7" t="n">
        <v>4</v>
      </c>
      <c r="O2441" s="7" t="str">
        <f aca="false">A2441&amp;"|"&amp;B2441&amp;"|"&amp;C2441&amp;"|"&amp;D2441&amp;"|"&amp;E2441&amp;"|"&amp;F2441&amp;"|"&amp;G2441&amp;"|"&amp;H2441&amp;"|"&amp;I2441&amp;"|"&amp;J2441&amp;"|"&amp;K2441&amp;"|"&amp;L2441&amp;"|"&amp;M2441&amp;"|"&amp;N2441</f>
        <v>ORD10274|2025-02-06|19:04|C1020|Spice Junction|Bengaluru|North Indian|3|205|0|Net Banking|Delivered|44|4</v>
      </c>
      <c r="P2441" s="7" t="str">
        <f aca="false">IF(COUNTIF($O$2:O2441,O2441)&gt;1,"DUP","OK")</f>
        <v>OK</v>
      </c>
      <c r="Q2441" s="7" t="n">
        <f aca="false">COUNTBLANK(A2441:N2441)</f>
        <v>0</v>
      </c>
      <c r="R2441" s="7" t="n">
        <f aca="false">IF(A2441="",0,COUNTIFS($A$2:$A$3058,A2441,$P$2:$P$3058,"OK"))</f>
        <v>1</v>
      </c>
      <c r="S2441" s="7" t="str">
        <f aca="false">IF(OR(A2441="",P2441="DUP",R2441&lt;2),"",IF(Q2441=_xlfn.MINIFS($Q$2:$Q$3058,$A$2:$A$3058,A2441,$P$2:$P$3058,"OK"),"KEEP","DROP"))</f>
        <v/>
      </c>
      <c r="T2441" s="9" t="n">
        <f aca="false">IF(A2441="",1,0)</f>
        <v>0</v>
      </c>
      <c r="U2441" s="9" t="n">
        <f aca="false">IF(D2441="",1,0)</f>
        <v>0</v>
      </c>
      <c r="V2441" s="9" t="n">
        <f aca="false">IF(E2441="",1,0)</f>
        <v>0</v>
      </c>
      <c r="W2441" s="9" t="n">
        <f aca="false">IF(OR(H2441&lt;1,H2441&gt;10),1,0)</f>
        <v>0</v>
      </c>
      <c r="X2441" s="9" t="n">
        <f aca="false">IF(OR(I2441&lt;=0,I2441&gt;1500),1,0)</f>
        <v>0</v>
      </c>
      <c r="Y2441" s="9" t="n">
        <f aca="false">IF(J2441&gt;H2441*I2441,1,0)</f>
        <v>0</v>
      </c>
      <c r="Z2441" s="9" t="n">
        <f aca="false">IF(AND(N2441&lt;&gt;"",OR(N2441&lt;1,N2441&gt;5)),1,0)</f>
        <v>0</v>
      </c>
      <c r="AA2441" s="9" t="n">
        <f aca="false">IF(AND(M2441&lt;&gt;"",OR(M2441&lt;5,M2441&gt;180)),1,0)</f>
        <v>0</v>
      </c>
      <c r="AB2441" s="7" t="str">
        <f aca="false">IF(P2441="DUP","Exact duplicate row",IF(T2441=1,"Missing Order ID",IF(S2441="DROP","Duplicate Order ID (less complete row)",IF(U2441=1,"Missing Customer ID",IF(V2441=1,"Missing Restaurant name",IF(W2441=1,"Invalid/outlier quantity",IF(X2441=1,"Invalid/outlier unit price",IF(Y2441=1,"Discount greater than order value",""))))))))</f>
        <v/>
      </c>
      <c r="AC2441" s="7" t="str">
        <f aca="false">IF(AB2441="","KEEP","DROP")</f>
        <v>KEEP</v>
      </c>
      <c r="AD2441" s="7" t="str">
        <f aca="false">IF(TRIM(F2441)="",IFERROR(INDEX(Map_Tables!$I$4:$I$37,MATCH(TRIM(E2441),Map_Tables!$G$4:$G$37,0)),""),IFERROR(INDEX(Map_Tables!$B$4:$B$18,MATCH(TRIM(F2441),Map_Tables!$A$4:$A$18,0)),"CHECK"))</f>
        <v>Bengaluru</v>
      </c>
      <c r="AE2441" s="7" t="str">
        <f aca="false">IF(TRIM(E2441)="","",IFERROR(INDEX(Map_Tables!$H$4:$H$37,MATCH(TRIM(E2441),Map_Tables!$G$4:$G$37,0)),"CHECK"))</f>
        <v>Spice Junction</v>
      </c>
      <c r="AF2441" s="7" t="str">
        <f aca="false">IF(TRIM(K2441)="","Unknown",IFERROR(INDEX(Map_Tables!$E$4:$E$15,MATCH(TRIM(K2441),Map_Tables!$D$4:$D$15,0)),"CHECK"))</f>
        <v>Net Banking</v>
      </c>
      <c r="AG2441" s="7" t="str">
        <f aca="false">IF(LEFT(LOWER(TRIM(L2441)),6)="cancel","Cancelled","Delivered")</f>
        <v>Delivered</v>
      </c>
      <c r="AH2441" s="10" t="n">
        <f aca="false">IF(ISNUMBER(SEARCH("/",B2441)),DATE(VALUE(RIGHT(B2441,4)),VALUE(MID(B2441,4,2)),VALUE(LEFT(B2441,2))),IF(MID(B2441,5,1)="-",DATE(VALUE(LEFT(B2441,4)),VALUE(MID(B2441,6,2)),VALUE(RIGHT(B2441,2))),DATE(VALUE(RIGHT(B2441,4)),MATCH(MID(B2441,4,3),{"Jan","Feb","Mar","Apr","May","Jun","Jul","Aug","Sep","Oct","Nov","Dec"},0),VALUE(LEFT(B2441,2)))))</f>
        <v>45694</v>
      </c>
    </row>
    <row r="2442" customFormat="false" ht="15" hidden="false" customHeight="false" outlineLevel="0" collapsed="false">
      <c r="A2442" s="7" t="s">
        <v>5378</v>
      </c>
      <c r="B2442" s="7" t="s">
        <v>1680</v>
      </c>
      <c r="C2442" s="7" t="s">
        <v>5379</v>
      </c>
      <c r="D2442" s="7" t="s">
        <v>4588</v>
      </c>
      <c r="E2442" s="7" t="s">
        <v>159</v>
      </c>
      <c r="F2442" s="7" t="s">
        <v>136</v>
      </c>
      <c r="G2442" s="7" t="s">
        <v>90</v>
      </c>
      <c r="H2442" s="7" t="n">
        <v>2</v>
      </c>
      <c r="I2442" s="7" t="n">
        <v>200</v>
      </c>
      <c r="J2442" s="7" t="n">
        <v>100</v>
      </c>
      <c r="K2442" s="7" t="s">
        <v>112</v>
      </c>
      <c r="L2442" s="7" t="s">
        <v>194</v>
      </c>
      <c r="M2442" s="7" t="n">
        <v>18</v>
      </c>
      <c r="N2442" s="7" t="n">
        <v>4</v>
      </c>
      <c r="O2442" s="7" t="str">
        <f aca="false">A2442&amp;"|"&amp;B2442&amp;"|"&amp;C2442&amp;"|"&amp;D2442&amp;"|"&amp;E2442&amp;"|"&amp;F2442&amp;"|"&amp;G2442&amp;"|"&amp;H2442&amp;"|"&amp;I2442&amp;"|"&amp;J2442&amp;"|"&amp;K2442&amp;"|"&amp;L2442&amp;"|"&amp;M2442&amp;"|"&amp;N2442</f>
        <v>ORD11710|2025-08-13|00:00|C1231|Maratha Thali House|Pune|North Indian|2|200|100|Cash on Delivery|Delivered|18|4</v>
      </c>
      <c r="P2442" s="7" t="str">
        <f aca="false">IF(COUNTIF($O$2:O2442,O2442)&gt;1,"DUP","OK")</f>
        <v>OK</v>
      </c>
      <c r="Q2442" s="7" t="n">
        <f aca="false">COUNTBLANK(A2442:N2442)</f>
        <v>0</v>
      </c>
      <c r="R2442" s="7" t="n">
        <f aca="false">IF(A2442="",0,COUNTIFS($A$2:$A$3058,A2442,$P$2:$P$3058,"OK"))</f>
        <v>1</v>
      </c>
      <c r="S2442" s="7" t="str">
        <f aca="false">IF(OR(A2442="",P2442="DUP",R2442&lt;2),"",IF(Q2442=_xlfn.MINIFS($Q$2:$Q$3058,$A$2:$A$3058,A2442,$P$2:$P$3058,"OK"),"KEEP","DROP"))</f>
        <v/>
      </c>
      <c r="T2442" s="9" t="n">
        <f aca="false">IF(A2442="",1,0)</f>
        <v>0</v>
      </c>
      <c r="U2442" s="9" t="n">
        <f aca="false">IF(D2442="",1,0)</f>
        <v>0</v>
      </c>
      <c r="V2442" s="9" t="n">
        <f aca="false">IF(E2442="",1,0)</f>
        <v>0</v>
      </c>
      <c r="W2442" s="9" t="n">
        <f aca="false">IF(OR(H2442&lt;1,H2442&gt;10),1,0)</f>
        <v>0</v>
      </c>
      <c r="X2442" s="9" t="n">
        <f aca="false">IF(OR(I2442&lt;=0,I2442&gt;1500),1,0)</f>
        <v>0</v>
      </c>
      <c r="Y2442" s="9" t="n">
        <f aca="false">IF(J2442&gt;H2442*I2442,1,0)</f>
        <v>0</v>
      </c>
      <c r="Z2442" s="9" t="n">
        <f aca="false">IF(AND(N2442&lt;&gt;"",OR(N2442&lt;1,N2442&gt;5)),1,0)</f>
        <v>0</v>
      </c>
      <c r="AA2442" s="9" t="n">
        <f aca="false">IF(AND(M2442&lt;&gt;"",OR(M2442&lt;5,M2442&gt;180)),1,0)</f>
        <v>0</v>
      </c>
      <c r="AB2442" s="7" t="str">
        <f aca="false">IF(P2442="DUP","Exact duplicate row",IF(T2442=1,"Missing Order ID",IF(S2442="DROP","Duplicate Order ID (less complete row)",IF(U2442=1,"Missing Customer ID",IF(V2442=1,"Missing Restaurant name",IF(W2442=1,"Invalid/outlier quantity",IF(X2442=1,"Invalid/outlier unit price",IF(Y2442=1,"Discount greater than order value",""))))))))</f>
        <v/>
      </c>
      <c r="AC2442" s="7" t="str">
        <f aca="false">IF(AB2442="","KEEP","DROP")</f>
        <v>KEEP</v>
      </c>
      <c r="AD2442" s="7" t="str">
        <f aca="false">IF(TRIM(F2442)="",IFERROR(INDEX(Map_Tables!$I$4:$I$37,MATCH(TRIM(E2442),Map_Tables!$G$4:$G$37,0)),""),IFERROR(INDEX(Map_Tables!$B$4:$B$18,MATCH(TRIM(F2442),Map_Tables!$A$4:$A$18,0)),"CHECK"))</f>
        <v>Pune</v>
      </c>
      <c r="AE2442" s="7" t="str">
        <f aca="false">IF(TRIM(E2442)="","",IFERROR(INDEX(Map_Tables!$H$4:$H$37,MATCH(TRIM(E2442),Map_Tables!$G$4:$G$37,0)),"CHECK"))</f>
        <v>Maratha Thali House</v>
      </c>
      <c r="AF2442" s="7" t="str">
        <f aca="false">IF(TRIM(K2442)="","Unknown",IFERROR(INDEX(Map_Tables!$E$4:$E$15,MATCH(TRIM(K2442),Map_Tables!$D$4:$D$15,0)),"CHECK"))</f>
        <v>Cash on Delivery</v>
      </c>
      <c r="AG2442" s="7" t="str">
        <f aca="false">IF(LEFT(LOWER(TRIM(L2442)),6)="cancel","Cancelled","Delivered")</f>
        <v>Delivered</v>
      </c>
      <c r="AH2442" s="10" t="n">
        <f aca="false">IF(ISNUMBER(SEARCH("/",B2442)),DATE(VALUE(RIGHT(B2442,4)),VALUE(MID(B2442,4,2)),VALUE(LEFT(B2442,2))),IF(MID(B2442,5,1)="-",DATE(VALUE(LEFT(B2442,4)),VALUE(MID(B2442,6,2)),VALUE(RIGHT(B2442,2))),DATE(VALUE(RIGHT(B2442,4)),MATCH(MID(B2442,4,3),{"Jan","Feb","Mar","Apr","May","Jun","Jul","Aug","Sep","Oct","Nov","Dec"},0),VALUE(LEFT(B2442,2)))))</f>
        <v>45882</v>
      </c>
    </row>
    <row r="2443" customFormat="false" ht="15" hidden="false" customHeight="false" outlineLevel="0" collapsed="false">
      <c r="A2443" s="7" t="s">
        <v>5380</v>
      </c>
      <c r="B2443" s="7" t="s">
        <v>1512</v>
      </c>
      <c r="C2443" s="7" t="s">
        <v>1635</v>
      </c>
      <c r="D2443" s="7" t="s">
        <v>3663</v>
      </c>
      <c r="E2443" s="7" t="s">
        <v>138</v>
      </c>
      <c r="F2443" s="7" t="s">
        <v>110</v>
      </c>
      <c r="G2443" s="7" t="s">
        <v>139</v>
      </c>
      <c r="H2443" s="7" t="n">
        <v>2</v>
      </c>
      <c r="I2443" s="7" t="n">
        <v>170</v>
      </c>
      <c r="J2443" s="7" t="n">
        <v>0</v>
      </c>
      <c r="K2443" s="7" t="s">
        <v>88</v>
      </c>
      <c r="L2443" s="7" t="s">
        <v>194</v>
      </c>
      <c r="M2443" s="7" t="n">
        <v>41</v>
      </c>
      <c r="N2443" s="7" t="n">
        <v>5</v>
      </c>
      <c r="O2443" s="7" t="str">
        <f aca="false">A2443&amp;"|"&amp;B2443&amp;"|"&amp;C2443&amp;"|"&amp;D2443&amp;"|"&amp;E2443&amp;"|"&amp;F2443&amp;"|"&amp;G2443&amp;"|"&amp;H2443&amp;"|"&amp;I2443&amp;"|"&amp;J2443&amp;"|"&amp;K2443&amp;"|"&amp;L2443&amp;"|"&amp;M2443&amp;"|"&amp;N2443</f>
        <v>ORD12770|2025-12-04|21:31|C0156|Burger Barn|Delhi|Burgers|2|170|0|UPI|Delivered|41|5</v>
      </c>
      <c r="P2443" s="7" t="str">
        <f aca="false">IF(COUNTIF($O$2:O2443,O2443)&gt;1,"DUP","OK")</f>
        <v>OK</v>
      </c>
      <c r="Q2443" s="7" t="n">
        <f aca="false">COUNTBLANK(A2443:N2443)</f>
        <v>0</v>
      </c>
      <c r="R2443" s="7" t="n">
        <f aca="false">IF(A2443="",0,COUNTIFS($A$2:$A$3058,A2443,$P$2:$P$3058,"OK"))</f>
        <v>1</v>
      </c>
      <c r="S2443" s="7" t="str">
        <f aca="false">IF(OR(A2443="",P2443="DUP",R2443&lt;2),"",IF(Q2443=_xlfn.MINIFS($Q$2:$Q$3058,$A$2:$A$3058,A2443,$P$2:$P$3058,"OK"),"KEEP","DROP"))</f>
        <v/>
      </c>
      <c r="T2443" s="9" t="n">
        <f aca="false">IF(A2443="",1,0)</f>
        <v>0</v>
      </c>
      <c r="U2443" s="9" t="n">
        <f aca="false">IF(D2443="",1,0)</f>
        <v>0</v>
      </c>
      <c r="V2443" s="9" t="n">
        <f aca="false">IF(E2443="",1,0)</f>
        <v>0</v>
      </c>
      <c r="W2443" s="9" t="n">
        <f aca="false">IF(OR(H2443&lt;1,H2443&gt;10),1,0)</f>
        <v>0</v>
      </c>
      <c r="X2443" s="9" t="n">
        <f aca="false">IF(OR(I2443&lt;=0,I2443&gt;1500),1,0)</f>
        <v>0</v>
      </c>
      <c r="Y2443" s="9" t="n">
        <f aca="false">IF(J2443&gt;H2443*I2443,1,0)</f>
        <v>0</v>
      </c>
      <c r="Z2443" s="9" t="n">
        <f aca="false">IF(AND(N2443&lt;&gt;"",OR(N2443&lt;1,N2443&gt;5)),1,0)</f>
        <v>0</v>
      </c>
      <c r="AA2443" s="9" t="n">
        <f aca="false">IF(AND(M2443&lt;&gt;"",OR(M2443&lt;5,M2443&gt;180)),1,0)</f>
        <v>0</v>
      </c>
      <c r="AB2443" s="7" t="str">
        <f aca="false">IF(P2443="DUP","Exact duplicate row",IF(T2443=1,"Missing Order ID",IF(S2443="DROP","Duplicate Order ID (less complete row)",IF(U2443=1,"Missing Customer ID",IF(V2443=1,"Missing Restaurant name",IF(W2443=1,"Invalid/outlier quantity",IF(X2443=1,"Invalid/outlier unit price",IF(Y2443=1,"Discount greater than order value",""))))))))</f>
        <v/>
      </c>
      <c r="AC2443" s="7" t="str">
        <f aca="false">IF(AB2443="","KEEP","DROP")</f>
        <v>KEEP</v>
      </c>
      <c r="AD2443" s="7" t="str">
        <f aca="false">IF(TRIM(F2443)="",IFERROR(INDEX(Map_Tables!$I$4:$I$37,MATCH(TRIM(E2443),Map_Tables!$G$4:$G$37,0)),""),IFERROR(INDEX(Map_Tables!$B$4:$B$18,MATCH(TRIM(F2443),Map_Tables!$A$4:$A$18,0)),"CHECK"))</f>
        <v>Delhi</v>
      </c>
      <c r="AE2443" s="7" t="str">
        <f aca="false">IF(TRIM(E2443)="","",IFERROR(INDEX(Map_Tables!$H$4:$H$37,MATCH(TRIM(E2443),Map_Tables!$G$4:$G$37,0)),"CHECK"))</f>
        <v>Burger Barn</v>
      </c>
      <c r="AF2443" s="7" t="str">
        <f aca="false">IF(TRIM(K2443)="","Unknown",IFERROR(INDEX(Map_Tables!$E$4:$E$15,MATCH(TRIM(K2443),Map_Tables!$D$4:$D$15,0)),"CHECK"))</f>
        <v>UPI</v>
      </c>
      <c r="AG2443" s="7" t="str">
        <f aca="false">IF(LEFT(LOWER(TRIM(L2443)),6)="cancel","Cancelled","Delivered")</f>
        <v>Delivered</v>
      </c>
      <c r="AH2443" s="10" t="n">
        <f aca="false">IF(ISNUMBER(SEARCH("/",B2443)),DATE(VALUE(RIGHT(B2443,4)),VALUE(MID(B2443,4,2)),VALUE(LEFT(B2443,2))),IF(MID(B2443,5,1)="-",DATE(VALUE(LEFT(B2443,4)),VALUE(MID(B2443,6,2)),VALUE(RIGHT(B2443,2))),DATE(VALUE(RIGHT(B2443,4)),MATCH(MID(B2443,4,3),{"Jan","Feb","Mar","Apr","May","Jun","Jul","Aug","Sep","Oct","Nov","Dec"},0),VALUE(LEFT(B2443,2)))))</f>
        <v>45995</v>
      </c>
    </row>
    <row r="2444" customFormat="false" ht="15" hidden="false" customHeight="false" outlineLevel="0" collapsed="false">
      <c r="A2444" s="7" t="s">
        <v>5381</v>
      </c>
      <c r="B2444" s="7" t="s">
        <v>2461</v>
      </c>
      <c r="C2444" s="7" t="s">
        <v>386</v>
      </c>
      <c r="D2444" s="7" t="s">
        <v>5382</v>
      </c>
      <c r="E2444" s="7" t="s">
        <v>138</v>
      </c>
      <c r="F2444" s="7" t="s">
        <v>110</v>
      </c>
      <c r="G2444" s="7" t="s">
        <v>139</v>
      </c>
      <c r="H2444" s="7" t="n">
        <v>5</v>
      </c>
      <c r="I2444" s="7" t="n">
        <v>205</v>
      </c>
      <c r="J2444" s="7" t="n">
        <v>20</v>
      </c>
      <c r="K2444" s="7" t="s">
        <v>2596</v>
      </c>
      <c r="L2444" s="7" t="s">
        <v>238</v>
      </c>
      <c r="M2444" s="7"/>
      <c r="N2444" s="7"/>
      <c r="O2444" s="7" t="str">
        <f aca="false">A2444&amp;"|"&amp;B2444&amp;"|"&amp;C2444&amp;"|"&amp;D2444&amp;"|"&amp;E2444&amp;"|"&amp;F2444&amp;"|"&amp;G2444&amp;"|"&amp;H2444&amp;"|"&amp;I2444&amp;"|"&amp;J2444&amp;"|"&amp;K2444&amp;"|"&amp;L2444&amp;"|"&amp;M2444&amp;"|"&amp;N2444</f>
        <v>ORD10964|2025-05-02|11:53|C0238|Burger Barn|Delhi|Burgers|5|205|20|COD|Cancelled||</v>
      </c>
      <c r="P2444" s="7" t="str">
        <f aca="false">IF(COUNTIF($O$2:O2444,O2444)&gt;1,"DUP","OK")</f>
        <v>OK</v>
      </c>
      <c r="Q2444" s="7" t="n">
        <f aca="false">COUNTBLANK(A2444:N2444)</f>
        <v>2</v>
      </c>
      <c r="R2444" s="7" t="n">
        <f aca="false">IF(A2444="",0,COUNTIFS($A$2:$A$3058,A2444,$P$2:$P$3058,"OK"))</f>
        <v>1</v>
      </c>
      <c r="S2444" s="7" t="str">
        <f aca="false">IF(OR(A2444="",P2444="DUP",R2444&lt;2),"",IF(Q2444=_xlfn.MINIFS($Q$2:$Q$3058,$A$2:$A$3058,A2444,$P$2:$P$3058,"OK"),"KEEP","DROP"))</f>
        <v/>
      </c>
      <c r="T2444" s="9" t="n">
        <f aca="false">IF(A2444="",1,0)</f>
        <v>0</v>
      </c>
      <c r="U2444" s="9" t="n">
        <f aca="false">IF(D2444="",1,0)</f>
        <v>0</v>
      </c>
      <c r="V2444" s="9" t="n">
        <f aca="false">IF(E2444="",1,0)</f>
        <v>0</v>
      </c>
      <c r="W2444" s="9" t="n">
        <f aca="false">IF(OR(H2444&lt;1,H2444&gt;10),1,0)</f>
        <v>0</v>
      </c>
      <c r="X2444" s="9" t="n">
        <f aca="false">IF(OR(I2444&lt;=0,I2444&gt;1500),1,0)</f>
        <v>0</v>
      </c>
      <c r="Y2444" s="9" t="n">
        <f aca="false">IF(J2444&gt;H2444*I2444,1,0)</f>
        <v>0</v>
      </c>
      <c r="Z2444" s="9" t="n">
        <f aca="false">IF(AND(N2444&lt;&gt;"",OR(N2444&lt;1,N2444&gt;5)),1,0)</f>
        <v>0</v>
      </c>
      <c r="AA2444" s="9" t="n">
        <f aca="false">IF(AND(M2444&lt;&gt;"",OR(M2444&lt;5,M2444&gt;180)),1,0)</f>
        <v>0</v>
      </c>
      <c r="AB2444" s="7" t="str">
        <f aca="false">IF(P2444="DUP","Exact duplicate row",IF(T2444=1,"Missing Order ID",IF(S2444="DROP","Duplicate Order ID (less complete row)",IF(U2444=1,"Missing Customer ID",IF(V2444=1,"Missing Restaurant name",IF(W2444=1,"Invalid/outlier quantity",IF(X2444=1,"Invalid/outlier unit price",IF(Y2444=1,"Discount greater than order value",""))))))))</f>
        <v/>
      </c>
      <c r="AC2444" s="7" t="str">
        <f aca="false">IF(AB2444="","KEEP","DROP")</f>
        <v>KEEP</v>
      </c>
      <c r="AD2444" s="7" t="str">
        <f aca="false">IF(TRIM(F2444)="",IFERROR(INDEX(Map_Tables!$I$4:$I$37,MATCH(TRIM(E2444),Map_Tables!$G$4:$G$37,0)),""),IFERROR(INDEX(Map_Tables!$B$4:$B$18,MATCH(TRIM(F2444),Map_Tables!$A$4:$A$18,0)),"CHECK"))</f>
        <v>Delhi</v>
      </c>
      <c r="AE2444" s="7" t="str">
        <f aca="false">IF(TRIM(E2444)="","",IFERROR(INDEX(Map_Tables!$H$4:$H$37,MATCH(TRIM(E2444),Map_Tables!$G$4:$G$37,0)),"CHECK"))</f>
        <v>Burger Barn</v>
      </c>
      <c r="AF2444" s="7" t="str">
        <f aca="false">IF(TRIM(K2444)="","Unknown",IFERROR(INDEX(Map_Tables!$E$4:$E$15,MATCH(TRIM(K2444),Map_Tables!$D$4:$D$15,0)),"CHECK"))</f>
        <v>Cash on Delivery</v>
      </c>
      <c r="AG2444" s="7" t="str">
        <f aca="false">IF(LEFT(LOWER(TRIM(L2444)),6)="cancel","Cancelled","Delivered")</f>
        <v>Cancelled</v>
      </c>
      <c r="AH2444" s="10" t="n">
        <f aca="false">IF(ISNUMBER(SEARCH("/",B2444)),DATE(VALUE(RIGHT(B2444,4)),VALUE(MID(B2444,4,2)),VALUE(LEFT(B2444,2))),IF(MID(B2444,5,1)="-",DATE(VALUE(LEFT(B2444,4)),VALUE(MID(B2444,6,2)),VALUE(RIGHT(B2444,2))),DATE(VALUE(RIGHT(B2444,4)),MATCH(MID(B2444,4,3),{"Jan","Feb","Mar","Apr","May","Jun","Jul","Aug","Sep","Oct","Nov","Dec"},0),VALUE(LEFT(B2444,2)))))</f>
        <v>45779</v>
      </c>
    </row>
    <row r="2445" customFormat="false" ht="15" hidden="false" customHeight="false" outlineLevel="0" collapsed="false">
      <c r="A2445" s="7" t="s">
        <v>5383</v>
      </c>
      <c r="B2445" s="7" t="s">
        <v>828</v>
      </c>
      <c r="C2445" s="7" t="s">
        <v>236</v>
      </c>
      <c r="D2445" s="7" t="s">
        <v>5384</v>
      </c>
      <c r="E2445" s="7" t="s">
        <v>94</v>
      </c>
      <c r="F2445" s="7" t="s">
        <v>86</v>
      </c>
      <c r="G2445" s="7" t="s">
        <v>95</v>
      </c>
      <c r="H2445" s="7" t="n">
        <v>2</v>
      </c>
      <c r="I2445" s="7" t="n">
        <v>135</v>
      </c>
      <c r="J2445" s="7" t="n">
        <v>100</v>
      </c>
      <c r="K2445" s="7" t="s">
        <v>1739</v>
      </c>
      <c r="L2445" s="7" t="s">
        <v>194</v>
      </c>
      <c r="M2445" s="7" t="n">
        <v>35</v>
      </c>
      <c r="N2445" s="7"/>
      <c r="O2445" s="7" t="str">
        <f aca="false">A2445&amp;"|"&amp;B2445&amp;"|"&amp;C2445&amp;"|"&amp;D2445&amp;"|"&amp;E2445&amp;"|"&amp;F2445&amp;"|"&amp;G2445&amp;"|"&amp;H2445&amp;"|"&amp;I2445&amp;"|"&amp;J2445&amp;"|"&amp;K2445&amp;"|"&amp;L2445&amp;"|"&amp;M2445&amp;"|"&amp;N2445</f>
        <v>ORD12542|2025-11-13|19:26|C0826|Dosa Darbar|Bengaluru|South Indian|2|135|100|CC|Delivered|35|</v>
      </c>
      <c r="P2445" s="7" t="str">
        <f aca="false">IF(COUNTIF($O$2:O2445,O2445)&gt;1,"DUP","OK")</f>
        <v>OK</v>
      </c>
      <c r="Q2445" s="7" t="n">
        <f aca="false">COUNTBLANK(A2445:N2445)</f>
        <v>1</v>
      </c>
      <c r="R2445" s="7" t="n">
        <f aca="false">IF(A2445="",0,COUNTIFS($A$2:$A$3058,A2445,$P$2:$P$3058,"OK"))</f>
        <v>1</v>
      </c>
      <c r="S2445" s="7" t="str">
        <f aca="false">IF(OR(A2445="",P2445="DUP",R2445&lt;2),"",IF(Q2445=_xlfn.MINIFS($Q$2:$Q$3058,$A$2:$A$3058,A2445,$P$2:$P$3058,"OK"),"KEEP","DROP"))</f>
        <v/>
      </c>
      <c r="T2445" s="9" t="n">
        <f aca="false">IF(A2445="",1,0)</f>
        <v>0</v>
      </c>
      <c r="U2445" s="9" t="n">
        <f aca="false">IF(D2445="",1,0)</f>
        <v>0</v>
      </c>
      <c r="V2445" s="9" t="n">
        <f aca="false">IF(E2445="",1,0)</f>
        <v>0</v>
      </c>
      <c r="W2445" s="9" t="n">
        <f aca="false">IF(OR(H2445&lt;1,H2445&gt;10),1,0)</f>
        <v>0</v>
      </c>
      <c r="X2445" s="9" t="n">
        <f aca="false">IF(OR(I2445&lt;=0,I2445&gt;1500),1,0)</f>
        <v>0</v>
      </c>
      <c r="Y2445" s="9" t="n">
        <f aca="false">IF(J2445&gt;H2445*I2445,1,0)</f>
        <v>0</v>
      </c>
      <c r="Z2445" s="9" t="n">
        <f aca="false">IF(AND(N2445&lt;&gt;"",OR(N2445&lt;1,N2445&gt;5)),1,0)</f>
        <v>0</v>
      </c>
      <c r="AA2445" s="9" t="n">
        <f aca="false">IF(AND(M2445&lt;&gt;"",OR(M2445&lt;5,M2445&gt;180)),1,0)</f>
        <v>0</v>
      </c>
      <c r="AB2445" s="7" t="str">
        <f aca="false">IF(P2445="DUP","Exact duplicate row",IF(T2445=1,"Missing Order ID",IF(S2445="DROP","Duplicate Order ID (less complete row)",IF(U2445=1,"Missing Customer ID",IF(V2445=1,"Missing Restaurant name",IF(W2445=1,"Invalid/outlier quantity",IF(X2445=1,"Invalid/outlier unit price",IF(Y2445=1,"Discount greater than order value",""))))))))</f>
        <v/>
      </c>
      <c r="AC2445" s="7" t="str">
        <f aca="false">IF(AB2445="","KEEP","DROP")</f>
        <v>KEEP</v>
      </c>
      <c r="AD2445" s="7" t="str">
        <f aca="false">IF(TRIM(F2445)="",IFERROR(INDEX(Map_Tables!$I$4:$I$37,MATCH(TRIM(E2445),Map_Tables!$G$4:$G$37,0)),""),IFERROR(INDEX(Map_Tables!$B$4:$B$18,MATCH(TRIM(F2445),Map_Tables!$A$4:$A$18,0)),"CHECK"))</f>
        <v>Bengaluru</v>
      </c>
      <c r="AE2445" s="7" t="str">
        <f aca="false">IF(TRIM(E2445)="","",IFERROR(INDEX(Map_Tables!$H$4:$H$37,MATCH(TRIM(E2445),Map_Tables!$G$4:$G$37,0)),"CHECK"))</f>
        <v>Dosa Darbar</v>
      </c>
      <c r="AF2445" s="7" t="str">
        <f aca="false">IF(TRIM(K2445)="","Unknown",IFERROR(INDEX(Map_Tables!$E$4:$E$15,MATCH(TRIM(K2445),Map_Tables!$D$4:$D$15,0)),"CHECK"))</f>
        <v>Credit Card</v>
      </c>
      <c r="AG2445" s="7" t="str">
        <f aca="false">IF(LEFT(LOWER(TRIM(L2445)),6)="cancel","Cancelled","Delivered")</f>
        <v>Delivered</v>
      </c>
      <c r="AH2445" s="10" t="n">
        <f aca="false">IF(ISNUMBER(SEARCH("/",B2445)),DATE(VALUE(RIGHT(B2445,4)),VALUE(MID(B2445,4,2)),VALUE(LEFT(B2445,2))),IF(MID(B2445,5,1)="-",DATE(VALUE(LEFT(B2445,4)),VALUE(MID(B2445,6,2)),VALUE(RIGHT(B2445,2))),DATE(VALUE(RIGHT(B2445,4)),MATCH(MID(B2445,4,3),{"Jan","Feb","Mar","Apr","May","Jun","Jul","Aug","Sep","Oct","Nov","Dec"},0),VALUE(LEFT(B2445,2)))))</f>
        <v>45974</v>
      </c>
    </row>
    <row r="2446" customFormat="false" ht="15" hidden="false" customHeight="false" outlineLevel="0" collapsed="false">
      <c r="A2446" s="7" t="s">
        <v>5385</v>
      </c>
      <c r="B2446" s="7" t="s">
        <v>2730</v>
      </c>
      <c r="C2446" s="7" t="s">
        <v>3247</v>
      </c>
      <c r="D2446" s="7" t="s">
        <v>2540</v>
      </c>
      <c r="E2446" s="7" t="s">
        <v>94</v>
      </c>
      <c r="F2446" s="7" t="s">
        <v>86</v>
      </c>
      <c r="G2446" s="7" t="s">
        <v>95</v>
      </c>
      <c r="H2446" s="7" t="n">
        <v>1</v>
      </c>
      <c r="I2446" s="7" t="n">
        <v>125</v>
      </c>
      <c r="J2446" s="7" t="n">
        <v>0</v>
      </c>
      <c r="K2446" s="7" t="s">
        <v>88</v>
      </c>
      <c r="L2446" s="7" t="s">
        <v>194</v>
      </c>
      <c r="M2446" s="7" t="n">
        <v>31</v>
      </c>
      <c r="N2446" s="7" t="n">
        <v>4</v>
      </c>
      <c r="O2446" s="7" t="str">
        <f aca="false">A2446&amp;"|"&amp;B2446&amp;"|"&amp;C2446&amp;"|"&amp;D2446&amp;"|"&amp;E2446&amp;"|"&amp;F2446&amp;"|"&amp;G2446&amp;"|"&amp;H2446&amp;"|"&amp;I2446&amp;"|"&amp;J2446&amp;"|"&amp;K2446&amp;"|"&amp;L2446&amp;"|"&amp;M2446&amp;"|"&amp;N2446</f>
        <v>ORD12887|19/12/2025|19:12|C0903|Dosa Darbar|Bengaluru|South Indian|1|125|0|UPI|Delivered|31|4</v>
      </c>
      <c r="P2446" s="7" t="str">
        <f aca="false">IF(COUNTIF($O$2:O2446,O2446)&gt;1,"DUP","OK")</f>
        <v>OK</v>
      </c>
      <c r="Q2446" s="7" t="n">
        <f aca="false">COUNTBLANK(A2446:N2446)</f>
        <v>0</v>
      </c>
      <c r="R2446" s="7" t="n">
        <f aca="false">IF(A2446="",0,COUNTIFS($A$2:$A$3058,A2446,$P$2:$P$3058,"OK"))</f>
        <v>1</v>
      </c>
      <c r="S2446" s="7" t="str">
        <f aca="false">IF(OR(A2446="",P2446="DUP",R2446&lt;2),"",IF(Q2446=_xlfn.MINIFS($Q$2:$Q$3058,$A$2:$A$3058,A2446,$P$2:$P$3058,"OK"),"KEEP","DROP"))</f>
        <v/>
      </c>
      <c r="T2446" s="9" t="n">
        <f aca="false">IF(A2446="",1,0)</f>
        <v>0</v>
      </c>
      <c r="U2446" s="9" t="n">
        <f aca="false">IF(D2446="",1,0)</f>
        <v>0</v>
      </c>
      <c r="V2446" s="9" t="n">
        <f aca="false">IF(E2446="",1,0)</f>
        <v>0</v>
      </c>
      <c r="W2446" s="9" t="n">
        <f aca="false">IF(OR(H2446&lt;1,H2446&gt;10),1,0)</f>
        <v>0</v>
      </c>
      <c r="X2446" s="9" t="n">
        <f aca="false">IF(OR(I2446&lt;=0,I2446&gt;1500),1,0)</f>
        <v>0</v>
      </c>
      <c r="Y2446" s="9" t="n">
        <f aca="false">IF(J2446&gt;H2446*I2446,1,0)</f>
        <v>0</v>
      </c>
      <c r="Z2446" s="9" t="n">
        <f aca="false">IF(AND(N2446&lt;&gt;"",OR(N2446&lt;1,N2446&gt;5)),1,0)</f>
        <v>0</v>
      </c>
      <c r="AA2446" s="9" t="n">
        <f aca="false">IF(AND(M2446&lt;&gt;"",OR(M2446&lt;5,M2446&gt;180)),1,0)</f>
        <v>0</v>
      </c>
      <c r="AB2446" s="7" t="str">
        <f aca="false">IF(P2446="DUP","Exact duplicate row",IF(T2446=1,"Missing Order ID",IF(S2446="DROP","Duplicate Order ID (less complete row)",IF(U2446=1,"Missing Customer ID",IF(V2446=1,"Missing Restaurant name",IF(W2446=1,"Invalid/outlier quantity",IF(X2446=1,"Invalid/outlier unit price",IF(Y2446=1,"Discount greater than order value",""))))))))</f>
        <v/>
      </c>
      <c r="AC2446" s="7" t="str">
        <f aca="false">IF(AB2446="","KEEP","DROP")</f>
        <v>KEEP</v>
      </c>
      <c r="AD2446" s="7" t="str">
        <f aca="false">IF(TRIM(F2446)="",IFERROR(INDEX(Map_Tables!$I$4:$I$37,MATCH(TRIM(E2446),Map_Tables!$G$4:$G$37,0)),""),IFERROR(INDEX(Map_Tables!$B$4:$B$18,MATCH(TRIM(F2446),Map_Tables!$A$4:$A$18,0)),"CHECK"))</f>
        <v>Bengaluru</v>
      </c>
      <c r="AE2446" s="7" t="str">
        <f aca="false">IF(TRIM(E2446)="","",IFERROR(INDEX(Map_Tables!$H$4:$H$37,MATCH(TRIM(E2446),Map_Tables!$G$4:$G$37,0)),"CHECK"))</f>
        <v>Dosa Darbar</v>
      </c>
      <c r="AF2446" s="7" t="str">
        <f aca="false">IF(TRIM(K2446)="","Unknown",IFERROR(INDEX(Map_Tables!$E$4:$E$15,MATCH(TRIM(K2446),Map_Tables!$D$4:$D$15,0)),"CHECK"))</f>
        <v>UPI</v>
      </c>
      <c r="AG2446" s="7" t="str">
        <f aca="false">IF(LEFT(LOWER(TRIM(L2446)),6)="cancel","Cancelled","Delivered")</f>
        <v>Delivered</v>
      </c>
      <c r="AH2446" s="10" t="n">
        <f aca="false">IF(ISNUMBER(SEARCH("/",B2446)),DATE(VALUE(RIGHT(B2446,4)),VALUE(MID(B2446,4,2)),VALUE(LEFT(B2446,2))),IF(MID(B2446,5,1)="-",DATE(VALUE(LEFT(B2446,4)),VALUE(MID(B2446,6,2)),VALUE(RIGHT(B2446,2))),DATE(VALUE(RIGHT(B2446,4)),MATCH(MID(B2446,4,3),{"Jan","Feb","Mar","Apr","May","Jun","Jul","Aug","Sep","Oct","Nov","Dec"},0),VALUE(LEFT(B2446,2)))))</f>
        <v>46010</v>
      </c>
    </row>
    <row r="2447" customFormat="false" ht="15" hidden="false" customHeight="false" outlineLevel="0" collapsed="false">
      <c r="A2447" s="7" t="s">
        <v>5386</v>
      </c>
      <c r="B2447" s="7" t="s">
        <v>1639</v>
      </c>
      <c r="C2447" s="7" t="s">
        <v>5387</v>
      </c>
      <c r="D2447" s="7" t="s">
        <v>5388</v>
      </c>
      <c r="E2447" s="7" t="s">
        <v>158</v>
      </c>
      <c r="F2447" s="7" t="s">
        <v>136</v>
      </c>
      <c r="G2447" s="7" t="s">
        <v>139</v>
      </c>
      <c r="H2447" s="7" t="n">
        <v>2</v>
      </c>
      <c r="I2447" s="7" t="n">
        <v>200</v>
      </c>
      <c r="J2447" s="7" t="n">
        <v>0</v>
      </c>
      <c r="K2447" s="7" t="s">
        <v>115</v>
      </c>
      <c r="L2447" s="7" t="s">
        <v>194</v>
      </c>
      <c r="M2447" s="7" t="n">
        <v>32</v>
      </c>
      <c r="N2447" s="7"/>
      <c r="O2447" s="7" t="str">
        <f aca="false">A2447&amp;"|"&amp;B2447&amp;"|"&amp;C2447&amp;"|"&amp;D2447&amp;"|"&amp;E2447&amp;"|"&amp;F2447&amp;"|"&amp;G2447&amp;"|"&amp;H2447&amp;"|"&amp;I2447&amp;"|"&amp;J2447&amp;"|"&amp;K2447&amp;"|"&amp;L2447&amp;"|"&amp;M2447&amp;"|"&amp;N2447</f>
        <v>ORD10394|2025-02-22|08:58|C0500|Pune Burger Hub|Pune|Burgers|2|200|0|cash on delivery|Delivered|32|</v>
      </c>
      <c r="P2447" s="7" t="str">
        <f aca="false">IF(COUNTIF($O$2:O2447,O2447)&gt;1,"DUP","OK")</f>
        <v>OK</v>
      </c>
      <c r="Q2447" s="7" t="n">
        <f aca="false">COUNTBLANK(A2447:N2447)</f>
        <v>1</v>
      </c>
      <c r="R2447" s="7" t="n">
        <f aca="false">IF(A2447="",0,COUNTIFS($A$2:$A$3058,A2447,$P$2:$P$3058,"OK"))</f>
        <v>1</v>
      </c>
      <c r="S2447" s="7" t="str">
        <f aca="false">IF(OR(A2447="",P2447="DUP",R2447&lt;2),"",IF(Q2447=_xlfn.MINIFS($Q$2:$Q$3058,$A$2:$A$3058,A2447,$P$2:$P$3058,"OK"),"KEEP","DROP"))</f>
        <v/>
      </c>
      <c r="T2447" s="9" t="n">
        <f aca="false">IF(A2447="",1,0)</f>
        <v>0</v>
      </c>
      <c r="U2447" s="9" t="n">
        <f aca="false">IF(D2447="",1,0)</f>
        <v>0</v>
      </c>
      <c r="V2447" s="9" t="n">
        <f aca="false">IF(E2447="",1,0)</f>
        <v>0</v>
      </c>
      <c r="W2447" s="9" t="n">
        <f aca="false">IF(OR(H2447&lt;1,H2447&gt;10),1,0)</f>
        <v>0</v>
      </c>
      <c r="X2447" s="9" t="n">
        <f aca="false">IF(OR(I2447&lt;=0,I2447&gt;1500),1,0)</f>
        <v>0</v>
      </c>
      <c r="Y2447" s="9" t="n">
        <f aca="false">IF(J2447&gt;H2447*I2447,1,0)</f>
        <v>0</v>
      </c>
      <c r="Z2447" s="9" t="n">
        <f aca="false">IF(AND(N2447&lt;&gt;"",OR(N2447&lt;1,N2447&gt;5)),1,0)</f>
        <v>0</v>
      </c>
      <c r="AA2447" s="9" t="n">
        <f aca="false">IF(AND(M2447&lt;&gt;"",OR(M2447&lt;5,M2447&gt;180)),1,0)</f>
        <v>0</v>
      </c>
      <c r="AB2447" s="7" t="str">
        <f aca="false">IF(P2447="DUP","Exact duplicate row",IF(T2447=1,"Missing Order ID",IF(S2447="DROP","Duplicate Order ID (less complete row)",IF(U2447=1,"Missing Customer ID",IF(V2447=1,"Missing Restaurant name",IF(W2447=1,"Invalid/outlier quantity",IF(X2447=1,"Invalid/outlier unit price",IF(Y2447=1,"Discount greater than order value",""))))))))</f>
        <v/>
      </c>
      <c r="AC2447" s="7" t="str">
        <f aca="false">IF(AB2447="","KEEP","DROP")</f>
        <v>KEEP</v>
      </c>
      <c r="AD2447" s="7" t="str">
        <f aca="false">IF(TRIM(F2447)="",IFERROR(INDEX(Map_Tables!$I$4:$I$37,MATCH(TRIM(E2447),Map_Tables!$G$4:$G$37,0)),""),IFERROR(INDEX(Map_Tables!$B$4:$B$18,MATCH(TRIM(F2447),Map_Tables!$A$4:$A$18,0)),"CHECK"))</f>
        <v>Pune</v>
      </c>
      <c r="AE2447" s="7" t="str">
        <f aca="false">IF(TRIM(E2447)="","",IFERROR(INDEX(Map_Tables!$H$4:$H$37,MATCH(TRIM(E2447),Map_Tables!$G$4:$G$37,0)),"CHECK"))</f>
        <v>Pune Burger Hub</v>
      </c>
      <c r="AF2447" s="7" t="str">
        <f aca="false">IF(TRIM(K2447)="","Unknown",IFERROR(INDEX(Map_Tables!$E$4:$E$15,MATCH(TRIM(K2447),Map_Tables!$D$4:$D$15,0)),"CHECK"))</f>
        <v>Cash on Delivery</v>
      </c>
      <c r="AG2447" s="7" t="str">
        <f aca="false">IF(LEFT(LOWER(TRIM(L2447)),6)="cancel","Cancelled","Delivered")</f>
        <v>Delivered</v>
      </c>
      <c r="AH2447" s="10" t="n">
        <f aca="false">IF(ISNUMBER(SEARCH("/",B2447)),DATE(VALUE(RIGHT(B2447,4)),VALUE(MID(B2447,4,2)),VALUE(LEFT(B2447,2))),IF(MID(B2447,5,1)="-",DATE(VALUE(LEFT(B2447,4)),VALUE(MID(B2447,6,2)),VALUE(RIGHT(B2447,2))),DATE(VALUE(RIGHT(B2447,4)),MATCH(MID(B2447,4,3),{"Jan","Feb","Mar","Apr","May","Jun","Jul","Aug","Sep","Oct","Nov","Dec"},0),VALUE(LEFT(B2447,2)))))</f>
        <v>45710</v>
      </c>
    </row>
    <row r="2448" customFormat="false" ht="15" hidden="false" customHeight="false" outlineLevel="0" collapsed="false">
      <c r="A2448" s="7" t="s">
        <v>5389</v>
      </c>
      <c r="B2448" s="7" t="s">
        <v>2617</v>
      </c>
      <c r="C2448" s="7" t="s">
        <v>1718</v>
      </c>
      <c r="D2448" s="7" t="s">
        <v>784</v>
      </c>
      <c r="E2448" s="7" t="s">
        <v>161</v>
      </c>
      <c r="F2448" s="7" t="s">
        <v>141</v>
      </c>
      <c r="G2448" s="7" t="s">
        <v>117</v>
      </c>
      <c r="H2448" s="7" t="n">
        <v>1</v>
      </c>
      <c r="I2448" s="7" t="n">
        <v>130</v>
      </c>
      <c r="J2448" s="7" t="n">
        <v>0</v>
      </c>
      <c r="K2448" s="7" t="s">
        <v>88</v>
      </c>
      <c r="L2448" s="7" t="s">
        <v>194</v>
      </c>
      <c r="M2448" s="7" t="n">
        <v>39</v>
      </c>
      <c r="N2448" s="7" t="n">
        <v>3</v>
      </c>
      <c r="O2448" s="7" t="str">
        <f aca="false">A2448&amp;"|"&amp;B2448&amp;"|"&amp;C2448&amp;"|"&amp;D2448&amp;"|"&amp;E2448&amp;"|"&amp;F2448&amp;"|"&amp;G2448&amp;"|"&amp;H2448&amp;"|"&amp;I2448&amp;"|"&amp;J2448&amp;"|"&amp;K2448&amp;"|"&amp;L2448&amp;"|"&amp;M2448&amp;"|"&amp;N2448</f>
        <v>ORD12690|2025-11-27|20:13|C0674|Bengal Bites|Kolkata|Street Food|1|130|0|UPI|Delivered|39|3</v>
      </c>
      <c r="P2448" s="7" t="str">
        <f aca="false">IF(COUNTIF($O$2:O2448,O2448)&gt;1,"DUP","OK")</f>
        <v>OK</v>
      </c>
      <c r="Q2448" s="7" t="n">
        <f aca="false">COUNTBLANK(A2448:N2448)</f>
        <v>0</v>
      </c>
      <c r="R2448" s="7" t="n">
        <f aca="false">IF(A2448="",0,COUNTIFS($A$2:$A$3058,A2448,$P$2:$P$3058,"OK"))</f>
        <v>1</v>
      </c>
      <c r="S2448" s="7" t="str">
        <f aca="false">IF(OR(A2448="",P2448="DUP",R2448&lt;2),"",IF(Q2448=_xlfn.MINIFS($Q$2:$Q$3058,$A$2:$A$3058,A2448,$P$2:$P$3058,"OK"),"KEEP","DROP"))</f>
        <v/>
      </c>
      <c r="T2448" s="9" t="n">
        <f aca="false">IF(A2448="",1,0)</f>
        <v>0</v>
      </c>
      <c r="U2448" s="9" t="n">
        <f aca="false">IF(D2448="",1,0)</f>
        <v>0</v>
      </c>
      <c r="V2448" s="9" t="n">
        <f aca="false">IF(E2448="",1,0)</f>
        <v>0</v>
      </c>
      <c r="W2448" s="9" t="n">
        <f aca="false">IF(OR(H2448&lt;1,H2448&gt;10),1,0)</f>
        <v>0</v>
      </c>
      <c r="X2448" s="9" t="n">
        <f aca="false">IF(OR(I2448&lt;=0,I2448&gt;1500),1,0)</f>
        <v>0</v>
      </c>
      <c r="Y2448" s="9" t="n">
        <f aca="false">IF(J2448&gt;H2448*I2448,1,0)</f>
        <v>0</v>
      </c>
      <c r="Z2448" s="9" t="n">
        <f aca="false">IF(AND(N2448&lt;&gt;"",OR(N2448&lt;1,N2448&gt;5)),1,0)</f>
        <v>0</v>
      </c>
      <c r="AA2448" s="9" t="n">
        <f aca="false">IF(AND(M2448&lt;&gt;"",OR(M2448&lt;5,M2448&gt;180)),1,0)</f>
        <v>0</v>
      </c>
      <c r="AB2448" s="7" t="str">
        <f aca="false">IF(P2448="DUP","Exact duplicate row",IF(T2448=1,"Missing Order ID",IF(S2448="DROP","Duplicate Order ID (less complete row)",IF(U2448=1,"Missing Customer ID",IF(V2448=1,"Missing Restaurant name",IF(W2448=1,"Invalid/outlier quantity",IF(X2448=1,"Invalid/outlier unit price",IF(Y2448=1,"Discount greater than order value",""))))))))</f>
        <v/>
      </c>
      <c r="AC2448" s="7" t="str">
        <f aca="false">IF(AB2448="","KEEP","DROP")</f>
        <v>KEEP</v>
      </c>
      <c r="AD2448" s="7" t="str">
        <f aca="false">IF(TRIM(F2448)="",IFERROR(INDEX(Map_Tables!$I$4:$I$37,MATCH(TRIM(E2448),Map_Tables!$G$4:$G$37,0)),""),IFERROR(INDEX(Map_Tables!$B$4:$B$18,MATCH(TRIM(F2448),Map_Tables!$A$4:$A$18,0)),"CHECK"))</f>
        <v>Kolkata</v>
      </c>
      <c r="AE2448" s="7" t="str">
        <f aca="false">IF(TRIM(E2448)="","",IFERROR(INDEX(Map_Tables!$H$4:$H$37,MATCH(TRIM(E2448),Map_Tables!$G$4:$G$37,0)),"CHECK"))</f>
        <v>Bengal Bites</v>
      </c>
      <c r="AF2448" s="7" t="str">
        <f aca="false">IF(TRIM(K2448)="","Unknown",IFERROR(INDEX(Map_Tables!$E$4:$E$15,MATCH(TRIM(K2448),Map_Tables!$D$4:$D$15,0)),"CHECK"))</f>
        <v>UPI</v>
      </c>
      <c r="AG2448" s="7" t="str">
        <f aca="false">IF(LEFT(LOWER(TRIM(L2448)),6)="cancel","Cancelled","Delivered")</f>
        <v>Delivered</v>
      </c>
      <c r="AH2448" s="10" t="n">
        <f aca="false">IF(ISNUMBER(SEARCH("/",B2448)),DATE(VALUE(RIGHT(B2448,4)),VALUE(MID(B2448,4,2)),VALUE(LEFT(B2448,2))),IF(MID(B2448,5,1)="-",DATE(VALUE(LEFT(B2448,4)),VALUE(MID(B2448,6,2)),VALUE(RIGHT(B2448,2))),DATE(VALUE(RIGHT(B2448,4)),MATCH(MID(B2448,4,3),{"Jan","Feb","Mar","Apr","May","Jun","Jul","Aug","Sep","Oct","Nov","Dec"},0),VALUE(LEFT(B2448,2)))))</f>
        <v>45988</v>
      </c>
    </row>
    <row r="2449" customFormat="false" ht="15" hidden="false" customHeight="false" outlineLevel="0" collapsed="false">
      <c r="A2449" s="7" t="s">
        <v>5390</v>
      </c>
      <c r="B2449" s="7" t="s">
        <v>808</v>
      </c>
      <c r="C2449" s="7" t="s">
        <v>346</v>
      </c>
      <c r="D2449" s="7" t="s">
        <v>4498</v>
      </c>
      <c r="E2449" s="7" t="s">
        <v>130</v>
      </c>
      <c r="F2449" s="7" t="s">
        <v>110</v>
      </c>
      <c r="G2449" s="7" t="s">
        <v>90</v>
      </c>
      <c r="H2449" s="7" t="n">
        <v>3</v>
      </c>
      <c r="I2449" s="7" t="n">
        <v>300</v>
      </c>
      <c r="J2449" s="7" t="n">
        <v>100</v>
      </c>
      <c r="K2449" s="7" t="s">
        <v>103</v>
      </c>
      <c r="L2449" s="7" t="s">
        <v>194</v>
      </c>
      <c r="M2449" s="7" t="n">
        <v>40</v>
      </c>
      <c r="N2449" s="7" t="n">
        <v>4</v>
      </c>
      <c r="O2449" s="7" t="str">
        <f aca="false">A2449&amp;"|"&amp;B2449&amp;"|"&amp;C2449&amp;"|"&amp;D2449&amp;"|"&amp;E2449&amp;"|"&amp;F2449&amp;"|"&amp;G2449&amp;"|"&amp;H2449&amp;"|"&amp;I2449&amp;"|"&amp;J2449&amp;"|"&amp;K2449&amp;"|"&amp;L2449&amp;"|"&amp;M2449&amp;"|"&amp;N2449</f>
        <v>ORD12585|2025-11-16|19:18|C1396|Tandoor Tales|Delhi|North Indian|3|300|100|Debit Card|Delivered|40|4</v>
      </c>
      <c r="P2449" s="7" t="str">
        <f aca="false">IF(COUNTIF($O$2:O2449,O2449)&gt;1,"DUP","OK")</f>
        <v>OK</v>
      </c>
      <c r="Q2449" s="7" t="n">
        <f aca="false">COUNTBLANK(A2449:N2449)</f>
        <v>0</v>
      </c>
      <c r="R2449" s="7" t="n">
        <f aca="false">IF(A2449="",0,COUNTIFS($A$2:$A$3058,A2449,$P$2:$P$3058,"OK"))</f>
        <v>1</v>
      </c>
      <c r="S2449" s="7" t="str">
        <f aca="false">IF(OR(A2449="",P2449="DUP",R2449&lt;2),"",IF(Q2449=_xlfn.MINIFS($Q$2:$Q$3058,$A$2:$A$3058,A2449,$P$2:$P$3058,"OK"),"KEEP","DROP"))</f>
        <v/>
      </c>
      <c r="T2449" s="9" t="n">
        <f aca="false">IF(A2449="",1,0)</f>
        <v>0</v>
      </c>
      <c r="U2449" s="9" t="n">
        <f aca="false">IF(D2449="",1,0)</f>
        <v>0</v>
      </c>
      <c r="V2449" s="9" t="n">
        <f aca="false">IF(E2449="",1,0)</f>
        <v>0</v>
      </c>
      <c r="W2449" s="9" t="n">
        <f aca="false">IF(OR(H2449&lt;1,H2449&gt;10),1,0)</f>
        <v>0</v>
      </c>
      <c r="X2449" s="9" t="n">
        <f aca="false">IF(OR(I2449&lt;=0,I2449&gt;1500),1,0)</f>
        <v>0</v>
      </c>
      <c r="Y2449" s="9" t="n">
        <f aca="false">IF(J2449&gt;H2449*I2449,1,0)</f>
        <v>0</v>
      </c>
      <c r="Z2449" s="9" t="n">
        <f aca="false">IF(AND(N2449&lt;&gt;"",OR(N2449&lt;1,N2449&gt;5)),1,0)</f>
        <v>0</v>
      </c>
      <c r="AA2449" s="9" t="n">
        <f aca="false">IF(AND(M2449&lt;&gt;"",OR(M2449&lt;5,M2449&gt;180)),1,0)</f>
        <v>0</v>
      </c>
      <c r="AB2449" s="7" t="str">
        <f aca="false">IF(P2449="DUP","Exact duplicate row",IF(T2449=1,"Missing Order ID",IF(S2449="DROP","Duplicate Order ID (less complete row)",IF(U2449=1,"Missing Customer ID",IF(V2449=1,"Missing Restaurant name",IF(W2449=1,"Invalid/outlier quantity",IF(X2449=1,"Invalid/outlier unit price",IF(Y2449=1,"Discount greater than order value",""))))))))</f>
        <v/>
      </c>
      <c r="AC2449" s="7" t="str">
        <f aca="false">IF(AB2449="","KEEP","DROP")</f>
        <v>KEEP</v>
      </c>
      <c r="AD2449" s="7" t="str">
        <f aca="false">IF(TRIM(F2449)="",IFERROR(INDEX(Map_Tables!$I$4:$I$37,MATCH(TRIM(E2449),Map_Tables!$G$4:$G$37,0)),""),IFERROR(INDEX(Map_Tables!$B$4:$B$18,MATCH(TRIM(F2449),Map_Tables!$A$4:$A$18,0)),"CHECK"))</f>
        <v>Delhi</v>
      </c>
      <c r="AE2449" s="7" t="str">
        <f aca="false">IF(TRIM(E2449)="","",IFERROR(INDEX(Map_Tables!$H$4:$H$37,MATCH(TRIM(E2449),Map_Tables!$G$4:$G$37,0)),"CHECK"))</f>
        <v>Tandoor Tales</v>
      </c>
      <c r="AF2449" s="7" t="str">
        <f aca="false">IF(TRIM(K2449)="","Unknown",IFERROR(INDEX(Map_Tables!$E$4:$E$15,MATCH(TRIM(K2449),Map_Tables!$D$4:$D$15,0)),"CHECK"))</f>
        <v>Debit Card</v>
      </c>
      <c r="AG2449" s="7" t="str">
        <f aca="false">IF(LEFT(LOWER(TRIM(L2449)),6)="cancel","Cancelled","Delivered")</f>
        <v>Delivered</v>
      </c>
      <c r="AH2449" s="10" t="n">
        <f aca="false">IF(ISNUMBER(SEARCH("/",B2449)),DATE(VALUE(RIGHT(B2449,4)),VALUE(MID(B2449,4,2)),VALUE(LEFT(B2449,2))),IF(MID(B2449,5,1)="-",DATE(VALUE(LEFT(B2449,4)),VALUE(MID(B2449,6,2)),VALUE(RIGHT(B2449,2))),DATE(VALUE(RIGHT(B2449,4)),MATCH(MID(B2449,4,3),{"Jan","Feb","Mar","Apr","May","Jun","Jul","Aug","Sep","Oct","Nov","Dec"},0),VALUE(LEFT(B2449,2)))))</f>
        <v>45977</v>
      </c>
    </row>
    <row r="2450" customFormat="false" ht="15" hidden="false" customHeight="false" outlineLevel="0" collapsed="false">
      <c r="A2450" s="7" t="s">
        <v>5391</v>
      </c>
      <c r="B2450" s="7" t="s">
        <v>1904</v>
      </c>
      <c r="C2450" s="7" t="s">
        <v>759</v>
      </c>
      <c r="D2450" s="7" t="s">
        <v>4181</v>
      </c>
      <c r="E2450" s="7" t="s">
        <v>160</v>
      </c>
      <c r="F2450" s="7" t="s">
        <v>136</v>
      </c>
      <c r="G2450" s="7" t="s">
        <v>150</v>
      </c>
      <c r="H2450" s="7" t="n">
        <v>1</v>
      </c>
      <c r="I2450" s="7" t="n">
        <v>180</v>
      </c>
      <c r="J2450" s="7" t="n">
        <v>0</v>
      </c>
      <c r="K2450" s="7" t="s">
        <v>121</v>
      </c>
      <c r="L2450" s="7" t="s">
        <v>220</v>
      </c>
      <c r="M2450" s="7" t="n">
        <v>30</v>
      </c>
      <c r="N2450" s="7" t="n">
        <v>5</v>
      </c>
      <c r="O2450" s="7" t="str">
        <f aca="false">A2450&amp;"|"&amp;B2450&amp;"|"&amp;C2450&amp;"|"&amp;D2450&amp;"|"&amp;E2450&amp;"|"&amp;F2450&amp;"|"&amp;G2450&amp;"|"&amp;H2450&amp;"|"&amp;I2450&amp;"|"&amp;J2450&amp;"|"&amp;K2450&amp;"|"&amp;L2450&amp;"|"&amp;M2450&amp;"|"&amp;N2450</f>
        <v>ORD11453|2025-07-08|11:50|C1130|Cake Walk|Pune|Desserts|1|180|0|Wallet|DELIVERED|30|5</v>
      </c>
      <c r="P2450" s="7" t="str">
        <f aca="false">IF(COUNTIF($O$2:O2450,O2450)&gt;1,"DUP","OK")</f>
        <v>OK</v>
      </c>
      <c r="Q2450" s="7" t="n">
        <f aca="false">COUNTBLANK(A2450:N2450)</f>
        <v>0</v>
      </c>
      <c r="R2450" s="7" t="n">
        <f aca="false">IF(A2450="",0,COUNTIFS($A$2:$A$3058,A2450,$P$2:$P$3058,"OK"))</f>
        <v>1</v>
      </c>
      <c r="S2450" s="7" t="str">
        <f aca="false">IF(OR(A2450="",P2450="DUP",R2450&lt;2),"",IF(Q2450=_xlfn.MINIFS($Q$2:$Q$3058,$A$2:$A$3058,A2450,$P$2:$P$3058,"OK"),"KEEP","DROP"))</f>
        <v/>
      </c>
      <c r="T2450" s="9" t="n">
        <f aca="false">IF(A2450="",1,0)</f>
        <v>0</v>
      </c>
      <c r="U2450" s="9" t="n">
        <f aca="false">IF(D2450="",1,0)</f>
        <v>0</v>
      </c>
      <c r="V2450" s="9" t="n">
        <f aca="false">IF(E2450="",1,0)</f>
        <v>0</v>
      </c>
      <c r="W2450" s="9" t="n">
        <f aca="false">IF(OR(H2450&lt;1,H2450&gt;10),1,0)</f>
        <v>0</v>
      </c>
      <c r="X2450" s="9" t="n">
        <f aca="false">IF(OR(I2450&lt;=0,I2450&gt;1500),1,0)</f>
        <v>0</v>
      </c>
      <c r="Y2450" s="9" t="n">
        <f aca="false">IF(J2450&gt;H2450*I2450,1,0)</f>
        <v>0</v>
      </c>
      <c r="Z2450" s="9" t="n">
        <f aca="false">IF(AND(N2450&lt;&gt;"",OR(N2450&lt;1,N2450&gt;5)),1,0)</f>
        <v>0</v>
      </c>
      <c r="AA2450" s="9" t="n">
        <f aca="false">IF(AND(M2450&lt;&gt;"",OR(M2450&lt;5,M2450&gt;180)),1,0)</f>
        <v>0</v>
      </c>
      <c r="AB2450" s="7" t="str">
        <f aca="false">IF(P2450="DUP","Exact duplicate row",IF(T2450=1,"Missing Order ID",IF(S2450="DROP","Duplicate Order ID (less complete row)",IF(U2450=1,"Missing Customer ID",IF(V2450=1,"Missing Restaurant name",IF(W2450=1,"Invalid/outlier quantity",IF(X2450=1,"Invalid/outlier unit price",IF(Y2450=1,"Discount greater than order value",""))))))))</f>
        <v/>
      </c>
      <c r="AC2450" s="7" t="str">
        <f aca="false">IF(AB2450="","KEEP","DROP")</f>
        <v>KEEP</v>
      </c>
      <c r="AD2450" s="7" t="str">
        <f aca="false">IF(TRIM(F2450)="",IFERROR(INDEX(Map_Tables!$I$4:$I$37,MATCH(TRIM(E2450),Map_Tables!$G$4:$G$37,0)),""),IFERROR(INDEX(Map_Tables!$B$4:$B$18,MATCH(TRIM(F2450),Map_Tables!$A$4:$A$18,0)),"CHECK"))</f>
        <v>Pune</v>
      </c>
      <c r="AE2450" s="7" t="str">
        <f aca="false">IF(TRIM(E2450)="","",IFERROR(INDEX(Map_Tables!$H$4:$H$37,MATCH(TRIM(E2450),Map_Tables!$G$4:$G$37,0)),"CHECK"))</f>
        <v>Cake Walk</v>
      </c>
      <c r="AF2450" s="7" t="str">
        <f aca="false">IF(TRIM(K2450)="","Unknown",IFERROR(INDEX(Map_Tables!$E$4:$E$15,MATCH(TRIM(K2450),Map_Tables!$D$4:$D$15,0)),"CHECK"))</f>
        <v>Wallet</v>
      </c>
      <c r="AG2450" s="7" t="str">
        <f aca="false">IF(LEFT(LOWER(TRIM(L2450)),6)="cancel","Cancelled","Delivered")</f>
        <v>Delivered</v>
      </c>
      <c r="AH2450" s="10" t="n">
        <f aca="false">IF(ISNUMBER(SEARCH("/",B2450)),DATE(VALUE(RIGHT(B2450,4)),VALUE(MID(B2450,4,2)),VALUE(LEFT(B2450,2))),IF(MID(B2450,5,1)="-",DATE(VALUE(LEFT(B2450,4)),VALUE(MID(B2450,6,2)),VALUE(RIGHT(B2450,2))),DATE(VALUE(RIGHT(B2450,4)),MATCH(MID(B2450,4,3),{"Jan","Feb","Mar","Apr","May","Jun","Jul","Aug","Sep","Oct","Nov","Dec"},0),VALUE(LEFT(B2450,2)))))</f>
        <v>45846</v>
      </c>
    </row>
    <row r="2451" customFormat="false" ht="15" hidden="false" customHeight="false" outlineLevel="0" collapsed="false">
      <c r="A2451" s="7" t="s">
        <v>5392</v>
      </c>
      <c r="B2451" s="7" t="s">
        <v>3662</v>
      </c>
      <c r="C2451" s="7" t="s">
        <v>1684</v>
      </c>
      <c r="D2451" s="7" t="s">
        <v>4386</v>
      </c>
      <c r="E2451" s="7" t="s">
        <v>104</v>
      </c>
      <c r="F2451" s="7" t="s">
        <v>86</v>
      </c>
      <c r="G2451" s="7" t="s">
        <v>105</v>
      </c>
      <c r="H2451" s="7" t="n">
        <v>2</v>
      </c>
      <c r="I2451" s="7" t="n">
        <v>155</v>
      </c>
      <c r="J2451" s="7" t="n">
        <v>124</v>
      </c>
      <c r="K2451" s="7" t="s">
        <v>88</v>
      </c>
      <c r="L2451" s="7" t="s">
        <v>194</v>
      </c>
      <c r="M2451" s="7" t="n">
        <v>36</v>
      </c>
      <c r="N2451" s="7" t="n">
        <v>2</v>
      </c>
      <c r="O2451" s="7" t="str">
        <f aca="false">A2451&amp;"|"&amp;B2451&amp;"|"&amp;C2451&amp;"|"&amp;D2451&amp;"|"&amp;E2451&amp;"|"&amp;F2451&amp;"|"&amp;G2451&amp;"|"&amp;H2451&amp;"|"&amp;I2451&amp;"|"&amp;J2451&amp;"|"&amp;K2451&amp;"|"&amp;L2451&amp;"|"&amp;M2451&amp;"|"&amp;N2451</f>
        <v>ORD10150|20/01/2025|11:30|C0272|Wok &amp; Roll|Bengaluru|Chinese|2|155|124|UPI|Delivered|36|2</v>
      </c>
      <c r="P2451" s="7" t="str">
        <f aca="false">IF(COUNTIF($O$2:O2451,O2451)&gt;1,"DUP","OK")</f>
        <v>OK</v>
      </c>
      <c r="Q2451" s="7" t="n">
        <f aca="false">COUNTBLANK(A2451:N2451)</f>
        <v>0</v>
      </c>
      <c r="R2451" s="7" t="n">
        <f aca="false">IF(A2451="",0,COUNTIFS($A$2:$A$3058,A2451,$P$2:$P$3058,"OK"))</f>
        <v>1</v>
      </c>
      <c r="S2451" s="7" t="str">
        <f aca="false">IF(OR(A2451="",P2451="DUP",R2451&lt;2),"",IF(Q2451=_xlfn.MINIFS($Q$2:$Q$3058,$A$2:$A$3058,A2451,$P$2:$P$3058,"OK"),"KEEP","DROP"))</f>
        <v/>
      </c>
      <c r="T2451" s="9" t="n">
        <f aca="false">IF(A2451="",1,0)</f>
        <v>0</v>
      </c>
      <c r="U2451" s="9" t="n">
        <f aca="false">IF(D2451="",1,0)</f>
        <v>0</v>
      </c>
      <c r="V2451" s="9" t="n">
        <f aca="false">IF(E2451="",1,0)</f>
        <v>0</v>
      </c>
      <c r="W2451" s="9" t="n">
        <f aca="false">IF(OR(H2451&lt;1,H2451&gt;10),1,0)</f>
        <v>0</v>
      </c>
      <c r="X2451" s="9" t="n">
        <f aca="false">IF(OR(I2451&lt;=0,I2451&gt;1500),1,0)</f>
        <v>0</v>
      </c>
      <c r="Y2451" s="9" t="n">
        <f aca="false">IF(J2451&gt;H2451*I2451,1,0)</f>
        <v>0</v>
      </c>
      <c r="Z2451" s="9" t="n">
        <f aca="false">IF(AND(N2451&lt;&gt;"",OR(N2451&lt;1,N2451&gt;5)),1,0)</f>
        <v>0</v>
      </c>
      <c r="AA2451" s="9" t="n">
        <f aca="false">IF(AND(M2451&lt;&gt;"",OR(M2451&lt;5,M2451&gt;180)),1,0)</f>
        <v>0</v>
      </c>
      <c r="AB2451" s="7" t="str">
        <f aca="false">IF(P2451="DUP","Exact duplicate row",IF(T2451=1,"Missing Order ID",IF(S2451="DROP","Duplicate Order ID (less complete row)",IF(U2451=1,"Missing Customer ID",IF(V2451=1,"Missing Restaurant name",IF(W2451=1,"Invalid/outlier quantity",IF(X2451=1,"Invalid/outlier unit price",IF(Y2451=1,"Discount greater than order value",""))))))))</f>
        <v/>
      </c>
      <c r="AC2451" s="7" t="str">
        <f aca="false">IF(AB2451="","KEEP","DROP")</f>
        <v>KEEP</v>
      </c>
      <c r="AD2451" s="7" t="str">
        <f aca="false">IF(TRIM(F2451)="",IFERROR(INDEX(Map_Tables!$I$4:$I$37,MATCH(TRIM(E2451),Map_Tables!$G$4:$G$37,0)),""),IFERROR(INDEX(Map_Tables!$B$4:$B$18,MATCH(TRIM(F2451),Map_Tables!$A$4:$A$18,0)),"CHECK"))</f>
        <v>Bengaluru</v>
      </c>
      <c r="AE2451" s="7" t="str">
        <f aca="false">IF(TRIM(E2451)="","",IFERROR(INDEX(Map_Tables!$H$4:$H$37,MATCH(TRIM(E2451),Map_Tables!$G$4:$G$37,0)),"CHECK"))</f>
        <v>Wok &amp; Roll</v>
      </c>
      <c r="AF2451" s="7" t="str">
        <f aca="false">IF(TRIM(K2451)="","Unknown",IFERROR(INDEX(Map_Tables!$E$4:$E$15,MATCH(TRIM(K2451),Map_Tables!$D$4:$D$15,0)),"CHECK"))</f>
        <v>UPI</v>
      </c>
      <c r="AG2451" s="7" t="str">
        <f aca="false">IF(LEFT(LOWER(TRIM(L2451)),6)="cancel","Cancelled","Delivered")</f>
        <v>Delivered</v>
      </c>
      <c r="AH2451" s="10" t="n">
        <f aca="false">IF(ISNUMBER(SEARCH("/",B2451)),DATE(VALUE(RIGHT(B2451,4)),VALUE(MID(B2451,4,2)),VALUE(LEFT(B2451,2))),IF(MID(B2451,5,1)="-",DATE(VALUE(LEFT(B2451,4)),VALUE(MID(B2451,6,2)),VALUE(RIGHT(B2451,2))),DATE(VALUE(RIGHT(B2451,4)),MATCH(MID(B2451,4,3),{"Jan","Feb","Mar","Apr","May","Jun","Jul","Aug","Sep","Oct","Nov","Dec"},0),VALUE(LEFT(B2451,2)))))</f>
        <v>45677</v>
      </c>
    </row>
    <row r="2452" customFormat="false" ht="15" hidden="false" customHeight="false" outlineLevel="0" collapsed="false">
      <c r="A2452" s="7" t="s">
        <v>5393</v>
      </c>
      <c r="B2452" s="7" t="s">
        <v>2041</v>
      </c>
      <c r="C2452" s="7" t="s">
        <v>2439</v>
      </c>
      <c r="D2452" s="7" t="s">
        <v>4646</v>
      </c>
      <c r="E2452" s="7" t="s">
        <v>94</v>
      </c>
      <c r="F2452" s="7" t="s">
        <v>86</v>
      </c>
      <c r="G2452" s="7" t="s">
        <v>95</v>
      </c>
      <c r="H2452" s="7" t="n">
        <v>2</v>
      </c>
      <c r="I2452" s="7" t="n">
        <v>125</v>
      </c>
      <c r="J2452" s="7" t="n">
        <v>100</v>
      </c>
      <c r="K2452" s="7" t="s">
        <v>88</v>
      </c>
      <c r="L2452" s="7" t="s">
        <v>194</v>
      </c>
      <c r="M2452" s="7" t="n">
        <v>48</v>
      </c>
      <c r="N2452" s="7" t="n">
        <v>4</v>
      </c>
      <c r="O2452" s="7" t="str">
        <f aca="false">A2452&amp;"|"&amp;B2452&amp;"|"&amp;C2452&amp;"|"&amp;D2452&amp;"|"&amp;E2452&amp;"|"&amp;F2452&amp;"|"&amp;G2452&amp;"|"&amp;H2452&amp;"|"&amp;I2452&amp;"|"&amp;J2452&amp;"|"&amp;K2452&amp;"|"&amp;L2452&amp;"|"&amp;M2452&amp;"|"&amp;N2452</f>
        <v>ORD11758|2025-08-18|19:39|C1334|Dosa Darbar|Bengaluru|South Indian|2|125|100|UPI|Delivered|48|4</v>
      </c>
      <c r="P2452" s="7" t="str">
        <f aca="false">IF(COUNTIF($O$2:O2452,O2452)&gt;1,"DUP","OK")</f>
        <v>OK</v>
      </c>
      <c r="Q2452" s="7" t="n">
        <f aca="false">COUNTBLANK(A2452:N2452)</f>
        <v>0</v>
      </c>
      <c r="R2452" s="7" t="n">
        <f aca="false">IF(A2452="",0,COUNTIFS($A$2:$A$3058,A2452,$P$2:$P$3058,"OK"))</f>
        <v>1</v>
      </c>
      <c r="S2452" s="7" t="str">
        <f aca="false">IF(OR(A2452="",P2452="DUP",R2452&lt;2),"",IF(Q2452=_xlfn.MINIFS($Q$2:$Q$3058,$A$2:$A$3058,A2452,$P$2:$P$3058,"OK"),"KEEP","DROP"))</f>
        <v/>
      </c>
      <c r="T2452" s="9" t="n">
        <f aca="false">IF(A2452="",1,0)</f>
        <v>0</v>
      </c>
      <c r="U2452" s="9" t="n">
        <f aca="false">IF(D2452="",1,0)</f>
        <v>0</v>
      </c>
      <c r="V2452" s="9" t="n">
        <f aca="false">IF(E2452="",1,0)</f>
        <v>0</v>
      </c>
      <c r="W2452" s="9" t="n">
        <f aca="false">IF(OR(H2452&lt;1,H2452&gt;10),1,0)</f>
        <v>0</v>
      </c>
      <c r="X2452" s="9" t="n">
        <f aca="false">IF(OR(I2452&lt;=0,I2452&gt;1500),1,0)</f>
        <v>0</v>
      </c>
      <c r="Y2452" s="9" t="n">
        <f aca="false">IF(J2452&gt;H2452*I2452,1,0)</f>
        <v>0</v>
      </c>
      <c r="Z2452" s="9" t="n">
        <f aca="false">IF(AND(N2452&lt;&gt;"",OR(N2452&lt;1,N2452&gt;5)),1,0)</f>
        <v>0</v>
      </c>
      <c r="AA2452" s="9" t="n">
        <f aca="false">IF(AND(M2452&lt;&gt;"",OR(M2452&lt;5,M2452&gt;180)),1,0)</f>
        <v>0</v>
      </c>
      <c r="AB2452" s="7" t="str">
        <f aca="false">IF(P2452="DUP","Exact duplicate row",IF(T2452=1,"Missing Order ID",IF(S2452="DROP","Duplicate Order ID (less complete row)",IF(U2452=1,"Missing Customer ID",IF(V2452=1,"Missing Restaurant name",IF(W2452=1,"Invalid/outlier quantity",IF(X2452=1,"Invalid/outlier unit price",IF(Y2452=1,"Discount greater than order value",""))))))))</f>
        <v/>
      </c>
      <c r="AC2452" s="7" t="str">
        <f aca="false">IF(AB2452="","KEEP","DROP")</f>
        <v>KEEP</v>
      </c>
      <c r="AD2452" s="7" t="str">
        <f aca="false">IF(TRIM(F2452)="",IFERROR(INDEX(Map_Tables!$I$4:$I$37,MATCH(TRIM(E2452),Map_Tables!$G$4:$G$37,0)),""),IFERROR(INDEX(Map_Tables!$B$4:$B$18,MATCH(TRIM(F2452),Map_Tables!$A$4:$A$18,0)),"CHECK"))</f>
        <v>Bengaluru</v>
      </c>
      <c r="AE2452" s="7" t="str">
        <f aca="false">IF(TRIM(E2452)="","",IFERROR(INDEX(Map_Tables!$H$4:$H$37,MATCH(TRIM(E2452),Map_Tables!$G$4:$G$37,0)),"CHECK"))</f>
        <v>Dosa Darbar</v>
      </c>
      <c r="AF2452" s="7" t="str">
        <f aca="false">IF(TRIM(K2452)="","Unknown",IFERROR(INDEX(Map_Tables!$E$4:$E$15,MATCH(TRIM(K2452),Map_Tables!$D$4:$D$15,0)),"CHECK"))</f>
        <v>UPI</v>
      </c>
      <c r="AG2452" s="7" t="str">
        <f aca="false">IF(LEFT(LOWER(TRIM(L2452)),6)="cancel","Cancelled","Delivered")</f>
        <v>Delivered</v>
      </c>
      <c r="AH2452" s="10" t="n">
        <f aca="false">IF(ISNUMBER(SEARCH("/",B2452)),DATE(VALUE(RIGHT(B2452,4)),VALUE(MID(B2452,4,2)),VALUE(LEFT(B2452,2))),IF(MID(B2452,5,1)="-",DATE(VALUE(LEFT(B2452,4)),VALUE(MID(B2452,6,2)),VALUE(RIGHT(B2452,2))),DATE(VALUE(RIGHT(B2452,4)),MATCH(MID(B2452,4,3),{"Jan","Feb","Mar","Apr","May","Jun","Jul","Aug","Sep","Oct","Nov","Dec"},0),VALUE(LEFT(B2452,2)))))</f>
        <v>45887</v>
      </c>
    </row>
    <row r="2453" customFormat="false" ht="15" hidden="false" customHeight="false" outlineLevel="0" collapsed="false">
      <c r="A2453" s="7" t="s">
        <v>5394</v>
      </c>
      <c r="B2453" s="7" t="s">
        <v>1823</v>
      </c>
      <c r="C2453" s="7" t="s">
        <v>5395</v>
      </c>
      <c r="D2453" s="7" t="s">
        <v>4064</v>
      </c>
      <c r="E2453" s="7" t="s">
        <v>158</v>
      </c>
      <c r="F2453" s="7" t="s">
        <v>136</v>
      </c>
      <c r="G2453" s="7" t="s">
        <v>139</v>
      </c>
      <c r="H2453" s="7" t="n">
        <v>2</v>
      </c>
      <c r="I2453" s="7" t="n">
        <v>190</v>
      </c>
      <c r="J2453" s="7" t="n">
        <v>0</v>
      </c>
      <c r="K2453" s="7" t="s">
        <v>121</v>
      </c>
      <c r="L2453" s="7" t="s">
        <v>194</v>
      </c>
      <c r="M2453" s="7" t="n">
        <v>30</v>
      </c>
      <c r="N2453" s="7" t="n">
        <v>5</v>
      </c>
      <c r="O2453" s="7" t="str">
        <f aca="false">A2453&amp;"|"&amp;B2453&amp;"|"&amp;C2453&amp;"|"&amp;D2453&amp;"|"&amp;E2453&amp;"|"&amp;F2453&amp;"|"&amp;G2453&amp;"|"&amp;H2453&amp;"|"&amp;I2453&amp;"|"&amp;J2453&amp;"|"&amp;K2453&amp;"|"&amp;L2453&amp;"|"&amp;M2453&amp;"|"&amp;N2453</f>
        <v>ORD10219|2025-01-30|13:10|C1093|Pune Burger Hub|Pune|Burgers|2|190|0|Wallet|Delivered|30|5</v>
      </c>
      <c r="P2453" s="7" t="str">
        <f aca="false">IF(COUNTIF($O$2:O2453,O2453)&gt;1,"DUP","OK")</f>
        <v>OK</v>
      </c>
      <c r="Q2453" s="7" t="n">
        <f aca="false">COUNTBLANK(A2453:N2453)</f>
        <v>0</v>
      </c>
      <c r="R2453" s="7" t="n">
        <f aca="false">IF(A2453="",0,COUNTIFS($A$2:$A$3058,A2453,$P$2:$P$3058,"OK"))</f>
        <v>1</v>
      </c>
      <c r="S2453" s="7" t="str">
        <f aca="false">IF(OR(A2453="",P2453="DUP",R2453&lt;2),"",IF(Q2453=_xlfn.MINIFS($Q$2:$Q$3058,$A$2:$A$3058,A2453,$P$2:$P$3058,"OK"),"KEEP","DROP"))</f>
        <v/>
      </c>
      <c r="T2453" s="9" t="n">
        <f aca="false">IF(A2453="",1,0)</f>
        <v>0</v>
      </c>
      <c r="U2453" s="9" t="n">
        <f aca="false">IF(D2453="",1,0)</f>
        <v>0</v>
      </c>
      <c r="V2453" s="9" t="n">
        <f aca="false">IF(E2453="",1,0)</f>
        <v>0</v>
      </c>
      <c r="W2453" s="9" t="n">
        <f aca="false">IF(OR(H2453&lt;1,H2453&gt;10),1,0)</f>
        <v>0</v>
      </c>
      <c r="X2453" s="9" t="n">
        <f aca="false">IF(OR(I2453&lt;=0,I2453&gt;1500),1,0)</f>
        <v>0</v>
      </c>
      <c r="Y2453" s="9" t="n">
        <f aca="false">IF(J2453&gt;H2453*I2453,1,0)</f>
        <v>0</v>
      </c>
      <c r="Z2453" s="9" t="n">
        <f aca="false">IF(AND(N2453&lt;&gt;"",OR(N2453&lt;1,N2453&gt;5)),1,0)</f>
        <v>0</v>
      </c>
      <c r="AA2453" s="9" t="n">
        <f aca="false">IF(AND(M2453&lt;&gt;"",OR(M2453&lt;5,M2453&gt;180)),1,0)</f>
        <v>0</v>
      </c>
      <c r="AB2453" s="7" t="str">
        <f aca="false">IF(P2453="DUP","Exact duplicate row",IF(T2453=1,"Missing Order ID",IF(S2453="DROP","Duplicate Order ID (less complete row)",IF(U2453=1,"Missing Customer ID",IF(V2453=1,"Missing Restaurant name",IF(W2453=1,"Invalid/outlier quantity",IF(X2453=1,"Invalid/outlier unit price",IF(Y2453=1,"Discount greater than order value",""))))))))</f>
        <v/>
      </c>
      <c r="AC2453" s="7" t="str">
        <f aca="false">IF(AB2453="","KEEP","DROP")</f>
        <v>KEEP</v>
      </c>
      <c r="AD2453" s="7" t="str">
        <f aca="false">IF(TRIM(F2453)="",IFERROR(INDEX(Map_Tables!$I$4:$I$37,MATCH(TRIM(E2453),Map_Tables!$G$4:$G$37,0)),""),IFERROR(INDEX(Map_Tables!$B$4:$B$18,MATCH(TRIM(F2453),Map_Tables!$A$4:$A$18,0)),"CHECK"))</f>
        <v>Pune</v>
      </c>
      <c r="AE2453" s="7" t="str">
        <f aca="false">IF(TRIM(E2453)="","",IFERROR(INDEX(Map_Tables!$H$4:$H$37,MATCH(TRIM(E2453),Map_Tables!$G$4:$G$37,0)),"CHECK"))</f>
        <v>Pune Burger Hub</v>
      </c>
      <c r="AF2453" s="7" t="str">
        <f aca="false">IF(TRIM(K2453)="","Unknown",IFERROR(INDEX(Map_Tables!$E$4:$E$15,MATCH(TRIM(K2453),Map_Tables!$D$4:$D$15,0)),"CHECK"))</f>
        <v>Wallet</v>
      </c>
      <c r="AG2453" s="7" t="str">
        <f aca="false">IF(LEFT(LOWER(TRIM(L2453)),6)="cancel","Cancelled","Delivered")</f>
        <v>Delivered</v>
      </c>
      <c r="AH2453" s="10" t="n">
        <f aca="false">IF(ISNUMBER(SEARCH("/",B2453)),DATE(VALUE(RIGHT(B2453,4)),VALUE(MID(B2453,4,2)),VALUE(LEFT(B2453,2))),IF(MID(B2453,5,1)="-",DATE(VALUE(LEFT(B2453,4)),VALUE(MID(B2453,6,2)),VALUE(RIGHT(B2453,2))),DATE(VALUE(RIGHT(B2453,4)),MATCH(MID(B2453,4,3),{"Jan","Feb","Mar","Apr","May","Jun","Jul","Aug","Sep","Oct","Nov","Dec"},0),VALUE(LEFT(B2453,2)))))</f>
        <v>45687</v>
      </c>
    </row>
    <row r="2454" customFormat="false" ht="15" hidden="false" customHeight="false" outlineLevel="0" collapsed="false">
      <c r="A2454" s="7" t="s">
        <v>5396</v>
      </c>
      <c r="B2454" s="7" t="s">
        <v>1760</v>
      </c>
      <c r="C2454" s="7" t="s">
        <v>3011</v>
      </c>
      <c r="D2454" s="7" t="s">
        <v>1016</v>
      </c>
      <c r="E2454" s="7" t="s">
        <v>98</v>
      </c>
      <c r="F2454" s="7" t="s">
        <v>729</v>
      </c>
      <c r="G2454" s="7" t="s">
        <v>99</v>
      </c>
      <c r="H2454" s="7" t="n">
        <v>2</v>
      </c>
      <c r="I2454" s="7" t="n">
        <v>265</v>
      </c>
      <c r="J2454" s="7" t="n">
        <v>100</v>
      </c>
      <c r="K2454" s="7" t="s">
        <v>103</v>
      </c>
      <c r="L2454" s="7" t="s">
        <v>194</v>
      </c>
      <c r="M2454" s="7" t="n">
        <v>50</v>
      </c>
      <c r="N2454" s="7" t="n">
        <v>5</v>
      </c>
      <c r="O2454" s="7" t="str">
        <f aca="false">A2454&amp;"|"&amp;B2454&amp;"|"&amp;C2454&amp;"|"&amp;D2454&amp;"|"&amp;E2454&amp;"|"&amp;F2454&amp;"|"&amp;G2454&amp;"|"&amp;H2454&amp;"|"&amp;I2454&amp;"|"&amp;J2454&amp;"|"&amp;K2454&amp;"|"&amp;L2454&amp;"|"&amp;M2454&amp;"|"&amp;N2454</f>
        <v>ORD10240|2025-02-01|17:04|C0945|Nawabi Biryani House|BENGALURU|Biryani|2|265|100|Debit Card|Delivered|50|5</v>
      </c>
      <c r="P2454" s="7" t="str">
        <f aca="false">IF(COUNTIF($O$2:O2454,O2454)&gt;1,"DUP","OK")</f>
        <v>OK</v>
      </c>
      <c r="Q2454" s="7" t="n">
        <f aca="false">COUNTBLANK(A2454:N2454)</f>
        <v>0</v>
      </c>
      <c r="R2454" s="7" t="n">
        <f aca="false">IF(A2454="",0,COUNTIFS($A$2:$A$3058,A2454,$P$2:$P$3058,"OK"))</f>
        <v>1</v>
      </c>
      <c r="S2454" s="7" t="str">
        <f aca="false">IF(OR(A2454="",P2454="DUP",R2454&lt;2),"",IF(Q2454=_xlfn.MINIFS($Q$2:$Q$3058,$A$2:$A$3058,A2454,$P$2:$P$3058,"OK"),"KEEP","DROP"))</f>
        <v/>
      </c>
      <c r="T2454" s="9" t="n">
        <f aca="false">IF(A2454="",1,0)</f>
        <v>0</v>
      </c>
      <c r="U2454" s="9" t="n">
        <f aca="false">IF(D2454="",1,0)</f>
        <v>0</v>
      </c>
      <c r="V2454" s="9" t="n">
        <f aca="false">IF(E2454="",1,0)</f>
        <v>0</v>
      </c>
      <c r="W2454" s="9" t="n">
        <f aca="false">IF(OR(H2454&lt;1,H2454&gt;10),1,0)</f>
        <v>0</v>
      </c>
      <c r="X2454" s="9" t="n">
        <f aca="false">IF(OR(I2454&lt;=0,I2454&gt;1500),1,0)</f>
        <v>0</v>
      </c>
      <c r="Y2454" s="9" t="n">
        <f aca="false">IF(J2454&gt;H2454*I2454,1,0)</f>
        <v>0</v>
      </c>
      <c r="Z2454" s="9" t="n">
        <f aca="false">IF(AND(N2454&lt;&gt;"",OR(N2454&lt;1,N2454&gt;5)),1,0)</f>
        <v>0</v>
      </c>
      <c r="AA2454" s="9" t="n">
        <f aca="false">IF(AND(M2454&lt;&gt;"",OR(M2454&lt;5,M2454&gt;180)),1,0)</f>
        <v>0</v>
      </c>
      <c r="AB2454" s="7" t="str">
        <f aca="false">IF(P2454="DUP","Exact duplicate row",IF(T2454=1,"Missing Order ID",IF(S2454="DROP","Duplicate Order ID (less complete row)",IF(U2454=1,"Missing Customer ID",IF(V2454=1,"Missing Restaurant name",IF(W2454=1,"Invalid/outlier quantity",IF(X2454=1,"Invalid/outlier unit price",IF(Y2454=1,"Discount greater than order value",""))))))))</f>
        <v/>
      </c>
      <c r="AC2454" s="7" t="str">
        <f aca="false">IF(AB2454="","KEEP","DROP")</f>
        <v>KEEP</v>
      </c>
      <c r="AD2454" s="7" t="str">
        <f aca="false">IF(TRIM(F2454)="",IFERROR(INDEX(Map_Tables!$I$4:$I$37,MATCH(TRIM(E2454),Map_Tables!$G$4:$G$37,0)),""),IFERROR(INDEX(Map_Tables!$B$4:$B$18,MATCH(TRIM(F2454),Map_Tables!$A$4:$A$18,0)),"CHECK"))</f>
        <v>Bengaluru</v>
      </c>
      <c r="AE2454" s="7" t="str">
        <f aca="false">IF(TRIM(E2454)="","",IFERROR(INDEX(Map_Tables!$H$4:$H$37,MATCH(TRIM(E2454),Map_Tables!$G$4:$G$37,0)),"CHECK"))</f>
        <v>Nawabi Biryani House</v>
      </c>
      <c r="AF2454" s="7" t="str">
        <f aca="false">IF(TRIM(K2454)="","Unknown",IFERROR(INDEX(Map_Tables!$E$4:$E$15,MATCH(TRIM(K2454),Map_Tables!$D$4:$D$15,0)),"CHECK"))</f>
        <v>Debit Card</v>
      </c>
      <c r="AG2454" s="7" t="str">
        <f aca="false">IF(LEFT(LOWER(TRIM(L2454)),6)="cancel","Cancelled","Delivered")</f>
        <v>Delivered</v>
      </c>
      <c r="AH2454" s="10" t="n">
        <f aca="false">IF(ISNUMBER(SEARCH("/",B2454)),DATE(VALUE(RIGHT(B2454,4)),VALUE(MID(B2454,4,2)),VALUE(LEFT(B2454,2))),IF(MID(B2454,5,1)="-",DATE(VALUE(LEFT(B2454,4)),VALUE(MID(B2454,6,2)),VALUE(RIGHT(B2454,2))),DATE(VALUE(RIGHT(B2454,4)),MATCH(MID(B2454,4,3),{"Jan","Feb","Mar","Apr","May","Jun","Jul","Aug","Sep","Oct","Nov","Dec"},0),VALUE(LEFT(B2454,2)))))</f>
        <v>45689</v>
      </c>
    </row>
    <row r="2455" customFormat="false" ht="15" hidden="false" customHeight="false" outlineLevel="0" collapsed="false">
      <c r="A2455" s="7" t="s">
        <v>5397</v>
      </c>
      <c r="B2455" s="7" t="s">
        <v>800</v>
      </c>
      <c r="C2455" s="7" t="s">
        <v>1374</v>
      </c>
      <c r="D2455" s="7" t="s">
        <v>5398</v>
      </c>
      <c r="E2455" s="7" t="s">
        <v>130</v>
      </c>
      <c r="F2455" s="7" t="s">
        <v>110</v>
      </c>
      <c r="G2455" s="7" t="s">
        <v>90</v>
      </c>
      <c r="H2455" s="7" t="n">
        <v>4</v>
      </c>
      <c r="I2455" s="7" t="n">
        <v>245</v>
      </c>
      <c r="J2455" s="7" t="n">
        <v>50</v>
      </c>
      <c r="K2455" s="7" t="s">
        <v>87</v>
      </c>
      <c r="L2455" s="7" t="s">
        <v>194</v>
      </c>
      <c r="M2455" s="7" t="n">
        <v>43</v>
      </c>
      <c r="N2455" s="7" t="n">
        <v>5</v>
      </c>
      <c r="O2455" s="7" t="str">
        <f aca="false">A2455&amp;"|"&amp;B2455&amp;"|"&amp;C2455&amp;"|"&amp;D2455&amp;"|"&amp;E2455&amp;"|"&amp;F2455&amp;"|"&amp;G2455&amp;"|"&amp;H2455&amp;"|"&amp;I2455&amp;"|"&amp;J2455&amp;"|"&amp;K2455&amp;"|"&amp;L2455&amp;"|"&amp;M2455&amp;"|"&amp;N2455</f>
        <v>ORD11132|2025-05-24|13:55|C1139|Tandoor Tales|Delhi|North Indian|4|245|50|upi|Delivered|43|5</v>
      </c>
      <c r="P2455" s="7" t="str">
        <f aca="false">IF(COUNTIF($O$2:O2455,O2455)&gt;1,"DUP","OK")</f>
        <v>OK</v>
      </c>
      <c r="Q2455" s="7" t="n">
        <f aca="false">COUNTBLANK(A2455:N2455)</f>
        <v>0</v>
      </c>
      <c r="R2455" s="7" t="n">
        <f aca="false">IF(A2455="",0,COUNTIFS($A$2:$A$3058,A2455,$P$2:$P$3058,"OK"))</f>
        <v>1</v>
      </c>
      <c r="S2455" s="7" t="str">
        <f aca="false">IF(OR(A2455="",P2455="DUP",R2455&lt;2),"",IF(Q2455=_xlfn.MINIFS($Q$2:$Q$3058,$A$2:$A$3058,A2455,$P$2:$P$3058,"OK"),"KEEP","DROP"))</f>
        <v/>
      </c>
      <c r="T2455" s="9" t="n">
        <f aca="false">IF(A2455="",1,0)</f>
        <v>0</v>
      </c>
      <c r="U2455" s="9" t="n">
        <f aca="false">IF(D2455="",1,0)</f>
        <v>0</v>
      </c>
      <c r="V2455" s="9" t="n">
        <f aca="false">IF(E2455="",1,0)</f>
        <v>0</v>
      </c>
      <c r="W2455" s="9" t="n">
        <f aca="false">IF(OR(H2455&lt;1,H2455&gt;10),1,0)</f>
        <v>0</v>
      </c>
      <c r="X2455" s="9" t="n">
        <f aca="false">IF(OR(I2455&lt;=0,I2455&gt;1500),1,0)</f>
        <v>0</v>
      </c>
      <c r="Y2455" s="9" t="n">
        <f aca="false">IF(J2455&gt;H2455*I2455,1,0)</f>
        <v>0</v>
      </c>
      <c r="Z2455" s="9" t="n">
        <f aca="false">IF(AND(N2455&lt;&gt;"",OR(N2455&lt;1,N2455&gt;5)),1,0)</f>
        <v>0</v>
      </c>
      <c r="AA2455" s="9" t="n">
        <f aca="false">IF(AND(M2455&lt;&gt;"",OR(M2455&lt;5,M2455&gt;180)),1,0)</f>
        <v>0</v>
      </c>
      <c r="AB2455" s="7" t="str">
        <f aca="false">IF(P2455="DUP","Exact duplicate row",IF(T2455=1,"Missing Order ID",IF(S2455="DROP","Duplicate Order ID (less complete row)",IF(U2455=1,"Missing Customer ID",IF(V2455=1,"Missing Restaurant name",IF(W2455=1,"Invalid/outlier quantity",IF(X2455=1,"Invalid/outlier unit price",IF(Y2455=1,"Discount greater than order value",""))))))))</f>
        <v/>
      </c>
      <c r="AC2455" s="7" t="str">
        <f aca="false">IF(AB2455="","KEEP","DROP")</f>
        <v>KEEP</v>
      </c>
      <c r="AD2455" s="7" t="str">
        <f aca="false">IF(TRIM(F2455)="",IFERROR(INDEX(Map_Tables!$I$4:$I$37,MATCH(TRIM(E2455),Map_Tables!$G$4:$G$37,0)),""),IFERROR(INDEX(Map_Tables!$B$4:$B$18,MATCH(TRIM(F2455),Map_Tables!$A$4:$A$18,0)),"CHECK"))</f>
        <v>Delhi</v>
      </c>
      <c r="AE2455" s="7" t="str">
        <f aca="false">IF(TRIM(E2455)="","",IFERROR(INDEX(Map_Tables!$H$4:$H$37,MATCH(TRIM(E2455),Map_Tables!$G$4:$G$37,0)),"CHECK"))</f>
        <v>Tandoor Tales</v>
      </c>
      <c r="AF2455" s="7" t="str">
        <f aca="false">IF(TRIM(K2455)="","Unknown",IFERROR(INDEX(Map_Tables!$E$4:$E$15,MATCH(TRIM(K2455),Map_Tables!$D$4:$D$15,0)),"CHECK"))</f>
        <v>UPI</v>
      </c>
      <c r="AG2455" s="7" t="str">
        <f aca="false">IF(LEFT(LOWER(TRIM(L2455)),6)="cancel","Cancelled","Delivered")</f>
        <v>Delivered</v>
      </c>
      <c r="AH2455" s="10" t="n">
        <f aca="false">IF(ISNUMBER(SEARCH("/",B2455)),DATE(VALUE(RIGHT(B2455,4)),VALUE(MID(B2455,4,2)),VALUE(LEFT(B2455,2))),IF(MID(B2455,5,1)="-",DATE(VALUE(LEFT(B2455,4)),VALUE(MID(B2455,6,2)),VALUE(RIGHT(B2455,2))),DATE(VALUE(RIGHT(B2455,4)),MATCH(MID(B2455,4,3),{"Jan","Feb","Mar","Apr","May","Jun","Jul","Aug","Sep","Oct","Nov","Dec"},0),VALUE(LEFT(B2455,2)))))</f>
        <v>45801</v>
      </c>
    </row>
    <row r="2456" customFormat="false" ht="15" hidden="false" customHeight="false" outlineLevel="0" collapsed="false">
      <c r="A2456" s="7" t="s">
        <v>5399</v>
      </c>
      <c r="B2456" s="7" t="s">
        <v>212</v>
      </c>
      <c r="C2456" s="7" t="s">
        <v>1864</v>
      </c>
      <c r="D2456" s="7" t="s">
        <v>997</v>
      </c>
      <c r="E2456" s="7" t="s">
        <v>149</v>
      </c>
      <c r="F2456" s="7" t="s">
        <v>119</v>
      </c>
      <c r="G2456" s="7" t="s">
        <v>150</v>
      </c>
      <c r="H2456" s="7" t="n">
        <v>1</v>
      </c>
      <c r="I2456" s="7" t="n">
        <v>170</v>
      </c>
      <c r="J2456" s="7" t="n">
        <v>0</v>
      </c>
      <c r="K2456" s="7" t="s">
        <v>88</v>
      </c>
      <c r="L2456" s="7" t="s">
        <v>194</v>
      </c>
      <c r="M2456" s="7" t="n">
        <v>34</v>
      </c>
      <c r="N2456" s="7" t="n">
        <v>4</v>
      </c>
      <c r="O2456" s="7" t="str">
        <f aca="false">A2456&amp;"|"&amp;B2456&amp;"|"&amp;C2456&amp;"|"&amp;D2456&amp;"|"&amp;E2456&amp;"|"&amp;F2456&amp;"|"&amp;G2456&amp;"|"&amp;H2456&amp;"|"&amp;I2456&amp;"|"&amp;J2456&amp;"|"&amp;K2456&amp;"|"&amp;L2456&amp;"|"&amp;M2456&amp;"|"&amp;N2456</f>
        <v>ORD12735|2025-12-01|18:49|C1190|Sweet Tooth Studio|Hyderabad|Desserts|1|170|0|UPI|Delivered|34|4</v>
      </c>
      <c r="P2456" s="7" t="str">
        <f aca="false">IF(COUNTIF($O$2:O2456,O2456)&gt;1,"DUP","OK")</f>
        <v>OK</v>
      </c>
      <c r="Q2456" s="7" t="n">
        <f aca="false">COUNTBLANK(A2456:N2456)</f>
        <v>0</v>
      </c>
      <c r="R2456" s="7" t="n">
        <f aca="false">IF(A2456="",0,COUNTIFS($A$2:$A$3058,A2456,$P$2:$P$3058,"OK"))</f>
        <v>1</v>
      </c>
      <c r="S2456" s="7" t="str">
        <f aca="false">IF(OR(A2456="",P2456="DUP",R2456&lt;2),"",IF(Q2456=_xlfn.MINIFS($Q$2:$Q$3058,$A$2:$A$3058,A2456,$P$2:$P$3058,"OK"),"KEEP","DROP"))</f>
        <v/>
      </c>
      <c r="T2456" s="9" t="n">
        <f aca="false">IF(A2456="",1,0)</f>
        <v>0</v>
      </c>
      <c r="U2456" s="9" t="n">
        <f aca="false">IF(D2456="",1,0)</f>
        <v>0</v>
      </c>
      <c r="V2456" s="9" t="n">
        <f aca="false">IF(E2456="",1,0)</f>
        <v>0</v>
      </c>
      <c r="W2456" s="9" t="n">
        <f aca="false">IF(OR(H2456&lt;1,H2456&gt;10),1,0)</f>
        <v>0</v>
      </c>
      <c r="X2456" s="9" t="n">
        <f aca="false">IF(OR(I2456&lt;=0,I2456&gt;1500),1,0)</f>
        <v>0</v>
      </c>
      <c r="Y2456" s="9" t="n">
        <f aca="false">IF(J2456&gt;H2456*I2456,1,0)</f>
        <v>0</v>
      </c>
      <c r="Z2456" s="9" t="n">
        <f aca="false">IF(AND(N2456&lt;&gt;"",OR(N2456&lt;1,N2456&gt;5)),1,0)</f>
        <v>0</v>
      </c>
      <c r="AA2456" s="9" t="n">
        <f aca="false">IF(AND(M2456&lt;&gt;"",OR(M2456&lt;5,M2456&gt;180)),1,0)</f>
        <v>0</v>
      </c>
      <c r="AB2456" s="7" t="str">
        <f aca="false">IF(P2456="DUP","Exact duplicate row",IF(T2456=1,"Missing Order ID",IF(S2456="DROP","Duplicate Order ID (less complete row)",IF(U2456=1,"Missing Customer ID",IF(V2456=1,"Missing Restaurant name",IF(W2456=1,"Invalid/outlier quantity",IF(X2456=1,"Invalid/outlier unit price",IF(Y2456=1,"Discount greater than order value",""))))))))</f>
        <v/>
      </c>
      <c r="AC2456" s="7" t="str">
        <f aca="false">IF(AB2456="","KEEP","DROP")</f>
        <v>KEEP</v>
      </c>
      <c r="AD2456" s="7" t="str">
        <f aca="false">IF(TRIM(F2456)="",IFERROR(INDEX(Map_Tables!$I$4:$I$37,MATCH(TRIM(E2456),Map_Tables!$G$4:$G$37,0)),""),IFERROR(INDEX(Map_Tables!$B$4:$B$18,MATCH(TRIM(F2456),Map_Tables!$A$4:$A$18,0)),"CHECK"))</f>
        <v>Hyderabad</v>
      </c>
      <c r="AE2456" s="7" t="str">
        <f aca="false">IF(TRIM(E2456)="","",IFERROR(INDEX(Map_Tables!$H$4:$H$37,MATCH(TRIM(E2456),Map_Tables!$G$4:$G$37,0)),"CHECK"))</f>
        <v>Sweet Tooth Studio</v>
      </c>
      <c r="AF2456" s="7" t="str">
        <f aca="false">IF(TRIM(K2456)="","Unknown",IFERROR(INDEX(Map_Tables!$E$4:$E$15,MATCH(TRIM(K2456),Map_Tables!$D$4:$D$15,0)),"CHECK"))</f>
        <v>UPI</v>
      </c>
      <c r="AG2456" s="7" t="str">
        <f aca="false">IF(LEFT(LOWER(TRIM(L2456)),6)="cancel","Cancelled","Delivered")</f>
        <v>Delivered</v>
      </c>
      <c r="AH2456" s="10" t="n">
        <f aca="false">IF(ISNUMBER(SEARCH("/",B2456)),DATE(VALUE(RIGHT(B2456,4)),VALUE(MID(B2456,4,2)),VALUE(LEFT(B2456,2))),IF(MID(B2456,5,1)="-",DATE(VALUE(LEFT(B2456,4)),VALUE(MID(B2456,6,2)),VALUE(RIGHT(B2456,2))),DATE(VALUE(RIGHT(B2456,4)),MATCH(MID(B2456,4,3),{"Jan","Feb","Mar","Apr","May","Jun","Jul","Aug","Sep","Oct","Nov","Dec"},0),VALUE(LEFT(B2456,2)))))</f>
        <v>45992</v>
      </c>
    </row>
    <row r="2457" customFormat="false" ht="15" hidden="false" customHeight="false" outlineLevel="0" collapsed="false">
      <c r="A2457" s="7" t="s">
        <v>5400</v>
      </c>
      <c r="B2457" s="7" t="s">
        <v>2846</v>
      </c>
      <c r="C2457" s="7" t="s">
        <v>1313</v>
      </c>
      <c r="D2457" s="7" t="s">
        <v>2253</v>
      </c>
      <c r="E2457" s="7" t="s">
        <v>113</v>
      </c>
      <c r="F2457" s="7" t="s">
        <v>215</v>
      </c>
      <c r="G2457" s="7" t="s">
        <v>90</v>
      </c>
      <c r="H2457" s="7" t="n">
        <v>3</v>
      </c>
      <c r="I2457" s="7" t="n">
        <v>225</v>
      </c>
      <c r="J2457" s="7" t="n">
        <v>0</v>
      </c>
      <c r="K2457" s="7" t="s">
        <v>103</v>
      </c>
      <c r="L2457" s="7" t="s">
        <v>194</v>
      </c>
      <c r="M2457" s="7" t="n">
        <v>44</v>
      </c>
      <c r="N2457" s="7" t="n">
        <v>4</v>
      </c>
      <c r="O2457" s="7" t="str">
        <f aca="false">A2457&amp;"|"&amp;B2457&amp;"|"&amp;C2457&amp;"|"&amp;D2457&amp;"|"&amp;E2457&amp;"|"&amp;F2457&amp;"|"&amp;G2457&amp;"|"&amp;H2457&amp;"|"&amp;I2457&amp;"|"&amp;J2457&amp;"|"&amp;K2457&amp;"|"&amp;L2457&amp;"|"&amp;M2457&amp;"|"&amp;N2457</f>
        <v>ORD12240|2025-10-11|20:52|C1441|Curry Leaf Kitchen|MUMBAI|North Indian|3|225|0|Debit Card|Delivered|44|4</v>
      </c>
      <c r="P2457" s="7" t="str">
        <f aca="false">IF(COUNTIF($O$2:O2457,O2457)&gt;1,"DUP","OK")</f>
        <v>OK</v>
      </c>
      <c r="Q2457" s="7" t="n">
        <f aca="false">COUNTBLANK(A2457:N2457)</f>
        <v>0</v>
      </c>
      <c r="R2457" s="7" t="n">
        <f aca="false">IF(A2457="",0,COUNTIFS($A$2:$A$3058,A2457,$P$2:$P$3058,"OK"))</f>
        <v>1</v>
      </c>
      <c r="S2457" s="7" t="str">
        <f aca="false">IF(OR(A2457="",P2457="DUP",R2457&lt;2),"",IF(Q2457=_xlfn.MINIFS($Q$2:$Q$3058,$A$2:$A$3058,A2457,$P$2:$P$3058,"OK"),"KEEP","DROP"))</f>
        <v/>
      </c>
      <c r="T2457" s="9" t="n">
        <f aca="false">IF(A2457="",1,0)</f>
        <v>0</v>
      </c>
      <c r="U2457" s="9" t="n">
        <f aca="false">IF(D2457="",1,0)</f>
        <v>0</v>
      </c>
      <c r="V2457" s="9" t="n">
        <f aca="false">IF(E2457="",1,0)</f>
        <v>0</v>
      </c>
      <c r="W2457" s="9" t="n">
        <f aca="false">IF(OR(H2457&lt;1,H2457&gt;10),1,0)</f>
        <v>0</v>
      </c>
      <c r="X2457" s="9" t="n">
        <f aca="false">IF(OR(I2457&lt;=0,I2457&gt;1500),1,0)</f>
        <v>0</v>
      </c>
      <c r="Y2457" s="9" t="n">
        <f aca="false">IF(J2457&gt;H2457*I2457,1,0)</f>
        <v>0</v>
      </c>
      <c r="Z2457" s="9" t="n">
        <f aca="false">IF(AND(N2457&lt;&gt;"",OR(N2457&lt;1,N2457&gt;5)),1,0)</f>
        <v>0</v>
      </c>
      <c r="AA2457" s="9" t="n">
        <f aca="false">IF(AND(M2457&lt;&gt;"",OR(M2457&lt;5,M2457&gt;180)),1,0)</f>
        <v>0</v>
      </c>
      <c r="AB2457" s="7" t="str">
        <f aca="false">IF(P2457="DUP","Exact duplicate row",IF(T2457=1,"Missing Order ID",IF(S2457="DROP","Duplicate Order ID (less complete row)",IF(U2457=1,"Missing Customer ID",IF(V2457=1,"Missing Restaurant name",IF(W2457=1,"Invalid/outlier quantity",IF(X2457=1,"Invalid/outlier unit price",IF(Y2457=1,"Discount greater than order value",""))))))))</f>
        <v/>
      </c>
      <c r="AC2457" s="7" t="str">
        <f aca="false">IF(AB2457="","KEEP","DROP")</f>
        <v>KEEP</v>
      </c>
      <c r="AD2457" s="7" t="str">
        <f aca="false">IF(TRIM(F2457)="",IFERROR(INDEX(Map_Tables!$I$4:$I$37,MATCH(TRIM(E2457),Map_Tables!$G$4:$G$37,0)),""),IFERROR(INDEX(Map_Tables!$B$4:$B$18,MATCH(TRIM(F2457),Map_Tables!$A$4:$A$18,0)),"CHECK"))</f>
        <v>Mumbai</v>
      </c>
      <c r="AE2457" s="7" t="str">
        <f aca="false">IF(TRIM(E2457)="","",IFERROR(INDEX(Map_Tables!$H$4:$H$37,MATCH(TRIM(E2457),Map_Tables!$G$4:$G$37,0)),"CHECK"))</f>
        <v>Curry Leaf Kitchen</v>
      </c>
      <c r="AF2457" s="7" t="str">
        <f aca="false">IF(TRIM(K2457)="","Unknown",IFERROR(INDEX(Map_Tables!$E$4:$E$15,MATCH(TRIM(K2457),Map_Tables!$D$4:$D$15,0)),"CHECK"))</f>
        <v>Debit Card</v>
      </c>
      <c r="AG2457" s="7" t="str">
        <f aca="false">IF(LEFT(LOWER(TRIM(L2457)),6)="cancel","Cancelled","Delivered")</f>
        <v>Delivered</v>
      </c>
      <c r="AH2457" s="10" t="n">
        <f aca="false">IF(ISNUMBER(SEARCH("/",B2457)),DATE(VALUE(RIGHT(B2457,4)),VALUE(MID(B2457,4,2)),VALUE(LEFT(B2457,2))),IF(MID(B2457,5,1)="-",DATE(VALUE(LEFT(B2457,4)),VALUE(MID(B2457,6,2)),VALUE(RIGHT(B2457,2))),DATE(VALUE(RIGHT(B2457,4)),MATCH(MID(B2457,4,3),{"Jan","Feb","Mar","Apr","May","Jun","Jul","Aug","Sep","Oct","Nov","Dec"},0),VALUE(LEFT(B2457,2)))))</f>
        <v>45941</v>
      </c>
    </row>
    <row r="2458" customFormat="false" ht="15" hidden="false" customHeight="false" outlineLevel="0" collapsed="false">
      <c r="A2458" s="7" t="s">
        <v>5401</v>
      </c>
      <c r="B2458" s="7" t="s">
        <v>2351</v>
      </c>
      <c r="C2458" s="7" t="s">
        <v>2133</v>
      </c>
      <c r="D2458" s="7" t="s">
        <v>3588</v>
      </c>
      <c r="E2458" s="7" t="s">
        <v>122</v>
      </c>
      <c r="F2458" s="7" t="s">
        <v>101</v>
      </c>
      <c r="G2458" s="7" t="s">
        <v>123</v>
      </c>
      <c r="H2458" s="7" t="n">
        <v>3</v>
      </c>
      <c r="I2458" s="7" t="n">
        <v>335</v>
      </c>
      <c r="J2458" s="7" t="n">
        <v>125</v>
      </c>
      <c r="K2458" s="7" t="s">
        <v>88</v>
      </c>
      <c r="L2458" s="7" t="s">
        <v>194</v>
      </c>
      <c r="M2458" s="7" t="n">
        <v>38</v>
      </c>
      <c r="N2458" s="7" t="n">
        <v>0</v>
      </c>
      <c r="O2458" s="7" t="str">
        <f aca="false">A2458&amp;"|"&amp;B2458&amp;"|"&amp;C2458&amp;"|"&amp;D2458&amp;"|"&amp;E2458&amp;"|"&amp;F2458&amp;"|"&amp;G2458&amp;"|"&amp;H2458&amp;"|"&amp;I2458&amp;"|"&amp;J2458&amp;"|"&amp;K2458&amp;"|"&amp;L2458&amp;"|"&amp;M2458&amp;"|"&amp;N2458</f>
        <v>ORD12382|2025-10-27|22:36|C1174|Mumbai Pizza Co|Mumbai|Pizza|3|335|125|UPI|Delivered|38|0</v>
      </c>
      <c r="P2458" s="7" t="str">
        <f aca="false">IF(COUNTIF($O$2:O2458,O2458)&gt;1,"DUP","OK")</f>
        <v>OK</v>
      </c>
      <c r="Q2458" s="7" t="n">
        <f aca="false">COUNTBLANK(A2458:N2458)</f>
        <v>0</v>
      </c>
      <c r="R2458" s="7" t="n">
        <f aca="false">IF(A2458="",0,COUNTIFS($A$2:$A$3058,A2458,$P$2:$P$3058,"OK"))</f>
        <v>1</v>
      </c>
      <c r="S2458" s="7" t="str">
        <f aca="false">IF(OR(A2458="",P2458="DUP",R2458&lt;2),"",IF(Q2458=_xlfn.MINIFS($Q$2:$Q$3058,$A$2:$A$3058,A2458,$P$2:$P$3058,"OK"),"KEEP","DROP"))</f>
        <v/>
      </c>
      <c r="T2458" s="9" t="n">
        <f aca="false">IF(A2458="",1,0)</f>
        <v>0</v>
      </c>
      <c r="U2458" s="9" t="n">
        <f aca="false">IF(D2458="",1,0)</f>
        <v>0</v>
      </c>
      <c r="V2458" s="9" t="n">
        <f aca="false">IF(E2458="",1,0)</f>
        <v>0</v>
      </c>
      <c r="W2458" s="9" t="n">
        <f aca="false">IF(OR(H2458&lt;1,H2458&gt;10),1,0)</f>
        <v>0</v>
      </c>
      <c r="X2458" s="9" t="n">
        <f aca="false">IF(OR(I2458&lt;=0,I2458&gt;1500),1,0)</f>
        <v>0</v>
      </c>
      <c r="Y2458" s="9" t="n">
        <f aca="false">IF(J2458&gt;H2458*I2458,1,0)</f>
        <v>0</v>
      </c>
      <c r="Z2458" s="9" t="n">
        <f aca="false">IF(AND(N2458&lt;&gt;"",OR(N2458&lt;1,N2458&gt;5)),1,0)</f>
        <v>1</v>
      </c>
      <c r="AA2458" s="9" t="n">
        <f aca="false">IF(AND(M2458&lt;&gt;"",OR(M2458&lt;5,M2458&gt;180)),1,0)</f>
        <v>0</v>
      </c>
      <c r="AB2458" s="7" t="str">
        <f aca="false">IF(P2458="DUP","Exact duplicate row",IF(T2458=1,"Missing Order ID",IF(S2458="DROP","Duplicate Order ID (less complete row)",IF(U2458=1,"Missing Customer ID",IF(V2458=1,"Missing Restaurant name",IF(W2458=1,"Invalid/outlier quantity",IF(X2458=1,"Invalid/outlier unit price",IF(Y2458=1,"Discount greater than order value",""))))))))</f>
        <v/>
      </c>
      <c r="AC2458" s="7" t="str">
        <f aca="false">IF(AB2458="","KEEP","DROP")</f>
        <v>KEEP</v>
      </c>
      <c r="AD2458" s="7" t="str">
        <f aca="false">IF(TRIM(F2458)="",IFERROR(INDEX(Map_Tables!$I$4:$I$37,MATCH(TRIM(E2458),Map_Tables!$G$4:$G$37,0)),""),IFERROR(INDEX(Map_Tables!$B$4:$B$18,MATCH(TRIM(F2458),Map_Tables!$A$4:$A$18,0)),"CHECK"))</f>
        <v>Mumbai</v>
      </c>
      <c r="AE2458" s="7" t="str">
        <f aca="false">IF(TRIM(E2458)="","",IFERROR(INDEX(Map_Tables!$H$4:$H$37,MATCH(TRIM(E2458),Map_Tables!$G$4:$G$37,0)),"CHECK"))</f>
        <v>Mumbai Pizza Co</v>
      </c>
      <c r="AF2458" s="7" t="str">
        <f aca="false">IF(TRIM(K2458)="","Unknown",IFERROR(INDEX(Map_Tables!$E$4:$E$15,MATCH(TRIM(K2458),Map_Tables!$D$4:$D$15,0)),"CHECK"))</f>
        <v>UPI</v>
      </c>
      <c r="AG2458" s="7" t="str">
        <f aca="false">IF(LEFT(LOWER(TRIM(L2458)),6)="cancel","Cancelled","Delivered")</f>
        <v>Delivered</v>
      </c>
      <c r="AH2458" s="10" t="n">
        <f aca="false">IF(ISNUMBER(SEARCH("/",B2458)),DATE(VALUE(RIGHT(B2458,4)),VALUE(MID(B2458,4,2)),VALUE(LEFT(B2458,2))),IF(MID(B2458,5,1)="-",DATE(VALUE(LEFT(B2458,4)),VALUE(MID(B2458,6,2)),VALUE(RIGHT(B2458,2))),DATE(VALUE(RIGHT(B2458,4)),MATCH(MID(B2458,4,3),{"Jan","Feb","Mar","Apr","May","Jun","Jul","Aug","Sep","Oct","Nov","Dec"},0),VALUE(LEFT(B2458,2)))))</f>
        <v>45957</v>
      </c>
    </row>
    <row r="2459" customFormat="false" ht="15" hidden="false" customHeight="false" outlineLevel="0" collapsed="false">
      <c r="A2459" s="7" t="s">
        <v>5402</v>
      </c>
      <c r="B2459" s="7" t="s">
        <v>2840</v>
      </c>
      <c r="C2459" s="7" t="s">
        <v>1589</v>
      </c>
      <c r="D2459" s="7" t="s">
        <v>3859</v>
      </c>
      <c r="E2459" s="7" t="s">
        <v>154</v>
      </c>
      <c r="F2459" s="7" t="s">
        <v>128</v>
      </c>
      <c r="G2459" s="7" t="s">
        <v>99</v>
      </c>
      <c r="H2459" s="7" t="n">
        <v>2</v>
      </c>
      <c r="I2459" s="7" t="n">
        <v>310</v>
      </c>
      <c r="J2459" s="7" t="n">
        <v>30</v>
      </c>
      <c r="K2459" s="7" t="s">
        <v>88</v>
      </c>
      <c r="L2459" s="7" t="s">
        <v>194</v>
      </c>
      <c r="M2459" s="7" t="n">
        <v>30</v>
      </c>
      <c r="N2459" s="7"/>
      <c r="O2459" s="7" t="str">
        <f aca="false">A2459&amp;"|"&amp;B2459&amp;"|"&amp;C2459&amp;"|"&amp;D2459&amp;"|"&amp;E2459&amp;"|"&amp;F2459&amp;"|"&amp;G2459&amp;"|"&amp;H2459&amp;"|"&amp;I2459&amp;"|"&amp;J2459&amp;"|"&amp;K2459&amp;"|"&amp;L2459&amp;"|"&amp;M2459&amp;"|"&amp;N2459</f>
        <v>ORD11254|2025-06-09|16:12|C1282|Madras Biryani Co|Chennai|Biryani|2|310|30|UPI|Delivered|30|</v>
      </c>
      <c r="P2459" s="7" t="str">
        <f aca="false">IF(COUNTIF($O$2:O2459,O2459)&gt;1,"DUP","OK")</f>
        <v>OK</v>
      </c>
      <c r="Q2459" s="7" t="n">
        <f aca="false">COUNTBLANK(A2459:N2459)</f>
        <v>1</v>
      </c>
      <c r="R2459" s="7" t="n">
        <f aca="false">IF(A2459="",0,COUNTIFS($A$2:$A$3058,A2459,$P$2:$P$3058,"OK"))</f>
        <v>1</v>
      </c>
      <c r="S2459" s="7" t="str">
        <f aca="false">IF(OR(A2459="",P2459="DUP",R2459&lt;2),"",IF(Q2459=_xlfn.MINIFS($Q$2:$Q$3058,$A$2:$A$3058,A2459,$P$2:$P$3058,"OK"),"KEEP","DROP"))</f>
        <v/>
      </c>
      <c r="T2459" s="9" t="n">
        <f aca="false">IF(A2459="",1,0)</f>
        <v>0</v>
      </c>
      <c r="U2459" s="9" t="n">
        <f aca="false">IF(D2459="",1,0)</f>
        <v>0</v>
      </c>
      <c r="V2459" s="9" t="n">
        <f aca="false">IF(E2459="",1,0)</f>
        <v>0</v>
      </c>
      <c r="W2459" s="9" t="n">
        <f aca="false">IF(OR(H2459&lt;1,H2459&gt;10),1,0)</f>
        <v>0</v>
      </c>
      <c r="X2459" s="9" t="n">
        <f aca="false">IF(OR(I2459&lt;=0,I2459&gt;1500),1,0)</f>
        <v>0</v>
      </c>
      <c r="Y2459" s="9" t="n">
        <f aca="false">IF(J2459&gt;H2459*I2459,1,0)</f>
        <v>0</v>
      </c>
      <c r="Z2459" s="9" t="n">
        <f aca="false">IF(AND(N2459&lt;&gt;"",OR(N2459&lt;1,N2459&gt;5)),1,0)</f>
        <v>0</v>
      </c>
      <c r="AA2459" s="9" t="n">
        <f aca="false">IF(AND(M2459&lt;&gt;"",OR(M2459&lt;5,M2459&gt;180)),1,0)</f>
        <v>0</v>
      </c>
      <c r="AB2459" s="7" t="str">
        <f aca="false">IF(P2459="DUP","Exact duplicate row",IF(T2459=1,"Missing Order ID",IF(S2459="DROP","Duplicate Order ID (less complete row)",IF(U2459=1,"Missing Customer ID",IF(V2459=1,"Missing Restaurant name",IF(W2459=1,"Invalid/outlier quantity",IF(X2459=1,"Invalid/outlier unit price",IF(Y2459=1,"Discount greater than order value",""))))))))</f>
        <v/>
      </c>
      <c r="AC2459" s="7" t="str">
        <f aca="false">IF(AB2459="","KEEP","DROP")</f>
        <v>KEEP</v>
      </c>
      <c r="AD2459" s="7" t="str">
        <f aca="false">IF(TRIM(F2459)="",IFERROR(INDEX(Map_Tables!$I$4:$I$37,MATCH(TRIM(E2459),Map_Tables!$G$4:$G$37,0)),""),IFERROR(INDEX(Map_Tables!$B$4:$B$18,MATCH(TRIM(F2459),Map_Tables!$A$4:$A$18,0)),"CHECK"))</f>
        <v>Chennai</v>
      </c>
      <c r="AE2459" s="7" t="str">
        <f aca="false">IF(TRIM(E2459)="","",IFERROR(INDEX(Map_Tables!$H$4:$H$37,MATCH(TRIM(E2459),Map_Tables!$G$4:$G$37,0)),"CHECK"))</f>
        <v>Madras Biryani Co</v>
      </c>
      <c r="AF2459" s="7" t="str">
        <f aca="false">IF(TRIM(K2459)="","Unknown",IFERROR(INDEX(Map_Tables!$E$4:$E$15,MATCH(TRIM(K2459),Map_Tables!$D$4:$D$15,0)),"CHECK"))</f>
        <v>UPI</v>
      </c>
      <c r="AG2459" s="7" t="str">
        <f aca="false">IF(LEFT(LOWER(TRIM(L2459)),6)="cancel","Cancelled","Delivered")</f>
        <v>Delivered</v>
      </c>
      <c r="AH2459" s="10" t="n">
        <f aca="false">IF(ISNUMBER(SEARCH("/",B2459)),DATE(VALUE(RIGHT(B2459,4)),VALUE(MID(B2459,4,2)),VALUE(LEFT(B2459,2))),IF(MID(B2459,5,1)="-",DATE(VALUE(LEFT(B2459,4)),VALUE(MID(B2459,6,2)),VALUE(RIGHT(B2459,2))),DATE(VALUE(RIGHT(B2459,4)),MATCH(MID(B2459,4,3),{"Jan","Feb","Mar","Apr","May","Jun","Jul","Aug","Sep","Oct","Nov","Dec"},0),VALUE(LEFT(B2459,2)))))</f>
        <v>45817</v>
      </c>
    </row>
    <row r="2460" customFormat="false" ht="15" hidden="false" customHeight="false" outlineLevel="0" collapsed="false">
      <c r="A2460" s="7" t="s">
        <v>5403</v>
      </c>
      <c r="B2460" s="7" t="s">
        <v>322</v>
      </c>
      <c r="C2460" s="7" t="s">
        <v>377</v>
      </c>
      <c r="D2460" s="7" t="s">
        <v>5404</v>
      </c>
      <c r="E2460" s="7" t="s">
        <v>4632</v>
      </c>
      <c r="F2460" s="7" t="s">
        <v>110</v>
      </c>
      <c r="G2460" s="7" t="s">
        <v>117</v>
      </c>
      <c r="H2460" s="7" t="n">
        <v>3</v>
      </c>
      <c r="I2460" s="7" t="n">
        <v>110</v>
      </c>
      <c r="J2460" s="7" t="n">
        <v>0</v>
      </c>
      <c r="K2460" s="7" t="s">
        <v>121</v>
      </c>
      <c r="L2460" s="7" t="s">
        <v>194</v>
      </c>
      <c r="M2460" s="7" t="n">
        <v>49</v>
      </c>
      <c r="N2460" s="7" t="n">
        <v>5</v>
      </c>
      <c r="O2460" s="7" t="str">
        <f aca="false">A2460&amp;"|"&amp;B2460&amp;"|"&amp;C2460&amp;"|"&amp;D2460&amp;"|"&amp;E2460&amp;"|"&amp;F2460&amp;"|"&amp;G2460&amp;"|"&amp;H2460&amp;"|"&amp;I2460&amp;"|"&amp;J2460&amp;"|"&amp;K2460&amp;"|"&amp;L2460&amp;"|"&amp;M2460&amp;"|"&amp;N2460</f>
        <v>ORD11054|2025-05-13|12:00|C0095| Chaat Corner|Delhi|Street Food|3|110|0|Wallet|Delivered|49|5</v>
      </c>
      <c r="P2460" s="7" t="str">
        <f aca="false">IF(COUNTIF($O$2:O2460,O2460)&gt;1,"DUP","OK")</f>
        <v>OK</v>
      </c>
      <c r="Q2460" s="7" t="n">
        <f aca="false">COUNTBLANK(A2460:N2460)</f>
        <v>0</v>
      </c>
      <c r="R2460" s="7" t="n">
        <f aca="false">IF(A2460="",0,COUNTIFS($A$2:$A$3058,A2460,$P$2:$P$3058,"OK"))</f>
        <v>1</v>
      </c>
      <c r="S2460" s="7" t="str">
        <f aca="false">IF(OR(A2460="",P2460="DUP",R2460&lt;2),"",IF(Q2460=_xlfn.MINIFS($Q$2:$Q$3058,$A$2:$A$3058,A2460,$P$2:$P$3058,"OK"),"KEEP","DROP"))</f>
        <v/>
      </c>
      <c r="T2460" s="9" t="n">
        <f aca="false">IF(A2460="",1,0)</f>
        <v>0</v>
      </c>
      <c r="U2460" s="9" t="n">
        <f aca="false">IF(D2460="",1,0)</f>
        <v>0</v>
      </c>
      <c r="V2460" s="9" t="n">
        <f aca="false">IF(E2460="",1,0)</f>
        <v>0</v>
      </c>
      <c r="W2460" s="9" t="n">
        <f aca="false">IF(OR(H2460&lt;1,H2460&gt;10),1,0)</f>
        <v>0</v>
      </c>
      <c r="X2460" s="9" t="n">
        <f aca="false">IF(OR(I2460&lt;=0,I2460&gt;1500),1,0)</f>
        <v>0</v>
      </c>
      <c r="Y2460" s="9" t="n">
        <f aca="false">IF(J2460&gt;H2460*I2460,1,0)</f>
        <v>0</v>
      </c>
      <c r="Z2460" s="9" t="n">
        <f aca="false">IF(AND(N2460&lt;&gt;"",OR(N2460&lt;1,N2460&gt;5)),1,0)</f>
        <v>0</v>
      </c>
      <c r="AA2460" s="9" t="n">
        <f aca="false">IF(AND(M2460&lt;&gt;"",OR(M2460&lt;5,M2460&gt;180)),1,0)</f>
        <v>0</v>
      </c>
      <c r="AB2460" s="7" t="str">
        <f aca="false">IF(P2460="DUP","Exact duplicate row",IF(T2460=1,"Missing Order ID",IF(S2460="DROP","Duplicate Order ID (less complete row)",IF(U2460=1,"Missing Customer ID",IF(V2460=1,"Missing Restaurant name",IF(W2460=1,"Invalid/outlier quantity",IF(X2460=1,"Invalid/outlier unit price",IF(Y2460=1,"Discount greater than order value",""))))))))</f>
        <v/>
      </c>
      <c r="AC2460" s="7" t="str">
        <f aca="false">IF(AB2460="","KEEP","DROP")</f>
        <v>KEEP</v>
      </c>
      <c r="AD2460" s="7" t="str">
        <f aca="false">IF(TRIM(F2460)="",IFERROR(INDEX(Map_Tables!$I$4:$I$37,MATCH(TRIM(E2460),Map_Tables!$G$4:$G$37,0)),""),IFERROR(INDEX(Map_Tables!$B$4:$B$18,MATCH(TRIM(F2460),Map_Tables!$A$4:$A$18,0)),"CHECK"))</f>
        <v>Delhi</v>
      </c>
      <c r="AE2460" s="7" t="str">
        <f aca="false">IF(TRIM(E2460)="","",IFERROR(INDEX(Map_Tables!$H$4:$H$37,MATCH(TRIM(E2460),Map_Tables!$G$4:$G$37,0)),"CHECK"))</f>
        <v>Chaat Corner</v>
      </c>
      <c r="AF2460" s="7" t="str">
        <f aca="false">IF(TRIM(K2460)="","Unknown",IFERROR(INDEX(Map_Tables!$E$4:$E$15,MATCH(TRIM(K2460),Map_Tables!$D$4:$D$15,0)),"CHECK"))</f>
        <v>Wallet</v>
      </c>
      <c r="AG2460" s="7" t="str">
        <f aca="false">IF(LEFT(LOWER(TRIM(L2460)),6)="cancel","Cancelled","Delivered")</f>
        <v>Delivered</v>
      </c>
      <c r="AH2460" s="10" t="n">
        <f aca="false">IF(ISNUMBER(SEARCH("/",B2460)),DATE(VALUE(RIGHT(B2460,4)),VALUE(MID(B2460,4,2)),VALUE(LEFT(B2460,2))),IF(MID(B2460,5,1)="-",DATE(VALUE(LEFT(B2460,4)),VALUE(MID(B2460,6,2)),VALUE(RIGHT(B2460,2))),DATE(VALUE(RIGHT(B2460,4)),MATCH(MID(B2460,4,3),{"Jan","Feb","Mar","Apr","May","Jun","Jul","Aug","Sep","Oct","Nov","Dec"},0),VALUE(LEFT(B2460,2)))))</f>
        <v>45790</v>
      </c>
    </row>
    <row r="2461" customFormat="false" ht="15" hidden="false" customHeight="false" outlineLevel="0" collapsed="false">
      <c r="A2461" s="7" t="s">
        <v>5405</v>
      </c>
      <c r="B2461" s="7" t="s">
        <v>3504</v>
      </c>
      <c r="C2461" s="7" t="s">
        <v>1419</v>
      </c>
      <c r="D2461" s="7" t="s">
        <v>281</v>
      </c>
      <c r="E2461" s="7" t="s">
        <v>144</v>
      </c>
      <c r="F2461" s="7" t="s">
        <v>119</v>
      </c>
      <c r="G2461" s="7" t="s">
        <v>99</v>
      </c>
      <c r="H2461" s="7" t="n">
        <v>1</v>
      </c>
      <c r="I2461" s="7" t="n">
        <v>345</v>
      </c>
      <c r="J2461" s="7" t="n">
        <v>0</v>
      </c>
      <c r="K2461" s="7" t="s">
        <v>88</v>
      </c>
      <c r="L2461" s="7" t="s">
        <v>194</v>
      </c>
      <c r="M2461" s="7" t="n">
        <v>28</v>
      </c>
      <c r="N2461" s="7" t="n">
        <v>4</v>
      </c>
      <c r="O2461" s="7" t="str">
        <f aca="false">A2461&amp;"|"&amp;B2461&amp;"|"&amp;C2461&amp;"|"&amp;D2461&amp;"|"&amp;E2461&amp;"|"&amp;F2461&amp;"|"&amp;G2461&amp;"|"&amp;H2461&amp;"|"&amp;I2461&amp;"|"&amp;J2461&amp;"|"&amp;K2461&amp;"|"&amp;L2461&amp;"|"&amp;M2461&amp;"|"&amp;N2461</f>
        <v>ORD11669|2025-08-06|11:21|C0984|Hyderabad Dum Biryani|Hyderabad|Biryani|1|345|0|UPI|Delivered|28|4</v>
      </c>
      <c r="P2461" s="7" t="str">
        <f aca="false">IF(COUNTIF($O$2:O2461,O2461)&gt;1,"DUP","OK")</f>
        <v>OK</v>
      </c>
      <c r="Q2461" s="7" t="n">
        <f aca="false">COUNTBLANK(A2461:N2461)</f>
        <v>0</v>
      </c>
      <c r="R2461" s="7" t="n">
        <f aca="false">IF(A2461="",0,COUNTIFS($A$2:$A$3058,A2461,$P$2:$P$3058,"OK"))</f>
        <v>1</v>
      </c>
      <c r="S2461" s="7" t="str">
        <f aca="false">IF(OR(A2461="",P2461="DUP",R2461&lt;2),"",IF(Q2461=_xlfn.MINIFS($Q$2:$Q$3058,$A$2:$A$3058,A2461,$P$2:$P$3058,"OK"),"KEEP","DROP"))</f>
        <v/>
      </c>
      <c r="T2461" s="9" t="n">
        <f aca="false">IF(A2461="",1,0)</f>
        <v>0</v>
      </c>
      <c r="U2461" s="9" t="n">
        <f aca="false">IF(D2461="",1,0)</f>
        <v>0</v>
      </c>
      <c r="V2461" s="9" t="n">
        <f aca="false">IF(E2461="",1,0)</f>
        <v>0</v>
      </c>
      <c r="W2461" s="9" t="n">
        <f aca="false">IF(OR(H2461&lt;1,H2461&gt;10),1,0)</f>
        <v>0</v>
      </c>
      <c r="X2461" s="9" t="n">
        <f aca="false">IF(OR(I2461&lt;=0,I2461&gt;1500),1,0)</f>
        <v>0</v>
      </c>
      <c r="Y2461" s="9" t="n">
        <f aca="false">IF(J2461&gt;H2461*I2461,1,0)</f>
        <v>0</v>
      </c>
      <c r="Z2461" s="9" t="n">
        <f aca="false">IF(AND(N2461&lt;&gt;"",OR(N2461&lt;1,N2461&gt;5)),1,0)</f>
        <v>0</v>
      </c>
      <c r="AA2461" s="9" t="n">
        <f aca="false">IF(AND(M2461&lt;&gt;"",OR(M2461&lt;5,M2461&gt;180)),1,0)</f>
        <v>0</v>
      </c>
      <c r="AB2461" s="7" t="str">
        <f aca="false">IF(P2461="DUP","Exact duplicate row",IF(T2461=1,"Missing Order ID",IF(S2461="DROP","Duplicate Order ID (less complete row)",IF(U2461=1,"Missing Customer ID",IF(V2461=1,"Missing Restaurant name",IF(W2461=1,"Invalid/outlier quantity",IF(X2461=1,"Invalid/outlier unit price",IF(Y2461=1,"Discount greater than order value",""))))))))</f>
        <v/>
      </c>
      <c r="AC2461" s="7" t="str">
        <f aca="false">IF(AB2461="","KEEP","DROP")</f>
        <v>KEEP</v>
      </c>
      <c r="AD2461" s="7" t="str">
        <f aca="false">IF(TRIM(F2461)="",IFERROR(INDEX(Map_Tables!$I$4:$I$37,MATCH(TRIM(E2461),Map_Tables!$G$4:$G$37,0)),""),IFERROR(INDEX(Map_Tables!$B$4:$B$18,MATCH(TRIM(F2461),Map_Tables!$A$4:$A$18,0)),"CHECK"))</f>
        <v>Hyderabad</v>
      </c>
      <c r="AE2461" s="7" t="str">
        <f aca="false">IF(TRIM(E2461)="","",IFERROR(INDEX(Map_Tables!$H$4:$H$37,MATCH(TRIM(E2461),Map_Tables!$G$4:$G$37,0)),"CHECK"))</f>
        <v>Hyderabad Dum Biryani</v>
      </c>
      <c r="AF2461" s="7" t="str">
        <f aca="false">IF(TRIM(K2461)="","Unknown",IFERROR(INDEX(Map_Tables!$E$4:$E$15,MATCH(TRIM(K2461),Map_Tables!$D$4:$D$15,0)),"CHECK"))</f>
        <v>UPI</v>
      </c>
      <c r="AG2461" s="7" t="str">
        <f aca="false">IF(LEFT(LOWER(TRIM(L2461)),6)="cancel","Cancelled","Delivered")</f>
        <v>Delivered</v>
      </c>
      <c r="AH2461" s="10" t="n">
        <f aca="false">IF(ISNUMBER(SEARCH("/",B2461)),DATE(VALUE(RIGHT(B2461,4)),VALUE(MID(B2461,4,2)),VALUE(LEFT(B2461,2))),IF(MID(B2461,5,1)="-",DATE(VALUE(LEFT(B2461,4)),VALUE(MID(B2461,6,2)),VALUE(RIGHT(B2461,2))),DATE(VALUE(RIGHT(B2461,4)),MATCH(MID(B2461,4,3),{"Jan","Feb","Mar","Apr","May","Jun","Jul","Aug","Sep","Oct","Nov","Dec"},0),VALUE(LEFT(B2461,2)))))</f>
        <v>45875</v>
      </c>
    </row>
    <row r="2462" customFormat="false" ht="15" hidden="false" customHeight="false" outlineLevel="0" collapsed="false">
      <c r="A2462" s="7" t="s">
        <v>5406</v>
      </c>
      <c r="B2462" s="7" t="s">
        <v>768</v>
      </c>
      <c r="C2462" s="7" t="s">
        <v>1704</v>
      </c>
      <c r="D2462" s="7" t="s">
        <v>5407</v>
      </c>
      <c r="E2462" s="7" t="s">
        <v>104</v>
      </c>
      <c r="F2462" s="7" t="s">
        <v>86</v>
      </c>
      <c r="G2462" s="7" t="s">
        <v>105</v>
      </c>
      <c r="H2462" s="7" t="n">
        <v>2</v>
      </c>
      <c r="I2462" s="7" t="n">
        <v>185</v>
      </c>
      <c r="J2462" s="7" t="n">
        <v>0</v>
      </c>
      <c r="K2462" s="7" t="s">
        <v>103</v>
      </c>
      <c r="L2462" s="7" t="s">
        <v>194</v>
      </c>
      <c r="M2462" s="7" t="n">
        <v>37</v>
      </c>
      <c r="N2462" s="7" t="n">
        <v>5</v>
      </c>
      <c r="O2462" s="7" t="str">
        <f aca="false">A2462&amp;"|"&amp;B2462&amp;"|"&amp;C2462&amp;"|"&amp;D2462&amp;"|"&amp;E2462&amp;"|"&amp;F2462&amp;"|"&amp;G2462&amp;"|"&amp;H2462&amp;"|"&amp;I2462&amp;"|"&amp;J2462&amp;"|"&amp;K2462&amp;"|"&amp;L2462&amp;"|"&amp;M2462&amp;"|"&amp;N2462</f>
        <v>ORD12574|2025-11-15|20:01|C0232|Wok &amp; Roll|Bengaluru|Chinese|2|185|0|Debit Card|Delivered|37|5</v>
      </c>
      <c r="P2462" s="7" t="str">
        <f aca="false">IF(COUNTIF($O$2:O2462,O2462)&gt;1,"DUP","OK")</f>
        <v>OK</v>
      </c>
      <c r="Q2462" s="7" t="n">
        <f aca="false">COUNTBLANK(A2462:N2462)</f>
        <v>0</v>
      </c>
      <c r="R2462" s="7" t="n">
        <f aca="false">IF(A2462="",0,COUNTIFS($A$2:$A$3058,A2462,$P$2:$P$3058,"OK"))</f>
        <v>1</v>
      </c>
      <c r="S2462" s="7" t="str">
        <f aca="false">IF(OR(A2462="",P2462="DUP",R2462&lt;2),"",IF(Q2462=_xlfn.MINIFS($Q$2:$Q$3058,$A$2:$A$3058,A2462,$P$2:$P$3058,"OK"),"KEEP","DROP"))</f>
        <v/>
      </c>
      <c r="T2462" s="9" t="n">
        <f aca="false">IF(A2462="",1,0)</f>
        <v>0</v>
      </c>
      <c r="U2462" s="9" t="n">
        <f aca="false">IF(D2462="",1,0)</f>
        <v>0</v>
      </c>
      <c r="V2462" s="9" t="n">
        <f aca="false">IF(E2462="",1,0)</f>
        <v>0</v>
      </c>
      <c r="W2462" s="9" t="n">
        <f aca="false">IF(OR(H2462&lt;1,H2462&gt;10),1,0)</f>
        <v>0</v>
      </c>
      <c r="X2462" s="9" t="n">
        <f aca="false">IF(OR(I2462&lt;=0,I2462&gt;1500),1,0)</f>
        <v>0</v>
      </c>
      <c r="Y2462" s="9" t="n">
        <f aca="false">IF(J2462&gt;H2462*I2462,1,0)</f>
        <v>0</v>
      </c>
      <c r="Z2462" s="9" t="n">
        <f aca="false">IF(AND(N2462&lt;&gt;"",OR(N2462&lt;1,N2462&gt;5)),1,0)</f>
        <v>0</v>
      </c>
      <c r="AA2462" s="9" t="n">
        <f aca="false">IF(AND(M2462&lt;&gt;"",OR(M2462&lt;5,M2462&gt;180)),1,0)</f>
        <v>0</v>
      </c>
      <c r="AB2462" s="7" t="str">
        <f aca="false">IF(P2462="DUP","Exact duplicate row",IF(T2462=1,"Missing Order ID",IF(S2462="DROP","Duplicate Order ID (less complete row)",IF(U2462=1,"Missing Customer ID",IF(V2462=1,"Missing Restaurant name",IF(W2462=1,"Invalid/outlier quantity",IF(X2462=1,"Invalid/outlier unit price",IF(Y2462=1,"Discount greater than order value",""))))))))</f>
        <v/>
      </c>
      <c r="AC2462" s="7" t="str">
        <f aca="false">IF(AB2462="","KEEP","DROP")</f>
        <v>KEEP</v>
      </c>
      <c r="AD2462" s="7" t="str">
        <f aca="false">IF(TRIM(F2462)="",IFERROR(INDEX(Map_Tables!$I$4:$I$37,MATCH(TRIM(E2462),Map_Tables!$G$4:$G$37,0)),""),IFERROR(INDEX(Map_Tables!$B$4:$B$18,MATCH(TRIM(F2462),Map_Tables!$A$4:$A$18,0)),"CHECK"))</f>
        <v>Bengaluru</v>
      </c>
      <c r="AE2462" s="7" t="str">
        <f aca="false">IF(TRIM(E2462)="","",IFERROR(INDEX(Map_Tables!$H$4:$H$37,MATCH(TRIM(E2462),Map_Tables!$G$4:$G$37,0)),"CHECK"))</f>
        <v>Wok &amp; Roll</v>
      </c>
      <c r="AF2462" s="7" t="str">
        <f aca="false">IF(TRIM(K2462)="","Unknown",IFERROR(INDEX(Map_Tables!$E$4:$E$15,MATCH(TRIM(K2462),Map_Tables!$D$4:$D$15,0)),"CHECK"))</f>
        <v>Debit Card</v>
      </c>
      <c r="AG2462" s="7" t="str">
        <f aca="false">IF(LEFT(LOWER(TRIM(L2462)),6)="cancel","Cancelled","Delivered")</f>
        <v>Delivered</v>
      </c>
      <c r="AH2462" s="10" t="n">
        <f aca="false">IF(ISNUMBER(SEARCH("/",B2462)),DATE(VALUE(RIGHT(B2462,4)),VALUE(MID(B2462,4,2)),VALUE(LEFT(B2462,2))),IF(MID(B2462,5,1)="-",DATE(VALUE(LEFT(B2462,4)),VALUE(MID(B2462,6,2)),VALUE(RIGHT(B2462,2))),DATE(VALUE(RIGHT(B2462,4)),MATCH(MID(B2462,4,3),{"Jan","Feb","Mar","Apr","May","Jun","Jul","Aug","Sep","Oct","Nov","Dec"},0),VALUE(LEFT(B2462,2)))))</f>
        <v>45976</v>
      </c>
    </row>
    <row r="2463" customFormat="false" ht="15" hidden="false" customHeight="false" outlineLevel="0" collapsed="false">
      <c r="A2463" s="7" t="s">
        <v>3092</v>
      </c>
      <c r="B2463" s="7" t="s">
        <v>2069</v>
      </c>
      <c r="C2463" s="7" t="s">
        <v>2064</v>
      </c>
      <c r="D2463" s="7" t="s">
        <v>953</v>
      </c>
      <c r="E2463" s="7" t="s">
        <v>130</v>
      </c>
      <c r="F2463" s="7" t="s">
        <v>109</v>
      </c>
      <c r="G2463" s="7" t="s">
        <v>90</v>
      </c>
      <c r="H2463" s="7" t="n">
        <v>3</v>
      </c>
      <c r="I2463" s="7" t="n">
        <v>240</v>
      </c>
      <c r="J2463" s="7" t="n">
        <v>40</v>
      </c>
      <c r="K2463" s="7" t="s">
        <v>103</v>
      </c>
      <c r="L2463" s="7" t="s">
        <v>194</v>
      </c>
      <c r="M2463" s="7" t="n">
        <v>45</v>
      </c>
      <c r="N2463" s="7" t="n">
        <v>3</v>
      </c>
      <c r="O2463" s="7" t="str">
        <f aca="false">A2463&amp;"|"&amp;B2463&amp;"|"&amp;C2463&amp;"|"&amp;D2463&amp;"|"&amp;E2463&amp;"|"&amp;F2463&amp;"|"&amp;G2463&amp;"|"&amp;H2463&amp;"|"&amp;I2463&amp;"|"&amp;J2463&amp;"|"&amp;K2463&amp;"|"&amp;L2463&amp;"|"&amp;M2463&amp;"|"&amp;N2463</f>
        <v>ORD11353|2025-06-23|18:53|C0572|Tandoor Tales|delhi|North Indian|3|240|40|Debit Card|Delivered|45|3</v>
      </c>
      <c r="P2463" s="7" t="str">
        <f aca="false">IF(COUNTIF($O$2:O2463,O2463)&gt;1,"DUP","OK")</f>
        <v>DUP</v>
      </c>
      <c r="Q2463" s="7" t="n">
        <f aca="false">COUNTBLANK(A2463:N2463)</f>
        <v>0</v>
      </c>
      <c r="R2463" s="7" t="n">
        <f aca="false">IF(A2463="",0,COUNTIFS($A$2:$A$3058,A2463,$P$2:$P$3058,"OK"))</f>
        <v>1</v>
      </c>
      <c r="S2463" s="7" t="str">
        <f aca="false">IF(OR(A2463="",P2463="DUP",R2463&lt;2),"",IF(Q2463=_xlfn.MINIFS($Q$2:$Q$3058,$A$2:$A$3058,A2463,$P$2:$P$3058,"OK"),"KEEP","DROP"))</f>
        <v/>
      </c>
      <c r="T2463" s="9" t="n">
        <f aca="false">IF(A2463="",1,0)</f>
        <v>0</v>
      </c>
      <c r="U2463" s="9" t="n">
        <f aca="false">IF(D2463="",1,0)</f>
        <v>0</v>
      </c>
      <c r="V2463" s="9" t="n">
        <f aca="false">IF(E2463="",1,0)</f>
        <v>0</v>
      </c>
      <c r="W2463" s="9" t="n">
        <f aca="false">IF(OR(H2463&lt;1,H2463&gt;10),1,0)</f>
        <v>0</v>
      </c>
      <c r="X2463" s="9" t="n">
        <f aca="false">IF(OR(I2463&lt;=0,I2463&gt;1500),1,0)</f>
        <v>0</v>
      </c>
      <c r="Y2463" s="9" t="n">
        <f aca="false">IF(J2463&gt;H2463*I2463,1,0)</f>
        <v>0</v>
      </c>
      <c r="Z2463" s="9" t="n">
        <f aca="false">IF(AND(N2463&lt;&gt;"",OR(N2463&lt;1,N2463&gt;5)),1,0)</f>
        <v>0</v>
      </c>
      <c r="AA2463" s="9" t="n">
        <f aca="false">IF(AND(M2463&lt;&gt;"",OR(M2463&lt;5,M2463&gt;180)),1,0)</f>
        <v>0</v>
      </c>
      <c r="AB2463" s="7" t="str">
        <f aca="false">IF(P2463="DUP","Exact duplicate row",IF(T2463=1,"Missing Order ID",IF(S2463="DROP","Duplicate Order ID (less complete row)",IF(U2463=1,"Missing Customer ID",IF(V2463=1,"Missing Restaurant name",IF(W2463=1,"Invalid/outlier quantity",IF(X2463=1,"Invalid/outlier unit price",IF(Y2463=1,"Discount greater than order value",""))))))))</f>
        <v>Exact duplicate row</v>
      </c>
      <c r="AC2463" s="7" t="str">
        <f aca="false">IF(AB2463="","KEEP","DROP")</f>
        <v>DROP</v>
      </c>
      <c r="AD2463" s="7" t="str">
        <f aca="false">IF(TRIM(F2463)="",IFERROR(INDEX(Map_Tables!$I$4:$I$37,MATCH(TRIM(E2463),Map_Tables!$G$4:$G$37,0)),""),IFERROR(INDEX(Map_Tables!$B$4:$B$18,MATCH(TRIM(F2463),Map_Tables!$A$4:$A$18,0)),"CHECK"))</f>
        <v>Delhi</v>
      </c>
      <c r="AE2463" s="7" t="str">
        <f aca="false">IF(TRIM(E2463)="","",IFERROR(INDEX(Map_Tables!$H$4:$H$37,MATCH(TRIM(E2463),Map_Tables!$G$4:$G$37,0)),"CHECK"))</f>
        <v>Tandoor Tales</v>
      </c>
      <c r="AF2463" s="7" t="str">
        <f aca="false">IF(TRIM(K2463)="","Unknown",IFERROR(INDEX(Map_Tables!$E$4:$E$15,MATCH(TRIM(K2463),Map_Tables!$D$4:$D$15,0)),"CHECK"))</f>
        <v>Debit Card</v>
      </c>
      <c r="AG2463" s="7" t="str">
        <f aca="false">IF(LEFT(LOWER(TRIM(L2463)),6)="cancel","Cancelled","Delivered")</f>
        <v>Delivered</v>
      </c>
      <c r="AH2463" s="10" t="n">
        <f aca="false">IF(ISNUMBER(SEARCH("/",B2463)),DATE(VALUE(RIGHT(B2463,4)),VALUE(MID(B2463,4,2)),VALUE(LEFT(B2463,2))),IF(MID(B2463,5,1)="-",DATE(VALUE(LEFT(B2463,4)),VALUE(MID(B2463,6,2)),VALUE(RIGHT(B2463,2))),DATE(VALUE(RIGHT(B2463,4)),MATCH(MID(B2463,4,3),{"Jan","Feb","Mar","Apr","May","Jun","Jul","Aug","Sep","Oct","Nov","Dec"},0),VALUE(LEFT(B2463,2)))))</f>
        <v>45831</v>
      </c>
    </row>
    <row r="2464" customFormat="false" ht="15" hidden="false" customHeight="false" outlineLevel="0" collapsed="false">
      <c r="A2464" s="7" t="s">
        <v>5408</v>
      </c>
      <c r="B2464" s="7" t="s">
        <v>5409</v>
      </c>
      <c r="C2464" s="7" t="s">
        <v>3253</v>
      </c>
      <c r="D2464" s="7" t="s">
        <v>2043</v>
      </c>
      <c r="E2464" s="7" t="s">
        <v>104</v>
      </c>
      <c r="F2464" s="7" t="s">
        <v>86</v>
      </c>
      <c r="G2464" s="7" t="s">
        <v>105</v>
      </c>
      <c r="H2464" s="7" t="n">
        <v>1</v>
      </c>
      <c r="I2464" s="7" t="n">
        <v>225</v>
      </c>
      <c r="J2464" s="7" t="n">
        <v>40</v>
      </c>
      <c r="K2464" s="7" t="s">
        <v>112</v>
      </c>
      <c r="L2464" s="7" t="s">
        <v>194</v>
      </c>
      <c r="M2464" s="7" t="n">
        <v>40</v>
      </c>
      <c r="N2464" s="7" t="n">
        <v>5</v>
      </c>
      <c r="O2464" s="7" t="str">
        <f aca="false">A2464&amp;"|"&amp;B2464&amp;"|"&amp;C2464&amp;"|"&amp;D2464&amp;"|"&amp;E2464&amp;"|"&amp;F2464&amp;"|"&amp;G2464&amp;"|"&amp;H2464&amp;"|"&amp;I2464&amp;"|"&amp;J2464&amp;"|"&amp;K2464&amp;"|"&amp;L2464&amp;"|"&amp;M2464&amp;"|"&amp;N2464</f>
        <v>ORD11358|24/06/2025|16:50|C0605|Wok &amp; Roll|Bengaluru|Chinese|1|225|40|Cash on Delivery|Delivered|40|5</v>
      </c>
      <c r="P2464" s="7" t="str">
        <f aca="false">IF(COUNTIF($O$2:O2464,O2464)&gt;1,"DUP","OK")</f>
        <v>OK</v>
      </c>
      <c r="Q2464" s="7" t="n">
        <f aca="false">COUNTBLANK(A2464:N2464)</f>
        <v>0</v>
      </c>
      <c r="R2464" s="7" t="n">
        <f aca="false">IF(A2464="",0,COUNTIFS($A$2:$A$3058,A2464,$P$2:$P$3058,"OK"))</f>
        <v>1</v>
      </c>
      <c r="S2464" s="7" t="str">
        <f aca="false">IF(OR(A2464="",P2464="DUP",R2464&lt;2),"",IF(Q2464=_xlfn.MINIFS($Q$2:$Q$3058,$A$2:$A$3058,A2464,$P$2:$P$3058,"OK"),"KEEP","DROP"))</f>
        <v/>
      </c>
      <c r="T2464" s="9" t="n">
        <f aca="false">IF(A2464="",1,0)</f>
        <v>0</v>
      </c>
      <c r="U2464" s="9" t="n">
        <f aca="false">IF(D2464="",1,0)</f>
        <v>0</v>
      </c>
      <c r="V2464" s="9" t="n">
        <f aca="false">IF(E2464="",1,0)</f>
        <v>0</v>
      </c>
      <c r="W2464" s="9" t="n">
        <f aca="false">IF(OR(H2464&lt;1,H2464&gt;10),1,0)</f>
        <v>0</v>
      </c>
      <c r="X2464" s="9" t="n">
        <f aca="false">IF(OR(I2464&lt;=0,I2464&gt;1500),1,0)</f>
        <v>0</v>
      </c>
      <c r="Y2464" s="9" t="n">
        <f aca="false">IF(J2464&gt;H2464*I2464,1,0)</f>
        <v>0</v>
      </c>
      <c r="Z2464" s="9" t="n">
        <f aca="false">IF(AND(N2464&lt;&gt;"",OR(N2464&lt;1,N2464&gt;5)),1,0)</f>
        <v>0</v>
      </c>
      <c r="AA2464" s="9" t="n">
        <f aca="false">IF(AND(M2464&lt;&gt;"",OR(M2464&lt;5,M2464&gt;180)),1,0)</f>
        <v>0</v>
      </c>
      <c r="AB2464" s="7" t="str">
        <f aca="false">IF(P2464="DUP","Exact duplicate row",IF(T2464=1,"Missing Order ID",IF(S2464="DROP","Duplicate Order ID (less complete row)",IF(U2464=1,"Missing Customer ID",IF(V2464=1,"Missing Restaurant name",IF(W2464=1,"Invalid/outlier quantity",IF(X2464=1,"Invalid/outlier unit price",IF(Y2464=1,"Discount greater than order value",""))))))))</f>
        <v/>
      </c>
      <c r="AC2464" s="7" t="str">
        <f aca="false">IF(AB2464="","KEEP","DROP")</f>
        <v>KEEP</v>
      </c>
      <c r="AD2464" s="7" t="str">
        <f aca="false">IF(TRIM(F2464)="",IFERROR(INDEX(Map_Tables!$I$4:$I$37,MATCH(TRIM(E2464),Map_Tables!$G$4:$G$37,0)),""),IFERROR(INDEX(Map_Tables!$B$4:$B$18,MATCH(TRIM(F2464),Map_Tables!$A$4:$A$18,0)),"CHECK"))</f>
        <v>Bengaluru</v>
      </c>
      <c r="AE2464" s="7" t="str">
        <f aca="false">IF(TRIM(E2464)="","",IFERROR(INDEX(Map_Tables!$H$4:$H$37,MATCH(TRIM(E2464),Map_Tables!$G$4:$G$37,0)),"CHECK"))</f>
        <v>Wok &amp; Roll</v>
      </c>
      <c r="AF2464" s="7" t="str">
        <f aca="false">IF(TRIM(K2464)="","Unknown",IFERROR(INDEX(Map_Tables!$E$4:$E$15,MATCH(TRIM(K2464),Map_Tables!$D$4:$D$15,0)),"CHECK"))</f>
        <v>Cash on Delivery</v>
      </c>
      <c r="AG2464" s="7" t="str">
        <f aca="false">IF(LEFT(LOWER(TRIM(L2464)),6)="cancel","Cancelled","Delivered")</f>
        <v>Delivered</v>
      </c>
      <c r="AH2464" s="10" t="n">
        <f aca="false">IF(ISNUMBER(SEARCH("/",B2464)),DATE(VALUE(RIGHT(B2464,4)),VALUE(MID(B2464,4,2)),VALUE(LEFT(B2464,2))),IF(MID(B2464,5,1)="-",DATE(VALUE(LEFT(B2464,4)),VALUE(MID(B2464,6,2)),VALUE(RIGHT(B2464,2))),DATE(VALUE(RIGHT(B2464,4)),MATCH(MID(B2464,4,3),{"Jan","Feb","Mar","Apr","May","Jun","Jul","Aug","Sep","Oct","Nov","Dec"},0),VALUE(LEFT(B2464,2)))))</f>
        <v>45832</v>
      </c>
    </row>
    <row r="2465" customFormat="false" ht="15" hidden="false" customHeight="false" outlineLevel="0" collapsed="false">
      <c r="A2465" s="7" t="s">
        <v>5410</v>
      </c>
      <c r="B2465" s="7" t="s">
        <v>1324</v>
      </c>
      <c r="C2465" s="7" t="s">
        <v>1704</v>
      </c>
      <c r="D2465" s="7" t="s">
        <v>495</v>
      </c>
      <c r="E2465" s="7" t="s">
        <v>104</v>
      </c>
      <c r="F2465" s="7" t="s">
        <v>785</v>
      </c>
      <c r="G2465" s="7" t="s">
        <v>105</v>
      </c>
      <c r="H2465" s="7" t="n">
        <v>3</v>
      </c>
      <c r="I2465" s="7" t="n">
        <v>215</v>
      </c>
      <c r="J2465" s="7" t="n">
        <v>0</v>
      </c>
      <c r="K2465" s="7" t="s">
        <v>103</v>
      </c>
      <c r="L2465" s="7" t="s">
        <v>194</v>
      </c>
      <c r="M2465" s="7" t="n">
        <v>32</v>
      </c>
      <c r="N2465" s="7" t="n">
        <v>4</v>
      </c>
      <c r="O2465" s="7" t="str">
        <f aca="false">A2465&amp;"|"&amp;B2465&amp;"|"&amp;C2465&amp;"|"&amp;D2465&amp;"|"&amp;E2465&amp;"|"&amp;F2465&amp;"|"&amp;G2465&amp;"|"&amp;H2465&amp;"|"&amp;I2465&amp;"|"&amp;J2465&amp;"|"&amp;K2465&amp;"|"&amp;L2465&amp;"|"&amp;M2465&amp;"|"&amp;N2465</f>
        <v>ORD10776|2025-04-08|20:01|C1419|Wok &amp; Roll|Bengaluru |Chinese|3|215|0|Debit Card|Delivered|32|4</v>
      </c>
      <c r="P2465" s="7" t="str">
        <f aca="false">IF(COUNTIF($O$2:O2465,O2465)&gt;1,"DUP","OK")</f>
        <v>OK</v>
      </c>
      <c r="Q2465" s="7" t="n">
        <f aca="false">COUNTBLANK(A2465:N2465)</f>
        <v>0</v>
      </c>
      <c r="R2465" s="7" t="n">
        <f aca="false">IF(A2465="",0,COUNTIFS($A$2:$A$3058,A2465,$P$2:$P$3058,"OK"))</f>
        <v>1</v>
      </c>
      <c r="S2465" s="7" t="str">
        <f aca="false">IF(OR(A2465="",P2465="DUP",R2465&lt;2),"",IF(Q2465=_xlfn.MINIFS($Q$2:$Q$3058,$A$2:$A$3058,A2465,$P$2:$P$3058,"OK"),"KEEP","DROP"))</f>
        <v/>
      </c>
      <c r="T2465" s="9" t="n">
        <f aca="false">IF(A2465="",1,0)</f>
        <v>0</v>
      </c>
      <c r="U2465" s="9" t="n">
        <f aca="false">IF(D2465="",1,0)</f>
        <v>0</v>
      </c>
      <c r="V2465" s="9" t="n">
        <f aca="false">IF(E2465="",1,0)</f>
        <v>0</v>
      </c>
      <c r="W2465" s="9" t="n">
        <f aca="false">IF(OR(H2465&lt;1,H2465&gt;10),1,0)</f>
        <v>0</v>
      </c>
      <c r="X2465" s="9" t="n">
        <f aca="false">IF(OR(I2465&lt;=0,I2465&gt;1500),1,0)</f>
        <v>0</v>
      </c>
      <c r="Y2465" s="9" t="n">
        <f aca="false">IF(J2465&gt;H2465*I2465,1,0)</f>
        <v>0</v>
      </c>
      <c r="Z2465" s="9" t="n">
        <f aca="false">IF(AND(N2465&lt;&gt;"",OR(N2465&lt;1,N2465&gt;5)),1,0)</f>
        <v>0</v>
      </c>
      <c r="AA2465" s="9" t="n">
        <f aca="false">IF(AND(M2465&lt;&gt;"",OR(M2465&lt;5,M2465&gt;180)),1,0)</f>
        <v>0</v>
      </c>
      <c r="AB2465" s="7" t="str">
        <f aca="false">IF(P2465="DUP","Exact duplicate row",IF(T2465=1,"Missing Order ID",IF(S2465="DROP","Duplicate Order ID (less complete row)",IF(U2465=1,"Missing Customer ID",IF(V2465=1,"Missing Restaurant name",IF(W2465=1,"Invalid/outlier quantity",IF(X2465=1,"Invalid/outlier unit price",IF(Y2465=1,"Discount greater than order value",""))))))))</f>
        <v/>
      </c>
      <c r="AC2465" s="7" t="str">
        <f aca="false">IF(AB2465="","KEEP","DROP")</f>
        <v>KEEP</v>
      </c>
      <c r="AD2465" s="7" t="str">
        <f aca="false">IF(TRIM(F2465)="",IFERROR(INDEX(Map_Tables!$I$4:$I$37,MATCH(TRIM(E2465),Map_Tables!$G$4:$G$37,0)),""),IFERROR(INDEX(Map_Tables!$B$4:$B$18,MATCH(TRIM(F2465),Map_Tables!$A$4:$A$18,0)),"CHECK"))</f>
        <v>Bengaluru</v>
      </c>
      <c r="AE2465" s="7" t="str">
        <f aca="false">IF(TRIM(E2465)="","",IFERROR(INDEX(Map_Tables!$H$4:$H$37,MATCH(TRIM(E2465),Map_Tables!$G$4:$G$37,0)),"CHECK"))</f>
        <v>Wok &amp; Roll</v>
      </c>
      <c r="AF2465" s="7" t="str">
        <f aca="false">IF(TRIM(K2465)="","Unknown",IFERROR(INDEX(Map_Tables!$E$4:$E$15,MATCH(TRIM(K2465),Map_Tables!$D$4:$D$15,0)),"CHECK"))</f>
        <v>Debit Card</v>
      </c>
      <c r="AG2465" s="7" t="str">
        <f aca="false">IF(LEFT(LOWER(TRIM(L2465)),6)="cancel","Cancelled","Delivered")</f>
        <v>Delivered</v>
      </c>
      <c r="AH2465" s="10" t="n">
        <f aca="false">IF(ISNUMBER(SEARCH("/",B2465)),DATE(VALUE(RIGHT(B2465,4)),VALUE(MID(B2465,4,2)),VALUE(LEFT(B2465,2))),IF(MID(B2465,5,1)="-",DATE(VALUE(LEFT(B2465,4)),VALUE(MID(B2465,6,2)),VALUE(RIGHT(B2465,2))),DATE(VALUE(RIGHT(B2465,4)),MATCH(MID(B2465,4,3),{"Jan","Feb","Mar","Apr","May","Jun","Jul","Aug","Sep","Oct","Nov","Dec"},0),VALUE(LEFT(B2465,2)))))</f>
        <v>45755</v>
      </c>
    </row>
    <row r="2466" customFormat="false" ht="15" hidden="false" customHeight="false" outlineLevel="0" collapsed="false">
      <c r="A2466" s="7" t="s">
        <v>5411</v>
      </c>
      <c r="B2466" s="7" t="s">
        <v>1972</v>
      </c>
      <c r="C2466" s="7" t="s">
        <v>976</v>
      </c>
      <c r="D2466" s="7" t="s">
        <v>4049</v>
      </c>
      <c r="E2466" s="7" t="s">
        <v>98</v>
      </c>
      <c r="F2466" s="7" t="s">
        <v>86</v>
      </c>
      <c r="G2466" s="7" t="s">
        <v>99</v>
      </c>
      <c r="H2466" s="7" t="n">
        <v>1</v>
      </c>
      <c r="I2466" s="7" t="n">
        <v>325</v>
      </c>
      <c r="J2466" s="7" t="n">
        <v>0</v>
      </c>
      <c r="K2466" s="7" t="s">
        <v>88</v>
      </c>
      <c r="L2466" s="7" t="s">
        <v>194</v>
      </c>
      <c r="M2466" s="7" t="n">
        <v>40</v>
      </c>
      <c r="N2466" s="7" t="n">
        <v>3</v>
      </c>
      <c r="O2466" s="7" t="str">
        <f aca="false">A2466&amp;"|"&amp;B2466&amp;"|"&amp;C2466&amp;"|"&amp;D2466&amp;"|"&amp;E2466&amp;"|"&amp;F2466&amp;"|"&amp;G2466&amp;"|"&amp;H2466&amp;"|"&amp;I2466&amp;"|"&amp;J2466&amp;"|"&amp;K2466&amp;"|"&amp;L2466&amp;"|"&amp;M2466&amp;"|"&amp;N2466</f>
        <v>ORD12652|2025-11-23|20:20|C1427|Nawabi Biryani House|Bengaluru|Biryani|1|325|0|UPI|Delivered|40|3</v>
      </c>
      <c r="P2466" s="7" t="str">
        <f aca="false">IF(COUNTIF($O$2:O2466,O2466)&gt;1,"DUP","OK")</f>
        <v>OK</v>
      </c>
      <c r="Q2466" s="7" t="n">
        <f aca="false">COUNTBLANK(A2466:N2466)</f>
        <v>0</v>
      </c>
      <c r="R2466" s="7" t="n">
        <f aca="false">IF(A2466="",0,COUNTIFS($A$2:$A$3058,A2466,$P$2:$P$3058,"OK"))</f>
        <v>1</v>
      </c>
      <c r="S2466" s="7" t="str">
        <f aca="false">IF(OR(A2466="",P2466="DUP",R2466&lt;2),"",IF(Q2466=_xlfn.MINIFS($Q$2:$Q$3058,$A$2:$A$3058,A2466,$P$2:$P$3058,"OK"),"KEEP","DROP"))</f>
        <v/>
      </c>
      <c r="T2466" s="9" t="n">
        <f aca="false">IF(A2466="",1,0)</f>
        <v>0</v>
      </c>
      <c r="U2466" s="9" t="n">
        <f aca="false">IF(D2466="",1,0)</f>
        <v>0</v>
      </c>
      <c r="V2466" s="9" t="n">
        <f aca="false">IF(E2466="",1,0)</f>
        <v>0</v>
      </c>
      <c r="W2466" s="9" t="n">
        <f aca="false">IF(OR(H2466&lt;1,H2466&gt;10),1,0)</f>
        <v>0</v>
      </c>
      <c r="X2466" s="9" t="n">
        <f aca="false">IF(OR(I2466&lt;=0,I2466&gt;1500),1,0)</f>
        <v>0</v>
      </c>
      <c r="Y2466" s="9" t="n">
        <f aca="false">IF(J2466&gt;H2466*I2466,1,0)</f>
        <v>0</v>
      </c>
      <c r="Z2466" s="9" t="n">
        <f aca="false">IF(AND(N2466&lt;&gt;"",OR(N2466&lt;1,N2466&gt;5)),1,0)</f>
        <v>0</v>
      </c>
      <c r="AA2466" s="9" t="n">
        <f aca="false">IF(AND(M2466&lt;&gt;"",OR(M2466&lt;5,M2466&gt;180)),1,0)</f>
        <v>0</v>
      </c>
      <c r="AB2466" s="7" t="str">
        <f aca="false">IF(P2466="DUP","Exact duplicate row",IF(T2466=1,"Missing Order ID",IF(S2466="DROP","Duplicate Order ID (less complete row)",IF(U2466=1,"Missing Customer ID",IF(V2466=1,"Missing Restaurant name",IF(W2466=1,"Invalid/outlier quantity",IF(X2466=1,"Invalid/outlier unit price",IF(Y2466=1,"Discount greater than order value",""))))))))</f>
        <v/>
      </c>
      <c r="AC2466" s="7" t="str">
        <f aca="false">IF(AB2466="","KEEP","DROP")</f>
        <v>KEEP</v>
      </c>
      <c r="AD2466" s="7" t="str">
        <f aca="false">IF(TRIM(F2466)="",IFERROR(INDEX(Map_Tables!$I$4:$I$37,MATCH(TRIM(E2466),Map_Tables!$G$4:$G$37,0)),""),IFERROR(INDEX(Map_Tables!$B$4:$B$18,MATCH(TRIM(F2466),Map_Tables!$A$4:$A$18,0)),"CHECK"))</f>
        <v>Bengaluru</v>
      </c>
      <c r="AE2466" s="7" t="str">
        <f aca="false">IF(TRIM(E2466)="","",IFERROR(INDEX(Map_Tables!$H$4:$H$37,MATCH(TRIM(E2466),Map_Tables!$G$4:$G$37,0)),"CHECK"))</f>
        <v>Nawabi Biryani House</v>
      </c>
      <c r="AF2466" s="7" t="str">
        <f aca="false">IF(TRIM(K2466)="","Unknown",IFERROR(INDEX(Map_Tables!$E$4:$E$15,MATCH(TRIM(K2466),Map_Tables!$D$4:$D$15,0)),"CHECK"))</f>
        <v>UPI</v>
      </c>
      <c r="AG2466" s="7" t="str">
        <f aca="false">IF(LEFT(LOWER(TRIM(L2466)),6)="cancel","Cancelled","Delivered")</f>
        <v>Delivered</v>
      </c>
      <c r="AH2466" s="10" t="n">
        <f aca="false">IF(ISNUMBER(SEARCH("/",B2466)),DATE(VALUE(RIGHT(B2466,4)),VALUE(MID(B2466,4,2)),VALUE(LEFT(B2466,2))),IF(MID(B2466,5,1)="-",DATE(VALUE(LEFT(B2466,4)),VALUE(MID(B2466,6,2)),VALUE(RIGHT(B2466,2))),DATE(VALUE(RIGHT(B2466,4)),MATCH(MID(B2466,4,3),{"Jan","Feb","Mar","Apr","May","Jun","Jul","Aug","Sep","Oct","Nov","Dec"},0),VALUE(LEFT(B2466,2)))))</f>
        <v>45984</v>
      </c>
    </row>
    <row r="2467" customFormat="false" ht="15" hidden="false" customHeight="false" outlineLevel="0" collapsed="false">
      <c r="A2467" s="7" t="s">
        <v>5412</v>
      </c>
      <c r="B2467" s="7" t="s">
        <v>477</v>
      </c>
      <c r="C2467" s="7" t="s">
        <v>559</v>
      </c>
      <c r="D2467" s="7" t="s">
        <v>1369</v>
      </c>
      <c r="E2467" s="7" t="s">
        <v>158</v>
      </c>
      <c r="F2467" s="7" t="s">
        <v>136</v>
      </c>
      <c r="G2467" s="7" t="s">
        <v>139</v>
      </c>
      <c r="H2467" s="7" t="n">
        <v>2</v>
      </c>
      <c r="I2467" s="7" t="n">
        <v>195</v>
      </c>
      <c r="J2467" s="7" t="n">
        <v>100</v>
      </c>
      <c r="K2467" s="7" t="s">
        <v>526</v>
      </c>
      <c r="L2467" s="7" t="s">
        <v>194</v>
      </c>
      <c r="M2467" s="7" t="n">
        <v>38</v>
      </c>
      <c r="N2467" s="7" t="n">
        <v>5</v>
      </c>
      <c r="O2467" s="7" t="str">
        <f aca="false">A2467&amp;"|"&amp;B2467&amp;"|"&amp;C2467&amp;"|"&amp;D2467&amp;"|"&amp;E2467&amp;"|"&amp;F2467&amp;"|"&amp;G2467&amp;"|"&amp;H2467&amp;"|"&amp;I2467&amp;"|"&amp;J2467&amp;"|"&amp;K2467&amp;"|"&amp;L2467&amp;"|"&amp;M2467&amp;"|"&amp;N2467</f>
        <v>ORD10840|2025-04-16|20:25|C0964|Pune Burger Hub|Pune|Burgers|2|195|100|DC|Delivered|38|5</v>
      </c>
      <c r="P2467" s="7" t="str">
        <f aca="false">IF(COUNTIF($O$2:O2467,O2467)&gt;1,"DUP","OK")</f>
        <v>OK</v>
      </c>
      <c r="Q2467" s="7" t="n">
        <f aca="false">COUNTBLANK(A2467:N2467)</f>
        <v>0</v>
      </c>
      <c r="R2467" s="7" t="n">
        <f aca="false">IF(A2467="",0,COUNTIFS($A$2:$A$3058,A2467,$P$2:$P$3058,"OK"))</f>
        <v>1</v>
      </c>
      <c r="S2467" s="7" t="str">
        <f aca="false">IF(OR(A2467="",P2467="DUP",R2467&lt;2),"",IF(Q2467=_xlfn.MINIFS($Q$2:$Q$3058,$A$2:$A$3058,A2467,$P$2:$P$3058,"OK"),"KEEP","DROP"))</f>
        <v/>
      </c>
      <c r="T2467" s="9" t="n">
        <f aca="false">IF(A2467="",1,0)</f>
        <v>0</v>
      </c>
      <c r="U2467" s="9" t="n">
        <f aca="false">IF(D2467="",1,0)</f>
        <v>0</v>
      </c>
      <c r="V2467" s="9" t="n">
        <f aca="false">IF(E2467="",1,0)</f>
        <v>0</v>
      </c>
      <c r="W2467" s="9" t="n">
        <f aca="false">IF(OR(H2467&lt;1,H2467&gt;10),1,0)</f>
        <v>0</v>
      </c>
      <c r="X2467" s="9" t="n">
        <f aca="false">IF(OR(I2467&lt;=0,I2467&gt;1500),1,0)</f>
        <v>0</v>
      </c>
      <c r="Y2467" s="9" t="n">
        <f aca="false">IF(J2467&gt;H2467*I2467,1,0)</f>
        <v>0</v>
      </c>
      <c r="Z2467" s="9" t="n">
        <f aca="false">IF(AND(N2467&lt;&gt;"",OR(N2467&lt;1,N2467&gt;5)),1,0)</f>
        <v>0</v>
      </c>
      <c r="AA2467" s="9" t="n">
        <f aca="false">IF(AND(M2467&lt;&gt;"",OR(M2467&lt;5,M2467&gt;180)),1,0)</f>
        <v>0</v>
      </c>
      <c r="AB2467" s="7" t="str">
        <f aca="false">IF(P2467="DUP","Exact duplicate row",IF(T2467=1,"Missing Order ID",IF(S2467="DROP","Duplicate Order ID (less complete row)",IF(U2467=1,"Missing Customer ID",IF(V2467=1,"Missing Restaurant name",IF(W2467=1,"Invalid/outlier quantity",IF(X2467=1,"Invalid/outlier unit price",IF(Y2467=1,"Discount greater than order value",""))))))))</f>
        <v/>
      </c>
      <c r="AC2467" s="7" t="str">
        <f aca="false">IF(AB2467="","KEEP","DROP")</f>
        <v>KEEP</v>
      </c>
      <c r="AD2467" s="7" t="str">
        <f aca="false">IF(TRIM(F2467)="",IFERROR(INDEX(Map_Tables!$I$4:$I$37,MATCH(TRIM(E2467),Map_Tables!$G$4:$G$37,0)),""),IFERROR(INDEX(Map_Tables!$B$4:$B$18,MATCH(TRIM(F2467),Map_Tables!$A$4:$A$18,0)),"CHECK"))</f>
        <v>Pune</v>
      </c>
      <c r="AE2467" s="7" t="str">
        <f aca="false">IF(TRIM(E2467)="","",IFERROR(INDEX(Map_Tables!$H$4:$H$37,MATCH(TRIM(E2467),Map_Tables!$G$4:$G$37,0)),"CHECK"))</f>
        <v>Pune Burger Hub</v>
      </c>
      <c r="AF2467" s="7" t="str">
        <f aca="false">IF(TRIM(K2467)="","Unknown",IFERROR(INDEX(Map_Tables!$E$4:$E$15,MATCH(TRIM(K2467),Map_Tables!$D$4:$D$15,0)),"CHECK"))</f>
        <v>Debit Card</v>
      </c>
      <c r="AG2467" s="7" t="str">
        <f aca="false">IF(LEFT(LOWER(TRIM(L2467)),6)="cancel","Cancelled","Delivered")</f>
        <v>Delivered</v>
      </c>
      <c r="AH2467" s="10" t="n">
        <f aca="false">IF(ISNUMBER(SEARCH("/",B2467)),DATE(VALUE(RIGHT(B2467,4)),VALUE(MID(B2467,4,2)),VALUE(LEFT(B2467,2))),IF(MID(B2467,5,1)="-",DATE(VALUE(LEFT(B2467,4)),VALUE(MID(B2467,6,2)),VALUE(RIGHT(B2467,2))),DATE(VALUE(RIGHT(B2467,4)),MATCH(MID(B2467,4,3),{"Jan","Feb","Mar","Apr","May","Jun","Jul","Aug","Sep","Oct","Nov","Dec"},0),VALUE(LEFT(B2467,2)))))</f>
        <v>45763</v>
      </c>
    </row>
    <row r="2468" customFormat="false" ht="15" hidden="false" customHeight="false" outlineLevel="0" collapsed="false">
      <c r="A2468" s="7" t="s">
        <v>5413</v>
      </c>
      <c r="B2468" s="7" t="s">
        <v>727</v>
      </c>
      <c r="C2468" s="7" t="s">
        <v>428</v>
      </c>
      <c r="D2468" s="7" t="s">
        <v>797</v>
      </c>
      <c r="E2468" s="7" t="s">
        <v>130</v>
      </c>
      <c r="F2468" s="7" t="s">
        <v>521</v>
      </c>
      <c r="G2468" s="7" t="s">
        <v>90</v>
      </c>
      <c r="H2468" s="7" t="n">
        <v>3</v>
      </c>
      <c r="I2468" s="7" t="n">
        <v>190</v>
      </c>
      <c r="J2468" s="7" t="n">
        <v>40</v>
      </c>
      <c r="K2468" s="7" t="s">
        <v>93</v>
      </c>
      <c r="L2468" s="7" t="s">
        <v>194</v>
      </c>
      <c r="M2468" s="7" t="n">
        <v>43</v>
      </c>
      <c r="N2468" s="7" t="n">
        <v>3</v>
      </c>
      <c r="O2468" s="7" t="str">
        <f aca="false">A2468&amp;"|"&amp;B2468&amp;"|"&amp;C2468&amp;"|"&amp;D2468&amp;"|"&amp;E2468&amp;"|"&amp;F2468&amp;"|"&amp;G2468&amp;"|"&amp;H2468&amp;"|"&amp;I2468&amp;"|"&amp;J2468&amp;"|"&amp;K2468&amp;"|"&amp;L2468&amp;"|"&amp;M2468&amp;"|"&amp;N2468</f>
        <v>ORD10628|2025-03-21|10:24|C0944|Tandoor Tales|DELHI|North Indian|3|190|40|Credit Card|Delivered|43|3</v>
      </c>
      <c r="P2468" s="7" t="str">
        <f aca="false">IF(COUNTIF($O$2:O2468,O2468)&gt;1,"DUP","OK")</f>
        <v>OK</v>
      </c>
      <c r="Q2468" s="7" t="n">
        <f aca="false">COUNTBLANK(A2468:N2468)</f>
        <v>0</v>
      </c>
      <c r="R2468" s="7" t="n">
        <f aca="false">IF(A2468="",0,COUNTIFS($A$2:$A$3058,A2468,$P$2:$P$3058,"OK"))</f>
        <v>1</v>
      </c>
      <c r="S2468" s="7" t="str">
        <f aca="false">IF(OR(A2468="",P2468="DUP",R2468&lt;2),"",IF(Q2468=_xlfn.MINIFS($Q$2:$Q$3058,$A$2:$A$3058,A2468,$P$2:$P$3058,"OK"),"KEEP","DROP"))</f>
        <v/>
      </c>
      <c r="T2468" s="9" t="n">
        <f aca="false">IF(A2468="",1,0)</f>
        <v>0</v>
      </c>
      <c r="U2468" s="9" t="n">
        <f aca="false">IF(D2468="",1,0)</f>
        <v>0</v>
      </c>
      <c r="V2468" s="9" t="n">
        <f aca="false">IF(E2468="",1,0)</f>
        <v>0</v>
      </c>
      <c r="W2468" s="9" t="n">
        <f aca="false">IF(OR(H2468&lt;1,H2468&gt;10),1,0)</f>
        <v>0</v>
      </c>
      <c r="X2468" s="9" t="n">
        <f aca="false">IF(OR(I2468&lt;=0,I2468&gt;1500),1,0)</f>
        <v>0</v>
      </c>
      <c r="Y2468" s="9" t="n">
        <f aca="false">IF(J2468&gt;H2468*I2468,1,0)</f>
        <v>0</v>
      </c>
      <c r="Z2468" s="9" t="n">
        <f aca="false">IF(AND(N2468&lt;&gt;"",OR(N2468&lt;1,N2468&gt;5)),1,0)</f>
        <v>0</v>
      </c>
      <c r="AA2468" s="9" t="n">
        <f aca="false">IF(AND(M2468&lt;&gt;"",OR(M2468&lt;5,M2468&gt;180)),1,0)</f>
        <v>0</v>
      </c>
      <c r="AB2468" s="7" t="str">
        <f aca="false">IF(P2468="DUP","Exact duplicate row",IF(T2468=1,"Missing Order ID",IF(S2468="DROP","Duplicate Order ID (less complete row)",IF(U2468=1,"Missing Customer ID",IF(V2468=1,"Missing Restaurant name",IF(W2468=1,"Invalid/outlier quantity",IF(X2468=1,"Invalid/outlier unit price",IF(Y2468=1,"Discount greater than order value",""))))))))</f>
        <v/>
      </c>
      <c r="AC2468" s="7" t="str">
        <f aca="false">IF(AB2468="","KEEP","DROP")</f>
        <v>KEEP</v>
      </c>
      <c r="AD2468" s="7" t="str">
        <f aca="false">IF(TRIM(F2468)="",IFERROR(INDEX(Map_Tables!$I$4:$I$37,MATCH(TRIM(E2468),Map_Tables!$G$4:$G$37,0)),""),IFERROR(INDEX(Map_Tables!$B$4:$B$18,MATCH(TRIM(F2468),Map_Tables!$A$4:$A$18,0)),"CHECK"))</f>
        <v>Delhi</v>
      </c>
      <c r="AE2468" s="7" t="str">
        <f aca="false">IF(TRIM(E2468)="","",IFERROR(INDEX(Map_Tables!$H$4:$H$37,MATCH(TRIM(E2468),Map_Tables!$G$4:$G$37,0)),"CHECK"))</f>
        <v>Tandoor Tales</v>
      </c>
      <c r="AF2468" s="7" t="str">
        <f aca="false">IF(TRIM(K2468)="","Unknown",IFERROR(INDEX(Map_Tables!$E$4:$E$15,MATCH(TRIM(K2468),Map_Tables!$D$4:$D$15,0)),"CHECK"))</f>
        <v>Credit Card</v>
      </c>
      <c r="AG2468" s="7" t="str">
        <f aca="false">IF(LEFT(LOWER(TRIM(L2468)),6)="cancel","Cancelled","Delivered")</f>
        <v>Delivered</v>
      </c>
      <c r="AH2468" s="10" t="n">
        <f aca="false">IF(ISNUMBER(SEARCH("/",B2468)),DATE(VALUE(RIGHT(B2468,4)),VALUE(MID(B2468,4,2)),VALUE(LEFT(B2468,2))),IF(MID(B2468,5,1)="-",DATE(VALUE(LEFT(B2468,4)),VALUE(MID(B2468,6,2)),VALUE(RIGHT(B2468,2))),DATE(VALUE(RIGHT(B2468,4)),MATCH(MID(B2468,4,3),{"Jan","Feb","Mar","Apr","May","Jun","Jul","Aug","Sep","Oct","Nov","Dec"},0),VALUE(LEFT(B2468,2)))))</f>
        <v>45737</v>
      </c>
    </row>
    <row r="2469" customFormat="false" ht="15" hidden="false" customHeight="false" outlineLevel="0" collapsed="false">
      <c r="A2469" s="7" t="s">
        <v>5414</v>
      </c>
      <c r="B2469" s="7" t="s">
        <v>341</v>
      </c>
      <c r="C2469" s="7" t="s">
        <v>4297</v>
      </c>
      <c r="D2469" s="7" t="s">
        <v>5415</v>
      </c>
      <c r="E2469" s="7" t="s">
        <v>130</v>
      </c>
      <c r="F2469" s="7" t="s">
        <v>110</v>
      </c>
      <c r="G2469" s="7" t="s">
        <v>90</v>
      </c>
      <c r="H2469" s="7" t="n">
        <v>2</v>
      </c>
      <c r="I2469" s="7" t="n">
        <v>225</v>
      </c>
      <c r="J2469" s="7" t="n">
        <v>125</v>
      </c>
      <c r="K2469" s="7" t="s">
        <v>93</v>
      </c>
      <c r="L2469" s="7" t="s">
        <v>194</v>
      </c>
      <c r="M2469" s="7" t="n">
        <v>36</v>
      </c>
      <c r="N2469" s="7" t="n">
        <v>3</v>
      </c>
      <c r="O2469" s="7" t="str">
        <f aca="false">A2469&amp;"|"&amp;B2469&amp;"|"&amp;C2469&amp;"|"&amp;D2469&amp;"|"&amp;E2469&amp;"|"&amp;F2469&amp;"|"&amp;G2469&amp;"|"&amp;H2469&amp;"|"&amp;I2469&amp;"|"&amp;J2469&amp;"|"&amp;K2469&amp;"|"&amp;L2469&amp;"|"&amp;M2469&amp;"|"&amp;N2469</f>
        <v>ORD10324|2025-02-12|16:45|C1304|Tandoor Tales|Delhi|North Indian|2|225|125|Credit Card|Delivered|36|3</v>
      </c>
      <c r="P2469" s="7" t="str">
        <f aca="false">IF(COUNTIF($O$2:O2469,O2469)&gt;1,"DUP","OK")</f>
        <v>OK</v>
      </c>
      <c r="Q2469" s="7" t="n">
        <f aca="false">COUNTBLANK(A2469:N2469)</f>
        <v>0</v>
      </c>
      <c r="R2469" s="7" t="n">
        <f aca="false">IF(A2469="",0,COUNTIFS($A$2:$A$3058,A2469,$P$2:$P$3058,"OK"))</f>
        <v>1</v>
      </c>
      <c r="S2469" s="7" t="str">
        <f aca="false">IF(OR(A2469="",P2469="DUP",R2469&lt;2),"",IF(Q2469=_xlfn.MINIFS($Q$2:$Q$3058,$A$2:$A$3058,A2469,$P$2:$P$3058,"OK"),"KEEP","DROP"))</f>
        <v/>
      </c>
      <c r="T2469" s="9" t="n">
        <f aca="false">IF(A2469="",1,0)</f>
        <v>0</v>
      </c>
      <c r="U2469" s="9" t="n">
        <f aca="false">IF(D2469="",1,0)</f>
        <v>0</v>
      </c>
      <c r="V2469" s="9" t="n">
        <f aca="false">IF(E2469="",1,0)</f>
        <v>0</v>
      </c>
      <c r="W2469" s="9" t="n">
        <f aca="false">IF(OR(H2469&lt;1,H2469&gt;10),1,0)</f>
        <v>0</v>
      </c>
      <c r="X2469" s="9" t="n">
        <f aca="false">IF(OR(I2469&lt;=0,I2469&gt;1500),1,0)</f>
        <v>0</v>
      </c>
      <c r="Y2469" s="9" t="n">
        <f aca="false">IF(J2469&gt;H2469*I2469,1,0)</f>
        <v>0</v>
      </c>
      <c r="Z2469" s="9" t="n">
        <f aca="false">IF(AND(N2469&lt;&gt;"",OR(N2469&lt;1,N2469&gt;5)),1,0)</f>
        <v>0</v>
      </c>
      <c r="AA2469" s="9" t="n">
        <f aca="false">IF(AND(M2469&lt;&gt;"",OR(M2469&lt;5,M2469&gt;180)),1,0)</f>
        <v>0</v>
      </c>
      <c r="AB2469" s="7" t="str">
        <f aca="false">IF(P2469="DUP","Exact duplicate row",IF(T2469=1,"Missing Order ID",IF(S2469="DROP","Duplicate Order ID (less complete row)",IF(U2469=1,"Missing Customer ID",IF(V2469=1,"Missing Restaurant name",IF(W2469=1,"Invalid/outlier quantity",IF(X2469=1,"Invalid/outlier unit price",IF(Y2469=1,"Discount greater than order value",""))))))))</f>
        <v/>
      </c>
      <c r="AC2469" s="7" t="str">
        <f aca="false">IF(AB2469="","KEEP","DROP")</f>
        <v>KEEP</v>
      </c>
      <c r="AD2469" s="7" t="str">
        <f aca="false">IF(TRIM(F2469)="",IFERROR(INDEX(Map_Tables!$I$4:$I$37,MATCH(TRIM(E2469),Map_Tables!$G$4:$G$37,0)),""),IFERROR(INDEX(Map_Tables!$B$4:$B$18,MATCH(TRIM(F2469),Map_Tables!$A$4:$A$18,0)),"CHECK"))</f>
        <v>Delhi</v>
      </c>
      <c r="AE2469" s="7" t="str">
        <f aca="false">IF(TRIM(E2469)="","",IFERROR(INDEX(Map_Tables!$H$4:$H$37,MATCH(TRIM(E2469),Map_Tables!$G$4:$G$37,0)),"CHECK"))</f>
        <v>Tandoor Tales</v>
      </c>
      <c r="AF2469" s="7" t="str">
        <f aca="false">IF(TRIM(K2469)="","Unknown",IFERROR(INDEX(Map_Tables!$E$4:$E$15,MATCH(TRIM(K2469),Map_Tables!$D$4:$D$15,0)),"CHECK"))</f>
        <v>Credit Card</v>
      </c>
      <c r="AG2469" s="7" t="str">
        <f aca="false">IF(LEFT(LOWER(TRIM(L2469)),6)="cancel","Cancelled","Delivered")</f>
        <v>Delivered</v>
      </c>
      <c r="AH2469" s="10" t="n">
        <f aca="false">IF(ISNUMBER(SEARCH("/",B2469)),DATE(VALUE(RIGHT(B2469,4)),VALUE(MID(B2469,4,2)),VALUE(LEFT(B2469,2))),IF(MID(B2469,5,1)="-",DATE(VALUE(LEFT(B2469,4)),VALUE(MID(B2469,6,2)),VALUE(RIGHT(B2469,2))),DATE(VALUE(RIGHT(B2469,4)),MATCH(MID(B2469,4,3),{"Jan","Feb","Mar","Apr","May","Jun","Jul","Aug","Sep","Oct","Nov","Dec"},0),VALUE(LEFT(B2469,2)))))</f>
        <v>45700</v>
      </c>
    </row>
    <row r="2470" customFormat="false" ht="15" hidden="false" customHeight="false" outlineLevel="0" collapsed="false">
      <c r="A2470" s="7" t="s">
        <v>5416</v>
      </c>
      <c r="B2470" s="7" t="s">
        <v>637</v>
      </c>
      <c r="C2470" s="7" t="s">
        <v>2817</v>
      </c>
      <c r="D2470" s="7" t="s">
        <v>4436</v>
      </c>
      <c r="E2470" s="7" t="s">
        <v>164</v>
      </c>
      <c r="F2470" s="7" t="s">
        <v>141</v>
      </c>
      <c r="G2470" s="7" t="s">
        <v>150</v>
      </c>
      <c r="H2470" s="7" t="n">
        <v>3</v>
      </c>
      <c r="I2470" s="7" t="n">
        <v>150</v>
      </c>
      <c r="J2470" s="7" t="n">
        <v>50</v>
      </c>
      <c r="K2470" s="7" t="s">
        <v>229</v>
      </c>
      <c r="L2470" s="7" t="s">
        <v>194</v>
      </c>
      <c r="M2470" s="7" t="n">
        <v>45</v>
      </c>
      <c r="N2470" s="7" t="n">
        <v>5</v>
      </c>
      <c r="O2470" s="7" t="str">
        <f aca="false">A2470&amp;"|"&amp;B2470&amp;"|"&amp;C2470&amp;"|"&amp;D2470&amp;"|"&amp;E2470&amp;"|"&amp;F2470&amp;"|"&amp;G2470&amp;"|"&amp;H2470&amp;"|"&amp;I2470&amp;"|"&amp;J2470&amp;"|"&amp;K2470&amp;"|"&amp;L2470&amp;"|"&amp;M2470&amp;"|"&amp;N2470</f>
        <v>ORD12747|2025-12-02|13:37|C0251|Mishti Mandir|Kolkata|Desserts|3|150|50|Upi|Delivered|45|5</v>
      </c>
      <c r="P2470" s="7" t="str">
        <f aca="false">IF(COUNTIF($O$2:O2470,O2470)&gt;1,"DUP","OK")</f>
        <v>OK</v>
      </c>
      <c r="Q2470" s="7" t="n">
        <f aca="false">COUNTBLANK(A2470:N2470)</f>
        <v>0</v>
      </c>
      <c r="R2470" s="7" t="n">
        <f aca="false">IF(A2470="",0,COUNTIFS($A$2:$A$3058,A2470,$P$2:$P$3058,"OK"))</f>
        <v>1</v>
      </c>
      <c r="S2470" s="7" t="str">
        <f aca="false">IF(OR(A2470="",P2470="DUP",R2470&lt;2),"",IF(Q2470=_xlfn.MINIFS($Q$2:$Q$3058,$A$2:$A$3058,A2470,$P$2:$P$3058,"OK"),"KEEP","DROP"))</f>
        <v/>
      </c>
      <c r="T2470" s="9" t="n">
        <f aca="false">IF(A2470="",1,0)</f>
        <v>0</v>
      </c>
      <c r="U2470" s="9" t="n">
        <f aca="false">IF(D2470="",1,0)</f>
        <v>0</v>
      </c>
      <c r="V2470" s="9" t="n">
        <f aca="false">IF(E2470="",1,0)</f>
        <v>0</v>
      </c>
      <c r="W2470" s="9" t="n">
        <f aca="false">IF(OR(H2470&lt;1,H2470&gt;10),1,0)</f>
        <v>0</v>
      </c>
      <c r="X2470" s="9" t="n">
        <f aca="false">IF(OR(I2470&lt;=0,I2470&gt;1500),1,0)</f>
        <v>0</v>
      </c>
      <c r="Y2470" s="9" t="n">
        <f aca="false">IF(J2470&gt;H2470*I2470,1,0)</f>
        <v>0</v>
      </c>
      <c r="Z2470" s="9" t="n">
        <f aca="false">IF(AND(N2470&lt;&gt;"",OR(N2470&lt;1,N2470&gt;5)),1,0)</f>
        <v>0</v>
      </c>
      <c r="AA2470" s="9" t="n">
        <f aca="false">IF(AND(M2470&lt;&gt;"",OR(M2470&lt;5,M2470&gt;180)),1,0)</f>
        <v>0</v>
      </c>
      <c r="AB2470" s="7" t="str">
        <f aca="false">IF(P2470="DUP","Exact duplicate row",IF(T2470=1,"Missing Order ID",IF(S2470="DROP","Duplicate Order ID (less complete row)",IF(U2470=1,"Missing Customer ID",IF(V2470=1,"Missing Restaurant name",IF(W2470=1,"Invalid/outlier quantity",IF(X2470=1,"Invalid/outlier unit price",IF(Y2470=1,"Discount greater than order value",""))))))))</f>
        <v/>
      </c>
      <c r="AC2470" s="7" t="str">
        <f aca="false">IF(AB2470="","KEEP","DROP")</f>
        <v>KEEP</v>
      </c>
      <c r="AD2470" s="7" t="str">
        <f aca="false">IF(TRIM(F2470)="",IFERROR(INDEX(Map_Tables!$I$4:$I$37,MATCH(TRIM(E2470),Map_Tables!$G$4:$G$37,0)),""),IFERROR(INDEX(Map_Tables!$B$4:$B$18,MATCH(TRIM(F2470),Map_Tables!$A$4:$A$18,0)),"CHECK"))</f>
        <v>Kolkata</v>
      </c>
      <c r="AE2470" s="7" t="str">
        <f aca="false">IF(TRIM(E2470)="","",IFERROR(INDEX(Map_Tables!$H$4:$H$37,MATCH(TRIM(E2470),Map_Tables!$G$4:$G$37,0)),"CHECK"))</f>
        <v>Mishti Mandir</v>
      </c>
      <c r="AF2470" s="7" t="str">
        <f aca="false">IF(TRIM(K2470)="","Unknown",IFERROR(INDEX(Map_Tables!$E$4:$E$15,MATCH(TRIM(K2470),Map_Tables!$D$4:$D$15,0)),"CHECK"))</f>
        <v>UPI</v>
      </c>
      <c r="AG2470" s="7" t="str">
        <f aca="false">IF(LEFT(LOWER(TRIM(L2470)),6)="cancel","Cancelled","Delivered")</f>
        <v>Delivered</v>
      </c>
      <c r="AH2470" s="10" t="n">
        <f aca="false">IF(ISNUMBER(SEARCH("/",B2470)),DATE(VALUE(RIGHT(B2470,4)),VALUE(MID(B2470,4,2)),VALUE(LEFT(B2470,2))),IF(MID(B2470,5,1)="-",DATE(VALUE(LEFT(B2470,4)),VALUE(MID(B2470,6,2)),VALUE(RIGHT(B2470,2))),DATE(VALUE(RIGHT(B2470,4)),MATCH(MID(B2470,4,3),{"Jan","Feb","Mar","Apr","May","Jun","Jul","Aug","Sep","Oct","Nov","Dec"},0),VALUE(LEFT(B2470,2)))))</f>
        <v>45993</v>
      </c>
    </row>
    <row r="2471" customFormat="false" ht="15" hidden="false" customHeight="false" outlineLevel="0" collapsed="false">
      <c r="A2471" s="7" t="s">
        <v>5417</v>
      </c>
      <c r="B2471" s="7" t="s">
        <v>4388</v>
      </c>
      <c r="C2471" s="7" t="s">
        <v>3605</v>
      </c>
      <c r="D2471" s="7" t="s">
        <v>5418</v>
      </c>
      <c r="E2471" s="7" t="s">
        <v>144</v>
      </c>
      <c r="F2471" s="7" t="s">
        <v>119</v>
      </c>
      <c r="G2471" s="7" t="s">
        <v>99</v>
      </c>
      <c r="H2471" s="7" t="n">
        <v>1</v>
      </c>
      <c r="I2471" s="7" t="n">
        <v>260</v>
      </c>
      <c r="J2471" s="7" t="n">
        <v>0</v>
      </c>
      <c r="K2471" s="7" t="s">
        <v>88</v>
      </c>
      <c r="L2471" s="7" t="s">
        <v>194</v>
      </c>
      <c r="M2471" s="7" t="n">
        <v>39</v>
      </c>
      <c r="N2471" s="7" t="n">
        <v>4</v>
      </c>
      <c r="O2471" s="7" t="str">
        <f aca="false">A2471&amp;"|"&amp;B2471&amp;"|"&amp;C2471&amp;"|"&amp;D2471&amp;"|"&amp;E2471&amp;"|"&amp;F2471&amp;"|"&amp;G2471&amp;"|"&amp;H2471&amp;"|"&amp;I2471&amp;"|"&amp;J2471&amp;"|"&amp;K2471&amp;"|"&amp;L2471&amp;"|"&amp;M2471&amp;"|"&amp;N2471</f>
        <v>ORD12977|29/12/2025|12:22|C0419|Hyderabad Dum Biryani|Hyderabad|Biryani|1|260|0|UPI|Delivered|39|4</v>
      </c>
      <c r="P2471" s="7" t="str">
        <f aca="false">IF(COUNTIF($O$2:O2471,O2471)&gt;1,"DUP","OK")</f>
        <v>OK</v>
      </c>
      <c r="Q2471" s="7" t="n">
        <f aca="false">COUNTBLANK(A2471:N2471)</f>
        <v>0</v>
      </c>
      <c r="R2471" s="7" t="n">
        <f aca="false">IF(A2471="",0,COUNTIFS($A$2:$A$3058,A2471,$P$2:$P$3058,"OK"))</f>
        <v>1</v>
      </c>
      <c r="S2471" s="7" t="str">
        <f aca="false">IF(OR(A2471="",P2471="DUP",R2471&lt;2),"",IF(Q2471=_xlfn.MINIFS($Q$2:$Q$3058,$A$2:$A$3058,A2471,$P$2:$P$3058,"OK"),"KEEP","DROP"))</f>
        <v/>
      </c>
      <c r="T2471" s="9" t="n">
        <f aca="false">IF(A2471="",1,0)</f>
        <v>0</v>
      </c>
      <c r="U2471" s="9" t="n">
        <f aca="false">IF(D2471="",1,0)</f>
        <v>0</v>
      </c>
      <c r="V2471" s="9" t="n">
        <f aca="false">IF(E2471="",1,0)</f>
        <v>0</v>
      </c>
      <c r="W2471" s="9" t="n">
        <f aca="false">IF(OR(H2471&lt;1,H2471&gt;10),1,0)</f>
        <v>0</v>
      </c>
      <c r="X2471" s="9" t="n">
        <f aca="false">IF(OR(I2471&lt;=0,I2471&gt;1500),1,0)</f>
        <v>0</v>
      </c>
      <c r="Y2471" s="9" t="n">
        <f aca="false">IF(J2471&gt;H2471*I2471,1,0)</f>
        <v>0</v>
      </c>
      <c r="Z2471" s="9" t="n">
        <f aca="false">IF(AND(N2471&lt;&gt;"",OR(N2471&lt;1,N2471&gt;5)),1,0)</f>
        <v>0</v>
      </c>
      <c r="AA2471" s="9" t="n">
        <f aca="false">IF(AND(M2471&lt;&gt;"",OR(M2471&lt;5,M2471&gt;180)),1,0)</f>
        <v>0</v>
      </c>
      <c r="AB2471" s="7" t="str">
        <f aca="false">IF(P2471="DUP","Exact duplicate row",IF(T2471=1,"Missing Order ID",IF(S2471="DROP","Duplicate Order ID (less complete row)",IF(U2471=1,"Missing Customer ID",IF(V2471=1,"Missing Restaurant name",IF(W2471=1,"Invalid/outlier quantity",IF(X2471=1,"Invalid/outlier unit price",IF(Y2471=1,"Discount greater than order value",""))))))))</f>
        <v/>
      </c>
      <c r="AC2471" s="7" t="str">
        <f aca="false">IF(AB2471="","KEEP","DROP")</f>
        <v>KEEP</v>
      </c>
      <c r="AD2471" s="7" t="str">
        <f aca="false">IF(TRIM(F2471)="",IFERROR(INDEX(Map_Tables!$I$4:$I$37,MATCH(TRIM(E2471),Map_Tables!$G$4:$G$37,0)),""),IFERROR(INDEX(Map_Tables!$B$4:$B$18,MATCH(TRIM(F2471),Map_Tables!$A$4:$A$18,0)),"CHECK"))</f>
        <v>Hyderabad</v>
      </c>
      <c r="AE2471" s="7" t="str">
        <f aca="false">IF(TRIM(E2471)="","",IFERROR(INDEX(Map_Tables!$H$4:$H$37,MATCH(TRIM(E2471),Map_Tables!$G$4:$G$37,0)),"CHECK"))</f>
        <v>Hyderabad Dum Biryani</v>
      </c>
      <c r="AF2471" s="7" t="str">
        <f aca="false">IF(TRIM(K2471)="","Unknown",IFERROR(INDEX(Map_Tables!$E$4:$E$15,MATCH(TRIM(K2471),Map_Tables!$D$4:$D$15,0)),"CHECK"))</f>
        <v>UPI</v>
      </c>
      <c r="AG2471" s="7" t="str">
        <f aca="false">IF(LEFT(LOWER(TRIM(L2471)),6)="cancel","Cancelled","Delivered")</f>
        <v>Delivered</v>
      </c>
      <c r="AH2471" s="10" t="n">
        <f aca="false">IF(ISNUMBER(SEARCH("/",B2471)),DATE(VALUE(RIGHT(B2471,4)),VALUE(MID(B2471,4,2)),VALUE(LEFT(B2471,2))),IF(MID(B2471,5,1)="-",DATE(VALUE(LEFT(B2471,4)),VALUE(MID(B2471,6,2)),VALUE(RIGHT(B2471,2))),DATE(VALUE(RIGHT(B2471,4)),MATCH(MID(B2471,4,3),{"Jan","Feb","Mar","Apr","May","Jun","Jul","Aug","Sep","Oct","Nov","Dec"},0),VALUE(LEFT(B2471,2)))))</f>
        <v>46020</v>
      </c>
    </row>
    <row r="2472" customFormat="false" ht="15" hidden="false" customHeight="false" outlineLevel="0" collapsed="false">
      <c r="A2472" s="7" t="s">
        <v>5419</v>
      </c>
      <c r="B2472" s="7" t="s">
        <v>1657</v>
      </c>
      <c r="C2472" s="7" t="s">
        <v>1501</v>
      </c>
      <c r="D2472" s="7" t="s">
        <v>1968</v>
      </c>
      <c r="E2472" s="7" t="s">
        <v>138</v>
      </c>
      <c r="F2472" s="7" t="s">
        <v>110</v>
      </c>
      <c r="G2472" s="7" t="s">
        <v>139</v>
      </c>
      <c r="H2472" s="7" t="n">
        <v>2</v>
      </c>
      <c r="I2472" s="7" t="n">
        <v>195</v>
      </c>
      <c r="J2472" s="7" t="n">
        <v>100</v>
      </c>
      <c r="K2472" s="7" t="s">
        <v>112</v>
      </c>
      <c r="L2472" s="7" t="s">
        <v>194</v>
      </c>
      <c r="M2472" s="7" t="n">
        <v>40</v>
      </c>
      <c r="N2472" s="7" t="n">
        <v>5</v>
      </c>
      <c r="O2472" s="7" t="str">
        <f aca="false">A2472&amp;"|"&amp;B2472&amp;"|"&amp;C2472&amp;"|"&amp;D2472&amp;"|"&amp;E2472&amp;"|"&amp;F2472&amp;"|"&amp;G2472&amp;"|"&amp;H2472&amp;"|"&amp;I2472&amp;"|"&amp;J2472&amp;"|"&amp;K2472&amp;"|"&amp;L2472&amp;"|"&amp;M2472&amp;"|"&amp;N2472</f>
        <v>ORD11868|2025-08-31|20:40|C1299|Burger Barn|Delhi|Burgers|2|195|100|Cash on Delivery|Delivered|40|5</v>
      </c>
      <c r="P2472" s="7" t="str">
        <f aca="false">IF(COUNTIF($O$2:O2472,O2472)&gt;1,"DUP","OK")</f>
        <v>OK</v>
      </c>
      <c r="Q2472" s="7" t="n">
        <f aca="false">COUNTBLANK(A2472:N2472)</f>
        <v>0</v>
      </c>
      <c r="R2472" s="7" t="n">
        <f aca="false">IF(A2472="",0,COUNTIFS($A$2:$A$3058,A2472,$P$2:$P$3058,"OK"))</f>
        <v>1</v>
      </c>
      <c r="S2472" s="7" t="str">
        <f aca="false">IF(OR(A2472="",P2472="DUP",R2472&lt;2),"",IF(Q2472=_xlfn.MINIFS($Q$2:$Q$3058,$A$2:$A$3058,A2472,$P$2:$P$3058,"OK"),"KEEP","DROP"))</f>
        <v/>
      </c>
      <c r="T2472" s="9" t="n">
        <f aca="false">IF(A2472="",1,0)</f>
        <v>0</v>
      </c>
      <c r="U2472" s="9" t="n">
        <f aca="false">IF(D2472="",1,0)</f>
        <v>0</v>
      </c>
      <c r="V2472" s="9" t="n">
        <f aca="false">IF(E2472="",1,0)</f>
        <v>0</v>
      </c>
      <c r="W2472" s="9" t="n">
        <f aca="false">IF(OR(H2472&lt;1,H2472&gt;10),1,0)</f>
        <v>0</v>
      </c>
      <c r="X2472" s="9" t="n">
        <f aca="false">IF(OR(I2472&lt;=0,I2472&gt;1500),1,0)</f>
        <v>0</v>
      </c>
      <c r="Y2472" s="9" t="n">
        <f aca="false">IF(J2472&gt;H2472*I2472,1,0)</f>
        <v>0</v>
      </c>
      <c r="Z2472" s="9" t="n">
        <f aca="false">IF(AND(N2472&lt;&gt;"",OR(N2472&lt;1,N2472&gt;5)),1,0)</f>
        <v>0</v>
      </c>
      <c r="AA2472" s="9" t="n">
        <f aca="false">IF(AND(M2472&lt;&gt;"",OR(M2472&lt;5,M2472&gt;180)),1,0)</f>
        <v>0</v>
      </c>
      <c r="AB2472" s="7" t="str">
        <f aca="false">IF(P2472="DUP","Exact duplicate row",IF(T2472=1,"Missing Order ID",IF(S2472="DROP","Duplicate Order ID (less complete row)",IF(U2472=1,"Missing Customer ID",IF(V2472=1,"Missing Restaurant name",IF(W2472=1,"Invalid/outlier quantity",IF(X2472=1,"Invalid/outlier unit price",IF(Y2472=1,"Discount greater than order value",""))))))))</f>
        <v/>
      </c>
      <c r="AC2472" s="7" t="str">
        <f aca="false">IF(AB2472="","KEEP","DROP")</f>
        <v>KEEP</v>
      </c>
      <c r="AD2472" s="7" t="str">
        <f aca="false">IF(TRIM(F2472)="",IFERROR(INDEX(Map_Tables!$I$4:$I$37,MATCH(TRIM(E2472),Map_Tables!$G$4:$G$37,0)),""),IFERROR(INDEX(Map_Tables!$B$4:$B$18,MATCH(TRIM(F2472),Map_Tables!$A$4:$A$18,0)),"CHECK"))</f>
        <v>Delhi</v>
      </c>
      <c r="AE2472" s="7" t="str">
        <f aca="false">IF(TRIM(E2472)="","",IFERROR(INDEX(Map_Tables!$H$4:$H$37,MATCH(TRIM(E2472),Map_Tables!$G$4:$G$37,0)),"CHECK"))</f>
        <v>Burger Barn</v>
      </c>
      <c r="AF2472" s="7" t="str">
        <f aca="false">IF(TRIM(K2472)="","Unknown",IFERROR(INDEX(Map_Tables!$E$4:$E$15,MATCH(TRIM(K2472),Map_Tables!$D$4:$D$15,0)),"CHECK"))</f>
        <v>Cash on Delivery</v>
      </c>
      <c r="AG2472" s="7" t="str">
        <f aca="false">IF(LEFT(LOWER(TRIM(L2472)),6)="cancel","Cancelled","Delivered")</f>
        <v>Delivered</v>
      </c>
      <c r="AH2472" s="10" t="n">
        <f aca="false">IF(ISNUMBER(SEARCH("/",B2472)),DATE(VALUE(RIGHT(B2472,4)),VALUE(MID(B2472,4,2)),VALUE(LEFT(B2472,2))),IF(MID(B2472,5,1)="-",DATE(VALUE(LEFT(B2472,4)),VALUE(MID(B2472,6,2)),VALUE(RIGHT(B2472,2))),DATE(VALUE(RIGHT(B2472,4)),MATCH(MID(B2472,4,3),{"Jan","Feb","Mar","Apr","May","Jun","Jul","Aug","Sep","Oct","Nov","Dec"},0),VALUE(LEFT(B2472,2)))))</f>
        <v>45900</v>
      </c>
    </row>
    <row r="2473" customFormat="false" ht="15" hidden="false" customHeight="false" outlineLevel="0" collapsed="false">
      <c r="A2473" s="7" t="s">
        <v>5420</v>
      </c>
      <c r="B2473" s="7" t="s">
        <v>1223</v>
      </c>
      <c r="C2473" s="7" t="s">
        <v>5421</v>
      </c>
      <c r="D2473" s="7" t="s">
        <v>569</v>
      </c>
      <c r="E2473" s="7" t="s">
        <v>158</v>
      </c>
      <c r="F2473" s="7" t="s">
        <v>136</v>
      </c>
      <c r="G2473" s="7" t="s">
        <v>139</v>
      </c>
      <c r="H2473" s="7" t="n">
        <v>1</v>
      </c>
      <c r="I2473" s="7" t="n">
        <v>265</v>
      </c>
      <c r="J2473" s="7" t="n">
        <v>106</v>
      </c>
      <c r="K2473" s="7" t="s">
        <v>88</v>
      </c>
      <c r="L2473" s="7" t="s">
        <v>194</v>
      </c>
      <c r="M2473" s="7" t="n">
        <v>18</v>
      </c>
      <c r="N2473" s="7" t="n">
        <v>5</v>
      </c>
      <c r="O2473" s="7" t="str">
        <f aca="false">A2473&amp;"|"&amp;B2473&amp;"|"&amp;C2473&amp;"|"&amp;D2473&amp;"|"&amp;E2473&amp;"|"&amp;F2473&amp;"|"&amp;G2473&amp;"|"&amp;H2473&amp;"|"&amp;I2473&amp;"|"&amp;J2473&amp;"|"&amp;K2473&amp;"|"&amp;L2473&amp;"|"&amp;M2473&amp;"|"&amp;N2473</f>
        <v>ORD11161|2025-05-28|10:52|C0668|Pune Burger Hub|Pune|Burgers|1|265|106|UPI|Delivered|18|5</v>
      </c>
      <c r="P2473" s="7" t="str">
        <f aca="false">IF(COUNTIF($O$2:O2473,O2473)&gt;1,"DUP","OK")</f>
        <v>OK</v>
      </c>
      <c r="Q2473" s="7" t="n">
        <f aca="false">COUNTBLANK(A2473:N2473)</f>
        <v>0</v>
      </c>
      <c r="R2473" s="7" t="n">
        <f aca="false">IF(A2473="",0,COUNTIFS($A$2:$A$3058,A2473,$P$2:$P$3058,"OK"))</f>
        <v>1</v>
      </c>
      <c r="S2473" s="7" t="str">
        <f aca="false">IF(OR(A2473="",P2473="DUP",R2473&lt;2),"",IF(Q2473=_xlfn.MINIFS($Q$2:$Q$3058,$A$2:$A$3058,A2473,$P$2:$P$3058,"OK"),"KEEP","DROP"))</f>
        <v/>
      </c>
      <c r="T2473" s="9" t="n">
        <f aca="false">IF(A2473="",1,0)</f>
        <v>0</v>
      </c>
      <c r="U2473" s="9" t="n">
        <f aca="false">IF(D2473="",1,0)</f>
        <v>0</v>
      </c>
      <c r="V2473" s="9" t="n">
        <f aca="false">IF(E2473="",1,0)</f>
        <v>0</v>
      </c>
      <c r="W2473" s="9" t="n">
        <f aca="false">IF(OR(H2473&lt;1,H2473&gt;10),1,0)</f>
        <v>0</v>
      </c>
      <c r="X2473" s="9" t="n">
        <f aca="false">IF(OR(I2473&lt;=0,I2473&gt;1500),1,0)</f>
        <v>0</v>
      </c>
      <c r="Y2473" s="9" t="n">
        <f aca="false">IF(J2473&gt;H2473*I2473,1,0)</f>
        <v>0</v>
      </c>
      <c r="Z2473" s="9" t="n">
        <f aca="false">IF(AND(N2473&lt;&gt;"",OR(N2473&lt;1,N2473&gt;5)),1,0)</f>
        <v>0</v>
      </c>
      <c r="AA2473" s="9" t="n">
        <f aca="false">IF(AND(M2473&lt;&gt;"",OR(M2473&lt;5,M2473&gt;180)),1,0)</f>
        <v>0</v>
      </c>
      <c r="AB2473" s="7" t="str">
        <f aca="false">IF(P2473="DUP","Exact duplicate row",IF(T2473=1,"Missing Order ID",IF(S2473="DROP","Duplicate Order ID (less complete row)",IF(U2473=1,"Missing Customer ID",IF(V2473=1,"Missing Restaurant name",IF(W2473=1,"Invalid/outlier quantity",IF(X2473=1,"Invalid/outlier unit price",IF(Y2473=1,"Discount greater than order value",""))))))))</f>
        <v/>
      </c>
      <c r="AC2473" s="7" t="str">
        <f aca="false">IF(AB2473="","KEEP","DROP")</f>
        <v>KEEP</v>
      </c>
      <c r="AD2473" s="7" t="str">
        <f aca="false">IF(TRIM(F2473)="",IFERROR(INDEX(Map_Tables!$I$4:$I$37,MATCH(TRIM(E2473),Map_Tables!$G$4:$G$37,0)),""),IFERROR(INDEX(Map_Tables!$B$4:$B$18,MATCH(TRIM(F2473),Map_Tables!$A$4:$A$18,0)),"CHECK"))</f>
        <v>Pune</v>
      </c>
      <c r="AE2473" s="7" t="str">
        <f aca="false">IF(TRIM(E2473)="","",IFERROR(INDEX(Map_Tables!$H$4:$H$37,MATCH(TRIM(E2473),Map_Tables!$G$4:$G$37,0)),"CHECK"))</f>
        <v>Pune Burger Hub</v>
      </c>
      <c r="AF2473" s="7" t="str">
        <f aca="false">IF(TRIM(K2473)="","Unknown",IFERROR(INDEX(Map_Tables!$E$4:$E$15,MATCH(TRIM(K2473),Map_Tables!$D$4:$D$15,0)),"CHECK"))</f>
        <v>UPI</v>
      </c>
      <c r="AG2473" s="7" t="str">
        <f aca="false">IF(LEFT(LOWER(TRIM(L2473)),6)="cancel","Cancelled","Delivered")</f>
        <v>Delivered</v>
      </c>
      <c r="AH2473" s="10" t="n">
        <f aca="false">IF(ISNUMBER(SEARCH("/",B2473)),DATE(VALUE(RIGHT(B2473,4)),VALUE(MID(B2473,4,2)),VALUE(LEFT(B2473,2))),IF(MID(B2473,5,1)="-",DATE(VALUE(LEFT(B2473,4)),VALUE(MID(B2473,6,2)),VALUE(RIGHT(B2473,2))),DATE(VALUE(RIGHT(B2473,4)),MATCH(MID(B2473,4,3),{"Jan","Feb","Mar","Apr","May","Jun","Jul","Aug","Sep","Oct","Nov","Dec"},0),VALUE(LEFT(B2473,2)))))</f>
        <v>45805</v>
      </c>
    </row>
    <row r="2474" customFormat="false" ht="15" hidden="false" customHeight="false" outlineLevel="0" collapsed="false">
      <c r="A2474" s="7" t="s">
        <v>5422</v>
      </c>
      <c r="B2474" s="7" t="s">
        <v>1663</v>
      </c>
      <c r="C2474" s="7" t="s">
        <v>1626</v>
      </c>
      <c r="D2474" s="7" t="s">
        <v>5423</v>
      </c>
      <c r="E2474" s="7" t="s">
        <v>163</v>
      </c>
      <c r="F2474" s="7" t="s">
        <v>141</v>
      </c>
      <c r="G2474" s="7" t="s">
        <v>99</v>
      </c>
      <c r="H2474" s="7" t="n">
        <v>1</v>
      </c>
      <c r="I2474" s="7" t="n">
        <v>245</v>
      </c>
      <c r="J2474" s="7" t="n">
        <v>0</v>
      </c>
      <c r="K2474" s="7" t="s">
        <v>229</v>
      </c>
      <c r="L2474" s="7" t="s">
        <v>194</v>
      </c>
      <c r="M2474" s="7" t="n">
        <v>38</v>
      </c>
      <c r="N2474" s="7" t="n">
        <v>2</v>
      </c>
      <c r="O2474" s="7" t="str">
        <f aca="false">A2474&amp;"|"&amp;B2474&amp;"|"&amp;C2474&amp;"|"&amp;D2474&amp;"|"&amp;E2474&amp;"|"&amp;F2474&amp;"|"&amp;G2474&amp;"|"&amp;H2474&amp;"|"&amp;I2474&amp;"|"&amp;J2474&amp;"|"&amp;K2474&amp;"|"&amp;L2474&amp;"|"&amp;M2474&amp;"|"&amp;N2474</f>
        <v>ORD11077|2025-05-17|11:40|C0348|Biryani Baadshah|Kolkata|Biryani|1|245|0|Upi|Delivered|38|2</v>
      </c>
      <c r="P2474" s="7" t="str">
        <f aca="false">IF(COUNTIF($O$2:O2474,O2474)&gt;1,"DUP","OK")</f>
        <v>OK</v>
      </c>
      <c r="Q2474" s="7" t="n">
        <f aca="false">COUNTBLANK(A2474:N2474)</f>
        <v>0</v>
      </c>
      <c r="R2474" s="7" t="n">
        <f aca="false">IF(A2474="",0,COUNTIFS($A$2:$A$3058,A2474,$P$2:$P$3058,"OK"))</f>
        <v>1</v>
      </c>
      <c r="S2474" s="7" t="str">
        <f aca="false">IF(OR(A2474="",P2474="DUP",R2474&lt;2),"",IF(Q2474=_xlfn.MINIFS($Q$2:$Q$3058,$A$2:$A$3058,A2474,$P$2:$P$3058,"OK"),"KEEP","DROP"))</f>
        <v/>
      </c>
      <c r="T2474" s="9" t="n">
        <f aca="false">IF(A2474="",1,0)</f>
        <v>0</v>
      </c>
      <c r="U2474" s="9" t="n">
        <f aca="false">IF(D2474="",1,0)</f>
        <v>0</v>
      </c>
      <c r="V2474" s="9" t="n">
        <f aca="false">IF(E2474="",1,0)</f>
        <v>0</v>
      </c>
      <c r="W2474" s="9" t="n">
        <f aca="false">IF(OR(H2474&lt;1,H2474&gt;10),1,0)</f>
        <v>0</v>
      </c>
      <c r="X2474" s="9" t="n">
        <f aca="false">IF(OR(I2474&lt;=0,I2474&gt;1500),1,0)</f>
        <v>0</v>
      </c>
      <c r="Y2474" s="9" t="n">
        <f aca="false">IF(J2474&gt;H2474*I2474,1,0)</f>
        <v>0</v>
      </c>
      <c r="Z2474" s="9" t="n">
        <f aca="false">IF(AND(N2474&lt;&gt;"",OR(N2474&lt;1,N2474&gt;5)),1,0)</f>
        <v>0</v>
      </c>
      <c r="AA2474" s="9" t="n">
        <f aca="false">IF(AND(M2474&lt;&gt;"",OR(M2474&lt;5,M2474&gt;180)),1,0)</f>
        <v>0</v>
      </c>
      <c r="AB2474" s="7" t="str">
        <f aca="false">IF(P2474="DUP","Exact duplicate row",IF(T2474=1,"Missing Order ID",IF(S2474="DROP","Duplicate Order ID (less complete row)",IF(U2474=1,"Missing Customer ID",IF(V2474=1,"Missing Restaurant name",IF(W2474=1,"Invalid/outlier quantity",IF(X2474=1,"Invalid/outlier unit price",IF(Y2474=1,"Discount greater than order value",""))))))))</f>
        <v/>
      </c>
      <c r="AC2474" s="7" t="str">
        <f aca="false">IF(AB2474="","KEEP","DROP")</f>
        <v>KEEP</v>
      </c>
      <c r="AD2474" s="7" t="str">
        <f aca="false">IF(TRIM(F2474)="",IFERROR(INDEX(Map_Tables!$I$4:$I$37,MATCH(TRIM(E2474),Map_Tables!$G$4:$G$37,0)),""),IFERROR(INDEX(Map_Tables!$B$4:$B$18,MATCH(TRIM(F2474),Map_Tables!$A$4:$A$18,0)),"CHECK"))</f>
        <v>Kolkata</v>
      </c>
      <c r="AE2474" s="7" t="str">
        <f aca="false">IF(TRIM(E2474)="","",IFERROR(INDEX(Map_Tables!$H$4:$H$37,MATCH(TRIM(E2474),Map_Tables!$G$4:$G$37,0)),"CHECK"))</f>
        <v>Biryani Baadshah</v>
      </c>
      <c r="AF2474" s="7" t="str">
        <f aca="false">IF(TRIM(K2474)="","Unknown",IFERROR(INDEX(Map_Tables!$E$4:$E$15,MATCH(TRIM(K2474),Map_Tables!$D$4:$D$15,0)),"CHECK"))</f>
        <v>UPI</v>
      </c>
      <c r="AG2474" s="7" t="str">
        <f aca="false">IF(LEFT(LOWER(TRIM(L2474)),6)="cancel","Cancelled","Delivered")</f>
        <v>Delivered</v>
      </c>
      <c r="AH2474" s="10" t="n">
        <f aca="false">IF(ISNUMBER(SEARCH("/",B2474)),DATE(VALUE(RIGHT(B2474,4)),VALUE(MID(B2474,4,2)),VALUE(LEFT(B2474,2))),IF(MID(B2474,5,1)="-",DATE(VALUE(LEFT(B2474,4)),VALUE(MID(B2474,6,2)),VALUE(RIGHT(B2474,2))),DATE(VALUE(RIGHT(B2474,4)),MATCH(MID(B2474,4,3),{"Jan","Feb","Mar","Apr","May","Jun","Jul","Aug","Sep","Oct","Nov","Dec"},0),VALUE(LEFT(B2474,2)))))</f>
        <v>45794</v>
      </c>
    </row>
    <row r="2475" customFormat="false" ht="15" hidden="false" customHeight="false" outlineLevel="0" collapsed="false">
      <c r="A2475" s="7" t="s">
        <v>5424</v>
      </c>
      <c r="B2475" s="7" t="s">
        <v>838</v>
      </c>
      <c r="C2475" s="7" t="s">
        <v>5101</v>
      </c>
      <c r="D2475" s="7" t="s">
        <v>1299</v>
      </c>
      <c r="E2475" s="7" t="s">
        <v>134</v>
      </c>
      <c r="F2475" s="7" t="s">
        <v>521</v>
      </c>
      <c r="G2475" s="7" t="s">
        <v>117</v>
      </c>
      <c r="H2475" s="7" t="n">
        <v>3</v>
      </c>
      <c r="I2475" s="7" t="n">
        <v>100</v>
      </c>
      <c r="J2475" s="7" t="n">
        <v>0</v>
      </c>
      <c r="K2475" s="7" t="s">
        <v>88</v>
      </c>
      <c r="L2475" s="7" t="s">
        <v>194</v>
      </c>
      <c r="M2475" s="7" t="n">
        <v>33</v>
      </c>
      <c r="N2475" s="7" t="n">
        <v>5</v>
      </c>
      <c r="O2475" s="7" t="str">
        <f aca="false">A2475&amp;"|"&amp;B2475&amp;"|"&amp;C2475&amp;"|"&amp;D2475&amp;"|"&amp;E2475&amp;"|"&amp;F2475&amp;"|"&amp;G2475&amp;"|"&amp;H2475&amp;"|"&amp;I2475&amp;"|"&amp;J2475&amp;"|"&amp;K2475&amp;"|"&amp;L2475&amp;"|"&amp;M2475&amp;"|"&amp;N2475</f>
        <v>ORD10438|2025-02-28|17:53|C0070|Chaat Corner|DELHI|Street Food|3|100|0|UPI|Delivered|33|5</v>
      </c>
      <c r="P2475" s="7" t="str">
        <f aca="false">IF(COUNTIF($O$2:O2475,O2475)&gt;1,"DUP","OK")</f>
        <v>OK</v>
      </c>
      <c r="Q2475" s="7" t="n">
        <f aca="false">COUNTBLANK(A2475:N2475)</f>
        <v>0</v>
      </c>
      <c r="R2475" s="7" t="n">
        <f aca="false">IF(A2475="",0,COUNTIFS($A$2:$A$3058,A2475,$P$2:$P$3058,"OK"))</f>
        <v>1</v>
      </c>
      <c r="S2475" s="7" t="str">
        <f aca="false">IF(OR(A2475="",P2475="DUP",R2475&lt;2),"",IF(Q2475=_xlfn.MINIFS($Q$2:$Q$3058,$A$2:$A$3058,A2475,$P$2:$P$3058,"OK"),"KEEP","DROP"))</f>
        <v/>
      </c>
      <c r="T2475" s="9" t="n">
        <f aca="false">IF(A2475="",1,0)</f>
        <v>0</v>
      </c>
      <c r="U2475" s="9" t="n">
        <f aca="false">IF(D2475="",1,0)</f>
        <v>0</v>
      </c>
      <c r="V2475" s="9" t="n">
        <f aca="false">IF(E2475="",1,0)</f>
        <v>0</v>
      </c>
      <c r="W2475" s="9" t="n">
        <f aca="false">IF(OR(H2475&lt;1,H2475&gt;10),1,0)</f>
        <v>0</v>
      </c>
      <c r="X2475" s="9" t="n">
        <f aca="false">IF(OR(I2475&lt;=0,I2475&gt;1500),1,0)</f>
        <v>0</v>
      </c>
      <c r="Y2475" s="9" t="n">
        <f aca="false">IF(J2475&gt;H2475*I2475,1,0)</f>
        <v>0</v>
      </c>
      <c r="Z2475" s="9" t="n">
        <f aca="false">IF(AND(N2475&lt;&gt;"",OR(N2475&lt;1,N2475&gt;5)),1,0)</f>
        <v>0</v>
      </c>
      <c r="AA2475" s="9" t="n">
        <f aca="false">IF(AND(M2475&lt;&gt;"",OR(M2475&lt;5,M2475&gt;180)),1,0)</f>
        <v>0</v>
      </c>
      <c r="AB2475" s="7" t="str">
        <f aca="false">IF(P2475="DUP","Exact duplicate row",IF(T2475=1,"Missing Order ID",IF(S2475="DROP","Duplicate Order ID (less complete row)",IF(U2475=1,"Missing Customer ID",IF(V2475=1,"Missing Restaurant name",IF(W2475=1,"Invalid/outlier quantity",IF(X2475=1,"Invalid/outlier unit price",IF(Y2475=1,"Discount greater than order value",""))))))))</f>
        <v/>
      </c>
      <c r="AC2475" s="7" t="str">
        <f aca="false">IF(AB2475="","KEEP","DROP")</f>
        <v>KEEP</v>
      </c>
      <c r="AD2475" s="7" t="str">
        <f aca="false">IF(TRIM(F2475)="",IFERROR(INDEX(Map_Tables!$I$4:$I$37,MATCH(TRIM(E2475),Map_Tables!$G$4:$G$37,0)),""),IFERROR(INDEX(Map_Tables!$B$4:$B$18,MATCH(TRIM(F2475),Map_Tables!$A$4:$A$18,0)),"CHECK"))</f>
        <v>Delhi</v>
      </c>
      <c r="AE2475" s="7" t="str">
        <f aca="false">IF(TRIM(E2475)="","",IFERROR(INDEX(Map_Tables!$H$4:$H$37,MATCH(TRIM(E2475),Map_Tables!$G$4:$G$37,0)),"CHECK"))</f>
        <v>Chaat Corner</v>
      </c>
      <c r="AF2475" s="7" t="str">
        <f aca="false">IF(TRIM(K2475)="","Unknown",IFERROR(INDEX(Map_Tables!$E$4:$E$15,MATCH(TRIM(K2475),Map_Tables!$D$4:$D$15,0)),"CHECK"))</f>
        <v>UPI</v>
      </c>
      <c r="AG2475" s="7" t="str">
        <f aca="false">IF(LEFT(LOWER(TRIM(L2475)),6)="cancel","Cancelled","Delivered")</f>
        <v>Delivered</v>
      </c>
      <c r="AH2475" s="10" t="n">
        <f aca="false">IF(ISNUMBER(SEARCH("/",B2475)),DATE(VALUE(RIGHT(B2475,4)),VALUE(MID(B2475,4,2)),VALUE(LEFT(B2475,2))),IF(MID(B2475,5,1)="-",DATE(VALUE(LEFT(B2475,4)),VALUE(MID(B2475,6,2)),VALUE(RIGHT(B2475,2))),DATE(VALUE(RIGHT(B2475,4)),MATCH(MID(B2475,4,3),{"Jan","Feb","Mar","Apr","May","Jun","Jul","Aug","Sep","Oct","Nov","Dec"},0),VALUE(LEFT(B2475,2)))))</f>
        <v>45716</v>
      </c>
    </row>
    <row r="2476" customFormat="false" ht="15" hidden="false" customHeight="false" outlineLevel="0" collapsed="false">
      <c r="A2476" s="7" t="s">
        <v>5425</v>
      </c>
      <c r="B2476" s="7" t="s">
        <v>275</v>
      </c>
      <c r="C2476" s="7" t="s">
        <v>896</v>
      </c>
      <c r="D2476" s="7" t="s">
        <v>5426</v>
      </c>
      <c r="E2476" s="7" t="s">
        <v>164</v>
      </c>
      <c r="F2476" s="7" t="s">
        <v>141</v>
      </c>
      <c r="G2476" s="7" t="s">
        <v>150</v>
      </c>
      <c r="H2476" s="7" t="n">
        <v>3</v>
      </c>
      <c r="I2476" s="7" t="n">
        <v>120</v>
      </c>
      <c r="J2476" s="7" t="n">
        <v>0</v>
      </c>
      <c r="K2476" s="7" t="s">
        <v>88</v>
      </c>
      <c r="L2476" s="7" t="s">
        <v>194</v>
      </c>
      <c r="M2476" s="7" t="n">
        <v>40</v>
      </c>
      <c r="N2476" s="7" t="n">
        <v>3</v>
      </c>
      <c r="O2476" s="7" t="str">
        <f aca="false">A2476&amp;"|"&amp;B2476&amp;"|"&amp;C2476&amp;"|"&amp;D2476&amp;"|"&amp;E2476&amp;"|"&amp;F2476&amp;"|"&amp;G2476&amp;"|"&amp;H2476&amp;"|"&amp;I2476&amp;"|"&amp;J2476&amp;"|"&amp;K2476&amp;"|"&amp;L2476&amp;"|"&amp;M2476&amp;"|"&amp;N2476</f>
        <v>ORD10120|2025-01-16|12:15|C0364|Mishti Mandir|Kolkata|Desserts|3|120|0|UPI|Delivered|40|3</v>
      </c>
      <c r="P2476" s="7" t="str">
        <f aca="false">IF(COUNTIF($O$2:O2476,O2476)&gt;1,"DUP","OK")</f>
        <v>OK</v>
      </c>
      <c r="Q2476" s="7" t="n">
        <f aca="false">COUNTBLANK(A2476:N2476)</f>
        <v>0</v>
      </c>
      <c r="R2476" s="7" t="n">
        <f aca="false">IF(A2476="",0,COUNTIFS($A$2:$A$3058,A2476,$P$2:$P$3058,"OK"))</f>
        <v>1</v>
      </c>
      <c r="S2476" s="7" t="str">
        <f aca="false">IF(OR(A2476="",P2476="DUP",R2476&lt;2),"",IF(Q2476=_xlfn.MINIFS($Q$2:$Q$3058,$A$2:$A$3058,A2476,$P$2:$P$3058,"OK"),"KEEP","DROP"))</f>
        <v/>
      </c>
      <c r="T2476" s="9" t="n">
        <f aca="false">IF(A2476="",1,0)</f>
        <v>0</v>
      </c>
      <c r="U2476" s="9" t="n">
        <f aca="false">IF(D2476="",1,0)</f>
        <v>0</v>
      </c>
      <c r="V2476" s="9" t="n">
        <f aca="false">IF(E2476="",1,0)</f>
        <v>0</v>
      </c>
      <c r="W2476" s="9" t="n">
        <f aca="false">IF(OR(H2476&lt;1,H2476&gt;10),1,0)</f>
        <v>0</v>
      </c>
      <c r="X2476" s="9" t="n">
        <f aca="false">IF(OR(I2476&lt;=0,I2476&gt;1500),1,0)</f>
        <v>0</v>
      </c>
      <c r="Y2476" s="9" t="n">
        <f aca="false">IF(J2476&gt;H2476*I2476,1,0)</f>
        <v>0</v>
      </c>
      <c r="Z2476" s="9" t="n">
        <f aca="false">IF(AND(N2476&lt;&gt;"",OR(N2476&lt;1,N2476&gt;5)),1,0)</f>
        <v>0</v>
      </c>
      <c r="AA2476" s="9" t="n">
        <f aca="false">IF(AND(M2476&lt;&gt;"",OR(M2476&lt;5,M2476&gt;180)),1,0)</f>
        <v>0</v>
      </c>
      <c r="AB2476" s="7" t="str">
        <f aca="false">IF(P2476="DUP","Exact duplicate row",IF(T2476=1,"Missing Order ID",IF(S2476="DROP","Duplicate Order ID (less complete row)",IF(U2476=1,"Missing Customer ID",IF(V2476=1,"Missing Restaurant name",IF(W2476=1,"Invalid/outlier quantity",IF(X2476=1,"Invalid/outlier unit price",IF(Y2476=1,"Discount greater than order value",""))))))))</f>
        <v/>
      </c>
      <c r="AC2476" s="7" t="str">
        <f aca="false">IF(AB2476="","KEEP","DROP")</f>
        <v>KEEP</v>
      </c>
      <c r="AD2476" s="7" t="str">
        <f aca="false">IF(TRIM(F2476)="",IFERROR(INDEX(Map_Tables!$I$4:$I$37,MATCH(TRIM(E2476),Map_Tables!$G$4:$G$37,0)),""),IFERROR(INDEX(Map_Tables!$B$4:$B$18,MATCH(TRIM(F2476),Map_Tables!$A$4:$A$18,0)),"CHECK"))</f>
        <v>Kolkata</v>
      </c>
      <c r="AE2476" s="7" t="str">
        <f aca="false">IF(TRIM(E2476)="","",IFERROR(INDEX(Map_Tables!$H$4:$H$37,MATCH(TRIM(E2476),Map_Tables!$G$4:$G$37,0)),"CHECK"))</f>
        <v>Mishti Mandir</v>
      </c>
      <c r="AF2476" s="7" t="str">
        <f aca="false">IF(TRIM(K2476)="","Unknown",IFERROR(INDEX(Map_Tables!$E$4:$E$15,MATCH(TRIM(K2476),Map_Tables!$D$4:$D$15,0)),"CHECK"))</f>
        <v>UPI</v>
      </c>
      <c r="AG2476" s="7" t="str">
        <f aca="false">IF(LEFT(LOWER(TRIM(L2476)),6)="cancel","Cancelled","Delivered")</f>
        <v>Delivered</v>
      </c>
      <c r="AH2476" s="10" t="n">
        <f aca="false">IF(ISNUMBER(SEARCH("/",B2476)),DATE(VALUE(RIGHT(B2476,4)),VALUE(MID(B2476,4,2)),VALUE(LEFT(B2476,2))),IF(MID(B2476,5,1)="-",DATE(VALUE(LEFT(B2476,4)),VALUE(MID(B2476,6,2)),VALUE(RIGHT(B2476,2))),DATE(VALUE(RIGHT(B2476,4)),MATCH(MID(B2476,4,3),{"Jan","Feb","Mar","Apr","May","Jun","Jul","Aug","Sep","Oct","Nov","Dec"},0),VALUE(LEFT(B2476,2)))))</f>
        <v>45673</v>
      </c>
    </row>
    <row r="2477" customFormat="false" ht="15" hidden="false" customHeight="false" outlineLevel="0" collapsed="false">
      <c r="A2477" s="7" t="s">
        <v>5427</v>
      </c>
      <c r="B2477" s="7" t="s">
        <v>4130</v>
      </c>
      <c r="C2477" s="7" t="s">
        <v>3862</v>
      </c>
      <c r="D2477" s="7" t="s">
        <v>4166</v>
      </c>
      <c r="E2477" s="7" t="s">
        <v>161</v>
      </c>
      <c r="F2477" s="7" t="s">
        <v>141</v>
      </c>
      <c r="G2477" s="7" t="s">
        <v>117</v>
      </c>
      <c r="H2477" s="7" t="n">
        <v>1</v>
      </c>
      <c r="I2477" s="7" t="n">
        <v>135</v>
      </c>
      <c r="J2477" s="7" t="n">
        <v>0</v>
      </c>
      <c r="K2477" s="7" t="s">
        <v>133</v>
      </c>
      <c r="L2477" s="7" t="s">
        <v>194</v>
      </c>
      <c r="M2477" s="7" t="n">
        <v>46</v>
      </c>
      <c r="N2477" s="7" t="n">
        <v>5</v>
      </c>
      <c r="O2477" s="7" t="str">
        <f aca="false">A2477&amp;"|"&amp;B2477&amp;"|"&amp;C2477&amp;"|"&amp;D2477&amp;"|"&amp;E2477&amp;"|"&amp;F2477&amp;"|"&amp;G2477&amp;"|"&amp;H2477&amp;"|"&amp;I2477&amp;"|"&amp;J2477&amp;"|"&amp;K2477&amp;"|"&amp;L2477&amp;"|"&amp;M2477&amp;"|"&amp;N2477</f>
        <v>ORD12676|2025-11-25|15:25|C1303|Bengal Bites|Kolkata|Street Food|1|135|0|Net Banking|Delivered|46|5</v>
      </c>
      <c r="P2477" s="7" t="str">
        <f aca="false">IF(COUNTIF($O$2:O2477,O2477)&gt;1,"DUP","OK")</f>
        <v>OK</v>
      </c>
      <c r="Q2477" s="7" t="n">
        <f aca="false">COUNTBLANK(A2477:N2477)</f>
        <v>0</v>
      </c>
      <c r="R2477" s="7" t="n">
        <f aca="false">IF(A2477="",0,COUNTIFS($A$2:$A$3058,A2477,$P$2:$P$3058,"OK"))</f>
        <v>1</v>
      </c>
      <c r="S2477" s="7" t="str">
        <f aca="false">IF(OR(A2477="",P2477="DUP",R2477&lt;2),"",IF(Q2477=_xlfn.MINIFS($Q$2:$Q$3058,$A$2:$A$3058,A2477,$P$2:$P$3058,"OK"),"KEEP","DROP"))</f>
        <v/>
      </c>
      <c r="T2477" s="9" t="n">
        <f aca="false">IF(A2477="",1,0)</f>
        <v>0</v>
      </c>
      <c r="U2477" s="9" t="n">
        <f aca="false">IF(D2477="",1,0)</f>
        <v>0</v>
      </c>
      <c r="V2477" s="9" t="n">
        <f aca="false">IF(E2477="",1,0)</f>
        <v>0</v>
      </c>
      <c r="W2477" s="9" t="n">
        <f aca="false">IF(OR(H2477&lt;1,H2477&gt;10),1,0)</f>
        <v>0</v>
      </c>
      <c r="X2477" s="9" t="n">
        <f aca="false">IF(OR(I2477&lt;=0,I2477&gt;1500),1,0)</f>
        <v>0</v>
      </c>
      <c r="Y2477" s="9" t="n">
        <f aca="false">IF(J2477&gt;H2477*I2477,1,0)</f>
        <v>0</v>
      </c>
      <c r="Z2477" s="9" t="n">
        <f aca="false">IF(AND(N2477&lt;&gt;"",OR(N2477&lt;1,N2477&gt;5)),1,0)</f>
        <v>0</v>
      </c>
      <c r="AA2477" s="9" t="n">
        <f aca="false">IF(AND(M2477&lt;&gt;"",OR(M2477&lt;5,M2477&gt;180)),1,0)</f>
        <v>0</v>
      </c>
      <c r="AB2477" s="7" t="str">
        <f aca="false">IF(P2477="DUP","Exact duplicate row",IF(T2477=1,"Missing Order ID",IF(S2477="DROP","Duplicate Order ID (less complete row)",IF(U2477=1,"Missing Customer ID",IF(V2477=1,"Missing Restaurant name",IF(W2477=1,"Invalid/outlier quantity",IF(X2477=1,"Invalid/outlier unit price",IF(Y2477=1,"Discount greater than order value",""))))))))</f>
        <v/>
      </c>
      <c r="AC2477" s="7" t="str">
        <f aca="false">IF(AB2477="","KEEP","DROP")</f>
        <v>KEEP</v>
      </c>
      <c r="AD2477" s="7" t="str">
        <f aca="false">IF(TRIM(F2477)="",IFERROR(INDEX(Map_Tables!$I$4:$I$37,MATCH(TRIM(E2477),Map_Tables!$G$4:$G$37,0)),""),IFERROR(INDEX(Map_Tables!$B$4:$B$18,MATCH(TRIM(F2477),Map_Tables!$A$4:$A$18,0)),"CHECK"))</f>
        <v>Kolkata</v>
      </c>
      <c r="AE2477" s="7" t="str">
        <f aca="false">IF(TRIM(E2477)="","",IFERROR(INDEX(Map_Tables!$H$4:$H$37,MATCH(TRIM(E2477),Map_Tables!$G$4:$G$37,0)),"CHECK"))</f>
        <v>Bengal Bites</v>
      </c>
      <c r="AF2477" s="7" t="str">
        <f aca="false">IF(TRIM(K2477)="","Unknown",IFERROR(INDEX(Map_Tables!$E$4:$E$15,MATCH(TRIM(K2477),Map_Tables!$D$4:$D$15,0)),"CHECK"))</f>
        <v>Net Banking</v>
      </c>
      <c r="AG2477" s="7" t="str">
        <f aca="false">IF(LEFT(LOWER(TRIM(L2477)),6)="cancel","Cancelled","Delivered")</f>
        <v>Delivered</v>
      </c>
      <c r="AH2477" s="10" t="n">
        <f aca="false">IF(ISNUMBER(SEARCH("/",B2477)),DATE(VALUE(RIGHT(B2477,4)),VALUE(MID(B2477,4,2)),VALUE(LEFT(B2477,2))),IF(MID(B2477,5,1)="-",DATE(VALUE(LEFT(B2477,4)),VALUE(MID(B2477,6,2)),VALUE(RIGHT(B2477,2))),DATE(VALUE(RIGHT(B2477,4)),MATCH(MID(B2477,4,3),{"Jan","Feb","Mar","Apr","May","Jun","Jul","Aug","Sep","Oct","Nov","Dec"},0),VALUE(LEFT(B2477,2)))))</f>
        <v>45986</v>
      </c>
    </row>
    <row r="2478" customFormat="false" ht="15" hidden="false" customHeight="false" outlineLevel="0" collapsed="false">
      <c r="A2478" s="7" t="s">
        <v>5428</v>
      </c>
      <c r="B2478" s="7" t="s">
        <v>791</v>
      </c>
      <c r="C2478" s="7" t="s">
        <v>2358</v>
      </c>
      <c r="D2478" s="7" t="s">
        <v>867</v>
      </c>
      <c r="E2478" s="7" t="s">
        <v>130</v>
      </c>
      <c r="F2478" s="7" t="s">
        <v>521</v>
      </c>
      <c r="G2478" s="7" t="s">
        <v>90</v>
      </c>
      <c r="H2478" s="7" t="n">
        <v>3</v>
      </c>
      <c r="I2478" s="7" t="n">
        <v>245</v>
      </c>
      <c r="J2478" s="7" t="n">
        <v>0</v>
      </c>
      <c r="K2478" s="7" t="s">
        <v>133</v>
      </c>
      <c r="L2478" s="7" t="s">
        <v>194</v>
      </c>
      <c r="M2478" s="7" t="n">
        <v>51</v>
      </c>
      <c r="N2478" s="7" t="n">
        <v>2</v>
      </c>
      <c r="O2478" s="7" t="str">
        <f aca="false">A2478&amp;"|"&amp;B2478&amp;"|"&amp;C2478&amp;"|"&amp;D2478&amp;"|"&amp;E2478&amp;"|"&amp;F2478&amp;"|"&amp;G2478&amp;"|"&amp;H2478&amp;"|"&amp;I2478&amp;"|"&amp;J2478&amp;"|"&amp;K2478&amp;"|"&amp;L2478&amp;"|"&amp;M2478&amp;"|"&amp;N2478</f>
        <v>ORD12504|2025-11-10|13:47|C1014|Tandoor Tales|DELHI|North Indian|3|245|0|Net Banking|Delivered|51|2</v>
      </c>
      <c r="P2478" s="7" t="str">
        <f aca="false">IF(COUNTIF($O$2:O2478,O2478)&gt;1,"DUP","OK")</f>
        <v>OK</v>
      </c>
      <c r="Q2478" s="7" t="n">
        <f aca="false">COUNTBLANK(A2478:N2478)</f>
        <v>0</v>
      </c>
      <c r="R2478" s="7" t="n">
        <f aca="false">IF(A2478="",0,COUNTIFS($A$2:$A$3058,A2478,$P$2:$P$3058,"OK"))</f>
        <v>1</v>
      </c>
      <c r="S2478" s="7" t="str">
        <f aca="false">IF(OR(A2478="",P2478="DUP",R2478&lt;2),"",IF(Q2478=_xlfn.MINIFS($Q$2:$Q$3058,$A$2:$A$3058,A2478,$P$2:$P$3058,"OK"),"KEEP","DROP"))</f>
        <v/>
      </c>
      <c r="T2478" s="9" t="n">
        <f aca="false">IF(A2478="",1,0)</f>
        <v>0</v>
      </c>
      <c r="U2478" s="9" t="n">
        <f aca="false">IF(D2478="",1,0)</f>
        <v>0</v>
      </c>
      <c r="V2478" s="9" t="n">
        <f aca="false">IF(E2478="",1,0)</f>
        <v>0</v>
      </c>
      <c r="W2478" s="9" t="n">
        <f aca="false">IF(OR(H2478&lt;1,H2478&gt;10),1,0)</f>
        <v>0</v>
      </c>
      <c r="X2478" s="9" t="n">
        <f aca="false">IF(OR(I2478&lt;=0,I2478&gt;1500),1,0)</f>
        <v>0</v>
      </c>
      <c r="Y2478" s="9" t="n">
        <f aca="false">IF(J2478&gt;H2478*I2478,1,0)</f>
        <v>0</v>
      </c>
      <c r="Z2478" s="9" t="n">
        <f aca="false">IF(AND(N2478&lt;&gt;"",OR(N2478&lt;1,N2478&gt;5)),1,0)</f>
        <v>0</v>
      </c>
      <c r="AA2478" s="9" t="n">
        <f aca="false">IF(AND(M2478&lt;&gt;"",OR(M2478&lt;5,M2478&gt;180)),1,0)</f>
        <v>0</v>
      </c>
      <c r="AB2478" s="7" t="str">
        <f aca="false">IF(P2478="DUP","Exact duplicate row",IF(T2478=1,"Missing Order ID",IF(S2478="DROP","Duplicate Order ID (less complete row)",IF(U2478=1,"Missing Customer ID",IF(V2478=1,"Missing Restaurant name",IF(W2478=1,"Invalid/outlier quantity",IF(X2478=1,"Invalid/outlier unit price",IF(Y2478=1,"Discount greater than order value",""))))))))</f>
        <v/>
      </c>
      <c r="AC2478" s="7" t="str">
        <f aca="false">IF(AB2478="","KEEP","DROP")</f>
        <v>KEEP</v>
      </c>
      <c r="AD2478" s="7" t="str">
        <f aca="false">IF(TRIM(F2478)="",IFERROR(INDEX(Map_Tables!$I$4:$I$37,MATCH(TRIM(E2478),Map_Tables!$G$4:$G$37,0)),""),IFERROR(INDEX(Map_Tables!$B$4:$B$18,MATCH(TRIM(F2478),Map_Tables!$A$4:$A$18,0)),"CHECK"))</f>
        <v>Delhi</v>
      </c>
      <c r="AE2478" s="7" t="str">
        <f aca="false">IF(TRIM(E2478)="","",IFERROR(INDEX(Map_Tables!$H$4:$H$37,MATCH(TRIM(E2478),Map_Tables!$G$4:$G$37,0)),"CHECK"))</f>
        <v>Tandoor Tales</v>
      </c>
      <c r="AF2478" s="7" t="str">
        <f aca="false">IF(TRIM(K2478)="","Unknown",IFERROR(INDEX(Map_Tables!$E$4:$E$15,MATCH(TRIM(K2478),Map_Tables!$D$4:$D$15,0)),"CHECK"))</f>
        <v>Net Banking</v>
      </c>
      <c r="AG2478" s="7" t="str">
        <f aca="false">IF(LEFT(LOWER(TRIM(L2478)),6)="cancel","Cancelled","Delivered")</f>
        <v>Delivered</v>
      </c>
      <c r="AH2478" s="10" t="n">
        <f aca="false">IF(ISNUMBER(SEARCH("/",B2478)),DATE(VALUE(RIGHT(B2478,4)),VALUE(MID(B2478,4,2)),VALUE(LEFT(B2478,2))),IF(MID(B2478,5,1)="-",DATE(VALUE(LEFT(B2478,4)),VALUE(MID(B2478,6,2)),VALUE(RIGHT(B2478,2))),DATE(VALUE(RIGHT(B2478,4)),MATCH(MID(B2478,4,3),{"Jan","Feb","Mar","Apr","May","Jun","Jul","Aug","Sep","Oct","Nov","Dec"},0),VALUE(LEFT(B2478,2)))))</f>
        <v>45971</v>
      </c>
    </row>
    <row r="2479" customFormat="false" ht="15" hidden="false" customHeight="false" outlineLevel="0" collapsed="false">
      <c r="A2479" s="7" t="s">
        <v>5429</v>
      </c>
      <c r="B2479" s="7" t="s">
        <v>2441</v>
      </c>
      <c r="C2479" s="7" t="s">
        <v>2904</v>
      </c>
      <c r="D2479" s="7" t="s">
        <v>3091</v>
      </c>
      <c r="E2479" s="7" t="s">
        <v>2294</v>
      </c>
      <c r="F2479" s="7" t="s">
        <v>110</v>
      </c>
      <c r="G2479" s="7" t="s">
        <v>139</v>
      </c>
      <c r="H2479" s="7" t="n">
        <v>1</v>
      </c>
      <c r="I2479" s="7" t="n">
        <v>195</v>
      </c>
      <c r="J2479" s="7" t="n">
        <v>0</v>
      </c>
      <c r="K2479" s="7" t="s">
        <v>112</v>
      </c>
      <c r="L2479" s="7" t="s">
        <v>194</v>
      </c>
      <c r="M2479" s="7" t="n">
        <v>39</v>
      </c>
      <c r="N2479" s="7" t="n">
        <v>4</v>
      </c>
      <c r="O2479" s="7" t="str">
        <f aca="false">A2479&amp;"|"&amp;B2479&amp;"|"&amp;C2479&amp;"|"&amp;D2479&amp;"|"&amp;E2479&amp;"|"&amp;F2479&amp;"|"&amp;G2479&amp;"|"&amp;H2479&amp;"|"&amp;I2479&amp;"|"&amp;J2479&amp;"|"&amp;K2479&amp;"|"&amp;L2479&amp;"|"&amp;M2479&amp;"|"&amp;N2479</f>
        <v>ORD12681|2025-11-26|22:17|C1069|burger barn|Delhi|Burgers|1|195|0|Cash on Delivery|Delivered|39|4</v>
      </c>
      <c r="P2479" s="7" t="str">
        <f aca="false">IF(COUNTIF($O$2:O2479,O2479)&gt;1,"DUP","OK")</f>
        <v>OK</v>
      </c>
      <c r="Q2479" s="7" t="n">
        <f aca="false">COUNTBLANK(A2479:N2479)</f>
        <v>0</v>
      </c>
      <c r="R2479" s="7" t="n">
        <f aca="false">IF(A2479="",0,COUNTIFS($A$2:$A$3058,A2479,$P$2:$P$3058,"OK"))</f>
        <v>1</v>
      </c>
      <c r="S2479" s="7" t="str">
        <f aca="false">IF(OR(A2479="",P2479="DUP",R2479&lt;2),"",IF(Q2479=_xlfn.MINIFS($Q$2:$Q$3058,$A$2:$A$3058,A2479,$P$2:$P$3058,"OK"),"KEEP","DROP"))</f>
        <v/>
      </c>
      <c r="T2479" s="9" t="n">
        <f aca="false">IF(A2479="",1,0)</f>
        <v>0</v>
      </c>
      <c r="U2479" s="9" t="n">
        <f aca="false">IF(D2479="",1,0)</f>
        <v>0</v>
      </c>
      <c r="V2479" s="9" t="n">
        <f aca="false">IF(E2479="",1,0)</f>
        <v>0</v>
      </c>
      <c r="W2479" s="9" t="n">
        <f aca="false">IF(OR(H2479&lt;1,H2479&gt;10),1,0)</f>
        <v>0</v>
      </c>
      <c r="X2479" s="9" t="n">
        <f aca="false">IF(OR(I2479&lt;=0,I2479&gt;1500),1,0)</f>
        <v>0</v>
      </c>
      <c r="Y2479" s="9" t="n">
        <f aca="false">IF(J2479&gt;H2479*I2479,1,0)</f>
        <v>0</v>
      </c>
      <c r="Z2479" s="9" t="n">
        <f aca="false">IF(AND(N2479&lt;&gt;"",OR(N2479&lt;1,N2479&gt;5)),1,0)</f>
        <v>0</v>
      </c>
      <c r="AA2479" s="9" t="n">
        <f aca="false">IF(AND(M2479&lt;&gt;"",OR(M2479&lt;5,M2479&gt;180)),1,0)</f>
        <v>0</v>
      </c>
      <c r="AB2479" s="7" t="str">
        <f aca="false">IF(P2479="DUP","Exact duplicate row",IF(T2479=1,"Missing Order ID",IF(S2479="DROP","Duplicate Order ID (less complete row)",IF(U2479=1,"Missing Customer ID",IF(V2479=1,"Missing Restaurant name",IF(W2479=1,"Invalid/outlier quantity",IF(X2479=1,"Invalid/outlier unit price",IF(Y2479=1,"Discount greater than order value",""))))))))</f>
        <v/>
      </c>
      <c r="AC2479" s="7" t="str">
        <f aca="false">IF(AB2479="","KEEP","DROP")</f>
        <v>KEEP</v>
      </c>
      <c r="AD2479" s="7" t="str">
        <f aca="false">IF(TRIM(F2479)="",IFERROR(INDEX(Map_Tables!$I$4:$I$37,MATCH(TRIM(E2479),Map_Tables!$G$4:$G$37,0)),""),IFERROR(INDEX(Map_Tables!$B$4:$B$18,MATCH(TRIM(F2479),Map_Tables!$A$4:$A$18,0)),"CHECK"))</f>
        <v>Delhi</v>
      </c>
      <c r="AE2479" s="7" t="str">
        <f aca="false">IF(TRIM(E2479)="","",IFERROR(INDEX(Map_Tables!$H$4:$H$37,MATCH(TRIM(E2479),Map_Tables!$G$4:$G$37,0)),"CHECK"))</f>
        <v>Burger Barn</v>
      </c>
      <c r="AF2479" s="7" t="str">
        <f aca="false">IF(TRIM(K2479)="","Unknown",IFERROR(INDEX(Map_Tables!$E$4:$E$15,MATCH(TRIM(K2479),Map_Tables!$D$4:$D$15,0)),"CHECK"))</f>
        <v>Cash on Delivery</v>
      </c>
      <c r="AG2479" s="7" t="str">
        <f aca="false">IF(LEFT(LOWER(TRIM(L2479)),6)="cancel","Cancelled","Delivered")</f>
        <v>Delivered</v>
      </c>
      <c r="AH2479" s="10" t="n">
        <f aca="false">IF(ISNUMBER(SEARCH("/",B2479)),DATE(VALUE(RIGHT(B2479,4)),VALUE(MID(B2479,4,2)),VALUE(LEFT(B2479,2))),IF(MID(B2479,5,1)="-",DATE(VALUE(LEFT(B2479,4)),VALUE(MID(B2479,6,2)),VALUE(RIGHT(B2479,2))),DATE(VALUE(RIGHT(B2479,4)),MATCH(MID(B2479,4,3),{"Jan","Feb","Mar","Apr","May","Jun","Jul","Aug","Sep","Oct","Nov","Dec"},0),VALUE(LEFT(B2479,2)))))</f>
        <v>45987</v>
      </c>
    </row>
    <row r="2480" customFormat="false" ht="15" hidden="false" customHeight="false" outlineLevel="0" collapsed="false">
      <c r="A2480" s="7" t="s">
        <v>5430</v>
      </c>
      <c r="B2480" s="7" t="s">
        <v>427</v>
      </c>
      <c r="C2480" s="7" t="s">
        <v>2202</v>
      </c>
      <c r="D2480" s="7" t="s">
        <v>456</v>
      </c>
      <c r="E2480" s="7" t="s">
        <v>94</v>
      </c>
      <c r="F2480" s="7" t="s">
        <v>86</v>
      </c>
      <c r="G2480" s="7" t="s">
        <v>95</v>
      </c>
      <c r="H2480" s="7" t="n">
        <v>2</v>
      </c>
      <c r="I2480" s="7" t="n">
        <v>105</v>
      </c>
      <c r="J2480" s="7" t="n">
        <v>0</v>
      </c>
      <c r="K2480" s="7" t="s">
        <v>88</v>
      </c>
      <c r="L2480" s="7" t="s">
        <v>194</v>
      </c>
      <c r="M2480" s="7" t="n">
        <v>35</v>
      </c>
      <c r="N2480" s="7" t="n">
        <v>3</v>
      </c>
      <c r="O2480" s="7" t="str">
        <f aca="false">A2480&amp;"|"&amp;B2480&amp;"|"&amp;C2480&amp;"|"&amp;D2480&amp;"|"&amp;E2480&amp;"|"&amp;F2480&amp;"|"&amp;G2480&amp;"|"&amp;H2480&amp;"|"&amp;I2480&amp;"|"&amp;J2480&amp;"|"&amp;K2480&amp;"|"&amp;L2480&amp;"|"&amp;M2480&amp;"|"&amp;N2480</f>
        <v>ORD11815|2025-08-25|12:40|C0750|Dosa Darbar|Bengaluru|South Indian|2|105|0|UPI|Delivered|35|3</v>
      </c>
      <c r="P2480" s="7" t="str">
        <f aca="false">IF(COUNTIF($O$2:O2480,O2480)&gt;1,"DUP","OK")</f>
        <v>OK</v>
      </c>
      <c r="Q2480" s="7" t="n">
        <f aca="false">COUNTBLANK(A2480:N2480)</f>
        <v>0</v>
      </c>
      <c r="R2480" s="7" t="n">
        <f aca="false">IF(A2480="",0,COUNTIFS($A$2:$A$3058,A2480,$P$2:$P$3058,"OK"))</f>
        <v>1</v>
      </c>
      <c r="S2480" s="7" t="str">
        <f aca="false">IF(OR(A2480="",P2480="DUP",R2480&lt;2),"",IF(Q2480=_xlfn.MINIFS($Q$2:$Q$3058,$A$2:$A$3058,A2480,$P$2:$P$3058,"OK"),"KEEP","DROP"))</f>
        <v/>
      </c>
      <c r="T2480" s="9" t="n">
        <f aca="false">IF(A2480="",1,0)</f>
        <v>0</v>
      </c>
      <c r="U2480" s="9" t="n">
        <f aca="false">IF(D2480="",1,0)</f>
        <v>0</v>
      </c>
      <c r="V2480" s="9" t="n">
        <f aca="false">IF(E2480="",1,0)</f>
        <v>0</v>
      </c>
      <c r="W2480" s="9" t="n">
        <f aca="false">IF(OR(H2480&lt;1,H2480&gt;10),1,0)</f>
        <v>0</v>
      </c>
      <c r="X2480" s="9" t="n">
        <f aca="false">IF(OR(I2480&lt;=0,I2480&gt;1500),1,0)</f>
        <v>0</v>
      </c>
      <c r="Y2480" s="9" t="n">
        <f aca="false">IF(J2480&gt;H2480*I2480,1,0)</f>
        <v>0</v>
      </c>
      <c r="Z2480" s="9" t="n">
        <f aca="false">IF(AND(N2480&lt;&gt;"",OR(N2480&lt;1,N2480&gt;5)),1,0)</f>
        <v>0</v>
      </c>
      <c r="AA2480" s="9" t="n">
        <f aca="false">IF(AND(M2480&lt;&gt;"",OR(M2480&lt;5,M2480&gt;180)),1,0)</f>
        <v>0</v>
      </c>
      <c r="AB2480" s="7" t="str">
        <f aca="false">IF(P2480="DUP","Exact duplicate row",IF(T2480=1,"Missing Order ID",IF(S2480="DROP","Duplicate Order ID (less complete row)",IF(U2480=1,"Missing Customer ID",IF(V2480=1,"Missing Restaurant name",IF(W2480=1,"Invalid/outlier quantity",IF(X2480=1,"Invalid/outlier unit price",IF(Y2480=1,"Discount greater than order value",""))))))))</f>
        <v/>
      </c>
      <c r="AC2480" s="7" t="str">
        <f aca="false">IF(AB2480="","KEEP","DROP")</f>
        <v>KEEP</v>
      </c>
      <c r="AD2480" s="7" t="str">
        <f aca="false">IF(TRIM(F2480)="",IFERROR(INDEX(Map_Tables!$I$4:$I$37,MATCH(TRIM(E2480),Map_Tables!$G$4:$G$37,0)),""),IFERROR(INDEX(Map_Tables!$B$4:$B$18,MATCH(TRIM(F2480),Map_Tables!$A$4:$A$18,0)),"CHECK"))</f>
        <v>Bengaluru</v>
      </c>
      <c r="AE2480" s="7" t="str">
        <f aca="false">IF(TRIM(E2480)="","",IFERROR(INDEX(Map_Tables!$H$4:$H$37,MATCH(TRIM(E2480),Map_Tables!$G$4:$G$37,0)),"CHECK"))</f>
        <v>Dosa Darbar</v>
      </c>
      <c r="AF2480" s="7" t="str">
        <f aca="false">IF(TRIM(K2480)="","Unknown",IFERROR(INDEX(Map_Tables!$E$4:$E$15,MATCH(TRIM(K2480),Map_Tables!$D$4:$D$15,0)),"CHECK"))</f>
        <v>UPI</v>
      </c>
      <c r="AG2480" s="7" t="str">
        <f aca="false">IF(LEFT(LOWER(TRIM(L2480)),6)="cancel","Cancelled","Delivered")</f>
        <v>Delivered</v>
      </c>
      <c r="AH2480" s="10" t="n">
        <f aca="false">IF(ISNUMBER(SEARCH("/",B2480)),DATE(VALUE(RIGHT(B2480,4)),VALUE(MID(B2480,4,2)),VALUE(LEFT(B2480,2))),IF(MID(B2480,5,1)="-",DATE(VALUE(LEFT(B2480,4)),VALUE(MID(B2480,6,2)),VALUE(RIGHT(B2480,2))),DATE(VALUE(RIGHT(B2480,4)),MATCH(MID(B2480,4,3),{"Jan","Feb","Mar","Apr","May","Jun","Jul","Aug","Sep","Oct","Nov","Dec"},0),VALUE(LEFT(B2480,2)))))</f>
        <v>45894</v>
      </c>
    </row>
    <row r="2481" customFormat="false" ht="15" hidden="false" customHeight="false" outlineLevel="0" collapsed="false">
      <c r="A2481" s="7" t="s">
        <v>5431</v>
      </c>
      <c r="B2481" s="7" t="s">
        <v>1538</v>
      </c>
      <c r="C2481" s="7" t="s">
        <v>5432</v>
      </c>
      <c r="D2481" s="7" t="s">
        <v>1070</v>
      </c>
      <c r="E2481" s="7" t="s">
        <v>116</v>
      </c>
      <c r="F2481" s="7" t="s">
        <v>498</v>
      </c>
      <c r="G2481" s="7" t="s">
        <v>117</v>
      </c>
      <c r="H2481" s="7" t="n">
        <v>4</v>
      </c>
      <c r="I2481" s="7" t="n">
        <v>135</v>
      </c>
      <c r="J2481" s="7" t="n">
        <v>0</v>
      </c>
      <c r="K2481" s="7" t="s">
        <v>103</v>
      </c>
      <c r="L2481" s="7" t="s">
        <v>194</v>
      </c>
      <c r="M2481" s="7" t="n">
        <v>45</v>
      </c>
      <c r="N2481" s="7" t="n">
        <v>4</v>
      </c>
      <c r="O2481" s="7" t="str">
        <f aca="false">A2481&amp;"|"&amp;B2481&amp;"|"&amp;C2481&amp;"|"&amp;D2481&amp;"|"&amp;E2481&amp;"|"&amp;F2481&amp;"|"&amp;G2481&amp;"|"&amp;H2481&amp;"|"&amp;I2481&amp;"|"&amp;J2481&amp;"|"&amp;K2481&amp;"|"&amp;L2481&amp;"|"&amp;M2481&amp;"|"&amp;N2481</f>
        <v>ORD11840|2025-08-28|11:42|C1271|Pav Bhaji Point|Bombay|Street Food|4|135|0|Debit Card|Delivered|45|4</v>
      </c>
      <c r="P2481" s="7" t="str">
        <f aca="false">IF(COUNTIF($O$2:O2481,O2481)&gt;1,"DUP","OK")</f>
        <v>OK</v>
      </c>
      <c r="Q2481" s="7" t="n">
        <f aca="false">COUNTBLANK(A2481:N2481)</f>
        <v>0</v>
      </c>
      <c r="R2481" s="7" t="n">
        <f aca="false">IF(A2481="",0,COUNTIFS($A$2:$A$3058,A2481,$P$2:$P$3058,"OK"))</f>
        <v>1</v>
      </c>
      <c r="S2481" s="7" t="str">
        <f aca="false">IF(OR(A2481="",P2481="DUP",R2481&lt;2),"",IF(Q2481=_xlfn.MINIFS($Q$2:$Q$3058,$A$2:$A$3058,A2481,$P$2:$P$3058,"OK"),"KEEP","DROP"))</f>
        <v/>
      </c>
      <c r="T2481" s="9" t="n">
        <f aca="false">IF(A2481="",1,0)</f>
        <v>0</v>
      </c>
      <c r="U2481" s="9" t="n">
        <f aca="false">IF(D2481="",1,0)</f>
        <v>0</v>
      </c>
      <c r="V2481" s="9" t="n">
        <f aca="false">IF(E2481="",1,0)</f>
        <v>0</v>
      </c>
      <c r="W2481" s="9" t="n">
        <f aca="false">IF(OR(H2481&lt;1,H2481&gt;10),1,0)</f>
        <v>0</v>
      </c>
      <c r="X2481" s="9" t="n">
        <f aca="false">IF(OR(I2481&lt;=0,I2481&gt;1500),1,0)</f>
        <v>0</v>
      </c>
      <c r="Y2481" s="9" t="n">
        <f aca="false">IF(J2481&gt;H2481*I2481,1,0)</f>
        <v>0</v>
      </c>
      <c r="Z2481" s="9" t="n">
        <f aca="false">IF(AND(N2481&lt;&gt;"",OR(N2481&lt;1,N2481&gt;5)),1,0)</f>
        <v>0</v>
      </c>
      <c r="AA2481" s="9" t="n">
        <f aca="false">IF(AND(M2481&lt;&gt;"",OR(M2481&lt;5,M2481&gt;180)),1,0)</f>
        <v>0</v>
      </c>
      <c r="AB2481" s="7" t="str">
        <f aca="false">IF(P2481="DUP","Exact duplicate row",IF(T2481=1,"Missing Order ID",IF(S2481="DROP","Duplicate Order ID (less complete row)",IF(U2481=1,"Missing Customer ID",IF(V2481=1,"Missing Restaurant name",IF(W2481=1,"Invalid/outlier quantity",IF(X2481=1,"Invalid/outlier unit price",IF(Y2481=1,"Discount greater than order value",""))))))))</f>
        <v/>
      </c>
      <c r="AC2481" s="7" t="str">
        <f aca="false">IF(AB2481="","KEEP","DROP")</f>
        <v>KEEP</v>
      </c>
      <c r="AD2481" s="7" t="str">
        <f aca="false">IF(TRIM(F2481)="",IFERROR(INDEX(Map_Tables!$I$4:$I$37,MATCH(TRIM(E2481),Map_Tables!$G$4:$G$37,0)),""),IFERROR(INDEX(Map_Tables!$B$4:$B$18,MATCH(TRIM(F2481),Map_Tables!$A$4:$A$18,0)),"CHECK"))</f>
        <v>Mumbai</v>
      </c>
      <c r="AE2481" s="7" t="str">
        <f aca="false">IF(TRIM(E2481)="","",IFERROR(INDEX(Map_Tables!$H$4:$H$37,MATCH(TRIM(E2481),Map_Tables!$G$4:$G$37,0)),"CHECK"))</f>
        <v>Pav Bhaji Point</v>
      </c>
      <c r="AF2481" s="7" t="str">
        <f aca="false">IF(TRIM(K2481)="","Unknown",IFERROR(INDEX(Map_Tables!$E$4:$E$15,MATCH(TRIM(K2481),Map_Tables!$D$4:$D$15,0)),"CHECK"))</f>
        <v>Debit Card</v>
      </c>
      <c r="AG2481" s="7" t="str">
        <f aca="false">IF(LEFT(LOWER(TRIM(L2481)),6)="cancel","Cancelled","Delivered")</f>
        <v>Delivered</v>
      </c>
      <c r="AH2481" s="10" t="n">
        <f aca="false">IF(ISNUMBER(SEARCH("/",B2481)),DATE(VALUE(RIGHT(B2481,4)),VALUE(MID(B2481,4,2)),VALUE(LEFT(B2481,2))),IF(MID(B2481,5,1)="-",DATE(VALUE(LEFT(B2481,4)),VALUE(MID(B2481,6,2)),VALUE(RIGHT(B2481,2))),DATE(VALUE(RIGHT(B2481,4)),MATCH(MID(B2481,4,3),{"Jan","Feb","Mar","Apr","May","Jun","Jul","Aug","Sep","Oct","Nov","Dec"},0),VALUE(LEFT(B2481,2)))))</f>
        <v>45897</v>
      </c>
    </row>
    <row r="2482" customFormat="false" ht="15" hidden="false" customHeight="false" outlineLevel="0" collapsed="false">
      <c r="A2482" s="7" t="s">
        <v>5433</v>
      </c>
      <c r="B2482" s="7" t="s">
        <v>1458</v>
      </c>
      <c r="C2482" s="7" t="s">
        <v>3690</v>
      </c>
      <c r="D2482" s="7" t="s">
        <v>4022</v>
      </c>
      <c r="E2482" s="7" t="s">
        <v>130</v>
      </c>
      <c r="F2482" s="7" t="s">
        <v>110</v>
      </c>
      <c r="G2482" s="7" t="s">
        <v>90</v>
      </c>
      <c r="H2482" s="7" t="n">
        <v>3</v>
      </c>
      <c r="I2482" s="7" t="n">
        <v>300</v>
      </c>
      <c r="J2482" s="7" t="n">
        <v>125</v>
      </c>
      <c r="K2482" s="7" t="s">
        <v>93</v>
      </c>
      <c r="L2482" s="7" t="s">
        <v>194</v>
      </c>
      <c r="M2482" s="7" t="n">
        <v>48</v>
      </c>
      <c r="N2482" s="7" t="n">
        <v>4</v>
      </c>
      <c r="O2482" s="7" t="str">
        <f aca="false">A2482&amp;"|"&amp;B2482&amp;"|"&amp;C2482&amp;"|"&amp;D2482&amp;"|"&amp;E2482&amp;"|"&amp;F2482&amp;"|"&amp;G2482&amp;"|"&amp;H2482&amp;"|"&amp;I2482&amp;"|"&amp;J2482&amp;"|"&amp;K2482&amp;"|"&amp;L2482&amp;"|"&amp;M2482&amp;"|"&amp;N2482</f>
        <v>ORD11027|2025-05-10|13:32|C0533|Tandoor Tales|Delhi|North Indian|3|300|125|Credit Card|Delivered|48|4</v>
      </c>
      <c r="P2482" s="7" t="str">
        <f aca="false">IF(COUNTIF($O$2:O2482,O2482)&gt;1,"DUP","OK")</f>
        <v>OK</v>
      </c>
      <c r="Q2482" s="7" t="n">
        <f aca="false">COUNTBLANK(A2482:N2482)</f>
        <v>0</v>
      </c>
      <c r="R2482" s="7" t="n">
        <f aca="false">IF(A2482="",0,COUNTIFS($A$2:$A$3058,A2482,$P$2:$P$3058,"OK"))</f>
        <v>1</v>
      </c>
      <c r="S2482" s="7" t="str">
        <f aca="false">IF(OR(A2482="",P2482="DUP",R2482&lt;2),"",IF(Q2482=_xlfn.MINIFS($Q$2:$Q$3058,$A$2:$A$3058,A2482,$P$2:$P$3058,"OK"),"KEEP","DROP"))</f>
        <v/>
      </c>
      <c r="T2482" s="9" t="n">
        <f aca="false">IF(A2482="",1,0)</f>
        <v>0</v>
      </c>
      <c r="U2482" s="9" t="n">
        <f aca="false">IF(D2482="",1,0)</f>
        <v>0</v>
      </c>
      <c r="V2482" s="9" t="n">
        <f aca="false">IF(E2482="",1,0)</f>
        <v>0</v>
      </c>
      <c r="W2482" s="9" t="n">
        <f aca="false">IF(OR(H2482&lt;1,H2482&gt;10),1,0)</f>
        <v>0</v>
      </c>
      <c r="X2482" s="9" t="n">
        <f aca="false">IF(OR(I2482&lt;=0,I2482&gt;1500),1,0)</f>
        <v>0</v>
      </c>
      <c r="Y2482" s="9" t="n">
        <f aca="false">IF(J2482&gt;H2482*I2482,1,0)</f>
        <v>0</v>
      </c>
      <c r="Z2482" s="9" t="n">
        <f aca="false">IF(AND(N2482&lt;&gt;"",OR(N2482&lt;1,N2482&gt;5)),1,0)</f>
        <v>0</v>
      </c>
      <c r="AA2482" s="9" t="n">
        <f aca="false">IF(AND(M2482&lt;&gt;"",OR(M2482&lt;5,M2482&gt;180)),1,0)</f>
        <v>0</v>
      </c>
      <c r="AB2482" s="7" t="str">
        <f aca="false">IF(P2482="DUP","Exact duplicate row",IF(T2482=1,"Missing Order ID",IF(S2482="DROP","Duplicate Order ID (less complete row)",IF(U2482=1,"Missing Customer ID",IF(V2482=1,"Missing Restaurant name",IF(W2482=1,"Invalid/outlier quantity",IF(X2482=1,"Invalid/outlier unit price",IF(Y2482=1,"Discount greater than order value",""))))))))</f>
        <v/>
      </c>
      <c r="AC2482" s="7" t="str">
        <f aca="false">IF(AB2482="","KEEP","DROP")</f>
        <v>KEEP</v>
      </c>
      <c r="AD2482" s="7" t="str">
        <f aca="false">IF(TRIM(F2482)="",IFERROR(INDEX(Map_Tables!$I$4:$I$37,MATCH(TRIM(E2482),Map_Tables!$G$4:$G$37,0)),""),IFERROR(INDEX(Map_Tables!$B$4:$B$18,MATCH(TRIM(F2482),Map_Tables!$A$4:$A$18,0)),"CHECK"))</f>
        <v>Delhi</v>
      </c>
      <c r="AE2482" s="7" t="str">
        <f aca="false">IF(TRIM(E2482)="","",IFERROR(INDEX(Map_Tables!$H$4:$H$37,MATCH(TRIM(E2482),Map_Tables!$G$4:$G$37,0)),"CHECK"))</f>
        <v>Tandoor Tales</v>
      </c>
      <c r="AF2482" s="7" t="str">
        <f aca="false">IF(TRIM(K2482)="","Unknown",IFERROR(INDEX(Map_Tables!$E$4:$E$15,MATCH(TRIM(K2482),Map_Tables!$D$4:$D$15,0)),"CHECK"))</f>
        <v>Credit Card</v>
      </c>
      <c r="AG2482" s="7" t="str">
        <f aca="false">IF(LEFT(LOWER(TRIM(L2482)),6)="cancel","Cancelled","Delivered")</f>
        <v>Delivered</v>
      </c>
      <c r="AH2482" s="10" t="n">
        <f aca="false">IF(ISNUMBER(SEARCH("/",B2482)),DATE(VALUE(RIGHT(B2482,4)),VALUE(MID(B2482,4,2)),VALUE(LEFT(B2482,2))),IF(MID(B2482,5,1)="-",DATE(VALUE(LEFT(B2482,4)),VALUE(MID(B2482,6,2)),VALUE(RIGHT(B2482,2))),DATE(VALUE(RIGHT(B2482,4)),MATCH(MID(B2482,4,3),{"Jan","Feb","Mar","Apr","May","Jun","Jul","Aug","Sep","Oct","Nov","Dec"},0),VALUE(LEFT(B2482,2)))))</f>
        <v>45787</v>
      </c>
    </row>
    <row r="2483" customFormat="false" ht="15" hidden="false" customHeight="false" outlineLevel="0" collapsed="false">
      <c r="A2483" s="7" t="s">
        <v>5434</v>
      </c>
      <c r="B2483" s="7" t="s">
        <v>1065</v>
      </c>
      <c r="C2483" s="7" t="s">
        <v>361</v>
      </c>
      <c r="D2483" s="7" t="s">
        <v>224</v>
      </c>
      <c r="E2483" s="7" t="s">
        <v>138</v>
      </c>
      <c r="F2483" s="7" t="s">
        <v>294</v>
      </c>
      <c r="G2483" s="7" t="s">
        <v>139</v>
      </c>
      <c r="H2483" s="7" t="n">
        <v>1</v>
      </c>
      <c r="I2483" s="7" t="n">
        <v>210</v>
      </c>
      <c r="J2483" s="7" t="n">
        <v>0</v>
      </c>
      <c r="K2483" s="7" t="s">
        <v>88</v>
      </c>
      <c r="L2483" s="7" t="s">
        <v>194</v>
      </c>
      <c r="M2483" s="7" t="n">
        <v>26</v>
      </c>
      <c r="N2483" s="7" t="n">
        <v>4</v>
      </c>
      <c r="O2483" s="7" t="str">
        <f aca="false">A2483&amp;"|"&amp;B2483&amp;"|"&amp;C2483&amp;"|"&amp;D2483&amp;"|"&amp;E2483&amp;"|"&amp;F2483&amp;"|"&amp;G2483&amp;"|"&amp;H2483&amp;"|"&amp;I2483&amp;"|"&amp;J2483&amp;"|"&amp;K2483&amp;"|"&amp;L2483&amp;"|"&amp;M2483&amp;"|"&amp;N2483</f>
        <v>ORD10077|2025-01-11|11:08|C1030|Burger Barn|New Delhi|Burgers|1|210|0|UPI|Delivered|26|4</v>
      </c>
      <c r="P2483" s="7" t="str">
        <f aca="false">IF(COUNTIF($O$2:O2483,O2483)&gt;1,"DUP","OK")</f>
        <v>OK</v>
      </c>
      <c r="Q2483" s="7" t="n">
        <f aca="false">COUNTBLANK(A2483:N2483)</f>
        <v>0</v>
      </c>
      <c r="R2483" s="7" t="n">
        <f aca="false">IF(A2483="",0,COUNTIFS($A$2:$A$3058,A2483,$P$2:$P$3058,"OK"))</f>
        <v>1</v>
      </c>
      <c r="S2483" s="7" t="str">
        <f aca="false">IF(OR(A2483="",P2483="DUP",R2483&lt;2),"",IF(Q2483=_xlfn.MINIFS($Q$2:$Q$3058,$A$2:$A$3058,A2483,$P$2:$P$3058,"OK"),"KEEP","DROP"))</f>
        <v/>
      </c>
      <c r="T2483" s="9" t="n">
        <f aca="false">IF(A2483="",1,0)</f>
        <v>0</v>
      </c>
      <c r="U2483" s="9" t="n">
        <f aca="false">IF(D2483="",1,0)</f>
        <v>0</v>
      </c>
      <c r="V2483" s="9" t="n">
        <f aca="false">IF(E2483="",1,0)</f>
        <v>0</v>
      </c>
      <c r="W2483" s="9" t="n">
        <f aca="false">IF(OR(H2483&lt;1,H2483&gt;10),1,0)</f>
        <v>0</v>
      </c>
      <c r="X2483" s="9" t="n">
        <f aca="false">IF(OR(I2483&lt;=0,I2483&gt;1500),1,0)</f>
        <v>0</v>
      </c>
      <c r="Y2483" s="9" t="n">
        <f aca="false">IF(J2483&gt;H2483*I2483,1,0)</f>
        <v>0</v>
      </c>
      <c r="Z2483" s="9" t="n">
        <f aca="false">IF(AND(N2483&lt;&gt;"",OR(N2483&lt;1,N2483&gt;5)),1,0)</f>
        <v>0</v>
      </c>
      <c r="AA2483" s="9" t="n">
        <f aca="false">IF(AND(M2483&lt;&gt;"",OR(M2483&lt;5,M2483&gt;180)),1,0)</f>
        <v>0</v>
      </c>
      <c r="AB2483" s="7" t="str">
        <f aca="false">IF(P2483="DUP","Exact duplicate row",IF(T2483=1,"Missing Order ID",IF(S2483="DROP","Duplicate Order ID (less complete row)",IF(U2483=1,"Missing Customer ID",IF(V2483=1,"Missing Restaurant name",IF(W2483=1,"Invalid/outlier quantity",IF(X2483=1,"Invalid/outlier unit price",IF(Y2483=1,"Discount greater than order value",""))))))))</f>
        <v/>
      </c>
      <c r="AC2483" s="7" t="str">
        <f aca="false">IF(AB2483="","KEEP","DROP")</f>
        <v>KEEP</v>
      </c>
      <c r="AD2483" s="7" t="str">
        <f aca="false">IF(TRIM(F2483)="",IFERROR(INDEX(Map_Tables!$I$4:$I$37,MATCH(TRIM(E2483),Map_Tables!$G$4:$G$37,0)),""),IFERROR(INDEX(Map_Tables!$B$4:$B$18,MATCH(TRIM(F2483),Map_Tables!$A$4:$A$18,0)),"CHECK"))</f>
        <v>Delhi</v>
      </c>
      <c r="AE2483" s="7" t="str">
        <f aca="false">IF(TRIM(E2483)="","",IFERROR(INDEX(Map_Tables!$H$4:$H$37,MATCH(TRIM(E2483),Map_Tables!$G$4:$G$37,0)),"CHECK"))</f>
        <v>Burger Barn</v>
      </c>
      <c r="AF2483" s="7" t="str">
        <f aca="false">IF(TRIM(K2483)="","Unknown",IFERROR(INDEX(Map_Tables!$E$4:$E$15,MATCH(TRIM(K2483),Map_Tables!$D$4:$D$15,0)),"CHECK"))</f>
        <v>UPI</v>
      </c>
      <c r="AG2483" s="7" t="str">
        <f aca="false">IF(LEFT(LOWER(TRIM(L2483)),6)="cancel","Cancelled","Delivered")</f>
        <v>Delivered</v>
      </c>
      <c r="AH2483" s="10" t="n">
        <f aca="false">IF(ISNUMBER(SEARCH("/",B2483)),DATE(VALUE(RIGHT(B2483,4)),VALUE(MID(B2483,4,2)),VALUE(LEFT(B2483,2))),IF(MID(B2483,5,1)="-",DATE(VALUE(LEFT(B2483,4)),VALUE(MID(B2483,6,2)),VALUE(RIGHT(B2483,2))),DATE(VALUE(RIGHT(B2483,4)),MATCH(MID(B2483,4,3),{"Jan","Feb","Mar","Apr","May","Jun","Jul","Aug","Sep","Oct","Nov","Dec"},0),VALUE(LEFT(B2483,2)))))</f>
        <v>45668</v>
      </c>
    </row>
    <row r="2484" customFormat="false" ht="15" hidden="false" customHeight="false" outlineLevel="0" collapsed="false">
      <c r="A2484" s="7" t="s">
        <v>5435</v>
      </c>
      <c r="B2484" s="7" t="s">
        <v>2308</v>
      </c>
      <c r="C2484" s="7" t="s">
        <v>4741</v>
      </c>
      <c r="D2484" s="7" t="s">
        <v>5436</v>
      </c>
      <c r="E2484" s="7" t="s">
        <v>3318</v>
      </c>
      <c r="F2484" s="7" t="s">
        <v>86</v>
      </c>
      <c r="G2484" s="7" t="s">
        <v>105</v>
      </c>
      <c r="H2484" s="7" t="n">
        <v>2</v>
      </c>
      <c r="I2484" s="7" t="n">
        <v>215</v>
      </c>
      <c r="J2484" s="7" t="n">
        <v>0</v>
      </c>
      <c r="K2484" s="7" t="s">
        <v>88</v>
      </c>
      <c r="L2484" s="7" t="s">
        <v>194</v>
      </c>
      <c r="M2484" s="7" t="n">
        <v>44</v>
      </c>
      <c r="N2484" s="7" t="n">
        <v>3</v>
      </c>
      <c r="O2484" s="7" t="str">
        <f aca="false">A2484&amp;"|"&amp;B2484&amp;"|"&amp;C2484&amp;"|"&amp;D2484&amp;"|"&amp;E2484&amp;"|"&amp;F2484&amp;"|"&amp;G2484&amp;"|"&amp;H2484&amp;"|"&amp;I2484&amp;"|"&amp;J2484&amp;"|"&amp;K2484&amp;"|"&amp;L2484&amp;"|"&amp;M2484&amp;"|"&amp;N2484</f>
        <v>ORD10901|2025-04-23|21:08|C1090|Wok &amp; Roll |Bengaluru|Chinese|2|215|0|UPI|Delivered|44|3</v>
      </c>
      <c r="P2484" s="7" t="str">
        <f aca="false">IF(COUNTIF($O$2:O2484,O2484)&gt;1,"DUP","OK")</f>
        <v>OK</v>
      </c>
      <c r="Q2484" s="7" t="n">
        <f aca="false">COUNTBLANK(A2484:N2484)</f>
        <v>0</v>
      </c>
      <c r="R2484" s="7" t="n">
        <f aca="false">IF(A2484="",0,COUNTIFS($A$2:$A$3058,A2484,$P$2:$P$3058,"OK"))</f>
        <v>1</v>
      </c>
      <c r="S2484" s="7" t="str">
        <f aca="false">IF(OR(A2484="",P2484="DUP",R2484&lt;2),"",IF(Q2484=_xlfn.MINIFS($Q$2:$Q$3058,$A$2:$A$3058,A2484,$P$2:$P$3058,"OK"),"KEEP","DROP"))</f>
        <v/>
      </c>
      <c r="T2484" s="9" t="n">
        <f aca="false">IF(A2484="",1,0)</f>
        <v>0</v>
      </c>
      <c r="U2484" s="9" t="n">
        <f aca="false">IF(D2484="",1,0)</f>
        <v>0</v>
      </c>
      <c r="V2484" s="9" t="n">
        <f aca="false">IF(E2484="",1,0)</f>
        <v>0</v>
      </c>
      <c r="W2484" s="9" t="n">
        <f aca="false">IF(OR(H2484&lt;1,H2484&gt;10),1,0)</f>
        <v>0</v>
      </c>
      <c r="X2484" s="9" t="n">
        <f aca="false">IF(OR(I2484&lt;=0,I2484&gt;1500),1,0)</f>
        <v>0</v>
      </c>
      <c r="Y2484" s="9" t="n">
        <f aca="false">IF(J2484&gt;H2484*I2484,1,0)</f>
        <v>0</v>
      </c>
      <c r="Z2484" s="9" t="n">
        <f aca="false">IF(AND(N2484&lt;&gt;"",OR(N2484&lt;1,N2484&gt;5)),1,0)</f>
        <v>0</v>
      </c>
      <c r="AA2484" s="9" t="n">
        <f aca="false">IF(AND(M2484&lt;&gt;"",OR(M2484&lt;5,M2484&gt;180)),1,0)</f>
        <v>0</v>
      </c>
      <c r="AB2484" s="7" t="str">
        <f aca="false">IF(P2484="DUP","Exact duplicate row",IF(T2484=1,"Missing Order ID",IF(S2484="DROP","Duplicate Order ID (less complete row)",IF(U2484=1,"Missing Customer ID",IF(V2484=1,"Missing Restaurant name",IF(W2484=1,"Invalid/outlier quantity",IF(X2484=1,"Invalid/outlier unit price",IF(Y2484=1,"Discount greater than order value",""))))))))</f>
        <v/>
      </c>
      <c r="AC2484" s="7" t="str">
        <f aca="false">IF(AB2484="","KEEP","DROP")</f>
        <v>KEEP</v>
      </c>
      <c r="AD2484" s="7" t="str">
        <f aca="false">IF(TRIM(F2484)="",IFERROR(INDEX(Map_Tables!$I$4:$I$37,MATCH(TRIM(E2484),Map_Tables!$G$4:$G$37,0)),""),IFERROR(INDEX(Map_Tables!$B$4:$B$18,MATCH(TRIM(F2484),Map_Tables!$A$4:$A$18,0)),"CHECK"))</f>
        <v>Bengaluru</v>
      </c>
      <c r="AE2484" s="7" t="str">
        <f aca="false">IF(TRIM(E2484)="","",IFERROR(INDEX(Map_Tables!$H$4:$H$37,MATCH(TRIM(E2484),Map_Tables!$G$4:$G$37,0)),"CHECK"))</f>
        <v>Wok &amp; Roll</v>
      </c>
      <c r="AF2484" s="7" t="str">
        <f aca="false">IF(TRIM(K2484)="","Unknown",IFERROR(INDEX(Map_Tables!$E$4:$E$15,MATCH(TRIM(K2484),Map_Tables!$D$4:$D$15,0)),"CHECK"))</f>
        <v>UPI</v>
      </c>
      <c r="AG2484" s="7" t="str">
        <f aca="false">IF(LEFT(LOWER(TRIM(L2484)),6)="cancel","Cancelled","Delivered")</f>
        <v>Delivered</v>
      </c>
      <c r="AH2484" s="10" t="n">
        <f aca="false">IF(ISNUMBER(SEARCH("/",B2484)),DATE(VALUE(RIGHT(B2484,4)),VALUE(MID(B2484,4,2)),VALUE(LEFT(B2484,2))),IF(MID(B2484,5,1)="-",DATE(VALUE(LEFT(B2484,4)),VALUE(MID(B2484,6,2)),VALUE(RIGHT(B2484,2))),DATE(VALUE(RIGHT(B2484,4)),MATCH(MID(B2484,4,3),{"Jan","Feb","Mar","Apr","May","Jun","Jul","Aug","Sep","Oct","Nov","Dec"},0),VALUE(LEFT(B2484,2)))))</f>
        <v>45770</v>
      </c>
    </row>
    <row r="2485" customFormat="false" ht="15" hidden="false" customHeight="false" outlineLevel="0" collapsed="false">
      <c r="A2485" s="7" t="s">
        <v>5437</v>
      </c>
      <c r="B2485" s="7" t="s">
        <v>3113</v>
      </c>
      <c r="C2485" s="7" t="s">
        <v>1409</v>
      </c>
      <c r="D2485" s="7" t="s">
        <v>1598</v>
      </c>
      <c r="E2485" s="7" t="s">
        <v>4772</v>
      </c>
      <c r="F2485" s="7" t="s">
        <v>146</v>
      </c>
      <c r="G2485" s="7" t="s">
        <v>123</v>
      </c>
      <c r="H2485" s="7" t="n">
        <v>3</v>
      </c>
      <c r="I2485" s="7" t="n">
        <v>310</v>
      </c>
      <c r="J2485" s="7" t="n">
        <v>100</v>
      </c>
      <c r="K2485" s="7" t="s">
        <v>88</v>
      </c>
      <c r="L2485" s="7" t="s">
        <v>194</v>
      </c>
      <c r="M2485" s="7" t="n">
        <v>42</v>
      </c>
      <c r="N2485" s="7" t="n">
        <v>3</v>
      </c>
      <c r="O2485" s="7" t="str">
        <f aca="false">A2485&amp;"|"&amp;B2485&amp;"|"&amp;C2485&amp;"|"&amp;D2485&amp;"|"&amp;E2485&amp;"|"&amp;F2485&amp;"|"&amp;G2485&amp;"|"&amp;H2485&amp;"|"&amp;I2485&amp;"|"&amp;J2485&amp;"|"&amp;K2485&amp;"|"&amp;L2485&amp;"|"&amp;M2485&amp;"|"&amp;N2485</f>
        <v>ORD10372|2025-02-18|23:14|C1178| Cheesy Slice|Ahmedabad|Pizza|3|310|100|UPI|Delivered|42|3</v>
      </c>
      <c r="P2485" s="7" t="str">
        <f aca="false">IF(COUNTIF($O$2:O2485,O2485)&gt;1,"DUP","OK")</f>
        <v>OK</v>
      </c>
      <c r="Q2485" s="7" t="n">
        <f aca="false">COUNTBLANK(A2485:N2485)</f>
        <v>0</v>
      </c>
      <c r="R2485" s="7" t="n">
        <f aca="false">IF(A2485="",0,COUNTIFS($A$2:$A$3058,A2485,$P$2:$P$3058,"OK"))</f>
        <v>1</v>
      </c>
      <c r="S2485" s="7" t="str">
        <f aca="false">IF(OR(A2485="",P2485="DUP",R2485&lt;2),"",IF(Q2485=_xlfn.MINIFS($Q$2:$Q$3058,$A$2:$A$3058,A2485,$P$2:$P$3058,"OK"),"KEEP","DROP"))</f>
        <v/>
      </c>
      <c r="T2485" s="9" t="n">
        <f aca="false">IF(A2485="",1,0)</f>
        <v>0</v>
      </c>
      <c r="U2485" s="9" t="n">
        <f aca="false">IF(D2485="",1,0)</f>
        <v>0</v>
      </c>
      <c r="V2485" s="9" t="n">
        <f aca="false">IF(E2485="",1,0)</f>
        <v>0</v>
      </c>
      <c r="W2485" s="9" t="n">
        <f aca="false">IF(OR(H2485&lt;1,H2485&gt;10),1,0)</f>
        <v>0</v>
      </c>
      <c r="X2485" s="9" t="n">
        <f aca="false">IF(OR(I2485&lt;=0,I2485&gt;1500),1,0)</f>
        <v>0</v>
      </c>
      <c r="Y2485" s="9" t="n">
        <f aca="false">IF(J2485&gt;H2485*I2485,1,0)</f>
        <v>0</v>
      </c>
      <c r="Z2485" s="9" t="n">
        <f aca="false">IF(AND(N2485&lt;&gt;"",OR(N2485&lt;1,N2485&gt;5)),1,0)</f>
        <v>0</v>
      </c>
      <c r="AA2485" s="9" t="n">
        <f aca="false">IF(AND(M2485&lt;&gt;"",OR(M2485&lt;5,M2485&gt;180)),1,0)</f>
        <v>0</v>
      </c>
      <c r="AB2485" s="7" t="str">
        <f aca="false">IF(P2485="DUP","Exact duplicate row",IF(T2485=1,"Missing Order ID",IF(S2485="DROP","Duplicate Order ID (less complete row)",IF(U2485=1,"Missing Customer ID",IF(V2485=1,"Missing Restaurant name",IF(W2485=1,"Invalid/outlier quantity",IF(X2485=1,"Invalid/outlier unit price",IF(Y2485=1,"Discount greater than order value",""))))))))</f>
        <v/>
      </c>
      <c r="AC2485" s="7" t="str">
        <f aca="false">IF(AB2485="","KEEP","DROP")</f>
        <v>KEEP</v>
      </c>
      <c r="AD2485" s="7" t="str">
        <f aca="false">IF(TRIM(F2485)="",IFERROR(INDEX(Map_Tables!$I$4:$I$37,MATCH(TRIM(E2485),Map_Tables!$G$4:$G$37,0)),""),IFERROR(INDEX(Map_Tables!$B$4:$B$18,MATCH(TRIM(F2485),Map_Tables!$A$4:$A$18,0)),"CHECK"))</f>
        <v>Ahmedabad</v>
      </c>
      <c r="AE2485" s="7" t="str">
        <f aca="false">IF(TRIM(E2485)="","",IFERROR(INDEX(Map_Tables!$H$4:$H$37,MATCH(TRIM(E2485),Map_Tables!$G$4:$G$37,0)),"CHECK"))</f>
        <v>Cheesy Slice</v>
      </c>
      <c r="AF2485" s="7" t="str">
        <f aca="false">IF(TRIM(K2485)="","Unknown",IFERROR(INDEX(Map_Tables!$E$4:$E$15,MATCH(TRIM(K2485),Map_Tables!$D$4:$D$15,0)),"CHECK"))</f>
        <v>UPI</v>
      </c>
      <c r="AG2485" s="7" t="str">
        <f aca="false">IF(LEFT(LOWER(TRIM(L2485)),6)="cancel","Cancelled","Delivered")</f>
        <v>Delivered</v>
      </c>
      <c r="AH2485" s="10" t="n">
        <f aca="false">IF(ISNUMBER(SEARCH("/",B2485)),DATE(VALUE(RIGHT(B2485,4)),VALUE(MID(B2485,4,2)),VALUE(LEFT(B2485,2))),IF(MID(B2485,5,1)="-",DATE(VALUE(LEFT(B2485,4)),VALUE(MID(B2485,6,2)),VALUE(RIGHT(B2485,2))),DATE(VALUE(RIGHT(B2485,4)),MATCH(MID(B2485,4,3),{"Jan","Feb","Mar","Apr","May","Jun","Jul","Aug","Sep","Oct","Nov","Dec"},0),VALUE(LEFT(B2485,2)))))</f>
        <v>45706</v>
      </c>
    </row>
    <row r="2486" customFormat="false" ht="15" hidden="false" customHeight="false" outlineLevel="0" collapsed="false">
      <c r="A2486" s="7" t="s">
        <v>5438</v>
      </c>
      <c r="B2486" s="7" t="s">
        <v>5439</v>
      </c>
      <c r="C2486" s="7" t="s">
        <v>5440</v>
      </c>
      <c r="D2486" s="7" t="s">
        <v>5404</v>
      </c>
      <c r="E2486" s="7" t="s">
        <v>163</v>
      </c>
      <c r="F2486" s="7" t="s">
        <v>141</v>
      </c>
      <c r="G2486" s="7" t="s">
        <v>99</v>
      </c>
      <c r="H2486" s="7" t="n">
        <v>1</v>
      </c>
      <c r="I2486" s="7" t="n">
        <v>245</v>
      </c>
      <c r="J2486" s="7" t="n">
        <v>50</v>
      </c>
      <c r="K2486" s="7" t="s">
        <v>88</v>
      </c>
      <c r="L2486" s="7" t="s">
        <v>194</v>
      </c>
      <c r="M2486" s="7" t="n">
        <v>30</v>
      </c>
      <c r="N2486" s="7" t="n">
        <v>4</v>
      </c>
      <c r="O2486" s="7" t="str">
        <f aca="false">A2486&amp;"|"&amp;B2486&amp;"|"&amp;C2486&amp;"|"&amp;D2486&amp;"|"&amp;E2486&amp;"|"&amp;F2486&amp;"|"&amp;G2486&amp;"|"&amp;H2486&amp;"|"&amp;I2486&amp;"|"&amp;J2486&amp;"|"&amp;K2486&amp;"|"&amp;L2486&amp;"|"&amp;M2486&amp;"|"&amp;N2486</f>
        <v>ORD11205|02-Jun-2025|08:45|C0095|Biryani Baadshah|Kolkata|Biryani|1|245|50|UPI|Delivered|30|4</v>
      </c>
      <c r="P2486" s="7" t="str">
        <f aca="false">IF(COUNTIF($O$2:O2486,O2486)&gt;1,"DUP","OK")</f>
        <v>OK</v>
      </c>
      <c r="Q2486" s="7" t="n">
        <f aca="false">COUNTBLANK(A2486:N2486)</f>
        <v>0</v>
      </c>
      <c r="R2486" s="7" t="n">
        <f aca="false">IF(A2486="",0,COUNTIFS($A$2:$A$3058,A2486,$P$2:$P$3058,"OK"))</f>
        <v>1</v>
      </c>
      <c r="S2486" s="7" t="str">
        <f aca="false">IF(OR(A2486="",P2486="DUP",R2486&lt;2),"",IF(Q2486=_xlfn.MINIFS($Q$2:$Q$3058,$A$2:$A$3058,A2486,$P$2:$P$3058,"OK"),"KEEP","DROP"))</f>
        <v/>
      </c>
      <c r="T2486" s="9" t="n">
        <f aca="false">IF(A2486="",1,0)</f>
        <v>0</v>
      </c>
      <c r="U2486" s="9" t="n">
        <f aca="false">IF(D2486="",1,0)</f>
        <v>0</v>
      </c>
      <c r="V2486" s="9" t="n">
        <f aca="false">IF(E2486="",1,0)</f>
        <v>0</v>
      </c>
      <c r="W2486" s="9" t="n">
        <f aca="false">IF(OR(H2486&lt;1,H2486&gt;10),1,0)</f>
        <v>0</v>
      </c>
      <c r="X2486" s="9" t="n">
        <f aca="false">IF(OR(I2486&lt;=0,I2486&gt;1500),1,0)</f>
        <v>0</v>
      </c>
      <c r="Y2486" s="9" t="n">
        <f aca="false">IF(J2486&gt;H2486*I2486,1,0)</f>
        <v>0</v>
      </c>
      <c r="Z2486" s="9" t="n">
        <f aca="false">IF(AND(N2486&lt;&gt;"",OR(N2486&lt;1,N2486&gt;5)),1,0)</f>
        <v>0</v>
      </c>
      <c r="AA2486" s="9" t="n">
        <f aca="false">IF(AND(M2486&lt;&gt;"",OR(M2486&lt;5,M2486&gt;180)),1,0)</f>
        <v>0</v>
      </c>
      <c r="AB2486" s="7" t="str">
        <f aca="false">IF(P2486="DUP","Exact duplicate row",IF(T2486=1,"Missing Order ID",IF(S2486="DROP","Duplicate Order ID (less complete row)",IF(U2486=1,"Missing Customer ID",IF(V2486=1,"Missing Restaurant name",IF(W2486=1,"Invalid/outlier quantity",IF(X2486=1,"Invalid/outlier unit price",IF(Y2486=1,"Discount greater than order value",""))))))))</f>
        <v/>
      </c>
      <c r="AC2486" s="7" t="str">
        <f aca="false">IF(AB2486="","KEEP","DROP")</f>
        <v>KEEP</v>
      </c>
      <c r="AD2486" s="7" t="str">
        <f aca="false">IF(TRIM(F2486)="",IFERROR(INDEX(Map_Tables!$I$4:$I$37,MATCH(TRIM(E2486),Map_Tables!$G$4:$G$37,0)),""),IFERROR(INDEX(Map_Tables!$B$4:$B$18,MATCH(TRIM(F2486),Map_Tables!$A$4:$A$18,0)),"CHECK"))</f>
        <v>Kolkata</v>
      </c>
      <c r="AE2486" s="7" t="str">
        <f aca="false">IF(TRIM(E2486)="","",IFERROR(INDEX(Map_Tables!$H$4:$H$37,MATCH(TRIM(E2486),Map_Tables!$G$4:$G$37,0)),"CHECK"))</f>
        <v>Biryani Baadshah</v>
      </c>
      <c r="AF2486" s="7" t="str">
        <f aca="false">IF(TRIM(K2486)="","Unknown",IFERROR(INDEX(Map_Tables!$E$4:$E$15,MATCH(TRIM(K2486),Map_Tables!$D$4:$D$15,0)),"CHECK"))</f>
        <v>UPI</v>
      </c>
      <c r="AG2486" s="7" t="str">
        <f aca="false">IF(LEFT(LOWER(TRIM(L2486)),6)="cancel","Cancelled","Delivered")</f>
        <v>Delivered</v>
      </c>
      <c r="AH2486" s="10" t="n">
        <f aca="false">IF(ISNUMBER(SEARCH("/",B2486)),DATE(VALUE(RIGHT(B2486,4)),VALUE(MID(B2486,4,2)),VALUE(LEFT(B2486,2))),IF(MID(B2486,5,1)="-",DATE(VALUE(LEFT(B2486,4)),VALUE(MID(B2486,6,2)),VALUE(RIGHT(B2486,2))),DATE(VALUE(RIGHT(B2486,4)),MATCH(MID(B2486,4,3),{"Jan","Feb","Mar","Apr","May","Jun","Jul","Aug","Sep","Oct","Nov","Dec"},0),VALUE(LEFT(B2486,2)))))</f>
        <v>45810</v>
      </c>
    </row>
    <row r="2487" customFormat="false" ht="15" hidden="false" customHeight="false" outlineLevel="0" collapsed="false">
      <c r="A2487" s="7" t="s">
        <v>5441</v>
      </c>
      <c r="B2487" s="7" t="s">
        <v>808</v>
      </c>
      <c r="C2487" s="7" t="s">
        <v>1490</v>
      </c>
      <c r="D2487" s="7" t="s">
        <v>5442</v>
      </c>
      <c r="E2487" s="7" t="s">
        <v>98</v>
      </c>
      <c r="F2487" s="7" t="s">
        <v>86</v>
      </c>
      <c r="G2487" s="7" t="s">
        <v>1199</v>
      </c>
      <c r="H2487" s="7" t="n">
        <v>1</v>
      </c>
      <c r="I2487" s="7" t="n">
        <v>275</v>
      </c>
      <c r="J2487" s="7" t="n">
        <v>0</v>
      </c>
      <c r="K2487" s="7" t="s">
        <v>93</v>
      </c>
      <c r="L2487" s="7" t="s">
        <v>194</v>
      </c>
      <c r="M2487" s="7" t="n">
        <v>38</v>
      </c>
      <c r="N2487" s="7" t="n">
        <v>4</v>
      </c>
      <c r="O2487" s="7" t="str">
        <f aca="false">A2487&amp;"|"&amp;B2487&amp;"|"&amp;C2487&amp;"|"&amp;D2487&amp;"|"&amp;E2487&amp;"|"&amp;F2487&amp;"|"&amp;G2487&amp;"|"&amp;H2487&amp;"|"&amp;I2487&amp;"|"&amp;J2487&amp;"|"&amp;K2487&amp;"|"&amp;L2487&amp;"|"&amp;M2487&amp;"|"&amp;N2487</f>
        <v>ORD12580|2025-11-16|10:51|C1228|Nawabi Biryani House|Bengaluru|biryani|1|275|0|Credit Card|Delivered|38|4</v>
      </c>
      <c r="P2487" s="7" t="str">
        <f aca="false">IF(COUNTIF($O$2:O2487,O2487)&gt;1,"DUP","OK")</f>
        <v>OK</v>
      </c>
      <c r="Q2487" s="7" t="n">
        <f aca="false">COUNTBLANK(A2487:N2487)</f>
        <v>0</v>
      </c>
      <c r="R2487" s="7" t="n">
        <f aca="false">IF(A2487="",0,COUNTIFS($A$2:$A$3058,A2487,$P$2:$P$3058,"OK"))</f>
        <v>1</v>
      </c>
      <c r="S2487" s="7" t="str">
        <f aca="false">IF(OR(A2487="",P2487="DUP",R2487&lt;2),"",IF(Q2487=_xlfn.MINIFS($Q$2:$Q$3058,$A$2:$A$3058,A2487,$P$2:$P$3058,"OK"),"KEEP","DROP"))</f>
        <v/>
      </c>
      <c r="T2487" s="9" t="n">
        <f aca="false">IF(A2487="",1,0)</f>
        <v>0</v>
      </c>
      <c r="U2487" s="9" t="n">
        <f aca="false">IF(D2487="",1,0)</f>
        <v>0</v>
      </c>
      <c r="V2487" s="9" t="n">
        <f aca="false">IF(E2487="",1,0)</f>
        <v>0</v>
      </c>
      <c r="W2487" s="9" t="n">
        <f aca="false">IF(OR(H2487&lt;1,H2487&gt;10),1,0)</f>
        <v>0</v>
      </c>
      <c r="X2487" s="9" t="n">
        <f aca="false">IF(OR(I2487&lt;=0,I2487&gt;1500),1,0)</f>
        <v>0</v>
      </c>
      <c r="Y2487" s="9" t="n">
        <f aca="false">IF(J2487&gt;H2487*I2487,1,0)</f>
        <v>0</v>
      </c>
      <c r="Z2487" s="9" t="n">
        <f aca="false">IF(AND(N2487&lt;&gt;"",OR(N2487&lt;1,N2487&gt;5)),1,0)</f>
        <v>0</v>
      </c>
      <c r="AA2487" s="9" t="n">
        <f aca="false">IF(AND(M2487&lt;&gt;"",OR(M2487&lt;5,M2487&gt;180)),1,0)</f>
        <v>0</v>
      </c>
      <c r="AB2487" s="7" t="str">
        <f aca="false">IF(P2487="DUP","Exact duplicate row",IF(T2487=1,"Missing Order ID",IF(S2487="DROP","Duplicate Order ID (less complete row)",IF(U2487=1,"Missing Customer ID",IF(V2487=1,"Missing Restaurant name",IF(W2487=1,"Invalid/outlier quantity",IF(X2487=1,"Invalid/outlier unit price",IF(Y2487=1,"Discount greater than order value",""))))))))</f>
        <v/>
      </c>
      <c r="AC2487" s="7" t="str">
        <f aca="false">IF(AB2487="","KEEP","DROP")</f>
        <v>KEEP</v>
      </c>
      <c r="AD2487" s="7" t="str">
        <f aca="false">IF(TRIM(F2487)="",IFERROR(INDEX(Map_Tables!$I$4:$I$37,MATCH(TRIM(E2487),Map_Tables!$G$4:$G$37,0)),""),IFERROR(INDEX(Map_Tables!$B$4:$B$18,MATCH(TRIM(F2487),Map_Tables!$A$4:$A$18,0)),"CHECK"))</f>
        <v>Bengaluru</v>
      </c>
      <c r="AE2487" s="7" t="str">
        <f aca="false">IF(TRIM(E2487)="","",IFERROR(INDEX(Map_Tables!$H$4:$H$37,MATCH(TRIM(E2487),Map_Tables!$G$4:$G$37,0)),"CHECK"))</f>
        <v>Nawabi Biryani House</v>
      </c>
      <c r="AF2487" s="7" t="str">
        <f aca="false">IF(TRIM(K2487)="","Unknown",IFERROR(INDEX(Map_Tables!$E$4:$E$15,MATCH(TRIM(K2487),Map_Tables!$D$4:$D$15,0)),"CHECK"))</f>
        <v>Credit Card</v>
      </c>
      <c r="AG2487" s="7" t="str">
        <f aca="false">IF(LEFT(LOWER(TRIM(L2487)),6)="cancel","Cancelled","Delivered")</f>
        <v>Delivered</v>
      </c>
      <c r="AH2487" s="10" t="n">
        <f aca="false">IF(ISNUMBER(SEARCH("/",B2487)),DATE(VALUE(RIGHT(B2487,4)),VALUE(MID(B2487,4,2)),VALUE(LEFT(B2487,2))),IF(MID(B2487,5,1)="-",DATE(VALUE(LEFT(B2487,4)),VALUE(MID(B2487,6,2)),VALUE(RIGHT(B2487,2))),DATE(VALUE(RIGHT(B2487,4)),MATCH(MID(B2487,4,3),{"Jan","Feb","Mar","Apr","May","Jun","Jul","Aug","Sep","Oct","Nov","Dec"},0),VALUE(LEFT(B2487,2)))))</f>
        <v>45977</v>
      </c>
    </row>
    <row r="2488" customFormat="false" ht="15" hidden="false" customHeight="false" outlineLevel="0" collapsed="false">
      <c r="A2488" s="7" t="s">
        <v>5443</v>
      </c>
      <c r="B2488" s="7" t="s">
        <v>855</v>
      </c>
      <c r="C2488" s="7" t="s">
        <v>2390</v>
      </c>
      <c r="D2488" s="7" t="s">
        <v>4535</v>
      </c>
      <c r="E2488" s="7" t="s">
        <v>1514</v>
      </c>
      <c r="F2488" s="7" t="s">
        <v>110</v>
      </c>
      <c r="G2488" s="7" t="s">
        <v>105</v>
      </c>
      <c r="H2488" s="7" t="n">
        <v>1</v>
      </c>
      <c r="I2488" s="7" t="n">
        <v>130</v>
      </c>
      <c r="J2488" s="7" t="n">
        <v>0</v>
      </c>
      <c r="K2488" s="7" t="s">
        <v>112</v>
      </c>
      <c r="L2488" s="7" t="s">
        <v>194</v>
      </c>
      <c r="M2488" s="7" t="n">
        <v>35</v>
      </c>
      <c r="N2488" s="7" t="n">
        <v>4</v>
      </c>
      <c r="O2488" s="7" t="str">
        <f aca="false">A2488&amp;"|"&amp;B2488&amp;"|"&amp;C2488&amp;"|"&amp;D2488&amp;"|"&amp;E2488&amp;"|"&amp;F2488&amp;"|"&amp;G2488&amp;"|"&amp;H2488&amp;"|"&amp;I2488&amp;"|"&amp;J2488&amp;"|"&amp;K2488&amp;"|"&amp;L2488&amp;"|"&amp;M2488&amp;"|"&amp;N2488</f>
        <v>ORD10942|2025-04-29|12:42|C0694|MOMO MAGIC|Delhi|Chinese|1|130|0|Cash on Delivery|Delivered|35|4</v>
      </c>
      <c r="P2488" s="7" t="str">
        <f aca="false">IF(COUNTIF($O$2:O2488,O2488)&gt;1,"DUP","OK")</f>
        <v>OK</v>
      </c>
      <c r="Q2488" s="7" t="n">
        <f aca="false">COUNTBLANK(A2488:N2488)</f>
        <v>0</v>
      </c>
      <c r="R2488" s="7" t="n">
        <f aca="false">IF(A2488="",0,COUNTIFS($A$2:$A$3058,A2488,$P$2:$P$3058,"OK"))</f>
        <v>1</v>
      </c>
      <c r="S2488" s="7" t="str">
        <f aca="false">IF(OR(A2488="",P2488="DUP",R2488&lt;2),"",IF(Q2488=_xlfn.MINIFS($Q$2:$Q$3058,$A$2:$A$3058,A2488,$P$2:$P$3058,"OK"),"KEEP","DROP"))</f>
        <v/>
      </c>
      <c r="T2488" s="9" t="n">
        <f aca="false">IF(A2488="",1,0)</f>
        <v>0</v>
      </c>
      <c r="U2488" s="9" t="n">
        <f aca="false">IF(D2488="",1,0)</f>
        <v>0</v>
      </c>
      <c r="V2488" s="9" t="n">
        <f aca="false">IF(E2488="",1,0)</f>
        <v>0</v>
      </c>
      <c r="W2488" s="9" t="n">
        <f aca="false">IF(OR(H2488&lt;1,H2488&gt;10),1,0)</f>
        <v>0</v>
      </c>
      <c r="X2488" s="9" t="n">
        <f aca="false">IF(OR(I2488&lt;=0,I2488&gt;1500),1,0)</f>
        <v>0</v>
      </c>
      <c r="Y2488" s="9" t="n">
        <f aca="false">IF(J2488&gt;H2488*I2488,1,0)</f>
        <v>0</v>
      </c>
      <c r="Z2488" s="9" t="n">
        <f aca="false">IF(AND(N2488&lt;&gt;"",OR(N2488&lt;1,N2488&gt;5)),1,0)</f>
        <v>0</v>
      </c>
      <c r="AA2488" s="9" t="n">
        <f aca="false">IF(AND(M2488&lt;&gt;"",OR(M2488&lt;5,M2488&gt;180)),1,0)</f>
        <v>0</v>
      </c>
      <c r="AB2488" s="7" t="str">
        <f aca="false">IF(P2488="DUP","Exact duplicate row",IF(T2488=1,"Missing Order ID",IF(S2488="DROP","Duplicate Order ID (less complete row)",IF(U2488=1,"Missing Customer ID",IF(V2488=1,"Missing Restaurant name",IF(W2488=1,"Invalid/outlier quantity",IF(X2488=1,"Invalid/outlier unit price",IF(Y2488=1,"Discount greater than order value",""))))))))</f>
        <v/>
      </c>
      <c r="AC2488" s="7" t="str">
        <f aca="false">IF(AB2488="","KEEP","DROP")</f>
        <v>KEEP</v>
      </c>
      <c r="AD2488" s="7" t="str">
        <f aca="false">IF(TRIM(F2488)="",IFERROR(INDEX(Map_Tables!$I$4:$I$37,MATCH(TRIM(E2488),Map_Tables!$G$4:$G$37,0)),""),IFERROR(INDEX(Map_Tables!$B$4:$B$18,MATCH(TRIM(F2488),Map_Tables!$A$4:$A$18,0)),"CHECK"))</f>
        <v>Delhi</v>
      </c>
      <c r="AE2488" s="7" t="str">
        <f aca="false">IF(TRIM(E2488)="","",IFERROR(INDEX(Map_Tables!$H$4:$H$37,MATCH(TRIM(E2488),Map_Tables!$G$4:$G$37,0)),"CHECK"))</f>
        <v>Momo Magic</v>
      </c>
      <c r="AF2488" s="7" t="str">
        <f aca="false">IF(TRIM(K2488)="","Unknown",IFERROR(INDEX(Map_Tables!$E$4:$E$15,MATCH(TRIM(K2488),Map_Tables!$D$4:$D$15,0)),"CHECK"))</f>
        <v>Cash on Delivery</v>
      </c>
      <c r="AG2488" s="7" t="str">
        <f aca="false">IF(LEFT(LOWER(TRIM(L2488)),6)="cancel","Cancelled","Delivered")</f>
        <v>Delivered</v>
      </c>
      <c r="AH2488" s="10" t="n">
        <f aca="false">IF(ISNUMBER(SEARCH("/",B2488)),DATE(VALUE(RIGHT(B2488,4)),VALUE(MID(B2488,4,2)),VALUE(LEFT(B2488,2))),IF(MID(B2488,5,1)="-",DATE(VALUE(LEFT(B2488,4)),VALUE(MID(B2488,6,2)),VALUE(RIGHT(B2488,2))),DATE(VALUE(RIGHT(B2488,4)),MATCH(MID(B2488,4,3),{"Jan","Feb","Mar","Apr","May","Jun","Jul","Aug","Sep","Oct","Nov","Dec"},0),VALUE(LEFT(B2488,2)))))</f>
        <v>45776</v>
      </c>
    </row>
    <row r="2489" customFormat="false" ht="15" hidden="false" customHeight="false" outlineLevel="0" collapsed="false">
      <c r="A2489" s="7" t="s">
        <v>5444</v>
      </c>
      <c r="B2489" s="7" t="s">
        <v>1160</v>
      </c>
      <c r="C2489" s="7" t="s">
        <v>3204</v>
      </c>
      <c r="D2489" s="7" t="s">
        <v>5445</v>
      </c>
      <c r="E2489" s="7" t="s">
        <v>113</v>
      </c>
      <c r="F2489" s="7" t="s">
        <v>100</v>
      </c>
      <c r="G2489" s="7" t="s">
        <v>90</v>
      </c>
      <c r="H2489" s="7" t="n">
        <v>2</v>
      </c>
      <c r="I2489" s="7" t="n">
        <v>260</v>
      </c>
      <c r="J2489" s="7" t="n">
        <v>20</v>
      </c>
      <c r="K2489" s="7" t="s">
        <v>88</v>
      </c>
      <c r="L2489" s="7" t="s">
        <v>194</v>
      </c>
      <c r="M2489" s="7" t="n">
        <v>54</v>
      </c>
      <c r="N2489" s="7" t="n">
        <v>3</v>
      </c>
      <c r="O2489" s="7" t="str">
        <f aca="false">A2489&amp;"|"&amp;B2489&amp;"|"&amp;C2489&amp;"|"&amp;D2489&amp;"|"&amp;E2489&amp;"|"&amp;F2489&amp;"|"&amp;G2489&amp;"|"&amp;H2489&amp;"|"&amp;I2489&amp;"|"&amp;J2489&amp;"|"&amp;K2489&amp;"|"&amp;L2489&amp;"|"&amp;M2489&amp;"|"&amp;N2489</f>
        <v>ORD10553|2025-03-11|21:26|C1267|Curry Leaf Kitchen|mumbai|North Indian|2|260|20|UPI|Delivered|54|3</v>
      </c>
      <c r="P2489" s="7" t="str">
        <f aca="false">IF(COUNTIF($O$2:O2489,O2489)&gt;1,"DUP","OK")</f>
        <v>OK</v>
      </c>
      <c r="Q2489" s="7" t="n">
        <f aca="false">COUNTBLANK(A2489:N2489)</f>
        <v>0</v>
      </c>
      <c r="R2489" s="7" t="n">
        <f aca="false">IF(A2489="",0,COUNTIFS($A$2:$A$3058,A2489,$P$2:$P$3058,"OK"))</f>
        <v>1</v>
      </c>
      <c r="S2489" s="7" t="str">
        <f aca="false">IF(OR(A2489="",P2489="DUP",R2489&lt;2),"",IF(Q2489=_xlfn.MINIFS($Q$2:$Q$3058,$A$2:$A$3058,A2489,$P$2:$P$3058,"OK"),"KEEP","DROP"))</f>
        <v/>
      </c>
      <c r="T2489" s="9" t="n">
        <f aca="false">IF(A2489="",1,0)</f>
        <v>0</v>
      </c>
      <c r="U2489" s="9" t="n">
        <f aca="false">IF(D2489="",1,0)</f>
        <v>0</v>
      </c>
      <c r="V2489" s="9" t="n">
        <f aca="false">IF(E2489="",1,0)</f>
        <v>0</v>
      </c>
      <c r="W2489" s="9" t="n">
        <f aca="false">IF(OR(H2489&lt;1,H2489&gt;10),1,0)</f>
        <v>0</v>
      </c>
      <c r="X2489" s="9" t="n">
        <f aca="false">IF(OR(I2489&lt;=0,I2489&gt;1500),1,0)</f>
        <v>0</v>
      </c>
      <c r="Y2489" s="9" t="n">
        <f aca="false">IF(J2489&gt;H2489*I2489,1,0)</f>
        <v>0</v>
      </c>
      <c r="Z2489" s="9" t="n">
        <f aca="false">IF(AND(N2489&lt;&gt;"",OR(N2489&lt;1,N2489&gt;5)),1,0)</f>
        <v>0</v>
      </c>
      <c r="AA2489" s="9" t="n">
        <f aca="false">IF(AND(M2489&lt;&gt;"",OR(M2489&lt;5,M2489&gt;180)),1,0)</f>
        <v>0</v>
      </c>
      <c r="AB2489" s="7" t="str">
        <f aca="false">IF(P2489="DUP","Exact duplicate row",IF(T2489=1,"Missing Order ID",IF(S2489="DROP","Duplicate Order ID (less complete row)",IF(U2489=1,"Missing Customer ID",IF(V2489=1,"Missing Restaurant name",IF(W2489=1,"Invalid/outlier quantity",IF(X2489=1,"Invalid/outlier unit price",IF(Y2489=1,"Discount greater than order value",""))))))))</f>
        <v/>
      </c>
      <c r="AC2489" s="7" t="str">
        <f aca="false">IF(AB2489="","KEEP","DROP")</f>
        <v>KEEP</v>
      </c>
      <c r="AD2489" s="7" t="str">
        <f aca="false">IF(TRIM(F2489)="",IFERROR(INDEX(Map_Tables!$I$4:$I$37,MATCH(TRIM(E2489),Map_Tables!$G$4:$G$37,0)),""),IFERROR(INDEX(Map_Tables!$B$4:$B$18,MATCH(TRIM(F2489),Map_Tables!$A$4:$A$18,0)),"CHECK"))</f>
        <v>Mumbai</v>
      </c>
      <c r="AE2489" s="7" t="str">
        <f aca="false">IF(TRIM(E2489)="","",IFERROR(INDEX(Map_Tables!$H$4:$H$37,MATCH(TRIM(E2489),Map_Tables!$G$4:$G$37,0)),"CHECK"))</f>
        <v>Curry Leaf Kitchen</v>
      </c>
      <c r="AF2489" s="7" t="str">
        <f aca="false">IF(TRIM(K2489)="","Unknown",IFERROR(INDEX(Map_Tables!$E$4:$E$15,MATCH(TRIM(K2489),Map_Tables!$D$4:$D$15,0)),"CHECK"))</f>
        <v>UPI</v>
      </c>
      <c r="AG2489" s="7" t="str">
        <f aca="false">IF(LEFT(LOWER(TRIM(L2489)),6)="cancel","Cancelled","Delivered")</f>
        <v>Delivered</v>
      </c>
      <c r="AH2489" s="10" t="n">
        <f aca="false">IF(ISNUMBER(SEARCH("/",B2489)),DATE(VALUE(RIGHT(B2489,4)),VALUE(MID(B2489,4,2)),VALUE(LEFT(B2489,2))),IF(MID(B2489,5,1)="-",DATE(VALUE(LEFT(B2489,4)),VALUE(MID(B2489,6,2)),VALUE(RIGHT(B2489,2))),DATE(VALUE(RIGHT(B2489,4)),MATCH(MID(B2489,4,3),{"Jan","Feb","Mar","Apr","May","Jun","Jul","Aug","Sep","Oct","Nov","Dec"},0),VALUE(LEFT(B2489,2)))))</f>
        <v>45727</v>
      </c>
    </row>
    <row r="2490" customFormat="false" ht="15" hidden="false" customHeight="false" outlineLevel="0" collapsed="false">
      <c r="A2490" s="7" t="s">
        <v>5446</v>
      </c>
      <c r="B2490" s="7" t="s">
        <v>2450</v>
      </c>
      <c r="C2490" s="7" t="s">
        <v>5447</v>
      </c>
      <c r="D2490" s="7" t="s">
        <v>4686</v>
      </c>
      <c r="E2490" s="7" t="s">
        <v>142</v>
      </c>
      <c r="F2490" s="7" t="s">
        <v>109</v>
      </c>
      <c r="G2490" s="7" t="s">
        <v>105</v>
      </c>
      <c r="H2490" s="7" t="n">
        <v>1</v>
      </c>
      <c r="I2490" s="7" t="n">
        <v>160</v>
      </c>
      <c r="J2490" s="7" t="n">
        <v>64</v>
      </c>
      <c r="K2490" s="7" t="s">
        <v>88</v>
      </c>
      <c r="L2490" s="7" t="s">
        <v>238</v>
      </c>
      <c r="M2490" s="7"/>
      <c r="N2490" s="7"/>
      <c r="O2490" s="7" t="str">
        <f aca="false">A2490&amp;"|"&amp;B2490&amp;"|"&amp;C2490&amp;"|"&amp;D2490&amp;"|"&amp;E2490&amp;"|"&amp;F2490&amp;"|"&amp;G2490&amp;"|"&amp;H2490&amp;"|"&amp;I2490&amp;"|"&amp;J2490&amp;"|"&amp;K2490&amp;"|"&amp;L2490&amp;"|"&amp;M2490&amp;"|"&amp;N2490</f>
        <v>ORD10407|2025-02-24|10:23|C1389|Momo Magic|delhi|Chinese|1|160|64|UPI|Cancelled||</v>
      </c>
      <c r="P2490" s="7" t="str">
        <f aca="false">IF(COUNTIF($O$2:O2490,O2490)&gt;1,"DUP","OK")</f>
        <v>OK</v>
      </c>
      <c r="Q2490" s="7" t="n">
        <f aca="false">COUNTBLANK(A2490:N2490)</f>
        <v>2</v>
      </c>
      <c r="R2490" s="7" t="n">
        <f aca="false">IF(A2490="",0,COUNTIFS($A$2:$A$3058,A2490,$P$2:$P$3058,"OK"))</f>
        <v>1</v>
      </c>
      <c r="S2490" s="7" t="str">
        <f aca="false">IF(OR(A2490="",P2490="DUP",R2490&lt;2),"",IF(Q2490=_xlfn.MINIFS($Q$2:$Q$3058,$A$2:$A$3058,A2490,$P$2:$P$3058,"OK"),"KEEP","DROP"))</f>
        <v/>
      </c>
      <c r="T2490" s="9" t="n">
        <f aca="false">IF(A2490="",1,0)</f>
        <v>0</v>
      </c>
      <c r="U2490" s="9" t="n">
        <f aca="false">IF(D2490="",1,0)</f>
        <v>0</v>
      </c>
      <c r="V2490" s="9" t="n">
        <f aca="false">IF(E2490="",1,0)</f>
        <v>0</v>
      </c>
      <c r="W2490" s="9" t="n">
        <f aca="false">IF(OR(H2490&lt;1,H2490&gt;10),1,0)</f>
        <v>0</v>
      </c>
      <c r="X2490" s="9" t="n">
        <f aca="false">IF(OR(I2490&lt;=0,I2490&gt;1500),1,0)</f>
        <v>0</v>
      </c>
      <c r="Y2490" s="9" t="n">
        <f aca="false">IF(J2490&gt;H2490*I2490,1,0)</f>
        <v>0</v>
      </c>
      <c r="Z2490" s="9" t="n">
        <f aca="false">IF(AND(N2490&lt;&gt;"",OR(N2490&lt;1,N2490&gt;5)),1,0)</f>
        <v>0</v>
      </c>
      <c r="AA2490" s="9" t="n">
        <f aca="false">IF(AND(M2490&lt;&gt;"",OR(M2490&lt;5,M2490&gt;180)),1,0)</f>
        <v>0</v>
      </c>
      <c r="AB2490" s="7" t="str">
        <f aca="false">IF(P2490="DUP","Exact duplicate row",IF(T2490=1,"Missing Order ID",IF(S2490="DROP","Duplicate Order ID (less complete row)",IF(U2490=1,"Missing Customer ID",IF(V2490=1,"Missing Restaurant name",IF(W2490=1,"Invalid/outlier quantity",IF(X2490=1,"Invalid/outlier unit price",IF(Y2490=1,"Discount greater than order value",""))))))))</f>
        <v/>
      </c>
      <c r="AC2490" s="7" t="str">
        <f aca="false">IF(AB2490="","KEEP","DROP")</f>
        <v>KEEP</v>
      </c>
      <c r="AD2490" s="7" t="str">
        <f aca="false">IF(TRIM(F2490)="",IFERROR(INDEX(Map_Tables!$I$4:$I$37,MATCH(TRIM(E2490),Map_Tables!$G$4:$G$37,0)),""),IFERROR(INDEX(Map_Tables!$B$4:$B$18,MATCH(TRIM(F2490),Map_Tables!$A$4:$A$18,0)),"CHECK"))</f>
        <v>Delhi</v>
      </c>
      <c r="AE2490" s="7" t="str">
        <f aca="false">IF(TRIM(E2490)="","",IFERROR(INDEX(Map_Tables!$H$4:$H$37,MATCH(TRIM(E2490),Map_Tables!$G$4:$G$37,0)),"CHECK"))</f>
        <v>Momo Magic</v>
      </c>
      <c r="AF2490" s="7" t="str">
        <f aca="false">IF(TRIM(K2490)="","Unknown",IFERROR(INDEX(Map_Tables!$E$4:$E$15,MATCH(TRIM(K2490),Map_Tables!$D$4:$D$15,0)),"CHECK"))</f>
        <v>UPI</v>
      </c>
      <c r="AG2490" s="7" t="str">
        <f aca="false">IF(LEFT(LOWER(TRIM(L2490)),6)="cancel","Cancelled","Delivered")</f>
        <v>Cancelled</v>
      </c>
      <c r="AH2490" s="10" t="n">
        <f aca="false">IF(ISNUMBER(SEARCH("/",B2490)),DATE(VALUE(RIGHT(B2490,4)),VALUE(MID(B2490,4,2)),VALUE(LEFT(B2490,2))),IF(MID(B2490,5,1)="-",DATE(VALUE(LEFT(B2490,4)),VALUE(MID(B2490,6,2)),VALUE(RIGHT(B2490,2))),DATE(VALUE(RIGHT(B2490,4)),MATCH(MID(B2490,4,3),{"Jan","Feb","Mar","Apr","May","Jun","Jul","Aug","Sep","Oct","Nov","Dec"},0),VALUE(LEFT(B2490,2)))))</f>
        <v>45712</v>
      </c>
    </row>
    <row r="2491" customFormat="false" ht="15" hidden="false" customHeight="false" outlineLevel="0" collapsed="false">
      <c r="A2491" s="7" t="s">
        <v>5448</v>
      </c>
      <c r="B2491" s="7" t="s">
        <v>528</v>
      </c>
      <c r="C2491" s="7" t="s">
        <v>1313</v>
      </c>
      <c r="D2491" s="7" t="s">
        <v>246</v>
      </c>
      <c r="E2491" s="7" t="s">
        <v>122</v>
      </c>
      <c r="F2491" s="7" t="s">
        <v>101</v>
      </c>
      <c r="G2491" s="7" t="s">
        <v>123</v>
      </c>
      <c r="H2491" s="7" t="n">
        <v>1</v>
      </c>
      <c r="I2491" s="7" t="n">
        <v>265</v>
      </c>
      <c r="J2491" s="7" t="n">
        <v>0</v>
      </c>
      <c r="K2491" s="7" t="s">
        <v>93</v>
      </c>
      <c r="L2491" s="7" t="s">
        <v>457</v>
      </c>
      <c r="M2491" s="7" t="n">
        <v>48</v>
      </c>
      <c r="N2491" s="7"/>
      <c r="O2491" s="7" t="str">
        <f aca="false">A2491&amp;"|"&amp;B2491&amp;"|"&amp;C2491&amp;"|"&amp;D2491&amp;"|"&amp;E2491&amp;"|"&amp;F2491&amp;"|"&amp;G2491&amp;"|"&amp;H2491&amp;"|"&amp;I2491&amp;"|"&amp;J2491&amp;"|"&amp;K2491&amp;"|"&amp;L2491&amp;"|"&amp;M2491&amp;"|"&amp;N2491</f>
        <v>ORD12118|2025-09-29|20:52|C1478|Mumbai Pizza Co|Mumbai|Pizza|1|265|0|Credit Card|Delivered |48|</v>
      </c>
      <c r="P2491" s="7" t="str">
        <f aca="false">IF(COUNTIF($O$2:O2491,O2491)&gt;1,"DUP","OK")</f>
        <v>OK</v>
      </c>
      <c r="Q2491" s="7" t="n">
        <f aca="false">COUNTBLANK(A2491:N2491)</f>
        <v>1</v>
      </c>
      <c r="R2491" s="7" t="n">
        <f aca="false">IF(A2491="",0,COUNTIFS($A$2:$A$3058,A2491,$P$2:$P$3058,"OK"))</f>
        <v>1</v>
      </c>
      <c r="S2491" s="7" t="str">
        <f aca="false">IF(OR(A2491="",P2491="DUP",R2491&lt;2),"",IF(Q2491=_xlfn.MINIFS($Q$2:$Q$3058,$A$2:$A$3058,A2491,$P$2:$P$3058,"OK"),"KEEP","DROP"))</f>
        <v/>
      </c>
      <c r="T2491" s="9" t="n">
        <f aca="false">IF(A2491="",1,0)</f>
        <v>0</v>
      </c>
      <c r="U2491" s="9" t="n">
        <f aca="false">IF(D2491="",1,0)</f>
        <v>0</v>
      </c>
      <c r="V2491" s="9" t="n">
        <f aca="false">IF(E2491="",1,0)</f>
        <v>0</v>
      </c>
      <c r="W2491" s="9" t="n">
        <f aca="false">IF(OR(H2491&lt;1,H2491&gt;10),1,0)</f>
        <v>0</v>
      </c>
      <c r="X2491" s="9" t="n">
        <f aca="false">IF(OR(I2491&lt;=0,I2491&gt;1500),1,0)</f>
        <v>0</v>
      </c>
      <c r="Y2491" s="9" t="n">
        <f aca="false">IF(J2491&gt;H2491*I2491,1,0)</f>
        <v>0</v>
      </c>
      <c r="Z2491" s="9" t="n">
        <f aca="false">IF(AND(N2491&lt;&gt;"",OR(N2491&lt;1,N2491&gt;5)),1,0)</f>
        <v>0</v>
      </c>
      <c r="AA2491" s="9" t="n">
        <f aca="false">IF(AND(M2491&lt;&gt;"",OR(M2491&lt;5,M2491&gt;180)),1,0)</f>
        <v>0</v>
      </c>
      <c r="AB2491" s="7" t="str">
        <f aca="false">IF(P2491="DUP","Exact duplicate row",IF(T2491=1,"Missing Order ID",IF(S2491="DROP","Duplicate Order ID (less complete row)",IF(U2491=1,"Missing Customer ID",IF(V2491=1,"Missing Restaurant name",IF(W2491=1,"Invalid/outlier quantity",IF(X2491=1,"Invalid/outlier unit price",IF(Y2491=1,"Discount greater than order value",""))))))))</f>
        <v/>
      </c>
      <c r="AC2491" s="7" t="str">
        <f aca="false">IF(AB2491="","KEEP","DROP")</f>
        <v>KEEP</v>
      </c>
      <c r="AD2491" s="7" t="str">
        <f aca="false">IF(TRIM(F2491)="",IFERROR(INDEX(Map_Tables!$I$4:$I$37,MATCH(TRIM(E2491),Map_Tables!$G$4:$G$37,0)),""),IFERROR(INDEX(Map_Tables!$B$4:$B$18,MATCH(TRIM(F2491),Map_Tables!$A$4:$A$18,0)),"CHECK"))</f>
        <v>Mumbai</v>
      </c>
      <c r="AE2491" s="7" t="str">
        <f aca="false">IF(TRIM(E2491)="","",IFERROR(INDEX(Map_Tables!$H$4:$H$37,MATCH(TRIM(E2491),Map_Tables!$G$4:$G$37,0)),"CHECK"))</f>
        <v>Mumbai Pizza Co</v>
      </c>
      <c r="AF2491" s="7" t="str">
        <f aca="false">IF(TRIM(K2491)="","Unknown",IFERROR(INDEX(Map_Tables!$E$4:$E$15,MATCH(TRIM(K2491),Map_Tables!$D$4:$D$15,0)),"CHECK"))</f>
        <v>Credit Card</v>
      </c>
      <c r="AG2491" s="7" t="str">
        <f aca="false">IF(LEFT(LOWER(TRIM(L2491)),6)="cancel","Cancelled","Delivered")</f>
        <v>Delivered</v>
      </c>
      <c r="AH2491" s="10" t="n">
        <f aca="false">IF(ISNUMBER(SEARCH("/",B2491)),DATE(VALUE(RIGHT(B2491,4)),VALUE(MID(B2491,4,2)),VALUE(LEFT(B2491,2))),IF(MID(B2491,5,1)="-",DATE(VALUE(LEFT(B2491,4)),VALUE(MID(B2491,6,2)),VALUE(RIGHT(B2491,2))),DATE(VALUE(RIGHT(B2491,4)),MATCH(MID(B2491,4,3),{"Jan","Feb","Mar","Apr","May","Jun","Jul","Aug","Sep","Oct","Nov","Dec"},0),VALUE(LEFT(B2491,2)))))</f>
        <v>45929</v>
      </c>
    </row>
    <row r="2492" customFormat="false" ht="15" hidden="false" customHeight="false" outlineLevel="0" collapsed="false">
      <c r="A2492" s="7" t="s">
        <v>5449</v>
      </c>
      <c r="B2492" s="7" t="s">
        <v>1249</v>
      </c>
      <c r="C2492" s="7" t="s">
        <v>411</v>
      </c>
      <c r="D2492" s="7" t="s">
        <v>948</v>
      </c>
      <c r="E2492" s="7" t="s">
        <v>148</v>
      </c>
      <c r="F2492" s="7" t="s">
        <v>119</v>
      </c>
      <c r="G2492" s="7" t="s">
        <v>123</v>
      </c>
      <c r="H2492" s="7" t="n">
        <v>2</v>
      </c>
      <c r="I2492" s="7" t="n">
        <v>295</v>
      </c>
      <c r="J2492" s="7" t="n">
        <v>100</v>
      </c>
      <c r="K2492" s="7" t="s">
        <v>88</v>
      </c>
      <c r="L2492" s="7" t="s">
        <v>194</v>
      </c>
      <c r="M2492" s="7" t="n">
        <v>28</v>
      </c>
      <c r="N2492" s="7"/>
      <c r="O2492" s="7" t="str">
        <f aca="false">A2492&amp;"|"&amp;B2492&amp;"|"&amp;C2492&amp;"|"&amp;D2492&amp;"|"&amp;E2492&amp;"|"&amp;F2492&amp;"|"&amp;G2492&amp;"|"&amp;H2492&amp;"|"&amp;I2492&amp;"|"&amp;J2492&amp;"|"&amp;K2492&amp;"|"&amp;L2492&amp;"|"&amp;M2492&amp;"|"&amp;N2492</f>
        <v>ORD11614|2025-07-29|18:00|C0622|Pizza Palace|Hyderabad|Pizza|2|295|100|UPI|Delivered|28|</v>
      </c>
      <c r="P2492" s="7" t="str">
        <f aca="false">IF(COUNTIF($O$2:O2492,O2492)&gt;1,"DUP","OK")</f>
        <v>OK</v>
      </c>
      <c r="Q2492" s="7" t="n">
        <f aca="false">COUNTBLANK(A2492:N2492)</f>
        <v>1</v>
      </c>
      <c r="R2492" s="7" t="n">
        <f aca="false">IF(A2492="",0,COUNTIFS($A$2:$A$3058,A2492,$P$2:$P$3058,"OK"))</f>
        <v>1</v>
      </c>
      <c r="S2492" s="7" t="str">
        <f aca="false">IF(OR(A2492="",P2492="DUP",R2492&lt;2),"",IF(Q2492=_xlfn.MINIFS($Q$2:$Q$3058,$A$2:$A$3058,A2492,$P$2:$P$3058,"OK"),"KEEP","DROP"))</f>
        <v/>
      </c>
      <c r="T2492" s="9" t="n">
        <f aca="false">IF(A2492="",1,0)</f>
        <v>0</v>
      </c>
      <c r="U2492" s="9" t="n">
        <f aca="false">IF(D2492="",1,0)</f>
        <v>0</v>
      </c>
      <c r="V2492" s="9" t="n">
        <f aca="false">IF(E2492="",1,0)</f>
        <v>0</v>
      </c>
      <c r="W2492" s="9" t="n">
        <f aca="false">IF(OR(H2492&lt;1,H2492&gt;10),1,0)</f>
        <v>0</v>
      </c>
      <c r="X2492" s="9" t="n">
        <f aca="false">IF(OR(I2492&lt;=0,I2492&gt;1500),1,0)</f>
        <v>0</v>
      </c>
      <c r="Y2492" s="9" t="n">
        <f aca="false">IF(J2492&gt;H2492*I2492,1,0)</f>
        <v>0</v>
      </c>
      <c r="Z2492" s="9" t="n">
        <f aca="false">IF(AND(N2492&lt;&gt;"",OR(N2492&lt;1,N2492&gt;5)),1,0)</f>
        <v>0</v>
      </c>
      <c r="AA2492" s="9" t="n">
        <f aca="false">IF(AND(M2492&lt;&gt;"",OR(M2492&lt;5,M2492&gt;180)),1,0)</f>
        <v>0</v>
      </c>
      <c r="AB2492" s="7" t="str">
        <f aca="false">IF(P2492="DUP","Exact duplicate row",IF(T2492=1,"Missing Order ID",IF(S2492="DROP","Duplicate Order ID (less complete row)",IF(U2492=1,"Missing Customer ID",IF(V2492=1,"Missing Restaurant name",IF(W2492=1,"Invalid/outlier quantity",IF(X2492=1,"Invalid/outlier unit price",IF(Y2492=1,"Discount greater than order value",""))))))))</f>
        <v/>
      </c>
      <c r="AC2492" s="7" t="str">
        <f aca="false">IF(AB2492="","KEEP","DROP")</f>
        <v>KEEP</v>
      </c>
      <c r="AD2492" s="7" t="str">
        <f aca="false">IF(TRIM(F2492)="",IFERROR(INDEX(Map_Tables!$I$4:$I$37,MATCH(TRIM(E2492),Map_Tables!$G$4:$G$37,0)),""),IFERROR(INDEX(Map_Tables!$B$4:$B$18,MATCH(TRIM(F2492),Map_Tables!$A$4:$A$18,0)),"CHECK"))</f>
        <v>Hyderabad</v>
      </c>
      <c r="AE2492" s="7" t="str">
        <f aca="false">IF(TRIM(E2492)="","",IFERROR(INDEX(Map_Tables!$H$4:$H$37,MATCH(TRIM(E2492),Map_Tables!$G$4:$G$37,0)),"CHECK"))</f>
        <v>Pizza Palace</v>
      </c>
      <c r="AF2492" s="7" t="str">
        <f aca="false">IF(TRIM(K2492)="","Unknown",IFERROR(INDEX(Map_Tables!$E$4:$E$15,MATCH(TRIM(K2492),Map_Tables!$D$4:$D$15,0)),"CHECK"))</f>
        <v>UPI</v>
      </c>
      <c r="AG2492" s="7" t="str">
        <f aca="false">IF(LEFT(LOWER(TRIM(L2492)),6)="cancel","Cancelled","Delivered")</f>
        <v>Delivered</v>
      </c>
      <c r="AH2492" s="10" t="n">
        <f aca="false">IF(ISNUMBER(SEARCH("/",B2492)),DATE(VALUE(RIGHT(B2492,4)),VALUE(MID(B2492,4,2)),VALUE(LEFT(B2492,2))),IF(MID(B2492,5,1)="-",DATE(VALUE(LEFT(B2492,4)),VALUE(MID(B2492,6,2)),VALUE(RIGHT(B2492,2))),DATE(VALUE(RIGHT(B2492,4)),MATCH(MID(B2492,4,3),{"Jan","Feb","Mar","Apr","May","Jun","Jul","Aug","Sep","Oct","Nov","Dec"},0),VALUE(LEFT(B2492,2)))))</f>
        <v>45867</v>
      </c>
    </row>
    <row r="2493" customFormat="false" ht="15" hidden="false" customHeight="false" outlineLevel="0" collapsed="false">
      <c r="A2493" s="7" t="s">
        <v>5450</v>
      </c>
      <c r="B2493" s="7" t="s">
        <v>2461</v>
      </c>
      <c r="C2493" s="7" t="s">
        <v>1718</v>
      </c>
      <c r="D2493" s="7" t="s">
        <v>5451</v>
      </c>
      <c r="E2493" s="7" t="s">
        <v>94</v>
      </c>
      <c r="F2493" s="7" t="s">
        <v>86</v>
      </c>
      <c r="G2493" s="7" t="s">
        <v>95</v>
      </c>
      <c r="H2493" s="7" t="n">
        <v>1</v>
      </c>
      <c r="I2493" s="7" t="n">
        <v>120</v>
      </c>
      <c r="J2493" s="7" t="n">
        <v>0</v>
      </c>
      <c r="K2493" s="7" t="s">
        <v>88</v>
      </c>
      <c r="L2493" s="7" t="s">
        <v>194</v>
      </c>
      <c r="M2493" s="7" t="n">
        <v>44</v>
      </c>
      <c r="N2493" s="7" t="n">
        <v>4</v>
      </c>
      <c r="O2493" s="7" t="str">
        <f aca="false">A2493&amp;"|"&amp;B2493&amp;"|"&amp;C2493&amp;"|"&amp;D2493&amp;"|"&amp;E2493&amp;"|"&amp;F2493&amp;"|"&amp;G2493&amp;"|"&amp;H2493&amp;"|"&amp;I2493&amp;"|"&amp;J2493&amp;"|"&amp;K2493&amp;"|"&amp;L2493&amp;"|"&amp;M2493&amp;"|"&amp;N2493</f>
        <v>ORD10969|2025-05-02|20:13|C1258|Dosa Darbar|Bengaluru|South Indian|1|120|0|UPI|Delivered|44|4</v>
      </c>
      <c r="P2493" s="7" t="str">
        <f aca="false">IF(COUNTIF($O$2:O2493,O2493)&gt;1,"DUP","OK")</f>
        <v>OK</v>
      </c>
      <c r="Q2493" s="7" t="n">
        <f aca="false">COUNTBLANK(A2493:N2493)</f>
        <v>0</v>
      </c>
      <c r="R2493" s="7" t="n">
        <f aca="false">IF(A2493="",0,COUNTIFS($A$2:$A$3058,A2493,$P$2:$P$3058,"OK"))</f>
        <v>1</v>
      </c>
      <c r="S2493" s="7" t="str">
        <f aca="false">IF(OR(A2493="",P2493="DUP",R2493&lt;2),"",IF(Q2493=_xlfn.MINIFS($Q$2:$Q$3058,$A$2:$A$3058,A2493,$P$2:$P$3058,"OK"),"KEEP","DROP"))</f>
        <v/>
      </c>
      <c r="T2493" s="9" t="n">
        <f aca="false">IF(A2493="",1,0)</f>
        <v>0</v>
      </c>
      <c r="U2493" s="9" t="n">
        <f aca="false">IF(D2493="",1,0)</f>
        <v>0</v>
      </c>
      <c r="V2493" s="9" t="n">
        <f aca="false">IF(E2493="",1,0)</f>
        <v>0</v>
      </c>
      <c r="W2493" s="9" t="n">
        <f aca="false">IF(OR(H2493&lt;1,H2493&gt;10),1,0)</f>
        <v>0</v>
      </c>
      <c r="X2493" s="9" t="n">
        <f aca="false">IF(OR(I2493&lt;=0,I2493&gt;1500),1,0)</f>
        <v>0</v>
      </c>
      <c r="Y2493" s="9" t="n">
        <f aca="false">IF(J2493&gt;H2493*I2493,1,0)</f>
        <v>0</v>
      </c>
      <c r="Z2493" s="9" t="n">
        <f aca="false">IF(AND(N2493&lt;&gt;"",OR(N2493&lt;1,N2493&gt;5)),1,0)</f>
        <v>0</v>
      </c>
      <c r="AA2493" s="9" t="n">
        <f aca="false">IF(AND(M2493&lt;&gt;"",OR(M2493&lt;5,M2493&gt;180)),1,0)</f>
        <v>0</v>
      </c>
      <c r="AB2493" s="7" t="str">
        <f aca="false">IF(P2493="DUP","Exact duplicate row",IF(T2493=1,"Missing Order ID",IF(S2493="DROP","Duplicate Order ID (less complete row)",IF(U2493=1,"Missing Customer ID",IF(V2493=1,"Missing Restaurant name",IF(W2493=1,"Invalid/outlier quantity",IF(X2493=1,"Invalid/outlier unit price",IF(Y2493=1,"Discount greater than order value",""))))))))</f>
        <v/>
      </c>
      <c r="AC2493" s="7" t="str">
        <f aca="false">IF(AB2493="","KEEP","DROP")</f>
        <v>KEEP</v>
      </c>
      <c r="AD2493" s="7" t="str">
        <f aca="false">IF(TRIM(F2493)="",IFERROR(INDEX(Map_Tables!$I$4:$I$37,MATCH(TRIM(E2493),Map_Tables!$G$4:$G$37,0)),""),IFERROR(INDEX(Map_Tables!$B$4:$B$18,MATCH(TRIM(F2493),Map_Tables!$A$4:$A$18,0)),"CHECK"))</f>
        <v>Bengaluru</v>
      </c>
      <c r="AE2493" s="7" t="str">
        <f aca="false">IF(TRIM(E2493)="","",IFERROR(INDEX(Map_Tables!$H$4:$H$37,MATCH(TRIM(E2493),Map_Tables!$G$4:$G$37,0)),"CHECK"))</f>
        <v>Dosa Darbar</v>
      </c>
      <c r="AF2493" s="7" t="str">
        <f aca="false">IF(TRIM(K2493)="","Unknown",IFERROR(INDEX(Map_Tables!$E$4:$E$15,MATCH(TRIM(K2493),Map_Tables!$D$4:$D$15,0)),"CHECK"))</f>
        <v>UPI</v>
      </c>
      <c r="AG2493" s="7" t="str">
        <f aca="false">IF(LEFT(LOWER(TRIM(L2493)),6)="cancel","Cancelled","Delivered")</f>
        <v>Delivered</v>
      </c>
      <c r="AH2493" s="10" t="n">
        <f aca="false">IF(ISNUMBER(SEARCH("/",B2493)),DATE(VALUE(RIGHT(B2493,4)),VALUE(MID(B2493,4,2)),VALUE(LEFT(B2493,2))),IF(MID(B2493,5,1)="-",DATE(VALUE(LEFT(B2493,4)),VALUE(MID(B2493,6,2)),VALUE(RIGHT(B2493,2))),DATE(VALUE(RIGHT(B2493,4)),MATCH(MID(B2493,4,3),{"Jan","Feb","Mar","Apr","May","Jun","Jul","Aug","Sep","Oct","Nov","Dec"},0),VALUE(LEFT(B2493,2)))))</f>
        <v>45779</v>
      </c>
    </row>
    <row r="2494" customFormat="false" ht="15" hidden="false" customHeight="false" outlineLevel="0" collapsed="false">
      <c r="A2494" s="7" t="s">
        <v>5452</v>
      </c>
      <c r="B2494" s="7" t="s">
        <v>1167</v>
      </c>
      <c r="C2494" s="7" t="s">
        <v>361</v>
      </c>
      <c r="D2494" s="7" t="s">
        <v>931</v>
      </c>
      <c r="E2494" s="7" t="s">
        <v>168</v>
      </c>
      <c r="F2494" s="7" t="s">
        <v>146</v>
      </c>
      <c r="G2494" s="7" t="s">
        <v>123</v>
      </c>
      <c r="H2494" s="7" t="n">
        <v>2</v>
      </c>
      <c r="I2494" s="7" t="n">
        <v>260</v>
      </c>
      <c r="J2494" s="7" t="n">
        <v>0</v>
      </c>
      <c r="K2494" s="7" t="s">
        <v>112</v>
      </c>
      <c r="L2494" s="7" t="s">
        <v>194</v>
      </c>
      <c r="M2494" s="7" t="n">
        <v>43</v>
      </c>
      <c r="N2494" s="7" t="n">
        <v>3</v>
      </c>
      <c r="O2494" s="7" t="str">
        <f aca="false">A2494&amp;"|"&amp;B2494&amp;"|"&amp;C2494&amp;"|"&amp;D2494&amp;"|"&amp;E2494&amp;"|"&amp;F2494&amp;"|"&amp;G2494&amp;"|"&amp;H2494&amp;"|"&amp;I2494&amp;"|"&amp;J2494&amp;"|"&amp;K2494&amp;"|"&amp;L2494&amp;"|"&amp;M2494&amp;"|"&amp;N2494</f>
        <v>ORD12350|2025-10-23|11:08|C0490|Cheesy Slice|Ahmedabad|Pizza|2|260|0|Cash on Delivery|Delivered|43|3</v>
      </c>
      <c r="P2494" s="7" t="str">
        <f aca="false">IF(COUNTIF($O$2:O2494,O2494)&gt;1,"DUP","OK")</f>
        <v>OK</v>
      </c>
      <c r="Q2494" s="7" t="n">
        <f aca="false">COUNTBLANK(A2494:N2494)</f>
        <v>0</v>
      </c>
      <c r="R2494" s="7" t="n">
        <f aca="false">IF(A2494="",0,COUNTIFS($A$2:$A$3058,A2494,$P$2:$P$3058,"OK"))</f>
        <v>1</v>
      </c>
      <c r="S2494" s="7" t="str">
        <f aca="false">IF(OR(A2494="",P2494="DUP",R2494&lt;2),"",IF(Q2494=_xlfn.MINIFS($Q$2:$Q$3058,$A$2:$A$3058,A2494,$P$2:$P$3058,"OK"),"KEEP","DROP"))</f>
        <v/>
      </c>
      <c r="T2494" s="9" t="n">
        <f aca="false">IF(A2494="",1,0)</f>
        <v>0</v>
      </c>
      <c r="U2494" s="9" t="n">
        <f aca="false">IF(D2494="",1,0)</f>
        <v>0</v>
      </c>
      <c r="V2494" s="9" t="n">
        <f aca="false">IF(E2494="",1,0)</f>
        <v>0</v>
      </c>
      <c r="W2494" s="9" t="n">
        <f aca="false">IF(OR(H2494&lt;1,H2494&gt;10),1,0)</f>
        <v>0</v>
      </c>
      <c r="X2494" s="9" t="n">
        <f aca="false">IF(OR(I2494&lt;=0,I2494&gt;1500),1,0)</f>
        <v>0</v>
      </c>
      <c r="Y2494" s="9" t="n">
        <f aca="false">IF(J2494&gt;H2494*I2494,1,0)</f>
        <v>0</v>
      </c>
      <c r="Z2494" s="9" t="n">
        <f aca="false">IF(AND(N2494&lt;&gt;"",OR(N2494&lt;1,N2494&gt;5)),1,0)</f>
        <v>0</v>
      </c>
      <c r="AA2494" s="9" t="n">
        <f aca="false">IF(AND(M2494&lt;&gt;"",OR(M2494&lt;5,M2494&gt;180)),1,0)</f>
        <v>0</v>
      </c>
      <c r="AB2494" s="7" t="str">
        <f aca="false">IF(P2494="DUP","Exact duplicate row",IF(T2494=1,"Missing Order ID",IF(S2494="DROP","Duplicate Order ID (less complete row)",IF(U2494=1,"Missing Customer ID",IF(V2494=1,"Missing Restaurant name",IF(W2494=1,"Invalid/outlier quantity",IF(X2494=1,"Invalid/outlier unit price",IF(Y2494=1,"Discount greater than order value",""))))))))</f>
        <v/>
      </c>
      <c r="AC2494" s="7" t="str">
        <f aca="false">IF(AB2494="","KEEP","DROP")</f>
        <v>KEEP</v>
      </c>
      <c r="AD2494" s="7" t="str">
        <f aca="false">IF(TRIM(F2494)="",IFERROR(INDEX(Map_Tables!$I$4:$I$37,MATCH(TRIM(E2494),Map_Tables!$G$4:$G$37,0)),""),IFERROR(INDEX(Map_Tables!$B$4:$B$18,MATCH(TRIM(F2494),Map_Tables!$A$4:$A$18,0)),"CHECK"))</f>
        <v>Ahmedabad</v>
      </c>
      <c r="AE2494" s="7" t="str">
        <f aca="false">IF(TRIM(E2494)="","",IFERROR(INDEX(Map_Tables!$H$4:$H$37,MATCH(TRIM(E2494),Map_Tables!$G$4:$G$37,0)),"CHECK"))</f>
        <v>Cheesy Slice</v>
      </c>
      <c r="AF2494" s="7" t="str">
        <f aca="false">IF(TRIM(K2494)="","Unknown",IFERROR(INDEX(Map_Tables!$E$4:$E$15,MATCH(TRIM(K2494),Map_Tables!$D$4:$D$15,0)),"CHECK"))</f>
        <v>Cash on Delivery</v>
      </c>
      <c r="AG2494" s="7" t="str">
        <f aca="false">IF(LEFT(LOWER(TRIM(L2494)),6)="cancel","Cancelled","Delivered")</f>
        <v>Delivered</v>
      </c>
      <c r="AH2494" s="10" t="n">
        <f aca="false">IF(ISNUMBER(SEARCH("/",B2494)),DATE(VALUE(RIGHT(B2494,4)),VALUE(MID(B2494,4,2)),VALUE(LEFT(B2494,2))),IF(MID(B2494,5,1)="-",DATE(VALUE(LEFT(B2494,4)),VALUE(MID(B2494,6,2)),VALUE(RIGHT(B2494,2))),DATE(VALUE(RIGHT(B2494,4)),MATCH(MID(B2494,4,3),{"Jan","Feb","Mar","Apr","May","Jun","Jul","Aug","Sep","Oct","Nov","Dec"},0),VALUE(LEFT(B2494,2)))))</f>
        <v>45953</v>
      </c>
    </row>
    <row r="2495" customFormat="false" ht="15" hidden="false" customHeight="false" outlineLevel="0" collapsed="false">
      <c r="A2495" s="7" t="s">
        <v>5453</v>
      </c>
      <c r="B2495" s="7" t="s">
        <v>2182</v>
      </c>
      <c r="C2495" s="7" t="s">
        <v>5454</v>
      </c>
      <c r="D2495" s="7" t="s">
        <v>2448</v>
      </c>
      <c r="E2495" s="7" t="s">
        <v>949</v>
      </c>
      <c r="F2495" s="7" t="s">
        <v>110</v>
      </c>
      <c r="G2495" s="7" t="s">
        <v>90</v>
      </c>
      <c r="H2495" s="7" t="n">
        <v>2</v>
      </c>
      <c r="I2495" s="7" t="n">
        <v>225</v>
      </c>
      <c r="J2495" s="7" t="n">
        <v>0</v>
      </c>
      <c r="K2495" s="7" t="s">
        <v>112</v>
      </c>
      <c r="L2495" s="7" t="s">
        <v>238</v>
      </c>
      <c r="M2495" s="7"/>
      <c r="N2495" s="7"/>
      <c r="O2495" s="7" t="str">
        <f aca="false">A2495&amp;"|"&amp;B2495&amp;"|"&amp;C2495&amp;"|"&amp;D2495&amp;"|"&amp;E2495&amp;"|"&amp;F2495&amp;"|"&amp;G2495&amp;"|"&amp;H2495&amp;"|"&amp;I2495&amp;"|"&amp;J2495&amp;"|"&amp;K2495&amp;"|"&amp;L2495&amp;"|"&amp;M2495&amp;"|"&amp;N2495</f>
        <v>ORD11747|2025-08-17|00:27|C0568|Tandoor  Tales|Delhi|North Indian|2|225|0|Cash on Delivery|Cancelled||</v>
      </c>
      <c r="P2495" s="7" t="str">
        <f aca="false">IF(COUNTIF($O$2:O2495,O2495)&gt;1,"DUP","OK")</f>
        <v>OK</v>
      </c>
      <c r="Q2495" s="7" t="n">
        <f aca="false">COUNTBLANK(A2495:N2495)</f>
        <v>2</v>
      </c>
      <c r="R2495" s="7" t="n">
        <f aca="false">IF(A2495="",0,COUNTIFS($A$2:$A$3058,A2495,$P$2:$P$3058,"OK"))</f>
        <v>1</v>
      </c>
      <c r="S2495" s="7" t="str">
        <f aca="false">IF(OR(A2495="",P2495="DUP",R2495&lt;2),"",IF(Q2495=_xlfn.MINIFS($Q$2:$Q$3058,$A$2:$A$3058,A2495,$P$2:$P$3058,"OK"),"KEEP","DROP"))</f>
        <v/>
      </c>
      <c r="T2495" s="9" t="n">
        <f aca="false">IF(A2495="",1,0)</f>
        <v>0</v>
      </c>
      <c r="U2495" s="9" t="n">
        <f aca="false">IF(D2495="",1,0)</f>
        <v>0</v>
      </c>
      <c r="V2495" s="9" t="n">
        <f aca="false">IF(E2495="",1,0)</f>
        <v>0</v>
      </c>
      <c r="W2495" s="9" t="n">
        <f aca="false">IF(OR(H2495&lt;1,H2495&gt;10),1,0)</f>
        <v>0</v>
      </c>
      <c r="X2495" s="9" t="n">
        <f aca="false">IF(OR(I2495&lt;=0,I2495&gt;1500),1,0)</f>
        <v>0</v>
      </c>
      <c r="Y2495" s="9" t="n">
        <f aca="false">IF(J2495&gt;H2495*I2495,1,0)</f>
        <v>0</v>
      </c>
      <c r="Z2495" s="9" t="n">
        <f aca="false">IF(AND(N2495&lt;&gt;"",OR(N2495&lt;1,N2495&gt;5)),1,0)</f>
        <v>0</v>
      </c>
      <c r="AA2495" s="9" t="n">
        <f aca="false">IF(AND(M2495&lt;&gt;"",OR(M2495&lt;5,M2495&gt;180)),1,0)</f>
        <v>0</v>
      </c>
      <c r="AB2495" s="7" t="str">
        <f aca="false">IF(P2495="DUP","Exact duplicate row",IF(T2495=1,"Missing Order ID",IF(S2495="DROP","Duplicate Order ID (less complete row)",IF(U2495=1,"Missing Customer ID",IF(V2495=1,"Missing Restaurant name",IF(W2495=1,"Invalid/outlier quantity",IF(X2495=1,"Invalid/outlier unit price",IF(Y2495=1,"Discount greater than order value",""))))))))</f>
        <v/>
      </c>
      <c r="AC2495" s="7" t="str">
        <f aca="false">IF(AB2495="","KEEP","DROP")</f>
        <v>KEEP</v>
      </c>
      <c r="AD2495" s="7" t="str">
        <f aca="false">IF(TRIM(F2495)="",IFERROR(INDEX(Map_Tables!$I$4:$I$37,MATCH(TRIM(E2495),Map_Tables!$G$4:$G$37,0)),""),IFERROR(INDEX(Map_Tables!$B$4:$B$18,MATCH(TRIM(F2495),Map_Tables!$A$4:$A$18,0)),"CHECK"))</f>
        <v>Delhi</v>
      </c>
      <c r="AE2495" s="7" t="str">
        <f aca="false">IF(TRIM(E2495)="","",IFERROR(INDEX(Map_Tables!$H$4:$H$37,MATCH(TRIM(E2495),Map_Tables!$G$4:$G$37,0)),"CHECK"))</f>
        <v>Tandoor Tales</v>
      </c>
      <c r="AF2495" s="7" t="str">
        <f aca="false">IF(TRIM(K2495)="","Unknown",IFERROR(INDEX(Map_Tables!$E$4:$E$15,MATCH(TRIM(K2495),Map_Tables!$D$4:$D$15,0)),"CHECK"))</f>
        <v>Cash on Delivery</v>
      </c>
      <c r="AG2495" s="7" t="str">
        <f aca="false">IF(LEFT(LOWER(TRIM(L2495)),6)="cancel","Cancelled","Delivered")</f>
        <v>Cancelled</v>
      </c>
      <c r="AH2495" s="10" t="n">
        <f aca="false">IF(ISNUMBER(SEARCH("/",B2495)),DATE(VALUE(RIGHT(B2495,4)),VALUE(MID(B2495,4,2)),VALUE(LEFT(B2495,2))),IF(MID(B2495,5,1)="-",DATE(VALUE(LEFT(B2495,4)),VALUE(MID(B2495,6,2)),VALUE(RIGHT(B2495,2))),DATE(VALUE(RIGHT(B2495,4)),MATCH(MID(B2495,4,3),{"Jan","Feb","Mar","Apr","May","Jun","Jul","Aug","Sep","Oct","Nov","Dec"},0),VALUE(LEFT(B2495,2)))))</f>
        <v>45886</v>
      </c>
    </row>
    <row r="2496" customFormat="false" ht="15" hidden="false" customHeight="false" outlineLevel="0" collapsed="false">
      <c r="A2496" s="7" t="s">
        <v>5455</v>
      </c>
      <c r="B2496" s="7" t="s">
        <v>5456</v>
      </c>
      <c r="C2496" s="7" t="s">
        <v>2644</v>
      </c>
      <c r="D2496" s="7" t="s">
        <v>4891</v>
      </c>
      <c r="E2496" s="7" t="s">
        <v>144</v>
      </c>
      <c r="F2496" s="7" t="s">
        <v>119</v>
      </c>
      <c r="G2496" s="7" t="s">
        <v>99</v>
      </c>
      <c r="H2496" s="7" t="n">
        <v>1</v>
      </c>
      <c r="I2496" s="7" t="n">
        <v>370</v>
      </c>
      <c r="J2496" s="7" t="n">
        <v>0</v>
      </c>
      <c r="K2496" s="7" t="s">
        <v>133</v>
      </c>
      <c r="L2496" s="7" t="s">
        <v>194</v>
      </c>
      <c r="M2496" s="7" t="n">
        <v>43</v>
      </c>
      <c r="N2496" s="7" t="n">
        <v>4</v>
      </c>
      <c r="O2496" s="7" t="str">
        <f aca="false">A2496&amp;"|"&amp;B2496&amp;"|"&amp;C2496&amp;"|"&amp;D2496&amp;"|"&amp;E2496&amp;"|"&amp;F2496&amp;"|"&amp;G2496&amp;"|"&amp;H2496&amp;"|"&amp;I2496&amp;"|"&amp;J2496&amp;"|"&amp;K2496&amp;"|"&amp;L2496&amp;"|"&amp;M2496&amp;"|"&amp;N2496</f>
        <v>ORD10690|28/03/2025|19:41|C0764|Hyderabad Dum Biryani|Hyderabad|Biryani|1|370|0|Net Banking|Delivered|43|4</v>
      </c>
      <c r="P2496" s="7" t="str">
        <f aca="false">IF(COUNTIF($O$2:O2496,O2496)&gt;1,"DUP","OK")</f>
        <v>OK</v>
      </c>
      <c r="Q2496" s="7" t="n">
        <f aca="false">COUNTBLANK(A2496:N2496)</f>
        <v>0</v>
      </c>
      <c r="R2496" s="7" t="n">
        <f aca="false">IF(A2496="",0,COUNTIFS($A$2:$A$3058,A2496,$P$2:$P$3058,"OK"))</f>
        <v>1</v>
      </c>
      <c r="S2496" s="7" t="str">
        <f aca="false">IF(OR(A2496="",P2496="DUP",R2496&lt;2),"",IF(Q2496=_xlfn.MINIFS($Q$2:$Q$3058,$A$2:$A$3058,A2496,$P$2:$P$3058,"OK"),"KEEP","DROP"))</f>
        <v/>
      </c>
      <c r="T2496" s="9" t="n">
        <f aca="false">IF(A2496="",1,0)</f>
        <v>0</v>
      </c>
      <c r="U2496" s="9" t="n">
        <f aca="false">IF(D2496="",1,0)</f>
        <v>0</v>
      </c>
      <c r="V2496" s="9" t="n">
        <f aca="false">IF(E2496="",1,0)</f>
        <v>0</v>
      </c>
      <c r="W2496" s="9" t="n">
        <f aca="false">IF(OR(H2496&lt;1,H2496&gt;10),1,0)</f>
        <v>0</v>
      </c>
      <c r="X2496" s="9" t="n">
        <f aca="false">IF(OR(I2496&lt;=0,I2496&gt;1500),1,0)</f>
        <v>0</v>
      </c>
      <c r="Y2496" s="9" t="n">
        <f aca="false">IF(J2496&gt;H2496*I2496,1,0)</f>
        <v>0</v>
      </c>
      <c r="Z2496" s="9" t="n">
        <f aca="false">IF(AND(N2496&lt;&gt;"",OR(N2496&lt;1,N2496&gt;5)),1,0)</f>
        <v>0</v>
      </c>
      <c r="AA2496" s="9" t="n">
        <f aca="false">IF(AND(M2496&lt;&gt;"",OR(M2496&lt;5,M2496&gt;180)),1,0)</f>
        <v>0</v>
      </c>
      <c r="AB2496" s="7" t="str">
        <f aca="false">IF(P2496="DUP","Exact duplicate row",IF(T2496=1,"Missing Order ID",IF(S2496="DROP","Duplicate Order ID (less complete row)",IF(U2496=1,"Missing Customer ID",IF(V2496=1,"Missing Restaurant name",IF(W2496=1,"Invalid/outlier quantity",IF(X2496=1,"Invalid/outlier unit price",IF(Y2496=1,"Discount greater than order value",""))))))))</f>
        <v/>
      </c>
      <c r="AC2496" s="7" t="str">
        <f aca="false">IF(AB2496="","KEEP","DROP")</f>
        <v>KEEP</v>
      </c>
      <c r="AD2496" s="7" t="str">
        <f aca="false">IF(TRIM(F2496)="",IFERROR(INDEX(Map_Tables!$I$4:$I$37,MATCH(TRIM(E2496),Map_Tables!$G$4:$G$37,0)),""),IFERROR(INDEX(Map_Tables!$B$4:$B$18,MATCH(TRIM(F2496),Map_Tables!$A$4:$A$18,0)),"CHECK"))</f>
        <v>Hyderabad</v>
      </c>
      <c r="AE2496" s="7" t="str">
        <f aca="false">IF(TRIM(E2496)="","",IFERROR(INDEX(Map_Tables!$H$4:$H$37,MATCH(TRIM(E2496),Map_Tables!$G$4:$G$37,0)),"CHECK"))</f>
        <v>Hyderabad Dum Biryani</v>
      </c>
      <c r="AF2496" s="7" t="str">
        <f aca="false">IF(TRIM(K2496)="","Unknown",IFERROR(INDEX(Map_Tables!$E$4:$E$15,MATCH(TRIM(K2496),Map_Tables!$D$4:$D$15,0)),"CHECK"))</f>
        <v>Net Banking</v>
      </c>
      <c r="AG2496" s="7" t="str">
        <f aca="false">IF(LEFT(LOWER(TRIM(L2496)),6)="cancel","Cancelled","Delivered")</f>
        <v>Delivered</v>
      </c>
      <c r="AH2496" s="10" t="n">
        <f aca="false">IF(ISNUMBER(SEARCH("/",B2496)),DATE(VALUE(RIGHT(B2496,4)),VALUE(MID(B2496,4,2)),VALUE(LEFT(B2496,2))),IF(MID(B2496,5,1)="-",DATE(VALUE(LEFT(B2496,4)),VALUE(MID(B2496,6,2)),VALUE(RIGHT(B2496,2))),DATE(VALUE(RIGHT(B2496,4)),MATCH(MID(B2496,4,3),{"Jan","Feb","Mar","Apr","May","Jun","Jul","Aug","Sep","Oct","Nov","Dec"},0),VALUE(LEFT(B2496,2)))))</f>
        <v>45744</v>
      </c>
    </row>
    <row r="2497" customFormat="false" ht="15" hidden="false" customHeight="false" outlineLevel="0" collapsed="false">
      <c r="A2497" s="7" t="s">
        <v>5457</v>
      </c>
      <c r="B2497" s="7" t="s">
        <v>625</v>
      </c>
      <c r="C2497" s="7" t="s">
        <v>3713</v>
      </c>
      <c r="D2497" s="7" t="s">
        <v>3874</v>
      </c>
      <c r="E2497" s="7" t="s">
        <v>94</v>
      </c>
      <c r="F2497" s="7" t="s">
        <v>86</v>
      </c>
      <c r="G2497" s="7" t="s">
        <v>95</v>
      </c>
      <c r="H2497" s="7" t="n">
        <v>1</v>
      </c>
      <c r="I2497" s="7" t="n">
        <v>145</v>
      </c>
      <c r="J2497" s="7" t="n">
        <v>0</v>
      </c>
      <c r="K2497" s="7" t="s">
        <v>229</v>
      </c>
      <c r="L2497" s="7" t="s">
        <v>194</v>
      </c>
      <c r="M2497" s="7" t="n">
        <v>52</v>
      </c>
      <c r="N2497" s="7" t="n">
        <v>3</v>
      </c>
      <c r="O2497" s="7" t="str">
        <f aca="false">A2497&amp;"|"&amp;B2497&amp;"|"&amp;C2497&amp;"|"&amp;D2497&amp;"|"&amp;E2497&amp;"|"&amp;F2497&amp;"|"&amp;G2497&amp;"|"&amp;H2497&amp;"|"&amp;I2497&amp;"|"&amp;J2497&amp;"|"&amp;K2497&amp;"|"&amp;L2497&amp;"|"&amp;M2497&amp;"|"&amp;N2497</f>
        <v>ORD11739|2025-08-16|11:39|C1401|Dosa Darbar|Bengaluru|South Indian|1|145|0|Upi|Delivered|52|3</v>
      </c>
      <c r="P2497" s="7" t="str">
        <f aca="false">IF(COUNTIF($O$2:O2497,O2497)&gt;1,"DUP","OK")</f>
        <v>OK</v>
      </c>
      <c r="Q2497" s="7" t="n">
        <f aca="false">COUNTBLANK(A2497:N2497)</f>
        <v>0</v>
      </c>
      <c r="R2497" s="7" t="n">
        <f aca="false">IF(A2497="",0,COUNTIFS($A$2:$A$3058,A2497,$P$2:$P$3058,"OK"))</f>
        <v>1</v>
      </c>
      <c r="S2497" s="7" t="str">
        <f aca="false">IF(OR(A2497="",P2497="DUP",R2497&lt;2),"",IF(Q2497=_xlfn.MINIFS($Q$2:$Q$3058,$A$2:$A$3058,A2497,$P$2:$P$3058,"OK"),"KEEP","DROP"))</f>
        <v/>
      </c>
      <c r="T2497" s="9" t="n">
        <f aca="false">IF(A2497="",1,0)</f>
        <v>0</v>
      </c>
      <c r="U2497" s="9" t="n">
        <f aca="false">IF(D2497="",1,0)</f>
        <v>0</v>
      </c>
      <c r="V2497" s="9" t="n">
        <f aca="false">IF(E2497="",1,0)</f>
        <v>0</v>
      </c>
      <c r="W2497" s="9" t="n">
        <f aca="false">IF(OR(H2497&lt;1,H2497&gt;10),1,0)</f>
        <v>0</v>
      </c>
      <c r="X2497" s="9" t="n">
        <f aca="false">IF(OR(I2497&lt;=0,I2497&gt;1500),1,0)</f>
        <v>0</v>
      </c>
      <c r="Y2497" s="9" t="n">
        <f aca="false">IF(J2497&gt;H2497*I2497,1,0)</f>
        <v>0</v>
      </c>
      <c r="Z2497" s="9" t="n">
        <f aca="false">IF(AND(N2497&lt;&gt;"",OR(N2497&lt;1,N2497&gt;5)),1,0)</f>
        <v>0</v>
      </c>
      <c r="AA2497" s="9" t="n">
        <f aca="false">IF(AND(M2497&lt;&gt;"",OR(M2497&lt;5,M2497&gt;180)),1,0)</f>
        <v>0</v>
      </c>
      <c r="AB2497" s="7" t="str">
        <f aca="false">IF(P2497="DUP","Exact duplicate row",IF(T2497=1,"Missing Order ID",IF(S2497="DROP","Duplicate Order ID (less complete row)",IF(U2497=1,"Missing Customer ID",IF(V2497=1,"Missing Restaurant name",IF(W2497=1,"Invalid/outlier quantity",IF(X2497=1,"Invalid/outlier unit price",IF(Y2497=1,"Discount greater than order value",""))))))))</f>
        <v/>
      </c>
      <c r="AC2497" s="7" t="str">
        <f aca="false">IF(AB2497="","KEEP","DROP")</f>
        <v>KEEP</v>
      </c>
      <c r="AD2497" s="7" t="str">
        <f aca="false">IF(TRIM(F2497)="",IFERROR(INDEX(Map_Tables!$I$4:$I$37,MATCH(TRIM(E2497),Map_Tables!$G$4:$G$37,0)),""),IFERROR(INDEX(Map_Tables!$B$4:$B$18,MATCH(TRIM(F2497),Map_Tables!$A$4:$A$18,0)),"CHECK"))</f>
        <v>Bengaluru</v>
      </c>
      <c r="AE2497" s="7" t="str">
        <f aca="false">IF(TRIM(E2497)="","",IFERROR(INDEX(Map_Tables!$H$4:$H$37,MATCH(TRIM(E2497),Map_Tables!$G$4:$G$37,0)),"CHECK"))</f>
        <v>Dosa Darbar</v>
      </c>
      <c r="AF2497" s="7" t="str">
        <f aca="false">IF(TRIM(K2497)="","Unknown",IFERROR(INDEX(Map_Tables!$E$4:$E$15,MATCH(TRIM(K2497),Map_Tables!$D$4:$D$15,0)),"CHECK"))</f>
        <v>UPI</v>
      </c>
      <c r="AG2497" s="7" t="str">
        <f aca="false">IF(LEFT(LOWER(TRIM(L2497)),6)="cancel","Cancelled","Delivered")</f>
        <v>Delivered</v>
      </c>
      <c r="AH2497" s="10" t="n">
        <f aca="false">IF(ISNUMBER(SEARCH("/",B2497)),DATE(VALUE(RIGHT(B2497,4)),VALUE(MID(B2497,4,2)),VALUE(LEFT(B2497,2))),IF(MID(B2497,5,1)="-",DATE(VALUE(LEFT(B2497,4)),VALUE(MID(B2497,6,2)),VALUE(RIGHT(B2497,2))),DATE(VALUE(RIGHT(B2497,4)),MATCH(MID(B2497,4,3),{"Jan","Feb","Mar","Apr","May","Jun","Jul","Aug","Sep","Oct","Nov","Dec"},0),VALUE(LEFT(B2497,2)))))</f>
        <v>45885</v>
      </c>
    </row>
    <row r="2498" customFormat="false" ht="15" hidden="false" customHeight="false" outlineLevel="0" collapsed="false">
      <c r="A2498" s="7" t="s">
        <v>5458</v>
      </c>
      <c r="B2498" s="7" t="s">
        <v>3373</v>
      </c>
      <c r="C2498" s="7" t="s">
        <v>1824</v>
      </c>
      <c r="D2498" s="7" t="s">
        <v>2077</v>
      </c>
      <c r="E2498" s="7" t="s">
        <v>104</v>
      </c>
      <c r="F2498" s="7" t="s">
        <v>86</v>
      </c>
      <c r="G2498" s="7" t="s">
        <v>105</v>
      </c>
      <c r="H2498" s="7" t="n">
        <v>1</v>
      </c>
      <c r="I2498" s="7" t="n">
        <v>205</v>
      </c>
      <c r="J2498" s="7" t="n">
        <v>0</v>
      </c>
      <c r="K2498" s="7" t="s">
        <v>88</v>
      </c>
      <c r="L2498" s="7" t="s">
        <v>194</v>
      </c>
      <c r="M2498" s="7" t="n">
        <v>29</v>
      </c>
      <c r="N2498" s="7" t="n">
        <v>5</v>
      </c>
      <c r="O2498" s="7" t="str">
        <f aca="false">A2498&amp;"|"&amp;B2498&amp;"|"&amp;C2498&amp;"|"&amp;D2498&amp;"|"&amp;E2498&amp;"|"&amp;F2498&amp;"|"&amp;G2498&amp;"|"&amp;H2498&amp;"|"&amp;I2498&amp;"|"&amp;J2498&amp;"|"&amp;K2498&amp;"|"&amp;L2498&amp;"|"&amp;M2498&amp;"|"&amp;N2498</f>
        <v>ORD10237|01/02/2025|13:40|C0006|Wok &amp; Roll|Bengaluru|Chinese|1|205|0|UPI|Delivered|29|5</v>
      </c>
      <c r="P2498" s="7" t="str">
        <f aca="false">IF(COUNTIF($O$2:O2498,O2498)&gt;1,"DUP","OK")</f>
        <v>OK</v>
      </c>
      <c r="Q2498" s="7" t="n">
        <f aca="false">COUNTBLANK(A2498:N2498)</f>
        <v>0</v>
      </c>
      <c r="R2498" s="7" t="n">
        <f aca="false">IF(A2498="",0,COUNTIFS($A$2:$A$3058,A2498,$P$2:$P$3058,"OK"))</f>
        <v>1</v>
      </c>
      <c r="S2498" s="7" t="str">
        <f aca="false">IF(OR(A2498="",P2498="DUP",R2498&lt;2),"",IF(Q2498=_xlfn.MINIFS($Q$2:$Q$3058,$A$2:$A$3058,A2498,$P$2:$P$3058,"OK"),"KEEP","DROP"))</f>
        <v/>
      </c>
      <c r="T2498" s="9" t="n">
        <f aca="false">IF(A2498="",1,0)</f>
        <v>0</v>
      </c>
      <c r="U2498" s="9" t="n">
        <f aca="false">IF(D2498="",1,0)</f>
        <v>0</v>
      </c>
      <c r="V2498" s="9" t="n">
        <f aca="false">IF(E2498="",1,0)</f>
        <v>0</v>
      </c>
      <c r="W2498" s="9" t="n">
        <f aca="false">IF(OR(H2498&lt;1,H2498&gt;10),1,0)</f>
        <v>0</v>
      </c>
      <c r="X2498" s="9" t="n">
        <f aca="false">IF(OR(I2498&lt;=0,I2498&gt;1500),1,0)</f>
        <v>0</v>
      </c>
      <c r="Y2498" s="9" t="n">
        <f aca="false">IF(J2498&gt;H2498*I2498,1,0)</f>
        <v>0</v>
      </c>
      <c r="Z2498" s="9" t="n">
        <f aca="false">IF(AND(N2498&lt;&gt;"",OR(N2498&lt;1,N2498&gt;5)),1,0)</f>
        <v>0</v>
      </c>
      <c r="AA2498" s="9" t="n">
        <f aca="false">IF(AND(M2498&lt;&gt;"",OR(M2498&lt;5,M2498&gt;180)),1,0)</f>
        <v>0</v>
      </c>
      <c r="AB2498" s="7" t="str">
        <f aca="false">IF(P2498="DUP","Exact duplicate row",IF(T2498=1,"Missing Order ID",IF(S2498="DROP","Duplicate Order ID (less complete row)",IF(U2498=1,"Missing Customer ID",IF(V2498=1,"Missing Restaurant name",IF(W2498=1,"Invalid/outlier quantity",IF(X2498=1,"Invalid/outlier unit price",IF(Y2498=1,"Discount greater than order value",""))))))))</f>
        <v/>
      </c>
      <c r="AC2498" s="7" t="str">
        <f aca="false">IF(AB2498="","KEEP","DROP")</f>
        <v>KEEP</v>
      </c>
      <c r="AD2498" s="7" t="str">
        <f aca="false">IF(TRIM(F2498)="",IFERROR(INDEX(Map_Tables!$I$4:$I$37,MATCH(TRIM(E2498),Map_Tables!$G$4:$G$37,0)),""),IFERROR(INDEX(Map_Tables!$B$4:$B$18,MATCH(TRIM(F2498),Map_Tables!$A$4:$A$18,0)),"CHECK"))</f>
        <v>Bengaluru</v>
      </c>
      <c r="AE2498" s="7" t="str">
        <f aca="false">IF(TRIM(E2498)="","",IFERROR(INDEX(Map_Tables!$H$4:$H$37,MATCH(TRIM(E2498),Map_Tables!$G$4:$G$37,0)),"CHECK"))</f>
        <v>Wok &amp; Roll</v>
      </c>
      <c r="AF2498" s="7" t="str">
        <f aca="false">IF(TRIM(K2498)="","Unknown",IFERROR(INDEX(Map_Tables!$E$4:$E$15,MATCH(TRIM(K2498),Map_Tables!$D$4:$D$15,0)),"CHECK"))</f>
        <v>UPI</v>
      </c>
      <c r="AG2498" s="7" t="str">
        <f aca="false">IF(LEFT(LOWER(TRIM(L2498)),6)="cancel","Cancelled","Delivered")</f>
        <v>Delivered</v>
      </c>
      <c r="AH2498" s="10" t="n">
        <f aca="false">IF(ISNUMBER(SEARCH("/",B2498)),DATE(VALUE(RIGHT(B2498,4)),VALUE(MID(B2498,4,2)),VALUE(LEFT(B2498,2))),IF(MID(B2498,5,1)="-",DATE(VALUE(LEFT(B2498,4)),VALUE(MID(B2498,6,2)),VALUE(RIGHT(B2498,2))),DATE(VALUE(RIGHT(B2498,4)),MATCH(MID(B2498,4,3),{"Jan","Feb","Mar","Apr","May","Jun","Jul","Aug","Sep","Oct","Nov","Dec"},0),VALUE(LEFT(B2498,2)))))</f>
        <v>45689</v>
      </c>
    </row>
    <row r="2499" customFormat="false" ht="15" hidden="false" customHeight="false" outlineLevel="0" collapsed="false">
      <c r="A2499" s="7" t="s">
        <v>5459</v>
      </c>
      <c r="B2499" s="7" t="s">
        <v>2097</v>
      </c>
      <c r="C2499" s="7" t="s">
        <v>3491</v>
      </c>
      <c r="D2499" s="7" t="s">
        <v>5460</v>
      </c>
      <c r="E2499" s="7" t="s">
        <v>104</v>
      </c>
      <c r="F2499" s="7" t="s">
        <v>86</v>
      </c>
      <c r="G2499" s="7" t="s">
        <v>105</v>
      </c>
      <c r="H2499" s="7" t="n">
        <v>1</v>
      </c>
      <c r="I2499" s="7" t="n">
        <v>230</v>
      </c>
      <c r="J2499" s="7" t="n">
        <v>92</v>
      </c>
      <c r="K2499" s="7" t="s">
        <v>88</v>
      </c>
      <c r="L2499" s="7" t="s">
        <v>194</v>
      </c>
      <c r="M2499" s="7" t="n">
        <v>33</v>
      </c>
      <c r="N2499" s="7" t="n">
        <v>4</v>
      </c>
      <c r="O2499" s="7" t="str">
        <f aca="false">A2499&amp;"|"&amp;B2499&amp;"|"&amp;C2499&amp;"|"&amp;D2499&amp;"|"&amp;E2499&amp;"|"&amp;F2499&amp;"|"&amp;G2499&amp;"|"&amp;H2499&amp;"|"&amp;I2499&amp;"|"&amp;J2499&amp;"|"&amp;K2499&amp;"|"&amp;L2499&amp;"|"&amp;M2499&amp;"|"&amp;N2499</f>
        <v>ORD12905|2025-12-21|14:35|C0502|Wok &amp; Roll|Bengaluru|Chinese|1|230|92|UPI|Delivered|33|4</v>
      </c>
      <c r="P2499" s="7" t="str">
        <f aca="false">IF(COUNTIF($O$2:O2499,O2499)&gt;1,"DUP","OK")</f>
        <v>OK</v>
      </c>
      <c r="Q2499" s="7" t="n">
        <f aca="false">COUNTBLANK(A2499:N2499)</f>
        <v>0</v>
      </c>
      <c r="R2499" s="7" t="n">
        <f aca="false">IF(A2499="",0,COUNTIFS($A$2:$A$3058,A2499,$P$2:$P$3058,"OK"))</f>
        <v>1</v>
      </c>
      <c r="S2499" s="7" t="str">
        <f aca="false">IF(OR(A2499="",P2499="DUP",R2499&lt;2),"",IF(Q2499=_xlfn.MINIFS($Q$2:$Q$3058,$A$2:$A$3058,A2499,$P$2:$P$3058,"OK"),"KEEP","DROP"))</f>
        <v/>
      </c>
      <c r="T2499" s="9" t="n">
        <f aca="false">IF(A2499="",1,0)</f>
        <v>0</v>
      </c>
      <c r="U2499" s="9" t="n">
        <f aca="false">IF(D2499="",1,0)</f>
        <v>0</v>
      </c>
      <c r="V2499" s="9" t="n">
        <f aca="false">IF(E2499="",1,0)</f>
        <v>0</v>
      </c>
      <c r="W2499" s="9" t="n">
        <f aca="false">IF(OR(H2499&lt;1,H2499&gt;10),1,0)</f>
        <v>0</v>
      </c>
      <c r="X2499" s="9" t="n">
        <f aca="false">IF(OR(I2499&lt;=0,I2499&gt;1500),1,0)</f>
        <v>0</v>
      </c>
      <c r="Y2499" s="9" t="n">
        <f aca="false">IF(J2499&gt;H2499*I2499,1,0)</f>
        <v>0</v>
      </c>
      <c r="Z2499" s="9" t="n">
        <f aca="false">IF(AND(N2499&lt;&gt;"",OR(N2499&lt;1,N2499&gt;5)),1,0)</f>
        <v>0</v>
      </c>
      <c r="AA2499" s="9" t="n">
        <f aca="false">IF(AND(M2499&lt;&gt;"",OR(M2499&lt;5,M2499&gt;180)),1,0)</f>
        <v>0</v>
      </c>
      <c r="AB2499" s="7" t="str">
        <f aca="false">IF(P2499="DUP","Exact duplicate row",IF(T2499=1,"Missing Order ID",IF(S2499="DROP","Duplicate Order ID (less complete row)",IF(U2499=1,"Missing Customer ID",IF(V2499=1,"Missing Restaurant name",IF(W2499=1,"Invalid/outlier quantity",IF(X2499=1,"Invalid/outlier unit price",IF(Y2499=1,"Discount greater than order value",""))))))))</f>
        <v/>
      </c>
      <c r="AC2499" s="7" t="str">
        <f aca="false">IF(AB2499="","KEEP","DROP")</f>
        <v>KEEP</v>
      </c>
      <c r="AD2499" s="7" t="str">
        <f aca="false">IF(TRIM(F2499)="",IFERROR(INDEX(Map_Tables!$I$4:$I$37,MATCH(TRIM(E2499),Map_Tables!$G$4:$G$37,0)),""),IFERROR(INDEX(Map_Tables!$B$4:$B$18,MATCH(TRIM(F2499),Map_Tables!$A$4:$A$18,0)),"CHECK"))</f>
        <v>Bengaluru</v>
      </c>
      <c r="AE2499" s="7" t="str">
        <f aca="false">IF(TRIM(E2499)="","",IFERROR(INDEX(Map_Tables!$H$4:$H$37,MATCH(TRIM(E2499),Map_Tables!$G$4:$G$37,0)),"CHECK"))</f>
        <v>Wok &amp; Roll</v>
      </c>
      <c r="AF2499" s="7" t="str">
        <f aca="false">IF(TRIM(K2499)="","Unknown",IFERROR(INDEX(Map_Tables!$E$4:$E$15,MATCH(TRIM(K2499),Map_Tables!$D$4:$D$15,0)),"CHECK"))</f>
        <v>UPI</v>
      </c>
      <c r="AG2499" s="7" t="str">
        <f aca="false">IF(LEFT(LOWER(TRIM(L2499)),6)="cancel","Cancelled","Delivered")</f>
        <v>Delivered</v>
      </c>
      <c r="AH2499" s="10" t="n">
        <f aca="false">IF(ISNUMBER(SEARCH("/",B2499)),DATE(VALUE(RIGHT(B2499,4)),VALUE(MID(B2499,4,2)),VALUE(LEFT(B2499,2))),IF(MID(B2499,5,1)="-",DATE(VALUE(LEFT(B2499,4)),VALUE(MID(B2499,6,2)),VALUE(RIGHT(B2499,2))),DATE(VALUE(RIGHT(B2499,4)),MATCH(MID(B2499,4,3),{"Jan","Feb","Mar","Apr","May","Jun","Jul","Aug","Sep","Oct","Nov","Dec"},0),VALUE(LEFT(B2499,2)))))</f>
        <v>46012</v>
      </c>
    </row>
    <row r="2500" customFormat="false" ht="15" hidden="false" customHeight="false" outlineLevel="0" collapsed="false">
      <c r="A2500" s="7" t="s">
        <v>5461</v>
      </c>
      <c r="B2500" s="7" t="s">
        <v>615</v>
      </c>
      <c r="C2500" s="7" t="s">
        <v>5462</v>
      </c>
      <c r="D2500" s="7" t="s">
        <v>5463</v>
      </c>
      <c r="E2500" s="7" t="s">
        <v>154</v>
      </c>
      <c r="F2500" s="7" t="s">
        <v>127</v>
      </c>
      <c r="G2500" s="7" t="s">
        <v>99</v>
      </c>
      <c r="H2500" s="7" t="n">
        <v>1</v>
      </c>
      <c r="I2500" s="7" t="n">
        <v>295</v>
      </c>
      <c r="J2500" s="7" t="n">
        <v>118</v>
      </c>
      <c r="K2500" s="7" t="s">
        <v>103</v>
      </c>
      <c r="L2500" s="7" t="s">
        <v>194</v>
      </c>
      <c r="M2500" s="7" t="n">
        <v>22</v>
      </c>
      <c r="N2500" s="7" t="n">
        <v>5</v>
      </c>
      <c r="O2500" s="7" t="str">
        <f aca="false">A2500&amp;"|"&amp;B2500&amp;"|"&amp;C2500&amp;"|"&amp;D2500&amp;"|"&amp;E2500&amp;"|"&amp;F2500&amp;"|"&amp;G2500&amp;"|"&amp;H2500&amp;"|"&amp;I2500&amp;"|"&amp;J2500&amp;"|"&amp;K2500&amp;"|"&amp;L2500&amp;"|"&amp;M2500&amp;"|"&amp;N2500</f>
        <v>ORD11987|2025-09-14|17:28|C1183|Madras Biryani Co|chennai|Biryani|1|295|118|Debit Card|Delivered|22|5</v>
      </c>
      <c r="P2500" s="7" t="str">
        <f aca="false">IF(COUNTIF($O$2:O2500,O2500)&gt;1,"DUP","OK")</f>
        <v>OK</v>
      </c>
      <c r="Q2500" s="7" t="n">
        <f aca="false">COUNTBLANK(A2500:N2500)</f>
        <v>0</v>
      </c>
      <c r="R2500" s="7" t="n">
        <f aca="false">IF(A2500="",0,COUNTIFS($A$2:$A$3058,A2500,$P$2:$P$3058,"OK"))</f>
        <v>1</v>
      </c>
      <c r="S2500" s="7" t="str">
        <f aca="false">IF(OR(A2500="",P2500="DUP",R2500&lt;2),"",IF(Q2500=_xlfn.MINIFS($Q$2:$Q$3058,$A$2:$A$3058,A2500,$P$2:$P$3058,"OK"),"KEEP","DROP"))</f>
        <v/>
      </c>
      <c r="T2500" s="9" t="n">
        <f aca="false">IF(A2500="",1,0)</f>
        <v>0</v>
      </c>
      <c r="U2500" s="9" t="n">
        <f aca="false">IF(D2500="",1,0)</f>
        <v>0</v>
      </c>
      <c r="V2500" s="9" t="n">
        <f aca="false">IF(E2500="",1,0)</f>
        <v>0</v>
      </c>
      <c r="W2500" s="9" t="n">
        <f aca="false">IF(OR(H2500&lt;1,H2500&gt;10),1,0)</f>
        <v>0</v>
      </c>
      <c r="X2500" s="9" t="n">
        <f aca="false">IF(OR(I2500&lt;=0,I2500&gt;1500),1,0)</f>
        <v>0</v>
      </c>
      <c r="Y2500" s="9" t="n">
        <f aca="false">IF(J2500&gt;H2500*I2500,1,0)</f>
        <v>0</v>
      </c>
      <c r="Z2500" s="9" t="n">
        <f aca="false">IF(AND(N2500&lt;&gt;"",OR(N2500&lt;1,N2500&gt;5)),1,0)</f>
        <v>0</v>
      </c>
      <c r="AA2500" s="9" t="n">
        <f aca="false">IF(AND(M2500&lt;&gt;"",OR(M2500&lt;5,M2500&gt;180)),1,0)</f>
        <v>0</v>
      </c>
      <c r="AB2500" s="7" t="str">
        <f aca="false">IF(P2500="DUP","Exact duplicate row",IF(T2500=1,"Missing Order ID",IF(S2500="DROP","Duplicate Order ID (less complete row)",IF(U2500=1,"Missing Customer ID",IF(V2500=1,"Missing Restaurant name",IF(W2500=1,"Invalid/outlier quantity",IF(X2500=1,"Invalid/outlier unit price",IF(Y2500=1,"Discount greater than order value",""))))))))</f>
        <v/>
      </c>
      <c r="AC2500" s="7" t="str">
        <f aca="false">IF(AB2500="","KEEP","DROP")</f>
        <v>KEEP</v>
      </c>
      <c r="AD2500" s="7" t="str">
        <f aca="false">IF(TRIM(F2500)="",IFERROR(INDEX(Map_Tables!$I$4:$I$37,MATCH(TRIM(E2500),Map_Tables!$G$4:$G$37,0)),""),IFERROR(INDEX(Map_Tables!$B$4:$B$18,MATCH(TRIM(F2500),Map_Tables!$A$4:$A$18,0)),"CHECK"))</f>
        <v>Chennai</v>
      </c>
      <c r="AE2500" s="7" t="str">
        <f aca="false">IF(TRIM(E2500)="","",IFERROR(INDEX(Map_Tables!$H$4:$H$37,MATCH(TRIM(E2500),Map_Tables!$G$4:$G$37,0)),"CHECK"))</f>
        <v>Madras Biryani Co</v>
      </c>
      <c r="AF2500" s="7" t="str">
        <f aca="false">IF(TRIM(K2500)="","Unknown",IFERROR(INDEX(Map_Tables!$E$4:$E$15,MATCH(TRIM(K2500),Map_Tables!$D$4:$D$15,0)),"CHECK"))</f>
        <v>Debit Card</v>
      </c>
      <c r="AG2500" s="7" t="str">
        <f aca="false">IF(LEFT(LOWER(TRIM(L2500)),6)="cancel","Cancelled","Delivered")</f>
        <v>Delivered</v>
      </c>
      <c r="AH2500" s="10" t="n">
        <f aca="false">IF(ISNUMBER(SEARCH("/",B2500)),DATE(VALUE(RIGHT(B2500,4)),VALUE(MID(B2500,4,2)),VALUE(LEFT(B2500,2))),IF(MID(B2500,5,1)="-",DATE(VALUE(LEFT(B2500,4)),VALUE(MID(B2500,6,2)),VALUE(RIGHT(B2500,2))),DATE(VALUE(RIGHT(B2500,4)),MATCH(MID(B2500,4,3),{"Jan","Feb","Mar","Apr","May","Jun","Jul","Aug","Sep","Oct","Nov","Dec"},0),VALUE(LEFT(B2500,2)))))</f>
        <v>45914</v>
      </c>
    </row>
    <row r="2501" customFormat="false" ht="15" hidden="false" customHeight="false" outlineLevel="0" collapsed="false">
      <c r="A2501" s="7" t="s">
        <v>5464</v>
      </c>
      <c r="B2501" s="7" t="s">
        <v>615</v>
      </c>
      <c r="C2501" s="7" t="s">
        <v>1539</v>
      </c>
      <c r="D2501" s="7" t="s">
        <v>4618</v>
      </c>
      <c r="E2501" s="7" t="s">
        <v>116</v>
      </c>
      <c r="F2501" s="7" t="s">
        <v>101</v>
      </c>
      <c r="G2501" s="7" t="s">
        <v>117</v>
      </c>
      <c r="H2501" s="7" t="n">
        <v>4</v>
      </c>
      <c r="I2501" s="7" t="n">
        <v>130</v>
      </c>
      <c r="J2501" s="7" t="n">
        <v>50</v>
      </c>
      <c r="K2501" s="7" t="s">
        <v>229</v>
      </c>
      <c r="L2501" s="7" t="s">
        <v>194</v>
      </c>
      <c r="M2501" s="7" t="n">
        <v>55</v>
      </c>
      <c r="N2501" s="7" t="n">
        <v>3</v>
      </c>
      <c r="O2501" s="7" t="str">
        <f aca="false">A2501&amp;"|"&amp;B2501&amp;"|"&amp;C2501&amp;"|"&amp;D2501&amp;"|"&amp;E2501&amp;"|"&amp;F2501&amp;"|"&amp;G2501&amp;"|"&amp;H2501&amp;"|"&amp;I2501&amp;"|"&amp;J2501&amp;"|"&amp;K2501&amp;"|"&amp;L2501&amp;"|"&amp;M2501&amp;"|"&amp;N2501</f>
        <v>ORD11984|2025-09-14|11:32|C1300|Pav Bhaji Point|Mumbai|Street Food|4|130|50|Upi|Delivered|55|3</v>
      </c>
      <c r="P2501" s="7" t="str">
        <f aca="false">IF(COUNTIF($O$2:O2501,O2501)&gt;1,"DUP","OK")</f>
        <v>OK</v>
      </c>
      <c r="Q2501" s="7" t="n">
        <f aca="false">COUNTBLANK(A2501:N2501)</f>
        <v>0</v>
      </c>
      <c r="R2501" s="7" t="n">
        <f aca="false">IF(A2501="",0,COUNTIFS($A$2:$A$3058,A2501,$P$2:$P$3058,"OK"))</f>
        <v>1</v>
      </c>
      <c r="S2501" s="7" t="str">
        <f aca="false">IF(OR(A2501="",P2501="DUP",R2501&lt;2),"",IF(Q2501=_xlfn.MINIFS($Q$2:$Q$3058,$A$2:$A$3058,A2501,$P$2:$P$3058,"OK"),"KEEP","DROP"))</f>
        <v/>
      </c>
      <c r="T2501" s="9" t="n">
        <f aca="false">IF(A2501="",1,0)</f>
        <v>0</v>
      </c>
      <c r="U2501" s="9" t="n">
        <f aca="false">IF(D2501="",1,0)</f>
        <v>0</v>
      </c>
      <c r="V2501" s="9" t="n">
        <f aca="false">IF(E2501="",1,0)</f>
        <v>0</v>
      </c>
      <c r="W2501" s="9" t="n">
        <f aca="false">IF(OR(H2501&lt;1,H2501&gt;10),1,0)</f>
        <v>0</v>
      </c>
      <c r="X2501" s="9" t="n">
        <f aca="false">IF(OR(I2501&lt;=0,I2501&gt;1500),1,0)</f>
        <v>0</v>
      </c>
      <c r="Y2501" s="9" t="n">
        <f aca="false">IF(J2501&gt;H2501*I2501,1,0)</f>
        <v>0</v>
      </c>
      <c r="Z2501" s="9" t="n">
        <f aca="false">IF(AND(N2501&lt;&gt;"",OR(N2501&lt;1,N2501&gt;5)),1,0)</f>
        <v>0</v>
      </c>
      <c r="AA2501" s="9" t="n">
        <f aca="false">IF(AND(M2501&lt;&gt;"",OR(M2501&lt;5,M2501&gt;180)),1,0)</f>
        <v>0</v>
      </c>
      <c r="AB2501" s="7" t="str">
        <f aca="false">IF(P2501="DUP","Exact duplicate row",IF(T2501=1,"Missing Order ID",IF(S2501="DROP","Duplicate Order ID (less complete row)",IF(U2501=1,"Missing Customer ID",IF(V2501=1,"Missing Restaurant name",IF(W2501=1,"Invalid/outlier quantity",IF(X2501=1,"Invalid/outlier unit price",IF(Y2501=1,"Discount greater than order value",""))))))))</f>
        <v/>
      </c>
      <c r="AC2501" s="7" t="str">
        <f aca="false">IF(AB2501="","KEEP","DROP")</f>
        <v>KEEP</v>
      </c>
      <c r="AD2501" s="7" t="str">
        <f aca="false">IF(TRIM(F2501)="",IFERROR(INDEX(Map_Tables!$I$4:$I$37,MATCH(TRIM(E2501),Map_Tables!$G$4:$G$37,0)),""),IFERROR(INDEX(Map_Tables!$B$4:$B$18,MATCH(TRIM(F2501),Map_Tables!$A$4:$A$18,0)),"CHECK"))</f>
        <v>Mumbai</v>
      </c>
      <c r="AE2501" s="7" t="str">
        <f aca="false">IF(TRIM(E2501)="","",IFERROR(INDEX(Map_Tables!$H$4:$H$37,MATCH(TRIM(E2501),Map_Tables!$G$4:$G$37,0)),"CHECK"))</f>
        <v>Pav Bhaji Point</v>
      </c>
      <c r="AF2501" s="7" t="str">
        <f aca="false">IF(TRIM(K2501)="","Unknown",IFERROR(INDEX(Map_Tables!$E$4:$E$15,MATCH(TRIM(K2501),Map_Tables!$D$4:$D$15,0)),"CHECK"))</f>
        <v>UPI</v>
      </c>
      <c r="AG2501" s="7" t="str">
        <f aca="false">IF(LEFT(LOWER(TRIM(L2501)),6)="cancel","Cancelled","Delivered")</f>
        <v>Delivered</v>
      </c>
      <c r="AH2501" s="10" t="n">
        <f aca="false">IF(ISNUMBER(SEARCH("/",B2501)),DATE(VALUE(RIGHT(B2501,4)),VALUE(MID(B2501,4,2)),VALUE(LEFT(B2501,2))),IF(MID(B2501,5,1)="-",DATE(VALUE(LEFT(B2501,4)),VALUE(MID(B2501,6,2)),VALUE(RIGHT(B2501,2))),DATE(VALUE(RIGHT(B2501,4)),MATCH(MID(B2501,4,3),{"Jan","Feb","Mar","Apr","May","Jun","Jul","Aug","Sep","Oct","Nov","Dec"},0),VALUE(LEFT(B2501,2)))))</f>
        <v>45914</v>
      </c>
    </row>
    <row r="2502" customFormat="false" ht="15" hidden="false" customHeight="false" outlineLevel="0" collapsed="false">
      <c r="A2502" s="7" t="s">
        <v>5465</v>
      </c>
      <c r="B2502" s="7" t="s">
        <v>2598</v>
      </c>
      <c r="C2502" s="7" t="s">
        <v>218</v>
      </c>
      <c r="D2502" s="7" t="s">
        <v>438</v>
      </c>
      <c r="E2502" s="7" t="s">
        <v>98</v>
      </c>
      <c r="F2502" s="7" t="s">
        <v>86</v>
      </c>
      <c r="G2502" s="7" t="s">
        <v>99</v>
      </c>
      <c r="H2502" s="7" t="n">
        <v>2</v>
      </c>
      <c r="I2502" s="7" t="n">
        <v>255</v>
      </c>
      <c r="J2502" s="7" t="n">
        <v>150</v>
      </c>
      <c r="K2502" s="7" t="s">
        <v>112</v>
      </c>
      <c r="L2502" s="7" t="s">
        <v>194</v>
      </c>
      <c r="M2502" s="7" t="n">
        <v>25</v>
      </c>
      <c r="N2502" s="7" t="n">
        <v>4</v>
      </c>
      <c r="O2502" s="7" t="str">
        <f aca="false">A2502&amp;"|"&amp;B2502&amp;"|"&amp;C2502&amp;"|"&amp;D2502&amp;"|"&amp;E2502&amp;"|"&amp;F2502&amp;"|"&amp;G2502&amp;"|"&amp;H2502&amp;"|"&amp;I2502&amp;"|"&amp;J2502&amp;"|"&amp;K2502&amp;"|"&amp;L2502&amp;"|"&amp;M2502&amp;"|"&amp;N2502</f>
        <v>ORD10500|2025-03-07|12:48|C0640|Nawabi Biryani House|Bengaluru|Biryani|2|255|150|Cash on Delivery|Delivered|25|4</v>
      </c>
      <c r="P2502" s="7" t="str">
        <f aca="false">IF(COUNTIF($O$2:O2502,O2502)&gt;1,"DUP","OK")</f>
        <v>OK</v>
      </c>
      <c r="Q2502" s="7" t="n">
        <f aca="false">COUNTBLANK(A2502:N2502)</f>
        <v>0</v>
      </c>
      <c r="R2502" s="7" t="n">
        <f aca="false">IF(A2502="",0,COUNTIFS($A$2:$A$3058,A2502,$P$2:$P$3058,"OK"))</f>
        <v>1</v>
      </c>
      <c r="S2502" s="7" t="str">
        <f aca="false">IF(OR(A2502="",P2502="DUP",R2502&lt;2),"",IF(Q2502=_xlfn.MINIFS($Q$2:$Q$3058,$A$2:$A$3058,A2502,$P$2:$P$3058,"OK"),"KEEP","DROP"))</f>
        <v/>
      </c>
      <c r="T2502" s="9" t="n">
        <f aca="false">IF(A2502="",1,0)</f>
        <v>0</v>
      </c>
      <c r="U2502" s="9" t="n">
        <f aca="false">IF(D2502="",1,0)</f>
        <v>0</v>
      </c>
      <c r="V2502" s="9" t="n">
        <f aca="false">IF(E2502="",1,0)</f>
        <v>0</v>
      </c>
      <c r="W2502" s="9" t="n">
        <f aca="false">IF(OR(H2502&lt;1,H2502&gt;10),1,0)</f>
        <v>0</v>
      </c>
      <c r="X2502" s="9" t="n">
        <f aca="false">IF(OR(I2502&lt;=0,I2502&gt;1500),1,0)</f>
        <v>0</v>
      </c>
      <c r="Y2502" s="9" t="n">
        <f aca="false">IF(J2502&gt;H2502*I2502,1,0)</f>
        <v>0</v>
      </c>
      <c r="Z2502" s="9" t="n">
        <f aca="false">IF(AND(N2502&lt;&gt;"",OR(N2502&lt;1,N2502&gt;5)),1,0)</f>
        <v>0</v>
      </c>
      <c r="AA2502" s="9" t="n">
        <f aca="false">IF(AND(M2502&lt;&gt;"",OR(M2502&lt;5,M2502&gt;180)),1,0)</f>
        <v>0</v>
      </c>
      <c r="AB2502" s="7" t="str">
        <f aca="false">IF(P2502="DUP","Exact duplicate row",IF(T2502=1,"Missing Order ID",IF(S2502="DROP","Duplicate Order ID (less complete row)",IF(U2502=1,"Missing Customer ID",IF(V2502=1,"Missing Restaurant name",IF(W2502=1,"Invalid/outlier quantity",IF(X2502=1,"Invalid/outlier unit price",IF(Y2502=1,"Discount greater than order value",""))))))))</f>
        <v/>
      </c>
      <c r="AC2502" s="7" t="str">
        <f aca="false">IF(AB2502="","KEEP","DROP")</f>
        <v>KEEP</v>
      </c>
      <c r="AD2502" s="7" t="str">
        <f aca="false">IF(TRIM(F2502)="",IFERROR(INDEX(Map_Tables!$I$4:$I$37,MATCH(TRIM(E2502),Map_Tables!$G$4:$G$37,0)),""),IFERROR(INDEX(Map_Tables!$B$4:$B$18,MATCH(TRIM(F2502),Map_Tables!$A$4:$A$18,0)),"CHECK"))</f>
        <v>Bengaluru</v>
      </c>
      <c r="AE2502" s="7" t="str">
        <f aca="false">IF(TRIM(E2502)="","",IFERROR(INDEX(Map_Tables!$H$4:$H$37,MATCH(TRIM(E2502),Map_Tables!$G$4:$G$37,0)),"CHECK"))</f>
        <v>Nawabi Biryani House</v>
      </c>
      <c r="AF2502" s="7" t="str">
        <f aca="false">IF(TRIM(K2502)="","Unknown",IFERROR(INDEX(Map_Tables!$E$4:$E$15,MATCH(TRIM(K2502),Map_Tables!$D$4:$D$15,0)),"CHECK"))</f>
        <v>Cash on Delivery</v>
      </c>
      <c r="AG2502" s="7" t="str">
        <f aca="false">IF(LEFT(LOWER(TRIM(L2502)),6)="cancel","Cancelled","Delivered")</f>
        <v>Delivered</v>
      </c>
      <c r="AH2502" s="10" t="n">
        <f aca="false">IF(ISNUMBER(SEARCH("/",B2502)),DATE(VALUE(RIGHT(B2502,4)),VALUE(MID(B2502,4,2)),VALUE(LEFT(B2502,2))),IF(MID(B2502,5,1)="-",DATE(VALUE(LEFT(B2502,4)),VALUE(MID(B2502,6,2)),VALUE(RIGHT(B2502,2))),DATE(VALUE(RIGHT(B2502,4)),MATCH(MID(B2502,4,3),{"Jan","Feb","Mar","Apr","May","Jun","Jul","Aug","Sep","Oct","Nov","Dec"},0),VALUE(LEFT(B2502,2)))))</f>
        <v>45723</v>
      </c>
    </row>
    <row r="2503" customFormat="false" ht="15" hidden="false" customHeight="false" outlineLevel="0" collapsed="false">
      <c r="A2503" s="7" t="s">
        <v>5466</v>
      </c>
      <c r="B2503" s="7" t="s">
        <v>473</v>
      </c>
      <c r="C2503" s="7" t="s">
        <v>1019</v>
      </c>
      <c r="D2503" s="7" t="s">
        <v>3635</v>
      </c>
      <c r="E2503" s="7" t="s">
        <v>104</v>
      </c>
      <c r="F2503" s="7" t="s">
        <v>86</v>
      </c>
      <c r="G2503" s="7" t="s">
        <v>105</v>
      </c>
      <c r="H2503" s="7" t="n">
        <v>1</v>
      </c>
      <c r="I2503" s="7" t="n">
        <v>200</v>
      </c>
      <c r="J2503" s="7" t="n">
        <v>30</v>
      </c>
      <c r="K2503" s="7" t="s">
        <v>103</v>
      </c>
      <c r="L2503" s="7" t="s">
        <v>194</v>
      </c>
      <c r="M2503" s="7" t="n">
        <v>51</v>
      </c>
      <c r="N2503" s="7" t="n">
        <v>3</v>
      </c>
      <c r="O2503" s="7" t="str">
        <f aca="false">A2503&amp;"|"&amp;B2503&amp;"|"&amp;C2503&amp;"|"&amp;D2503&amp;"|"&amp;E2503&amp;"|"&amp;F2503&amp;"|"&amp;G2503&amp;"|"&amp;H2503&amp;"|"&amp;I2503&amp;"|"&amp;J2503&amp;"|"&amp;K2503&amp;"|"&amp;L2503&amp;"|"&amp;M2503&amp;"|"&amp;N2503</f>
        <v>ORD10823|2025-04-14|19:25|C0734|Wok &amp; Roll|Bengaluru|Chinese|1|200|30|Debit Card|Delivered|51|3</v>
      </c>
      <c r="P2503" s="7" t="str">
        <f aca="false">IF(COUNTIF($O$2:O2503,O2503)&gt;1,"DUP","OK")</f>
        <v>OK</v>
      </c>
      <c r="Q2503" s="7" t="n">
        <f aca="false">COUNTBLANK(A2503:N2503)</f>
        <v>0</v>
      </c>
      <c r="R2503" s="7" t="n">
        <f aca="false">IF(A2503="",0,COUNTIFS($A$2:$A$3058,A2503,$P$2:$P$3058,"OK"))</f>
        <v>1</v>
      </c>
      <c r="S2503" s="7" t="str">
        <f aca="false">IF(OR(A2503="",P2503="DUP",R2503&lt;2),"",IF(Q2503=_xlfn.MINIFS($Q$2:$Q$3058,$A$2:$A$3058,A2503,$P$2:$P$3058,"OK"),"KEEP","DROP"))</f>
        <v/>
      </c>
      <c r="T2503" s="9" t="n">
        <f aca="false">IF(A2503="",1,0)</f>
        <v>0</v>
      </c>
      <c r="U2503" s="9" t="n">
        <f aca="false">IF(D2503="",1,0)</f>
        <v>0</v>
      </c>
      <c r="V2503" s="9" t="n">
        <f aca="false">IF(E2503="",1,0)</f>
        <v>0</v>
      </c>
      <c r="W2503" s="9" t="n">
        <f aca="false">IF(OR(H2503&lt;1,H2503&gt;10),1,0)</f>
        <v>0</v>
      </c>
      <c r="X2503" s="9" t="n">
        <f aca="false">IF(OR(I2503&lt;=0,I2503&gt;1500),1,0)</f>
        <v>0</v>
      </c>
      <c r="Y2503" s="9" t="n">
        <f aca="false">IF(J2503&gt;H2503*I2503,1,0)</f>
        <v>0</v>
      </c>
      <c r="Z2503" s="9" t="n">
        <f aca="false">IF(AND(N2503&lt;&gt;"",OR(N2503&lt;1,N2503&gt;5)),1,0)</f>
        <v>0</v>
      </c>
      <c r="AA2503" s="9" t="n">
        <f aca="false">IF(AND(M2503&lt;&gt;"",OR(M2503&lt;5,M2503&gt;180)),1,0)</f>
        <v>0</v>
      </c>
      <c r="AB2503" s="7" t="str">
        <f aca="false">IF(P2503="DUP","Exact duplicate row",IF(T2503=1,"Missing Order ID",IF(S2503="DROP","Duplicate Order ID (less complete row)",IF(U2503=1,"Missing Customer ID",IF(V2503=1,"Missing Restaurant name",IF(W2503=1,"Invalid/outlier quantity",IF(X2503=1,"Invalid/outlier unit price",IF(Y2503=1,"Discount greater than order value",""))))))))</f>
        <v/>
      </c>
      <c r="AC2503" s="7" t="str">
        <f aca="false">IF(AB2503="","KEEP","DROP")</f>
        <v>KEEP</v>
      </c>
      <c r="AD2503" s="7" t="str">
        <f aca="false">IF(TRIM(F2503)="",IFERROR(INDEX(Map_Tables!$I$4:$I$37,MATCH(TRIM(E2503),Map_Tables!$G$4:$G$37,0)),""),IFERROR(INDEX(Map_Tables!$B$4:$B$18,MATCH(TRIM(F2503),Map_Tables!$A$4:$A$18,0)),"CHECK"))</f>
        <v>Bengaluru</v>
      </c>
      <c r="AE2503" s="7" t="str">
        <f aca="false">IF(TRIM(E2503)="","",IFERROR(INDEX(Map_Tables!$H$4:$H$37,MATCH(TRIM(E2503),Map_Tables!$G$4:$G$37,0)),"CHECK"))</f>
        <v>Wok &amp; Roll</v>
      </c>
      <c r="AF2503" s="7" t="str">
        <f aca="false">IF(TRIM(K2503)="","Unknown",IFERROR(INDEX(Map_Tables!$E$4:$E$15,MATCH(TRIM(K2503),Map_Tables!$D$4:$D$15,0)),"CHECK"))</f>
        <v>Debit Card</v>
      </c>
      <c r="AG2503" s="7" t="str">
        <f aca="false">IF(LEFT(LOWER(TRIM(L2503)),6)="cancel","Cancelled","Delivered")</f>
        <v>Delivered</v>
      </c>
      <c r="AH2503" s="10" t="n">
        <f aca="false">IF(ISNUMBER(SEARCH("/",B2503)),DATE(VALUE(RIGHT(B2503,4)),VALUE(MID(B2503,4,2)),VALUE(LEFT(B2503,2))),IF(MID(B2503,5,1)="-",DATE(VALUE(LEFT(B2503,4)),VALUE(MID(B2503,6,2)),VALUE(RIGHT(B2503,2))),DATE(VALUE(RIGHT(B2503,4)),MATCH(MID(B2503,4,3),{"Jan","Feb","Mar","Apr","May","Jun","Jul","Aug","Sep","Oct","Nov","Dec"},0),VALUE(LEFT(B2503,2)))))</f>
        <v>45761</v>
      </c>
    </row>
    <row r="2504" customFormat="false" ht="15" hidden="false" customHeight="false" outlineLevel="0" collapsed="false">
      <c r="A2504" s="7" t="s">
        <v>5467</v>
      </c>
      <c r="B2504" s="7" t="s">
        <v>739</v>
      </c>
      <c r="C2504" s="7" t="s">
        <v>486</v>
      </c>
      <c r="D2504" s="7" t="s">
        <v>2499</v>
      </c>
      <c r="E2504" s="7" t="s">
        <v>138</v>
      </c>
      <c r="F2504" s="7" t="s">
        <v>110</v>
      </c>
      <c r="G2504" s="7" t="s">
        <v>139</v>
      </c>
      <c r="H2504" s="7" t="n">
        <v>3</v>
      </c>
      <c r="I2504" s="7" t="n">
        <v>210</v>
      </c>
      <c r="J2504" s="7" t="n">
        <v>125</v>
      </c>
      <c r="K2504" s="7" t="s">
        <v>121</v>
      </c>
      <c r="L2504" s="7" t="s">
        <v>194</v>
      </c>
      <c r="M2504" s="7" t="n">
        <v>45</v>
      </c>
      <c r="N2504" s="7" t="n">
        <v>4</v>
      </c>
      <c r="O2504" s="7" t="str">
        <f aca="false">A2504&amp;"|"&amp;B2504&amp;"|"&amp;C2504&amp;"|"&amp;D2504&amp;"|"&amp;E2504&amp;"|"&amp;F2504&amp;"|"&amp;G2504&amp;"|"&amp;H2504&amp;"|"&amp;I2504&amp;"|"&amp;J2504&amp;"|"&amp;K2504&amp;"|"&amp;L2504&amp;"|"&amp;M2504&amp;"|"&amp;N2504</f>
        <v>ORD10795|2025-04-11|12:46|C1495|Burger Barn|Delhi|Burgers|3|210|125|Wallet|Delivered|45|4</v>
      </c>
      <c r="P2504" s="7" t="str">
        <f aca="false">IF(COUNTIF($O$2:O2504,O2504)&gt;1,"DUP","OK")</f>
        <v>OK</v>
      </c>
      <c r="Q2504" s="7" t="n">
        <f aca="false">COUNTBLANK(A2504:N2504)</f>
        <v>0</v>
      </c>
      <c r="R2504" s="7" t="n">
        <f aca="false">IF(A2504="",0,COUNTIFS($A$2:$A$3058,A2504,$P$2:$P$3058,"OK"))</f>
        <v>1</v>
      </c>
      <c r="S2504" s="7" t="str">
        <f aca="false">IF(OR(A2504="",P2504="DUP",R2504&lt;2),"",IF(Q2504=_xlfn.MINIFS($Q$2:$Q$3058,$A$2:$A$3058,A2504,$P$2:$P$3058,"OK"),"KEEP","DROP"))</f>
        <v/>
      </c>
      <c r="T2504" s="9" t="n">
        <f aca="false">IF(A2504="",1,0)</f>
        <v>0</v>
      </c>
      <c r="U2504" s="9" t="n">
        <f aca="false">IF(D2504="",1,0)</f>
        <v>0</v>
      </c>
      <c r="V2504" s="9" t="n">
        <f aca="false">IF(E2504="",1,0)</f>
        <v>0</v>
      </c>
      <c r="W2504" s="9" t="n">
        <f aca="false">IF(OR(H2504&lt;1,H2504&gt;10),1,0)</f>
        <v>0</v>
      </c>
      <c r="X2504" s="9" t="n">
        <f aca="false">IF(OR(I2504&lt;=0,I2504&gt;1500),1,0)</f>
        <v>0</v>
      </c>
      <c r="Y2504" s="9" t="n">
        <f aca="false">IF(J2504&gt;H2504*I2504,1,0)</f>
        <v>0</v>
      </c>
      <c r="Z2504" s="9" t="n">
        <f aca="false">IF(AND(N2504&lt;&gt;"",OR(N2504&lt;1,N2504&gt;5)),1,0)</f>
        <v>0</v>
      </c>
      <c r="AA2504" s="9" t="n">
        <f aca="false">IF(AND(M2504&lt;&gt;"",OR(M2504&lt;5,M2504&gt;180)),1,0)</f>
        <v>0</v>
      </c>
      <c r="AB2504" s="7" t="str">
        <f aca="false">IF(P2504="DUP","Exact duplicate row",IF(T2504=1,"Missing Order ID",IF(S2504="DROP","Duplicate Order ID (less complete row)",IF(U2504=1,"Missing Customer ID",IF(V2504=1,"Missing Restaurant name",IF(W2504=1,"Invalid/outlier quantity",IF(X2504=1,"Invalid/outlier unit price",IF(Y2504=1,"Discount greater than order value",""))))))))</f>
        <v/>
      </c>
      <c r="AC2504" s="7" t="str">
        <f aca="false">IF(AB2504="","KEEP","DROP")</f>
        <v>KEEP</v>
      </c>
      <c r="AD2504" s="7" t="str">
        <f aca="false">IF(TRIM(F2504)="",IFERROR(INDEX(Map_Tables!$I$4:$I$37,MATCH(TRIM(E2504),Map_Tables!$G$4:$G$37,0)),""),IFERROR(INDEX(Map_Tables!$B$4:$B$18,MATCH(TRIM(F2504),Map_Tables!$A$4:$A$18,0)),"CHECK"))</f>
        <v>Delhi</v>
      </c>
      <c r="AE2504" s="7" t="str">
        <f aca="false">IF(TRIM(E2504)="","",IFERROR(INDEX(Map_Tables!$H$4:$H$37,MATCH(TRIM(E2504),Map_Tables!$G$4:$G$37,0)),"CHECK"))</f>
        <v>Burger Barn</v>
      </c>
      <c r="AF2504" s="7" t="str">
        <f aca="false">IF(TRIM(K2504)="","Unknown",IFERROR(INDEX(Map_Tables!$E$4:$E$15,MATCH(TRIM(K2504),Map_Tables!$D$4:$D$15,0)),"CHECK"))</f>
        <v>Wallet</v>
      </c>
      <c r="AG2504" s="7" t="str">
        <f aca="false">IF(LEFT(LOWER(TRIM(L2504)),6)="cancel","Cancelled","Delivered")</f>
        <v>Delivered</v>
      </c>
      <c r="AH2504" s="10" t="n">
        <f aca="false">IF(ISNUMBER(SEARCH("/",B2504)),DATE(VALUE(RIGHT(B2504,4)),VALUE(MID(B2504,4,2)),VALUE(LEFT(B2504,2))),IF(MID(B2504,5,1)="-",DATE(VALUE(LEFT(B2504,4)),VALUE(MID(B2504,6,2)),VALUE(RIGHT(B2504,2))),DATE(VALUE(RIGHT(B2504,4)),MATCH(MID(B2504,4,3),{"Jan","Feb","Mar","Apr","May","Jun","Jul","Aug","Sep","Oct","Nov","Dec"},0),VALUE(LEFT(B2504,2)))))</f>
        <v>45758</v>
      </c>
    </row>
    <row r="2505" customFormat="false" ht="15" hidden="false" customHeight="false" outlineLevel="0" collapsed="false">
      <c r="A2505" s="7" t="s">
        <v>5468</v>
      </c>
      <c r="B2505" s="7" t="s">
        <v>964</v>
      </c>
      <c r="C2505" s="7" t="s">
        <v>3259</v>
      </c>
      <c r="D2505" s="7" t="s">
        <v>1977</v>
      </c>
      <c r="E2505" s="7" t="s">
        <v>113</v>
      </c>
      <c r="F2505" s="7" t="s">
        <v>101</v>
      </c>
      <c r="G2505" s="7" t="s">
        <v>90</v>
      </c>
      <c r="H2505" s="7" t="n">
        <v>1</v>
      </c>
      <c r="I2505" s="7" t="n">
        <v>225</v>
      </c>
      <c r="J2505" s="7" t="n">
        <v>30</v>
      </c>
      <c r="K2505" s="7" t="s">
        <v>1739</v>
      </c>
      <c r="L2505" s="7" t="s">
        <v>194</v>
      </c>
      <c r="M2505" s="7" t="n">
        <v>46</v>
      </c>
      <c r="N2505" s="7" t="n">
        <v>3</v>
      </c>
      <c r="O2505" s="7" t="str">
        <f aca="false">A2505&amp;"|"&amp;B2505&amp;"|"&amp;C2505&amp;"|"&amp;D2505&amp;"|"&amp;E2505&amp;"|"&amp;F2505&amp;"|"&amp;G2505&amp;"|"&amp;H2505&amp;"|"&amp;I2505&amp;"|"&amp;J2505&amp;"|"&amp;K2505&amp;"|"&amp;L2505&amp;"|"&amp;M2505&amp;"|"&amp;N2505</f>
        <v>ORD10991|2025-05-06|11:57|C0689|Curry Leaf Kitchen|Mumbai|North Indian|1|225|30|CC|Delivered|46|3</v>
      </c>
      <c r="P2505" s="7" t="str">
        <f aca="false">IF(COUNTIF($O$2:O2505,O2505)&gt;1,"DUP","OK")</f>
        <v>OK</v>
      </c>
      <c r="Q2505" s="7" t="n">
        <f aca="false">COUNTBLANK(A2505:N2505)</f>
        <v>0</v>
      </c>
      <c r="R2505" s="7" t="n">
        <f aca="false">IF(A2505="",0,COUNTIFS($A$2:$A$3058,A2505,$P$2:$P$3058,"OK"))</f>
        <v>1</v>
      </c>
      <c r="S2505" s="7" t="str">
        <f aca="false">IF(OR(A2505="",P2505="DUP",R2505&lt;2),"",IF(Q2505=_xlfn.MINIFS($Q$2:$Q$3058,$A$2:$A$3058,A2505,$P$2:$P$3058,"OK"),"KEEP","DROP"))</f>
        <v/>
      </c>
      <c r="T2505" s="9" t="n">
        <f aca="false">IF(A2505="",1,0)</f>
        <v>0</v>
      </c>
      <c r="U2505" s="9" t="n">
        <f aca="false">IF(D2505="",1,0)</f>
        <v>0</v>
      </c>
      <c r="V2505" s="9" t="n">
        <f aca="false">IF(E2505="",1,0)</f>
        <v>0</v>
      </c>
      <c r="W2505" s="9" t="n">
        <f aca="false">IF(OR(H2505&lt;1,H2505&gt;10),1,0)</f>
        <v>0</v>
      </c>
      <c r="X2505" s="9" t="n">
        <f aca="false">IF(OR(I2505&lt;=0,I2505&gt;1500),1,0)</f>
        <v>0</v>
      </c>
      <c r="Y2505" s="9" t="n">
        <f aca="false">IF(J2505&gt;H2505*I2505,1,0)</f>
        <v>0</v>
      </c>
      <c r="Z2505" s="9" t="n">
        <f aca="false">IF(AND(N2505&lt;&gt;"",OR(N2505&lt;1,N2505&gt;5)),1,0)</f>
        <v>0</v>
      </c>
      <c r="AA2505" s="9" t="n">
        <f aca="false">IF(AND(M2505&lt;&gt;"",OR(M2505&lt;5,M2505&gt;180)),1,0)</f>
        <v>0</v>
      </c>
      <c r="AB2505" s="7" t="str">
        <f aca="false">IF(P2505="DUP","Exact duplicate row",IF(T2505=1,"Missing Order ID",IF(S2505="DROP","Duplicate Order ID (less complete row)",IF(U2505=1,"Missing Customer ID",IF(V2505=1,"Missing Restaurant name",IF(W2505=1,"Invalid/outlier quantity",IF(X2505=1,"Invalid/outlier unit price",IF(Y2505=1,"Discount greater than order value",""))))))))</f>
        <v/>
      </c>
      <c r="AC2505" s="7" t="str">
        <f aca="false">IF(AB2505="","KEEP","DROP")</f>
        <v>KEEP</v>
      </c>
      <c r="AD2505" s="7" t="str">
        <f aca="false">IF(TRIM(F2505)="",IFERROR(INDEX(Map_Tables!$I$4:$I$37,MATCH(TRIM(E2505),Map_Tables!$G$4:$G$37,0)),""),IFERROR(INDEX(Map_Tables!$B$4:$B$18,MATCH(TRIM(F2505),Map_Tables!$A$4:$A$18,0)),"CHECK"))</f>
        <v>Mumbai</v>
      </c>
      <c r="AE2505" s="7" t="str">
        <f aca="false">IF(TRIM(E2505)="","",IFERROR(INDEX(Map_Tables!$H$4:$H$37,MATCH(TRIM(E2505),Map_Tables!$G$4:$G$37,0)),"CHECK"))</f>
        <v>Curry Leaf Kitchen</v>
      </c>
      <c r="AF2505" s="7" t="str">
        <f aca="false">IF(TRIM(K2505)="","Unknown",IFERROR(INDEX(Map_Tables!$E$4:$E$15,MATCH(TRIM(K2505),Map_Tables!$D$4:$D$15,0)),"CHECK"))</f>
        <v>Credit Card</v>
      </c>
      <c r="AG2505" s="7" t="str">
        <f aca="false">IF(LEFT(LOWER(TRIM(L2505)),6)="cancel","Cancelled","Delivered")</f>
        <v>Delivered</v>
      </c>
      <c r="AH2505" s="10" t="n">
        <f aca="false">IF(ISNUMBER(SEARCH("/",B2505)),DATE(VALUE(RIGHT(B2505,4)),VALUE(MID(B2505,4,2)),VALUE(LEFT(B2505,2))),IF(MID(B2505,5,1)="-",DATE(VALUE(LEFT(B2505,4)),VALUE(MID(B2505,6,2)),VALUE(RIGHT(B2505,2))),DATE(VALUE(RIGHT(B2505,4)),MATCH(MID(B2505,4,3),{"Jan","Feb","Mar","Apr","May","Jun","Jul","Aug","Sep","Oct","Nov","Dec"},0),VALUE(LEFT(B2505,2)))))</f>
        <v>45783</v>
      </c>
    </row>
    <row r="2506" customFormat="false" ht="15" hidden="false" customHeight="false" outlineLevel="0" collapsed="false">
      <c r="A2506" s="7" t="s">
        <v>5469</v>
      </c>
      <c r="B2506" s="7" t="s">
        <v>1446</v>
      </c>
      <c r="C2506" s="7" t="s">
        <v>365</v>
      </c>
      <c r="D2506" s="7" t="s">
        <v>4510</v>
      </c>
      <c r="E2506" s="7" t="s">
        <v>113</v>
      </c>
      <c r="F2506" s="7" t="s">
        <v>1557</v>
      </c>
      <c r="G2506" s="7" t="s">
        <v>90</v>
      </c>
      <c r="H2506" s="7" t="n">
        <v>4</v>
      </c>
      <c r="I2506" s="7" t="n">
        <v>215</v>
      </c>
      <c r="J2506" s="7" t="n">
        <v>30</v>
      </c>
      <c r="K2506" s="7" t="s">
        <v>88</v>
      </c>
      <c r="L2506" s="7" t="s">
        <v>238</v>
      </c>
      <c r="M2506" s="7"/>
      <c r="N2506" s="7"/>
      <c r="O2506" s="7" t="str">
        <f aca="false">A2506&amp;"|"&amp;B2506&amp;"|"&amp;C2506&amp;"|"&amp;D2506&amp;"|"&amp;E2506&amp;"|"&amp;F2506&amp;"|"&amp;G2506&amp;"|"&amp;H2506&amp;"|"&amp;I2506&amp;"|"&amp;J2506&amp;"|"&amp;K2506&amp;"|"&amp;L2506&amp;"|"&amp;M2506&amp;"|"&amp;N2506</f>
        <v>ORD10568|2025-03-13|20:55|C0811|Curry Leaf Kitchen|Mumbai |North Indian|4|215|30|UPI|Cancelled||</v>
      </c>
      <c r="P2506" s="7" t="str">
        <f aca="false">IF(COUNTIF($O$2:O2506,O2506)&gt;1,"DUP","OK")</f>
        <v>OK</v>
      </c>
      <c r="Q2506" s="7" t="n">
        <f aca="false">COUNTBLANK(A2506:N2506)</f>
        <v>2</v>
      </c>
      <c r="R2506" s="7" t="n">
        <f aca="false">IF(A2506="",0,COUNTIFS($A$2:$A$3058,A2506,$P$2:$P$3058,"OK"))</f>
        <v>1</v>
      </c>
      <c r="S2506" s="7" t="str">
        <f aca="false">IF(OR(A2506="",P2506="DUP",R2506&lt;2),"",IF(Q2506=_xlfn.MINIFS($Q$2:$Q$3058,$A$2:$A$3058,A2506,$P$2:$P$3058,"OK"),"KEEP","DROP"))</f>
        <v/>
      </c>
      <c r="T2506" s="9" t="n">
        <f aca="false">IF(A2506="",1,0)</f>
        <v>0</v>
      </c>
      <c r="U2506" s="9" t="n">
        <f aca="false">IF(D2506="",1,0)</f>
        <v>0</v>
      </c>
      <c r="V2506" s="9" t="n">
        <f aca="false">IF(E2506="",1,0)</f>
        <v>0</v>
      </c>
      <c r="W2506" s="9" t="n">
        <f aca="false">IF(OR(H2506&lt;1,H2506&gt;10),1,0)</f>
        <v>0</v>
      </c>
      <c r="X2506" s="9" t="n">
        <f aca="false">IF(OR(I2506&lt;=0,I2506&gt;1500),1,0)</f>
        <v>0</v>
      </c>
      <c r="Y2506" s="9" t="n">
        <f aca="false">IF(J2506&gt;H2506*I2506,1,0)</f>
        <v>0</v>
      </c>
      <c r="Z2506" s="9" t="n">
        <f aca="false">IF(AND(N2506&lt;&gt;"",OR(N2506&lt;1,N2506&gt;5)),1,0)</f>
        <v>0</v>
      </c>
      <c r="AA2506" s="9" t="n">
        <f aca="false">IF(AND(M2506&lt;&gt;"",OR(M2506&lt;5,M2506&gt;180)),1,0)</f>
        <v>0</v>
      </c>
      <c r="AB2506" s="7" t="str">
        <f aca="false">IF(P2506="DUP","Exact duplicate row",IF(T2506=1,"Missing Order ID",IF(S2506="DROP","Duplicate Order ID (less complete row)",IF(U2506=1,"Missing Customer ID",IF(V2506=1,"Missing Restaurant name",IF(W2506=1,"Invalid/outlier quantity",IF(X2506=1,"Invalid/outlier unit price",IF(Y2506=1,"Discount greater than order value",""))))))))</f>
        <v/>
      </c>
      <c r="AC2506" s="7" t="str">
        <f aca="false">IF(AB2506="","KEEP","DROP")</f>
        <v>KEEP</v>
      </c>
      <c r="AD2506" s="7" t="str">
        <f aca="false">IF(TRIM(F2506)="",IFERROR(INDEX(Map_Tables!$I$4:$I$37,MATCH(TRIM(E2506),Map_Tables!$G$4:$G$37,0)),""),IFERROR(INDEX(Map_Tables!$B$4:$B$18,MATCH(TRIM(F2506),Map_Tables!$A$4:$A$18,0)),"CHECK"))</f>
        <v>Mumbai</v>
      </c>
      <c r="AE2506" s="7" t="str">
        <f aca="false">IF(TRIM(E2506)="","",IFERROR(INDEX(Map_Tables!$H$4:$H$37,MATCH(TRIM(E2506),Map_Tables!$G$4:$G$37,0)),"CHECK"))</f>
        <v>Curry Leaf Kitchen</v>
      </c>
      <c r="AF2506" s="7" t="str">
        <f aca="false">IF(TRIM(K2506)="","Unknown",IFERROR(INDEX(Map_Tables!$E$4:$E$15,MATCH(TRIM(K2506),Map_Tables!$D$4:$D$15,0)),"CHECK"))</f>
        <v>UPI</v>
      </c>
      <c r="AG2506" s="7" t="str">
        <f aca="false">IF(LEFT(LOWER(TRIM(L2506)),6)="cancel","Cancelled","Delivered")</f>
        <v>Cancelled</v>
      </c>
      <c r="AH2506" s="10" t="n">
        <f aca="false">IF(ISNUMBER(SEARCH("/",B2506)),DATE(VALUE(RIGHT(B2506,4)),VALUE(MID(B2506,4,2)),VALUE(LEFT(B2506,2))),IF(MID(B2506,5,1)="-",DATE(VALUE(LEFT(B2506,4)),VALUE(MID(B2506,6,2)),VALUE(RIGHT(B2506,2))),DATE(VALUE(RIGHT(B2506,4)),MATCH(MID(B2506,4,3),{"Jan","Feb","Mar","Apr","May","Jun","Jul","Aug","Sep","Oct","Nov","Dec"},0),VALUE(LEFT(B2506,2)))))</f>
        <v>45729</v>
      </c>
    </row>
    <row r="2507" customFormat="false" ht="15" hidden="false" customHeight="false" outlineLevel="0" collapsed="false">
      <c r="A2507" s="7" t="s">
        <v>5470</v>
      </c>
      <c r="B2507" s="7" t="s">
        <v>326</v>
      </c>
      <c r="C2507" s="7" t="s">
        <v>1704</v>
      </c>
      <c r="D2507" s="7" t="s">
        <v>784</v>
      </c>
      <c r="E2507" s="7" t="s">
        <v>1098</v>
      </c>
      <c r="F2507" s="7" t="s">
        <v>86</v>
      </c>
      <c r="G2507" s="7" t="s">
        <v>90</v>
      </c>
      <c r="H2507" s="7" t="n">
        <v>1</v>
      </c>
      <c r="I2507" s="7" t="n">
        <v>275</v>
      </c>
      <c r="J2507" s="7" t="n">
        <v>40</v>
      </c>
      <c r="K2507" s="7" t="s">
        <v>88</v>
      </c>
      <c r="L2507" s="7" t="s">
        <v>194</v>
      </c>
      <c r="M2507" s="7" t="n">
        <v>42</v>
      </c>
      <c r="N2507" s="7" t="n">
        <v>3</v>
      </c>
      <c r="O2507" s="7" t="str">
        <f aca="false">A2507&amp;"|"&amp;B2507&amp;"|"&amp;C2507&amp;"|"&amp;D2507&amp;"|"&amp;E2507&amp;"|"&amp;F2507&amp;"|"&amp;G2507&amp;"|"&amp;H2507&amp;"|"&amp;I2507&amp;"|"&amp;J2507&amp;"|"&amp;K2507&amp;"|"&amp;L2507&amp;"|"&amp;M2507&amp;"|"&amp;N2507</f>
        <v>ORD12436|2025-11-02|20:01|C0674|SPICE JUNCTION|Bengaluru|North Indian|1|275|40|UPI|Delivered|42|3</v>
      </c>
      <c r="P2507" s="7" t="str">
        <f aca="false">IF(COUNTIF($O$2:O2507,O2507)&gt;1,"DUP","OK")</f>
        <v>OK</v>
      </c>
      <c r="Q2507" s="7" t="n">
        <f aca="false">COUNTBLANK(A2507:N2507)</f>
        <v>0</v>
      </c>
      <c r="R2507" s="7" t="n">
        <f aca="false">IF(A2507="",0,COUNTIFS($A$2:$A$3058,A2507,$P$2:$P$3058,"OK"))</f>
        <v>1</v>
      </c>
      <c r="S2507" s="7" t="str">
        <f aca="false">IF(OR(A2507="",P2507="DUP",R2507&lt;2),"",IF(Q2507=_xlfn.MINIFS($Q$2:$Q$3058,$A$2:$A$3058,A2507,$P$2:$P$3058,"OK"),"KEEP","DROP"))</f>
        <v/>
      </c>
      <c r="T2507" s="9" t="n">
        <f aca="false">IF(A2507="",1,0)</f>
        <v>0</v>
      </c>
      <c r="U2507" s="9" t="n">
        <f aca="false">IF(D2507="",1,0)</f>
        <v>0</v>
      </c>
      <c r="V2507" s="9" t="n">
        <f aca="false">IF(E2507="",1,0)</f>
        <v>0</v>
      </c>
      <c r="W2507" s="9" t="n">
        <f aca="false">IF(OR(H2507&lt;1,H2507&gt;10),1,0)</f>
        <v>0</v>
      </c>
      <c r="X2507" s="9" t="n">
        <f aca="false">IF(OR(I2507&lt;=0,I2507&gt;1500),1,0)</f>
        <v>0</v>
      </c>
      <c r="Y2507" s="9" t="n">
        <f aca="false">IF(J2507&gt;H2507*I2507,1,0)</f>
        <v>0</v>
      </c>
      <c r="Z2507" s="9" t="n">
        <f aca="false">IF(AND(N2507&lt;&gt;"",OR(N2507&lt;1,N2507&gt;5)),1,0)</f>
        <v>0</v>
      </c>
      <c r="AA2507" s="9" t="n">
        <f aca="false">IF(AND(M2507&lt;&gt;"",OR(M2507&lt;5,M2507&gt;180)),1,0)</f>
        <v>0</v>
      </c>
      <c r="AB2507" s="7" t="str">
        <f aca="false">IF(P2507="DUP","Exact duplicate row",IF(T2507=1,"Missing Order ID",IF(S2507="DROP","Duplicate Order ID (less complete row)",IF(U2507=1,"Missing Customer ID",IF(V2507=1,"Missing Restaurant name",IF(W2507=1,"Invalid/outlier quantity",IF(X2507=1,"Invalid/outlier unit price",IF(Y2507=1,"Discount greater than order value",""))))))))</f>
        <v/>
      </c>
      <c r="AC2507" s="7" t="str">
        <f aca="false">IF(AB2507="","KEEP","DROP")</f>
        <v>KEEP</v>
      </c>
      <c r="AD2507" s="7" t="str">
        <f aca="false">IF(TRIM(F2507)="",IFERROR(INDEX(Map_Tables!$I$4:$I$37,MATCH(TRIM(E2507),Map_Tables!$G$4:$G$37,0)),""),IFERROR(INDEX(Map_Tables!$B$4:$B$18,MATCH(TRIM(F2507),Map_Tables!$A$4:$A$18,0)),"CHECK"))</f>
        <v>Bengaluru</v>
      </c>
      <c r="AE2507" s="7" t="str">
        <f aca="false">IF(TRIM(E2507)="","",IFERROR(INDEX(Map_Tables!$H$4:$H$37,MATCH(TRIM(E2507),Map_Tables!$G$4:$G$37,0)),"CHECK"))</f>
        <v>Spice Junction</v>
      </c>
      <c r="AF2507" s="7" t="str">
        <f aca="false">IF(TRIM(K2507)="","Unknown",IFERROR(INDEX(Map_Tables!$E$4:$E$15,MATCH(TRIM(K2507),Map_Tables!$D$4:$D$15,0)),"CHECK"))</f>
        <v>UPI</v>
      </c>
      <c r="AG2507" s="7" t="str">
        <f aca="false">IF(LEFT(LOWER(TRIM(L2507)),6)="cancel","Cancelled","Delivered")</f>
        <v>Delivered</v>
      </c>
      <c r="AH2507" s="10" t="n">
        <f aca="false">IF(ISNUMBER(SEARCH("/",B2507)),DATE(VALUE(RIGHT(B2507,4)),VALUE(MID(B2507,4,2)),VALUE(LEFT(B2507,2))),IF(MID(B2507,5,1)="-",DATE(VALUE(LEFT(B2507,4)),VALUE(MID(B2507,6,2)),VALUE(RIGHT(B2507,2))),DATE(VALUE(RIGHT(B2507,4)),MATCH(MID(B2507,4,3),{"Jan","Feb","Mar","Apr","May","Jun","Jul","Aug","Sep","Oct","Nov","Dec"},0),VALUE(LEFT(B2507,2)))))</f>
        <v>45963</v>
      </c>
    </row>
    <row r="2508" customFormat="false" ht="15" hidden="false" customHeight="false" outlineLevel="0" collapsed="false">
      <c r="A2508" s="7" t="s">
        <v>5471</v>
      </c>
      <c r="B2508" s="7" t="s">
        <v>5472</v>
      </c>
      <c r="C2508" s="7" t="s">
        <v>306</v>
      </c>
      <c r="D2508" s="7" t="s">
        <v>5473</v>
      </c>
      <c r="E2508" s="7" t="s">
        <v>130</v>
      </c>
      <c r="F2508" s="7" t="s">
        <v>110</v>
      </c>
      <c r="G2508" s="7" t="s">
        <v>90</v>
      </c>
      <c r="H2508" s="7" t="n">
        <v>3</v>
      </c>
      <c r="I2508" s="7" t="n">
        <v>285</v>
      </c>
      <c r="J2508" s="7" t="n">
        <v>0</v>
      </c>
      <c r="K2508" s="7" t="s">
        <v>103</v>
      </c>
      <c r="L2508" s="7" t="s">
        <v>194</v>
      </c>
      <c r="M2508" s="7" t="n">
        <v>45</v>
      </c>
      <c r="N2508" s="7" t="n">
        <v>3</v>
      </c>
      <c r="O2508" s="7" t="str">
        <f aca="false">A2508&amp;"|"&amp;B2508&amp;"|"&amp;C2508&amp;"|"&amp;D2508&amp;"|"&amp;E2508&amp;"|"&amp;F2508&amp;"|"&amp;G2508&amp;"|"&amp;H2508&amp;"|"&amp;I2508&amp;"|"&amp;J2508&amp;"|"&amp;K2508&amp;"|"&amp;L2508&amp;"|"&amp;M2508&amp;"|"&amp;N2508</f>
        <v>ORD10391|21/02/2025|20:06|C1049|Tandoor Tales|Delhi|North Indian|3|285|0|Debit Card|Delivered|45|3</v>
      </c>
      <c r="P2508" s="7" t="str">
        <f aca="false">IF(COUNTIF($O$2:O2508,O2508)&gt;1,"DUP","OK")</f>
        <v>OK</v>
      </c>
      <c r="Q2508" s="7" t="n">
        <f aca="false">COUNTBLANK(A2508:N2508)</f>
        <v>0</v>
      </c>
      <c r="R2508" s="7" t="n">
        <f aca="false">IF(A2508="",0,COUNTIFS($A$2:$A$3058,A2508,$P$2:$P$3058,"OK"))</f>
        <v>1</v>
      </c>
      <c r="S2508" s="7" t="str">
        <f aca="false">IF(OR(A2508="",P2508="DUP",R2508&lt;2),"",IF(Q2508=_xlfn.MINIFS($Q$2:$Q$3058,$A$2:$A$3058,A2508,$P$2:$P$3058,"OK"),"KEEP","DROP"))</f>
        <v/>
      </c>
      <c r="T2508" s="9" t="n">
        <f aca="false">IF(A2508="",1,0)</f>
        <v>0</v>
      </c>
      <c r="U2508" s="9" t="n">
        <f aca="false">IF(D2508="",1,0)</f>
        <v>0</v>
      </c>
      <c r="V2508" s="9" t="n">
        <f aca="false">IF(E2508="",1,0)</f>
        <v>0</v>
      </c>
      <c r="W2508" s="9" t="n">
        <f aca="false">IF(OR(H2508&lt;1,H2508&gt;10),1,0)</f>
        <v>0</v>
      </c>
      <c r="X2508" s="9" t="n">
        <f aca="false">IF(OR(I2508&lt;=0,I2508&gt;1500),1,0)</f>
        <v>0</v>
      </c>
      <c r="Y2508" s="9" t="n">
        <f aca="false">IF(J2508&gt;H2508*I2508,1,0)</f>
        <v>0</v>
      </c>
      <c r="Z2508" s="9" t="n">
        <f aca="false">IF(AND(N2508&lt;&gt;"",OR(N2508&lt;1,N2508&gt;5)),1,0)</f>
        <v>0</v>
      </c>
      <c r="AA2508" s="9" t="n">
        <f aca="false">IF(AND(M2508&lt;&gt;"",OR(M2508&lt;5,M2508&gt;180)),1,0)</f>
        <v>0</v>
      </c>
      <c r="AB2508" s="7" t="str">
        <f aca="false">IF(P2508="DUP","Exact duplicate row",IF(T2508=1,"Missing Order ID",IF(S2508="DROP","Duplicate Order ID (less complete row)",IF(U2508=1,"Missing Customer ID",IF(V2508=1,"Missing Restaurant name",IF(W2508=1,"Invalid/outlier quantity",IF(X2508=1,"Invalid/outlier unit price",IF(Y2508=1,"Discount greater than order value",""))))))))</f>
        <v/>
      </c>
      <c r="AC2508" s="7" t="str">
        <f aca="false">IF(AB2508="","KEEP","DROP")</f>
        <v>KEEP</v>
      </c>
      <c r="AD2508" s="7" t="str">
        <f aca="false">IF(TRIM(F2508)="",IFERROR(INDEX(Map_Tables!$I$4:$I$37,MATCH(TRIM(E2508),Map_Tables!$G$4:$G$37,0)),""),IFERROR(INDEX(Map_Tables!$B$4:$B$18,MATCH(TRIM(F2508),Map_Tables!$A$4:$A$18,0)),"CHECK"))</f>
        <v>Delhi</v>
      </c>
      <c r="AE2508" s="7" t="str">
        <f aca="false">IF(TRIM(E2508)="","",IFERROR(INDEX(Map_Tables!$H$4:$H$37,MATCH(TRIM(E2508),Map_Tables!$G$4:$G$37,0)),"CHECK"))</f>
        <v>Tandoor Tales</v>
      </c>
      <c r="AF2508" s="7" t="str">
        <f aca="false">IF(TRIM(K2508)="","Unknown",IFERROR(INDEX(Map_Tables!$E$4:$E$15,MATCH(TRIM(K2508),Map_Tables!$D$4:$D$15,0)),"CHECK"))</f>
        <v>Debit Card</v>
      </c>
      <c r="AG2508" s="7" t="str">
        <f aca="false">IF(LEFT(LOWER(TRIM(L2508)),6)="cancel","Cancelled","Delivered")</f>
        <v>Delivered</v>
      </c>
      <c r="AH2508" s="10" t="n">
        <f aca="false">IF(ISNUMBER(SEARCH("/",B2508)),DATE(VALUE(RIGHT(B2508,4)),VALUE(MID(B2508,4,2)),VALUE(LEFT(B2508,2))),IF(MID(B2508,5,1)="-",DATE(VALUE(LEFT(B2508,4)),VALUE(MID(B2508,6,2)),VALUE(RIGHT(B2508,2))),DATE(VALUE(RIGHT(B2508,4)),MATCH(MID(B2508,4,3),{"Jan","Feb","Mar","Apr","May","Jun","Jul","Aug","Sep","Oct","Nov","Dec"},0),VALUE(LEFT(B2508,2)))))</f>
        <v>45709</v>
      </c>
    </row>
    <row r="2509" customFormat="false" ht="15" hidden="false" customHeight="false" outlineLevel="0" collapsed="false">
      <c r="A2509" s="7" t="s">
        <v>5474</v>
      </c>
      <c r="B2509" s="7" t="s">
        <v>318</v>
      </c>
      <c r="C2509" s="7" t="s">
        <v>981</v>
      </c>
      <c r="D2509" s="7" t="s">
        <v>438</v>
      </c>
      <c r="E2509" s="7" t="s">
        <v>98</v>
      </c>
      <c r="F2509" s="7" t="s">
        <v>86</v>
      </c>
      <c r="G2509" s="7" t="s">
        <v>99</v>
      </c>
      <c r="H2509" s="7" t="n">
        <v>2</v>
      </c>
      <c r="I2509" s="7" t="n">
        <v>235</v>
      </c>
      <c r="J2509" s="7" t="n">
        <v>75</v>
      </c>
      <c r="K2509" s="7" t="s">
        <v>88</v>
      </c>
      <c r="L2509" s="7" t="s">
        <v>194</v>
      </c>
      <c r="M2509" s="7" t="n">
        <v>40</v>
      </c>
      <c r="N2509" s="7" t="n">
        <v>4</v>
      </c>
      <c r="O2509" s="7" t="str">
        <f aca="false">A2509&amp;"|"&amp;B2509&amp;"|"&amp;C2509&amp;"|"&amp;D2509&amp;"|"&amp;E2509&amp;"|"&amp;F2509&amp;"|"&amp;G2509&amp;"|"&amp;H2509&amp;"|"&amp;I2509&amp;"|"&amp;J2509&amp;"|"&amp;K2509&amp;"|"&amp;L2509&amp;"|"&amp;M2509&amp;"|"&amp;N2509</f>
        <v>ORD10744|2025-04-05|11:52|C0640|Nawabi Biryani House|Bengaluru|Biryani|2|235|75|UPI|Delivered|40|4</v>
      </c>
      <c r="P2509" s="7" t="str">
        <f aca="false">IF(COUNTIF($O$2:O2509,O2509)&gt;1,"DUP","OK")</f>
        <v>OK</v>
      </c>
      <c r="Q2509" s="7" t="n">
        <f aca="false">COUNTBLANK(A2509:N2509)</f>
        <v>0</v>
      </c>
      <c r="R2509" s="7" t="n">
        <f aca="false">IF(A2509="",0,COUNTIFS($A$2:$A$3058,A2509,$P$2:$P$3058,"OK"))</f>
        <v>1</v>
      </c>
      <c r="S2509" s="7" t="str">
        <f aca="false">IF(OR(A2509="",P2509="DUP",R2509&lt;2),"",IF(Q2509=_xlfn.MINIFS($Q$2:$Q$3058,$A$2:$A$3058,A2509,$P$2:$P$3058,"OK"),"KEEP","DROP"))</f>
        <v/>
      </c>
      <c r="T2509" s="9" t="n">
        <f aca="false">IF(A2509="",1,0)</f>
        <v>0</v>
      </c>
      <c r="U2509" s="9" t="n">
        <f aca="false">IF(D2509="",1,0)</f>
        <v>0</v>
      </c>
      <c r="V2509" s="9" t="n">
        <f aca="false">IF(E2509="",1,0)</f>
        <v>0</v>
      </c>
      <c r="W2509" s="9" t="n">
        <f aca="false">IF(OR(H2509&lt;1,H2509&gt;10),1,0)</f>
        <v>0</v>
      </c>
      <c r="X2509" s="9" t="n">
        <f aca="false">IF(OR(I2509&lt;=0,I2509&gt;1500),1,0)</f>
        <v>0</v>
      </c>
      <c r="Y2509" s="9" t="n">
        <f aca="false">IF(J2509&gt;H2509*I2509,1,0)</f>
        <v>0</v>
      </c>
      <c r="Z2509" s="9" t="n">
        <f aca="false">IF(AND(N2509&lt;&gt;"",OR(N2509&lt;1,N2509&gt;5)),1,0)</f>
        <v>0</v>
      </c>
      <c r="AA2509" s="9" t="n">
        <f aca="false">IF(AND(M2509&lt;&gt;"",OR(M2509&lt;5,M2509&gt;180)),1,0)</f>
        <v>0</v>
      </c>
      <c r="AB2509" s="7" t="str">
        <f aca="false">IF(P2509="DUP","Exact duplicate row",IF(T2509=1,"Missing Order ID",IF(S2509="DROP","Duplicate Order ID (less complete row)",IF(U2509=1,"Missing Customer ID",IF(V2509=1,"Missing Restaurant name",IF(W2509=1,"Invalid/outlier quantity",IF(X2509=1,"Invalid/outlier unit price",IF(Y2509=1,"Discount greater than order value",""))))))))</f>
        <v/>
      </c>
      <c r="AC2509" s="7" t="str">
        <f aca="false">IF(AB2509="","KEEP","DROP")</f>
        <v>KEEP</v>
      </c>
      <c r="AD2509" s="7" t="str">
        <f aca="false">IF(TRIM(F2509)="",IFERROR(INDEX(Map_Tables!$I$4:$I$37,MATCH(TRIM(E2509),Map_Tables!$G$4:$G$37,0)),""),IFERROR(INDEX(Map_Tables!$B$4:$B$18,MATCH(TRIM(F2509),Map_Tables!$A$4:$A$18,0)),"CHECK"))</f>
        <v>Bengaluru</v>
      </c>
      <c r="AE2509" s="7" t="str">
        <f aca="false">IF(TRIM(E2509)="","",IFERROR(INDEX(Map_Tables!$H$4:$H$37,MATCH(TRIM(E2509),Map_Tables!$G$4:$G$37,0)),"CHECK"))</f>
        <v>Nawabi Biryani House</v>
      </c>
      <c r="AF2509" s="7" t="str">
        <f aca="false">IF(TRIM(K2509)="","Unknown",IFERROR(INDEX(Map_Tables!$E$4:$E$15,MATCH(TRIM(K2509),Map_Tables!$D$4:$D$15,0)),"CHECK"))</f>
        <v>UPI</v>
      </c>
      <c r="AG2509" s="7" t="str">
        <f aca="false">IF(LEFT(LOWER(TRIM(L2509)),6)="cancel","Cancelled","Delivered")</f>
        <v>Delivered</v>
      </c>
      <c r="AH2509" s="10" t="n">
        <f aca="false">IF(ISNUMBER(SEARCH("/",B2509)),DATE(VALUE(RIGHT(B2509,4)),VALUE(MID(B2509,4,2)),VALUE(LEFT(B2509,2))),IF(MID(B2509,5,1)="-",DATE(VALUE(LEFT(B2509,4)),VALUE(MID(B2509,6,2)),VALUE(RIGHT(B2509,2))),DATE(VALUE(RIGHT(B2509,4)),MATCH(MID(B2509,4,3),{"Jan","Feb","Mar","Apr","May","Jun","Jul","Aug","Sep","Oct","Nov","Dec"},0),VALUE(LEFT(B2509,2)))))</f>
        <v>45752</v>
      </c>
    </row>
    <row r="2510" customFormat="false" ht="15" hidden="false" customHeight="false" outlineLevel="0" collapsed="false">
      <c r="A2510" s="7" t="s">
        <v>5475</v>
      </c>
      <c r="B2510" s="7" t="s">
        <v>903</v>
      </c>
      <c r="C2510" s="7" t="s">
        <v>1674</v>
      </c>
      <c r="D2510" s="7" t="s">
        <v>1815</v>
      </c>
      <c r="E2510" s="7" t="s">
        <v>164</v>
      </c>
      <c r="F2510" s="7" t="s">
        <v>141</v>
      </c>
      <c r="G2510" s="7" t="s">
        <v>150</v>
      </c>
      <c r="H2510" s="7" t="n">
        <v>3</v>
      </c>
      <c r="I2510" s="7" t="n">
        <v>115</v>
      </c>
      <c r="J2510" s="7" t="n">
        <v>75</v>
      </c>
      <c r="K2510" s="7" t="s">
        <v>103</v>
      </c>
      <c r="L2510" s="7" t="s">
        <v>194</v>
      </c>
      <c r="M2510" s="7" t="n">
        <v>37</v>
      </c>
      <c r="N2510" s="7" t="n">
        <v>5</v>
      </c>
      <c r="O2510" s="7" t="str">
        <f aca="false">A2510&amp;"|"&amp;B2510&amp;"|"&amp;C2510&amp;"|"&amp;D2510&amp;"|"&amp;E2510&amp;"|"&amp;F2510&amp;"|"&amp;G2510&amp;"|"&amp;H2510&amp;"|"&amp;I2510&amp;"|"&amp;J2510&amp;"|"&amp;K2510&amp;"|"&amp;L2510&amp;"|"&amp;M2510&amp;"|"&amp;N2510</f>
        <v>ORD12401|2025-10-30|17:34|C0231|Mishti Mandir|Kolkata|Desserts|3|115|75|Debit Card|Delivered|37|5</v>
      </c>
      <c r="P2510" s="7" t="str">
        <f aca="false">IF(COUNTIF($O$2:O2510,O2510)&gt;1,"DUP","OK")</f>
        <v>OK</v>
      </c>
      <c r="Q2510" s="7" t="n">
        <f aca="false">COUNTBLANK(A2510:N2510)</f>
        <v>0</v>
      </c>
      <c r="R2510" s="7" t="n">
        <f aca="false">IF(A2510="",0,COUNTIFS($A$2:$A$3058,A2510,$P$2:$P$3058,"OK"))</f>
        <v>1</v>
      </c>
      <c r="S2510" s="7" t="str">
        <f aca="false">IF(OR(A2510="",P2510="DUP",R2510&lt;2),"",IF(Q2510=_xlfn.MINIFS($Q$2:$Q$3058,$A$2:$A$3058,A2510,$P$2:$P$3058,"OK"),"KEEP","DROP"))</f>
        <v/>
      </c>
      <c r="T2510" s="9" t="n">
        <f aca="false">IF(A2510="",1,0)</f>
        <v>0</v>
      </c>
      <c r="U2510" s="9" t="n">
        <f aca="false">IF(D2510="",1,0)</f>
        <v>0</v>
      </c>
      <c r="V2510" s="9" t="n">
        <f aca="false">IF(E2510="",1,0)</f>
        <v>0</v>
      </c>
      <c r="W2510" s="9" t="n">
        <f aca="false">IF(OR(H2510&lt;1,H2510&gt;10),1,0)</f>
        <v>0</v>
      </c>
      <c r="X2510" s="9" t="n">
        <f aca="false">IF(OR(I2510&lt;=0,I2510&gt;1500),1,0)</f>
        <v>0</v>
      </c>
      <c r="Y2510" s="9" t="n">
        <f aca="false">IF(J2510&gt;H2510*I2510,1,0)</f>
        <v>0</v>
      </c>
      <c r="Z2510" s="9" t="n">
        <f aca="false">IF(AND(N2510&lt;&gt;"",OR(N2510&lt;1,N2510&gt;5)),1,0)</f>
        <v>0</v>
      </c>
      <c r="AA2510" s="9" t="n">
        <f aca="false">IF(AND(M2510&lt;&gt;"",OR(M2510&lt;5,M2510&gt;180)),1,0)</f>
        <v>0</v>
      </c>
      <c r="AB2510" s="7" t="str">
        <f aca="false">IF(P2510="DUP","Exact duplicate row",IF(T2510=1,"Missing Order ID",IF(S2510="DROP","Duplicate Order ID (less complete row)",IF(U2510=1,"Missing Customer ID",IF(V2510=1,"Missing Restaurant name",IF(W2510=1,"Invalid/outlier quantity",IF(X2510=1,"Invalid/outlier unit price",IF(Y2510=1,"Discount greater than order value",""))))))))</f>
        <v/>
      </c>
      <c r="AC2510" s="7" t="str">
        <f aca="false">IF(AB2510="","KEEP","DROP")</f>
        <v>KEEP</v>
      </c>
      <c r="AD2510" s="7" t="str">
        <f aca="false">IF(TRIM(F2510)="",IFERROR(INDEX(Map_Tables!$I$4:$I$37,MATCH(TRIM(E2510),Map_Tables!$G$4:$G$37,0)),""),IFERROR(INDEX(Map_Tables!$B$4:$B$18,MATCH(TRIM(F2510),Map_Tables!$A$4:$A$18,0)),"CHECK"))</f>
        <v>Kolkata</v>
      </c>
      <c r="AE2510" s="7" t="str">
        <f aca="false">IF(TRIM(E2510)="","",IFERROR(INDEX(Map_Tables!$H$4:$H$37,MATCH(TRIM(E2510),Map_Tables!$G$4:$G$37,0)),"CHECK"))</f>
        <v>Mishti Mandir</v>
      </c>
      <c r="AF2510" s="7" t="str">
        <f aca="false">IF(TRIM(K2510)="","Unknown",IFERROR(INDEX(Map_Tables!$E$4:$E$15,MATCH(TRIM(K2510),Map_Tables!$D$4:$D$15,0)),"CHECK"))</f>
        <v>Debit Card</v>
      </c>
      <c r="AG2510" s="7" t="str">
        <f aca="false">IF(LEFT(LOWER(TRIM(L2510)),6)="cancel","Cancelled","Delivered")</f>
        <v>Delivered</v>
      </c>
      <c r="AH2510" s="10" t="n">
        <f aca="false">IF(ISNUMBER(SEARCH("/",B2510)),DATE(VALUE(RIGHT(B2510,4)),VALUE(MID(B2510,4,2)),VALUE(LEFT(B2510,2))),IF(MID(B2510,5,1)="-",DATE(VALUE(LEFT(B2510,4)),VALUE(MID(B2510,6,2)),VALUE(RIGHT(B2510,2))),DATE(VALUE(RIGHT(B2510,4)),MATCH(MID(B2510,4,3),{"Jan","Feb","Mar","Apr","May","Jun","Jul","Aug","Sep","Oct","Nov","Dec"},0),VALUE(LEFT(B2510,2)))))</f>
        <v>45960</v>
      </c>
    </row>
    <row r="2511" customFormat="false" ht="15" hidden="false" customHeight="false" outlineLevel="0" collapsed="false">
      <c r="A2511" s="7" t="s">
        <v>5476</v>
      </c>
      <c r="B2511" s="7" t="s">
        <v>267</v>
      </c>
      <c r="C2511" s="7" t="s">
        <v>801</v>
      </c>
      <c r="D2511" s="7" t="s">
        <v>5477</v>
      </c>
      <c r="E2511" s="7" t="s">
        <v>94</v>
      </c>
      <c r="F2511" s="7" t="s">
        <v>729</v>
      </c>
      <c r="G2511" s="7" t="s">
        <v>95</v>
      </c>
      <c r="H2511" s="7" t="n">
        <v>1</v>
      </c>
      <c r="I2511" s="7" t="n">
        <v>130</v>
      </c>
      <c r="J2511" s="7" t="n">
        <v>30</v>
      </c>
      <c r="K2511" s="7" t="s">
        <v>88</v>
      </c>
      <c r="L2511" s="7" t="s">
        <v>194</v>
      </c>
      <c r="M2511" s="7" t="n">
        <v>44</v>
      </c>
      <c r="N2511" s="7" t="n">
        <v>3</v>
      </c>
      <c r="O2511" s="7" t="str">
        <f aca="false">A2511&amp;"|"&amp;B2511&amp;"|"&amp;C2511&amp;"|"&amp;D2511&amp;"|"&amp;E2511&amp;"|"&amp;F2511&amp;"|"&amp;G2511&amp;"|"&amp;H2511&amp;"|"&amp;I2511&amp;"|"&amp;J2511&amp;"|"&amp;K2511&amp;"|"&amp;L2511&amp;"|"&amp;M2511&amp;"|"&amp;N2511</f>
        <v>ORD11218|2025-06-03|21:24|C0102|Dosa Darbar|BENGALURU|South Indian|1|130|30|UPI|Delivered|44|3</v>
      </c>
      <c r="P2511" s="7" t="str">
        <f aca="false">IF(COUNTIF($O$2:O2511,O2511)&gt;1,"DUP","OK")</f>
        <v>OK</v>
      </c>
      <c r="Q2511" s="7" t="n">
        <f aca="false">COUNTBLANK(A2511:N2511)</f>
        <v>0</v>
      </c>
      <c r="R2511" s="7" t="n">
        <f aca="false">IF(A2511="",0,COUNTIFS($A$2:$A$3058,A2511,$P$2:$P$3058,"OK"))</f>
        <v>1</v>
      </c>
      <c r="S2511" s="7" t="str">
        <f aca="false">IF(OR(A2511="",P2511="DUP",R2511&lt;2),"",IF(Q2511=_xlfn.MINIFS($Q$2:$Q$3058,$A$2:$A$3058,A2511,$P$2:$P$3058,"OK"),"KEEP","DROP"))</f>
        <v/>
      </c>
      <c r="T2511" s="9" t="n">
        <f aca="false">IF(A2511="",1,0)</f>
        <v>0</v>
      </c>
      <c r="U2511" s="9" t="n">
        <f aca="false">IF(D2511="",1,0)</f>
        <v>0</v>
      </c>
      <c r="V2511" s="9" t="n">
        <f aca="false">IF(E2511="",1,0)</f>
        <v>0</v>
      </c>
      <c r="W2511" s="9" t="n">
        <f aca="false">IF(OR(H2511&lt;1,H2511&gt;10),1,0)</f>
        <v>0</v>
      </c>
      <c r="X2511" s="9" t="n">
        <f aca="false">IF(OR(I2511&lt;=0,I2511&gt;1500),1,0)</f>
        <v>0</v>
      </c>
      <c r="Y2511" s="9" t="n">
        <f aca="false">IF(J2511&gt;H2511*I2511,1,0)</f>
        <v>0</v>
      </c>
      <c r="Z2511" s="9" t="n">
        <f aca="false">IF(AND(N2511&lt;&gt;"",OR(N2511&lt;1,N2511&gt;5)),1,0)</f>
        <v>0</v>
      </c>
      <c r="AA2511" s="9" t="n">
        <f aca="false">IF(AND(M2511&lt;&gt;"",OR(M2511&lt;5,M2511&gt;180)),1,0)</f>
        <v>0</v>
      </c>
      <c r="AB2511" s="7" t="str">
        <f aca="false">IF(P2511="DUP","Exact duplicate row",IF(T2511=1,"Missing Order ID",IF(S2511="DROP","Duplicate Order ID (less complete row)",IF(U2511=1,"Missing Customer ID",IF(V2511=1,"Missing Restaurant name",IF(W2511=1,"Invalid/outlier quantity",IF(X2511=1,"Invalid/outlier unit price",IF(Y2511=1,"Discount greater than order value",""))))))))</f>
        <v/>
      </c>
      <c r="AC2511" s="7" t="str">
        <f aca="false">IF(AB2511="","KEEP","DROP")</f>
        <v>KEEP</v>
      </c>
      <c r="AD2511" s="7" t="str">
        <f aca="false">IF(TRIM(F2511)="",IFERROR(INDEX(Map_Tables!$I$4:$I$37,MATCH(TRIM(E2511),Map_Tables!$G$4:$G$37,0)),""),IFERROR(INDEX(Map_Tables!$B$4:$B$18,MATCH(TRIM(F2511),Map_Tables!$A$4:$A$18,0)),"CHECK"))</f>
        <v>Bengaluru</v>
      </c>
      <c r="AE2511" s="7" t="str">
        <f aca="false">IF(TRIM(E2511)="","",IFERROR(INDEX(Map_Tables!$H$4:$H$37,MATCH(TRIM(E2511),Map_Tables!$G$4:$G$37,0)),"CHECK"))</f>
        <v>Dosa Darbar</v>
      </c>
      <c r="AF2511" s="7" t="str">
        <f aca="false">IF(TRIM(K2511)="","Unknown",IFERROR(INDEX(Map_Tables!$E$4:$E$15,MATCH(TRIM(K2511),Map_Tables!$D$4:$D$15,0)),"CHECK"))</f>
        <v>UPI</v>
      </c>
      <c r="AG2511" s="7" t="str">
        <f aca="false">IF(LEFT(LOWER(TRIM(L2511)),6)="cancel","Cancelled","Delivered")</f>
        <v>Delivered</v>
      </c>
      <c r="AH2511" s="10" t="n">
        <f aca="false">IF(ISNUMBER(SEARCH("/",B2511)),DATE(VALUE(RIGHT(B2511,4)),VALUE(MID(B2511,4,2)),VALUE(LEFT(B2511,2))),IF(MID(B2511,5,1)="-",DATE(VALUE(LEFT(B2511,4)),VALUE(MID(B2511,6,2)),VALUE(RIGHT(B2511,2))),DATE(VALUE(RIGHT(B2511,4)),MATCH(MID(B2511,4,3),{"Jan","Feb","Mar","Apr","May","Jun","Jul","Aug","Sep","Oct","Nov","Dec"},0),VALUE(LEFT(B2511,2)))))</f>
        <v>45811</v>
      </c>
    </row>
    <row r="2512" customFormat="false" ht="15" hidden="false" customHeight="false" outlineLevel="0" collapsed="false">
      <c r="A2512" s="7" t="s">
        <v>5478</v>
      </c>
      <c r="B2512" s="7" t="s">
        <v>1760</v>
      </c>
      <c r="C2512" s="7" t="s">
        <v>1824</v>
      </c>
      <c r="D2512" s="7" t="s">
        <v>3101</v>
      </c>
      <c r="E2512" s="7" t="s">
        <v>147</v>
      </c>
      <c r="F2512" s="7" t="s">
        <v>119</v>
      </c>
      <c r="G2512" s="7" t="s">
        <v>95</v>
      </c>
      <c r="H2512" s="7" t="n">
        <v>5</v>
      </c>
      <c r="I2512" s="7" t="n">
        <v>130</v>
      </c>
      <c r="J2512" s="7" t="n">
        <v>150</v>
      </c>
      <c r="K2512" s="7" t="s">
        <v>93</v>
      </c>
      <c r="L2512" s="7" t="s">
        <v>194</v>
      </c>
      <c r="M2512" s="7" t="n">
        <v>40</v>
      </c>
      <c r="N2512" s="7" t="n">
        <v>4</v>
      </c>
      <c r="O2512" s="7" t="str">
        <f aca="false">A2512&amp;"|"&amp;B2512&amp;"|"&amp;C2512&amp;"|"&amp;D2512&amp;"|"&amp;E2512&amp;"|"&amp;F2512&amp;"|"&amp;G2512&amp;"|"&amp;H2512&amp;"|"&amp;I2512&amp;"|"&amp;J2512&amp;"|"&amp;K2512&amp;"|"&amp;L2512&amp;"|"&amp;M2512&amp;"|"&amp;N2512</f>
        <v>ORD10236|2025-02-01|13:40|C0458|Andhra Meals Mess|Hyderabad|South Indian|5|130|150|Credit Card|Delivered|40|4</v>
      </c>
      <c r="P2512" s="7" t="str">
        <f aca="false">IF(COUNTIF($O$2:O2512,O2512)&gt;1,"DUP","OK")</f>
        <v>OK</v>
      </c>
      <c r="Q2512" s="7" t="n">
        <f aca="false">COUNTBLANK(A2512:N2512)</f>
        <v>0</v>
      </c>
      <c r="R2512" s="7" t="n">
        <f aca="false">IF(A2512="",0,COUNTIFS($A$2:$A$3058,A2512,$P$2:$P$3058,"OK"))</f>
        <v>1</v>
      </c>
      <c r="S2512" s="7" t="str">
        <f aca="false">IF(OR(A2512="",P2512="DUP",R2512&lt;2),"",IF(Q2512=_xlfn.MINIFS($Q$2:$Q$3058,$A$2:$A$3058,A2512,$P$2:$P$3058,"OK"),"KEEP","DROP"))</f>
        <v/>
      </c>
      <c r="T2512" s="9" t="n">
        <f aca="false">IF(A2512="",1,0)</f>
        <v>0</v>
      </c>
      <c r="U2512" s="9" t="n">
        <f aca="false">IF(D2512="",1,0)</f>
        <v>0</v>
      </c>
      <c r="V2512" s="9" t="n">
        <f aca="false">IF(E2512="",1,0)</f>
        <v>0</v>
      </c>
      <c r="W2512" s="9" t="n">
        <f aca="false">IF(OR(H2512&lt;1,H2512&gt;10),1,0)</f>
        <v>0</v>
      </c>
      <c r="X2512" s="9" t="n">
        <f aca="false">IF(OR(I2512&lt;=0,I2512&gt;1500),1,0)</f>
        <v>0</v>
      </c>
      <c r="Y2512" s="9" t="n">
        <f aca="false">IF(J2512&gt;H2512*I2512,1,0)</f>
        <v>0</v>
      </c>
      <c r="Z2512" s="9" t="n">
        <f aca="false">IF(AND(N2512&lt;&gt;"",OR(N2512&lt;1,N2512&gt;5)),1,0)</f>
        <v>0</v>
      </c>
      <c r="AA2512" s="9" t="n">
        <f aca="false">IF(AND(M2512&lt;&gt;"",OR(M2512&lt;5,M2512&gt;180)),1,0)</f>
        <v>0</v>
      </c>
      <c r="AB2512" s="7" t="str">
        <f aca="false">IF(P2512="DUP","Exact duplicate row",IF(T2512=1,"Missing Order ID",IF(S2512="DROP","Duplicate Order ID (less complete row)",IF(U2512=1,"Missing Customer ID",IF(V2512=1,"Missing Restaurant name",IF(W2512=1,"Invalid/outlier quantity",IF(X2512=1,"Invalid/outlier unit price",IF(Y2512=1,"Discount greater than order value",""))))))))</f>
        <v/>
      </c>
      <c r="AC2512" s="7" t="str">
        <f aca="false">IF(AB2512="","KEEP","DROP")</f>
        <v>KEEP</v>
      </c>
      <c r="AD2512" s="7" t="str">
        <f aca="false">IF(TRIM(F2512)="",IFERROR(INDEX(Map_Tables!$I$4:$I$37,MATCH(TRIM(E2512),Map_Tables!$G$4:$G$37,0)),""),IFERROR(INDEX(Map_Tables!$B$4:$B$18,MATCH(TRIM(F2512),Map_Tables!$A$4:$A$18,0)),"CHECK"))</f>
        <v>Hyderabad</v>
      </c>
      <c r="AE2512" s="7" t="str">
        <f aca="false">IF(TRIM(E2512)="","",IFERROR(INDEX(Map_Tables!$H$4:$H$37,MATCH(TRIM(E2512),Map_Tables!$G$4:$G$37,0)),"CHECK"))</f>
        <v>Andhra Meals Mess</v>
      </c>
      <c r="AF2512" s="7" t="str">
        <f aca="false">IF(TRIM(K2512)="","Unknown",IFERROR(INDEX(Map_Tables!$E$4:$E$15,MATCH(TRIM(K2512),Map_Tables!$D$4:$D$15,0)),"CHECK"))</f>
        <v>Credit Card</v>
      </c>
      <c r="AG2512" s="7" t="str">
        <f aca="false">IF(LEFT(LOWER(TRIM(L2512)),6)="cancel","Cancelled","Delivered")</f>
        <v>Delivered</v>
      </c>
      <c r="AH2512" s="10" t="n">
        <f aca="false">IF(ISNUMBER(SEARCH("/",B2512)),DATE(VALUE(RIGHT(B2512,4)),VALUE(MID(B2512,4,2)),VALUE(LEFT(B2512,2))),IF(MID(B2512,5,1)="-",DATE(VALUE(LEFT(B2512,4)),VALUE(MID(B2512,6,2)),VALUE(RIGHT(B2512,2))),DATE(VALUE(RIGHT(B2512,4)),MATCH(MID(B2512,4,3),{"Jan","Feb","Mar","Apr","May","Jun","Jul","Aug","Sep","Oct","Nov","Dec"},0),VALUE(LEFT(B2512,2)))))</f>
        <v>45689</v>
      </c>
    </row>
    <row r="2513" customFormat="false" ht="15" hidden="false" customHeight="false" outlineLevel="0" collapsed="false">
      <c r="A2513" s="7" t="s">
        <v>5479</v>
      </c>
      <c r="B2513" s="7" t="s">
        <v>330</v>
      </c>
      <c r="C2513" s="7" t="s">
        <v>2088</v>
      </c>
      <c r="D2513" s="7" t="s">
        <v>5480</v>
      </c>
      <c r="E2513" s="7" t="s">
        <v>89</v>
      </c>
      <c r="F2513" s="7" t="s">
        <v>86</v>
      </c>
      <c r="G2513" s="7" t="s">
        <v>90</v>
      </c>
      <c r="H2513" s="7" t="n">
        <v>2</v>
      </c>
      <c r="I2513" s="7" t="n">
        <v>220</v>
      </c>
      <c r="J2513" s="7" t="n">
        <v>75</v>
      </c>
      <c r="K2513" s="7" t="s">
        <v>88</v>
      </c>
      <c r="L2513" s="7" t="s">
        <v>220</v>
      </c>
      <c r="M2513" s="7" t="n">
        <v>44</v>
      </c>
      <c r="N2513" s="7" t="n">
        <v>4</v>
      </c>
      <c r="O2513" s="7" t="str">
        <f aca="false">A2513&amp;"|"&amp;B2513&amp;"|"&amp;C2513&amp;"|"&amp;D2513&amp;"|"&amp;E2513&amp;"|"&amp;F2513&amp;"|"&amp;G2513&amp;"|"&amp;H2513&amp;"|"&amp;I2513&amp;"|"&amp;J2513&amp;"|"&amp;K2513&amp;"|"&amp;L2513&amp;"|"&amp;M2513&amp;"|"&amp;N2513</f>
        <v>ORD12839|2025-12-13|19:56|C0482|Spice Junction|Bengaluru|North Indian|2|220|75|UPI|DELIVERED|44|4</v>
      </c>
      <c r="P2513" s="7" t="str">
        <f aca="false">IF(COUNTIF($O$2:O2513,O2513)&gt;1,"DUP","OK")</f>
        <v>OK</v>
      </c>
      <c r="Q2513" s="7" t="n">
        <f aca="false">COUNTBLANK(A2513:N2513)</f>
        <v>0</v>
      </c>
      <c r="R2513" s="7" t="n">
        <f aca="false">IF(A2513="",0,COUNTIFS($A$2:$A$3058,A2513,$P$2:$P$3058,"OK"))</f>
        <v>1</v>
      </c>
      <c r="S2513" s="7" t="str">
        <f aca="false">IF(OR(A2513="",P2513="DUP",R2513&lt;2),"",IF(Q2513=_xlfn.MINIFS($Q$2:$Q$3058,$A$2:$A$3058,A2513,$P$2:$P$3058,"OK"),"KEEP","DROP"))</f>
        <v/>
      </c>
      <c r="T2513" s="9" t="n">
        <f aca="false">IF(A2513="",1,0)</f>
        <v>0</v>
      </c>
      <c r="U2513" s="9" t="n">
        <f aca="false">IF(D2513="",1,0)</f>
        <v>0</v>
      </c>
      <c r="V2513" s="9" t="n">
        <f aca="false">IF(E2513="",1,0)</f>
        <v>0</v>
      </c>
      <c r="W2513" s="9" t="n">
        <f aca="false">IF(OR(H2513&lt;1,H2513&gt;10),1,0)</f>
        <v>0</v>
      </c>
      <c r="X2513" s="9" t="n">
        <f aca="false">IF(OR(I2513&lt;=0,I2513&gt;1500),1,0)</f>
        <v>0</v>
      </c>
      <c r="Y2513" s="9" t="n">
        <f aca="false">IF(J2513&gt;H2513*I2513,1,0)</f>
        <v>0</v>
      </c>
      <c r="Z2513" s="9" t="n">
        <f aca="false">IF(AND(N2513&lt;&gt;"",OR(N2513&lt;1,N2513&gt;5)),1,0)</f>
        <v>0</v>
      </c>
      <c r="AA2513" s="9" t="n">
        <f aca="false">IF(AND(M2513&lt;&gt;"",OR(M2513&lt;5,M2513&gt;180)),1,0)</f>
        <v>0</v>
      </c>
      <c r="AB2513" s="7" t="str">
        <f aca="false">IF(P2513="DUP","Exact duplicate row",IF(T2513=1,"Missing Order ID",IF(S2513="DROP","Duplicate Order ID (less complete row)",IF(U2513=1,"Missing Customer ID",IF(V2513=1,"Missing Restaurant name",IF(W2513=1,"Invalid/outlier quantity",IF(X2513=1,"Invalid/outlier unit price",IF(Y2513=1,"Discount greater than order value",""))))))))</f>
        <v/>
      </c>
      <c r="AC2513" s="7" t="str">
        <f aca="false">IF(AB2513="","KEEP","DROP")</f>
        <v>KEEP</v>
      </c>
      <c r="AD2513" s="7" t="str">
        <f aca="false">IF(TRIM(F2513)="",IFERROR(INDEX(Map_Tables!$I$4:$I$37,MATCH(TRIM(E2513),Map_Tables!$G$4:$G$37,0)),""),IFERROR(INDEX(Map_Tables!$B$4:$B$18,MATCH(TRIM(F2513),Map_Tables!$A$4:$A$18,0)),"CHECK"))</f>
        <v>Bengaluru</v>
      </c>
      <c r="AE2513" s="7" t="str">
        <f aca="false">IF(TRIM(E2513)="","",IFERROR(INDEX(Map_Tables!$H$4:$H$37,MATCH(TRIM(E2513),Map_Tables!$G$4:$G$37,0)),"CHECK"))</f>
        <v>Spice Junction</v>
      </c>
      <c r="AF2513" s="7" t="str">
        <f aca="false">IF(TRIM(K2513)="","Unknown",IFERROR(INDEX(Map_Tables!$E$4:$E$15,MATCH(TRIM(K2513),Map_Tables!$D$4:$D$15,0)),"CHECK"))</f>
        <v>UPI</v>
      </c>
      <c r="AG2513" s="7" t="str">
        <f aca="false">IF(LEFT(LOWER(TRIM(L2513)),6)="cancel","Cancelled","Delivered")</f>
        <v>Delivered</v>
      </c>
      <c r="AH2513" s="10" t="n">
        <f aca="false">IF(ISNUMBER(SEARCH("/",B2513)),DATE(VALUE(RIGHT(B2513,4)),VALUE(MID(B2513,4,2)),VALUE(LEFT(B2513,2))),IF(MID(B2513,5,1)="-",DATE(VALUE(LEFT(B2513,4)),VALUE(MID(B2513,6,2)),VALUE(RIGHT(B2513,2))),DATE(VALUE(RIGHT(B2513,4)),MATCH(MID(B2513,4,3),{"Jan","Feb","Mar","Apr","May","Jun","Jul","Aug","Sep","Oct","Nov","Dec"},0),VALUE(LEFT(B2513,2)))))</f>
        <v>46004</v>
      </c>
    </row>
    <row r="2514" customFormat="false" ht="15" hidden="false" customHeight="false" outlineLevel="0" collapsed="false">
      <c r="A2514" s="7" t="s">
        <v>5481</v>
      </c>
      <c r="B2514" s="7" t="s">
        <v>5482</v>
      </c>
      <c r="C2514" s="7" t="s">
        <v>2600</v>
      </c>
      <c r="D2514" s="7" t="s">
        <v>5483</v>
      </c>
      <c r="E2514" s="7" t="s">
        <v>126</v>
      </c>
      <c r="F2514" s="7" t="s">
        <v>101</v>
      </c>
      <c r="G2514" s="7" t="s">
        <v>105</v>
      </c>
      <c r="H2514" s="7" t="n">
        <v>1</v>
      </c>
      <c r="I2514" s="7" t="n">
        <v>230</v>
      </c>
      <c r="J2514" s="7" t="n">
        <v>0</v>
      </c>
      <c r="K2514" s="7" t="s">
        <v>88</v>
      </c>
      <c r="L2514" s="7" t="s">
        <v>194</v>
      </c>
      <c r="M2514" s="7" t="n">
        <v>49</v>
      </c>
      <c r="N2514" s="7" t="n">
        <v>4</v>
      </c>
      <c r="O2514" s="7" t="str">
        <f aca="false">A2514&amp;"|"&amp;B2514&amp;"|"&amp;C2514&amp;"|"&amp;D2514&amp;"|"&amp;E2514&amp;"|"&amp;F2514&amp;"|"&amp;G2514&amp;"|"&amp;H2514&amp;"|"&amp;I2514&amp;"|"&amp;J2514&amp;"|"&amp;K2514&amp;"|"&amp;L2514&amp;"|"&amp;M2514&amp;"|"&amp;N2514</f>
        <v>ORD10481|05/03/2025|12:27|C0085|Dragon Express|Mumbai|Chinese|1|230|0|UPI|Delivered|49|4</v>
      </c>
      <c r="P2514" s="7" t="str">
        <f aca="false">IF(COUNTIF($O$2:O2514,O2514)&gt;1,"DUP","OK")</f>
        <v>OK</v>
      </c>
      <c r="Q2514" s="7" t="n">
        <f aca="false">COUNTBLANK(A2514:N2514)</f>
        <v>0</v>
      </c>
      <c r="R2514" s="7" t="n">
        <f aca="false">IF(A2514="",0,COUNTIFS($A$2:$A$3058,A2514,$P$2:$P$3058,"OK"))</f>
        <v>1</v>
      </c>
      <c r="S2514" s="7" t="str">
        <f aca="false">IF(OR(A2514="",P2514="DUP",R2514&lt;2),"",IF(Q2514=_xlfn.MINIFS($Q$2:$Q$3058,$A$2:$A$3058,A2514,$P$2:$P$3058,"OK"),"KEEP","DROP"))</f>
        <v/>
      </c>
      <c r="T2514" s="9" t="n">
        <f aca="false">IF(A2514="",1,0)</f>
        <v>0</v>
      </c>
      <c r="U2514" s="9" t="n">
        <f aca="false">IF(D2514="",1,0)</f>
        <v>0</v>
      </c>
      <c r="V2514" s="9" t="n">
        <f aca="false">IF(E2514="",1,0)</f>
        <v>0</v>
      </c>
      <c r="W2514" s="9" t="n">
        <f aca="false">IF(OR(H2514&lt;1,H2514&gt;10),1,0)</f>
        <v>0</v>
      </c>
      <c r="X2514" s="9" t="n">
        <f aca="false">IF(OR(I2514&lt;=0,I2514&gt;1500),1,0)</f>
        <v>0</v>
      </c>
      <c r="Y2514" s="9" t="n">
        <f aca="false">IF(J2514&gt;H2514*I2514,1,0)</f>
        <v>0</v>
      </c>
      <c r="Z2514" s="9" t="n">
        <f aca="false">IF(AND(N2514&lt;&gt;"",OR(N2514&lt;1,N2514&gt;5)),1,0)</f>
        <v>0</v>
      </c>
      <c r="AA2514" s="9" t="n">
        <f aca="false">IF(AND(M2514&lt;&gt;"",OR(M2514&lt;5,M2514&gt;180)),1,0)</f>
        <v>0</v>
      </c>
      <c r="AB2514" s="7" t="str">
        <f aca="false">IF(P2514="DUP","Exact duplicate row",IF(T2514=1,"Missing Order ID",IF(S2514="DROP","Duplicate Order ID (less complete row)",IF(U2514=1,"Missing Customer ID",IF(V2514=1,"Missing Restaurant name",IF(W2514=1,"Invalid/outlier quantity",IF(X2514=1,"Invalid/outlier unit price",IF(Y2514=1,"Discount greater than order value",""))))))))</f>
        <v/>
      </c>
      <c r="AC2514" s="7" t="str">
        <f aca="false">IF(AB2514="","KEEP","DROP")</f>
        <v>KEEP</v>
      </c>
      <c r="AD2514" s="7" t="str">
        <f aca="false">IF(TRIM(F2514)="",IFERROR(INDEX(Map_Tables!$I$4:$I$37,MATCH(TRIM(E2514),Map_Tables!$G$4:$G$37,0)),""),IFERROR(INDEX(Map_Tables!$B$4:$B$18,MATCH(TRIM(F2514),Map_Tables!$A$4:$A$18,0)),"CHECK"))</f>
        <v>Mumbai</v>
      </c>
      <c r="AE2514" s="7" t="str">
        <f aca="false">IF(TRIM(E2514)="","",IFERROR(INDEX(Map_Tables!$H$4:$H$37,MATCH(TRIM(E2514),Map_Tables!$G$4:$G$37,0)),"CHECK"))</f>
        <v>Dragon Express</v>
      </c>
      <c r="AF2514" s="7" t="str">
        <f aca="false">IF(TRIM(K2514)="","Unknown",IFERROR(INDEX(Map_Tables!$E$4:$E$15,MATCH(TRIM(K2514),Map_Tables!$D$4:$D$15,0)),"CHECK"))</f>
        <v>UPI</v>
      </c>
      <c r="AG2514" s="7" t="str">
        <f aca="false">IF(LEFT(LOWER(TRIM(L2514)),6)="cancel","Cancelled","Delivered")</f>
        <v>Delivered</v>
      </c>
      <c r="AH2514" s="10" t="n">
        <f aca="false">IF(ISNUMBER(SEARCH("/",B2514)),DATE(VALUE(RIGHT(B2514,4)),VALUE(MID(B2514,4,2)),VALUE(LEFT(B2514,2))),IF(MID(B2514,5,1)="-",DATE(VALUE(LEFT(B2514,4)),VALUE(MID(B2514,6,2)),VALUE(RIGHT(B2514,2))),DATE(VALUE(RIGHT(B2514,4)),MATCH(MID(B2514,4,3),{"Jan","Feb","Mar","Apr","May","Jun","Jul","Aug","Sep","Oct","Nov","Dec"},0),VALUE(LEFT(B2514,2)))))</f>
        <v>45721</v>
      </c>
    </row>
    <row r="2515" customFormat="false" ht="15" hidden="false" customHeight="false" outlineLevel="0" collapsed="false">
      <c r="A2515" s="7" t="s">
        <v>5484</v>
      </c>
      <c r="B2515" s="7" t="s">
        <v>1357</v>
      </c>
      <c r="C2515" s="7" t="s">
        <v>3346</v>
      </c>
      <c r="D2515" s="7" t="s">
        <v>582</v>
      </c>
      <c r="E2515" s="7" t="s">
        <v>157</v>
      </c>
      <c r="F2515" s="7" t="s">
        <v>136</v>
      </c>
      <c r="G2515" s="7" t="s">
        <v>117</v>
      </c>
      <c r="H2515" s="7" t="n">
        <v>1</v>
      </c>
      <c r="I2515" s="7" t="n">
        <v>120</v>
      </c>
      <c r="J2515" s="7" t="n">
        <v>0</v>
      </c>
      <c r="K2515" s="7" t="s">
        <v>88</v>
      </c>
      <c r="L2515" s="7" t="s">
        <v>194</v>
      </c>
      <c r="M2515" s="7" t="n">
        <v>39</v>
      </c>
      <c r="N2515" s="7" t="n">
        <v>4</v>
      </c>
      <c r="O2515" s="7" t="str">
        <f aca="false">A2515&amp;"|"&amp;B2515&amp;"|"&amp;C2515&amp;"|"&amp;D2515&amp;"|"&amp;E2515&amp;"|"&amp;F2515&amp;"|"&amp;G2515&amp;"|"&amp;H2515&amp;"|"&amp;I2515&amp;"|"&amp;J2515&amp;"|"&amp;K2515&amp;"|"&amp;L2515&amp;"|"&amp;M2515&amp;"|"&amp;N2515</f>
        <v>ORD12043|2025-09-21|21:33|C0293|Misal Mantra|Pune|Street Food|1|120|0|UPI|Delivered|39|4</v>
      </c>
      <c r="P2515" s="7" t="str">
        <f aca="false">IF(COUNTIF($O$2:O2515,O2515)&gt;1,"DUP","OK")</f>
        <v>OK</v>
      </c>
      <c r="Q2515" s="7" t="n">
        <f aca="false">COUNTBLANK(A2515:N2515)</f>
        <v>0</v>
      </c>
      <c r="R2515" s="7" t="n">
        <f aca="false">IF(A2515="",0,COUNTIFS($A$2:$A$3058,A2515,$P$2:$P$3058,"OK"))</f>
        <v>1</v>
      </c>
      <c r="S2515" s="7" t="str">
        <f aca="false">IF(OR(A2515="",P2515="DUP",R2515&lt;2),"",IF(Q2515=_xlfn.MINIFS($Q$2:$Q$3058,$A$2:$A$3058,A2515,$P$2:$P$3058,"OK"),"KEEP","DROP"))</f>
        <v/>
      </c>
      <c r="T2515" s="9" t="n">
        <f aca="false">IF(A2515="",1,0)</f>
        <v>0</v>
      </c>
      <c r="U2515" s="9" t="n">
        <f aca="false">IF(D2515="",1,0)</f>
        <v>0</v>
      </c>
      <c r="V2515" s="9" t="n">
        <f aca="false">IF(E2515="",1,0)</f>
        <v>0</v>
      </c>
      <c r="W2515" s="9" t="n">
        <f aca="false">IF(OR(H2515&lt;1,H2515&gt;10),1,0)</f>
        <v>0</v>
      </c>
      <c r="X2515" s="9" t="n">
        <f aca="false">IF(OR(I2515&lt;=0,I2515&gt;1500),1,0)</f>
        <v>0</v>
      </c>
      <c r="Y2515" s="9" t="n">
        <f aca="false">IF(J2515&gt;H2515*I2515,1,0)</f>
        <v>0</v>
      </c>
      <c r="Z2515" s="9" t="n">
        <f aca="false">IF(AND(N2515&lt;&gt;"",OR(N2515&lt;1,N2515&gt;5)),1,0)</f>
        <v>0</v>
      </c>
      <c r="AA2515" s="9" t="n">
        <f aca="false">IF(AND(M2515&lt;&gt;"",OR(M2515&lt;5,M2515&gt;180)),1,0)</f>
        <v>0</v>
      </c>
      <c r="AB2515" s="7" t="str">
        <f aca="false">IF(P2515="DUP","Exact duplicate row",IF(T2515=1,"Missing Order ID",IF(S2515="DROP","Duplicate Order ID (less complete row)",IF(U2515=1,"Missing Customer ID",IF(V2515=1,"Missing Restaurant name",IF(W2515=1,"Invalid/outlier quantity",IF(X2515=1,"Invalid/outlier unit price",IF(Y2515=1,"Discount greater than order value",""))))))))</f>
        <v/>
      </c>
      <c r="AC2515" s="7" t="str">
        <f aca="false">IF(AB2515="","KEEP","DROP")</f>
        <v>KEEP</v>
      </c>
      <c r="AD2515" s="7" t="str">
        <f aca="false">IF(TRIM(F2515)="",IFERROR(INDEX(Map_Tables!$I$4:$I$37,MATCH(TRIM(E2515),Map_Tables!$G$4:$G$37,0)),""),IFERROR(INDEX(Map_Tables!$B$4:$B$18,MATCH(TRIM(F2515),Map_Tables!$A$4:$A$18,0)),"CHECK"))</f>
        <v>Pune</v>
      </c>
      <c r="AE2515" s="7" t="str">
        <f aca="false">IF(TRIM(E2515)="","",IFERROR(INDEX(Map_Tables!$H$4:$H$37,MATCH(TRIM(E2515),Map_Tables!$G$4:$G$37,0)),"CHECK"))</f>
        <v>Misal Mantra</v>
      </c>
      <c r="AF2515" s="7" t="str">
        <f aca="false">IF(TRIM(K2515)="","Unknown",IFERROR(INDEX(Map_Tables!$E$4:$E$15,MATCH(TRIM(K2515),Map_Tables!$D$4:$D$15,0)),"CHECK"))</f>
        <v>UPI</v>
      </c>
      <c r="AG2515" s="7" t="str">
        <f aca="false">IF(LEFT(LOWER(TRIM(L2515)),6)="cancel","Cancelled","Delivered")</f>
        <v>Delivered</v>
      </c>
      <c r="AH2515" s="10" t="n">
        <f aca="false">IF(ISNUMBER(SEARCH("/",B2515)),DATE(VALUE(RIGHT(B2515,4)),VALUE(MID(B2515,4,2)),VALUE(LEFT(B2515,2))),IF(MID(B2515,5,1)="-",DATE(VALUE(LEFT(B2515,4)),VALUE(MID(B2515,6,2)),VALUE(RIGHT(B2515,2))),DATE(VALUE(RIGHT(B2515,4)),MATCH(MID(B2515,4,3),{"Jan","Feb","Mar","Apr","May","Jun","Jul","Aug","Sep","Oct","Nov","Dec"},0),VALUE(LEFT(B2515,2)))))</f>
        <v>45921</v>
      </c>
    </row>
    <row r="2516" customFormat="false" ht="15" hidden="false" customHeight="false" outlineLevel="0" collapsed="false">
      <c r="A2516" s="7" t="s">
        <v>5485</v>
      </c>
      <c r="B2516" s="7" t="s">
        <v>2190</v>
      </c>
      <c r="C2516" s="7" t="s">
        <v>5486</v>
      </c>
      <c r="D2516" s="7" t="s">
        <v>1803</v>
      </c>
      <c r="E2516" s="7" t="s">
        <v>144</v>
      </c>
      <c r="F2516" s="7" t="s">
        <v>119</v>
      </c>
      <c r="G2516" s="7" t="s">
        <v>99</v>
      </c>
      <c r="H2516" s="7" t="n">
        <v>4</v>
      </c>
      <c r="I2516" s="7" t="n">
        <v>335</v>
      </c>
      <c r="J2516" s="7" t="n">
        <v>30</v>
      </c>
      <c r="K2516" s="7" t="s">
        <v>103</v>
      </c>
      <c r="L2516" s="7" t="s">
        <v>194</v>
      </c>
      <c r="M2516" s="7" t="n">
        <v>32</v>
      </c>
      <c r="N2516" s="7"/>
      <c r="O2516" s="7" t="str">
        <f aca="false">A2516&amp;"|"&amp;B2516&amp;"|"&amp;C2516&amp;"|"&amp;D2516&amp;"|"&amp;E2516&amp;"|"&amp;F2516&amp;"|"&amp;G2516&amp;"|"&amp;H2516&amp;"|"&amp;I2516&amp;"|"&amp;J2516&amp;"|"&amp;K2516&amp;"|"&amp;L2516&amp;"|"&amp;M2516&amp;"|"&amp;N2516</f>
        <v>ORD11678|2025-08-07|21:03|C0706|Hyderabad Dum Biryani|Hyderabad|Biryani|4|335|30|Debit Card|Delivered|32|</v>
      </c>
      <c r="P2516" s="7" t="str">
        <f aca="false">IF(COUNTIF($O$2:O2516,O2516)&gt;1,"DUP","OK")</f>
        <v>OK</v>
      </c>
      <c r="Q2516" s="7" t="n">
        <f aca="false">COUNTBLANK(A2516:N2516)</f>
        <v>1</v>
      </c>
      <c r="R2516" s="7" t="n">
        <f aca="false">IF(A2516="",0,COUNTIFS($A$2:$A$3058,A2516,$P$2:$P$3058,"OK"))</f>
        <v>1</v>
      </c>
      <c r="S2516" s="7" t="str">
        <f aca="false">IF(OR(A2516="",P2516="DUP",R2516&lt;2),"",IF(Q2516=_xlfn.MINIFS($Q$2:$Q$3058,$A$2:$A$3058,A2516,$P$2:$P$3058,"OK"),"KEEP","DROP"))</f>
        <v/>
      </c>
      <c r="T2516" s="9" t="n">
        <f aca="false">IF(A2516="",1,0)</f>
        <v>0</v>
      </c>
      <c r="U2516" s="9" t="n">
        <f aca="false">IF(D2516="",1,0)</f>
        <v>0</v>
      </c>
      <c r="V2516" s="9" t="n">
        <f aca="false">IF(E2516="",1,0)</f>
        <v>0</v>
      </c>
      <c r="W2516" s="9" t="n">
        <f aca="false">IF(OR(H2516&lt;1,H2516&gt;10),1,0)</f>
        <v>0</v>
      </c>
      <c r="X2516" s="9" t="n">
        <f aca="false">IF(OR(I2516&lt;=0,I2516&gt;1500),1,0)</f>
        <v>0</v>
      </c>
      <c r="Y2516" s="9" t="n">
        <f aca="false">IF(J2516&gt;H2516*I2516,1,0)</f>
        <v>0</v>
      </c>
      <c r="Z2516" s="9" t="n">
        <f aca="false">IF(AND(N2516&lt;&gt;"",OR(N2516&lt;1,N2516&gt;5)),1,0)</f>
        <v>0</v>
      </c>
      <c r="AA2516" s="9" t="n">
        <f aca="false">IF(AND(M2516&lt;&gt;"",OR(M2516&lt;5,M2516&gt;180)),1,0)</f>
        <v>0</v>
      </c>
      <c r="AB2516" s="7" t="str">
        <f aca="false">IF(P2516="DUP","Exact duplicate row",IF(T2516=1,"Missing Order ID",IF(S2516="DROP","Duplicate Order ID (less complete row)",IF(U2516=1,"Missing Customer ID",IF(V2516=1,"Missing Restaurant name",IF(W2516=1,"Invalid/outlier quantity",IF(X2516=1,"Invalid/outlier unit price",IF(Y2516=1,"Discount greater than order value",""))))))))</f>
        <v/>
      </c>
      <c r="AC2516" s="7" t="str">
        <f aca="false">IF(AB2516="","KEEP","DROP")</f>
        <v>KEEP</v>
      </c>
      <c r="AD2516" s="7" t="str">
        <f aca="false">IF(TRIM(F2516)="",IFERROR(INDEX(Map_Tables!$I$4:$I$37,MATCH(TRIM(E2516),Map_Tables!$G$4:$G$37,0)),""),IFERROR(INDEX(Map_Tables!$B$4:$B$18,MATCH(TRIM(F2516),Map_Tables!$A$4:$A$18,0)),"CHECK"))</f>
        <v>Hyderabad</v>
      </c>
      <c r="AE2516" s="7" t="str">
        <f aca="false">IF(TRIM(E2516)="","",IFERROR(INDEX(Map_Tables!$H$4:$H$37,MATCH(TRIM(E2516),Map_Tables!$G$4:$G$37,0)),"CHECK"))</f>
        <v>Hyderabad Dum Biryani</v>
      </c>
      <c r="AF2516" s="7" t="str">
        <f aca="false">IF(TRIM(K2516)="","Unknown",IFERROR(INDEX(Map_Tables!$E$4:$E$15,MATCH(TRIM(K2516),Map_Tables!$D$4:$D$15,0)),"CHECK"))</f>
        <v>Debit Card</v>
      </c>
      <c r="AG2516" s="7" t="str">
        <f aca="false">IF(LEFT(LOWER(TRIM(L2516)),6)="cancel","Cancelled","Delivered")</f>
        <v>Delivered</v>
      </c>
      <c r="AH2516" s="10" t="n">
        <f aca="false">IF(ISNUMBER(SEARCH("/",B2516)),DATE(VALUE(RIGHT(B2516,4)),VALUE(MID(B2516,4,2)),VALUE(LEFT(B2516,2))),IF(MID(B2516,5,1)="-",DATE(VALUE(LEFT(B2516,4)),VALUE(MID(B2516,6,2)),VALUE(RIGHT(B2516,2))),DATE(VALUE(RIGHT(B2516,4)),MATCH(MID(B2516,4,3),{"Jan","Feb","Mar","Apr","May","Jun","Jul","Aug","Sep","Oct","Nov","Dec"},0),VALUE(LEFT(B2516,2)))))</f>
        <v>45876</v>
      </c>
    </row>
    <row r="2517" customFormat="false" ht="15" hidden="false" customHeight="false" outlineLevel="0" collapsed="false">
      <c r="A2517" s="7" t="s">
        <v>5487</v>
      </c>
      <c r="B2517" s="7" t="s">
        <v>5488</v>
      </c>
      <c r="C2517" s="7" t="s">
        <v>519</v>
      </c>
      <c r="D2517" s="7" t="s">
        <v>5036</v>
      </c>
      <c r="E2517" s="7" t="s">
        <v>167</v>
      </c>
      <c r="F2517" s="7" t="s">
        <v>146</v>
      </c>
      <c r="G2517" s="7" t="s">
        <v>156</v>
      </c>
      <c r="H2517" s="7" t="n">
        <v>1</v>
      </c>
      <c r="I2517" s="7" t="n">
        <v>270</v>
      </c>
      <c r="J2517" s="7" t="n">
        <v>50</v>
      </c>
      <c r="K2517" s="7" t="s">
        <v>88</v>
      </c>
      <c r="L2517" s="7" t="s">
        <v>194</v>
      </c>
      <c r="M2517" s="7" t="n">
        <v>22</v>
      </c>
      <c r="N2517" s="7" t="n">
        <v>4</v>
      </c>
      <c r="O2517" s="7" t="str">
        <f aca="false">A2517&amp;"|"&amp;B2517&amp;"|"&amp;C2517&amp;"|"&amp;D2517&amp;"|"&amp;E2517&amp;"|"&amp;F2517&amp;"|"&amp;G2517&amp;"|"&amp;H2517&amp;"|"&amp;I2517&amp;"|"&amp;J2517&amp;"|"&amp;K2517&amp;"|"&amp;L2517&amp;"|"&amp;M2517&amp;"|"&amp;N2517</f>
        <v>ORD12782|06-Dec-2025|19:06|C1062|Fit Fuel Kitchen|Ahmedabad|Healthy Food|1|270|50|UPI|Delivered|22|4</v>
      </c>
      <c r="P2517" s="7" t="str">
        <f aca="false">IF(COUNTIF($O$2:O2517,O2517)&gt;1,"DUP","OK")</f>
        <v>OK</v>
      </c>
      <c r="Q2517" s="7" t="n">
        <f aca="false">COUNTBLANK(A2517:N2517)</f>
        <v>0</v>
      </c>
      <c r="R2517" s="7" t="n">
        <f aca="false">IF(A2517="",0,COUNTIFS($A$2:$A$3058,A2517,$P$2:$P$3058,"OK"))</f>
        <v>1</v>
      </c>
      <c r="S2517" s="7" t="str">
        <f aca="false">IF(OR(A2517="",P2517="DUP",R2517&lt;2),"",IF(Q2517=_xlfn.MINIFS($Q$2:$Q$3058,$A$2:$A$3058,A2517,$P$2:$P$3058,"OK"),"KEEP","DROP"))</f>
        <v/>
      </c>
      <c r="T2517" s="9" t="n">
        <f aca="false">IF(A2517="",1,0)</f>
        <v>0</v>
      </c>
      <c r="U2517" s="9" t="n">
        <f aca="false">IF(D2517="",1,0)</f>
        <v>0</v>
      </c>
      <c r="V2517" s="9" t="n">
        <f aca="false">IF(E2517="",1,0)</f>
        <v>0</v>
      </c>
      <c r="W2517" s="9" t="n">
        <f aca="false">IF(OR(H2517&lt;1,H2517&gt;10),1,0)</f>
        <v>0</v>
      </c>
      <c r="X2517" s="9" t="n">
        <f aca="false">IF(OR(I2517&lt;=0,I2517&gt;1500),1,0)</f>
        <v>0</v>
      </c>
      <c r="Y2517" s="9" t="n">
        <f aca="false">IF(J2517&gt;H2517*I2517,1,0)</f>
        <v>0</v>
      </c>
      <c r="Z2517" s="9" t="n">
        <f aca="false">IF(AND(N2517&lt;&gt;"",OR(N2517&lt;1,N2517&gt;5)),1,0)</f>
        <v>0</v>
      </c>
      <c r="AA2517" s="9" t="n">
        <f aca="false">IF(AND(M2517&lt;&gt;"",OR(M2517&lt;5,M2517&gt;180)),1,0)</f>
        <v>0</v>
      </c>
      <c r="AB2517" s="7" t="str">
        <f aca="false">IF(P2517="DUP","Exact duplicate row",IF(T2517=1,"Missing Order ID",IF(S2517="DROP","Duplicate Order ID (less complete row)",IF(U2517=1,"Missing Customer ID",IF(V2517=1,"Missing Restaurant name",IF(W2517=1,"Invalid/outlier quantity",IF(X2517=1,"Invalid/outlier unit price",IF(Y2517=1,"Discount greater than order value",""))))))))</f>
        <v/>
      </c>
      <c r="AC2517" s="7" t="str">
        <f aca="false">IF(AB2517="","KEEP","DROP")</f>
        <v>KEEP</v>
      </c>
      <c r="AD2517" s="7" t="str">
        <f aca="false">IF(TRIM(F2517)="",IFERROR(INDEX(Map_Tables!$I$4:$I$37,MATCH(TRIM(E2517),Map_Tables!$G$4:$G$37,0)),""),IFERROR(INDEX(Map_Tables!$B$4:$B$18,MATCH(TRIM(F2517),Map_Tables!$A$4:$A$18,0)),"CHECK"))</f>
        <v>Ahmedabad</v>
      </c>
      <c r="AE2517" s="7" t="str">
        <f aca="false">IF(TRIM(E2517)="","",IFERROR(INDEX(Map_Tables!$H$4:$H$37,MATCH(TRIM(E2517),Map_Tables!$G$4:$G$37,0)),"CHECK"))</f>
        <v>Fit Fuel Kitchen</v>
      </c>
      <c r="AF2517" s="7" t="str">
        <f aca="false">IF(TRIM(K2517)="","Unknown",IFERROR(INDEX(Map_Tables!$E$4:$E$15,MATCH(TRIM(K2517),Map_Tables!$D$4:$D$15,0)),"CHECK"))</f>
        <v>UPI</v>
      </c>
      <c r="AG2517" s="7" t="str">
        <f aca="false">IF(LEFT(LOWER(TRIM(L2517)),6)="cancel","Cancelled","Delivered")</f>
        <v>Delivered</v>
      </c>
      <c r="AH2517" s="10" t="n">
        <f aca="false">IF(ISNUMBER(SEARCH("/",B2517)),DATE(VALUE(RIGHT(B2517,4)),VALUE(MID(B2517,4,2)),VALUE(LEFT(B2517,2))),IF(MID(B2517,5,1)="-",DATE(VALUE(LEFT(B2517,4)),VALUE(MID(B2517,6,2)),VALUE(RIGHT(B2517,2))),DATE(VALUE(RIGHT(B2517,4)),MATCH(MID(B2517,4,3),{"Jan","Feb","Mar","Apr","May","Jun","Jul","Aug","Sep","Oct","Nov","Dec"},0),VALUE(LEFT(B2517,2)))))</f>
        <v>45997</v>
      </c>
    </row>
    <row r="2518" customFormat="false" ht="15" hidden="false" customHeight="false" outlineLevel="0" collapsed="false">
      <c r="A2518" s="7" t="s">
        <v>5489</v>
      </c>
      <c r="B2518" s="7" t="s">
        <v>2270</v>
      </c>
      <c r="C2518" s="7" t="s">
        <v>201</v>
      </c>
      <c r="D2518" s="7" t="s">
        <v>2174</v>
      </c>
      <c r="E2518" s="7" t="s">
        <v>160</v>
      </c>
      <c r="F2518" s="7" t="s">
        <v>136</v>
      </c>
      <c r="G2518" s="7" t="s">
        <v>150</v>
      </c>
      <c r="H2518" s="7" t="n">
        <v>2</v>
      </c>
      <c r="I2518" s="7" t="n">
        <v>240</v>
      </c>
      <c r="J2518" s="7" t="n">
        <v>20</v>
      </c>
      <c r="K2518" s="7" t="s">
        <v>87</v>
      </c>
      <c r="L2518" s="7" t="s">
        <v>194</v>
      </c>
      <c r="M2518" s="7" t="n">
        <v>22</v>
      </c>
      <c r="N2518" s="7" t="n">
        <v>3</v>
      </c>
      <c r="O2518" s="7" t="str">
        <f aca="false">A2518&amp;"|"&amp;B2518&amp;"|"&amp;C2518&amp;"|"&amp;D2518&amp;"|"&amp;E2518&amp;"|"&amp;F2518&amp;"|"&amp;G2518&amp;"|"&amp;H2518&amp;"|"&amp;I2518&amp;"|"&amp;J2518&amp;"|"&amp;K2518&amp;"|"&amp;L2518&amp;"|"&amp;M2518&amp;"|"&amp;N2518</f>
        <v>ORD12935|2025-12-24|20:46|C0505|Cake Walk|Pune|Desserts|2|240|20|upi|Delivered|22|3</v>
      </c>
      <c r="P2518" s="7" t="str">
        <f aca="false">IF(COUNTIF($O$2:O2518,O2518)&gt;1,"DUP","OK")</f>
        <v>OK</v>
      </c>
      <c r="Q2518" s="7" t="n">
        <f aca="false">COUNTBLANK(A2518:N2518)</f>
        <v>0</v>
      </c>
      <c r="R2518" s="7" t="n">
        <f aca="false">IF(A2518="",0,COUNTIFS($A$2:$A$3058,A2518,$P$2:$P$3058,"OK"))</f>
        <v>1</v>
      </c>
      <c r="S2518" s="7" t="str">
        <f aca="false">IF(OR(A2518="",P2518="DUP",R2518&lt;2),"",IF(Q2518=_xlfn.MINIFS($Q$2:$Q$3058,$A$2:$A$3058,A2518,$P$2:$P$3058,"OK"),"KEEP","DROP"))</f>
        <v/>
      </c>
      <c r="T2518" s="9" t="n">
        <f aca="false">IF(A2518="",1,0)</f>
        <v>0</v>
      </c>
      <c r="U2518" s="9" t="n">
        <f aca="false">IF(D2518="",1,0)</f>
        <v>0</v>
      </c>
      <c r="V2518" s="9" t="n">
        <f aca="false">IF(E2518="",1,0)</f>
        <v>0</v>
      </c>
      <c r="W2518" s="9" t="n">
        <f aca="false">IF(OR(H2518&lt;1,H2518&gt;10),1,0)</f>
        <v>0</v>
      </c>
      <c r="X2518" s="9" t="n">
        <f aca="false">IF(OR(I2518&lt;=0,I2518&gt;1500),1,0)</f>
        <v>0</v>
      </c>
      <c r="Y2518" s="9" t="n">
        <f aca="false">IF(J2518&gt;H2518*I2518,1,0)</f>
        <v>0</v>
      </c>
      <c r="Z2518" s="9" t="n">
        <f aca="false">IF(AND(N2518&lt;&gt;"",OR(N2518&lt;1,N2518&gt;5)),1,0)</f>
        <v>0</v>
      </c>
      <c r="AA2518" s="9" t="n">
        <f aca="false">IF(AND(M2518&lt;&gt;"",OR(M2518&lt;5,M2518&gt;180)),1,0)</f>
        <v>0</v>
      </c>
      <c r="AB2518" s="7" t="str">
        <f aca="false">IF(P2518="DUP","Exact duplicate row",IF(T2518=1,"Missing Order ID",IF(S2518="DROP","Duplicate Order ID (less complete row)",IF(U2518=1,"Missing Customer ID",IF(V2518=1,"Missing Restaurant name",IF(W2518=1,"Invalid/outlier quantity",IF(X2518=1,"Invalid/outlier unit price",IF(Y2518=1,"Discount greater than order value",""))))))))</f>
        <v/>
      </c>
      <c r="AC2518" s="7" t="str">
        <f aca="false">IF(AB2518="","KEEP","DROP")</f>
        <v>KEEP</v>
      </c>
      <c r="AD2518" s="7" t="str">
        <f aca="false">IF(TRIM(F2518)="",IFERROR(INDEX(Map_Tables!$I$4:$I$37,MATCH(TRIM(E2518),Map_Tables!$G$4:$G$37,0)),""),IFERROR(INDEX(Map_Tables!$B$4:$B$18,MATCH(TRIM(F2518),Map_Tables!$A$4:$A$18,0)),"CHECK"))</f>
        <v>Pune</v>
      </c>
      <c r="AE2518" s="7" t="str">
        <f aca="false">IF(TRIM(E2518)="","",IFERROR(INDEX(Map_Tables!$H$4:$H$37,MATCH(TRIM(E2518),Map_Tables!$G$4:$G$37,0)),"CHECK"))</f>
        <v>Cake Walk</v>
      </c>
      <c r="AF2518" s="7" t="str">
        <f aca="false">IF(TRIM(K2518)="","Unknown",IFERROR(INDEX(Map_Tables!$E$4:$E$15,MATCH(TRIM(K2518),Map_Tables!$D$4:$D$15,0)),"CHECK"))</f>
        <v>UPI</v>
      </c>
      <c r="AG2518" s="7" t="str">
        <f aca="false">IF(LEFT(LOWER(TRIM(L2518)),6)="cancel","Cancelled","Delivered")</f>
        <v>Delivered</v>
      </c>
      <c r="AH2518" s="10" t="n">
        <f aca="false">IF(ISNUMBER(SEARCH("/",B2518)),DATE(VALUE(RIGHT(B2518,4)),VALUE(MID(B2518,4,2)),VALUE(LEFT(B2518,2))),IF(MID(B2518,5,1)="-",DATE(VALUE(LEFT(B2518,4)),VALUE(MID(B2518,6,2)),VALUE(RIGHT(B2518,2))),DATE(VALUE(RIGHT(B2518,4)),MATCH(MID(B2518,4,3),{"Jan","Feb","Mar","Apr","May","Jun","Jul","Aug","Sep","Oct","Nov","Dec"},0),VALUE(LEFT(B2518,2)))))</f>
        <v>46015</v>
      </c>
    </row>
    <row r="2519" customFormat="false" ht="15" hidden="false" customHeight="false" outlineLevel="0" collapsed="false">
      <c r="A2519" s="7" t="s">
        <v>5490</v>
      </c>
      <c r="B2519" s="7" t="s">
        <v>1885</v>
      </c>
      <c r="C2519" s="7" t="s">
        <v>969</v>
      </c>
      <c r="D2519" s="7" t="s">
        <v>2973</v>
      </c>
      <c r="E2519" s="7" t="s">
        <v>159</v>
      </c>
      <c r="F2519" s="7" t="s">
        <v>136</v>
      </c>
      <c r="G2519" s="7" t="s">
        <v>90</v>
      </c>
      <c r="H2519" s="7" t="n">
        <v>5</v>
      </c>
      <c r="I2519" s="7" t="n">
        <v>240</v>
      </c>
      <c r="J2519" s="7" t="n">
        <v>100</v>
      </c>
      <c r="K2519" s="7" t="s">
        <v>115</v>
      </c>
      <c r="L2519" s="7" t="s">
        <v>194</v>
      </c>
      <c r="M2519" s="7" t="n">
        <v>29</v>
      </c>
      <c r="N2519" s="7" t="n">
        <v>4</v>
      </c>
      <c r="O2519" s="7" t="str">
        <f aca="false">A2519&amp;"|"&amp;B2519&amp;"|"&amp;C2519&amp;"|"&amp;D2519&amp;"|"&amp;E2519&amp;"|"&amp;F2519&amp;"|"&amp;G2519&amp;"|"&amp;H2519&amp;"|"&amp;I2519&amp;"|"&amp;J2519&amp;"|"&amp;K2519&amp;"|"&amp;L2519&amp;"|"&amp;M2519&amp;"|"&amp;N2519</f>
        <v>ORD12851|2025-12-15|13:49|C1289|Maratha Thali House|Pune|North Indian|5|240|100|cash on delivery|Delivered|29|4</v>
      </c>
      <c r="P2519" s="7" t="str">
        <f aca="false">IF(COUNTIF($O$2:O2519,O2519)&gt;1,"DUP","OK")</f>
        <v>OK</v>
      </c>
      <c r="Q2519" s="7" t="n">
        <f aca="false">COUNTBLANK(A2519:N2519)</f>
        <v>0</v>
      </c>
      <c r="R2519" s="7" t="n">
        <f aca="false">IF(A2519="",0,COUNTIFS($A$2:$A$3058,A2519,$P$2:$P$3058,"OK"))</f>
        <v>1</v>
      </c>
      <c r="S2519" s="7" t="str">
        <f aca="false">IF(OR(A2519="",P2519="DUP",R2519&lt;2),"",IF(Q2519=_xlfn.MINIFS($Q$2:$Q$3058,$A$2:$A$3058,A2519,$P$2:$P$3058,"OK"),"KEEP","DROP"))</f>
        <v/>
      </c>
      <c r="T2519" s="9" t="n">
        <f aca="false">IF(A2519="",1,0)</f>
        <v>0</v>
      </c>
      <c r="U2519" s="9" t="n">
        <f aca="false">IF(D2519="",1,0)</f>
        <v>0</v>
      </c>
      <c r="V2519" s="9" t="n">
        <f aca="false">IF(E2519="",1,0)</f>
        <v>0</v>
      </c>
      <c r="W2519" s="9" t="n">
        <f aca="false">IF(OR(H2519&lt;1,H2519&gt;10),1,0)</f>
        <v>0</v>
      </c>
      <c r="X2519" s="9" t="n">
        <f aca="false">IF(OR(I2519&lt;=0,I2519&gt;1500),1,0)</f>
        <v>0</v>
      </c>
      <c r="Y2519" s="9" t="n">
        <f aca="false">IF(J2519&gt;H2519*I2519,1,0)</f>
        <v>0</v>
      </c>
      <c r="Z2519" s="9" t="n">
        <f aca="false">IF(AND(N2519&lt;&gt;"",OR(N2519&lt;1,N2519&gt;5)),1,0)</f>
        <v>0</v>
      </c>
      <c r="AA2519" s="9" t="n">
        <f aca="false">IF(AND(M2519&lt;&gt;"",OR(M2519&lt;5,M2519&gt;180)),1,0)</f>
        <v>0</v>
      </c>
      <c r="AB2519" s="7" t="str">
        <f aca="false">IF(P2519="DUP","Exact duplicate row",IF(T2519=1,"Missing Order ID",IF(S2519="DROP","Duplicate Order ID (less complete row)",IF(U2519=1,"Missing Customer ID",IF(V2519=1,"Missing Restaurant name",IF(W2519=1,"Invalid/outlier quantity",IF(X2519=1,"Invalid/outlier unit price",IF(Y2519=1,"Discount greater than order value",""))))))))</f>
        <v/>
      </c>
      <c r="AC2519" s="7" t="str">
        <f aca="false">IF(AB2519="","KEEP","DROP")</f>
        <v>KEEP</v>
      </c>
      <c r="AD2519" s="7" t="str">
        <f aca="false">IF(TRIM(F2519)="",IFERROR(INDEX(Map_Tables!$I$4:$I$37,MATCH(TRIM(E2519),Map_Tables!$G$4:$G$37,0)),""),IFERROR(INDEX(Map_Tables!$B$4:$B$18,MATCH(TRIM(F2519),Map_Tables!$A$4:$A$18,0)),"CHECK"))</f>
        <v>Pune</v>
      </c>
      <c r="AE2519" s="7" t="str">
        <f aca="false">IF(TRIM(E2519)="","",IFERROR(INDEX(Map_Tables!$H$4:$H$37,MATCH(TRIM(E2519),Map_Tables!$G$4:$G$37,0)),"CHECK"))</f>
        <v>Maratha Thali House</v>
      </c>
      <c r="AF2519" s="7" t="str">
        <f aca="false">IF(TRIM(K2519)="","Unknown",IFERROR(INDEX(Map_Tables!$E$4:$E$15,MATCH(TRIM(K2519),Map_Tables!$D$4:$D$15,0)),"CHECK"))</f>
        <v>Cash on Delivery</v>
      </c>
      <c r="AG2519" s="7" t="str">
        <f aca="false">IF(LEFT(LOWER(TRIM(L2519)),6)="cancel","Cancelled","Delivered")</f>
        <v>Delivered</v>
      </c>
      <c r="AH2519" s="10" t="n">
        <f aca="false">IF(ISNUMBER(SEARCH("/",B2519)),DATE(VALUE(RIGHT(B2519,4)),VALUE(MID(B2519,4,2)),VALUE(LEFT(B2519,2))),IF(MID(B2519,5,1)="-",DATE(VALUE(LEFT(B2519,4)),VALUE(MID(B2519,6,2)),VALUE(RIGHT(B2519,2))),DATE(VALUE(RIGHT(B2519,4)),MATCH(MID(B2519,4,3),{"Jan","Feb","Mar","Apr","May","Jun","Jul","Aug","Sep","Oct","Nov","Dec"},0),VALUE(LEFT(B2519,2)))))</f>
        <v>46006</v>
      </c>
    </row>
    <row r="2520" customFormat="false" ht="15" hidden="false" customHeight="false" outlineLevel="0" collapsed="false">
      <c r="A2520" s="7" t="s">
        <v>5491</v>
      </c>
      <c r="B2520" s="7" t="s">
        <v>2617</v>
      </c>
      <c r="C2520" s="7" t="s">
        <v>697</v>
      </c>
      <c r="D2520" s="7" t="s">
        <v>5492</v>
      </c>
      <c r="E2520" s="7" t="s">
        <v>147</v>
      </c>
      <c r="F2520" s="7" t="s">
        <v>119</v>
      </c>
      <c r="G2520" s="7" t="s">
        <v>95</v>
      </c>
      <c r="H2520" s="7" t="n">
        <v>2</v>
      </c>
      <c r="I2520" s="7" t="n">
        <v>200</v>
      </c>
      <c r="J2520" s="7" t="n">
        <v>0</v>
      </c>
      <c r="K2520" s="7" t="s">
        <v>88</v>
      </c>
      <c r="L2520" s="7" t="s">
        <v>194</v>
      </c>
      <c r="M2520" s="7" t="n">
        <v>27</v>
      </c>
      <c r="N2520" s="7" t="n">
        <v>5</v>
      </c>
      <c r="O2520" s="7" t="str">
        <f aca="false">A2520&amp;"|"&amp;B2520&amp;"|"&amp;C2520&amp;"|"&amp;D2520&amp;"|"&amp;E2520&amp;"|"&amp;F2520&amp;"|"&amp;G2520&amp;"|"&amp;H2520&amp;"|"&amp;I2520&amp;"|"&amp;J2520&amp;"|"&amp;K2520&amp;"|"&amp;L2520&amp;"|"&amp;M2520&amp;"|"&amp;N2520</f>
        <v>ORD12685|2025-11-27|11:46|C0566|Andhra Meals Mess|Hyderabad|South Indian|2|200|0|UPI|Delivered|27|5</v>
      </c>
      <c r="P2520" s="7" t="str">
        <f aca="false">IF(COUNTIF($O$2:O2520,O2520)&gt;1,"DUP","OK")</f>
        <v>OK</v>
      </c>
      <c r="Q2520" s="7" t="n">
        <f aca="false">COUNTBLANK(A2520:N2520)</f>
        <v>0</v>
      </c>
      <c r="R2520" s="7" t="n">
        <f aca="false">IF(A2520="",0,COUNTIFS($A$2:$A$3058,A2520,$P$2:$P$3058,"OK"))</f>
        <v>1</v>
      </c>
      <c r="S2520" s="7" t="str">
        <f aca="false">IF(OR(A2520="",P2520="DUP",R2520&lt;2),"",IF(Q2520=_xlfn.MINIFS($Q$2:$Q$3058,$A$2:$A$3058,A2520,$P$2:$P$3058,"OK"),"KEEP","DROP"))</f>
        <v/>
      </c>
      <c r="T2520" s="9" t="n">
        <f aca="false">IF(A2520="",1,0)</f>
        <v>0</v>
      </c>
      <c r="U2520" s="9" t="n">
        <f aca="false">IF(D2520="",1,0)</f>
        <v>0</v>
      </c>
      <c r="V2520" s="9" t="n">
        <f aca="false">IF(E2520="",1,0)</f>
        <v>0</v>
      </c>
      <c r="W2520" s="9" t="n">
        <f aca="false">IF(OR(H2520&lt;1,H2520&gt;10),1,0)</f>
        <v>0</v>
      </c>
      <c r="X2520" s="9" t="n">
        <f aca="false">IF(OR(I2520&lt;=0,I2520&gt;1500),1,0)</f>
        <v>0</v>
      </c>
      <c r="Y2520" s="9" t="n">
        <f aca="false">IF(J2520&gt;H2520*I2520,1,0)</f>
        <v>0</v>
      </c>
      <c r="Z2520" s="9" t="n">
        <f aca="false">IF(AND(N2520&lt;&gt;"",OR(N2520&lt;1,N2520&gt;5)),1,0)</f>
        <v>0</v>
      </c>
      <c r="AA2520" s="9" t="n">
        <f aca="false">IF(AND(M2520&lt;&gt;"",OR(M2520&lt;5,M2520&gt;180)),1,0)</f>
        <v>0</v>
      </c>
      <c r="AB2520" s="7" t="str">
        <f aca="false">IF(P2520="DUP","Exact duplicate row",IF(T2520=1,"Missing Order ID",IF(S2520="DROP","Duplicate Order ID (less complete row)",IF(U2520=1,"Missing Customer ID",IF(V2520=1,"Missing Restaurant name",IF(W2520=1,"Invalid/outlier quantity",IF(X2520=1,"Invalid/outlier unit price",IF(Y2520=1,"Discount greater than order value",""))))))))</f>
        <v/>
      </c>
      <c r="AC2520" s="7" t="str">
        <f aca="false">IF(AB2520="","KEEP","DROP")</f>
        <v>KEEP</v>
      </c>
      <c r="AD2520" s="7" t="str">
        <f aca="false">IF(TRIM(F2520)="",IFERROR(INDEX(Map_Tables!$I$4:$I$37,MATCH(TRIM(E2520),Map_Tables!$G$4:$G$37,0)),""),IFERROR(INDEX(Map_Tables!$B$4:$B$18,MATCH(TRIM(F2520),Map_Tables!$A$4:$A$18,0)),"CHECK"))</f>
        <v>Hyderabad</v>
      </c>
      <c r="AE2520" s="7" t="str">
        <f aca="false">IF(TRIM(E2520)="","",IFERROR(INDEX(Map_Tables!$H$4:$H$37,MATCH(TRIM(E2520),Map_Tables!$G$4:$G$37,0)),"CHECK"))</f>
        <v>Andhra Meals Mess</v>
      </c>
      <c r="AF2520" s="7" t="str">
        <f aca="false">IF(TRIM(K2520)="","Unknown",IFERROR(INDEX(Map_Tables!$E$4:$E$15,MATCH(TRIM(K2520),Map_Tables!$D$4:$D$15,0)),"CHECK"))</f>
        <v>UPI</v>
      </c>
      <c r="AG2520" s="7" t="str">
        <f aca="false">IF(LEFT(LOWER(TRIM(L2520)),6)="cancel","Cancelled","Delivered")</f>
        <v>Delivered</v>
      </c>
      <c r="AH2520" s="10" t="n">
        <f aca="false">IF(ISNUMBER(SEARCH("/",B2520)),DATE(VALUE(RIGHT(B2520,4)),VALUE(MID(B2520,4,2)),VALUE(LEFT(B2520,2))),IF(MID(B2520,5,1)="-",DATE(VALUE(LEFT(B2520,4)),VALUE(MID(B2520,6,2)),VALUE(RIGHT(B2520,2))),DATE(VALUE(RIGHT(B2520,4)),MATCH(MID(B2520,4,3),{"Jan","Feb","Mar","Apr","May","Jun","Jul","Aug","Sep","Oct","Nov","Dec"},0),VALUE(LEFT(B2520,2)))))</f>
        <v>45988</v>
      </c>
    </row>
    <row r="2521" customFormat="false" ht="15" hidden="false" customHeight="false" outlineLevel="0" collapsed="false">
      <c r="A2521" s="7" t="s">
        <v>5493</v>
      </c>
      <c r="B2521" s="7" t="s">
        <v>275</v>
      </c>
      <c r="C2521" s="7" t="s">
        <v>4969</v>
      </c>
      <c r="D2521" s="7" t="s">
        <v>1504</v>
      </c>
      <c r="E2521" s="7" t="s">
        <v>113</v>
      </c>
      <c r="F2521" s="7" t="s">
        <v>101</v>
      </c>
      <c r="G2521" s="7" t="s">
        <v>90</v>
      </c>
      <c r="H2521" s="7" t="n">
        <v>2</v>
      </c>
      <c r="I2521" s="7" t="n">
        <v>265</v>
      </c>
      <c r="J2521" s="7" t="n">
        <v>50</v>
      </c>
      <c r="K2521" s="7" t="s">
        <v>88</v>
      </c>
      <c r="L2521" s="7" t="s">
        <v>194</v>
      </c>
      <c r="M2521" s="7" t="n">
        <v>37</v>
      </c>
      <c r="N2521" s="7" t="n">
        <v>4</v>
      </c>
      <c r="O2521" s="7" t="str">
        <f aca="false">A2521&amp;"|"&amp;B2521&amp;"|"&amp;C2521&amp;"|"&amp;D2521&amp;"|"&amp;E2521&amp;"|"&amp;F2521&amp;"|"&amp;G2521&amp;"|"&amp;H2521&amp;"|"&amp;I2521&amp;"|"&amp;J2521&amp;"|"&amp;K2521&amp;"|"&amp;L2521&amp;"|"&amp;M2521&amp;"|"&amp;N2521</f>
        <v>ORD10121|2025-01-16|13:31|C0190|Curry Leaf Kitchen|Mumbai|North Indian|2|265|50|UPI|Delivered|37|4</v>
      </c>
      <c r="P2521" s="7" t="str">
        <f aca="false">IF(COUNTIF($O$2:O2521,O2521)&gt;1,"DUP","OK")</f>
        <v>OK</v>
      </c>
      <c r="Q2521" s="7" t="n">
        <f aca="false">COUNTBLANK(A2521:N2521)</f>
        <v>0</v>
      </c>
      <c r="R2521" s="7" t="n">
        <f aca="false">IF(A2521="",0,COUNTIFS($A$2:$A$3058,A2521,$P$2:$P$3058,"OK"))</f>
        <v>1</v>
      </c>
      <c r="S2521" s="7" t="str">
        <f aca="false">IF(OR(A2521="",P2521="DUP",R2521&lt;2),"",IF(Q2521=_xlfn.MINIFS($Q$2:$Q$3058,$A$2:$A$3058,A2521,$P$2:$P$3058,"OK"),"KEEP","DROP"))</f>
        <v/>
      </c>
      <c r="T2521" s="9" t="n">
        <f aca="false">IF(A2521="",1,0)</f>
        <v>0</v>
      </c>
      <c r="U2521" s="9" t="n">
        <f aca="false">IF(D2521="",1,0)</f>
        <v>0</v>
      </c>
      <c r="V2521" s="9" t="n">
        <f aca="false">IF(E2521="",1,0)</f>
        <v>0</v>
      </c>
      <c r="W2521" s="9" t="n">
        <f aca="false">IF(OR(H2521&lt;1,H2521&gt;10),1,0)</f>
        <v>0</v>
      </c>
      <c r="X2521" s="9" t="n">
        <f aca="false">IF(OR(I2521&lt;=0,I2521&gt;1500),1,0)</f>
        <v>0</v>
      </c>
      <c r="Y2521" s="9" t="n">
        <f aca="false">IF(J2521&gt;H2521*I2521,1,0)</f>
        <v>0</v>
      </c>
      <c r="Z2521" s="9" t="n">
        <f aca="false">IF(AND(N2521&lt;&gt;"",OR(N2521&lt;1,N2521&gt;5)),1,0)</f>
        <v>0</v>
      </c>
      <c r="AA2521" s="9" t="n">
        <f aca="false">IF(AND(M2521&lt;&gt;"",OR(M2521&lt;5,M2521&gt;180)),1,0)</f>
        <v>0</v>
      </c>
      <c r="AB2521" s="7" t="str">
        <f aca="false">IF(P2521="DUP","Exact duplicate row",IF(T2521=1,"Missing Order ID",IF(S2521="DROP","Duplicate Order ID (less complete row)",IF(U2521=1,"Missing Customer ID",IF(V2521=1,"Missing Restaurant name",IF(W2521=1,"Invalid/outlier quantity",IF(X2521=1,"Invalid/outlier unit price",IF(Y2521=1,"Discount greater than order value",""))))))))</f>
        <v/>
      </c>
      <c r="AC2521" s="7" t="str">
        <f aca="false">IF(AB2521="","KEEP","DROP")</f>
        <v>KEEP</v>
      </c>
      <c r="AD2521" s="7" t="str">
        <f aca="false">IF(TRIM(F2521)="",IFERROR(INDEX(Map_Tables!$I$4:$I$37,MATCH(TRIM(E2521),Map_Tables!$G$4:$G$37,0)),""),IFERROR(INDEX(Map_Tables!$B$4:$B$18,MATCH(TRIM(F2521),Map_Tables!$A$4:$A$18,0)),"CHECK"))</f>
        <v>Mumbai</v>
      </c>
      <c r="AE2521" s="7" t="str">
        <f aca="false">IF(TRIM(E2521)="","",IFERROR(INDEX(Map_Tables!$H$4:$H$37,MATCH(TRIM(E2521),Map_Tables!$G$4:$G$37,0)),"CHECK"))</f>
        <v>Curry Leaf Kitchen</v>
      </c>
      <c r="AF2521" s="7" t="str">
        <f aca="false">IF(TRIM(K2521)="","Unknown",IFERROR(INDEX(Map_Tables!$E$4:$E$15,MATCH(TRIM(K2521),Map_Tables!$D$4:$D$15,0)),"CHECK"))</f>
        <v>UPI</v>
      </c>
      <c r="AG2521" s="7" t="str">
        <f aca="false">IF(LEFT(LOWER(TRIM(L2521)),6)="cancel","Cancelled","Delivered")</f>
        <v>Delivered</v>
      </c>
      <c r="AH2521" s="10" t="n">
        <f aca="false">IF(ISNUMBER(SEARCH("/",B2521)),DATE(VALUE(RIGHT(B2521,4)),VALUE(MID(B2521,4,2)),VALUE(LEFT(B2521,2))),IF(MID(B2521,5,1)="-",DATE(VALUE(LEFT(B2521,4)),VALUE(MID(B2521,6,2)),VALUE(RIGHT(B2521,2))),DATE(VALUE(RIGHT(B2521,4)),MATCH(MID(B2521,4,3),{"Jan","Feb","Mar","Apr","May","Jun","Jul","Aug","Sep","Oct","Nov","Dec"},0),VALUE(LEFT(B2521,2)))))</f>
        <v>45673</v>
      </c>
    </row>
    <row r="2522" customFormat="false" ht="15" hidden="false" customHeight="false" outlineLevel="0" collapsed="false">
      <c r="A2522" s="7" t="s">
        <v>5494</v>
      </c>
      <c r="B2522" s="7" t="s">
        <v>715</v>
      </c>
      <c r="C2522" s="7" t="s">
        <v>3487</v>
      </c>
      <c r="D2522" s="7" t="s">
        <v>1573</v>
      </c>
      <c r="E2522" s="7" t="s">
        <v>159</v>
      </c>
      <c r="F2522" s="7" t="s">
        <v>136</v>
      </c>
      <c r="G2522" s="7" t="s">
        <v>90</v>
      </c>
      <c r="H2522" s="7" t="n">
        <v>2</v>
      </c>
      <c r="I2522" s="7" t="n">
        <v>225</v>
      </c>
      <c r="J2522" s="7" t="n">
        <v>125</v>
      </c>
      <c r="K2522" s="7" t="s">
        <v>88</v>
      </c>
      <c r="L2522" s="7" t="s">
        <v>194</v>
      </c>
      <c r="M2522" s="7" t="n">
        <v>35</v>
      </c>
      <c r="N2522" s="7" t="n">
        <v>4</v>
      </c>
      <c r="O2522" s="7" t="str">
        <f aca="false">A2522&amp;"|"&amp;B2522&amp;"|"&amp;C2522&amp;"|"&amp;D2522&amp;"|"&amp;E2522&amp;"|"&amp;F2522&amp;"|"&amp;G2522&amp;"|"&amp;H2522&amp;"|"&amp;I2522&amp;"|"&amp;J2522&amp;"|"&amp;K2522&amp;"|"&amp;L2522&amp;"|"&amp;M2522&amp;"|"&amp;N2522</f>
        <v>ORD11273|2025-06-11|20:57|C0084|Maratha Thali House|Pune|North Indian|2|225|125|UPI|Delivered|35|4</v>
      </c>
      <c r="P2522" s="7" t="str">
        <f aca="false">IF(COUNTIF($O$2:O2522,O2522)&gt;1,"DUP","OK")</f>
        <v>OK</v>
      </c>
      <c r="Q2522" s="7" t="n">
        <f aca="false">COUNTBLANK(A2522:N2522)</f>
        <v>0</v>
      </c>
      <c r="R2522" s="7" t="n">
        <f aca="false">IF(A2522="",0,COUNTIFS($A$2:$A$3058,A2522,$P$2:$P$3058,"OK"))</f>
        <v>1</v>
      </c>
      <c r="S2522" s="7" t="str">
        <f aca="false">IF(OR(A2522="",P2522="DUP",R2522&lt;2),"",IF(Q2522=_xlfn.MINIFS($Q$2:$Q$3058,$A$2:$A$3058,A2522,$P$2:$P$3058,"OK"),"KEEP","DROP"))</f>
        <v/>
      </c>
      <c r="T2522" s="9" t="n">
        <f aca="false">IF(A2522="",1,0)</f>
        <v>0</v>
      </c>
      <c r="U2522" s="9" t="n">
        <f aca="false">IF(D2522="",1,0)</f>
        <v>0</v>
      </c>
      <c r="V2522" s="9" t="n">
        <f aca="false">IF(E2522="",1,0)</f>
        <v>0</v>
      </c>
      <c r="W2522" s="9" t="n">
        <f aca="false">IF(OR(H2522&lt;1,H2522&gt;10),1,0)</f>
        <v>0</v>
      </c>
      <c r="X2522" s="9" t="n">
        <f aca="false">IF(OR(I2522&lt;=0,I2522&gt;1500),1,0)</f>
        <v>0</v>
      </c>
      <c r="Y2522" s="9" t="n">
        <f aca="false">IF(J2522&gt;H2522*I2522,1,0)</f>
        <v>0</v>
      </c>
      <c r="Z2522" s="9" t="n">
        <f aca="false">IF(AND(N2522&lt;&gt;"",OR(N2522&lt;1,N2522&gt;5)),1,0)</f>
        <v>0</v>
      </c>
      <c r="AA2522" s="9" t="n">
        <f aca="false">IF(AND(M2522&lt;&gt;"",OR(M2522&lt;5,M2522&gt;180)),1,0)</f>
        <v>0</v>
      </c>
      <c r="AB2522" s="7" t="str">
        <f aca="false">IF(P2522="DUP","Exact duplicate row",IF(T2522=1,"Missing Order ID",IF(S2522="DROP","Duplicate Order ID (less complete row)",IF(U2522=1,"Missing Customer ID",IF(V2522=1,"Missing Restaurant name",IF(W2522=1,"Invalid/outlier quantity",IF(X2522=1,"Invalid/outlier unit price",IF(Y2522=1,"Discount greater than order value",""))))))))</f>
        <v/>
      </c>
      <c r="AC2522" s="7" t="str">
        <f aca="false">IF(AB2522="","KEEP","DROP")</f>
        <v>KEEP</v>
      </c>
      <c r="AD2522" s="7" t="str">
        <f aca="false">IF(TRIM(F2522)="",IFERROR(INDEX(Map_Tables!$I$4:$I$37,MATCH(TRIM(E2522),Map_Tables!$G$4:$G$37,0)),""),IFERROR(INDEX(Map_Tables!$B$4:$B$18,MATCH(TRIM(F2522),Map_Tables!$A$4:$A$18,0)),"CHECK"))</f>
        <v>Pune</v>
      </c>
      <c r="AE2522" s="7" t="str">
        <f aca="false">IF(TRIM(E2522)="","",IFERROR(INDEX(Map_Tables!$H$4:$H$37,MATCH(TRIM(E2522),Map_Tables!$G$4:$G$37,0)),"CHECK"))</f>
        <v>Maratha Thali House</v>
      </c>
      <c r="AF2522" s="7" t="str">
        <f aca="false">IF(TRIM(K2522)="","Unknown",IFERROR(INDEX(Map_Tables!$E$4:$E$15,MATCH(TRIM(K2522),Map_Tables!$D$4:$D$15,0)),"CHECK"))</f>
        <v>UPI</v>
      </c>
      <c r="AG2522" s="7" t="str">
        <f aca="false">IF(LEFT(LOWER(TRIM(L2522)),6)="cancel","Cancelled","Delivered")</f>
        <v>Delivered</v>
      </c>
      <c r="AH2522" s="10" t="n">
        <f aca="false">IF(ISNUMBER(SEARCH("/",B2522)),DATE(VALUE(RIGHT(B2522,4)),VALUE(MID(B2522,4,2)),VALUE(LEFT(B2522,2))),IF(MID(B2522,5,1)="-",DATE(VALUE(LEFT(B2522,4)),VALUE(MID(B2522,6,2)),VALUE(RIGHT(B2522,2))),DATE(VALUE(RIGHT(B2522,4)),MATCH(MID(B2522,4,3),{"Jan","Feb","Mar","Apr","May","Jun","Jul","Aug","Sep","Oct","Nov","Dec"},0),VALUE(LEFT(B2522,2)))))</f>
        <v>45819</v>
      </c>
    </row>
    <row r="2523" customFormat="false" ht="15" hidden="false" customHeight="false" outlineLevel="0" collapsed="false">
      <c r="A2523" s="7" t="s">
        <v>5495</v>
      </c>
      <c r="B2523" s="7" t="s">
        <v>2535</v>
      </c>
      <c r="C2523" s="7" t="s">
        <v>1758</v>
      </c>
      <c r="D2523" s="7" t="s">
        <v>3630</v>
      </c>
      <c r="E2523" s="7" t="s">
        <v>116</v>
      </c>
      <c r="F2523" s="7" t="s">
        <v>101</v>
      </c>
      <c r="G2523" s="7" t="s">
        <v>117</v>
      </c>
      <c r="H2523" s="7" t="n">
        <v>3</v>
      </c>
      <c r="I2523" s="7" t="n">
        <v>150</v>
      </c>
      <c r="J2523" s="7" t="n">
        <v>0</v>
      </c>
      <c r="K2523" s="7" t="s">
        <v>88</v>
      </c>
      <c r="L2523" s="7" t="s">
        <v>194</v>
      </c>
      <c r="M2523" s="7" t="n">
        <v>57</v>
      </c>
      <c r="N2523" s="7" t="n">
        <v>4</v>
      </c>
      <c r="O2523" s="7" t="str">
        <f aca="false">A2523&amp;"|"&amp;B2523&amp;"|"&amp;C2523&amp;"|"&amp;D2523&amp;"|"&amp;E2523&amp;"|"&amp;F2523&amp;"|"&amp;G2523&amp;"|"&amp;H2523&amp;"|"&amp;I2523&amp;"|"&amp;J2523&amp;"|"&amp;K2523&amp;"|"&amp;L2523&amp;"|"&amp;M2523&amp;"|"&amp;N2523</f>
        <v>ORD10927|2025-04-27|20:10|C1297|Pav Bhaji Point|Mumbai|Street Food|3|150|0|UPI|Delivered|57|4</v>
      </c>
      <c r="P2523" s="7" t="str">
        <f aca="false">IF(COUNTIF($O$2:O2523,O2523)&gt;1,"DUP","OK")</f>
        <v>OK</v>
      </c>
      <c r="Q2523" s="7" t="n">
        <f aca="false">COUNTBLANK(A2523:N2523)</f>
        <v>0</v>
      </c>
      <c r="R2523" s="7" t="n">
        <f aca="false">IF(A2523="",0,COUNTIFS($A$2:$A$3058,A2523,$P$2:$P$3058,"OK"))</f>
        <v>1</v>
      </c>
      <c r="S2523" s="7" t="str">
        <f aca="false">IF(OR(A2523="",P2523="DUP",R2523&lt;2),"",IF(Q2523=_xlfn.MINIFS($Q$2:$Q$3058,$A$2:$A$3058,A2523,$P$2:$P$3058,"OK"),"KEEP","DROP"))</f>
        <v/>
      </c>
      <c r="T2523" s="9" t="n">
        <f aca="false">IF(A2523="",1,0)</f>
        <v>0</v>
      </c>
      <c r="U2523" s="9" t="n">
        <f aca="false">IF(D2523="",1,0)</f>
        <v>0</v>
      </c>
      <c r="V2523" s="9" t="n">
        <f aca="false">IF(E2523="",1,0)</f>
        <v>0</v>
      </c>
      <c r="W2523" s="9" t="n">
        <f aca="false">IF(OR(H2523&lt;1,H2523&gt;10),1,0)</f>
        <v>0</v>
      </c>
      <c r="X2523" s="9" t="n">
        <f aca="false">IF(OR(I2523&lt;=0,I2523&gt;1500),1,0)</f>
        <v>0</v>
      </c>
      <c r="Y2523" s="9" t="n">
        <f aca="false">IF(J2523&gt;H2523*I2523,1,0)</f>
        <v>0</v>
      </c>
      <c r="Z2523" s="9" t="n">
        <f aca="false">IF(AND(N2523&lt;&gt;"",OR(N2523&lt;1,N2523&gt;5)),1,0)</f>
        <v>0</v>
      </c>
      <c r="AA2523" s="9" t="n">
        <f aca="false">IF(AND(M2523&lt;&gt;"",OR(M2523&lt;5,M2523&gt;180)),1,0)</f>
        <v>0</v>
      </c>
      <c r="AB2523" s="7" t="str">
        <f aca="false">IF(P2523="DUP","Exact duplicate row",IF(T2523=1,"Missing Order ID",IF(S2523="DROP","Duplicate Order ID (less complete row)",IF(U2523=1,"Missing Customer ID",IF(V2523=1,"Missing Restaurant name",IF(W2523=1,"Invalid/outlier quantity",IF(X2523=1,"Invalid/outlier unit price",IF(Y2523=1,"Discount greater than order value",""))))))))</f>
        <v/>
      </c>
      <c r="AC2523" s="7" t="str">
        <f aca="false">IF(AB2523="","KEEP","DROP")</f>
        <v>KEEP</v>
      </c>
      <c r="AD2523" s="7" t="str">
        <f aca="false">IF(TRIM(F2523)="",IFERROR(INDEX(Map_Tables!$I$4:$I$37,MATCH(TRIM(E2523),Map_Tables!$G$4:$G$37,0)),""),IFERROR(INDEX(Map_Tables!$B$4:$B$18,MATCH(TRIM(F2523),Map_Tables!$A$4:$A$18,0)),"CHECK"))</f>
        <v>Mumbai</v>
      </c>
      <c r="AE2523" s="7" t="str">
        <f aca="false">IF(TRIM(E2523)="","",IFERROR(INDEX(Map_Tables!$H$4:$H$37,MATCH(TRIM(E2523),Map_Tables!$G$4:$G$37,0)),"CHECK"))</f>
        <v>Pav Bhaji Point</v>
      </c>
      <c r="AF2523" s="7" t="str">
        <f aca="false">IF(TRIM(K2523)="","Unknown",IFERROR(INDEX(Map_Tables!$E$4:$E$15,MATCH(TRIM(K2523),Map_Tables!$D$4:$D$15,0)),"CHECK"))</f>
        <v>UPI</v>
      </c>
      <c r="AG2523" s="7" t="str">
        <f aca="false">IF(LEFT(LOWER(TRIM(L2523)),6)="cancel","Cancelled","Delivered")</f>
        <v>Delivered</v>
      </c>
      <c r="AH2523" s="10" t="n">
        <f aca="false">IF(ISNUMBER(SEARCH("/",B2523)),DATE(VALUE(RIGHT(B2523,4)),VALUE(MID(B2523,4,2)),VALUE(LEFT(B2523,2))),IF(MID(B2523,5,1)="-",DATE(VALUE(LEFT(B2523,4)),VALUE(MID(B2523,6,2)),VALUE(RIGHT(B2523,2))),DATE(VALUE(RIGHT(B2523,4)),MATCH(MID(B2523,4,3),{"Jan","Feb","Mar","Apr","May","Jun","Jul","Aug","Sep","Oct","Nov","Dec"},0),VALUE(LEFT(B2523,2)))))</f>
        <v>45774</v>
      </c>
    </row>
    <row r="2524" customFormat="false" ht="15" hidden="false" customHeight="false" outlineLevel="0" collapsed="false">
      <c r="A2524" s="7" t="s">
        <v>5496</v>
      </c>
      <c r="B2524" s="7" t="s">
        <v>1645</v>
      </c>
      <c r="C2524" s="7" t="s">
        <v>862</v>
      </c>
      <c r="D2524" s="7" t="s">
        <v>5497</v>
      </c>
      <c r="E2524" s="7" t="s">
        <v>159</v>
      </c>
      <c r="F2524" s="7" t="s">
        <v>1226</v>
      </c>
      <c r="G2524" s="7" t="s">
        <v>90</v>
      </c>
      <c r="H2524" s="7" t="n">
        <v>2</v>
      </c>
      <c r="I2524" s="7" t="n">
        <v>215</v>
      </c>
      <c r="J2524" s="7" t="n">
        <v>0</v>
      </c>
      <c r="K2524" s="7" t="s">
        <v>133</v>
      </c>
      <c r="L2524" s="7" t="s">
        <v>194</v>
      </c>
      <c r="M2524" s="7" t="n">
        <v>35</v>
      </c>
      <c r="N2524" s="7" t="n">
        <v>5</v>
      </c>
      <c r="O2524" s="7" t="str">
        <f aca="false">A2524&amp;"|"&amp;B2524&amp;"|"&amp;C2524&amp;"|"&amp;D2524&amp;"|"&amp;E2524&amp;"|"&amp;F2524&amp;"|"&amp;G2524&amp;"|"&amp;H2524&amp;"|"&amp;I2524&amp;"|"&amp;J2524&amp;"|"&amp;K2524&amp;"|"&amp;L2524&amp;"|"&amp;M2524&amp;"|"&amp;N2524</f>
        <v>ORD11595|2025-07-27|19:00|C0552|Maratha Thali House|Pune |North Indian|2|215|0|Net Banking|Delivered|35|5</v>
      </c>
      <c r="P2524" s="7" t="str">
        <f aca="false">IF(COUNTIF($O$2:O2524,O2524)&gt;1,"DUP","OK")</f>
        <v>OK</v>
      </c>
      <c r="Q2524" s="7" t="n">
        <f aca="false">COUNTBLANK(A2524:N2524)</f>
        <v>0</v>
      </c>
      <c r="R2524" s="7" t="n">
        <f aca="false">IF(A2524="",0,COUNTIFS($A$2:$A$3058,A2524,$P$2:$P$3058,"OK"))</f>
        <v>1</v>
      </c>
      <c r="S2524" s="7" t="str">
        <f aca="false">IF(OR(A2524="",P2524="DUP",R2524&lt;2),"",IF(Q2524=_xlfn.MINIFS($Q$2:$Q$3058,$A$2:$A$3058,A2524,$P$2:$P$3058,"OK"),"KEEP","DROP"))</f>
        <v/>
      </c>
      <c r="T2524" s="9" t="n">
        <f aca="false">IF(A2524="",1,0)</f>
        <v>0</v>
      </c>
      <c r="U2524" s="9" t="n">
        <f aca="false">IF(D2524="",1,0)</f>
        <v>0</v>
      </c>
      <c r="V2524" s="9" t="n">
        <f aca="false">IF(E2524="",1,0)</f>
        <v>0</v>
      </c>
      <c r="W2524" s="9" t="n">
        <f aca="false">IF(OR(H2524&lt;1,H2524&gt;10),1,0)</f>
        <v>0</v>
      </c>
      <c r="X2524" s="9" t="n">
        <f aca="false">IF(OR(I2524&lt;=0,I2524&gt;1500),1,0)</f>
        <v>0</v>
      </c>
      <c r="Y2524" s="9" t="n">
        <f aca="false">IF(J2524&gt;H2524*I2524,1,0)</f>
        <v>0</v>
      </c>
      <c r="Z2524" s="9" t="n">
        <f aca="false">IF(AND(N2524&lt;&gt;"",OR(N2524&lt;1,N2524&gt;5)),1,0)</f>
        <v>0</v>
      </c>
      <c r="AA2524" s="9" t="n">
        <f aca="false">IF(AND(M2524&lt;&gt;"",OR(M2524&lt;5,M2524&gt;180)),1,0)</f>
        <v>0</v>
      </c>
      <c r="AB2524" s="7" t="str">
        <f aca="false">IF(P2524="DUP","Exact duplicate row",IF(T2524=1,"Missing Order ID",IF(S2524="DROP","Duplicate Order ID (less complete row)",IF(U2524=1,"Missing Customer ID",IF(V2524=1,"Missing Restaurant name",IF(W2524=1,"Invalid/outlier quantity",IF(X2524=1,"Invalid/outlier unit price",IF(Y2524=1,"Discount greater than order value",""))))))))</f>
        <v/>
      </c>
      <c r="AC2524" s="7" t="str">
        <f aca="false">IF(AB2524="","KEEP","DROP")</f>
        <v>KEEP</v>
      </c>
      <c r="AD2524" s="7" t="str">
        <f aca="false">IF(TRIM(F2524)="",IFERROR(INDEX(Map_Tables!$I$4:$I$37,MATCH(TRIM(E2524),Map_Tables!$G$4:$G$37,0)),""),IFERROR(INDEX(Map_Tables!$B$4:$B$18,MATCH(TRIM(F2524),Map_Tables!$A$4:$A$18,0)),"CHECK"))</f>
        <v>Pune</v>
      </c>
      <c r="AE2524" s="7" t="str">
        <f aca="false">IF(TRIM(E2524)="","",IFERROR(INDEX(Map_Tables!$H$4:$H$37,MATCH(TRIM(E2524),Map_Tables!$G$4:$G$37,0)),"CHECK"))</f>
        <v>Maratha Thali House</v>
      </c>
      <c r="AF2524" s="7" t="str">
        <f aca="false">IF(TRIM(K2524)="","Unknown",IFERROR(INDEX(Map_Tables!$E$4:$E$15,MATCH(TRIM(K2524),Map_Tables!$D$4:$D$15,0)),"CHECK"))</f>
        <v>Net Banking</v>
      </c>
      <c r="AG2524" s="7" t="str">
        <f aca="false">IF(LEFT(LOWER(TRIM(L2524)),6)="cancel","Cancelled","Delivered")</f>
        <v>Delivered</v>
      </c>
      <c r="AH2524" s="10" t="n">
        <f aca="false">IF(ISNUMBER(SEARCH("/",B2524)),DATE(VALUE(RIGHT(B2524,4)),VALUE(MID(B2524,4,2)),VALUE(LEFT(B2524,2))),IF(MID(B2524,5,1)="-",DATE(VALUE(LEFT(B2524,4)),VALUE(MID(B2524,6,2)),VALUE(RIGHT(B2524,2))),DATE(VALUE(RIGHT(B2524,4)),MATCH(MID(B2524,4,3),{"Jan","Feb","Mar","Apr","May","Jun","Jul","Aug","Sep","Oct","Nov","Dec"},0),VALUE(LEFT(B2524,2)))))</f>
        <v>45865</v>
      </c>
    </row>
    <row r="2525" customFormat="false" ht="15" hidden="false" customHeight="false" outlineLevel="0" collapsed="false">
      <c r="A2525" s="7" t="s">
        <v>5498</v>
      </c>
      <c r="B2525" s="7" t="s">
        <v>1823</v>
      </c>
      <c r="C2525" s="7" t="s">
        <v>2565</v>
      </c>
      <c r="D2525" s="7" t="s">
        <v>3129</v>
      </c>
      <c r="E2525" s="7" t="s">
        <v>144</v>
      </c>
      <c r="F2525" s="7" t="s">
        <v>119</v>
      </c>
      <c r="G2525" s="7" t="s">
        <v>99</v>
      </c>
      <c r="H2525" s="7" t="n">
        <v>3</v>
      </c>
      <c r="I2525" s="7" t="n">
        <v>330</v>
      </c>
      <c r="J2525" s="7" t="n">
        <v>20</v>
      </c>
      <c r="K2525" s="7" t="s">
        <v>88</v>
      </c>
      <c r="L2525" s="7" t="s">
        <v>194</v>
      </c>
      <c r="M2525" s="7" t="n">
        <v>29</v>
      </c>
      <c r="N2525" s="7" t="n">
        <v>3</v>
      </c>
      <c r="O2525" s="7" t="str">
        <f aca="false">A2525&amp;"|"&amp;B2525&amp;"|"&amp;C2525&amp;"|"&amp;D2525&amp;"|"&amp;E2525&amp;"|"&amp;F2525&amp;"|"&amp;G2525&amp;"|"&amp;H2525&amp;"|"&amp;I2525&amp;"|"&amp;J2525&amp;"|"&amp;K2525&amp;"|"&amp;L2525&amp;"|"&amp;M2525&amp;"|"&amp;N2525</f>
        <v>ORD10224|2025-01-30|22:24|C0793|Hyderabad Dum Biryani|Hyderabad|Biryani|3|330|20|UPI|Delivered|29|3</v>
      </c>
      <c r="P2525" s="7" t="str">
        <f aca="false">IF(COUNTIF($O$2:O2525,O2525)&gt;1,"DUP","OK")</f>
        <v>OK</v>
      </c>
      <c r="Q2525" s="7" t="n">
        <f aca="false">COUNTBLANK(A2525:N2525)</f>
        <v>0</v>
      </c>
      <c r="R2525" s="7" t="n">
        <f aca="false">IF(A2525="",0,COUNTIFS($A$2:$A$3058,A2525,$P$2:$P$3058,"OK"))</f>
        <v>1</v>
      </c>
      <c r="S2525" s="7" t="str">
        <f aca="false">IF(OR(A2525="",P2525="DUP",R2525&lt;2),"",IF(Q2525=_xlfn.MINIFS($Q$2:$Q$3058,$A$2:$A$3058,A2525,$P$2:$P$3058,"OK"),"KEEP","DROP"))</f>
        <v/>
      </c>
      <c r="T2525" s="9" t="n">
        <f aca="false">IF(A2525="",1,0)</f>
        <v>0</v>
      </c>
      <c r="U2525" s="9" t="n">
        <f aca="false">IF(D2525="",1,0)</f>
        <v>0</v>
      </c>
      <c r="V2525" s="9" t="n">
        <f aca="false">IF(E2525="",1,0)</f>
        <v>0</v>
      </c>
      <c r="W2525" s="9" t="n">
        <f aca="false">IF(OR(H2525&lt;1,H2525&gt;10),1,0)</f>
        <v>0</v>
      </c>
      <c r="X2525" s="9" t="n">
        <f aca="false">IF(OR(I2525&lt;=0,I2525&gt;1500),1,0)</f>
        <v>0</v>
      </c>
      <c r="Y2525" s="9" t="n">
        <f aca="false">IF(J2525&gt;H2525*I2525,1,0)</f>
        <v>0</v>
      </c>
      <c r="Z2525" s="9" t="n">
        <f aca="false">IF(AND(N2525&lt;&gt;"",OR(N2525&lt;1,N2525&gt;5)),1,0)</f>
        <v>0</v>
      </c>
      <c r="AA2525" s="9" t="n">
        <f aca="false">IF(AND(M2525&lt;&gt;"",OR(M2525&lt;5,M2525&gt;180)),1,0)</f>
        <v>0</v>
      </c>
      <c r="AB2525" s="7" t="str">
        <f aca="false">IF(P2525="DUP","Exact duplicate row",IF(T2525=1,"Missing Order ID",IF(S2525="DROP","Duplicate Order ID (less complete row)",IF(U2525=1,"Missing Customer ID",IF(V2525=1,"Missing Restaurant name",IF(W2525=1,"Invalid/outlier quantity",IF(X2525=1,"Invalid/outlier unit price",IF(Y2525=1,"Discount greater than order value",""))))))))</f>
        <v/>
      </c>
      <c r="AC2525" s="7" t="str">
        <f aca="false">IF(AB2525="","KEEP","DROP")</f>
        <v>KEEP</v>
      </c>
      <c r="AD2525" s="7" t="str">
        <f aca="false">IF(TRIM(F2525)="",IFERROR(INDEX(Map_Tables!$I$4:$I$37,MATCH(TRIM(E2525),Map_Tables!$G$4:$G$37,0)),""),IFERROR(INDEX(Map_Tables!$B$4:$B$18,MATCH(TRIM(F2525),Map_Tables!$A$4:$A$18,0)),"CHECK"))</f>
        <v>Hyderabad</v>
      </c>
      <c r="AE2525" s="7" t="str">
        <f aca="false">IF(TRIM(E2525)="","",IFERROR(INDEX(Map_Tables!$H$4:$H$37,MATCH(TRIM(E2525),Map_Tables!$G$4:$G$37,0)),"CHECK"))</f>
        <v>Hyderabad Dum Biryani</v>
      </c>
      <c r="AF2525" s="7" t="str">
        <f aca="false">IF(TRIM(K2525)="","Unknown",IFERROR(INDEX(Map_Tables!$E$4:$E$15,MATCH(TRIM(K2525),Map_Tables!$D$4:$D$15,0)),"CHECK"))</f>
        <v>UPI</v>
      </c>
      <c r="AG2525" s="7" t="str">
        <f aca="false">IF(LEFT(LOWER(TRIM(L2525)),6)="cancel","Cancelled","Delivered")</f>
        <v>Delivered</v>
      </c>
      <c r="AH2525" s="10" t="n">
        <f aca="false">IF(ISNUMBER(SEARCH("/",B2525)),DATE(VALUE(RIGHT(B2525,4)),VALUE(MID(B2525,4,2)),VALUE(LEFT(B2525,2))),IF(MID(B2525,5,1)="-",DATE(VALUE(LEFT(B2525,4)),VALUE(MID(B2525,6,2)),VALUE(RIGHT(B2525,2))),DATE(VALUE(RIGHT(B2525,4)),MATCH(MID(B2525,4,3),{"Jan","Feb","Mar","Apr","May","Jun","Jul","Aug","Sep","Oct","Nov","Dec"},0),VALUE(LEFT(B2525,2)))))</f>
        <v>45687</v>
      </c>
    </row>
    <row r="2526" customFormat="false" ht="15" hidden="false" customHeight="false" outlineLevel="0" collapsed="false">
      <c r="A2526" s="7" t="s">
        <v>5499</v>
      </c>
      <c r="B2526" s="7" t="s">
        <v>700</v>
      </c>
      <c r="C2526" s="7" t="s">
        <v>490</v>
      </c>
      <c r="D2526" s="7" t="s">
        <v>3998</v>
      </c>
      <c r="E2526" s="7" t="s">
        <v>148</v>
      </c>
      <c r="F2526" s="7" t="s">
        <v>119</v>
      </c>
      <c r="G2526" s="7" t="s">
        <v>123</v>
      </c>
      <c r="H2526" s="7" t="n">
        <v>1</v>
      </c>
      <c r="I2526" s="7" t="n">
        <v>330</v>
      </c>
      <c r="J2526" s="7" t="n">
        <v>132</v>
      </c>
      <c r="K2526" s="7" t="s">
        <v>112</v>
      </c>
      <c r="L2526" s="7" t="s">
        <v>194</v>
      </c>
      <c r="M2526" s="7" t="n">
        <v>26</v>
      </c>
      <c r="N2526" s="7" t="n">
        <v>5</v>
      </c>
      <c r="O2526" s="7" t="str">
        <f aca="false">A2526&amp;"|"&amp;B2526&amp;"|"&amp;C2526&amp;"|"&amp;D2526&amp;"|"&amp;E2526&amp;"|"&amp;F2526&amp;"|"&amp;G2526&amp;"|"&amp;H2526&amp;"|"&amp;I2526&amp;"|"&amp;J2526&amp;"|"&amp;K2526&amp;"|"&amp;L2526&amp;"|"&amp;M2526&amp;"|"&amp;N2526</f>
        <v>ORD10767|2025-04-07|19:03|C0398|Pizza Palace|Hyderabad|Pizza|1|330|132|Cash on Delivery|Delivered|26|5</v>
      </c>
      <c r="P2526" s="7" t="str">
        <f aca="false">IF(COUNTIF($O$2:O2526,O2526)&gt;1,"DUP","OK")</f>
        <v>OK</v>
      </c>
      <c r="Q2526" s="7" t="n">
        <f aca="false">COUNTBLANK(A2526:N2526)</f>
        <v>0</v>
      </c>
      <c r="R2526" s="7" t="n">
        <f aca="false">IF(A2526="",0,COUNTIFS($A$2:$A$3058,A2526,$P$2:$P$3058,"OK"))</f>
        <v>1</v>
      </c>
      <c r="S2526" s="7" t="str">
        <f aca="false">IF(OR(A2526="",P2526="DUP",R2526&lt;2),"",IF(Q2526=_xlfn.MINIFS($Q$2:$Q$3058,$A$2:$A$3058,A2526,$P$2:$P$3058,"OK"),"KEEP","DROP"))</f>
        <v/>
      </c>
      <c r="T2526" s="9" t="n">
        <f aca="false">IF(A2526="",1,0)</f>
        <v>0</v>
      </c>
      <c r="U2526" s="9" t="n">
        <f aca="false">IF(D2526="",1,0)</f>
        <v>0</v>
      </c>
      <c r="V2526" s="9" t="n">
        <f aca="false">IF(E2526="",1,0)</f>
        <v>0</v>
      </c>
      <c r="W2526" s="9" t="n">
        <f aca="false">IF(OR(H2526&lt;1,H2526&gt;10),1,0)</f>
        <v>0</v>
      </c>
      <c r="X2526" s="9" t="n">
        <f aca="false">IF(OR(I2526&lt;=0,I2526&gt;1500),1,0)</f>
        <v>0</v>
      </c>
      <c r="Y2526" s="9" t="n">
        <f aca="false">IF(J2526&gt;H2526*I2526,1,0)</f>
        <v>0</v>
      </c>
      <c r="Z2526" s="9" t="n">
        <f aca="false">IF(AND(N2526&lt;&gt;"",OR(N2526&lt;1,N2526&gt;5)),1,0)</f>
        <v>0</v>
      </c>
      <c r="AA2526" s="9" t="n">
        <f aca="false">IF(AND(M2526&lt;&gt;"",OR(M2526&lt;5,M2526&gt;180)),1,0)</f>
        <v>0</v>
      </c>
      <c r="AB2526" s="7" t="str">
        <f aca="false">IF(P2526="DUP","Exact duplicate row",IF(T2526=1,"Missing Order ID",IF(S2526="DROP","Duplicate Order ID (less complete row)",IF(U2526=1,"Missing Customer ID",IF(V2526=1,"Missing Restaurant name",IF(W2526=1,"Invalid/outlier quantity",IF(X2526=1,"Invalid/outlier unit price",IF(Y2526=1,"Discount greater than order value",""))))))))</f>
        <v/>
      </c>
      <c r="AC2526" s="7" t="str">
        <f aca="false">IF(AB2526="","KEEP","DROP")</f>
        <v>KEEP</v>
      </c>
      <c r="AD2526" s="7" t="str">
        <f aca="false">IF(TRIM(F2526)="",IFERROR(INDEX(Map_Tables!$I$4:$I$37,MATCH(TRIM(E2526),Map_Tables!$G$4:$G$37,0)),""),IFERROR(INDEX(Map_Tables!$B$4:$B$18,MATCH(TRIM(F2526),Map_Tables!$A$4:$A$18,0)),"CHECK"))</f>
        <v>Hyderabad</v>
      </c>
      <c r="AE2526" s="7" t="str">
        <f aca="false">IF(TRIM(E2526)="","",IFERROR(INDEX(Map_Tables!$H$4:$H$37,MATCH(TRIM(E2526),Map_Tables!$G$4:$G$37,0)),"CHECK"))</f>
        <v>Pizza Palace</v>
      </c>
      <c r="AF2526" s="7" t="str">
        <f aca="false">IF(TRIM(K2526)="","Unknown",IFERROR(INDEX(Map_Tables!$E$4:$E$15,MATCH(TRIM(K2526),Map_Tables!$D$4:$D$15,0)),"CHECK"))</f>
        <v>Cash on Delivery</v>
      </c>
      <c r="AG2526" s="7" t="str">
        <f aca="false">IF(LEFT(LOWER(TRIM(L2526)),6)="cancel","Cancelled","Delivered")</f>
        <v>Delivered</v>
      </c>
      <c r="AH2526" s="10" t="n">
        <f aca="false">IF(ISNUMBER(SEARCH("/",B2526)),DATE(VALUE(RIGHT(B2526,4)),VALUE(MID(B2526,4,2)),VALUE(LEFT(B2526,2))),IF(MID(B2526,5,1)="-",DATE(VALUE(LEFT(B2526,4)),VALUE(MID(B2526,6,2)),VALUE(RIGHT(B2526,2))),DATE(VALUE(RIGHT(B2526,4)),MATCH(MID(B2526,4,3),{"Jan","Feb","Mar","Apr","May","Jun","Jul","Aug","Sep","Oct","Nov","Dec"},0),VALUE(LEFT(B2526,2)))))</f>
        <v>45754</v>
      </c>
    </row>
    <row r="2527" customFormat="false" ht="15" hidden="false" customHeight="false" outlineLevel="0" collapsed="false">
      <c r="A2527" s="7" t="s">
        <v>5500</v>
      </c>
      <c r="B2527" s="7" t="s">
        <v>723</v>
      </c>
      <c r="C2527" s="7" t="s">
        <v>1704</v>
      </c>
      <c r="D2527" s="7" t="s">
        <v>1405</v>
      </c>
      <c r="E2527" s="7" t="s">
        <v>104</v>
      </c>
      <c r="F2527" s="7" t="s">
        <v>86</v>
      </c>
      <c r="G2527" s="7" t="s">
        <v>105</v>
      </c>
      <c r="H2527" s="7" t="n">
        <v>3</v>
      </c>
      <c r="I2527" s="7" t="n">
        <v>245</v>
      </c>
      <c r="J2527" s="7" t="n">
        <v>0</v>
      </c>
      <c r="K2527" s="7" t="s">
        <v>93</v>
      </c>
      <c r="L2527" s="7" t="s">
        <v>194</v>
      </c>
      <c r="M2527" s="7" t="n">
        <v>37</v>
      </c>
      <c r="N2527" s="7" t="n">
        <v>4</v>
      </c>
      <c r="O2527" s="7" t="str">
        <f aca="false">A2527&amp;"|"&amp;B2527&amp;"|"&amp;C2527&amp;"|"&amp;D2527&amp;"|"&amp;E2527&amp;"|"&amp;F2527&amp;"|"&amp;G2527&amp;"|"&amp;H2527&amp;"|"&amp;I2527&amp;"|"&amp;J2527&amp;"|"&amp;K2527&amp;"|"&amp;L2527&amp;"|"&amp;M2527&amp;"|"&amp;N2527</f>
        <v>ORD10614|2025-03-18|20:01|C0621|Wok &amp; Roll|Bengaluru|Chinese|3|245|0|Credit Card|Delivered|37|4</v>
      </c>
      <c r="P2527" s="7" t="str">
        <f aca="false">IF(COUNTIF($O$2:O2527,O2527)&gt;1,"DUP","OK")</f>
        <v>OK</v>
      </c>
      <c r="Q2527" s="7" t="n">
        <f aca="false">COUNTBLANK(A2527:N2527)</f>
        <v>0</v>
      </c>
      <c r="R2527" s="7" t="n">
        <f aca="false">IF(A2527="",0,COUNTIFS($A$2:$A$3058,A2527,$P$2:$P$3058,"OK"))</f>
        <v>1</v>
      </c>
      <c r="S2527" s="7" t="str">
        <f aca="false">IF(OR(A2527="",P2527="DUP",R2527&lt;2),"",IF(Q2527=_xlfn.MINIFS($Q$2:$Q$3058,$A$2:$A$3058,A2527,$P$2:$P$3058,"OK"),"KEEP","DROP"))</f>
        <v/>
      </c>
      <c r="T2527" s="9" t="n">
        <f aca="false">IF(A2527="",1,0)</f>
        <v>0</v>
      </c>
      <c r="U2527" s="9" t="n">
        <f aca="false">IF(D2527="",1,0)</f>
        <v>0</v>
      </c>
      <c r="V2527" s="9" t="n">
        <f aca="false">IF(E2527="",1,0)</f>
        <v>0</v>
      </c>
      <c r="W2527" s="9" t="n">
        <f aca="false">IF(OR(H2527&lt;1,H2527&gt;10),1,0)</f>
        <v>0</v>
      </c>
      <c r="X2527" s="9" t="n">
        <f aca="false">IF(OR(I2527&lt;=0,I2527&gt;1500),1,0)</f>
        <v>0</v>
      </c>
      <c r="Y2527" s="9" t="n">
        <f aca="false">IF(J2527&gt;H2527*I2527,1,0)</f>
        <v>0</v>
      </c>
      <c r="Z2527" s="9" t="n">
        <f aca="false">IF(AND(N2527&lt;&gt;"",OR(N2527&lt;1,N2527&gt;5)),1,0)</f>
        <v>0</v>
      </c>
      <c r="AA2527" s="9" t="n">
        <f aca="false">IF(AND(M2527&lt;&gt;"",OR(M2527&lt;5,M2527&gt;180)),1,0)</f>
        <v>0</v>
      </c>
      <c r="AB2527" s="7" t="str">
        <f aca="false">IF(P2527="DUP","Exact duplicate row",IF(T2527=1,"Missing Order ID",IF(S2527="DROP","Duplicate Order ID (less complete row)",IF(U2527=1,"Missing Customer ID",IF(V2527=1,"Missing Restaurant name",IF(W2527=1,"Invalid/outlier quantity",IF(X2527=1,"Invalid/outlier unit price",IF(Y2527=1,"Discount greater than order value",""))))))))</f>
        <v/>
      </c>
      <c r="AC2527" s="7" t="str">
        <f aca="false">IF(AB2527="","KEEP","DROP")</f>
        <v>KEEP</v>
      </c>
      <c r="AD2527" s="7" t="str">
        <f aca="false">IF(TRIM(F2527)="",IFERROR(INDEX(Map_Tables!$I$4:$I$37,MATCH(TRIM(E2527),Map_Tables!$G$4:$G$37,0)),""),IFERROR(INDEX(Map_Tables!$B$4:$B$18,MATCH(TRIM(F2527),Map_Tables!$A$4:$A$18,0)),"CHECK"))</f>
        <v>Bengaluru</v>
      </c>
      <c r="AE2527" s="7" t="str">
        <f aca="false">IF(TRIM(E2527)="","",IFERROR(INDEX(Map_Tables!$H$4:$H$37,MATCH(TRIM(E2527),Map_Tables!$G$4:$G$37,0)),"CHECK"))</f>
        <v>Wok &amp; Roll</v>
      </c>
      <c r="AF2527" s="7" t="str">
        <f aca="false">IF(TRIM(K2527)="","Unknown",IFERROR(INDEX(Map_Tables!$E$4:$E$15,MATCH(TRIM(K2527),Map_Tables!$D$4:$D$15,0)),"CHECK"))</f>
        <v>Credit Card</v>
      </c>
      <c r="AG2527" s="7" t="str">
        <f aca="false">IF(LEFT(LOWER(TRIM(L2527)),6)="cancel","Cancelled","Delivered")</f>
        <v>Delivered</v>
      </c>
      <c r="AH2527" s="10" t="n">
        <f aca="false">IF(ISNUMBER(SEARCH("/",B2527)),DATE(VALUE(RIGHT(B2527,4)),VALUE(MID(B2527,4,2)),VALUE(LEFT(B2527,2))),IF(MID(B2527,5,1)="-",DATE(VALUE(LEFT(B2527,4)),VALUE(MID(B2527,6,2)),VALUE(RIGHT(B2527,2))),DATE(VALUE(RIGHT(B2527,4)),MATCH(MID(B2527,4,3),{"Jan","Feb","Mar","Apr","May","Jun","Jul","Aug","Sep","Oct","Nov","Dec"},0),VALUE(LEFT(B2527,2)))))</f>
        <v>45734</v>
      </c>
    </row>
    <row r="2528" customFormat="false" ht="15" hidden="false" customHeight="false" outlineLevel="0" collapsed="false">
      <c r="A2528" s="7" t="s">
        <v>5501</v>
      </c>
      <c r="B2528" s="7" t="s">
        <v>2492</v>
      </c>
      <c r="C2528" s="7" t="s">
        <v>4156</v>
      </c>
      <c r="D2528" s="7" t="s">
        <v>1536</v>
      </c>
      <c r="E2528" s="7" t="s">
        <v>2752</v>
      </c>
      <c r="F2528" s="7" t="s">
        <v>110</v>
      </c>
      <c r="G2528" s="7" t="s">
        <v>90</v>
      </c>
      <c r="H2528" s="7" t="n">
        <v>3</v>
      </c>
      <c r="I2528" s="7" t="n">
        <v>265</v>
      </c>
      <c r="J2528" s="7" t="n">
        <v>0</v>
      </c>
      <c r="K2528" s="7" t="s">
        <v>121</v>
      </c>
      <c r="L2528" s="7" t="s">
        <v>194</v>
      </c>
      <c r="M2528" s="7" t="n">
        <v>46</v>
      </c>
      <c r="N2528" s="7" t="n">
        <v>3</v>
      </c>
      <c r="O2528" s="7" t="str">
        <f aca="false">A2528&amp;"|"&amp;B2528&amp;"|"&amp;C2528&amp;"|"&amp;D2528&amp;"|"&amp;E2528&amp;"|"&amp;F2528&amp;"|"&amp;G2528&amp;"|"&amp;H2528&amp;"|"&amp;I2528&amp;"|"&amp;J2528&amp;"|"&amp;K2528&amp;"|"&amp;L2528&amp;"|"&amp;M2528&amp;"|"&amp;N2528</f>
        <v>ORD11246|2025-06-08|12:19|C1132|Tandoor Tales |Delhi|North Indian|3|265|0|Wallet|Delivered|46|3</v>
      </c>
      <c r="P2528" s="7" t="str">
        <f aca="false">IF(COUNTIF($O$2:O2528,O2528)&gt;1,"DUP","OK")</f>
        <v>OK</v>
      </c>
      <c r="Q2528" s="7" t="n">
        <f aca="false">COUNTBLANK(A2528:N2528)</f>
        <v>0</v>
      </c>
      <c r="R2528" s="7" t="n">
        <f aca="false">IF(A2528="",0,COUNTIFS($A$2:$A$3058,A2528,$P$2:$P$3058,"OK"))</f>
        <v>1</v>
      </c>
      <c r="S2528" s="7" t="str">
        <f aca="false">IF(OR(A2528="",P2528="DUP",R2528&lt;2),"",IF(Q2528=_xlfn.MINIFS($Q$2:$Q$3058,$A$2:$A$3058,A2528,$P$2:$P$3058,"OK"),"KEEP","DROP"))</f>
        <v/>
      </c>
      <c r="T2528" s="9" t="n">
        <f aca="false">IF(A2528="",1,0)</f>
        <v>0</v>
      </c>
      <c r="U2528" s="9" t="n">
        <f aca="false">IF(D2528="",1,0)</f>
        <v>0</v>
      </c>
      <c r="V2528" s="9" t="n">
        <f aca="false">IF(E2528="",1,0)</f>
        <v>0</v>
      </c>
      <c r="W2528" s="9" t="n">
        <f aca="false">IF(OR(H2528&lt;1,H2528&gt;10),1,0)</f>
        <v>0</v>
      </c>
      <c r="X2528" s="9" t="n">
        <f aca="false">IF(OR(I2528&lt;=0,I2528&gt;1500),1,0)</f>
        <v>0</v>
      </c>
      <c r="Y2528" s="9" t="n">
        <f aca="false">IF(J2528&gt;H2528*I2528,1,0)</f>
        <v>0</v>
      </c>
      <c r="Z2528" s="9" t="n">
        <f aca="false">IF(AND(N2528&lt;&gt;"",OR(N2528&lt;1,N2528&gt;5)),1,0)</f>
        <v>0</v>
      </c>
      <c r="AA2528" s="9" t="n">
        <f aca="false">IF(AND(M2528&lt;&gt;"",OR(M2528&lt;5,M2528&gt;180)),1,0)</f>
        <v>0</v>
      </c>
      <c r="AB2528" s="7" t="str">
        <f aca="false">IF(P2528="DUP","Exact duplicate row",IF(T2528=1,"Missing Order ID",IF(S2528="DROP","Duplicate Order ID (less complete row)",IF(U2528=1,"Missing Customer ID",IF(V2528=1,"Missing Restaurant name",IF(W2528=1,"Invalid/outlier quantity",IF(X2528=1,"Invalid/outlier unit price",IF(Y2528=1,"Discount greater than order value",""))))))))</f>
        <v/>
      </c>
      <c r="AC2528" s="7" t="str">
        <f aca="false">IF(AB2528="","KEEP","DROP")</f>
        <v>KEEP</v>
      </c>
      <c r="AD2528" s="7" t="str">
        <f aca="false">IF(TRIM(F2528)="",IFERROR(INDEX(Map_Tables!$I$4:$I$37,MATCH(TRIM(E2528),Map_Tables!$G$4:$G$37,0)),""),IFERROR(INDEX(Map_Tables!$B$4:$B$18,MATCH(TRIM(F2528),Map_Tables!$A$4:$A$18,0)),"CHECK"))</f>
        <v>Delhi</v>
      </c>
      <c r="AE2528" s="7" t="str">
        <f aca="false">IF(TRIM(E2528)="","",IFERROR(INDEX(Map_Tables!$H$4:$H$37,MATCH(TRIM(E2528),Map_Tables!$G$4:$G$37,0)),"CHECK"))</f>
        <v>Tandoor Tales</v>
      </c>
      <c r="AF2528" s="7" t="str">
        <f aca="false">IF(TRIM(K2528)="","Unknown",IFERROR(INDEX(Map_Tables!$E$4:$E$15,MATCH(TRIM(K2528),Map_Tables!$D$4:$D$15,0)),"CHECK"))</f>
        <v>Wallet</v>
      </c>
      <c r="AG2528" s="7" t="str">
        <f aca="false">IF(LEFT(LOWER(TRIM(L2528)),6)="cancel","Cancelled","Delivered")</f>
        <v>Delivered</v>
      </c>
      <c r="AH2528" s="10" t="n">
        <f aca="false">IF(ISNUMBER(SEARCH("/",B2528)),DATE(VALUE(RIGHT(B2528,4)),VALUE(MID(B2528,4,2)),VALUE(LEFT(B2528,2))),IF(MID(B2528,5,1)="-",DATE(VALUE(LEFT(B2528,4)),VALUE(MID(B2528,6,2)),VALUE(RIGHT(B2528,2))),DATE(VALUE(RIGHT(B2528,4)),MATCH(MID(B2528,4,3),{"Jan","Feb","Mar","Apr","May","Jun","Jul","Aug","Sep","Oct","Nov","Dec"},0),VALUE(LEFT(B2528,2)))))</f>
        <v>45816</v>
      </c>
    </row>
    <row r="2529" customFormat="false" ht="15" hidden="false" customHeight="false" outlineLevel="0" collapsed="false">
      <c r="A2529" s="7" t="s">
        <v>5502</v>
      </c>
      <c r="B2529" s="7" t="s">
        <v>459</v>
      </c>
      <c r="C2529" s="7" t="s">
        <v>907</v>
      </c>
      <c r="D2529" s="7" t="s">
        <v>740</v>
      </c>
      <c r="E2529" s="7" t="s">
        <v>126</v>
      </c>
      <c r="F2529" s="7" t="s">
        <v>101</v>
      </c>
      <c r="G2529" s="7" t="s">
        <v>105</v>
      </c>
      <c r="H2529" s="7" t="n">
        <v>60</v>
      </c>
      <c r="I2529" s="7" t="n">
        <v>205</v>
      </c>
      <c r="J2529" s="7" t="n">
        <v>82</v>
      </c>
      <c r="K2529" s="7" t="s">
        <v>121</v>
      </c>
      <c r="L2529" s="7" t="s">
        <v>238</v>
      </c>
      <c r="M2529" s="7"/>
      <c r="N2529" s="7"/>
      <c r="O2529" s="7" t="str">
        <f aca="false">A2529&amp;"|"&amp;B2529&amp;"|"&amp;C2529&amp;"|"&amp;D2529&amp;"|"&amp;E2529&amp;"|"&amp;F2529&amp;"|"&amp;G2529&amp;"|"&amp;H2529&amp;"|"&amp;I2529&amp;"|"&amp;J2529&amp;"|"&amp;K2529&amp;"|"&amp;L2529&amp;"|"&amp;M2529&amp;"|"&amp;N2529</f>
        <v>ORD11541|2025-07-20|11:47|C1277|Dragon Express|Mumbai|Chinese|60|205|82|Wallet|Cancelled||</v>
      </c>
      <c r="P2529" s="7" t="str">
        <f aca="false">IF(COUNTIF($O$2:O2529,O2529)&gt;1,"DUP","OK")</f>
        <v>OK</v>
      </c>
      <c r="Q2529" s="7" t="n">
        <f aca="false">COUNTBLANK(A2529:N2529)</f>
        <v>2</v>
      </c>
      <c r="R2529" s="7" t="n">
        <f aca="false">IF(A2529="",0,COUNTIFS($A$2:$A$3058,A2529,$P$2:$P$3058,"OK"))</f>
        <v>1</v>
      </c>
      <c r="S2529" s="7" t="str">
        <f aca="false">IF(OR(A2529="",P2529="DUP",R2529&lt;2),"",IF(Q2529=_xlfn.MINIFS($Q$2:$Q$3058,$A$2:$A$3058,A2529,$P$2:$P$3058,"OK"),"KEEP","DROP"))</f>
        <v/>
      </c>
      <c r="T2529" s="9" t="n">
        <f aca="false">IF(A2529="",1,0)</f>
        <v>0</v>
      </c>
      <c r="U2529" s="9" t="n">
        <f aca="false">IF(D2529="",1,0)</f>
        <v>0</v>
      </c>
      <c r="V2529" s="9" t="n">
        <f aca="false">IF(E2529="",1,0)</f>
        <v>0</v>
      </c>
      <c r="W2529" s="9" t="n">
        <f aca="false">IF(OR(H2529&lt;1,H2529&gt;10),1,0)</f>
        <v>1</v>
      </c>
      <c r="X2529" s="9" t="n">
        <f aca="false">IF(OR(I2529&lt;=0,I2529&gt;1500),1,0)</f>
        <v>0</v>
      </c>
      <c r="Y2529" s="9" t="n">
        <f aca="false">IF(J2529&gt;H2529*I2529,1,0)</f>
        <v>0</v>
      </c>
      <c r="Z2529" s="9" t="n">
        <f aca="false">IF(AND(N2529&lt;&gt;"",OR(N2529&lt;1,N2529&gt;5)),1,0)</f>
        <v>0</v>
      </c>
      <c r="AA2529" s="9" t="n">
        <f aca="false">IF(AND(M2529&lt;&gt;"",OR(M2529&lt;5,M2529&gt;180)),1,0)</f>
        <v>0</v>
      </c>
      <c r="AB2529" s="7" t="str">
        <f aca="false">IF(P2529="DUP","Exact duplicate row",IF(T2529=1,"Missing Order ID",IF(S2529="DROP","Duplicate Order ID (less complete row)",IF(U2529=1,"Missing Customer ID",IF(V2529=1,"Missing Restaurant name",IF(W2529=1,"Invalid/outlier quantity",IF(X2529=1,"Invalid/outlier unit price",IF(Y2529=1,"Discount greater than order value",""))))))))</f>
        <v>Invalid/outlier quantity</v>
      </c>
      <c r="AC2529" s="7" t="str">
        <f aca="false">IF(AB2529="","KEEP","DROP")</f>
        <v>DROP</v>
      </c>
      <c r="AD2529" s="7" t="str">
        <f aca="false">IF(TRIM(F2529)="",IFERROR(INDEX(Map_Tables!$I$4:$I$37,MATCH(TRIM(E2529),Map_Tables!$G$4:$G$37,0)),""),IFERROR(INDEX(Map_Tables!$B$4:$B$18,MATCH(TRIM(F2529),Map_Tables!$A$4:$A$18,0)),"CHECK"))</f>
        <v>Mumbai</v>
      </c>
      <c r="AE2529" s="7" t="str">
        <f aca="false">IF(TRIM(E2529)="","",IFERROR(INDEX(Map_Tables!$H$4:$H$37,MATCH(TRIM(E2529),Map_Tables!$G$4:$G$37,0)),"CHECK"))</f>
        <v>Dragon Express</v>
      </c>
      <c r="AF2529" s="7" t="str">
        <f aca="false">IF(TRIM(K2529)="","Unknown",IFERROR(INDEX(Map_Tables!$E$4:$E$15,MATCH(TRIM(K2529),Map_Tables!$D$4:$D$15,0)),"CHECK"))</f>
        <v>Wallet</v>
      </c>
      <c r="AG2529" s="7" t="str">
        <f aca="false">IF(LEFT(LOWER(TRIM(L2529)),6)="cancel","Cancelled","Delivered")</f>
        <v>Cancelled</v>
      </c>
      <c r="AH2529" s="10" t="n">
        <f aca="false">IF(ISNUMBER(SEARCH("/",B2529)),DATE(VALUE(RIGHT(B2529,4)),VALUE(MID(B2529,4,2)),VALUE(LEFT(B2529,2))),IF(MID(B2529,5,1)="-",DATE(VALUE(LEFT(B2529,4)),VALUE(MID(B2529,6,2)),VALUE(RIGHT(B2529,2))),DATE(VALUE(RIGHT(B2529,4)),MATCH(MID(B2529,4,3),{"Jan","Feb","Mar","Apr","May","Jun","Jul","Aug","Sep","Oct","Nov","Dec"},0),VALUE(LEFT(B2529,2)))))</f>
        <v>45858</v>
      </c>
    </row>
    <row r="2530" customFormat="false" ht="15" hidden="false" customHeight="false" outlineLevel="0" collapsed="false">
      <c r="A2530" s="7" t="s">
        <v>5503</v>
      </c>
      <c r="B2530" s="7" t="s">
        <v>1907</v>
      </c>
      <c r="C2530" s="7" t="s">
        <v>519</v>
      </c>
      <c r="D2530" s="7" t="s">
        <v>5117</v>
      </c>
      <c r="E2530" s="7" t="s">
        <v>164</v>
      </c>
      <c r="F2530" s="7" t="s">
        <v>141</v>
      </c>
      <c r="G2530" s="7" t="s">
        <v>150</v>
      </c>
      <c r="H2530" s="7" t="n">
        <v>1</v>
      </c>
      <c r="I2530" s="7" t="n">
        <v>140</v>
      </c>
      <c r="J2530" s="7" t="n">
        <v>40</v>
      </c>
      <c r="K2530" s="7" t="s">
        <v>103</v>
      </c>
      <c r="L2530" s="7" t="s">
        <v>194</v>
      </c>
      <c r="M2530" s="7"/>
      <c r="N2530" s="7"/>
      <c r="O2530" s="7" t="str">
        <f aca="false">A2530&amp;"|"&amp;B2530&amp;"|"&amp;C2530&amp;"|"&amp;D2530&amp;"|"&amp;E2530&amp;"|"&amp;F2530&amp;"|"&amp;G2530&amp;"|"&amp;H2530&amp;"|"&amp;I2530&amp;"|"&amp;J2530&amp;"|"&amp;K2530&amp;"|"&amp;L2530&amp;"|"&amp;M2530&amp;"|"&amp;N2530</f>
        <v>ORD10053|2025-01-08|19:06|C1429|Mishti Mandir|Kolkata|Desserts|1|140|40|Debit Card|Delivered||</v>
      </c>
      <c r="P2530" s="7" t="str">
        <f aca="false">IF(COUNTIF($O$2:O2530,O2530)&gt;1,"DUP","OK")</f>
        <v>OK</v>
      </c>
      <c r="Q2530" s="7" t="n">
        <f aca="false">COUNTBLANK(A2530:N2530)</f>
        <v>2</v>
      </c>
      <c r="R2530" s="7" t="n">
        <f aca="false">IF(A2530="",0,COUNTIFS($A$2:$A$3058,A2530,$P$2:$P$3058,"OK"))</f>
        <v>1</v>
      </c>
      <c r="S2530" s="7" t="str">
        <f aca="false">IF(OR(A2530="",P2530="DUP",R2530&lt;2),"",IF(Q2530=_xlfn.MINIFS($Q$2:$Q$3058,$A$2:$A$3058,A2530,$P$2:$P$3058,"OK"),"KEEP","DROP"))</f>
        <v/>
      </c>
      <c r="T2530" s="9" t="n">
        <f aca="false">IF(A2530="",1,0)</f>
        <v>0</v>
      </c>
      <c r="U2530" s="9" t="n">
        <f aca="false">IF(D2530="",1,0)</f>
        <v>0</v>
      </c>
      <c r="V2530" s="9" t="n">
        <f aca="false">IF(E2530="",1,0)</f>
        <v>0</v>
      </c>
      <c r="W2530" s="9" t="n">
        <f aca="false">IF(OR(H2530&lt;1,H2530&gt;10),1,0)</f>
        <v>0</v>
      </c>
      <c r="X2530" s="9" t="n">
        <f aca="false">IF(OR(I2530&lt;=0,I2530&gt;1500),1,0)</f>
        <v>0</v>
      </c>
      <c r="Y2530" s="9" t="n">
        <f aca="false">IF(J2530&gt;H2530*I2530,1,0)</f>
        <v>0</v>
      </c>
      <c r="Z2530" s="9" t="n">
        <f aca="false">IF(AND(N2530&lt;&gt;"",OR(N2530&lt;1,N2530&gt;5)),1,0)</f>
        <v>0</v>
      </c>
      <c r="AA2530" s="9" t="n">
        <f aca="false">IF(AND(M2530&lt;&gt;"",OR(M2530&lt;5,M2530&gt;180)),1,0)</f>
        <v>0</v>
      </c>
      <c r="AB2530" s="7" t="str">
        <f aca="false">IF(P2530="DUP","Exact duplicate row",IF(T2530=1,"Missing Order ID",IF(S2530="DROP","Duplicate Order ID (less complete row)",IF(U2530=1,"Missing Customer ID",IF(V2530=1,"Missing Restaurant name",IF(W2530=1,"Invalid/outlier quantity",IF(X2530=1,"Invalid/outlier unit price",IF(Y2530=1,"Discount greater than order value",""))))))))</f>
        <v/>
      </c>
      <c r="AC2530" s="7" t="str">
        <f aca="false">IF(AB2530="","KEEP","DROP")</f>
        <v>KEEP</v>
      </c>
      <c r="AD2530" s="7" t="str">
        <f aca="false">IF(TRIM(F2530)="",IFERROR(INDEX(Map_Tables!$I$4:$I$37,MATCH(TRIM(E2530),Map_Tables!$G$4:$G$37,0)),""),IFERROR(INDEX(Map_Tables!$B$4:$B$18,MATCH(TRIM(F2530),Map_Tables!$A$4:$A$18,0)),"CHECK"))</f>
        <v>Kolkata</v>
      </c>
      <c r="AE2530" s="7" t="str">
        <f aca="false">IF(TRIM(E2530)="","",IFERROR(INDEX(Map_Tables!$H$4:$H$37,MATCH(TRIM(E2530),Map_Tables!$G$4:$G$37,0)),"CHECK"))</f>
        <v>Mishti Mandir</v>
      </c>
      <c r="AF2530" s="7" t="str">
        <f aca="false">IF(TRIM(K2530)="","Unknown",IFERROR(INDEX(Map_Tables!$E$4:$E$15,MATCH(TRIM(K2530),Map_Tables!$D$4:$D$15,0)),"CHECK"))</f>
        <v>Debit Card</v>
      </c>
      <c r="AG2530" s="7" t="str">
        <f aca="false">IF(LEFT(LOWER(TRIM(L2530)),6)="cancel","Cancelled","Delivered")</f>
        <v>Delivered</v>
      </c>
      <c r="AH2530" s="10" t="n">
        <f aca="false">IF(ISNUMBER(SEARCH("/",B2530)),DATE(VALUE(RIGHT(B2530,4)),VALUE(MID(B2530,4,2)),VALUE(LEFT(B2530,2))),IF(MID(B2530,5,1)="-",DATE(VALUE(LEFT(B2530,4)),VALUE(MID(B2530,6,2)),VALUE(RIGHT(B2530,2))),DATE(VALUE(RIGHT(B2530,4)),MATCH(MID(B2530,4,3),{"Jan","Feb","Mar","Apr","May","Jun","Jul","Aug","Sep","Oct","Nov","Dec"},0),VALUE(LEFT(B2530,2)))))</f>
        <v>45665</v>
      </c>
    </row>
    <row r="2531" customFormat="false" ht="15" hidden="false" customHeight="false" outlineLevel="0" collapsed="false">
      <c r="A2531" s="7" t="s">
        <v>5504</v>
      </c>
      <c r="B2531" s="7" t="s">
        <v>1575</v>
      </c>
      <c r="C2531" s="7" t="s">
        <v>3080</v>
      </c>
      <c r="D2531" s="7" t="s">
        <v>1685</v>
      </c>
      <c r="E2531" s="7" t="s">
        <v>94</v>
      </c>
      <c r="F2531" s="7" t="s">
        <v>86</v>
      </c>
      <c r="G2531" s="7" t="s">
        <v>95</v>
      </c>
      <c r="H2531" s="7" t="n">
        <v>1</v>
      </c>
      <c r="I2531" s="7" t="n">
        <v>100</v>
      </c>
      <c r="J2531" s="7" t="n">
        <v>0</v>
      </c>
      <c r="K2531" s="7" t="s">
        <v>112</v>
      </c>
      <c r="L2531" s="7" t="s">
        <v>238</v>
      </c>
      <c r="M2531" s="7"/>
      <c r="N2531" s="7"/>
      <c r="O2531" s="7" t="str">
        <f aca="false">A2531&amp;"|"&amp;B2531&amp;"|"&amp;C2531&amp;"|"&amp;D2531&amp;"|"&amp;E2531&amp;"|"&amp;F2531&amp;"|"&amp;G2531&amp;"|"&amp;H2531&amp;"|"&amp;I2531&amp;"|"&amp;J2531&amp;"|"&amp;K2531&amp;"|"&amp;L2531&amp;"|"&amp;M2531&amp;"|"&amp;N2531</f>
        <v>ORD10530|09/03/2025|23:51|C1253|Dosa Darbar|Bengaluru|South Indian|1|100|0|Cash on Delivery|Cancelled||</v>
      </c>
      <c r="P2531" s="7" t="str">
        <f aca="false">IF(COUNTIF($O$2:O2531,O2531)&gt;1,"DUP","OK")</f>
        <v>OK</v>
      </c>
      <c r="Q2531" s="7" t="n">
        <f aca="false">COUNTBLANK(A2531:N2531)</f>
        <v>2</v>
      </c>
      <c r="R2531" s="7" t="n">
        <f aca="false">IF(A2531="",0,COUNTIFS($A$2:$A$3058,A2531,$P$2:$P$3058,"OK"))</f>
        <v>1</v>
      </c>
      <c r="S2531" s="7" t="str">
        <f aca="false">IF(OR(A2531="",P2531="DUP",R2531&lt;2),"",IF(Q2531=_xlfn.MINIFS($Q$2:$Q$3058,$A$2:$A$3058,A2531,$P$2:$P$3058,"OK"),"KEEP","DROP"))</f>
        <v/>
      </c>
      <c r="T2531" s="9" t="n">
        <f aca="false">IF(A2531="",1,0)</f>
        <v>0</v>
      </c>
      <c r="U2531" s="9" t="n">
        <f aca="false">IF(D2531="",1,0)</f>
        <v>0</v>
      </c>
      <c r="V2531" s="9" t="n">
        <f aca="false">IF(E2531="",1,0)</f>
        <v>0</v>
      </c>
      <c r="W2531" s="9" t="n">
        <f aca="false">IF(OR(H2531&lt;1,H2531&gt;10),1,0)</f>
        <v>0</v>
      </c>
      <c r="X2531" s="9" t="n">
        <f aca="false">IF(OR(I2531&lt;=0,I2531&gt;1500),1,0)</f>
        <v>0</v>
      </c>
      <c r="Y2531" s="9" t="n">
        <f aca="false">IF(J2531&gt;H2531*I2531,1,0)</f>
        <v>0</v>
      </c>
      <c r="Z2531" s="9" t="n">
        <f aca="false">IF(AND(N2531&lt;&gt;"",OR(N2531&lt;1,N2531&gt;5)),1,0)</f>
        <v>0</v>
      </c>
      <c r="AA2531" s="9" t="n">
        <f aca="false">IF(AND(M2531&lt;&gt;"",OR(M2531&lt;5,M2531&gt;180)),1,0)</f>
        <v>0</v>
      </c>
      <c r="AB2531" s="7" t="str">
        <f aca="false">IF(P2531="DUP","Exact duplicate row",IF(T2531=1,"Missing Order ID",IF(S2531="DROP","Duplicate Order ID (less complete row)",IF(U2531=1,"Missing Customer ID",IF(V2531=1,"Missing Restaurant name",IF(W2531=1,"Invalid/outlier quantity",IF(X2531=1,"Invalid/outlier unit price",IF(Y2531=1,"Discount greater than order value",""))))))))</f>
        <v/>
      </c>
      <c r="AC2531" s="7" t="str">
        <f aca="false">IF(AB2531="","KEEP","DROP")</f>
        <v>KEEP</v>
      </c>
      <c r="AD2531" s="7" t="str">
        <f aca="false">IF(TRIM(F2531)="",IFERROR(INDEX(Map_Tables!$I$4:$I$37,MATCH(TRIM(E2531),Map_Tables!$G$4:$G$37,0)),""),IFERROR(INDEX(Map_Tables!$B$4:$B$18,MATCH(TRIM(F2531),Map_Tables!$A$4:$A$18,0)),"CHECK"))</f>
        <v>Bengaluru</v>
      </c>
      <c r="AE2531" s="7" t="str">
        <f aca="false">IF(TRIM(E2531)="","",IFERROR(INDEX(Map_Tables!$H$4:$H$37,MATCH(TRIM(E2531),Map_Tables!$G$4:$G$37,0)),"CHECK"))</f>
        <v>Dosa Darbar</v>
      </c>
      <c r="AF2531" s="7" t="str">
        <f aca="false">IF(TRIM(K2531)="","Unknown",IFERROR(INDEX(Map_Tables!$E$4:$E$15,MATCH(TRIM(K2531),Map_Tables!$D$4:$D$15,0)),"CHECK"))</f>
        <v>Cash on Delivery</v>
      </c>
      <c r="AG2531" s="7" t="str">
        <f aca="false">IF(LEFT(LOWER(TRIM(L2531)),6)="cancel","Cancelled","Delivered")</f>
        <v>Cancelled</v>
      </c>
      <c r="AH2531" s="10" t="n">
        <f aca="false">IF(ISNUMBER(SEARCH("/",B2531)),DATE(VALUE(RIGHT(B2531,4)),VALUE(MID(B2531,4,2)),VALUE(LEFT(B2531,2))),IF(MID(B2531,5,1)="-",DATE(VALUE(LEFT(B2531,4)),VALUE(MID(B2531,6,2)),VALUE(RIGHT(B2531,2))),DATE(VALUE(RIGHT(B2531,4)),MATCH(MID(B2531,4,3),{"Jan","Feb","Mar","Apr","May","Jun","Jul","Aug","Sep","Oct","Nov","Dec"},0),VALUE(LEFT(B2531,2)))))</f>
        <v>45725</v>
      </c>
    </row>
    <row r="2532" customFormat="false" ht="15" hidden="false" customHeight="false" outlineLevel="0" collapsed="false">
      <c r="A2532" s="7" t="s">
        <v>5505</v>
      </c>
      <c r="B2532" s="7" t="s">
        <v>2357</v>
      </c>
      <c r="C2532" s="7" t="s">
        <v>1443</v>
      </c>
      <c r="D2532" s="7" t="s">
        <v>2256</v>
      </c>
      <c r="E2532" s="7" t="s">
        <v>159</v>
      </c>
      <c r="F2532" s="7" t="s">
        <v>136</v>
      </c>
      <c r="G2532" s="7" t="s">
        <v>1928</v>
      </c>
      <c r="H2532" s="7" t="n">
        <v>4</v>
      </c>
      <c r="I2532" s="7" t="n">
        <v>260</v>
      </c>
      <c r="J2532" s="7" t="n">
        <v>0</v>
      </c>
      <c r="K2532" s="7" t="s">
        <v>88</v>
      </c>
      <c r="L2532" s="7" t="s">
        <v>194</v>
      </c>
      <c r="M2532" s="7" t="n">
        <v>43</v>
      </c>
      <c r="N2532" s="7" t="n">
        <v>5</v>
      </c>
      <c r="O2532" s="7" t="str">
        <f aca="false">A2532&amp;"|"&amp;B2532&amp;"|"&amp;C2532&amp;"|"&amp;D2532&amp;"|"&amp;E2532&amp;"|"&amp;F2532&amp;"|"&amp;G2532&amp;"|"&amp;H2532&amp;"|"&amp;I2532&amp;"|"&amp;J2532&amp;"|"&amp;K2532&amp;"|"&amp;L2532&amp;"|"&amp;M2532&amp;"|"&amp;N2532</f>
        <v>ORD11900|2025-09-04|15:14|C1066|Maratha Thali House|Pune|north indian|4|260|0|UPI|Delivered|43|5</v>
      </c>
      <c r="P2532" s="7" t="str">
        <f aca="false">IF(COUNTIF($O$2:O2532,O2532)&gt;1,"DUP","OK")</f>
        <v>OK</v>
      </c>
      <c r="Q2532" s="7" t="n">
        <f aca="false">COUNTBLANK(A2532:N2532)</f>
        <v>0</v>
      </c>
      <c r="R2532" s="7" t="n">
        <f aca="false">IF(A2532="",0,COUNTIFS($A$2:$A$3058,A2532,$P$2:$P$3058,"OK"))</f>
        <v>1</v>
      </c>
      <c r="S2532" s="7" t="str">
        <f aca="false">IF(OR(A2532="",P2532="DUP",R2532&lt;2),"",IF(Q2532=_xlfn.MINIFS($Q$2:$Q$3058,$A$2:$A$3058,A2532,$P$2:$P$3058,"OK"),"KEEP","DROP"))</f>
        <v/>
      </c>
      <c r="T2532" s="9" t="n">
        <f aca="false">IF(A2532="",1,0)</f>
        <v>0</v>
      </c>
      <c r="U2532" s="9" t="n">
        <f aca="false">IF(D2532="",1,0)</f>
        <v>0</v>
      </c>
      <c r="V2532" s="9" t="n">
        <f aca="false">IF(E2532="",1,0)</f>
        <v>0</v>
      </c>
      <c r="W2532" s="9" t="n">
        <f aca="false">IF(OR(H2532&lt;1,H2532&gt;10),1,0)</f>
        <v>0</v>
      </c>
      <c r="X2532" s="9" t="n">
        <f aca="false">IF(OR(I2532&lt;=0,I2532&gt;1500),1,0)</f>
        <v>0</v>
      </c>
      <c r="Y2532" s="9" t="n">
        <f aca="false">IF(J2532&gt;H2532*I2532,1,0)</f>
        <v>0</v>
      </c>
      <c r="Z2532" s="9" t="n">
        <f aca="false">IF(AND(N2532&lt;&gt;"",OR(N2532&lt;1,N2532&gt;5)),1,0)</f>
        <v>0</v>
      </c>
      <c r="AA2532" s="9" t="n">
        <f aca="false">IF(AND(M2532&lt;&gt;"",OR(M2532&lt;5,M2532&gt;180)),1,0)</f>
        <v>0</v>
      </c>
      <c r="AB2532" s="7" t="str">
        <f aca="false">IF(P2532="DUP","Exact duplicate row",IF(T2532=1,"Missing Order ID",IF(S2532="DROP","Duplicate Order ID (less complete row)",IF(U2532=1,"Missing Customer ID",IF(V2532=1,"Missing Restaurant name",IF(W2532=1,"Invalid/outlier quantity",IF(X2532=1,"Invalid/outlier unit price",IF(Y2532=1,"Discount greater than order value",""))))))))</f>
        <v/>
      </c>
      <c r="AC2532" s="7" t="str">
        <f aca="false">IF(AB2532="","KEEP","DROP")</f>
        <v>KEEP</v>
      </c>
      <c r="AD2532" s="7" t="str">
        <f aca="false">IF(TRIM(F2532)="",IFERROR(INDEX(Map_Tables!$I$4:$I$37,MATCH(TRIM(E2532),Map_Tables!$G$4:$G$37,0)),""),IFERROR(INDEX(Map_Tables!$B$4:$B$18,MATCH(TRIM(F2532),Map_Tables!$A$4:$A$18,0)),"CHECK"))</f>
        <v>Pune</v>
      </c>
      <c r="AE2532" s="7" t="str">
        <f aca="false">IF(TRIM(E2532)="","",IFERROR(INDEX(Map_Tables!$H$4:$H$37,MATCH(TRIM(E2532),Map_Tables!$G$4:$G$37,0)),"CHECK"))</f>
        <v>Maratha Thali House</v>
      </c>
      <c r="AF2532" s="7" t="str">
        <f aca="false">IF(TRIM(K2532)="","Unknown",IFERROR(INDEX(Map_Tables!$E$4:$E$15,MATCH(TRIM(K2532),Map_Tables!$D$4:$D$15,0)),"CHECK"))</f>
        <v>UPI</v>
      </c>
      <c r="AG2532" s="7" t="str">
        <f aca="false">IF(LEFT(LOWER(TRIM(L2532)),6)="cancel","Cancelled","Delivered")</f>
        <v>Delivered</v>
      </c>
      <c r="AH2532" s="10" t="n">
        <f aca="false">IF(ISNUMBER(SEARCH("/",B2532)),DATE(VALUE(RIGHT(B2532,4)),VALUE(MID(B2532,4,2)),VALUE(LEFT(B2532,2))),IF(MID(B2532,5,1)="-",DATE(VALUE(LEFT(B2532,4)),VALUE(MID(B2532,6,2)),VALUE(RIGHT(B2532,2))),DATE(VALUE(RIGHT(B2532,4)),MATCH(MID(B2532,4,3),{"Jan","Feb","Mar","Apr","May","Jun","Jul","Aug","Sep","Oct","Nov","Dec"},0),VALUE(LEFT(B2532,2)))))</f>
        <v>45904</v>
      </c>
    </row>
    <row r="2533" customFormat="false" ht="15" hidden="false" customHeight="false" outlineLevel="0" collapsed="false">
      <c r="A2533" s="7" t="s">
        <v>5506</v>
      </c>
      <c r="B2533" s="7" t="s">
        <v>660</v>
      </c>
      <c r="C2533" s="7" t="s">
        <v>399</v>
      </c>
      <c r="D2533" s="7" t="s">
        <v>3195</v>
      </c>
      <c r="E2533" s="7" t="s">
        <v>570</v>
      </c>
      <c r="F2533" s="7" t="s">
        <v>101</v>
      </c>
      <c r="G2533" s="7" t="s">
        <v>123</v>
      </c>
      <c r="H2533" s="7" t="n">
        <v>1</v>
      </c>
      <c r="I2533" s="7" t="n">
        <v>280</v>
      </c>
      <c r="J2533" s="7" t="n">
        <v>0</v>
      </c>
      <c r="K2533" s="7" t="s">
        <v>121</v>
      </c>
      <c r="L2533" s="7" t="s">
        <v>194</v>
      </c>
      <c r="M2533" s="7" t="n">
        <v>49</v>
      </c>
      <c r="N2533" s="7"/>
      <c r="O2533" s="7" t="str">
        <f aca="false">A2533&amp;"|"&amp;B2533&amp;"|"&amp;C2533&amp;"|"&amp;D2533&amp;"|"&amp;E2533&amp;"|"&amp;F2533&amp;"|"&amp;G2533&amp;"|"&amp;H2533&amp;"|"&amp;I2533&amp;"|"&amp;J2533&amp;"|"&amp;K2533&amp;"|"&amp;L2533&amp;"|"&amp;M2533&amp;"|"&amp;N2533</f>
        <v>ORD12979|2025-12-29|12:43|C0759|MUMBAI PIZZA CO|Mumbai|Pizza|1|280|0|Wallet|Delivered|49|</v>
      </c>
      <c r="P2533" s="7" t="str">
        <f aca="false">IF(COUNTIF($O$2:O2533,O2533)&gt;1,"DUP","OK")</f>
        <v>OK</v>
      </c>
      <c r="Q2533" s="7" t="n">
        <f aca="false">COUNTBLANK(A2533:N2533)</f>
        <v>1</v>
      </c>
      <c r="R2533" s="7" t="n">
        <f aca="false">IF(A2533="",0,COUNTIFS($A$2:$A$3058,A2533,$P$2:$P$3058,"OK"))</f>
        <v>1</v>
      </c>
      <c r="S2533" s="7" t="str">
        <f aca="false">IF(OR(A2533="",P2533="DUP",R2533&lt;2),"",IF(Q2533=_xlfn.MINIFS($Q$2:$Q$3058,$A$2:$A$3058,A2533,$P$2:$P$3058,"OK"),"KEEP","DROP"))</f>
        <v/>
      </c>
      <c r="T2533" s="9" t="n">
        <f aca="false">IF(A2533="",1,0)</f>
        <v>0</v>
      </c>
      <c r="U2533" s="9" t="n">
        <f aca="false">IF(D2533="",1,0)</f>
        <v>0</v>
      </c>
      <c r="V2533" s="9" t="n">
        <f aca="false">IF(E2533="",1,0)</f>
        <v>0</v>
      </c>
      <c r="W2533" s="9" t="n">
        <f aca="false">IF(OR(H2533&lt;1,H2533&gt;10),1,0)</f>
        <v>0</v>
      </c>
      <c r="X2533" s="9" t="n">
        <f aca="false">IF(OR(I2533&lt;=0,I2533&gt;1500),1,0)</f>
        <v>0</v>
      </c>
      <c r="Y2533" s="9" t="n">
        <f aca="false">IF(J2533&gt;H2533*I2533,1,0)</f>
        <v>0</v>
      </c>
      <c r="Z2533" s="9" t="n">
        <f aca="false">IF(AND(N2533&lt;&gt;"",OR(N2533&lt;1,N2533&gt;5)),1,0)</f>
        <v>0</v>
      </c>
      <c r="AA2533" s="9" t="n">
        <f aca="false">IF(AND(M2533&lt;&gt;"",OR(M2533&lt;5,M2533&gt;180)),1,0)</f>
        <v>0</v>
      </c>
      <c r="AB2533" s="7" t="str">
        <f aca="false">IF(P2533="DUP","Exact duplicate row",IF(T2533=1,"Missing Order ID",IF(S2533="DROP","Duplicate Order ID (less complete row)",IF(U2533=1,"Missing Customer ID",IF(V2533=1,"Missing Restaurant name",IF(W2533=1,"Invalid/outlier quantity",IF(X2533=1,"Invalid/outlier unit price",IF(Y2533=1,"Discount greater than order value",""))))))))</f>
        <v/>
      </c>
      <c r="AC2533" s="7" t="str">
        <f aca="false">IF(AB2533="","KEEP","DROP")</f>
        <v>KEEP</v>
      </c>
      <c r="AD2533" s="7" t="str">
        <f aca="false">IF(TRIM(F2533)="",IFERROR(INDEX(Map_Tables!$I$4:$I$37,MATCH(TRIM(E2533),Map_Tables!$G$4:$G$37,0)),""),IFERROR(INDEX(Map_Tables!$B$4:$B$18,MATCH(TRIM(F2533),Map_Tables!$A$4:$A$18,0)),"CHECK"))</f>
        <v>Mumbai</v>
      </c>
      <c r="AE2533" s="7" t="str">
        <f aca="false">IF(TRIM(E2533)="","",IFERROR(INDEX(Map_Tables!$H$4:$H$37,MATCH(TRIM(E2533),Map_Tables!$G$4:$G$37,0)),"CHECK"))</f>
        <v>Mumbai Pizza Co</v>
      </c>
      <c r="AF2533" s="7" t="str">
        <f aca="false">IF(TRIM(K2533)="","Unknown",IFERROR(INDEX(Map_Tables!$E$4:$E$15,MATCH(TRIM(K2533),Map_Tables!$D$4:$D$15,0)),"CHECK"))</f>
        <v>Wallet</v>
      </c>
      <c r="AG2533" s="7" t="str">
        <f aca="false">IF(LEFT(LOWER(TRIM(L2533)),6)="cancel","Cancelled","Delivered")</f>
        <v>Delivered</v>
      </c>
      <c r="AH2533" s="10" t="n">
        <f aca="false">IF(ISNUMBER(SEARCH("/",B2533)),DATE(VALUE(RIGHT(B2533,4)),VALUE(MID(B2533,4,2)),VALUE(LEFT(B2533,2))),IF(MID(B2533,5,1)="-",DATE(VALUE(LEFT(B2533,4)),VALUE(MID(B2533,6,2)),VALUE(RIGHT(B2533,2))),DATE(VALUE(RIGHT(B2533,4)),MATCH(MID(B2533,4,3),{"Jan","Feb","Mar","Apr","May","Jun","Jul","Aug","Sep","Oct","Nov","Dec"},0),VALUE(LEFT(B2533,2)))))</f>
        <v>46020</v>
      </c>
    </row>
    <row r="2534" customFormat="false" ht="15" hidden="false" customHeight="false" outlineLevel="0" collapsed="false">
      <c r="A2534" s="7" t="s">
        <v>5507</v>
      </c>
      <c r="B2534" s="7" t="s">
        <v>473</v>
      </c>
      <c r="C2534" s="7" t="s">
        <v>1820</v>
      </c>
      <c r="D2534" s="7" t="s">
        <v>4159</v>
      </c>
      <c r="E2534" s="7" t="s">
        <v>122</v>
      </c>
      <c r="F2534" s="7" t="s">
        <v>101</v>
      </c>
      <c r="G2534" s="7" t="s">
        <v>123</v>
      </c>
      <c r="H2534" s="7" t="n">
        <v>5</v>
      </c>
      <c r="I2534" s="7" t="n">
        <v>415</v>
      </c>
      <c r="J2534" s="7" t="n">
        <v>0</v>
      </c>
      <c r="K2534" s="7" t="s">
        <v>121</v>
      </c>
      <c r="L2534" s="7" t="s">
        <v>194</v>
      </c>
      <c r="M2534" s="7" t="n">
        <v>38</v>
      </c>
      <c r="N2534" s="7" t="n">
        <v>5</v>
      </c>
      <c r="O2534" s="7" t="str">
        <f aca="false">A2534&amp;"|"&amp;B2534&amp;"|"&amp;C2534&amp;"|"&amp;D2534&amp;"|"&amp;E2534&amp;"|"&amp;F2534&amp;"|"&amp;G2534&amp;"|"&amp;H2534&amp;"|"&amp;I2534&amp;"|"&amp;J2534&amp;"|"&amp;K2534&amp;"|"&amp;L2534&amp;"|"&amp;M2534&amp;"|"&amp;N2534</f>
        <v>ORD10819|2025-04-14|12:34|C1081|Mumbai Pizza Co|Mumbai|Pizza|5|415|0|Wallet|Delivered|38|5</v>
      </c>
      <c r="P2534" s="7" t="str">
        <f aca="false">IF(COUNTIF($O$2:O2534,O2534)&gt;1,"DUP","OK")</f>
        <v>OK</v>
      </c>
      <c r="Q2534" s="7" t="n">
        <f aca="false">COUNTBLANK(A2534:N2534)</f>
        <v>0</v>
      </c>
      <c r="R2534" s="7" t="n">
        <f aca="false">IF(A2534="",0,COUNTIFS($A$2:$A$3058,A2534,$P$2:$P$3058,"OK"))</f>
        <v>1</v>
      </c>
      <c r="S2534" s="7" t="str">
        <f aca="false">IF(OR(A2534="",P2534="DUP",R2534&lt;2),"",IF(Q2534=_xlfn.MINIFS($Q$2:$Q$3058,$A$2:$A$3058,A2534,$P$2:$P$3058,"OK"),"KEEP","DROP"))</f>
        <v/>
      </c>
      <c r="T2534" s="9" t="n">
        <f aca="false">IF(A2534="",1,0)</f>
        <v>0</v>
      </c>
      <c r="U2534" s="9" t="n">
        <f aca="false">IF(D2534="",1,0)</f>
        <v>0</v>
      </c>
      <c r="V2534" s="9" t="n">
        <f aca="false">IF(E2534="",1,0)</f>
        <v>0</v>
      </c>
      <c r="W2534" s="9" t="n">
        <f aca="false">IF(OR(H2534&lt;1,H2534&gt;10),1,0)</f>
        <v>0</v>
      </c>
      <c r="X2534" s="9" t="n">
        <f aca="false">IF(OR(I2534&lt;=0,I2534&gt;1500),1,0)</f>
        <v>0</v>
      </c>
      <c r="Y2534" s="9" t="n">
        <f aca="false">IF(J2534&gt;H2534*I2534,1,0)</f>
        <v>0</v>
      </c>
      <c r="Z2534" s="9" t="n">
        <f aca="false">IF(AND(N2534&lt;&gt;"",OR(N2534&lt;1,N2534&gt;5)),1,0)</f>
        <v>0</v>
      </c>
      <c r="AA2534" s="9" t="n">
        <f aca="false">IF(AND(M2534&lt;&gt;"",OR(M2534&lt;5,M2534&gt;180)),1,0)</f>
        <v>0</v>
      </c>
      <c r="AB2534" s="7" t="str">
        <f aca="false">IF(P2534="DUP","Exact duplicate row",IF(T2534=1,"Missing Order ID",IF(S2534="DROP","Duplicate Order ID (less complete row)",IF(U2534=1,"Missing Customer ID",IF(V2534=1,"Missing Restaurant name",IF(W2534=1,"Invalid/outlier quantity",IF(X2534=1,"Invalid/outlier unit price",IF(Y2534=1,"Discount greater than order value",""))))))))</f>
        <v/>
      </c>
      <c r="AC2534" s="7" t="str">
        <f aca="false">IF(AB2534="","KEEP","DROP")</f>
        <v>KEEP</v>
      </c>
      <c r="AD2534" s="7" t="str">
        <f aca="false">IF(TRIM(F2534)="",IFERROR(INDEX(Map_Tables!$I$4:$I$37,MATCH(TRIM(E2534),Map_Tables!$G$4:$G$37,0)),""),IFERROR(INDEX(Map_Tables!$B$4:$B$18,MATCH(TRIM(F2534),Map_Tables!$A$4:$A$18,0)),"CHECK"))</f>
        <v>Mumbai</v>
      </c>
      <c r="AE2534" s="7" t="str">
        <f aca="false">IF(TRIM(E2534)="","",IFERROR(INDEX(Map_Tables!$H$4:$H$37,MATCH(TRIM(E2534),Map_Tables!$G$4:$G$37,0)),"CHECK"))</f>
        <v>Mumbai Pizza Co</v>
      </c>
      <c r="AF2534" s="7" t="str">
        <f aca="false">IF(TRIM(K2534)="","Unknown",IFERROR(INDEX(Map_Tables!$E$4:$E$15,MATCH(TRIM(K2534),Map_Tables!$D$4:$D$15,0)),"CHECK"))</f>
        <v>Wallet</v>
      </c>
      <c r="AG2534" s="7" t="str">
        <f aca="false">IF(LEFT(LOWER(TRIM(L2534)),6)="cancel","Cancelled","Delivered")</f>
        <v>Delivered</v>
      </c>
      <c r="AH2534" s="10" t="n">
        <f aca="false">IF(ISNUMBER(SEARCH("/",B2534)),DATE(VALUE(RIGHT(B2534,4)),VALUE(MID(B2534,4,2)),VALUE(LEFT(B2534,2))),IF(MID(B2534,5,1)="-",DATE(VALUE(LEFT(B2534,4)),VALUE(MID(B2534,6,2)),VALUE(RIGHT(B2534,2))),DATE(VALUE(RIGHT(B2534,4)),MATCH(MID(B2534,4,3),{"Jan","Feb","Mar","Apr","May","Jun","Jul","Aug","Sep","Oct","Nov","Dec"},0),VALUE(LEFT(B2534,2)))))</f>
        <v>45761</v>
      </c>
    </row>
    <row r="2535" customFormat="false" ht="15" hidden="false" customHeight="false" outlineLevel="0" collapsed="false">
      <c r="A2535" s="7" t="s">
        <v>5508</v>
      </c>
      <c r="B2535" s="7" t="s">
        <v>1309</v>
      </c>
      <c r="C2535" s="7" t="s">
        <v>1434</v>
      </c>
      <c r="D2535" s="7" t="s">
        <v>5509</v>
      </c>
      <c r="E2535" s="7" t="s">
        <v>116</v>
      </c>
      <c r="F2535" s="7" t="s">
        <v>101</v>
      </c>
      <c r="G2535" s="7" t="s">
        <v>117</v>
      </c>
      <c r="H2535" s="7" t="n">
        <v>1</v>
      </c>
      <c r="I2535" s="7" t="n">
        <v>120</v>
      </c>
      <c r="J2535" s="7" t="n">
        <v>0</v>
      </c>
      <c r="K2535" s="7" t="s">
        <v>93</v>
      </c>
      <c r="L2535" s="7" t="s">
        <v>194</v>
      </c>
      <c r="M2535" s="7"/>
      <c r="N2535" s="7" t="n">
        <v>4</v>
      </c>
      <c r="O2535" s="7" t="str">
        <f aca="false">A2535&amp;"|"&amp;B2535&amp;"|"&amp;C2535&amp;"|"&amp;D2535&amp;"|"&amp;E2535&amp;"|"&amp;F2535&amp;"|"&amp;G2535&amp;"|"&amp;H2535&amp;"|"&amp;I2535&amp;"|"&amp;J2535&amp;"|"&amp;K2535&amp;"|"&amp;L2535&amp;"|"&amp;M2535&amp;"|"&amp;N2535</f>
        <v>ORD10156|2025-01-20|21:05|C0346|Pav Bhaji Point|Mumbai|Street Food|1|120|0|Credit Card|Delivered||4</v>
      </c>
      <c r="P2535" s="7" t="str">
        <f aca="false">IF(COUNTIF($O$2:O2535,O2535)&gt;1,"DUP","OK")</f>
        <v>OK</v>
      </c>
      <c r="Q2535" s="7" t="n">
        <f aca="false">COUNTBLANK(A2535:N2535)</f>
        <v>1</v>
      </c>
      <c r="R2535" s="7" t="n">
        <f aca="false">IF(A2535="",0,COUNTIFS($A$2:$A$3058,A2535,$P$2:$P$3058,"OK"))</f>
        <v>1</v>
      </c>
      <c r="S2535" s="7" t="str">
        <f aca="false">IF(OR(A2535="",P2535="DUP",R2535&lt;2),"",IF(Q2535=_xlfn.MINIFS($Q$2:$Q$3058,$A$2:$A$3058,A2535,$P$2:$P$3058,"OK"),"KEEP","DROP"))</f>
        <v/>
      </c>
      <c r="T2535" s="9" t="n">
        <f aca="false">IF(A2535="",1,0)</f>
        <v>0</v>
      </c>
      <c r="U2535" s="9" t="n">
        <f aca="false">IF(D2535="",1,0)</f>
        <v>0</v>
      </c>
      <c r="V2535" s="9" t="n">
        <f aca="false">IF(E2535="",1,0)</f>
        <v>0</v>
      </c>
      <c r="W2535" s="9" t="n">
        <f aca="false">IF(OR(H2535&lt;1,H2535&gt;10),1,0)</f>
        <v>0</v>
      </c>
      <c r="X2535" s="9" t="n">
        <f aca="false">IF(OR(I2535&lt;=0,I2535&gt;1500),1,0)</f>
        <v>0</v>
      </c>
      <c r="Y2535" s="9" t="n">
        <f aca="false">IF(J2535&gt;H2535*I2535,1,0)</f>
        <v>0</v>
      </c>
      <c r="Z2535" s="9" t="n">
        <f aca="false">IF(AND(N2535&lt;&gt;"",OR(N2535&lt;1,N2535&gt;5)),1,0)</f>
        <v>0</v>
      </c>
      <c r="AA2535" s="9" t="n">
        <f aca="false">IF(AND(M2535&lt;&gt;"",OR(M2535&lt;5,M2535&gt;180)),1,0)</f>
        <v>0</v>
      </c>
      <c r="AB2535" s="7" t="str">
        <f aca="false">IF(P2535="DUP","Exact duplicate row",IF(T2535=1,"Missing Order ID",IF(S2535="DROP","Duplicate Order ID (less complete row)",IF(U2535=1,"Missing Customer ID",IF(V2535=1,"Missing Restaurant name",IF(W2535=1,"Invalid/outlier quantity",IF(X2535=1,"Invalid/outlier unit price",IF(Y2535=1,"Discount greater than order value",""))))))))</f>
        <v/>
      </c>
      <c r="AC2535" s="7" t="str">
        <f aca="false">IF(AB2535="","KEEP","DROP")</f>
        <v>KEEP</v>
      </c>
      <c r="AD2535" s="7" t="str">
        <f aca="false">IF(TRIM(F2535)="",IFERROR(INDEX(Map_Tables!$I$4:$I$37,MATCH(TRIM(E2535),Map_Tables!$G$4:$G$37,0)),""),IFERROR(INDEX(Map_Tables!$B$4:$B$18,MATCH(TRIM(F2535),Map_Tables!$A$4:$A$18,0)),"CHECK"))</f>
        <v>Mumbai</v>
      </c>
      <c r="AE2535" s="7" t="str">
        <f aca="false">IF(TRIM(E2535)="","",IFERROR(INDEX(Map_Tables!$H$4:$H$37,MATCH(TRIM(E2535),Map_Tables!$G$4:$G$37,0)),"CHECK"))</f>
        <v>Pav Bhaji Point</v>
      </c>
      <c r="AF2535" s="7" t="str">
        <f aca="false">IF(TRIM(K2535)="","Unknown",IFERROR(INDEX(Map_Tables!$E$4:$E$15,MATCH(TRIM(K2535),Map_Tables!$D$4:$D$15,0)),"CHECK"))</f>
        <v>Credit Card</v>
      </c>
      <c r="AG2535" s="7" t="str">
        <f aca="false">IF(LEFT(LOWER(TRIM(L2535)),6)="cancel","Cancelled","Delivered")</f>
        <v>Delivered</v>
      </c>
      <c r="AH2535" s="10" t="n">
        <f aca="false">IF(ISNUMBER(SEARCH("/",B2535)),DATE(VALUE(RIGHT(B2535,4)),VALUE(MID(B2535,4,2)),VALUE(LEFT(B2535,2))),IF(MID(B2535,5,1)="-",DATE(VALUE(LEFT(B2535,4)),VALUE(MID(B2535,6,2)),VALUE(RIGHT(B2535,2))),DATE(VALUE(RIGHT(B2535,4)),MATCH(MID(B2535,4,3),{"Jan","Feb","Mar","Apr","May","Jun","Jul","Aug","Sep","Oct","Nov","Dec"},0),VALUE(LEFT(B2535,2)))))</f>
        <v>45677</v>
      </c>
    </row>
    <row r="2536" customFormat="false" ht="15" hidden="false" customHeight="false" outlineLevel="0" collapsed="false">
      <c r="A2536" s="7" t="s">
        <v>5510</v>
      </c>
      <c r="B2536" s="7" t="s">
        <v>875</v>
      </c>
      <c r="C2536" s="7" t="s">
        <v>4080</v>
      </c>
      <c r="D2536" s="7" t="s">
        <v>1257</v>
      </c>
      <c r="E2536" s="7" t="s">
        <v>148</v>
      </c>
      <c r="F2536" s="7" t="s">
        <v>119</v>
      </c>
      <c r="G2536" s="7" t="s">
        <v>123</v>
      </c>
      <c r="H2536" s="7" t="n">
        <v>1</v>
      </c>
      <c r="I2536" s="7" t="n">
        <v>345</v>
      </c>
      <c r="J2536" s="7" t="n">
        <v>100</v>
      </c>
      <c r="K2536" s="7" t="s">
        <v>88</v>
      </c>
      <c r="L2536" s="7" t="s">
        <v>194</v>
      </c>
      <c r="M2536" s="7" t="n">
        <v>27</v>
      </c>
      <c r="N2536" s="7" t="n">
        <v>5</v>
      </c>
      <c r="O2536" s="7" t="str">
        <f aca="false">A2536&amp;"|"&amp;B2536&amp;"|"&amp;C2536&amp;"|"&amp;D2536&amp;"|"&amp;E2536&amp;"|"&amp;F2536&amp;"|"&amp;G2536&amp;"|"&amp;H2536&amp;"|"&amp;I2536&amp;"|"&amp;J2536&amp;"|"&amp;K2536&amp;"|"&amp;L2536&amp;"|"&amp;M2536&amp;"|"&amp;N2536</f>
        <v>ORD12924|2025-12-23|10:44|C0909|Pizza Palace|Hyderabad|Pizza|1|345|100|UPI|Delivered|27|5</v>
      </c>
      <c r="P2536" s="7" t="str">
        <f aca="false">IF(COUNTIF($O$2:O2536,O2536)&gt;1,"DUP","OK")</f>
        <v>OK</v>
      </c>
      <c r="Q2536" s="7" t="n">
        <f aca="false">COUNTBLANK(A2536:N2536)</f>
        <v>0</v>
      </c>
      <c r="R2536" s="7" t="n">
        <f aca="false">IF(A2536="",0,COUNTIFS($A$2:$A$3058,A2536,$P$2:$P$3058,"OK"))</f>
        <v>1</v>
      </c>
      <c r="S2536" s="7" t="str">
        <f aca="false">IF(OR(A2536="",P2536="DUP",R2536&lt;2),"",IF(Q2536=_xlfn.MINIFS($Q$2:$Q$3058,$A$2:$A$3058,A2536,$P$2:$P$3058,"OK"),"KEEP","DROP"))</f>
        <v/>
      </c>
      <c r="T2536" s="9" t="n">
        <f aca="false">IF(A2536="",1,0)</f>
        <v>0</v>
      </c>
      <c r="U2536" s="9" t="n">
        <f aca="false">IF(D2536="",1,0)</f>
        <v>0</v>
      </c>
      <c r="V2536" s="9" t="n">
        <f aca="false">IF(E2536="",1,0)</f>
        <v>0</v>
      </c>
      <c r="W2536" s="9" t="n">
        <f aca="false">IF(OR(H2536&lt;1,H2536&gt;10),1,0)</f>
        <v>0</v>
      </c>
      <c r="X2536" s="9" t="n">
        <f aca="false">IF(OR(I2536&lt;=0,I2536&gt;1500),1,0)</f>
        <v>0</v>
      </c>
      <c r="Y2536" s="9" t="n">
        <f aca="false">IF(J2536&gt;H2536*I2536,1,0)</f>
        <v>0</v>
      </c>
      <c r="Z2536" s="9" t="n">
        <f aca="false">IF(AND(N2536&lt;&gt;"",OR(N2536&lt;1,N2536&gt;5)),1,0)</f>
        <v>0</v>
      </c>
      <c r="AA2536" s="9" t="n">
        <f aca="false">IF(AND(M2536&lt;&gt;"",OR(M2536&lt;5,M2536&gt;180)),1,0)</f>
        <v>0</v>
      </c>
      <c r="AB2536" s="7" t="str">
        <f aca="false">IF(P2536="DUP","Exact duplicate row",IF(T2536=1,"Missing Order ID",IF(S2536="DROP","Duplicate Order ID (less complete row)",IF(U2536=1,"Missing Customer ID",IF(V2536=1,"Missing Restaurant name",IF(W2536=1,"Invalid/outlier quantity",IF(X2536=1,"Invalid/outlier unit price",IF(Y2536=1,"Discount greater than order value",""))))))))</f>
        <v/>
      </c>
      <c r="AC2536" s="7" t="str">
        <f aca="false">IF(AB2536="","KEEP","DROP")</f>
        <v>KEEP</v>
      </c>
      <c r="AD2536" s="7" t="str">
        <f aca="false">IF(TRIM(F2536)="",IFERROR(INDEX(Map_Tables!$I$4:$I$37,MATCH(TRIM(E2536),Map_Tables!$G$4:$G$37,0)),""),IFERROR(INDEX(Map_Tables!$B$4:$B$18,MATCH(TRIM(F2536),Map_Tables!$A$4:$A$18,0)),"CHECK"))</f>
        <v>Hyderabad</v>
      </c>
      <c r="AE2536" s="7" t="str">
        <f aca="false">IF(TRIM(E2536)="","",IFERROR(INDEX(Map_Tables!$H$4:$H$37,MATCH(TRIM(E2536),Map_Tables!$G$4:$G$37,0)),"CHECK"))</f>
        <v>Pizza Palace</v>
      </c>
      <c r="AF2536" s="7" t="str">
        <f aca="false">IF(TRIM(K2536)="","Unknown",IFERROR(INDEX(Map_Tables!$E$4:$E$15,MATCH(TRIM(K2536),Map_Tables!$D$4:$D$15,0)),"CHECK"))</f>
        <v>UPI</v>
      </c>
      <c r="AG2536" s="7" t="str">
        <f aca="false">IF(LEFT(LOWER(TRIM(L2536)),6)="cancel","Cancelled","Delivered")</f>
        <v>Delivered</v>
      </c>
      <c r="AH2536" s="10" t="n">
        <f aca="false">IF(ISNUMBER(SEARCH("/",B2536)),DATE(VALUE(RIGHT(B2536,4)),VALUE(MID(B2536,4,2)),VALUE(LEFT(B2536,2))),IF(MID(B2536,5,1)="-",DATE(VALUE(LEFT(B2536,4)),VALUE(MID(B2536,6,2)),VALUE(RIGHT(B2536,2))),DATE(VALUE(RIGHT(B2536,4)),MATCH(MID(B2536,4,3),{"Jan","Feb","Mar","Apr","May","Jun","Jul","Aug","Sep","Oct","Nov","Dec"},0),VALUE(LEFT(B2536,2)))))</f>
        <v>46014</v>
      </c>
    </row>
    <row r="2537" customFormat="false" ht="15" hidden="false" customHeight="false" outlineLevel="0" collapsed="false">
      <c r="A2537" s="7" t="s">
        <v>5511</v>
      </c>
      <c r="B2537" s="7" t="s">
        <v>1894</v>
      </c>
      <c r="C2537" s="7" t="s">
        <v>651</v>
      </c>
      <c r="D2537" s="7" t="s">
        <v>1420</v>
      </c>
      <c r="E2537" s="7" t="s">
        <v>138</v>
      </c>
      <c r="F2537" s="7" t="s">
        <v>110</v>
      </c>
      <c r="G2537" s="7" t="s">
        <v>139</v>
      </c>
      <c r="H2537" s="7" t="n">
        <v>3</v>
      </c>
      <c r="I2537" s="7" t="n">
        <v>215</v>
      </c>
      <c r="J2537" s="7" t="n">
        <v>0</v>
      </c>
      <c r="K2537" s="7" t="s">
        <v>93</v>
      </c>
      <c r="L2537" s="7" t="s">
        <v>194</v>
      </c>
      <c r="M2537" s="7" t="n">
        <v>42</v>
      </c>
      <c r="N2537" s="7" t="n">
        <v>3</v>
      </c>
      <c r="O2537" s="7" t="str">
        <f aca="false">A2537&amp;"|"&amp;B2537&amp;"|"&amp;C2537&amp;"|"&amp;D2537&amp;"|"&amp;E2537&amp;"|"&amp;F2537&amp;"|"&amp;G2537&amp;"|"&amp;H2537&amp;"|"&amp;I2537&amp;"|"&amp;J2537&amp;"|"&amp;K2537&amp;"|"&amp;L2537&amp;"|"&amp;M2537&amp;"|"&amp;N2537</f>
        <v>ORD10249|2025-02-02|12:53|C0306|Burger Barn|Delhi|Burgers|3|215|0|Credit Card|Delivered|42|3</v>
      </c>
      <c r="P2537" s="7" t="str">
        <f aca="false">IF(COUNTIF($O$2:O2537,O2537)&gt;1,"DUP","OK")</f>
        <v>OK</v>
      </c>
      <c r="Q2537" s="7" t="n">
        <f aca="false">COUNTBLANK(A2537:N2537)</f>
        <v>0</v>
      </c>
      <c r="R2537" s="7" t="n">
        <f aca="false">IF(A2537="",0,COUNTIFS($A$2:$A$3058,A2537,$P$2:$P$3058,"OK"))</f>
        <v>1</v>
      </c>
      <c r="S2537" s="7" t="str">
        <f aca="false">IF(OR(A2537="",P2537="DUP",R2537&lt;2),"",IF(Q2537=_xlfn.MINIFS($Q$2:$Q$3058,$A$2:$A$3058,A2537,$P$2:$P$3058,"OK"),"KEEP","DROP"))</f>
        <v/>
      </c>
      <c r="T2537" s="9" t="n">
        <f aca="false">IF(A2537="",1,0)</f>
        <v>0</v>
      </c>
      <c r="U2537" s="9" t="n">
        <f aca="false">IF(D2537="",1,0)</f>
        <v>0</v>
      </c>
      <c r="V2537" s="9" t="n">
        <f aca="false">IF(E2537="",1,0)</f>
        <v>0</v>
      </c>
      <c r="W2537" s="9" t="n">
        <f aca="false">IF(OR(H2537&lt;1,H2537&gt;10),1,0)</f>
        <v>0</v>
      </c>
      <c r="X2537" s="9" t="n">
        <f aca="false">IF(OR(I2537&lt;=0,I2537&gt;1500),1,0)</f>
        <v>0</v>
      </c>
      <c r="Y2537" s="9" t="n">
        <f aca="false">IF(J2537&gt;H2537*I2537,1,0)</f>
        <v>0</v>
      </c>
      <c r="Z2537" s="9" t="n">
        <f aca="false">IF(AND(N2537&lt;&gt;"",OR(N2537&lt;1,N2537&gt;5)),1,0)</f>
        <v>0</v>
      </c>
      <c r="AA2537" s="9" t="n">
        <f aca="false">IF(AND(M2537&lt;&gt;"",OR(M2537&lt;5,M2537&gt;180)),1,0)</f>
        <v>0</v>
      </c>
      <c r="AB2537" s="7" t="str">
        <f aca="false">IF(P2537="DUP","Exact duplicate row",IF(T2537=1,"Missing Order ID",IF(S2537="DROP","Duplicate Order ID (less complete row)",IF(U2537=1,"Missing Customer ID",IF(V2537=1,"Missing Restaurant name",IF(W2537=1,"Invalid/outlier quantity",IF(X2537=1,"Invalid/outlier unit price",IF(Y2537=1,"Discount greater than order value",""))))))))</f>
        <v/>
      </c>
      <c r="AC2537" s="7" t="str">
        <f aca="false">IF(AB2537="","KEEP","DROP")</f>
        <v>KEEP</v>
      </c>
      <c r="AD2537" s="7" t="str">
        <f aca="false">IF(TRIM(F2537)="",IFERROR(INDEX(Map_Tables!$I$4:$I$37,MATCH(TRIM(E2537),Map_Tables!$G$4:$G$37,0)),""),IFERROR(INDEX(Map_Tables!$B$4:$B$18,MATCH(TRIM(F2537),Map_Tables!$A$4:$A$18,0)),"CHECK"))</f>
        <v>Delhi</v>
      </c>
      <c r="AE2537" s="7" t="str">
        <f aca="false">IF(TRIM(E2537)="","",IFERROR(INDEX(Map_Tables!$H$4:$H$37,MATCH(TRIM(E2537),Map_Tables!$G$4:$G$37,0)),"CHECK"))</f>
        <v>Burger Barn</v>
      </c>
      <c r="AF2537" s="7" t="str">
        <f aca="false">IF(TRIM(K2537)="","Unknown",IFERROR(INDEX(Map_Tables!$E$4:$E$15,MATCH(TRIM(K2537),Map_Tables!$D$4:$D$15,0)),"CHECK"))</f>
        <v>Credit Card</v>
      </c>
      <c r="AG2537" s="7" t="str">
        <f aca="false">IF(LEFT(LOWER(TRIM(L2537)),6)="cancel","Cancelled","Delivered")</f>
        <v>Delivered</v>
      </c>
      <c r="AH2537" s="10" t="n">
        <f aca="false">IF(ISNUMBER(SEARCH("/",B2537)),DATE(VALUE(RIGHT(B2537,4)),VALUE(MID(B2537,4,2)),VALUE(LEFT(B2537,2))),IF(MID(B2537,5,1)="-",DATE(VALUE(LEFT(B2537,4)),VALUE(MID(B2537,6,2)),VALUE(RIGHT(B2537,2))),DATE(VALUE(RIGHT(B2537,4)),MATCH(MID(B2537,4,3),{"Jan","Feb","Mar","Apr","May","Jun","Jul","Aug","Sep","Oct","Nov","Dec"},0),VALUE(LEFT(B2537,2)))))</f>
        <v>45690</v>
      </c>
    </row>
    <row r="2538" customFormat="false" ht="15" hidden="false" customHeight="false" outlineLevel="0" collapsed="false">
      <c r="A2538" s="7" t="s">
        <v>5512</v>
      </c>
      <c r="B2538" s="7" t="s">
        <v>5513</v>
      </c>
      <c r="C2538" s="7" t="s">
        <v>1692</v>
      </c>
      <c r="D2538" s="7" t="s">
        <v>5514</v>
      </c>
      <c r="E2538" s="7" t="s">
        <v>161</v>
      </c>
      <c r="F2538" s="7" t="s">
        <v>141</v>
      </c>
      <c r="G2538" s="7" t="s">
        <v>117</v>
      </c>
      <c r="H2538" s="7" t="n">
        <v>3</v>
      </c>
      <c r="I2538" s="7" t="n">
        <v>130</v>
      </c>
      <c r="J2538" s="7" t="n">
        <v>125</v>
      </c>
      <c r="K2538" s="7" t="s">
        <v>112</v>
      </c>
      <c r="L2538" s="7" t="s">
        <v>194</v>
      </c>
      <c r="M2538" s="7" t="n">
        <v>34</v>
      </c>
      <c r="N2538" s="7" t="n">
        <v>5</v>
      </c>
      <c r="O2538" s="7" t="str">
        <f aca="false">A2538&amp;"|"&amp;B2538&amp;"|"&amp;C2538&amp;"|"&amp;D2538&amp;"|"&amp;E2538&amp;"|"&amp;F2538&amp;"|"&amp;G2538&amp;"|"&amp;H2538&amp;"|"&amp;I2538&amp;"|"&amp;J2538&amp;"|"&amp;K2538&amp;"|"&amp;L2538&amp;"|"&amp;M2538&amp;"|"&amp;N2538</f>
        <v>ORD10762|07/04/2025|12:03|C1234|Bengal Bites|Kolkata|Street Food|3|130|125|Cash on Delivery|Delivered|34|5</v>
      </c>
      <c r="P2538" s="7" t="str">
        <f aca="false">IF(COUNTIF($O$2:O2538,O2538)&gt;1,"DUP","OK")</f>
        <v>OK</v>
      </c>
      <c r="Q2538" s="7" t="n">
        <f aca="false">COUNTBLANK(A2538:N2538)</f>
        <v>0</v>
      </c>
      <c r="R2538" s="7" t="n">
        <f aca="false">IF(A2538="",0,COUNTIFS($A$2:$A$3058,A2538,$P$2:$P$3058,"OK"))</f>
        <v>1</v>
      </c>
      <c r="S2538" s="7" t="str">
        <f aca="false">IF(OR(A2538="",P2538="DUP",R2538&lt;2),"",IF(Q2538=_xlfn.MINIFS($Q$2:$Q$3058,$A$2:$A$3058,A2538,$P$2:$P$3058,"OK"),"KEEP","DROP"))</f>
        <v/>
      </c>
      <c r="T2538" s="9" t="n">
        <f aca="false">IF(A2538="",1,0)</f>
        <v>0</v>
      </c>
      <c r="U2538" s="9" t="n">
        <f aca="false">IF(D2538="",1,0)</f>
        <v>0</v>
      </c>
      <c r="V2538" s="9" t="n">
        <f aca="false">IF(E2538="",1,0)</f>
        <v>0</v>
      </c>
      <c r="W2538" s="9" t="n">
        <f aca="false">IF(OR(H2538&lt;1,H2538&gt;10),1,0)</f>
        <v>0</v>
      </c>
      <c r="X2538" s="9" t="n">
        <f aca="false">IF(OR(I2538&lt;=0,I2538&gt;1500),1,0)</f>
        <v>0</v>
      </c>
      <c r="Y2538" s="9" t="n">
        <f aca="false">IF(J2538&gt;H2538*I2538,1,0)</f>
        <v>0</v>
      </c>
      <c r="Z2538" s="9" t="n">
        <f aca="false">IF(AND(N2538&lt;&gt;"",OR(N2538&lt;1,N2538&gt;5)),1,0)</f>
        <v>0</v>
      </c>
      <c r="AA2538" s="9" t="n">
        <f aca="false">IF(AND(M2538&lt;&gt;"",OR(M2538&lt;5,M2538&gt;180)),1,0)</f>
        <v>0</v>
      </c>
      <c r="AB2538" s="7" t="str">
        <f aca="false">IF(P2538="DUP","Exact duplicate row",IF(T2538=1,"Missing Order ID",IF(S2538="DROP","Duplicate Order ID (less complete row)",IF(U2538=1,"Missing Customer ID",IF(V2538=1,"Missing Restaurant name",IF(W2538=1,"Invalid/outlier quantity",IF(X2538=1,"Invalid/outlier unit price",IF(Y2538=1,"Discount greater than order value",""))))))))</f>
        <v/>
      </c>
      <c r="AC2538" s="7" t="str">
        <f aca="false">IF(AB2538="","KEEP","DROP")</f>
        <v>KEEP</v>
      </c>
      <c r="AD2538" s="7" t="str">
        <f aca="false">IF(TRIM(F2538)="",IFERROR(INDEX(Map_Tables!$I$4:$I$37,MATCH(TRIM(E2538),Map_Tables!$G$4:$G$37,0)),""),IFERROR(INDEX(Map_Tables!$B$4:$B$18,MATCH(TRIM(F2538),Map_Tables!$A$4:$A$18,0)),"CHECK"))</f>
        <v>Kolkata</v>
      </c>
      <c r="AE2538" s="7" t="str">
        <f aca="false">IF(TRIM(E2538)="","",IFERROR(INDEX(Map_Tables!$H$4:$H$37,MATCH(TRIM(E2538),Map_Tables!$G$4:$G$37,0)),"CHECK"))</f>
        <v>Bengal Bites</v>
      </c>
      <c r="AF2538" s="7" t="str">
        <f aca="false">IF(TRIM(K2538)="","Unknown",IFERROR(INDEX(Map_Tables!$E$4:$E$15,MATCH(TRIM(K2538),Map_Tables!$D$4:$D$15,0)),"CHECK"))</f>
        <v>Cash on Delivery</v>
      </c>
      <c r="AG2538" s="7" t="str">
        <f aca="false">IF(LEFT(LOWER(TRIM(L2538)),6)="cancel","Cancelled","Delivered")</f>
        <v>Delivered</v>
      </c>
      <c r="AH2538" s="10" t="n">
        <f aca="false">IF(ISNUMBER(SEARCH("/",B2538)),DATE(VALUE(RIGHT(B2538,4)),VALUE(MID(B2538,4,2)),VALUE(LEFT(B2538,2))),IF(MID(B2538,5,1)="-",DATE(VALUE(LEFT(B2538,4)),VALUE(MID(B2538,6,2)),VALUE(RIGHT(B2538,2))),DATE(VALUE(RIGHT(B2538,4)),MATCH(MID(B2538,4,3),{"Jan","Feb","Mar","Apr","May","Jun","Jul","Aug","Sep","Oct","Nov","Dec"},0),VALUE(LEFT(B2538,2)))))</f>
        <v>45754</v>
      </c>
    </row>
    <row r="2539" customFormat="false" ht="15" hidden="false" customHeight="false" outlineLevel="0" collapsed="false">
      <c r="A2539" s="7" t="s">
        <v>5515</v>
      </c>
      <c r="B2539" s="7" t="s">
        <v>2357</v>
      </c>
      <c r="C2539" s="7" t="s">
        <v>1745</v>
      </c>
      <c r="D2539" s="7" t="s">
        <v>2744</v>
      </c>
      <c r="E2539" s="7" t="s">
        <v>122</v>
      </c>
      <c r="F2539" s="7" t="s">
        <v>101</v>
      </c>
      <c r="G2539" s="7" t="s">
        <v>764</v>
      </c>
      <c r="H2539" s="7" t="n">
        <v>1</v>
      </c>
      <c r="I2539" s="7" t="n">
        <v>390</v>
      </c>
      <c r="J2539" s="7" t="n">
        <v>0</v>
      </c>
      <c r="K2539" s="7" t="s">
        <v>121</v>
      </c>
      <c r="L2539" s="7" t="s">
        <v>194</v>
      </c>
      <c r="M2539" s="7" t="n">
        <v>40</v>
      </c>
      <c r="N2539" s="7" t="n">
        <v>5</v>
      </c>
      <c r="O2539" s="7" t="str">
        <f aca="false">A2539&amp;"|"&amp;B2539&amp;"|"&amp;C2539&amp;"|"&amp;D2539&amp;"|"&amp;E2539&amp;"|"&amp;F2539&amp;"|"&amp;G2539&amp;"|"&amp;H2539&amp;"|"&amp;I2539&amp;"|"&amp;J2539&amp;"|"&amp;K2539&amp;"|"&amp;L2539&amp;"|"&amp;M2539&amp;"|"&amp;N2539</f>
        <v>ORD11895|2025-09-04|10:25|C0219|Mumbai Pizza Co|Mumbai|pizza|1|390|0|Wallet|Delivered|40|5</v>
      </c>
      <c r="P2539" s="7" t="str">
        <f aca="false">IF(COUNTIF($O$2:O2539,O2539)&gt;1,"DUP","OK")</f>
        <v>OK</v>
      </c>
      <c r="Q2539" s="7" t="n">
        <f aca="false">COUNTBLANK(A2539:N2539)</f>
        <v>0</v>
      </c>
      <c r="R2539" s="7" t="n">
        <f aca="false">IF(A2539="",0,COUNTIFS($A$2:$A$3058,A2539,$P$2:$P$3058,"OK"))</f>
        <v>1</v>
      </c>
      <c r="S2539" s="7" t="str">
        <f aca="false">IF(OR(A2539="",P2539="DUP",R2539&lt;2),"",IF(Q2539=_xlfn.MINIFS($Q$2:$Q$3058,$A$2:$A$3058,A2539,$P$2:$P$3058,"OK"),"KEEP","DROP"))</f>
        <v/>
      </c>
      <c r="T2539" s="9" t="n">
        <f aca="false">IF(A2539="",1,0)</f>
        <v>0</v>
      </c>
      <c r="U2539" s="9" t="n">
        <f aca="false">IF(D2539="",1,0)</f>
        <v>0</v>
      </c>
      <c r="V2539" s="9" t="n">
        <f aca="false">IF(E2539="",1,0)</f>
        <v>0</v>
      </c>
      <c r="W2539" s="9" t="n">
        <f aca="false">IF(OR(H2539&lt;1,H2539&gt;10),1,0)</f>
        <v>0</v>
      </c>
      <c r="X2539" s="9" t="n">
        <f aca="false">IF(OR(I2539&lt;=0,I2539&gt;1500),1,0)</f>
        <v>0</v>
      </c>
      <c r="Y2539" s="9" t="n">
        <f aca="false">IF(J2539&gt;H2539*I2539,1,0)</f>
        <v>0</v>
      </c>
      <c r="Z2539" s="9" t="n">
        <f aca="false">IF(AND(N2539&lt;&gt;"",OR(N2539&lt;1,N2539&gt;5)),1,0)</f>
        <v>0</v>
      </c>
      <c r="AA2539" s="9" t="n">
        <f aca="false">IF(AND(M2539&lt;&gt;"",OR(M2539&lt;5,M2539&gt;180)),1,0)</f>
        <v>0</v>
      </c>
      <c r="AB2539" s="7" t="str">
        <f aca="false">IF(P2539="DUP","Exact duplicate row",IF(T2539=1,"Missing Order ID",IF(S2539="DROP","Duplicate Order ID (less complete row)",IF(U2539=1,"Missing Customer ID",IF(V2539=1,"Missing Restaurant name",IF(W2539=1,"Invalid/outlier quantity",IF(X2539=1,"Invalid/outlier unit price",IF(Y2539=1,"Discount greater than order value",""))))))))</f>
        <v/>
      </c>
      <c r="AC2539" s="7" t="str">
        <f aca="false">IF(AB2539="","KEEP","DROP")</f>
        <v>KEEP</v>
      </c>
      <c r="AD2539" s="7" t="str">
        <f aca="false">IF(TRIM(F2539)="",IFERROR(INDEX(Map_Tables!$I$4:$I$37,MATCH(TRIM(E2539),Map_Tables!$G$4:$G$37,0)),""),IFERROR(INDEX(Map_Tables!$B$4:$B$18,MATCH(TRIM(F2539),Map_Tables!$A$4:$A$18,0)),"CHECK"))</f>
        <v>Mumbai</v>
      </c>
      <c r="AE2539" s="7" t="str">
        <f aca="false">IF(TRIM(E2539)="","",IFERROR(INDEX(Map_Tables!$H$4:$H$37,MATCH(TRIM(E2539),Map_Tables!$G$4:$G$37,0)),"CHECK"))</f>
        <v>Mumbai Pizza Co</v>
      </c>
      <c r="AF2539" s="7" t="str">
        <f aca="false">IF(TRIM(K2539)="","Unknown",IFERROR(INDEX(Map_Tables!$E$4:$E$15,MATCH(TRIM(K2539),Map_Tables!$D$4:$D$15,0)),"CHECK"))</f>
        <v>Wallet</v>
      </c>
      <c r="AG2539" s="7" t="str">
        <f aca="false">IF(LEFT(LOWER(TRIM(L2539)),6)="cancel","Cancelled","Delivered")</f>
        <v>Delivered</v>
      </c>
      <c r="AH2539" s="10" t="n">
        <f aca="false">IF(ISNUMBER(SEARCH("/",B2539)),DATE(VALUE(RIGHT(B2539,4)),VALUE(MID(B2539,4,2)),VALUE(LEFT(B2539,2))),IF(MID(B2539,5,1)="-",DATE(VALUE(LEFT(B2539,4)),VALUE(MID(B2539,6,2)),VALUE(RIGHT(B2539,2))),DATE(VALUE(RIGHT(B2539,4)),MATCH(MID(B2539,4,3),{"Jan","Feb","Mar","Apr","May","Jun","Jul","Aug","Sep","Oct","Nov","Dec"},0),VALUE(LEFT(B2539,2)))))</f>
        <v>45904</v>
      </c>
    </row>
    <row r="2540" customFormat="false" ht="15" hidden="false" customHeight="false" outlineLevel="0" collapsed="false">
      <c r="A2540" s="7" t="s">
        <v>5516</v>
      </c>
      <c r="B2540" s="7" t="s">
        <v>1946</v>
      </c>
      <c r="C2540" s="7" t="s">
        <v>1983</v>
      </c>
      <c r="D2540" s="7" t="s">
        <v>1974</v>
      </c>
      <c r="E2540" s="7" t="s">
        <v>126</v>
      </c>
      <c r="F2540" s="7" t="s">
        <v>101</v>
      </c>
      <c r="G2540" s="7" t="s">
        <v>105</v>
      </c>
      <c r="H2540" s="7" t="n">
        <v>1</v>
      </c>
      <c r="I2540" s="7" t="n">
        <v>255</v>
      </c>
      <c r="J2540" s="7" t="n">
        <v>50</v>
      </c>
      <c r="K2540" s="7" t="s">
        <v>379</v>
      </c>
      <c r="L2540" s="7" t="s">
        <v>194</v>
      </c>
      <c r="M2540" s="7" t="n">
        <v>43</v>
      </c>
      <c r="N2540" s="7" t="n">
        <v>5</v>
      </c>
      <c r="O2540" s="7" t="str">
        <f aca="false">A2540&amp;"|"&amp;B2540&amp;"|"&amp;C2540&amp;"|"&amp;D2540&amp;"|"&amp;E2540&amp;"|"&amp;F2540&amp;"|"&amp;G2540&amp;"|"&amp;H2540&amp;"|"&amp;I2540&amp;"|"&amp;J2540&amp;"|"&amp;K2540&amp;"|"&amp;L2540&amp;"|"&amp;M2540&amp;"|"&amp;N2540</f>
        <v>ORD12030|2025-09-19|19:58|C1017|Dragon Express|Mumbai|Chinese|1|255|50|Credit card|Delivered|43|5</v>
      </c>
      <c r="P2540" s="7" t="str">
        <f aca="false">IF(COUNTIF($O$2:O2540,O2540)&gt;1,"DUP","OK")</f>
        <v>OK</v>
      </c>
      <c r="Q2540" s="7" t="n">
        <f aca="false">COUNTBLANK(A2540:N2540)</f>
        <v>0</v>
      </c>
      <c r="R2540" s="7" t="n">
        <f aca="false">IF(A2540="",0,COUNTIFS($A$2:$A$3058,A2540,$P$2:$P$3058,"OK"))</f>
        <v>1</v>
      </c>
      <c r="S2540" s="7" t="str">
        <f aca="false">IF(OR(A2540="",P2540="DUP",R2540&lt;2),"",IF(Q2540=_xlfn.MINIFS($Q$2:$Q$3058,$A$2:$A$3058,A2540,$P$2:$P$3058,"OK"),"KEEP","DROP"))</f>
        <v/>
      </c>
      <c r="T2540" s="9" t="n">
        <f aca="false">IF(A2540="",1,0)</f>
        <v>0</v>
      </c>
      <c r="U2540" s="9" t="n">
        <f aca="false">IF(D2540="",1,0)</f>
        <v>0</v>
      </c>
      <c r="V2540" s="9" t="n">
        <f aca="false">IF(E2540="",1,0)</f>
        <v>0</v>
      </c>
      <c r="W2540" s="9" t="n">
        <f aca="false">IF(OR(H2540&lt;1,H2540&gt;10),1,0)</f>
        <v>0</v>
      </c>
      <c r="X2540" s="9" t="n">
        <f aca="false">IF(OR(I2540&lt;=0,I2540&gt;1500),1,0)</f>
        <v>0</v>
      </c>
      <c r="Y2540" s="9" t="n">
        <f aca="false">IF(J2540&gt;H2540*I2540,1,0)</f>
        <v>0</v>
      </c>
      <c r="Z2540" s="9" t="n">
        <f aca="false">IF(AND(N2540&lt;&gt;"",OR(N2540&lt;1,N2540&gt;5)),1,0)</f>
        <v>0</v>
      </c>
      <c r="AA2540" s="9" t="n">
        <f aca="false">IF(AND(M2540&lt;&gt;"",OR(M2540&lt;5,M2540&gt;180)),1,0)</f>
        <v>0</v>
      </c>
      <c r="AB2540" s="7" t="str">
        <f aca="false">IF(P2540="DUP","Exact duplicate row",IF(T2540=1,"Missing Order ID",IF(S2540="DROP","Duplicate Order ID (less complete row)",IF(U2540=1,"Missing Customer ID",IF(V2540=1,"Missing Restaurant name",IF(W2540=1,"Invalid/outlier quantity",IF(X2540=1,"Invalid/outlier unit price",IF(Y2540=1,"Discount greater than order value",""))))))))</f>
        <v/>
      </c>
      <c r="AC2540" s="7" t="str">
        <f aca="false">IF(AB2540="","KEEP","DROP")</f>
        <v>KEEP</v>
      </c>
      <c r="AD2540" s="7" t="str">
        <f aca="false">IF(TRIM(F2540)="",IFERROR(INDEX(Map_Tables!$I$4:$I$37,MATCH(TRIM(E2540),Map_Tables!$G$4:$G$37,0)),""),IFERROR(INDEX(Map_Tables!$B$4:$B$18,MATCH(TRIM(F2540),Map_Tables!$A$4:$A$18,0)),"CHECK"))</f>
        <v>Mumbai</v>
      </c>
      <c r="AE2540" s="7" t="str">
        <f aca="false">IF(TRIM(E2540)="","",IFERROR(INDEX(Map_Tables!$H$4:$H$37,MATCH(TRIM(E2540),Map_Tables!$G$4:$G$37,0)),"CHECK"))</f>
        <v>Dragon Express</v>
      </c>
      <c r="AF2540" s="7" t="str">
        <f aca="false">IF(TRIM(K2540)="","Unknown",IFERROR(INDEX(Map_Tables!$E$4:$E$15,MATCH(TRIM(K2540),Map_Tables!$D$4:$D$15,0)),"CHECK"))</f>
        <v>Credit Card</v>
      </c>
      <c r="AG2540" s="7" t="str">
        <f aca="false">IF(LEFT(LOWER(TRIM(L2540)),6)="cancel","Cancelled","Delivered")</f>
        <v>Delivered</v>
      </c>
      <c r="AH2540" s="10" t="n">
        <f aca="false">IF(ISNUMBER(SEARCH("/",B2540)),DATE(VALUE(RIGHT(B2540,4)),VALUE(MID(B2540,4,2)),VALUE(LEFT(B2540,2))),IF(MID(B2540,5,1)="-",DATE(VALUE(LEFT(B2540,4)),VALUE(MID(B2540,6,2)),VALUE(RIGHT(B2540,2))),DATE(VALUE(RIGHT(B2540,4)),MATCH(MID(B2540,4,3),{"Jan","Feb","Mar","Apr","May","Jun","Jul","Aug","Sep","Oct","Nov","Dec"},0),VALUE(LEFT(B2540,2)))))</f>
        <v>45919</v>
      </c>
    </row>
    <row r="2541" customFormat="false" ht="15" hidden="false" customHeight="false" outlineLevel="0" collapsed="false">
      <c r="A2541" s="7" t="s">
        <v>5517</v>
      </c>
      <c r="B2541" s="7" t="s">
        <v>800</v>
      </c>
      <c r="C2541" s="7" t="s">
        <v>661</v>
      </c>
      <c r="D2541" s="7" t="s">
        <v>1031</v>
      </c>
      <c r="E2541" s="7" t="s">
        <v>94</v>
      </c>
      <c r="F2541" s="7" t="s">
        <v>785</v>
      </c>
      <c r="G2541" s="7" t="s">
        <v>95</v>
      </c>
      <c r="H2541" s="7" t="n">
        <v>1</v>
      </c>
      <c r="I2541" s="7" t="n">
        <v>115</v>
      </c>
      <c r="J2541" s="7" t="n">
        <v>40</v>
      </c>
      <c r="K2541" s="7" t="s">
        <v>103</v>
      </c>
      <c r="L2541" s="7" t="s">
        <v>194</v>
      </c>
      <c r="M2541" s="7" t="n">
        <v>48</v>
      </c>
      <c r="N2541" s="7" t="n">
        <v>4</v>
      </c>
      <c r="O2541" s="7" t="str">
        <f aca="false">A2541&amp;"|"&amp;B2541&amp;"|"&amp;C2541&amp;"|"&amp;D2541&amp;"|"&amp;E2541&amp;"|"&amp;F2541&amp;"|"&amp;G2541&amp;"|"&amp;H2541&amp;"|"&amp;I2541&amp;"|"&amp;J2541&amp;"|"&amp;K2541&amp;"|"&amp;L2541&amp;"|"&amp;M2541&amp;"|"&amp;N2541</f>
        <v>ORD11131|2025-05-24|12:35|C0002|Dosa Darbar|Bengaluru |South Indian|1|115|40|Debit Card|Delivered|48|4</v>
      </c>
      <c r="P2541" s="7" t="str">
        <f aca="false">IF(COUNTIF($O$2:O2541,O2541)&gt;1,"DUP","OK")</f>
        <v>OK</v>
      </c>
      <c r="Q2541" s="7" t="n">
        <f aca="false">COUNTBLANK(A2541:N2541)</f>
        <v>0</v>
      </c>
      <c r="R2541" s="7" t="n">
        <f aca="false">IF(A2541="",0,COUNTIFS($A$2:$A$3058,A2541,$P$2:$P$3058,"OK"))</f>
        <v>1</v>
      </c>
      <c r="S2541" s="7" t="str">
        <f aca="false">IF(OR(A2541="",P2541="DUP",R2541&lt;2),"",IF(Q2541=_xlfn.MINIFS($Q$2:$Q$3058,$A$2:$A$3058,A2541,$P$2:$P$3058,"OK"),"KEEP","DROP"))</f>
        <v/>
      </c>
      <c r="T2541" s="9" t="n">
        <f aca="false">IF(A2541="",1,0)</f>
        <v>0</v>
      </c>
      <c r="U2541" s="9" t="n">
        <f aca="false">IF(D2541="",1,0)</f>
        <v>0</v>
      </c>
      <c r="V2541" s="9" t="n">
        <f aca="false">IF(E2541="",1,0)</f>
        <v>0</v>
      </c>
      <c r="W2541" s="9" t="n">
        <f aca="false">IF(OR(H2541&lt;1,H2541&gt;10),1,0)</f>
        <v>0</v>
      </c>
      <c r="X2541" s="9" t="n">
        <f aca="false">IF(OR(I2541&lt;=0,I2541&gt;1500),1,0)</f>
        <v>0</v>
      </c>
      <c r="Y2541" s="9" t="n">
        <f aca="false">IF(J2541&gt;H2541*I2541,1,0)</f>
        <v>0</v>
      </c>
      <c r="Z2541" s="9" t="n">
        <f aca="false">IF(AND(N2541&lt;&gt;"",OR(N2541&lt;1,N2541&gt;5)),1,0)</f>
        <v>0</v>
      </c>
      <c r="AA2541" s="9" t="n">
        <f aca="false">IF(AND(M2541&lt;&gt;"",OR(M2541&lt;5,M2541&gt;180)),1,0)</f>
        <v>0</v>
      </c>
      <c r="AB2541" s="7" t="str">
        <f aca="false">IF(P2541="DUP","Exact duplicate row",IF(T2541=1,"Missing Order ID",IF(S2541="DROP","Duplicate Order ID (less complete row)",IF(U2541=1,"Missing Customer ID",IF(V2541=1,"Missing Restaurant name",IF(W2541=1,"Invalid/outlier quantity",IF(X2541=1,"Invalid/outlier unit price",IF(Y2541=1,"Discount greater than order value",""))))))))</f>
        <v/>
      </c>
      <c r="AC2541" s="7" t="str">
        <f aca="false">IF(AB2541="","KEEP","DROP")</f>
        <v>KEEP</v>
      </c>
      <c r="AD2541" s="7" t="str">
        <f aca="false">IF(TRIM(F2541)="",IFERROR(INDEX(Map_Tables!$I$4:$I$37,MATCH(TRIM(E2541),Map_Tables!$G$4:$G$37,0)),""),IFERROR(INDEX(Map_Tables!$B$4:$B$18,MATCH(TRIM(F2541),Map_Tables!$A$4:$A$18,0)),"CHECK"))</f>
        <v>Bengaluru</v>
      </c>
      <c r="AE2541" s="7" t="str">
        <f aca="false">IF(TRIM(E2541)="","",IFERROR(INDEX(Map_Tables!$H$4:$H$37,MATCH(TRIM(E2541),Map_Tables!$G$4:$G$37,0)),"CHECK"))</f>
        <v>Dosa Darbar</v>
      </c>
      <c r="AF2541" s="7" t="str">
        <f aca="false">IF(TRIM(K2541)="","Unknown",IFERROR(INDEX(Map_Tables!$E$4:$E$15,MATCH(TRIM(K2541),Map_Tables!$D$4:$D$15,0)),"CHECK"))</f>
        <v>Debit Card</v>
      </c>
      <c r="AG2541" s="7" t="str">
        <f aca="false">IF(LEFT(LOWER(TRIM(L2541)),6)="cancel","Cancelled","Delivered")</f>
        <v>Delivered</v>
      </c>
      <c r="AH2541" s="10" t="n">
        <f aca="false">IF(ISNUMBER(SEARCH("/",B2541)),DATE(VALUE(RIGHT(B2541,4)),VALUE(MID(B2541,4,2)),VALUE(LEFT(B2541,2))),IF(MID(B2541,5,1)="-",DATE(VALUE(LEFT(B2541,4)),VALUE(MID(B2541,6,2)),VALUE(RIGHT(B2541,2))),DATE(VALUE(RIGHT(B2541,4)),MATCH(MID(B2541,4,3),{"Jan","Feb","Mar","Apr","May","Jun","Jul","Aug","Sep","Oct","Nov","Dec"},0),VALUE(LEFT(B2541,2)))))</f>
        <v>45801</v>
      </c>
    </row>
    <row r="2542" customFormat="false" ht="15" hidden="false" customHeight="false" outlineLevel="0" collapsed="false">
      <c r="A2542" s="7" t="s">
        <v>5518</v>
      </c>
      <c r="B2542" s="7" t="s">
        <v>1160</v>
      </c>
      <c r="C2542" s="7" t="s">
        <v>679</v>
      </c>
      <c r="D2542" s="7" t="s">
        <v>3624</v>
      </c>
      <c r="E2542" s="7" t="s">
        <v>94</v>
      </c>
      <c r="F2542" s="7" t="s">
        <v>86</v>
      </c>
      <c r="G2542" s="7" t="s">
        <v>95</v>
      </c>
      <c r="H2542" s="7" t="n">
        <v>1</v>
      </c>
      <c r="I2542" s="7" t="n">
        <v>105</v>
      </c>
      <c r="J2542" s="7" t="n">
        <v>0</v>
      </c>
      <c r="K2542" s="7" t="s">
        <v>421</v>
      </c>
      <c r="L2542" s="7" t="s">
        <v>194</v>
      </c>
      <c r="M2542" s="7" t="n">
        <v>43</v>
      </c>
      <c r="N2542" s="7" t="n">
        <v>5</v>
      </c>
      <c r="O2542" s="7" t="str">
        <f aca="false">A2542&amp;"|"&amp;B2542&amp;"|"&amp;C2542&amp;"|"&amp;D2542&amp;"|"&amp;E2542&amp;"|"&amp;F2542&amp;"|"&amp;G2542&amp;"|"&amp;H2542&amp;"|"&amp;I2542&amp;"|"&amp;J2542&amp;"|"&amp;K2542&amp;"|"&amp;L2542&amp;"|"&amp;M2542&amp;"|"&amp;N2542</f>
        <v>ORD10543|2025-03-11|11:00|C0831|Dosa Darbar|Bengaluru|South Indian|1|105|0|UPI |Delivered|43|5</v>
      </c>
      <c r="P2542" s="7" t="str">
        <f aca="false">IF(COUNTIF($O$2:O2542,O2542)&gt;1,"DUP","OK")</f>
        <v>OK</v>
      </c>
      <c r="Q2542" s="7" t="n">
        <f aca="false">COUNTBLANK(A2542:N2542)</f>
        <v>0</v>
      </c>
      <c r="R2542" s="7" t="n">
        <f aca="false">IF(A2542="",0,COUNTIFS($A$2:$A$3058,A2542,$P$2:$P$3058,"OK"))</f>
        <v>1</v>
      </c>
      <c r="S2542" s="7" t="str">
        <f aca="false">IF(OR(A2542="",P2542="DUP",R2542&lt;2),"",IF(Q2542=_xlfn.MINIFS($Q$2:$Q$3058,$A$2:$A$3058,A2542,$P$2:$P$3058,"OK"),"KEEP","DROP"))</f>
        <v/>
      </c>
      <c r="T2542" s="9" t="n">
        <f aca="false">IF(A2542="",1,0)</f>
        <v>0</v>
      </c>
      <c r="U2542" s="9" t="n">
        <f aca="false">IF(D2542="",1,0)</f>
        <v>0</v>
      </c>
      <c r="V2542" s="9" t="n">
        <f aca="false">IF(E2542="",1,0)</f>
        <v>0</v>
      </c>
      <c r="W2542" s="9" t="n">
        <f aca="false">IF(OR(H2542&lt;1,H2542&gt;10),1,0)</f>
        <v>0</v>
      </c>
      <c r="X2542" s="9" t="n">
        <f aca="false">IF(OR(I2542&lt;=0,I2542&gt;1500),1,0)</f>
        <v>0</v>
      </c>
      <c r="Y2542" s="9" t="n">
        <f aca="false">IF(J2542&gt;H2542*I2542,1,0)</f>
        <v>0</v>
      </c>
      <c r="Z2542" s="9" t="n">
        <f aca="false">IF(AND(N2542&lt;&gt;"",OR(N2542&lt;1,N2542&gt;5)),1,0)</f>
        <v>0</v>
      </c>
      <c r="AA2542" s="9" t="n">
        <f aca="false">IF(AND(M2542&lt;&gt;"",OR(M2542&lt;5,M2542&gt;180)),1,0)</f>
        <v>0</v>
      </c>
      <c r="AB2542" s="7" t="str">
        <f aca="false">IF(P2542="DUP","Exact duplicate row",IF(T2542=1,"Missing Order ID",IF(S2542="DROP","Duplicate Order ID (less complete row)",IF(U2542=1,"Missing Customer ID",IF(V2542=1,"Missing Restaurant name",IF(W2542=1,"Invalid/outlier quantity",IF(X2542=1,"Invalid/outlier unit price",IF(Y2542=1,"Discount greater than order value",""))))))))</f>
        <v/>
      </c>
      <c r="AC2542" s="7" t="str">
        <f aca="false">IF(AB2542="","KEEP","DROP")</f>
        <v>KEEP</v>
      </c>
      <c r="AD2542" s="7" t="str">
        <f aca="false">IF(TRIM(F2542)="",IFERROR(INDEX(Map_Tables!$I$4:$I$37,MATCH(TRIM(E2542),Map_Tables!$G$4:$G$37,0)),""),IFERROR(INDEX(Map_Tables!$B$4:$B$18,MATCH(TRIM(F2542),Map_Tables!$A$4:$A$18,0)),"CHECK"))</f>
        <v>Bengaluru</v>
      </c>
      <c r="AE2542" s="7" t="str">
        <f aca="false">IF(TRIM(E2542)="","",IFERROR(INDEX(Map_Tables!$H$4:$H$37,MATCH(TRIM(E2542),Map_Tables!$G$4:$G$37,0)),"CHECK"))</f>
        <v>Dosa Darbar</v>
      </c>
      <c r="AF2542" s="7" t="str">
        <f aca="false">IF(TRIM(K2542)="","Unknown",IFERROR(INDEX(Map_Tables!$E$4:$E$15,MATCH(TRIM(K2542),Map_Tables!$D$4:$D$15,0)),"CHECK"))</f>
        <v>UPI</v>
      </c>
      <c r="AG2542" s="7" t="str">
        <f aca="false">IF(LEFT(LOWER(TRIM(L2542)),6)="cancel","Cancelled","Delivered")</f>
        <v>Delivered</v>
      </c>
      <c r="AH2542" s="10" t="n">
        <f aca="false">IF(ISNUMBER(SEARCH("/",B2542)),DATE(VALUE(RIGHT(B2542,4)),VALUE(MID(B2542,4,2)),VALUE(LEFT(B2542,2))),IF(MID(B2542,5,1)="-",DATE(VALUE(LEFT(B2542,4)),VALUE(MID(B2542,6,2)),VALUE(RIGHT(B2542,2))),DATE(VALUE(RIGHT(B2542,4)),MATCH(MID(B2542,4,3),{"Jan","Feb","Mar","Apr","May","Jun","Jul","Aug","Sep","Oct","Nov","Dec"},0),VALUE(LEFT(B2542,2)))))</f>
        <v>45727</v>
      </c>
    </row>
    <row r="2543" customFormat="false" ht="15" hidden="false" customHeight="false" outlineLevel="0" collapsed="false">
      <c r="A2543" s="7" t="s">
        <v>5519</v>
      </c>
      <c r="B2543" s="7" t="s">
        <v>739</v>
      </c>
      <c r="C2543" s="7" t="s">
        <v>3183</v>
      </c>
      <c r="D2543" s="7" t="s">
        <v>5022</v>
      </c>
      <c r="E2543" s="7" t="s">
        <v>98</v>
      </c>
      <c r="F2543" s="7" t="s">
        <v>86</v>
      </c>
      <c r="G2543" s="7" t="s">
        <v>99</v>
      </c>
      <c r="H2543" s="7" t="n">
        <v>2</v>
      </c>
      <c r="I2543" s="7" t="n">
        <v>305</v>
      </c>
      <c r="J2543" s="7" t="n">
        <v>0</v>
      </c>
      <c r="K2543" s="7" t="s">
        <v>1173</v>
      </c>
      <c r="L2543" s="7" t="s">
        <v>194</v>
      </c>
      <c r="M2543" s="7" t="n">
        <v>36</v>
      </c>
      <c r="N2543" s="7" t="n">
        <v>4</v>
      </c>
      <c r="O2543" s="7" t="str">
        <f aca="false">A2543&amp;"|"&amp;B2543&amp;"|"&amp;C2543&amp;"|"&amp;D2543&amp;"|"&amp;E2543&amp;"|"&amp;F2543&amp;"|"&amp;G2543&amp;"|"&amp;H2543&amp;"|"&amp;I2543&amp;"|"&amp;J2543&amp;"|"&amp;K2543&amp;"|"&amp;L2543&amp;"|"&amp;M2543&amp;"|"&amp;N2543</f>
        <v>ORD10794|2025-04-11|12:05|C1264|Nawabi Biryani House|Bengaluru|Biryani|2|305|0|E-Wallet|Delivered|36|4</v>
      </c>
      <c r="P2543" s="7" t="str">
        <f aca="false">IF(COUNTIF($O$2:O2543,O2543)&gt;1,"DUP","OK")</f>
        <v>OK</v>
      </c>
      <c r="Q2543" s="7" t="n">
        <f aca="false">COUNTBLANK(A2543:N2543)</f>
        <v>0</v>
      </c>
      <c r="R2543" s="7" t="n">
        <f aca="false">IF(A2543="",0,COUNTIFS($A$2:$A$3058,A2543,$P$2:$P$3058,"OK"))</f>
        <v>1</v>
      </c>
      <c r="S2543" s="7" t="str">
        <f aca="false">IF(OR(A2543="",P2543="DUP",R2543&lt;2),"",IF(Q2543=_xlfn.MINIFS($Q$2:$Q$3058,$A$2:$A$3058,A2543,$P$2:$P$3058,"OK"),"KEEP","DROP"))</f>
        <v/>
      </c>
      <c r="T2543" s="9" t="n">
        <f aca="false">IF(A2543="",1,0)</f>
        <v>0</v>
      </c>
      <c r="U2543" s="9" t="n">
        <f aca="false">IF(D2543="",1,0)</f>
        <v>0</v>
      </c>
      <c r="V2543" s="9" t="n">
        <f aca="false">IF(E2543="",1,0)</f>
        <v>0</v>
      </c>
      <c r="W2543" s="9" t="n">
        <f aca="false">IF(OR(H2543&lt;1,H2543&gt;10),1,0)</f>
        <v>0</v>
      </c>
      <c r="X2543" s="9" t="n">
        <f aca="false">IF(OR(I2543&lt;=0,I2543&gt;1500),1,0)</f>
        <v>0</v>
      </c>
      <c r="Y2543" s="9" t="n">
        <f aca="false">IF(J2543&gt;H2543*I2543,1,0)</f>
        <v>0</v>
      </c>
      <c r="Z2543" s="9" t="n">
        <f aca="false">IF(AND(N2543&lt;&gt;"",OR(N2543&lt;1,N2543&gt;5)),1,0)</f>
        <v>0</v>
      </c>
      <c r="AA2543" s="9" t="n">
        <f aca="false">IF(AND(M2543&lt;&gt;"",OR(M2543&lt;5,M2543&gt;180)),1,0)</f>
        <v>0</v>
      </c>
      <c r="AB2543" s="7" t="str">
        <f aca="false">IF(P2543="DUP","Exact duplicate row",IF(T2543=1,"Missing Order ID",IF(S2543="DROP","Duplicate Order ID (less complete row)",IF(U2543=1,"Missing Customer ID",IF(V2543=1,"Missing Restaurant name",IF(W2543=1,"Invalid/outlier quantity",IF(X2543=1,"Invalid/outlier unit price",IF(Y2543=1,"Discount greater than order value",""))))))))</f>
        <v/>
      </c>
      <c r="AC2543" s="7" t="str">
        <f aca="false">IF(AB2543="","KEEP","DROP")</f>
        <v>KEEP</v>
      </c>
      <c r="AD2543" s="7" t="str">
        <f aca="false">IF(TRIM(F2543)="",IFERROR(INDEX(Map_Tables!$I$4:$I$37,MATCH(TRIM(E2543),Map_Tables!$G$4:$G$37,0)),""),IFERROR(INDEX(Map_Tables!$B$4:$B$18,MATCH(TRIM(F2543),Map_Tables!$A$4:$A$18,0)),"CHECK"))</f>
        <v>Bengaluru</v>
      </c>
      <c r="AE2543" s="7" t="str">
        <f aca="false">IF(TRIM(E2543)="","",IFERROR(INDEX(Map_Tables!$H$4:$H$37,MATCH(TRIM(E2543),Map_Tables!$G$4:$G$37,0)),"CHECK"))</f>
        <v>Nawabi Biryani House</v>
      </c>
      <c r="AF2543" s="7" t="str">
        <f aca="false">IF(TRIM(K2543)="","Unknown",IFERROR(INDEX(Map_Tables!$E$4:$E$15,MATCH(TRIM(K2543),Map_Tables!$D$4:$D$15,0)),"CHECK"))</f>
        <v>Wallet</v>
      </c>
      <c r="AG2543" s="7" t="str">
        <f aca="false">IF(LEFT(LOWER(TRIM(L2543)),6)="cancel","Cancelled","Delivered")</f>
        <v>Delivered</v>
      </c>
      <c r="AH2543" s="10" t="n">
        <f aca="false">IF(ISNUMBER(SEARCH("/",B2543)),DATE(VALUE(RIGHT(B2543,4)),VALUE(MID(B2543,4,2)),VALUE(LEFT(B2543,2))),IF(MID(B2543,5,1)="-",DATE(VALUE(LEFT(B2543,4)),VALUE(MID(B2543,6,2)),VALUE(RIGHT(B2543,2))),DATE(VALUE(RIGHT(B2543,4)),MATCH(MID(B2543,4,3),{"Jan","Feb","Mar","Apr","May","Jun","Jul","Aug","Sep","Oct","Nov","Dec"},0),VALUE(LEFT(B2543,2)))))</f>
        <v>45758</v>
      </c>
    </row>
    <row r="2544" customFormat="false" ht="15" hidden="false" customHeight="false" outlineLevel="0" collapsed="false">
      <c r="A2544" s="7" t="s">
        <v>5520</v>
      </c>
      <c r="B2544" s="7" t="s">
        <v>1670</v>
      </c>
      <c r="C2544" s="7" t="s">
        <v>437</v>
      </c>
      <c r="D2544" s="7" t="s">
        <v>4436</v>
      </c>
      <c r="E2544" s="7" t="s">
        <v>168</v>
      </c>
      <c r="F2544" s="7" t="s">
        <v>145</v>
      </c>
      <c r="G2544" s="7" t="s">
        <v>123</v>
      </c>
      <c r="H2544" s="7" t="n">
        <v>4</v>
      </c>
      <c r="I2544" s="7" t="n">
        <v>260</v>
      </c>
      <c r="J2544" s="7" t="n">
        <v>0</v>
      </c>
      <c r="K2544" s="7" t="s">
        <v>93</v>
      </c>
      <c r="L2544" s="7" t="s">
        <v>194</v>
      </c>
      <c r="M2544" s="7" t="n">
        <v>40</v>
      </c>
      <c r="N2544" s="7" t="n">
        <v>5</v>
      </c>
      <c r="O2544" s="7" t="str">
        <f aca="false">A2544&amp;"|"&amp;B2544&amp;"|"&amp;C2544&amp;"|"&amp;D2544&amp;"|"&amp;E2544&amp;"|"&amp;F2544&amp;"|"&amp;G2544&amp;"|"&amp;H2544&amp;"|"&amp;I2544&amp;"|"&amp;J2544&amp;"|"&amp;K2544&amp;"|"&amp;L2544&amp;"|"&amp;M2544&amp;"|"&amp;N2544</f>
        <v>ORD11726|2025-08-14|22:59|C0251|Cheesy Slice|ahmedabad|Pizza|4|260|0|Credit Card|Delivered|40|5</v>
      </c>
      <c r="P2544" s="7" t="str">
        <f aca="false">IF(COUNTIF($O$2:O2544,O2544)&gt;1,"DUP","OK")</f>
        <v>OK</v>
      </c>
      <c r="Q2544" s="7" t="n">
        <f aca="false">COUNTBLANK(A2544:N2544)</f>
        <v>0</v>
      </c>
      <c r="R2544" s="7" t="n">
        <f aca="false">IF(A2544="",0,COUNTIFS($A$2:$A$3058,A2544,$P$2:$P$3058,"OK"))</f>
        <v>1</v>
      </c>
      <c r="S2544" s="7" t="str">
        <f aca="false">IF(OR(A2544="",P2544="DUP",R2544&lt;2),"",IF(Q2544=_xlfn.MINIFS($Q$2:$Q$3058,$A$2:$A$3058,A2544,$P$2:$P$3058,"OK"),"KEEP","DROP"))</f>
        <v/>
      </c>
      <c r="T2544" s="9" t="n">
        <f aca="false">IF(A2544="",1,0)</f>
        <v>0</v>
      </c>
      <c r="U2544" s="9" t="n">
        <f aca="false">IF(D2544="",1,0)</f>
        <v>0</v>
      </c>
      <c r="V2544" s="9" t="n">
        <f aca="false">IF(E2544="",1,0)</f>
        <v>0</v>
      </c>
      <c r="W2544" s="9" t="n">
        <f aca="false">IF(OR(H2544&lt;1,H2544&gt;10),1,0)</f>
        <v>0</v>
      </c>
      <c r="X2544" s="9" t="n">
        <f aca="false">IF(OR(I2544&lt;=0,I2544&gt;1500),1,0)</f>
        <v>0</v>
      </c>
      <c r="Y2544" s="9" t="n">
        <f aca="false">IF(J2544&gt;H2544*I2544,1,0)</f>
        <v>0</v>
      </c>
      <c r="Z2544" s="9" t="n">
        <f aca="false">IF(AND(N2544&lt;&gt;"",OR(N2544&lt;1,N2544&gt;5)),1,0)</f>
        <v>0</v>
      </c>
      <c r="AA2544" s="9" t="n">
        <f aca="false">IF(AND(M2544&lt;&gt;"",OR(M2544&lt;5,M2544&gt;180)),1,0)</f>
        <v>0</v>
      </c>
      <c r="AB2544" s="7" t="str">
        <f aca="false">IF(P2544="DUP","Exact duplicate row",IF(T2544=1,"Missing Order ID",IF(S2544="DROP","Duplicate Order ID (less complete row)",IF(U2544=1,"Missing Customer ID",IF(V2544=1,"Missing Restaurant name",IF(W2544=1,"Invalid/outlier quantity",IF(X2544=1,"Invalid/outlier unit price",IF(Y2544=1,"Discount greater than order value",""))))))))</f>
        <v/>
      </c>
      <c r="AC2544" s="7" t="str">
        <f aca="false">IF(AB2544="","KEEP","DROP")</f>
        <v>KEEP</v>
      </c>
      <c r="AD2544" s="7" t="str">
        <f aca="false">IF(TRIM(F2544)="",IFERROR(INDEX(Map_Tables!$I$4:$I$37,MATCH(TRIM(E2544),Map_Tables!$G$4:$G$37,0)),""),IFERROR(INDEX(Map_Tables!$B$4:$B$18,MATCH(TRIM(F2544),Map_Tables!$A$4:$A$18,0)),"CHECK"))</f>
        <v>Ahmedabad</v>
      </c>
      <c r="AE2544" s="7" t="str">
        <f aca="false">IF(TRIM(E2544)="","",IFERROR(INDEX(Map_Tables!$H$4:$H$37,MATCH(TRIM(E2544),Map_Tables!$G$4:$G$37,0)),"CHECK"))</f>
        <v>Cheesy Slice</v>
      </c>
      <c r="AF2544" s="7" t="str">
        <f aca="false">IF(TRIM(K2544)="","Unknown",IFERROR(INDEX(Map_Tables!$E$4:$E$15,MATCH(TRIM(K2544),Map_Tables!$D$4:$D$15,0)),"CHECK"))</f>
        <v>Credit Card</v>
      </c>
      <c r="AG2544" s="7" t="str">
        <f aca="false">IF(LEFT(LOWER(TRIM(L2544)),6)="cancel","Cancelled","Delivered")</f>
        <v>Delivered</v>
      </c>
      <c r="AH2544" s="10" t="n">
        <f aca="false">IF(ISNUMBER(SEARCH("/",B2544)),DATE(VALUE(RIGHT(B2544,4)),VALUE(MID(B2544,4,2)),VALUE(LEFT(B2544,2))),IF(MID(B2544,5,1)="-",DATE(VALUE(LEFT(B2544,4)),VALUE(MID(B2544,6,2)),VALUE(RIGHT(B2544,2))),DATE(VALUE(RIGHT(B2544,4)),MATCH(MID(B2544,4,3),{"Jan","Feb","Mar","Apr","May","Jun","Jul","Aug","Sep","Oct","Nov","Dec"},0),VALUE(LEFT(B2544,2)))))</f>
        <v>45883</v>
      </c>
    </row>
    <row r="2545" customFormat="false" ht="15" hidden="false" customHeight="false" outlineLevel="0" collapsed="false">
      <c r="A2545" s="7" t="s">
        <v>5521</v>
      </c>
      <c r="B2545" s="7" t="s">
        <v>727</v>
      </c>
      <c r="C2545" s="7" t="s">
        <v>1684</v>
      </c>
      <c r="D2545" s="7" t="s">
        <v>1518</v>
      </c>
      <c r="E2545" s="7" t="s">
        <v>158</v>
      </c>
      <c r="F2545" s="7" t="s">
        <v>136</v>
      </c>
      <c r="G2545" s="7" t="s">
        <v>139</v>
      </c>
      <c r="H2545" s="7" t="n">
        <v>2</v>
      </c>
      <c r="I2545" s="7" t="n">
        <v>190</v>
      </c>
      <c r="J2545" s="7" t="n">
        <v>0</v>
      </c>
      <c r="K2545" s="7" t="s">
        <v>971</v>
      </c>
      <c r="L2545" s="7" t="s">
        <v>194</v>
      </c>
      <c r="M2545" s="7" t="n">
        <v>33</v>
      </c>
      <c r="N2545" s="7" t="n">
        <v>4</v>
      </c>
      <c r="O2545" s="7" t="str">
        <f aca="false">A2545&amp;"|"&amp;B2545&amp;"|"&amp;C2545&amp;"|"&amp;D2545&amp;"|"&amp;E2545&amp;"|"&amp;F2545&amp;"|"&amp;G2545&amp;"|"&amp;H2545&amp;"|"&amp;I2545&amp;"|"&amp;J2545&amp;"|"&amp;K2545&amp;"|"&amp;L2545&amp;"|"&amp;M2545&amp;"|"&amp;N2545</f>
        <v>ORD10629|2025-03-21|11:30|C0711|Pune Burger Hub|Pune|Burgers|2|190|0|Paytm Wallet|Delivered|33|4</v>
      </c>
      <c r="P2545" s="7" t="str">
        <f aca="false">IF(COUNTIF($O$2:O2545,O2545)&gt;1,"DUP","OK")</f>
        <v>OK</v>
      </c>
      <c r="Q2545" s="7" t="n">
        <f aca="false">COUNTBLANK(A2545:N2545)</f>
        <v>0</v>
      </c>
      <c r="R2545" s="7" t="n">
        <f aca="false">IF(A2545="",0,COUNTIFS($A$2:$A$3058,A2545,$P$2:$P$3058,"OK"))</f>
        <v>1</v>
      </c>
      <c r="S2545" s="7" t="str">
        <f aca="false">IF(OR(A2545="",P2545="DUP",R2545&lt;2),"",IF(Q2545=_xlfn.MINIFS($Q$2:$Q$3058,$A$2:$A$3058,A2545,$P$2:$P$3058,"OK"),"KEEP","DROP"))</f>
        <v/>
      </c>
      <c r="T2545" s="9" t="n">
        <f aca="false">IF(A2545="",1,0)</f>
        <v>0</v>
      </c>
      <c r="U2545" s="9" t="n">
        <f aca="false">IF(D2545="",1,0)</f>
        <v>0</v>
      </c>
      <c r="V2545" s="9" t="n">
        <f aca="false">IF(E2545="",1,0)</f>
        <v>0</v>
      </c>
      <c r="W2545" s="9" t="n">
        <f aca="false">IF(OR(H2545&lt;1,H2545&gt;10),1,0)</f>
        <v>0</v>
      </c>
      <c r="X2545" s="9" t="n">
        <f aca="false">IF(OR(I2545&lt;=0,I2545&gt;1500),1,0)</f>
        <v>0</v>
      </c>
      <c r="Y2545" s="9" t="n">
        <f aca="false">IF(J2545&gt;H2545*I2545,1,0)</f>
        <v>0</v>
      </c>
      <c r="Z2545" s="9" t="n">
        <f aca="false">IF(AND(N2545&lt;&gt;"",OR(N2545&lt;1,N2545&gt;5)),1,0)</f>
        <v>0</v>
      </c>
      <c r="AA2545" s="9" t="n">
        <f aca="false">IF(AND(M2545&lt;&gt;"",OR(M2545&lt;5,M2545&gt;180)),1,0)</f>
        <v>0</v>
      </c>
      <c r="AB2545" s="7" t="str">
        <f aca="false">IF(P2545="DUP","Exact duplicate row",IF(T2545=1,"Missing Order ID",IF(S2545="DROP","Duplicate Order ID (less complete row)",IF(U2545=1,"Missing Customer ID",IF(V2545=1,"Missing Restaurant name",IF(W2545=1,"Invalid/outlier quantity",IF(X2545=1,"Invalid/outlier unit price",IF(Y2545=1,"Discount greater than order value",""))))))))</f>
        <v/>
      </c>
      <c r="AC2545" s="7" t="str">
        <f aca="false">IF(AB2545="","KEEP","DROP")</f>
        <v>KEEP</v>
      </c>
      <c r="AD2545" s="7" t="str">
        <f aca="false">IF(TRIM(F2545)="",IFERROR(INDEX(Map_Tables!$I$4:$I$37,MATCH(TRIM(E2545),Map_Tables!$G$4:$G$37,0)),""),IFERROR(INDEX(Map_Tables!$B$4:$B$18,MATCH(TRIM(F2545),Map_Tables!$A$4:$A$18,0)),"CHECK"))</f>
        <v>Pune</v>
      </c>
      <c r="AE2545" s="7" t="str">
        <f aca="false">IF(TRIM(E2545)="","",IFERROR(INDEX(Map_Tables!$H$4:$H$37,MATCH(TRIM(E2545),Map_Tables!$G$4:$G$37,0)),"CHECK"))</f>
        <v>Pune Burger Hub</v>
      </c>
      <c r="AF2545" s="7" t="str">
        <f aca="false">IF(TRIM(K2545)="","Unknown",IFERROR(INDEX(Map_Tables!$E$4:$E$15,MATCH(TRIM(K2545),Map_Tables!$D$4:$D$15,0)),"CHECK"))</f>
        <v>Wallet</v>
      </c>
      <c r="AG2545" s="7" t="str">
        <f aca="false">IF(LEFT(LOWER(TRIM(L2545)),6)="cancel","Cancelled","Delivered")</f>
        <v>Delivered</v>
      </c>
      <c r="AH2545" s="10" t="n">
        <f aca="false">IF(ISNUMBER(SEARCH("/",B2545)),DATE(VALUE(RIGHT(B2545,4)),VALUE(MID(B2545,4,2)),VALUE(LEFT(B2545,2))),IF(MID(B2545,5,1)="-",DATE(VALUE(LEFT(B2545,4)),VALUE(MID(B2545,6,2)),VALUE(RIGHT(B2545,2))),DATE(VALUE(RIGHT(B2545,4)),MATCH(MID(B2545,4,3),{"Jan","Feb","Mar","Apr","May","Jun","Jul","Aug","Sep","Oct","Nov","Dec"},0),VALUE(LEFT(B2545,2)))))</f>
        <v>45737</v>
      </c>
    </row>
    <row r="2546" customFormat="false" ht="15" hidden="false" customHeight="false" outlineLevel="0" collapsed="false">
      <c r="A2546" s="7" t="s">
        <v>5522</v>
      </c>
      <c r="B2546" s="7" t="s">
        <v>2324</v>
      </c>
      <c r="C2546" s="7" t="s">
        <v>5523</v>
      </c>
      <c r="D2546" s="7" t="s">
        <v>2618</v>
      </c>
      <c r="E2546" s="7" t="s">
        <v>142</v>
      </c>
      <c r="F2546" s="7" t="s">
        <v>110</v>
      </c>
      <c r="G2546" s="7" t="s">
        <v>105</v>
      </c>
      <c r="H2546" s="7" t="n">
        <v>4</v>
      </c>
      <c r="I2546" s="7" t="n">
        <v>190</v>
      </c>
      <c r="J2546" s="7" t="n">
        <v>150</v>
      </c>
      <c r="K2546" s="7" t="s">
        <v>115</v>
      </c>
      <c r="L2546" s="7" t="s">
        <v>194</v>
      </c>
      <c r="M2546" s="7" t="n">
        <v>27</v>
      </c>
      <c r="N2546" s="7" t="n">
        <v>3</v>
      </c>
      <c r="O2546" s="7" t="str">
        <f aca="false">A2546&amp;"|"&amp;B2546&amp;"|"&amp;C2546&amp;"|"&amp;D2546&amp;"|"&amp;E2546&amp;"|"&amp;F2546&amp;"|"&amp;G2546&amp;"|"&amp;H2546&amp;"|"&amp;I2546&amp;"|"&amp;J2546&amp;"|"&amp;K2546&amp;"|"&amp;L2546&amp;"|"&amp;M2546&amp;"|"&amp;N2546</f>
        <v>ORD12199|2025-10-06|23:11|C1168|Momo Magic|Delhi|Chinese|4|190|150|cash on delivery|Delivered|27|3</v>
      </c>
      <c r="P2546" s="7" t="str">
        <f aca="false">IF(COUNTIF($O$2:O2546,O2546)&gt;1,"DUP","OK")</f>
        <v>OK</v>
      </c>
      <c r="Q2546" s="7" t="n">
        <f aca="false">COUNTBLANK(A2546:N2546)</f>
        <v>0</v>
      </c>
      <c r="R2546" s="7" t="n">
        <f aca="false">IF(A2546="",0,COUNTIFS($A$2:$A$3058,A2546,$P$2:$P$3058,"OK"))</f>
        <v>1</v>
      </c>
      <c r="S2546" s="7" t="str">
        <f aca="false">IF(OR(A2546="",P2546="DUP",R2546&lt;2),"",IF(Q2546=_xlfn.MINIFS($Q$2:$Q$3058,$A$2:$A$3058,A2546,$P$2:$P$3058,"OK"),"KEEP","DROP"))</f>
        <v/>
      </c>
      <c r="T2546" s="9" t="n">
        <f aca="false">IF(A2546="",1,0)</f>
        <v>0</v>
      </c>
      <c r="U2546" s="9" t="n">
        <f aca="false">IF(D2546="",1,0)</f>
        <v>0</v>
      </c>
      <c r="V2546" s="9" t="n">
        <f aca="false">IF(E2546="",1,0)</f>
        <v>0</v>
      </c>
      <c r="W2546" s="9" t="n">
        <f aca="false">IF(OR(H2546&lt;1,H2546&gt;10),1,0)</f>
        <v>0</v>
      </c>
      <c r="X2546" s="9" t="n">
        <f aca="false">IF(OR(I2546&lt;=0,I2546&gt;1500),1,0)</f>
        <v>0</v>
      </c>
      <c r="Y2546" s="9" t="n">
        <f aca="false">IF(J2546&gt;H2546*I2546,1,0)</f>
        <v>0</v>
      </c>
      <c r="Z2546" s="9" t="n">
        <f aca="false">IF(AND(N2546&lt;&gt;"",OR(N2546&lt;1,N2546&gt;5)),1,0)</f>
        <v>0</v>
      </c>
      <c r="AA2546" s="9" t="n">
        <f aca="false">IF(AND(M2546&lt;&gt;"",OR(M2546&lt;5,M2546&gt;180)),1,0)</f>
        <v>0</v>
      </c>
      <c r="AB2546" s="7" t="str">
        <f aca="false">IF(P2546="DUP","Exact duplicate row",IF(T2546=1,"Missing Order ID",IF(S2546="DROP","Duplicate Order ID (less complete row)",IF(U2546=1,"Missing Customer ID",IF(V2546=1,"Missing Restaurant name",IF(W2546=1,"Invalid/outlier quantity",IF(X2546=1,"Invalid/outlier unit price",IF(Y2546=1,"Discount greater than order value",""))))))))</f>
        <v/>
      </c>
      <c r="AC2546" s="7" t="str">
        <f aca="false">IF(AB2546="","KEEP","DROP")</f>
        <v>KEEP</v>
      </c>
      <c r="AD2546" s="7" t="str">
        <f aca="false">IF(TRIM(F2546)="",IFERROR(INDEX(Map_Tables!$I$4:$I$37,MATCH(TRIM(E2546),Map_Tables!$G$4:$G$37,0)),""),IFERROR(INDEX(Map_Tables!$B$4:$B$18,MATCH(TRIM(F2546),Map_Tables!$A$4:$A$18,0)),"CHECK"))</f>
        <v>Delhi</v>
      </c>
      <c r="AE2546" s="7" t="str">
        <f aca="false">IF(TRIM(E2546)="","",IFERROR(INDEX(Map_Tables!$H$4:$H$37,MATCH(TRIM(E2546),Map_Tables!$G$4:$G$37,0)),"CHECK"))</f>
        <v>Momo Magic</v>
      </c>
      <c r="AF2546" s="7" t="str">
        <f aca="false">IF(TRIM(K2546)="","Unknown",IFERROR(INDEX(Map_Tables!$E$4:$E$15,MATCH(TRIM(K2546),Map_Tables!$D$4:$D$15,0)),"CHECK"))</f>
        <v>Cash on Delivery</v>
      </c>
      <c r="AG2546" s="7" t="str">
        <f aca="false">IF(LEFT(LOWER(TRIM(L2546)),6)="cancel","Cancelled","Delivered")</f>
        <v>Delivered</v>
      </c>
      <c r="AH2546" s="10" t="n">
        <f aca="false">IF(ISNUMBER(SEARCH("/",B2546)),DATE(VALUE(RIGHT(B2546,4)),VALUE(MID(B2546,4,2)),VALUE(LEFT(B2546,2))),IF(MID(B2546,5,1)="-",DATE(VALUE(LEFT(B2546,4)),VALUE(MID(B2546,6,2)),VALUE(RIGHT(B2546,2))),DATE(VALUE(RIGHT(B2546,4)),MATCH(MID(B2546,4,3),{"Jan","Feb","Mar","Apr","May","Jun","Jul","Aug","Sep","Oct","Nov","Dec"},0),VALUE(LEFT(B2546,2)))))</f>
        <v>45936</v>
      </c>
    </row>
    <row r="2547" customFormat="false" ht="15" hidden="false" customHeight="false" outlineLevel="0" collapsed="false">
      <c r="A2547" s="7" t="s">
        <v>5524</v>
      </c>
      <c r="B2547" s="7" t="s">
        <v>637</v>
      </c>
      <c r="C2547" s="7" t="s">
        <v>2923</v>
      </c>
      <c r="D2547" s="7" t="s">
        <v>264</v>
      </c>
      <c r="E2547" s="7" t="s">
        <v>122</v>
      </c>
      <c r="F2547" s="7" t="s">
        <v>215</v>
      </c>
      <c r="G2547" s="7" t="s">
        <v>123</v>
      </c>
      <c r="H2547" s="7" t="n">
        <v>1</v>
      </c>
      <c r="I2547" s="7" t="n">
        <v>325</v>
      </c>
      <c r="J2547" s="7" t="n">
        <v>0</v>
      </c>
      <c r="K2547" s="7" t="s">
        <v>88</v>
      </c>
      <c r="L2547" s="7" t="s">
        <v>194</v>
      </c>
      <c r="M2547" s="7" t="n">
        <v>51</v>
      </c>
      <c r="N2547" s="7" t="n">
        <v>4</v>
      </c>
      <c r="O2547" s="7" t="str">
        <f aca="false">A2547&amp;"|"&amp;B2547&amp;"|"&amp;C2547&amp;"|"&amp;D2547&amp;"|"&amp;E2547&amp;"|"&amp;F2547&amp;"|"&amp;G2547&amp;"|"&amp;H2547&amp;"|"&amp;I2547&amp;"|"&amp;J2547&amp;"|"&amp;K2547&amp;"|"&amp;L2547&amp;"|"&amp;M2547&amp;"|"&amp;N2547</f>
        <v>ORD12746|2025-12-02|13:11|C1445|Mumbai Pizza Co|MUMBAI|Pizza|1|325|0|UPI|Delivered|51|4</v>
      </c>
      <c r="P2547" s="7" t="str">
        <f aca="false">IF(COUNTIF($O$2:O2547,O2547)&gt;1,"DUP","OK")</f>
        <v>OK</v>
      </c>
      <c r="Q2547" s="7" t="n">
        <f aca="false">COUNTBLANK(A2547:N2547)</f>
        <v>0</v>
      </c>
      <c r="R2547" s="7" t="n">
        <f aca="false">IF(A2547="",0,COUNTIFS($A$2:$A$3058,A2547,$P$2:$P$3058,"OK"))</f>
        <v>1</v>
      </c>
      <c r="S2547" s="7" t="str">
        <f aca="false">IF(OR(A2547="",P2547="DUP",R2547&lt;2),"",IF(Q2547=_xlfn.MINIFS($Q$2:$Q$3058,$A$2:$A$3058,A2547,$P$2:$P$3058,"OK"),"KEEP","DROP"))</f>
        <v/>
      </c>
      <c r="T2547" s="9" t="n">
        <f aca="false">IF(A2547="",1,0)</f>
        <v>0</v>
      </c>
      <c r="U2547" s="9" t="n">
        <f aca="false">IF(D2547="",1,0)</f>
        <v>0</v>
      </c>
      <c r="V2547" s="9" t="n">
        <f aca="false">IF(E2547="",1,0)</f>
        <v>0</v>
      </c>
      <c r="W2547" s="9" t="n">
        <f aca="false">IF(OR(H2547&lt;1,H2547&gt;10),1,0)</f>
        <v>0</v>
      </c>
      <c r="X2547" s="9" t="n">
        <f aca="false">IF(OR(I2547&lt;=0,I2547&gt;1500),1,0)</f>
        <v>0</v>
      </c>
      <c r="Y2547" s="9" t="n">
        <f aca="false">IF(J2547&gt;H2547*I2547,1,0)</f>
        <v>0</v>
      </c>
      <c r="Z2547" s="9" t="n">
        <f aca="false">IF(AND(N2547&lt;&gt;"",OR(N2547&lt;1,N2547&gt;5)),1,0)</f>
        <v>0</v>
      </c>
      <c r="AA2547" s="9" t="n">
        <f aca="false">IF(AND(M2547&lt;&gt;"",OR(M2547&lt;5,M2547&gt;180)),1,0)</f>
        <v>0</v>
      </c>
      <c r="AB2547" s="7" t="str">
        <f aca="false">IF(P2547="DUP","Exact duplicate row",IF(T2547=1,"Missing Order ID",IF(S2547="DROP","Duplicate Order ID (less complete row)",IF(U2547=1,"Missing Customer ID",IF(V2547=1,"Missing Restaurant name",IF(W2547=1,"Invalid/outlier quantity",IF(X2547=1,"Invalid/outlier unit price",IF(Y2547=1,"Discount greater than order value",""))))))))</f>
        <v/>
      </c>
      <c r="AC2547" s="7" t="str">
        <f aca="false">IF(AB2547="","KEEP","DROP")</f>
        <v>KEEP</v>
      </c>
      <c r="AD2547" s="7" t="str">
        <f aca="false">IF(TRIM(F2547)="",IFERROR(INDEX(Map_Tables!$I$4:$I$37,MATCH(TRIM(E2547),Map_Tables!$G$4:$G$37,0)),""),IFERROR(INDEX(Map_Tables!$B$4:$B$18,MATCH(TRIM(F2547),Map_Tables!$A$4:$A$18,0)),"CHECK"))</f>
        <v>Mumbai</v>
      </c>
      <c r="AE2547" s="7" t="str">
        <f aca="false">IF(TRIM(E2547)="","",IFERROR(INDEX(Map_Tables!$H$4:$H$37,MATCH(TRIM(E2547),Map_Tables!$G$4:$G$37,0)),"CHECK"))</f>
        <v>Mumbai Pizza Co</v>
      </c>
      <c r="AF2547" s="7" t="str">
        <f aca="false">IF(TRIM(K2547)="","Unknown",IFERROR(INDEX(Map_Tables!$E$4:$E$15,MATCH(TRIM(K2547),Map_Tables!$D$4:$D$15,0)),"CHECK"))</f>
        <v>UPI</v>
      </c>
      <c r="AG2547" s="7" t="str">
        <f aca="false">IF(LEFT(LOWER(TRIM(L2547)),6)="cancel","Cancelled","Delivered")</f>
        <v>Delivered</v>
      </c>
      <c r="AH2547" s="10" t="n">
        <f aca="false">IF(ISNUMBER(SEARCH("/",B2547)),DATE(VALUE(RIGHT(B2547,4)),VALUE(MID(B2547,4,2)),VALUE(LEFT(B2547,2))),IF(MID(B2547,5,1)="-",DATE(VALUE(LEFT(B2547,4)),VALUE(MID(B2547,6,2)),VALUE(RIGHT(B2547,2))),DATE(VALUE(RIGHT(B2547,4)),MATCH(MID(B2547,4,3),{"Jan","Feb","Mar","Apr","May","Jun","Jul","Aug","Sep","Oct","Nov","Dec"},0),VALUE(LEFT(B2547,2)))))</f>
        <v>45993</v>
      </c>
    </row>
    <row r="2548" customFormat="false" ht="15" hidden="false" customHeight="false" outlineLevel="0" collapsed="false">
      <c r="A2548" s="7" t="s">
        <v>5525</v>
      </c>
      <c r="B2548" s="7" t="s">
        <v>2231</v>
      </c>
      <c r="C2548" s="7" t="s">
        <v>602</v>
      </c>
      <c r="D2548" s="7" t="s">
        <v>2892</v>
      </c>
      <c r="E2548" s="7" t="s">
        <v>144</v>
      </c>
      <c r="F2548" s="7" t="s">
        <v>119</v>
      </c>
      <c r="G2548" s="7" t="s">
        <v>99</v>
      </c>
      <c r="H2548" s="7" t="n">
        <v>2</v>
      </c>
      <c r="I2548" s="7" t="n">
        <v>320</v>
      </c>
      <c r="J2548" s="7" t="n">
        <v>75</v>
      </c>
      <c r="K2548" s="7" t="s">
        <v>93</v>
      </c>
      <c r="L2548" s="7" t="s">
        <v>194</v>
      </c>
      <c r="M2548" s="7" t="n">
        <v>29</v>
      </c>
      <c r="N2548" s="7" t="n">
        <v>4</v>
      </c>
      <c r="O2548" s="7" t="str">
        <f aca="false">A2548&amp;"|"&amp;B2548&amp;"|"&amp;C2548&amp;"|"&amp;D2548&amp;"|"&amp;E2548&amp;"|"&amp;F2548&amp;"|"&amp;G2548&amp;"|"&amp;H2548&amp;"|"&amp;I2548&amp;"|"&amp;J2548&amp;"|"&amp;K2548&amp;"|"&amp;L2548&amp;"|"&amp;M2548&amp;"|"&amp;N2548</f>
        <v>ORD12340|2025-10-22|17:17|C0806|Hyderabad Dum Biryani|Hyderabad|Biryani|2|320|75|Credit Card|Delivered|29|4</v>
      </c>
      <c r="P2548" s="7" t="str">
        <f aca="false">IF(COUNTIF($O$2:O2548,O2548)&gt;1,"DUP","OK")</f>
        <v>OK</v>
      </c>
      <c r="Q2548" s="7" t="n">
        <f aca="false">COUNTBLANK(A2548:N2548)</f>
        <v>0</v>
      </c>
      <c r="R2548" s="7" t="n">
        <f aca="false">IF(A2548="",0,COUNTIFS($A$2:$A$3058,A2548,$P$2:$P$3058,"OK"))</f>
        <v>1</v>
      </c>
      <c r="S2548" s="7" t="str">
        <f aca="false">IF(OR(A2548="",P2548="DUP",R2548&lt;2),"",IF(Q2548=_xlfn.MINIFS($Q$2:$Q$3058,$A$2:$A$3058,A2548,$P$2:$P$3058,"OK"),"KEEP","DROP"))</f>
        <v/>
      </c>
      <c r="T2548" s="9" t="n">
        <f aca="false">IF(A2548="",1,0)</f>
        <v>0</v>
      </c>
      <c r="U2548" s="9" t="n">
        <f aca="false">IF(D2548="",1,0)</f>
        <v>0</v>
      </c>
      <c r="V2548" s="9" t="n">
        <f aca="false">IF(E2548="",1,0)</f>
        <v>0</v>
      </c>
      <c r="W2548" s="9" t="n">
        <f aca="false">IF(OR(H2548&lt;1,H2548&gt;10),1,0)</f>
        <v>0</v>
      </c>
      <c r="X2548" s="9" t="n">
        <f aca="false">IF(OR(I2548&lt;=0,I2548&gt;1500),1,0)</f>
        <v>0</v>
      </c>
      <c r="Y2548" s="9" t="n">
        <f aca="false">IF(J2548&gt;H2548*I2548,1,0)</f>
        <v>0</v>
      </c>
      <c r="Z2548" s="9" t="n">
        <f aca="false">IF(AND(N2548&lt;&gt;"",OR(N2548&lt;1,N2548&gt;5)),1,0)</f>
        <v>0</v>
      </c>
      <c r="AA2548" s="9" t="n">
        <f aca="false">IF(AND(M2548&lt;&gt;"",OR(M2548&lt;5,M2548&gt;180)),1,0)</f>
        <v>0</v>
      </c>
      <c r="AB2548" s="7" t="str">
        <f aca="false">IF(P2548="DUP","Exact duplicate row",IF(T2548=1,"Missing Order ID",IF(S2548="DROP","Duplicate Order ID (less complete row)",IF(U2548=1,"Missing Customer ID",IF(V2548=1,"Missing Restaurant name",IF(W2548=1,"Invalid/outlier quantity",IF(X2548=1,"Invalid/outlier unit price",IF(Y2548=1,"Discount greater than order value",""))))))))</f>
        <v/>
      </c>
      <c r="AC2548" s="7" t="str">
        <f aca="false">IF(AB2548="","KEEP","DROP")</f>
        <v>KEEP</v>
      </c>
      <c r="AD2548" s="7" t="str">
        <f aca="false">IF(TRIM(F2548)="",IFERROR(INDEX(Map_Tables!$I$4:$I$37,MATCH(TRIM(E2548),Map_Tables!$G$4:$G$37,0)),""),IFERROR(INDEX(Map_Tables!$B$4:$B$18,MATCH(TRIM(F2548),Map_Tables!$A$4:$A$18,0)),"CHECK"))</f>
        <v>Hyderabad</v>
      </c>
      <c r="AE2548" s="7" t="str">
        <f aca="false">IF(TRIM(E2548)="","",IFERROR(INDEX(Map_Tables!$H$4:$H$37,MATCH(TRIM(E2548),Map_Tables!$G$4:$G$37,0)),"CHECK"))</f>
        <v>Hyderabad Dum Biryani</v>
      </c>
      <c r="AF2548" s="7" t="str">
        <f aca="false">IF(TRIM(K2548)="","Unknown",IFERROR(INDEX(Map_Tables!$E$4:$E$15,MATCH(TRIM(K2548),Map_Tables!$D$4:$D$15,0)),"CHECK"))</f>
        <v>Credit Card</v>
      </c>
      <c r="AG2548" s="7" t="str">
        <f aca="false">IF(LEFT(LOWER(TRIM(L2548)),6)="cancel","Cancelled","Delivered")</f>
        <v>Delivered</v>
      </c>
      <c r="AH2548" s="10" t="n">
        <f aca="false">IF(ISNUMBER(SEARCH("/",B2548)),DATE(VALUE(RIGHT(B2548,4)),VALUE(MID(B2548,4,2)),VALUE(LEFT(B2548,2))),IF(MID(B2548,5,1)="-",DATE(VALUE(LEFT(B2548,4)),VALUE(MID(B2548,6,2)),VALUE(RIGHT(B2548,2))),DATE(VALUE(RIGHT(B2548,4)),MATCH(MID(B2548,4,3),{"Jan","Feb","Mar","Apr","May","Jun","Jul","Aug","Sep","Oct","Nov","Dec"},0),VALUE(LEFT(B2548,2)))))</f>
        <v>45952</v>
      </c>
    </row>
    <row r="2549" customFormat="false" ht="15" hidden="false" customHeight="false" outlineLevel="0" collapsed="false">
      <c r="A2549" s="7" t="s">
        <v>5526</v>
      </c>
      <c r="B2549" s="7" t="s">
        <v>326</v>
      </c>
      <c r="C2549" s="7" t="s">
        <v>547</v>
      </c>
      <c r="D2549" s="7" t="s">
        <v>5527</v>
      </c>
      <c r="E2549" s="7" t="s">
        <v>89</v>
      </c>
      <c r="F2549" s="7" t="s">
        <v>449</v>
      </c>
      <c r="G2549" s="7" t="s">
        <v>90</v>
      </c>
      <c r="H2549" s="7" t="n">
        <v>4</v>
      </c>
      <c r="I2549" s="7" t="n">
        <v>265</v>
      </c>
      <c r="J2549" s="7" t="n">
        <v>75</v>
      </c>
      <c r="K2549" s="7" t="s">
        <v>133</v>
      </c>
      <c r="L2549" s="7" t="s">
        <v>194</v>
      </c>
      <c r="M2549" s="7" t="n">
        <v>41</v>
      </c>
      <c r="N2549" s="7"/>
      <c r="O2549" s="7" t="str">
        <f aca="false">A2549&amp;"|"&amp;B2549&amp;"|"&amp;C2549&amp;"|"&amp;D2549&amp;"|"&amp;E2549&amp;"|"&amp;F2549&amp;"|"&amp;G2549&amp;"|"&amp;H2549&amp;"|"&amp;I2549&amp;"|"&amp;J2549&amp;"|"&amp;K2549&amp;"|"&amp;L2549&amp;"|"&amp;M2549&amp;"|"&amp;N2549</f>
        <v>ORD12430|2025-11-02|11:20|C1109|Spice Junction|BLR|North Indian|4|265|75|Net Banking|Delivered|41|</v>
      </c>
      <c r="P2549" s="7" t="str">
        <f aca="false">IF(COUNTIF($O$2:O2549,O2549)&gt;1,"DUP","OK")</f>
        <v>OK</v>
      </c>
      <c r="Q2549" s="7" t="n">
        <f aca="false">COUNTBLANK(A2549:N2549)</f>
        <v>1</v>
      </c>
      <c r="R2549" s="7" t="n">
        <f aca="false">IF(A2549="",0,COUNTIFS($A$2:$A$3058,A2549,$P$2:$P$3058,"OK"))</f>
        <v>1</v>
      </c>
      <c r="S2549" s="7" t="str">
        <f aca="false">IF(OR(A2549="",P2549="DUP",R2549&lt;2),"",IF(Q2549=_xlfn.MINIFS($Q$2:$Q$3058,$A$2:$A$3058,A2549,$P$2:$P$3058,"OK"),"KEEP","DROP"))</f>
        <v/>
      </c>
      <c r="T2549" s="9" t="n">
        <f aca="false">IF(A2549="",1,0)</f>
        <v>0</v>
      </c>
      <c r="U2549" s="9" t="n">
        <f aca="false">IF(D2549="",1,0)</f>
        <v>0</v>
      </c>
      <c r="V2549" s="9" t="n">
        <f aca="false">IF(E2549="",1,0)</f>
        <v>0</v>
      </c>
      <c r="W2549" s="9" t="n">
        <f aca="false">IF(OR(H2549&lt;1,H2549&gt;10),1,0)</f>
        <v>0</v>
      </c>
      <c r="X2549" s="9" t="n">
        <f aca="false">IF(OR(I2549&lt;=0,I2549&gt;1500),1,0)</f>
        <v>0</v>
      </c>
      <c r="Y2549" s="9" t="n">
        <f aca="false">IF(J2549&gt;H2549*I2549,1,0)</f>
        <v>0</v>
      </c>
      <c r="Z2549" s="9" t="n">
        <f aca="false">IF(AND(N2549&lt;&gt;"",OR(N2549&lt;1,N2549&gt;5)),1,0)</f>
        <v>0</v>
      </c>
      <c r="AA2549" s="9" t="n">
        <f aca="false">IF(AND(M2549&lt;&gt;"",OR(M2549&lt;5,M2549&gt;180)),1,0)</f>
        <v>0</v>
      </c>
      <c r="AB2549" s="7" t="str">
        <f aca="false">IF(P2549="DUP","Exact duplicate row",IF(T2549=1,"Missing Order ID",IF(S2549="DROP","Duplicate Order ID (less complete row)",IF(U2549=1,"Missing Customer ID",IF(V2549=1,"Missing Restaurant name",IF(W2549=1,"Invalid/outlier quantity",IF(X2549=1,"Invalid/outlier unit price",IF(Y2549=1,"Discount greater than order value",""))))))))</f>
        <v/>
      </c>
      <c r="AC2549" s="7" t="str">
        <f aca="false">IF(AB2549="","KEEP","DROP")</f>
        <v>KEEP</v>
      </c>
      <c r="AD2549" s="7" t="str">
        <f aca="false">IF(TRIM(F2549)="",IFERROR(INDEX(Map_Tables!$I$4:$I$37,MATCH(TRIM(E2549),Map_Tables!$G$4:$G$37,0)),""),IFERROR(INDEX(Map_Tables!$B$4:$B$18,MATCH(TRIM(F2549),Map_Tables!$A$4:$A$18,0)),"CHECK"))</f>
        <v>Bengaluru</v>
      </c>
      <c r="AE2549" s="7" t="str">
        <f aca="false">IF(TRIM(E2549)="","",IFERROR(INDEX(Map_Tables!$H$4:$H$37,MATCH(TRIM(E2549),Map_Tables!$G$4:$G$37,0)),"CHECK"))</f>
        <v>Spice Junction</v>
      </c>
      <c r="AF2549" s="7" t="str">
        <f aca="false">IF(TRIM(K2549)="","Unknown",IFERROR(INDEX(Map_Tables!$E$4:$E$15,MATCH(TRIM(K2549),Map_Tables!$D$4:$D$15,0)),"CHECK"))</f>
        <v>Net Banking</v>
      </c>
      <c r="AG2549" s="7" t="str">
        <f aca="false">IF(LEFT(LOWER(TRIM(L2549)),6)="cancel","Cancelled","Delivered")</f>
        <v>Delivered</v>
      </c>
      <c r="AH2549" s="10" t="n">
        <f aca="false">IF(ISNUMBER(SEARCH("/",B2549)),DATE(VALUE(RIGHT(B2549,4)),VALUE(MID(B2549,4,2)),VALUE(LEFT(B2549,2))),IF(MID(B2549,5,1)="-",DATE(VALUE(LEFT(B2549,4)),VALUE(MID(B2549,6,2)),VALUE(RIGHT(B2549,2))),DATE(VALUE(RIGHT(B2549,4)),MATCH(MID(B2549,4,3),{"Jan","Feb","Mar","Apr","May","Jun","Jul","Aug","Sep","Oct","Nov","Dec"},0),VALUE(LEFT(B2549,2)))))</f>
        <v>45963</v>
      </c>
    </row>
    <row r="2550" customFormat="false" ht="15" hidden="false" customHeight="false" outlineLevel="0" collapsed="false">
      <c r="A2550" s="7" t="s">
        <v>5528</v>
      </c>
      <c r="B2550" s="7" t="s">
        <v>1429</v>
      </c>
      <c r="C2550" s="7" t="s">
        <v>4969</v>
      </c>
      <c r="D2550" s="7" t="s">
        <v>3538</v>
      </c>
      <c r="E2550" s="7" t="s">
        <v>168</v>
      </c>
      <c r="F2550" s="7" t="s">
        <v>146</v>
      </c>
      <c r="G2550" s="7" t="s">
        <v>123</v>
      </c>
      <c r="H2550" s="7" t="n">
        <v>4</v>
      </c>
      <c r="I2550" s="7" t="n">
        <v>320</v>
      </c>
      <c r="J2550" s="7" t="n">
        <v>75</v>
      </c>
      <c r="K2550" s="7" t="s">
        <v>87</v>
      </c>
      <c r="L2550" s="7" t="s">
        <v>194</v>
      </c>
      <c r="M2550" s="7" t="n">
        <v>41</v>
      </c>
      <c r="N2550" s="7" t="n">
        <v>4</v>
      </c>
      <c r="O2550" s="7" t="str">
        <f aca="false">A2550&amp;"|"&amp;B2550&amp;"|"&amp;C2550&amp;"|"&amp;D2550&amp;"|"&amp;E2550&amp;"|"&amp;F2550&amp;"|"&amp;G2550&amp;"|"&amp;H2550&amp;"|"&amp;I2550&amp;"|"&amp;J2550&amp;"|"&amp;K2550&amp;"|"&amp;L2550&amp;"|"&amp;M2550&amp;"|"&amp;N2550</f>
        <v>ORD12893|2025-12-20|13:31|C1440|Cheesy Slice|Ahmedabad|Pizza|4|320|75|upi|Delivered|41|4</v>
      </c>
      <c r="P2550" s="7" t="str">
        <f aca="false">IF(COUNTIF($O$2:O2550,O2550)&gt;1,"DUP","OK")</f>
        <v>OK</v>
      </c>
      <c r="Q2550" s="7" t="n">
        <f aca="false">COUNTBLANK(A2550:N2550)</f>
        <v>0</v>
      </c>
      <c r="R2550" s="7" t="n">
        <f aca="false">IF(A2550="",0,COUNTIFS($A$2:$A$3058,A2550,$P$2:$P$3058,"OK"))</f>
        <v>1</v>
      </c>
      <c r="S2550" s="7" t="str">
        <f aca="false">IF(OR(A2550="",P2550="DUP",R2550&lt;2),"",IF(Q2550=_xlfn.MINIFS($Q$2:$Q$3058,$A$2:$A$3058,A2550,$P$2:$P$3058,"OK"),"KEEP","DROP"))</f>
        <v/>
      </c>
      <c r="T2550" s="9" t="n">
        <f aca="false">IF(A2550="",1,0)</f>
        <v>0</v>
      </c>
      <c r="U2550" s="9" t="n">
        <f aca="false">IF(D2550="",1,0)</f>
        <v>0</v>
      </c>
      <c r="V2550" s="9" t="n">
        <f aca="false">IF(E2550="",1,0)</f>
        <v>0</v>
      </c>
      <c r="W2550" s="9" t="n">
        <f aca="false">IF(OR(H2550&lt;1,H2550&gt;10),1,0)</f>
        <v>0</v>
      </c>
      <c r="X2550" s="9" t="n">
        <f aca="false">IF(OR(I2550&lt;=0,I2550&gt;1500),1,0)</f>
        <v>0</v>
      </c>
      <c r="Y2550" s="9" t="n">
        <f aca="false">IF(J2550&gt;H2550*I2550,1,0)</f>
        <v>0</v>
      </c>
      <c r="Z2550" s="9" t="n">
        <f aca="false">IF(AND(N2550&lt;&gt;"",OR(N2550&lt;1,N2550&gt;5)),1,0)</f>
        <v>0</v>
      </c>
      <c r="AA2550" s="9" t="n">
        <f aca="false">IF(AND(M2550&lt;&gt;"",OR(M2550&lt;5,M2550&gt;180)),1,0)</f>
        <v>0</v>
      </c>
      <c r="AB2550" s="7" t="str">
        <f aca="false">IF(P2550="DUP","Exact duplicate row",IF(T2550=1,"Missing Order ID",IF(S2550="DROP","Duplicate Order ID (less complete row)",IF(U2550=1,"Missing Customer ID",IF(V2550=1,"Missing Restaurant name",IF(W2550=1,"Invalid/outlier quantity",IF(X2550=1,"Invalid/outlier unit price",IF(Y2550=1,"Discount greater than order value",""))))))))</f>
        <v/>
      </c>
      <c r="AC2550" s="7" t="str">
        <f aca="false">IF(AB2550="","KEEP","DROP")</f>
        <v>KEEP</v>
      </c>
      <c r="AD2550" s="7" t="str">
        <f aca="false">IF(TRIM(F2550)="",IFERROR(INDEX(Map_Tables!$I$4:$I$37,MATCH(TRIM(E2550),Map_Tables!$G$4:$G$37,0)),""),IFERROR(INDEX(Map_Tables!$B$4:$B$18,MATCH(TRIM(F2550),Map_Tables!$A$4:$A$18,0)),"CHECK"))</f>
        <v>Ahmedabad</v>
      </c>
      <c r="AE2550" s="7" t="str">
        <f aca="false">IF(TRIM(E2550)="","",IFERROR(INDEX(Map_Tables!$H$4:$H$37,MATCH(TRIM(E2550),Map_Tables!$G$4:$G$37,0)),"CHECK"))</f>
        <v>Cheesy Slice</v>
      </c>
      <c r="AF2550" s="7" t="str">
        <f aca="false">IF(TRIM(K2550)="","Unknown",IFERROR(INDEX(Map_Tables!$E$4:$E$15,MATCH(TRIM(K2550),Map_Tables!$D$4:$D$15,0)),"CHECK"))</f>
        <v>UPI</v>
      </c>
      <c r="AG2550" s="7" t="str">
        <f aca="false">IF(LEFT(LOWER(TRIM(L2550)),6)="cancel","Cancelled","Delivered")</f>
        <v>Delivered</v>
      </c>
      <c r="AH2550" s="10" t="n">
        <f aca="false">IF(ISNUMBER(SEARCH("/",B2550)),DATE(VALUE(RIGHT(B2550,4)),VALUE(MID(B2550,4,2)),VALUE(LEFT(B2550,2))),IF(MID(B2550,5,1)="-",DATE(VALUE(LEFT(B2550,4)),VALUE(MID(B2550,6,2)),VALUE(RIGHT(B2550,2))),DATE(VALUE(RIGHT(B2550,4)),MATCH(MID(B2550,4,3),{"Jan","Feb","Mar","Apr","May","Jun","Jul","Aug","Sep","Oct","Nov","Dec"},0),VALUE(LEFT(B2550,2)))))</f>
        <v>46011</v>
      </c>
    </row>
    <row r="2551" customFormat="false" ht="15" hidden="false" customHeight="false" outlineLevel="0" collapsed="false">
      <c r="A2551" s="7" t="s">
        <v>5529</v>
      </c>
      <c r="B2551" s="7" t="s">
        <v>1335</v>
      </c>
      <c r="C2551" s="7" t="s">
        <v>4571</v>
      </c>
      <c r="D2551" s="7" t="s">
        <v>2411</v>
      </c>
      <c r="E2551" s="7" t="s">
        <v>154</v>
      </c>
      <c r="F2551" s="7" t="s">
        <v>128</v>
      </c>
      <c r="G2551" s="7" t="s">
        <v>99</v>
      </c>
      <c r="H2551" s="7" t="n">
        <v>2</v>
      </c>
      <c r="I2551" s="7" t="n">
        <v>295</v>
      </c>
      <c r="J2551" s="7" t="n">
        <v>50</v>
      </c>
      <c r="K2551" s="7" t="s">
        <v>93</v>
      </c>
      <c r="L2551" s="7" t="s">
        <v>194</v>
      </c>
      <c r="M2551" s="7" t="n">
        <v>30</v>
      </c>
      <c r="N2551" s="7" t="n">
        <v>4</v>
      </c>
      <c r="O2551" s="7" t="str">
        <f aca="false">A2551&amp;"|"&amp;B2551&amp;"|"&amp;C2551&amp;"|"&amp;D2551&amp;"|"&amp;E2551&amp;"|"&amp;F2551&amp;"|"&amp;G2551&amp;"|"&amp;H2551&amp;"|"&amp;I2551&amp;"|"&amp;J2551&amp;"|"&amp;K2551&amp;"|"&amp;L2551&amp;"|"&amp;M2551&amp;"|"&amp;N2551</f>
        <v>ORD11368|2025-06-25|00:07|C0477|Madras Biryani Co|Chennai|Biryani|2|295|50|Credit Card|Delivered|30|4</v>
      </c>
      <c r="P2551" s="7" t="str">
        <f aca="false">IF(COUNTIF($O$2:O2551,O2551)&gt;1,"DUP","OK")</f>
        <v>OK</v>
      </c>
      <c r="Q2551" s="7" t="n">
        <f aca="false">COUNTBLANK(A2551:N2551)</f>
        <v>0</v>
      </c>
      <c r="R2551" s="7" t="n">
        <f aca="false">IF(A2551="",0,COUNTIFS($A$2:$A$3058,A2551,$P$2:$P$3058,"OK"))</f>
        <v>1</v>
      </c>
      <c r="S2551" s="7" t="str">
        <f aca="false">IF(OR(A2551="",P2551="DUP",R2551&lt;2),"",IF(Q2551=_xlfn.MINIFS($Q$2:$Q$3058,$A$2:$A$3058,A2551,$P$2:$P$3058,"OK"),"KEEP","DROP"))</f>
        <v/>
      </c>
      <c r="T2551" s="9" t="n">
        <f aca="false">IF(A2551="",1,0)</f>
        <v>0</v>
      </c>
      <c r="U2551" s="9" t="n">
        <f aca="false">IF(D2551="",1,0)</f>
        <v>0</v>
      </c>
      <c r="V2551" s="9" t="n">
        <f aca="false">IF(E2551="",1,0)</f>
        <v>0</v>
      </c>
      <c r="W2551" s="9" t="n">
        <f aca="false">IF(OR(H2551&lt;1,H2551&gt;10),1,0)</f>
        <v>0</v>
      </c>
      <c r="X2551" s="9" t="n">
        <f aca="false">IF(OR(I2551&lt;=0,I2551&gt;1500),1,0)</f>
        <v>0</v>
      </c>
      <c r="Y2551" s="9" t="n">
        <f aca="false">IF(J2551&gt;H2551*I2551,1,0)</f>
        <v>0</v>
      </c>
      <c r="Z2551" s="9" t="n">
        <f aca="false">IF(AND(N2551&lt;&gt;"",OR(N2551&lt;1,N2551&gt;5)),1,0)</f>
        <v>0</v>
      </c>
      <c r="AA2551" s="9" t="n">
        <f aca="false">IF(AND(M2551&lt;&gt;"",OR(M2551&lt;5,M2551&gt;180)),1,0)</f>
        <v>0</v>
      </c>
      <c r="AB2551" s="7" t="str">
        <f aca="false">IF(P2551="DUP","Exact duplicate row",IF(T2551=1,"Missing Order ID",IF(S2551="DROP","Duplicate Order ID (less complete row)",IF(U2551=1,"Missing Customer ID",IF(V2551=1,"Missing Restaurant name",IF(W2551=1,"Invalid/outlier quantity",IF(X2551=1,"Invalid/outlier unit price",IF(Y2551=1,"Discount greater than order value",""))))))))</f>
        <v/>
      </c>
      <c r="AC2551" s="7" t="str">
        <f aca="false">IF(AB2551="","KEEP","DROP")</f>
        <v>KEEP</v>
      </c>
      <c r="AD2551" s="7" t="str">
        <f aca="false">IF(TRIM(F2551)="",IFERROR(INDEX(Map_Tables!$I$4:$I$37,MATCH(TRIM(E2551),Map_Tables!$G$4:$G$37,0)),""),IFERROR(INDEX(Map_Tables!$B$4:$B$18,MATCH(TRIM(F2551),Map_Tables!$A$4:$A$18,0)),"CHECK"))</f>
        <v>Chennai</v>
      </c>
      <c r="AE2551" s="7" t="str">
        <f aca="false">IF(TRIM(E2551)="","",IFERROR(INDEX(Map_Tables!$H$4:$H$37,MATCH(TRIM(E2551),Map_Tables!$G$4:$G$37,0)),"CHECK"))</f>
        <v>Madras Biryani Co</v>
      </c>
      <c r="AF2551" s="7" t="str">
        <f aca="false">IF(TRIM(K2551)="","Unknown",IFERROR(INDEX(Map_Tables!$E$4:$E$15,MATCH(TRIM(K2551),Map_Tables!$D$4:$D$15,0)),"CHECK"))</f>
        <v>Credit Card</v>
      </c>
      <c r="AG2551" s="7" t="str">
        <f aca="false">IF(LEFT(LOWER(TRIM(L2551)),6)="cancel","Cancelled","Delivered")</f>
        <v>Delivered</v>
      </c>
      <c r="AH2551" s="10" t="n">
        <f aca="false">IF(ISNUMBER(SEARCH("/",B2551)),DATE(VALUE(RIGHT(B2551,4)),VALUE(MID(B2551,4,2)),VALUE(LEFT(B2551,2))),IF(MID(B2551,5,1)="-",DATE(VALUE(LEFT(B2551,4)),VALUE(MID(B2551,6,2)),VALUE(RIGHT(B2551,2))),DATE(VALUE(RIGHT(B2551,4)),MATCH(MID(B2551,4,3),{"Jan","Feb","Mar","Apr","May","Jun","Jul","Aug","Sep","Oct","Nov","Dec"},0),VALUE(LEFT(B2551,2)))))</f>
        <v>45833</v>
      </c>
    </row>
    <row r="2552" customFormat="false" ht="15" hidden="false" customHeight="false" outlineLevel="0" collapsed="false">
      <c r="A2552" s="7" t="s">
        <v>5530</v>
      </c>
      <c r="B2552" s="7" t="s">
        <v>507</v>
      </c>
      <c r="C2552" s="7" t="s">
        <v>4516</v>
      </c>
      <c r="D2552" s="7" t="s">
        <v>5531</v>
      </c>
      <c r="E2552" s="7" t="s">
        <v>142</v>
      </c>
      <c r="F2552" s="7" t="s">
        <v>110</v>
      </c>
      <c r="G2552" s="7" t="s">
        <v>105</v>
      </c>
      <c r="H2552" s="7" t="n">
        <v>3</v>
      </c>
      <c r="I2552" s="7" t="n">
        <v>150</v>
      </c>
      <c r="J2552" s="7" t="n">
        <v>75</v>
      </c>
      <c r="K2552" s="7" t="s">
        <v>88</v>
      </c>
      <c r="L2552" s="7" t="s">
        <v>194</v>
      </c>
      <c r="M2552" s="7" t="n">
        <v>32</v>
      </c>
      <c r="N2552" s="7" t="n">
        <v>4</v>
      </c>
      <c r="O2552" s="7" t="str">
        <f aca="false">A2552&amp;"|"&amp;B2552&amp;"|"&amp;C2552&amp;"|"&amp;D2552&amp;"|"&amp;E2552&amp;"|"&amp;F2552&amp;"|"&amp;G2552&amp;"|"&amp;H2552&amp;"|"&amp;I2552&amp;"|"&amp;J2552&amp;"|"&amp;K2552&amp;"|"&amp;L2552&amp;"|"&amp;M2552&amp;"|"&amp;N2552</f>
        <v>ORD11621|2025-07-30|12:41|C0643|Momo Magic|Delhi|Chinese|3|150|75|UPI|Delivered|32|4</v>
      </c>
      <c r="P2552" s="7" t="str">
        <f aca="false">IF(COUNTIF($O$2:O2552,O2552)&gt;1,"DUP","OK")</f>
        <v>OK</v>
      </c>
      <c r="Q2552" s="7" t="n">
        <f aca="false">COUNTBLANK(A2552:N2552)</f>
        <v>0</v>
      </c>
      <c r="R2552" s="7" t="n">
        <f aca="false">IF(A2552="",0,COUNTIFS($A$2:$A$3058,A2552,$P$2:$P$3058,"OK"))</f>
        <v>1</v>
      </c>
      <c r="S2552" s="7" t="str">
        <f aca="false">IF(OR(A2552="",P2552="DUP",R2552&lt;2),"",IF(Q2552=_xlfn.MINIFS($Q$2:$Q$3058,$A$2:$A$3058,A2552,$P$2:$P$3058,"OK"),"KEEP","DROP"))</f>
        <v/>
      </c>
      <c r="T2552" s="9" t="n">
        <f aca="false">IF(A2552="",1,0)</f>
        <v>0</v>
      </c>
      <c r="U2552" s="9" t="n">
        <f aca="false">IF(D2552="",1,0)</f>
        <v>0</v>
      </c>
      <c r="V2552" s="9" t="n">
        <f aca="false">IF(E2552="",1,0)</f>
        <v>0</v>
      </c>
      <c r="W2552" s="9" t="n">
        <f aca="false">IF(OR(H2552&lt;1,H2552&gt;10),1,0)</f>
        <v>0</v>
      </c>
      <c r="X2552" s="9" t="n">
        <f aca="false">IF(OR(I2552&lt;=0,I2552&gt;1500),1,0)</f>
        <v>0</v>
      </c>
      <c r="Y2552" s="9" t="n">
        <f aca="false">IF(J2552&gt;H2552*I2552,1,0)</f>
        <v>0</v>
      </c>
      <c r="Z2552" s="9" t="n">
        <f aca="false">IF(AND(N2552&lt;&gt;"",OR(N2552&lt;1,N2552&gt;5)),1,0)</f>
        <v>0</v>
      </c>
      <c r="AA2552" s="9" t="n">
        <f aca="false">IF(AND(M2552&lt;&gt;"",OR(M2552&lt;5,M2552&gt;180)),1,0)</f>
        <v>0</v>
      </c>
      <c r="AB2552" s="7" t="str">
        <f aca="false">IF(P2552="DUP","Exact duplicate row",IF(T2552=1,"Missing Order ID",IF(S2552="DROP","Duplicate Order ID (less complete row)",IF(U2552=1,"Missing Customer ID",IF(V2552=1,"Missing Restaurant name",IF(W2552=1,"Invalid/outlier quantity",IF(X2552=1,"Invalid/outlier unit price",IF(Y2552=1,"Discount greater than order value",""))))))))</f>
        <v/>
      </c>
      <c r="AC2552" s="7" t="str">
        <f aca="false">IF(AB2552="","KEEP","DROP")</f>
        <v>KEEP</v>
      </c>
      <c r="AD2552" s="7" t="str">
        <f aca="false">IF(TRIM(F2552)="",IFERROR(INDEX(Map_Tables!$I$4:$I$37,MATCH(TRIM(E2552),Map_Tables!$G$4:$G$37,0)),""),IFERROR(INDEX(Map_Tables!$B$4:$B$18,MATCH(TRIM(F2552),Map_Tables!$A$4:$A$18,0)),"CHECK"))</f>
        <v>Delhi</v>
      </c>
      <c r="AE2552" s="7" t="str">
        <f aca="false">IF(TRIM(E2552)="","",IFERROR(INDEX(Map_Tables!$H$4:$H$37,MATCH(TRIM(E2552),Map_Tables!$G$4:$G$37,0)),"CHECK"))</f>
        <v>Momo Magic</v>
      </c>
      <c r="AF2552" s="7" t="str">
        <f aca="false">IF(TRIM(K2552)="","Unknown",IFERROR(INDEX(Map_Tables!$E$4:$E$15,MATCH(TRIM(K2552),Map_Tables!$D$4:$D$15,0)),"CHECK"))</f>
        <v>UPI</v>
      </c>
      <c r="AG2552" s="7" t="str">
        <f aca="false">IF(LEFT(LOWER(TRIM(L2552)),6)="cancel","Cancelled","Delivered")</f>
        <v>Delivered</v>
      </c>
      <c r="AH2552" s="10" t="n">
        <f aca="false">IF(ISNUMBER(SEARCH("/",B2552)),DATE(VALUE(RIGHT(B2552,4)),VALUE(MID(B2552,4,2)),VALUE(LEFT(B2552,2))),IF(MID(B2552,5,1)="-",DATE(VALUE(LEFT(B2552,4)),VALUE(MID(B2552,6,2)),VALUE(RIGHT(B2552,2))),DATE(VALUE(RIGHT(B2552,4)),MATCH(MID(B2552,4,3),{"Jan","Feb","Mar","Apr","May","Jun","Jul","Aug","Sep","Oct","Nov","Dec"},0),VALUE(LEFT(B2552,2)))))</f>
        <v>45868</v>
      </c>
    </row>
    <row r="2553" customFormat="false" ht="15" hidden="false" customHeight="false" outlineLevel="0" collapsed="false">
      <c r="A2553" s="7" t="s">
        <v>5532</v>
      </c>
      <c r="B2553" s="7" t="s">
        <v>2234</v>
      </c>
      <c r="C2553" s="7" t="s">
        <v>3460</v>
      </c>
      <c r="D2553" s="7" t="s">
        <v>1579</v>
      </c>
      <c r="E2553" s="7" t="s">
        <v>142</v>
      </c>
      <c r="F2553" s="7" t="s">
        <v>110</v>
      </c>
      <c r="G2553" s="7" t="s">
        <v>105</v>
      </c>
      <c r="H2553" s="7" t="n">
        <v>4</v>
      </c>
      <c r="I2553" s="7" t="n">
        <v>175</v>
      </c>
      <c r="J2553" s="7" t="n">
        <v>0</v>
      </c>
      <c r="K2553" s="7" t="s">
        <v>103</v>
      </c>
      <c r="L2553" s="7" t="s">
        <v>194</v>
      </c>
      <c r="M2553" s="7" t="n">
        <v>32</v>
      </c>
      <c r="N2553" s="7" t="n">
        <v>5</v>
      </c>
      <c r="O2553" s="7" t="str">
        <f aca="false">A2553&amp;"|"&amp;B2553&amp;"|"&amp;C2553&amp;"|"&amp;D2553&amp;"|"&amp;E2553&amp;"|"&amp;F2553&amp;"|"&amp;G2553&amp;"|"&amp;H2553&amp;"|"&amp;I2553&amp;"|"&amp;J2553&amp;"|"&amp;K2553&amp;"|"&amp;L2553&amp;"|"&amp;M2553&amp;"|"&amp;N2553</f>
        <v>ORD12830|2025-12-12|18:32|C0319|Momo Magic|Delhi|Chinese|4|175|0|Debit Card|Delivered|32|5</v>
      </c>
      <c r="P2553" s="7" t="str">
        <f aca="false">IF(COUNTIF($O$2:O2553,O2553)&gt;1,"DUP","OK")</f>
        <v>OK</v>
      </c>
      <c r="Q2553" s="7" t="n">
        <f aca="false">COUNTBLANK(A2553:N2553)</f>
        <v>0</v>
      </c>
      <c r="R2553" s="7" t="n">
        <f aca="false">IF(A2553="",0,COUNTIFS($A$2:$A$3058,A2553,$P$2:$P$3058,"OK"))</f>
        <v>1</v>
      </c>
      <c r="S2553" s="7" t="str">
        <f aca="false">IF(OR(A2553="",P2553="DUP",R2553&lt;2),"",IF(Q2553=_xlfn.MINIFS($Q$2:$Q$3058,$A$2:$A$3058,A2553,$P$2:$P$3058,"OK"),"KEEP","DROP"))</f>
        <v/>
      </c>
      <c r="T2553" s="9" t="n">
        <f aca="false">IF(A2553="",1,0)</f>
        <v>0</v>
      </c>
      <c r="U2553" s="9" t="n">
        <f aca="false">IF(D2553="",1,0)</f>
        <v>0</v>
      </c>
      <c r="V2553" s="9" t="n">
        <f aca="false">IF(E2553="",1,0)</f>
        <v>0</v>
      </c>
      <c r="W2553" s="9" t="n">
        <f aca="false">IF(OR(H2553&lt;1,H2553&gt;10),1,0)</f>
        <v>0</v>
      </c>
      <c r="X2553" s="9" t="n">
        <f aca="false">IF(OR(I2553&lt;=0,I2553&gt;1500),1,0)</f>
        <v>0</v>
      </c>
      <c r="Y2553" s="9" t="n">
        <f aca="false">IF(J2553&gt;H2553*I2553,1,0)</f>
        <v>0</v>
      </c>
      <c r="Z2553" s="9" t="n">
        <f aca="false">IF(AND(N2553&lt;&gt;"",OR(N2553&lt;1,N2553&gt;5)),1,0)</f>
        <v>0</v>
      </c>
      <c r="AA2553" s="9" t="n">
        <f aca="false">IF(AND(M2553&lt;&gt;"",OR(M2553&lt;5,M2553&gt;180)),1,0)</f>
        <v>0</v>
      </c>
      <c r="AB2553" s="7" t="str">
        <f aca="false">IF(P2553="DUP","Exact duplicate row",IF(T2553=1,"Missing Order ID",IF(S2553="DROP","Duplicate Order ID (less complete row)",IF(U2553=1,"Missing Customer ID",IF(V2553=1,"Missing Restaurant name",IF(W2553=1,"Invalid/outlier quantity",IF(X2553=1,"Invalid/outlier unit price",IF(Y2553=1,"Discount greater than order value",""))))))))</f>
        <v/>
      </c>
      <c r="AC2553" s="7" t="str">
        <f aca="false">IF(AB2553="","KEEP","DROP")</f>
        <v>KEEP</v>
      </c>
      <c r="AD2553" s="7" t="str">
        <f aca="false">IF(TRIM(F2553)="",IFERROR(INDEX(Map_Tables!$I$4:$I$37,MATCH(TRIM(E2553),Map_Tables!$G$4:$G$37,0)),""),IFERROR(INDEX(Map_Tables!$B$4:$B$18,MATCH(TRIM(F2553),Map_Tables!$A$4:$A$18,0)),"CHECK"))</f>
        <v>Delhi</v>
      </c>
      <c r="AE2553" s="7" t="str">
        <f aca="false">IF(TRIM(E2553)="","",IFERROR(INDEX(Map_Tables!$H$4:$H$37,MATCH(TRIM(E2553),Map_Tables!$G$4:$G$37,0)),"CHECK"))</f>
        <v>Momo Magic</v>
      </c>
      <c r="AF2553" s="7" t="str">
        <f aca="false">IF(TRIM(K2553)="","Unknown",IFERROR(INDEX(Map_Tables!$E$4:$E$15,MATCH(TRIM(K2553),Map_Tables!$D$4:$D$15,0)),"CHECK"))</f>
        <v>Debit Card</v>
      </c>
      <c r="AG2553" s="7" t="str">
        <f aca="false">IF(LEFT(LOWER(TRIM(L2553)),6)="cancel","Cancelled","Delivered")</f>
        <v>Delivered</v>
      </c>
      <c r="AH2553" s="10" t="n">
        <f aca="false">IF(ISNUMBER(SEARCH("/",B2553)),DATE(VALUE(RIGHT(B2553,4)),VALUE(MID(B2553,4,2)),VALUE(LEFT(B2553,2))),IF(MID(B2553,5,1)="-",DATE(VALUE(LEFT(B2553,4)),VALUE(MID(B2553,6,2)),VALUE(RIGHT(B2553,2))),DATE(VALUE(RIGHT(B2553,4)),MATCH(MID(B2553,4,3),{"Jan","Feb","Mar","Apr","May","Jun","Jul","Aug","Sep","Oct","Nov","Dec"},0),VALUE(LEFT(B2553,2)))))</f>
        <v>46003</v>
      </c>
    </row>
    <row r="2554" customFormat="false" ht="15" hidden="false" customHeight="false" outlineLevel="0" collapsed="false">
      <c r="A2554" s="7" t="s">
        <v>5533</v>
      </c>
      <c r="B2554" s="7" t="s">
        <v>917</v>
      </c>
      <c r="C2554" s="7" t="s">
        <v>5324</v>
      </c>
      <c r="D2554" s="7" t="s">
        <v>5534</v>
      </c>
      <c r="E2554" s="7" t="s">
        <v>159</v>
      </c>
      <c r="F2554" s="7" t="s">
        <v>1226</v>
      </c>
      <c r="G2554" s="7" t="s">
        <v>90</v>
      </c>
      <c r="H2554" s="7" t="n">
        <v>2</v>
      </c>
      <c r="I2554" s="7" t="n">
        <v>235</v>
      </c>
      <c r="J2554" s="7" t="n">
        <v>0</v>
      </c>
      <c r="K2554" s="7" t="s">
        <v>88</v>
      </c>
      <c r="L2554" s="7" t="s">
        <v>194</v>
      </c>
      <c r="M2554" s="7" t="n">
        <v>33</v>
      </c>
      <c r="N2554" s="7"/>
      <c r="O2554" s="7" t="str">
        <f aca="false">A2554&amp;"|"&amp;B2554&amp;"|"&amp;C2554&amp;"|"&amp;D2554&amp;"|"&amp;E2554&amp;"|"&amp;F2554&amp;"|"&amp;G2554&amp;"|"&amp;H2554&amp;"|"&amp;I2554&amp;"|"&amp;J2554&amp;"|"&amp;K2554&amp;"|"&amp;L2554&amp;"|"&amp;M2554&amp;"|"&amp;N2554</f>
        <v>ORD11072|2025-05-16|01:15|C0990|Maratha Thali House|Pune |North Indian|2|235|0|UPI|Delivered|33|</v>
      </c>
      <c r="P2554" s="7" t="str">
        <f aca="false">IF(COUNTIF($O$2:O2554,O2554)&gt;1,"DUP","OK")</f>
        <v>OK</v>
      </c>
      <c r="Q2554" s="7" t="n">
        <f aca="false">COUNTBLANK(A2554:N2554)</f>
        <v>1</v>
      </c>
      <c r="R2554" s="7" t="n">
        <f aca="false">IF(A2554="",0,COUNTIFS($A$2:$A$3058,A2554,$P$2:$P$3058,"OK"))</f>
        <v>1</v>
      </c>
      <c r="S2554" s="7" t="str">
        <f aca="false">IF(OR(A2554="",P2554="DUP",R2554&lt;2),"",IF(Q2554=_xlfn.MINIFS($Q$2:$Q$3058,$A$2:$A$3058,A2554,$P$2:$P$3058,"OK"),"KEEP","DROP"))</f>
        <v/>
      </c>
      <c r="T2554" s="9" t="n">
        <f aca="false">IF(A2554="",1,0)</f>
        <v>0</v>
      </c>
      <c r="U2554" s="9" t="n">
        <f aca="false">IF(D2554="",1,0)</f>
        <v>0</v>
      </c>
      <c r="V2554" s="9" t="n">
        <f aca="false">IF(E2554="",1,0)</f>
        <v>0</v>
      </c>
      <c r="W2554" s="9" t="n">
        <f aca="false">IF(OR(H2554&lt;1,H2554&gt;10),1,0)</f>
        <v>0</v>
      </c>
      <c r="X2554" s="9" t="n">
        <f aca="false">IF(OR(I2554&lt;=0,I2554&gt;1500),1,0)</f>
        <v>0</v>
      </c>
      <c r="Y2554" s="9" t="n">
        <f aca="false">IF(J2554&gt;H2554*I2554,1,0)</f>
        <v>0</v>
      </c>
      <c r="Z2554" s="9" t="n">
        <f aca="false">IF(AND(N2554&lt;&gt;"",OR(N2554&lt;1,N2554&gt;5)),1,0)</f>
        <v>0</v>
      </c>
      <c r="AA2554" s="9" t="n">
        <f aca="false">IF(AND(M2554&lt;&gt;"",OR(M2554&lt;5,M2554&gt;180)),1,0)</f>
        <v>0</v>
      </c>
      <c r="AB2554" s="7" t="str">
        <f aca="false">IF(P2554="DUP","Exact duplicate row",IF(T2554=1,"Missing Order ID",IF(S2554="DROP","Duplicate Order ID (less complete row)",IF(U2554=1,"Missing Customer ID",IF(V2554=1,"Missing Restaurant name",IF(W2554=1,"Invalid/outlier quantity",IF(X2554=1,"Invalid/outlier unit price",IF(Y2554=1,"Discount greater than order value",""))))))))</f>
        <v/>
      </c>
      <c r="AC2554" s="7" t="str">
        <f aca="false">IF(AB2554="","KEEP","DROP")</f>
        <v>KEEP</v>
      </c>
      <c r="AD2554" s="7" t="str">
        <f aca="false">IF(TRIM(F2554)="",IFERROR(INDEX(Map_Tables!$I$4:$I$37,MATCH(TRIM(E2554),Map_Tables!$G$4:$G$37,0)),""),IFERROR(INDEX(Map_Tables!$B$4:$B$18,MATCH(TRIM(F2554),Map_Tables!$A$4:$A$18,0)),"CHECK"))</f>
        <v>Pune</v>
      </c>
      <c r="AE2554" s="7" t="str">
        <f aca="false">IF(TRIM(E2554)="","",IFERROR(INDEX(Map_Tables!$H$4:$H$37,MATCH(TRIM(E2554),Map_Tables!$G$4:$G$37,0)),"CHECK"))</f>
        <v>Maratha Thali House</v>
      </c>
      <c r="AF2554" s="7" t="str">
        <f aca="false">IF(TRIM(K2554)="","Unknown",IFERROR(INDEX(Map_Tables!$E$4:$E$15,MATCH(TRIM(K2554),Map_Tables!$D$4:$D$15,0)),"CHECK"))</f>
        <v>UPI</v>
      </c>
      <c r="AG2554" s="7" t="str">
        <f aca="false">IF(LEFT(LOWER(TRIM(L2554)),6)="cancel","Cancelled","Delivered")</f>
        <v>Delivered</v>
      </c>
      <c r="AH2554" s="10" t="n">
        <f aca="false">IF(ISNUMBER(SEARCH("/",B2554)),DATE(VALUE(RIGHT(B2554,4)),VALUE(MID(B2554,4,2)),VALUE(LEFT(B2554,2))),IF(MID(B2554,5,1)="-",DATE(VALUE(LEFT(B2554,4)),VALUE(MID(B2554,6,2)),VALUE(RIGHT(B2554,2))),DATE(VALUE(RIGHT(B2554,4)),MATCH(MID(B2554,4,3),{"Jan","Feb","Mar","Apr","May","Jun","Jul","Aug","Sep","Oct","Nov","Dec"},0),VALUE(LEFT(B2554,2)))))</f>
        <v>45793</v>
      </c>
    </row>
    <row r="2555" customFormat="false" ht="15" hidden="false" customHeight="false" outlineLevel="0" collapsed="false">
      <c r="A2555" s="7" t="s">
        <v>5535</v>
      </c>
      <c r="B2555" s="7" t="s">
        <v>3313</v>
      </c>
      <c r="C2555" s="7" t="s">
        <v>1552</v>
      </c>
      <c r="D2555" s="7" t="s">
        <v>1037</v>
      </c>
      <c r="E2555" s="7" t="s">
        <v>153</v>
      </c>
      <c r="F2555" s="7" t="s">
        <v>128</v>
      </c>
      <c r="G2555" s="7" t="s">
        <v>95</v>
      </c>
      <c r="H2555" s="7" t="n">
        <v>2</v>
      </c>
      <c r="I2555" s="7" t="n">
        <v>120</v>
      </c>
      <c r="J2555" s="7" t="n">
        <v>0</v>
      </c>
      <c r="K2555" s="7" t="s">
        <v>112</v>
      </c>
      <c r="L2555" s="7" t="s">
        <v>194</v>
      </c>
      <c r="M2555" s="7" t="n">
        <v>35</v>
      </c>
      <c r="N2555" s="7" t="n">
        <v>3</v>
      </c>
      <c r="O2555" s="7" t="str">
        <f aca="false">A2555&amp;"|"&amp;B2555&amp;"|"&amp;C2555&amp;"|"&amp;D2555&amp;"|"&amp;E2555&amp;"|"&amp;F2555&amp;"|"&amp;G2555&amp;"|"&amp;H2555&amp;"|"&amp;I2555&amp;"|"&amp;J2555&amp;"|"&amp;K2555&amp;"|"&amp;L2555&amp;"|"&amp;M2555&amp;"|"&amp;N2555</f>
        <v>ORD10555|2025-03-12|11:25|C0862|Filter Coffee and Tiffin|Chennai|South Indian|2|120|0|Cash on Delivery|Delivered|35|3</v>
      </c>
      <c r="P2555" s="7" t="str">
        <f aca="false">IF(COUNTIF($O$2:O2555,O2555)&gt;1,"DUP","OK")</f>
        <v>OK</v>
      </c>
      <c r="Q2555" s="7" t="n">
        <f aca="false">COUNTBLANK(A2555:N2555)</f>
        <v>0</v>
      </c>
      <c r="R2555" s="7" t="n">
        <f aca="false">IF(A2555="",0,COUNTIFS($A$2:$A$3058,A2555,$P$2:$P$3058,"OK"))</f>
        <v>1</v>
      </c>
      <c r="S2555" s="7" t="str">
        <f aca="false">IF(OR(A2555="",P2555="DUP",R2555&lt;2),"",IF(Q2555=_xlfn.MINIFS($Q$2:$Q$3058,$A$2:$A$3058,A2555,$P$2:$P$3058,"OK"),"KEEP","DROP"))</f>
        <v/>
      </c>
      <c r="T2555" s="9" t="n">
        <f aca="false">IF(A2555="",1,0)</f>
        <v>0</v>
      </c>
      <c r="U2555" s="9" t="n">
        <f aca="false">IF(D2555="",1,0)</f>
        <v>0</v>
      </c>
      <c r="V2555" s="9" t="n">
        <f aca="false">IF(E2555="",1,0)</f>
        <v>0</v>
      </c>
      <c r="W2555" s="9" t="n">
        <f aca="false">IF(OR(H2555&lt;1,H2555&gt;10),1,0)</f>
        <v>0</v>
      </c>
      <c r="X2555" s="9" t="n">
        <f aca="false">IF(OR(I2555&lt;=0,I2555&gt;1500),1,0)</f>
        <v>0</v>
      </c>
      <c r="Y2555" s="9" t="n">
        <f aca="false">IF(J2555&gt;H2555*I2555,1,0)</f>
        <v>0</v>
      </c>
      <c r="Z2555" s="9" t="n">
        <f aca="false">IF(AND(N2555&lt;&gt;"",OR(N2555&lt;1,N2555&gt;5)),1,0)</f>
        <v>0</v>
      </c>
      <c r="AA2555" s="9" t="n">
        <f aca="false">IF(AND(M2555&lt;&gt;"",OR(M2555&lt;5,M2555&gt;180)),1,0)</f>
        <v>0</v>
      </c>
      <c r="AB2555" s="7" t="str">
        <f aca="false">IF(P2555="DUP","Exact duplicate row",IF(T2555=1,"Missing Order ID",IF(S2555="DROP","Duplicate Order ID (less complete row)",IF(U2555=1,"Missing Customer ID",IF(V2555=1,"Missing Restaurant name",IF(W2555=1,"Invalid/outlier quantity",IF(X2555=1,"Invalid/outlier unit price",IF(Y2555=1,"Discount greater than order value",""))))))))</f>
        <v/>
      </c>
      <c r="AC2555" s="7" t="str">
        <f aca="false">IF(AB2555="","KEEP","DROP")</f>
        <v>KEEP</v>
      </c>
      <c r="AD2555" s="7" t="str">
        <f aca="false">IF(TRIM(F2555)="",IFERROR(INDEX(Map_Tables!$I$4:$I$37,MATCH(TRIM(E2555),Map_Tables!$G$4:$G$37,0)),""),IFERROR(INDEX(Map_Tables!$B$4:$B$18,MATCH(TRIM(F2555),Map_Tables!$A$4:$A$18,0)),"CHECK"))</f>
        <v>Chennai</v>
      </c>
      <c r="AE2555" s="7" t="str">
        <f aca="false">IF(TRIM(E2555)="","",IFERROR(INDEX(Map_Tables!$H$4:$H$37,MATCH(TRIM(E2555),Map_Tables!$G$4:$G$37,0)),"CHECK"))</f>
        <v>Filter Coffee &amp; Tiffin</v>
      </c>
      <c r="AF2555" s="7" t="str">
        <f aca="false">IF(TRIM(K2555)="","Unknown",IFERROR(INDEX(Map_Tables!$E$4:$E$15,MATCH(TRIM(K2555),Map_Tables!$D$4:$D$15,0)),"CHECK"))</f>
        <v>Cash on Delivery</v>
      </c>
      <c r="AG2555" s="7" t="str">
        <f aca="false">IF(LEFT(LOWER(TRIM(L2555)),6)="cancel","Cancelled","Delivered")</f>
        <v>Delivered</v>
      </c>
      <c r="AH2555" s="10" t="n">
        <f aca="false">IF(ISNUMBER(SEARCH("/",B2555)),DATE(VALUE(RIGHT(B2555,4)),VALUE(MID(B2555,4,2)),VALUE(LEFT(B2555,2))),IF(MID(B2555,5,1)="-",DATE(VALUE(LEFT(B2555,4)),VALUE(MID(B2555,6,2)),VALUE(RIGHT(B2555,2))),DATE(VALUE(RIGHT(B2555,4)),MATCH(MID(B2555,4,3),{"Jan","Feb","Mar","Apr","May","Jun","Jul","Aug","Sep","Oct","Nov","Dec"},0),VALUE(LEFT(B2555,2)))))</f>
        <v>45728</v>
      </c>
    </row>
    <row r="2556" customFormat="false" ht="15" hidden="false" customHeight="false" outlineLevel="0" collapsed="false">
      <c r="A2556" s="7" t="s">
        <v>5536</v>
      </c>
      <c r="B2556" s="7" t="s">
        <v>523</v>
      </c>
      <c r="C2556" s="7" t="s">
        <v>1539</v>
      </c>
      <c r="D2556" s="7" t="s">
        <v>5537</v>
      </c>
      <c r="E2556" s="7" t="s">
        <v>154</v>
      </c>
      <c r="F2556" s="7" t="s">
        <v>128</v>
      </c>
      <c r="G2556" s="7" t="s">
        <v>99</v>
      </c>
      <c r="H2556" s="7" t="n">
        <v>3</v>
      </c>
      <c r="I2556" s="7" t="n">
        <v>285</v>
      </c>
      <c r="J2556" s="7" t="n">
        <v>30</v>
      </c>
      <c r="K2556" s="7" t="s">
        <v>103</v>
      </c>
      <c r="L2556" s="7" t="s">
        <v>194</v>
      </c>
      <c r="M2556" s="7" t="n">
        <v>22</v>
      </c>
      <c r="N2556" s="7" t="n">
        <v>4</v>
      </c>
      <c r="O2556" s="7" t="str">
        <f aca="false">A2556&amp;"|"&amp;B2556&amp;"|"&amp;C2556&amp;"|"&amp;D2556&amp;"|"&amp;E2556&amp;"|"&amp;F2556&amp;"|"&amp;G2556&amp;"|"&amp;H2556&amp;"|"&amp;I2556&amp;"|"&amp;J2556&amp;"|"&amp;K2556&amp;"|"&amp;L2556&amp;"|"&amp;M2556&amp;"|"&amp;N2556</f>
        <v>ORD11829|2025-08-27|11:32|C0681|Madras Biryani Co|Chennai|Biryani|3|285|30|Debit Card|Delivered|22|4</v>
      </c>
      <c r="P2556" s="7" t="str">
        <f aca="false">IF(COUNTIF($O$2:O2556,O2556)&gt;1,"DUP","OK")</f>
        <v>OK</v>
      </c>
      <c r="Q2556" s="7" t="n">
        <f aca="false">COUNTBLANK(A2556:N2556)</f>
        <v>0</v>
      </c>
      <c r="R2556" s="7" t="n">
        <f aca="false">IF(A2556="",0,COUNTIFS($A$2:$A$3058,A2556,$P$2:$P$3058,"OK"))</f>
        <v>1</v>
      </c>
      <c r="S2556" s="7" t="str">
        <f aca="false">IF(OR(A2556="",P2556="DUP",R2556&lt;2),"",IF(Q2556=_xlfn.MINIFS($Q$2:$Q$3058,$A$2:$A$3058,A2556,$P$2:$P$3058,"OK"),"KEEP","DROP"))</f>
        <v/>
      </c>
      <c r="T2556" s="9" t="n">
        <f aca="false">IF(A2556="",1,0)</f>
        <v>0</v>
      </c>
      <c r="U2556" s="9" t="n">
        <f aca="false">IF(D2556="",1,0)</f>
        <v>0</v>
      </c>
      <c r="V2556" s="9" t="n">
        <f aca="false">IF(E2556="",1,0)</f>
        <v>0</v>
      </c>
      <c r="W2556" s="9" t="n">
        <f aca="false">IF(OR(H2556&lt;1,H2556&gt;10),1,0)</f>
        <v>0</v>
      </c>
      <c r="X2556" s="9" t="n">
        <f aca="false">IF(OR(I2556&lt;=0,I2556&gt;1500),1,0)</f>
        <v>0</v>
      </c>
      <c r="Y2556" s="9" t="n">
        <f aca="false">IF(J2556&gt;H2556*I2556,1,0)</f>
        <v>0</v>
      </c>
      <c r="Z2556" s="9" t="n">
        <f aca="false">IF(AND(N2556&lt;&gt;"",OR(N2556&lt;1,N2556&gt;5)),1,0)</f>
        <v>0</v>
      </c>
      <c r="AA2556" s="9" t="n">
        <f aca="false">IF(AND(M2556&lt;&gt;"",OR(M2556&lt;5,M2556&gt;180)),1,0)</f>
        <v>0</v>
      </c>
      <c r="AB2556" s="7" t="str">
        <f aca="false">IF(P2556="DUP","Exact duplicate row",IF(T2556=1,"Missing Order ID",IF(S2556="DROP","Duplicate Order ID (less complete row)",IF(U2556=1,"Missing Customer ID",IF(V2556=1,"Missing Restaurant name",IF(W2556=1,"Invalid/outlier quantity",IF(X2556=1,"Invalid/outlier unit price",IF(Y2556=1,"Discount greater than order value",""))))))))</f>
        <v/>
      </c>
      <c r="AC2556" s="7" t="str">
        <f aca="false">IF(AB2556="","KEEP","DROP")</f>
        <v>KEEP</v>
      </c>
      <c r="AD2556" s="7" t="str">
        <f aca="false">IF(TRIM(F2556)="",IFERROR(INDEX(Map_Tables!$I$4:$I$37,MATCH(TRIM(E2556),Map_Tables!$G$4:$G$37,0)),""),IFERROR(INDEX(Map_Tables!$B$4:$B$18,MATCH(TRIM(F2556),Map_Tables!$A$4:$A$18,0)),"CHECK"))</f>
        <v>Chennai</v>
      </c>
      <c r="AE2556" s="7" t="str">
        <f aca="false">IF(TRIM(E2556)="","",IFERROR(INDEX(Map_Tables!$H$4:$H$37,MATCH(TRIM(E2556),Map_Tables!$G$4:$G$37,0)),"CHECK"))</f>
        <v>Madras Biryani Co</v>
      </c>
      <c r="AF2556" s="7" t="str">
        <f aca="false">IF(TRIM(K2556)="","Unknown",IFERROR(INDEX(Map_Tables!$E$4:$E$15,MATCH(TRIM(K2556),Map_Tables!$D$4:$D$15,0)),"CHECK"))</f>
        <v>Debit Card</v>
      </c>
      <c r="AG2556" s="7" t="str">
        <f aca="false">IF(LEFT(LOWER(TRIM(L2556)),6)="cancel","Cancelled","Delivered")</f>
        <v>Delivered</v>
      </c>
      <c r="AH2556" s="10" t="n">
        <f aca="false">IF(ISNUMBER(SEARCH("/",B2556)),DATE(VALUE(RIGHT(B2556,4)),VALUE(MID(B2556,4,2)),VALUE(LEFT(B2556,2))),IF(MID(B2556,5,1)="-",DATE(VALUE(LEFT(B2556,4)),VALUE(MID(B2556,6,2)),VALUE(RIGHT(B2556,2))),DATE(VALUE(RIGHT(B2556,4)),MATCH(MID(B2556,4,3),{"Jan","Feb","Mar","Apr","May","Jun","Jul","Aug","Sep","Oct","Nov","Dec"},0),VALUE(LEFT(B2556,2)))))</f>
        <v>45896</v>
      </c>
    </row>
    <row r="2557" customFormat="false" ht="15" hidden="false" customHeight="false" outlineLevel="0" collapsed="false">
      <c r="A2557" s="7" t="s">
        <v>5538</v>
      </c>
      <c r="B2557" s="7" t="s">
        <v>4596</v>
      </c>
      <c r="C2557" s="7" t="s">
        <v>697</v>
      </c>
      <c r="D2557" s="7" t="s">
        <v>2228</v>
      </c>
      <c r="E2557" s="7" t="s">
        <v>159</v>
      </c>
      <c r="F2557" s="7" t="s">
        <v>303</v>
      </c>
      <c r="G2557" s="7" t="s">
        <v>90</v>
      </c>
      <c r="H2557" s="7" t="n">
        <v>4</v>
      </c>
      <c r="I2557" s="7" t="n">
        <v>240</v>
      </c>
      <c r="J2557" s="7" t="n">
        <v>0</v>
      </c>
      <c r="K2557" s="7" t="s">
        <v>88</v>
      </c>
      <c r="L2557" s="7" t="s">
        <v>194</v>
      </c>
      <c r="M2557" s="7" t="n">
        <v>23</v>
      </c>
      <c r="N2557" s="7" t="n">
        <v>4</v>
      </c>
      <c r="O2557" s="7" t="str">
        <f aca="false">A2557&amp;"|"&amp;B2557&amp;"|"&amp;C2557&amp;"|"&amp;D2557&amp;"|"&amp;E2557&amp;"|"&amp;F2557&amp;"|"&amp;G2557&amp;"|"&amp;H2557&amp;"|"&amp;I2557&amp;"|"&amp;J2557&amp;"|"&amp;K2557&amp;"|"&amp;L2557&amp;"|"&amp;M2557&amp;"|"&amp;N2557</f>
        <v>ORD10827|2025-04-15|11:46|C0047|Maratha Thali House|PUNE|North Indian|4|240|0|UPI|Delivered|23|4</v>
      </c>
      <c r="P2557" s="7" t="str">
        <f aca="false">IF(COUNTIF($O$2:O2557,O2557)&gt;1,"DUP","OK")</f>
        <v>OK</v>
      </c>
      <c r="Q2557" s="7" t="n">
        <f aca="false">COUNTBLANK(A2557:N2557)</f>
        <v>0</v>
      </c>
      <c r="R2557" s="7" t="n">
        <f aca="false">IF(A2557="",0,COUNTIFS($A$2:$A$3058,A2557,$P$2:$P$3058,"OK"))</f>
        <v>1</v>
      </c>
      <c r="S2557" s="7" t="str">
        <f aca="false">IF(OR(A2557="",P2557="DUP",R2557&lt;2),"",IF(Q2557=_xlfn.MINIFS($Q$2:$Q$3058,$A$2:$A$3058,A2557,$P$2:$P$3058,"OK"),"KEEP","DROP"))</f>
        <v/>
      </c>
      <c r="T2557" s="9" t="n">
        <f aca="false">IF(A2557="",1,0)</f>
        <v>0</v>
      </c>
      <c r="U2557" s="9" t="n">
        <f aca="false">IF(D2557="",1,0)</f>
        <v>0</v>
      </c>
      <c r="V2557" s="9" t="n">
        <f aca="false">IF(E2557="",1,0)</f>
        <v>0</v>
      </c>
      <c r="W2557" s="9" t="n">
        <f aca="false">IF(OR(H2557&lt;1,H2557&gt;10),1,0)</f>
        <v>0</v>
      </c>
      <c r="X2557" s="9" t="n">
        <f aca="false">IF(OR(I2557&lt;=0,I2557&gt;1500),1,0)</f>
        <v>0</v>
      </c>
      <c r="Y2557" s="9" t="n">
        <f aca="false">IF(J2557&gt;H2557*I2557,1,0)</f>
        <v>0</v>
      </c>
      <c r="Z2557" s="9" t="n">
        <f aca="false">IF(AND(N2557&lt;&gt;"",OR(N2557&lt;1,N2557&gt;5)),1,0)</f>
        <v>0</v>
      </c>
      <c r="AA2557" s="9" t="n">
        <f aca="false">IF(AND(M2557&lt;&gt;"",OR(M2557&lt;5,M2557&gt;180)),1,0)</f>
        <v>0</v>
      </c>
      <c r="AB2557" s="7" t="str">
        <f aca="false">IF(P2557="DUP","Exact duplicate row",IF(T2557=1,"Missing Order ID",IF(S2557="DROP","Duplicate Order ID (less complete row)",IF(U2557=1,"Missing Customer ID",IF(V2557=1,"Missing Restaurant name",IF(W2557=1,"Invalid/outlier quantity",IF(X2557=1,"Invalid/outlier unit price",IF(Y2557=1,"Discount greater than order value",""))))))))</f>
        <v/>
      </c>
      <c r="AC2557" s="7" t="str">
        <f aca="false">IF(AB2557="","KEEP","DROP")</f>
        <v>KEEP</v>
      </c>
      <c r="AD2557" s="7" t="str">
        <f aca="false">IF(TRIM(F2557)="",IFERROR(INDEX(Map_Tables!$I$4:$I$37,MATCH(TRIM(E2557),Map_Tables!$G$4:$G$37,0)),""),IFERROR(INDEX(Map_Tables!$B$4:$B$18,MATCH(TRIM(F2557),Map_Tables!$A$4:$A$18,0)),"CHECK"))</f>
        <v>Pune</v>
      </c>
      <c r="AE2557" s="7" t="str">
        <f aca="false">IF(TRIM(E2557)="","",IFERROR(INDEX(Map_Tables!$H$4:$H$37,MATCH(TRIM(E2557),Map_Tables!$G$4:$G$37,0)),"CHECK"))</f>
        <v>Maratha Thali House</v>
      </c>
      <c r="AF2557" s="7" t="str">
        <f aca="false">IF(TRIM(K2557)="","Unknown",IFERROR(INDEX(Map_Tables!$E$4:$E$15,MATCH(TRIM(K2557),Map_Tables!$D$4:$D$15,0)),"CHECK"))</f>
        <v>UPI</v>
      </c>
      <c r="AG2557" s="7" t="str">
        <f aca="false">IF(LEFT(LOWER(TRIM(L2557)),6)="cancel","Cancelled","Delivered")</f>
        <v>Delivered</v>
      </c>
      <c r="AH2557" s="10" t="n">
        <f aca="false">IF(ISNUMBER(SEARCH("/",B2557)),DATE(VALUE(RIGHT(B2557,4)),VALUE(MID(B2557,4,2)),VALUE(LEFT(B2557,2))),IF(MID(B2557,5,1)="-",DATE(VALUE(LEFT(B2557,4)),VALUE(MID(B2557,6,2)),VALUE(RIGHT(B2557,2))),DATE(VALUE(RIGHT(B2557,4)),MATCH(MID(B2557,4,3),{"Jan","Feb","Mar","Apr","May","Jun","Jul","Aug","Sep","Oct","Nov","Dec"},0),VALUE(LEFT(B2557,2)))))</f>
        <v>45762</v>
      </c>
    </row>
    <row r="2558" customFormat="false" ht="15" hidden="false" customHeight="false" outlineLevel="0" collapsed="false">
      <c r="A2558" s="7" t="s">
        <v>4094</v>
      </c>
      <c r="B2558" s="7" t="s">
        <v>2090</v>
      </c>
      <c r="C2558" s="7" t="s">
        <v>437</v>
      </c>
      <c r="D2558" s="7" t="s">
        <v>2326</v>
      </c>
      <c r="E2558" s="7" t="s">
        <v>138</v>
      </c>
      <c r="F2558" s="7" t="s">
        <v>109</v>
      </c>
      <c r="G2558" s="7" t="s">
        <v>139</v>
      </c>
      <c r="H2558" s="7" t="n">
        <v>5</v>
      </c>
      <c r="I2558" s="7" t="n">
        <v>195</v>
      </c>
      <c r="J2558" s="7" t="n">
        <v>0</v>
      </c>
      <c r="K2558" s="7" t="s">
        <v>93</v>
      </c>
      <c r="L2558" s="7" t="s">
        <v>194</v>
      </c>
      <c r="M2558" s="7" t="n">
        <v>39</v>
      </c>
      <c r="N2558" s="7" t="n">
        <v>5</v>
      </c>
      <c r="O2558" s="7" t="str">
        <f aca="false">A2558&amp;"|"&amp;B2558&amp;"|"&amp;C2558&amp;"|"&amp;D2558&amp;"|"&amp;E2558&amp;"|"&amp;F2558&amp;"|"&amp;G2558&amp;"|"&amp;H2558&amp;"|"&amp;I2558&amp;"|"&amp;J2558&amp;"|"&amp;K2558&amp;"|"&amp;L2558&amp;"|"&amp;M2558&amp;"|"&amp;N2558</f>
        <v>ORD11121|2025-05-22|22:59|C0396|Burger Barn|delhi|Burgers|5|195|0|Credit Card|Delivered|39|5</v>
      </c>
      <c r="P2558" s="7" t="str">
        <f aca="false">IF(COUNTIF($O$2:O2558,O2558)&gt;1,"DUP","OK")</f>
        <v>OK</v>
      </c>
      <c r="Q2558" s="7" t="n">
        <f aca="false">COUNTBLANK(A2558:N2558)</f>
        <v>0</v>
      </c>
      <c r="R2558" s="7" t="n">
        <f aca="false">IF(A2558="",0,COUNTIFS($A$2:$A$3058,A2558,$P$2:$P$3058,"OK"))</f>
        <v>2</v>
      </c>
      <c r="S2558" s="7" t="str">
        <f aca="false">IF(OR(A2558="",P2558="DUP",R2558&lt;2),"",IF(Q2558=_xlfn.MINIFS($Q$2:$Q$3058,$A$2:$A$3058,A2558,$P$2:$P$3058,"OK"),"KEEP","DROP"))</f>
        <v>KEEP</v>
      </c>
      <c r="T2558" s="9" t="n">
        <f aca="false">IF(A2558="",1,0)</f>
        <v>0</v>
      </c>
      <c r="U2558" s="9" t="n">
        <f aca="false">IF(D2558="",1,0)</f>
        <v>0</v>
      </c>
      <c r="V2558" s="9" t="n">
        <f aca="false">IF(E2558="",1,0)</f>
        <v>0</v>
      </c>
      <c r="W2558" s="9" t="n">
        <f aca="false">IF(OR(H2558&lt;1,H2558&gt;10),1,0)</f>
        <v>0</v>
      </c>
      <c r="X2558" s="9" t="n">
        <f aca="false">IF(OR(I2558&lt;=0,I2558&gt;1500),1,0)</f>
        <v>0</v>
      </c>
      <c r="Y2558" s="9" t="n">
        <f aca="false">IF(J2558&gt;H2558*I2558,1,0)</f>
        <v>0</v>
      </c>
      <c r="Z2558" s="9" t="n">
        <f aca="false">IF(AND(N2558&lt;&gt;"",OR(N2558&lt;1,N2558&gt;5)),1,0)</f>
        <v>0</v>
      </c>
      <c r="AA2558" s="9" t="n">
        <f aca="false">IF(AND(M2558&lt;&gt;"",OR(M2558&lt;5,M2558&gt;180)),1,0)</f>
        <v>0</v>
      </c>
      <c r="AB2558" s="7" t="str">
        <f aca="false">IF(P2558="DUP","Exact duplicate row",IF(T2558=1,"Missing Order ID",IF(S2558="DROP","Duplicate Order ID (less complete row)",IF(U2558=1,"Missing Customer ID",IF(V2558=1,"Missing Restaurant name",IF(W2558=1,"Invalid/outlier quantity",IF(X2558=1,"Invalid/outlier unit price",IF(Y2558=1,"Discount greater than order value",""))))))))</f>
        <v/>
      </c>
      <c r="AC2558" s="7" t="str">
        <f aca="false">IF(AB2558="","KEEP","DROP")</f>
        <v>KEEP</v>
      </c>
      <c r="AD2558" s="7" t="str">
        <f aca="false">IF(TRIM(F2558)="",IFERROR(INDEX(Map_Tables!$I$4:$I$37,MATCH(TRIM(E2558),Map_Tables!$G$4:$G$37,0)),""),IFERROR(INDEX(Map_Tables!$B$4:$B$18,MATCH(TRIM(F2558),Map_Tables!$A$4:$A$18,0)),"CHECK"))</f>
        <v>Delhi</v>
      </c>
      <c r="AE2558" s="7" t="str">
        <f aca="false">IF(TRIM(E2558)="","",IFERROR(INDEX(Map_Tables!$H$4:$H$37,MATCH(TRIM(E2558),Map_Tables!$G$4:$G$37,0)),"CHECK"))</f>
        <v>Burger Barn</v>
      </c>
      <c r="AF2558" s="7" t="str">
        <f aca="false">IF(TRIM(K2558)="","Unknown",IFERROR(INDEX(Map_Tables!$E$4:$E$15,MATCH(TRIM(K2558),Map_Tables!$D$4:$D$15,0)),"CHECK"))</f>
        <v>Credit Card</v>
      </c>
      <c r="AG2558" s="7" t="str">
        <f aca="false">IF(LEFT(LOWER(TRIM(L2558)),6)="cancel","Cancelled","Delivered")</f>
        <v>Delivered</v>
      </c>
      <c r="AH2558" s="10" t="n">
        <f aca="false">IF(ISNUMBER(SEARCH("/",B2558)),DATE(VALUE(RIGHT(B2558,4)),VALUE(MID(B2558,4,2)),VALUE(LEFT(B2558,2))),IF(MID(B2558,5,1)="-",DATE(VALUE(LEFT(B2558,4)),VALUE(MID(B2558,6,2)),VALUE(RIGHT(B2558,2))),DATE(VALUE(RIGHT(B2558,4)),MATCH(MID(B2558,4,3),{"Jan","Feb","Mar","Apr","May","Jun","Jul","Aug","Sep","Oct","Nov","Dec"},0),VALUE(LEFT(B2558,2)))))</f>
        <v>45799</v>
      </c>
    </row>
    <row r="2559" customFormat="false" ht="15" hidden="false" customHeight="false" outlineLevel="0" collapsed="false">
      <c r="A2559" s="7" t="s">
        <v>5539</v>
      </c>
      <c r="B2559" s="7" t="s">
        <v>615</v>
      </c>
      <c r="C2559" s="7" t="s">
        <v>1812</v>
      </c>
      <c r="D2559" s="7" t="s">
        <v>5540</v>
      </c>
      <c r="E2559" s="7" t="s">
        <v>94</v>
      </c>
      <c r="F2559" s="7" t="s">
        <v>86</v>
      </c>
      <c r="G2559" s="7" t="s">
        <v>95</v>
      </c>
      <c r="H2559" s="7" t="n">
        <v>1</v>
      </c>
      <c r="I2559" s="7" t="n">
        <v>135</v>
      </c>
      <c r="J2559" s="7" t="n">
        <v>0</v>
      </c>
      <c r="K2559" s="7" t="s">
        <v>87</v>
      </c>
      <c r="L2559" s="7" t="s">
        <v>194</v>
      </c>
      <c r="M2559" s="7" t="n">
        <v>42</v>
      </c>
      <c r="N2559" s="7" t="n">
        <v>2</v>
      </c>
      <c r="O2559" s="7" t="str">
        <f aca="false">A2559&amp;"|"&amp;B2559&amp;"|"&amp;C2559&amp;"|"&amp;D2559&amp;"|"&amp;E2559&amp;"|"&amp;F2559&amp;"|"&amp;G2559&amp;"|"&amp;H2559&amp;"|"&amp;I2559&amp;"|"&amp;J2559&amp;"|"&amp;K2559&amp;"|"&amp;L2559&amp;"|"&amp;M2559&amp;"|"&amp;N2559</f>
        <v>ORD11985|2025-09-14|12:28|C0763|Dosa Darbar|Bengaluru|South Indian|1|135|0|upi|Delivered|42|2</v>
      </c>
      <c r="P2559" s="7" t="str">
        <f aca="false">IF(COUNTIF($O$2:O2559,O2559)&gt;1,"DUP","OK")</f>
        <v>OK</v>
      </c>
      <c r="Q2559" s="7" t="n">
        <f aca="false">COUNTBLANK(A2559:N2559)</f>
        <v>0</v>
      </c>
      <c r="R2559" s="7" t="n">
        <f aca="false">IF(A2559="",0,COUNTIFS($A$2:$A$3058,A2559,$P$2:$P$3058,"OK"))</f>
        <v>1</v>
      </c>
      <c r="S2559" s="7" t="str">
        <f aca="false">IF(OR(A2559="",P2559="DUP",R2559&lt;2),"",IF(Q2559=_xlfn.MINIFS($Q$2:$Q$3058,$A$2:$A$3058,A2559,$P$2:$P$3058,"OK"),"KEEP","DROP"))</f>
        <v/>
      </c>
      <c r="T2559" s="9" t="n">
        <f aca="false">IF(A2559="",1,0)</f>
        <v>0</v>
      </c>
      <c r="U2559" s="9" t="n">
        <f aca="false">IF(D2559="",1,0)</f>
        <v>0</v>
      </c>
      <c r="V2559" s="9" t="n">
        <f aca="false">IF(E2559="",1,0)</f>
        <v>0</v>
      </c>
      <c r="W2559" s="9" t="n">
        <f aca="false">IF(OR(H2559&lt;1,H2559&gt;10),1,0)</f>
        <v>0</v>
      </c>
      <c r="X2559" s="9" t="n">
        <f aca="false">IF(OR(I2559&lt;=0,I2559&gt;1500),1,0)</f>
        <v>0</v>
      </c>
      <c r="Y2559" s="9" t="n">
        <f aca="false">IF(J2559&gt;H2559*I2559,1,0)</f>
        <v>0</v>
      </c>
      <c r="Z2559" s="9" t="n">
        <f aca="false">IF(AND(N2559&lt;&gt;"",OR(N2559&lt;1,N2559&gt;5)),1,0)</f>
        <v>0</v>
      </c>
      <c r="AA2559" s="9" t="n">
        <f aca="false">IF(AND(M2559&lt;&gt;"",OR(M2559&lt;5,M2559&gt;180)),1,0)</f>
        <v>0</v>
      </c>
      <c r="AB2559" s="7" t="str">
        <f aca="false">IF(P2559="DUP","Exact duplicate row",IF(T2559=1,"Missing Order ID",IF(S2559="DROP","Duplicate Order ID (less complete row)",IF(U2559=1,"Missing Customer ID",IF(V2559=1,"Missing Restaurant name",IF(W2559=1,"Invalid/outlier quantity",IF(X2559=1,"Invalid/outlier unit price",IF(Y2559=1,"Discount greater than order value",""))))))))</f>
        <v/>
      </c>
      <c r="AC2559" s="7" t="str">
        <f aca="false">IF(AB2559="","KEEP","DROP")</f>
        <v>KEEP</v>
      </c>
      <c r="AD2559" s="7" t="str">
        <f aca="false">IF(TRIM(F2559)="",IFERROR(INDEX(Map_Tables!$I$4:$I$37,MATCH(TRIM(E2559),Map_Tables!$G$4:$G$37,0)),""),IFERROR(INDEX(Map_Tables!$B$4:$B$18,MATCH(TRIM(F2559),Map_Tables!$A$4:$A$18,0)),"CHECK"))</f>
        <v>Bengaluru</v>
      </c>
      <c r="AE2559" s="7" t="str">
        <f aca="false">IF(TRIM(E2559)="","",IFERROR(INDEX(Map_Tables!$H$4:$H$37,MATCH(TRIM(E2559),Map_Tables!$G$4:$G$37,0)),"CHECK"))</f>
        <v>Dosa Darbar</v>
      </c>
      <c r="AF2559" s="7" t="str">
        <f aca="false">IF(TRIM(K2559)="","Unknown",IFERROR(INDEX(Map_Tables!$E$4:$E$15,MATCH(TRIM(K2559),Map_Tables!$D$4:$D$15,0)),"CHECK"))</f>
        <v>UPI</v>
      </c>
      <c r="AG2559" s="7" t="str">
        <f aca="false">IF(LEFT(LOWER(TRIM(L2559)),6)="cancel","Cancelled","Delivered")</f>
        <v>Delivered</v>
      </c>
      <c r="AH2559" s="10" t="n">
        <f aca="false">IF(ISNUMBER(SEARCH("/",B2559)),DATE(VALUE(RIGHT(B2559,4)),VALUE(MID(B2559,4,2)),VALUE(LEFT(B2559,2))),IF(MID(B2559,5,1)="-",DATE(VALUE(LEFT(B2559,4)),VALUE(MID(B2559,6,2)),VALUE(RIGHT(B2559,2))),DATE(VALUE(RIGHT(B2559,4)),MATCH(MID(B2559,4,3),{"Jan","Feb","Mar","Apr","May","Jun","Jul","Aug","Sep","Oct","Nov","Dec"},0),VALUE(LEFT(B2559,2)))))</f>
        <v>45914</v>
      </c>
    </row>
    <row r="2560" customFormat="false" ht="15" hidden="false" customHeight="false" outlineLevel="0" collapsed="false">
      <c r="A2560" s="7" t="s">
        <v>5541</v>
      </c>
      <c r="B2560" s="7" t="s">
        <v>1538</v>
      </c>
      <c r="C2560" s="7" t="s">
        <v>4856</v>
      </c>
      <c r="D2560" s="7" t="s">
        <v>2279</v>
      </c>
      <c r="E2560" s="7" t="s">
        <v>165</v>
      </c>
      <c r="F2560" s="7" t="s">
        <v>146</v>
      </c>
      <c r="G2560" s="7" t="s">
        <v>90</v>
      </c>
      <c r="H2560" s="7" t="n">
        <v>1</v>
      </c>
      <c r="I2560" s="7" t="n">
        <v>210</v>
      </c>
      <c r="J2560" s="7" t="n">
        <v>20</v>
      </c>
      <c r="K2560" s="7" t="s">
        <v>112</v>
      </c>
      <c r="L2560" s="7" t="s">
        <v>194</v>
      </c>
      <c r="M2560" s="7" t="n">
        <v>20</v>
      </c>
      <c r="N2560" s="7" t="n">
        <v>3</v>
      </c>
      <c r="O2560" s="7" t="str">
        <f aca="false">A2560&amp;"|"&amp;B2560&amp;"|"&amp;C2560&amp;"|"&amp;D2560&amp;"|"&amp;E2560&amp;"|"&amp;F2560&amp;"|"&amp;G2560&amp;"|"&amp;H2560&amp;"|"&amp;I2560&amp;"|"&amp;J2560&amp;"|"&amp;K2560&amp;"|"&amp;L2560&amp;"|"&amp;M2560&amp;"|"&amp;N2560</f>
        <v>ORD11838|2025-08-28|10:21|C0126|Gujarati Thali Ghar|Ahmedabad|North Indian|1|210|20|Cash on Delivery|Delivered|20|3</v>
      </c>
      <c r="P2560" s="7" t="str">
        <f aca="false">IF(COUNTIF($O$2:O2560,O2560)&gt;1,"DUP","OK")</f>
        <v>OK</v>
      </c>
      <c r="Q2560" s="7" t="n">
        <f aca="false">COUNTBLANK(A2560:N2560)</f>
        <v>0</v>
      </c>
      <c r="R2560" s="7" t="n">
        <f aca="false">IF(A2560="",0,COUNTIFS($A$2:$A$3058,A2560,$P$2:$P$3058,"OK"))</f>
        <v>1</v>
      </c>
      <c r="S2560" s="7" t="str">
        <f aca="false">IF(OR(A2560="",P2560="DUP",R2560&lt;2),"",IF(Q2560=_xlfn.MINIFS($Q$2:$Q$3058,$A$2:$A$3058,A2560,$P$2:$P$3058,"OK"),"KEEP","DROP"))</f>
        <v/>
      </c>
      <c r="T2560" s="9" t="n">
        <f aca="false">IF(A2560="",1,0)</f>
        <v>0</v>
      </c>
      <c r="U2560" s="9" t="n">
        <f aca="false">IF(D2560="",1,0)</f>
        <v>0</v>
      </c>
      <c r="V2560" s="9" t="n">
        <f aca="false">IF(E2560="",1,0)</f>
        <v>0</v>
      </c>
      <c r="W2560" s="9" t="n">
        <f aca="false">IF(OR(H2560&lt;1,H2560&gt;10),1,0)</f>
        <v>0</v>
      </c>
      <c r="X2560" s="9" t="n">
        <f aca="false">IF(OR(I2560&lt;=0,I2560&gt;1500),1,0)</f>
        <v>0</v>
      </c>
      <c r="Y2560" s="9" t="n">
        <f aca="false">IF(J2560&gt;H2560*I2560,1,0)</f>
        <v>0</v>
      </c>
      <c r="Z2560" s="9" t="n">
        <f aca="false">IF(AND(N2560&lt;&gt;"",OR(N2560&lt;1,N2560&gt;5)),1,0)</f>
        <v>0</v>
      </c>
      <c r="AA2560" s="9" t="n">
        <f aca="false">IF(AND(M2560&lt;&gt;"",OR(M2560&lt;5,M2560&gt;180)),1,0)</f>
        <v>0</v>
      </c>
      <c r="AB2560" s="7" t="str">
        <f aca="false">IF(P2560="DUP","Exact duplicate row",IF(T2560=1,"Missing Order ID",IF(S2560="DROP","Duplicate Order ID (less complete row)",IF(U2560=1,"Missing Customer ID",IF(V2560=1,"Missing Restaurant name",IF(W2560=1,"Invalid/outlier quantity",IF(X2560=1,"Invalid/outlier unit price",IF(Y2560=1,"Discount greater than order value",""))))))))</f>
        <v/>
      </c>
      <c r="AC2560" s="7" t="str">
        <f aca="false">IF(AB2560="","KEEP","DROP")</f>
        <v>KEEP</v>
      </c>
      <c r="AD2560" s="7" t="str">
        <f aca="false">IF(TRIM(F2560)="",IFERROR(INDEX(Map_Tables!$I$4:$I$37,MATCH(TRIM(E2560),Map_Tables!$G$4:$G$37,0)),""),IFERROR(INDEX(Map_Tables!$B$4:$B$18,MATCH(TRIM(F2560),Map_Tables!$A$4:$A$18,0)),"CHECK"))</f>
        <v>Ahmedabad</v>
      </c>
      <c r="AE2560" s="7" t="str">
        <f aca="false">IF(TRIM(E2560)="","",IFERROR(INDEX(Map_Tables!$H$4:$H$37,MATCH(TRIM(E2560),Map_Tables!$G$4:$G$37,0)),"CHECK"))</f>
        <v>Gujarati Thali Ghar</v>
      </c>
      <c r="AF2560" s="7" t="str">
        <f aca="false">IF(TRIM(K2560)="","Unknown",IFERROR(INDEX(Map_Tables!$E$4:$E$15,MATCH(TRIM(K2560),Map_Tables!$D$4:$D$15,0)),"CHECK"))</f>
        <v>Cash on Delivery</v>
      </c>
      <c r="AG2560" s="7" t="str">
        <f aca="false">IF(LEFT(LOWER(TRIM(L2560)),6)="cancel","Cancelled","Delivered")</f>
        <v>Delivered</v>
      </c>
      <c r="AH2560" s="10" t="n">
        <f aca="false">IF(ISNUMBER(SEARCH("/",B2560)),DATE(VALUE(RIGHT(B2560,4)),VALUE(MID(B2560,4,2)),VALUE(LEFT(B2560,2))),IF(MID(B2560,5,1)="-",DATE(VALUE(LEFT(B2560,4)),VALUE(MID(B2560,6,2)),VALUE(RIGHT(B2560,2))),DATE(VALUE(RIGHT(B2560,4)),MATCH(MID(B2560,4,3),{"Jan","Feb","Mar","Apr","May","Jun","Jul","Aug","Sep","Oct","Nov","Dec"},0),VALUE(LEFT(B2560,2)))))</f>
        <v>45897</v>
      </c>
    </row>
    <row r="2561" customFormat="false" ht="15" hidden="false" customHeight="false" outlineLevel="0" collapsed="false">
      <c r="A2561" s="7" t="s">
        <v>5542</v>
      </c>
      <c r="B2561" s="7" t="s">
        <v>1150</v>
      </c>
      <c r="C2561" s="7" t="s">
        <v>5543</v>
      </c>
      <c r="D2561" s="7" t="s">
        <v>3609</v>
      </c>
      <c r="E2561" s="7" t="s">
        <v>138</v>
      </c>
      <c r="F2561" s="7" t="s">
        <v>110</v>
      </c>
      <c r="G2561" s="7" t="s">
        <v>139</v>
      </c>
      <c r="H2561" s="7" t="n">
        <v>1</v>
      </c>
      <c r="I2561" s="7" t="n">
        <v>200</v>
      </c>
      <c r="J2561" s="7" t="n">
        <v>0</v>
      </c>
      <c r="K2561" s="7" t="s">
        <v>112</v>
      </c>
      <c r="L2561" s="7" t="s">
        <v>194</v>
      </c>
      <c r="M2561" s="7" t="n">
        <v>39</v>
      </c>
      <c r="N2561" s="7" t="n">
        <v>3</v>
      </c>
      <c r="O2561" s="7" t="str">
        <f aca="false">A2561&amp;"|"&amp;B2561&amp;"|"&amp;C2561&amp;"|"&amp;D2561&amp;"|"&amp;E2561&amp;"|"&amp;F2561&amp;"|"&amp;G2561&amp;"|"&amp;H2561&amp;"|"&amp;I2561&amp;"|"&amp;J2561&amp;"|"&amp;K2561&amp;"|"&amp;L2561&amp;"|"&amp;M2561&amp;"|"&amp;N2561</f>
        <v>ORD10536|2025-03-10|13:52|C1371|Burger Barn|Delhi|Burgers|1|200|0|Cash on Delivery|Delivered|39|3</v>
      </c>
      <c r="P2561" s="7" t="str">
        <f aca="false">IF(COUNTIF($O$2:O2561,O2561)&gt;1,"DUP","OK")</f>
        <v>OK</v>
      </c>
      <c r="Q2561" s="7" t="n">
        <f aca="false">COUNTBLANK(A2561:N2561)</f>
        <v>0</v>
      </c>
      <c r="R2561" s="7" t="n">
        <f aca="false">IF(A2561="",0,COUNTIFS($A$2:$A$3058,A2561,$P$2:$P$3058,"OK"))</f>
        <v>1</v>
      </c>
      <c r="S2561" s="7" t="str">
        <f aca="false">IF(OR(A2561="",P2561="DUP",R2561&lt;2),"",IF(Q2561=_xlfn.MINIFS($Q$2:$Q$3058,$A$2:$A$3058,A2561,$P$2:$P$3058,"OK"),"KEEP","DROP"))</f>
        <v/>
      </c>
      <c r="T2561" s="9" t="n">
        <f aca="false">IF(A2561="",1,0)</f>
        <v>0</v>
      </c>
      <c r="U2561" s="9" t="n">
        <f aca="false">IF(D2561="",1,0)</f>
        <v>0</v>
      </c>
      <c r="V2561" s="9" t="n">
        <f aca="false">IF(E2561="",1,0)</f>
        <v>0</v>
      </c>
      <c r="W2561" s="9" t="n">
        <f aca="false">IF(OR(H2561&lt;1,H2561&gt;10),1,0)</f>
        <v>0</v>
      </c>
      <c r="X2561" s="9" t="n">
        <f aca="false">IF(OR(I2561&lt;=0,I2561&gt;1500),1,0)</f>
        <v>0</v>
      </c>
      <c r="Y2561" s="9" t="n">
        <f aca="false">IF(J2561&gt;H2561*I2561,1,0)</f>
        <v>0</v>
      </c>
      <c r="Z2561" s="9" t="n">
        <f aca="false">IF(AND(N2561&lt;&gt;"",OR(N2561&lt;1,N2561&gt;5)),1,0)</f>
        <v>0</v>
      </c>
      <c r="AA2561" s="9" t="n">
        <f aca="false">IF(AND(M2561&lt;&gt;"",OR(M2561&lt;5,M2561&gt;180)),1,0)</f>
        <v>0</v>
      </c>
      <c r="AB2561" s="7" t="str">
        <f aca="false">IF(P2561="DUP","Exact duplicate row",IF(T2561=1,"Missing Order ID",IF(S2561="DROP","Duplicate Order ID (less complete row)",IF(U2561=1,"Missing Customer ID",IF(V2561=1,"Missing Restaurant name",IF(W2561=1,"Invalid/outlier quantity",IF(X2561=1,"Invalid/outlier unit price",IF(Y2561=1,"Discount greater than order value",""))))))))</f>
        <v/>
      </c>
      <c r="AC2561" s="7" t="str">
        <f aca="false">IF(AB2561="","KEEP","DROP")</f>
        <v>KEEP</v>
      </c>
      <c r="AD2561" s="7" t="str">
        <f aca="false">IF(TRIM(F2561)="",IFERROR(INDEX(Map_Tables!$I$4:$I$37,MATCH(TRIM(E2561),Map_Tables!$G$4:$G$37,0)),""),IFERROR(INDEX(Map_Tables!$B$4:$B$18,MATCH(TRIM(F2561),Map_Tables!$A$4:$A$18,0)),"CHECK"))</f>
        <v>Delhi</v>
      </c>
      <c r="AE2561" s="7" t="str">
        <f aca="false">IF(TRIM(E2561)="","",IFERROR(INDEX(Map_Tables!$H$4:$H$37,MATCH(TRIM(E2561),Map_Tables!$G$4:$G$37,0)),"CHECK"))</f>
        <v>Burger Barn</v>
      </c>
      <c r="AF2561" s="7" t="str">
        <f aca="false">IF(TRIM(K2561)="","Unknown",IFERROR(INDEX(Map_Tables!$E$4:$E$15,MATCH(TRIM(K2561),Map_Tables!$D$4:$D$15,0)),"CHECK"))</f>
        <v>Cash on Delivery</v>
      </c>
      <c r="AG2561" s="7" t="str">
        <f aca="false">IF(LEFT(LOWER(TRIM(L2561)),6)="cancel","Cancelled","Delivered")</f>
        <v>Delivered</v>
      </c>
      <c r="AH2561" s="10" t="n">
        <f aca="false">IF(ISNUMBER(SEARCH("/",B2561)),DATE(VALUE(RIGHT(B2561,4)),VALUE(MID(B2561,4,2)),VALUE(LEFT(B2561,2))),IF(MID(B2561,5,1)="-",DATE(VALUE(LEFT(B2561,4)),VALUE(MID(B2561,6,2)),VALUE(RIGHT(B2561,2))),DATE(VALUE(RIGHT(B2561,4)),MATCH(MID(B2561,4,3),{"Jan","Feb","Mar","Apr","May","Jun","Jul","Aug","Sep","Oct","Nov","Dec"},0),VALUE(LEFT(B2561,2)))))</f>
        <v>45726</v>
      </c>
    </row>
    <row r="2562" customFormat="false" ht="15" hidden="false" customHeight="false" outlineLevel="0" collapsed="false">
      <c r="A2562" s="7" t="s">
        <v>5544</v>
      </c>
      <c r="B2562" s="7" t="s">
        <v>231</v>
      </c>
      <c r="C2562" s="7" t="s">
        <v>2710</v>
      </c>
      <c r="D2562" s="7" t="s">
        <v>847</v>
      </c>
      <c r="E2562" s="7" t="s">
        <v>193</v>
      </c>
      <c r="F2562" s="7" t="s">
        <v>119</v>
      </c>
      <c r="G2562" s="7" t="s">
        <v>150</v>
      </c>
      <c r="H2562" s="7" t="n">
        <v>1</v>
      </c>
      <c r="I2562" s="7" t="n">
        <v>170</v>
      </c>
      <c r="J2562" s="7" t="n">
        <v>20</v>
      </c>
      <c r="K2562" s="7" t="s">
        <v>88</v>
      </c>
      <c r="L2562" s="7" t="s">
        <v>194</v>
      </c>
      <c r="M2562" s="7" t="n">
        <v>38</v>
      </c>
      <c r="N2562" s="7" t="n">
        <v>3</v>
      </c>
      <c r="O2562" s="7" t="str">
        <f aca="false">A2562&amp;"|"&amp;B2562&amp;"|"&amp;C2562&amp;"|"&amp;D2562&amp;"|"&amp;E2562&amp;"|"&amp;F2562&amp;"|"&amp;G2562&amp;"|"&amp;H2562&amp;"|"&amp;I2562&amp;"|"&amp;J2562&amp;"|"&amp;K2562&amp;"|"&amp;L2562&amp;"|"&amp;M2562&amp;"|"&amp;N2562</f>
        <v>ORD12715|2025-11-30|13:59|C0672|Sweet Tooth Studio |Hyderabad|Desserts|1|170|20|UPI|Delivered|38|3</v>
      </c>
      <c r="P2562" s="7" t="str">
        <f aca="false">IF(COUNTIF($O$2:O2562,O2562)&gt;1,"DUP","OK")</f>
        <v>OK</v>
      </c>
      <c r="Q2562" s="7" t="n">
        <f aca="false">COUNTBLANK(A2562:N2562)</f>
        <v>0</v>
      </c>
      <c r="R2562" s="7" t="n">
        <f aca="false">IF(A2562="",0,COUNTIFS($A$2:$A$3058,A2562,$P$2:$P$3058,"OK"))</f>
        <v>1</v>
      </c>
      <c r="S2562" s="7" t="str">
        <f aca="false">IF(OR(A2562="",P2562="DUP",R2562&lt;2),"",IF(Q2562=_xlfn.MINIFS($Q$2:$Q$3058,$A$2:$A$3058,A2562,$P$2:$P$3058,"OK"),"KEEP","DROP"))</f>
        <v/>
      </c>
      <c r="T2562" s="9" t="n">
        <f aca="false">IF(A2562="",1,0)</f>
        <v>0</v>
      </c>
      <c r="U2562" s="9" t="n">
        <f aca="false">IF(D2562="",1,0)</f>
        <v>0</v>
      </c>
      <c r="V2562" s="9" t="n">
        <f aca="false">IF(E2562="",1,0)</f>
        <v>0</v>
      </c>
      <c r="W2562" s="9" t="n">
        <f aca="false">IF(OR(H2562&lt;1,H2562&gt;10),1,0)</f>
        <v>0</v>
      </c>
      <c r="X2562" s="9" t="n">
        <f aca="false">IF(OR(I2562&lt;=0,I2562&gt;1500),1,0)</f>
        <v>0</v>
      </c>
      <c r="Y2562" s="9" t="n">
        <f aca="false">IF(J2562&gt;H2562*I2562,1,0)</f>
        <v>0</v>
      </c>
      <c r="Z2562" s="9" t="n">
        <f aca="false">IF(AND(N2562&lt;&gt;"",OR(N2562&lt;1,N2562&gt;5)),1,0)</f>
        <v>0</v>
      </c>
      <c r="AA2562" s="9" t="n">
        <f aca="false">IF(AND(M2562&lt;&gt;"",OR(M2562&lt;5,M2562&gt;180)),1,0)</f>
        <v>0</v>
      </c>
      <c r="AB2562" s="7" t="str">
        <f aca="false">IF(P2562="DUP","Exact duplicate row",IF(T2562=1,"Missing Order ID",IF(S2562="DROP","Duplicate Order ID (less complete row)",IF(U2562=1,"Missing Customer ID",IF(V2562=1,"Missing Restaurant name",IF(W2562=1,"Invalid/outlier quantity",IF(X2562=1,"Invalid/outlier unit price",IF(Y2562=1,"Discount greater than order value",""))))))))</f>
        <v/>
      </c>
      <c r="AC2562" s="7" t="str">
        <f aca="false">IF(AB2562="","KEEP","DROP")</f>
        <v>KEEP</v>
      </c>
      <c r="AD2562" s="7" t="str">
        <f aca="false">IF(TRIM(F2562)="",IFERROR(INDEX(Map_Tables!$I$4:$I$37,MATCH(TRIM(E2562),Map_Tables!$G$4:$G$37,0)),""),IFERROR(INDEX(Map_Tables!$B$4:$B$18,MATCH(TRIM(F2562),Map_Tables!$A$4:$A$18,0)),"CHECK"))</f>
        <v>Hyderabad</v>
      </c>
      <c r="AE2562" s="7" t="str">
        <f aca="false">IF(TRIM(E2562)="","",IFERROR(INDEX(Map_Tables!$H$4:$H$37,MATCH(TRIM(E2562),Map_Tables!$G$4:$G$37,0)),"CHECK"))</f>
        <v>Sweet Tooth Studio</v>
      </c>
      <c r="AF2562" s="7" t="str">
        <f aca="false">IF(TRIM(K2562)="","Unknown",IFERROR(INDEX(Map_Tables!$E$4:$E$15,MATCH(TRIM(K2562),Map_Tables!$D$4:$D$15,0)),"CHECK"))</f>
        <v>UPI</v>
      </c>
      <c r="AG2562" s="7" t="str">
        <f aca="false">IF(LEFT(LOWER(TRIM(L2562)),6)="cancel","Cancelled","Delivered")</f>
        <v>Delivered</v>
      </c>
      <c r="AH2562" s="10" t="n">
        <f aca="false">IF(ISNUMBER(SEARCH("/",B2562)),DATE(VALUE(RIGHT(B2562,4)),VALUE(MID(B2562,4,2)),VALUE(LEFT(B2562,2))),IF(MID(B2562,5,1)="-",DATE(VALUE(LEFT(B2562,4)),VALUE(MID(B2562,6,2)),VALUE(RIGHT(B2562,2))),DATE(VALUE(RIGHT(B2562,4)),MATCH(MID(B2562,4,3),{"Jan","Feb","Mar","Apr","May","Jun","Jul","Aug","Sep","Oct","Nov","Dec"},0),VALUE(LEFT(B2562,2)))))</f>
        <v>45991</v>
      </c>
    </row>
    <row r="2563" customFormat="false" ht="15" hidden="false" customHeight="false" outlineLevel="0" collapsed="false">
      <c r="A2563" s="7" t="s">
        <v>5545</v>
      </c>
      <c r="B2563" s="7" t="s">
        <v>1309</v>
      </c>
      <c r="C2563" s="7" t="s">
        <v>447</v>
      </c>
      <c r="D2563" s="7" t="s">
        <v>4557</v>
      </c>
      <c r="E2563" s="7" t="s">
        <v>113</v>
      </c>
      <c r="F2563" s="7" t="s">
        <v>1557</v>
      </c>
      <c r="G2563" s="7" t="s">
        <v>90</v>
      </c>
      <c r="H2563" s="7" t="n">
        <v>1</v>
      </c>
      <c r="I2563" s="7" t="n">
        <v>220</v>
      </c>
      <c r="J2563" s="7" t="n">
        <v>88</v>
      </c>
      <c r="K2563" s="7" t="s">
        <v>112</v>
      </c>
      <c r="L2563" s="7" t="s">
        <v>194</v>
      </c>
      <c r="M2563" s="7" t="n">
        <v>43</v>
      </c>
      <c r="N2563" s="7" t="n">
        <v>4</v>
      </c>
      <c r="O2563" s="7" t="str">
        <f aca="false">A2563&amp;"|"&amp;B2563&amp;"|"&amp;C2563&amp;"|"&amp;D2563&amp;"|"&amp;E2563&amp;"|"&amp;F2563&amp;"|"&amp;G2563&amp;"|"&amp;H2563&amp;"|"&amp;I2563&amp;"|"&amp;J2563&amp;"|"&amp;K2563&amp;"|"&amp;L2563&amp;"|"&amp;M2563&amp;"|"&amp;N2563</f>
        <v>ORD10155|2025-01-20|20:28|C0954|Curry Leaf Kitchen|Mumbai |North Indian|1|220|88|Cash on Delivery|Delivered|43|4</v>
      </c>
      <c r="P2563" s="7" t="str">
        <f aca="false">IF(COUNTIF($O$2:O2563,O2563)&gt;1,"DUP","OK")</f>
        <v>OK</v>
      </c>
      <c r="Q2563" s="7" t="n">
        <f aca="false">COUNTBLANK(A2563:N2563)</f>
        <v>0</v>
      </c>
      <c r="R2563" s="7" t="n">
        <f aca="false">IF(A2563="",0,COUNTIFS($A$2:$A$3058,A2563,$P$2:$P$3058,"OK"))</f>
        <v>1</v>
      </c>
      <c r="S2563" s="7" t="str">
        <f aca="false">IF(OR(A2563="",P2563="DUP",R2563&lt;2),"",IF(Q2563=_xlfn.MINIFS($Q$2:$Q$3058,$A$2:$A$3058,A2563,$P$2:$P$3058,"OK"),"KEEP","DROP"))</f>
        <v/>
      </c>
      <c r="T2563" s="9" t="n">
        <f aca="false">IF(A2563="",1,0)</f>
        <v>0</v>
      </c>
      <c r="U2563" s="9" t="n">
        <f aca="false">IF(D2563="",1,0)</f>
        <v>0</v>
      </c>
      <c r="V2563" s="9" t="n">
        <f aca="false">IF(E2563="",1,0)</f>
        <v>0</v>
      </c>
      <c r="W2563" s="9" t="n">
        <f aca="false">IF(OR(H2563&lt;1,H2563&gt;10),1,0)</f>
        <v>0</v>
      </c>
      <c r="X2563" s="9" t="n">
        <f aca="false">IF(OR(I2563&lt;=0,I2563&gt;1500),1,0)</f>
        <v>0</v>
      </c>
      <c r="Y2563" s="9" t="n">
        <f aca="false">IF(J2563&gt;H2563*I2563,1,0)</f>
        <v>0</v>
      </c>
      <c r="Z2563" s="9" t="n">
        <f aca="false">IF(AND(N2563&lt;&gt;"",OR(N2563&lt;1,N2563&gt;5)),1,0)</f>
        <v>0</v>
      </c>
      <c r="AA2563" s="9" t="n">
        <f aca="false">IF(AND(M2563&lt;&gt;"",OR(M2563&lt;5,M2563&gt;180)),1,0)</f>
        <v>0</v>
      </c>
      <c r="AB2563" s="7" t="str">
        <f aca="false">IF(P2563="DUP","Exact duplicate row",IF(T2563=1,"Missing Order ID",IF(S2563="DROP","Duplicate Order ID (less complete row)",IF(U2563=1,"Missing Customer ID",IF(V2563=1,"Missing Restaurant name",IF(W2563=1,"Invalid/outlier quantity",IF(X2563=1,"Invalid/outlier unit price",IF(Y2563=1,"Discount greater than order value",""))))))))</f>
        <v/>
      </c>
      <c r="AC2563" s="7" t="str">
        <f aca="false">IF(AB2563="","KEEP","DROP")</f>
        <v>KEEP</v>
      </c>
      <c r="AD2563" s="7" t="str">
        <f aca="false">IF(TRIM(F2563)="",IFERROR(INDEX(Map_Tables!$I$4:$I$37,MATCH(TRIM(E2563),Map_Tables!$G$4:$G$37,0)),""),IFERROR(INDEX(Map_Tables!$B$4:$B$18,MATCH(TRIM(F2563),Map_Tables!$A$4:$A$18,0)),"CHECK"))</f>
        <v>Mumbai</v>
      </c>
      <c r="AE2563" s="7" t="str">
        <f aca="false">IF(TRIM(E2563)="","",IFERROR(INDEX(Map_Tables!$H$4:$H$37,MATCH(TRIM(E2563),Map_Tables!$G$4:$G$37,0)),"CHECK"))</f>
        <v>Curry Leaf Kitchen</v>
      </c>
      <c r="AF2563" s="7" t="str">
        <f aca="false">IF(TRIM(K2563)="","Unknown",IFERROR(INDEX(Map_Tables!$E$4:$E$15,MATCH(TRIM(K2563),Map_Tables!$D$4:$D$15,0)),"CHECK"))</f>
        <v>Cash on Delivery</v>
      </c>
      <c r="AG2563" s="7" t="str">
        <f aca="false">IF(LEFT(LOWER(TRIM(L2563)),6)="cancel","Cancelled","Delivered")</f>
        <v>Delivered</v>
      </c>
      <c r="AH2563" s="10" t="n">
        <f aca="false">IF(ISNUMBER(SEARCH("/",B2563)),DATE(VALUE(RIGHT(B2563,4)),VALUE(MID(B2563,4,2)),VALUE(LEFT(B2563,2))),IF(MID(B2563,5,1)="-",DATE(VALUE(LEFT(B2563,4)),VALUE(MID(B2563,6,2)),VALUE(RIGHT(B2563,2))),DATE(VALUE(RIGHT(B2563,4)),MATCH(MID(B2563,4,3),{"Jan","Feb","Mar","Apr","May","Jun","Jul","Aug","Sep","Oct","Nov","Dec"},0),VALUE(LEFT(B2563,2)))))</f>
        <v>45677</v>
      </c>
    </row>
    <row r="2564" customFormat="false" ht="15" hidden="false" customHeight="false" outlineLevel="0" collapsed="false">
      <c r="A2564" s="7" t="s">
        <v>5546</v>
      </c>
      <c r="B2564" s="7" t="s">
        <v>2415</v>
      </c>
      <c r="C2564" s="7" t="s">
        <v>3415</v>
      </c>
      <c r="D2564" s="7" t="s">
        <v>5442</v>
      </c>
      <c r="E2564" s="7" t="s">
        <v>94</v>
      </c>
      <c r="F2564" s="7" t="s">
        <v>86</v>
      </c>
      <c r="G2564" s="7" t="s">
        <v>95</v>
      </c>
      <c r="H2564" s="7" t="n">
        <v>3</v>
      </c>
      <c r="I2564" s="7" t="n">
        <v>120</v>
      </c>
      <c r="J2564" s="7" t="n">
        <v>0</v>
      </c>
      <c r="K2564" s="7" t="s">
        <v>93</v>
      </c>
      <c r="L2564" s="7" t="s">
        <v>194</v>
      </c>
      <c r="M2564" s="7" t="n">
        <v>37</v>
      </c>
      <c r="N2564" s="7" t="n">
        <v>5</v>
      </c>
      <c r="O2564" s="7" t="str">
        <f aca="false">A2564&amp;"|"&amp;B2564&amp;"|"&amp;C2564&amp;"|"&amp;D2564&amp;"|"&amp;E2564&amp;"|"&amp;F2564&amp;"|"&amp;G2564&amp;"|"&amp;H2564&amp;"|"&amp;I2564&amp;"|"&amp;J2564&amp;"|"&amp;K2564&amp;"|"&amp;L2564&amp;"|"&amp;M2564&amp;"|"&amp;N2564</f>
        <v>ORD12623|20/11/2025|12:39|C1228|Dosa Darbar|Bengaluru|South Indian|3|120|0|Credit Card|Delivered|37|5</v>
      </c>
      <c r="P2564" s="7" t="str">
        <f aca="false">IF(COUNTIF($O$2:O2564,O2564)&gt;1,"DUP","OK")</f>
        <v>OK</v>
      </c>
      <c r="Q2564" s="7" t="n">
        <f aca="false">COUNTBLANK(A2564:N2564)</f>
        <v>0</v>
      </c>
      <c r="R2564" s="7" t="n">
        <f aca="false">IF(A2564="",0,COUNTIFS($A$2:$A$3058,A2564,$P$2:$P$3058,"OK"))</f>
        <v>1</v>
      </c>
      <c r="S2564" s="7" t="str">
        <f aca="false">IF(OR(A2564="",P2564="DUP",R2564&lt;2),"",IF(Q2564=_xlfn.MINIFS($Q$2:$Q$3058,$A$2:$A$3058,A2564,$P$2:$P$3058,"OK"),"KEEP","DROP"))</f>
        <v/>
      </c>
      <c r="T2564" s="9" t="n">
        <f aca="false">IF(A2564="",1,0)</f>
        <v>0</v>
      </c>
      <c r="U2564" s="9" t="n">
        <f aca="false">IF(D2564="",1,0)</f>
        <v>0</v>
      </c>
      <c r="V2564" s="9" t="n">
        <f aca="false">IF(E2564="",1,0)</f>
        <v>0</v>
      </c>
      <c r="W2564" s="9" t="n">
        <f aca="false">IF(OR(H2564&lt;1,H2564&gt;10),1,0)</f>
        <v>0</v>
      </c>
      <c r="X2564" s="9" t="n">
        <f aca="false">IF(OR(I2564&lt;=0,I2564&gt;1500),1,0)</f>
        <v>0</v>
      </c>
      <c r="Y2564" s="9" t="n">
        <f aca="false">IF(J2564&gt;H2564*I2564,1,0)</f>
        <v>0</v>
      </c>
      <c r="Z2564" s="9" t="n">
        <f aca="false">IF(AND(N2564&lt;&gt;"",OR(N2564&lt;1,N2564&gt;5)),1,0)</f>
        <v>0</v>
      </c>
      <c r="AA2564" s="9" t="n">
        <f aca="false">IF(AND(M2564&lt;&gt;"",OR(M2564&lt;5,M2564&gt;180)),1,0)</f>
        <v>0</v>
      </c>
      <c r="AB2564" s="7" t="str">
        <f aca="false">IF(P2564="DUP","Exact duplicate row",IF(T2564=1,"Missing Order ID",IF(S2564="DROP","Duplicate Order ID (less complete row)",IF(U2564=1,"Missing Customer ID",IF(V2564=1,"Missing Restaurant name",IF(W2564=1,"Invalid/outlier quantity",IF(X2564=1,"Invalid/outlier unit price",IF(Y2564=1,"Discount greater than order value",""))))))))</f>
        <v/>
      </c>
      <c r="AC2564" s="7" t="str">
        <f aca="false">IF(AB2564="","KEEP","DROP")</f>
        <v>KEEP</v>
      </c>
      <c r="AD2564" s="7" t="str">
        <f aca="false">IF(TRIM(F2564)="",IFERROR(INDEX(Map_Tables!$I$4:$I$37,MATCH(TRIM(E2564),Map_Tables!$G$4:$G$37,0)),""),IFERROR(INDEX(Map_Tables!$B$4:$B$18,MATCH(TRIM(F2564),Map_Tables!$A$4:$A$18,0)),"CHECK"))</f>
        <v>Bengaluru</v>
      </c>
      <c r="AE2564" s="7" t="str">
        <f aca="false">IF(TRIM(E2564)="","",IFERROR(INDEX(Map_Tables!$H$4:$H$37,MATCH(TRIM(E2564),Map_Tables!$G$4:$G$37,0)),"CHECK"))</f>
        <v>Dosa Darbar</v>
      </c>
      <c r="AF2564" s="7" t="str">
        <f aca="false">IF(TRIM(K2564)="","Unknown",IFERROR(INDEX(Map_Tables!$E$4:$E$15,MATCH(TRIM(K2564),Map_Tables!$D$4:$D$15,0)),"CHECK"))</f>
        <v>Credit Card</v>
      </c>
      <c r="AG2564" s="7" t="str">
        <f aca="false">IF(LEFT(LOWER(TRIM(L2564)),6)="cancel","Cancelled","Delivered")</f>
        <v>Delivered</v>
      </c>
      <c r="AH2564" s="10" t="n">
        <f aca="false">IF(ISNUMBER(SEARCH("/",B2564)),DATE(VALUE(RIGHT(B2564,4)),VALUE(MID(B2564,4,2)),VALUE(LEFT(B2564,2))),IF(MID(B2564,5,1)="-",DATE(VALUE(LEFT(B2564,4)),VALUE(MID(B2564,6,2)),VALUE(RIGHT(B2564,2))),DATE(VALUE(RIGHT(B2564,4)),MATCH(MID(B2564,4,3),{"Jan","Feb","Mar","Apr","May","Jun","Jul","Aug","Sep","Oct","Nov","Dec"},0),VALUE(LEFT(B2564,2)))))</f>
        <v>45981</v>
      </c>
    </row>
    <row r="2565" customFormat="false" ht="15" hidden="false" customHeight="false" outlineLevel="0" collapsed="false">
      <c r="A2565" s="7" t="s">
        <v>5547</v>
      </c>
      <c r="B2565" s="7" t="s">
        <v>2920</v>
      </c>
      <c r="C2565" s="7" t="s">
        <v>2696</v>
      </c>
      <c r="D2565" s="7" t="s">
        <v>574</v>
      </c>
      <c r="E2565" s="7" t="s">
        <v>941</v>
      </c>
      <c r="F2565" s="7" t="s">
        <v>86</v>
      </c>
      <c r="G2565" s="7" t="s">
        <v>99</v>
      </c>
      <c r="H2565" s="7" t="n">
        <v>1</v>
      </c>
      <c r="I2565" s="7" t="n">
        <v>235</v>
      </c>
      <c r="J2565" s="7" t="n">
        <v>94</v>
      </c>
      <c r="K2565" s="7" t="s">
        <v>112</v>
      </c>
      <c r="L2565" s="7" t="s">
        <v>238</v>
      </c>
      <c r="M2565" s="7"/>
      <c r="N2565" s="7"/>
      <c r="O2565" s="7" t="str">
        <f aca="false">A2565&amp;"|"&amp;B2565&amp;"|"&amp;C2565&amp;"|"&amp;D2565&amp;"|"&amp;E2565&amp;"|"&amp;F2565&amp;"|"&amp;G2565&amp;"|"&amp;H2565&amp;"|"&amp;I2565&amp;"|"&amp;J2565&amp;"|"&amp;K2565&amp;"|"&amp;L2565&amp;"|"&amp;M2565&amp;"|"&amp;N2565</f>
        <v>ORD12859|2025-12-16|19:05|C1245|Nawabi Biryani House |Bengaluru|Biryani|1|235|94|Cash on Delivery|Cancelled||</v>
      </c>
      <c r="P2565" s="7" t="str">
        <f aca="false">IF(COUNTIF($O$2:O2565,O2565)&gt;1,"DUP","OK")</f>
        <v>OK</v>
      </c>
      <c r="Q2565" s="7" t="n">
        <f aca="false">COUNTBLANK(A2565:N2565)</f>
        <v>2</v>
      </c>
      <c r="R2565" s="7" t="n">
        <f aca="false">IF(A2565="",0,COUNTIFS($A$2:$A$3058,A2565,$P$2:$P$3058,"OK"))</f>
        <v>1</v>
      </c>
      <c r="S2565" s="7" t="str">
        <f aca="false">IF(OR(A2565="",P2565="DUP",R2565&lt;2),"",IF(Q2565=_xlfn.MINIFS($Q$2:$Q$3058,$A$2:$A$3058,A2565,$P$2:$P$3058,"OK"),"KEEP","DROP"))</f>
        <v/>
      </c>
      <c r="T2565" s="9" t="n">
        <f aca="false">IF(A2565="",1,0)</f>
        <v>0</v>
      </c>
      <c r="U2565" s="9" t="n">
        <f aca="false">IF(D2565="",1,0)</f>
        <v>0</v>
      </c>
      <c r="V2565" s="9" t="n">
        <f aca="false">IF(E2565="",1,0)</f>
        <v>0</v>
      </c>
      <c r="W2565" s="9" t="n">
        <f aca="false">IF(OR(H2565&lt;1,H2565&gt;10),1,0)</f>
        <v>0</v>
      </c>
      <c r="X2565" s="9" t="n">
        <f aca="false">IF(OR(I2565&lt;=0,I2565&gt;1500),1,0)</f>
        <v>0</v>
      </c>
      <c r="Y2565" s="9" t="n">
        <f aca="false">IF(J2565&gt;H2565*I2565,1,0)</f>
        <v>0</v>
      </c>
      <c r="Z2565" s="9" t="n">
        <f aca="false">IF(AND(N2565&lt;&gt;"",OR(N2565&lt;1,N2565&gt;5)),1,0)</f>
        <v>0</v>
      </c>
      <c r="AA2565" s="9" t="n">
        <f aca="false">IF(AND(M2565&lt;&gt;"",OR(M2565&lt;5,M2565&gt;180)),1,0)</f>
        <v>0</v>
      </c>
      <c r="AB2565" s="7" t="str">
        <f aca="false">IF(P2565="DUP","Exact duplicate row",IF(T2565=1,"Missing Order ID",IF(S2565="DROP","Duplicate Order ID (less complete row)",IF(U2565=1,"Missing Customer ID",IF(V2565=1,"Missing Restaurant name",IF(W2565=1,"Invalid/outlier quantity",IF(X2565=1,"Invalid/outlier unit price",IF(Y2565=1,"Discount greater than order value",""))))))))</f>
        <v/>
      </c>
      <c r="AC2565" s="7" t="str">
        <f aca="false">IF(AB2565="","KEEP","DROP")</f>
        <v>KEEP</v>
      </c>
      <c r="AD2565" s="7" t="str">
        <f aca="false">IF(TRIM(F2565)="",IFERROR(INDEX(Map_Tables!$I$4:$I$37,MATCH(TRIM(E2565),Map_Tables!$G$4:$G$37,0)),""),IFERROR(INDEX(Map_Tables!$B$4:$B$18,MATCH(TRIM(F2565),Map_Tables!$A$4:$A$18,0)),"CHECK"))</f>
        <v>Bengaluru</v>
      </c>
      <c r="AE2565" s="7" t="str">
        <f aca="false">IF(TRIM(E2565)="","",IFERROR(INDEX(Map_Tables!$H$4:$H$37,MATCH(TRIM(E2565),Map_Tables!$G$4:$G$37,0)),"CHECK"))</f>
        <v>Nawabi Biryani House</v>
      </c>
      <c r="AF2565" s="7" t="str">
        <f aca="false">IF(TRIM(K2565)="","Unknown",IFERROR(INDEX(Map_Tables!$E$4:$E$15,MATCH(TRIM(K2565),Map_Tables!$D$4:$D$15,0)),"CHECK"))</f>
        <v>Cash on Delivery</v>
      </c>
      <c r="AG2565" s="7" t="str">
        <f aca="false">IF(LEFT(LOWER(TRIM(L2565)),6)="cancel","Cancelled","Delivered")</f>
        <v>Cancelled</v>
      </c>
      <c r="AH2565" s="10" t="n">
        <f aca="false">IF(ISNUMBER(SEARCH("/",B2565)),DATE(VALUE(RIGHT(B2565,4)),VALUE(MID(B2565,4,2)),VALUE(LEFT(B2565,2))),IF(MID(B2565,5,1)="-",DATE(VALUE(LEFT(B2565,4)),VALUE(MID(B2565,6,2)),VALUE(RIGHT(B2565,2))),DATE(VALUE(RIGHT(B2565,4)),MATCH(MID(B2565,4,3),{"Jan","Feb","Mar","Apr","May","Jun","Jul","Aug","Sep","Oct","Nov","Dec"},0),VALUE(LEFT(B2565,2)))))</f>
        <v>46007</v>
      </c>
    </row>
    <row r="2566" customFormat="false" ht="15" hidden="false" customHeight="false" outlineLevel="0" collapsed="false">
      <c r="A2566" s="7" t="s">
        <v>5548</v>
      </c>
      <c r="B2566" s="7" t="s">
        <v>341</v>
      </c>
      <c r="C2566" s="7" t="s">
        <v>5395</v>
      </c>
      <c r="D2566" s="7" t="s">
        <v>5549</v>
      </c>
      <c r="E2566" s="7" t="s">
        <v>2400</v>
      </c>
      <c r="F2566" s="7" t="s">
        <v>86</v>
      </c>
      <c r="G2566" s="7" t="s">
        <v>90</v>
      </c>
      <c r="H2566" s="7" t="n">
        <v>3</v>
      </c>
      <c r="I2566" s="7" t="n">
        <v>250</v>
      </c>
      <c r="J2566" s="7" t="n">
        <v>0</v>
      </c>
      <c r="K2566" s="7" t="s">
        <v>88</v>
      </c>
      <c r="L2566" s="7" t="s">
        <v>194</v>
      </c>
      <c r="M2566" s="7" t="n">
        <v>46</v>
      </c>
      <c r="N2566" s="7"/>
      <c r="O2566" s="7" t="str">
        <f aca="false">A2566&amp;"|"&amp;B2566&amp;"|"&amp;C2566&amp;"|"&amp;D2566&amp;"|"&amp;E2566&amp;"|"&amp;F2566&amp;"|"&amp;G2566&amp;"|"&amp;H2566&amp;"|"&amp;I2566&amp;"|"&amp;J2566&amp;"|"&amp;K2566&amp;"|"&amp;L2566&amp;"|"&amp;M2566&amp;"|"&amp;N2566</f>
        <v>ORD10323|2025-02-12|13:10|C0172| Spice Junction|Bengaluru|North Indian|3|250|0|UPI|Delivered|46|</v>
      </c>
      <c r="P2566" s="7" t="str">
        <f aca="false">IF(COUNTIF($O$2:O2566,O2566)&gt;1,"DUP","OK")</f>
        <v>OK</v>
      </c>
      <c r="Q2566" s="7" t="n">
        <f aca="false">COUNTBLANK(A2566:N2566)</f>
        <v>1</v>
      </c>
      <c r="R2566" s="7" t="n">
        <f aca="false">IF(A2566="",0,COUNTIFS($A$2:$A$3058,A2566,$P$2:$P$3058,"OK"))</f>
        <v>1</v>
      </c>
      <c r="S2566" s="7" t="str">
        <f aca="false">IF(OR(A2566="",P2566="DUP",R2566&lt;2),"",IF(Q2566=_xlfn.MINIFS($Q$2:$Q$3058,$A$2:$A$3058,A2566,$P$2:$P$3058,"OK"),"KEEP","DROP"))</f>
        <v/>
      </c>
      <c r="T2566" s="9" t="n">
        <f aca="false">IF(A2566="",1,0)</f>
        <v>0</v>
      </c>
      <c r="U2566" s="9" t="n">
        <f aca="false">IF(D2566="",1,0)</f>
        <v>0</v>
      </c>
      <c r="V2566" s="9" t="n">
        <f aca="false">IF(E2566="",1,0)</f>
        <v>0</v>
      </c>
      <c r="W2566" s="9" t="n">
        <f aca="false">IF(OR(H2566&lt;1,H2566&gt;10),1,0)</f>
        <v>0</v>
      </c>
      <c r="X2566" s="9" t="n">
        <f aca="false">IF(OR(I2566&lt;=0,I2566&gt;1500),1,0)</f>
        <v>0</v>
      </c>
      <c r="Y2566" s="9" t="n">
        <f aca="false">IF(J2566&gt;H2566*I2566,1,0)</f>
        <v>0</v>
      </c>
      <c r="Z2566" s="9" t="n">
        <f aca="false">IF(AND(N2566&lt;&gt;"",OR(N2566&lt;1,N2566&gt;5)),1,0)</f>
        <v>0</v>
      </c>
      <c r="AA2566" s="9" t="n">
        <f aca="false">IF(AND(M2566&lt;&gt;"",OR(M2566&lt;5,M2566&gt;180)),1,0)</f>
        <v>0</v>
      </c>
      <c r="AB2566" s="7" t="str">
        <f aca="false">IF(P2566="DUP","Exact duplicate row",IF(T2566=1,"Missing Order ID",IF(S2566="DROP","Duplicate Order ID (less complete row)",IF(U2566=1,"Missing Customer ID",IF(V2566=1,"Missing Restaurant name",IF(W2566=1,"Invalid/outlier quantity",IF(X2566=1,"Invalid/outlier unit price",IF(Y2566=1,"Discount greater than order value",""))))))))</f>
        <v/>
      </c>
      <c r="AC2566" s="7" t="str">
        <f aca="false">IF(AB2566="","KEEP","DROP")</f>
        <v>KEEP</v>
      </c>
      <c r="AD2566" s="7" t="str">
        <f aca="false">IF(TRIM(F2566)="",IFERROR(INDEX(Map_Tables!$I$4:$I$37,MATCH(TRIM(E2566),Map_Tables!$G$4:$G$37,0)),""),IFERROR(INDEX(Map_Tables!$B$4:$B$18,MATCH(TRIM(F2566),Map_Tables!$A$4:$A$18,0)),"CHECK"))</f>
        <v>Bengaluru</v>
      </c>
      <c r="AE2566" s="7" t="str">
        <f aca="false">IF(TRIM(E2566)="","",IFERROR(INDEX(Map_Tables!$H$4:$H$37,MATCH(TRIM(E2566),Map_Tables!$G$4:$G$37,0)),"CHECK"))</f>
        <v>Spice Junction</v>
      </c>
      <c r="AF2566" s="7" t="str">
        <f aca="false">IF(TRIM(K2566)="","Unknown",IFERROR(INDEX(Map_Tables!$E$4:$E$15,MATCH(TRIM(K2566),Map_Tables!$D$4:$D$15,0)),"CHECK"))</f>
        <v>UPI</v>
      </c>
      <c r="AG2566" s="7" t="str">
        <f aca="false">IF(LEFT(LOWER(TRIM(L2566)),6)="cancel","Cancelled","Delivered")</f>
        <v>Delivered</v>
      </c>
      <c r="AH2566" s="10" t="n">
        <f aca="false">IF(ISNUMBER(SEARCH("/",B2566)),DATE(VALUE(RIGHT(B2566,4)),VALUE(MID(B2566,4,2)),VALUE(LEFT(B2566,2))),IF(MID(B2566,5,1)="-",DATE(VALUE(LEFT(B2566,4)),VALUE(MID(B2566,6,2)),VALUE(RIGHT(B2566,2))),DATE(VALUE(RIGHT(B2566,4)),MATCH(MID(B2566,4,3),{"Jan","Feb","Mar","Apr","May","Jun","Jul","Aug","Sep","Oct","Nov","Dec"},0),VALUE(LEFT(B2566,2)))))</f>
        <v>45700</v>
      </c>
    </row>
    <row r="2567" customFormat="false" ht="15" hidden="false" customHeight="false" outlineLevel="0" collapsed="false">
      <c r="A2567" s="7" t="s">
        <v>5550</v>
      </c>
      <c r="B2567" s="7" t="s">
        <v>1680</v>
      </c>
      <c r="C2567" s="7" t="s">
        <v>1795</v>
      </c>
      <c r="D2567" s="7" t="s">
        <v>3379</v>
      </c>
      <c r="E2567" s="7" t="s">
        <v>89</v>
      </c>
      <c r="F2567" s="7" t="s">
        <v>85</v>
      </c>
      <c r="G2567" s="7" t="s">
        <v>90</v>
      </c>
      <c r="H2567" s="7" t="n">
        <v>2</v>
      </c>
      <c r="I2567" s="7" t="n">
        <v>255</v>
      </c>
      <c r="J2567" s="7" t="n">
        <v>40</v>
      </c>
      <c r="K2567" s="7" t="s">
        <v>103</v>
      </c>
      <c r="L2567" s="7" t="s">
        <v>194</v>
      </c>
      <c r="M2567" s="7" t="n">
        <v>41</v>
      </c>
      <c r="N2567" s="7" t="n">
        <v>4</v>
      </c>
      <c r="O2567" s="7" t="str">
        <f aca="false">A2567&amp;"|"&amp;B2567&amp;"|"&amp;C2567&amp;"|"&amp;D2567&amp;"|"&amp;E2567&amp;"|"&amp;F2567&amp;"|"&amp;G2567&amp;"|"&amp;H2567&amp;"|"&amp;I2567&amp;"|"&amp;J2567&amp;"|"&amp;K2567&amp;"|"&amp;L2567&amp;"|"&amp;M2567&amp;"|"&amp;N2567</f>
        <v>ORD11711|2025-08-13|12:33|C1395|Spice Junction|bangalore|North Indian|2|255|40|Debit Card|Delivered|41|4</v>
      </c>
      <c r="P2567" s="7" t="str">
        <f aca="false">IF(COUNTIF($O$2:O2567,O2567)&gt;1,"DUP","OK")</f>
        <v>OK</v>
      </c>
      <c r="Q2567" s="7" t="n">
        <f aca="false">COUNTBLANK(A2567:N2567)</f>
        <v>0</v>
      </c>
      <c r="R2567" s="7" t="n">
        <f aca="false">IF(A2567="",0,COUNTIFS($A$2:$A$3058,A2567,$P$2:$P$3058,"OK"))</f>
        <v>1</v>
      </c>
      <c r="S2567" s="7" t="str">
        <f aca="false">IF(OR(A2567="",P2567="DUP",R2567&lt;2),"",IF(Q2567=_xlfn.MINIFS($Q$2:$Q$3058,$A$2:$A$3058,A2567,$P$2:$P$3058,"OK"),"KEEP","DROP"))</f>
        <v/>
      </c>
      <c r="T2567" s="9" t="n">
        <f aca="false">IF(A2567="",1,0)</f>
        <v>0</v>
      </c>
      <c r="U2567" s="9" t="n">
        <f aca="false">IF(D2567="",1,0)</f>
        <v>0</v>
      </c>
      <c r="V2567" s="9" t="n">
        <f aca="false">IF(E2567="",1,0)</f>
        <v>0</v>
      </c>
      <c r="W2567" s="9" t="n">
        <f aca="false">IF(OR(H2567&lt;1,H2567&gt;10),1,0)</f>
        <v>0</v>
      </c>
      <c r="X2567" s="9" t="n">
        <f aca="false">IF(OR(I2567&lt;=0,I2567&gt;1500),1,0)</f>
        <v>0</v>
      </c>
      <c r="Y2567" s="9" t="n">
        <f aca="false">IF(J2567&gt;H2567*I2567,1,0)</f>
        <v>0</v>
      </c>
      <c r="Z2567" s="9" t="n">
        <f aca="false">IF(AND(N2567&lt;&gt;"",OR(N2567&lt;1,N2567&gt;5)),1,0)</f>
        <v>0</v>
      </c>
      <c r="AA2567" s="9" t="n">
        <f aca="false">IF(AND(M2567&lt;&gt;"",OR(M2567&lt;5,M2567&gt;180)),1,0)</f>
        <v>0</v>
      </c>
      <c r="AB2567" s="7" t="str">
        <f aca="false">IF(P2567="DUP","Exact duplicate row",IF(T2567=1,"Missing Order ID",IF(S2567="DROP","Duplicate Order ID (less complete row)",IF(U2567=1,"Missing Customer ID",IF(V2567=1,"Missing Restaurant name",IF(W2567=1,"Invalid/outlier quantity",IF(X2567=1,"Invalid/outlier unit price",IF(Y2567=1,"Discount greater than order value",""))))))))</f>
        <v/>
      </c>
      <c r="AC2567" s="7" t="str">
        <f aca="false">IF(AB2567="","KEEP","DROP")</f>
        <v>KEEP</v>
      </c>
      <c r="AD2567" s="7" t="str">
        <f aca="false">IF(TRIM(F2567)="",IFERROR(INDEX(Map_Tables!$I$4:$I$37,MATCH(TRIM(E2567),Map_Tables!$G$4:$G$37,0)),""),IFERROR(INDEX(Map_Tables!$B$4:$B$18,MATCH(TRIM(F2567),Map_Tables!$A$4:$A$18,0)),"CHECK"))</f>
        <v>Bengaluru</v>
      </c>
      <c r="AE2567" s="7" t="str">
        <f aca="false">IF(TRIM(E2567)="","",IFERROR(INDEX(Map_Tables!$H$4:$H$37,MATCH(TRIM(E2567),Map_Tables!$G$4:$G$37,0)),"CHECK"))</f>
        <v>Spice Junction</v>
      </c>
      <c r="AF2567" s="7" t="str">
        <f aca="false">IF(TRIM(K2567)="","Unknown",IFERROR(INDEX(Map_Tables!$E$4:$E$15,MATCH(TRIM(K2567),Map_Tables!$D$4:$D$15,0)),"CHECK"))</f>
        <v>Debit Card</v>
      </c>
      <c r="AG2567" s="7" t="str">
        <f aca="false">IF(LEFT(LOWER(TRIM(L2567)),6)="cancel","Cancelled","Delivered")</f>
        <v>Delivered</v>
      </c>
      <c r="AH2567" s="10" t="n">
        <f aca="false">IF(ISNUMBER(SEARCH("/",B2567)),DATE(VALUE(RIGHT(B2567,4)),VALUE(MID(B2567,4,2)),VALUE(LEFT(B2567,2))),IF(MID(B2567,5,1)="-",DATE(VALUE(LEFT(B2567,4)),VALUE(MID(B2567,6,2)),VALUE(RIGHT(B2567,2))),DATE(VALUE(RIGHT(B2567,4)),MATCH(MID(B2567,4,3),{"Jan","Feb","Mar","Apr","May","Jun","Jul","Aug","Sep","Oct","Nov","Dec"},0),VALUE(LEFT(B2567,2)))))</f>
        <v>45882</v>
      </c>
    </row>
    <row r="2568" customFormat="false" ht="15" hidden="false" customHeight="false" outlineLevel="0" collapsed="false">
      <c r="A2568" s="7" t="s">
        <v>5551</v>
      </c>
      <c r="B2568" s="7" t="s">
        <v>2632</v>
      </c>
      <c r="C2568" s="7" t="s">
        <v>5552</v>
      </c>
      <c r="D2568" s="7" t="s">
        <v>1225</v>
      </c>
      <c r="E2568" s="7" t="s">
        <v>138</v>
      </c>
      <c r="F2568" s="7" t="s">
        <v>110</v>
      </c>
      <c r="G2568" s="7" t="s">
        <v>139</v>
      </c>
      <c r="H2568" s="7" t="n">
        <v>1</v>
      </c>
      <c r="I2568" s="7" t="n">
        <v>165</v>
      </c>
      <c r="J2568" s="7" t="n">
        <v>40</v>
      </c>
      <c r="K2568" s="7" t="s">
        <v>92</v>
      </c>
      <c r="L2568" s="7" t="s">
        <v>194</v>
      </c>
      <c r="M2568" s="7" t="n">
        <v>45</v>
      </c>
      <c r="N2568" s="7" t="n">
        <v>3</v>
      </c>
      <c r="O2568" s="7" t="str">
        <f aca="false">A2568&amp;"|"&amp;B2568&amp;"|"&amp;C2568&amp;"|"&amp;D2568&amp;"|"&amp;E2568&amp;"|"&amp;F2568&amp;"|"&amp;G2568&amp;"|"&amp;H2568&amp;"|"&amp;I2568&amp;"|"&amp;J2568&amp;"|"&amp;K2568&amp;"|"&amp;L2568&amp;"|"&amp;M2568&amp;"|"&amp;N2568</f>
        <v>ORD10015|2025-01-02|21:32|C0034|Burger Barn|Delhi|Burgers|1|165|40|credit card|Delivered|45|3</v>
      </c>
      <c r="P2568" s="7" t="str">
        <f aca="false">IF(COUNTIF($O$2:O2568,O2568)&gt;1,"DUP","OK")</f>
        <v>OK</v>
      </c>
      <c r="Q2568" s="7" t="n">
        <f aca="false">COUNTBLANK(A2568:N2568)</f>
        <v>0</v>
      </c>
      <c r="R2568" s="7" t="n">
        <f aca="false">IF(A2568="",0,COUNTIFS($A$2:$A$3058,A2568,$P$2:$P$3058,"OK"))</f>
        <v>1</v>
      </c>
      <c r="S2568" s="7" t="str">
        <f aca="false">IF(OR(A2568="",P2568="DUP",R2568&lt;2),"",IF(Q2568=_xlfn.MINIFS($Q$2:$Q$3058,$A$2:$A$3058,A2568,$P$2:$P$3058,"OK"),"KEEP","DROP"))</f>
        <v/>
      </c>
      <c r="T2568" s="9" t="n">
        <f aca="false">IF(A2568="",1,0)</f>
        <v>0</v>
      </c>
      <c r="U2568" s="9" t="n">
        <f aca="false">IF(D2568="",1,0)</f>
        <v>0</v>
      </c>
      <c r="V2568" s="9" t="n">
        <f aca="false">IF(E2568="",1,0)</f>
        <v>0</v>
      </c>
      <c r="W2568" s="9" t="n">
        <f aca="false">IF(OR(H2568&lt;1,H2568&gt;10),1,0)</f>
        <v>0</v>
      </c>
      <c r="X2568" s="9" t="n">
        <f aca="false">IF(OR(I2568&lt;=0,I2568&gt;1500),1,0)</f>
        <v>0</v>
      </c>
      <c r="Y2568" s="9" t="n">
        <f aca="false">IF(J2568&gt;H2568*I2568,1,0)</f>
        <v>0</v>
      </c>
      <c r="Z2568" s="9" t="n">
        <f aca="false">IF(AND(N2568&lt;&gt;"",OR(N2568&lt;1,N2568&gt;5)),1,0)</f>
        <v>0</v>
      </c>
      <c r="AA2568" s="9" t="n">
        <f aca="false">IF(AND(M2568&lt;&gt;"",OR(M2568&lt;5,M2568&gt;180)),1,0)</f>
        <v>0</v>
      </c>
      <c r="AB2568" s="7" t="str">
        <f aca="false">IF(P2568="DUP","Exact duplicate row",IF(T2568=1,"Missing Order ID",IF(S2568="DROP","Duplicate Order ID (less complete row)",IF(U2568=1,"Missing Customer ID",IF(V2568=1,"Missing Restaurant name",IF(W2568=1,"Invalid/outlier quantity",IF(X2568=1,"Invalid/outlier unit price",IF(Y2568=1,"Discount greater than order value",""))))))))</f>
        <v/>
      </c>
      <c r="AC2568" s="7" t="str">
        <f aca="false">IF(AB2568="","KEEP","DROP")</f>
        <v>KEEP</v>
      </c>
      <c r="AD2568" s="7" t="str">
        <f aca="false">IF(TRIM(F2568)="",IFERROR(INDEX(Map_Tables!$I$4:$I$37,MATCH(TRIM(E2568),Map_Tables!$G$4:$G$37,0)),""),IFERROR(INDEX(Map_Tables!$B$4:$B$18,MATCH(TRIM(F2568),Map_Tables!$A$4:$A$18,0)),"CHECK"))</f>
        <v>Delhi</v>
      </c>
      <c r="AE2568" s="7" t="str">
        <f aca="false">IF(TRIM(E2568)="","",IFERROR(INDEX(Map_Tables!$H$4:$H$37,MATCH(TRIM(E2568),Map_Tables!$G$4:$G$37,0)),"CHECK"))</f>
        <v>Burger Barn</v>
      </c>
      <c r="AF2568" s="7" t="str">
        <f aca="false">IF(TRIM(K2568)="","Unknown",IFERROR(INDEX(Map_Tables!$E$4:$E$15,MATCH(TRIM(K2568),Map_Tables!$D$4:$D$15,0)),"CHECK"))</f>
        <v>Credit Card</v>
      </c>
      <c r="AG2568" s="7" t="str">
        <f aca="false">IF(LEFT(LOWER(TRIM(L2568)),6)="cancel","Cancelled","Delivered")</f>
        <v>Delivered</v>
      </c>
      <c r="AH2568" s="10" t="n">
        <f aca="false">IF(ISNUMBER(SEARCH("/",B2568)),DATE(VALUE(RIGHT(B2568,4)),VALUE(MID(B2568,4,2)),VALUE(LEFT(B2568,2))),IF(MID(B2568,5,1)="-",DATE(VALUE(LEFT(B2568,4)),VALUE(MID(B2568,6,2)),VALUE(RIGHT(B2568,2))),DATE(VALUE(RIGHT(B2568,4)),MATCH(MID(B2568,4,3),{"Jan","Feb","Mar","Apr","May","Jun","Jul","Aug","Sep","Oct","Nov","Dec"},0),VALUE(LEFT(B2568,2)))))</f>
        <v>45659</v>
      </c>
    </row>
    <row r="2569" customFormat="false" ht="15" hidden="false" customHeight="false" outlineLevel="0" collapsed="false">
      <c r="A2569" s="7" t="s">
        <v>5553</v>
      </c>
      <c r="B2569" s="7" t="s">
        <v>1634</v>
      </c>
      <c r="C2569" s="7" t="s">
        <v>5554</v>
      </c>
      <c r="D2569" s="7" t="s">
        <v>3212</v>
      </c>
      <c r="E2569" s="7" t="s">
        <v>113</v>
      </c>
      <c r="F2569" s="7" t="s">
        <v>101</v>
      </c>
      <c r="G2569" s="7" t="s">
        <v>90</v>
      </c>
      <c r="H2569" s="7" t="n">
        <v>4</v>
      </c>
      <c r="I2569" s="7" t="n">
        <v>260</v>
      </c>
      <c r="J2569" s="7" t="n">
        <v>40</v>
      </c>
      <c r="K2569" s="7" t="s">
        <v>88</v>
      </c>
      <c r="L2569" s="7" t="s">
        <v>194</v>
      </c>
      <c r="M2569" s="7" t="n">
        <v>52</v>
      </c>
      <c r="N2569" s="7" t="n">
        <v>2</v>
      </c>
      <c r="O2569" s="7" t="str">
        <f aca="false">A2569&amp;"|"&amp;B2569&amp;"|"&amp;C2569&amp;"|"&amp;D2569&amp;"|"&amp;E2569&amp;"|"&amp;F2569&amp;"|"&amp;G2569&amp;"|"&amp;H2569&amp;"|"&amp;I2569&amp;"|"&amp;J2569&amp;"|"&amp;K2569&amp;"|"&amp;L2569&amp;"|"&amp;M2569&amp;"|"&amp;N2569</f>
        <v>ORD11799|2025-08-23|08:50|C1322|Curry Leaf Kitchen|Mumbai|North Indian|4|260|40|UPI|Delivered|52|2</v>
      </c>
      <c r="P2569" s="7" t="str">
        <f aca="false">IF(COUNTIF($O$2:O2569,O2569)&gt;1,"DUP","OK")</f>
        <v>OK</v>
      </c>
      <c r="Q2569" s="7" t="n">
        <f aca="false">COUNTBLANK(A2569:N2569)</f>
        <v>0</v>
      </c>
      <c r="R2569" s="7" t="n">
        <f aca="false">IF(A2569="",0,COUNTIFS($A$2:$A$3058,A2569,$P$2:$P$3058,"OK"))</f>
        <v>1</v>
      </c>
      <c r="S2569" s="7" t="str">
        <f aca="false">IF(OR(A2569="",P2569="DUP",R2569&lt;2),"",IF(Q2569=_xlfn.MINIFS($Q$2:$Q$3058,$A$2:$A$3058,A2569,$P$2:$P$3058,"OK"),"KEEP","DROP"))</f>
        <v/>
      </c>
      <c r="T2569" s="9" t="n">
        <f aca="false">IF(A2569="",1,0)</f>
        <v>0</v>
      </c>
      <c r="U2569" s="9" t="n">
        <f aca="false">IF(D2569="",1,0)</f>
        <v>0</v>
      </c>
      <c r="V2569" s="9" t="n">
        <f aca="false">IF(E2569="",1,0)</f>
        <v>0</v>
      </c>
      <c r="W2569" s="9" t="n">
        <f aca="false">IF(OR(H2569&lt;1,H2569&gt;10),1,0)</f>
        <v>0</v>
      </c>
      <c r="X2569" s="9" t="n">
        <f aca="false">IF(OR(I2569&lt;=0,I2569&gt;1500),1,0)</f>
        <v>0</v>
      </c>
      <c r="Y2569" s="9" t="n">
        <f aca="false">IF(J2569&gt;H2569*I2569,1,0)</f>
        <v>0</v>
      </c>
      <c r="Z2569" s="9" t="n">
        <f aca="false">IF(AND(N2569&lt;&gt;"",OR(N2569&lt;1,N2569&gt;5)),1,0)</f>
        <v>0</v>
      </c>
      <c r="AA2569" s="9" t="n">
        <f aca="false">IF(AND(M2569&lt;&gt;"",OR(M2569&lt;5,M2569&gt;180)),1,0)</f>
        <v>0</v>
      </c>
      <c r="AB2569" s="7" t="str">
        <f aca="false">IF(P2569="DUP","Exact duplicate row",IF(T2569=1,"Missing Order ID",IF(S2569="DROP","Duplicate Order ID (less complete row)",IF(U2569=1,"Missing Customer ID",IF(V2569=1,"Missing Restaurant name",IF(W2569=1,"Invalid/outlier quantity",IF(X2569=1,"Invalid/outlier unit price",IF(Y2569=1,"Discount greater than order value",""))))))))</f>
        <v/>
      </c>
      <c r="AC2569" s="7" t="str">
        <f aca="false">IF(AB2569="","KEEP","DROP")</f>
        <v>KEEP</v>
      </c>
      <c r="AD2569" s="7" t="str">
        <f aca="false">IF(TRIM(F2569)="",IFERROR(INDEX(Map_Tables!$I$4:$I$37,MATCH(TRIM(E2569),Map_Tables!$G$4:$G$37,0)),""),IFERROR(INDEX(Map_Tables!$B$4:$B$18,MATCH(TRIM(F2569),Map_Tables!$A$4:$A$18,0)),"CHECK"))</f>
        <v>Mumbai</v>
      </c>
      <c r="AE2569" s="7" t="str">
        <f aca="false">IF(TRIM(E2569)="","",IFERROR(INDEX(Map_Tables!$H$4:$H$37,MATCH(TRIM(E2569),Map_Tables!$G$4:$G$37,0)),"CHECK"))</f>
        <v>Curry Leaf Kitchen</v>
      </c>
      <c r="AF2569" s="7" t="str">
        <f aca="false">IF(TRIM(K2569)="","Unknown",IFERROR(INDEX(Map_Tables!$E$4:$E$15,MATCH(TRIM(K2569),Map_Tables!$D$4:$D$15,0)),"CHECK"))</f>
        <v>UPI</v>
      </c>
      <c r="AG2569" s="7" t="str">
        <f aca="false">IF(LEFT(LOWER(TRIM(L2569)),6)="cancel","Cancelled","Delivered")</f>
        <v>Delivered</v>
      </c>
      <c r="AH2569" s="10" t="n">
        <f aca="false">IF(ISNUMBER(SEARCH("/",B2569)),DATE(VALUE(RIGHT(B2569,4)),VALUE(MID(B2569,4,2)),VALUE(LEFT(B2569,2))),IF(MID(B2569,5,1)="-",DATE(VALUE(LEFT(B2569,4)),VALUE(MID(B2569,6,2)),VALUE(RIGHT(B2569,2))),DATE(VALUE(RIGHT(B2569,4)),MATCH(MID(B2569,4,3),{"Jan","Feb","Mar","Apr","May","Jun","Jul","Aug","Sep","Oct","Nov","Dec"},0),VALUE(LEFT(B2569,2)))))</f>
        <v>45892</v>
      </c>
    </row>
    <row r="2570" customFormat="false" ht="15" hidden="false" customHeight="false" outlineLevel="0" collapsed="false">
      <c r="A2570" s="7" t="s">
        <v>5555</v>
      </c>
      <c r="B2570" s="7" t="s">
        <v>2920</v>
      </c>
      <c r="C2570" s="7" t="s">
        <v>1781</v>
      </c>
      <c r="D2570" s="7" t="s">
        <v>4662</v>
      </c>
      <c r="E2570" s="7" t="s">
        <v>116</v>
      </c>
      <c r="F2570" s="7" t="s">
        <v>215</v>
      </c>
      <c r="G2570" s="7" t="s">
        <v>117</v>
      </c>
      <c r="H2570" s="7" t="n">
        <v>2</v>
      </c>
      <c r="I2570" s="7" t="n">
        <v>115</v>
      </c>
      <c r="J2570" s="7" t="n">
        <v>0</v>
      </c>
      <c r="K2570" s="7" t="s">
        <v>121</v>
      </c>
      <c r="L2570" s="7" t="s">
        <v>194</v>
      </c>
      <c r="M2570" s="7" t="n">
        <v>51</v>
      </c>
      <c r="N2570" s="7" t="n">
        <v>4</v>
      </c>
      <c r="O2570" s="7" t="str">
        <f aca="false">A2570&amp;"|"&amp;B2570&amp;"|"&amp;C2570&amp;"|"&amp;D2570&amp;"|"&amp;E2570&amp;"|"&amp;F2570&amp;"|"&amp;G2570&amp;"|"&amp;H2570&amp;"|"&amp;I2570&amp;"|"&amp;J2570&amp;"|"&amp;K2570&amp;"|"&amp;L2570&amp;"|"&amp;M2570&amp;"|"&amp;N2570</f>
        <v>ORD12862|2025-12-16|21:16|C0371|Pav Bhaji Point|MUMBAI|Street Food|2|115|0|Wallet|Delivered|51|4</v>
      </c>
      <c r="P2570" s="7" t="str">
        <f aca="false">IF(COUNTIF($O$2:O2570,O2570)&gt;1,"DUP","OK")</f>
        <v>OK</v>
      </c>
      <c r="Q2570" s="7" t="n">
        <f aca="false">COUNTBLANK(A2570:N2570)</f>
        <v>0</v>
      </c>
      <c r="R2570" s="7" t="n">
        <f aca="false">IF(A2570="",0,COUNTIFS($A$2:$A$3058,A2570,$P$2:$P$3058,"OK"))</f>
        <v>1</v>
      </c>
      <c r="S2570" s="7" t="str">
        <f aca="false">IF(OR(A2570="",P2570="DUP",R2570&lt;2),"",IF(Q2570=_xlfn.MINIFS($Q$2:$Q$3058,$A$2:$A$3058,A2570,$P$2:$P$3058,"OK"),"KEEP","DROP"))</f>
        <v/>
      </c>
      <c r="T2570" s="9" t="n">
        <f aca="false">IF(A2570="",1,0)</f>
        <v>0</v>
      </c>
      <c r="U2570" s="9" t="n">
        <f aca="false">IF(D2570="",1,0)</f>
        <v>0</v>
      </c>
      <c r="V2570" s="9" t="n">
        <f aca="false">IF(E2570="",1,0)</f>
        <v>0</v>
      </c>
      <c r="W2570" s="9" t="n">
        <f aca="false">IF(OR(H2570&lt;1,H2570&gt;10),1,0)</f>
        <v>0</v>
      </c>
      <c r="X2570" s="9" t="n">
        <f aca="false">IF(OR(I2570&lt;=0,I2570&gt;1500),1,0)</f>
        <v>0</v>
      </c>
      <c r="Y2570" s="9" t="n">
        <f aca="false">IF(J2570&gt;H2570*I2570,1,0)</f>
        <v>0</v>
      </c>
      <c r="Z2570" s="9" t="n">
        <f aca="false">IF(AND(N2570&lt;&gt;"",OR(N2570&lt;1,N2570&gt;5)),1,0)</f>
        <v>0</v>
      </c>
      <c r="AA2570" s="9" t="n">
        <f aca="false">IF(AND(M2570&lt;&gt;"",OR(M2570&lt;5,M2570&gt;180)),1,0)</f>
        <v>0</v>
      </c>
      <c r="AB2570" s="7" t="str">
        <f aca="false">IF(P2570="DUP","Exact duplicate row",IF(T2570=1,"Missing Order ID",IF(S2570="DROP","Duplicate Order ID (less complete row)",IF(U2570=1,"Missing Customer ID",IF(V2570=1,"Missing Restaurant name",IF(W2570=1,"Invalid/outlier quantity",IF(X2570=1,"Invalid/outlier unit price",IF(Y2570=1,"Discount greater than order value",""))))))))</f>
        <v/>
      </c>
      <c r="AC2570" s="7" t="str">
        <f aca="false">IF(AB2570="","KEEP","DROP")</f>
        <v>KEEP</v>
      </c>
      <c r="AD2570" s="7" t="str">
        <f aca="false">IF(TRIM(F2570)="",IFERROR(INDEX(Map_Tables!$I$4:$I$37,MATCH(TRIM(E2570),Map_Tables!$G$4:$G$37,0)),""),IFERROR(INDEX(Map_Tables!$B$4:$B$18,MATCH(TRIM(F2570),Map_Tables!$A$4:$A$18,0)),"CHECK"))</f>
        <v>Mumbai</v>
      </c>
      <c r="AE2570" s="7" t="str">
        <f aca="false">IF(TRIM(E2570)="","",IFERROR(INDEX(Map_Tables!$H$4:$H$37,MATCH(TRIM(E2570),Map_Tables!$G$4:$G$37,0)),"CHECK"))</f>
        <v>Pav Bhaji Point</v>
      </c>
      <c r="AF2570" s="7" t="str">
        <f aca="false">IF(TRIM(K2570)="","Unknown",IFERROR(INDEX(Map_Tables!$E$4:$E$15,MATCH(TRIM(K2570),Map_Tables!$D$4:$D$15,0)),"CHECK"))</f>
        <v>Wallet</v>
      </c>
      <c r="AG2570" s="7" t="str">
        <f aca="false">IF(LEFT(LOWER(TRIM(L2570)),6)="cancel","Cancelled","Delivered")</f>
        <v>Delivered</v>
      </c>
      <c r="AH2570" s="10" t="n">
        <f aca="false">IF(ISNUMBER(SEARCH("/",B2570)),DATE(VALUE(RIGHT(B2570,4)),VALUE(MID(B2570,4,2)),VALUE(LEFT(B2570,2))),IF(MID(B2570,5,1)="-",DATE(VALUE(LEFT(B2570,4)),VALUE(MID(B2570,6,2)),VALUE(RIGHT(B2570,2))),DATE(VALUE(RIGHT(B2570,4)),MATCH(MID(B2570,4,3),{"Jan","Feb","Mar","Apr","May","Jun","Jul","Aug","Sep","Oct","Nov","Dec"},0),VALUE(LEFT(B2570,2)))))</f>
        <v>46007</v>
      </c>
    </row>
    <row r="2571" customFormat="false" ht="15" hidden="false" customHeight="false" outlineLevel="0" collapsed="false">
      <c r="A2571" s="7" t="s">
        <v>5556</v>
      </c>
      <c r="B2571" s="7" t="s">
        <v>436</v>
      </c>
      <c r="C2571" s="7" t="s">
        <v>3758</v>
      </c>
      <c r="D2571" s="7" t="s">
        <v>5026</v>
      </c>
      <c r="E2571" s="7" t="s">
        <v>94</v>
      </c>
      <c r="F2571" s="7" t="s">
        <v>449</v>
      </c>
      <c r="G2571" s="7" t="s">
        <v>95</v>
      </c>
      <c r="H2571" s="7" t="n">
        <v>3</v>
      </c>
      <c r="I2571" s="7" t="n">
        <v>120</v>
      </c>
      <c r="J2571" s="7" t="n">
        <v>0</v>
      </c>
      <c r="K2571" s="7" t="s">
        <v>133</v>
      </c>
      <c r="L2571" s="7" t="s">
        <v>194</v>
      </c>
      <c r="M2571" s="7" t="n">
        <v>43</v>
      </c>
      <c r="N2571" s="7" t="n">
        <v>3</v>
      </c>
      <c r="O2571" s="7" t="str">
        <f aca="false">A2571&amp;"|"&amp;B2571&amp;"|"&amp;C2571&amp;"|"&amp;D2571&amp;"|"&amp;E2571&amp;"|"&amp;F2571&amp;"|"&amp;G2571&amp;"|"&amp;H2571&amp;"|"&amp;I2571&amp;"|"&amp;J2571&amp;"|"&amp;K2571&amp;"|"&amp;L2571&amp;"|"&amp;M2571&amp;"|"&amp;N2571</f>
        <v>ORD10083|2025-01-12|10:13|C0818|Dosa Darbar|BLR|South Indian|3|120|0|Net Banking|Delivered|43|3</v>
      </c>
      <c r="P2571" s="7" t="str">
        <f aca="false">IF(COUNTIF($O$2:O2571,O2571)&gt;1,"DUP","OK")</f>
        <v>OK</v>
      </c>
      <c r="Q2571" s="7" t="n">
        <f aca="false">COUNTBLANK(A2571:N2571)</f>
        <v>0</v>
      </c>
      <c r="R2571" s="7" t="n">
        <f aca="false">IF(A2571="",0,COUNTIFS($A$2:$A$3058,A2571,$P$2:$P$3058,"OK"))</f>
        <v>1</v>
      </c>
      <c r="S2571" s="7" t="str">
        <f aca="false">IF(OR(A2571="",P2571="DUP",R2571&lt;2),"",IF(Q2571=_xlfn.MINIFS($Q$2:$Q$3058,$A$2:$A$3058,A2571,$P$2:$P$3058,"OK"),"KEEP","DROP"))</f>
        <v/>
      </c>
      <c r="T2571" s="9" t="n">
        <f aca="false">IF(A2571="",1,0)</f>
        <v>0</v>
      </c>
      <c r="U2571" s="9" t="n">
        <f aca="false">IF(D2571="",1,0)</f>
        <v>0</v>
      </c>
      <c r="V2571" s="9" t="n">
        <f aca="false">IF(E2571="",1,0)</f>
        <v>0</v>
      </c>
      <c r="W2571" s="9" t="n">
        <f aca="false">IF(OR(H2571&lt;1,H2571&gt;10),1,0)</f>
        <v>0</v>
      </c>
      <c r="X2571" s="9" t="n">
        <f aca="false">IF(OR(I2571&lt;=0,I2571&gt;1500),1,0)</f>
        <v>0</v>
      </c>
      <c r="Y2571" s="9" t="n">
        <f aca="false">IF(J2571&gt;H2571*I2571,1,0)</f>
        <v>0</v>
      </c>
      <c r="Z2571" s="9" t="n">
        <f aca="false">IF(AND(N2571&lt;&gt;"",OR(N2571&lt;1,N2571&gt;5)),1,0)</f>
        <v>0</v>
      </c>
      <c r="AA2571" s="9" t="n">
        <f aca="false">IF(AND(M2571&lt;&gt;"",OR(M2571&lt;5,M2571&gt;180)),1,0)</f>
        <v>0</v>
      </c>
      <c r="AB2571" s="7" t="str">
        <f aca="false">IF(P2571="DUP","Exact duplicate row",IF(T2571=1,"Missing Order ID",IF(S2571="DROP","Duplicate Order ID (less complete row)",IF(U2571=1,"Missing Customer ID",IF(V2571=1,"Missing Restaurant name",IF(W2571=1,"Invalid/outlier quantity",IF(X2571=1,"Invalid/outlier unit price",IF(Y2571=1,"Discount greater than order value",""))))))))</f>
        <v/>
      </c>
      <c r="AC2571" s="7" t="str">
        <f aca="false">IF(AB2571="","KEEP","DROP")</f>
        <v>KEEP</v>
      </c>
      <c r="AD2571" s="7" t="str">
        <f aca="false">IF(TRIM(F2571)="",IFERROR(INDEX(Map_Tables!$I$4:$I$37,MATCH(TRIM(E2571),Map_Tables!$G$4:$G$37,0)),""),IFERROR(INDEX(Map_Tables!$B$4:$B$18,MATCH(TRIM(F2571),Map_Tables!$A$4:$A$18,0)),"CHECK"))</f>
        <v>Bengaluru</v>
      </c>
      <c r="AE2571" s="7" t="str">
        <f aca="false">IF(TRIM(E2571)="","",IFERROR(INDEX(Map_Tables!$H$4:$H$37,MATCH(TRIM(E2571),Map_Tables!$G$4:$G$37,0)),"CHECK"))</f>
        <v>Dosa Darbar</v>
      </c>
      <c r="AF2571" s="7" t="str">
        <f aca="false">IF(TRIM(K2571)="","Unknown",IFERROR(INDEX(Map_Tables!$E$4:$E$15,MATCH(TRIM(K2571),Map_Tables!$D$4:$D$15,0)),"CHECK"))</f>
        <v>Net Banking</v>
      </c>
      <c r="AG2571" s="7" t="str">
        <f aca="false">IF(LEFT(LOWER(TRIM(L2571)),6)="cancel","Cancelled","Delivered")</f>
        <v>Delivered</v>
      </c>
      <c r="AH2571" s="10" t="n">
        <f aca="false">IF(ISNUMBER(SEARCH("/",B2571)),DATE(VALUE(RIGHT(B2571,4)),VALUE(MID(B2571,4,2)),VALUE(LEFT(B2571,2))),IF(MID(B2571,5,1)="-",DATE(VALUE(LEFT(B2571,4)),VALUE(MID(B2571,6,2)),VALUE(RIGHT(B2571,2))),DATE(VALUE(RIGHT(B2571,4)),MATCH(MID(B2571,4,3),{"Jan","Feb","Mar","Apr","May","Jun","Jul","Aug","Sep","Oct","Nov","Dec"},0),VALUE(LEFT(B2571,2)))))</f>
        <v>45669</v>
      </c>
    </row>
    <row r="2572" customFormat="false" ht="15" hidden="false" customHeight="false" outlineLevel="0" collapsed="false">
      <c r="A2572" s="7" t="s">
        <v>5557</v>
      </c>
      <c r="B2572" s="7" t="s">
        <v>671</v>
      </c>
      <c r="C2572" s="7" t="s">
        <v>1501</v>
      </c>
      <c r="D2572" s="7" t="s">
        <v>5558</v>
      </c>
      <c r="E2572" s="7" t="s">
        <v>126</v>
      </c>
      <c r="F2572" s="7" t="s">
        <v>101</v>
      </c>
      <c r="G2572" s="7" t="s">
        <v>105</v>
      </c>
      <c r="H2572" s="7" t="n">
        <v>4</v>
      </c>
      <c r="I2572" s="7" t="n">
        <v>235</v>
      </c>
      <c r="J2572" s="7" t="n">
        <v>0</v>
      </c>
      <c r="K2572" s="7" t="s">
        <v>92</v>
      </c>
      <c r="L2572" s="7" t="s">
        <v>194</v>
      </c>
      <c r="M2572" s="7" t="n">
        <v>42</v>
      </c>
      <c r="N2572" s="7" t="n">
        <v>4</v>
      </c>
      <c r="O2572" s="7" t="str">
        <f aca="false">A2572&amp;"|"&amp;B2572&amp;"|"&amp;C2572&amp;"|"&amp;D2572&amp;"|"&amp;E2572&amp;"|"&amp;F2572&amp;"|"&amp;G2572&amp;"|"&amp;H2572&amp;"|"&amp;I2572&amp;"|"&amp;J2572&amp;"|"&amp;K2572&amp;"|"&amp;L2572&amp;"|"&amp;M2572&amp;"|"&amp;N2572</f>
        <v>ORD12561|2025-11-14|20:40|C0695|Dragon Express|Mumbai|Chinese|4|235|0|credit card|Delivered|42|4</v>
      </c>
      <c r="P2572" s="7" t="str">
        <f aca="false">IF(COUNTIF($O$2:O2572,O2572)&gt;1,"DUP","OK")</f>
        <v>OK</v>
      </c>
      <c r="Q2572" s="7" t="n">
        <f aca="false">COUNTBLANK(A2572:N2572)</f>
        <v>0</v>
      </c>
      <c r="R2572" s="7" t="n">
        <f aca="false">IF(A2572="",0,COUNTIFS($A$2:$A$3058,A2572,$P$2:$P$3058,"OK"))</f>
        <v>1</v>
      </c>
      <c r="S2572" s="7" t="str">
        <f aca="false">IF(OR(A2572="",P2572="DUP",R2572&lt;2),"",IF(Q2572=_xlfn.MINIFS($Q$2:$Q$3058,$A$2:$A$3058,A2572,$P$2:$P$3058,"OK"),"KEEP","DROP"))</f>
        <v/>
      </c>
      <c r="T2572" s="9" t="n">
        <f aca="false">IF(A2572="",1,0)</f>
        <v>0</v>
      </c>
      <c r="U2572" s="9" t="n">
        <f aca="false">IF(D2572="",1,0)</f>
        <v>0</v>
      </c>
      <c r="V2572" s="9" t="n">
        <f aca="false">IF(E2572="",1,0)</f>
        <v>0</v>
      </c>
      <c r="W2572" s="9" t="n">
        <f aca="false">IF(OR(H2572&lt;1,H2572&gt;10),1,0)</f>
        <v>0</v>
      </c>
      <c r="X2572" s="9" t="n">
        <f aca="false">IF(OR(I2572&lt;=0,I2572&gt;1500),1,0)</f>
        <v>0</v>
      </c>
      <c r="Y2572" s="9" t="n">
        <f aca="false">IF(J2572&gt;H2572*I2572,1,0)</f>
        <v>0</v>
      </c>
      <c r="Z2572" s="9" t="n">
        <f aca="false">IF(AND(N2572&lt;&gt;"",OR(N2572&lt;1,N2572&gt;5)),1,0)</f>
        <v>0</v>
      </c>
      <c r="AA2572" s="9" t="n">
        <f aca="false">IF(AND(M2572&lt;&gt;"",OR(M2572&lt;5,M2572&gt;180)),1,0)</f>
        <v>0</v>
      </c>
      <c r="AB2572" s="7" t="str">
        <f aca="false">IF(P2572="DUP","Exact duplicate row",IF(T2572=1,"Missing Order ID",IF(S2572="DROP","Duplicate Order ID (less complete row)",IF(U2572=1,"Missing Customer ID",IF(V2572=1,"Missing Restaurant name",IF(W2572=1,"Invalid/outlier quantity",IF(X2572=1,"Invalid/outlier unit price",IF(Y2572=1,"Discount greater than order value",""))))))))</f>
        <v/>
      </c>
      <c r="AC2572" s="7" t="str">
        <f aca="false">IF(AB2572="","KEEP","DROP")</f>
        <v>KEEP</v>
      </c>
      <c r="AD2572" s="7" t="str">
        <f aca="false">IF(TRIM(F2572)="",IFERROR(INDEX(Map_Tables!$I$4:$I$37,MATCH(TRIM(E2572),Map_Tables!$G$4:$G$37,0)),""),IFERROR(INDEX(Map_Tables!$B$4:$B$18,MATCH(TRIM(F2572),Map_Tables!$A$4:$A$18,0)),"CHECK"))</f>
        <v>Mumbai</v>
      </c>
      <c r="AE2572" s="7" t="str">
        <f aca="false">IF(TRIM(E2572)="","",IFERROR(INDEX(Map_Tables!$H$4:$H$37,MATCH(TRIM(E2572),Map_Tables!$G$4:$G$37,0)),"CHECK"))</f>
        <v>Dragon Express</v>
      </c>
      <c r="AF2572" s="7" t="str">
        <f aca="false">IF(TRIM(K2572)="","Unknown",IFERROR(INDEX(Map_Tables!$E$4:$E$15,MATCH(TRIM(K2572),Map_Tables!$D$4:$D$15,0)),"CHECK"))</f>
        <v>Credit Card</v>
      </c>
      <c r="AG2572" s="7" t="str">
        <f aca="false">IF(LEFT(LOWER(TRIM(L2572)),6)="cancel","Cancelled","Delivered")</f>
        <v>Delivered</v>
      </c>
      <c r="AH2572" s="10" t="n">
        <f aca="false">IF(ISNUMBER(SEARCH("/",B2572)),DATE(VALUE(RIGHT(B2572,4)),VALUE(MID(B2572,4,2)),VALUE(LEFT(B2572,2))),IF(MID(B2572,5,1)="-",DATE(VALUE(LEFT(B2572,4)),VALUE(MID(B2572,6,2)),VALUE(RIGHT(B2572,2))),DATE(VALUE(RIGHT(B2572,4)),MATCH(MID(B2572,4,3),{"Jan","Feb","Mar","Apr","May","Jun","Jul","Aug","Sep","Oct","Nov","Dec"},0),VALUE(LEFT(B2572,2)))))</f>
        <v>45975</v>
      </c>
    </row>
    <row r="2573" customFormat="false" ht="15" hidden="false" customHeight="false" outlineLevel="0" collapsed="false">
      <c r="A2573" s="7" t="s">
        <v>5559</v>
      </c>
      <c r="B2573" s="7" t="s">
        <v>2104</v>
      </c>
      <c r="C2573" s="7" t="s">
        <v>3540</v>
      </c>
      <c r="D2573" s="7" t="s">
        <v>5560</v>
      </c>
      <c r="E2573" s="7" t="s">
        <v>5249</v>
      </c>
      <c r="F2573" s="7" t="s">
        <v>86</v>
      </c>
      <c r="G2573" s="7" t="s">
        <v>95</v>
      </c>
      <c r="H2573" s="7" t="n">
        <v>3</v>
      </c>
      <c r="I2573" s="7" t="n">
        <v>125</v>
      </c>
      <c r="J2573" s="7" t="n">
        <v>0</v>
      </c>
      <c r="K2573" s="7" t="s">
        <v>112</v>
      </c>
      <c r="L2573" s="7" t="s">
        <v>238</v>
      </c>
      <c r="M2573" s="7"/>
      <c r="N2573" s="7"/>
      <c r="O2573" s="7" t="str">
        <f aca="false">A2573&amp;"|"&amp;B2573&amp;"|"&amp;C2573&amp;"|"&amp;D2573&amp;"|"&amp;E2573&amp;"|"&amp;F2573&amp;"|"&amp;G2573&amp;"|"&amp;H2573&amp;"|"&amp;I2573&amp;"|"&amp;J2573&amp;"|"&amp;K2573&amp;"|"&amp;L2573&amp;"|"&amp;M2573&amp;"|"&amp;N2573</f>
        <v>ORD11944|2025-09-09|22:34|C0963|dosa darbar|Bengaluru|South Indian|3|125|0|Cash on Delivery|Cancelled||</v>
      </c>
      <c r="P2573" s="7" t="str">
        <f aca="false">IF(COUNTIF($O$2:O2573,O2573)&gt;1,"DUP","OK")</f>
        <v>OK</v>
      </c>
      <c r="Q2573" s="7" t="n">
        <f aca="false">COUNTBLANK(A2573:N2573)</f>
        <v>2</v>
      </c>
      <c r="R2573" s="7" t="n">
        <f aca="false">IF(A2573="",0,COUNTIFS($A$2:$A$3058,A2573,$P$2:$P$3058,"OK"))</f>
        <v>1</v>
      </c>
      <c r="S2573" s="7" t="str">
        <f aca="false">IF(OR(A2573="",P2573="DUP",R2573&lt;2),"",IF(Q2573=_xlfn.MINIFS($Q$2:$Q$3058,$A$2:$A$3058,A2573,$P$2:$P$3058,"OK"),"KEEP","DROP"))</f>
        <v/>
      </c>
      <c r="T2573" s="9" t="n">
        <f aca="false">IF(A2573="",1,0)</f>
        <v>0</v>
      </c>
      <c r="U2573" s="9" t="n">
        <f aca="false">IF(D2573="",1,0)</f>
        <v>0</v>
      </c>
      <c r="V2573" s="9" t="n">
        <f aca="false">IF(E2573="",1,0)</f>
        <v>0</v>
      </c>
      <c r="W2573" s="9" t="n">
        <f aca="false">IF(OR(H2573&lt;1,H2573&gt;10),1,0)</f>
        <v>0</v>
      </c>
      <c r="X2573" s="9" t="n">
        <f aca="false">IF(OR(I2573&lt;=0,I2573&gt;1500),1,0)</f>
        <v>0</v>
      </c>
      <c r="Y2573" s="9" t="n">
        <f aca="false">IF(J2573&gt;H2573*I2573,1,0)</f>
        <v>0</v>
      </c>
      <c r="Z2573" s="9" t="n">
        <f aca="false">IF(AND(N2573&lt;&gt;"",OR(N2573&lt;1,N2573&gt;5)),1,0)</f>
        <v>0</v>
      </c>
      <c r="AA2573" s="9" t="n">
        <f aca="false">IF(AND(M2573&lt;&gt;"",OR(M2573&lt;5,M2573&gt;180)),1,0)</f>
        <v>0</v>
      </c>
      <c r="AB2573" s="7" t="str">
        <f aca="false">IF(P2573="DUP","Exact duplicate row",IF(T2573=1,"Missing Order ID",IF(S2573="DROP","Duplicate Order ID (less complete row)",IF(U2573=1,"Missing Customer ID",IF(V2573=1,"Missing Restaurant name",IF(W2573=1,"Invalid/outlier quantity",IF(X2573=1,"Invalid/outlier unit price",IF(Y2573=1,"Discount greater than order value",""))))))))</f>
        <v/>
      </c>
      <c r="AC2573" s="7" t="str">
        <f aca="false">IF(AB2573="","KEEP","DROP")</f>
        <v>KEEP</v>
      </c>
      <c r="AD2573" s="7" t="str">
        <f aca="false">IF(TRIM(F2573)="",IFERROR(INDEX(Map_Tables!$I$4:$I$37,MATCH(TRIM(E2573),Map_Tables!$G$4:$G$37,0)),""),IFERROR(INDEX(Map_Tables!$B$4:$B$18,MATCH(TRIM(F2573),Map_Tables!$A$4:$A$18,0)),"CHECK"))</f>
        <v>Bengaluru</v>
      </c>
      <c r="AE2573" s="7" t="str">
        <f aca="false">IF(TRIM(E2573)="","",IFERROR(INDEX(Map_Tables!$H$4:$H$37,MATCH(TRIM(E2573),Map_Tables!$G$4:$G$37,0)),"CHECK"))</f>
        <v>Dosa Darbar</v>
      </c>
      <c r="AF2573" s="7" t="str">
        <f aca="false">IF(TRIM(K2573)="","Unknown",IFERROR(INDEX(Map_Tables!$E$4:$E$15,MATCH(TRIM(K2573),Map_Tables!$D$4:$D$15,0)),"CHECK"))</f>
        <v>Cash on Delivery</v>
      </c>
      <c r="AG2573" s="7" t="str">
        <f aca="false">IF(LEFT(LOWER(TRIM(L2573)),6)="cancel","Cancelled","Delivered")</f>
        <v>Cancelled</v>
      </c>
      <c r="AH2573" s="10" t="n">
        <f aca="false">IF(ISNUMBER(SEARCH("/",B2573)),DATE(VALUE(RIGHT(B2573,4)),VALUE(MID(B2573,4,2)),VALUE(LEFT(B2573,2))),IF(MID(B2573,5,1)="-",DATE(VALUE(LEFT(B2573,4)),VALUE(MID(B2573,6,2)),VALUE(RIGHT(B2573,2))),DATE(VALUE(RIGHT(B2573,4)),MATCH(MID(B2573,4,3),{"Jan","Feb","Mar","Apr","May","Jun","Jul","Aug","Sep","Oct","Nov","Dec"},0),VALUE(LEFT(B2573,2)))))</f>
        <v>45909</v>
      </c>
    </row>
    <row r="2574" customFormat="false" ht="15" hidden="false" customHeight="false" outlineLevel="0" collapsed="false">
      <c r="A2574" s="7" t="s">
        <v>5561</v>
      </c>
      <c r="B2574" s="7" t="s">
        <v>615</v>
      </c>
      <c r="C2574" s="7" t="s">
        <v>2957</v>
      </c>
      <c r="D2574" s="7" t="s">
        <v>5562</v>
      </c>
      <c r="E2574" s="7" t="s">
        <v>116</v>
      </c>
      <c r="F2574" s="7" t="s">
        <v>215</v>
      </c>
      <c r="G2574" s="7" t="s">
        <v>117</v>
      </c>
      <c r="H2574" s="7" t="n">
        <v>1</v>
      </c>
      <c r="I2574" s="7" t="n">
        <v>120</v>
      </c>
      <c r="J2574" s="7" t="n">
        <v>0</v>
      </c>
      <c r="K2574" s="7" t="s">
        <v>93</v>
      </c>
      <c r="L2574" s="7" t="s">
        <v>194</v>
      </c>
      <c r="M2574" s="7" t="n">
        <v>55</v>
      </c>
      <c r="N2574" s="7" t="n">
        <v>4</v>
      </c>
      <c r="O2574" s="7" t="str">
        <f aca="false">A2574&amp;"|"&amp;B2574&amp;"|"&amp;C2574&amp;"|"&amp;D2574&amp;"|"&amp;E2574&amp;"|"&amp;F2574&amp;"|"&amp;G2574&amp;"|"&amp;H2574&amp;"|"&amp;I2574&amp;"|"&amp;J2574&amp;"|"&amp;K2574&amp;"|"&amp;L2574&amp;"|"&amp;M2574&amp;"|"&amp;N2574</f>
        <v>ORD11989|2025-09-14|19:42|C0556|Pav Bhaji Point|MUMBAI|Street Food|1|120|0|Credit Card|Delivered|55|4</v>
      </c>
      <c r="P2574" s="7" t="str">
        <f aca="false">IF(COUNTIF($O$2:O2574,O2574)&gt;1,"DUP","OK")</f>
        <v>OK</v>
      </c>
      <c r="Q2574" s="7" t="n">
        <f aca="false">COUNTBLANK(A2574:N2574)</f>
        <v>0</v>
      </c>
      <c r="R2574" s="7" t="n">
        <f aca="false">IF(A2574="",0,COUNTIFS($A$2:$A$3058,A2574,$P$2:$P$3058,"OK"))</f>
        <v>1</v>
      </c>
      <c r="S2574" s="7" t="str">
        <f aca="false">IF(OR(A2574="",P2574="DUP",R2574&lt;2),"",IF(Q2574=_xlfn.MINIFS($Q$2:$Q$3058,$A$2:$A$3058,A2574,$P$2:$P$3058,"OK"),"KEEP","DROP"))</f>
        <v/>
      </c>
      <c r="T2574" s="9" t="n">
        <f aca="false">IF(A2574="",1,0)</f>
        <v>0</v>
      </c>
      <c r="U2574" s="9" t="n">
        <f aca="false">IF(D2574="",1,0)</f>
        <v>0</v>
      </c>
      <c r="V2574" s="9" t="n">
        <f aca="false">IF(E2574="",1,0)</f>
        <v>0</v>
      </c>
      <c r="W2574" s="9" t="n">
        <f aca="false">IF(OR(H2574&lt;1,H2574&gt;10),1,0)</f>
        <v>0</v>
      </c>
      <c r="X2574" s="9" t="n">
        <f aca="false">IF(OR(I2574&lt;=0,I2574&gt;1500),1,0)</f>
        <v>0</v>
      </c>
      <c r="Y2574" s="9" t="n">
        <f aca="false">IF(J2574&gt;H2574*I2574,1,0)</f>
        <v>0</v>
      </c>
      <c r="Z2574" s="9" t="n">
        <f aca="false">IF(AND(N2574&lt;&gt;"",OR(N2574&lt;1,N2574&gt;5)),1,0)</f>
        <v>0</v>
      </c>
      <c r="AA2574" s="9" t="n">
        <f aca="false">IF(AND(M2574&lt;&gt;"",OR(M2574&lt;5,M2574&gt;180)),1,0)</f>
        <v>0</v>
      </c>
      <c r="AB2574" s="7" t="str">
        <f aca="false">IF(P2574="DUP","Exact duplicate row",IF(T2574=1,"Missing Order ID",IF(S2574="DROP","Duplicate Order ID (less complete row)",IF(U2574=1,"Missing Customer ID",IF(V2574=1,"Missing Restaurant name",IF(W2574=1,"Invalid/outlier quantity",IF(X2574=1,"Invalid/outlier unit price",IF(Y2574=1,"Discount greater than order value",""))))))))</f>
        <v/>
      </c>
      <c r="AC2574" s="7" t="str">
        <f aca="false">IF(AB2574="","KEEP","DROP")</f>
        <v>KEEP</v>
      </c>
      <c r="AD2574" s="7" t="str">
        <f aca="false">IF(TRIM(F2574)="",IFERROR(INDEX(Map_Tables!$I$4:$I$37,MATCH(TRIM(E2574),Map_Tables!$G$4:$G$37,0)),""),IFERROR(INDEX(Map_Tables!$B$4:$B$18,MATCH(TRIM(F2574),Map_Tables!$A$4:$A$18,0)),"CHECK"))</f>
        <v>Mumbai</v>
      </c>
      <c r="AE2574" s="7" t="str">
        <f aca="false">IF(TRIM(E2574)="","",IFERROR(INDEX(Map_Tables!$H$4:$H$37,MATCH(TRIM(E2574),Map_Tables!$G$4:$G$37,0)),"CHECK"))</f>
        <v>Pav Bhaji Point</v>
      </c>
      <c r="AF2574" s="7" t="str">
        <f aca="false">IF(TRIM(K2574)="","Unknown",IFERROR(INDEX(Map_Tables!$E$4:$E$15,MATCH(TRIM(K2574),Map_Tables!$D$4:$D$15,0)),"CHECK"))</f>
        <v>Credit Card</v>
      </c>
      <c r="AG2574" s="7" t="str">
        <f aca="false">IF(LEFT(LOWER(TRIM(L2574)),6)="cancel","Cancelled","Delivered")</f>
        <v>Delivered</v>
      </c>
      <c r="AH2574" s="10" t="n">
        <f aca="false">IF(ISNUMBER(SEARCH("/",B2574)),DATE(VALUE(RIGHT(B2574,4)),VALUE(MID(B2574,4,2)),VALUE(LEFT(B2574,2))),IF(MID(B2574,5,1)="-",DATE(VALUE(LEFT(B2574,4)),VALUE(MID(B2574,6,2)),VALUE(RIGHT(B2574,2))),DATE(VALUE(RIGHT(B2574,4)),MATCH(MID(B2574,4,3),{"Jan","Feb","Mar","Apr","May","Jun","Jul","Aug","Sep","Oct","Nov","Dec"},0),VALUE(LEFT(B2574,2)))))</f>
        <v>45914</v>
      </c>
    </row>
    <row r="2575" customFormat="false" ht="15" hidden="false" customHeight="false" outlineLevel="0" collapsed="false">
      <c r="A2575" s="7" t="s">
        <v>5563</v>
      </c>
      <c r="B2575" s="7" t="s">
        <v>533</v>
      </c>
      <c r="C2575" s="7" t="s">
        <v>559</v>
      </c>
      <c r="D2575" s="7" t="s">
        <v>2072</v>
      </c>
      <c r="E2575" s="7" t="s">
        <v>3919</v>
      </c>
      <c r="F2575" s="7" t="s">
        <v>136</v>
      </c>
      <c r="G2575" s="7" t="s">
        <v>117</v>
      </c>
      <c r="H2575" s="7" t="n">
        <v>2</v>
      </c>
      <c r="I2575" s="7" t="n">
        <v>105</v>
      </c>
      <c r="J2575" s="7" t="n">
        <v>75</v>
      </c>
      <c r="K2575" s="7" t="s">
        <v>93</v>
      </c>
      <c r="L2575" s="7" t="s">
        <v>194</v>
      </c>
      <c r="M2575" s="7" t="n">
        <v>38</v>
      </c>
      <c r="N2575" s="7" t="n">
        <v>2</v>
      </c>
      <c r="O2575" s="7" t="str">
        <f aca="false">A2575&amp;"|"&amp;B2575&amp;"|"&amp;C2575&amp;"|"&amp;D2575&amp;"|"&amp;E2575&amp;"|"&amp;F2575&amp;"|"&amp;G2575&amp;"|"&amp;H2575&amp;"|"&amp;I2575&amp;"|"&amp;J2575&amp;"|"&amp;K2575&amp;"|"&amp;L2575&amp;"|"&amp;M2575&amp;"|"&amp;N2575</f>
        <v>ORD11384|2025-06-28|20:25|C1361|Misal Mantra |Pune|Street Food|2|105|75|Credit Card|Delivered|38|2</v>
      </c>
      <c r="P2575" s="7" t="str">
        <f aca="false">IF(COUNTIF($O$2:O2575,O2575)&gt;1,"DUP","OK")</f>
        <v>OK</v>
      </c>
      <c r="Q2575" s="7" t="n">
        <f aca="false">COUNTBLANK(A2575:N2575)</f>
        <v>0</v>
      </c>
      <c r="R2575" s="7" t="n">
        <f aca="false">IF(A2575="",0,COUNTIFS($A$2:$A$3058,A2575,$P$2:$P$3058,"OK"))</f>
        <v>1</v>
      </c>
      <c r="S2575" s="7" t="str">
        <f aca="false">IF(OR(A2575="",P2575="DUP",R2575&lt;2),"",IF(Q2575=_xlfn.MINIFS($Q$2:$Q$3058,$A$2:$A$3058,A2575,$P$2:$P$3058,"OK"),"KEEP","DROP"))</f>
        <v/>
      </c>
      <c r="T2575" s="9" t="n">
        <f aca="false">IF(A2575="",1,0)</f>
        <v>0</v>
      </c>
      <c r="U2575" s="9" t="n">
        <f aca="false">IF(D2575="",1,0)</f>
        <v>0</v>
      </c>
      <c r="V2575" s="9" t="n">
        <f aca="false">IF(E2575="",1,0)</f>
        <v>0</v>
      </c>
      <c r="W2575" s="9" t="n">
        <f aca="false">IF(OR(H2575&lt;1,H2575&gt;10),1,0)</f>
        <v>0</v>
      </c>
      <c r="X2575" s="9" t="n">
        <f aca="false">IF(OR(I2575&lt;=0,I2575&gt;1500),1,0)</f>
        <v>0</v>
      </c>
      <c r="Y2575" s="9" t="n">
        <f aca="false">IF(J2575&gt;H2575*I2575,1,0)</f>
        <v>0</v>
      </c>
      <c r="Z2575" s="9" t="n">
        <f aca="false">IF(AND(N2575&lt;&gt;"",OR(N2575&lt;1,N2575&gt;5)),1,0)</f>
        <v>0</v>
      </c>
      <c r="AA2575" s="9" t="n">
        <f aca="false">IF(AND(M2575&lt;&gt;"",OR(M2575&lt;5,M2575&gt;180)),1,0)</f>
        <v>0</v>
      </c>
      <c r="AB2575" s="7" t="str">
        <f aca="false">IF(P2575="DUP","Exact duplicate row",IF(T2575=1,"Missing Order ID",IF(S2575="DROP","Duplicate Order ID (less complete row)",IF(U2575=1,"Missing Customer ID",IF(V2575=1,"Missing Restaurant name",IF(W2575=1,"Invalid/outlier quantity",IF(X2575=1,"Invalid/outlier unit price",IF(Y2575=1,"Discount greater than order value",""))))))))</f>
        <v/>
      </c>
      <c r="AC2575" s="7" t="str">
        <f aca="false">IF(AB2575="","KEEP","DROP")</f>
        <v>KEEP</v>
      </c>
      <c r="AD2575" s="7" t="str">
        <f aca="false">IF(TRIM(F2575)="",IFERROR(INDEX(Map_Tables!$I$4:$I$37,MATCH(TRIM(E2575),Map_Tables!$G$4:$G$37,0)),""),IFERROR(INDEX(Map_Tables!$B$4:$B$18,MATCH(TRIM(F2575),Map_Tables!$A$4:$A$18,0)),"CHECK"))</f>
        <v>Pune</v>
      </c>
      <c r="AE2575" s="7" t="str">
        <f aca="false">IF(TRIM(E2575)="","",IFERROR(INDEX(Map_Tables!$H$4:$H$37,MATCH(TRIM(E2575),Map_Tables!$G$4:$G$37,0)),"CHECK"))</f>
        <v>Misal Mantra</v>
      </c>
      <c r="AF2575" s="7" t="str">
        <f aca="false">IF(TRIM(K2575)="","Unknown",IFERROR(INDEX(Map_Tables!$E$4:$E$15,MATCH(TRIM(K2575),Map_Tables!$D$4:$D$15,0)),"CHECK"))</f>
        <v>Credit Card</v>
      </c>
      <c r="AG2575" s="7" t="str">
        <f aca="false">IF(LEFT(LOWER(TRIM(L2575)),6)="cancel","Cancelled","Delivered")</f>
        <v>Delivered</v>
      </c>
      <c r="AH2575" s="10" t="n">
        <f aca="false">IF(ISNUMBER(SEARCH("/",B2575)),DATE(VALUE(RIGHT(B2575,4)),VALUE(MID(B2575,4,2)),VALUE(LEFT(B2575,2))),IF(MID(B2575,5,1)="-",DATE(VALUE(LEFT(B2575,4)),VALUE(MID(B2575,6,2)),VALUE(RIGHT(B2575,2))),DATE(VALUE(RIGHT(B2575,4)),MATCH(MID(B2575,4,3),{"Jan","Feb","Mar","Apr","May","Jun","Jul","Aug","Sep","Oct","Nov","Dec"},0),VALUE(LEFT(B2575,2)))))</f>
        <v>45836</v>
      </c>
    </row>
    <row r="2576" customFormat="false" ht="15" hidden="false" customHeight="false" outlineLevel="0" collapsed="false">
      <c r="A2576" s="7" t="s">
        <v>5564</v>
      </c>
      <c r="B2576" s="7" t="s">
        <v>1667</v>
      </c>
      <c r="C2576" s="7" t="s">
        <v>1842</v>
      </c>
      <c r="D2576" s="7" t="s">
        <v>438</v>
      </c>
      <c r="E2576" s="7" t="s">
        <v>113</v>
      </c>
      <c r="F2576" s="7" t="s">
        <v>498</v>
      </c>
      <c r="G2576" s="7" t="s">
        <v>90</v>
      </c>
      <c r="H2576" s="7" t="n">
        <v>1</v>
      </c>
      <c r="I2576" s="7" t="n">
        <v>295</v>
      </c>
      <c r="J2576" s="7" t="n">
        <v>0</v>
      </c>
      <c r="K2576" s="7" t="s">
        <v>93</v>
      </c>
      <c r="L2576" s="7" t="s">
        <v>238</v>
      </c>
      <c r="M2576" s="7"/>
      <c r="N2576" s="7"/>
      <c r="O2576" s="7" t="str">
        <f aca="false">A2576&amp;"|"&amp;B2576&amp;"|"&amp;C2576&amp;"|"&amp;D2576&amp;"|"&amp;E2576&amp;"|"&amp;F2576&amp;"|"&amp;G2576&amp;"|"&amp;H2576&amp;"|"&amp;I2576&amp;"|"&amp;J2576&amp;"|"&amp;K2576&amp;"|"&amp;L2576&amp;"|"&amp;M2576&amp;"|"&amp;N2576</f>
        <v>ORD11575|2025-07-24|20:48|C0640|Curry Leaf Kitchen|Bombay|North Indian|1|295|0|Credit Card|Cancelled||</v>
      </c>
      <c r="P2576" s="7" t="str">
        <f aca="false">IF(COUNTIF($O$2:O2576,O2576)&gt;1,"DUP","OK")</f>
        <v>OK</v>
      </c>
      <c r="Q2576" s="7" t="n">
        <f aca="false">COUNTBLANK(A2576:N2576)</f>
        <v>2</v>
      </c>
      <c r="R2576" s="7" t="n">
        <f aca="false">IF(A2576="",0,COUNTIFS($A$2:$A$3058,A2576,$P$2:$P$3058,"OK"))</f>
        <v>1</v>
      </c>
      <c r="S2576" s="7" t="str">
        <f aca="false">IF(OR(A2576="",P2576="DUP",R2576&lt;2),"",IF(Q2576=_xlfn.MINIFS($Q$2:$Q$3058,$A$2:$A$3058,A2576,$P$2:$P$3058,"OK"),"KEEP","DROP"))</f>
        <v/>
      </c>
      <c r="T2576" s="9" t="n">
        <f aca="false">IF(A2576="",1,0)</f>
        <v>0</v>
      </c>
      <c r="U2576" s="9" t="n">
        <f aca="false">IF(D2576="",1,0)</f>
        <v>0</v>
      </c>
      <c r="V2576" s="9" t="n">
        <f aca="false">IF(E2576="",1,0)</f>
        <v>0</v>
      </c>
      <c r="W2576" s="9" t="n">
        <f aca="false">IF(OR(H2576&lt;1,H2576&gt;10),1,0)</f>
        <v>0</v>
      </c>
      <c r="X2576" s="9" t="n">
        <f aca="false">IF(OR(I2576&lt;=0,I2576&gt;1500),1,0)</f>
        <v>0</v>
      </c>
      <c r="Y2576" s="9" t="n">
        <f aca="false">IF(J2576&gt;H2576*I2576,1,0)</f>
        <v>0</v>
      </c>
      <c r="Z2576" s="9" t="n">
        <f aca="false">IF(AND(N2576&lt;&gt;"",OR(N2576&lt;1,N2576&gt;5)),1,0)</f>
        <v>0</v>
      </c>
      <c r="AA2576" s="9" t="n">
        <f aca="false">IF(AND(M2576&lt;&gt;"",OR(M2576&lt;5,M2576&gt;180)),1,0)</f>
        <v>0</v>
      </c>
      <c r="AB2576" s="7" t="str">
        <f aca="false">IF(P2576="DUP","Exact duplicate row",IF(T2576=1,"Missing Order ID",IF(S2576="DROP","Duplicate Order ID (less complete row)",IF(U2576=1,"Missing Customer ID",IF(V2576=1,"Missing Restaurant name",IF(W2576=1,"Invalid/outlier quantity",IF(X2576=1,"Invalid/outlier unit price",IF(Y2576=1,"Discount greater than order value",""))))))))</f>
        <v/>
      </c>
      <c r="AC2576" s="7" t="str">
        <f aca="false">IF(AB2576="","KEEP","DROP")</f>
        <v>KEEP</v>
      </c>
      <c r="AD2576" s="7" t="str">
        <f aca="false">IF(TRIM(F2576)="",IFERROR(INDEX(Map_Tables!$I$4:$I$37,MATCH(TRIM(E2576),Map_Tables!$G$4:$G$37,0)),""),IFERROR(INDEX(Map_Tables!$B$4:$B$18,MATCH(TRIM(F2576),Map_Tables!$A$4:$A$18,0)),"CHECK"))</f>
        <v>Mumbai</v>
      </c>
      <c r="AE2576" s="7" t="str">
        <f aca="false">IF(TRIM(E2576)="","",IFERROR(INDEX(Map_Tables!$H$4:$H$37,MATCH(TRIM(E2576),Map_Tables!$G$4:$G$37,0)),"CHECK"))</f>
        <v>Curry Leaf Kitchen</v>
      </c>
      <c r="AF2576" s="7" t="str">
        <f aca="false">IF(TRIM(K2576)="","Unknown",IFERROR(INDEX(Map_Tables!$E$4:$E$15,MATCH(TRIM(K2576),Map_Tables!$D$4:$D$15,0)),"CHECK"))</f>
        <v>Credit Card</v>
      </c>
      <c r="AG2576" s="7" t="str">
        <f aca="false">IF(LEFT(LOWER(TRIM(L2576)),6)="cancel","Cancelled","Delivered")</f>
        <v>Cancelled</v>
      </c>
      <c r="AH2576" s="10" t="n">
        <f aca="false">IF(ISNUMBER(SEARCH("/",B2576)),DATE(VALUE(RIGHT(B2576,4)),VALUE(MID(B2576,4,2)),VALUE(LEFT(B2576,2))),IF(MID(B2576,5,1)="-",DATE(VALUE(LEFT(B2576,4)),VALUE(MID(B2576,6,2)),VALUE(RIGHT(B2576,2))),DATE(VALUE(RIGHT(B2576,4)),MATCH(MID(B2576,4,3),{"Jan","Feb","Mar","Apr","May","Jun","Jul","Aug","Sep","Oct","Nov","Dec"},0),VALUE(LEFT(B2576,2)))))</f>
        <v>45862</v>
      </c>
    </row>
    <row r="2577" customFormat="false" ht="15" hidden="false" customHeight="false" outlineLevel="0" collapsed="false">
      <c r="A2577" s="7" t="s">
        <v>5565</v>
      </c>
      <c r="B2577" s="7" t="s">
        <v>1433</v>
      </c>
      <c r="C2577" s="7" t="s">
        <v>3709</v>
      </c>
      <c r="D2577" s="7" t="s">
        <v>2004</v>
      </c>
      <c r="E2577" s="7" t="s">
        <v>154</v>
      </c>
      <c r="F2577" s="7" t="s">
        <v>128</v>
      </c>
      <c r="G2577" s="7" t="s">
        <v>99</v>
      </c>
      <c r="H2577" s="7" t="n">
        <v>2</v>
      </c>
      <c r="I2577" s="7" t="n">
        <v>220</v>
      </c>
      <c r="J2577" s="7" t="n">
        <v>0</v>
      </c>
      <c r="K2577" s="7" t="s">
        <v>379</v>
      </c>
      <c r="L2577" s="7" t="s">
        <v>194</v>
      </c>
      <c r="M2577" s="7" t="n">
        <v>40</v>
      </c>
      <c r="N2577" s="7" t="n">
        <v>3</v>
      </c>
      <c r="O2577" s="7" t="str">
        <f aca="false">A2577&amp;"|"&amp;B2577&amp;"|"&amp;C2577&amp;"|"&amp;D2577&amp;"|"&amp;E2577&amp;"|"&amp;F2577&amp;"|"&amp;G2577&amp;"|"&amp;H2577&amp;"|"&amp;I2577&amp;"|"&amp;J2577&amp;"|"&amp;K2577&amp;"|"&amp;L2577&amp;"|"&amp;M2577&amp;"|"&amp;N2577</f>
        <v>ORD12059|2025-09-23|13:35|C1092|Madras Biryani Co|Chennai|Biryani|2|220|0|Credit card|Delivered|40|3</v>
      </c>
      <c r="P2577" s="7" t="str">
        <f aca="false">IF(COUNTIF($O$2:O2577,O2577)&gt;1,"DUP","OK")</f>
        <v>OK</v>
      </c>
      <c r="Q2577" s="7" t="n">
        <f aca="false">COUNTBLANK(A2577:N2577)</f>
        <v>0</v>
      </c>
      <c r="R2577" s="7" t="n">
        <f aca="false">IF(A2577="",0,COUNTIFS($A$2:$A$3058,A2577,$P$2:$P$3058,"OK"))</f>
        <v>1</v>
      </c>
      <c r="S2577" s="7" t="str">
        <f aca="false">IF(OR(A2577="",P2577="DUP",R2577&lt;2),"",IF(Q2577=_xlfn.MINIFS($Q$2:$Q$3058,$A$2:$A$3058,A2577,$P$2:$P$3058,"OK"),"KEEP","DROP"))</f>
        <v/>
      </c>
      <c r="T2577" s="9" t="n">
        <f aca="false">IF(A2577="",1,0)</f>
        <v>0</v>
      </c>
      <c r="U2577" s="9" t="n">
        <f aca="false">IF(D2577="",1,0)</f>
        <v>0</v>
      </c>
      <c r="V2577" s="9" t="n">
        <f aca="false">IF(E2577="",1,0)</f>
        <v>0</v>
      </c>
      <c r="W2577" s="9" t="n">
        <f aca="false">IF(OR(H2577&lt;1,H2577&gt;10),1,0)</f>
        <v>0</v>
      </c>
      <c r="X2577" s="9" t="n">
        <f aca="false">IF(OR(I2577&lt;=0,I2577&gt;1500),1,0)</f>
        <v>0</v>
      </c>
      <c r="Y2577" s="9" t="n">
        <f aca="false">IF(J2577&gt;H2577*I2577,1,0)</f>
        <v>0</v>
      </c>
      <c r="Z2577" s="9" t="n">
        <f aca="false">IF(AND(N2577&lt;&gt;"",OR(N2577&lt;1,N2577&gt;5)),1,0)</f>
        <v>0</v>
      </c>
      <c r="AA2577" s="9" t="n">
        <f aca="false">IF(AND(M2577&lt;&gt;"",OR(M2577&lt;5,M2577&gt;180)),1,0)</f>
        <v>0</v>
      </c>
      <c r="AB2577" s="7" t="str">
        <f aca="false">IF(P2577="DUP","Exact duplicate row",IF(T2577=1,"Missing Order ID",IF(S2577="DROP","Duplicate Order ID (less complete row)",IF(U2577=1,"Missing Customer ID",IF(V2577=1,"Missing Restaurant name",IF(W2577=1,"Invalid/outlier quantity",IF(X2577=1,"Invalid/outlier unit price",IF(Y2577=1,"Discount greater than order value",""))))))))</f>
        <v/>
      </c>
      <c r="AC2577" s="7" t="str">
        <f aca="false">IF(AB2577="","KEEP","DROP")</f>
        <v>KEEP</v>
      </c>
      <c r="AD2577" s="7" t="str">
        <f aca="false">IF(TRIM(F2577)="",IFERROR(INDEX(Map_Tables!$I$4:$I$37,MATCH(TRIM(E2577),Map_Tables!$G$4:$G$37,0)),""),IFERROR(INDEX(Map_Tables!$B$4:$B$18,MATCH(TRIM(F2577),Map_Tables!$A$4:$A$18,0)),"CHECK"))</f>
        <v>Chennai</v>
      </c>
      <c r="AE2577" s="7" t="str">
        <f aca="false">IF(TRIM(E2577)="","",IFERROR(INDEX(Map_Tables!$H$4:$H$37,MATCH(TRIM(E2577),Map_Tables!$G$4:$G$37,0)),"CHECK"))</f>
        <v>Madras Biryani Co</v>
      </c>
      <c r="AF2577" s="7" t="str">
        <f aca="false">IF(TRIM(K2577)="","Unknown",IFERROR(INDEX(Map_Tables!$E$4:$E$15,MATCH(TRIM(K2577),Map_Tables!$D$4:$D$15,0)),"CHECK"))</f>
        <v>Credit Card</v>
      </c>
      <c r="AG2577" s="7" t="str">
        <f aca="false">IF(LEFT(LOWER(TRIM(L2577)),6)="cancel","Cancelled","Delivered")</f>
        <v>Delivered</v>
      </c>
      <c r="AH2577" s="10" t="n">
        <f aca="false">IF(ISNUMBER(SEARCH("/",B2577)),DATE(VALUE(RIGHT(B2577,4)),VALUE(MID(B2577,4,2)),VALUE(LEFT(B2577,2))),IF(MID(B2577,5,1)="-",DATE(VALUE(LEFT(B2577,4)),VALUE(MID(B2577,6,2)),VALUE(RIGHT(B2577,2))),DATE(VALUE(RIGHT(B2577,4)),MATCH(MID(B2577,4,3),{"Jan","Feb","Mar","Apr","May","Jun","Jul","Aug","Sep","Oct","Nov","Dec"},0),VALUE(LEFT(B2577,2)))))</f>
        <v>45923</v>
      </c>
    </row>
    <row r="2578" customFormat="false" ht="15" hidden="false" customHeight="false" outlineLevel="0" collapsed="false">
      <c r="A2578" s="7" t="s">
        <v>5566</v>
      </c>
      <c r="B2578" s="7" t="s">
        <v>875</v>
      </c>
      <c r="C2578" s="7" t="s">
        <v>2080</v>
      </c>
      <c r="D2578" s="7" t="s">
        <v>5567</v>
      </c>
      <c r="E2578" s="7" t="s">
        <v>94</v>
      </c>
      <c r="F2578" s="7" t="s">
        <v>86</v>
      </c>
      <c r="G2578" s="7" t="s">
        <v>95</v>
      </c>
      <c r="H2578" s="7" t="n">
        <v>1</v>
      </c>
      <c r="I2578" s="7" t="n">
        <v>130</v>
      </c>
      <c r="J2578" s="7" t="n">
        <v>0</v>
      </c>
      <c r="K2578" s="7" t="s">
        <v>526</v>
      </c>
      <c r="L2578" s="7" t="s">
        <v>194</v>
      </c>
      <c r="M2578" s="7" t="n">
        <v>39</v>
      </c>
      <c r="N2578" s="7" t="n">
        <v>4</v>
      </c>
      <c r="O2578" s="7" t="str">
        <f aca="false">A2578&amp;"|"&amp;B2578&amp;"|"&amp;C2578&amp;"|"&amp;D2578&amp;"|"&amp;E2578&amp;"|"&amp;F2578&amp;"|"&amp;G2578&amp;"|"&amp;H2578&amp;"|"&amp;I2578&amp;"|"&amp;J2578&amp;"|"&amp;K2578&amp;"|"&amp;L2578&amp;"|"&amp;M2578&amp;"|"&amp;N2578</f>
        <v>ORD12927|2025-12-23|20:18|C1286|Dosa Darbar|Bengaluru|South Indian|1|130|0|DC|Delivered|39|4</v>
      </c>
      <c r="P2578" s="7" t="str">
        <f aca="false">IF(COUNTIF($O$2:O2578,O2578)&gt;1,"DUP","OK")</f>
        <v>OK</v>
      </c>
      <c r="Q2578" s="7" t="n">
        <f aca="false">COUNTBLANK(A2578:N2578)</f>
        <v>0</v>
      </c>
      <c r="R2578" s="7" t="n">
        <f aca="false">IF(A2578="",0,COUNTIFS($A$2:$A$3058,A2578,$P$2:$P$3058,"OK"))</f>
        <v>1</v>
      </c>
      <c r="S2578" s="7" t="str">
        <f aca="false">IF(OR(A2578="",P2578="DUP",R2578&lt;2),"",IF(Q2578=_xlfn.MINIFS($Q$2:$Q$3058,$A$2:$A$3058,A2578,$P$2:$P$3058,"OK"),"KEEP","DROP"))</f>
        <v/>
      </c>
      <c r="T2578" s="9" t="n">
        <f aca="false">IF(A2578="",1,0)</f>
        <v>0</v>
      </c>
      <c r="U2578" s="9" t="n">
        <f aca="false">IF(D2578="",1,0)</f>
        <v>0</v>
      </c>
      <c r="V2578" s="9" t="n">
        <f aca="false">IF(E2578="",1,0)</f>
        <v>0</v>
      </c>
      <c r="W2578" s="9" t="n">
        <f aca="false">IF(OR(H2578&lt;1,H2578&gt;10),1,0)</f>
        <v>0</v>
      </c>
      <c r="X2578" s="9" t="n">
        <f aca="false">IF(OR(I2578&lt;=0,I2578&gt;1500),1,0)</f>
        <v>0</v>
      </c>
      <c r="Y2578" s="9" t="n">
        <f aca="false">IF(J2578&gt;H2578*I2578,1,0)</f>
        <v>0</v>
      </c>
      <c r="Z2578" s="9" t="n">
        <f aca="false">IF(AND(N2578&lt;&gt;"",OR(N2578&lt;1,N2578&gt;5)),1,0)</f>
        <v>0</v>
      </c>
      <c r="AA2578" s="9" t="n">
        <f aca="false">IF(AND(M2578&lt;&gt;"",OR(M2578&lt;5,M2578&gt;180)),1,0)</f>
        <v>0</v>
      </c>
      <c r="AB2578" s="7" t="str">
        <f aca="false">IF(P2578="DUP","Exact duplicate row",IF(T2578=1,"Missing Order ID",IF(S2578="DROP","Duplicate Order ID (less complete row)",IF(U2578=1,"Missing Customer ID",IF(V2578=1,"Missing Restaurant name",IF(W2578=1,"Invalid/outlier quantity",IF(X2578=1,"Invalid/outlier unit price",IF(Y2578=1,"Discount greater than order value",""))))))))</f>
        <v/>
      </c>
      <c r="AC2578" s="7" t="str">
        <f aca="false">IF(AB2578="","KEEP","DROP")</f>
        <v>KEEP</v>
      </c>
      <c r="AD2578" s="7" t="str">
        <f aca="false">IF(TRIM(F2578)="",IFERROR(INDEX(Map_Tables!$I$4:$I$37,MATCH(TRIM(E2578),Map_Tables!$G$4:$G$37,0)),""),IFERROR(INDEX(Map_Tables!$B$4:$B$18,MATCH(TRIM(F2578),Map_Tables!$A$4:$A$18,0)),"CHECK"))</f>
        <v>Bengaluru</v>
      </c>
      <c r="AE2578" s="7" t="str">
        <f aca="false">IF(TRIM(E2578)="","",IFERROR(INDEX(Map_Tables!$H$4:$H$37,MATCH(TRIM(E2578),Map_Tables!$G$4:$G$37,0)),"CHECK"))</f>
        <v>Dosa Darbar</v>
      </c>
      <c r="AF2578" s="7" t="str">
        <f aca="false">IF(TRIM(K2578)="","Unknown",IFERROR(INDEX(Map_Tables!$E$4:$E$15,MATCH(TRIM(K2578),Map_Tables!$D$4:$D$15,0)),"CHECK"))</f>
        <v>Debit Card</v>
      </c>
      <c r="AG2578" s="7" t="str">
        <f aca="false">IF(LEFT(LOWER(TRIM(L2578)),6)="cancel","Cancelled","Delivered")</f>
        <v>Delivered</v>
      </c>
      <c r="AH2578" s="10" t="n">
        <f aca="false">IF(ISNUMBER(SEARCH("/",B2578)),DATE(VALUE(RIGHT(B2578,4)),VALUE(MID(B2578,4,2)),VALUE(LEFT(B2578,2))),IF(MID(B2578,5,1)="-",DATE(VALUE(LEFT(B2578,4)),VALUE(MID(B2578,6,2)),VALUE(RIGHT(B2578,2))),DATE(VALUE(RIGHT(B2578,4)),MATCH(MID(B2578,4,3),{"Jan","Feb","Mar","Apr","May","Jun","Jul","Aug","Sep","Oct","Nov","Dec"},0),VALUE(LEFT(B2578,2)))))</f>
        <v>46014</v>
      </c>
    </row>
    <row r="2579" customFormat="false" ht="15" hidden="false" customHeight="false" outlineLevel="0" collapsed="false">
      <c r="A2579" s="7" t="s">
        <v>5568</v>
      </c>
      <c r="B2579" s="7" t="s">
        <v>300</v>
      </c>
      <c r="C2579" s="7" t="s">
        <v>2699</v>
      </c>
      <c r="D2579" s="7" t="s">
        <v>491</v>
      </c>
      <c r="E2579" s="7" t="s">
        <v>94</v>
      </c>
      <c r="F2579" s="7" t="s">
        <v>86</v>
      </c>
      <c r="G2579" s="7" t="s">
        <v>95</v>
      </c>
      <c r="H2579" s="7" t="n">
        <v>5</v>
      </c>
      <c r="I2579" s="7" t="n">
        <v>105</v>
      </c>
      <c r="J2579" s="7" t="n">
        <v>40</v>
      </c>
      <c r="K2579" s="7" t="s">
        <v>88</v>
      </c>
      <c r="L2579" s="7" t="s">
        <v>194</v>
      </c>
      <c r="M2579" s="7" t="n">
        <v>41</v>
      </c>
      <c r="N2579" s="7" t="n">
        <v>3</v>
      </c>
      <c r="O2579" s="7" t="str">
        <f aca="false">A2579&amp;"|"&amp;B2579&amp;"|"&amp;C2579&amp;"|"&amp;D2579&amp;"|"&amp;E2579&amp;"|"&amp;F2579&amp;"|"&amp;G2579&amp;"|"&amp;H2579&amp;"|"&amp;I2579&amp;"|"&amp;J2579&amp;"|"&amp;K2579&amp;"|"&amp;L2579&amp;"|"&amp;M2579&amp;"|"&amp;N2579</f>
        <v>ORD11495|2025-07-13|18:08|C0822|Dosa Darbar|Bengaluru|South Indian|5|105|40|UPI|Delivered|41|3</v>
      </c>
      <c r="P2579" s="7" t="str">
        <f aca="false">IF(COUNTIF($O$2:O2579,O2579)&gt;1,"DUP","OK")</f>
        <v>OK</v>
      </c>
      <c r="Q2579" s="7" t="n">
        <f aca="false">COUNTBLANK(A2579:N2579)</f>
        <v>0</v>
      </c>
      <c r="R2579" s="7" t="n">
        <f aca="false">IF(A2579="",0,COUNTIFS($A$2:$A$3058,A2579,$P$2:$P$3058,"OK"))</f>
        <v>1</v>
      </c>
      <c r="S2579" s="7" t="str">
        <f aca="false">IF(OR(A2579="",P2579="DUP",R2579&lt;2),"",IF(Q2579=_xlfn.MINIFS($Q$2:$Q$3058,$A$2:$A$3058,A2579,$P$2:$P$3058,"OK"),"KEEP","DROP"))</f>
        <v/>
      </c>
      <c r="T2579" s="9" t="n">
        <f aca="false">IF(A2579="",1,0)</f>
        <v>0</v>
      </c>
      <c r="U2579" s="9" t="n">
        <f aca="false">IF(D2579="",1,0)</f>
        <v>0</v>
      </c>
      <c r="V2579" s="9" t="n">
        <f aca="false">IF(E2579="",1,0)</f>
        <v>0</v>
      </c>
      <c r="W2579" s="9" t="n">
        <f aca="false">IF(OR(H2579&lt;1,H2579&gt;10),1,0)</f>
        <v>0</v>
      </c>
      <c r="X2579" s="9" t="n">
        <f aca="false">IF(OR(I2579&lt;=0,I2579&gt;1500),1,0)</f>
        <v>0</v>
      </c>
      <c r="Y2579" s="9" t="n">
        <f aca="false">IF(J2579&gt;H2579*I2579,1,0)</f>
        <v>0</v>
      </c>
      <c r="Z2579" s="9" t="n">
        <f aca="false">IF(AND(N2579&lt;&gt;"",OR(N2579&lt;1,N2579&gt;5)),1,0)</f>
        <v>0</v>
      </c>
      <c r="AA2579" s="9" t="n">
        <f aca="false">IF(AND(M2579&lt;&gt;"",OR(M2579&lt;5,M2579&gt;180)),1,0)</f>
        <v>0</v>
      </c>
      <c r="AB2579" s="7" t="str">
        <f aca="false">IF(P2579="DUP","Exact duplicate row",IF(T2579=1,"Missing Order ID",IF(S2579="DROP","Duplicate Order ID (less complete row)",IF(U2579=1,"Missing Customer ID",IF(V2579=1,"Missing Restaurant name",IF(W2579=1,"Invalid/outlier quantity",IF(X2579=1,"Invalid/outlier unit price",IF(Y2579=1,"Discount greater than order value",""))))))))</f>
        <v/>
      </c>
      <c r="AC2579" s="7" t="str">
        <f aca="false">IF(AB2579="","KEEP","DROP")</f>
        <v>KEEP</v>
      </c>
      <c r="AD2579" s="7" t="str">
        <f aca="false">IF(TRIM(F2579)="",IFERROR(INDEX(Map_Tables!$I$4:$I$37,MATCH(TRIM(E2579),Map_Tables!$G$4:$G$37,0)),""),IFERROR(INDEX(Map_Tables!$B$4:$B$18,MATCH(TRIM(F2579),Map_Tables!$A$4:$A$18,0)),"CHECK"))</f>
        <v>Bengaluru</v>
      </c>
      <c r="AE2579" s="7" t="str">
        <f aca="false">IF(TRIM(E2579)="","",IFERROR(INDEX(Map_Tables!$H$4:$H$37,MATCH(TRIM(E2579),Map_Tables!$G$4:$G$37,0)),"CHECK"))</f>
        <v>Dosa Darbar</v>
      </c>
      <c r="AF2579" s="7" t="str">
        <f aca="false">IF(TRIM(K2579)="","Unknown",IFERROR(INDEX(Map_Tables!$E$4:$E$15,MATCH(TRIM(K2579),Map_Tables!$D$4:$D$15,0)),"CHECK"))</f>
        <v>UPI</v>
      </c>
      <c r="AG2579" s="7" t="str">
        <f aca="false">IF(LEFT(LOWER(TRIM(L2579)),6)="cancel","Cancelled","Delivered")</f>
        <v>Delivered</v>
      </c>
      <c r="AH2579" s="10" t="n">
        <f aca="false">IF(ISNUMBER(SEARCH("/",B2579)),DATE(VALUE(RIGHT(B2579,4)),VALUE(MID(B2579,4,2)),VALUE(LEFT(B2579,2))),IF(MID(B2579,5,1)="-",DATE(VALUE(LEFT(B2579,4)),VALUE(MID(B2579,6,2)),VALUE(RIGHT(B2579,2))),DATE(VALUE(RIGHT(B2579,4)),MATCH(MID(B2579,4,3),{"Jan","Feb","Mar","Apr","May","Jun","Jul","Aug","Sep","Oct","Nov","Dec"},0),VALUE(LEFT(B2579,2)))))</f>
        <v>45851</v>
      </c>
    </row>
    <row r="2580" customFormat="false" ht="15" hidden="false" customHeight="false" outlineLevel="0" collapsed="false">
      <c r="A2580" s="7" t="s">
        <v>5569</v>
      </c>
      <c r="B2580" s="7" t="s">
        <v>477</v>
      </c>
      <c r="C2580" s="7" t="s">
        <v>3713</v>
      </c>
      <c r="D2580" s="7" t="s">
        <v>1401</v>
      </c>
      <c r="E2580" s="7" t="s">
        <v>94</v>
      </c>
      <c r="F2580" s="7" t="s">
        <v>86</v>
      </c>
      <c r="G2580" s="7" t="s">
        <v>95</v>
      </c>
      <c r="H2580" s="7" t="n">
        <v>1</v>
      </c>
      <c r="I2580" s="7" t="n">
        <v>115</v>
      </c>
      <c r="J2580" s="7" t="n">
        <v>46</v>
      </c>
      <c r="K2580" s="7" t="s">
        <v>971</v>
      </c>
      <c r="L2580" s="7" t="s">
        <v>194</v>
      </c>
      <c r="M2580" s="7" t="n">
        <v>42</v>
      </c>
      <c r="N2580" s="7" t="n">
        <v>2</v>
      </c>
      <c r="O2580" s="7" t="str">
        <f aca="false">A2580&amp;"|"&amp;B2580&amp;"|"&amp;C2580&amp;"|"&amp;D2580&amp;"|"&amp;E2580&amp;"|"&amp;F2580&amp;"|"&amp;G2580&amp;"|"&amp;H2580&amp;"|"&amp;I2580&amp;"|"&amp;J2580&amp;"|"&amp;K2580&amp;"|"&amp;L2580&amp;"|"&amp;M2580&amp;"|"&amp;N2580</f>
        <v>ORD10832|2025-04-16|11:39|C1367|Dosa Darbar|Bengaluru|South Indian|1|115|46|Paytm Wallet|Delivered|42|2</v>
      </c>
      <c r="P2580" s="7" t="str">
        <f aca="false">IF(COUNTIF($O$2:O2580,O2580)&gt;1,"DUP","OK")</f>
        <v>OK</v>
      </c>
      <c r="Q2580" s="7" t="n">
        <f aca="false">COUNTBLANK(A2580:N2580)</f>
        <v>0</v>
      </c>
      <c r="R2580" s="7" t="n">
        <f aca="false">IF(A2580="",0,COUNTIFS($A$2:$A$3058,A2580,$P$2:$P$3058,"OK"))</f>
        <v>1</v>
      </c>
      <c r="S2580" s="7" t="str">
        <f aca="false">IF(OR(A2580="",P2580="DUP",R2580&lt;2),"",IF(Q2580=_xlfn.MINIFS($Q$2:$Q$3058,$A$2:$A$3058,A2580,$P$2:$P$3058,"OK"),"KEEP","DROP"))</f>
        <v/>
      </c>
      <c r="T2580" s="9" t="n">
        <f aca="false">IF(A2580="",1,0)</f>
        <v>0</v>
      </c>
      <c r="U2580" s="9" t="n">
        <f aca="false">IF(D2580="",1,0)</f>
        <v>0</v>
      </c>
      <c r="V2580" s="9" t="n">
        <f aca="false">IF(E2580="",1,0)</f>
        <v>0</v>
      </c>
      <c r="W2580" s="9" t="n">
        <f aca="false">IF(OR(H2580&lt;1,H2580&gt;10),1,0)</f>
        <v>0</v>
      </c>
      <c r="X2580" s="9" t="n">
        <f aca="false">IF(OR(I2580&lt;=0,I2580&gt;1500),1,0)</f>
        <v>0</v>
      </c>
      <c r="Y2580" s="9" t="n">
        <f aca="false">IF(J2580&gt;H2580*I2580,1,0)</f>
        <v>0</v>
      </c>
      <c r="Z2580" s="9" t="n">
        <f aca="false">IF(AND(N2580&lt;&gt;"",OR(N2580&lt;1,N2580&gt;5)),1,0)</f>
        <v>0</v>
      </c>
      <c r="AA2580" s="9" t="n">
        <f aca="false">IF(AND(M2580&lt;&gt;"",OR(M2580&lt;5,M2580&gt;180)),1,0)</f>
        <v>0</v>
      </c>
      <c r="AB2580" s="7" t="str">
        <f aca="false">IF(P2580="DUP","Exact duplicate row",IF(T2580=1,"Missing Order ID",IF(S2580="DROP","Duplicate Order ID (less complete row)",IF(U2580=1,"Missing Customer ID",IF(V2580=1,"Missing Restaurant name",IF(W2580=1,"Invalid/outlier quantity",IF(X2580=1,"Invalid/outlier unit price",IF(Y2580=1,"Discount greater than order value",""))))))))</f>
        <v/>
      </c>
      <c r="AC2580" s="7" t="str">
        <f aca="false">IF(AB2580="","KEEP","DROP")</f>
        <v>KEEP</v>
      </c>
      <c r="AD2580" s="7" t="str">
        <f aca="false">IF(TRIM(F2580)="",IFERROR(INDEX(Map_Tables!$I$4:$I$37,MATCH(TRIM(E2580),Map_Tables!$G$4:$G$37,0)),""),IFERROR(INDEX(Map_Tables!$B$4:$B$18,MATCH(TRIM(F2580),Map_Tables!$A$4:$A$18,0)),"CHECK"))</f>
        <v>Bengaluru</v>
      </c>
      <c r="AE2580" s="7" t="str">
        <f aca="false">IF(TRIM(E2580)="","",IFERROR(INDEX(Map_Tables!$H$4:$H$37,MATCH(TRIM(E2580),Map_Tables!$G$4:$G$37,0)),"CHECK"))</f>
        <v>Dosa Darbar</v>
      </c>
      <c r="AF2580" s="7" t="str">
        <f aca="false">IF(TRIM(K2580)="","Unknown",IFERROR(INDEX(Map_Tables!$E$4:$E$15,MATCH(TRIM(K2580),Map_Tables!$D$4:$D$15,0)),"CHECK"))</f>
        <v>Wallet</v>
      </c>
      <c r="AG2580" s="7" t="str">
        <f aca="false">IF(LEFT(LOWER(TRIM(L2580)),6)="cancel","Cancelled","Delivered")</f>
        <v>Delivered</v>
      </c>
      <c r="AH2580" s="10" t="n">
        <f aca="false">IF(ISNUMBER(SEARCH("/",B2580)),DATE(VALUE(RIGHT(B2580,4)),VALUE(MID(B2580,4,2)),VALUE(LEFT(B2580,2))),IF(MID(B2580,5,1)="-",DATE(VALUE(LEFT(B2580,4)),VALUE(MID(B2580,6,2)),VALUE(RIGHT(B2580,2))),DATE(VALUE(RIGHT(B2580,4)),MATCH(MID(B2580,4,3),{"Jan","Feb","Mar","Apr","May","Jun","Jul","Aug","Sep","Oct","Nov","Dec"},0),VALUE(LEFT(B2580,2)))))</f>
        <v>45763</v>
      </c>
    </row>
    <row r="2581" customFormat="false" ht="15" hidden="false" customHeight="false" outlineLevel="0" collapsed="false">
      <c r="A2581" s="7" t="s">
        <v>5570</v>
      </c>
      <c r="B2581" s="7" t="s">
        <v>754</v>
      </c>
      <c r="C2581" s="7" t="s">
        <v>2714</v>
      </c>
      <c r="D2581" s="7" t="s">
        <v>5300</v>
      </c>
      <c r="E2581" s="7" t="s">
        <v>3627</v>
      </c>
      <c r="F2581" s="7" t="s">
        <v>146</v>
      </c>
      <c r="G2581" s="7" t="s">
        <v>123</v>
      </c>
      <c r="H2581" s="7" t="n">
        <v>1</v>
      </c>
      <c r="I2581" s="7" t="n">
        <v>350</v>
      </c>
      <c r="J2581" s="7" t="n">
        <v>20</v>
      </c>
      <c r="K2581" s="7" t="s">
        <v>112</v>
      </c>
      <c r="L2581" s="7" t="s">
        <v>194</v>
      </c>
      <c r="M2581" s="7" t="n">
        <v>43</v>
      </c>
      <c r="N2581" s="7" t="n">
        <v>4</v>
      </c>
      <c r="O2581" s="7" t="str">
        <f aca="false">A2581&amp;"|"&amp;B2581&amp;"|"&amp;C2581&amp;"|"&amp;D2581&amp;"|"&amp;E2581&amp;"|"&amp;F2581&amp;"|"&amp;G2581&amp;"|"&amp;H2581&amp;"|"&amp;I2581&amp;"|"&amp;J2581&amp;"|"&amp;K2581&amp;"|"&amp;L2581&amp;"|"&amp;M2581&amp;"|"&amp;N2581</f>
        <v>ORD12081|2025-09-25|13:18|C1041|cheesy slice|Ahmedabad|Pizza|1|350|20|Cash on Delivery|Delivered|43|4</v>
      </c>
      <c r="P2581" s="7" t="str">
        <f aca="false">IF(COUNTIF($O$2:O2581,O2581)&gt;1,"DUP","OK")</f>
        <v>OK</v>
      </c>
      <c r="Q2581" s="7" t="n">
        <f aca="false">COUNTBLANK(A2581:N2581)</f>
        <v>0</v>
      </c>
      <c r="R2581" s="7" t="n">
        <f aca="false">IF(A2581="",0,COUNTIFS($A$2:$A$3058,A2581,$P$2:$P$3058,"OK"))</f>
        <v>1</v>
      </c>
      <c r="S2581" s="7" t="str">
        <f aca="false">IF(OR(A2581="",P2581="DUP",R2581&lt;2),"",IF(Q2581=_xlfn.MINIFS($Q$2:$Q$3058,$A$2:$A$3058,A2581,$P$2:$P$3058,"OK"),"KEEP","DROP"))</f>
        <v/>
      </c>
      <c r="T2581" s="9" t="n">
        <f aca="false">IF(A2581="",1,0)</f>
        <v>0</v>
      </c>
      <c r="U2581" s="9" t="n">
        <f aca="false">IF(D2581="",1,0)</f>
        <v>0</v>
      </c>
      <c r="V2581" s="9" t="n">
        <f aca="false">IF(E2581="",1,0)</f>
        <v>0</v>
      </c>
      <c r="W2581" s="9" t="n">
        <f aca="false">IF(OR(H2581&lt;1,H2581&gt;10),1,0)</f>
        <v>0</v>
      </c>
      <c r="X2581" s="9" t="n">
        <f aca="false">IF(OR(I2581&lt;=0,I2581&gt;1500),1,0)</f>
        <v>0</v>
      </c>
      <c r="Y2581" s="9" t="n">
        <f aca="false">IF(J2581&gt;H2581*I2581,1,0)</f>
        <v>0</v>
      </c>
      <c r="Z2581" s="9" t="n">
        <f aca="false">IF(AND(N2581&lt;&gt;"",OR(N2581&lt;1,N2581&gt;5)),1,0)</f>
        <v>0</v>
      </c>
      <c r="AA2581" s="9" t="n">
        <f aca="false">IF(AND(M2581&lt;&gt;"",OR(M2581&lt;5,M2581&gt;180)),1,0)</f>
        <v>0</v>
      </c>
      <c r="AB2581" s="7" t="str">
        <f aca="false">IF(P2581="DUP","Exact duplicate row",IF(T2581=1,"Missing Order ID",IF(S2581="DROP","Duplicate Order ID (less complete row)",IF(U2581=1,"Missing Customer ID",IF(V2581=1,"Missing Restaurant name",IF(W2581=1,"Invalid/outlier quantity",IF(X2581=1,"Invalid/outlier unit price",IF(Y2581=1,"Discount greater than order value",""))))))))</f>
        <v/>
      </c>
      <c r="AC2581" s="7" t="str">
        <f aca="false">IF(AB2581="","KEEP","DROP")</f>
        <v>KEEP</v>
      </c>
      <c r="AD2581" s="7" t="str">
        <f aca="false">IF(TRIM(F2581)="",IFERROR(INDEX(Map_Tables!$I$4:$I$37,MATCH(TRIM(E2581),Map_Tables!$G$4:$G$37,0)),""),IFERROR(INDEX(Map_Tables!$B$4:$B$18,MATCH(TRIM(F2581),Map_Tables!$A$4:$A$18,0)),"CHECK"))</f>
        <v>Ahmedabad</v>
      </c>
      <c r="AE2581" s="7" t="str">
        <f aca="false">IF(TRIM(E2581)="","",IFERROR(INDEX(Map_Tables!$H$4:$H$37,MATCH(TRIM(E2581),Map_Tables!$G$4:$G$37,0)),"CHECK"))</f>
        <v>Cheesy Slice</v>
      </c>
      <c r="AF2581" s="7" t="str">
        <f aca="false">IF(TRIM(K2581)="","Unknown",IFERROR(INDEX(Map_Tables!$E$4:$E$15,MATCH(TRIM(K2581),Map_Tables!$D$4:$D$15,0)),"CHECK"))</f>
        <v>Cash on Delivery</v>
      </c>
      <c r="AG2581" s="7" t="str">
        <f aca="false">IF(LEFT(LOWER(TRIM(L2581)),6)="cancel","Cancelled","Delivered")</f>
        <v>Delivered</v>
      </c>
      <c r="AH2581" s="10" t="n">
        <f aca="false">IF(ISNUMBER(SEARCH("/",B2581)),DATE(VALUE(RIGHT(B2581,4)),VALUE(MID(B2581,4,2)),VALUE(LEFT(B2581,2))),IF(MID(B2581,5,1)="-",DATE(VALUE(LEFT(B2581,4)),VALUE(MID(B2581,6,2)),VALUE(RIGHT(B2581,2))),DATE(VALUE(RIGHT(B2581,4)),MATCH(MID(B2581,4,3),{"Jan","Feb","Mar","Apr","May","Jun","Jul","Aug","Sep","Oct","Nov","Dec"},0),VALUE(LEFT(B2581,2)))))</f>
        <v>45925</v>
      </c>
    </row>
    <row r="2582" customFormat="false" ht="15" hidden="false" customHeight="false" outlineLevel="0" collapsed="false">
      <c r="A2582" s="7" t="s">
        <v>5571</v>
      </c>
      <c r="B2582" s="7" t="s">
        <v>2333</v>
      </c>
      <c r="C2582" s="7" t="s">
        <v>3346</v>
      </c>
      <c r="D2582" s="7" t="s">
        <v>4936</v>
      </c>
      <c r="E2582" s="7" t="s">
        <v>130</v>
      </c>
      <c r="F2582" s="7" t="s">
        <v>110</v>
      </c>
      <c r="G2582" s="7" t="s">
        <v>90</v>
      </c>
      <c r="H2582" s="7" t="n">
        <v>1</v>
      </c>
      <c r="I2582" s="7" t="n">
        <v>240</v>
      </c>
      <c r="J2582" s="7" t="n">
        <v>20</v>
      </c>
      <c r="K2582" s="7" t="s">
        <v>103</v>
      </c>
      <c r="L2582" s="7" t="s">
        <v>194</v>
      </c>
      <c r="M2582" s="7" t="n">
        <v>26</v>
      </c>
      <c r="N2582" s="7" t="n">
        <v>5</v>
      </c>
      <c r="O2582" s="7" t="str">
        <f aca="false">A2582&amp;"|"&amp;B2582&amp;"|"&amp;C2582&amp;"|"&amp;D2582&amp;"|"&amp;E2582&amp;"|"&amp;F2582&amp;"|"&amp;G2582&amp;"|"&amp;H2582&amp;"|"&amp;I2582&amp;"|"&amp;J2582&amp;"|"&amp;K2582&amp;"|"&amp;L2582&amp;"|"&amp;M2582&amp;"|"&amp;N2582</f>
        <v>ORD11175|2025-05-29|21:33|C0589|Tandoor Tales|Delhi|North Indian|1|240|20|Debit Card|Delivered|26|5</v>
      </c>
      <c r="P2582" s="7" t="str">
        <f aca="false">IF(COUNTIF($O$2:O2582,O2582)&gt;1,"DUP","OK")</f>
        <v>OK</v>
      </c>
      <c r="Q2582" s="7" t="n">
        <f aca="false">COUNTBLANK(A2582:N2582)</f>
        <v>0</v>
      </c>
      <c r="R2582" s="7" t="n">
        <f aca="false">IF(A2582="",0,COUNTIFS($A$2:$A$3058,A2582,$P$2:$P$3058,"OK"))</f>
        <v>1</v>
      </c>
      <c r="S2582" s="7" t="str">
        <f aca="false">IF(OR(A2582="",P2582="DUP",R2582&lt;2),"",IF(Q2582=_xlfn.MINIFS($Q$2:$Q$3058,$A$2:$A$3058,A2582,$P$2:$P$3058,"OK"),"KEEP","DROP"))</f>
        <v/>
      </c>
      <c r="T2582" s="9" t="n">
        <f aca="false">IF(A2582="",1,0)</f>
        <v>0</v>
      </c>
      <c r="U2582" s="9" t="n">
        <f aca="false">IF(D2582="",1,0)</f>
        <v>0</v>
      </c>
      <c r="V2582" s="9" t="n">
        <f aca="false">IF(E2582="",1,0)</f>
        <v>0</v>
      </c>
      <c r="W2582" s="9" t="n">
        <f aca="false">IF(OR(H2582&lt;1,H2582&gt;10),1,0)</f>
        <v>0</v>
      </c>
      <c r="X2582" s="9" t="n">
        <f aca="false">IF(OR(I2582&lt;=0,I2582&gt;1500),1,0)</f>
        <v>0</v>
      </c>
      <c r="Y2582" s="9" t="n">
        <f aca="false">IF(J2582&gt;H2582*I2582,1,0)</f>
        <v>0</v>
      </c>
      <c r="Z2582" s="9" t="n">
        <f aca="false">IF(AND(N2582&lt;&gt;"",OR(N2582&lt;1,N2582&gt;5)),1,0)</f>
        <v>0</v>
      </c>
      <c r="AA2582" s="9" t="n">
        <f aca="false">IF(AND(M2582&lt;&gt;"",OR(M2582&lt;5,M2582&gt;180)),1,0)</f>
        <v>0</v>
      </c>
      <c r="AB2582" s="7" t="str">
        <f aca="false">IF(P2582="DUP","Exact duplicate row",IF(T2582=1,"Missing Order ID",IF(S2582="DROP","Duplicate Order ID (less complete row)",IF(U2582=1,"Missing Customer ID",IF(V2582=1,"Missing Restaurant name",IF(W2582=1,"Invalid/outlier quantity",IF(X2582=1,"Invalid/outlier unit price",IF(Y2582=1,"Discount greater than order value",""))))))))</f>
        <v/>
      </c>
      <c r="AC2582" s="7" t="str">
        <f aca="false">IF(AB2582="","KEEP","DROP")</f>
        <v>KEEP</v>
      </c>
      <c r="AD2582" s="7" t="str">
        <f aca="false">IF(TRIM(F2582)="",IFERROR(INDEX(Map_Tables!$I$4:$I$37,MATCH(TRIM(E2582),Map_Tables!$G$4:$G$37,0)),""),IFERROR(INDEX(Map_Tables!$B$4:$B$18,MATCH(TRIM(F2582),Map_Tables!$A$4:$A$18,0)),"CHECK"))</f>
        <v>Delhi</v>
      </c>
      <c r="AE2582" s="7" t="str">
        <f aca="false">IF(TRIM(E2582)="","",IFERROR(INDEX(Map_Tables!$H$4:$H$37,MATCH(TRIM(E2582),Map_Tables!$G$4:$G$37,0)),"CHECK"))</f>
        <v>Tandoor Tales</v>
      </c>
      <c r="AF2582" s="7" t="str">
        <f aca="false">IF(TRIM(K2582)="","Unknown",IFERROR(INDEX(Map_Tables!$E$4:$E$15,MATCH(TRIM(K2582),Map_Tables!$D$4:$D$15,0)),"CHECK"))</f>
        <v>Debit Card</v>
      </c>
      <c r="AG2582" s="7" t="str">
        <f aca="false">IF(LEFT(LOWER(TRIM(L2582)),6)="cancel","Cancelled","Delivered")</f>
        <v>Delivered</v>
      </c>
      <c r="AH2582" s="10" t="n">
        <f aca="false">IF(ISNUMBER(SEARCH("/",B2582)),DATE(VALUE(RIGHT(B2582,4)),VALUE(MID(B2582,4,2)),VALUE(LEFT(B2582,2))),IF(MID(B2582,5,1)="-",DATE(VALUE(LEFT(B2582,4)),VALUE(MID(B2582,6,2)),VALUE(RIGHT(B2582,2))),DATE(VALUE(RIGHT(B2582,4)),MATCH(MID(B2582,4,3),{"Jan","Feb","Mar","Apr","May","Jun","Jul","Aug","Sep","Oct","Nov","Dec"},0),VALUE(LEFT(B2582,2)))))</f>
        <v>45806</v>
      </c>
    </row>
    <row r="2583" customFormat="false" ht="15" hidden="false" customHeight="false" outlineLevel="0" collapsed="false">
      <c r="A2583" s="7" t="s">
        <v>5572</v>
      </c>
      <c r="B2583" s="7" t="s">
        <v>414</v>
      </c>
      <c r="C2583" s="7" t="s">
        <v>2810</v>
      </c>
      <c r="D2583" s="7" t="s">
        <v>332</v>
      </c>
      <c r="E2583" s="7" t="s">
        <v>154</v>
      </c>
      <c r="F2583" s="7" t="s">
        <v>128</v>
      </c>
      <c r="G2583" s="7" t="s">
        <v>99</v>
      </c>
      <c r="H2583" s="7" t="n">
        <v>2</v>
      </c>
      <c r="I2583" s="7" t="n">
        <v>275</v>
      </c>
      <c r="J2583" s="7" t="n">
        <v>100</v>
      </c>
      <c r="K2583" s="7" t="s">
        <v>379</v>
      </c>
      <c r="L2583" s="7" t="s">
        <v>194</v>
      </c>
      <c r="M2583" s="7" t="n">
        <v>25</v>
      </c>
      <c r="N2583" s="7" t="n">
        <v>3</v>
      </c>
      <c r="O2583" s="7" t="str">
        <f aca="false">A2583&amp;"|"&amp;B2583&amp;"|"&amp;C2583&amp;"|"&amp;D2583&amp;"|"&amp;E2583&amp;"|"&amp;F2583&amp;"|"&amp;G2583&amp;"|"&amp;H2583&amp;"|"&amp;I2583&amp;"|"&amp;J2583&amp;"|"&amp;K2583&amp;"|"&amp;L2583&amp;"|"&amp;M2583&amp;"|"&amp;N2583</f>
        <v>ORD10414|2025-02-25|13:46|C1296|Madras Biryani Co|Chennai|Biryani|2|275|100|Credit card|Delivered|25|3</v>
      </c>
      <c r="P2583" s="7" t="str">
        <f aca="false">IF(COUNTIF($O$2:O2583,O2583)&gt;1,"DUP","OK")</f>
        <v>OK</v>
      </c>
      <c r="Q2583" s="7" t="n">
        <f aca="false">COUNTBLANK(A2583:N2583)</f>
        <v>0</v>
      </c>
      <c r="R2583" s="7" t="n">
        <f aca="false">IF(A2583="",0,COUNTIFS($A$2:$A$3058,A2583,$P$2:$P$3058,"OK"))</f>
        <v>1</v>
      </c>
      <c r="S2583" s="7" t="str">
        <f aca="false">IF(OR(A2583="",P2583="DUP",R2583&lt;2),"",IF(Q2583=_xlfn.MINIFS($Q$2:$Q$3058,$A$2:$A$3058,A2583,$P$2:$P$3058,"OK"),"KEEP","DROP"))</f>
        <v/>
      </c>
      <c r="T2583" s="9" t="n">
        <f aca="false">IF(A2583="",1,0)</f>
        <v>0</v>
      </c>
      <c r="U2583" s="9" t="n">
        <f aca="false">IF(D2583="",1,0)</f>
        <v>0</v>
      </c>
      <c r="V2583" s="9" t="n">
        <f aca="false">IF(E2583="",1,0)</f>
        <v>0</v>
      </c>
      <c r="W2583" s="9" t="n">
        <f aca="false">IF(OR(H2583&lt;1,H2583&gt;10),1,0)</f>
        <v>0</v>
      </c>
      <c r="X2583" s="9" t="n">
        <f aca="false">IF(OR(I2583&lt;=0,I2583&gt;1500),1,0)</f>
        <v>0</v>
      </c>
      <c r="Y2583" s="9" t="n">
        <f aca="false">IF(J2583&gt;H2583*I2583,1,0)</f>
        <v>0</v>
      </c>
      <c r="Z2583" s="9" t="n">
        <f aca="false">IF(AND(N2583&lt;&gt;"",OR(N2583&lt;1,N2583&gt;5)),1,0)</f>
        <v>0</v>
      </c>
      <c r="AA2583" s="9" t="n">
        <f aca="false">IF(AND(M2583&lt;&gt;"",OR(M2583&lt;5,M2583&gt;180)),1,0)</f>
        <v>0</v>
      </c>
      <c r="AB2583" s="7" t="str">
        <f aca="false">IF(P2583="DUP","Exact duplicate row",IF(T2583=1,"Missing Order ID",IF(S2583="DROP","Duplicate Order ID (less complete row)",IF(U2583=1,"Missing Customer ID",IF(V2583=1,"Missing Restaurant name",IF(W2583=1,"Invalid/outlier quantity",IF(X2583=1,"Invalid/outlier unit price",IF(Y2583=1,"Discount greater than order value",""))))))))</f>
        <v/>
      </c>
      <c r="AC2583" s="7" t="str">
        <f aca="false">IF(AB2583="","KEEP","DROP")</f>
        <v>KEEP</v>
      </c>
      <c r="AD2583" s="7" t="str">
        <f aca="false">IF(TRIM(F2583)="",IFERROR(INDEX(Map_Tables!$I$4:$I$37,MATCH(TRIM(E2583),Map_Tables!$G$4:$G$37,0)),""),IFERROR(INDEX(Map_Tables!$B$4:$B$18,MATCH(TRIM(F2583),Map_Tables!$A$4:$A$18,0)),"CHECK"))</f>
        <v>Chennai</v>
      </c>
      <c r="AE2583" s="7" t="str">
        <f aca="false">IF(TRIM(E2583)="","",IFERROR(INDEX(Map_Tables!$H$4:$H$37,MATCH(TRIM(E2583),Map_Tables!$G$4:$G$37,0)),"CHECK"))</f>
        <v>Madras Biryani Co</v>
      </c>
      <c r="AF2583" s="7" t="str">
        <f aca="false">IF(TRIM(K2583)="","Unknown",IFERROR(INDEX(Map_Tables!$E$4:$E$15,MATCH(TRIM(K2583),Map_Tables!$D$4:$D$15,0)),"CHECK"))</f>
        <v>Credit Card</v>
      </c>
      <c r="AG2583" s="7" t="str">
        <f aca="false">IF(LEFT(LOWER(TRIM(L2583)),6)="cancel","Cancelled","Delivered")</f>
        <v>Delivered</v>
      </c>
      <c r="AH2583" s="10" t="n">
        <f aca="false">IF(ISNUMBER(SEARCH("/",B2583)),DATE(VALUE(RIGHT(B2583,4)),VALUE(MID(B2583,4,2)),VALUE(LEFT(B2583,2))),IF(MID(B2583,5,1)="-",DATE(VALUE(LEFT(B2583,4)),VALUE(MID(B2583,6,2)),VALUE(RIGHT(B2583,2))),DATE(VALUE(RIGHT(B2583,4)),MATCH(MID(B2583,4,3),{"Jan","Feb","Mar","Apr","May","Jun","Jul","Aug","Sep","Oct","Nov","Dec"},0),VALUE(LEFT(B2583,2)))))</f>
        <v>45713</v>
      </c>
    </row>
    <row r="2584" customFormat="false" ht="15" hidden="false" customHeight="false" outlineLevel="0" collapsed="false">
      <c r="A2584" s="7" t="s">
        <v>5573</v>
      </c>
      <c r="B2584" s="7" t="s">
        <v>550</v>
      </c>
      <c r="C2584" s="7" t="s">
        <v>3046</v>
      </c>
      <c r="D2584" s="7" t="s">
        <v>2697</v>
      </c>
      <c r="E2584" s="7" t="s">
        <v>134</v>
      </c>
      <c r="F2584" s="7" t="s">
        <v>110</v>
      </c>
      <c r="G2584" s="7" t="s">
        <v>117</v>
      </c>
      <c r="H2584" s="7" t="n">
        <v>3</v>
      </c>
      <c r="I2584" s="7" t="n">
        <v>120</v>
      </c>
      <c r="J2584" s="7" t="n">
        <v>144</v>
      </c>
      <c r="K2584" s="7" t="s">
        <v>88</v>
      </c>
      <c r="L2584" s="7" t="s">
        <v>194</v>
      </c>
      <c r="M2584" s="7" t="n">
        <v>35</v>
      </c>
      <c r="N2584" s="7" t="n">
        <v>4</v>
      </c>
      <c r="O2584" s="7" t="str">
        <f aca="false">A2584&amp;"|"&amp;B2584&amp;"|"&amp;C2584&amp;"|"&amp;D2584&amp;"|"&amp;E2584&amp;"|"&amp;F2584&amp;"|"&amp;G2584&amp;"|"&amp;H2584&amp;"|"&amp;I2584&amp;"|"&amp;J2584&amp;"|"&amp;K2584&amp;"|"&amp;L2584&amp;"|"&amp;M2584&amp;"|"&amp;N2584</f>
        <v>ORD11818|25/08/2025|18:17|C0626|Chaat Corner|Delhi|Street Food|3|120|144|UPI|Delivered|35|4</v>
      </c>
      <c r="P2584" s="7" t="str">
        <f aca="false">IF(COUNTIF($O$2:O2584,O2584)&gt;1,"DUP","OK")</f>
        <v>OK</v>
      </c>
      <c r="Q2584" s="7" t="n">
        <f aca="false">COUNTBLANK(A2584:N2584)</f>
        <v>0</v>
      </c>
      <c r="R2584" s="7" t="n">
        <f aca="false">IF(A2584="",0,COUNTIFS($A$2:$A$3058,A2584,$P$2:$P$3058,"OK"))</f>
        <v>1</v>
      </c>
      <c r="S2584" s="7" t="str">
        <f aca="false">IF(OR(A2584="",P2584="DUP",R2584&lt;2),"",IF(Q2584=_xlfn.MINIFS($Q$2:$Q$3058,$A$2:$A$3058,A2584,$P$2:$P$3058,"OK"),"KEEP","DROP"))</f>
        <v/>
      </c>
      <c r="T2584" s="9" t="n">
        <f aca="false">IF(A2584="",1,0)</f>
        <v>0</v>
      </c>
      <c r="U2584" s="9" t="n">
        <f aca="false">IF(D2584="",1,0)</f>
        <v>0</v>
      </c>
      <c r="V2584" s="9" t="n">
        <f aca="false">IF(E2584="",1,0)</f>
        <v>0</v>
      </c>
      <c r="W2584" s="9" t="n">
        <f aca="false">IF(OR(H2584&lt;1,H2584&gt;10),1,0)</f>
        <v>0</v>
      </c>
      <c r="X2584" s="9" t="n">
        <f aca="false">IF(OR(I2584&lt;=0,I2584&gt;1500),1,0)</f>
        <v>0</v>
      </c>
      <c r="Y2584" s="9" t="n">
        <f aca="false">IF(J2584&gt;H2584*I2584,1,0)</f>
        <v>0</v>
      </c>
      <c r="Z2584" s="9" t="n">
        <f aca="false">IF(AND(N2584&lt;&gt;"",OR(N2584&lt;1,N2584&gt;5)),1,0)</f>
        <v>0</v>
      </c>
      <c r="AA2584" s="9" t="n">
        <f aca="false">IF(AND(M2584&lt;&gt;"",OR(M2584&lt;5,M2584&gt;180)),1,0)</f>
        <v>0</v>
      </c>
      <c r="AB2584" s="7" t="str">
        <f aca="false">IF(P2584="DUP","Exact duplicate row",IF(T2584=1,"Missing Order ID",IF(S2584="DROP","Duplicate Order ID (less complete row)",IF(U2584=1,"Missing Customer ID",IF(V2584=1,"Missing Restaurant name",IF(W2584=1,"Invalid/outlier quantity",IF(X2584=1,"Invalid/outlier unit price",IF(Y2584=1,"Discount greater than order value",""))))))))</f>
        <v/>
      </c>
      <c r="AC2584" s="7" t="str">
        <f aca="false">IF(AB2584="","KEEP","DROP")</f>
        <v>KEEP</v>
      </c>
      <c r="AD2584" s="7" t="str">
        <f aca="false">IF(TRIM(F2584)="",IFERROR(INDEX(Map_Tables!$I$4:$I$37,MATCH(TRIM(E2584),Map_Tables!$G$4:$G$37,0)),""),IFERROR(INDEX(Map_Tables!$B$4:$B$18,MATCH(TRIM(F2584),Map_Tables!$A$4:$A$18,0)),"CHECK"))</f>
        <v>Delhi</v>
      </c>
      <c r="AE2584" s="7" t="str">
        <f aca="false">IF(TRIM(E2584)="","",IFERROR(INDEX(Map_Tables!$H$4:$H$37,MATCH(TRIM(E2584),Map_Tables!$G$4:$G$37,0)),"CHECK"))</f>
        <v>Chaat Corner</v>
      </c>
      <c r="AF2584" s="7" t="str">
        <f aca="false">IF(TRIM(K2584)="","Unknown",IFERROR(INDEX(Map_Tables!$E$4:$E$15,MATCH(TRIM(K2584),Map_Tables!$D$4:$D$15,0)),"CHECK"))</f>
        <v>UPI</v>
      </c>
      <c r="AG2584" s="7" t="str">
        <f aca="false">IF(LEFT(LOWER(TRIM(L2584)),6)="cancel","Cancelled","Delivered")</f>
        <v>Delivered</v>
      </c>
      <c r="AH2584" s="10" t="n">
        <f aca="false">IF(ISNUMBER(SEARCH("/",B2584)),DATE(VALUE(RIGHT(B2584,4)),VALUE(MID(B2584,4,2)),VALUE(LEFT(B2584,2))),IF(MID(B2584,5,1)="-",DATE(VALUE(LEFT(B2584,4)),VALUE(MID(B2584,6,2)),VALUE(RIGHT(B2584,2))),DATE(VALUE(RIGHT(B2584,4)),MATCH(MID(B2584,4,3),{"Jan","Feb","Mar","Apr","May","Jun","Jul","Aug","Sep","Oct","Nov","Dec"},0),VALUE(LEFT(B2584,2)))))</f>
        <v>45894</v>
      </c>
    </row>
    <row r="2585" customFormat="false" ht="15" hidden="false" customHeight="false" outlineLevel="0" collapsed="false">
      <c r="A2585" s="7" t="s">
        <v>5574</v>
      </c>
      <c r="B2585" s="7" t="s">
        <v>3753</v>
      </c>
      <c r="C2585" s="7" t="s">
        <v>602</v>
      </c>
      <c r="D2585" s="7" t="s">
        <v>5575</v>
      </c>
      <c r="E2585" s="7" t="s">
        <v>167</v>
      </c>
      <c r="F2585" s="7" t="s">
        <v>146</v>
      </c>
      <c r="G2585" s="7" t="s">
        <v>156</v>
      </c>
      <c r="H2585" s="7" t="n">
        <v>5</v>
      </c>
      <c r="I2585" s="7" t="n">
        <v>270</v>
      </c>
      <c r="J2585" s="7" t="n">
        <v>20</v>
      </c>
      <c r="K2585" s="7" t="s">
        <v>133</v>
      </c>
      <c r="L2585" s="7" t="s">
        <v>194</v>
      </c>
      <c r="M2585" s="7" t="n">
        <v>19</v>
      </c>
      <c r="N2585" s="7" t="n">
        <v>4</v>
      </c>
      <c r="O2585" s="7" t="str">
        <f aca="false">A2585&amp;"|"&amp;B2585&amp;"|"&amp;C2585&amp;"|"&amp;D2585&amp;"|"&amp;E2585&amp;"|"&amp;F2585&amp;"|"&amp;G2585&amp;"|"&amp;H2585&amp;"|"&amp;I2585&amp;"|"&amp;J2585&amp;"|"&amp;K2585&amp;"|"&amp;L2585&amp;"|"&amp;M2585&amp;"|"&amp;N2585</f>
        <v>ORD10166|2025-01-22|17:17|C1075|Fit Fuel Kitchen|Ahmedabad|Healthy Food|5|270|20|Net Banking|Delivered|19|4</v>
      </c>
      <c r="P2585" s="7" t="str">
        <f aca="false">IF(COUNTIF($O$2:O2585,O2585)&gt;1,"DUP","OK")</f>
        <v>OK</v>
      </c>
      <c r="Q2585" s="7" t="n">
        <f aca="false">COUNTBLANK(A2585:N2585)</f>
        <v>0</v>
      </c>
      <c r="R2585" s="7" t="n">
        <f aca="false">IF(A2585="",0,COUNTIFS($A$2:$A$3058,A2585,$P$2:$P$3058,"OK"))</f>
        <v>1</v>
      </c>
      <c r="S2585" s="7" t="str">
        <f aca="false">IF(OR(A2585="",P2585="DUP",R2585&lt;2),"",IF(Q2585=_xlfn.MINIFS($Q$2:$Q$3058,$A$2:$A$3058,A2585,$P$2:$P$3058,"OK"),"KEEP","DROP"))</f>
        <v/>
      </c>
      <c r="T2585" s="9" t="n">
        <f aca="false">IF(A2585="",1,0)</f>
        <v>0</v>
      </c>
      <c r="U2585" s="9" t="n">
        <f aca="false">IF(D2585="",1,0)</f>
        <v>0</v>
      </c>
      <c r="V2585" s="9" t="n">
        <f aca="false">IF(E2585="",1,0)</f>
        <v>0</v>
      </c>
      <c r="W2585" s="9" t="n">
        <f aca="false">IF(OR(H2585&lt;1,H2585&gt;10),1,0)</f>
        <v>0</v>
      </c>
      <c r="X2585" s="9" t="n">
        <f aca="false">IF(OR(I2585&lt;=0,I2585&gt;1500),1,0)</f>
        <v>0</v>
      </c>
      <c r="Y2585" s="9" t="n">
        <f aca="false">IF(J2585&gt;H2585*I2585,1,0)</f>
        <v>0</v>
      </c>
      <c r="Z2585" s="9" t="n">
        <f aca="false">IF(AND(N2585&lt;&gt;"",OR(N2585&lt;1,N2585&gt;5)),1,0)</f>
        <v>0</v>
      </c>
      <c r="AA2585" s="9" t="n">
        <f aca="false">IF(AND(M2585&lt;&gt;"",OR(M2585&lt;5,M2585&gt;180)),1,0)</f>
        <v>0</v>
      </c>
      <c r="AB2585" s="7" t="str">
        <f aca="false">IF(P2585="DUP","Exact duplicate row",IF(T2585=1,"Missing Order ID",IF(S2585="DROP","Duplicate Order ID (less complete row)",IF(U2585=1,"Missing Customer ID",IF(V2585=1,"Missing Restaurant name",IF(W2585=1,"Invalid/outlier quantity",IF(X2585=1,"Invalid/outlier unit price",IF(Y2585=1,"Discount greater than order value",""))))))))</f>
        <v/>
      </c>
      <c r="AC2585" s="7" t="str">
        <f aca="false">IF(AB2585="","KEEP","DROP")</f>
        <v>KEEP</v>
      </c>
      <c r="AD2585" s="7" t="str">
        <f aca="false">IF(TRIM(F2585)="",IFERROR(INDEX(Map_Tables!$I$4:$I$37,MATCH(TRIM(E2585),Map_Tables!$G$4:$G$37,0)),""),IFERROR(INDEX(Map_Tables!$B$4:$B$18,MATCH(TRIM(F2585),Map_Tables!$A$4:$A$18,0)),"CHECK"))</f>
        <v>Ahmedabad</v>
      </c>
      <c r="AE2585" s="7" t="str">
        <f aca="false">IF(TRIM(E2585)="","",IFERROR(INDEX(Map_Tables!$H$4:$H$37,MATCH(TRIM(E2585),Map_Tables!$G$4:$G$37,0)),"CHECK"))</f>
        <v>Fit Fuel Kitchen</v>
      </c>
      <c r="AF2585" s="7" t="str">
        <f aca="false">IF(TRIM(K2585)="","Unknown",IFERROR(INDEX(Map_Tables!$E$4:$E$15,MATCH(TRIM(K2585),Map_Tables!$D$4:$D$15,0)),"CHECK"))</f>
        <v>Net Banking</v>
      </c>
      <c r="AG2585" s="7" t="str">
        <f aca="false">IF(LEFT(LOWER(TRIM(L2585)),6)="cancel","Cancelled","Delivered")</f>
        <v>Delivered</v>
      </c>
      <c r="AH2585" s="10" t="n">
        <f aca="false">IF(ISNUMBER(SEARCH("/",B2585)),DATE(VALUE(RIGHT(B2585,4)),VALUE(MID(B2585,4,2)),VALUE(LEFT(B2585,2))),IF(MID(B2585,5,1)="-",DATE(VALUE(LEFT(B2585,4)),VALUE(MID(B2585,6,2)),VALUE(RIGHT(B2585,2))),DATE(VALUE(RIGHT(B2585,4)),MATCH(MID(B2585,4,3),{"Jan","Feb","Mar","Apr","May","Jun","Jul","Aug","Sep","Oct","Nov","Dec"},0),VALUE(LEFT(B2585,2)))))</f>
        <v>45679</v>
      </c>
    </row>
    <row r="2586" customFormat="false" ht="15" hidden="false" customHeight="false" outlineLevel="0" collapsed="false">
      <c r="A2586" s="7" t="s">
        <v>5576</v>
      </c>
      <c r="B2586" s="7" t="s">
        <v>1201</v>
      </c>
      <c r="C2586" s="7" t="s">
        <v>4429</v>
      </c>
      <c r="D2586" s="7" t="s">
        <v>3554</v>
      </c>
      <c r="E2586" s="7" t="s">
        <v>98</v>
      </c>
      <c r="F2586" s="7" t="s">
        <v>86</v>
      </c>
      <c r="G2586" s="7" t="s">
        <v>3595</v>
      </c>
      <c r="H2586" s="7" t="n">
        <v>1</v>
      </c>
      <c r="I2586" s="7" t="n">
        <v>275</v>
      </c>
      <c r="J2586" s="7" t="n">
        <v>0</v>
      </c>
      <c r="K2586" s="7" t="s">
        <v>88</v>
      </c>
      <c r="L2586" s="7" t="s">
        <v>238</v>
      </c>
      <c r="M2586" s="7"/>
      <c r="N2586" s="7"/>
      <c r="O2586" s="7" t="str">
        <f aca="false">A2586&amp;"|"&amp;B2586&amp;"|"&amp;C2586&amp;"|"&amp;D2586&amp;"|"&amp;E2586&amp;"|"&amp;F2586&amp;"|"&amp;G2586&amp;"|"&amp;H2586&amp;"|"&amp;I2586&amp;"|"&amp;J2586&amp;"|"&amp;K2586&amp;"|"&amp;L2586&amp;"|"&amp;M2586&amp;"|"&amp;N2586</f>
        <v>ORD12621|2025-11-20|11:28|C0810|Nawabi Biryani House|Bengaluru|BIRYANI|1|275|0|UPI|Cancelled||</v>
      </c>
      <c r="P2586" s="7" t="str">
        <f aca="false">IF(COUNTIF($O$2:O2586,O2586)&gt;1,"DUP","OK")</f>
        <v>OK</v>
      </c>
      <c r="Q2586" s="7" t="n">
        <f aca="false">COUNTBLANK(A2586:N2586)</f>
        <v>2</v>
      </c>
      <c r="R2586" s="7" t="n">
        <f aca="false">IF(A2586="",0,COUNTIFS($A$2:$A$3058,A2586,$P$2:$P$3058,"OK"))</f>
        <v>1</v>
      </c>
      <c r="S2586" s="7" t="str">
        <f aca="false">IF(OR(A2586="",P2586="DUP",R2586&lt;2),"",IF(Q2586=_xlfn.MINIFS($Q$2:$Q$3058,$A$2:$A$3058,A2586,$P$2:$P$3058,"OK"),"KEEP","DROP"))</f>
        <v/>
      </c>
      <c r="T2586" s="9" t="n">
        <f aca="false">IF(A2586="",1,0)</f>
        <v>0</v>
      </c>
      <c r="U2586" s="9" t="n">
        <f aca="false">IF(D2586="",1,0)</f>
        <v>0</v>
      </c>
      <c r="V2586" s="9" t="n">
        <f aca="false">IF(E2586="",1,0)</f>
        <v>0</v>
      </c>
      <c r="W2586" s="9" t="n">
        <f aca="false">IF(OR(H2586&lt;1,H2586&gt;10),1,0)</f>
        <v>0</v>
      </c>
      <c r="X2586" s="9" t="n">
        <f aca="false">IF(OR(I2586&lt;=0,I2586&gt;1500),1,0)</f>
        <v>0</v>
      </c>
      <c r="Y2586" s="9" t="n">
        <f aca="false">IF(J2586&gt;H2586*I2586,1,0)</f>
        <v>0</v>
      </c>
      <c r="Z2586" s="9" t="n">
        <f aca="false">IF(AND(N2586&lt;&gt;"",OR(N2586&lt;1,N2586&gt;5)),1,0)</f>
        <v>0</v>
      </c>
      <c r="AA2586" s="9" t="n">
        <f aca="false">IF(AND(M2586&lt;&gt;"",OR(M2586&lt;5,M2586&gt;180)),1,0)</f>
        <v>0</v>
      </c>
      <c r="AB2586" s="7" t="str">
        <f aca="false">IF(P2586="DUP","Exact duplicate row",IF(T2586=1,"Missing Order ID",IF(S2586="DROP","Duplicate Order ID (less complete row)",IF(U2586=1,"Missing Customer ID",IF(V2586=1,"Missing Restaurant name",IF(W2586=1,"Invalid/outlier quantity",IF(X2586=1,"Invalid/outlier unit price",IF(Y2586=1,"Discount greater than order value",""))))))))</f>
        <v/>
      </c>
      <c r="AC2586" s="7" t="str">
        <f aca="false">IF(AB2586="","KEEP","DROP")</f>
        <v>KEEP</v>
      </c>
      <c r="AD2586" s="7" t="str">
        <f aca="false">IF(TRIM(F2586)="",IFERROR(INDEX(Map_Tables!$I$4:$I$37,MATCH(TRIM(E2586),Map_Tables!$G$4:$G$37,0)),""),IFERROR(INDEX(Map_Tables!$B$4:$B$18,MATCH(TRIM(F2586),Map_Tables!$A$4:$A$18,0)),"CHECK"))</f>
        <v>Bengaluru</v>
      </c>
      <c r="AE2586" s="7" t="str">
        <f aca="false">IF(TRIM(E2586)="","",IFERROR(INDEX(Map_Tables!$H$4:$H$37,MATCH(TRIM(E2586),Map_Tables!$G$4:$G$37,0)),"CHECK"))</f>
        <v>Nawabi Biryani House</v>
      </c>
      <c r="AF2586" s="7" t="str">
        <f aca="false">IF(TRIM(K2586)="","Unknown",IFERROR(INDEX(Map_Tables!$E$4:$E$15,MATCH(TRIM(K2586),Map_Tables!$D$4:$D$15,0)),"CHECK"))</f>
        <v>UPI</v>
      </c>
      <c r="AG2586" s="7" t="str">
        <f aca="false">IF(LEFT(LOWER(TRIM(L2586)),6)="cancel","Cancelled","Delivered")</f>
        <v>Cancelled</v>
      </c>
      <c r="AH2586" s="10" t="n">
        <f aca="false">IF(ISNUMBER(SEARCH("/",B2586)),DATE(VALUE(RIGHT(B2586,4)),VALUE(MID(B2586,4,2)),VALUE(LEFT(B2586,2))),IF(MID(B2586,5,1)="-",DATE(VALUE(LEFT(B2586,4)),VALUE(MID(B2586,6,2)),VALUE(RIGHT(B2586,2))),DATE(VALUE(RIGHT(B2586,4)),MATCH(MID(B2586,4,3),{"Jan","Feb","Mar","Apr","May","Jun","Jul","Aug","Sep","Oct","Nov","Dec"},0),VALUE(LEFT(B2586,2)))))</f>
        <v>45981</v>
      </c>
    </row>
    <row r="2587" customFormat="false" ht="15" hidden="false" customHeight="false" outlineLevel="0" collapsed="false">
      <c r="A2587" s="7" t="s">
        <v>5577</v>
      </c>
      <c r="B2587" s="7" t="s">
        <v>835</v>
      </c>
      <c r="C2587" s="7" t="s">
        <v>1313</v>
      </c>
      <c r="D2587" s="7" t="s">
        <v>479</v>
      </c>
      <c r="E2587" s="7" t="s">
        <v>113</v>
      </c>
      <c r="F2587" s="7" t="s">
        <v>101</v>
      </c>
      <c r="G2587" s="7" t="s">
        <v>90</v>
      </c>
      <c r="H2587" s="7" t="n">
        <v>3</v>
      </c>
      <c r="I2587" s="7" t="n">
        <v>275</v>
      </c>
      <c r="J2587" s="7" t="n">
        <v>50</v>
      </c>
      <c r="K2587" s="7" t="s">
        <v>88</v>
      </c>
      <c r="L2587" s="7" t="s">
        <v>194</v>
      </c>
      <c r="M2587" s="7" t="n">
        <v>34</v>
      </c>
      <c r="N2587" s="7"/>
      <c r="O2587" s="7" t="str">
        <f aca="false">A2587&amp;"|"&amp;B2587&amp;"|"&amp;C2587&amp;"|"&amp;D2587&amp;"|"&amp;E2587&amp;"|"&amp;F2587&amp;"|"&amp;G2587&amp;"|"&amp;H2587&amp;"|"&amp;I2587&amp;"|"&amp;J2587&amp;"|"&amp;K2587&amp;"|"&amp;L2587&amp;"|"&amp;M2587&amp;"|"&amp;N2587</f>
        <v>ORD12970|2025-12-28|20:52|C0989|Curry Leaf Kitchen|Mumbai|North Indian|3|275|50|UPI|Delivered|34|</v>
      </c>
      <c r="P2587" s="7" t="str">
        <f aca="false">IF(COUNTIF($O$2:O2587,O2587)&gt;1,"DUP","OK")</f>
        <v>OK</v>
      </c>
      <c r="Q2587" s="7" t="n">
        <f aca="false">COUNTBLANK(A2587:N2587)</f>
        <v>1</v>
      </c>
      <c r="R2587" s="7" t="n">
        <f aca="false">IF(A2587="",0,COUNTIFS($A$2:$A$3058,A2587,$P$2:$P$3058,"OK"))</f>
        <v>1</v>
      </c>
      <c r="S2587" s="7" t="str">
        <f aca="false">IF(OR(A2587="",P2587="DUP",R2587&lt;2),"",IF(Q2587=_xlfn.MINIFS($Q$2:$Q$3058,$A$2:$A$3058,A2587,$P$2:$P$3058,"OK"),"KEEP","DROP"))</f>
        <v/>
      </c>
      <c r="T2587" s="9" t="n">
        <f aca="false">IF(A2587="",1,0)</f>
        <v>0</v>
      </c>
      <c r="U2587" s="9" t="n">
        <f aca="false">IF(D2587="",1,0)</f>
        <v>0</v>
      </c>
      <c r="V2587" s="9" t="n">
        <f aca="false">IF(E2587="",1,0)</f>
        <v>0</v>
      </c>
      <c r="W2587" s="9" t="n">
        <f aca="false">IF(OR(H2587&lt;1,H2587&gt;10),1,0)</f>
        <v>0</v>
      </c>
      <c r="X2587" s="9" t="n">
        <f aca="false">IF(OR(I2587&lt;=0,I2587&gt;1500),1,0)</f>
        <v>0</v>
      </c>
      <c r="Y2587" s="9" t="n">
        <f aca="false">IF(J2587&gt;H2587*I2587,1,0)</f>
        <v>0</v>
      </c>
      <c r="Z2587" s="9" t="n">
        <f aca="false">IF(AND(N2587&lt;&gt;"",OR(N2587&lt;1,N2587&gt;5)),1,0)</f>
        <v>0</v>
      </c>
      <c r="AA2587" s="9" t="n">
        <f aca="false">IF(AND(M2587&lt;&gt;"",OR(M2587&lt;5,M2587&gt;180)),1,0)</f>
        <v>0</v>
      </c>
      <c r="AB2587" s="7" t="str">
        <f aca="false">IF(P2587="DUP","Exact duplicate row",IF(T2587=1,"Missing Order ID",IF(S2587="DROP","Duplicate Order ID (less complete row)",IF(U2587=1,"Missing Customer ID",IF(V2587=1,"Missing Restaurant name",IF(W2587=1,"Invalid/outlier quantity",IF(X2587=1,"Invalid/outlier unit price",IF(Y2587=1,"Discount greater than order value",""))))))))</f>
        <v/>
      </c>
      <c r="AC2587" s="7" t="str">
        <f aca="false">IF(AB2587="","KEEP","DROP")</f>
        <v>KEEP</v>
      </c>
      <c r="AD2587" s="7" t="str">
        <f aca="false">IF(TRIM(F2587)="",IFERROR(INDEX(Map_Tables!$I$4:$I$37,MATCH(TRIM(E2587),Map_Tables!$G$4:$G$37,0)),""),IFERROR(INDEX(Map_Tables!$B$4:$B$18,MATCH(TRIM(F2587),Map_Tables!$A$4:$A$18,0)),"CHECK"))</f>
        <v>Mumbai</v>
      </c>
      <c r="AE2587" s="7" t="str">
        <f aca="false">IF(TRIM(E2587)="","",IFERROR(INDEX(Map_Tables!$H$4:$H$37,MATCH(TRIM(E2587),Map_Tables!$G$4:$G$37,0)),"CHECK"))</f>
        <v>Curry Leaf Kitchen</v>
      </c>
      <c r="AF2587" s="7" t="str">
        <f aca="false">IF(TRIM(K2587)="","Unknown",IFERROR(INDEX(Map_Tables!$E$4:$E$15,MATCH(TRIM(K2587),Map_Tables!$D$4:$D$15,0)),"CHECK"))</f>
        <v>UPI</v>
      </c>
      <c r="AG2587" s="7" t="str">
        <f aca="false">IF(LEFT(LOWER(TRIM(L2587)),6)="cancel","Cancelled","Delivered")</f>
        <v>Delivered</v>
      </c>
      <c r="AH2587" s="10" t="n">
        <f aca="false">IF(ISNUMBER(SEARCH("/",B2587)),DATE(VALUE(RIGHT(B2587,4)),VALUE(MID(B2587,4,2)),VALUE(LEFT(B2587,2))),IF(MID(B2587,5,1)="-",DATE(VALUE(LEFT(B2587,4)),VALUE(MID(B2587,6,2)),VALUE(RIGHT(B2587,2))),DATE(VALUE(RIGHT(B2587,4)),MATCH(MID(B2587,4,3),{"Jan","Feb","Mar","Apr","May","Jun","Jul","Aug","Sep","Oct","Nov","Dec"},0),VALUE(LEFT(B2587,2)))))</f>
        <v>46019</v>
      </c>
    </row>
    <row r="2588" customFormat="false" ht="15" hidden="false" customHeight="false" outlineLevel="0" collapsed="false">
      <c r="A2588" s="7" t="s">
        <v>5578</v>
      </c>
      <c r="B2588" s="7" t="s">
        <v>723</v>
      </c>
      <c r="C2588" s="7" t="s">
        <v>258</v>
      </c>
      <c r="D2588" s="7" t="s">
        <v>2849</v>
      </c>
      <c r="E2588" s="7" t="s">
        <v>130</v>
      </c>
      <c r="F2588" s="7" t="s">
        <v>110</v>
      </c>
      <c r="G2588" s="7" t="s">
        <v>90</v>
      </c>
      <c r="H2588" s="7" t="n">
        <v>2</v>
      </c>
      <c r="I2588" s="7" t="n">
        <v>230</v>
      </c>
      <c r="J2588" s="7" t="n">
        <v>0</v>
      </c>
      <c r="K2588" s="7" t="s">
        <v>88</v>
      </c>
      <c r="L2588" s="7" t="s">
        <v>238</v>
      </c>
      <c r="M2588" s="7"/>
      <c r="N2588" s="7"/>
      <c r="O2588" s="7" t="str">
        <f aca="false">A2588&amp;"|"&amp;B2588&amp;"|"&amp;C2588&amp;"|"&amp;D2588&amp;"|"&amp;E2588&amp;"|"&amp;F2588&amp;"|"&amp;G2588&amp;"|"&amp;H2588&amp;"|"&amp;I2588&amp;"|"&amp;J2588&amp;"|"&amp;K2588&amp;"|"&amp;L2588&amp;"|"&amp;M2588&amp;"|"&amp;N2588</f>
        <v>ORD10615|2025-03-18|20:24|C1198|Tandoor Tales|Delhi|North Indian|2|230|0|UPI|Cancelled||</v>
      </c>
      <c r="P2588" s="7" t="str">
        <f aca="false">IF(COUNTIF($O$2:O2588,O2588)&gt;1,"DUP","OK")</f>
        <v>OK</v>
      </c>
      <c r="Q2588" s="7" t="n">
        <f aca="false">COUNTBLANK(A2588:N2588)</f>
        <v>2</v>
      </c>
      <c r="R2588" s="7" t="n">
        <f aca="false">IF(A2588="",0,COUNTIFS($A$2:$A$3058,A2588,$P$2:$P$3058,"OK"))</f>
        <v>1</v>
      </c>
      <c r="S2588" s="7" t="str">
        <f aca="false">IF(OR(A2588="",P2588="DUP",R2588&lt;2),"",IF(Q2588=_xlfn.MINIFS($Q$2:$Q$3058,$A$2:$A$3058,A2588,$P$2:$P$3058,"OK"),"KEEP","DROP"))</f>
        <v/>
      </c>
      <c r="T2588" s="9" t="n">
        <f aca="false">IF(A2588="",1,0)</f>
        <v>0</v>
      </c>
      <c r="U2588" s="9" t="n">
        <f aca="false">IF(D2588="",1,0)</f>
        <v>0</v>
      </c>
      <c r="V2588" s="9" t="n">
        <f aca="false">IF(E2588="",1,0)</f>
        <v>0</v>
      </c>
      <c r="W2588" s="9" t="n">
        <f aca="false">IF(OR(H2588&lt;1,H2588&gt;10),1,0)</f>
        <v>0</v>
      </c>
      <c r="X2588" s="9" t="n">
        <f aca="false">IF(OR(I2588&lt;=0,I2588&gt;1500),1,0)</f>
        <v>0</v>
      </c>
      <c r="Y2588" s="9" t="n">
        <f aca="false">IF(J2588&gt;H2588*I2588,1,0)</f>
        <v>0</v>
      </c>
      <c r="Z2588" s="9" t="n">
        <f aca="false">IF(AND(N2588&lt;&gt;"",OR(N2588&lt;1,N2588&gt;5)),1,0)</f>
        <v>0</v>
      </c>
      <c r="AA2588" s="9" t="n">
        <f aca="false">IF(AND(M2588&lt;&gt;"",OR(M2588&lt;5,M2588&gt;180)),1,0)</f>
        <v>0</v>
      </c>
      <c r="AB2588" s="7" t="str">
        <f aca="false">IF(P2588="DUP","Exact duplicate row",IF(T2588=1,"Missing Order ID",IF(S2588="DROP","Duplicate Order ID (less complete row)",IF(U2588=1,"Missing Customer ID",IF(V2588=1,"Missing Restaurant name",IF(W2588=1,"Invalid/outlier quantity",IF(X2588=1,"Invalid/outlier unit price",IF(Y2588=1,"Discount greater than order value",""))))))))</f>
        <v/>
      </c>
      <c r="AC2588" s="7" t="str">
        <f aca="false">IF(AB2588="","KEEP","DROP")</f>
        <v>KEEP</v>
      </c>
      <c r="AD2588" s="7" t="str">
        <f aca="false">IF(TRIM(F2588)="",IFERROR(INDEX(Map_Tables!$I$4:$I$37,MATCH(TRIM(E2588),Map_Tables!$G$4:$G$37,0)),""),IFERROR(INDEX(Map_Tables!$B$4:$B$18,MATCH(TRIM(F2588),Map_Tables!$A$4:$A$18,0)),"CHECK"))</f>
        <v>Delhi</v>
      </c>
      <c r="AE2588" s="7" t="str">
        <f aca="false">IF(TRIM(E2588)="","",IFERROR(INDEX(Map_Tables!$H$4:$H$37,MATCH(TRIM(E2588),Map_Tables!$G$4:$G$37,0)),"CHECK"))</f>
        <v>Tandoor Tales</v>
      </c>
      <c r="AF2588" s="7" t="str">
        <f aca="false">IF(TRIM(K2588)="","Unknown",IFERROR(INDEX(Map_Tables!$E$4:$E$15,MATCH(TRIM(K2588),Map_Tables!$D$4:$D$15,0)),"CHECK"))</f>
        <v>UPI</v>
      </c>
      <c r="AG2588" s="7" t="str">
        <f aca="false">IF(LEFT(LOWER(TRIM(L2588)),6)="cancel","Cancelled","Delivered")</f>
        <v>Cancelled</v>
      </c>
      <c r="AH2588" s="10" t="n">
        <f aca="false">IF(ISNUMBER(SEARCH("/",B2588)),DATE(VALUE(RIGHT(B2588,4)),VALUE(MID(B2588,4,2)),VALUE(LEFT(B2588,2))),IF(MID(B2588,5,1)="-",DATE(VALUE(LEFT(B2588,4)),VALUE(MID(B2588,6,2)),VALUE(RIGHT(B2588,2))),DATE(VALUE(RIGHT(B2588,4)),MATCH(MID(B2588,4,3),{"Jan","Feb","Mar","Apr","May","Jun","Jul","Aug","Sep","Oct","Nov","Dec"},0),VALUE(LEFT(B2588,2)))))</f>
        <v>45734</v>
      </c>
    </row>
    <row r="2589" customFormat="false" ht="15" hidden="false" customHeight="false" outlineLevel="0" collapsed="false">
      <c r="A2589" s="7" t="s">
        <v>5579</v>
      </c>
      <c r="B2589" s="7" t="s">
        <v>1951</v>
      </c>
      <c r="C2589" s="7" t="s">
        <v>2410</v>
      </c>
      <c r="D2589" s="7" t="s">
        <v>3761</v>
      </c>
      <c r="E2589" s="7" t="s">
        <v>134</v>
      </c>
      <c r="F2589" s="7" t="s">
        <v>110</v>
      </c>
      <c r="G2589" s="7" t="s">
        <v>117</v>
      </c>
      <c r="H2589" s="7" t="n">
        <v>1</v>
      </c>
      <c r="I2589" s="7" t="n">
        <v>110</v>
      </c>
      <c r="J2589" s="7" t="n">
        <v>0</v>
      </c>
      <c r="K2589" s="7" t="s">
        <v>526</v>
      </c>
      <c r="L2589" s="7" t="s">
        <v>194</v>
      </c>
      <c r="M2589" s="7" t="n">
        <v>54</v>
      </c>
      <c r="N2589" s="7"/>
      <c r="O2589" s="7" t="str">
        <f aca="false">A2589&amp;"|"&amp;B2589&amp;"|"&amp;C2589&amp;"|"&amp;D2589&amp;"|"&amp;E2589&amp;"|"&amp;F2589&amp;"|"&amp;G2589&amp;"|"&amp;H2589&amp;"|"&amp;I2589&amp;"|"&amp;J2589&amp;"|"&amp;K2589&amp;"|"&amp;L2589&amp;"|"&amp;M2589&amp;"|"&amp;N2589</f>
        <v>ORD11015|2025-05-09|12:50|C0448|Chaat Corner|Delhi|Street Food|1|110|0|DC|Delivered|54|</v>
      </c>
      <c r="P2589" s="7" t="str">
        <f aca="false">IF(COUNTIF($O$2:O2589,O2589)&gt;1,"DUP","OK")</f>
        <v>OK</v>
      </c>
      <c r="Q2589" s="7" t="n">
        <f aca="false">COUNTBLANK(A2589:N2589)</f>
        <v>1</v>
      </c>
      <c r="R2589" s="7" t="n">
        <f aca="false">IF(A2589="",0,COUNTIFS($A$2:$A$3058,A2589,$P$2:$P$3058,"OK"))</f>
        <v>1</v>
      </c>
      <c r="S2589" s="7" t="str">
        <f aca="false">IF(OR(A2589="",P2589="DUP",R2589&lt;2),"",IF(Q2589=_xlfn.MINIFS($Q$2:$Q$3058,$A$2:$A$3058,A2589,$P$2:$P$3058,"OK"),"KEEP","DROP"))</f>
        <v/>
      </c>
      <c r="T2589" s="9" t="n">
        <f aca="false">IF(A2589="",1,0)</f>
        <v>0</v>
      </c>
      <c r="U2589" s="9" t="n">
        <f aca="false">IF(D2589="",1,0)</f>
        <v>0</v>
      </c>
      <c r="V2589" s="9" t="n">
        <f aca="false">IF(E2589="",1,0)</f>
        <v>0</v>
      </c>
      <c r="W2589" s="9" t="n">
        <f aca="false">IF(OR(H2589&lt;1,H2589&gt;10),1,0)</f>
        <v>0</v>
      </c>
      <c r="X2589" s="9" t="n">
        <f aca="false">IF(OR(I2589&lt;=0,I2589&gt;1500),1,0)</f>
        <v>0</v>
      </c>
      <c r="Y2589" s="9" t="n">
        <f aca="false">IF(J2589&gt;H2589*I2589,1,0)</f>
        <v>0</v>
      </c>
      <c r="Z2589" s="9" t="n">
        <f aca="false">IF(AND(N2589&lt;&gt;"",OR(N2589&lt;1,N2589&gt;5)),1,0)</f>
        <v>0</v>
      </c>
      <c r="AA2589" s="9" t="n">
        <f aca="false">IF(AND(M2589&lt;&gt;"",OR(M2589&lt;5,M2589&gt;180)),1,0)</f>
        <v>0</v>
      </c>
      <c r="AB2589" s="7" t="str">
        <f aca="false">IF(P2589="DUP","Exact duplicate row",IF(T2589=1,"Missing Order ID",IF(S2589="DROP","Duplicate Order ID (less complete row)",IF(U2589=1,"Missing Customer ID",IF(V2589=1,"Missing Restaurant name",IF(W2589=1,"Invalid/outlier quantity",IF(X2589=1,"Invalid/outlier unit price",IF(Y2589=1,"Discount greater than order value",""))))))))</f>
        <v/>
      </c>
      <c r="AC2589" s="7" t="str">
        <f aca="false">IF(AB2589="","KEEP","DROP")</f>
        <v>KEEP</v>
      </c>
      <c r="AD2589" s="7" t="str">
        <f aca="false">IF(TRIM(F2589)="",IFERROR(INDEX(Map_Tables!$I$4:$I$37,MATCH(TRIM(E2589),Map_Tables!$G$4:$G$37,0)),""),IFERROR(INDEX(Map_Tables!$B$4:$B$18,MATCH(TRIM(F2589),Map_Tables!$A$4:$A$18,0)),"CHECK"))</f>
        <v>Delhi</v>
      </c>
      <c r="AE2589" s="7" t="str">
        <f aca="false">IF(TRIM(E2589)="","",IFERROR(INDEX(Map_Tables!$H$4:$H$37,MATCH(TRIM(E2589),Map_Tables!$G$4:$G$37,0)),"CHECK"))</f>
        <v>Chaat Corner</v>
      </c>
      <c r="AF2589" s="7" t="str">
        <f aca="false">IF(TRIM(K2589)="","Unknown",IFERROR(INDEX(Map_Tables!$E$4:$E$15,MATCH(TRIM(K2589),Map_Tables!$D$4:$D$15,0)),"CHECK"))</f>
        <v>Debit Card</v>
      </c>
      <c r="AG2589" s="7" t="str">
        <f aca="false">IF(LEFT(LOWER(TRIM(L2589)),6)="cancel","Cancelled","Delivered")</f>
        <v>Delivered</v>
      </c>
      <c r="AH2589" s="10" t="n">
        <f aca="false">IF(ISNUMBER(SEARCH("/",B2589)),DATE(VALUE(RIGHT(B2589,4)),VALUE(MID(B2589,4,2)),VALUE(LEFT(B2589,2))),IF(MID(B2589,5,1)="-",DATE(VALUE(LEFT(B2589,4)),VALUE(MID(B2589,6,2)),VALUE(RIGHT(B2589,2))),DATE(VALUE(RIGHT(B2589,4)),MATCH(MID(B2589,4,3),{"Jan","Feb","Mar","Apr","May","Jun","Jul","Aug","Sep","Oct","Nov","Dec"},0),VALUE(LEFT(B2589,2)))))</f>
        <v>45786</v>
      </c>
    </row>
    <row r="2590" customFormat="false" ht="15" hidden="false" customHeight="false" outlineLevel="0" collapsed="false">
      <c r="A2590" s="7" t="s">
        <v>5580</v>
      </c>
      <c r="B2590" s="7" t="s">
        <v>719</v>
      </c>
      <c r="C2590" s="7" t="s">
        <v>2205</v>
      </c>
      <c r="D2590" s="7" t="s">
        <v>192</v>
      </c>
      <c r="E2590" s="7" t="s">
        <v>167</v>
      </c>
      <c r="F2590" s="7" t="s">
        <v>146</v>
      </c>
      <c r="G2590" s="7" t="s">
        <v>156</v>
      </c>
      <c r="H2590" s="7" t="n">
        <v>2</v>
      </c>
      <c r="I2590" s="7" t="n">
        <v>240</v>
      </c>
      <c r="J2590" s="7" t="n">
        <v>50</v>
      </c>
      <c r="K2590" s="7" t="s">
        <v>93</v>
      </c>
      <c r="L2590" s="7" t="s">
        <v>194</v>
      </c>
      <c r="M2590" s="7" t="n">
        <v>39</v>
      </c>
      <c r="N2590" s="7" t="n">
        <v>4</v>
      </c>
      <c r="O2590" s="7" t="str">
        <f aca="false">A2590&amp;"|"&amp;B2590&amp;"|"&amp;C2590&amp;"|"&amp;D2590&amp;"|"&amp;E2590&amp;"|"&amp;F2590&amp;"|"&amp;G2590&amp;"|"&amp;H2590&amp;"|"&amp;I2590&amp;"|"&amp;J2590&amp;"|"&amp;K2590&amp;"|"&amp;L2590&amp;"|"&amp;M2590&amp;"|"&amp;N2590</f>
        <v>ORD12138|01/10/2025|19:08|C0623|Fit Fuel Kitchen|Ahmedabad|Healthy Food|2|240|50|Credit Card|Delivered|39|4</v>
      </c>
      <c r="P2590" s="7" t="str">
        <f aca="false">IF(COUNTIF($O$2:O2590,O2590)&gt;1,"DUP","OK")</f>
        <v>OK</v>
      </c>
      <c r="Q2590" s="7" t="n">
        <f aca="false">COUNTBLANK(A2590:N2590)</f>
        <v>0</v>
      </c>
      <c r="R2590" s="7" t="n">
        <f aca="false">IF(A2590="",0,COUNTIFS($A$2:$A$3058,A2590,$P$2:$P$3058,"OK"))</f>
        <v>1</v>
      </c>
      <c r="S2590" s="7" t="str">
        <f aca="false">IF(OR(A2590="",P2590="DUP",R2590&lt;2),"",IF(Q2590=_xlfn.MINIFS($Q$2:$Q$3058,$A$2:$A$3058,A2590,$P$2:$P$3058,"OK"),"KEEP","DROP"))</f>
        <v/>
      </c>
      <c r="T2590" s="9" t="n">
        <f aca="false">IF(A2590="",1,0)</f>
        <v>0</v>
      </c>
      <c r="U2590" s="9" t="n">
        <f aca="false">IF(D2590="",1,0)</f>
        <v>0</v>
      </c>
      <c r="V2590" s="9" t="n">
        <f aca="false">IF(E2590="",1,0)</f>
        <v>0</v>
      </c>
      <c r="W2590" s="9" t="n">
        <f aca="false">IF(OR(H2590&lt;1,H2590&gt;10),1,0)</f>
        <v>0</v>
      </c>
      <c r="X2590" s="9" t="n">
        <f aca="false">IF(OR(I2590&lt;=0,I2590&gt;1500),1,0)</f>
        <v>0</v>
      </c>
      <c r="Y2590" s="9" t="n">
        <f aca="false">IF(J2590&gt;H2590*I2590,1,0)</f>
        <v>0</v>
      </c>
      <c r="Z2590" s="9" t="n">
        <f aca="false">IF(AND(N2590&lt;&gt;"",OR(N2590&lt;1,N2590&gt;5)),1,0)</f>
        <v>0</v>
      </c>
      <c r="AA2590" s="9" t="n">
        <f aca="false">IF(AND(M2590&lt;&gt;"",OR(M2590&lt;5,M2590&gt;180)),1,0)</f>
        <v>0</v>
      </c>
      <c r="AB2590" s="7" t="str">
        <f aca="false">IF(P2590="DUP","Exact duplicate row",IF(T2590=1,"Missing Order ID",IF(S2590="DROP","Duplicate Order ID (less complete row)",IF(U2590=1,"Missing Customer ID",IF(V2590=1,"Missing Restaurant name",IF(W2590=1,"Invalid/outlier quantity",IF(X2590=1,"Invalid/outlier unit price",IF(Y2590=1,"Discount greater than order value",""))))))))</f>
        <v/>
      </c>
      <c r="AC2590" s="7" t="str">
        <f aca="false">IF(AB2590="","KEEP","DROP")</f>
        <v>KEEP</v>
      </c>
      <c r="AD2590" s="7" t="str">
        <f aca="false">IF(TRIM(F2590)="",IFERROR(INDEX(Map_Tables!$I$4:$I$37,MATCH(TRIM(E2590),Map_Tables!$G$4:$G$37,0)),""),IFERROR(INDEX(Map_Tables!$B$4:$B$18,MATCH(TRIM(F2590),Map_Tables!$A$4:$A$18,0)),"CHECK"))</f>
        <v>Ahmedabad</v>
      </c>
      <c r="AE2590" s="7" t="str">
        <f aca="false">IF(TRIM(E2590)="","",IFERROR(INDEX(Map_Tables!$H$4:$H$37,MATCH(TRIM(E2590),Map_Tables!$G$4:$G$37,0)),"CHECK"))</f>
        <v>Fit Fuel Kitchen</v>
      </c>
      <c r="AF2590" s="7" t="str">
        <f aca="false">IF(TRIM(K2590)="","Unknown",IFERROR(INDEX(Map_Tables!$E$4:$E$15,MATCH(TRIM(K2590),Map_Tables!$D$4:$D$15,0)),"CHECK"))</f>
        <v>Credit Card</v>
      </c>
      <c r="AG2590" s="7" t="str">
        <f aca="false">IF(LEFT(LOWER(TRIM(L2590)),6)="cancel","Cancelled","Delivered")</f>
        <v>Delivered</v>
      </c>
      <c r="AH2590" s="10" t="n">
        <f aca="false">IF(ISNUMBER(SEARCH("/",B2590)),DATE(VALUE(RIGHT(B2590,4)),VALUE(MID(B2590,4,2)),VALUE(LEFT(B2590,2))),IF(MID(B2590,5,1)="-",DATE(VALUE(LEFT(B2590,4)),VALUE(MID(B2590,6,2)),VALUE(RIGHT(B2590,2))),DATE(VALUE(RIGHT(B2590,4)),MATCH(MID(B2590,4,3),{"Jan","Feb","Mar","Apr","May","Jun","Jul","Aug","Sep","Oct","Nov","Dec"},0),VALUE(LEFT(B2590,2)))))</f>
        <v>45931</v>
      </c>
    </row>
    <row r="2591" customFormat="false" ht="15" hidden="false" customHeight="false" outlineLevel="0" collapsed="false">
      <c r="A2591" s="7" t="s">
        <v>5581</v>
      </c>
      <c r="B2591" s="7" t="s">
        <v>222</v>
      </c>
      <c r="C2591" s="7" t="s">
        <v>5582</v>
      </c>
      <c r="D2591" s="7" t="s">
        <v>5583</v>
      </c>
      <c r="E2591" s="7" t="s">
        <v>104</v>
      </c>
      <c r="F2591" s="7" t="s">
        <v>785</v>
      </c>
      <c r="G2591" s="7" t="s">
        <v>105</v>
      </c>
      <c r="H2591" s="7" t="n">
        <v>2</v>
      </c>
      <c r="I2591" s="7" t="n">
        <v>165</v>
      </c>
      <c r="J2591" s="7" t="n">
        <v>0</v>
      </c>
      <c r="K2591" s="7" t="s">
        <v>121</v>
      </c>
      <c r="L2591" s="7" t="s">
        <v>194</v>
      </c>
      <c r="M2591" s="7" t="n">
        <v>37</v>
      </c>
      <c r="N2591" s="7" t="n">
        <v>4</v>
      </c>
      <c r="O2591" s="7" t="str">
        <f aca="false">A2591&amp;"|"&amp;B2591&amp;"|"&amp;C2591&amp;"|"&amp;D2591&amp;"|"&amp;E2591&amp;"|"&amp;F2591&amp;"|"&amp;G2591&amp;"|"&amp;H2591&amp;"|"&amp;I2591&amp;"|"&amp;J2591&amp;"|"&amp;K2591&amp;"|"&amp;L2591&amp;"|"&amp;M2591&amp;"|"&amp;N2591</f>
        <v>ORD12791|2025-12-07|17:32|C0347|Wok &amp; Roll|Bengaluru |Chinese|2|165|0|Wallet|Delivered|37|4</v>
      </c>
      <c r="P2591" s="7" t="str">
        <f aca="false">IF(COUNTIF($O$2:O2591,O2591)&gt;1,"DUP","OK")</f>
        <v>OK</v>
      </c>
      <c r="Q2591" s="7" t="n">
        <f aca="false">COUNTBLANK(A2591:N2591)</f>
        <v>0</v>
      </c>
      <c r="R2591" s="7" t="n">
        <f aca="false">IF(A2591="",0,COUNTIFS($A$2:$A$3058,A2591,$P$2:$P$3058,"OK"))</f>
        <v>1</v>
      </c>
      <c r="S2591" s="7" t="str">
        <f aca="false">IF(OR(A2591="",P2591="DUP",R2591&lt;2),"",IF(Q2591=_xlfn.MINIFS($Q$2:$Q$3058,$A$2:$A$3058,A2591,$P$2:$P$3058,"OK"),"KEEP","DROP"))</f>
        <v/>
      </c>
      <c r="T2591" s="9" t="n">
        <f aca="false">IF(A2591="",1,0)</f>
        <v>0</v>
      </c>
      <c r="U2591" s="9" t="n">
        <f aca="false">IF(D2591="",1,0)</f>
        <v>0</v>
      </c>
      <c r="V2591" s="9" t="n">
        <f aca="false">IF(E2591="",1,0)</f>
        <v>0</v>
      </c>
      <c r="W2591" s="9" t="n">
        <f aca="false">IF(OR(H2591&lt;1,H2591&gt;10),1,0)</f>
        <v>0</v>
      </c>
      <c r="X2591" s="9" t="n">
        <f aca="false">IF(OR(I2591&lt;=0,I2591&gt;1500),1,0)</f>
        <v>0</v>
      </c>
      <c r="Y2591" s="9" t="n">
        <f aca="false">IF(J2591&gt;H2591*I2591,1,0)</f>
        <v>0</v>
      </c>
      <c r="Z2591" s="9" t="n">
        <f aca="false">IF(AND(N2591&lt;&gt;"",OR(N2591&lt;1,N2591&gt;5)),1,0)</f>
        <v>0</v>
      </c>
      <c r="AA2591" s="9" t="n">
        <f aca="false">IF(AND(M2591&lt;&gt;"",OR(M2591&lt;5,M2591&gt;180)),1,0)</f>
        <v>0</v>
      </c>
      <c r="AB2591" s="7" t="str">
        <f aca="false">IF(P2591="DUP","Exact duplicate row",IF(T2591=1,"Missing Order ID",IF(S2591="DROP","Duplicate Order ID (less complete row)",IF(U2591=1,"Missing Customer ID",IF(V2591=1,"Missing Restaurant name",IF(W2591=1,"Invalid/outlier quantity",IF(X2591=1,"Invalid/outlier unit price",IF(Y2591=1,"Discount greater than order value",""))))))))</f>
        <v/>
      </c>
      <c r="AC2591" s="7" t="str">
        <f aca="false">IF(AB2591="","KEEP","DROP")</f>
        <v>KEEP</v>
      </c>
      <c r="AD2591" s="7" t="str">
        <f aca="false">IF(TRIM(F2591)="",IFERROR(INDEX(Map_Tables!$I$4:$I$37,MATCH(TRIM(E2591),Map_Tables!$G$4:$G$37,0)),""),IFERROR(INDEX(Map_Tables!$B$4:$B$18,MATCH(TRIM(F2591),Map_Tables!$A$4:$A$18,0)),"CHECK"))</f>
        <v>Bengaluru</v>
      </c>
      <c r="AE2591" s="7" t="str">
        <f aca="false">IF(TRIM(E2591)="","",IFERROR(INDEX(Map_Tables!$H$4:$H$37,MATCH(TRIM(E2591),Map_Tables!$G$4:$G$37,0)),"CHECK"))</f>
        <v>Wok &amp; Roll</v>
      </c>
      <c r="AF2591" s="7" t="str">
        <f aca="false">IF(TRIM(K2591)="","Unknown",IFERROR(INDEX(Map_Tables!$E$4:$E$15,MATCH(TRIM(K2591),Map_Tables!$D$4:$D$15,0)),"CHECK"))</f>
        <v>Wallet</v>
      </c>
      <c r="AG2591" s="7" t="str">
        <f aca="false">IF(LEFT(LOWER(TRIM(L2591)),6)="cancel","Cancelled","Delivered")</f>
        <v>Delivered</v>
      </c>
      <c r="AH2591" s="10" t="n">
        <f aca="false">IF(ISNUMBER(SEARCH("/",B2591)),DATE(VALUE(RIGHT(B2591,4)),VALUE(MID(B2591,4,2)),VALUE(LEFT(B2591,2))),IF(MID(B2591,5,1)="-",DATE(VALUE(LEFT(B2591,4)),VALUE(MID(B2591,6,2)),VALUE(RIGHT(B2591,2))),DATE(VALUE(RIGHT(B2591,4)),MATCH(MID(B2591,4,3),{"Jan","Feb","Mar","Apr","May","Jun","Jul","Aug","Sep","Oct","Nov","Dec"},0),VALUE(LEFT(B2591,2)))))</f>
        <v>45998</v>
      </c>
    </row>
    <row r="2592" customFormat="false" ht="15" hidden="false" customHeight="false" outlineLevel="0" collapsed="false">
      <c r="A2592" s="7" t="s">
        <v>5584</v>
      </c>
      <c r="B2592" s="7" t="s">
        <v>390</v>
      </c>
      <c r="C2592" s="7" t="s">
        <v>258</v>
      </c>
      <c r="D2592" s="7" t="s">
        <v>250</v>
      </c>
      <c r="E2592" s="7" t="s">
        <v>134</v>
      </c>
      <c r="F2592" s="7" t="s">
        <v>110</v>
      </c>
      <c r="G2592" s="7" t="s">
        <v>117</v>
      </c>
      <c r="H2592" s="7" t="n">
        <v>2</v>
      </c>
      <c r="I2592" s="7" t="n">
        <v>115</v>
      </c>
      <c r="J2592" s="7" t="n">
        <v>0</v>
      </c>
      <c r="K2592" s="7" t="s">
        <v>88</v>
      </c>
      <c r="L2592" s="7" t="s">
        <v>194</v>
      </c>
      <c r="M2592" s="7" t="n">
        <v>38</v>
      </c>
      <c r="N2592" s="7" t="n">
        <v>5</v>
      </c>
      <c r="O2592" s="7" t="str">
        <f aca="false">A2592&amp;"|"&amp;B2592&amp;"|"&amp;C2592&amp;"|"&amp;D2592&amp;"|"&amp;E2592&amp;"|"&amp;F2592&amp;"|"&amp;G2592&amp;"|"&amp;H2592&amp;"|"&amp;I2592&amp;"|"&amp;J2592&amp;"|"&amp;K2592&amp;"|"&amp;L2592&amp;"|"&amp;M2592&amp;"|"&amp;N2592</f>
        <v>ORD11238|2025-06-06|20:24|C0969|Chaat Corner|Delhi|Street Food|2|115|0|UPI|Delivered|38|5</v>
      </c>
      <c r="P2592" s="7" t="str">
        <f aca="false">IF(COUNTIF($O$2:O2592,O2592)&gt;1,"DUP","OK")</f>
        <v>OK</v>
      </c>
      <c r="Q2592" s="7" t="n">
        <f aca="false">COUNTBLANK(A2592:N2592)</f>
        <v>0</v>
      </c>
      <c r="R2592" s="7" t="n">
        <f aca="false">IF(A2592="",0,COUNTIFS($A$2:$A$3058,A2592,$P$2:$P$3058,"OK"))</f>
        <v>1</v>
      </c>
      <c r="S2592" s="7" t="str">
        <f aca="false">IF(OR(A2592="",P2592="DUP",R2592&lt;2),"",IF(Q2592=_xlfn.MINIFS($Q$2:$Q$3058,$A$2:$A$3058,A2592,$P$2:$P$3058,"OK"),"KEEP","DROP"))</f>
        <v/>
      </c>
      <c r="T2592" s="9" t="n">
        <f aca="false">IF(A2592="",1,0)</f>
        <v>0</v>
      </c>
      <c r="U2592" s="9" t="n">
        <f aca="false">IF(D2592="",1,0)</f>
        <v>0</v>
      </c>
      <c r="V2592" s="9" t="n">
        <f aca="false">IF(E2592="",1,0)</f>
        <v>0</v>
      </c>
      <c r="W2592" s="9" t="n">
        <f aca="false">IF(OR(H2592&lt;1,H2592&gt;10),1,0)</f>
        <v>0</v>
      </c>
      <c r="X2592" s="9" t="n">
        <f aca="false">IF(OR(I2592&lt;=0,I2592&gt;1500),1,0)</f>
        <v>0</v>
      </c>
      <c r="Y2592" s="9" t="n">
        <f aca="false">IF(J2592&gt;H2592*I2592,1,0)</f>
        <v>0</v>
      </c>
      <c r="Z2592" s="9" t="n">
        <f aca="false">IF(AND(N2592&lt;&gt;"",OR(N2592&lt;1,N2592&gt;5)),1,0)</f>
        <v>0</v>
      </c>
      <c r="AA2592" s="9" t="n">
        <f aca="false">IF(AND(M2592&lt;&gt;"",OR(M2592&lt;5,M2592&gt;180)),1,0)</f>
        <v>0</v>
      </c>
      <c r="AB2592" s="7" t="str">
        <f aca="false">IF(P2592="DUP","Exact duplicate row",IF(T2592=1,"Missing Order ID",IF(S2592="DROP","Duplicate Order ID (less complete row)",IF(U2592=1,"Missing Customer ID",IF(V2592=1,"Missing Restaurant name",IF(W2592=1,"Invalid/outlier quantity",IF(X2592=1,"Invalid/outlier unit price",IF(Y2592=1,"Discount greater than order value",""))))))))</f>
        <v/>
      </c>
      <c r="AC2592" s="7" t="str">
        <f aca="false">IF(AB2592="","KEEP","DROP")</f>
        <v>KEEP</v>
      </c>
      <c r="AD2592" s="7" t="str">
        <f aca="false">IF(TRIM(F2592)="",IFERROR(INDEX(Map_Tables!$I$4:$I$37,MATCH(TRIM(E2592),Map_Tables!$G$4:$G$37,0)),""),IFERROR(INDEX(Map_Tables!$B$4:$B$18,MATCH(TRIM(F2592),Map_Tables!$A$4:$A$18,0)),"CHECK"))</f>
        <v>Delhi</v>
      </c>
      <c r="AE2592" s="7" t="str">
        <f aca="false">IF(TRIM(E2592)="","",IFERROR(INDEX(Map_Tables!$H$4:$H$37,MATCH(TRIM(E2592),Map_Tables!$G$4:$G$37,0)),"CHECK"))</f>
        <v>Chaat Corner</v>
      </c>
      <c r="AF2592" s="7" t="str">
        <f aca="false">IF(TRIM(K2592)="","Unknown",IFERROR(INDEX(Map_Tables!$E$4:$E$15,MATCH(TRIM(K2592),Map_Tables!$D$4:$D$15,0)),"CHECK"))</f>
        <v>UPI</v>
      </c>
      <c r="AG2592" s="7" t="str">
        <f aca="false">IF(LEFT(LOWER(TRIM(L2592)),6)="cancel","Cancelled","Delivered")</f>
        <v>Delivered</v>
      </c>
      <c r="AH2592" s="10" t="n">
        <f aca="false">IF(ISNUMBER(SEARCH("/",B2592)),DATE(VALUE(RIGHT(B2592,4)),VALUE(MID(B2592,4,2)),VALUE(LEFT(B2592,2))),IF(MID(B2592,5,1)="-",DATE(VALUE(LEFT(B2592,4)),VALUE(MID(B2592,6,2)),VALUE(RIGHT(B2592,2))),DATE(VALUE(RIGHT(B2592,4)),MATCH(MID(B2592,4,3),{"Jan","Feb","Mar","Apr","May","Jun","Jul","Aug","Sep","Oct","Nov","Dec"},0),VALUE(LEFT(B2592,2)))))</f>
        <v>45814</v>
      </c>
    </row>
    <row r="2593" customFormat="false" ht="15" hidden="false" customHeight="false" outlineLevel="0" collapsed="false">
      <c r="A2593" s="7" t="s">
        <v>5585</v>
      </c>
      <c r="B2593" s="7" t="s">
        <v>5586</v>
      </c>
      <c r="C2593" s="7" t="s">
        <v>2268</v>
      </c>
      <c r="D2593" s="7" t="s">
        <v>5041</v>
      </c>
      <c r="E2593" s="7" t="s">
        <v>126</v>
      </c>
      <c r="F2593" s="7" t="s">
        <v>101</v>
      </c>
      <c r="G2593" s="7" t="s">
        <v>105</v>
      </c>
      <c r="H2593" s="7" t="n">
        <v>1</v>
      </c>
      <c r="I2593" s="7" t="n">
        <v>220</v>
      </c>
      <c r="J2593" s="7" t="n">
        <v>20</v>
      </c>
      <c r="K2593" s="7" t="s">
        <v>88</v>
      </c>
      <c r="L2593" s="7" t="s">
        <v>194</v>
      </c>
      <c r="M2593" s="7" t="n">
        <v>45</v>
      </c>
      <c r="N2593" s="7" t="n">
        <v>4</v>
      </c>
      <c r="O2593" s="7" t="str">
        <f aca="false">A2593&amp;"|"&amp;B2593&amp;"|"&amp;C2593&amp;"|"&amp;D2593&amp;"|"&amp;E2593&amp;"|"&amp;F2593&amp;"|"&amp;G2593&amp;"|"&amp;H2593&amp;"|"&amp;I2593&amp;"|"&amp;J2593&amp;"|"&amp;K2593&amp;"|"&amp;L2593&amp;"|"&amp;M2593&amp;"|"&amp;N2593</f>
        <v>ORD12182|05-Oct-2025|12:18|C1447|Dragon Express|Mumbai|Chinese|1|220|20|UPI|Delivered|45|4</v>
      </c>
      <c r="P2593" s="7" t="str">
        <f aca="false">IF(COUNTIF($O$2:O2593,O2593)&gt;1,"DUP","OK")</f>
        <v>OK</v>
      </c>
      <c r="Q2593" s="7" t="n">
        <f aca="false">COUNTBLANK(A2593:N2593)</f>
        <v>0</v>
      </c>
      <c r="R2593" s="7" t="n">
        <f aca="false">IF(A2593="",0,COUNTIFS($A$2:$A$3058,A2593,$P$2:$P$3058,"OK"))</f>
        <v>1</v>
      </c>
      <c r="S2593" s="7" t="str">
        <f aca="false">IF(OR(A2593="",P2593="DUP",R2593&lt;2),"",IF(Q2593=_xlfn.MINIFS($Q$2:$Q$3058,$A$2:$A$3058,A2593,$P$2:$P$3058,"OK"),"KEEP","DROP"))</f>
        <v/>
      </c>
      <c r="T2593" s="9" t="n">
        <f aca="false">IF(A2593="",1,0)</f>
        <v>0</v>
      </c>
      <c r="U2593" s="9" t="n">
        <f aca="false">IF(D2593="",1,0)</f>
        <v>0</v>
      </c>
      <c r="V2593" s="9" t="n">
        <f aca="false">IF(E2593="",1,0)</f>
        <v>0</v>
      </c>
      <c r="W2593" s="9" t="n">
        <f aca="false">IF(OR(H2593&lt;1,H2593&gt;10),1,0)</f>
        <v>0</v>
      </c>
      <c r="X2593" s="9" t="n">
        <f aca="false">IF(OR(I2593&lt;=0,I2593&gt;1500),1,0)</f>
        <v>0</v>
      </c>
      <c r="Y2593" s="9" t="n">
        <f aca="false">IF(J2593&gt;H2593*I2593,1,0)</f>
        <v>0</v>
      </c>
      <c r="Z2593" s="9" t="n">
        <f aca="false">IF(AND(N2593&lt;&gt;"",OR(N2593&lt;1,N2593&gt;5)),1,0)</f>
        <v>0</v>
      </c>
      <c r="AA2593" s="9" t="n">
        <f aca="false">IF(AND(M2593&lt;&gt;"",OR(M2593&lt;5,M2593&gt;180)),1,0)</f>
        <v>0</v>
      </c>
      <c r="AB2593" s="7" t="str">
        <f aca="false">IF(P2593="DUP","Exact duplicate row",IF(T2593=1,"Missing Order ID",IF(S2593="DROP","Duplicate Order ID (less complete row)",IF(U2593=1,"Missing Customer ID",IF(V2593=1,"Missing Restaurant name",IF(W2593=1,"Invalid/outlier quantity",IF(X2593=1,"Invalid/outlier unit price",IF(Y2593=1,"Discount greater than order value",""))))))))</f>
        <v/>
      </c>
      <c r="AC2593" s="7" t="str">
        <f aca="false">IF(AB2593="","KEEP","DROP")</f>
        <v>KEEP</v>
      </c>
      <c r="AD2593" s="7" t="str">
        <f aca="false">IF(TRIM(F2593)="",IFERROR(INDEX(Map_Tables!$I$4:$I$37,MATCH(TRIM(E2593),Map_Tables!$G$4:$G$37,0)),""),IFERROR(INDEX(Map_Tables!$B$4:$B$18,MATCH(TRIM(F2593),Map_Tables!$A$4:$A$18,0)),"CHECK"))</f>
        <v>Mumbai</v>
      </c>
      <c r="AE2593" s="7" t="str">
        <f aca="false">IF(TRIM(E2593)="","",IFERROR(INDEX(Map_Tables!$H$4:$H$37,MATCH(TRIM(E2593),Map_Tables!$G$4:$G$37,0)),"CHECK"))</f>
        <v>Dragon Express</v>
      </c>
      <c r="AF2593" s="7" t="str">
        <f aca="false">IF(TRIM(K2593)="","Unknown",IFERROR(INDEX(Map_Tables!$E$4:$E$15,MATCH(TRIM(K2593),Map_Tables!$D$4:$D$15,0)),"CHECK"))</f>
        <v>UPI</v>
      </c>
      <c r="AG2593" s="7" t="str">
        <f aca="false">IF(LEFT(LOWER(TRIM(L2593)),6)="cancel","Cancelled","Delivered")</f>
        <v>Delivered</v>
      </c>
      <c r="AH2593" s="10" t="n">
        <f aca="false">IF(ISNUMBER(SEARCH("/",B2593)),DATE(VALUE(RIGHT(B2593,4)),VALUE(MID(B2593,4,2)),VALUE(LEFT(B2593,2))),IF(MID(B2593,5,1)="-",DATE(VALUE(LEFT(B2593,4)),VALUE(MID(B2593,6,2)),VALUE(RIGHT(B2593,2))),DATE(VALUE(RIGHT(B2593,4)),MATCH(MID(B2593,4,3),{"Jan","Feb","Mar","Apr","May","Jun","Jul","Aug","Sep","Oct","Nov","Dec"},0),VALUE(LEFT(B2593,2)))))</f>
        <v>45935</v>
      </c>
    </row>
    <row r="2594" customFormat="false" ht="15" hidden="false" customHeight="false" outlineLevel="0" collapsed="false">
      <c r="A2594" s="7" t="s">
        <v>5587</v>
      </c>
      <c r="B2594" s="7" t="s">
        <v>1814</v>
      </c>
      <c r="C2594" s="7" t="s">
        <v>759</v>
      </c>
      <c r="D2594" s="7" t="s">
        <v>3729</v>
      </c>
      <c r="E2594" s="7" t="s">
        <v>147</v>
      </c>
      <c r="F2594" s="7" t="s">
        <v>119</v>
      </c>
      <c r="G2594" s="7" t="s">
        <v>95</v>
      </c>
      <c r="H2594" s="7" t="n">
        <v>1</v>
      </c>
      <c r="I2594" s="7" t="n">
        <v>145</v>
      </c>
      <c r="J2594" s="7" t="n">
        <v>58</v>
      </c>
      <c r="K2594" s="7" t="s">
        <v>103</v>
      </c>
      <c r="L2594" s="7" t="s">
        <v>194</v>
      </c>
      <c r="M2594" s="7" t="n">
        <v>22</v>
      </c>
      <c r="N2594" s="7" t="n">
        <v>5</v>
      </c>
      <c r="O2594" s="7" t="str">
        <f aca="false">A2594&amp;"|"&amp;B2594&amp;"|"&amp;C2594&amp;"|"&amp;D2594&amp;"|"&amp;E2594&amp;"|"&amp;F2594&amp;"|"&amp;G2594&amp;"|"&amp;H2594&amp;"|"&amp;I2594&amp;"|"&amp;J2594&amp;"|"&amp;K2594&amp;"|"&amp;L2594&amp;"|"&amp;M2594&amp;"|"&amp;N2594</f>
        <v>ORD10556|12/03/2025|11:50|C0633|Andhra Meals Mess|Hyderabad|South Indian|1|145|58|Debit Card|Delivered|22|5</v>
      </c>
      <c r="P2594" s="7" t="str">
        <f aca="false">IF(COUNTIF($O$2:O2594,O2594)&gt;1,"DUP","OK")</f>
        <v>OK</v>
      </c>
      <c r="Q2594" s="7" t="n">
        <f aca="false">COUNTBLANK(A2594:N2594)</f>
        <v>0</v>
      </c>
      <c r="R2594" s="7" t="n">
        <f aca="false">IF(A2594="",0,COUNTIFS($A$2:$A$3058,A2594,$P$2:$P$3058,"OK"))</f>
        <v>1</v>
      </c>
      <c r="S2594" s="7" t="str">
        <f aca="false">IF(OR(A2594="",P2594="DUP",R2594&lt;2),"",IF(Q2594=_xlfn.MINIFS($Q$2:$Q$3058,$A$2:$A$3058,A2594,$P$2:$P$3058,"OK"),"KEEP","DROP"))</f>
        <v/>
      </c>
      <c r="T2594" s="9" t="n">
        <f aca="false">IF(A2594="",1,0)</f>
        <v>0</v>
      </c>
      <c r="U2594" s="9" t="n">
        <f aca="false">IF(D2594="",1,0)</f>
        <v>0</v>
      </c>
      <c r="V2594" s="9" t="n">
        <f aca="false">IF(E2594="",1,0)</f>
        <v>0</v>
      </c>
      <c r="W2594" s="9" t="n">
        <f aca="false">IF(OR(H2594&lt;1,H2594&gt;10),1,0)</f>
        <v>0</v>
      </c>
      <c r="X2594" s="9" t="n">
        <f aca="false">IF(OR(I2594&lt;=0,I2594&gt;1500),1,0)</f>
        <v>0</v>
      </c>
      <c r="Y2594" s="9" t="n">
        <f aca="false">IF(J2594&gt;H2594*I2594,1,0)</f>
        <v>0</v>
      </c>
      <c r="Z2594" s="9" t="n">
        <f aca="false">IF(AND(N2594&lt;&gt;"",OR(N2594&lt;1,N2594&gt;5)),1,0)</f>
        <v>0</v>
      </c>
      <c r="AA2594" s="9" t="n">
        <f aca="false">IF(AND(M2594&lt;&gt;"",OR(M2594&lt;5,M2594&gt;180)),1,0)</f>
        <v>0</v>
      </c>
      <c r="AB2594" s="7" t="str">
        <f aca="false">IF(P2594="DUP","Exact duplicate row",IF(T2594=1,"Missing Order ID",IF(S2594="DROP","Duplicate Order ID (less complete row)",IF(U2594=1,"Missing Customer ID",IF(V2594=1,"Missing Restaurant name",IF(W2594=1,"Invalid/outlier quantity",IF(X2594=1,"Invalid/outlier unit price",IF(Y2594=1,"Discount greater than order value",""))))))))</f>
        <v/>
      </c>
      <c r="AC2594" s="7" t="str">
        <f aca="false">IF(AB2594="","KEEP","DROP")</f>
        <v>KEEP</v>
      </c>
      <c r="AD2594" s="7" t="str">
        <f aca="false">IF(TRIM(F2594)="",IFERROR(INDEX(Map_Tables!$I$4:$I$37,MATCH(TRIM(E2594),Map_Tables!$G$4:$G$37,0)),""),IFERROR(INDEX(Map_Tables!$B$4:$B$18,MATCH(TRIM(F2594),Map_Tables!$A$4:$A$18,0)),"CHECK"))</f>
        <v>Hyderabad</v>
      </c>
      <c r="AE2594" s="7" t="str">
        <f aca="false">IF(TRIM(E2594)="","",IFERROR(INDEX(Map_Tables!$H$4:$H$37,MATCH(TRIM(E2594),Map_Tables!$G$4:$G$37,0)),"CHECK"))</f>
        <v>Andhra Meals Mess</v>
      </c>
      <c r="AF2594" s="7" t="str">
        <f aca="false">IF(TRIM(K2594)="","Unknown",IFERROR(INDEX(Map_Tables!$E$4:$E$15,MATCH(TRIM(K2594),Map_Tables!$D$4:$D$15,0)),"CHECK"))</f>
        <v>Debit Card</v>
      </c>
      <c r="AG2594" s="7" t="str">
        <f aca="false">IF(LEFT(LOWER(TRIM(L2594)),6)="cancel","Cancelled","Delivered")</f>
        <v>Delivered</v>
      </c>
      <c r="AH2594" s="10" t="n">
        <f aca="false">IF(ISNUMBER(SEARCH("/",B2594)),DATE(VALUE(RIGHT(B2594,4)),VALUE(MID(B2594,4,2)),VALUE(LEFT(B2594,2))),IF(MID(B2594,5,1)="-",DATE(VALUE(LEFT(B2594,4)),VALUE(MID(B2594,6,2)),VALUE(RIGHT(B2594,2))),DATE(VALUE(RIGHT(B2594,4)),MATCH(MID(B2594,4,3),{"Jan","Feb","Mar","Apr","May","Jun","Jul","Aug","Sep","Oct","Nov","Dec"},0),VALUE(LEFT(B2594,2)))))</f>
        <v>45728</v>
      </c>
    </row>
    <row r="2595" customFormat="false" ht="15" hidden="false" customHeight="false" outlineLevel="0" collapsed="false">
      <c r="A2595" s="7" t="s">
        <v>5588</v>
      </c>
      <c r="B2595" s="7" t="s">
        <v>1096</v>
      </c>
      <c r="C2595" s="7" t="s">
        <v>1684</v>
      </c>
      <c r="D2595" s="7" t="s">
        <v>5589</v>
      </c>
      <c r="E2595" s="7" t="s">
        <v>154</v>
      </c>
      <c r="F2595" s="7" t="s">
        <v>128</v>
      </c>
      <c r="G2595" s="7" t="s">
        <v>99</v>
      </c>
      <c r="H2595" s="7" t="n">
        <v>2</v>
      </c>
      <c r="I2595" s="7" t="n">
        <v>215</v>
      </c>
      <c r="J2595" s="7" t="n">
        <v>0</v>
      </c>
      <c r="K2595" s="7" t="s">
        <v>103</v>
      </c>
      <c r="L2595" s="7" t="s">
        <v>194</v>
      </c>
      <c r="M2595" s="7" t="n">
        <v>40</v>
      </c>
      <c r="N2595" s="7" t="n">
        <v>3</v>
      </c>
      <c r="O2595" s="7" t="str">
        <f aca="false">A2595&amp;"|"&amp;B2595&amp;"|"&amp;C2595&amp;"|"&amp;D2595&amp;"|"&amp;E2595&amp;"|"&amp;F2595&amp;"|"&amp;G2595&amp;"|"&amp;H2595&amp;"|"&amp;I2595&amp;"|"&amp;J2595&amp;"|"&amp;K2595&amp;"|"&amp;L2595&amp;"|"&amp;M2595&amp;"|"&amp;N2595</f>
        <v>ORD12369|2025-10-26|11:30|C0044|Madras Biryani Co|Chennai|Biryani|2|215|0|Debit Card|Delivered|40|3</v>
      </c>
      <c r="P2595" s="7" t="str">
        <f aca="false">IF(COUNTIF($O$2:O2595,O2595)&gt;1,"DUP","OK")</f>
        <v>OK</v>
      </c>
      <c r="Q2595" s="7" t="n">
        <f aca="false">COUNTBLANK(A2595:N2595)</f>
        <v>0</v>
      </c>
      <c r="R2595" s="7" t="n">
        <f aca="false">IF(A2595="",0,COUNTIFS($A$2:$A$3058,A2595,$P$2:$P$3058,"OK"))</f>
        <v>1</v>
      </c>
      <c r="S2595" s="7" t="str">
        <f aca="false">IF(OR(A2595="",P2595="DUP",R2595&lt;2),"",IF(Q2595=_xlfn.MINIFS($Q$2:$Q$3058,$A$2:$A$3058,A2595,$P$2:$P$3058,"OK"),"KEEP","DROP"))</f>
        <v/>
      </c>
      <c r="T2595" s="9" t="n">
        <f aca="false">IF(A2595="",1,0)</f>
        <v>0</v>
      </c>
      <c r="U2595" s="9" t="n">
        <f aca="false">IF(D2595="",1,0)</f>
        <v>0</v>
      </c>
      <c r="V2595" s="9" t="n">
        <f aca="false">IF(E2595="",1,0)</f>
        <v>0</v>
      </c>
      <c r="W2595" s="9" t="n">
        <f aca="false">IF(OR(H2595&lt;1,H2595&gt;10),1,0)</f>
        <v>0</v>
      </c>
      <c r="X2595" s="9" t="n">
        <f aca="false">IF(OR(I2595&lt;=0,I2595&gt;1500),1,0)</f>
        <v>0</v>
      </c>
      <c r="Y2595" s="9" t="n">
        <f aca="false">IF(J2595&gt;H2595*I2595,1,0)</f>
        <v>0</v>
      </c>
      <c r="Z2595" s="9" t="n">
        <f aca="false">IF(AND(N2595&lt;&gt;"",OR(N2595&lt;1,N2595&gt;5)),1,0)</f>
        <v>0</v>
      </c>
      <c r="AA2595" s="9" t="n">
        <f aca="false">IF(AND(M2595&lt;&gt;"",OR(M2595&lt;5,M2595&gt;180)),1,0)</f>
        <v>0</v>
      </c>
      <c r="AB2595" s="7" t="str">
        <f aca="false">IF(P2595="DUP","Exact duplicate row",IF(T2595=1,"Missing Order ID",IF(S2595="DROP","Duplicate Order ID (less complete row)",IF(U2595=1,"Missing Customer ID",IF(V2595=1,"Missing Restaurant name",IF(W2595=1,"Invalid/outlier quantity",IF(X2595=1,"Invalid/outlier unit price",IF(Y2595=1,"Discount greater than order value",""))))))))</f>
        <v/>
      </c>
      <c r="AC2595" s="7" t="str">
        <f aca="false">IF(AB2595="","KEEP","DROP")</f>
        <v>KEEP</v>
      </c>
      <c r="AD2595" s="7" t="str">
        <f aca="false">IF(TRIM(F2595)="",IFERROR(INDEX(Map_Tables!$I$4:$I$37,MATCH(TRIM(E2595),Map_Tables!$G$4:$G$37,0)),""),IFERROR(INDEX(Map_Tables!$B$4:$B$18,MATCH(TRIM(F2595),Map_Tables!$A$4:$A$18,0)),"CHECK"))</f>
        <v>Chennai</v>
      </c>
      <c r="AE2595" s="7" t="str">
        <f aca="false">IF(TRIM(E2595)="","",IFERROR(INDEX(Map_Tables!$H$4:$H$37,MATCH(TRIM(E2595),Map_Tables!$G$4:$G$37,0)),"CHECK"))</f>
        <v>Madras Biryani Co</v>
      </c>
      <c r="AF2595" s="7" t="str">
        <f aca="false">IF(TRIM(K2595)="","Unknown",IFERROR(INDEX(Map_Tables!$E$4:$E$15,MATCH(TRIM(K2595),Map_Tables!$D$4:$D$15,0)),"CHECK"))</f>
        <v>Debit Card</v>
      </c>
      <c r="AG2595" s="7" t="str">
        <f aca="false">IF(LEFT(LOWER(TRIM(L2595)),6)="cancel","Cancelled","Delivered")</f>
        <v>Delivered</v>
      </c>
      <c r="AH2595" s="10" t="n">
        <f aca="false">IF(ISNUMBER(SEARCH("/",B2595)),DATE(VALUE(RIGHT(B2595,4)),VALUE(MID(B2595,4,2)),VALUE(LEFT(B2595,2))),IF(MID(B2595,5,1)="-",DATE(VALUE(LEFT(B2595,4)),VALUE(MID(B2595,6,2)),VALUE(RIGHT(B2595,2))),DATE(VALUE(RIGHT(B2595,4)),MATCH(MID(B2595,4,3),{"Jan","Feb","Mar","Apr","May","Jun","Jul","Aug","Sep","Oct","Nov","Dec"},0),VALUE(LEFT(B2595,2)))))</f>
        <v>45956</v>
      </c>
    </row>
    <row r="2596" customFormat="false" ht="15" hidden="false" customHeight="false" outlineLevel="0" collapsed="false">
      <c r="A2596" s="7" t="s">
        <v>3132</v>
      </c>
      <c r="B2596" s="7" t="s">
        <v>1687</v>
      </c>
      <c r="C2596" s="7" t="s">
        <v>1062</v>
      </c>
      <c r="D2596" s="7" t="s">
        <v>1979</v>
      </c>
      <c r="E2596" s="7" t="s">
        <v>147</v>
      </c>
      <c r="F2596" s="7" t="s">
        <v>119</v>
      </c>
      <c r="G2596" s="7" t="s">
        <v>95</v>
      </c>
      <c r="H2596" s="7" t="n">
        <v>2</v>
      </c>
      <c r="I2596" s="7" t="n">
        <v>170</v>
      </c>
      <c r="J2596" s="7" t="n">
        <v>50</v>
      </c>
      <c r="K2596" s="7" t="s">
        <v>88</v>
      </c>
      <c r="L2596" s="7" t="s">
        <v>194</v>
      </c>
      <c r="M2596" s="7" t="n">
        <v>54</v>
      </c>
      <c r="N2596" s="7" t="n">
        <v>5</v>
      </c>
      <c r="O2596" s="7" t="str">
        <f aca="false">A2596&amp;"|"&amp;B2596&amp;"|"&amp;C2596&amp;"|"&amp;D2596&amp;"|"&amp;E2596&amp;"|"&amp;F2596&amp;"|"&amp;G2596&amp;"|"&amp;H2596&amp;"|"&amp;I2596&amp;"|"&amp;J2596&amp;"|"&amp;K2596&amp;"|"&amp;L2596&amp;"|"&amp;M2596&amp;"|"&amp;N2596</f>
        <v>ORD10029|2025-01-04|21:10|C1335|Andhra Meals Mess|Hyderabad|South Indian|2|170|50|UPI|Delivered|54|5</v>
      </c>
      <c r="P2596" s="7" t="str">
        <f aca="false">IF(COUNTIF($O$2:O2596,O2596)&gt;1,"DUP","OK")</f>
        <v>DUP</v>
      </c>
      <c r="Q2596" s="7" t="n">
        <f aca="false">COUNTBLANK(A2596:N2596)</f>
        <v>0</v>
      </c>
      <c r="R2596" s="7" t="n">
        <f aca="false">IF(A2596="",0,COUNTIFS($A$2:$A$3058,A2596,$P$2:$P$3058,"OK"))</f>
        <v>1</v>
      </c>
      <c r="S2596" s="7" t="str">
        <f aca="false">IF(OR(A2596="",P2596="DUP",R2596&lt;2),"",IF(Q2596=_xlfn.MINIFS($Q$2:$Q$3058,$A$2:$A$3058,A2596,$P$2:$P$3058,"OK"),"KEEP","DROP"))</f>
        <v/>
      </c>
      <c r="T2596" s="9" t="n">
        <f aca="false">IF(A2596="",1,0)</f>
        <v>0</v>
      </c>
      <c r="U2596" s="9" t="n">
        <f aca="false">IF(D2596="",1,0)</f>
        <v>0</v>
      </c>
      <c r="V2596" s="9" t="n">
        <f aca="false">IF(E2596="",1,0)</f>
        <v>0</v>
      </c>
      <c r="W2596" s="9" t="n">
        <f aca="false">IF(OR(H2596&lt;1,H2596&gt;10),1,0)</f>
        <v>0</v>
      </c>
      <c r="X2596" s="9" t="n">
        <f aca="false">IF(OR(I2596&lt;=0,I2596&gt;1500),1,0)</f>
        <v>0</v>
      </c>
      <c r="Y2596" s="9" t="n">
        <f aca="false">IF(J2596&gt;H2596*I2596,1,0)</f>
        <v>0</v>
      </c>
      <c r="Z2596" s="9" t="n">
        <f aca="false">IF(AND(N2596&lt;&gt;"",OR(N2596&lt;1,N2596&gt;5)),1,0)</f>
        <v>0</v>
      </c>
      <c r="AA2596" s="9" t="n">
        <f aca="false">IF(AND(M2596&lt;&gt;"",OR(M2596&lt;5,M2596&gt;180)),1,0)</f>
        <v>0</v>
      </c>
      <c r="AB2596" s="7" t="str">
        <f aca="false">IF(P2596="DUP","Exact duplicate row",IF(T2596=1,"Missing Order ID",IF(S2596="DROP","Duplicate Order ID (less complete row)",IF(U2596=1,"Missing Customer ID",IF(V2596=1,"Missing Restaurant name",IF(W2596=1,"Invalid/outlier quantity",IF(X2596=1,"Invalid/outlier unit price",IF(Y2596=1,"Discount greater than order value",""))))))))</f>
        <v>Exact duplicate row</v>
      </c>
      <c r="AC2596" s="7" t="str">
        <f aca="false">IF(AB2596="","KEEP","DROP")</f>
        <v>DROP</v>
      </c>
      <c r="AD2596" s="7" t="str">
        <f aca="false">IF(TRIM(F2596)="",IFERROR(INDEX(Map_Tables!$I$4:$I$37,MATCH(TRIM(E2596),Map_Tables!$G$4:$G$37,0)),""),IFERROR(INDEX(Map_Tables!$B$4:$B$18,MATCH(TRIM(F2596),Map_Tables!$A$4:$A$18,0)),"CHECK"))</f>
        <v>Hyderabad</v>
      </c>
      <c r="AE2596" s="7" t="str">
        <f aca="false">IF(TRIM(E2596)="","",IFERROR(INDEX(Map_Tables!$H$4:$H$37,MATCH(TRIM(E2596),Map_Tables!$G$4:$G$37,0)),"CHECK"))</f>
        <v>Andhra Meals Mess</v>
      </c>
      <c r="AF2596" s="7" t="str">
        <f aca="false">IF(TRIM(K2596)="","Unknown",IFERROR(INDEX(Map_Tables!$E$4:$E$15,MATCH(TRIM(K2596),Map_Tables!$D$4:$D$15,0)),"CHECK"))</f>
        <v>UPI</v>
      </c>
      <c r="AG2596" s="7" t="str">
        <f aca="false">IF(LEFT(LOWER(TRIM(L2596)),6)="cancel","Cancelled","Delivered")</f>
        <v>Delivered</v>
      </c>
      <c r="AH2596" s="10" t="n">
        <f aca="false">IF(ISNUMBER(SEARCH("/",B2596)),DATE(VALUE(RIGHT(B2596,4)),VALUE(MID(B2596,4,2)),VALUE(LEFT(B2596,2))),IF(MID(B2596,5,1)="-",DATE(VALUE(LEFT(B2596,4)),VALUE(MID(B2596,6,2)),VALUE(RIGHT(B2596,2))),DATE(VALUE(RIGHT(B2596,4)),MATCH(MID(B2596,4,3),{"Jan","Feb","Mar","Apr","May","Jun","Jul","Aug","Sep","Oct","Nov","Dec"},0),VALUE(LEFT(B2596,2)))))</f>
        <v>45661</v>
      </c>
    </row>
    <row r="2597" customFormat="false" ht="15" hidden="false" customHeight="false" outlineLevel="0" collapsed="false">
      <c r="A2597" s="7" t="s">
        <v>5590</v>
      </c>
      <c r="B2597" s="7" t="s">
        <v>5591</v>
      </c>
      <c r="C2597" s="7" t="s">
        <v>5592</v>
      </c>
      <c r="D2597" s="7" t="s">
        <v>3184</v>
      </c>
      <c r="E2597" s="7" t="s">
        <v>161</v>
      </c>
      <c r="F2597" s="7" t="s">
        <v>141</v>
      </c>
      <c r="G2597" s="7" t="s">
        <v>117</v>
      </c>
      <c r="H2597" s="7" t="n">
        <v>4</v>
      </c>
      <c r="I2597" s="7" t="n">
        <v>155</v>
      </c>
      <c r="J2597" s="7" t="n">
        <v>150</v>
      </c>
      <c r="K2597" s="7" t="s">
        <v>88</v>
      </c>
      <c r="L2597" s="7" t="s">
        <v>194</v>
      </c>
      <c r="M2597" s="7" t="n">
        <v>46</v>
      </c>
      <c r="N2597" s="7" t="n">
        <v>5</v>
      </c>
      <c r="O2597" s="7" t="str">
        <f aca="false">A2597&amp;"|"&amp;B2597&amp;"|"&amp;C2597&amp;"|"&amp;D2597&amp;"|"&amp;E2597&amp;"|"&amp;F2597&amp;"|"&amp;G2597&amp;"|"&amp;H2597&amp;"|"&amp;I2597&amp;"|"&amp;J2597&amp;"|"&amp;K2597&amp;"|"&amp;L2597&amp;"|"&amp;M2597&amp;"|"&amp;N2597</f>
        <v>ORD11212|03-Jun-2025|10:15|C1265|Bengal Bites|Kolkata|Street Food|4|155|150|UPI|Delivered|46|5</v>
      </c>
      <c r="P2597" s="7" t="str">
        <f aca="false">IF(COUNTIF($O$2:O2597,O2597)&gt;1,"DUP","OK")</f>
        <v>OK</v>
      </c>
      <c r="Q2597" s="7" t="n">
        <f aca="false">COUNTBLANK(A2597:N2597)</f>
        <v>0</v>
      </c>
      <c r="R2597" s="7" t="n">
        <f aca="false">IF(A2597="",0,COUNTIFS($A$2:$A$3058,A2597,$P$2:$P$3058,"OK"))</f>
        <v>1</v>
      </c>
      <c r="S2597" s="7" t="str">
        <f aca="false">IF(OR(A2597="",P2597="DUP",R2597&lt;2),"",IF(Q2597=_xlfn.MINIFS($Q$2:$Q$3058,$A$2:$A$3058,A2597,$P$2:$P$3058,"OK"),"KEEP","DROP"))</f>
        <v/>
      </c>
      <c r="T2597" s="9" t="n">
        <f aca="false">IF(A2597="",1,0)</f>
        <v>0</v>
      </c>
      <c r="U2597" s="9" t="n">
        <f aca="false">IF(D2597="",1,0)</f>
        <v>0</v>
      </c>
      <c r="V2597" s="9" t="n">
        <f aca="false">IF(E2597="",1,0)</f>
        <v>0</v>
      </c>
      <c r="W2597" s="9" t="n">
        <f aca="false">IF(OR(H2597&lt;1,H2597&gt;10),1,0)</f>
        <v>0</v>
      </c>
      <c r="X2597" s="9" t="n">
        <f aca="false">IF(OR(I2597&lt;=0,I2597&gt;1500),1,0)</f>
        <v>0</v>
      </c>
      <c r="Y2597" s="9" t="n">
        <f aca="false">IF(J2597&gt;H2597*I2597,1,0)</f>
        <v>0</v>
      </c>
      <c r="Z2597" s="9" t="n">
        <f aca="false">IF(AND(N2597&lt;&gt;"",OR(N2597&lt;1,N2597&gt;5)),1,0)</f>
        <v>0</v>
      </c>
      <c r="AA2597" s="9" t="n">
        <f aca="false">IF(AND(M2597&lt;&gt;"",OR(M2597&lt;5,M2597&gt;180)),1,0)</f>
        <v>0</v>
      </c>
      <c r="AB2597" s="7" t="str">
        <f aca="false">IF(P2597="DUP","Exact duplicate row",IF(T2597=1,"Missing Order ID",IF(S2597="DROP","Duplicate Order ID (less complete row)",IF(U2597=1,"Missing Customer ID",IF(V2597=1,"Missing Restaurant name",IF(W2597=1,"Invalid/outlier quantity",IF(X2597=1,"Invalid/outlier unit price",IF(Y2597=1,"Discount greater than order value",""))))))))</f>
        <v/>
      </c>
      <c r="AC2597" s="7" t="str">
        <f aca="false">IF(AB2597="","KEEP","DROP")</f>
        <v>KEEP</v>
      </c>
      <c r="AD2597" s="7" t="str">
        <f aca="false">IF(TRIM(F2597)="",IFERROR(INDEX(Map_Tables!$I$4:$I$37,MATCH(TRIM(E2597),Map_Tables!$G$4:$G$37,0)),""),IFERROR(INDEX(Map_Tables!$B$4:$B$18,MATCH(TRIM(F2597),Map_Tables!$A$4:$A$18,0)),"CHECK"))</f>
        <v>Kolkata</v>
      </c>
      <c r="AE2597" s="7" t="str">
        <f aca="false">IF(TRIM(E2597)="","",IFERROR(INDEX(Map_Tables!$H$4:$H$37,MATCH(TRIM(E2597),Map_Tables!$G$4:$G$37,0)),"CHECK"))</f>
        <v>Bengal Bites</v>
      </c>
      <c r="AF2597" s="7" t="str">
        <f aca="false">IF(TRIM(K2597)="","Unknown",IFERROR(INDEX(Map_Tables!$E$4:$E$15,MATCH(TRIM(K2597),Map_Tables!$D$4:$D$15,0)),"CHECK"))</f>
        <v>UPI</v>
      </c>
      <c r="AG2597" s="7" t="str">
        <f aca="false">IF(LEFT(LOWER(TRIM(L2597)),6)="cancel","Cancelled","Delivered")</f>
        <v>Delivered</v>
      </c>
      <c r="AH2597" s="10" t="n">
        <f aca="false">IF(ISNUMBER(SEARCH("/",B2597)),DATE(VALUE(RIGHT(B2597,4)),VALUE(MID(B2597,4,2)),VALUE(LEFT(B2597,2))),IF(MID(B2597,5,1)="-",DATE(VALUE(LEFT(B2597,4)),VALUE(MID(B2597,6,2)),VALUE(RIGHT(B2597,2))),DATE(VALUE(RIGHT(B2597,4)),MATCH(MID(B2597,4,3),{"Jan","Feb","Mar","Apr","May","Jun","Jul","Aug","Sep","Oct","Nov","Dec"},0),VALUE(LEFT(B2597,2)))))</f>
        <v>45811</v>
      </c>
    </row>
    <row r="2598" customFormat="false" ht="15" hidden="false" customHeight="false" outlineLevel="0" collapsed="false">
      <c r="A2598" s="7" t="s">
        <v>5593</v>
      </c>
      <c r="B2598" s="7" t="s">
        <v>2234</v>
      </c>
      <c r="C2598" s="7" t="s">
        <v>3460</v>
      </c>
      <c r="D2598" s="7" t="s">
        <v>1158</v>
      </c>
      <c r="E2598" s="7" t="s">
        <v>94</v>
      </c>
      <c r="F2598" s="7" t="s">
        <v>86</v>
      </c>
      <c r="G2598" s="7" t="s">
        <v>95</v>
      </c>
      <c r="H2598" s="7" t="n">
        <v>1</v>
      </c>
      <c r="I2598" s="7" t="n">
        <v>110</v>
      </c>
      <c r="J2598" s="7" t="n">
        <v>30</v>
      </c>
      <c r="K2598" s="7" t="s">
        <v>229</v>
      </c>
      <c r="L2598" s="7" t="s">
        <v>194</v>
      </c>
      <c r="M2598" s="7" t="n">
        <v>26</v>
      </c>
      <c r="N2598" s="7" t="n">
        <v>5</v>
      </c>
      <c r="O2598" s="7" t="str">
        <f aca="false">A2598&amp;"|"&amp;B2598&amp;"|"&amp;C2598&amp;"|"&amp;D2598&amp;"|"&amp;E2598&amp;"|"&amp;F2598&amp;"|"&amp;G2598&amp;"|"&amp;H2598&amp;"|"&amp;I2598&amp;"|"&amp;J2598&amp;"|"&amp;K2598&amp;"|"&amp;L2598&amp;"|"&amp;M2598&amp;"|"&amp;N2598</f>
        <v>ORD12829|2025-12-12|18:32|C0928|Dosa Darbar|Bengaluru|South Indian|1|110|30|Upi|Delivered|26|5</v>
      </c>
      <c r="P2598" s="7" t="str">
        <f aca="false">IF(COUNTIF($O$2:O2598,O2598)&gt;1,"DUP","OK")</f>
        <v>OK</v>
      </c>
      <c r="Q2598" s="7" t="n">
        <f aca="false">COUNTBLANK(A2598:N2598)</f>
        <v>0</v>
      </c>
      <c r="R2598" s="7" t="n">
        <f aca="false">IF(A2598="",0,COUNTIFS($A$2:$A$3058,A2598,$P$2:$P$3058,"OK"))</f>
        <v>1</v>
      </c>
      <c r="S2598" s="7" t="str">
        <f aca="false">IF(OR(A2598="",P2598="DUP",R2598&lt;2),"",IF(Q2598=_xlfn.MINIFS($Q$2:$Q$3058,$A$2:$A$3058,A2598,$P$2:$P$3058,"OK"),"KEEP","DROP"))</f>
        <v/>
      </c>
      <c r="T2598" s="9" t="n">
        <f aca="false">IF(A2598="",1,0)</f>
        <v>0</v>
      </c>
      <c r="U2598" s="9" t="n">
        <f aca="false">IF(D2598="",1,0)</f>
        <v>0</v>
      </c>
      <c r="V2598" s="9" t="n">
        <f aca="false">IF(E2598="",1,0)</f>
        <v>0</v>
      </c>
      <c r="W2598" s="9" t="n">
        <f aca="false">IF(OR(H2598&lt;1,H2598&gt;10),1,0)</f>
        <v>0</v>
      </c>
      <c r="X2598" s="9" t="n">
        <f aca="false">IF(OR(I2598&lt;=0,I2598&gt;1500),1,0)</f>
        <v>0</v>
      </c>
      <c r="Y2598" s="9" t="n">
        <f aca="false">IF(J2598&gt;H2598*I2598,1,0)</f>
        <v>0</v>
      </c>
      <c r="Z2598" s="9" t="n">
        <f aca="false">IF(AND(N2598&lt;&gt;"",OR(N2598&lt;1,N2598&gt;5)),1,0)</f>
        <v>0</v>
      </c>
      <c r="AA2598" s="9" t="n">
        <f aca="false">IF(AND(M2598&lt;&gt;"",OR(M2598&lt;5,M2598&gt;180)),1,0)</f>
        <v>0</v>
      </c>
      <c r="AB2598" s="7" t="str">
        <f aca="false">IF(P2598="DUP","Exact duplicate row",IF(T2598=1,"Missing Order ID",IF(S2598="DROP","Duplicate Order ID (less complete row)",IF(U2598=1,"Missing Customer ID",IF(V2598=1,"Missing Restaurant name",IF(W2598=1,"Invalid/outlier quantity",IF(X2598=1,"Invalid/outlier unit price",IF(Y2598=1,"Discount greater than order value",""))))))))</f>
        <v/>
      </c>
      <c r="AC2598" s="7" t="str">
        <f aca="false">IF(AB2598="","KEEP","DROP")</f>
        <v>KEEP</v>
      </c>
      <c r="AD2598" s="7" t="str">
        <f aca="false">IF(TRIM(F2598)="",IFERROR(INDEX(Map_Tables!$I$4:$I$37,MATCH(TRIM(E2598),Map_Tables!$G$4:$G$37,0)),""),IFERROR(INDEX(Map_Tables!$B$4:$B$18,MATCH(TRIM(F2598),Map_Tables!$A$4:$A$18,0)),"CHECK"))</f>
        <v>Bengaluru</v>
      </c>
      <c r="AE2598" s="7" t="str">
        <f aca="false">IF(TRIM(E2598)="","",IFERROR(INDEX(Map_Tables!$H$4:$H$37,MATCH(TRIM(E2598),Map_Tables!$G$4:$G$37,0)),"CHECK"))</f>
        <v>Dosa Darbar</v>
      </c>
      <c r="AF2598" s="7" t="str">
        <f aca="false">IF(TRIM(K2598)="","Unknown",IFERROR(INDEX(Map_Tables!$E$4:$E$15,MATCH(TRIM(K2598),Map_Tables!$D$4:$D$15,0)),"CHECK"))</f>
        <v>UPI</v>
      </c>
      <c r="AG2598" s="7" t="str">
        <f aca="false">IF(LEFT(LOWER(TRIM(L2598)),6)="cancel","Cancelled","Delivered")</f>
        <v>Delivered</v>
      </c>
      <c r="AH2598" s="10" t="n">
        <f aca="false">IF(ISNUMBER(SEARCH("/",B2598)),DATE(VALUE(RIGHT(B2598,4)),VALUE(MID(B2598,4,2)),VALUE(LEFT(B2598,2))),IF(MID(B2598,5,1)="-",DATE(VALUE(LEFT(B2598,4)),VALUE(MID(B2598,6,2)),VALUE(RIGHT(B2598,2))),DATE(VALUE(RIGHT(B2598,4)),MATCH(MID(B2598,4,3),{"Jan","Feb","Mar","Apr","May","Jun","Jul","Aug","Sep","Oct","Nov","Dec"},0),VALUE(LEFT(B2598,2)))))</f>
        <v>46003</v>
      </c>
    </row>
    <row r="2599" customFormat="false" ht="15" hidden="false" customHeight="false" outlineLevel="0" collapsed="false">
      <c r="A2599" s="7" t="s">
        <v>5594</v>
      </c>
      <c r="B2599" s="7" t="s">
        <v>727</v>
      </c>
      <c r="C2599" s="7" t="s">
        <v>976</v>
      </c>
      <c r="D2599" s="7" t="s">
        <v>3392</v>
      </c>
      <c r="E2599" s="7" t="s">
        <v>152</v>
      </c>
      <c r="F2599" s="7" t="s">
        <v>128</v>
      </c>
      <c r="G2599" s="7" t="s">
        <v>95</v>
      </c>
      <c r="H2599" s="7" t="n">
        <v>1</v>
      </c>
      <c r="I2599" s="7" t="n">
        <v>105</v>
      </c>
      <c r="J2599" s="7" t="n">
        <v>0</v>
      </c>
      <c r="K2599" s="7" t="s">
        <v>132</v>
      </c>
      <c r="L2599" s="7" t="s">
        <v>194</v>
      </c>
      <c r="M2599" s="7" t="n">
        <v>30</v>
      </c>
      <c r="N2599" s="7" t="n">
        <v>5</v>
      </c>
      <c r="O2599" s="7" t="str">
        <f aca="false">A2599&amp;"|"&amp;B2599&amp;"|"&amp;C2599&amp;"|"&amp;D2599&amp;"|"&amp;E2599&amp;"|"&amp;F2599&amp;"|"&amp;G2599&amp;"|"&amp;H2599&amp;"|"&amp;I2599&amp;"|"&amp;J2599&amp;"|"&amp;K2599&amp;"|"&amp;L2599&amp;"|"&amp;M2599&amp;"|"&amp;N2599</f>
        <v>ORD10635|2025-03-21|20:20|C1046|Filter Coffee &amp; Tiffin|Chennai|South Indian|1|105|0|net banking|Delivered|30|5</v>
      </c>
      <c r="P2599" s="7" t="str">
        <f aca="false">IF(COUNTIF($O$2:O2599,O2599)&gt;1,"DUP","OK")</f>
        <v>OK</v>
      </c>
      <c r="Q2599" s="7" t="n">
        <f aca="false">COUNTBLANK(A2599:N2599)</f>
        <v>0</v>
      </c>
      <c r="R2599" s="7" t="n">
        <f aca="false">IF(A2599="",0,COUNTIFS($A$2:$A$3058,A2599,$P$2:$P$3058,"OK"))</f>
        <v>1</v>
      </c>
      <c r="S2599" s="7" t="str">
        <f aca="false">IF(OR(A2599="",P2599="DUP",R2599&lt;2),"",IF(Q2599=_xlfn.MINIFS($Q$2:$Q$3058,$A$2:$A$3058,A2599,$P$2:$P$3058,"OK"),"KEEP","DROP"))</f>
        <v/>
      </c>
      <c r="T2599" s="9" t="n">
        <f aca="false">IF(A2599="",1,0)</f>
        <v>0</v>
      </c>
      <c r="U2599" s="9" t="n">
        <f aca="false">IF(D2599="",1,0)</f>
        <v>0</v>
      </c>
      <c r="V2599" s="9" t="n">
        <f aca="false">IF(E2599="",1,0)</f>
        <v>0</v>
      </c>
      <c r="W2599" s="9" t="n">
        <f aca="false">IF(OR(H2599&lt;1,H2599&gt;10),1,0)</f>
        <v>0</v>
      </c>
      <c r="X2599" s="9" t="n">
        <f aca="false">IF(OR(I2599&lt;=0,I2599&gt;1500),1,0)</f>
        <v>0</v>
      </c>
      <c r="Y2599" s="9" t="n">
        <f aca="false">IF(J2599&gt;H2599*I2599,1,0)</f>
        <v>0</v>
      </c>
      <c r="Z2599" s="9" t="n">
        <f aca="false">IF(AND(N2599&lt;&gt;"",OR(N2599&lt;1,N2599&gt;5)),1,0)</f>
        <v>0</v>
      </c>
      <c r="AA2599" s="9" t="n">
        <f aca="false">IF(AND(M2599&lt;&gt;"",OR(M2599&lt;5,M2599&gt;180)),1,0)</f>
        <v>0</v>
      </c>
      <c r="AB2599" s="7" t="str">
        <f aca="false">IF(P2599="DUP","Exact duplicate row",IF(T2599=1,"Missing Order ID",IF(S2599="DROP","Duplicate Order ID (less complete row)",IF(U2599=1,"Missing Customer ID",IF(V2599=1,"Missing Restaurant name",IF(W2599=1,"Invalid/outlier quantity",IF(X2599=1,"Invalid/outlier unit price",IF(Y2599=1,"Discount greater than order value",""))))))))</f>
        <v/>
      </c>
      <c r="AC2599" s="7" t="str">
        <f aca="false">IF(AB2599="","KEEP","DROP")</f>
        <v>KEEP</v>
      </c>
      <c r="AD2599" s="7" t="str">
        <f aca="false">IF(TRIM(F2599)="",IFERROR(INDEX(Map_Tables!$I$4:$I$37,MATCH(TRIM(E2599),Map_Tables!$G$4:$G$37,0)),""),IFERROR(INDEX(Map_Tables!$B$4:$B$18,MATCH(TRIM(F2599),Map_Tables!$A$4:$A$18,0)),"CHECK"))</f>
        <v>Chennai</v>
      </c>
      <c r="AE2599" s="7" t="str">
        <f aca="false">IF(TRIM(E2599)="","",IFERROR(INDEX(Map_Tables!$H$4:$H$37,MATCH(TRIM(E2599),Map_Tables!$G$4:$G$37,0)),"CHECK"))</f>
        <v>Filter Coffee &amp; Tiffin</v>
      </c>
      <c r="AF2599" s="7" t="str">
        <f aca="false">IF(TRIM(K2599)="","Unknown",IFERROR(INDEX(Map_Tables!$E$4:$E$15,MATCH(TRIM(K2599),Map_Tables!$D$4:$D$15,0)),"CHECK"))</f>
        <v>Net Banking</v>
      </c>
      <c r="AG2599" s="7" t="str">
        <f aca="false">IF(LEFT(LOWER(TRIM(L2599)),6)="cancel","Cancelled","Delivered")</f>
        <v>Delivered</v>
      </c>
      <c r="AH2599" s="10" t="n">
        <f aca="false">IF(ISNUMBER(SEARCH("/",B2599)),DATE(VALUE(RIGHT(B2599,4)),VALUE(MID(B2599,4,2)),VALUE(LEFT(B2599,2))),IF(MID(B2599,5,1)="-",DATE(VALUE(LEFT(B2599,4)),VALUE(MID(B2599,6,2)),VALUE(RIGHT(B2599,2))),DATE(VALUE(RIGHT(B2599,4)),MATCH(MID(B2599,4,3),{"Jan","Feb","Mar","Apr","May","Jun","Jul","Aug","Sep","Oct","Nov","Dec"},0),VALUE(LEFT(B2599,2)))))</f>
        <v>45737</v>
      </c>
    </row>
    <row r="2600" customFormat="false" ht="15" hidden="false" customHeight="false" outlineLevel="0" collapsed="false">
      <c r="A2600" s="7" t="s">
        <v>5595</v>
      </c>
      <c r="B2600" s="7" t="s">
        <v>322</v>
      </c>
      <c r="C2600" s="7" t="s">
        <v>4353</v>
      </c>
      <c r="D2600" s="7" t="s">
        <v>5211</v>
      </c>
      <c r="E2600" s="7" t="s">
        <v>155</v>
      </c>
      <c r="F2600" s="7" t="s">
        <v>128</v>
      </c>
      <c r="G2600" s="7" t="s">
        <v>156</v>
      </c>
      <c r="H2600" s="7" t="n">
        <v>3</v>
      </c>
      <c r="I2600" s="7" t="n">
        <v>245</v>
      </c>
      <c r="J2600" s="7" t="n">
        <v>150</v>
      </c>
      <c r="K2600" s="7" t="s">
        <v>88</v>
      </c>
      <c r="L2600" s="7" t="s">
        <v>194</v>
      </c>
      <c r="M2600" s="7" t="n">
        <v>47</v>
      </c>
      <c r="N2600" s="7" t="n">
        <v>4</v>
      </c>
      <c r="O2600" s="7" t="str">
        <f aca="false">A2600&amp;"|"&amp;B2600&amp;"|"&amp;C2600&amp;"|"&amp;D2600&amp;"|"&amp;E2600&amp;"|"&amp;F2600&amp;"|"&amp;G2600&amp;"|"&amp;H2600&amp;"|"&amp;I2600&amp;"|"&amp;J2600&amp;"|"&amp;K2600&amp;"|"&amp;L2600&amp;"|"&amp;M2600&amp;"|"&amp;N2600</f>
        <v>ORD11056|2025-05-13|14:24|C0660|Green Bowl Kitchen|Chennai|Healthy Food|3|245|150|UPI|Delivered|47|4</v>
      </c>
      <c r="P2600" s="7" t="str">
        <f aca="false">IF(COUNTIF($O$2:O2600,O2600)&gt;1,"DUP","OK")</f>
        <v>OK</v>
      </c>
      <c r="Q2600" s="7" t="n">
        <f aca="false">COUNTBLANK(A2600:N2600)</f>
        <v>0</v>
      </c>
      <c r="R2600" s="7" t="n">
        <f aca="false">IF(A2600="",0,COUNTIFS($A$2:$A$3058,A2600,$P$2:$P$3058,"OK"))</f>
        <v>1</v>
      </c>
      <c r="S2600" s="7" t="str">
        <f aca="false">IF(OR(A2600="",P2600="DUP",R2600&lt;2),"",IF(Q2600=_xlfn.MINIFS($Q$2:$Q$3058,$A$2:$A$3058,A2600,$P$2:$P$3058,"OK"),"KEEP","DROP"))</f>
        <v/>
      </c>
      <c r="T2600" s="9" t="n">
        <f aca="false">IF(A2600="",1,0)</f>
        <v>0</v>
      </c>
      <c r="U2600" s="9" t="n">
        <f aca="false">IF(D2600="",1,0)</f>
        <v>0</v>
      </c>
      <c r="V2600" s="9" t="n">
        <f aca="false">IF(E2600="",1,0)</f>
        <v>0</v>
      </c>
      <c r="W2600" s="9" t="n">
        <f aca="false">IF(OR(H2600&lt;1,H2600&gt;10),1,0)</f>
        <v>0</v>
      </c>
      <c r="X2600" s="9" t="n">
        <f aca="false">IF(OR(I2600&lt;=0,I2600&gt;1500),1,0)</f>
        <v>0</v>
      </c>
      <c r="Y2600" s="9" t="n">
        <f aca="false">IF(J2600&gt;H2600*I2600,1,0)</f>
        <v>0</v>
      </c>
      <c r="Z2600" s="9" t="n">
        <f aca="false">IF(AND(N2600&lt;&gt;"",OR(N2600&lt;1,N2600&gt;5)),1,0)</f>
        <v>0</v>
      </c>
      <c r="AA2600" s="9" t="n">
        <f aca="false">IF(AND(M2600&lt;&gt;"",OR(M2600&lt;5,M2600&gt;180)),1,0)</f>
        <v>0</v>
      </c>
      <c r="AB2600" s="7" t="str">
        <f aca="false">IF(P2600="DUP","Exact duplicate row",IF(T2600=1,"Missing Order ID",IF(S2600="DROP","Duplicate Order ID (less complete row)",IF(U2600=1,"Missing Customer ID",IF(V2600=1,"Missing Restaurant name",IF(W2600=1,"Invalid/outlier quantity",IF(X2600=1,"Invalid/outlier unit price",IF(Y2600=1,"Discount greater than order value",""))))))))</f>
        <v/>
      </c>
      <c r="AC2600" s="7" t="str">
        <f aca="false">IF(AB2600="","KEEP","DROP")</f>
        <v>KEEP</v>
      </c>
      <c r="AD2600" s="7" t="str">
        <f aca="false">IF(TRIM(F2600)="",IFERROR(INDEX(Map_Tables!$I$4:$I$37,MATCH(TRIM(E2600),Map_Tables!$G$4:$G$37,0)),""),IFERROR(INDEX(Map_Tables!$B$4:$B$18,MATCH(TRIM(F2600),Map_Tables!$A$4:$A$18,0)),"CHECK"))</f>
        <v>Chennai</v>
      </c>
      <c r="AE2600" s="7" t="str">
        <f aca="false">IF(TRIM(E2600)="","",IFERROR(INDEX(Map_Tables!$H$4:$H$37,MATCH(TRIM(E2600),Map_Tables!$G$4:$G$37,0)),"CHECK"))</f>
        <v>Green Bowl Kitchen</v>
      </c>
      <c r="AF2600" s="7" t="str">
        <f aca="false">IF(TRIM(K2600)="","Unknown",IFERROR(INDEX(Map_Tables!$E$4:$E$15,MATCH(TRIM(K2600),Map_Tables!$D$4:$D$15,0)),"CHECK"))</f>
        <v>UPI</v>
      </c>
      <c r="AG2600" s="7" t="str">
        <f aca="false">IF(LEFT(LOWER(TRIM(L2600)),6)="cancel","Cancelled","Delivered")</f>
        <v>Delivered</v>
      </c>
      <c r="AH2600" s="10" t="n">
        <f aca="false">IF(ISNUMBER(SEARCH("/",B2600)),DATE(VALUE(RIGHT(B2600,4)),VALUE(MID(B2600,4,2)),VALUE(LEFT(B2600,2))),IF(MID(B2600,5,1)="-",DATE(VALUE(LEFT(B2600,4)),VALUE(MID(B2600,6,2)),VALUE(RIGHT(B2600,2))),DATE(VALUE(RIGHT(B2600,4)),MATCH(MID(B2600,4,3),{"Jan","Feb","Mar","Apr","May","Jun","Jul","Aug","Sep","Oct","Nov","Dec"},0),VALUE(LEFT(B2600,2)))))</f>
        <v>45790</v>
      </c>
    </row>
    <row r="2601" customFormat="false" ht="15" hidden="false" customHeight="false" outlineLevel="0" collapsed="false">
      <c r="A2601" s="7" t="s">
        <v>5596</v>
      </c>
      <c r="B2601" s="7" t="s">
        <v>2231</v>
      </c>
      <c r="C2601" s="7" t="s">
        <v>1674</v>
      </c>
      <c r="D2601" s="7" t="s">
        <v>1498</v>
      </c>
      <c r="E2601" s="7" t="s">
        <v>148</v>
      </c>
      <c r="F2601" s="7" t="s">
        <v>119</v>
      </c>
      <c r="G2601" s="7" t="s">
        <v>123</v>
      </c>
      <c r="H2601" s="7" t="n">
        <v>2</v>
      </c>
      <c r="I2601" s="7" t="n">
        <v>300</v>
      </c>
      <c r="J2601" s="7" t="n">
        <v>20</v>
      </c>
      <c r="K2601" s="7" t="s">
        <v>88</v>
      </c>
      <c r="L2601" s="7" t="s">
        <v>194</v>
      </c>
      <c r="M2601" s="7" t="n">
        <v>40</v>
      </c>
      <c r="N2601" s="7" t="n">
        <v>4</v>
      </c>
      <c r="O2601" s="7" t="str">
        <f aca="false">A2601&amp;"|"&amp;B2601&amp;"|"&amp;C2601&amp;"|"&amp;D2601&amp;"|"&amp;E2601&amp;"|"&amp;F2601&amp;"|"&amp;G2601&amp;"|"&amp;H2601&amp;"|"&amp;I2601&amp;"|"&amp;J2601&amp;"|"&amp;K2601&amp;"|"&amp;L2601&amp;"|"&amp;M2601&amp;"|"&amp;N2601</f>
        <v>ORD12341|2025-10-22|17:34|C1133|Pizza Palace|Hyderabad|Pizza|2|300|20|UPI|Delivered|40|4</v>
      </c>
      <c r="P2601" s="7" t="str">
        <f aca="false">IF(COUNTIF($O$2:O2601,O2601)&gt;1,"DUP","OK")</f>
        <v>OK</v>
      </c>
      <c r="Q2601" s="7" t="n">
        <f aca="false">COUNTBLANK(A2601:N2601)</f>
        <v>0</v>
      </c>
      <c r="R2601" s="7" t="n">
        <f aca="false">IF(A2601="",0,COUNTIFS($A$2:$A$3058,A2601,$P$2:$P$3058,"OK"))</f>
        <v>1</v>
      </c>
      <c r="S2601" s="7" t="str">
        <f aca="false">IF(OR(A2601="",P2601="DUP",R2601&lt;2),"",IF(Q2601=_xlfn.MINIFS($Q$2:$Q$3058,$A$2:$A$3058,A2601,$P$2:$P$3058,"OK"),"KEEP","DROP"))</f>
        <v/>
      </c>
      <c r="T2601" s="9" t="n">
        <f aca="false">IF(A2601="",1,0)</f>
        <v>0</v>
      </c>
      <c r="U2601" s="9" t="n">
        <f aca="false">IF(D2601="",1,0)</f>
        <v>0</v>
      </c>
      <c r="V2601" s="9" t="n">
        <f aca="false">IF(E2601="",1,0)</f>
        <v>0</v>
      </c>
      <c r="W2601" s="9" t="n">
        <f aca="false">IF(OR(H2601&lt;1,H2601&gt;10),1,0)</f>
        <v>0</v>
      </c>
      <c r="X2601" s="9" t="n">
        <f aca="false">IF(OR(I2601&lt;=0,I2601&gt;1500),1,0)</f>
        <v>0</v>
      </c>
      <c r="Y2601" s="9" t="n">
        <f aca="false">IF(J2601&gt;H2601*I2601,1,0)</f>
        <v>0</v>
      </c>
      <c r="Z2601" s="9" t="n">
        <f aca="false">IF(AND(N2601&lt;&gt;"",OR(N2601&lt;1,N2601&gt;5)),1,0)</f>
        <v>0</v>
      </c>
      <c r="AA2601" s="9" t="n">
        <f aca="false">IF(AND(M2601&lt;&gt;"",OR(M2601&lt;5,M2601&gt;180)),1,0)</f>
        <v>0</v>
      </c>
      <c r="AB2601" s="7" t="str">
        <f aca="false">IF(P2601="DUP","Exact duplicate row",IF(T2601=1,"Missing Order ID",IF(S2601="DROP","Duplicate Order ID (less complete row)",IF(U2601=1,"Missing Customer ID",IF(V2601=1,"Missing Restaurant name",IF(W2601=1,"Invalid/outlier quantity",IF(X2601=1,"Invalid/outlier unit price",IF(Y2601=1,"Discount greater than order value",""))))))))</f>
        <v/>
      </c>
      <c r="AC2601" s="7" t="str">
        <f aca="false">IF(AB2601="","KEEP","DROP")</f>
        <v>KEEP</v>
      </c>
      <c r="AD2601" s="7" t="str">
        <f aca="false">IF(TRIM(F2601)="",IFERROR(INDEX(Map_Tables!$I$4:$I$37,MATCH(TRIM(E2601),Map_Tables!$G$4:$G$37,0)),""),IFERROR(INDEX(Map_Tables!$B$4:$B$18,MATCH(TRIM(F2601),Map_Tables!$A$4:$A$18,0)),"CHECK"))</f>
        <v>Hyderabad</v>
      </c>
      <c r="AE2601" s="7" t="str">
        <f aca="false">IF(TRIM(E2601)="","",IFERROR(INDEX(Map_Tables!$H$4:$H$37,MATCH(TRIM(E2601),Map_Tables!$G$4:$G$37,0)),"CHECK"))</f>
        <v>Pizza Palace</v>
      </c>
      <c r="AF2601" s="7" t="str">
        <f aca="false">IF(TRIM(K2601)="","Unknown",IFERROR(INDEX(Map_Tables!$E$4:$E$15,MATCH(TRIM(K2601),Map_Tables!$D$4:$D$15,0)),"CHECK"))</f>
        <v>UPI</v>
      </c>
      <c r="AG2601" s="7" t="str">
        <f aca="false">IF(LEFT(LOWER(TRIM(L2601)),6)="cancel","Cancelled","Delivered")</f>
        <v>Delivered</v>
      </c>
      <c r="AH2601" s="10" t="n">
        <f aca="false">IF(ISNUMBER(SEARCH("/",B2601)),DATE(VALUE(RIGHT(B2601,4)),VALUE(MID(B2601,4,2)),VALUE(LEFT(B2601,2))),IF(MID(B2601,5,1)="-",DATE(VALUE(LEFT(B2601,4)),VALUE(MID(B2601,6,2)),VALUE(RIGHT(B2601,2))),DATE(VALUE(RIGHT(B2601,4)),MATCH(MID(B2601,4,3),{"Jan","Feb","Mar","Apr","May","Jun","Jul","Aug","Sep","Oct","Nov","Dec"},0),VALUE(LEFT(B2601,2)))))</f>
        <v>45952</v>
      </c>
    </row>
    <row r="2602" customFormat="false" ht="15" hidden="false" customHeight="false" outlineLevel="0" collapsed="false">
      <c r="A2602" s="7" t="s">
        <v>5597</v>
      </c>
      <c r="B2602" s="7" t="s">
        <v>5598</v>
      </c>
      <c r="C2602" s="7" t="s">
        <v>5599</v>
      </c>
      <c r="D2602" s="7" t="s">
        <v>2988</v>
      </c>
      <c r="E2602" s="7" t="s">
        <v>167</v>
      </c>
      <c r="F2602" s="7" t="s">
        <v>146</v>
      </c>
      <c r="G2602" s="7" t="s">
        <v>156</v>
      </c>
      <c r="H2602" s="7" t="n">
        <v>4</v>
      </c>
      <c r="I2602" s="7" t="n">
        <v>295</v>
      </c>
      <c r="J2602" s="7" t="n">
        <v>0</v>
      </c>
      <c r="K2602" s="7" t="s">
        <v>88</v>
      </c>
      <c r="L2602" s="7" t="s">
        <v>194</v>
      </c>
      <c r="M2602" s="7" t="n">
        <v>31</v>
      </c>
      <c r="N2602" s="7" t="n">
        <v>3</v>
      </c>
      <c r="O2602" s="7" t="str">
        <f aca="false">A2602&amp;"|"&amp;B2602&amp;"|"&amp;C2602&amp;"|"&amp;D2602&amp;"|"&amp;E2602&amp;"|"&amp;F2602&amp;"|"&amp;G2602&amp;"|"&amp;H2602&amp;"|"&amp;I2602&amp;"|"&amp;J2602&amp;"|"&amp;K2602&amp;"|"&amp;L2602&amp;"|"&amp;M2602&amp;"|"&amp;N2602</f>
        <v>ORD11709|12-Aug-2025|22:21|C1332|Fit Fuel Kitchen|Ahmedabad|Healthy Food|4|295|0|UPI|Delivered|31|3</v>
      </c>
      <c r="P2602" s="7" t="str">
        <f aca="false">IF(COUNTIF($O$2:O2602,O2602)&gt;1,"DUP","OK")</f>
        <v>OK</v>
      </c>
      <c r="Q2602" s="7" t="n">
        <f aca="false">COUNTBLANK(A2602:N2602)</f>
        <v>0</v>
      </c>
      <c r="R2602" s="7" t="n">
        <f aca="false">IF(A2602="",0,COUNTIFS($A$2:$A$3058,A2602,$P$2:$P$3058,"OK"))</f>
        <v>1</v>
      </c>
      <c r="S2602" s="7" t="str">
        <f aca="false">IF(OR(A2602="",P2602="DUP",R2602&lt;2),"",IF(Q2602=_xlfn.MINIFS($Q$2:$Q$3058,$A$2:$A$3058,A2602,$P$2:$P$3058,"OK"),"KEEP","DROP"))</f>
        <v/>
      </c>
      <c r="T2602" s="9" t="n">
        <f aca="false">IF(A2602="",1,0)</f>
        <v>0</v>
      </c>
      <c r="U2602" s="9" t="n">
        <f aca="false">IF(D2602="",1,0)</f>
        <v>0</v>
      </c>
      <c r="V2602" s="9" t="n">
        <f aca="false">IF(E2602="",1,0)</f>
        <v>0</v>
      </c>
      <c r="W2602" s="9" t="n">
        <f aca="false">IF(OR(H2602&lt;1,H2602&gt;10),1,0)</f>
        <v>0</v>
      </c>
      <c r="X2602" s="9" t="n">
        <f aca="false">IF(OR(I2602&lt;=0,I2602&gt;1500),1,0)</f>
        <v>0</v>
      </c>
      <c r="Y2602" s="9" t="n">
        <f aca="false">IF(J2602&gt;H2602*I2602,1,0)</f>
        <v>0</v>
      </c>
      <c r="Z2602" s="9" t="n">
        <f aca="false">IF(AND(N2602&lt;&gt;"",OR(N2602&lt;1,N2602&gt;5)),1,0)</f>
        <v>0</v>
      </c>
      <c r="AA2602" s="9" t="n">
        <f aca="false">IF(AND(M2602&lt;&gt;"",OR(M2602&lt;5,M2602&gt;180)),1,0)</f>
        <v>0</v>
      </c>
      <c r="AB2602" s="7" t="str">
        <f aca="false">IF(P2602="DUP","Exact duplicate row",IF(T2602=1,"Missing Order ID",IF(S2602="DROP","Duplicate Order ID (less complete row)",IF(U2602=1,"Missing Customer ID",IF(V2602=1,"Missing Restaurant name",IF(W2602=1,"Invalid/outlier quantity",IF(X2602=1,"Invalid/outlier unit price",IF(Y2602=1,"Discount greater than order value",""))))))))</f>
        <v/>
      </c>
      <c r="AC2602" s="7" t="str">
        <f aca="false">IF(AB2602="","KEEP","DROP")</f>
        <v>KEEP</v>
      </c>
      <c r="AD2602" s="7" t="str">
        <f aca="false">IF(TRIM(F2602)="",IFERROR(INDEX(Map_Tables!$I$4:$I$37,MATCH(TRIM(E2602),Map_Tables!$G$4:$G$37,0)),""),IFERROR(INDEX(Map_Tables!$B$4:$B$18,MATCH(TRIM(F2602),Map_Tables!$A$4:$A$18,0)),"CHECK"))</f>
        <v>Ahmedabad</v>
      </c>
      <c r="AE2602" s="7" t="str">
        <f aca="false">IF(TRIM(E2602)="","",IFERROR(INDEX(Map_Tables!$H$4:$H$37,MATCH(TRIM(E2602),Map_Tables!$G$4:$G$37,0)),"CHECK"))</f>
        <v>Fit Fuel Kitchen</v>
      </c>
      <c r="AF2602" s="7" t="str">
        <f aca="false">IF(TRIM(K2602)="","Unknown",IFERROR(INDEX(Map_Tables!$E$4:$E$15,MATCH(TRIM(K2602),Map_Tables!$D$4:$D$15,0)),"CHECK"))</f>
        <v>UPI</v>
      </c>
      <c r="AG2602" s="7" t="str">
        <f aca="false">IF(LEFT(LOWER(TRIM(L2602)),6)="cancel","Cancelled","Delivered")</f>
        <v>Delivered</v>
      </c>
      <c r="AH2602" s="10" t="n">
        <f aca="false">IF(ISNUMBER(SEARCH("/",B2602)),DATE(VALUE(RIGHT(B2602,4)),VALUE(MID(B2602,4,2)),VALUE(LEFT(B2602,2))),IF(MID(B2602,5,1)="-",DATE(VALUE(LEFT(B2602,4)),VALUE(MID(B2602,6,2)),VALUE(RIGHT(B2602,2))),DATE(VALUE(RIGHT(B2602,4)),MATCH(MID(B2602,4,3),{"Jan","Feb","Mar","Apr","May","Jun","Jul","Aug","Sep","Oct","Nov","Dec"},0),VALUE(LEFT(B2602,2)))))</f>
        <v>45881</v>
      </c>
    </row>
    <row r="2603" customFormat="false" ht="15" hidden="false" customHeight="false" outlineLevel="0" collapsed="false">
      <c r="A2603" s="7" t="s">
        <v>5600</v>
      </c>
      <c r="B2603" s="7" t="s">
        <v>739</v>
      </c>
      <c r="C2603" s="7" t="s">
        <v>2405</v>
      </c>
      <c r="D2603" s="7" t="s">
        <v>3765</v>
      </c>
      <c r="E2603" s="7" t="s">
        <v>113</v>
      </c>
      <c r="F2603" s="7" t="s">
        <v>101</v>
      </c>
      <c r="G2603" s="7" t="s">
        <v>90</v>
      </c>
      <c r="H2603" s="7" t="n">
        <v>2</v>
      </c>
      <c r="I2603" s="7" t="n">
        <v>250</v>
      </c>
      <c r="J2603" s="7" t="n">
        <v>0</v>
      </c>
      <c r="K2603" s="7" t="s">
        <v>92</v>
      </c>
      <c r="L2603" s="7" t="s">
        <v>194</v>
      </c>
      <c r="M2603" s="7" t="n">
        <v>48</v>
      </c>
      <c r="N2603" s="7" t="n">
        <v>3</v>
      </c>
      <c r="O2603" s="7" t="str">
        <f aca="false">A2603&amp;"|"&amp;B2603&amp;"|"&amp;C2603&amp;"|"&amp;D2603&amp;"|"&amp;E2603&amp;"|"&amp;F2603&amp;"|"&amp;G2603&amp;"|"&amp;H2603&amp;"|"&amp;I2603&amp;"|"&amp;J2603&amp;"|"&amp;K2603&amp;"|"&amp;L2603&amp;"|"&amp;M2603&amp;"|"&amp;N2603</f>
        <v>ORD10797|2025-04-11|13:48|C0637|Curry Leaf Kitchen|Mumbai|North Indian|2|250|0|credit card|Delivered|48|3</v>
      </c>
      <c r="P2603" s="7" t="str">
        <f aca="false">IF(COUNTIF($O$2:O2603,O2603)&gt;1,"DUP","OK")</f>
        <v>OK</v>
      </c>
      <c r="Q2603" s="7" t="n">
        <f aca="false">COUNTBLANK(A2603:N2603)</f>
        <v>0</v>
      </c>
      <c r="R2603" s="7" t="n">
        <f aca="false">IF(A2603="",0,COUNTIFS($A$2:$A$3058,A2603,$P$2:$P$3058,"OK"))</f>
        <v>1</v>
      </c>
      <c r="S2603" s="7" t="str">
        <f aca="false">IF(OR(A2603="",P2603="DUP",R2603&lt;2),"",IF(Q2603=_xlfn.MINIFS($Q$2:$Q$3058,$A$2:$A$3058,A2603,$P$2:$P$3058,"OK"),"KEEP","DROP"))</f>
        <v/>
      </c>
      <c r="T2603" s="9" t="n">
        <f aca="false">IF(A2603="",1,0)</f>
        <v>0</v>
      </c>
      <c r="U2603" s="9" t="n">
        <f aca="false">IF(D2603="",1,0)</f>
        <v>0</v>
      </c>
      <c r="V2603" s="9" t="n">
        <f aca="false">IF(E2603="",1,0)</f>
        <v>0</v>
      </c>
      <c r="W2603" s="9" t="n">
        <f aca="false">IF(OR(H2603&lt;1,H2603&gt;10),1,0)</f>
        <v>0</v>
      </c>
      <c r="X2603" s="9" t="n">
        <f aca="false">IF(OR(I2603&lt;=0,I2603&gt;1500),1,0)</f>
        <v>0</v>
      </c>
      <c r="Y2603" s="9" t="n">
        <f aca="false">IF(J2603&gt;H2603*I2603,1,0)</f>
        <v>0</v>
      </c>
      <c r="Z2603" s="9" t="n">
        <f aca="false">IF(AND(N2603&lt;&gt;"",OR(N2603&lt;1,N2603&gt;5)),1,0)</f>
        <v>0</v>
      </c>
      <c r="AA2603" s="9" t="n">
        <f aca="false">IF(AND(M2603&lt;&gt;"",OR(M2603&lt;5,M2603&gt;180)),1,0)</f>
        <v>0</v>
      </c>
      <c r="AB2603" s="7" t="str">
        <f aca="false">IF(P2603="DUP","Exact duplicate row",IF(T2603=1,"Missing Order ID",IF(S2603="DROP","Duplicate Order ID (less complete row)",IF(U2603=1,"Missing Customer ID",IF(V2603=1,"Missing Restaurant name",IF(W2603=1,"Invalid/outlier quantity",IF(X2603=1,"Invalid/outlier unit price",IF(Y2603=1,"Discount greater than order value",""))))))))</f>
        <v/>
      </c>
      <c r="AC2603" s="7" t="str">
        <f aca="false">IF(AB2603="","KEEP","DROP")</f>
        <v>KEEP</v>
      </c>
      <c r="AD2603" s="7" t="str">
        <f aca="false">IF(TRIM(F2603)="",IFERROR(INDEX(Map_Tables!$I$4:$I$37,MATCH(TRIM(E2603),Map_Tables!$G$4:$G$37,0)),""),IFERROR(INDEX(Map_Tables!$B$4:$B$18,MATCH(TRIM(F2603),Map_Tables!$A$4:$A$18,0)),"CHECK"))</f>
        <v>Mumbai</v>
      </c>
      <c r="AE2603" s="7" t="str">
        <f aca="false">IF(TRIM(E2603)="","",IFERROR(INDEX(Map_Tables!$H$4:$H$37,MATCH(TRIM(E2603),Map_Tables!$G$4:$G$37,0)),"CHECK"))</f>
        <v>Curry Leaf Kitchen</v>
      </c>
      <c r="AF2603" s="7" t="str">
        <f aca="false">IF(TRIM(K2603)="","Unknown",IFERROR(INDEX(Map_Tables!$E$4:$E$15,MATCH(TRIM(K2603),Map_Tables!$D$4:$D$15,0)),"CHECK"))</f>
        <v>Credit Card</v>
      </c>
      <c r="AG2603" s="7" t="str">
        <f aca="false">IF(LEFT(LOWER(TRIM(L2603)),6)="cancel","Cancelled","Delivered")</f>
        <v>Delivered</v>
      </c>
      <c r="AH2603" s="10" t="n">
        <f aca="false">IF(ISNUMBER(SEARCH("/",B2603)),DATE(VALUE(RIGHT(B2603,4)),VALUE(MID(B2603,4,2)),VALUE(LEFT(B2603,2))),IF(MID(B2603,5,1)="-",DATE(VALUE(LEFT(B2603,4)),VALUE(MID(B2603,6,2)),VALUE(RIGHT(B2603,2))),DATE(VALUE(RIGHT(B2603,4)),MATCH(MID(B2603,4,3),{"Jan","Feb","Mar","Apr","May","Jun","Jul","Aug","Sep","Oct","Nov","Dec"},0),VALUE(LEFT(B2603,2)))))</f>
        <v>45758</v>
      </c>
    </row>
    <row r="2604" customFormat="false" ht="15" hidden="false" customHeight="false" outlineLevel="0" collapsed="false">
      <c r="A2604" s="7" t="s">
        <v>5601</v>
      </c>
      <c r="B2604" s="7" t="s">
        <v>4326</v>
      </c>
      <c r="C2604" s="7" t="s">
        <v>3048</v>
      </c>
      <c r="D2604" s="7" t="s">
        <v>4285</v>
      </c>
      <c r="E2604" s="7" t="s">
        <v>167</v>
      </c>
      <c r="F2604" s="7" t="s">
        <v>146</v>
      </c>
      <c r="G2604" s="7" t="s">
        <v>156</v>
      </c>
      <c r="H2604" s="7" t="n">
        <v>4</v>
      </c>
      <c r="I2604" s="7" t="n">
        <v>305</v>
      </c>
      <c r="J2604" s="7" t="n">
        <v>0</v>
      </c>
      <c r="K2604" s="7" t="s">
        <v>88</v>
      </c>
      <c r="L2604" s="7" t="s">
        <v>194</v>
      </c>
      <c r="M2604" s="7" t="n">
        <v>38</v>
      </c>
      <c r="N2604" s="7" t="n">
        <v>5</v>
      </c>
      <c r="O2604" s="7" t="str">
        <f aca="false">A2604&amp;"|"&amp;B2604&amp;"|"&amp;C2604&amp;"|"&amp;D2604&amp;"|"&amp;E2604&amp;"|"&amp;F2604&amp;"|"&amp;G2604&amp;"|"&amp;H2604&amp;"|"&amp;I2604&amp;"|"&amp;J2604&amp;"|"&amp;K2604&amp;"|"&amp;L2604&amp;"|"&amp;M2604&amp;"|"&amp;N2604</f>
        <v>ORD12805|09/12/2025|14:42|C0630|Fit Fuel Kitchen|Ahmedabad|Healthy Food|4|305|0|UPI|Delivered|38|5</v>
      </c>
      <c r="P2604" s="7" t="str">
        <f aca="false">IF(COUNTIF($O$2:O2604,O2604)&gt;1,"DUP","OK")</f>
        <v>OK</v>
      </c>
      <c r="Q2604" s="7" t="n">
        <f aca="false">COUNTBLANK(A2604:N2604)</f>
        <v>0</v>
      </c>
      <c r="R2604" s="7" t="n">
        <f aca="false">IF(A2604="",0,COUNTIFS($A$2:$A$3058,A2604,$P$2:$P$3058,"OK"))</f>
        <v>1</v>
      </c>
      <c r="S2604" s="7" t="str">
        <f aca="false">IF(OR(A2604="",P2604="DUP",R2604&lt;2),"",IF(Q2604=_xlfn.MINIFS($Q$2:$Q$3058,$A$2:$A$3058,A2604,$P$2:$P$3058,"OK"),"KEEP","DROP"))</f>
        <v/>
      </c>
      <c r="T2604" s="9" t="n">
        <f aca="false">IF(A2604="",1,0)</f>
        <v>0</v>
      </c>
      <c r="U2604" s="9" t="n">
        <f aca="false">IF(D2604="",1,0)</f>
        <v>0</v>
      </c>
      <c r="V2604" s="9" t="n">
        <f aca="false">IF(E2604="",1,0)</f>
        <v>0</v>
      </c>
      <c r="W2604" s="9" t="n">
        <f aca="false">IF(OR(H2604&lt;1,H2604&gt;10),1,0)</f>
        <v>0</v>
      </c>
      <c r="X2604" s="9" t="n">
        <f aca="false">IF(OR(I2604&lt;=0,I2604&gt;1500),1,0)</f>
        <v>0</v>
      </c>
      <c r="Y2604" s="9" t="n">
        <f aca="false">IF(J2604&gt;H2604*I2604,1,0)</f>
        <v>0</v>
      </c>
      <c r="Z2604" s="9" t="n">
        <f aca="false">IF(AND(N2604&lt;&gt;"",OR(N2604&lt;1,N2604&gt;5)),1,0)</f>
        <v>0</v>
      </c>
      <c r="AA2604" s="9" t="n">
        <f aca="false">IF(AND(M2604&lt;&gt;"",OR(M2604&lt;5,M2604&gt;180)),1,0)</f>
        <v>0</v>
      </c>
      <c r="AB2604" s="7" t="str">
        <f aca="false">IF(P2604="DUP","Exact duplicate row",IF(T2604=1,"Missing Order ID",IF(S2604="DROP","Duplicate Order ID (less complete row)",IF(U2604=1,"Missing Customer ID",IF(V2604=1,"Missing Restaurant name",IF(W2604=1,"Invalid/outlier quantity",IF(X2604=1,"Invalid/outlier unit price",IF(Y2604=1,"Discount greater than order value",""))))))))</f>
        <v/>
      </c>
      <c r="AC2604" s="7" t="str">
        <f aca="false">IF(AB2604="","KEEP","DROP")</f>
        <v>KEEP</v>
      </c>
      <c r="AD2604" s="7" t="str">
        <f aca="false">IF(TRIM(F2604)="",IFERROR(INDEX(Map_Tables!$I$4:$I$37,MATCH(TRIM(E2604),Map_Tables!$G$4:$G$37,0)),""),IFERROR(INDEX(Map_Tables!$B$4:$B$18,MATCH(TRIM(F2604),Map_Tables!$A$4:$A$18,0)),"CHECK"))</f>
        <v>Ahmedabad</v>
      </c>
      <c r="AE2604" s="7" t="str">
        <f aca="false">IF(TRIM(E2604)="","",IFERROR(INDEX(Map_Tables!$H$4:$H$37,MATCH(TRIM(E2604),Map_Tables!$G$4:$G$37,0)),"CHECK"))</f>
        <v>Fit Fuel Kitchen</v>
      </c>
      <c r="AF2604" s="7" t="str">
        <f aca="false">IF(TRIM(K2604)="","Unknown",IFERROR(INDEX(Map_Tables!$E$4:$E$15,MATCH(TRIM(K2604),Map_Tables!$D$4:$D$15,0)),"CHECK"))</f>
        <v>UPI</v>
      </c>
      <c r="AG2604" s="7" t="str">
        <f aca="false">IF(LEFT(LOWER(TRIM(L2604)),6)="cancel","Cancelled","Delivered")</f>
        <v>Delivered</v>
      </c>
      <c r="AH2604" s="10" t="n">
        <f aca="false">IF(ISNUMBER(SEARCH("/",B2604)),DATE(VALUE(RIGHT(B2604,4)),VALUE(MID(B2604,4,2)),VALUE(LEFT(B2604,2))),IF(MID(B2604,5,1)="-",DATE(VALUE(LEFT(B2604,4)),VALUE(MID(B2604,6,2)),VALUE(RIGHT(B2604,2))),DATE(VALUE(RIGHT(B2604,4)),MATCH(MID(B2604,4,3),{"Jan","Feb","Mar","Apr","May","Jun","Jul","Aug","Sep","Oct","Nov","Dec"},0),VALUE(LEFT(B2604,2)))))</f>
        <v>46000</v>
      </c>
    </row>
    <row r="2605" customFormat="false" ht="15" hidden="false" customHeight="false" outlineLevel="0" collapsed="false">
      <c r="A2605" s="7" t="s">
        <v>5602</v>
      </c>
      <c r="B2605" s="7" t="s">
        <v>912</v>
      </c>
      <c r="C2605" s="7" t="s">
        <v>1704</v>
      </c>
      <c r="D2605" s="7" t="s">
        <v>5603</v>
      </c>
      <c r="E2605" s="7" t="s">
        <v>104</v>
      </c>
      <c r="F2605" s="7" t="s">
        <v>449</v>
      </c>
      <c r="G2605" s="7" t="s">
        <v>105</v>
      </c>
      <c r="H2605" s="7" t="n">
        <v>1</v>
      </c>
      <c r="I2605" s="7" t="n">
        <v>165</v>
      </c>
      <c r="J2605" s="7" t="n">
        <v>66</v>
      </c>
      <c r="K2605" s="7" t="s">
        <v>88</v>
      </c>
      <c r="L2605" s="7" t="s">
        <v>194</v>
      </c>
      <c r="M2605" s="7" t="n">
        <v>36</v>
      </c>
      <c r="N2605" s="7" t="n">
        <v>4</v>
      </c>
      <c r="O2605" s="7" t="str">
        <f aca="false">A2605&amp;"|"&amp;B2605&amp;"|"&amp;C2605&amp;"|"&amp;D2605&amp;"|"&amp;E2605&amp;"|"&amp;F2605&amp;"|"&amp;G2605&amp;"|"&amp;H2605&amp;"|"&amp;I2605&amp;"|"&amp;J2605&amp;"|"&amp;K2605&amp;"|"&amp;L2605&amp;"|"&amp;M2605&amp;"|"&amp;N2605</f>
        <v>ORD10175|2025-01-23|20:01|C0721|Wok &amp; Roll|BLR|Chinese|1|165|66|UPI|Delivered|36|4</v>
      </c>
      <c r="P2605" s="7" t="str">
        <f aca="false">IF(COUNTIF($O$2:O2605,O2605)&gt;1,"DUP","OK")</f>
        <v>OK</v>
      </c>
      <c r="Q2605" s="7" t="n">
        <f aca="false">COUNTBLANK(A2605:N2605)</f>
        <v>0</v>
      </c>
      <c r="R2605" s="7" t="n">
        <f aca="false">IF(A2605="",0,COUNTIFS($A$2:$A$3058,A2605,$P$2:$P$3058,"OK"))</f>
        <v>1</v>
      </c>
      <c r="S2605" s="7" t="str">
        <f aca="false">IF(OR(A2605="",P2605="DUP",R2605&lt;2),"",IF(Q2605=_xlfn.MINIFS($Q$2:$Q$3058,$A$2:$A$3058,A2605,$P$2:$P$3058,"OK"),"KEEP","DROP"))</f>
        <v/>
      </c>
      <c r="T2605" s="9" t="n">
        <f aca="false">IF(A2605="",1,0)</f>
        <v>0</v>
      </c>
      <c r="U2605" s="9" t="n">
        <f aca="false">IF(D2605="",1,0)</f>
        <v>0</v>
      </c>
      <c r="V2605" s="9" t="n">
        <f aca="false">IF(E2605="",1,0)</f>
        <v>0</v>
      </c>
      <c r="W2605" s="9" t="n">
        <f aca="false">IF(OR(H2605&lt;1,H2605&gt;10),1,0)</f>
        <v>0</v>
      </c>
      <c r="X2605" s="9" t="n">
        <f aca="false">IF(OR(I2605&lt;=0,I2605&gt;1500),1,0)</f>
        <v>0</v>
      </c>
      <c r="Y2605" s="9" t="n">
        <f aca="false">IF(J2605&gt;H2605*I2605,1,0)</f>
        <v>0</v>
      </c>
      <c r="Z2605" s="9" t="n">
        <f aca="false">IF(AND(N2605&lt;&gt;"",OR(N2605&lt;1,N2605&gt;5)),1,0)</f>
        <v>0</v>
      </c>
      <c r="AA2605" s="9" t="n">
        <f aca="false">IF(AND(M2605&lt;&gt;"",OR(M2605&lt;5,M2605&gt;180)),1,0)</f>
        <v>0</v>
      </c>
      <c r="AB2605" s="7" t="str">
        <f aca="false">IF(P2605="DUP","Exact duplicate row",IF(T2605=1,"Missing Order ID",IF(S2605="DROP","Duplicate Order ID (less complete row)",IF(U2605=1,"Missing Customer ID",IF(V2605=1,"Missing Restaurant name",IF(W2605=1,"Invalid/outlier quantity",IF(X2605=1,"Invalid/outlier unit price",IF(Y2605=1,"Discount greater than order value",""))))))))</f>
        <v/>
      </c>
      <c r="AC2605" s="7" t="str">
        <f aca="false">IF(AB2605="","KEEP","DROP")</f>
        <v>KEEP</v>
      </c>
      <c r="AD2605" s="7" t="str">
        <f aca="false">IF(TRIM(F2605)="",IFERROR(INDEX(Map_Tables!$I$4:$I$37,MATCH(TRIM(E2605),Map_Tables!$G$4:$G$37,0)),""),IFERROR(INDEX(Map_Tables!$B$4:$B$18,MATCH(TRIM(F2605),Map_Tables!$A$4:$A$18,0)),"CHECK"))</f>
        <v>Bengaluru</v>
      </c>
      <c r="AE2605" s="7" t="str">
        <f aca="false">IF(TRIM(E2605)="","",IFERROR(INDEX(Map_Tables!$H$4:$H$37,MATCH(TRIM(E2605),Map_Tables!$G$4:$G$37,0)),"CHECK"))</f>
        <v>Wok &amp; Roll</v>
      </c>
      <c r="AF2605" s="7" t="str">
        <f aca="false">IF(TRIM(K2605)="","Unknown",IFERROR(INDEX(Map_Tables!$E$4:$E$15,MATCH(TRIM(K2605),Map_Tables!$D$4:$D$15,0)),"CHECK"))</f>
        <v>UPI</v>
      </c>
      <c r="AG2605" s="7" t="str">
        <f aca="false">IF(LEFT(LOWER(TRIM(L2605)),6)="cancel","Cancelled","Delivered")</f>
        <v>Delivered</v>
      </c>
      <c r="AH2605" s="10" t="n">
        <f aca="false">IF(ISNUMBER(SEARCH("/",B2605)),DATE(VALUE(RIGHT(B2605,4)),VALUE(MID(B2605,4,2)),VALUE(LEFT(B2605,2))),IF(MID(B2605,5,1)="-",DATE(VALUE(LEFT(B2605,4)),VALUE(MID(B2605,6,2)),VALUE(RIGHT(B2605,2))),DATE(VALUE(RIGHT(B2605,4)),MATCH(MID(B2605,4,3),{"Jan","Feb","Mar","Apr","May","Jun","Jul","Aug","Sep","Oct","Nov","Dec"},0),VALUE(LEFT(B2605,2)))))</f>
        <v>45680</v>
      </c>
    </row>
    <row r="2606" customFormat="false" ht="15" hidden="false" customHeight="false" outlineLevel="0" collapsed="false">
      <c r="A2606" s="7" t="s">
        <v>5604</v>
      </c>
      <c r="B2606" s="7" t="s">
        <v>1894</v>
      </c>
      <c r="C2606" s="7" t="s">
        <v>2800</v>
      </c>
      <c r="D2606" s="7" t="s">
        <v>1702</v>
      </c>
      <c r="E2606" s="7" t="s">
        <v>2660</v>
      </c>
      <c r="F2606" s="7" t="s">
        <v>128</v>
      </c>
      <c r="G2606" s="7" t="s">
        <v>99</v>
      </c>
      <c r="H2606" s="7" t="n">
        <v>2</v>
      </c>
      <c r="I2606" s="7" t="n">
        <v>310</v>
      </c>
      <c r="J2606" s="7" t="n">
        <v>0</v>
      </c>
      <c r="K2606" s="7" t="s">
        <v>93</v>
      </c>
      <c r="L2606" s="7" t="s">
        <v>194</v>
      </c>
      <c r="M2606" s="7" t="n">
        <v>37</v>
      </c>
      <c r="N2606" s="7" t="n">
        <v>4</v>
      </c>
      <c r="O2606" s="7" t="str">
        <f aca="false">A2606&amp;"|"&amp;B2606&amp;"|"&amp;C2606&amp;"|"&amp;D2606&amp;"|"&amp;E2606&amp;"|"&amp;F2606&amp;"|"&amp;G2606&amp;"|"&amp;H2606&amp;"|"&amp;I2606&amp;"|"&amp;J2606&amp;"|"&amp;K2606&amp;"|"&amp;L2606&amp;"|"&amp;M2606&amp;"|"&amp;N2606</f>
        <v>ORD10246|2025-02-02|10:46|C0845|Madras Biryani Co |Chennai|Biryani|2|310|0|Credit Card|Delivered|37|4</v>
      </c>
      <c r="P2606" s="7" t="str">
        <f aca="false">IF(COUNTIF($O$2:O2606,O2606)&gt;1,"DUP","OK")</f>
        <v>OK</v>
      </c>
      <c r="Q2606" s="7" t="n">
        <f aca="false">COUNTBLANK(A2606:N2606)</f>
        <v>0</v>
      </c>
      <c r="R2606" s="7" t="n">
        <f aca="false">IF(A2606="",0,COUNTIFS($A$2:$A$3058,A2606,$P$2:$P$3058,"OK"))</f>
        <v>1</v>
      </c>
      <c r="S2606" s="7" t="str">
        <f aca="false">IF(OR(A2606="",P2606="DUP",R2606&lt;2),"",IF(Q2606=_xlfn.MINIFS($Q$2:$Q$3058,$A$2:$A$3058,A2606,$P$2:$P$3058,"OK"),"KEEP","DROP"))</f>
        <v/>
      </c>
      <c r="T2606" s="9" t="n">
        <f aca="false">IF(A2606="",1,0)</f>
        <v>0</v>
      </c>
      <c r="U2606" s="9" t="n">
        <f aca="false">IF(D2606="",1,0)</f>
        <v>0</v>
      </c>
      <c r="V2606" s="9" t="n">
        <f aca="false">IF(E2606="",1,0)</f>
        <v>0</v>
      </c>
      <c r="W2606" s="9" t="n">
        <f aca="false">IF(OR(H2606&lt;1,H2606&gt;10),1,0)</f>
        <v>0</v>
      </c>
      <c r="X2606" s="9" t="n">
        <f aca="false">IF(OR(I2606&lt;=0,I2606&gt;1500),1,0)</f>
        <v>0</v>
      </c>
      <c r="Y2606" s="9" t="n">
        <f aca="false">IF(J2606&gt;H2606*I2606,1,0)</f>
        <v>0</v>
      </c>
      <c r="Z2606" s="9" t="n">
        <f aca="false">IF(AND(N2606&lt;&gt;"",OR(N2606&lt;1,N2606&gt;5)),1,0)</f>
        <v>0</v>
      </c>
      <c r="AA2606" s="9" t="n">
        <f aca="false">IF(AND(M2606&lt;&gt;"",OR(M2606&lt;5,M2606&gt;180)),1,0)</f>
        <v>0</v>
      </c>
      <c r="AB2606" s="7" t="str">
        <f aca="false">IF(P2606="DUP","Exact duplicate row",IF(T2606=1,"Missing Order ID",IF(S2606="DROP","Duplicate Order ID (less complete row)",IF(U2606=1,"Missing Customer ID",IF(V2606=1,"Missing Restaurant name",IF(W2606=1,"Invalid/outlier quantity",IF(X2606=1,"Invalid/outlier unit price",IF(Y2606=1,"Discount greater than order value",""))))))))</f>
        <v/>
      </c>
      <c r="AC2606" s="7" t="str">
        <f aca="false">IF(AB2606="","KEEP","DROP")</f>
        <v>KEEP</v>
      </c>
      <c r="AD2606" s="7" t="str">
        <f aca="false">IF(TRIM(F2606)="",IFERROR(INDEX(Map_Tables!$I$4:$I$37,MATCH(TRIM(E2606),Map_Tables!$G$4:$G$37,0)),""),IFERROR(INDEX(Map_Tables!$B$4:$B$18,MATCH(TRIM(F2606),Map_Tables!$A$4:$A$18,0)),"CHECK"))</f>
        <v>Chennai</v>
      </c>
      <c r="AE2606" s="7" t="str">
        <f aca="false">IF(TRIM(E2606)="","",IFERROR(INDEX(Map_Tables!$H$4:$H$37,MATCH(TRIM(E2606),Map_Tables!$G$4:$G$37,0)),"CHECK"))</f>
        <v>Madras Biryani Co</v>
      </c>
      <c r="AF2606" s="7" t="str">
        <f aca="false">IF(TRIM(K2606)="","Unknown",IFERROR(INDEX(Map_Tables!$E$4:$E$15,MATCH(TRIM(K2606),Map_Tables!$D$4:$D$15,0)),"CHECK"))</f>
        <v>Credit Card</v>
      </c>
      <c r="AG2606" s="7" t="str">
        <f aca="false">IF(LEFT(LOWER(TRIM(L2606)),6)="cancel","Cancelled","Delivered")</f>
        <v>Delivered</v>
      </c>
      <c r="AH2606" s="10" t="n">
        <f aca="false">IF(ISNUMBER(SEARCH("/",B2606)),DATE(VALUE(RIGHT(B2606,4)),VALUE(MID(B2606,4,2)),VALUE(LEFT(B2606,2))),IF(MID(B2606,5,1)="-",DATE(VALUE(LEFT(B2606,4)),VALUE(MID(B2606,6,2)),VALUE(RIGHT(B2606,2))),DATE(VALUE(RIGHT(B2606,4)),MATCH(MID(B2606,4,3),{"Jan","Feb","Mar","Apr","May","Jun","Jul","Aug","Sep","Oct","Nov","Dec"},0),VALUE(LEFT(B2606,2)))))</f>
        <v>45690</v>
      </c>
    </row>
    <row r="2607" customFormat="false" ht="15" hidden="false" customHeight="false" outlineLevel="0" collapsed="false">
      <c r="A2607" s="7" t="s">
        <v>5605</v>
      </c>
      <c r="B2607" s="7" t="s">
        <v>1663</v>
      </c>
      <c r="C2607" s="7" t="s">
        <v>5606</v>
      </c>
      <c r="D2607" s="7" t="s">
        <v>1521</v>
      </c>
      <c r="E2607" s="7" t="s">
        <v>168</v>
      </c>
      <c r="F2607" s="7"/>
      <c r="G2607" s="7" t="s">
        <v>123</v>
      </c>
      <c r="H2607" s="7" t="n">
        <v>1</v>
      </c>
      <c r="I2607" s="7" t="n">
        <v>295</v>
      </c>
      <c r="J2607" s="7" t="n">
        <v>20</v>
      </c>
      <c r="K2607" s="7" t="s">
        <v>88</v>
      </c>
      <c r="L2607" s="7" t="s">
        <v>194</v>
      </c>
      <c r="M2607" s="7" t="n">
        <v>28</v>
      </c>
      <c r="N2607" s="7" t="n">
        <v>4</v>
      </c>
      <c r="O2607" s="7" t="str">
        <f aca="false">A2607&amp;"|"&amp;B2607&amp;"|"&amp;C2607&amp;"|"&amp;D2607&amp;"|"&amp;E2607&amp;"|"&amp;F2607&amp;"|"&amp;G2607&amp;"|"&amp;H2607&amp;"|"&amp;I2607&amp;"|"&amp;J2607&amp;"|"&amp;K2607&amp;"|"&amp;L2607&amp;"|"&amp;M2607&amp;"|"&amp;N2607</f>
        <v>ORD11081|2025-05-17|18:06|C0475|Cheesy Slice||Pizza|1|295|20|UPI|Delivered|28|4</v>
      </c>
      <c r="P2607" s="7" t="str">
        <f aca="false">IF(COUNTIF($O$2:O2607,O2607)&gt;1,"DUP","OK")</f>
        <v>OK</v>
      </c>
      <c r="Q2607" s="7" t="n">
        <f aca="false">COUNTBLANK(A2607:N2607)</f>
        <v>1</v>
      </c>
      <c r="R2607" s="7" t="n">
        <f aca="false">IF(A2607="",0,COUNTIFS($A$2:$A$3058,A2607,$P$2:$P$3058,"OK"))</f>
        <v>1</v>
      </c>
      <c r="S2607" s="7" t="str">
        <f aca="false">IF(OR(A2607="",P2607="DUP",R2607&lt;2),"",IF(Q2607=_xlfn.MINIFS($Q$2:$Q$3058,$A$2:$A$3058,A2607,$P$2:$P$3058,"OK"),"KEEP","DROP"))</f>
        <v/>
      </c>
      <c r="T2607" s="9" t="n">
        <f aca="false">IF(A2607="",1,0)</f>
        <v>0</v>
      </c>
      <c r="U2607" s="9" t="n">
        <f aca="false">IF(D2607="",1,0)</f>
        <v>0</v>
      </c>
      <c r="V2607" s="9" t="n">
        <f aca="false">IF(E2607="",1,0)</f>
        <v>0</v>
      </c>
      <c r="W2607" s="9" t="n">
        <f aca="false">IF(OR(H2607&lt;1,H2607&gt;10),1,0)</f>
        <v>0</v>
      </c>
      <c r="X2607" s="9" t="n">
        <f aca="false">IF(OR(I2607&lt;=0,I2607&gt;1500),1,0)</f>
        <v>0</v>
      </c>
      <c r="Y2607" s="9" t="n">
        <f aca="false">IF(J2607&gt;H2607*I2607,1,0)</f>
        <v>0</v>
      </c>
      <c r="Z2607" s="9" t="n">
        <f aca="false">IF(AND(N2607&lt;&gt;"",OR(N2607&lt;1,N2607&gt;5)),1,0)</f>
        <v>0</v>
      </c>
      <c r="AA2607" s="9" t="n">
        <f aca="false">IF(AND(M2607&lt;&gt;"",OR(M2607&lt;5,M2607&gt;180)),1,0)</f>
        <v>0</v>
      </c>
      <c r="AB2607" s="7" t="str">
        <f aca="false">IF(P2607="DUP","Exact duplicate row",IF(T2607=1,"Missing Order ID",IF(S2607="DROP","Duplicate Order ID (less complete row)",IF(U2607=1,"Missing Customer ID",IF(V2607=1,"Missing Restaurant name",IF(W2607=1,"Invalid/outlier quantity",IF(X2607=1,"Invalid/outlier unit price",IF(Y2607=1,"Discount greater than order value",""))))))))</f>
        <v/>
      </c>
      <c r="AC2607" s="7" t="str">
        <f aca="false">IF(AB2607="","KEEP","DROP")</f>
        <v>KEEP</v>
      </c>
      <c r="AD2607" s="7" t="str">
        <f aca="false">IF(TRIM(F2607)="",IFERROR(INDEX(Map_Tables!$I$4:$I$37,MATCH(TRIM(E2607),Map_Tables!$G$4:$G$37,0)),""),IFERROR(INDEX(Map_Tables!$B$4:$B$18,MATCH(TRIM(F2607),Map_Tables!$A$4:$A$18,0)),"CHECK"))</f>
        <v>Ahmedabad</v>
      </c>
      <c r="AE2607" s="7" t="str">
        <f aca="false">IF(TRIM(E2607)="","",IFERROR(INDEX(Map_Tables!$H$4:$H$37,MATCH(TRIM(E2607),Map_Tables!$G$4:$G$37,0)),"CHECK"))</f>
        <v>Cheesy Slice</v>
      </c>
      <c r="AF2607" s="7" t="str">
        <f aca="false">IF(TRIM(K2607)="","Unknown",IFERROR(INDEX(Map_Tables!$E$4:$E$15,MATCH(TRIM(K2607),Map_Tables!$D$4:$D$15,0)),"CHECK"))</f>
        <v>UPI</v>
      </c>
      <c r="AG2607" s="7" t="str">
        <f aca="false">IF(LEFT(LOWER(TRIM(L2607)),6)="cancel","Cancelled","Delivered")</f>
        <v>Delivered</v>
      </c>
      <c r="AH2607" s="10" t="n">
        <f aca="false">IF(ISNUMBER(SEARCH("/",B2607)),DATE(VALUE(RIGHT(B2607,4)),VALUE(MID(B2607,4,2)),VALUE(LEFT(B2607,2))),IF(MID(B2607,5,1)="-",DATE(VALUE(LEFT(B2607,4)),VALUE(MID(B2607,6,2)),VALUE(RIGHT(B2607,2))),DATE(VALUE(RIGHT(B2607,4)),MATCH(MID(B2607,4,3),{"Jan","Feb","Mar","Apr","May","Jun","Jul","Aug","Sep","Oct","Nov","Dec"},0),VALUE(LEFT(B2607,2)))))</f>
        <v>45794</v>
      </c>
    </row>
    <row r="2608" customFormat="false" ht="15" hidden="false" customHeight="false" outlineLevel="0" collapsed="false">
      <c r="A2608" s="7" t="s">
        <v>5607</v>
      </c>
      <c r="B2608" s="7" t="s">
        <v>1500</v>
      </c>
      <c r="C2608" s="7" t="s">
        <v>4540</v>
      </c>
      <c r="D2608" s="7" t="s">
        <v>3687</v>
      </c>
      <c r="E2608" s="7" t="s">
        <v>134</v>
      </c>
      <c r="F2608" s="7" t="s">
        <v>756</v>
      </c>
      <c r="G2608" s="7" t="s">
        <v>117</v>
      </c>
      <c r="H2608" s="7" t="n">
        <v>2</v>
      </c>
      <c r="I2608" s="7" t="n">
        <v>105</v>
      </c>
      <c r="J2608" s="7" t="n">
        <v>84</v>
      </c>
      <c r="K2608" s="7" t="s">
        <v>121</v>
      </c>
      <c r="L2608" s="7" t="s">
        <v>194</v>
      </c>
      <c r="M2608" s="7" t="n">
        <v>29</v>
      </c>
      <c r="N2608" s="7" t="n">
        <v>5</v>
      </c>
      <c r="O2608" s="7" t="str">
        <f aca="false">A2608&amp;"|"&amp;B2608&amp;"|"&amp;C2608&amp;"|"&amp;D2608&amp;"|"&amp;E2608&amp;"|"&amp;F2608&amp;"|"&amp;G2608&amp;"|"&amp;H2608&amp;"|"&amp;I2608&amp;"|"&amp;J2608&amp;"|"&amp;K2608&amp;"|"&amp;L2608&amp;"|"&amp;M2608&amp;"|"&amp;N2608</f>
        <v>ORD11655|2025-08-04|18:45|C0912|Chaat Corner|Delhi |Street Food|2|105|84|Wallet|Delivered|29|5</v>
      </c>
      <c r="P2608" s="7" t="str">
        <f aca="false">IF(COUNTIF($O$2:O2608,O2608)&gt;1,"DUP","OK")</f>
        <v>OK</v>
      </c>
      <c r="Q2608" s="7" t="n">
        <f aca="false">COUNTBLANK(A2608:N2608)</f>
        <v>0</v>
      </c>
      <c r="R2608" s="7" t="n">
        <f aca="false">IF(A2608="",0,COUNTIFS($A$2:$A$3058,A2608,$P$2:$P$3058,"OK"))</f>
        <v>1</v>
      </c>
      <c r="S2608" s="7" t="str">
        <f aca="false">IF(OR(A2608="",P2608="DUP",R2608&lt;2),"",IF(Q2608=_xlfn.MINIFS($Q$2:$Q$3058,$A$2:$A$3058,A2608,$P$2:$P$3058,"OK"),"KEEP","DROP"))</f>
        <v/>
      </c>
      <c r="T2608" s="9" t="n">
        <f aca="false">IF(A2608="",1,0)</f>
        <v>0</v>
      </c>
      <c r="U2608" s="9" t="n">
        <f aca="false">IF(D2608="",1,0)</f>
        <v>0</v>
      </c>
      <c r="V2608" s="9" t="n">
        <f aca="false">IF(E2608="",1,0)</f>
        <v>0</v>
      </c>
      <c r="W2608" s="9" t="n">
        <f aca="false">IF(OR(H2608&lt;1,H2608&gt;10),1,0)</f>
        <v>0</v>
      </c>
      <c r="X2608" s="9" t="n">
        <f aca="false">IF(OR(I2608&lt;=0,I2608&gt;1500),1,0)</f>
        <v>0</v>
      </c>
      <c r="Y2608" s="9" t="n">
        <f aca="false">IF(J2608&gt;H2608*I2608,1,0)</f>
        <v>0</v>
      </c>
      <c r="Z2608" s="9" t="n">
        <f aca="false">IF(AND(N2608&lt;&gt;"",OR(N2608&lt;1,N2608&gt;5)),1,0)</f>
        <v>0</v>
      </c>
      <c r="AA2608" s="9" t="n">
        <f aca="false">IF(AND(M2608&lt;&gt;"",OR(M2608&lt;5,M2608&gt;180)),1,0)</f>
        <v>0</v>
      </c>
      <c r="AB2608" s="7" t="str">
        <f aca="false">IF(P2608="DUP","Exact duplicate row",IF(T2608=1,"Missing Order ID",IF(S2608="DROP","Duplicate Order ID (less complete row)",IF(U2608=1,"Missing Customer ID",IF(V2608=1,"Missing Restaurant name",IF(W2608=1,"Invalid/outlier quantity",IF(X2608=1,"Invalid/outlier unit price",IF(Y2608=1,"Discount greater than order value",""))))))))</f>
        <v/>
      </c>
      <c r="AC2608" s="7" t="str">
        <f aca="false">IF(AB2608="","KEEP","DROP")</f>
        <v>KEEP</v>
      </c>
      <c r="AD2608" s="7" t="str">
        <f aca="false">IF(TRIM(F2608)="",IFERROR(INDEX(Map_Tables!$I$4:$I$37,MATCH(TRIM(E2608),Map_Tables!$G$4:$G$37,0)),""),IFERROR(INDEX(Map_Tables!$B$4:$B$18,MATCH(TRIM(F2608),Map_Tables!$A$4:$A$18,0)),"CHECK"))</f>
        <v>Delhi</v>
      </c>
      <c r="AE2608" s="7" t="str">
        <f aca="false">IF(TRIM(E2608)="","",IFERROR(INDEX(Map_Tables!$H$4:$H$37,MATCH(TRIM(E2608),Map_Tables!$G$4:$G$37,0)),"CHECK"))</f>
        <v>Chaat Corner</v>
      </c>
      <c r="AF2608" s="7" t="str">
        <f aca="false">IF(TRIM(K2608)="","Unknown",IFERROR(INDEX(Map_Tables!$E$4:$E$15,MATCH(TRIM(K2608),Map_Tables!$D$4:$D$15,0)),"CHECK"))</f>
        <v>Wallet</v>
      </c>
      <c r="AG2608" s="7" t="str">
        <f aca="false">IF(LEFT(LOWER(TRIM(L2608)),6)="cancel","Cancelled","Delivered")</f>
        <v>Delivered</v>
      </c>
      <c r="AH2608" s="10" t="n">
        <f aca="false">IF(ISNUMBER(SEARCH("/",B2608)),DATE(VALUE(RIGHT(B2608,4)),VALUE(MID(B2608,4,2)),VALUE(LEFT(B2608,2))),IF(MID(B2608,5,1)="-",DATE(VALUE(LEFT(B2608,4)),VALUE(MID(B2608,6,2)),VALUE(RIGHT(B2608,2))),DATE(VALUE(RIGHT(B2608,4)),MATCH(MID(B2608,4,3),{"Jan","Feb","Mar","Apr","May","Jun","Jul","Aug","Sep","Oct","Nov","Dec"},0),VALUE(LEFT(B2608,2)))))</f>
        <v>45873</v>
      </c>
    </row>
    <row r="2609" customFormat="false" ht="15" hidden="false" customHeight="false" outlineLevel="0" collapsed="false">
      <c r="A2609" s="7" t="s">
        <v>2087</v>
      </c>
      <c r="B2609" s="7" t="s">
        <v>1535</v>
      </c>
      <c r="C2609" s="7" t="s">
        <v>2088</v>
      </c>
      <c r="D2609" s="7" t="s">
        <v>1632</v>
      </c>
      <c r="E2609" s="7" t="s">
        <v>138</v>
      </c>
      <c r="F2609" s="7" t="s">
        <v>110</v>
      </c>
      <c r="G2609" s="7" t="s">
        <v>139</v>
      </c>
      <c r="H2609" s="7" t="n">
        <v>2</v>
      </c>
      <c r="I2609" s="7" t="n">
        <v>165</v>
      </c>
      <c r="J2609" s="7" t="n">
        <v>0</v>
      </c>
      <c r="K2609" s="7" t="s">
        <v>93</v>
      </c>
      <c r="L2609" s="7" t="s">
        <v>194</v>
      </c>
      <c r="M2609" s="7" t="n">
        <v>46</v>
      </c>
      <c r="N2609" s="7" t="n">
        <v>4</v>
      </c>
      <c r="O2609" s="7" t="str">
        <f aca="false">A2609&amp;"|"&amp;B2609&amp;"|"&amp;C2609&amp;"|"&amp;D2609&amp;"|"&amp;E2609&amp;"|"&amp;F2609&amp;"|"&amp;G2609&amp;"|"&amp;H2609&amp;"|"&amp;I2609&amp;"|"&amp;J2609&amp;"|"&amp;K2609&amp;"|"&amp;L2609&amp;"|"&amp;M2609&amp;"|"&amp;N2609</f>
        <v>ORD12021|2025-09-18|19:56|C0540|Burger Barn|Delhi|Burgers|2|165|0|Credit Card|Delivered|46|4</v>
      </c>
      <c r="P2609" s="7" t="str">
        <f aca="false">IF(COUNTIF($O$2:O2609,O2609)&gt;1,"DUP","OK")</f>
        <v>DUP</v>
      </c>
      <c r="Q2609" s="7" t="n">
        <f aca="false">COUNTBLANK(A2609:N2609)</f>
        <v>0</v>
      </c>
      <c r="R2609" s="7" t="n">
        <f aca="false">IF(A2609="",0,COUNTIFS($A$2:$A$3058,A2609,$P$2:$P$3058,"OK"))</f>
        <v>1</v>
      </c>
      <c r="S2609" s="7" t="str">
        <f aca="false">IF(OR(A2609="",P2609="DUP",R2609&lt;2),"",IF(Q2609=_xlfn.MINIFS($Q$2:$Q$3058,$A$2:$A$3058,A2609,$P$2:$P$3058,"OK"),"KEEP","DROP"))</f>
        <v/>
      </c>
      <c r="T2609" s="9" t="n">
        <f aca="false">IF(A2609="",1,0)</f>
        <v>0</v>
      </c>
      <c r="U2609" s="9" t="n">
        <f aca="false">IF(D2609="",1,0)</f>
        <v>0</v>
      </c>
      <c r="V2609" s="9" t="n">
        <f aca="false">IF(E2609="",1,0)</f>
        <v>0</v>
      </c>
      <c r="W2609" s="9" t="n">
        <f aca="false">IF(OR(H2609&lt;1,H2609&gt;10),1,0)</f>
        <v>0</v>
      </c>
      <c r="X2609" s="9" t="n">
        <f aca="false">IF(OR(I2609&lt;=0,I2609&gt;1500),1,0)</f>
        <v>0</v>
      </c>
      <c r="Y2609" s="9" t="n">
        <f aca="false">IF(J2609&gt;H2609*I2609,1,0)</f>
        <v>0</v>
      </c>
      <c r="Z2609" s="9" t="n">
        <f aca="false">IF(AND(N2609&lt;&gt;"",OR(N2609&lt;1,N2609&gt;5)),1,0)</f>
        <v>0</v>
      </c>
      <c r="AA2609" s="9" t="n">
        <f aca="false">IF(AND(M2609&lt;&gt;"",OR(M2609&lt;5,M2609&gt;180)),1,0)</f>
        <v>0</v>
      </c>
      <c r="AB2609" s="7" t="str">
        <f aca="false">IF(P2609="DUP","Exact duplicate row",IF(T2609=1,"Missing Order ID",IF(S2609="DROP","Duplicate Order ID (less complete row)",IF(U2609=1,"Missing Customer ID",IF(V2609=1,"Missing Restaurant name",IF(W2609=1,"Invalid/outlier quantity",IF(X2609=1,"Invalid/outlier unit price",IF(Y2609=1,"Discount greater than order value",""))))))))</f>
        <v>Exact duplicate row</v>
      </c>
      <c r="AC2609" s="7" t="str">
        <f aca="false">IF(AB2609="","KEEP","DROP")</f>
        <v>DROP</v>
      </c>
      <c r="AD2609" s="7" t="str">
        <f aca="false">IF(TRIM(F2609)="",IFERROR(INDEX(Map_Tables!$I$4:$I$37,MATCH(TRIM(E2609),Map_Tables!$G$4:$G$37,0)),""),IFERROR(INDEX(Map_Tables!$B$4:$B$18,MATCH(TRIM(F2609),Map_Tables!$A$4:$A$18,0)),"CHECK"))</f>
        <v>Delhi</v>
      </c>
      <c r="AE2609" s="7" t="str">
        <f aca="false">IF(TRIM(E2609)="","",IFERROR(INDEX(Map_Tables!$H$4:$H$37,MATCH(TRIM(E2609),Map_Tables!$G$4:$G$37,0)),"CHECK"))</f>
        <v>Burger Barn</v>
      </c>
      <c r="AF2609" s="7" t="str">
        <f aca="false">IF(TRIM(K2609)="","Unknown",IFERROR(INDEX(Map_Tables!$E$4:$E$15,MATCH(TRIM(K2609),Map_Tables!$D$4:$D$15,0)),"CHECK"))</f>
        <v>Credit Card</v>
      </c>
      <c r="AG2609" s="7" t="str">
        <f aca="false">IF(LEFT(LOWER(TRIM(L2609)),6)="cancel","Cancelled","Delivered")</f>
        <v>Delivered</v>
      </c>
      <c r="AH2609" s="10" t="n">
        <f aca="false">IF(ISNUMBER(SEARCH("/",B2609)),DATE(VALUE(RIGHT(B2609,4)),VALUE(MID(B2609,4,2)),VALUE(LEFT(B2609,2))),IF(MID(B2609,5,1)="-",DATE(VALUE(LEFT(B2609,4)),VALUE(MID(B2609,6,2)),VALUE(RIGHT(B2609,2))),DATE(VALUE(RIGHT(B2609,4)),MATCH(MID(B2609,4,3),{"Jan","Feb","Mar","Apr","May","Jun","Jul","Aug","Sep","Oct","Nov","Dec"},0),VALUE(LEFT(B2609,2)))))</f>
        <v>45918</v>
      </c>
    </row>
    <row r="2610" customFormat="false" ht="15" hidden="false" customHeight="false" outlineLevel="0" collapsed="false">
      <c r="A2610" s="7" t="s">
        <v>5608</v>
      </c>
      <c r="B2610" s="7" t="s">
        <v>1354</v>
      </c>
      <c r="C2610" s="7" t="s">
        <v>4531</v>
      </c>
      <c r="D2610" s="7" t="s">
        <v>5609</v>
      </c>
      <c r="E2610" s="7" t="s">
        <v>98</v>
      </c>
      <c r="F2610" s="7" t="s">
        <v>86</v>
      </c>
      <c r="G2610" s="7" t="s">
        <v>99</v>
      </c>
      <c r="H2610" s="7" t="n">
        <v>4</v>
      </c>
      <c r="I2610" s="7" t="n">
        <v>305</v>
      </c>
      <c r="J2610" s="7" t="n">
        <v>0</v>
      </c>
      <c r="K2610" s="7" t="s">
        <v>115</v>
      </c>
      <c r="L2610" s="7" t="s">
        <v>238</v>
      </c>
      <c r="M2610" s="7"/>
      <c r="N2610" s="7"/>
      <c r="O2610" s="7" t="str">
        <f aca="false">A2610&amp;"|"&amp;B2610&amp;"|"&amp;C2610&amp;"|"&amp;D2610&amp;"|"&amp;E2610&amp;"|"&amp;F2610&amp;"|"&amp;G2610&amp;"|"&amp;H2610&amp;"|"&amp;I2610&amp;"|"&amp;J2610&amp;"|"&amp;K2610&amp;"|"&amp;L2610&amp;"|"&amp;M2610&amp;"|"&amp;N2610</f>
        <v>ORD10145|2025-01-19|21:17|C0670|Nawabi Biryani House|Bengaluru|Biryani|4|305|0|cash on delivery|Cancelled||</v>
      </c>
      <c r="P2610" s="7" t="str">
        <f aca="false">IF(COUNTIF($O$2:O2610,O2610)&gt;1,"DUP","OK")</f>
        <v>OK</v>
      </c>
      <c r="Q2610" s="7" t="n">
        <f aca="false">COUNTBLANK(A2610:N2610)</f>
        <v>2</v>
      </c>
      <c r="R2610" s="7" t="n">
        <f aca="false">IF(A2610="",0,COUNTIFS($A$2:$A$3058,A2610,$P$2:$P$3058,"OK"))</f>
        <v>1</v>
      </c>
      <c r="S2610" s="7" t="str">
        <f aca="false">IF(OR(A2610="",P2610="DUP",R2610&lt;2),"",IF(Q2610=_xlfn.MINIFS($Q$2:$Q$3058,$A$2:$A$3058,A2610,$P$2:$P$3058,"OK"),"KEEP","DROP"))</f>
        <v/>
      </c>
      <c r="T2610" s="9" t="n">
        <f aca="false">IF(A2610="",1,0)</f>
        <v>0</v>
      </c>
      <c r="U2610" s="9" t="n">
        <f aca="false">IF(D2610="",1,0)</f>
        <v>0</v>
      </c>
      <c r="V2610" s="9" t="n">
        <f aca="false">IF(E2610="",1,0)</f>
        <v>0</v>
      </c>
      <c r="W2610" s="9" t="n">
        <f aca="false">IF(OR(H2610&lt;1,H2610&gt;10),1,0)</f>
        <v>0</v>
      </c>
      <c r="X2610" s="9" t="n">
        <f aca="false">IF(OR(I2610&lt;=0,I2610&gt;1500),1,0)</f>
        <v>0</v>
      </c>
      <c r="Y2610" s="9" t="n">
        <f aca="false">IF(J2610&gt;H2610*I2610,1,0)</f>
        <v>0</v>
      </c>
      <c r="Z2610" s="9" t="n">
        <f aca="false">IF(AND(N2610&lt;&gt;"",OR(N2610&lt;1,N2610&gt;5)),1,0)</f>
        <v>0</v>
      </c>
      <c r="AA2610" s="9" t="n">
        <f aca="false">IF(AND(M2610&lt;&gt;"",OR(M2610&lt;5,M2610&gt;180)),1,0)</f>
        <v>0</v>
      </c>
      <c r="AB2610" s="7" t="str">
        <f aca="false">IF(P2610="DUP","Exact duplicate row",IF(T2610=1,"Missing Order ID",IF(S2610="DROP","Duplicate Order ID (less complete row)",IF(U2610=1,"Missing Customer ID",IF(V2610=1,"Missing Restaurant name",IF(W2610=1,"Invalid/outlier quantity",IF(X2610=1,"Invalid/outlier unit price",IF(Y2610=1,"Discount greater than order value",""))))))))</f>
        <v/>
      </c>
      <c r="AC2610" s="7" t="str">
        <f aca="false">IF(AB2610="","KEEP","DROP")</f>
        <v>KEEP</v>
      </c>
      <c r="AD2610" s="7" t="str">
        <f aca="false">IF(TRIM(F2610)="",IFERROR(INDEX(Map_Tables!$I$4:$I$37,MATCH(TRIM(E2610),Map_Tables!$G$4:$G$37,0)),""),IFERROR(INDEX(Map_Tables!$B$4:$B$18,MATCH(TRIM(F2610),Map_Tables!$A$4:$A$18,0)),"CHECK"))</f>
        <v>Bengaluru</v>
      </c>
      <c r="AE2610" s="7" t="str">
        <f aca="false">IF(TRIM(E2610)="","",IFERROR(INDEX(Map_Tables!$H$4:$H$37,MATCH(TRIM(E2610),Map_Tables!$G$4:$G$37,0)),"CHECK"))</f>
        <v>Nawabi Biryani House</v>
      </c>
      <c r="AF2610" s="7" t="str">
        <f aca="false">IF(TRIM(K2610)="","Unknown",IFERROR(INDEX(Map_Tables!$E$4:$E$15,MATCH(TRIM(K2610),Map_Tables!$D$4:$D$15,0)),"CHECK"))</f>
        <v>Cash on Delivery</v>
      </c>
      <c r="AG2610" s="7" t="str">
        <f aca="false">IF(LEFT(LOWER(TRIM(L2610)),6)="cancel","Cancelled","Delivered")</f>
        <v>Cancelled</v>
      </c>
      <c r="AH2610" s="10" t="n">
        <f aca="false">IF(ISNUMBER(SEARCH("/",B2610)),DATE(VALUE(RIGHT(B2610,4)),VALUE(MID(B2610,4,2)),VALUE(LEFT(B2610,2))),IF(MID(B2610,5,1)="-",DATE(VALUE(LEFT(B2610,4)),VALUE(MID(B2610,6,2)),VALUE(RIGHT(B2610,2))),DATE(VALUE(RIGHT(B2610,4)),MATCH(MID(B2610,4,3),{"Jan","Feb","Mar","Apr","May","Jun","Jul","Aug","Sep","Oct","Nov","Dec"},0),VALUE(LEFT(B2610,2)))))</f>
        <v>45676</v>
      </c>
    </row>
    <row r="2611" customFormat="false" ht="15" hidden="false" customHeight="false" outlineLevel="0" collapsed="false">
      <c r="A2611" s="7" t="s">
        <v>5610</v>
      </c>
      <c r="B2611" s="7" t="s">
        <v>1354</v>
      </c>
      <c r="C2611" s="7" t="s">
        <v>1277</v>
      </c>
      <c r="D2611" s="7" t="s">
        <v>1846</v>
      </c>
      <c r="E2611" s="7" t="s">
        <v>130</v>
      </c>
      <c r="F2611" s="7" t="s">
        <v>110</v>
      </c>
      <c r="G2611" s="7" t="s">
        <v>90</v>
      </c>
      <c r="H2611" s="7" t="n">
        <v>-1</v>
      </c>
      <c r="I2611" s="7" t="n">
        <v>240</v>
      </c>
      <c r="J2611" s="7" t="n">
        <v>0</v>
      </c>
      <c r="K2611" s="7" t="s">
        <v>88</v>
      </c>
      <c r="L2611" s="7" t="s">
        <v>194</v>
      </c>
      <c r="M2611" s="7" t="n">
        <v>36</v>
      </c>
      <c r="N2611" s="7" t="n">
        <v>5</v>
      </c>
      <c r="O2611" s="7" t="str">
        <f aca="false">A2611&amp;"|"&amp;B2611&amp;"|"&amp;C2611&amp;"|"&amp;D2611&amp;"|"&amp;E2611&amp;"|"&amp;F2611&amp;"|"&amp;G2611&amp;"|"&amp;H2611&amp;"|"&amp;I2611&amp;"|"&amp;J2611&amp;"|"&amp;K2611&amp;"|"&amp;L2611&amp;"|"&amp;M2611&amp;"|"&amp;N2611</f>
        <v>ORD10146|2025-01-19|22:46|C0153|Tandoor Tales|Delhi|North Indian|-1|240|0|UPI|Delivered|36|5</v>
      </c>
      <c r="P2611" s="7" t="str">
        <f aca="false">IF(COUNTIF($O$2:O2611,O2611)&gt;1,"DUP","OK")</f>
        <v>OK</v>
      </c>
      <c r="Q2611" s="7" t="n">
        <f aca="false">COUNTBLANK(A2611:N2611)</f>
        <v>0</v>
      </c>
      <c r="R2611" s="7" t="n">
        <f aca="false">IF(A2611="",0,COUNTIFS($A$2:$A$3058,A2611,$P$2:$P$3058,"OK"))</f>
        <v>1</v>
      </c>
      <c r="S2611" s="7" t="str">
        <f aca="false">IF(OR(A2611="",P2611="DUP",R2611&lt;2),"",IF(Q2611=_xlfn.MINIFS($Q$2:$Q$3058,$A$2:$A$3058,A2611,$P$2:$P$3058,"OK"),"KEEP","DROP"))</f>
        <v/>
      </c>
      <c r="T2611" s="9" t="n">
        <f aca="false">IF(A2611="",1,0)</f>
        <v>0</v>
      </c>
      <c r="U2611" s="9" t="n">
        <f aca="false">IF(D2611="",1,0)</f>
        <v>0</v>
      </c>
      <c r="V2611" s="9" t="n">
        <f aca="false">IF(E2611="",1,0)</f>
        <v>0</v>
      </c>
      <c r="W2611" s="9" t="n">
        <f aca="false">IF(OR(H2611&lt;1,H2611&gt;10),1,0)</f>
        <v>1</v>
      </c>
      <c r="X2611" s="9" t="n">
        <f aca="false">IF(OR(I2611&lt;=0,I2611&gt;1500),1,0)</f>
        <v>0</v>
      </c>
      <c r="Y2611" s="9" t="n">
        <f aca="false">IF(J2611&gt;H2611*I2611,1,0)</f>
        <v>1</v>
      </c>
      <c r="Z2611" s="9" t="n">
        <f aca="false">IF(AND(N2611&lt;&gt;"",OR(N2611&lt;1,N2611&gt;5)),1,0)</f>
        <v>0</v>
      </c>
      <c r="AA2611" s="9" t="n">
        <f aca="false">IF(AND(M2611&lt;&gt;"",OR(M2611&lt;5,M2611&gt;180)),1,0)</f>
        <v>0</v>
      </c>
      <c r="AB2611" s="7" t="str">
        <f aca="false">IF(P2611="DUP","Exact duplicate row",IF(T2611=1,"Missing Order ID",IF(S2611="DROP","Duplicate Order ID (less complete row)",IF(U2611=1,"Missing Customer ID",IF(V2611=1,"Missing Restaurant name",IF(W2611=1,"Invalid/outlier quantity",IF(X2611=1,"Invalid/outlier unit price",IF(Y2611=1,"Discount greater than order value",""))))))))</f>
        <v>Invalid/outlier quantity</v>
      </c>
      <c r="AC2611" s="7" t="str">
        <f aca="false">IF(AB2611="","KEEP","DROP")</f>
        <v>DROP</v>
      </c>
      <c r="AD2611" s="7" t="str">
        <f aca="false">IF(TRIM(F2611)="",IFERROR(INDEX(Map_Tables!$I$4:$I$37,MATCH(TRIM(E2611),Map_Tables!$G$4:$G$37,0)),""),IFERROR(INDEX(Map_Tables!$B$4:$B$18,MATCH(TRIM(F2611),Map_Tables!$A$4:$A$18,0)),"CHECK"))</f>
        <v>Delhi</v>
      </c>
      <c r="AE2611" s="7" t="str">
        <f aca="false">IF(TRIM(E2611)="","",IFERROR(INDEX(Map_Tables!$H$4:$H$37,MATCH(TRIM(E2611),Map_Tables!$G$4:$G$37,0)),"CHECK"))</f>
        <v>Tandoor Tales</v>
      </c>
      <c r="AF2611" s="7" t="str">
        <f aca="false">IF(TRIM(K2611)="","Unknown",IFERROR(INDEX(Map_Tables!$E$4:$E$15,MATCH(TRIM(K2611),Map_Tables!$D$4:$D$15,0)),"CHECK"))</f>
        <v>UPI</v>
      </c>
      <c r="AG2611" s="7" t="str">
        <f aca="false">IF(LEFT(LOWER(TRIM(L2611)),6)="cancel","Cancelled","Delivered")</f>
        <v>Delivered</v>
      </c>
      <c r="AH2611" s="10" t="n">
        <f aca="false">IF(ISNUMBER(SEARCH("/",B2611)),DATE(VALUE(RIGHT(B2611,4)),VALUE(MID(B2611,4,2)),VALUE(LEFT(B2611,2))),IF(MID(B2611,5,1)="-",DATE(VALUE(LEFT(B2611,4)),VALUE(MID(B2611,6,2)),VALUE(RIGHT(B2611,2))),DATE(VALUE(RIGHT(B2611,4)),MATCH(MID(B2611,4,3),{"Jan","Feb","Mar","Apr","May","Jun","Jul","Aug","Sep","Oct","Nov","Dec"},0),VALUE(LEFT(B2611,2)))))</f>
        <v>45676</v>
      </c>
    </row>
    <row r="2612" customFormat="false" ht="15" hidden="false" customHeight="false" outlineLevel="0" collapsed="false">
      <c r="A2612" s="7" t="s">
        <v>5611</v>
      </c>
      <c r="B2612" s="7" t="s">
        <v>436</v>
      </c>
      <c r="C2612" s="7" t="s">
        <v>391</v>
      </c>
      <c r="D2612" s="7" t="s">
        <v>1672</v>
      </c>
      <c r="E2612" s="7" t="s">
        <v>164</v>
      </c>
      <c r="F2612" s="7" t="s">
        <v>141</v>
      </c>
      <c r="G2612" s="7" t="s">
        <v>150</v>
      </c>
      <c r="H2612" s="7" t="n">
        <v>1</v>
      </c>
      <c r="I2612" s="7" t="n">
        <v>105</v>
      </c>
      <c r="J2612" s="7" t="n">
        <v>0</v>
      </c>
      <c r="K2612" s="7" t="s">
        <v>88</v>
      </c>
      <c r="L2612" s="7" t="s">
        <v>194</v>
      </c>
      <c r="M2612" s="7" t="n">
        <v>26</v>
      </c>
      <c r="N2612" s="7" t="n">
        <v>4</v>
      </c>
      <c r="O2612" s="7" t="str">
        <f aca="false">A2612&amp;"|"&amp;B2612&amp;"|"&amp;C2612&amp;"|"&amp;D2612&amp;"|"&amp;E2612&amp;"|"&amp;F2612&amp;"|"&amp;G2612&amp;"|"&amp;H2612&amp;"|"&amp;I2612&amp;"|"&amp;J2612&amp;"|"&amp;K2612&amp;"|"&amp;L2612&amp;"|"&amp;M2612&amp;"|"&amp;N2612</f>
        <v>ORD10091|2025-01-12|19:50|C1239|Mishti Mandir|Kolkata|Desserts|1|105|0|UPI|Delivered|26|4</v>
      </c>
      <c r="P2612" s="7" t="str">
        <f aca="false">IF(COUNTIF($O$2:O2612,O2612)&gt;1,"DUP","OK")</f>
        <v>OK</v>
      </c>
      <c r="Q2612" s="7" t="n">
        <f aca="false">COUNTBLANK(A2612:N2612)</f>
        <v>0</v>
      </c>
      <c r="R2612" s="7" t="n">
        <f aca="false">IF(A2612="",0,COUNTIFS($A$2:$A$3058,A2612,$P$2:$P$3058,"OK"))</f>
        <v>1</v>
      </c>
      <c r="S2612" s="7" t="str">
        <f aca="false">IF(OR(A2612="",P2612="DUP",R2612&lt;2),"",IF(Q2612=_xlfn.MINIFS($Q$2:$Q$3058,$A$2:$A$3058,A2612,$P$2:$P$3058,"OK"),"KEEP","DROP"))</f>
        <v/>
      </c>
      <c r="T2612" s="9" t="n">
        <f aca="false">IF(A2612="",1,0)</f>
        <v>0</v>
      </c>
      <c r="U2612" s="9" t="n">
        <f aca="false">IF(D2612="",1,0)</f>
        <v>0</v>
      </c>
      <c r="V2612" s="9" t="n">
        <f aca="false">IF(E2612="",1,0)</f>
        <v>0</v>
      </c>
      <c r="W2612" s="9" t="n">
        <f aca="false">IF(OR(H2612&lt;1,H2612&gt;10),1,0)</f>
        <v>0</v>
      </c>
      <c r="X2612" s="9" t="n">
        <f aca="false">IF(OR(I2612&lt;=0,I2612&gt;1500),1,0)</f>
        <v>0</v>
      </c>
      <c r="Y2612" s="9" t="n">
        <f aca="false">IF(J2612&gt;H2612*I2612,1,0)</f>
        <v>0</v>
      </c>
      <c r="Z2612" s="9" t="n">
        <f aca="false">IF(AND(N2612&lt;&gt;"",OR(N2612&lt;1,N2612&gt;5)),1,0)</f>
        <v>0</v>
      </c>
      <c r="AA2612" s="9" t="n">
        <f aca="false">IF(AND(M2612&lt;&gt;"",OR(M2612&lt;5,M2612&gt;180)),1,0)</f>
        <v>0</v>
      </c>
      <c r="AB2612" s="7" t="str">
        <f aca="false">IF(P2612="DUP","Exact duplicate row",IF(T2612=1,"Missing Order ID",IF(S2612="DROP","Duplicate Order ID (less complete row)",IF(U2612=1,"Missing Customer ID",IF(V2612=1,"Missing Restaurant name",IF(W2612=1,"Invalid/outlier quantity",IF(X2612=1,"Invalid/outlier unit price",IF(Y2612=1,"Discount greater than order value",""))))))))</f>
        <v/>
      </c>
      <c r="AC2612" s="7" t="str">
        <f aca="false">IF(AB2612="","KEEP","DROP")</f>
        <v>KEEP</v>
      </c>
      <c r="AD2612" s="7" t="str">
        <f aca="false">IF(TRIM(F2612)="",IFERROR(INDEX(Map_Tables!$I$4:$I$37,MATCH(TRIM(E2612),Map_Tables!$G$4:$G$37,0)),""),IFERROR(INDEX(Map_Tables!$B$4:$B$18,MATCH(TRIM(F2612),Map_Tables!$A$4:$A$18,0)),"CHECK"))</f>
        <v>Kolkata</v>
      </c>
      <c r="AE2612" s="7" t="str">
        <f aca="false">IF(TRIM(E2612)="","",IFERROR(INDEX(Map_Tables!$H$4:$H$37,MATCH(TRIM(E2612),Map_Tables!$G$4:$G$37,0)),"CHECK"))</f>
        <v>Mishti Mandir</v>
      </c>
      <c r="AF2612" s="7" t="str">
        <f aca="false">IF(TRIM(K2612)="","Unknown",IFERROR(INDEX(Map_Tables!$E$4:$E$15,MATCH(TRIM(K2612),Map_Tables!$D$4:$D$15,0)),"CHECK"))</f>
        <v>UPI</v>
      </c>
      <c r="AG2612" s="7" t="str">
        <f aca="false">IF(LEFT(LOWER(TRIM(L2612)),6)="cancel","Cancelled","Delivered")</f>
        <v>Delivered</v>
      </c>
      <c r="AH2612" s="10" t="n">
        <f aca="false">IF(ISNUMBER(SEARCH("/",B2612)),DATE(VALUE(RIGHT(B2612,4)),VALUE(MID(B2612,4,2)),VALUE(LEFT(B2612,2))),IF(MID(B2612,5,1)="-",DATE(VALUE(LEFT(B2612,4)),VALUE(MID(B2612,6,2)),VALUE(RIGHT(B2612,2))),DATE(VALUE(RIGHT(B2612,4)),MATCH(MID(B2612,4,3),{"Jan","Feb","Mar","Apr","May","Jun","Jul","Aug","Sep","Oct","Nov","Dec"},0),VALUE(LEFT(B2612,2)))))</f>
        <v>45669</v>
      </c>
    </row>
    <row r="2613" customFormat="false" ht="15" hidden="false" customHeight="false" outlineLevel="0" collapsed="false">
      <c r="A2613" s="7" t="s">
        <v>5612</v>
      </c>
      <c r="B2613" s="7" t="s">
        <v>1132</v>
      </c>
      <c r="C2613" s="7" t="s">
        <v>3537</v>
      </c>
      <c r="D2613" s="7" t="s">
        <v>592</v>
      </c>
      <c r="E2613" s="7" t="s">
        <v>138</v>
      </c>
      <c r="F2613" s="7" t="s">
        <v>110</v>
      </c>
      <c r="G2613" s="7" t="s">
        <v>139</v>
      </c>
      <c r="H2613" s="7" t="n">
        <v>2</v>
      </c>
      <c r="I2613" s="7" t="n">
        <v>160</v>
      </c>
      <c r="J2613" s="7" t="n">
        <v>0</v>
      </c>
      <c r="K2613" s="7" t="s">
        <v>103</v>
      </c>
      <c r="L2613" s="7" t="s">
        <v>238</v>
      </c>
      <c r="M2613" s="7"/>
      <c r="N2613" s="7"/>
      <c r="O2613" s="7" t="str">
        <f aca="false">A2613&amp;"|"&amp;B2613&amp;"|"&amp;C2613&amp;"|"&amp;D2613&amp;"|"&amp;E2613&amp;"|"&amp;F2613&amp;"|"&amp;G2613&amp;"|"&amp;H2613&amp;"|"&amp;I2613&amp;"|"&amp;J2613&amp;"|"&amp;K2613&amp;"|"&amp;L2613&amp;"|"&amp;M2613&amp;"|"&amp;N2613</f>
        <v>ORD10683|2025-03-28|10:00|C0228|Burger Barn|Delhi|Burgers|2|160|0|Debit Card|Cancelled||</v>
      </c>
      <c r="P2613" s="7" t="str">
        <f aca="false">IF(COUNTIF($O$2:O2613,O2613)&gt;1,"DUP","OK")</f>
        <v>OK</v>
      </c>
      <c r="Q2613" s="7" t="n">
        <f aca="false">COUNTBLANK(A2613:N2613)</f>
        <v>2</v>
      </c>
      <c r="R2613" s="7" t="n">
        <f aca="false">IF(A2613="",0,COUNTIFS($A$2:$A$3058,A2613,$P$2:$P$3058,"OK"))</f>
        <v>1</v>
      </c>
      <c r="S2613" s="7" t="str">
        <f aca="false">IF(OR(A2613="",P2613="DUP",R2613&lt;2),"",IF(Q2613=_xlfn.MINIFS($Q$2:$Q$3058,$A$2:$A$3058,A2613,$P$2:$P$3058,"OK"),"KEEP","DROP"))</f>
        <v/>
      </c>
      <c r="T2613" s="9" t="n">
        <f aca="false">IF(A2613="",1,0)</f>
        <v>0</v>
      </c>
      <c r="U2613" s="9" t="n">
        <f aca="false">IF(D2613="",1,0)</f>
        <v>0</v>
      </c>
      <c r="V2613" s="9" t="n">
        <f aca="false">IF(E2613="",1,0)</f>
        <v>0</v>
      </c>
      <c r="W2613" s="9" t="n">
        <f aca="false">IF(OR(H2613&lt;1,H2613&gt;10),1,0)</f>
        <v>0</v>
      </c>
      <c r="X2613" s="9" t="n">
        <f aca="false">IF(OR(I2613&lt;=0,I2613&gt;1500),1,0)</f>
        <v>0</v>
      </c>
      <c r="Y2613" s="9" t="n">
        <f aca="false">IF(J2613&gt;H2613*I2613,1,0)</f>
        <v>0</v>
      </c>
      <c r="Z2613" s="9" t="n">
        <f aca="false">IF(AND(N2613&lt;&gt;"",OR(N2613&lt;1,N2613&gt;5)),1,0)</f>
        <v>0</v>
      </c>
      <c r="AA2613" s="9" t="n">
        <f aca="false">IF(AND(M2613&lt;&gt;"",OR(M2613&lt;5,M2613&gt;180)),1,0)</f>
        <v>0</v>
      </c>
      <c r="AB2613" s="7" t="str">
        <f aca="false">IF(P2613="DUP","Exact duplicate row",IF(T2613=1,"Missing Order ID",IF(S2613="DROP","Duplicate Order ID (less complete row)",IF(U2613=1,"Missing Customer ID",IF(V2613=1,"Missing Restaurant name",IF(W2613=1,"Invalid/outlier quantity",IF(X2613=1,"Invalid/outlier unit price",IF(Y2613=1,"Discount greater than order value",""))))))))</f>
        <v/>
      </c>
      <c r="AC2613" s="7" t="str">
        <f aca="false">IF(AB2613="","KEEP","DROP")</f>
        <v>KEEP</v>
      </c>
      <c r="AD2613" s="7" t="str">
        <f aca="false">IF(TRIM(F2613)="",IFERROR(INDEX(Map_Tables!$I$4:$I$37,MATCH(TRIM(E2613),Map_Tables!$G$4:$G$37,0)),""),IFERROR(INDEX(Map_Tables!$B$4:$B$18,MATCH(TRIM(F2613),Map_Tables!$A$4:$A$18,0)),"CHECK"))</f>
        <v>Delhi</v>
      </c>
      <c r="AE2613" s="7" t="str">
        <f aca="false">IF(TRIM(E2613)="","",IFERROR(INDEX(Map_Tables!$H$4:$H$37,MATCH(TRIM(E2613),Map_Tables!$G$4:$G$37,0)),"CHECK"))</f>
        <v>Burger Barn</v>
      </c>
      <c r="AF2613" s="7" t="str">
        <f aca="false">IF(TRIM(K2613)="","Unknown",IFERROR(INDEX(Map_Tables!$E$4:$E$15,MATCH(TRIM(K2613),Map_Tables!$D$4:$D$15,0)),"CHECK"))</f>
        <v>Debit Card</v>
      </c>
      <c r="AG2613" s="7" t="str">
        <f aca="false">IF(LEFT(LOWER(TRIM(L2613)),6)="cancel","Cancelled","Delivered")</f>
        <v>Cancelled</v>
      </c>
      <c r="AH2613" s="10" t="n">
        <f aca="false">IF(ISNUMBER(SEARCH("/",B2613)),DATE(VALUE(RIGHT(B2613,4)),VALUE(MID(B2613,4,2)),VALUE(LEFT(B2613,2))),IF(MID(B2613,5,1)="-",DATE(VALUE(LEFT(B2613,4)),VALUE(MID(B2613,6,2)),VALUE(RIGHT(B2613,2))),DATE(VALUE(RIGHT(B2613,4)),MATCH(MID(B2613,4,3),{"Jan","Feb","Mar","Apr","May","Jun","Jul","Aug","Sep","Oct","Nov","Dec"},0),VALUE(LEFT(B2613,2)))))</f>
        <v>45744</v>
      </c>
    </row>
    <row r="2614" customFormat="false" ht="15" hidden="false" customHeight="false" outlineLevel="0" collapsed="false">
      <c r="A2614" s="7"/>
      <c r="B2614" s="7" t="s">
        <v>1029</v>
      </c>
      <c r="C2614" s="7" t="s">
        <v>2064</v>
      </c>
      <c r="D2614" s="7" t="s">
        <v>2284</v>
      </c>
      <c r="E2614" s="7" t="s">
        <v>113</v>
      </c>
      <c r="F2614" s="7" t="s">
        <v>101</v>
      </c>
      <c r="G2614" s="7" t="s">
        <v>90</v>
      </c>
      <c r="H2614" s="7" t="n">
        <v>4</v>
      </c>
      <c r="I2614" s="7" t="n">
        <v>245</v>
      </c>
      <c r="J2614" s="7" t="n">
        <v>125</v>
      </c>
      <c r="K2614" s="7" t="s">
        <v>88</v>
      </c>
      <c r="L2614" s="7" t="s">
        <v>194</v>
      </c>
      <c r="M2614" s="7" t="n">
        <v>37</v>
      </c>
      <c r="N2614" s="7" t="n">
        <v>3</v>
      </c>
      <c r="O2614" s="7" t="str">
        <f aca="false">A2614&amp;"|"&amp;B2614&amp;"|"&amp;C2614&amp;"|"&amp;D2614&amp;"|"&amp;E2614&amp;"|"&amp;F2614&amp;"|"&amp;G2614&amp;"|"&amp;H2614&amp;"|"&amp;I2614&amp;"|"&amp;J2614&amp;"|"&amp;K2614&amp;"|"&amp;L2614&amp;"|"&amp;M2614&amp;"|"&amp;N2614</f>
        <v>|2025-02-11|18:53|C1209|Curry Leaf Kitchen|Mumbai|North Indian|4|245|125|UPI|Delivered|37|3</v>
      </c>
      <c r="P2614" s="7" t="str">
        <f aca="false">IF(COUNTIF($O$2:O2614,O2614)&gt;1,"DUP","OK")</f>
        <v>OK</v>
      </c>
      <c r="Q2614" s="7" t="n">
        <f aca="false">COUNTBLANK(A2614:N2614)</f>
        <v>1</v>
      </c>
      <c r="R2614" s="7" t="n">
        <f aca="false">IF(A2614="",0,COUNTIFS($A$2:$A$3058,A2614,$P$2:$P$3058,"OK"))</f>
        <v>0</v>
      </c>
      <c r="S2614" s="7" t="str">
        <f aca="false">IF(OR(A2614="",P2614="DUP",R2614&lt;2),"",IF(Q2614=_xlfn.MINIFS($Q$2:$Q$3058,$A$2:$A$3058,A2614,$P$2:$P$3058,"OK"),"KEEP","DROP"))</f>
        <v/>
      </c>
      <c r="T2614" s="9" t="n">
        <f aca="false">IF(A2614="",1,0)</f>
        <v>1</v>
      </c>
      <c r="U2614" s="9" t="n">
        <f aca="false">IF(D2614="",1,0)</f>
        <v>0</v>
      </c>
      <c r="V2614" s="9" t="n">
        <f aca="false">IF(E2614="",1,0)</f>
        <v>0</v>
      </c>
      <c r="W2614" s="9" t="n">
        <f aca="false">IF(OR(H2614&lt;1,H2614&gt;10),1,0)</f>
        <v>0</v>
      </c>
      <c r="X2614" s="9" t="n">
        <f aca="false">IF(OR(I2614&lt;=0,I2614&gt;1500),1,0)</f>
        <v>0</v>
      </c>
      <c r="Y2614" s="9" t="n">
        <f aca="false">IF(J2614&gt;H2614*I2614,1,0)</f>
        <v>0</v>
      </c>
      <c r="Z2614" s="9" t="n">
        <f aca="false">IF(AND(N2614&lt;&gt;"",OR(N2614&lt;1,N2614&gt;5)),1,0)</f>
        <v>0</v>
      </c>
      <c r="AA2614" s="9" t="n">
        <f aca="false">IF(AND(M2614&lt;&gt;"",OR(M2614&lt;5,M2614&gt;180)),1,0)</f>
        <v>0</v>
      </c>
      <c r="AB2614" s="7" t="str">
        <f aca="false">IF(P2614="DUP","Exact duplicate row",IF(T2614=1,"Missing Order ID",IF(S2614="DROP","Duplicate Order ID (less complete row)",IF(U2614=1,"Missing Customer ID",IF(V2614=1,"Missing Restaurant name",IF(W2614=1,"Invalid/outlier quantity",IF(X2614=1,"Invalid/outlier unit price",IF(Y2614=1,"Discount greater than order value",""))))))))</f>
        <v>Missing Order ID</v>
      </c>
      <c r="AC2614" s="7" t="str">
        <f aca="false">IF(AB2614="","KEEP","DROP")</f>
        <v>DROP</v>
      </c>
      <c r="AD2614" s="7" t="str">
        <f aca="false">IF(TRIM(F2614)="",IFERROR(INDEX(Map_Tables!$I$4:$I$37,MATCH(TRIM(E2614),Map_Tables!$G$4:$G$37,0)),""),IFERROR(INDEX(Map_Tables!$B$4:$B$18,MATCH(TRIM(F2614),Map_Tables!$A$4:$A$18,0)),"CHECK"))</f>
        <v>Mumbai</v>
      </c>
      <c r="AE2614" s="7" t="str">
        <f aca="false">IF(TRIM(E2614)="","",IFERROR(INDEX(Map_Tables!$H$4:$H$37,MATCH(TRIM(E2614),Map_Tables!$G$4:$G$37,0)),"CHECK"))</f>
        <v>Curry Leaf Kitchen</v>
      </c>
      <c r="AF2614" s="7" t="str">
        <f aca="false">IF(TRIM(K2614)="","Unknown",IFERROR(INDEX(Map_Tables!$E$4:$E$15,MATCH(TRIM(K2614),Map_Tables!$D$4:$D$15,0)),"CHECK"))</f>
        <v>UPI</v>
      </c>
      <c r="AG2614" s="7" t="str">
        <f aca="false">IF(LEFT(LOWER(TRIM(L2614)),6)="cancel","Cancelled","Delivered")</f>
        <v>Delivered</v>
      </c>
      <c r="AH2614" s="10" t="n">
        <f aca="false">IF(ISNUMBER(SEARCH("/",B2614)),DATE(VALUE(RIGHT(B2614,4)),VALUE(MID(B2614,4,2)),VALUE(LEFT(B2614,2))),IF(MID(B2614,5,1)="-",DATE(VALUE(LEFT(B2614,4)),VALUE(MID(B2614,6,2)),VALUE(RIGHT(B2614,2))),DATE(VALUE(RIGHT(B2614,4)),MATCH(MID(B2614,4,3),{"Jan","Feb","Mar","Apr","May","Jun","Jul","Aug","Sep","Oct","Nov","Dec"},0),VALUE(LEFT(B2614,2)))))</f>
        <v>45699</v>
      </c>
    </row>
    <row r="2615" customFormat="false" ht="15" hidden="false" customHeight="false" outlineLevel="0" collapsed="false">
      <c r="A2615" s="7" t="s">
        <v>5613</v>
      </c>
      <c r="B2615" s="7" t="s">
        <v>436</v>
      </c>
      <c r="C2615" s="7" t="s">
        <v>1277</v>
      </c>
      <c r="D2615" s="7" t="s">
        <v>4258</v>
      </c>
      <c r="E2615" s="7" t="s">
        <v>134</v>
      </c>
      <c r="F2615" s="7" t="s">
        <v>110</v>
      </c>
      <c r="G2615" s="7" t="s">
        <v>117</v>
      </c>
      <c r="H2615" s="7" t="n">
        <v>2</v>
      </c>
      <c r="I2615" s="7" t="n">
        <v>105</v>
      </c>
      <c r="J2615" s="7" t="n">
        <v>0</v>
      </c>
      <c r="K2615" s="7" t="s">
        <v>421</v>
      </c>
      <c r="L2615" s="7" t="s">
        <v>194</v>
      </c>
      <c r="M2615" s="7" t="n">
        <v>43</v>
      </c>
      <c r="N2615" s="7" t="n">
        <v>5</v>
      </c>
      <c r="O2615" s="7" t="str">
        <f aca="false">A2615&amp;"|"&amp;B2615&amp;"|"&amp;C2615&amp;"|"&amp;D2615&amp;"|"&amp;E2615&amp;"|"&amp;F2615&amp;"|"&amp;G2615&amp;"|"&amp;H2615&amp;"|"&amp;I2615&amp;"|"&amp;J2615&amp;"|"&amp;K2615&amp;"|"&amp;L2615&amp;"|"&amp;M2615&amp;"|"&amp;N2615</f>
        <v>ORD10094|2025-01-12|22:46|C1260|Chaat Corner|Delhi|Street Food|2|105|0|UPI |Delivered|43|5</v>
      </c>
      <c r="P2615" s="7" t="str">
        <f aca="false">IF(COUNTIF($O$2:O2615,O2615)&gt;1,"DUP","OK")</f>
        <v>OK</v>
      </c>
      <c r="Q2615" s="7" t="n">
        <f aca="false">COUNTBLANK(A2615:N2615)</f>
        <v>0</v>
      </c>
      <c r="R2615" s="7" t="n">
        <f aca="false">IF(A2615="",0,COUNTIFS($A$2:$A$3058,A2615,$P$2:$P$3058,"OK"))</f>
        <v>1</v>
      </c>
      <c r="S2615" s="7" t="str">
        <f aca="false">IF(OR(A2615="",P2615="DUP",R2615&lt;2),"",IF(Q2615=_xlfn.MINIFS($Q$2:$Q$3058,$A$2:$A$3058,A2615,$P$2:$P$3058,"OK"),"KEEP","DROP"))</f>
        <v/>
      </c>
      <c r="T2615" s="9" t="n">
        <f aca="false">IF(A2615="",1,0)</f>
        <v>0</v>
      </c>
      <c r="U2615" s="9" t="n">
        <f aca="false">IF(D2615="",1,0)</f>
        <v>0</v>
      </c>
      <c r="V2615" s="9" t="n">
        <f aca="false">IF(E2615="",1,0)</f>
        <v>0</v>
      </c>
      <c r="W2615" s="9" t="n">
        <f aca="false">IF(OR(H2615&lt;1,H2615&gt;10),1,0)</f>
        <v>0</v>
      </c>
      <c r="X2615" s="9" t="n">
        <f aca="false">IF(OR(I2615&lt;=0,I2615&gt;1500),1,0)</f>
        <v>0</v>
      </c>
      <c r="Y2615" s="9" t="n">
        <f aca="false">IF(J2615&gt;H2615*I2615,1,0)</f>
        <v>0</v>
      </c>
      <c r="Z2615" s="9" t="n">
        <f aca="false">IF(AND(N2615&lt;&gt;"",OR(N2615&lt;1,N2615&gt;5)),1,0)</f>
        <v>0</v>
      </c>
      <c r="AA2615" s="9" t="n">
        <f aca="false">IF(AND(M2615&lt;&gt;"",OR(M2615&lt;5,M2615&gt;180)),1,0)</f>
        <v>0</v>
      </c>
      <c r="AB2615" s="7" t="str">
        <f aca="false">IF(P2615="DUP","Exact duplicate row",IF(T2615=1,"Missing Order ID",IF(S2615="DROP","Duplicate Order ID (less complete row)",IF(U2615=1,"Missing Customer ID",IF(V2615=1,"Missing Restaurant name",IF(W2615=1,"Invalid/outlier quantity",IF(X2615=1,"Invalid/outlier unit price",IF(Y2615=1,"Discount greater than order value",""))))))))</f>
        <v/>
      </c>
      <c r="AC2615" s="7" t="str">
        <f aca="false">IF(AB2615="","KEEP","DROP")</f>
        <v>KEEP</v>
      </c>
      <c r="AD2615" s="7" t="str">
        <f aca="false">IF(TRIM(F2615)="",IFERROR(INDEX(Map_Tables!$I$4:$I$37,MATCH(TRIM(E2615),Map_Tables!$G$4:$G$37,0)),""),IFERROR(INDEX(Map_Tables!$B$4:$B$18,MATCH(TRIM(F2615),Map_Tables!$A$4:$A$18,0)),"CHECK"))</f>
        <v>Delhi</v>
      </c>
      <c r="AE2615" s="7" t="str">
        <f aca="false">IF(TRIM(E2615)="","",IFERROR(INDEX(Map_Tables!$H$4:$H$37,MATCH(TRIM(E2615),Map_Tables!$G$4:$G$37,0)),"CHECK"))</f>
        <v>Chaat Corner</v>
      </c>
      <c r="AF2615" s="7" t="str">
        <f aca="false">IF(TRIM(K2615)="","Unknown",IFERROR(INDEX(Map_Tables!$E$4:$E$15,MATCH(TRIM(K2615),Map_Tables!$D$4:$D$15,0)),"CHECK"))</f>
        <v>UPI</v>
      </c>
      <c r="AG2615" s="7" t="str">
        <f aca="false">IF(LEFT(LOWER(TRIM(L2615)),6)="cancel","Cancelled","Delivered")</f>
        <v>Delivered</v>
      </c>
      <c r="AH2615" s="10" t="n">
        <f aca="false">IF(ISNUMBER(SEARCH("/",B2615)),DATE(VALUE(RIGHT(B2615,4)),VALUE(MID(B2615,4,2)),VALUE(LEFT(B2615,2))),IF(MID(B2615,5,1)="-",DATE(VALUE(LEFT(B2615,4)),VALUE(MID(B2615,6,2)),VALUE(RIGHT(B2615,2))),DATE(VALUE(RIGHT(B2615,4)),MATCH(MID(B2615,4,3),{"Jan","Feb","Mar","Apr","May","Jun","Jul","Aug","Sep","Oct","Nov","Dec"},0),VALUE(LEFT(B2615,2)))))</f>
        <v>45669</v>
      </c>
    </row>
    <row r="2616" customFormat="false" ht="15" hidden="false" customHeight="false" outlineLevel="0" collapsed="false">
      <c r="A2616" s="7" t="s">
        <v>5614</v>
      </c>
      <c r="B2616" s="7" t="s">
        <v>2234</v>
      </c>
      <c r="C2616" s="7" t="s">
        <v>268</v>
      </c>
      <c r="D2616" s="7" t="s">
        <v>5615</v>
      </c>
      <c r="E2616" s="7" t="s">
        <v>98</v>
      </c>
      <c r="F2616" s="7" t="s">
        <v>86</v>
      </c>
      <c r="G2616" s="7" t="s">
        <v>99</v>
      </c>
      <c r="H2616" s="7" t="n">
        <v>1</v>
      </c>
      <c r="I2616" s="7" t="n">
        <v>280</v>
      </c>
      <c r="J2616" s="7" t="n">
        <v>0</v>
      </c>
      <c r="K2616" s="7" t="s">
        <v>298</v>
      </c>
      <c r="L2616" s="7" t="s">
        <v>194</v>
      </c>
      <c r="M2616" s="7" t="n">
        <v>64</v>
      </c>
      <c r="N2616" s="7" t="n">
        <v>4</v>
      </c>
      <c r="O2616" s="7" t="str">
        <f aca="false">A2616&amp;"|"&amp;B2616&amp;"|"&amp;C2616&amp;"|"&amp;D2616&amp;"|"&amp;E2616&amp;"|"&amp;F2616&amp;"|"&amp;G2616&amp;"|"&amp;H2616&amp;"|"&amp;I2616&amp;"|"&amp;J2616&amp;"|"&amp;K2616&amp;"|"&amp;L2616&amp;"|"&amp;M2616&amp;"|"&amp;N2616</f>
        <v>ORD12831|2025-12-12|19:16|C1351|Nawabi Biryani House|Bengaluru|Biryani|1|280|0|Cash On Delivery|Delivered|64|4</v>
      </c>
      <c r="P2616" s="7" t="str">
        <f aca="false">IF(COUNTIF($O$2:O2616,O2616)&gt;1,"DUP","OK")</f>
        <v>OK</v>
      </c>
      <c r="Q2616" s="7" t="n">
        <f aca="false">COUNTBLANK(A2616:N2616)</f>
        <v>0</v>
      </c>
      <c r="R2616" s="7" t="n">
        <f aca="false">IF(A2616="",0,COUNTIFS($A$2:$A$3058,A2616,$P$2:$P$3058,"OK"))</f>
        <v>1</v>
      </c>
      <c r="S2616" s="7" t="str">
        <f aca="false">IF(OR(A2616="",P2616="DUP",R2616&lt;2),"",IF(Q2616=_xlfn.MINIFS($Q$2:$Q$3058,$A$2:$A$3058,A2616,$P$2:$P$3058,"OK"),"KEEP","DROP"))</f>
        <v/>
      </c>
      <c r="T2616" s="9" t="n">
        <f aca="false">IF(A2616="",1,0)</f>
        <v>0</v>
      </c>
      <c r="U2616" s="9" t="n">
        <f aca="false">IF(D2616="",1,0)</f>
        <v>0</v>
      </c>
      <c r="V2616" s="9" t="n">
        <f aca="false">IF(E2616="",1,0)</f>
        <v>0</v>
      </c>
      <c r="W2616" s="9" t="n">
        <f aca="false">IF(OR(H2616&lt;1,H2616&gt;10),1,0)</f>
        <v>0</v>
      </c>
      <c r="X2616" s="9" t="n">
        <f aca="false">IF(OR(I2616&lt;=0,I2616&gt;1500),1,0)</f>
        <v>0</v>
      </c>
      <c r="Y2616" s="9" t="n">
        <f aca="false">IF(J2616&gt;H2616*I2616,1,0)</f>
        <v>0</v>
      </c>
      <c r="Z2616" s="9" t="n">
        <f aca="false">IF(AND(N2616&lt;&gt;"",OR(N2616&lt;1,N2616&gt;5)),1,0)</f>
        <v>0</v>
      </c>
      <c r="AA2616" s="9" t="n">
        <f aca="false">IF(AND(M2616&lt;&gt;"",OR(M2616&lt;5,M2616&gt;180)),1,0)</f>
        <v>0</v>
      </c>
      <c r="AB2616" s="7" t="str">
        <f aca="false">IF(P2616="DUP","Exact duplicate row",IF(T2616=1,"Missing Order ID",IF(S2616="DROP","Duplicate Order ID (less complete row)",IF(U2616=1,"Missing Customer ID",IF(V2616=1,"Missing Restaurant name",IF(W2616=1,"Invalid/outlier quantity",IF(X2616=1,"Invalid/outlier unit price",IF(Y2616=1,"Discount greater than order value",""))))))))</f>
        <v/>
      </c>
      <c r="AC2616" s="7" t="str">
        <f aca="false">IF(AB2616="","KEEP","DROP")</f>
        <v>KEEP</v>
      </c>
      <c r="AD2616" s="7" t="str">
        <f aca="false">IF(TRIM(F2616)="",IFERROR(INDEX(Map_Tables!$I$4:$I$37,MATCH(TRIM(E2616),Map_Tables!$G$4:$G$37,0)),""),IFERROR(INDEX(Map_Tables!$B$4:$B$18,MATCH(TRIM(F2616),Map_Tables!$A$4:$A$18,0)),"CHECK"))</f>
        <v>Bengaluru</v>
      </c>
      <c r="AE2616" s="7" t="str">
        <f aca="false">IF(TRIM(E2616)="","",IFERROR(INDEX(Map_Tables!$H$4:$H$37,MATCH(TRIM(E2616),Map_Tables!$G$4:$G$37,0)),"CHECK"))</f>
        <v>Nawabi Biryani House</v>
      </c>
      <c r="AF2616" s="7" t="str">
        <f aca="false">IF(TRIM(K2616)="","Unknown",IFERROR(INDEX(Map_Tables!$E$4:$E$15,MATCH(TRIM(K2616),Map_Tables!$D$4:$D$15,0)),"CHECK"))</f>
        <v>Cash on Delivery</v>
      </c>
      <c r="AG2616" s="7" t="str">
        <f aca="false">IF(LEFT(LOWER(TRIM(L2616)),6)="cancel","Cancelled","Delivered")</f>
        <v>Delivered</v>
      </c>
      <c r="AH2616" s="10" t="n">
        <f aca="false">IF(ISNUMBER(SEARCH("/",B2616)),DATE(VALUE(RIGHT(B2616,4)),VALUE(MID(B2616,4,2)),VALUE(LEFT(B2616,2))),IF(MID(B2616,5,1)="-",DATE(VALUE(LEFT(B2616,4)),VALUE(MID(B2616,6,2)),VALUE(RIGHT(B2616,2))),DATE(VALUE(RIGHT(B2616,4)),MATCH(MID(B2616,4,3),{"Jan","Feb","Mar","Apr","May","Jun","Jul","Aug","Sep","Oct","Nov","Dec"},0),VALUE(LEFT(B2616,2)))))</f>
        <v>46003</v>
      </c>
    </row>
    <row r="2617" customFormat="false" ht="15" hidden="false" customHeight="false" outlineLevel="0" collapsed="false">
      <c r="A2617" s="7" t="s">
        <v>5616</v>
      </c>
      <c r="B2617" s="7" t="s">
        <v>1187</v>
      </c>
      <c r="C2617" s="7" t="s">
        <v>4278</v>
      </c>
      <c r="D2617" s="7" t="s">
        <v>5213</v>
      </c>
      <c r="E2617" s="7" t="s">
        <v>138</v>
      </c>
      <c r="F2617" s="7" t="s">
        <v>110</v>
      </c>
      <c r="G2617" s="7" t="s">
        <v>139</v>
      </c>
      <c r="H2617" s="7" t="n">
        <v>2</v>
      </c>
      <c r="I2617" s="7" t="n">
        <v>175</v>
      </c>
      <c r="J2617" s="7" t="n">
        <v>140</v>
      </c>
      <c r="K2617" s="7" t="s">
        <v>229</v>
      </c>
      <c r="L2617" s="7" t="s">
        <v>194</v>
      </c>
      <c r="M2617" s="7" t="n">
        <v>51</v>
      </c>
      <c r="N2617" s="7" t="n">
        <v>4</v>
      </c>
      <c r="O2617" s="7" t="str">
        <f aca="false">A2617&amp;"|"&amp;B2617&amp;"|"&amp;C2617&amp;"|"&amp;D2617&amp;"|"&amp;E2617&amp;"|"&amp;F2617&amp;"|"&amp;G2617&amp;"|"&amp;H2617&amp;"|"&amp;I2617&amp;"|"&amp;J2617&amp;"|"&amp;K2617&amp;"|"&amp;L2617&amp;"|"&amp;M2617&amp;"|"&amp;N2617</f>
        <v>ORD11957|2025-09-11|12:37|C0331|Burger Barn|Delhi|Burgers|2|175|140|Upi|Delivered|51|4</v>
      </c>
      <c r="P2617" s="7" t="str">
        <f aca="false">IF(COUNTIF($O$2:O2617,O2617)&gt;1,"DUP","OK")</f>
        <v>OK</v>
      </c>
      <c r="Q2617" s="7" t="n">
        <f aca="false">COUNTBLANK(A2617:N2617)</f>
        <v>0</v>
      </c>
      <c r="R2617" s="7" t="n">
        <f aca="false">IF(A2617="",0,COUNTIFS($A$2:$A$3058,A2617,$P$2:$P$3058,"OK"))</f>
        <v>1</v>
      </c>
      <c r="S2617" s="7" t="str">
        <f aca="false">IF(OR(A2617="",P2617="DUP",R2617&lt;2),"",IF(Q2617=_xlfn.MINIFS($Q$2:$Q$3058,$A$2:$A$3058,A2617,$P$2:$P$3058,"OK"),"KEEP","DROP"))</f>
        <v/>
      </c>
      <c r="T2617" s="9" t="n">
        <f aca="false">IF(A2617="",1,0)</f>
        <v>0</v>
      </c>
      <c r="U2617" s="9" t="n">
        <f aca="false">IF(D2617="",1,0)</f>
        <v>0</v>
      </c>
      <c r="V2617" s="9" t="n">
        <f aca="false">IF(E2617="",1,0)</f>
        <v>0</v>
      </c>
      <c r="W2617" s="9" t="n">
        <f aca="false">IF(OR(H2617&lt;1,H2617&gt;10),1,0)</f>
        <v>0</v>
      </c>
      <c r="X2617" s="9" t="n">
        <f aca="false">IF(OR(I2617&lt;=0,I2617&gt;1500),1,0)</f>
        <v>0</v>
      </c>
      <c r="Y2617" s="9" t="n">
        <f aca="false">IF(J2617&gt;H2617*I2617,1,0)</f>
        <v>0</v>
      </c>
      <c r="Z2617" s="9" t="n">
        <f aca="false">IF(AND(N2617&lt;&gt;"",OR(N2617&lt;1,N2617&gt;5)),1,0)</f>
        <v>0</v>
      </c>
      <c r="AA2617" s="9" t="n">
        <f aca="false">IF(AND(M2617&lt;&gt;"",OR(M2617&lt;5,M2617&gt;180)),1,0)</f>
        <v>0</v>
      </c>
      <c r="AB2617" s="7" t="str">
        <f aca="false">IF(P2617="DUP","Exact duplicate row",IF(T2617=1,"Missing Order ID",IF(S2617="DROP","Duplicate Order ID (less complete row)",IF(U2617=1,"Missing Customer ID",IF(V2617=1,"Missing Restaurant name",IF(W2617=1,"Invalid/outlier quantity",IF(X2617=1,"Invalid/outlier unit price",IF(Y2617=1,"Discount greater than order value",""))))))))</f>
        <v/>
      </c>
      <c r="AC2617" s="7" t="str">
        <f aca="false">IF(AB2617="","KEEP","DROP")</f>
        <v>KEEP</v>
      </c>
      <c r="AD2617" s="7" t="str">
        <f aca="false">IF(TRIM(F2617)="",IFERROR(INDEX(Map_Tables!$I$4:$I$37,MATCH(TRIM(E2617),Map_Tables!$G$4:$G$37,0)),""),IFERROR(INDEX(Map_Tables!$B$4:$B$18,MATCH(TRIM(F2617),Map_Tables!$A$4:$A$18,0)),"CHECK"))</f>
        <v>Delhi</v>
      </c>
      <c r="AE2617" s="7" t="str">
        <f aca="false">IF(TRIM(E2617)="","",IFERROR(INDEX(Map_Tables!$H$4:$H$37,MATCH(TRIM(E2617),Map_Tables!$G$4:$G$37,0)),"CHECK"))</f>
        <v>Burger Barn</v>
      </c>
      <c r="AF2617" s="7" t="str">
        <f aca="false">IF(TRIM(K2617)="","Unknown",IFERROR(INDEX(Map_Tables!$E$4:$E$15,MATCH(TRIM(K2617),Map_Tables!$D$4:$D$15,0)),"CHECK"))</f>
        <v>UPI</v>
      </c>
      <c r="AG2617" s="7" t="str">
        <f aca="false">IF(LEFT(LOWER(TRIM(L2617)),6)="cancel","Cancelled","Delivered")</f>
        <v>Delivered</v>
      </c>
      <c r="AH2617" s="10" t="n">
        <f aca="false">IF(ISNUMBER(SEARCH("/",B2617)),DATE(VALUE(RIGHT(B2617,4)),VALUE(MID(B2617,4,2)),VALUE(LEFT(B2617,2))),IF(MID(B2617,5,1)="-",DATE(VALUE(LEFT(B2617,4)),VALUE(MID(B2617,6,2)),VALUE(RIGHT(B2617,2))),DATE(VALUE(RIGHT(B2617,4)),MATCH(MID(B2617,4,3),{"Jan","Feb","Mar","Apr","May","Jun","Jul","Aug","Sep","Oct","Nov","Dec"},0),VALUE(LEFT(B2617,2)))))</f>
        <v>45911</v>
      </c>
    </row>
    <row r="2618" customFormat="false" ht="15" hidden="false" customHeight="false" outlineLevel="0" collapsed="false">
      <c r="A2618" s="7" t="s">
        <v>5617</v>
      </c>
      <c r="B2618" s="7" t="s">
        <v>5618</v>
      </c>
      <c r="C2618" s="7" t="s">
        <v>5619</v>
      </c>
      <c r="D2618" s="7" t="s">
        <v>565</v>
      </c>
      <c r="E2618" s="7" t="s">
        <v>154</v>
      </c>
      <c r="F2618" s="7" t="s">
        <v>128</v>
      </c>
      <c r="G2618" s="7" t="s">
        <v>99</v>
      </c>
      <c r="H2618" s="7" t="n">
        <v>2</v>
      </c>
      <c r="I2618" s="7" t="n">
        <v>200</v>
      </c>
      <c r="J2618" s="7" t="n">
        <v>20</v>
      </c>
      <c r="K2618" s="7" t="s">
        <v>112</v>
      </c>
      <c r="L2618" s="7" t="s">
        <v>194</v>
      </c>
      <c r="M2618" s="7" t="n">
        <v>66</v>
      </c>
      <c r="N2618" s="7" t="n">
        <v>3</v>
      </c>
      <c r="O2618" s="7" t="str">
        <f aca="false">A2618&amp;"|"&amp;B2618&amp;"|"&amp;C2618&amp;"|"&amp;D2618&amp;"|"&amp;E2618&amp;"|"&amp;F2618&amp;"|"&amp;G2618&amp;"|"&amp;H2618&amp;"|"&amp;I2618&amp;"|"&amp;J2618&amp;"|"&amp;K2618&amp;"|"&amp;L2618&amp;"|"&amp;M2618&amp;"|"&amp;N2618</f>
        <v>ORD10925|27-Apr-2025|14:09|C1051|Madras Biryani Co|Chennai|Biryani|2|200|20|Cash on Delivery|Delivered|66|3</v>
      </c>
      <c r="P2618" s="7" t="str">
        <f aca="false">IF(COUNTIF($O$2:O2618,O2618)&gt;1,"DUP","OK")</f>
        <v>OK</v>
      </c>
      <c r="Q2618" s="7" t="n">
        <f aca="false">COUNTBLANK(A2618:N2618)</f>
        <v>0</v>
      </c>
      <c r="R2618" s="7" t="n">
        <f aca="false">IF(A2618="",0,COUNTIFS($A$2:$A$3058,A2618,$P$2:$P$3058,"OK"))</f>
        <v>1</v>
      </c>
      <c r="S2618" s="7" t="str">
        <f aca="false">IF(OR(A2618="",P2618="DUP",R2618&lt;2),"",IF(Q2618=_xlfn.MINIFS($Q$2:$Q$3058,$A$2:$A$3058,A2618,$P$2:$P$3058,"OK"),"KEEP","DROP"))</f>
        <v/>
      </c>
      <c r="T2618" s="9" t="n">
        <f aca="false">IF(A2618="",1,0)</f>
        <v>0</v>
      </c>
      <c r="U2618" s="9" t="n">
        <f aca="false">IF(D2618="",1,0)</f>
        <v>0</v>
      </c>
      <c r="V2618" s="9" t="n">
        <f aca="false">IF(E2618="",1,0)</f>
        <v>0</v>
      </c>
      <c r="W2618" s="9" t="n">
        <f aca="false">IF(OR(H2618&lt;1,H2618&gt;10),1,0)</f>
        <v>0</v>
      </c>
      <c r="X2618" s="9" t="n">
        <f aca="false">IF(OR(I2618&lt;=0,I2618&gt;1500),1,0)</f>
        <v>0</v>
      </c>
      <c r="Y2618" s="9" t="n">
        <f aca="false">IF(J2618&gt;H2618*I2618,1,0)</f>
        <v>0</v>
      </c>
      <c r="Z2618" s="9" t="n">
        <f aca="false">IF(AND(N2618&lt;&gt;"",OR(N2618&lt;1,N2618&gt;5)),1,0)</f>
        <v>0</v>
      </c>
      <c r="AA2618" s="9" t="n">
        <f aca="false">IF(AND(M2618&lt;&gt;"",OR(M2618&lt;5,M2618&gt;180)),1,0)</f>
        <v>0</v>
      </c>
      <c r="AB2618" s="7" t="str">
        <f aca="false">IF(P2618="DUP","Exact duplicate row",IF(T2618=1,"Missing Order ID",IF(S2618="DROP","Duplicate Order ID (less complete row)",IF(U2618=1,"Missing Customer ID",IF(V2618=1,"Missing Restaurant name",IF(W2618=1,"Invalid/outlier quantity",IF(X2618=1,"Invalid/outlier unit price",IF(Y2618=1,"Discount greater than order value",""))))))))</f>
        <v/>
      </c>
      <c r="AC2618" s="7" t="str">
        <f aca="false">IF(AB2618="","KEEP","DROP")</f>
        <v>KEEP</v>
      </c>
      <c r="AD2618" s="7" t="str">
        <f aca="false">IF(TRIM(F2618)="",IFERROR(INDEX(Map_Tables!$I$4:$I$37,MATCH(TRIM(E2618),Map_Tables!$G$4:$G$37,0)),""),IFERROR(INDEX(Map_Tables!$B$4:$B$18,MATCH(TRIM(F2618),Map_Tables!$A$4:$A$18,0)),"CHECK"))</f>
        <v>Chennai</v>
      </c>
      <c r="AE2618" s="7" t="str">
        <f aca="false">IF(TRIM(E2618)="","",IFERROR(INDEX(Map_Tables!$H$4:$H$37,MATCH(TRIM(E2618),Map_Tables!$G$4:$G$37,0)),"CHECK"))</f>
        <v>Madras Biryani Co</v>
      </c>
      <c r="AF2618" s="7" t="str">
        <f aca="false">IF(TRIM(K2618)="","Unknown",IFERROR(INDEX(Map_Tables!$E$4:$E$15,MATCH(TRIM(K2618),Map_Tables!$D$4:$D$15,0)),"CHECK"))</f>
        <v>Cash on Delivery</v>
      </c>
      <c r="AG2618" s="7" t="str">
        <f aca="false">IF(LEFT(LOWER(TRIM(L2618)),6)="cancel","Cancelled","Delivered")</f>
        <v>Delivered</v>
      </c>
      <c r="AH2618" s="10" t="n">
        <f aca="false">IF(ISNUMBER(SEARCH("/",B2618)),DATE(VALUE(RIGHT(B2618,4)),VALUE(MID(B2618,4,2)),VALUE(LEFT(B2618,2))),IF(MID(B2618,5,1)="-",DATE(VALUE(LEFT(B2618,4)),VALUE(MID(B2618,6,2)),VALUE(RIGHT(B2618,2))),DATE(VALUE(RIGHT(B2618,4)),MATCH(MID(B2618,4,3),{"Jan","Feb","Mar","Apr","May","Jun","Jul","Aug","Sep","Oct","Nov","Dec"},0),VALUE(LEFT(B2618,2)))))</f>
        <v>45774</v>
      </c>
    </row>
    <row r="2619" customFormat="false" ht="15" hidden="false" customHeight="false" outlineLevel="0" collapsed="false">
      <c r="A2619" s="7" t="s">
        <v>5620</v>
      </c>
      <c r="B2619" s="7" t="s">
        <v>222</v>
      </c>
      <c r="C2619" s="7" t="s">
        <v>896</v>
      </c>
      <c r="D2619" s="7" t="s">
        <v>3184</v>
      </c>
      <c r="E2619" s="7" t="s">
        <v>165</v>
      </c>
      <c r="F2619" s="7" t="s">
        <v>901</v>
      </c>
      <c r="G2619" s="7" t="s">
        <v>90</v>
      </c>
      <c r="H2619" s="7" t="n">
        <v>4</v>
      </c>
      <c r="I2619" s="7" t="n">
        <v>240</v>
      </c>
      <c r="J2619" s="7" t="n">
        <v>75</v>
      </c>
      <c r="K2619" s="7" t="s">
        <v>88</v>
      </c>
      <c r="L2619" s="7" t="s">
        <v>194</v>
      </c>
      <c r="M2619" s="7" t="n">
        <v>23</v>
      </c>
      <c r="N2619" s="7" t="n">
        <v>4</v>
      </c>
      <c r="O2619" s="7" t="str">
        <f aca="false">A2619&amp;"|"&amp;B2619&amp;"|"&amp;C2619&amp;"|"&amp;D2619&amp;"|"&amp;E2619&amp;"|"&amp;F2619&amp;"|"&amp;G2619&amp;"|"&amp;H2619&amp;"|"&amp;I2619&amp;"|"&amp;J2619&amp;"|"&amp;K2619&amp;"|"&amp;L2619&amp;"|"&amp;M2619&amp;"|"&amp;N2619</f>
        <v>ORD12788|2025-12-07|12:15|C1265|Gujarati Thali Ghar|AHMEDABAD|North Indian|4|240|75|UPI|Delivered|23|4</v>
      </c>
      <c r="P2619" s="7" t="str">
        <f aca="false">IF(COUNTIF($O$2:O2619,O2619)&gt;1,"DUP","OK")</f>
        <v>OK</v>
      </c>
      <c r="Q2619" s="7" t="n">
        <f aca="false">COUNTBLANK(A2619:N2619)</f>
        <v>0</v>
      </c>
      <c r="R2619" s="7" t="n">
        <f aca="false">IF(A2619="",0,COUNTIFS($A$2:$A$3058,A2619,$P$2:$P$3058,"OK"))</f>
        <v>1</v>
      </c>
      <c r="S2619" s="7" t="str">
        <f aca="false">IF(OR(A2619="",P2619="DUP",R2619&lt;2),"",IF(Q2619=_xlfn.MINIFS($Q$2:$Q$3058,$A$2:$A$3058,A2619,$P$2:$P$3058,"OK"),"KEEP","DROP"))</f>
        <v/>
      </c>
      <c r="T2619" s="9" t="n">
        <f aca="false">IF(A2619="",1,0)</f>
        <v>0</v>
      </c>
      <c r="U2619" s="9" t="n">
        <f aca="false">IF(D2619="",1,0)</f>
        <v>0</v>
      </c>
      <c r="V2619" s="9" t="n">
        <f aca="false">IF(E2619="",1,0)</f>
        <v>0</v>
      </c>
      <c r="W2619" s="9" t="n">
        <f aca="false">IF(OR(H2619&lt;1,H2619&gt;10),1,0)</f>
        <v>0</v>
      </c>
      <c r="X2619" s="9" t="n">
        <f aca="false">IF(OR(I2619&lt;=0,I2619&gt;1500),1,0)</f>
        <v>0</v>
      </c>
      <c r="Y2619" s="9" t="n">
        <f aca="false">IF(J2619&gt;H2619*I2619,1,0)</f>
        <v>0</v>
      </c>
      <c r="Z2619" s="9" t="n">
        <f aca="false">IF(AND(N2619&lt;&gt;"",OR(N2619&lt;1,N2619&gt;5)),1,0)</f>
        <v>0</v>
      </c>
      <c r="AA2619" s="9" t="n">
        <f aca="false">IF(AND(M2619&lt;&gt;"",OR(M2619&lt;5,M2619&gt;180)),1,0)</f>
        <v>0</v>
      </c>
      <c r="AB2619" s="7" t="str">
        <f aca="false">IF(P2619="DUP","Exact duplicate row",IF(T2619=1,"Missing Order ID",IF(S2619="DROP","Duplicate Order ID (less complete row)",IF(U2619=1,"Missing Customer ID",IF(V2619=1,"Missing Restaurant name",IF(W2619=1,"Invalid/outlier quantity",IF(X2619=1,"Invalid/outlier unit price",IF(Y2619=1,"Discount greater than order value",""))))))))</f>
        <v/>
      </c>
      <c r="AC2619" s="7" t="str">
        <f aca="false">IF(AB2619="","KEEP","DROP")</f>
        <v>KEEP</v>
      </c>
      <c r="AD2619" s="7" t="str">
        <f aca="false">IF(TRIM(F2619)="",IFERROR(INDEX(Map_Tables!$I$4:$I$37,MATCH(TRIM(E2619),Map_Tables!$G$4:$G$37,0)),""),IFERROR(INDEX(Map_Tables!$B$4:$B$18,MATCH(TRIM(F2619),Map_Tables!$A$4:$A$18,0)),"CHECK"))</f>
        <v>Ahmedabad</v>
      </c>
      <c r="AE2619" s="7" t="str">
        <f aca="false">IF(TRIM(E2619)="","",IFERROR(INDEX(Map_Tables!$H$4:$H$37,MATCH(TRIM(E2619),Map_Tables!$G$4:$G$37,0)),"CHECK"))</f>
        <v>Gujarati Thali Ghar</v>
      </c>
      <c r="AF2619" s="7" t="str">
        <f aca="false">IF(TRIM(K2619)="","Unknown",IFERROR(INDEX(Map_Tables!$E$4:$E$15,MATCH(TRIM(K2619),Map_Tables!$D$4:$D$15,0)),"CHECK"))</f>
        <v>UPI</v>
      </c>
      <c r="AG2619" s="7" t="str">
        <f aca="false">IF(LEFT(LOWER(TRIM(L2619)),6)="cancel","Cancelled","Delivered")</f>
        <v>Delivered</v>
      </c>
      <c r="AH2619" s="10" t="n">
        <f aca="false">IF(ISNUMBER(SEARCH("/",B2619)),DATE(VALUE(RIGHT(B2619,4)),VALUE(MID(B2619,4,2)),VALUE(LEFT(B2619,2))),IF(MID(B2619,5,1)="-",DATE(VALUE(LEFT(B2619,4)),VALUE(MID(B2619,6,2)),VALUE(RIGHT(B2619,2))),DATE(VALUE(RIGHT(B2619,4)),MATCH(MID(B2619,4,3),{"Jan","Feb","Mar","Apr","May","Jun","Jul","Aug","Sep","Oct","Nov","Dec"},0),VALUE(LEFT(B2619,2)))))</f>
        <v>45998</v>
      </c>
    </row>
    <row r="2620" customFormat="false" ht="15" hidden="false" customHeight="false" outlineLevel="0" collapsed="false">
      <c r="A2620" s="7" t="s">
        <v>5621</v>
      </c>
      <c r="B2620" s="7" t="s">
        <v>5622</v>
      </c>
      <c r="C2620" s="7" t="s">
        <v>191</v>
      </c>
      <c r="D2620" s="7" t="s">
        <v>4322</v>
      </c>
      <c r="E2620" s="7" t="s">
        <v>138</v>
      </c>
      <c r="F2620" s="7" t="s">
        <v>110</v>
      </c>
      <c r="G2620" s="7" t="s">
        <v>139</v>
      </c>
      <c r="H2620" s="7" t="n">
        <v>3</v>
      </c>
      <c r="I2620" s="7" t="n">
        <v>225</v>
      </c>
      <c r="J2620" s="7" t="n">
        <v>0</v>
      </c>
      <c r="K2620" s="7" t="s">
        <v>121</v>
      </c>
      <c r="L2620" s="7" t="s">
        <v>194</v>
      </c>
      <c r="M2620" s="7" t="n">
        <v>32</v>
      </c>
      <c r="N2620" s="7" t="n">
        <v>5</v>
      </c>
      <c r="O2620" s="7" t="str">
        <f aca="false">A2620&amp;"|"&amp;B2620&amp;"|"&amp;C2620&amp;"|"&amp;D2620&amp;"|"&amp;E2620&amp;"|"&amp;F2620&amp;"|"&amp;G2620&amp;"|"&amp;H2620&amp;"|"&amp;I2620&amp;"|"&amp;J2620&amp;"|"&amp;K2620&amp;"|"&amp;L2620&amp;"|"&amp;M2620&amp;"|"&amp;N2620</f>
        <v>ORD11910|05-Sep-2025|12:57|C0338|Burger Barn|Delhi|Burgers|3|225|0|Wallet|Delivered|32|5</v>
      </c>
      <c r="P2620" s="7" t="str">
        <f aca="false">IF(COUNTIF($O$2:O2620,O2620)&gt;1,"DUP","OK")</f>
        <v>OK</v>
      </c>
      <c r="Q2620" s="7" t="n">
        <f aca="false">COUNTBLANK(A2620:N2620)</f>
        <v>0</v>
      </c>
      <c r="R2620" s="7" t="n">
        <f aca="false">IF(A2620="",0,COUNTIFS($A$2:$A$3058,A2620,$P$2:$P$3058,"OK"))</f>
        <v>1</v>
      </c>
      <c r="S2620" s="7" t="str">
        <f aca="false">IF(OR(A2620="",P2620="DUP",R2620&lt;2),"",IF(Q2620=_xlfn.MINIFS($Q$2:$Q$3058,$A$2:$A$3058,A2620,$P$2:$P$3058,"OK"),"KEEP","DROP"))</f>
        <v/>
      </c>
      <c r="T2620" s="9" t="n">
        <f aca="false">IF(A2620="",1,0)</f>
        <v>0</v>
      </c>
      <c r="U2620" s="9" t="n">
        <f aca="false">IF(D2620="",1,0)</f>
        <v>0</v>
      </c>
      <c r="V2620" s="9" t="n">
        <f aca="false">IF(E2620="",1,0)</f>
        <v>0</v>
      </c>
      <c r="W2620" s="9" t="n">
        <f aca="false">IF(OR(H2620&lt;1,H2620&gt;10),1,0)</f>
        <v>0</v>
      </c>
      <c r="X2620" s="9" t="n">
        <f aca="false">IF(OR(I2620&lt;=0,I2620&gt;1500),1,0)</f>
        <v>0</v>
      </c>
      <c r="Y2620" s="9" t="n">
        <f aca="false">IF(J2620&gt;H2620*I2620,1,0)</f>
        <v>0</v>
      </c>
      <c r="Z2620" s="9" t="n">
        <f aca="false">IF(AND(N2620&lt;&gt;"",OR(N2620&lt;1,N2620&gt;5)),1,0)</f>
        <v>0</v>
      </c>
      <c r="AA2620" s="9" t="n">
        <f aca="false">IF(AND(M2620&lt;&gt;"",OR(M2620&lt;5,M2620&gt;180)),1,0)</f>
        <v>0</v>
      </c>
      <c r="AB2620" s="7" t="str">
        <f aca="false">IF(P2620="DUP","Exact duplicate row",IF(T2620=1,"Missing Order ID",IF(S2620="DROP","Duplicate Order ID (less complete row)",IF(U2620=1,"Missing Customer ID",IF(V2620=1,"Missing Restaurant name",IF(W2620=1,"Invalid/outlier quantity",IF(X2620=1,"Invalid/outlier unit price",IF(Y2620=1,"Discount greater than order value",""))))))))</f>
        <v/>
      </c>
      <c r="AC2620" s="7" t="str">
        <f aca="false">IF(AB2620="","KEEP","DROP")</f>
        <v>KEEP</v>
      </c>
      <c r="AD2620" s="7" t="str">
        <f aca="false">IF(TRIM(F2620)="",IFERROR(INDEX(Map_Tables!$I$4:$I$37,MATCH(TRIM(E2620),Map_Tables!$G$4:$G$37,0)),""),IFERROR(INDEX(Map_Tables!$B$4:$B$18,MATCH(TRIM(F2620),Map_Tables!$A$4:$A$18,0)),"CHECK"))</f>
        <v>Delhi</v>
      </c>
      <c r="AE2620" s="7" t="str">
        <f aca="false">IF(TRIM(E2620)="","",IFERROR(INDEX(Map_Tables!$H$4:$H$37,MATCH(TRIM(E2620),Map_Tables!$G$4:$G$37,0)),"CHECK"))</f>
        <v>Burger Barn</v>
      </c>
      <c r="AF2620" s="7" t="str">
        <f aca="false">IF(TRIM(K2620)="","Unknown",IFERROR(INDEX(Map_Tables!$E$4:$E$15,MATCH(TRIM(K2620),Map_Tables!$D$4:$D$15,0)),"CHECK"))</f>
        <v>Wallet</v>
      </c>
      <c r="AG2620" s="7" t="str">
        <f aca="false">IF(LEFT(LOWER(TRIM(L2620)),6)="cancel","Cancelled","Delivered")</f>
        <v>Delivered</v>
      </c>
      <c r="AH2620" s="10" t="n">
        <f aca="false">IF(ISNUMBER(SEARCH("/",B2620)),DATE(VALUE(RIGHT(B2620,4)),VALUE(MID(B2620,4,2)),VALUE(LEFT(B2620,2))),IF(MID(B2620,5,1)="-",DATE(VALUE(LEFT(B2620,4)),VALUE(MID(B2620,6,2)),VALUE(RIGHT(B2620,2))),DATE(VALUE(RIGHT(B2620,4)),MATCH(MID(B2620,4,3),{"Jan","Feb","Mar","Apr","May","Jun","Jul","Aug","Sep","Oct","Nov","Dec"},0),VALUE(LEFT(B2620,2)))))</f>
        <v>45905</v>
      </c>
    </row>
    <row r="2621" customFormat="false" ht="15" hidden="false" customHeight="false" outlineLevel="0" collapsed="false">
      <c r="A2621" s="7" t="s">
        <v>5623</v>
      </c>
      <c r="B2621" s="7" t="s">
        <v>2548</v>
      </c>
      <c r="C2621" s="7" t="s">
        <v>218</v>
      </c>
      <c r="D2621" s="7" t="s">
        <v>5624</v>
      </c>
      <c r="E2621" s="7" t="s">
        <v>94</v>
      </c>
      <c r="F2621" s="7" t="s">
        <v>86</v>
      </c>
      <c r="G2621" s="7" t="s">
        <v>95</v>
      </c>
      <c r="H2621" s="7" t="n">
        <v>1</v>
      </c>
      <c r="I2621" s="7" t="n">
        <v>85</v>
      </c>
      <c r="J2621" s="7" t="n">
        <v>0</v>
      </c>
      <c r="K2621" s="7" t="s">
        <v>133</v>
      </c>
      <c r="L2621" s="7" t="s">
        <v>194</v>
      </c>
      <c r="M2621" s="7" t="n">
        <v>42</v>
      </c>
      <c r="N2621" s="7" t="n">
        <v>3</v>
      </c>
      <c r="O2621" s="7" t="str">
        <f aca="false">A2621&amp;"|"&amp;B2621&amp;"|"&amp;C2621&amp;"|"&amp;D2621&amp;"|"&amp;E2621&amp;"|"&amp;F2621&amp;"|"&amp;G2621&amp;"|"&amp;H2621&amp;"|"&amp;I2621&amp;"|"&amp;J2621&amp;"|"&amp;K2621&amp;"|"&amp;L2621&amp;"|"&amp;M2621&amp;"|"&amp;N2621</f>
        <v>ORD11036|2025-05-11|12:48|C0403|Dosa Darbar|Bengaluru|South Indian|1|85|0|Net Banking|Delivered|42|3</v>
      </c>
      <c r="P2621" s="7" t="str">
        <f aca="false">IF(COUNTIF($O$2:O2621,O2621)&gt;1,"DUP","OK")</f>
        <v>OK</v>
      </c>
      <c r="Q2621" s="7" t="n">
        <f aca="false">COUNTBLANK(A2621:N2621)</f>
        <v>0</v>
      </c>
      <c r="R2621" s="7" t="n">
        <f aca="false">IF(A2621="",0,COUNTIFS($A$2:$A$3058,A2621,$P$2:$P$3058,"OK"))</f>
        <v>1</v>
      </c>
      <c r="S2621" s="7" t="str">
        <f aca="false">IF(OR(A2621="",P2621="DUP",R2621&lt;2),"",IF(Q2621=_xlfn.MINIFS($Q$2:$Q$3058,$A$2:$A$3058,A2621,$P$2:$P$3058,"OK"),"KEEP","DROP"))</f>
        <v/>
      </c>
      <c r="T2621" s="9" t="n">
        <f aca="false">IF(A2621="",1,0)</f>
        <v>0</v>
      </c>
      <c r="U2621" s="9" t="n">
        <f aca="false">IF(D2621="",1,0)</f>
        <v>0</v>
      </c>
      <c r="V2621" s="9" t="n">
        <f aca="false">IF(E2621="",1,0)</f>
        <v>0</v>
      </c>
      <c r="W2621" s="9" t="n">
        <f aca="false">IF(OR(H2621&lt;1,H2621&gt;10),1,0)</f>
        <v>0</v>
      </c>
      <c r="X2621" s="9" t="n">
        <f aca="false">IF(OR(I2621&lt;=0,I2621&gt;1500),1,0)</f>
        <v>0</v>
      </c>
      <c r="Y2621" s="9" t="n">
        <f aca="false">IF(J2621&gt;H2621*I2621,1,0)</f>
        <v>0</v>
      </c>
      <c r="Z2621" s="9" t="n">
        <f aca="false">IF(AND(N2621&lt;&gt;"",OR(N2621&lt;1,N2621&gt;5)),1,0)</f>
        <v>0</v>
      </c>
      <c r="AA2621" s="9" t="n">
        <f aca="false">IF(AND(M2621&lt;&gt;"",OR(M2621&lt;5,M2621&gt;180)),1,0)</f>
        <v>0</v>
      </c>
      <c r="AB2621" s="7" t="str">
        <f aca="false">IF(P2621="DUP","Exact duplicate row",IF(T2621=1,"Missing Order ID",IF(S2621="DROP","Duplicate Order ID (less complete row)",IF(U2621=1,"Missing Customer ID",IF(V2621=1,"Missing Restaurant name",IF(W2621=1,"Invalid/outlier quantity",IF(X2621=1,"Invalid/outlier unit price",IF(Y2621=1,"Discount greater than order value",""))))))))</f>
        <v/>
      </c>
      <c r="AC2621" s="7" t="str">
        <f aca="false">IF(AB2621="","KEEP","DROP")</f>
        <v>KEEP</v>
      </c>
      <c r="AD2621" s="7" t="str">
        <f aca="false">IF(TRIM(F2621)="",IFERROR(INDEX(Map_Tables!$I$4:$I$37,MATCH(TRIM(E2621),Map_Tables!$G$4:$G$37,0)),""),IFERROR(INDEX(Map_Tables!$B$4:$B$18,MATCH(TRIM(F2621),Map_Tables!$A$4:$A$18,0)),"CHECK"))</f>
        <v>Bengaluru</v>
      </c>
      <c r="AE2621" s="7" t="str">
        <f aca="false">IF(TRIM(E2621)="","",IFERROR(INDEX(Map_Tables!$H$4:$H$37,MATCH(TRIM(E2621),Map_Tables!$G$4:$G$37,0)),"CHECK"))</f>
        <v>Dosa Darbar</v>
      </c>
      <c r="AF2621" s="7" t="str">
        <f aca="false">IF(TRIM(K2621)="","Unknown",IFERROR(INDEX(Map_Tables!$E$4:$E$15,MATCH(TRIM(K2621),Map_Tables!$D$4:$D$15,0)),"CHECK"))</f>
        <v>Net Banking</v>
      </c>
      <c r="AG2621" s="7" t="str">
        <f aca="false">IF(LEFT(LOWER(TRIM(L2621)),6)="cancel","Cancelled","Delivered")</f>
        <v>Delivered</v>
      </c>
      <c r="AH2621" s="10" t="n">
        <f aca="false">IF(ISNUMBER(SEARCH("/",B2621)),DATE(VALUE(RIGHT(B2621,4)),VALUE(MID(B2621,4,2)),VALUE(LEFT(B2621,2))),IF(MID(B2621,5,1)="-",DATE(VALUE(LEFT(B2621,4)),VALUE(MID(B2621,6,2)),VALUE(RIGHT(B2621,2))),DATE(VALUE(RIGHT(B2621,4)),MATCH(MID(B2621,4,3),{"Jan","Feb","Mar","Apr","May","Jun","Jul","Aug","Sep","Oct","Nov","Dec"},0),VALUE(LEFT(B2621,2)))))</f>
        <v>45788</v>
      </c>
    </row>
    <row r="2622" customFormat="false" ht="15" hidden="false" customHeight="false" outlineLevel="0" collapsed="false">
      <c r="A2622" s="7" t="s">
        <v>5625</v>
      </c>
      <c r="B2622" s="7" t="s">
        <v>1989</v>
      </c>
      <c r="C2622" s="7" t="s">
        <v>3895</v>
      </c>
      <c r="D2622" s="7" t="s">
        <v>4809</v>
      </c>
      <c r="E2622" s="7" t="s">
        <v>168</v>
      </c>
      <c r="F2622" s="7" t="s">
        <v>145</v>
      </c>
      <c r="G2622" s="7" t="s">
        <v>123</v>
      </c>
      <c r="H2622" s="7" t="n">
        <v>1</v>
      </c>
      <c r="I2622" s="7" t="n">
        <v>295</v>
      </c>
      <c r="J2622" s="7" t="n">
        <v>0</v>
      </c>
      <c r="K2622" s="7" t="s">
        <v>88</v>
      </c>
      <c r="L2622" s="7" t="s">
        <v>194</v>
      </c>
      <c r="M2622" s="7" t="n">
        <v>30</v>
      </c>
      <c r="N2622" s="7" t="n">
        <v>5</v>
      </c>
      <c r="O2622" s="7" t="str">
        <f aca="false">A2622&amp;"|"&amp;B2622&amp;"|"&amp;C2622&amp;"|"&amp;D2622&amp;"|"&amp;E2622&amp;"|"&amp;F2622&amp;"|"&amp;G2622&amp;"|"&amp;H2622&amp;"|"&amp;I2622&amp;"|"&amp;J2622&amp;"|"&amp;K2622&amp;"|"&amp;L2622&amp;"|"&amp;M2622&amp;"|"&amp;N2622</f>
        <v>ORD11401|2025-06-30|23:30|C1330|Cheesy Slice|ahmedabad|Pizza|1|295|0|UPI|Delivered|30|5</v>
      </c>
      <c r="P2622" s="7" t="str">
        <f aca="false">IF(COUNTIF($O$2:O2622,O2622)&gt;1,"DUP","OK")</f>
        <v>OK</v>
      </c>
      <c r="Q2622" s="7" t="n">
        <f aca="false">COUNTBLANK(A2622:N2622)</f>
        <v>0</v>
      </c>
      <c r="R2622" s="7" t="n">
        <f aca="false">IF(A2622="",0,COUNTIFS($A$2:$A$3058,A2622,$P$2:$P$3058,"OK"))</f>
        <v>1</v>
      </c>
      <c r="S2622" s="7" t="str">
        <f aca="false">IF(OR(A2622="",P2622="DUP",R2622&lt;2),"",IF(Q2622=_xlfn.MINIFS($Q$2:$Q$3058,$A$2:$A$3058,A2622,$P$2:$P$3058,"OK"),"KEEP","DROP"))</f>
        <v/>
      </c>
      <c r="T2622" s="9" t="n">
        <f aca="false">IF(A2622="",1,0)</f>
        <v>0</v>
      </c>
      <c r="U2622" s="9" t="n">
        <f aca="false">IF(D2622="",1,0)</f>
        <v>0</v>
      </c>
      <c r="V2622" s="9" t="n">
        <f aca="false">IF(E2622="",1,0)</f>
        <v>0</v>
      </c>
      <c r="W2622" s="9" t="n">
        <f aca="false">IF(OR(H2622&lt;1,H2622&gt;10),1,0)</f>
        <v>0</v>
      </c>
      <c r="X2622" s="9" t="n">
        <f aca="false">IF(OR(I2622&lt;=0,I2622&gt;1500),1,0)</f>
        <v>0</v>
      </c>
      <c r="Y2622" s="9" t="n">
        <f aca="false">IF(J2622&gt;H2622*I2622,1,0)</f>
        <v>0</v>
      </c>
      <c r="Z2622" s="9" t="n">
        <f aca="false">IF(AND(N2622&lt;&gt;"",OR(N2622&lt;1,N2622&gt;5)),1,0)</f>
        <v>0</v>
      </c>
      <c r="AA2622" s="9" t="n">
        <f aca="false">IF(AND(M2622&lt;&gt;"",OR(M2622&lt;5,M2622&gt;180)),1,0)</f>
        <v>0</v>
      </c>
      <c r="AB2622" s="7" t="str">
        <f aca="false">IF(P2622="DUP","Exact duplicate row",IF(T2622=1,"Missing Order ID",IF(S2622="DROP","Duplicate Order ID (less complete row)",IF(U2622=1,"Missing Customer ID",IF(V2622=1,"Missing Restaurant name",IF(W2622=1,"Invalid/outlier quantity",IF(X2622=1,"Invalid/outlier unit price",IF(Y2622=1,"Discount greater than order value",""))))))))</f>
        <v/>
      </c>
      <c r="AC2622" s="7" t="str">
        <f aca="false">IF(AB2622="","KEEP","DROP")</f>
        <v>KEEP</v>
      </c>
      <c r="AD2622" s="7" t="str">
        <f aca="false">IF(TRIM(F2622)="",IFERROR(INDEX(Map_Tables!$I$4:$I$37,MATCH(TRIM(E2622),Map_Tables!$G$4:$G$37,0)),""),IFERROR(INDEX(Map_Tables!$B$4:$B$18,MATCH(TRIM(F2622),Map_Tables!$A$4:$A$18,0)),"CHECK"))</f>
        <v>Ahmedabad</v>
      </c>
      <c r="AE2622" s="7" t="str">
        <f aca="false">IF(TRIM(E2622)="","",IFERROR(INDEX(Map_Tables!$H$4:$H$37,MATCH(TRIM(E2622),Map_Tables!$G$4:$G$37,0)),"CHECK"))</f>
        <v>Cheesy Slice</v>
      </c>
      <c r="AF2622" s="7" t="str">
        <f aca="false">IF(TRIM(K2622)="","Unknown",IFERROR(INDEX(Map_Tables!$E$4:$E$15,MATCH(TRIM(K2622),Map_Tables!$D$4:$D$15,0)),"CHECK"))</f>
        <v>UPI</v>
      </c>
      <c r="AG2622" s="7" t="str">
        <f aca="false">IF(LEFT(LOWER(TRIM(L2622)),6)="cancel","Cancelled","Delivered")</f>
        <v>Delivered</v>
      </c>
      <c r="AH2622" s="10" t="n">
        <f aca="false">IF(ISNUMBER(SEARCH("/",B2622)),DATE(VALUE(RIGHT(B2622,4)),VALUE(MID(B2622,4,2)),VALUE(LEFT(B2622,2))),IF(MID(B2622,5,1)="-",DATE(VALUE(LEFT(B2622,4)),VALUE(MID(B2622,6,2)),VALUE(RIGHT(B2622,2))),DATE(VALUE(RIGHT(B2622,4)),MATCH(MID(B2622,4,3),{"Jan","Feb","Mar","Apr","May","Jun","Jul","Aug","Sep","Oct","Nov","Dec"},0),VALUE(LEFT(B2622,2)))))</f>
        <v>45838</v>
      </c>
    </row>
    <row r="2623" customFormat="false" ht="15" hidden="false" customHeight="false" outlineLevel="0" collapsed="false">
      <c r="A2623" s="7" t="s">
        <v>5626</v>
      </c>
      <c r="B2623" s="7" t="s">
        <v>2303</v>
      </c>
      <c r="C2623" s="7" t="s">
        <v>1520</v>
      </c>
      <c r="D2623" s="7" t="s">
        <v>3148</v>
      </c>
      <c r="E2623" s="7" t="s">
        <v>159</v>
      </c>
      <c r="F2623" s="7" t="s">
        <v>136</v>
      </c>
      <c r="G2623" s="7" t="s">
        <v>90</v>
      </c>
      <c r="H2623" s="7" t="n">
        <v>1</v>
      </c>
      <c r="I2623" s="7" t="n">
        <v>300</v>
      </c>
      <c r="J2623" s="7" t="n">
        <v>0</v>
      </c>
      <c r="K2623" s="7" t="s">
        <v>121</v>
      </c>
      <c r="L2623" s="7" t="s">
        <v>194</v>
      </c>
      <c r="M2623" s="7" t="n">
        <v>31</v>
      </c>
      <c r="N2623" s="7" t="n">
        <v>4</v>
      </c>
      <c r="O2623" s="7" t="str">
        <f aca="false">A2623&amp;"|"&amp;B2623&amp;"|"&amp;C2623&amp;"|"&amp;D2623&amp;"|"&amp;E2623&amp;"|"&amp;F2623&amp;"|"&amp;G2623&amp;"|"&amp;H2623&amp;"|"&amp;I2623&amp;"|"&amp;J2623&amp;"|"&amp;K2623&amp;"|"&amp;L2623&amp;"|"&amp;M2623&amp;"|"&amp;N2623</f>
        <v>ORD12292|2025-10-17|12:11|C0310|Maratha Thali House|Pune|North Indian|1|300|0|Wallet|Delivered|31|4</v>
      </c>
      <c r="P2623" s="7" t="str">
        <f aca="false">IF(COUNTIF($O$2:O2623,O2623)&gt;1,"DUP","OK")</f>
        <v>OK</v>
      </c>
      <c r="Q2623" s="7" t="n">
        <f aca="false">COUNTBLANK(A2623:N2623)</f>
        <v>0</v>
      </c>
      <c r="R2623" s="7" t="n">
        <f aca="false">IF(A2623="",0,COUNTIFS($A$2:$A$3058,A2623,$P$2:$P$3058,"OK"))</f>
        <v>1</v>
      </c>
      <c r="S2623" s="7" t="str">
        <f aca="false">IF(OR(A2623="",P2623="DUP",R2623&lt;2),"",IF(Q2623=_xlfn.MINIFS($Q$2:$Q$3058,$A$2:$A$3058,A2623,$P$2:$P$3058,"OK"),"KEEP","DROP"))</f>
        <v/>
      </c>
      <c r="T2623" s="9" t="n">
        <f aca="false">IF(A2623="",1,0)</f>
        <v>0</v>
      </c>
      <c r="U2623" s="9" t="n">
        <f aca="false">IF(D2623="",1,0)</f>
        <v>0</v>
      </c>
      <c r="V2623" s="9" t="n">
        <f aca="false">IF(E2623="",1,0)</f>
        <v>0</v>
      </c>
      <c r="W2623" s="9" t="n">
        <f aca="false">IF(OR(H2623&lt;1,H2623&gt;10),1,0)</f>
        <v>0</v>
      </c>
      <c r="X2623" s="9" t="n">
        <f aca="false">IF(OR(I2623&lt;=0,I2623&gt;1500),1,0)</f>
        <v>0</v>
      </c>
      <c r="Y2623" s="9" t="n">
        <f aca="false">IF(J2623&gt;H2623*I2623,1,0)</f>
        <v>0</v>
      </c>
      <c r="Z2623" s="9" t="n">
        <f aca="false">IF(AND(N2623&lt;&gt;"",OR(N2623&lt;1,N2623&gt;5)),1,0)</f>
        <v>0</v>
      </c>
      <c r="AA2623" s="9" t="n">
        <f aca="false">IF(AND(M2623&lt;&gt;"",OR(M2623&lt;5,M2623&gt;180)),1,0)</f>
        <v>0</v>
      </c>
      <c r="AB2623" s="7" t="str">
        <f aca="false">IF(P2623="DUP","Exact duplicate row",IF(T2623=1,"Missing Order ID",IF(S2623="DROP","Duplicate Order ID (less complete row)",IF(U2623=1,"Missing Customer ID",IF(V2623=1,"Missing Restaurant name",IF(W2623=1,"Invalid/outlier quantity",IF(X2623=1,"Invalid/outlier unit price",IF(Y2623=1,"Discount greater than order value",""))))))))</f>
        <v/>
      </c>
      <c r="AC2623" s="7" t="str">
        <f aca="false">IF(AB2623="","KEEP","DROP")</f>
        <v>KEEP</v>
      </c>
      <c r="AD2623" s="7" t="str">
        <f aca="false">IF(TRIM(F2623)="",IFERROR(INDEX(Map_Tables!$I$4:$I$37,MATCH(TRIM(E2623),Map_Tables!$G$4:$G$37,0)),""),IFERROR(INDEX(Map_Tables!$B$4:$B$18,MATCH(TRIM(F2623),Map_Tables!$A$4:$A$18,0)),"CHECK"))</f>
        <v>Pune</v>
      </c>
      <c r="AE2623" s="7" t="str">
        <f aca="false">IF(TRIM(E2623)="","",IFERROR(INDEX(Map_Tables!$H$4:$H$37,MATCH(TRIM(E2623),Map_Tables!$G$4:$G$37,0)),"CHECK"))</f>
        <v>Maratha Thali House</v>
      </c>
      <c r="AF2623" s="7" t="str">
        <f aca="false">IF(TRIM(K2623)="","Unknown",IFERROR(INDEX(Map_Tables!$E$4:$E$15,MATCH(TRIM(K2623),Map_Tables!$D$4:$D$15,0)),"CHECK"))</f>
        <v>Wallet</v>
      </c>
      <c r="AG2623" s="7" t="str">
        <f aca="false">IF(LEFT(LOWER(TRIM(L2623)),6)="cancel","Cancelled","Delivered")</f>
        <v>Delivered</v>
      </c>
      <c r="AH2623" s="10" t="n">
        <f aca="false">IF(ISNUMBER(SEARCH("/",B2623)),DATE(VALUE(RIGHT(B2623,4)),VALUE(MID(B2623,4,2)),VALUE(LEFT(B2623,2))),IF(MID(B2623,5,1)="-",DATE(VALUE(LEFT(B2623,4)),VALUE(MID(B2623,6,2)),VALUE(RIGHT(B2623,2))),DATE(VALUE(RIGHT(B2623,4)),MATCH(MID(B2623,4,3),{"Jan","Feb","Mar","Apr","May","Jun","Jul","Aug","Sep","Oct","Nov","Dec"},0),VALUE(LEFT(B2623,2)))))</f>
        <v>45947</v>
      </c>
    </row>
    <row r="2624" customFormat="false" ht="15" hidden="false" customHeight="false" outlineLevel="0" collapsed="false">
      <c r="A2624" s="7" t="s">
        <v>5627</v>
      </c>
      <c r="B2624" s="7" t="s">
        <v>376</v>
      </c>
      <c r="C2624" s="7" t="s">
        <v>2691</v>
      </c>
      <c r="D2624" s="7" t="s">
        <v>1543</v>
      </c>
      <c r="E2624" s="7" t="s">
        <v>126</v>
      </c>
      <c r="F2624" s="7" t="s">
        <v>215</v>
      </c>
      <c r="G2624" s="7" t="s">
        <v>105</v>
      </c>
      <c r="H2624" s="7" t="n">
        <v>3</v>
      </c>
      <c r="I2624" s="7" t="n">
        <v>235</v>
      </c>
      <c r="J2624" s="7" t="n">
        <v>0</v>
      </c>
      <c r="K2624" s="7" t="s">
        <v>88</v>
      </c>
      <c r="L2624" s="7" t="s">
        <v>194</v>
      </c>
      <c r="M2624" s="7" t="n">
        <v>53</v>
      </c>
      <c r="N2624" s="7" t="n">
        <v>5</v>
      </c>
      <c r="O2624" s="7" t="str">
        <f aca="false">A2624&amp;"|"&amp;B2624&amp;"|"&amp;C2624&amp;"|"&amp;D2624&amp;"|"&amp;E2624&amp;"|"&amp;F2624&amp;"|"&amp;G2624&amp;"|"&amp;H2624&amp;"|"&amp;I2624&amp;"|"&amp;J2624&amp;"|"&amp;K2624&amp;"|"&amp;L2624&amp;"|"&amp;M2624&amp;"|"&amp;N2624</f>
        <v>ORD11501|2025-07-14|13:58|C0486|Dragon Express|MUMBAI|Chinese|3|235|0|UPI|Delivered|53|5</v>
      </c>
      <c r="P2624" s="7" t="str">
        <f aca="false">IF(COUNTIF($O$2:O2624,O2624)&gt;1,"DUP","OK")</f>
        <v>OK</v>
      </c>
      <c r="Q2624" s="7" t="n">
        <f aca="false">COUNTBLANK(A2624:N2624)</f>
        <v>0</v>
      </c>
      <c r="R2624" s="7" t="n">
        <f aca="false">IF(A2624="",0,COUNTIFS($A$2:$A$3058,A2624,$P$2:$P$3058,"OK"))</f>
        <v>1</v>
      </c>
      <c r="S2624" s="7" t="str">
        <f aca="false">IF(OR(A2624="",P2624="DUP",R2624&lt;2),"",IF(Q2624=_xlfn.MINIFS($Q$2:$Q$3058,$A$2:$A$3058,A2624,$P$2:$P$3058,"OK"),"KEEP","DROP"))</f>
        <v/>
      </c>
      <c r="T2624" s="9" t="n">
        <f aca="false">IF(A2624="",1,0)</f>
        <v>0</v>
      </c>
      <c r="U2624" s="9" t="n">
        <f aca="false">IF(D2624="",1,0)</f>
        <v>0</v>
      </c>
      <c r="V2624" s="9" t="n">
        <f aca="false">IF(E2624="",1,0)</f>
        <v>0</v>
      </c>
      <c r="W2624" s="9" t="n">
        <f aca="false">IF(OR(H2624&lt;1,H2624&gt;10),1,0)</f>
        <v>0</v>
      </c>
      <c r="X2624" s="9" t="n">
        <f aca="false">IF(OR(I2624&lt;=0,I2624&gt;1500),1,0)</f>
        <v>0</v>
      </c>
      <c r="Y2624" s="9" t="n">
        <f aca="false">IF(J2624&gt;H2624*I2624,1,0)</f>
        <v>0</v>
      </c>
      <c r="Z2624" s="9" t="n">
        <f aca="false">IF(AND(N2624&lt;&gt;"",OR(N2624&lt;1,N2624&gt;5)),1,0)</f>
        <v>0</v>
      </c>
      <c r="AA2624" s="9" t="n">
        <f aca="false">IF(AND(M2624&lt;&gt;"",OR(M2624&lt;5,M2624&gt;180)),1,0)</f>
        <v>0</v>
      </c>
      <c r="AB2624" s="7" t="str">
        <f aca="false">IF(P2624="DUP","Exact duplicate row",IF(T2624=1,"Missing Order ID",IF(S2624="DROP","Duplicate Order ID (less complete row)",IF(U2624=1,"Missing Customer ID",IF(V2624=1,"Missing Restaurant name",IF(W2624=1,"Invalid/outlier quantity",IF(X2624=1,"Invalid/outlier unit price",IF(Y2624=1,"Discount greater than order value",""))))))))</f>
        <v/>
      </c>
      <c r="AC2624" s="7" t="str">
        <f aca="false">IF(AB2624="","KEEP","DROP")</f>
        <v>KEEP</v>
      </c>
      <c r="AD2624" s="7" t="str">
        <f aca="false">IF(TRIM(F2624)="",IFERROR(INDEX(Map_Tables!$I$4:$I$37,MATCH(TRIM(E2624),Map_Tables!$G$4:$G$37,0)),""),IFERROR(INDEX(Map_Tables!$B$4:$B$18,MATCH(TRIM(F2624),Map_Tables!$A$4:$A$18,0)),"CHECK"))</f>
        <v>Mumbai</v>
      </c>
      <c r="AE2624" s="7" t="str">
        <f aca="false">IF(TRIM(E2624)="","",IFERROR(INDEX(Map_Tables!$H$4:$H$37,MATCH(TRIM(E2624),Map_Tables!$G$4:$G$37,0)),"CHECK"))</f>
        <v>Dragon Express</v>
      </c>
      <c r="AF2624" s="7" t="str">
        <f aca="false">IF(TRIM(K2624)="","Unknown",IFERROR(INDEX(Map_Tables!$E$4:$E$15,MATCH(TRIM(K2624),Map_Tables!$D$4:$D$15,0)),"CHECK"))</f>
        <v>UPI</v>
      </c>
      <c r="AG2624" s="7" t="str">
        <f aca="false">IF(LEFT(LOWER(TRIM(L2624)),6)="cancel","Cancelled","Delivered")</f>
        <v>Delivered</v>
      </c>
      <c r="AH2624" s="10" t="n">
        <f aca="false">IF(ISNUMBER(SEARCH("/",B2624)),DATE(VALUE(RIGHT(B2624,4)),VALUE(MID(B2624,4,2)),VALUE(LEFT(B2624,2))),IF(MID(B2624,5,1)="-",DATE(VALUE(LEFT(B2624,4)),VALUE(MID(B2624,6,2)),VALUE(RIGHT(B2624,2))),DATE(VALUE(RIGHT(B2624,4)),MATCH(MID(B2624,4,3),{"Jan","Feb","Mar","Apr","May","Jun","Jul","Aug","Sep","Oct","Nov","Dec"},0),VALUE(LEFT(B2624,2)))))</f>
        <v>45852</v>
      </c>
    </row>
    <row r="2625" customFormat="false" ht="15" hidden="false" customHeight="false" outlineLevel="0" collapsed="false">
      <c r="A2625" s="7" t="s">
        <v>5628</v>
      </c>
      <c r="B2625" s="7" t="s">
        <v>1724</v>
      </c>
      <c r="C2625" s="7" t="s">
        <v>577</v>
      </c>
      <c r="D2625" s="7" t="s">
        <v>3473</v>
      </c>
      <c r="E2625" s="7" t="s">
        <v>158</v>
      </c>
      <c r="F2625" s="7" t="s">
        <v>136</v>
      </c>
      <c r="G2625" s="7" t="s">
        <v>139</v>
      </c>
      <c r="H2625" s="7" t="n">
        <v>3</v>
      </c>
      <c r="I2625" s="7" t="n">
        <v>220</v>
      </c>
      <c r="J2625" s="7" t="n">
        <v>0</v>
      </c>
      <c r="K2625" s="7" t="s">
        <v>93</v>
      </c>
      <c r="L2625" s="7" t="s">
        <v>194</v>
      </c>
      <c r="M2625" s="7" t="n">
        <v>45</v>
      </c>
      <c r="N2625" s="7" t="n">
        <v>3</v>
      </c>
      <c r="O2625" s="7" t="str">
        <f aca="false">A2625&amp;"|"&amp;B2625&amp;"|"&amp;C2625&amp;"|"&amp;D2625&amp;"|"&amp;E2625&amp;"|"&amp;F2625&amp;"|"&amp;G2625&amp;"|"&amp;H2625&amp;"|"&amp;I2625&amp;"|"&amp;J2625&amp;"|"&amp;K2625&amp;"|"&amp;L2625&amp;"|"&amp;M2625&amp;"|"&amp;N2625</f>
        <v>ORD12263|14/10/2025|12:20|C0749|Pune Burger Hub|Pune|Burgers|3|220|0|Credit Card|Delivered|45|3</v>
      </c>
      <c r="P2625" s="7" t="str">
        <f aca="false">IF(COUNTIF($O$2:O2625,O2625)&gt;1,"DUP","OK")</f>
        <v>OK</v>
      </c>
      <c r="Q2625" s="7" t="n">
        <f aca="false">COUNTBLANK(A2625:N2625)</f>
        <v>0</v>
      </c>
      <c r="R2625" s="7" t="n">
        <f aca="false">IF(A2625="",0,COUNTIFS($A$2:$A$3058,A2625,$P$2:$P$3058,"OK"))</f>
        <v>1</v>
      </c>
      <c r="S2625" s="7" t="str">
        <f aca="false">IF(OR(A2625="",P2625="DUP",R2625&lt;2),"",IF(Q2625=_xlfn.MINIFS($Q$2:$Q$3058,$A$2:$A$3058,A2625,$P$2:$P$3058,"OK"),"KEEP","DROP"))</f>
        <v/>
      </c>
      <c r="T2625" s="9" t="n">
        <f aca="false">IF(A2625="",1,0)</f>
        <v>0</v>
      </c>
      <c r="U2625" s="9" t="n">
        <f aca="false">IF(D2625="",1,0)</f>
        <v>0</v>
      </c>
      <c r="V2625" s="9" t="n">
        <f aca="false">IF(E2625="",1,0)</f>
        <v>0</v>
      </c>
      <c r="W2625" s="9" t="n">
        <f aca="false">IF(OR(H2625&lt;1,H2625&gt;10),1,0)</f>
        <v>0</v>
      </c>
      <c r="X2625" s="9" t="n">
        <f aca="false">IF(OR(I2625&lt;=0,I2625&gt;1500),1,0)</f>
        <v>0</v>
      </c>
      <c r="Y2625" s="9" t="n">
        <f aca="false">IF(J2625&gt;H2625*I2625,1,0)</f>
        <v>0</v>
      </c>
      <c r="Z2625" s="9" t="n">
        <f aca="false">IF(AND(N2625&lt;&gt;"",OR(N2625&lt;1,N2625&gt;5)),1,0)</f>
        <v>0</v>
      </c>
      <c r="AA2625" s="9" t="n">
        <f aca="false">IF(AND(M2625&lt;&gt;"",OR(M2625&lt;5,M2625&gt;180)),1,0)</f>
        <v>0</v>
      </c>
      <c r="AB2625" s="7" t="str">
        <f aca="false">IF(P2625="DUP","Exact duplicate row",IF(T2625=1,"Missing Order ID",IF(S2625="DROP","Duplicate Order ID (less complete row)",IF(U2625=1,"Missing Customer ID",IF(V2625=1,"Missing Restaurant name",IF(W2625=1,"Invalid/outlier quantity",IF(X2625=1,"Invalid/outlier unit price",IF(Y2625=1,"Discount greater than order value",""))))))))</f>
        <v/>
      </c>
      <c r="AC2625" s="7" t="str">
        <f aca="false">IF(AB2625="","KEEP","DROP")</f>
        <v>KEEP</v>
      </c>
      <c r="AD2625" s="7" t="str">
        <f aca="false">IF(TRIM(F2625)="",IFERROR(INDEX(Map_Tables!$I$4:$I$37,MATCH(TRIM(E2625),Map_Tables!$G$4:$G$37,0)),""),IFERROR(INDEX(Map_Tables!$B$4:$B$18,MATCH(TRIM(F2625),Map_Tables!$A$4:$A$18,0)),"CHECK"))</f>
        <v>Pune</v>
      </c>
      <c r="AE2625" s="7" t="str">
        <f aca="false">IF(TRIM(E2625)="","",IFERROR(INDEX(Map_Tables!$H$4:$H$37,MATCH(TRIM(E2625),Map_Tables!$G$4:$G$37,0)),"CHECK"))</f>
        <v>Pune Burger Hub</v>
      </c>
      <c r="AF2625" s="7" t="str">
        <f aca="false">IF(TRIM(K2625)="","Unknown",IFERROR(INDEX(Map_Tables!$E$4:$E$15,MATCH(TRIM(K2625),Map_Tables!$D$4:$D$15,0)),"CHECK"))</f>
        <v>Credit Card</v>
      </c>
      <c r="AG2625" s="7" t="str">
        <f aca="false">IF(LEFT(LOWER(TRIM(L2625)),6)="cancel","Cancelled","Delivered")</f>
        <v>Delivered</v>
      </c>
      <c r="AH2625" s="10" t="n">
        <f aca="false">IF(ISNUMBER(SEARCH("/",B2625)),DATE(VALUE(RIGHT(B2625,4)),VALUE(MID(B2625,4,2)),VALUE(LEFT(B2625,2))),IF(MID(B2625,5,1)="-",DATE(VALUE(LEFT(B2625,4)),VALUE(MID(B2625,6,2)),VALUE(RIGHT(B2625,2))),DATE(VALUE(RIGHT(B2625,4)),MATCH(MID(B2625,4,3),{"Jan","Feb","Mar","Apr","May","Jun","Jul","Aug","Sep","Oct","Nov","Dec"},0),VALUE(LEFT(B2625,2)))))</f>
        <v>45944</v>
      </c>
    </row>
    <row r="2626" customFormat="false" ht="15" hidden="false" customHeight="false" outlineLevel="0" collapsed="false">
      <c r="A2626" s="7" t="s">
        <v>5629</v>
      </c>
      <c r="B2626" s="7" t="s">
        <v>2320</v>
      </c>
      <c r="C2626" s="7" t="s">
        <v>1054</v>
      </c>
      <c r="D2626" s="7" t="s">
        <v>3746</v>
      </c>
      <c r="E2626" s="7" t="s">
        <v>164</v>
      </c>
      <c r="F2626" s="7" t="s">
        <v>1915</v>
      </c>
      <c r="G2626" s="7" t="s">
        <v>150</v>
      </c>
      <c r="H2626" s="7" t="n">
        <v>2</v>
      </c>
      <c r="I2626" s="7" t="n">
        <v>145</v>
      </c>
      <c r="J2626" s="7" t="n">
        <v>40</v>
      </c>
      <c r="K2626" s="7" t="s">
        <v>88</v>
      </c>
      <c r="L2626" s="7" t="s">
        <v>194</v>
      </c>
      <c r="M2626" s="7" t="n">
        <v>41</v>
      </c>
      <c r="N2626" s="7" t="n">
        <v>3</v>
      </c>
      <c r="O2626" s="7" t="str">
        <f aca="false">A2626&amp;"|"&amp;B2626&amp;"|"&amp;C2626&amp;"|"&amp;D2626&amp;"|"&amp;E2626&amp;"|"&amp;F2626&amp;"|"&amp;G2626&amp;"|"&amp;H2626&amp;"|"&amp;I2626&amp;"|"&amp;J2626&amp;"|"&amp;K2626&amp;"|"&amp;L2626&amp;"|"&amp;M2626&amp;"|"&amp;N2626</f>
        <v>ORD11469|2025-07-10|13:36|C0698|Mishti Mandir|KOLKATA|Desserts|2|145|40|UPI|Delivered|41|3</v>
      </c>
      <c r="P2626" s="7" t="str">
        <f aca="false">IF(COUNTIF($O$2:O2626,O2626)&gt;1,"DUP","OK")</f>
        <v>OK</v>
      </c>
      <c r="Q2626" s="7" t="n">
        <f aca="false">COUNTBLANK(A2626:N2626)</f>
        <v>0</v>
      </c>
      <c r="R2626" s="7" t="n">
        <f aca="false">IF(A2626="",0,COUNTIFS($A$2:$A$3058,A2626,$P$2:$P$3058,"OK"))</f>
        <v>1</v>
      </c>
      <c r="S2626" s="7" t="str">
        <f aca="false">IF(OR(A2626="",P2626="DUP",R2626&lt;2),"",IF(Q2626=_xlfn.MINIFS($Q$2:$Q$3058,$A$2:$A$3058,A2626,$P$2:$P$3058,"OK"),"KEEP","DROP"))</f>
        <v/>
      </c>
      <c r="T2626" s="9" t="n">
        <f aca="false">IF(A2626="",1,0)</f>
        <v>0</v>
      </c>
      <c r="U2626" s="9" t="n">
        <f aca="false">IF(D2626="",1,0)</f>
        <v>0</v>
      </c>
      <c r="V2626" s="9" t="n">
        <f aca="false">IF(E2626="",1,0)</f>
        <v>0</v>
      </c>
      <c r="W2626" s="9" t="n">
        <f aca="false">IF(OR(H2626&lt;1,H2626&gt;10),1,0)</f>
        <v>0</v>
      </c>
      <c r="X2626" s="9" t="n">
        <f aca="false">IF(OR(I2626&lt;=0,I2626&gt;1500),1,0)</f>
        <v>0</v>
      </c>
      <c r="Y2626" s="9" t="n">
        <f aca="false">IF(J2626&gt;H2626*I2626,1,0)</f>
        <v>0</v>
      </c>
      <c r="Z2626" s="9" t="n">
        <f aca="false">IF(AND(N2626&lt;&gt;"",OR(N2626&lt;1,N2626&gt;5)),1,0)</f>
        <v>0</v>
      </c>
      <c r="AA2626" s="9" t="n">
        <f aca="false">IF(AND(M2626&lt;&gt;"",OR(M2626&lt;5,M2626&gt;180)),1,0)</f>
        <v>0</v>
      </c>
      <c r="AB2626" s="7" t="str">
        <f aca="false">IF(P2626="DUP","Exact duplicate row",IF(T2626=1,"Missing Order ID",IF(S2626="DROP","Duplicate Order ID (less complete row)",IF(U2626=1,"Missing Customer ID",IF(V2626=1,"Missing Restaurant name",IF(W2626=1,"Invalid/outlier quantity",IF(X2626=1,"Invalid/outlier unit price",IF(Y2626=1,"Discount greater than order value",""))))))))</f>
        <v/>
      </c>
      <c r="AC2626" s="7" t="str">
        <f aca="false">IF(AB2626="","KEEP","DROP")</f>
        <v>KEEP</v>
      </c>
      <c r="AD2626" s="7" t="str">
        <f aca="false">IF(TRIM(F2626)="",IFERROR(INDEX(Map_Tables!$I$4:$I$37,MATCH(TRIM(E2626),Map_Tables!$G$4:$G$37,0)),""),IFERROR(INDEX(Map_Tables!$B$4:$B$18,MATCH(TRIM(F2626),Map_Tables!$A$4:$A$18,0)),"CHECK"))</f>
        <v>Kolkata</v>
      </c>
      <c r="AE2626" s="7" t="str">
        <f aca="false">IF(TRIM(E2626)="","",IFERROR(INDEX(Map_Tables!$H$4:$H$37,MATCH(TRIM(E2626),Map_Tables!$G$4:$G$37,0)),"CHECK"))</f>
        <v>Mishti Mandir</v>
      </c>
      <c r="AF2626" s="7" t="str">
        <f aca="false">IF(TRIM(K2626)="","Unknown",IFERROR(INDEX(Map_Tables!$E$4:$E$15,MATCH(TRIM(K2626),Map_Tables!$D$4:$D$15,0)),"CHECK"))</f>
        <v>UPI</v>
      </c>
      <c r="AG2626" s="7" t="str">
        <f aca="false">IF(LEFT(LOWER(TRIM(L2626)),6)="cancel","Cancelled","Delivered")</f>
        <v>Delivered</v>
      </c>
      <c r="AH2626" s="10" t="n">
        <f aca="false">IF(ISNUMBER(SEARCH("/",B2626)),DATE(VALUE(RIGHT(B2626,4)),VALUE(MID(B2626,4,2)),VALUE(LEFT(B2626,2))),IF(MID(B2626,5,1)="-",DATE(VALUE(LEFT(B2626,4)),VALUE(MID(B2626,6,2)),VALUE(RIGHT(B2626,2))),DATE(VALUE(RIGHT(B2626,4)),MATCH(MID(B2626,4,3),{"Jan","Feb","Mar","Apr","May","Jun","Jul","Aug","Sep","Oct","Nov","Dec"},0),VALUE(LEFT(B2626,2)))))</f>
        <v>45848</v>
      </c>
    </row>
    <row r="2627" customFormat="false" ht="15" hidden="false" customHeight="false" outlineLevel="0" collapsed="false">
      <c r="A2627" s="7" t="s">
        <v>5630</v>
      </c>
      <c r="B2627" s="7" t="s">
        <v>1376</v>
      </c>
      <c r="C2627" s="7" t="s">
        <v>1191</v>
      </c>
      <c r="D2627" s="7" t="s">
        <v>5631</v>
      </c>
      <c r="E2627" s="7" t="s">
        <v>126</v>
      </c>
      <c r="F2627" s="7" t="s">
        <v>101</v>
      </c>
      <c r="G2627" s="7" t="s">
        <v>105</v>
      </c>
      <c r="H2627" s="7" t="n">
        <v>3</v>
      </c>
      <c r="I2627" s="7" t="n">
        <v>200</v>
      </c>
      <c r="J2627" s="7" t="n">
        <v>30</v>
      </c>
      <c r="K2627" s="7" t="s">
        <v>88</v>
      </c>
      <c r="L2627" s="7" t="s">
        <v>194</v>
      </c>
      <c r="M2627" s="7" t="n">
        <v>41</v>
      </c>
      <c r="N2627" s="7" t="n">
        <v>4</v>
      </c>
      <c r="O2627" s="7" t="str">
        <f aca="false">A2627&amp;"|"&amp;B2627&amp;"|"&amp;C2627&amp;"|"&amp;D2627&amp;"|"&amp;E2627&amp;"|"&amp;F2627&amp;"|"&amp;G2627&amp;"|"&amp;H2627&amp;"|"&amp;I2627&amp;"|"&amp;J2627&amp;"|"&amp;K2627&amp;"|"&amp;L2627&amp;"|"&amp;M2627&amp;"|"&amp;N2627</f>
        <v>ORD10999|2025-05-07|10:59|C0370|Dragon Express|Mumbai|Chinese|3|200|30|UPI|Delivered|41|4</v>
      </c>
      <c r="P2627" s="7" t="str">
        <f aca="false">IF(COUNTIF($O$2:O2627,O2627)&gt;1,"DUP","OK")</f>
        <v>OK</v>
      </c>
      <c r="Q2627" s="7" t="n">
        <f aca="false">COUNTBLANK(A2627:N2627)</f>
        <v>0</v>
      </c>
      <c r="R2627" s="7" t="n">
        <f aca="false">IF(A2627="",0,COUNTIFS($A$2:$A$3058,A2627,$P$2:$P$3058,"OK"))</f>
        <v>1</v>
      </c>
      <c r="S2627" s="7" t="str">
        <f aca="false">IF(OR(A2627="",P2627="DUP",R2627&lt;2),"",IF(Q2627=_xlfn.MINIFS($Q$2:$Q$3058,$A$2:$A$3058,A2627,$P$2:$P$3058,"OK"),"KEEP","DROP"))</f>
        <v/>
      </c>
      <c r="T2627" s="9" t="n">
        <f aca="false">IF(A2627="",1,0)</f>
        <v>0</v>
      </c>
      <c r="U2627" s="9" t="n">
        <f aca="false">IF(D2627="",1,0)</f>
        <v>0</v>
      </c>
      <c r="V2627" s="9" t="n">
        <f aca="false">IF(E2627="",1,0)</f>
        <v>0</v>
      </c>
      <c r="W2627" s="9" t="n">
        <f aca="false">IF(OR(H2627&lt;1,H2627&gt;10),1,0)</f>
        <v>0</v>
      </c>
      <c r="X2627" s="9" t="n">
        <f aca="false">IF(OR(I2627&lt;=0,I2627&gt;1500),1,0)</f>
        <v>0</v>
      </c>
      <c r="Y2627" s="9" t="n">
        <f aca="false">IF(J2627&gt;H2627*I2627,1,0)</f>
        <v>0</v>
      </c>
      <c r="Z2627" s="9" t="n">
        <f aca="false">IF(AND(N2627&lt;&gt;"",OR(N2627&lt;1,N2627&gt;5)),1,0)</f>
        <v>0</v>
      </c>
      <c r="AA2627" s="9" t="n">
        <f aca="false">IF(AND(M2627&lt;&gt;"",OR(M2627&lt;5,M2627&gt;180)),1,0)</f>
        <v>0</v>
      </c>
      <c r="AB2627" s="7" t="str">
        <f aca="false">IF(P2627="DUP","Exact duplicate row",IF(T2627=1,"Missing Order ID",IF(S2627="DROP","Duplicate Order ID (less complete row)",IF(U2627=1,"Missing Customer ID",IF(V2627=1,"Missing Restaurant name",IF(W2627=1,"Invalid/outlier quantity",IF(X2627=1,"Invalid/outlier unit price",IF(Y2627=1,"Discount greater than order value",""))))))))</f>
        <v/>
      </c>
      <c r="AC2627" s="7" t="str">
        <f aca="false">IF(AB2627="","KEEP","DROP")</f>
        <v>KEEP</v>
      </c>
      <c r="AD2627" s="7" t="str">
        <f aca="false">IF(TRIM(F2627)="",IFERROR(INDEX(Map_Tables!$I$4:$I$37,MATCH(TRIM(E2627),Map_Tables!$G$4:$G$37,0)),""),IFERROR(INDEX(Map_Tables!$B$4:$B$18,MATCH(TRIM(F2627),Map_Tables!$A$4:$A$18,0)),"CHECK"))</f>
        <v>Mumbai</v>
      </c>
      <c r="AE2627" s="7" t="str">
        <f aca="false">IF(TRIM(E2627)="","",IFERROR(INDEX(Map_Tables!$H$4:$H$37,MATCH(TRIM(E2627),Map_Tables!$G$4:$G$37,0)),"CHECK"))</f>
        <v>Dragon Express</v>
      </c>
      <c r="AF2627" s="7" t="str">
        <f aca="false">IF(TRIM(K2627)="","Unknown",IFERROR(INDEX(Map_Tables!$E$4:$E$15,MATCH(TRIM(K2627),Map_Tables!$D$4:$D$15,0)),"CHECK"))</f>
        <v>UPI</v>
      </c>
      <c r="AG2627" s="7" t="str">
        <f aca="false">IF(LEFT(LOWER(TRIM(L2627)),6)="cancel","Cancelled","Delivered")</f>
        <v>Delivered</v>
      </c>
      <c r="AH2627" s="10" t="n">
        <f aca="false">IF(ISNUMBER(SEARCH("/",B2627)),DATE(VALUE(RIGHT(B2627,4)),VALUE(MID(B2627,4,2)),VALUE(LEFT(B2627,2))),IF(MID(B2627,5,1)="-",DATE(VALUE(LEFT(B2627,4)),VALUE(MID(B2627,6,2)),VALUE(RIGHT(B2627,2))),DATE(VALUE(RIGHT(B2627,4)),MATCH(MID(B2627,4,3),{"Jan","Feb","Mar","Apr","May","Jun","Jul","Aug","Sep","Oct","Nov","Dec"},0),VALUE(LEFT(B2627,2)))))</f>
        <v>45784</v>
      </c>
    </row>
    <row r="2628" customFormat="false" ht="15" hidden="false" customHeight="false" outlineLevel="0" collapsed="false">
      <c r="A2628" s="7" t="s">
        <v>5632</v>
      </c>
      <c r="B2628" s="7" t="s">
        <v>217</v>
      </c>
      <c r="C2628" s="7" t="s">
        <v>2309</v>
      </c>
      <c r="D2628" s="7" t="s">
        <v>5633</v>
      </c>
      <c r="E2628" s="7" t="s">
        <v>1616</v>
      </c>
      <c r="F2628" s="7" t="s">
        <v>86</v>
      </c>
      <c r="G2628" s="7" t="s">
        <v>105</v>
      </c>
      <c r="H2628" s="7" t="n">
        <v>1</v>
      </c>
      <c r="I2628" s="7" t="n">
        <v>180</v>
      </c>
      <c r="J2628" s="7" t="n">
        <v>72</v>
      </c>
      <c r="K2628" s="7" t="s">
        <v>93</v>
      </c>
      <c r="L2628" s="7" t="s">
        <v>194</v>
      </c>
      <c r="M2628" s="7" t="n">
        <v>41</v>
      </c>
      <c r="N2628" s="7" t="n">
        <v>5</v>
      </c>
      <c r="O2628" s="7" t="str">
        <f aca="false">A2628&amp;"|"&amp;B2628&amp;"|"&amp;C2628&amp;"|"&amp;D2628&amp;"|"&amp;E2628&amp;"|"&amp;F2628&amp;"|"&amp;G2628&amp;"|"&amp;H2628&amp;"|"&amp;I2628&amp;"|"&amp;J2628&amp;"|"&amp;K2628&amp;"|"&amp;L2628&amp;"|"&amp;M2628&amp;"|"&amp;N2628</f>
        <v>ORD10854|2025-04-18|14:33|C0639|wok &amp; roll|Bengaluru|Chinese|1|180|72|Credit Card|Delivered|41|5</v>
      </c>
      <c r="P2628" s="7" t="str">
        <f aca="false">IF(COUNTIF($O$2:O2628,O2628)&gt;1,"DUP","OK")</f>
        <v>OK</v>
      </c>
      <c r="Q2628" s="7" t="n">
        <f aca="false">COUNTBLANK(A2628:N2628)</f>
        <v>0</v>
      </c>
      <c r="R2628" s="7" t="n">
        <f aca="false">IF(A2628="",0,COUNTIFS($A$2:$A$3058,A2628,$P$2:$P$3058,"OK"))</f>
        <v>1</v>
      </c>
      <c r="S2628" s="7" t="str">
        <f aca="false">IF(OR(A2628="",P2628="DUP",R2628&lt;2),"",IF(Q2628=_xlfn.MINIFS($Q$2:$Q$3058,$A$2:$A$3058,A2628,$P$2:$P$3058,"OK"),"KEEP","DROP"))</f>
        <v/>
      </c>
      <c r="T2628" s="9" t="n">
        <f aca="false">IF(A2628="",1,0)</f>
        <v>0</v>
      </c>
      <c r="U2628" s="9" t="n">
        <f aca="false">IF(D2628="",1,0)</f>
        <v>0</v>
      </c>
      <c r="V2628" s="9" t="n">
        <f aca="false">IF(E2628="",1,0)</f>
        <v>0</v>
      </c>
      <c r="W2628" s="9" t="n">
        <f aca="false">IF(OR(H2628&lt;1,H2628&gt;10),1,0)</f>
        <v>0</v>
      </c>
      <c r="X2628" s="9" t="n">
        <f aca="false">IF(OR(I2628&lt;=0,I2628&gt;1500),1,0)</f>
        <v>0</v>
      </c>
      <c r="Y2628" s="9" t="n">
        <f aca="false">IF(J2628&gt;H2628*I2628,1,0)</f>
        <v>0</v>
      </c>
      <c r="Z2628" s="9" t="n">
        <f aca="false">IF(AND(N2628&lt;&gt;"",OR(N2628&lt;1,N2628&gt;5)),1,0)</f>
        <v>0</v>
      </c>
      <c r="AA2628" s="9" t="n">
        <f aca="false">IF(AND(M2628&lt;&gt;"",OR(M2628&lt;5,M2628&gt;180)),1,0)</f>
        <v>0</v>
      </c>
      <c r="AB2628" s="7" t="str">
        <f aca="false">IF(P2628="DUP","Exact duplicate row",IF(T2628=1,"Missing Order ID",IF(S2628="DROP","Duplicate Order ID (less complete row)",IF(U2628=1,"Missing Customer ID",IF(V2628=1,"Missing Restaurant name",IF(W2628=1,"Invalid/outlier quantity",IF(X2628=1,"Invalid/outlier unit price",IF(Y2628=1,"Discount greater than order value",""))))))))</f>
        <v/>
      </c>
      <c r="AC2628" s="7" t="str">
        <f aca="false">IF(AB2628="","KEEP","DROP")</f>
        <v>KEEP</v>
      </c>
      <c r="AD2628" s="7" t="str">
        <f aca="false">IF(TRIM(F2628)="",IFERROR(INDEX(Map_Tables!$I$4:$I$37,MATCH(TRIM(E2628),Map_Tables!$G$4:$G$37,0)),""),IFERROR(INDEX(Map_Tables!$B$4:$B$18,MATCH(TRIM(F2628),Map_Tables!$A$4:$A$18,0)),"CHECK"))</f>
        <v>Bengaluru</v>
      </c>
      <c r="AE2628" s="7" t="str">
        <f aca="false">IF(TRIM(E2628)="","",IFERROR(INDEX(Map_Tables!$H$4:$H$37,MATCH(TRIM(E2628),Map_Tables!$G$4:$G$37,0)),"CHECK"))</f>
        <v>Wok &amp; Roll</v>
      </c>
      <c r="AF2628" s="7" t="str">
        <f aca="false">IF(TRIM(K2628)="","Unknown",IFERROR(INDEX(Map_Tables!$E$4:$E$15,MATCH(TRIM(K2628),Map_Tables!$D$4:$D$15,0)),"CHECK"))</f>
        <v>Credit Card</v>
      </c>
      <c r="AG2628" s="7" t="str">
        <f aca="false">IF(LEFT(LOWER(TRIM(L2628)),6)="cancel","Cancelled","Delivered")</f>
        <v>Delivered</v>
      </c>
      <c r="AH2628" s="10" t="n">
        <f aca="false">IF(ISNUMBER(SEARCH("/",B2628)),DATE(VALUE(RIGHT(B2628,4)),VALUE(MID(B2628,4,2)),VALUE(LEFT(B2628,2))),IF(MID(B2628,5,1)="-",DATE(VALUE(LEFT(B2628,4)),VALUE(MID(B2628,6,2)),VALUE(RIGHT(B2628,2))),DATE(VALUE(RIGHT(B2628,4)),MATCH(MID(B2628,4,3),{"Jan","Feb","Mar","Apr","May","Jun","Jul","Aug","Sep","Oct","Nov","Dec"},0),VALUE(LEFT(B2628,2)))))</f>
        <v>45765</v>
      </c>
    </row>
    <row r="2629" customFormat="false" ht="15" hidden="false" customHeight="false" outlineLevel="0" collapsed="false">
      <c r="A2629" s="7" t="s">
        <v>5634</v>
      </c>
      <c r="B2629" s="7" t="s">
        <v>5635</v>
      </c>
      <c r="C2629" s="7" t="s">
        <v>749</v>
      </c>
      <c r="D2629" s="7" t="s">
        <v>1785</v>
      </c>
      <c r="E2629" s="7" t="s">
        <v>138</v>
      </c>
      <c r="F2629" s="7" t="s">
        <v>110</v>
      </c>
      <c r="G2629" s="7" t="s">
        <v>139</v>
      </c>
      <c r="H2629" s="7" t="n">
        <v>4</v>
      </c>
      <c r="I2629" s="7" t="n">
        <v>160</v>
      </c>
      <c r="J2629" s="7" t="n">
        <v>20</v>
      </c>
      <c r="K2629" s="7" t="s">
        <v>88</v>
      </c>
      <c r="L2629" s="7" t="s">
        <v>194</v>
      </c>
      <c r="M2629" s="7" t="n">
        <v>27</v>
      </c>
      <c r="N2629" s="7" t="n">
        <v>3</v>
      </c>
      <c r="O2629" s="7" t="str">
        <f aca="false">A2629&amp;"|"&amp;B2629&amp;"|"&amp;C2629&amp;"|"&amp;D2629&amp;"|"&amp;E2629&amp;"|"&amp;F2629&amp;"|"&amp;G2629&amp;"|"&amp;H2629&amp;"|"&amp;I2629&amp;"|"&amp;J2629&amp;"|"&amp;K2629&amp;"|"&amp;L2629&amp;"|"&amp;M2629&amp;"|"&amp;N2629</f>
        <v>ORD12474|07-Nov-2025|11:16|C0532|Burger Barn|Delhi|Burgers|4|160|20|UPI|Delivered|27|3</v>
      </c>
      <c r="P2629" s="7" t="str">
        <f aca="false">IF(COUNTIF($O$2:O2629,O2629)&gt;1,"DUP","OK")</f>
        <v>OK</v>
      </c>
      <c r="Q2629" s="7" t="n">
        <f aca="false">COUNTBLANK(A2629:N2629)</f>
        <v>0</v>
      </c>
      <c r="R2629" s="7" t="n">
        <f aca="false">IF(A2629="",0,COUNTIFS($A$2:$A$3058,A2629,$P$2:$P$3058,"OK"))</f>
        <v>1</v>
      </c>
      <c r="S2629" s="7" t="str">
        <f aca="false">IF(OR(A2629="",P2629="DUP",R2629&lt;2),"",IF(Q2629=_xlfn.MINIFS($Q$2:$Q$3058,$A$2:$A$3058,A2629,$P$2:$P$3058,"OK"),"KEEP","DROP"))</f>
        <v/>
      </c>
      <c r="T2629" s="9" t="n">
        <f aca="false">IF(A2629="",1,0)</f>
        <v>0</v>
      </c>
      <c r="U2629" s="9" t="n">
        <f aca="false">IF(D2629="",1,0)</f>
        <v>0</v>
      </c>
      <c r="V2629" s="9" t="n">
        <f aca="false">IF(E2629="",1,0)</f>
        <v>0</v>
      </c>
      <c r="W2629" s="9" t="n">
        <f aca="false">IF(OR(H2629&lt;1,H2629&gt;10),1,0)</f>
        <v>0</v>
      </c>
      <c r="X2629" s="9" t="n">
        <f aca="false">IF(OR(I2629&lt;=0,I2629&gt;1500),1,0)</f>
        <v>0</v>
      </c>
      <c r="Y2629" s="9" t="n">
        <f aca="false">IF(J2629&gt;H2629*I2629,1,0)</f>
        <v>0</v>
      </c>
      <c r="Z2629" s="9" t="n">
        <f aca="false">IF(AND(N2629&lt;&gt;"",OR(N2629&lt;1,N2629&gt;5)),1,0)</f>
        <v>0</v>
      </c>
      <c r="AA2629" s="9" t="n">
        <f aca="false">IF(AND(M2629&lt;&gt;"",OR(M2629&lt;5,M2629&gt;180)),1,0)</f>
        <v>0</v>
      </c>
      <c r="AB2629" s="7" t="str">
        <f aca="false">IF(P2629="DUP","Exact duplicate row",IF(T2629=1,"Missing Order ID",IF(S2629="DROP","Duplicate Order ID (less complete row)",IF(U2629=1,"Missing Customer ID",IF(V2629=1,"Missing Restaurant name",IF(W2629=1,"Invalid/outlier quantity",IF(X2629=1,"Invalid/outlier unit price",IF(Y2629=1,"Discount greater than order value",""))))))))</f>
        <v/>
      </c>
      <c r="AC2629" s="7" t="str">
        <f aca="false">IF(AB2629="","KEEP","DROP")</f>
        <v>KEEP</v>
      </c>
      <c r="AD2629" s="7" t="str">
        <f aca="false">IF(TRIM(F2629)="",IFERROR(INDEX(Map_Tables!$I$4:$I$37,MATCH(TRIM(E2629),Map_Tables!$G$4:$G$37,0)),""),IFERROR(INDEX(Map_Tables!$B$4:$B$18,MATCH(TRIM(F2629),Map_Tables!$A$4:$A$18,0)),"CHECK"))</f>
        <v>Delhi</v>
      </c>
      <c r="AE2629" s="7" t="str">
        <f aca="false">IF(TRIM(E2629)="","",IFERROR(INDEX(Map_Tables!$H$4:$H$37,MATCH(TRIM(E2629),Map_Tables!$G$4:$G$37,0)),"CHECK"))</f>
        <v>Burger Barn</v>
      </c>
      <c r="AF2629" s="7" t="str">
        <f aca="false">IF(TRIM(K2629)="","Unknown",IFERROR(INDEX(Map_Tables!$E$4:$E$15,MATCH(TRIM(K2629),Map_Tables!$D$4:$D$15,0)),"CHECK"))</f>
        <v>UPI</v>
      </c>
      <c r="AG2629" s="7" t="str">
        <f aca="false">IF(LEFT(LOWER(TRIM(L2629)),6)="cancel","Cancelled","Delivered")</f>
        <v>Delivered</v>
      </c>
      <c r="AH2629" s="10" t="n">
        <f aca="false">IF(ISNUMBER(SEARCH("/",B2629)),DATE(VALUE(RIGHT(B2629,4)),VALUE(MID(B2629,4,2)),VALUE(LEFT(B2629,2))),IF(MID(B2629,5,1)="-",DATE(VALUE(LEFT(B2629,4)),VALUE(MID(B2629,6,2)),VALUE(RIGHT(B2629,2))),DATE(VALUE(RIGHT(B2629,4)),MATCH(MID(B2629,4,3),{"Jan","Feb","Mar","Apr","May","Jun","Jul","Aug","Sep","Oct","Nov","Dec"},0),VALUE(LEFT(B2629,2)))))</f>
        <v>45968</v>
      </c>
    </row>
    <row r="2630" customFormat="false" ht="15" hidden="false" customHeight="false" outlineLevel="0" collapsed="false">
      <c r="A2630" s="7" t="s">
        <v>5636</v>
      </c>
      <c r="B2630" s="7" t="s">
        <v>1767</v>
      </c>
      <c r="C2630" s="7" t="s">
        <v>693</v>
      </c>
      <c r="D2630" s="7" t="s">
        <v>5637</v>
      </c>
      <c r="E2630" s="7" t="s">
        <v>707</v>
      </c>
      <c r="F2630" s="7" t="s">
        <v>110</v>
      </c>
      <c r="G2630" s="7" t="s">
        <v>105</v>
      </c>
      <c r="H2630" s="7" t="n">
        <v>2</v>
      </c>
      <c r="I2630" s="7" t="n">
        <v>185</v>
      </c>
      <c r="J2630" s="7" t="n">
        <v>0</v>
      </c>
      <c r="K2630" s="7" t="s">
        <v>88</v>
      </c>
      <c r="L2630" s="7" t="s">
        <v>194</v>
      </c>
      <c r="M2630" s="7" t="n">
        <v>35</v>
      </c>
      <c r="N2630" s="7"/>
      <c r="O2630" s="7" t="str">
        <f aca="false">A2630&amp;"|"&amp;B2630&amp;"|"&amp;C2630&amp;"|"&amp;D2630&amp;"|"&amp;E2630&amp;"|"&amp;F2630&amp;"|"&amp;G2630&amp;"|"&amp;H2630&amp;"|"&amp;I2630&amp;"|"&amp;J2630&amp;"|"&amp;K2630&amp;"|"&amp;L2630&amp;"|"&amp;M2630&amp;"|"&amp;N2630</f>
        <v>ORD12205|2025-10-08|11:10|C0488|Momo Magic |Delhi|Chinese|2|185|0|UPI|Delivered|35|</v>
      </c>
      <c r="P2630" s="7" t="str">
        <f aca="false">IF(COUNTIF($O$2:O2630,O2630)&gt;1,"DUP","OK")</f>
        <v>OK</v>
      </c>
      <c r="Q2630" s="7" t="n">
        <f aca="false">COUNTBLANK(A2630:N2630)</f>
        <v>1</v>
      </c>
      <c r="R2630" s="7" t="n">
        <f aca="false">IF(A2630="",0,COUNTIFS($A$2:$A$3058,A2630,$P$2:$P$3058,"OK"))</f>
        <v>1</v>
      </c>
      <c r="S2630" s="7" t="str">
        <f aca="false">IF(OR(A2630="",P2630="DUP",R2630&lt;2),"",IF(Q2630=_xlfn.MINIFS($Q$2:$Q$3058,$A$2:$A$3058,A2630,$P$2:$P$3058,"OK"),"KEEP","DROP"))</f>
        <v/>
      </c>
      <c r="T2630" s="9" t="n">
        <f aca="false">IF(A2630="",1,0)</f>
        <v>0</v>
      </c>
      <c r="U2630" s="9" t="n">
        <f aca="false">IF(D2630="",1,0)</f>
        <v>0</v>
      </c>
      <c r="V2630" s="9" t="n">
        <f aca="false">IF(E2630="",1,0)</f>
        <v>0</v>
      </c>
      <c r="W2630" s="9" t="n">
        <f aca="false">IF(OR(H2630&lt;1,H2630&gt;10),1,0)</f>
        <v>0</v>
      </c>
      <c r="X2630" s="9" t="n">
        <f aca="false">IF(OR(I2630&lt;=0,I2630&gt;1500),1,0)</f>
        <v>0</v>
      </c>
      <c r="Y2630" s="9" t="n">
        <f aca="false">IF(J2630&gt;H2630*I2630,1,0)</f>
        <v>0</v>
      </c>
      <c r="Z2630" s="9" t="n">
        <f aca="false">IF(AND(N2630&lt;&gt;"",OR(N2630&lt;1,N2630&gt;5)),1,0)</f>
        <v>0</v>
      </c>
      <c r="AA2630" s="9" t="n">
        <f aca="false">IF(AND(M2630&lt;&gt;"",OR(M2630&lt;5,M2630&gt;180)),1,0)</f>
        <v>0</v>
      </c>
      <c r="AB2630" s="7" t="str">
        <f aca="false">IF(P2630="DUP","Exact duplicate row",IF(T2630=1,"Missing Order ID",IF(S2630="DROP","Duplicate Order ID (less complete row)",IF(U2630=1,"Missing Customer ID",IF(V2630=1,"Missing Restaurant name",IF(W2630=1,"Invalid/outlier quantity",IF(X2630=1,"Invalid/outlier unit price",IF(Y2630=1,"Discount greater than order value",""))))))))</f>
        <v/>
      </c>
      <c r="AC2630" s="7" t="str">
        <f aca="false">IF(AB2630="","KEEP","DROP")</f>
        <v>KEEP</v>
      </c>
      <c r="AD2630" s="7" t="str">
        <f aca="false">IF(TRIM(F2630)="",IFERROR(INDEX(Map_Tables!$I$4:$I$37,MATCH(TRIM(E2630),Map_Tables!$G$4:$G$37,0)),""),IFERROR(INDEX(Map_Tables!$B$4:$B$18,MATCH(TRIM(F2630),Map_Tables!$A$4:$A$18,0)),"CHECK"))</f>
        <v>Delhi</v>
      </c>
      <c r="AE2630" s="7" t="str">
        <f aca="false">IF(TRIM(E2630)="","",IFERROR(INDEX(Map_Tables!$H$4:$H$37,MATCH(TRIM(E2630),Map_Tables!$G$4:$G$37,0)),"CHECK"))</f>
        <v>Momo Magic</v>
      </c>
      <c r="AF2630" s="7" t="str">
        <f aca="false">IF(TRIM(K2630)="","Unknown",IFERROR(INDEX(Map_Tables!$E$4:$E$15,MATCH(TRIM(K2630),Map_Tables!$D$4:$D$15,0)),"CHECK"))</f>
        <v>UPI</v>
      </c>
      <c r="AG2630" s="7" t="str">
        <f aca="false">IF(LEFT(LOWER(TRIM(L2630)),6)="cancel","Cancelled","Delivered")</f>
        <v>Delivered</v>
      </c>
      <c r="AH2630" s="10" t="n">
        <f aca="false">IF(ISNUMBER(SEARCH("/",B2630)),DATE(VALUE(RIGHT(B2630,4)),VALUE(MID(B2630,4,2)),VALUE(LEFT(B2630,2))),IF(MID(B2630,5,1)="-",DATE(VALUE(LEFT(B2630,4)),VALUE(MID(B2630,6,2)),VALUE(RIGHT(B2630,2))),DATE(VALUE(RIGHT(B2630,4)),MATCH(MID(B2630,4,3),{"Jan","Feb","Mar","Apr","May","Jun","Jul","Aug","Sep","Oct","Nov","Dec"},0),VALUE(LEFT(B2630,2)))))</f>
        <v>45938</v>
      </c>
    </row>
    <row r="2631" customFormat="false" ht="15" hidden="false" customHeight="false" outlineLevel="0" collapsed="false">
      <c r="A2631" s="7" t="s">
        <v>5638</v>
      </c>
      <c r="B2631" s="7" t="s">
        <v>2381</v>
      </c>
      <c r="C2631" s="7" t="s">
        <v>2502</v>
      </c>
      <c r="D2631" s="7" t="s">
        <v>5639</v>
      </c>
      <c r="E2631" s="7" t="s">
        <v>2702</v>
      </c>
      <c r="F2631" s="7" t="s">
        <v>110</v>
      </c>
      <c r="G2631" s="7" t="s">
        <v>139</v>
      </c>
      <c r="H2631" s="7" t="n">
        <v>3</v>
      </c>
      <c r="I2631" s="7" t="n">
        <v>200</v>
      </c>
      <c r="J2631" s="7" t="n">
        <v>75</v>
      </c>
      <c r="K2631" s="7" t="s">
        <v>88</v>
      </c>
      <c r="L2631" s="7" t="s">
        <v>194</v>
      </c>
      <c r="M2631" s="7" t="n">
        <v>46</v>
      </c>
      <c r="N2631" s="7" t="n">
        <v>3</v>
      </c>
      <c r="O2631" s="7" t="str">
        <f aca="false">A2631&amp;"|"&amp;B2631&amp;"|"&amp;C2631&amp;"|"&amp;D2631&amp;"|"&amp;E2631&amp;"|"&amp;F2631&amp;"|"&amp;G2631&amp;"|"&amp;H2631&amp;"|"&amp;I2631&amp;"|"&amp;J2631&amp;"|"&amp;K2631&amp;"|"&amp;L2631&amp;"|"&amp;M2631&amp;"|"&amp;N2631</f>
        <v>ORD11143|2025-05-25|22:38|C1380|Burger Barn |Delhi|Burgers|3|200|75|UPI|Delivered|46|3</v>
      </c>
      <c r="P2631" s="7" t="str">
        <f aca="false">IF(COUNTIF($O$2:O2631,O2631)&gt;1,"DUP","OK")</f>
        <v>OK</v>
      </c>
      <c r="Q2631" s="7" t="n">
        <f aca="false">COUNTBLANK(A2631:N2631)</f>
        <v>0</v>
      </c>
      <c r="R2631" s="7" t="n">
        <f aca="false">IF(A2631="",0,COUNTIFS($A$2:$A$3058,A2631,$P$2:$P$3058,"OK"))</f>
        <v>1</v>
      </c>
      <c r="S2631" s="7" t="str">
        <f aca="false">IF(OR(A2631="",P2631="DUP",R2631&lt;2),"",IF(Q2631=_xlfn.MINIFS($Q$2:$Q$3058,$A$2:$A$3058,A2631,$P$2:$P$3058,"OK"),"KEEP","DROP"))</f>
        <v/>
      </c>
      <c r="T2631" s="9" t="n">
        <f aca="false">IF(A2631="",1,0)</f>
        <v>0</v>
      </c>
      <c r="U2631" s="9" t="n">
        <f aca="false">IF(D2631="",1,0)</f>
        <v>0</v>
      </c>
      <c r="V2631" s="9" t="n">
        <f aca="false">IF(E2631="",1,0)</f>
        <v>0</v>
      </c>
      <c r="W2631" s="9" t="n">
        <f aca="false">IF(OR(H2631&lt;1,H2631&gt;10),1,0)</f>
        <v>0</v>
      </c>
      <c r="X2631" s="9" t="n">
        <f aca="false">IF(OR(I2631&lt;=0,I2631&gt;1500),1,0)</f>
        <v>0</v>
      </c>
      <c r="Y2631" s="9" t="n">
        <f aca="false">IF(J2631&gt;H2631*I2631,1,0)</f>
        <v>0</v>
      </c>
      <c r="Z2631" s="9" t="n">
        <f aca="false">IF(AND(N2631&lt;&gt;"",OR(N2631&lt;1,N2631&gt;5)),1,0)</f>
        <v>0</v>
      </c>
      <c r="AA2631" s="9" t="n">
        <f aca="false">IF(AND(M2631&lt;&gt;"",OR(M2631&lt;5,M2631&gt;180)),1,0)</f>
        <v>0</v>
      </c>
      <c r="AB2631" s="7" t="str">
        <f aca="false">IF(P2631="DUP","Exact duplicate row",IF(T2631=1,"Missing Order ID",IF(S2631="DROP","Duplicate Order ID (less complete row)",IF(U2631=1,"Missing Customer ID",IF(V2631=1,"Missing Restaurant name",IF(W2631=1,"Invalid/outlier quantity",IF(X2631=1,"Invalid/outlier unit price",IF(Y2631=1,"Discount greater than order value",""))))))))</f>
        <v/>
      </c>
      <c r="AC2631" s="7" t="str">
        <f aca="false">IF(AB2631="","KEEP","DROP")</f>
        <v>KEEP</v>
      </c>
      <c r="AD2631" s="7" t="str">
        <f aca="false">IF(TRIM(F2631)="",IFERROR(INDEX(Map_Tables!$I$4:$I$37,MATCH(TRIM(E2631),Map_Tables!$G$4:$G$37,0)),""),IFERROR(INDEX(Map_Tables!$B$4:$B$18,MATCH(TRIM(F2631),Map_Tables!$A$4:$A$18,0)),"CHECK"))</f>
        <v>Delhi</v>
      </c>
      <c r="AE2631" s="7" t="str">
        <f aca="false">IF(TRIM(E2631)="","",IFERROR(INDEX(Map_Tables!$H$4:$H$37,MATCH(TRIM(E2631),Map_Tables!$G$4:$G$37,0)),"CHECK"))</f>
        <v>Burger Barn</v>
      </c>
      <c r="AF2631" s="7" t="str">
        <f aca="false">IF(TRIM(K2631)="","Unknown",IFERROR(INDEX(Map_Tables!$E$4:$E$15,MATCH(TRIM(K2631),Map_Tables!$D$4:$D$15,0)),"CHECK"))</f>
        <v>UPI</v>
      </c>
      <c r="AG2631" s="7" t="str">
        <f aca="false">IF(LEFT(LOWER(TRIM(L2631)),6)="cancel","Cancelled","Delivered")</f>
        <v>Delivered</v>
      </c>
      <c r="AH2631" s="10" t="n">
        <f aca="false">IF(ISNUMBER(SEARCH("/",B2631)),DATE(VALUE(RIGHT(B2631,4)),VALUE(MID(B2631,4,2)),VALUE(LEFT(B2631,2))),IF(MID(B2631,5,1)="-",DATE(VALUE(LEFT(B2631,4)),VALUE(MID(B2631,6,2)),VALUE(RIGHT(B2631,2))),DATE(VALUE(RIGHT(B2631,4)),MATCH(MID(B2631,4,3),{"Jan","Feb","Mar","Apr","May","Jun","Jul","Aug","Sep","Oct","Nov","Dec"},0),VALUE(LEFT(B2631,2)))))</f>
        <v>45802</v>
      </c>
    </row>
    <row r="2632" customFormat="false" ht="15" hidden="false" customHeight="false" outlineLevel="0" collapsed="false">
      <c r="A2632" s="7" t="s">
        <v>5640</v>
      </c>
      <c r="B2632" s="7" t="s">
        <v>654</v>
      </c>
      <c r="C2632" s="7" t="s">
        <v>4644</v>
      </c>
      <c r="D2632" s="7" t="s">
        <v>1482</v>
      </c>
      <c r="E2632" s="7" t="s">
        <v>4119</v>
      </c>
      <c r="F2632" s="7" t="s">
        <v>86</v>
      </c>
      <c r="G2632" s="7" t="s">
        <v>99</v>
      </c>
      <c r="H2632" s="7" t="n">
        <v>1</v>
      </c>
      <c r="I2632" s="7" t="n">
        <v>330</v>
      </c>
      <c r="J2632" s="7" t="n">
        <v>40</v>
      </c>
      <c r="K2632" s="7" t="s">
        <v>88</v>
      </c>
      <c r="L2632" s="7" t="s">
        <v>194</v>
      </c>
      <c r="M2632" s="7" t="n">
        <v>33</v>
      </c>
      <c r="N2632" s="7" t="n">
        <v>5</v>
      </c>
      <c r="O2632" s="7" t="str">
        <f aca="false">A2632&amp;"|"&amp;B2632&amp;"|"&amp;C2632&amp;"|"&amp;D2632&amp;"|"&amp;E2632&amp;"|"&amp;F2632&amp;"|"&amp;G2632&amp;"|"&amp;H2632&amp;"|"&amp;I2632&amp;"|"&amp;J2632&amp;"|"&amp;K2632&amp;"|"&amp;L2632&amp;"|"&amp;M2632&amp;"|"&amp;N2632</f>
        <v>ORD11144|2025-05-26|09:43|C0082|nawabi biryani house|Bengaluru|Biryani|1|330|40|UPI|Delivered|33|5</v>
      </c>
      <c r="P2632" s="7" t="str">
        <f aca="false">IF(COUNTIF($O$2:O2632,O2632)&gt;1,"DUP","OK")</f>
        <v>OK</v>
      </c>
      <c r="Q2632" s="7" t="n">
        <f aca="false">COUNTBLANK(A2632:N2632)</f>
        <v>0</v>
      </c>
      <c r="R2632" s="7" t="n">
        <f aca="false">IF(A2632="",0,COUNTIFS($A$2:$A$3058,A2632,$P$2:$P$3058,"OK"))</f>
        <v>1</v>
      </c>
      <c r="S2632" s="7" t="str">
        <f aca="false">IF(OR(A2632="",P2632="DUP",R2632&lt;2),"",IF(Q2632=_xlfn.MINIFS($Q$2:$Q$3058,$A$2:$A$3058,A2632,$P$2:$P$3058,"OK"),"KEEP","DROP"))</f>
        <v/>
      </c>
      <c r="T2632" s="9" t="n">
        <f aca="false">IF(A2632="",1,0)</f>
        <v>0</v>
      </c>
      <c r="U2632" s="9" t="n">
        <f aca="false">IF(D2632="",1,0)</f>
        <v>0</v>
      </c>
      <c r="V2632" s="9" t="n">
        <f aca="false">IF(E2632="",1,0)</f>
        <v>0</v>
      </c>
      <c r="W2632" s="9" t="n">
        <f aca="false">IF(OR(H2632&lt;1,H2632&gt;10),1,0)</f>
        <v>0</v>
      </c>
      <c r="X2632" s="9" t="n">
        <f aca="false">IF(OR(I2632&lt;=0,I2632&gt;1500),1,0)</f>
        <v>0</v>
      </c>
      <c r="Y2632" s="9" t="n">
        <f aca="false">IF(J2632&gt;H2632*I2632,1,0)</f>
        <v>0</v>
      </c>
      <c r="Z2632" s="9" t="n">
        <f aca="false">IF(AND(N2632&lt;&gt;"",OR(N2632&lt;1,N2632&gt;5)),1,0)</f>
        <v>0</v>
      </c>
      <c r="AA2632" s="9" t="n">
        <f aca="false">IF(AND(M2632&lt;&gt;"",OR(M2632&lt;5,M2632&gt;180)),1,0)</f>
        <v>0</v>
      </c>
      <c r="AB2632" s="7" t="str">
        <f aca="false">IF(P2632="DUP","Exact duplicate row",IF(T2632=1,"Missing Order ID",IF(S2632="DROP","Duplicate Order ID (less complete row)",IF(U2632=1,"Missing Customer ID",IF(V2632=1,"Missing Restaurant name",IF(W2632=1,"Invalid/outlier quantity",IF(X2632=1,"Invalid/outlier unit price",IF(Y2632=1,"Discount greater than order value",""))))))))</f>
        <v/>
      </c>
      <c r="AC2632" s="7" t="str">
        <f aca="false">IF(AB2632="","KEEP","DROP")</f>
        <v>KEEP</v>
      </c>
      <c r="AD2632" s="7" t="str">
        <f aca="false">IF(TRIM(F2632)="",IFERROR(INDEX(Map_Tables!$I$4:$I$37,MATCH(TRIM(E2632),Map_Tables!$G$4:$G$37,0)),""),IFERROR(INDEX(Map_Tables!$B$4:$B$18,MATCH(TRIM(F2632),Map_Tables!$A$4:$A$18,0)),"CHECK"))</f>
        <v>Bengaluru</v>
      </c>
      <c r="AE2632" s="7" t="str">
        <f aca="false">IF(TRIM(E2632)="","",IFERROR(INDEX(Map_Tables!$H$4:$H$37,MATCH(TRIM(E2632),Map_Tables!$G$4:$G$37,0)),"CHECK"))</f>
        <v>Nawabi Biryani House</v>
      </c>
      <c r="AF2632" s="7" t="str">
        <f aca="false">IF(TRIM(K2632)="","Unknown",IFERROR(INDEX(Map_Tables!$E$4:$E$15,MATCH(TRIM(K2632),Map_Tables!$D$4:$D$15,0)),"CHECK"))</f>
        <v>UPI</v>
      </c>
      <c r="AG2632" s="7" t="str">
        <f aca="false">IF(LEFT(LOWER(TRIM(L2632)),6)="cancel","Cancelled","Delivered")</f>
        <v>Delivered</v>
      </c>
      <c r="AH2632" s="10" t="n">
        <f aca="false">IF(ISNUMBER(SEARCH("/",B2632)),DATE(VALUE(RIGHT(B2632,4)),VALUE(MID(B2632,4,2)),VALUE(LEFT(B2632,2))),IF(MID(B2632,5,1)="-",DATE(VALUE(LEFT(B2632,4)),VALUE(MID(B2632,6,2)),VALUE(RIGHT(B2632,2))),DATE(VALUE(RIGHT(B2632,4)),MATCH(MID(B2632,4,3),{"Jan","Feb","Mar","Apr","May","Jun","Jul","Aug","Sep","Oct","Nov","Dec"},0),VALUE(LEFT(B2632,2)))))</f>
        <v>45803</v>
      </c>
    </row>
    <row r="2633" customFormat="false" ht="15" hidden="false" customHeight="false" outlineLevel="0" collapsed="false">
      <c r="A2633" s="7" t="s">
        <v>5641</v>
      </c>
      <c r="B2633" s="7" t="s">
        <v>5642</v>
      </c>
      <c r="C2633" s="7" t="s">
        <v>5643</v>
      </c>
      <c r="D2633" s="7" t="s">
        <v>3049</v>
      </c>
      <c r="E2633" s="7" t="s">
        <v>116</v>
      </c>
      <c r="F2633" s="7" t="s">
        <v>101</v>
      </c>
      <c r="G2633" s="7" t="s">
        <v>117</v>
      </c>
      <c r="H2633" s="7" t="n">
        <v>2</v>
      </c>
      <c r="I2633" s="7" t="n">
        <v>120</v>
      </c>
      <c r="J2633" s="7" t="n">
        <v>0</v>
      </c>
      <c r="K2633" s="7" t="s">
        <v>121</v>
      </c>
      <c r="L2633" s="7" t="s">
        <v>194</v>
      </c>
      <c r="M2633" s="7" t="n">
        <v>45</v>
      </c>
      <c r="N2633" s="7" t="n">
        <v>3</v>
      </c>
      <c r="O2633" s="7" t="str">
        <f aca="false">A2633&amp;"|"&amp;B2633&amp;"|"&amp;C2633&amp;"|"&amp;D2633&amp;"|"&amp;E2633&amp;"|"&amp;F2633&amp;"|"&amp;G2633&amp;"|"&amp;H2633&amp;"|"&amp;I2633&amp;"|"&amp;J2633&amp;"|"&amp;K2633&amp;"|"&amp;L2633&amp;"|"&amp;M2633&amp;"|"&amp;N2633</f>
        <v>ORD12275|15-Oct-2025|13:30|C0918|Pav Bhaji Point|Mumbai|Street Food|2|120|0|Wallet|Delivered|45|3</v>
      </c>
      <c r="P2633" s="7" t="str">
        <f aca="false">IF(COUNTIF($O$2:O2633,O2633)&gt;1,"DUP","OK")</f>
        <v>OK</v>
      </c>
      <c r="Q2633" s="7" t="n">
        <f aca="false">COUNTBLANK(A2633:N2633)</f>
        <v>0</v>
      </c>
      <c r="R2633" s="7" t="n">
        <f aca="false">IF(A2633="",0,COUNTIFS($A$2:$A$3058,A2633,$P$2:$P$3058,"OK"))</f>
        <v>1</v>
      </c>
      <c r="S2633" s="7" t="str">
        <f aca="false">IF(OR(A2633="",P2633="DUP",R2633&lt;2),"",IF(Q2633=_xlfn.MINIFS($Q$2:$Q$3058,$A$2:$A$3058,A2633,$P$2:$P$3058,"OK"),"KEEP","DROP"))</f>
        <v/>
      </c>
      <c r="T2633" s="9" t="n">
        <f aca="false">IF(A2633="",1,0)</f>
        <v>0</v>
      </c>
      <c r="U2633" s="9" t="n">
        <f aca="false">IF(D2633="",1,0)</f>
        <v>0</v>
      </c>
      <c r="V2633" s="9" t="n">
        <f aca="false">IF(E2633="",1,0)</f>
        <v>0</v>
      </c>
      <c r="W2633" s="9" t="n">
        <f aca="false">IF(OR(H2633&lt;1,H2633&gt;10),1,0)</f>
        <v>0</v>
      </c>
      <c r="X2633" s="9" t="n">
        <f aca="false">IF(OR(I2633&lt;=0,I2633&gt;1500),1,0)</f>
        <v>0</v>
      </c>
      <c r="Y2633" s="9" t="n">
        <f aca="false">IF(J2633&gt;H2633*I2633,1,0)</f>
        <v>0</v>
      </c>
      <c r="Z2633" s="9" t="n">
        <f aca="false">IF(AND(N2633&lt;&gt;"",OR(N2633&lt;1,N2633&gt;5)),1,0)</f>
        <v>0</v>
      </c>
      <c r="AA2633" s="9" t="n">
        <f aca="false">IF(AND(M2633&lt;&gt;"",OR(M2633&lt;5,M2633&gt;180)),1,0)</f>
        <v>0</v>
      </c>
      <c r="AB2633" s="7" t="str">
        <f aca="false">IF(P2633="DUP","Exact duplicate row",IF(T2633=1,"Missing Order ID",IF(S2633="DROP","Duplicate Order ID (less complete row)",IF(U2633=1,"Missing Customer ID",IF(V2633=1,"Missing Restaurant name",IF(W2633=1,"Invalid/outlier quantity",IF(X2633=1,"Invalid/outlier unit price",IF(Y2633=1,"Discount greater than order value",""))))))))</f>
        <v/>
      </c>
      <c r="AC2633" s="7" t="str">
        <f aca="false">IF(AB2633="","KEEP","DROP")</f>
        <v>KEEP</v>
      </c>
      <c r="AD2633" s="7" t="str">
        <f aca="false">IF(TRIM(F2633)="",IFERROR(INDEX(Map_Tables!$I$4:$I$37,MATCH(TRIM(E2633),Map_Tables!$G$4:$G$37,0)),""),IFERROR(INDEX(Map_Tables!$B$4:$B$18,MATCH(TRIM(F2633),Map_Tables!$A$4:$A$18,0)),"CHECK"))</f>
        <v>Mumbai</v>
      </c>
      <c r="AE2633" s="7" t="str">
        <f aca="false">IF(TRIM(E2633)="","",IFERROR(INDEX(Map_Tables!$H$4:$H$37,MATCH(TRIM(E2633),Map_Tables!$G$4:$G$37,0)),"CHECK"))</f>
        <v>Pav Bhaji Point</v>
      </c>
      <c r="AF2633" s="7" t="str">
        <f aca="false">IF(TRIM(K2633)="","Unknown",IFERROR(INDEX(Map_Tables!$E$4:$E$15,MATCH(TRIM(K2633),Map_Tables!$D$4:$D$15,0)),"CHECK"))</f>
        <v>Wallet</v>
      </c>
      <c r="AG2633" s="7" t="str">
        <f aca="false">IF(LEFT(LOWER(TRIM(L2633)),6)="cancel","Cancelled","Delivered")</f>
        <v>Delivered</v>
      </c>
      <c r="AH2633" s="10" t="n">
        <f aca="false">IF(ISNUMBER(SEARCH("/",B2633)),DATE(VALUE(RIGHT(B2633,4)),VALUE(MID(B2633,4,2)),VALUE(LEFT(B2633,2))),IF(MID(B2633,5,1)="-",DATE(VALUE(LEFT(B2633,4)),VALUE(MID(B2633,6,2)),VALUE(RIGHT(B2633,2))),DATE(VALUE(RIGHT(B2633,4)),MATCH(MID(B2633,4,3),{"Jan","Feb","Mar","Apr","May","Jun","Jul","Aug","Sep","Oct","Nov","Dec"},0),VALUE(LEFT(B2633,2)))))</f>
        <v>45945</v>
      </c>
    </row>
    <row r="2634" customFormat="false" ht="15" hidden="false" customHeight="false" outlineLevel="0" collapsed="false">
      <c r="A2634" s="7" t="s">
        <v>4552</v>
      </c>
      <c r="B2634" s="7" t="s">
        <v>2795</v>
      </c>
      <c r="C2634" s="7" t="s">
        <v>2398</v>
      </c>
      <c r="D2634" s="7" t="s">
        <v>2477</v>
      </c>
      <c r="E2634" s="7" t="s">
        <v>134</v>
      </c>
      <c r="F2634" s="7" t="s">
        <v>110</v>
      </c>
      <c r="G2634" s="7" t="s">
        <v>117</v>
      </c>
      <c r="H2634" s="7" t="n">
        <v>4</v>
      </c>
      <c r="I2634" s="7" t="n">
        <v>105</v>
      </c>
      <c r="J2634" s="7" t="n">
        <v>20</v>
      </c>
      <c r="K2634" s="7" t="s">
        <v>88</v>
      </c>
      <c r="L2634" s="7" t="s">
        <v>194</v>
      </c>
      <c r="M2634" s="7" t="n">
        <v>48</v>
      </c>
      <c r="N2634" s="7" t="n">
        <v>5</v>
      </c>
      <c r="O2634" s="7" t="str">
        <f aca="false">A2634&amp;"|"&amp;B2634&amp;"|"&amp;C2634&amp;"|"&amp;D2634&amp;"|"&amp;E2634&amp;"|"&amp;F2634&amp;"|"&amp;G2634&amp;"|"&amp;H2634&amp;"|"&amp;I2634&amp;"|"&amp;J2634&amp;"|"&amp;K2634&amp;"|"&amp;L2634&amp;"|"&amp;M2634&amp;"|"&amp;N2634</f>
        <v>ORD12049|2025-09-22|12:14|C0825|Chaat Corner|Delhi|Street Food|4|105|20|UPI|Delivered|48|5</v>
      </c>
      <c r="P2634" s="7" t="str">
        <f aca="false">IF(COUNTIF($O$2:O2634,O2634)&gt;1,"DUP","OK")</f>
        <v>DUP</v>
      </c>
      <c r="Q2634" s="7" t="n">
        <f aca="false">COUNTBLANK(A2634:N2634)</f>
        <v>0</v>
      </c>
      <c r="R2634" s="7" t="n">
        <f aca="false">IF(A2634="",0,COUNTIFS($A$2:$A$3058,A2634,$P$2:$P$3058,"OK"))</f>
        <v>1</v>
      </c>
      <c r="S2634" s="7" t="str">
        <f aca="false">IF(OR(A2634="",P2634="DUP",R2634&lt;2),"",IF(Q2634=_xlfn.MINIFS($Q$2:$Q$3058,$A$2:$A$3058,A2634,$P$2:$P$3058,"OK"),"KEEP","DROP"))</f>
        <v/>
      </c>
      <c r="T2634" s="9" t="n">
        <f aca="false">IF(A2634="",1,0)</f>
        <v>0</v>
      </c>
      <c r="U2634" s="9" t="n">
        <f aca="false">IF(D2634="",1,0)</f>
        <v>0</v>
      </c>
      <c r="V2634" s="9" t="n">
        <f aca="false">IF(E2634="",1,0)</f>
        <v>0</v>
      </c>
      <c r="W2634" s="9" t="n">
        <f aca="false">IF(OR(H2634&lt;1,H2634&gt;10),1,0)</f>
        <v>0</v>
      </c>
      <c r="X2634" s="9" t="n">
        <f aca="false">IF(OR(I2634&lt;=0,I2634&gt;1500),1,0)</f>
        <v>0</v>
      </c>
      <c r="Y2634" s="9" t="n">
        <f aca="false">IF(J2634&gt;H2634*I2634,1,0)</f>
        <v>0</v>
      </c>
      <c r="Z2634" s="9" t="n">
        <f aca="false">IF(AND(N2634&lt;&gt;"",OR(N2634&lt;1,N2634&gt;5)),1,0)</f>
        <v>0</v>
      </c>
      <c r="AA2634" s="9" t="n">
        <f aca="false">IF(AND(M2634&lt;&gt;"",OR(M2634&lt;5,M2634&gt;180)),1,0)</f>
        <v>0</v>
      </c>
      <c r="AB2634" s="7" t="str">
        <f aca="false">IF(P2634="DUP","Exact duplicate row",IF(T2634=1,"Missing Order ID",IF(S2634="DROP","Duplicate Order ID (less complete row)",IF(U2634=1,"Missing Customer ID",IF(V2634=1,"Missing Restaurant name",IF(W2634=1,"Invalid/outlier quantity",IF(X2634=1,"Invalid/outlier unit price",IF(Y2634=1,"Discount greater than order value",""))))))))</f>
        <v>Exact duplicate row</v>
      </c>
      <c r="AC2634" s="7" t="str">
        <f aca="false">IF(AB2634="","KEEP","DROP")</f>
        <v>DROP</v>
      </c>
      <c r="AD2634" s="7" t="str">
        <f aca="false">IF(TRIM(F2634)="",IFERROR(INDEX(Map_Tables!$I$4:$I$37,MATCH(TRIM(E2634),Map_Tables!$G$4:$G$37,0)),""),IFERROR(INDEX(Map_Tables!$B$4:$B$18,MATCH(TRIM(F2634),Map_Tables!$A$4:$A$18,0)),"CHECK"))</f>
        <v>Delhi</v>
      </c>
      <c r="AE2634" s="7" t="str">
        <f aca="false">IF(TRIM(E2634)="","",IFERROR(INDEX(Map_Tables!$H$4:$H$37,MATCH(TRIM(E2634),Map_Tables!$G$4:$G$37,0)),"CHECK"))</f>
        <v>Chaat Corner</v>
      </c>
      <c r="AF2634" s="7" t="str">
        <f aca="false">IF(TRIM(K2634)="","Unknown",IFERROR(INDEX(Map_Tables!$E$4:$E$15,MATCH(TRIM(K2634),Map_Tables!$D$4:$D$15,0)),"CHECK"))</f>
        <v>UPI</v>
      </c>
      <c r="AG2634" s="7" t="str">
        <f aca="false">IF(LEFT(LOWER(TRIM(L2634)),6)="cancel","Cancelled","Delivered")</f>
        <v>Delivered</v>
      </c>
      <c r="AH2634" s="10" t="n">
        <f aca="false">IF(ISNUMBER(SEARCH("/",B2634)),DATE(VALUE(RIGHT(B2634,4)),VALUE(MID(B2634,4,2)),VALUE(LEFT(B2634,2))),IF(MID(B2634,5,1)="-",DATE(VALUE(LEFT(B2634,4)),VALUE(MID(B2634,6,2)),VALUE(RIGHT(B2634,2))),DATE(VALUE(RIGHT(B2634,4)),MATCH(MID(B2634,4,3),{"Jan","Feb","Mar","Apr","May","Jun","Jul","Aug","Sep","Oct","Nov","Dec"},0),VALUE(LEFT(B2634,2)))))</f>
        <v>45922</v>
      </c>
    </row>
    <row r="2635" customFormat="false" ht="15" hidden="false" customHeight="false" outlineLevel="0" collapsed="false">
      <c r="A2635" s="7" t="s">
        <v>5644</v>
      </c>
      <c r="B2635" s="7" t="s">
        <v>1639</v>
      </c>
      <c r="C2635" s="7" t="s">
        <v>1340</v>
      </c>
      <c r="D2635" s="7" t="s">
        <v>2290</v>
      </c>
      <c r="E2635" s="7" t="s">
        <v>158</v>
      </c>
      <c r="F2635" s="7" t="s">
        <v>136</v>
      </c>
      <c r="G2635" s="7" t="s">
        <v>139</v>
      </c>
      <c r="H2635" s="7" t="n">
        <v>2</v>
      </c>
      <c r="I2635" s="7" t="n">
        <v>195</v>
      </c>
      <c r="J2635" s="7" t="n">
        <v>0</v>
      </c>
      <c r="K2635" s="7" t="s">
        <v>229</v>
      </c>
      <c r="L2635" s="7" t="s">
        <v>194</v>
      </c>
      <c r="M2635" s="7" t="n">
        <v>39</v>
      </c>
      <c r="N2635" s="7" t="n">
        <v>5</v>
      </c>
      <c r="O2635" s="7" t="str">
        <f aca="false">A2635&amp;"|"&amp;B2635&amp;"|"&amp;C2635&amp;"|"&amp;D2635&amp;"|"&amp;E2635&amp;"|"&amp;F2635&amp;"|"&amp;G2635&amp;"|"&amp;H2635&amp;"|"&amp;I2635&amp;"|"&amp;J2635&amp;"|"&amp;K2635&amp;"|"&amp;L2635&amp;"|"&amp;M2635&amp;"|"&amp;N2635</f>
        <v>ORD10402|2025-02-22|20:34|C0239|Pune Burger Hub|Pune|Burgers|2|195|0|Upi|Delivered|39|5</v>
      </c>
      <c r="P2635" s="7" t="str">
        <f aca="false">IF(COUNTIF($O$2:O2635,O2635)&gt;1,"DUP","OK")</f>
        <v>OK</v>
      </c>
      <c r="Q2635" s="7" t="n">
        <f aca="false">COUNTBLANK(A2635:N2635)</f>
        <v>0</v>
      </c>
      <c r="R2635" s="7" t="n">
        <f aca="false">IF(A2635="",0,COUNTIFS($A$2:$A$3058,A2635,$P$2:$P$3058,"OK"))</f>
        <v>1</v>
      </c>
      <c r="S2635" s="7" t="str">
        <f aca="false">IF(OR(A2635="",P2635="DUP",R2635&lt;2),"",IF(Q2635=_xlfn.MINIFS($Q$2:$Q$3058,$A$2:$A$3058,A2635,$P$2:$P$3058,"OK"),"KEEP","DROP"))</f>
        <v/>
      </c>
      <c r="T2635" s="9" t="n">
        <f aca="false">IF(A2635="",1,0)</f>
        <v>0</v>
      </c>
      <c r="U2635" s="9" t="n">
        <f aca="false">IF(D2635="",1,0)</f>
        <v>0</v>
      </c>
      <c r="V2635" s="9" t="n">
        <f aca="false">IF(E2635="",1,0)</f>
        <v>0</v>
      </c>
      <c r="W2635" s="9" t="n">
        <f aca="false">IF(OR(H2635&lt;1,H2635&gt;10),1,0)</f>
        <v>0</v>
      </c>
      <c r="X2635" s="9" t="n">
        <f aca="false">IF(OR(I2635&lt;=0,I2635&gt;1500),1,0)</f>
        <v>0</v>
      </c>
      <c r="Y2635" s="9" t="n">
        <f aca="false">IF(J2635&gt;H2635*I2635,1,0)</f>
        <v>0</v>
      </c>
      <c r="Z2635" s="9" t="n">
        <f aca="false">IF(AND(N2635&lt;&gt;"",OR(N2635&lt;1,N2635&gt;5)),1,0)</f>
        <v>0</v>
      </c>
      <c r="AA2635" s="9" t="n">
        <f aca="false">IF(AND(M2635&lt;&gt;"",OR(M2635&lt;5,M2635&gt;180)),1,0)</f>
        <v>0</v>
      </c>
      <c r="AB2635" s="7" t="str">
        <f aca="false">IF(P2635="DUP","Exact duplicate row",IF(T2635=1,"Missing Order ID",IF(S2635="DROP","Duplicate Order ID (less complete row)",IF(U2635=1,"Missing Customer ID",IF(V2635=1,"Missing Restaurant name",IF(W2635=1,"Invalid/outlier quantity",IF(X2635=1,"Invalid/outlier unit price",IF(Y2635=1,"Discount greater than order value",""))))))))</f>
        <v/>
      </c>
      <c r="AC2635" s="7" t="str">
        <f aca="false">IF(AB2635="","KEEP","DROP")</f>
        <v>KEEP</v>
      </c>
      <c r="AD2635" s="7" t="str">
        <f aca="false">IF(TRIM(F2635)="",IFERROR(INDEX(Map_Tables!$I$4:$I$37,MATCH(TRIM(E2635),Map_Tables!$G$4:$G$37,0)),""),IFERROR(INDEX(Map_Tables!$B$4:$B$18,MATCH(TRIM(F2635),Map_Tables!$A$4:$A$18,0)),"CHECK"))</f>
        <v>Pune</v>
      </c>
      <c r="AE2635" s="7" t="str">
        <f aca="false">IF(TRIM(E2635)="","",IFERROR(INDEX(Map_Tables!$H$4:$H$37,MATCH(TRIM(E2635),Map_Tables!$G$4:$G$37,0)),"CHECK"))</f>
        <v>Pune Burger Hub</v>
      </c>
      <c r="AF2635" s="7" t="str">
        <f aca="false">IF(TRIM(K2635)="","Unknown",IFERROR(INDEX(Map_Tables!$E$4:$E$15,MATCH(TRIM(K2635),Map_Tables!$D$4:$D$15,0)),"CHECK"))</f>
        <v>UPI</v>
      </c>
      <c r="AG2635" s="7" t="str">
        <f aca="false">IF(LEFT(LOWER(TRIM(L2635)),6)="cancel","Cancelled","Delivered")</f>
        <v>Delivered</v>
      </c>
      <c r="AH2635" s="10" t="n">
        <f aca="false">IF(ISNUMBER(SEARCH("/",B2635)),DATE(VALUE(RIGHT(B2635,4)),VALUE(MID(B2635,4,2)),VALUE(LEFT(B2635,2))),IF(MID(B2635,5,1)="-",DATE(VALUE(LEFT(B2635,4)),VALUE(MID(B2635,6,2)),VALUE(RIGHT(B2635,2))),DATE(VALUE(RIGHT(B2635,4)),MATCH(MID(B2635,4,3),{"Jan","Feb","Mar","Apr","May","Jun","Jul","Aug","Sep","Oct","Nov","Dec"},0),VALUE(LEFT(B2635,2)))))</f>
        <v>45710</v>
      </c>
    </row>
    <row r="2636" customFormat="false" ht="15" hidden="false" customHeight="false" outlineLevel="0" collapsed="false">
      <c r="A2636" s="7" t="s">
        <v>5645</v>
      </c>
      <c r="B2636" s="7" t="s">
        <v>2916</v>
      </c>
      <c r="C2636" s="7" t="s">
        <v>591</v>
      </c>
      <c r="D2636" s="7" t="s">
        <v>1590</v>
      </c>
      <c r="E2636" s="7" t="s">
        <v>113</v>
      </c>
      <c r="F2636" s="7" t="s">
        <v>101</v>
      </c>
      <c r="G2636" s="7" t="s">
        <v>90</v>
      </c>
      <c r="H2636" s="7" t="n">
        <v>1</v>
      </c>
      <c r="I2636" s="7" t="n">
        <v>255</v>
      </c>
      <c r="J2636" s="7" t="n">
        <v>30</v>
      </c>
      <c r="K2636" s="7" t="s">
        <v>88</v>
      </c>
      <c r="L2636" s="7" t="s">
        <v>194</v>
      </c>
      <c r="M2636" s="7" t="n">
        <v>33</v>
      </c>
      <c r="N2636" s="7" t="n">
        <v>3</v>
      </c>
      <c r="O2636" s="7" t="str">
        <f aca="false">A2636&amp;"|"&amp;B2636&amp;"|"&amp;C2636&amp;"|"&amp;D2636&amp;"|"&amp;E2636&amp;"|"&amp;F2636&amp;"|"&amp;G2636&amp;"|"&amp;H2636&amp;"|"&amp;I2636&amp;"|"&amp;J2636&amp;"|"&amp;K2636&amp;"|"&amp;L2636&amp;"|"&amp;M2636&amp;"|"&amp;N2636</f>
        <v>ORD11104|2025-05-20|14:31|C1023|Curry Leaf Kitchen|Mumbai|North Indian|1|255|30|UPI|Delivered|33|3</v>
      </c>
      <c r="P2636" s="7" t="str">
        <f aca="false">IF(COUNTIF($O$2:O2636,O2636)&gt;1,"DUP","OK")</f>
        <v>OK</v>
      </c>
      <c r="Q2636" s="7" t="n">
        <f aca="false">COUNTBLANK(A2636:N2636)</f>
        <v>0</v>
      </c>
      <c r="R2636" s="7" t="n">
        <f aca="false">IF(A2636="",0,COUNTIFS($A$2:$A$3058,A2636,$P$2:$P$3058,"OK"))</f>
        <v>1</v>
      </c>
      <c r="S2636" s="7" t="str">
        <f aca="false">IF(OR(A2636="",P2636="DUP",R2636&lt;2),"",IF(Q2636=_xlfn.MINIFS($Q$2:$Q$3058,$A$2:$A$3058,A2636,$P$2:$P$3058,"OK"),"KEEP","DROP"))</f>
        <v/>
      </c>
      <c r="T2636" s="9" t="n">
        <f aca="false">IF(A2636="",1,0)</f>
        <v>0</v>
      </c>
      <c r="U2636" s="9" t="n">
        <f aca="false">IF(D2636="",1,0)</f>
        <v>0</v>
      </c>
      <c r="V2636" s="9" t="n">
        <f aca="false">IF(E2636="",1,0)</f>
        <v>0</v>
      </c>
      <c r="W2636" s="9" t="n">
        <f aca="false">IF(OR(H2636&lt;1,H2636&gt;10),1,0)</f>
        <v>0</v>
      </c>
      <c r="X2636" s="9" t="n">
        <f aca="false">IF(OR(I2636&lt;=0,I2636&gt;1500),1,0)</f>
        <v>0</v>
      </c>
      <c r="Y2636" s="9" t="n">
        <f aca="false">IF(J2636&gt;H2636*I2636,1,0)</f>
        <v>0</v>
      </c>
      <c r="Z2636" s="9" t="n">
        <f aca="false">IF(AND(N2636&lt;&gt;"",OR(N2636&lt;1,N2636&gt;5)),1,0)</f>
        <v>0</v>
      </c>
      <c r="AA2636" s="9" t="n">
        <f aca="false">IF(AND(M2636&lt;&gt;"",OR(M2636&lt;5,M2636&gt;180)),1,0)</f>
        <v>0</v>
      </c>
      <c r="AB2636" s="7" t="str">
        <f aca="false">IF(P2636="DUP","Exact duplicate row",IF(T2636=1,"Missing Order ID",IF(S2636="DROP","Duplicate Order ID (less complete row)",IF(U2636=1,"Missing Customer ID",IF(V2636=1,"Missing Restaurant name",IF(W2636=1,"Invalid/outlier quantity",IF(X2636=1,"Invalid/outlier unit price",IF(Y2636=1,"Discount greater than order value",""))))))))</f>
        <v/>
      </c>
      <c r="AC2636" s="7" t="str">
        <f aca="false">IF(AB2636="","KEEP","DROP")</f>
        <v>KEEP</v>
      </c>
      <c r="AD2636" s="7" t="str">
        <f aca="false">IF(TRIM(F2636)="",IFERROR(INDEX(Map_Tables!$I$4:$I$37,MATCH(TRIM(E2636),Map_Tables!$G$4:$G$37,0)),""),IFERROR(INDEX(Map_Tables!$B$4:$B$18,MATCH(TRIM(F2636),Map_Tables!$A$4:$A$18,0)),"CHECK"))</f>
        <v>Mumbai</v>
      </c>
      <c r="AE2636" s="7" t="str">
        <f aca="false">IF(TRIM(E2636)="","",IFERROR(INDEX(Map_Tables!$H$4:$H$37,MATCH(TRIM(E2636),Map_Tables!$G$4:$G$37,0)),"CHECK"))</f>
        <v>Curry Leaf Kitchen</v>
      </c>
      <c r="AF2636" s="7" t="str">
        <f aca="false">IF(TRIM(K2636)="","Unknown",IFERROR(INDEX(Map_Tables!$E$4:$E$15,MATCH(TRIM(K2636),Map_Tables!$D$4:$D$15,0)),"CHECK"))</f>
        <v>UPI</v>
      </c>
      <c r="AG2636" s="7" t="str">
        <f aca="false">IF(LEFT(LOWER(TRIM(L2636)),6)="cancel","Cancelled","Delivered")</f>
        <v>Delivered</v>
      </c>
      <c r="AH2636" s="10" t="n">
        <f aca="false">IF(ISNUMBER(SEARCH("/",B2636)),DATE(VALUE(RIGHT(B2636,4)),VALUE(MID(B2636,4,2)),VALUE(LEFT(B2636,2))),IF(MID(B2636,5,1)="-",DATE(VALUE(LEFT(B2636,4)),VALUE(MID(B2636,6,2)),VALUE(RIGHT(B2636,2))),DATE(VALUE(RIGHT(B2636,4)),MATCH(MID(B2636,4,3),{"Jan","Feb","Mar","Apr","May","Jun","Jul","Aug","Sep","Oct","Nov","Dec"},0),VALUE(LEFT(B2636,2)))))</f>
        <v>45797</v>
      </c>
    </row>
    <row r="2637" customFormat="false" ht="15" hidden="false" customHeight="false" outlineLevel="0" collapsed="false">
      <c r="A2637" s="7" t="s">
        <v>5646</v>
      </c>
      <c r="B2637" s="7" t="s">
        <v>436</v>
      </c>
      <c r="C2637" s="7" t="s">
        <v>661</v>
      </c>
      <c r="D2637" s="7" t="s">
        <v>316</v>
      </c>
      <c r="E2637" s="7" t="s">
        <v>89</v>
      </c>
      <c r="F2637" s="7" t="s">
        <v>86</v>
      </c>
      <c r="G2637" s="7" t="s">
        <v>90</v>
      </c>
      <c r="H2637" s="7" t="n">
        <v>1</v>
      </c>
      <c r="I2637" s="7" t="n">
        <v>255</v>
      </c>
      <c r="J2637" s="7" t="n">
        <v>40</v>
      </c>
      <c r="K2637" s="7" t="s">
        <v>112</v>
      </c>
      <c r="L2637" s="7" t="s">
        <v>194</v>
      </c>
      <c r="M2637" s="7" t="n">
        <v>35</v>
      </c>
      <c r="N2637" s="7" t="n">
        <v>4</v>
      </c>
      <c r="O2637" s="7" t="str">
        <f aca="false">A2637&amp;"|"&amp;B2637&amp;"|"&amp;C2637&amp;"|"&amp;D2637&amp;"|"&amp;E2637&amp;"|"&amp;F2637&amp;"|"&amp;G2637&amp;"|"&amp;H2637&amp;"|"&amp;I2637&amp;"|"&amp;J2637&amp;"|"&amp;K2637&amp;"|"&amp;L2637&amp;"|"&amp;M2637&amp;"|"&amp;N2637</f>
        <v>ORD10085|2025-01-12|12:35|C0468|Spice Junction|Bengaluru|North Indian|1|255|40|Cash on Delivery|Delivered|35|4</v>
      </c>
      <c r="P2637" s="7" t="str">
        <f aca="false">IF(COUNTIF($O$2:O2637,O2637)&gt;1,"DUP","OK")</f>
        <v>OK</v>
      </c>
      <c r="Q2637" s="7" t="n">
        <f aca="false">COUNTBLANK(A2637:N2637)</f>
        <v>0</v>
      </c>
      <c r="R2637" s="7" t="n">
        <f aca="false">IF(A2637="",0,COUNTIFS($A$2:$A$3058,A2637,$P$2:$P$3058,"OK"))</f>
        <v>1</v>
      </c>
      <c r="S2637" s="7" t="str">
        <f aca="false">IF(OR(A2637="",P2637="DUP",R2637&lt;2),"",IF(Q2637=_xlfn.MINIFS($Q$2:$Q$3058,$A$2:$A$3058,A2637,$P$2:$P$3058,"OK"),"KEEP","DROP"))</f>
        <v/>
      </c>
      <c r="T2637" s="9" t="n">
        <f aca="false">IF(A2637="",1,0)</f>
        <v>0</v>
      </c>
      <c r="U2637" s="9" t="n">
        <f aca="false">IF(D2637="",1,0)</f>
        <v>0</v>
      </c>
      <c r="V2637" s="9" t="n">
        <f aca="false">IF(E2637="",1,0)</f>
        <v>0</v>
      </c>
      <c r="W2637" s="9" t="n">
        <f aca="false">IF(OR(H2637&lt;1,H2637&gt;10),1,0)</f>
        <v>0</v>
      </c>
      <c r="X2637" s="9" t="n">
        <f aca="false">IF(OR(I2637&lt;=0,I2637&gt;1500),1,0)</f>
        <v>0</v>
      </c>
      <c r="Y2637" s="9" t="n">
        <f aca="false">IF(J2637&gt;H2637*I2637,1,0)</f>
        <v>0</v>
      </c>
      <c r="Z2637" s="9" t="n">
        <f aca="false">IF(AND(N2637&lt;&gt;"",OR(N2637&lt;1,N2637&gt;5)),1,0)</f>
        <v>0</v>
      </c>
      <c r="AA2637" s="9" t="n">
        <f aca="false">IF(AND(M2637&lt;&gt;"",OR(M2637&lt;5,M2637&gt;180)),1,0)</f>
        <v>0</v>
      </c>
      <c r="AB2637" s="7" t="str">
        <f aca="false">IF(P2637="DUP","Exact duplicate row",IF(T2637=1,"Missing Order ID",IF(S2637="DROP","Duplicate Order ID (less complete row)",IF(U2637=1,"Missing Customer ID",IF(V2637=1,"Missing Restaurant name",IF(W2637=1,"Invalid/outlier quantity",IF(X2637=1,"Invalid/outlier unit price",IF(Y2637=1,"Discount greater than order value",""))))))))</f>
        <v/>
      </c>
      <c r="AC2637" s="7" t="str">
        <f aca="false">IF(AB2637="","KEEP","DROP")</f>
        <v>KEEP</v>
      </c>
      <c r="AD2637" s="7" t="str">
        <f aca="false">IF(TRIM(F2637)="",IFERROR(INDEX(Map_Tables!$I$4:$I$37,MATCH(TRIM(E2637),Map_Tables!$G$4:$G$37,0)),""),IFERROR(INDEX(Map_Tables!$B$4:$B$18,MATCH(TRIM(F2637),Map_Tables!$A$4:$A$18,0)),"CHECK"))</f>
        <v>Bengaluru</v>
      </c>
      <c r="AE2637" s="7" t="str">
        <f aca="false">IF(TRIM(E2637)="","",IFERROR(INDEX(Map_Tables!$H$4:$H$37,MATCH(TRIM(E2637),Map_Tables!$G$4:$G$37,0)),"CHECK"))</f>
        <v>Spice Junction</v>
      </c>
      <c r="AF2637" s="7" t="str">
        <f aca="false">IF(TRIM(K2637)="","Unknown",IFERROR(INDEX(Map_Tables!$E$4:$E$15,MATCH(TRIM(K2637),Map_Tables!$D$4:$D$15,0)),"CHECK"))</f>
        <v>Cash on Delivery</v>
      </c>
      <c r="AG2637" s="7" t="str">
        <f aca="false">IF(LEFT(LOWER(TRIM(L2637)),6)="cancel","Cancelled","Delivered")</f>
        <v>Delivered</v>
      </c>
      <c r="AH2637" s="10" t="n">
        <f aca="false">IF(ISNUMBER(SEARCH("/",B2637)),DATE(VALUE(RIGHT(B2637,4)),VALUE(MID(B2637,4,2)),VALUE(LEFT(B2637,2))),IF(MID(B2637,5,1)="-",DATE(VALUE(LEFT(B2637,4)),VALUE(MID(B2637,6,2)),VALUE(RIGHT(B2637,2))),DATE(VALUE(RIGHT(B2637,4)),MATCH(MID(B2637,4,3),{"Jan","Feb","Mar","Apr","May","Jun","Jul","Aug","Sep","Oct","Nov","Dec"},0),VALUE(LEFT(B2637,2)))))</f>
        <v>45669</v>
      </c>
    </row>
    <row r="2638" customFormat="false" ht="15" hidden="false" customHeight="false" outlineLevel="0" collapsed="false">
      <c r="A2638" s="7" t="s">
        <v>5647</v>
      </c>
      <c r="B2638" s="7" t="s">
        <v>1767</v>
      </c>
      <c r="C2638" s="7" t="s">
        <v>1624</v>
      </c>
      <c r="D2638" s="7" t="s">
        <v>2622</v>
      </c>
      <c r="E2638" s="7" t="s">
        <v>2229</v>
      </c>
      <c r="F2638" s="7" t="s">
        <v>101</v>
      </c>
      <c r="G2638" s="7" t="s">
        <v>105</v>
      </c>
      <c r="H2638" s="7" t="n">
        <v>1</v>
      </c>
      <c r="I2638" s="7" t="n">
        <v>215</v>
      </c>
      <c r="J2638" s="7" t="n">
        <v>50</v>
      </c>
      <c r="K2638" s="7" t="s">
        <v>88</v>
      </c>
      <c r="L2638" s="7" t="s">
        <v>194</v>
      </c>
      <c r="M2638" s="7" t="n">
        <v>44</v>
      </c>
      <c r="N2638" s="7" t="n">
        <v>4</v>
      </c>
      <c r="O2638" s="7" t="str">
        <f aca="false">A2638&amp;"|"&amp;B2638&amp;"|"&amp;C2638&amp;"|"&amp;D2638&amp;"|"&amp;E2638&amp;"|"&amp;F2638&amp;"|"&amp;G2638&amp;"|"&amp;H2638&amp;"|"&amp;I2638&amp;"|"&amp;J2638&amp;"|"&amp;K2638&amp;"|"&amp;L2638&amp;"|"&amp;M2638&amp;"|"&amp;N2638</f>
        <v>ORD12211|2025-10-08|20:31|C0876| Dragon Express|Mumbai|Chinese|1|215|50|UPI|Delivered|44|4</v>
      </c>
      <c r="P2638" s="7" t="str">
        <f aca="false">IF(COUNTIF($O$2:O2638,O2638)&gt;1,"DUP","OK")</f>
        <v>OK</v>
      </c>
      <c r="Q2638" s="7" t="n">
        <f aca="false">COUNTBLANK(A2638:N2638)</f>
        <v>0</v>
      </c>
      <c r="R2638" s="7" t="n">
        <f aca="false">IF(A2638="",0,COUNTIFS($A$2:$A$3058,A2638,$P$2:$P$3058,"OK"))</f>
        <v>1</v>
      </c>
      <c r="S2638" s="7" t="str">
        <f aca="false">IF(OR(A2638="",P2638="DUP",R2638&lt;2),"",IF(Q2638=_xlfn.MINIFS($Q$2:$Q$3058,$A$2:$A$3058,A2638,$P$2:$P$3058,"OK"),"KEEP","DROP"))</f>
        <v/>
      </c>
      <c r="T2638" s="9" t="n">
        <f aca="false">IF(A2638="",1,0)</f>
        <v>0</v>
      </c>
      <c r="U2638" s="9" t="n">
        <f aca="false">IF(D2638="",1,0)</f>
        <v>0</v>
      </c>
      <c r="V2638" s="9" t="n">
        <f aca="false">IF(E2638="",1,0)</f>
        <v>0</v>
      </c>
      <c r="W2638" s="9" t="n">
        <f aca="false">IF(OR(H2638&lt;1,H2638&gt;10),1,0)</f>
        <v>0</v>
      </c>
      <c r="X2638" s="9" t="n">
        <f aca="false">IF(OR(I2638&lt;=0,I2638&gt;1500),1,0)</f>
        <v>0</v>
      </c>
      <c r="Y2638" s="9" t="n">
        <f aca="false">IF(J2638&gt;H2638*I2638,1,0)</f>
        <v>0</v>
      </c>
      <c r="Z2638" s="9" t="n">
        <f aca="false">IF(AND(N2638&lt;&gt;"",OR(N2638&lt;1,N2638&gt;5)),1,0)</f>
        <v>0</v>
      </c>
      <c r="AA2638" s="9" t="n">
        <f aca="false">IF(AND(M2638&lt;&gt;"",OR(M2638&lt;5,M2638&gt;180)),1,0)</f>
        <v>0</v>
      </c>
      <c r="AB2638" s="7" t="str">
        <f aca="false">IF(P2638="DUP","Exact duplicate row",IF(T2638=1,"Missing Order ID",IF(S2638="DROP","Duplicate Order ID (less complete row)",IF(U2638=1,"Missing Customer ID",IF(V2638=1,"Missing Restaurant name",IF(W2638=1,"Invalid/outlier quantity",IF(X2638=1,"Invalid/outlier unit price",IF(Y2638=1,"Discount greater than order value",""))))))))</f>
        <v/>
      </c>
      <c r="AC2638" s="7" t="str">
        <f aca="false">IF(AB2638="","KEEP","DROP")</f>
        <v>KEEP</v>
      </c>
      <c r="AD2638" s="7" t="str">
        <f aca="false">IF(TRIM(F2638)="",IFERROR(INDEX(Map_Tables!$I$4:$I$37,MATCH(TRIM(E2638),Map_Tables!$G$4:$G$37,0)),""),IFERROR(INDEX(Map_Tables!$B$4:$B$18,MATCH(TRIM(F2638),Map_Tables!$A$4:$A$18,0)),"CHECK"))</f>
        <v>Mumbai</v>
      </c>
      <c r="AE2638" s="7" t="str">
        <f aca="false">IF(TRIM(E2638)="","",IFERROR(INDEX(Map_Tables!$H$4:$H$37,MATCH(TRIM(E2638),Map_Tables!$G$4:$G$37,0)),"CHECK"))</f>
        <v>Dragon Express</v>
      </c>
      <c r="AF2638" s="7" t="str">
        <f aca="false">IF(TRIM(K2638)="","Unknown",IFERROR(INDEX(Map_Tables!$E$4:$E$15,MATCH(TRIM(K2638),Map_Tables!$D$4:$D$15,0)),"CHECK"))</f>
        <v>UPI</v>
      </c>
      <c r="AG2638" s="7" t="str">
        <f aca="false">IF(LEFT(LOWER(TRIM(L2638)),6)="cancel","Cancelled","Delivered")</f>
        <v>Delivered</v>
      </c>
      <c r="AH2638" s="10" t="n">
        <f aca="false">IF(ISNUMBER(SEARCH("/",B2638)),DATE(VALUE(RIGHT(B2638,4)),VALUE(MID(B2638,4,2)),VALUE(LEFT(B2638,2))),IF(MID(B2638,5,1)="-",DATE(VALUE(LEFT(B2638,4)),VALUE(MID(B2638,6,2)),VALUE(RIGHT(B2638,2))),DATE(VALUE(RIGHT(B2638,4)),MATCH(MID(B2638,4,3),{"Jan","Feb","Mar","Apr","May","Jun","Jul","Aug","Sep","Oct","Nov","Dec"},0),VALUE(LEFT(B2638,2)))))</f>
        <v>45938</v>
      </c>
    </row>
    <row r="2639" customFormat="false" ht="15" hidden="false" customHeight="false" outlineLevel="0" collapsed="false">
      <c r="A2639" s="7" t="s">
        <v>5648</v>
      </c>
      <c r="B2639" s="7" t="s">
        <v>2270</v>
      </c>
      <c r="C2639" s="7" t="s">
        <v>2355</v>
      </c>
      <c r="D2639" s="7" t="s">
        <v>4128</v>
      </c>
      <c r="E2639" s="7" t="s">
        <v>126</v>
      </c>
      <c r="F2639" s="7" t="s">
        <v>101</v>
      </c>
      <c r="G2639" s="7" t="s">
        <v>105</v>
      </c>
      <c r="H2639" s="7" t="n">
        <v>2</v>
      </c>
      <c r="I2639" s="7" t="n">
        <v>235</v>
      </c>
      <c r="J2639" s="7" t="n">
        <v>0</v>
      </c>
      <c r="K2639" s="7" t="s">
        <v>93</v>
      </c>
      <c r="L2639" s="7" t="s">
        <v>194</v>
      </c>
      <c r="M2639" s="7" t="n">
        <v>26</v>
      </c>
      <c r="N2639" s="7" t="n">
        <v>3</v>
      </c>
      <c r="O2639" s="7" t="str">
        <f aca="false">A2639&amp;"|"&amp;B2639&amp;"|"&amp;C2639&amp;"|"&amp;D2639&amp;"|"&amp;E2639&amp;"|"&amp;F2639&amp;"|"&amp;G2639&amp;"|"&amp;H2639&amp;"|"&amp;I2639&amp;"|"&amp;J2639&amp;"|"&amp;K2639&amp;"|"&amp;L2639&amp;"|"&amp;M2639&amp;"|"&amp;N2639</f>
        <v>ORD12930|2025-12-24|10:05|C0278|Dragon Express|Mumbai|Chinese|2|235|0|Credit Card|Delivered|26|3</v>
      </c>
      <c r="P2639" s="7" t="str">
        <f aca="false">IF(COUNTIF($O$2:O2639,O2639)&gt;1,"DUP","OK")</f>
        <v>OK</v>
      </c>
      <c r="Q2639" s="7" t="n">
        <f aca="false">COUNTBLANK(A2639:N2639)</f>
        <v>0</v>
      </c>
      <c r="R2639" s="7" t="n">
        <f aca="false">IF(A2639="",0,COUNTIFS($A$2:$A$3058,A2639,$P$2:$P$3058,"OK"))</f>
        <v>1</v>
      </c>
      <c r="S2639" s="7" t="str">
        <f aca="false">IF(OR(A2639="",P2639="DUP",R2639&lt;2),"",IF(Q2639=_xlfn.MINIFS($Q$2:$Q$3058,$A$2:$A$3058,A2639,$P$2:$P$3058,"OK"),"KEEP","DROP"))</f>
        <v/>
      </c>
      <c r="T2639" s="9" t="n">
        <f aca="false">IF(A2639="",1,0)</f>
        <v>0</v>
      </c>
      <c r="U2639" s="9" t="n">
        <f aca="false">IF(D2639="",1,0)</f>
        <v>0</v>
      </c>
      <c r="V2639" s="9" t="n">
        <f aca="false">IF(E2639="",1,0)</f>
        <v>0</v>
      </c>
      <c r="W2639" s="9" t="n">
        <f aca="false">IF(OR(H2639&lt;1,H2639&gt;10),1,0)</f>
        <v>0</v>
      </c>
      <c r="X2639" s="9" t="n">
        <f aca="false">IF(OR(I2639&lt;=0,I2639&gt;1500),1,0)</f>
        <v>0</v>
      </c>
      <c r="Y2639" s="9" t="n">
        <f aca="false">IF(J2639&gt;H2639*I2639,1,0)</f>
        <v>0</v>
      </c>
      <c r="Z2639" s="9" t="n">
        <f aca="false">IF(AND(N2639&lt;&gt;"",OR(N2639&lt;1,N2639&gt;5)),1,0)</f>
        <v>0</v>
      </c>
      <c r="AA2639" s="9" t="n">
        <f aca="false">IF(AND(M2639&lt;&gt;"",OR(M2639&lt;5,M2639&gt;180)),1,0)</f>
        <v>0</v>
      </c>
      <c r="AB2639" s="7" t="str">
        <f aca="false">IF(P2639="DUP","Exact duplicate row",IF(T2639=1,"Missing Order ID",IF(S2639="DROP","Duplicate Order ID (less complete row)",IF(U2639=1,"Missing Customer ID",IF(V2639=1,"Missing Restaurant name",IF(W2639=1,"Invalid/outlier quantity",IF(X2639=1,"Invalid/outlier unit price",IF(Y2639=1,"Discount greater than order value",""))))))))</f>
        <v/>
      </c>
      <c r="AC2639" s="7" t="str">
        <f aca="false">IF(AB2639="","KEEP","DROP")</f>
        <v>KEEP</v>
      </c>
      <c r="AD2639" s="7" t="str">
        <f aca="false">IF(TRIM(F2639)="",IFERROR(INDEX(Map_Tables!$I$4:$I$37,MATCH(TRIM(E2639),Map_Tables!$G$4:$G$37,0)),""),IFERROR(INDEX(Map_Tables!$B$4:$B$18,MATCH(TRIM(F2639),Map_Tables!$A$4:$A$18,0)),"CHECK"))</f>
        <v>Mumbai</v>
      </c>
      <c r="AE2639" s="7" t="str">
        <f aca="false">IF(TRIM(E2639)="","",IFERROR(INDEX(Map_Tables!$H$4:$H$37,MATCH(TRIM(E2639),Map_Tables!$G$4:$G$37,0)),"CHECK"))</f>
        <v>Dragon Express</v>
      </c>
      <c r="AF2639" s="7" t="str">
        <f aca="false">IF(TRIM(K2639)="","Unknown",IFERROR(INDEX(Map_Tables!$E$4:$E$15,MATCH(TRIM(K2639),Map_Tables!$D$4:$D$15,0)),"CHECK"))</f>
        <v>Credit Card</v>
      </c>
      <c r="AG2639" s="7" t="str">
        <f aca="false">IF(LEFT(LOWER(TRIM(L2639)),6)="cancel","Cancelled","Delivered")</f>
        <v>Delivered</v>
      </c>
      <c r="AH2639" s="10" t="n">
        <f aca="false">IF(ISNUMBER(SEARCH("/",B2639)),DATE(VALUE(RIGHT(B2639,4)),VALUE(MID(B2639,4,2)),VALUE(LEFT(B2639,2))),IF(MID(B2639,5,1)="-",DATE(VALUE(LEFT(B2639,4)),VALUE(MID(B2639,6,2)),VALUE(RIGHT(B2639,2))),DATE(VALUE(RIGHT(B2639,4)),MATCH(MID(B2639,4,3),{"Jan","Feb","Mar","Apr","May","Jun","Jul","Aug","Sep","Oct","Nov","Dec"},0),VALUE(LEFT(B2639,2)))))</f>
        <v>46015</v>
      </c>
    </row>
    <row r="2640" customFormat="false" ht="15" hidden="false" customHeight="false" outlineLevel="0" collapsed="false">
      <c r="A2640" s="7" t="s">
        <v>5649</v>
      </c>
      <c r="B2640" s="7" t="s">
        <v>2348</v>
      </c>
      <c r="C2640" s="7" t="s">
        <v>1263</v>
      </c>
      <c r="D2640" s="7" t="s">
        <v>1931</v>
      </c>
      <c r="E2640" s="7" t="s">
        <v>149</v>
      </c>
      <c r="F2640" s="7" t="s">
        <v>119</v>
      </c>
      <c r="G2640" s="7" t="s">
        <v>150</v>
      </c>
      <c r="H2640" s="7" t="n">
        <v>2</v>
      </c>
      <c r="I2640" s="7" t="n">
        <v>170</v>
      </c>
      <c r="J2640" s="7" t="n">
        <v>0</v>
      </c>
      <c r="K2640" s="7" t="s">
        <v>88</v>
      </c>
      <c r="L2640" s="7" t="s">
        <v>194</v>
      </c>
      <c r="M2640" s="7" t="n">
        <v>47</v>
      </c>
      <c r="N2640" s="7" t="n">
        <v>4</v>
      </c>
      <c r="O2640" s="7" t="str">
        <f aca="false">A2640&amp;"|"&amp;B2640&amp;"|"&amp;C2640&amp;"|"&amp;D2640&amp;"|"&amp;E2640&amp;"|"&amp;F2640&amp;"|"&amp;G2640&amp;"|"&amp;H2640&amp;"|"&amp;I2640&amp;"|"&amp;J2640&amp;"|"&amp;K2640&amp;"|"&amp;L2640&amp;"|"&amp;M2640&amp;"|"&amp;N2640</f>
        <v>ORD10115|2025-01-15|19:19|C0318|Sweet Tooth Studio|Hyderabad|Desserts|2|170|0|UPI|Delivered|47|4</v>
      </c>
      <c r="P2640" s="7" t="str">
        <f aca="false">IF(COUNTIF($O$2:O2640,O2640)&gt;1,"DUP","OK")</f>
        <v>OK</v>
      </c>
      <c r="Q2640" s="7" t="n">
        <f aca="false">COUNTBLANK(A2640:N2640)</f>
        <v>0</v>
      </c>
      <c r="R2640" s="7" t="n">
        <f aca="false">IF(A2640="",0,COUNTIFS($A$2:$A$3058,A2640,$P$2:$P$3058,"OK"))</f>
        <v>1</v>
      </c>
      <c r="S2640" s="7" t="str">
        <f aca="false">IF(OR(A2640="",P2640="DUP",R2640&lt;2),"",IF(Q2640=_xlfn.MINIFS($Q$2:$Q$3058,$A$2:$A$3058,A2640,$P$2:$P$3058,"OK"),"KEEP","DROP"))</f>
        <v/>
      </c>
      <c r="T2640" s="9" t="n">
        <f aca="false">IF(A2640="",1,0)</f>
        <v>0</v>
      </c>
      <c r="U2640" s="9" t="n">
        <f aca="false">IF(D2640="",1,0)</f>
        <v>0</v>
      </c>
      <c r="V2640" s="9" t="n">
        <f aca="false">IF(E2640="",1,0)</f>
        <v>0</v>
      </c>
      <c r="W2640" s="9" t="n">
        <f aca="false">IF(OR(H2640&lt;1,H2640&gt;10),1,0)</f>
        <v>0</v>
      </c>
      <c r="X2640" s="9" t="n">
        <f aca="false">IF(OR(I2640&lt;=0,I2640&gt;1500),1,0)</f>
        <v>0</v>
      </c>
      <c r="Y2640" s="9" t="n">
        <f aca="false">IF(J2640&gt;H2640*I2640,1,0)</f>
        <v>0</v>
      </c>
      <c r="Z2640" s="9" t="n">
        <f aca="false">IF(AND(N2640&lt;&gt;"",OR(N2640&lt;1,N2640&gt;5)),1,0)</f>
        <v>0</v>
      </c>
      <c r="AA2640" s="9" t="n">
        <f aca="false">IF(AND(M2640&lt;&gt;"",OR(M2640&lt;5,M2640&gt;180)),1,0)</f>
        <v>0</v>
      </c>
      <c r="AB2640" s="7" t="str">
        <f aca="false">IF(P2640="DUP","Exact duplicate row",IF(T2640=1,"Missing Order ID",IF(S2640="DROP","Duplicate Order ID (less complete row)",IF(U2640=1,"Missing Customer ID",IF(V2640=1,"Missing Restaurant name",IF(W2640=1,"Invalid/outlier quantity",IF(X2640=1,"Invalid/outlier unit price",IF(Y2640=1,"Discount greater than order value",""))))))))</f>
        <v/>
      </c>
      <c r="AC2640" s="7" t="str">
        <f aca="false">IF(AB2640="","KEEP","DROP")</f>
        <v>KEEP</v>
      </c>
      <c r="AD2640" s="7" t="str">
        <f aca="false">IF(TRIM(F2640)="",IFERROR(INDEX(Map_Tables!$I$4:$I$37,MATCH(TRIM(E2640),Map_Tables!$G$4:$G$37,0)),""),IFERROR(INDEX(Map_Tables!$B$4:$B$18,MATCH(TRIM(F2640),Map_Tables!$A$4:$A$18,0)),"CHECK"))</f>
        <v>Hyderabad</v>
      </c>
      <c r="AE2640" s="7" t="str">
        <f aca="false">IF(TRIM(E2640)="","",IFERROR(INDEX(Map_Tables!$H$4:$H$37,MATCH(TRIM(E2640),Map_Tables!$G$4:$G$37,0)),"CHECK"))</f>
        <v>Sweet Tooth Studio</v>
      </c>
      <c r="AF2640" s="7" t="str">
        <f aca="false">IF(TRIM(K2640)="","Unknown",IFERROR(INDEX(Map_Tables!$E$4:$E$15,MATCH(TRIM(K2640),Map_Tables!$D$4:$D$15,0)),"CHECK"))</f>
        <v>UPI</v>
      </c>
      <c r="AG2640" s="7" t="str">
        <f aca="false">IF(LEFT(LOWER(TRIM(L2640)),6)="cancel","Cancelled","Delivered")</f>
        <v>Delivered</v>
      </c>
      <c r="AH2640" s="10" t="n">
        <f aca="false">IF(ISNUMBER(SEARCH("/",B2640)),DATE(VALUE(RIGHT(B2640,4)),VALUE(MID(B2640,4,2)),VALUE(LEFT(B2640,2))),IF(MID(B2640,5,1)="-",DATE(VALUE(LEFT(B2640,4)),VALUE(MID(B2640,6,2)),VALUE(RIGHT(B2640,2))),DATE(VALUE(RIGHT(B2640,4)),MATCH(MID(B2640,4,3),{"Jan","Feb","Mar","Apr","May","Jun","Jul","Aug","Sep","Oct","Nov","Dec"},0),VALUE(LEFT(B2640,2)))))</f>
        <v>45672</v>
      </c>
    </row>
    <row r="2641" customFormat="false" ht="15" hidden="false" customHeight="false" outlineLevel="0" collapsed="false">
      <c r="A2641" s="7" t="s">
        <v>653</v>
      </c>
      <c r="B2641" s="7" t="s">
        <v>654</v>
      </c>
      <c r="C2641" s="7" t="s">
        <v>655</v>
      </c>
      <c r="D2641" s="7" t="s">
        <v>635</v>
      </c>
      <c r="E2641" s="7" t="s">
        <v>113</v>
      </c>
      <c r="F2641" s="7" t="s">
        <v>101</v>
      </c>
      <c r="G2641" s="7" t="s">
        <v>90</v>
      </c>
      <c r="H2641" s="7" t="n">
        <v>2</v>
      </c>
      <c r="I2641" s="7" t="n">
        <v>235</v>
      </c>
      <c r="J2641" s="7" t="n">
        <v>0</v>
      </c>
      <c r="K2641" s="7" t="s">
        <v>526</v>
      </c>
      <c r="L2641" s="7" t="s">
        <v>194</v>
      </c>
      <c r="M2641" s="7" t="n">
        <v>37</v>
      </c>
      <c r="N2641" s="7" t="n">
        <v>5</v>
      </c>
      <c r="O2641" s="7" t="str">
        <f aca="false">A2641&amp;"|"&amp;B2641&amp;"|"&amp;C2641&amp;"|"&amp;D2641&amp;"|"&amp;E2641&amp;"|"&amp;F2641&amp;"|"&amp;G2641&amp;"|"&amp;H2641&amp;"|"&amp;I2641&amp;"|"&amp;J2641&amp;"|"&amp;K2641&amp;"|"&amp;L2641&amp;"|"&amp;M2641&amp;"|"&amp;N2641</f>
        <v>ORD11145|2025-05-26|19:22|C0054|Curry Leaf Kitchen|Mumbai|North Indian|2|235|0|DC|Delivered|37|5</v>
      </c>
      <c r="P2641" s="7" t="str">
        <f aca="false">IF(COUNTIF($O$2:O2641,O2641)&gt;1,"DUP","OK")</f>
        <v>DUP</v>
      </c>
      <c r="Q2641" s="7" t="n">
        <f aca="false">COUNTBLANK(A2641:N2641)</f>
        <v>0</v>
      </c>
      <c r="R2641" s="7" t="n">
        <f aca="false">IF(A2641="",0,COUNTIFS($A$2:$A$3058,A2641,$P$2:$P$3058,"OK"))</f>
        <v>1</v>
      </c>
      <c r="S2641" s="7" t="str">
        <f aca="false">IF(OR(A2641="",P2641="DUP",R2641&lt;2),"",IF(Q2641=_xlfn.MINIFS($Q$2:$Q$3058,$A$2:$A$3058,A2641,$P$2:$P$3058,"OK"),"KEEP","DROP"))</f>
        <v/>
      </c>
      <c r="T2641" s="9" t="n">
        <f aca="false">IF(A2641="",1,0)</f>
        <v>0</v>
      </c>
      <c r="U2641" s="9" t="n">
        <f aca="false">IF(D2641="",1,0)</f>
        <v>0</v>
      </c>
      <c r="V2641" s="9" t="n">
        <f aca="false">IF(E2641="",1,0)</f>
        <v>0</v>
      </c>
      <c r="W2641" s="9" t="n">
        <f aca="false">IF(OR(H2641&lt;1,H2641&gt;10),1,0)</f>
        <v>0</v>
      </c>
      <c r="X2641" s="9" t="n">
        <f aca="false">IF(OR(I2641&lt;=0,I2641&gt;1500),1,0)</f>
        <v>0</v>
      </c>
      <c r="Y2641" s="9" t="n">
        <f aca="false">IF(J2641&gt;H2641*I2641,1,0)</f>
        <v>0</v>
      </c>
      <c r="Z2641" s="9" t="n">
        <f aca="false">IF(AND(N2641&lt;&gt;"",OR(N2641&lt;1,N2641&gt;5)),1,0)</f>
        <v>0</v>
      </c>
      <c r="AA2641" s="9" t="n">
        <f aca="false">IF(AND(M2641&lt;&gt;"",OR(M2641&lt;5,M2641&gt;180)),1,0)</f>
        <v>0</v>
      </c>
      <c r="AB2641" s="7" t="str">
        <f aca="false">IF(P2641="DUP","Exact duplicate row",IF(T2641=1,"Missing Order ID",IF(S2641="DROP","Duplicate Order ID (less complete row)",IF(U2641=1,"Missing Customer ID",IF(V2641=1,"Missing Restaurant name",IF(W2641=1,"Invalid/outlier quantity",IF(X2641=1,"Invalid/outlier unit price",IF(Y2641=1,"Discount greater than order value",""))))))))</f>
        <v>Exact duplicate row</v>
      </c>
      <c r="AC2641" s="7" t="str">
        <f aca="false">IF(AB2641="","KEEP","DROP")</f>
        <v>DROP</v>
      </c>
      <c r="AD2641" s="7" t="str">
        <f aca="false">IF(TRIM(F2641)="",IFERROR(INDEX(Map_Tables!$I$4:$I$37,MATCH(TRIM(E2641),Map_Tables!$G$4:$G$37,0)),""),IFERROR(INDEX(Map_Tables!$B$4:$B$18,MATCH(TRIM(F2641),Map_Tables!$A$4:$A$18,0)),"CHECK"))</f>
        <v>Mumbai</v>
      </c>
      <c r="AE2641" s="7" t="str">
        <f aca="false">IF(TRIM(E2641)="","",IFERROR(INDEX(Map_Tables!$H$4:$H$37,MATCH(TRIM(E2641),Map_Tables!$G$4:$G$37,0)),"CHECK"))</f>
        <v>Curry Leaf Kitchen</v>
      </c>
      <c r="AF2641" s="7" t="str">
        <f aca="false">IF(TRIM(K2641)="","Unknown",IFERROR(INDEX(Map_Tables!$E$4:$E$15,MATCH(TRIM(K2641),Map_Tables!$D$4:$D$15,0)),"CHECK"))</f>
        <v>Debit Card</v>
      </c>
      <c r="AG2641" s="7" t="str">
        <f aca="false">IF(LEFT(LOWER(TRIM(L2641)),6)="cancel","Cancelled","Delivered")</f>
        <v>Delivered</v>
      </c>
      <c r="AH2641" s="10" t="n">
        <f aca="false">IF(ISNUMBER(SEARCH("/",B2641)),DATE(VALUE(RIGHT(B2641,4)),VALUE(MID(B2641,4,2)),VALUE(LEFT(B2641,2))),IF(MID(B2641,5,1)="-",DATE(VALUE(LEFT(B2641,4)),VALUE(MID(B2641,6,2)),VALUE(RIGHT(B2641,2))),DATE(VALUE(RIGHT(B2641,4)),MATCH(MID(B2641,4,3),{"Jan","Feb","Mar","Apr","May","Jun","Jul","Aug","Sep","Oct","Nov","Dec"},0),VALUE(LEFT(B2641,2)))))</f>
        <v>45803</v>
      </c>
    </row>
    <row r="2642" customFormat="false" ht="15" hidden="false" customHeight="false" outlineLevel="0" collapsed="false">
      <c r="A2642" s="7" t="s">
        <v>5650</v>
      </c>
      <c r="B2642" s="7" t="s">
        <v>1183</v>
      </c>
      <c r="C2642" s="7" t="s">
        <v>581</v>
      </c>
      <c r="D2642" s="7" t="s">
        <v>5261</v>
      </c>
      <c r="E2642" s="7" t="s">
        <v>4301</v>
      </c>
      <c r="F2642" s="7" t="s">
        <v>119</v>
      </c>
      <c r="G2642" s="7" t="s">
        <v>123</v>
      </c>
      <c r="H2642" s="7" t="n">
        <v>1</v>
      </c>
      <c r="I2642" s="7" t="n">
        <v>410</v>
      </c>
      <c r="J2642" s="7" t="n">
        <v>40</v>
      </c>
      <c r="K2642" s="7" t="s">
        <v>93</v>
      </c>
      <c r="L2642" s="7" t="s">
        <v>194</v>
      </c>
      <c r="M2642" s="7" t="n">
        <v>26</v>
      </c>
      <c r="N2642" s="7" t="n">
        <v>4</v>
      </c>
      <c r="O2642" s="7" t="str">
        <f aca="false">A2642&amp;"|"&amp;B2642&amp;"|"&amp;C2642&amp;"|"&amp;D2642&amp;"|"&amp;E2642&amp;"|"&amp;F2642&amp;"|"&amp;G2642&amp;"|"&amp;H2642&amp;"|"&amp;I2642&amp;"|"&amp;J2642&amp;"|"&amp;K2642&amp;"|"&amp;L2642&amp;"|"&amp;M2642&amp;"|"&amp;N2642</f>
        <v>ORD11586|2025-07-26|20:04|C0708|Pizza  Palace|Hyderabad|Pizza|1|410|40|Credit Card|Delivered|26|4</v>
      </c>
      <c r="P2642" s="7" t="str">
        <f aca="false">IF(COUNTIF($O$2:O2642,O2642)&gt;1,"DUP","OK")</f>
        <v>OK</v>
      </c>
      <c r="Q2642" s="7" t="n">
        <f aca="false">COUNTBLANK(A2642:N2642)</f>
        <v>0</v>
      </c>
      <c r="R2642" s="7" t="n">
        <f aca="false">IF(A2642="",0,COUNTIFS($A$2:$A$3058,A2642,$P$2:$P$3058,"OK"))</f>
        <v>1</v>
      </c>
      <c r="S2642" s="7" t="str">
        <f aca="false">IF(OR(A2642="",P2642="DUP",R2642&lt;2),"",IF(Q2642=_xlfn.MINIFS($Q$2:$Q$3058,$A$2:$A$3058,A2642,$P$2:$P$3058,"OK"),"KEEP","DROP"))</f>
        <v/>
      </c>
      <c r="T2642" s="9" t="n">
        <f aca="false">IF(A2642="",1,0)</f>
        <v>0</v>
      </c>
      <c r="U2642" s="9" t="n">
        <f aca="false">IF(D2642="",1,0)</f>
        <v>0</v>
      </c>
      <c r="V2642" s="9" t="n">
        <f aca="false">IF(E2642="",1,0)</f>
        <v>0</v>
      </c>
      <c r="W2642" s="9" t="n">
        <f aca="false">IF(OR(H2642&lt;1,H2642&gt;10),1,0)</f>
        <v>0</v>
      </c>
      <c r="X2642" s="9" t="n">
        <f aca="false">IF(OR(I2642&lt;=0,I2642&gt;1500),1,0)</f>
        <v>0</v>
      </c>
      <c r="Y2642" s="9" t="n">
        <f aca="false">IF(J2642&gt;H2642*I2642,1,0)</f>
        <v>0</v>
      </c>
      <c r="Z2642" s="9" t="n">
        <f aca="false">IF(AND(N2642&lt;&gt;"",OR(N2642&lt;1,N2642&gt;5)),1,0)</f>
        <v>0</v>
      </c>
      <c r="AA2642" s="9" t="n">
        <f aca="false">IF(AND(M2642&lt;&gt;"",OR(M2642&lt;5,M2642&gt;180)),1,0)</f>
        <v>0</v>
      </c>
      <c r="AB2642" s="7" t="str">
        <f aca="false">IF(P2642="DUP","Exact duplicate row",IF(T2642=1,"Missing Order ID",IF(S2642="DROP","Duplicate Order ID (less complete row)",IF(U2642=1,"Missing Customer ID",IF(V2642=1,"Missing Restaurant name",IF(W2642=1,"Invalid/outlier quantity",IF(X2642=1,"Invalid/outlier unit price",IF(Y2642=1,"Discount greater than order value",""))))))))</f>
        <v/>
      </c>
      <c r="AC2642" s="7" t="str">
        <f aca="false">IF(AB2642="","KEEP","DROP")</f>
        <v>KEEP</v>
      </c>
      <c r="AD2642" s="7" t="str">
        <f aca="false">IF(TRIM(F2642)="",IFERROR(INDEX(Map_Tables!$I$4:$I$37,MATCH(TRIM(E2642),Map_Tables!$G$4:$G$37,0)),""),IFERROR(INDEX(Map_Tables!$B$4:$B$18,MATCH(TRIM(F2642),Map_Tables!$A$4:$A$18,0)),"CHECK"))</f>
        <v>Hyderabad</v>
      </c>
      <c r="AE2642" s="7" t="str">
        <f aca="false">IF(TRIM(E2642)="","",IFERROR(INDEX(Map_Tables!$H$4:$H$37,MATCH(TRIM(E2642),Map_Tables!$G$4:$G$37,0)),"CHECK"))</f>
        <v>Pizza Palace</v>
      </c>
      <c r="AF2642" s="7" t="str">
        <f aca="false">IF(TRIM(K2642)="","Unknown",IFERROR(INDEX(Map_Tables!$E$4:$E$15,MATCH(TRIM(K2642),Map_Tables!$D$4:$D$15,0)),"CHECK"))</f>
        <v>Credit Card</v>
      </c>
      <c r="AG2642" s="7" t="str">
        <f aca="false">IF(LEFT(LOWER(TRIM(L2642)),6)="cancel","Cancelled","Delivered")</f>
        <v>Delivered</v>
      </c>
      <c r="AH2642" s="10" t="n">
        <f aca="false">IF(ISNUMBER(SEARCH("/",B2642)),DATE(VALUE(RIGHT(B2642,4)),VALUE(MID(B2642,4,2)),VALUE(LEFT(B2642,2))),IF(MID(B2642,5,1)="-",DATE(VALUE(LEFT(B2642,4)),VALUE(MID(B2642,6,2)),VALUE(RIGHT(B2642,2))),DATE(VALUE(RIGHT(B2642,4)),MATCH(MID(B2642,4,3),{"Jan","Feb","Mar","Apr","May","Jun","Jul","Aug","Sep","Oct","Nov","Dec"},0),VALUE(LEFT(B2642,2)))))</f>
        <v>45864</v>
      </c>
    </row>
    <row r="2643" customFormat="false" ht="15" hidden="false" customHeight="false" outlineLevel="0" collapsed="false">
      <c r="A2643" s="7" t="s">
        <v>5651</v>
      </c>
      <c r="B2643" s="7" t="s">
        <v>1667</v>
      </c>
      <c r="C2643" s="7" t="s">
        <v>602</v>
      </c>
      <c r="D2643" s="7" t="s">
        <v>4543</v>
      </c>
      <c r="E2643" s="7" t="s">
        <v>160</v>
      </c>
      <c r="F2643" s="7" t="s">
        <v>1226</v>
      </c>
      <c r="G2643" s="7" t="s">
        <v>150</v>
      </c>
      <c r="H2643" s="7" t="n">
        <v>1</v>
      </c>
      <c r="I2643" s="7" t="n">
        <v>170</v>
      </c>
      <c r="J2643" s="7" t="n">
        <v>0</v>
      </c>
      <c r="K2643" s="7" t="s">
        <v>93</v>
      </c>
      <c r="L2643" s="7" t="s">
        <v>194</v>
      </c>
      <c r="M2643" s="7" t="n">
        <v>38</v>
      </c>
      <c r="N2643" s="7" t="n">
        <v>4</v>
      </c>
      <c r="O2643" s="7" t="str">
        <f aca="false">A2643&amp;"|"&amp;B2643&amp;"|"&amp;C2643&amp;"|"&amp;D2643&amp;"|"&amp;E2643&amp;"|"&amp;F2643&amp;"|"&amp;G2643&amp;"|"&amp;H2643&amp;"|"&amp;I2643&amp;"|"&amp;J2643&amp;"|"&amp;K2643&amp;"|"&amp;L2643&amp;"|"&amp;M2643&amp;"|"&amp;N2643</f>
        <v>ORD11568|2025-07-24|17:17|C1107|Cake Walk|Pune |Desserts|1|170|0|Credit Card|Delivered|38|4</v>
      </c>
      <c r="P2643" s="7" t="str">
        <f aca="false">IF(COUNTIF($O$2:O2643,O2643)&gt;1,"DUP","OK")</f>
        <v>OK</v>
      </c>
      <c r="Q2643" s="7" t="n">
        <f aca="false">COUNTBLANK(A2643:N2643)</f>
        <v>0</v>
      </c>
      <c r="R2643" s="7" t="n">
        <f aca="false">IF(A2643="",0,COUNTIFS($A$2:$A$3058,A2643,$P$2:$P$3058,"OK"))</f>
        <v>1</v>
      </c>
      <c r="S2643" s="7" t="str">
        <f aca="false">IF(OR(A2643="",P2643="DUP",R2643&lt;2),"",IF(Q2643=_xlfn.MINIFS($Q$2:$Q$3058,$A$2:$A$3058,A2643,$P$2:$P$3058,"OK"),"KEEP","DROP"))</f>
        <v/>
      </c>
      <c r="T2643" s="9" t="n">
        <f aca="false">IF(A2643="",1,0)</f>
        <v>0</v>
      </c>
      <c r="U2643" s="9" t="n">
        <f aca="false">IF(D2643="",1,0)</f>
        <v>0</v>
      </c>
      <c r="V2643" s="9" t="n">
        <f aca="false">IF(E2643="",1,0)</f>
        <v>0</v>
      </c>
      <c r="W2643" s="9" t="n">
        <f aca="false">IF(OR(H2643&lt;1,H2643&gt;10),1,0)</f>
        <v>0</v>
      </c>
      <c r="X2643" s="9" t="n">
        <f aca="false">IF(OR(I2643&lt;=0,I2643&gt;1500),1,0)</f>
        <v>0</v>
      </c>
      <c r="Y2643" s="9" t="n">
        <f aca="false">IF(J2643&gt;H2643*I2643,1,0)</f>
        <v>0</v>
      </c>
      <c r="Z2643" s="9" t="n">
        <f aca="false">IF(AND(N2643&lt;&gt;"",OR(N2643&lt;1,N2643&gt;5)),1,0)</f>
        <v>0</v>
      </c>
      <c r="AA2643" s="9" t="n">
        <f aca="false">IF(AND(M2643&lt;&gt;"",OR(M2643&lt;5,M2643&gt;180)),1,0)</f>
        <v>0</v>
      </c>
      <c r="AB2643" s="7" t="str">
        <f aca="false">IF(P2643="DUP","Exact duplicate row",IF(T2643=1,"Missing Order ID",IF(S2643="DROP","Duplicate Order ID (less complete row)",IF(U2643=1,"Missing Customer ID",IF(V2643=1,"Missing Restaurant name",IF(W2643=1,"Invalid/outlier quantity",IF(X2643=1,"Invalid/outlier unit price",IF(Y2643=1,"Discount greater than order value",""))))))))</f>
        <v/>
      </c>
      <c r="AC2643" s="7" t="str">
        <f aca="false">IF(AB2643="","KEEP","DROP")</f>
        <v>KEEP</v>
      </c>
      <c r="AD2643" s="7" t="str">
        <f aca="false">IF(TRIM(F2643)="",IFERROR(INDEX(Map_Tables!$I$4:$I$37,MATCH(TRIM(E2643),Map_Tables!$G$4:$G$37,0)),""),IFERROR(INDEX(Map_Tables!$B$4:$B$18,MATCH(TRIM(F2643),Map_Tables!$A$4:$A$18,0)),"CHECK"))</f>
        <v>Pune</v>
      </c>
      <c r="AE2643" s="7" t="str">
        <f aca="false">IF(TRIM(E2643)="","",IFERROR(INDEX(Map_Tables!$H$4:$H$37,MATCH(TRIM(E2643),Map_Tables!$G$4:$G$37,0)),"CHECK"))</f>
        <v>Cake Walk</v>
      </c>
      <c r="AF2643" s="7" t="str">
        <f aca="false">IF(TRIM(K2643)="","Unknown",IFERROR(INDEX(Map_Tables!$E$4:$E$15,MATCH(TRIM(K2643),Map_Tables!$D$4:$D$15,0)),"CHECK"))</f>
        <v>Credit Card</v>
      </c>
      <c r="AG2643" s="7" t="str">
        <f aca="false">IF(LEFT(LOWER(TRIM(L2643)),6)="cancel","Cancelled","Delivered")</f>
        <v>Delivered</v>
      </c>
      <c r="AH2643" s="10" t="n">
        <f aca="false">IF(ISNUMBER(SEARCH("/",B2643)),DATE(VALUE(RIGHT(B2643,4)),VALUE(MID(B2643,4,2)),VALUE(LEFT(B2643,2))),IF(MID(B2643,5,1)="-",DATE(VALUE(LEFT(B2643,4)),VALUE(MID(B2643,6,2)),VALUE(RIGHT(B2643,2))),DATE(VALUE(RIGHT(B2643,4)),MATCH(MID(B2643,4,3),{"Jan","Feb","Mar","Apr","May","Jun","Jul","Aug","Sep","Oct","Nov","Dec"},0),VALUE(LEFT(B2643,2)))))</f>
        <v>45862</v>
      </c>
    </row>
    <row r="2644" customFormat="false" ht="15" hidden="false" customHeight="false" outlineLevel="0" collapsed="false">
      <c r="A2644" s="7" t="s">
        <v>5652</v>
      </c>
      <c r="B2644" s="7" t="s">
        <v>4652</v>
      </c>
      <c r="C2644" s="7" t="s">
        <v>5653</v>
      </c>
      <c r="D2644" s="7" t="s">
        <v>2459</v>
      </c>
      <c r="E2644" s="7" t="s">
        <v>157</v>
      </c>
      <c r="F2644" s="7" t="s">
        <v>136</v>
      </c>
      <c r="G2644" s="7" t="s">
        <v>117</v>
      </c>
      <c r="H2644" s="7" t="n">
        <v>1</v>
      </c>
      <c r="I2644" s="7" t="n">
        <v>115</v>
      </c>
      <c r="J2644" s="7" t="n">
        <v>46</v>
      </c>
      <c r="K2644" s="7" t="s">
        <v>112</v>
      </c>
      <c r="L2644" s="7" t="s">
        <v>194</v>
      </c>
      <c r="M2644" s="7" t="n">
        <v>17</v>
      </c>
      <c r="N2644" s="7" t="n">
        <v>5</v>
      </c>
      <c r="O2644" s="7" t="str">
        <f aca="false">A2644&amp;"|"&amp;B2644&amp;"|"&amp;C2644&amp;"|"&amp;D2644&amp;"|"&amp;E2644&amp;"|"&amp;F2644&amp;"|"&amp;G2644&amp;"|"&amp;H2644&amp;"|"&amp;I2644&amp;"|"&amp;J2644&amp;"|"&amp;K2644&amp;"|"&amp;L2644&amp;"|"&amp;M2644&amp;"|"&amp;N2644</f>
        <v>ORD11502|14/07/2025|15:24|C0846|Misal Mantra|Pune|Street Food|1|115|46|Cash on Delivery|Delivered|17|5</v>
      </c>
      <c r="P2644" s="7" t="str">
        <f aca="false">IF(COUNTIF($O$2:O2644,O2644)&gt;1,"DUP","OK")</f>
        <v>OK</v>
      </c>
      <c r="Q2644" s="7" t="n">
        <f aca="false">COUNTBLANK(A2644:N2644)</f>
        <v>0</v>
      </c>
      <c r="R2644" s="7" t="n">
        <f aca="false">IF(A2644="",0,COUNTIFS($A$2:$A$3058,A2644,$P$2:$P$3058,"OK"))</f>
        <v>1</v>
      </c>
      <c r="S2644" s="7" t="str">
        <f aca="false">IF(OR(A2644="",P2644="DUP",R2644&lt;2),"",IF(Q2644=_xlfn.MINIFS($Q$2:$Q$3058,$A$2:$A$3058,A2644,$P$2:$P$3058,"OK"),"KEEP","DROP"))</f>
        <v/>
      </c>
      <c r="T2644" s="9" t="n">
        <f aca="false">IF(A2644="",1,0)</f>
        <v>0</v>
      </c>
      <c r="U2644" s="9" t="n">
        <f aca="false">IF(D2644="",1,0)</f>
        <v>0</v>
      </c>
      <c r="V2644" s="9" t="n">
        <f aca="false">IF(E2644="",1,0)</f>
        <v>0</v>
      </c>
      <c r="W2644" s="9" t="n">
        <f aca="false">IF(OR(H2644&lt;1,H2644&gt;10),1,0)</f>
        <v>0</v>
      </c>
      <c r="X2644" s="9" t="n">
        <f aca="false">IF(OR(I2644&lt;=0,I2644&gt;1500),1,0)</f>
        <v>0</v>
      </c>
      <c r="Y2644" s="9" t="n">
        <f aca="false">IF(J2644&gt;H2644*I2644,1,0)</f>
        <v>0</v>
      </c>
      <c r="Z2644" s="9" t="n">
        <f aca="false">IF(AND(N2644&lt;&gt;"",OR(N2644&lt;1,N2644&gt;5)),1,0)</f>
        <v>0</v>
      </c>
      <c r="AA2644" s="9" t="n">
        <f aca="false">IF(AND(M2644&lt;&gt;"",OR(M2644&lt;5,M2644&gt;180)),1,0)</f>
        <v>0</v>
      </c>
      <c r="AB2644" s="7" t="str">
        <f aca="false">IF(P2644="DUP","Exact duplicate row",IF(T2644=1,"Missing Order ID",IF(S2644="DROP","Duplicate Order ID (less complete row)",IF(U2644=1,"Missing Customer ID",IF(V2644=1,"Missing Restaurant name",IF(W2644=1,"Invalid/outlier quantity",IF(X2644=1,"Invalid/outlier unit price",IF(Y2644=1,"Discount greater than order value",""))))))))</f>
        <v/>
      </c>
      <c r="AC2644" s="7" t="str">
        <f aca="false">IF(AB2644="","KEEP","DROP")</f>
        <v>KEEP</v>
      </c>
      <c r="AD2644" s="7" t="str">
        <f aca="false">IF(TRIM(F2644)="",IFERROR(INDEX(Map_Tables!$I$4:$I$37,MATCH(TRIM(E2644),Map_Tables!$G$4:$G$37,0)),""),IFERROR(INDEX(Map_Tables!$B$4:$B$18,MATCH(TRIM(F2644),Map_Tables!$A$4:$A$18,0)),"CHECK"))</f>
        <v>Pune</v>
      </c>
      <c r="AE2644" s="7" t="str">
        <f aca="false">IF(TRIM(E2644)="","",IFERROR(INDEX(Map_Tables!$H$4:$H$37,MATCH(TRIM(E2644),Map_Tables!$G$4:$G$37,0)),"CHECK"))</f>
        <v>Misal Mantra</v>
      </c>
      <c r="AF2644" s="7" t="str">
        <f aca="false">IF(TRIM(K2644)="","Unknown",IFERROR(INDEX(Map_Tables!$E$4:$E$15,MATCH(TRIM(K2644),Map_Tables!$D$4:$D$15,0)),"CHECK"))</f>
        <v>Cash on Delivery</v>
      </c>
      <c r="AG2644" s="7" t="str">
        <f aca="false">IF(LEFT(LOWER(TRIM(L2644)),6)="cancel","Cancelled","Delivered")</f>
        <v>Delivered</v>
      </c>
      <c r="AH2644" s="10" t="n">
        <f aca="false">IF(ISNUMBER(SEARCH("/",B2644)),DATE(VALUE(RIGHT(B2644,4)),VALUE(MID(B2644,4,2)),VALUE(LEFT(B2644,2))),IF(MID(B2644,5,1)="-",DATE(VALUE(LEFT(B2644,4)),VALUE(MID(B2644,6,2)),VALUE(RIGHT(B2644,2))),DATE(VALUE(RIGHT(B2644,4)),MATCH(MID(B2644,4,3),{"Jan","Feb","Mar","Apr","May","Jun","Jul","Aug","Sep","Oct","Nov","Dec"},0),VALUE(LEFT(B2644,2)))))</f>
        <v>45852</v>
      </c>
    </row>
    <row r="2645" customFormat="false" ht="15" hidden="false" customHeight="false" outlineLevel="0" collapsed="false">
      <c r="A2645" s="7" t="s">
        <v>5654</v>
      </c>
      <c r="B2645" s="7" t="s">
        <v>1049</v>
      </c>
      <c r="C2645" s="7" t="s">
        <v>2800</v>
      </c>
      <c r="D2645" s="7" t="s">
        <v>1556</v>
      </c>
      <c r="E2645" s="7" t="s">
        <v>3993</v>
      </c>
      <c r="F2645" s="7" t="s">
        <v>101</v>
      </c>
      <c r="G2645" s="7" t="s">
        <v>117</v>
      </c>
      <c r="H2645" s="7" t="n">
        <v>2</v>
      </c>
      <c r="I2645" s="7" t="n">
        <v>125</v>
      </c>
      <c r="J2645" s="7" t="n">
        <v>0</v>
      </c>
      <c r="K2645" s="7" t="s">
        <v>121</v>
      </c>
      <c r="L2645" s="7" t="s">
        <v>194</v>
      </c>
      <c r="M2645" s="7" t="n">
        <v>32</v>
      </c>
      <c r="N2645" s="7" t="n">
        <v>5</v>
      </c>
      <c r="O2645" s="7" t="str">
        <f aca="false">A2645&amp;"|"&amp;B2645&amp;"|"&amp;C2645&amp;"|"&amp;D2645&amp;"|"&amp;E2645&amp;"|"&amp;F2645&amp;"|"&amp;G2645&amp;"|"&amp;H2645&amp;"|"&amp;I2645&amp;"|"&amp;J2645&amp;"|"&amp;K2645&amp;"|"&amp;L2645&amp;"|"&amp;M2645&amp;"|"&amp;N2645</f>
        <v>ORD11661|2025-08-05|10:46|C1362|PAV BHAJI POINT|Mumbai|Street Food|2|125|0|Wallet|Delivered|32|5</v>
      </c>
      <c r="P2645" s="7" t="str">
        <f aca="false">IF(COUNTIF($O$2:O2645,O2645)&gt;1,"DUP","OK")</f>
        <v>OK</v>
      </c>
      <c r="Q2645" s="7" t="n">
        <f aca="false">COUNTBLANK(A2645:N2645)</f>
        <v>0</v>
      </c>
      <c r="R2645" s="7" t="n">
        <f aca="false">IF(A2645="",0,COUNTIFS($A$2:$A$3058,A2645,$P$2:$P$3058,"OK"))</f>
        <v>1</v>
      </c>
      <c r="S2645" s="7" t="str">
        <f aca="false">IF(OR(A2645="",P2645="DUP",R2645&lt;2),"",IF(Q2645=_xlfn.MINIFS($Q$2:$Q$3058,$A$2:$A$3058,A2645,$P$2:$P$3058,"OK"),"KEEP","DROP"))</f>
        <v/>
      </c>
      <c r="T2645" s="9" t="n">
        <f aca="false">IF(A2645="",1,0)</f>
        <v>0</v>
      </c>
      <c r="U2645" s="9" t="n">
        <f aca="false">IF(D2645="",1,0)</f>
        <v>0</v>
      </c>
      <c r="V2645" s="9" t="n">
        <f aca="false">IF(E2645="",1,0)</f>
        <v>0</v>
      </c>
      <c r="W2645" s="9" t="n">
        <f aca="false">IF(OR(H2645&lt;1,H2645&gt;10),1,0)</f>
        <v>0</v>
      </c>
      <c r="X2645" s="9" t="n">
        <f aca="false">IF(OR(I2645&lt;=0,I2645&gt;1500),1,0)</f>
        <v>0</v>
      </c>
      <c r="Y2645" s="9" t="n">
        <f aca="false">IF(J2645&gt;H2645*I2645,1,0)</f>
        <v>0</v>
      </c>
      <c r="Z2645" s="9" t="n">
        <f aca="false">IF(AND(N2645&lt;&gt;"",OR(N2645&lt;1,N2645&gt;5)),1,0)</f>
        <v>0</v>
      </c>
      <c r="AA2645" s="9" t="n">
        <f aca="false">IF(AND(M2645&lt;&gt;"",OR(M2645&lt;5,M2645&gt;180)),1,0)</f>
        <v>0</v>
      </c>
      <c r="AB2645" s="7" t="str">
        <f aca="false">IF(P2645="DUP","Exact duplicate row",IF(T2645=1,"Missing Order ID",IF(S2645="DROP","Duplicate Order ID (less complete row)",IF(U2645=1,"Missing Customer ID",IF(V2645=1,"Missing Restaurant name",IF(W2645=1,"Invalid/outlier quantity",IF(X2645=1,"Invalid/outlier unit price",IF(Y2645=1,"Discount greater than order value",""))))))))</f>
        <v/>
      </c>
      <c r="AC2645" s="7" t="str">
        <f aca="false">IF(AB2645="","KEEP","DROP")</f>
        <v>KEEP</v>
      </c>
      <c r="AD2645" s="7" t="str">
        <f aca="false">IF(TRIM(F2645)="",IFERROR(INDEX(Map_Tables!$I$4:$I$37,MATCH(TRIM(E2645),Map_Tables!$G$4:$G$37,0)),""),IFERROR(INDEX(Map_Tables!$B$4:$B$18,MATCH(TRIM(F2645),Map_Tables!$A$4:$A$18,0)),"CHECK"))</f>
        <v>Mumbai</v>
      </c>
      <c r="AE2645" s="7" t="str">
        <f aca="false">IF(TRIM(E2645)="","",IFERROR(INDEX(Map_Tables!$H$4:$H$37,MATCH(TRIM(E2645),Map_Tables!$G$4:$G$37,0)),"CHECK"))</f>
        <v>Pav Bhaji Point</v>
      </c>
      <c r="AF2645" s="7" t="str">
        <f aca="false">IF(TRIM(K2645)="","Unknown",IFERROR(INDEX(Map_Tables!$E$4:$E$15,MATCH(TRIM(K2645),Map_Tables!$D$4:$D$15,0)),"CHECK"))</f>
        <v>Wallet</v>
      </c>
      <c r="AG2645" s="7" t="str">
        <f aca="false">IF(LEFT(LOWER(TRIM(L2645)),6)="cancel","Cancelled","Delivered")</f>
        <v>Delivered</v>
      </c>
      <c r="AH2645" s="10" t="n">
        <f aca="false">IF(ISNUMBER(SEARCH("/",B2645)),DATE(VALUE(RIGHT(B2645,4)),VALUE(MID(B2645,4,2)),VALUE(LEFT(B2645,2))),IF(MID(B2645,5,1)="-",DATE(VALUE(LEFT(B2645,4)),VALUE(MID(B2645,6,2)),VALUE(RIGHT(B2645,2))),DATE(VALUE(RIGHT(B2645,4)),MATCH(MID(B2645,4,3),{"Jan","Feb","Mar","Apr","May","Jun","Jul","Aug","Sep","Oct","Nov","Dec"},0),VALUE(LEFT(B2645,2)))))</f>
        <v>45874</v>
      </c>
    </row>
    <row r="2646" customFormat="false" ht="15" hidden="false" customHeight="false" outlineLevel="0" collapsed="false">
      <c r="A2646" s="7" t="s">
        <v>5655</v>
      </c>
      <c r="B2646" s="7" t="s">
        <v>4276</v>
      </c>
      <c r="C2646" s="7" t="s">
        <v>634</v>
      </c>
      <c r="D2646" s="7" t="s">
        <v>5656</v>
      </c>
      <c r="E2646" s="7" t="s">
        <v>144</v>
      </c>
      <c r="F2646" s="7" t="s">
        <v>119</v>
      </c>
      <c r="G2646" s="7" t="s">
        <v>99</v>
      </c>
      <c r="H2646" s="7" t="n">
        <v>2</v>
      </c>
      <c r="I2646" s="7" t="n">
        <v>330</v>
      </c>
      <c r="J2646" s="7" t="n">
        <v>0</v>
      </c>
      <c r="K2646" s="7" t="s">
        <v>88</v>
      </c>
      <c r="L2646" s="7" t="s">
        <v>194</v>
      </c>
      <c r="M2646" s="7" t="n">
        <v>36</v>
      </c>
      <c r="N2646" s="7" t="n">
        <v>5</v>
      </c>
      <c r="O2646" s="7" t="str">
        <f aca="false">A2646&amp;"|"&amp;B2646&amp;"|"&amp;C2646&amp;"|"&amp;D2646&amp;"|"&amp;E2646&amp;"|"&amp;F2646&amp;"|"&amp;G2646&amp;"|"&amp;H2646&amp;"|"&amp;I2646&amp;"|"&amp;J2646&amp;"|"&amp;K2646&amp;"|"&amp;L2646&amp;"|"&amp;M2646&amp;"|"&amp;N2646</f>
        <v>ORD11557|2025-07-22|12:59|C0184|Hyderabad Dum Biryani|Hyderabad|Biryani|2|330|0|UPI|Delivered|36|5</v>
      </c>
      <c r="P2646" s="7" t="str">
        <f aca="false">IF(COUNTIF($O$2:O2646,O2646)&gt;1,"DUP","OK")</f>
        <v>OK</v>
      </c>
      <c r="Q2646" s="7" t="n">
        <f aca="false">COUNTBLANK(A2646:N2646)</f>
        <v>0</v>
      </c>
      <c r="R2646" s="7" t="n">
        <f aca="false">IF(A2646="",0,COUNTIFS($A$2:$A$3058,A2646,$P$2:$P$3058,"OK"))</f>
        <v>1</v>
      </c>
      <c r="S2646" s="7" t="str">
        <f aca="false">IF(OR(A2646="",P2646="DUP",R2646&lt;2),"",IF(Q2646=_xlfn.MINIFS($Q$2:$Q$3058,$A$2:$A$3058,A2646,$P$2:$P$3058,"OK"),"KEEP","DROP"))</f>
        <v/>
      </c>
      <c r="T2646" s="9" t="n">
        <f aca="false">IF(A2646="",1,0)</f>
        <v>0</v>
      </c>
      <c r="U2646" s="9" t="n">
        <f aca="false">IF(D2646="",1,0)</f>
        <v>0</v>
      </c>
      <c r="V2646" s="9" t="n">
        <f aca="false">IF(E2646="",1,0)</f>
        <v>0</v>
      </c>
      <c r="W2646" s="9" t="n">
        <f aca="false">IF(OR(H2646&lt;1,H2646&gt;10),1,0)</f>
        <v>0</v>
      </c>
      <c r="X2646" s="9" t="n">
        <f aca="false">IF(OR(I2646&lt;=0,I2646&gt;1500),1,0)</f>
        <v>0</v>
      </c>
      <c r="Y2646" s="9" t="n">
        <f aca="false">IF(J2646&gt;H2646*I2646,1,0)</f>
        <v>0</v>
      </c>
      <c r="Z2646" s="9" t="n">
        <f aca="false">IF(AND(N2646&lt;&gt;"",OR(N2646&lt;1,N2646&gt;5)),1,0)</f>
        <v>0</v>
      </c>
      <c r="AA2646" s="9" t="n">
        <f aca="false">IF(AND(M2646&lt;&gt;"",OR(M2646&lt;5,M2646&gt;180)),1,0)</f>
        <v>0</v>
      </c>
      <c r="AB2646" s="7" t="str">
        <f aca="false">IF(P2646="DUP","Exact duplicate row",IF(T2646=1,"Missing Order ID",IF(S2646="DROP","Duplicate Order ID (less complete row)",IF(U2646=1,"Missing Customer ID",IF(V2646=1,"Missing Restaurant name",IF(W2646=1,"Invalid/outlier quantity",IF(X2646=1,"Invalid/outlier unit price",IF(Y2646=1,"Discount greater than order value",""))))))))</f>
        <v/>
      </c>
      <c r="AC2646" s="7" t="str">
        <f aca="false">IF(AB2646="","KEEP","DROP")</f>
        <v>KEEP</v>
      </c>
      <c r="AD2646" s="7" t="str">
        <f aca="false">IF(TRIM(F2646)="",IFERROR(INDEX(Map_Tables!$I$4:$I$37,MATCH(TRIM(E2646),Map_Tables!$G$4:$G$37,0)),""),IFERROR(INDEX(Map_Tables!$B$4:$B$18,MATCH(TRIM(F2646),Map_Tables!$A$4:$A$18,0)),"CHECK"))</f>
        <v>Hyderabad</v>
      </c>
      <c r="AE2646" s="7" t="str">
        <f aca="false">IF(TRIM(E2646)="","",IFERROR(INDEX(Map_Tables!$H$4:$H$37,MATCH(TRIM(E2646),Map_Tables!$G$4:$G$37,0)),"CHECK"))</f>
        <v>Hyderabad Dum Biryani</v>
      </c>
      <c r="AF2646" s="7" t="str">
        <f aca="false">IF(TRIM(K2646)="","Unknown",IFERROR(INDEX(Map_Tables!$E$4:$E$15,MATCH(TRIM(K2646),Map_Tables!$D$4:$D$15,0)),"CHECK"))</f>
        <v>UPI</v>
      </c>
      <c r="AG2646" s="7" t="str">
        <f aca="false">IF(LEFT(LOWER(TRIM(L2646)),6)="cancel","Cancelled","Delivered")</f>
        <v>Delivered</v>
      </c>
      <c r="AH2646" s="10" t="n">
        <f aca="false">IF(ISNUMBER(SEARCH("/",B2646)),DATE(VALUE(RIGHT(B2646,4)),VALUE(MID(B2646,4,2)),VALUE(LEFT(B2646,2))),IF(MID(B2646,5,1)="-",DATE(VALUE(LEFT(B2646,4)),VALUE(MID(B2646,6,2)),VALUE(RIGHT(B2646,2))),DATE(VALUE(RIGHT(B2646,4)),MATCH(MID(B2646,4,3),{"Jan","Feb","Mar","Apr","May","Jun","Jul","Aug","Sep","Oct","Nov","Dec"},0),VALUE(LEFT(B2646,2)))))</f>
        <v>45860</v>
      </c>
    </row>
    <row r="2647" customFormat="false" ht="15" hidden="false" customHeight="false" outlineLevel="0" collapsed="false">
      <c r="A2647" s="7" t="s">
        <v>5657</v>
      </c>
      <c r="B2647" s="7" t="s">
        <v>1489</v>
      </c>
      <c r="C2647" s="7" t="s">
        <v>1640</v>
      </c>
      <c r="D2647" s="7" t="s">
        <v>3335</v>
      </c>
      <c r="E2647" s="7" t="s">
        <v>144</v>
      </c>
      <c r="F2647" s="7" t="s">
        <v>119</v>
      </c>
      <c r="G2647" s="7" t="s">
        <v>99</v>
      </c>
      <c r="H2647" s="7" t="n">
        <v>4</v>
      </c>
      <c r="I2647" s="7" t="n">
        <v>300</v>
      </c>
      <c r="J2647" s="7" t="n">
        <v>0</v>
      </c>
      <c r="K2647" s="7" t="s">
        <v>121</v>
      </c>
      <c r="L2647" s="7" t="s">
        <v>194</v>
      </c>
      <c r="M2647" s="7" t="n">
        <v>33</v>
      </c>
      <c r="N2647" s="7" t="n">
        <v>4</v>
      </c>
      <c r="O2647" s="7" t="str">
        <f aca="false">A2647&amp;"|"&amp;B2647&amp;"|"&amp;C2647&amp;"|"&amp;D2647&amp;"|"&amp;E2647&amp;"|"&amp;F2647&amp;"|"&amp;G2647&amp;"|"&amp;H2647&amp;"|"&amp;I2647&amp;"|"&amp;J2647&amp;"|"&amp;K2647&amp;"|"&amp;L2647&amp;"|"&amp;M2647&amp;"|"&amp;N2647</f>
        <v>ORD12008|2025-09-17|19:52|C0582|Hyderabad Dum Biryani|Hyderabad|Biryani|4|300|0|Wallet|Delivered|33|4</v>
      </c>
      <c r="P2647" s="7" t="str">
        <f aca="false">IF(COUNTIF($O$2:O2647,O2647)&gt;1,"DUP","OK")</f>
        <v>OK</v>
      </c>
      <c r="Q2647" s="7" t="n">
        <f aca="false">COUNTBLANK(A2647:N2647)</f>
        <v>0</v>
      </c>
      <c r="R2647" s="7" t="n">
        <f aca="false">IF(A2647="",0,COUNTIFS($A$2:$A$3058,A2647,$P$2:$P$3058,"OK"))</f>
        <v>1</v>
      </c>
      <c r="S2647" s="7" t="str">
        <f aca="false">IF(OR(A2647="",P2647="DUP",R2647&lt;2),"",IF(Q2647=_xlfn.MINIFS($Q$2:$Q$3058,$A$2:$A$3058,A2647,$P$2:$P$3058,"OK"),"KEEP","DROP"))</f>
        <v/>
      </c>
      <c r="T2647" s="9" t="n">
        <f aca="false">IF(A2647="",1,0)</f>
        <v>0</v>
      </c>
      <c r="U2647" s="9" t="n">
        <f aca="false">IF(D2647="",1,0)</f>
        <v>0</v>
      </c>
      <c r="V2647" s="9" t="n">
        <f aca="false">IF(E2647="",1,0)</f>
        <v>0</v>
      </c>
      <c r="W2647" s="9" t="n">
        <f aca="false">IF(OR(H2647&lt;1,H2647&gt;10),1,0)</f>
        <v>0</v>
      </c>
      <c r="X2647" s="9" t="n">
        <f aca="false">IF(OR(I2647&lt;=0,I2647&gt;1500),1,0)</f>
        <v>0</v>
      </c>
      <c r="Y2647" s="9" t="n">
        <f aca="false">IF(J2647&gt;H2647*I2647,1,0)</f>
        <v>0</v>
      </c>
      <c r="Z2647" s="9" t="n">
        <f aca="false">IF(AND(N2647&lt;&gt;"",OR(N2647&lt;1,N2647&gt;5)),1,0)</f>
        <v>0</v>
      </c>
      <c r="AA2647" s="9" t="n">
        <f aca="false">IF(AND(M2647&lt;&gt;"",OR(M2647&lt;5,M2647&gt;180)),1,0)</f>
        <v>0</v>
      </c>
      <c r="AB2647" s="7" t="str">
        <f aca="false">IF(P2647="DUP","Exact duplicate row",IF(T2647=1,"Missing Order ID",IF(S2647="DROP","Duplicate Order ID (less complete row)",IF(U2647=1,"Missing Customer ID",IF(V2647=1,"Missing Restaurant name",IF(W2647=1,"Invalid/outlier quantity",IF(X2647=1,"Invalid/outlier unit price",IF(Y2647=1,"Discount greater than order value",""))))))))</f>
        <v/>
      </c>
      <c r="AC2647" s="7" t="str">
        <f aca="false">IF(AB2647="","KEEP","DROP")</f>
        <v>KEEP</v>
      </c>
      <c r="AD2647" s="7" t="str">
        <f aca="false">IF(TRIM(F2647)="",IFERROR(INDEX(Map_Tables!$I$4:$I$37,MATCH(TRIM(E2647),Map_Tables!$G$4:$G$37,0)),""),IFERROR(INDEX(Map_Tables!$B$4:$B$18,MATCH(TRIM(F2647),Map_Tables!$A$4:$A$18,0)),"CHECK"))</f>
        <v>Hyderabad</v>
      </c>
      <c r="AE2647" s="7" t="str">
        <f aca="false">IF(TRIM(E2647)="","",IFERROR(INDEX(Map_Tables!$H$4:$H$37,MATCH(TRIM(E2647),Map_Tables!$G$4:$G$37,0)),"CHECK"))</f>
        <v>Hyderabad Dum Biryani</v>
      </c>
      <c r="AF2647" s="7" t="str">
        <f aca="false">IF(TRIM(K2647)="","Unknown",IFERROR(INDEX(Map_Tables!$E$4:$E$15,MATCH(TRIM(K2647),Map_Tables!$D$4:$D$15,0)),"CHECK"))</f>
        <v>Wallet</v>
      </c>
      <c r="AG2647" s="7" t="str">
        <f aca="false">IF(LEFT(LOWER(TRIM(L2647)),6)="cancel","Cancelled","Delivered")</f>
        <v>Delivered</v>
      </c>
      <c r="AH2647" s="10" t="n">
        <f aca="false">IF(ISNUMBER(SEARCH("/",B2647)),DATE(VALUE(RIGHT(B2647,4)),VALUE(MID(B2647,4,2)),VALUE(LEFT(B2647,2))),IF(MID(B2647,5,1)="-",DATE(VALUE(LEFT(B2647,4)),VALUE(MID(B2647,6,2)),VALUE(RIGHT(B2647,2))),DATE(VALUE(RIGHT(B2647,4)),MATCH(MID(B2647,4,3),{"Jan","Feb","Mar","Apr","May","Jun","Jul","Aug","Sep","Oct","Nov","Dec"},0),VALUE(LEFT(B2647,2)))))</f>
        <v>45917</v>
      </c>
    </row>
    <row r="2648" customFormat="false" ht="15" hidden="false" customHeight="false" outlineLevel="0" collapsed="false">
      <c r="A2648" s="7" t="s">
        <v>5658</v>
      </c>
      <c r="B2648" s="7" t="s">
        <v>3399</v>
      </c>
      <c r="C2648" s="7" t="s">
        <v>976</v>
      </c>
      <c r="D2648" s="7" t="s">
        <v>3265</v>
      </c>
      <c r="E2648" s="7" t="s">
        <v>98</v>
      </c>
      <c r="F2648" s="7" t="s">
        <v>928</v>
      </c>
      <c r="G2648" s="7" t="s">
        <v>99</v>
      </c>
      <c r="H2648" s="7" t="n">
        <v>1</v>
      </c>
      <c r="I2648" s="7" t="n">
        <v>215</v>
      </c>
      <c r="J2648" s="7" t="n">
        <v>0</v>
      </c>
      <c r="K2648" s="7" t="s">
        <v>103</v>
      </c>
      <c r="L2648" s="7" t="s">
        <v>194</v>
      </c>
      <c r="M2648" s="7" t="n">
        <v>49</v>
      </c>
      <c r="N2648" s="7" t="n">
        <v>4</v>
      </c>
      <c r="O2648" s="7" t="str">
        <f aca="false">A2648&amp;"|"&amp;B2648&amp;"|"&amp;C2648&amp;"|"&amp;D2648&amp;"|"&amp;E2648&amp;"|"&amp;F2648&amp;"|"&amp;G2648&amp;"|"&amp;H2648&amp;"|"&amp;I2648&amp;"|"&amp;J2648&amp;"|"&amp;K2648&amp;"|"&amp;L2648&amp;"|"&amp;M2648&amp;"|"&amp;N2648</f>
        <v>ORD10626|2025-03-20|20:20|C1494|Nawabi Biryani House|Bangalore|Biryani|1|215|0|Debit Card|Delivered|49|4</v>
      </c>
      <c r="P2648" s="7" t="str">
        <f aca="false">IF(COUNTIF($O$2:O2648,O2648)&gt;1,"DUP","OK")</f>
        <v>OK</v>
      </c>
      <c r="Q2648" s="7" t="n">
        <f aca="false">COUNTBLANK(A2648:N2648)</f>
        <v>0</v>
      </c>
      <c r="R2648" s="7" t="n">
        <f aca="false">IF(A2648="",0,COUNTIFS($A$2:$A$3058,A2648,$P$2:$P$3058,"OK"))</f>
        <v>1</v>
      </c>
      <c r="S2648" s="7" t="str">
        <f aca="false">IF(OR(A2648="",P2648="DUP",R2648&lt;2),"",IF(Q2648=_xlfn.MINIFS($Q$2:$Q$3058,$A$2:$A$3058,A2648,$P$2:$P$3058,"OK"),"KEEP","DROP"))</f>
        <v/>
      </c>
      <c r="T2648" s="9" t="n">
        <f aca="false">IF(A2648="",1,0)</f>
        <v>0</v>
      </c>
      <c r="U2648" s="9" t="n">
        <f aca="false">IF(D2648="",1,0)</f>
        <v>0</v>
      </c>
      <c r="V2648" s="9" t="n">
        <f aca="false">IF(E2648="",1,0)</f>
        <v>0</v>
      </c>
      <c r="W2648" s="9" t="n">
        <f aca="false">IF(OR(H2648&lt;1,H2648&gt;10),1,0)</f>
        <v>0</v>
      </c>
      <c r="X2648" s="9" t="n">
        <f aca="false">IF(OR(I2648&lt;=0,I2648&gt;1500),1,0)</f>
        <v>0</v>
      </c>
      <c r="Y2648" s="9" t="n">
        <f aca="false">IF(J2648&gt;H2648*I2648,1,0)</f>
        <v>0</v>
      </c>
      <c r="Z2648" s="9" t="n">
        <f aca="false">IF(AND(N2648&lt;&gt;"",OR(N2648&lt;1,N2648&gt;5)),1,0)</f>
        <v>0</v>
      </c>
      <c r="AA2648" s="9" t="n">
        <f aca="false">IF(AND(M2648&lt;&gt;"",OR(M2648&lt;5,M2648&gt;180)),1,0)</f>
        <v>0</v>
      </c>
      <c r="AB2648" s="7" t="str">
        <f aca="false">IF(P2648="DUP","Exact duplicate row",IF(T2648=1,"Missing Order ID",IF(S2648="DROP","Duplicate Order ID (less complete row)",IF(U2648=1,"Missing Customer ID",IF(V2648=1,"Missing Restaurant name",IF(W2648=1,"Invalid/outlier quantity",IF(X2648=1,"Invalid/outlier unit price",IF(Y2648=1,"Discount greater than order value",""))))))))</f>
        <v/>
      </c>
      <c r="AC2648" s="7" t="str">
        <f aca="false">IF(AB2648="","KEEP","DROP")</f>
        <v>KEEP</v>
      </c>
      <c r="AD2648" s="7" t="str">
        <f aca="false">IF(TRIM(F2648)="",IFERROR(INDEX(Map_Tables!$I$4:$I$37,MATCH(TRIM(E2648),Map_Tables!$G$4:$G$37,0)),""),IFERROR(INDEX(Map_Tables!$B$4:$B$18,MATCH(TRIM(F2648),Map_Tables!$A$4:$A$18,0)),"CHECK"))</f>
        <v>Bengaluru</v>
      </c>
      <c r="AE2648" s="7" t="str">
        <f aca="false">IF(TRIM(E2648)="","",IFERROR(INDEX(Map_Tables!$H$4:$H$37,MATCH(TRIM(E2648),Map_Tables!$G$4:$G$37,0)),"CHECK"))</f>
        <v>Nawabi Biryani House</v>
      </c>
      <c r="AF2648" s="7" t="str">
        <f aca="false">IF(TRIM(K2648)="","Unknown",IFERROR(INDEX(Map_Tables!$E$4:$E$15,MATCH(TRIM(K2648),Map_Tables!$D$4:$D$15,0)),"CHECK"))</f>
        <v>Debit Card</v>
      </c>
      <c r="AG2648" s="7" t="str">
        <f aca="false">IF(LEFT(LOWER(TRIM(L2648)),6)="cancel","Cancelled","Delivered")</f>
        <v>Delivered</v>
      </c>
      <c r="AH2648" s="10" t="n">
        <f aca="false">IF(ISNUMBER(SEARCH("/",B2648)),DATE(VALUE(RIGHT(B2648,4)),VALUE(MID(B2648,4,2)),VALUE(LEFT(B2648,2))),IF(MID(B2648,5,1)="-",DATE(VALUE(LEFT(B2648,4)),VALUE(MID(B2648,6,2)),VALUE(RIGHT(B2648,2))),DATE(VALUE(RIGHT(B2648,4)),MATCH(MID(B2648,4,3),{"Jan","Feb","Mar","Apr","May","Jun","Jul","Aug","Sep","Oct","Nov","Dec"},0),VALUE(LEFT(B2648,2)))))</f>
        <v>45736</v>
      </c>
    </row>
    <row r="2649" customFormat="false" ht="15" hidden="false" customHeight="false" outlineLevel="0" collapsed="false">
      <c r="A2649" s="7" t="s">
        <v>5659</v>
      </c>
      <c r="B2649" s="7" t="s">
        <v>1373</v>
      </c>
      <c r="C2649" s="7" t="s">
        <v>5660</v>
      </c>
      <c r="D2649" s="7" t="s">
        <v>1039</v>
      </c>
      <c r="E2649" s="7" t="s">
        <v>168</v>
      </c>
      <c r="F2649" s="7" t="s">
        <v>146</v>
      </c>
      <c r="G2649" s="7" t="s">
        <v>123</v>
      </c>
      <c r="H2649" s="7" t="n">
        <v>1</v>
      </c>
      <c r="I2649" s="7" t="n">
        <v>315</v>
      </c>
      <c r="J2649" s="7" t="n">
        <v>0</v>
      </c>
      <c r="K2649" s="7" t="s">
        <v>103</v>
      </c>
      <c r="L2649" s="7" t="s">
        <v>194</v>
      </c>
      <c r="M2649" s="7" t="n">
        <v>33</v>
      </c>
      <c r="N2649" s="7" t="n">
        <v>4</v>
      </c>
      <c r="O2649" s="7" t="str">
        <f aca="false">A2649&amp;"|"&amp;B2649&amp;"|"&amp;C2649&amp;"|"&amp;D2649&amp;"|"&amp;E2649&amp;"|"&amp;F2649&amp;"|"&amp;G2649&amp;"|"&amp;H2649&amp;"|"&amp;I2649&amp;"|"&amp;J2649&amp;"|"&amp;K2649&amp;"|"&amp;L2649&amp;"|"&amp;M2649&amp;"|"&amp;N2649</f>
        <v>ORD11886|2025-09-03|11:05|C0107|Cheesy Slice|Ahmedabad|Pizza|1|315|0|Debit Card|Delivered|33|4</v>
      </c>
      <c r="P2649" s="7" t="str">
        <f aca="false">IF(COUNTIF($O$2:O2649,O2649)&gt;1,"DUP","OK")</f>
        <v>OK</v>
      </c>
      <c r="Q2649" s="7" t="n">
        <f aca="false">COUNTBLANK(A2649:N2649)</f>
        <v>0</v>
      </c>
      <c r="R2649" s="7" t="n">
        <f aca="false">IF(A2649="",0,COUNTIFS($A$2:$A$3058,A2649,$P$2:$P$3058,"OK"))</f>
        <v>1</v>
      </c>
      <c r="S2649" s="7" t="str">
        <f aca="false">IF(OR(A2649="",P2649="DUP",R2649&lt;2),"",IF(Q2649=_xlfn.MINIFS($Q$2:$Q$3058,$A$2:$A$3058,A2649,$P$2:$P$3058,"OK"),"KEEP","DROP"))</f>
        <v/>
      </c>
      <c r="T2649" s="9" t="n">
        <f aca="false">IF(A2649="",1,0)</f>
        <v>0</v>
      </c>
      <c r="U2649" s="9" t="n">
        <f aca="false">IF(D2649="",1,0)</f>
        <v>0</v>
      </c>
      <c r="V2649" s="9" t="n">
        <f aca="false">IF(E2649="",1,0)</f>
        <v>0</v>
      </c>
      <c r="W2649" s="9" t="n">
        <f aca="false">IF(OR(H2649&lt;1,H2649&gt;10),1,0)</f>
        <v>0</v>
      </c>
      <c r="X2649" s="9" t="n">
        <f aca="false">IF(OR(I2649&lt;=0,I2649&gt;1500),1,0)</f>
        <v>0</v>
      </c>
      <c r="Y2649" s="9" t="n">
        <f aca="false">IF(J2649&gt;H2649*I2649,1,0)</f>
        <v>0</v>
      </c>
      <c r="Z2649" s="9" t="n">
        <f aca="false">IF(AND(N2649&lt;&gt;"",OR(N2649&lt;1,N2649&gt;5)),1,0)</f>
        <v>0</v>
      </c>
      <c r="AA2649" s="9" t="n">
        <f aca="false">IF(AND(M2649&lt;&gt;"",OR(M2649&lt;5,M2649&gt;180)),1,0)</f>
        <v>0</v>
      </c>
      <c r="AB2649" s="7" t="str">
        <f aca="false">IF(P2649="DUP","Exact duplicate row",IF(T2649=1,"Missing Order ID",IF(S2649="DROP","Duplicate Order ID (less complete row)",IF(U2649=1,"Missing Customer ID",IF(V2649=1,"Missing Restaurant name",IF(W2649=1,"Invalid/outlier quantity",IF(X2649=1,"Invalid/outlier unit price",IF(Y2649=1,"Discount greater than order value",""))))))))</f>
        <v/>
      </c>
      <c r="AC2649" s="7" t="str">
        <f aca="false">IF(AB2649="","KEEP","DROP")</f>
        <v>KEEP</v>
      </c>
      <c r="AD2649" s="7" t="str">
        <f aca="false">IF(TRIM(F2649)="",IFERROR(INDEX(Map_Tables!$I$4:$I$37,MATCH(TRIM(E2649),Map_Tables!$G$4:$G$37,0)),""),IFERROR(INDEX(Map_Tables!$B$4:$B$18,MATCH(TRIM(F2649),Map_Tables!$A$4:$A$18,0)),"CHECK"))</f>
        <v>Ahmedabad</v>
      </c>
      <c r="AE2649" s="7" t="str">
        <f aca="false">IF(TRIM(E2649)="","",IFERROR(INDEX(Map_Tables!$H$4:$H$37,MATCH(TRIM(E2649),Map_Tables!$G$4:$G$37,0)),"CHECK"))</f>
        <v>Cheesy Slice</v>
      </c>
      <c r="AF2649" s="7" t="str">
        <f aca="false">IF(TRIM(K2649)="","Unknown",IFERROR(INDEX(Map_Tables!$E$4:$E$15,MATCH(TRIM(K2649),Map_Tables!$D$4:$D$15,0)),"CHECK"))</f>
        <v>Debit Card</v>
      </c>
      <c r="AG2649" s="7" t="str">
        <f aca="false">IF(LEFT(LOWER(TRIM(L2649)),6)="cancel","Cancelled","Delivered")</f>
        <v>Delivered</v>
      </c>
      <c r="AH2649" s="10" t="n">
        <f aca="false">IF(ISNUMBER(SEARCH("/",B2649)),DATE(VALUE(RIGHT(B2649,4)),VALUE(MID(B2649,4,2)),VALUE(LEFT(B2649,2))),IF(MID(B2649,5,1)="-",DATE(VALUE(LEFT(B2649,4)),VALUE(MID(B2649,6,2)),VALUE(RIGHT(B2649,2))),DATE(VALUE(RIGHT(B2649,4)),MATCH(MID(B2649,4,3),{"Jan","Feb","Mar","Apr","May","Jun","Jul","Aug","Sep","Oct","Nov","Dec"},0),VALUE(LEFT(B2649,2)))))</f>
        <v>45903</v>
      </c>
    </row>
    <row r="2650" customFormat="false" ht="15" hidden="false" customHeight="false" outlineLevel="0" collapsed="false">
      <c r="A2650" s="7" t="s">
        <v>5661</v>
      </c>
      <c r="B2650" s="7" t="s">
        <v>1657</v>
      </c>
      <c r="C2650" s="7" t="s">
        <v>1624</v>
      </c>
      <c r="D2650" s="7" t="s">
        <v>5662</v>
      </c>
      <c r="E2650" s="7" t="s">
        <v>130</v>
      </c>
      <c r="F2650" s="7" t="s">
        <v>110</v>
      </c>
      <c r="G2650" s="7" t="s">
        <v>90</v>
      </c>
      <c r="H2650" s="7" t="n">
        <v>1</v>
      </c>
      <c r="I2650" s="7" t="n">
        <v>225</v>
      </c>
      <c r="J2650" s="7" t="n">
        <v>0</v>
      </c>
      <c r="K2650" s="7" t="s">
        <v>2596</v>
      </c>
      <c r="L2650" s="7" t="s">
        <v>238</v>
      </c>
      <c r="M2650" s="7"/>
      <c r="N2650" s="7"/>
      <c r="O2650" s="7" t="str">
        <f aca="false">A2650&amp;"|"&amp;B2650&amp;"|"&amp;C2650&amp;"|"&amp;D2650&amp;"|"&amp;E2650&amp;"|"&amp;F2650&amp;"|"&amp;G2650&amp;"|"&amp;H2650&amp;"|"&amp;I2650&amp;"|"&amp;J2650&amp;"|"&amp;K2650&amp;"|"&amp;L2650&amp;"|"&amp;M2650&amp;"|"&amp;N2650</f>
        <v>ORD11867|2025-08-31|20:31|C1229|Tandoor Tales|Delhi|North Indian|1|225|0|COD|Cancelled||</v>
      </c>
      <c r="P2650" s="7" t="str">
        <f aca="false">IF(COUNTIF($O$2:O2650,O2650)&gt;1,"DUP","OK")</f>
        <v>OK</v>
      </c>
      <c r="Q2650" s="7" t="n">
        <f aca="false">COUNTBLANK(A2650:N2650)</f>
        <v>2</v>
      </c>
      <c r="R2650" s="7" t="n">
        <f aca="false">IF(A2650="",0,COUNTIFS($A$2:$A$3058,A2650,$P$2:$P$3058,"OK"))</f>
        <v>1</v>
      </c>
      <c r="S2650" s="7" t="str">
        <f aca="false">IF(OR(A2650="",P2650="DUP",R2650&lt;2),"",IF(Q2650=_xlfn.MINIFS($Q$2:$Q$3058,$A$2:$A$3058,A2650,$P$2:$P$3058,"OK"),"KEEP","DROP"))</f>
        <v/>
      </c>
      <c r="T2650" s="9" t="n">
        <f aca="false">IF(A2650="",1,0)</f>
        <v>0</v>
      </c>
      <c r="U2650" s="9" t="n">
        <f aca="false">IF(D2650="",1,0)</f>
        <v>0</v>
      </c>
      <c r="V2650" s="9" t="n">
        <f aca="false">IF(E2650="",1,0)</f>
        <v>0</v>
      </c>
      <c r="W2650" s="9" t="n">
        <f aca="false">IF(OR(H2650&lt;1,H2650&gt;10),1,0)</f>
        <v>0</v>
      </c>
      <c r="X2650" s="9" t="n">
        <f aca="false">IF(OR(I2650&lt;=0,I2650&gt;1500),1,0)</f>
        <v>0</v>
      </c>
      <c r="Y2650" s="9" t="n">
        <f aca="false">IF(J2650&gt;H2650*I2650,1,0)</f>
        <v>0</v>
      </c>
      <c r="Z2650" s="9" t="n">
        <f aca="false">IF(AND(N2650&lt;&gt;"",OR(N2650&lt;1,N2650&gt;5)),1,0)</f>
        <v>0</v>
      </c>
      <c r="AA2650" s="9" t="n">
        <f aca="false">IF(AND(M2650&lt;&gt;"",OR(M2650&lt;5,M2650&gt;180)),1,0)</f>
        <v>0</v>
      </c>
      <c r="AB2650" s="7" t="str">
        <f aca="false">IF(P2650="DUP","Exact duplicate row",IF(T2650=1,"Missing Order ID",IF(S2650="DROP","Duplicate Order ID (less complete row)",IF(U2650=1,"Missing Customer ID",IF(V2650=1,"Missing Restaurant name",IF(W2650=1,"Invalid/outlier quantity",IF(X2650=1,"Invalid/outlier unit price",IF(Y2650=1,"Discount greater than order value",""))))))))</f>
        <v/>
      </c>
      <c r="AC2650" s="7" t="str">
        <f aca="false">IF(AB2650="","KEEP","DROP")</f>
        <v>KEEP</v>
      </c>
      <c r="AD2650" s="7" t="str">
        <f aca="false">IF(TRIM(F2650)="",IFERROR(INDEX(Map_Tables!$I$4:$I$37,MATCH(TRIM(E2650),Map_Tables!$G$4:$G$37,0)),""),IFERROR(INDEX(Map_Tables!$B$4:$B$18,MATCH(TRIM(F2650),Map_Tables!$A$4:$A$18,0)),"CHECK"))</f>
        <v>Delhi</v>
      </c>
      <c r="AE2650" s="7" t="str">
        <f aca="false">IF(TRIM(E2650)="","",IFERROR(INDEX(Map_Tables!$H$4:$H$37,MATCH(TRIM(E2650),Map_Tables!$G$4:$G$37,0)),"CHECK"))</f>
        <v>Tandoor Tales</v>
      </c>
      <c r="AF2650" s="7" t="str">
        <f aca="false">IF(TRIM(K2650)="","Unknown",IFERROR(INDEX(Map_Tables!$E$4:$E$15,MATCH(TRIM(K2650),Map_Tables!$D$4:$D$15,0)),"CHECK"))</f>
        <v>Cash on Delivery</v>
      </c>
      <c r="AG2650" s="7" t="str">
        <f aca="false">IF(LEFT(LOWER(TRIM(L2650)),6)="cancel","Cancelled","Delivered")</f>
        <v>Cancelled</v>
      </c>
      <c r="AH2650" s="10" t="n">
        <f aca="false">IF(ISNUMBER(SEARCH("/",B2650)),DATE(VALUE(RIGHT(B2650,4)),VALUE(MID(B2650,4,2)),VALUE(LEFT(B2650,2))),IF(MID(B2650,5,1)="-",DATE(VALUE(LEFT(B2650,4)),VALUE(MID(B2650,6,2)),VALUE(RIGHT(B2650,2))),DATE(VALUE(RIGHT(B2650,4)),MATCH(MID(B2650,4,3),{"Jan","Feb","Mar","Apr","May","Jun","Jul","Aug","Sep","Oct","Nov","Dec"},0),VALUE(LEFT(B2650,2)))))</f>
        <v>45900</v>
      </c>
    </row>
    <row r="2651" customFormat="false" ht="15" hidden="false" customHeight="false" outlineLevel="0" collapsed="false">
      <c r="A2651" s="7" t="s">
        <v>5663</v>
      </c>
      <c r="B2651" s="7" t="s">
        <v>1752</v>
      </c>
      <c r="C2651" s="7" t="s">
        <v>1390</v>
      </c>
      <c r="D2651" s="7" t="s">
        <v>1878</v>
      </c>
      <c r="E2651" s="7" t="s">
        <v>130</v>
      </c>
      <c r="F2651" s="7" t="s">
        <v>110</v>
      </c>
      <c r="G2651" s="7" t="s">
        <v>90</v>
      </c>
      <c r="H2651" s="7" t="n">
        <v>3</v>
      </c>
      <c r="I2651" s="7" t="n">
        <v>295</v>
      </c>
      <c r="J2651" s="7" t="n">
        <v>0</v>
      </c>
      <c r="K2651" s="7" t="s">
        <v>121</v>
      </c>
      <c r="L2651" s="7" t="s">
        <v>194</v>
      </c>
      <c r="M2651" s="7" t="n">
        <v>39</v>
      </c>
      <c r="N2651" s="7" t="n">
        <v>5</v>
      </c>
      <c r="O2651" s="7" t="str">
        <f aca="false">A2651&amp;"|"&amp;B2651&amp;"|"&amp;C2651&amp;"|"&amp;D2651&amp;"|"&amp;E2651&amp;"|"&amp;F2651&amp;"|"&amp;G2651&amp;"|"&amp;H2651&amp;"|"&amp;I2651&amp;"|"&amp;J2651&amp;"|"&amp;K2651&amp;"|"&amp;L2651&amp;"|"&amp;M2651&amp;"|"&amp;N2651</f>
        <v>ORD10953|2025-04-30|23:25|C0020|Tandoor Tales|Delhi|North Indian|3|295|0|Wallet|Delivered|39|5</v>
      </c>
      <c r="P2651" s="7" t="str">
        <f aca="false">IF(COUNTIF($O$2:O2651,O2651)&gt;1,"DUP","OK")</f>
        <v>OK</v>
      </c>
      <c r="Q2651" s="7" t="n">
        <f aca="false">COUNTBLANK(A2651:N2651)</f>
        <v>0</v>
      </c>
      <c r="R2651" s="7" t="n">
        <f aca="false">IF(A2651="",0,COUNTIFS($A$2:$A$3058,A2651,$P$2:$P$3058,"OK"))</f>
        <v>1</v>
      </c>
      <c r="S2651" s="7" t="str">
        <f aca="false">IF(OR(A2651="",P2651="DUP",R2651&lt;2),"",IF(Q2651=_xlfn.MINIFS($Q$2:$Q$3058,$A$2:$A$3058,A2651,$P$2:$P$3058,"OK"),"KEEP","DROP"))</f>
        <v/>
      </c>
      <c r="T2651" s="9" t="n">
        <f aca="false">IF(A2651="",1,0)</f>
        <v>0</v>
      </c>
      <c r="U2651" s="9" t="n">
        <f aca="false">IF(D2651="",1,0)</f>
        <v>0</v>
      </c>
      <c r="V2651" s="9" t="n">
        <f aca="false">IF(E2651="",1,0)</f>
        <v>0</v>
      </c>
      <c r="W2651" s="9" t="n">
        <f aca="false">IF(OR(H2651&lt;1,H2651&gt;10),1,0)</f>
        <v>0</v>
      </c>
      <c r="X2651" s="9" t="n">
        <f aca="false">IF(OR(I2651&lt;=0,I2651&gt;1500),1,0)</f>
        <v>0</v>
      </c>
      <c r="Y2651" s="9" t="n">
        <f aca="false">IF(J2651&gt;H2651*I2651,1,0)</f>
        <v>0</v>
      </c>
      <c r="Z2651" s="9" t="n">
        <f aca="false">IF(AND(N2651&lt;&gt;"",OR(N2651&lt;1,N2651&gt;5)),1,0)</f>
        <v>0</v>
      </c>
      <c r="AA2651" s="9" t="n">
        <f aca="false">IF(AND(M2651&lt;&gt;"",OR(M2651&lt;5,M2651&gt;180)),1,0)</f>
        <v>0</v>
      </c>
      <c r="AB2651" s="7" t="str">
        <f aca="false">IF(P2651="DUP","Exact duplicate row",IF(T2651=1,"Missing Order ID",IF(S2651="DROP","Duplicate Order ID (less complete row)",IF(U2651=1,"Missing Customer ID",IF(V2651=1,"Missing Restaurant name",IF(W2651=1,"Invalid/outlier quantity",IF(X2651=1,"Invalid/outlier unit price",IF(Y2651=1,"Discount greater than order value",""))))))))</f>
        <v/>
      </c>
      <c r="AC2651" s="7" t="str">
        <f aca="false">IF(AB2651="","KEEP","DROP")</f>
        <v>KEEP</v>
      </c>
      <c r="AD2651" s="7" t="str">
        <f aca="false">IF(TRIM(F2651)="",IFERROR(INDEX(Map_Tables!$I$4:$I$37,MATCH(TRIM(E2651),Map_Tables!$G$4:$G$37,0)),""),IFERROR(INDEX(Map_Tables!$B$4:$B$18,MATCH(TRIM(F2651),Map_Tables!$A$4:$A$18,0)),"CHECK"))</f>
        <v>Delhi</v>
      </c>
      <c r="AE2651" s="7" t="str">
        <f aca="false">IF(TRIM(E2651)="","",IFERROR(INDEX(Map_Tables!$H$4:$H$37,MATCH(TRIM(E2651),Map_Tables!$G$4:$G$37,0)),"CHECK"))</f>
        <v>Tandoor Tales</v>
      </c>
      <c r="AF2651" s="7" t="str">
        <f aca="false">IF(TRIM(K2651)="","Unknown",IFERROR(INDEX(Map_Tables!$E$4:$E$15,MATCH(TRIM(K2651),Map_Tables!$D$4:$D$15,0)),"CHECK"))</f>
        <v>Wallet</v>
      </c>
      <c r="AG2651" s="7" t="str">
        <f aca="false">IF(LEFT(LOWER(TRIM(L2651)),6)="cancel","Cancelled","Delivered")</f>
        <v>Delivered</v>
      </c>
      <c r="AH2651" s="10" t="n">
        <f aca="false">IF(ISNUMBER(SEARCH("/",B2651)),DATE(VALUE(RIGHT(B2651,4)),VALUE(MID(B2651,4,2)),VALUE(LEFT(B2651,2))),IF(MID(B2651,5,1)="-",DATE(VALUE(LEFT(B2651,4)),VALUE(MID(B2651,6,2)),VALUE(RIGHT(B2651,2))),DATE(VALUE(RIGHT(B2651,4)),MATCH(MID(B2651,4,3),{"Jan","Feb","Mar","Apr","May","Jun","Jul","Aug","Sep","Oct","Nov","Dec"},0),VALUE(LEFT(B2651,2)))))</f>
        <v>45777</v>
      </c>
    </row>
    <row r="2652" customFormat="false" ht="15" hidden="false" customHeight="false" outlineLevel="0" collapsed="false">
      <c r="A2652" s="7" t="s">
        <v>5664</v>
      </c>
      <c r="B2652" s="7" t="s">
        <v>554</v>
      </c>
      <c r="C2652" s="7" t="s">
        <v>2716</v>
      </c>
      <c r="D2652" s="7" t="s">
        <v>645</v>
      </c>
      <c r="E2652" s="7" t="s">
        <v>142</v>
      </c>
      <c r="F2652" s="7" t="s">
        <v>110</v>
      </c>
      <c r="G2652" s="7" t="s">
        <v>105</v>
      </c>
      <c r="H2652" s="7" t="n">
        <v>5</v>
      </c>
      <c r="I2652" s="7" t="n">
        <v>155</v>
      </c>
      <c r="J2652" s="7" t="n">
        <v>40</v>
      </c>
      <c r="K2652" s="7" t="s">
        <v>93</v>
      </c>
      <c r="L2652" s="7" t="s">
        <v>194</v>
      </c>
      <c r="M2652" s="7" t="n">
        <v>31</v>
      </c>
      <c r="N2652" s="7" t="n">
        <v>5</v>
      </c>
      <c r="O2652" s="7" t="str">
        <f aca="false">A2652&amp;"|"&amp;B2652&amp;"|"&amp;C2652&amp;"|"&amp;D2652&amp;"|"&amp;E2652&amp;"|"&amp;F2652&amp;"|"&amp;G2652&amp;"|"&amp;H2652&amp;"|"&amp;I2652&amp;"|"&amp;J2652&amp;"|"&amp;K2652&amp;"|"&amp;L2652&amp;"|"&amp;M2652&amp;"|"&amp;N2652</f>
        <v>ORD12307|2025-10-18|19:45|C1199|Momo Magic|Delhi|Chinese|5|155|40|Credit Card|Delivered|31|5</v>
      </c>
      <c r="P2652" s="7" t="str">
        <f aca="false">IF(COUNTIF($O$2:O2652,O2652)&gt;1,"DUP","OK")</f>
        <v>OK</v>
      </c>
      <c r="Q2652" s="7" t="n">
        <f aca="false">COUNTBLANK(A2652:N2652)</f>
        <v>0</v>
      </c>
      <c r="R2652" s="7" t="n">
        <f aca="false">IF(A2652="",0,COUNTIFS($A$2:$A$3058,A2652,$P$2:$P$3058,"OK"))</f>
        <v>1</v>
      </c>
      <c r="S2652" s="7" t="str">
        <f aca="false">IF(OR(A2652="",P2652="DUP",R2652&lt;2),"",IF(Q2652=_xlfn.MINIFS($Q$2:$Q$3058,$A$2:$A$3058,A2652,$P$2:$P$3058,"OK"),"KEEP","DROP"))</f>
        <v/>
      </c>
      <c r="T2652" s="9" t="n">
        <f aca="false">IF(A2652="",1,0)</f>
        <v>0</v>
      </c>
      <c r="U2652" s="9" t="n">
        <f aca="false">IF(D2652="",1,0)</f>
        <v>0</v>
      </c>
      <c r="V2652" s="9" t="n">
        <f aca="false">IF(E2652="",1,0)</f>
        <v>0</v>
      </c>
      <c r="W2652" s="9" t="n">
        <f aca="false">IF(OR(H2652&lt;1,H2652&gt;10),1,0)</f>
        <v>0</v>
      </c>
      <c r="X2652" s="9" t="n">
        <f aca="false">IF(OR(I2652&lt;=0,I2652&gt;1500),1,0)</f>
        <v>0</v>
      </c>
      <c r="Y2652" s="9" t="n">
        <f aca="false">IF(J2652&gt;H2652*I2652,1,0)</f>
        <v>0</v>
      </c>
      <c r="Z2652" s="9" t="n">
        <f aca="false">IF(AND(N2652&lt;&gt;"",OR(N2652&lt;1,N2652&gt;5)),1,0)</f>
        <v>0</v>
      </c>
      <c r="AA2652" s="9" t="n">
        <f aca="false">IF(AND(M2652&lt;&gt;"",OR(M2652&lt;5,M2652&gt;180)),1,0)</f>
        <v>0</v>
      </c>
      <c r="AB2652" s="7" t="str">
        <f aca="false">IF(P2652="DUP","Exact duplicate row",IF(T2652=1,"Missing Order ID",IF(S2652="DROP","Duplicate Order ID (less complete row)",IF(U2652=1,"Missing Customer ID",IF(V2652=1,"Missing Restaurant name",IF(W2652=1,"Invalid/outlier quantity",IF(X2652=1,"Invalid/outlier unit price",IF(Y2652=1,"Discount greater than order value",""))))))))</f>
        <v/>
      </c>
      <c r="AC2652" s="7" t="str">
        <f aca="false">IF(AB2652="","KEEP","DROP")</f>
        <v>KEEP</v>
      </c>
      <c r="AD2652" s="7" t="str">
        <f aca="false">IF(TRIM(F2652)="",IFERROR(INDEX(Map_Tables!$I$4:$I$37,MATCH(TRIM(E2652),Map_Tables!$G$4:$G$37,0)),""),IFERROR(INDEX(Map_Tables!$B$4:$B$18,MATCH(TRIM(F2652),Map_Tables!$A$4:$A$18,0)),"CHECK"))</f>
        <v>Delhi</v>
      </c>
      <c r="AE2652" s="7" t="str">
        <f aca="false">IF(TRIM(E2652)="","",IFERROR(INDEX(Map_Tables!$H$4:$H$37,MATCH(TRIM(E2652),Map_Tables!$G$4:$G$37,0)),"CHECK"))</f>
        <v>Momo Magic</v>
      </c>
      <c r="AF2652" s="7" t="str">
        <f aca="false">IF(TRIM(K2652)="","Unknown",IFERROR(INDEX(Map_Tables!$E$4:$E$15,MATCH(TRIM(K2652),Map_Tables!$D$4:$D$15,0)),"CHECK"))</f>
        <v>Credit Card</v>
      </c>
      <c r="AG2652" s="7" t="str">
        <f aca="false">IF(LEFT(LOWER(TRIM(L2652)),6)="cancel","Cancelled","Delivered")</f>
        <v>Delivered</v>
      </c>
      <c r="AH2652" s="10" t="n">
        <f aca="false">IF(ISNUMBER(SEARCH("/",B2652)),DATE(VALUE(RIGHT(B2652,4)),VALUE(MID(B2652,4,2)),VALUE(LEFT(B2652,2))),IF(MID(B2652,5,1)="-",DATE(VALUE(LEFT(B2652,4)),VALUE(MID(B2652,6,2)),VALUE(RIGHT(B2652,2))),DATE(VALUE(RIGHT(B2652,4)),MATCH(MID(B2652,4,3),{"Jan","Feb","Mar","Apr","May","Jun","Jul","Aug","Sep","Oct","Nov","Dec"},0),VALUE(LEFT(B2652,2)))))</f>
        <v>45948</v>
      </c>
    </row>
    <row r="2653" customFormat="false" ht="15" hidden="false" customHeight="false" outlineLevel="0" collapsed="false">
      <c r="A2653" s="7" t="s">
        <v>5665</v>
      </c>
      <c r="B2653" s="7" t="s">
        <v>3399</v>
      </c>
      <c r="C2653" s="7" t="s">
        <v>1336</v>
      </c>
      <c r="D2653" s="7" t="s">
        <v>5666</v>
      </c>
      <c r="E2653" s="7" t="s">
        <v>160</v>
      </c>
      <c r="F2653" s="7" t="s">
        <v>136</v>
      </c>
      <c r="G2653" s="7" t="s">
        <v>150</v>
      </c>
      <c r="H2653" s="7" t="n">
        <v>2</v>
      </c>
      <c r="I2653" s="7" t="n">
        <v>215</v>
      </c>
      <c r="J2653" s="7" t="n">
        <v>40</v>
      </c>
      <c r="K2653" s="7" t="s">
        <v>112</v>
      </c>
      <c r="L2653" s="7" t="s">
        <v>194</v>
      </c>
      <c r="M2653" s="7" t="n">
        <v>40</v>
      </c>
      <c r="N2653" s="7" t="n">
        <v>5</v>
      </c>
      <c r="O2653" s="7" t="str">
        <f aca="false">A2653&amp;"|"&amp;B2653&amp;"|"&amp;C2653&amp;"|"&amp;D2653&amp;"|"&amp;E2653&amp;"|"&amp;F2653&amp;"|"&amp;G2653&amp;"|"&amp;H2653&amp;"|"&amp;I2653&amp;"|"&amp;J2653&amp;"|"&amp;K2653&amp;"|"&amp;L2653&amp;"|"&amp;M2653&amp;"|"&amp;N2653</f>
        <v>ORD10625|2025-03-20|19:17|C1158|Cake Walk|Pune|Desserts|2|215|40|Cash on Delivery|Delivered|40|5</v>
      </c>
      <c r="P2653" s="7" t="str">
        <f aca="false">IF(COUNTIF($O$2:O2653,O2653)&gt;1,"DUP","OK")</f>
        <v>OK</v>
      </c>
      <c r="Q2653" s="7" t="n">
        <f aca="false">COUNTBLANK(A2653:N2653)</f>
        <v>0</v>
      </c>
      <c r="R2653" s="7" t="n">
        <f aca="false">IF(A2653="",0,COUNTIFS($A$2:$A$3058,A2653,$P$2:$P$3058,"OK"))</f>
        <v>1</v>
      </c>
      <c r="S2653" s="7" t="str">
        <f aca="false">IF(OR(A2653="",P2653="DUP",R2653&lt;2),"",IF(Q2653=_xlfn.MINIFS($Q$2:$Q$3058,$A$2:$A$3058,A2653,$P$2:$P$3058,"OK"),"KEEP","DROP"))</f>
        <v/>
      </c>
      <c r="T2653" s="9" t="n">
        <f aca="false">IF(A2653="",1,0)</f>
        <v>0</v>
      </c>
      <c r="U2653" s="9" t="n">
        <f aca="false">IF(D2653="",1,0)</f>
        <v>0</v>
      </c>
      <c r="V2653" s="9" t="n">
        <f aca="false">IF(E2653="",1,0)</f>
        <v>0</v>
      </c>
      <c r="W2653" s="9" t="n">
        <f aca="false">IF(OR(H2653&lt;1,H2653&gt;10),1,0)</f>
        <v>0</v>
      </c>
      <c r="X2653" s="9" t="n">
        <f aca="false">IF(OR(I2653&lt;=0,I2653&gt;1500),1,0)</f>
        <v>0</v>
      </c>
      <c r="Y2653" s="9" t="n">
        <f aca="false">IF(J2653&gt;H2653*I2653,1,0)</f>
        <v>0</v>
      </c>
      <c r="Z2653" s="9" t="n">
        <f aca="false">IF(AND(N2653&lt;&gt;"",OR(N2653&lt;1,N2653&gt;5)),1,0)</f>
        <v>0</v>
      </c>
      <c r="AA2653" s="9" t="n">
        <f aca="false">IF(AND(M2653&lt;&gt;"",OR(M2653&lt;5,M2653&gt;180)),1,0)</f>
        <v>0</v>
      </c>
      <c r="AB2653" s="7" t="str">
        <f aca="false">IF(P2653="DUP","Exact duplicate row",IF(T2653=1,"Missing Order ID",IF(S2653="DROP","Duplicate Order ID (less complete row)",IF(U2653=1,"Missing Customer ID",IF(V2653=1,"Missing Restaurant name",IF(W2653=1,"Invalid/outlier quantity",IF(X2653=1,"Invalid/outlier unit price",IF(Y2653=1,"Discount greater than order value",""))))))))</f>
        <v/>
      </c>
      <c r="AC2653" s="7" t="str">
        <f aca="false">IF(AB2653="","KEEP","DROP")</f>
        <v>KEEP</v>
      </c>
      <c r="AD2653" s="7" t="str">
        <f aca="false">IF(TRIM(F2653)="",IFERROR(INDEX(Map_Tables!$I$4:$I$37,MATCH(TRIM(E2653),Map_Tables!$G$4:$G$37,0)),""),IFERROR(INDEX(Map_Tables!$B$4:$B$18,MATCH(TRIM(F2653),Map_Tables!$A$4:$A$18,0)),"CHECK"))</f>
        <v>Pune</v>
      </c>
      <c r="AE2653" s="7" t="str">
        <f aca="false">IF(TRIM(E2653)="","",IFERROR(INDEX(Map_Tables!$H$4:$H$37,MATCH(TRIM(E2653),Map_Tables!$G$4:$G$37,0)),"CHECK"))</f>
        <v>Cake Walk</v>
      </c>
      <c r="AF2653" s="7" t="str">
        <f aca="false">IF(TRIM(K2653)="","Unknown",IFERROR(INDEX(Map_Tables!$E$4:$E$15,MATCH(TRIM(K2653),Map_Tables!$D$4:$D$15,0)),"CHECK"))</f>
        <v>Cash on Delivery</v>
      </c>
      <c r="AG2653" s="7" t="str">
        <f aca="false">IF(LEFT(LOWER(TRIM(L2653)),6)="cancel","Cancelled","Delivered")</f>
        <v>Delivered</v>
      </c>
      <c r="AH2653" s="10" t="n">
        <f aca="false">IF(ISNUMBER(SEARCH("/",B2653)),DATE(VALUE(RIGHT(B2653,4)),VALUE(MID(B2653,4,2)),VALUE(LEFT(B2653,2))),IF(MID(B2653,5,1)="-",DATE(VALUE(LEFT(B2653,4)),VALUE(MID(B2653,6,2)),VALUE(RIGHT(B2653,2))),DATE(VALUE(RIGHT(B2653,4)),MATCH(MID(B2653,4,3),{"Jan","Feb","Mar","Apr","May","Jun","Jul","Aug","Sep","Oct","Nov","Dec"},0),VALUE(LEFT(B2653,2)))))</f>
        <v>45736</v>
      </c>
    </row>
    <row r="2654" customFormat="false" ht="15" hidden="false" customHeight="false" outlineLevel="0" collapsed="false">
      <c r="A2654" s="7" t="s">
        <v>5667</v>
      </c>
      <c r="B2654" s="7" t="s">
        <v>1760</v>
      </c>
      <c r="C2654" s="7" t="s">
        <v>3709</v>
      </c>
      <c r="D2654" s="7" t="s">
        <v>1464</v>
      </c>
      <c r="E2654" s="7" t="s">
        <v>154</v>
      </c>
      <c r="F2654" s="7" t="s">
        <v>128</v>
      </c>
      <c r="G2654" s="7" t="s">
        <v>99</v>
      </c>
      <c r="H2654" s="7" t="n">
        <v>1</v>
      </c>
      <c r="I2654" s="7" t="n">
        <v>230</v>
      </c>
      <c r="J2654" s="7" t="n">
        <v>0</v>
      </c>
      <c r="K2654" s="7" t="s">
        <v>112</v>
      </c>
      <c r="L2654" s="7" t="s">
        <v>194</v>
      </c>
      <c r="M2654" s="7" t="n">
        <v>36</v>
      </c>
      <c r="N2654" s="7"/>
      <c r="O2654" s="7" t="str">
        <f aca="false">A2654&amp;"|"&amp;B2654&amp;"|"&amp;C2654&amp;"|"&amp;D2654&amp;"|"&amp;E2654&amp;"|"&amp;F2654&amp;"|"&amp;G2654&amp;"|"&amp;H2654&amp;"|"&amp;I2654&amp;"|"&amp;J2654&amp;"|"&amp;K2654&amp;"|"&amp;L2654&amp;"|"&amp;M2654&amp;"|"&amp;N2654</f>
        <v>ORD10235|2025-02-01|13:35|C1352|Madras Biryani Co|Chennai|Biryani|1|230|0|Cash on Delivery|Delivered|36|</v>
      </c>
      <c r="P2654" s="7" t="str">
        <f aca="false">IF(COUNTIF($O$2:O2654,O2654)&gt;1,"DUP","OK")</f>
        <v>OK</v>
      </c>
      <c r="Q2654" s="7" t="n">
        <f aca="false">COUNTBLANK(A2654:N2654)</f>
        <v>1</v>
      </c>
      <c r="R2654" s="7" t="n">
        <f aca="false">IF(A2654="",0,COUNTIFS($A$2:$A$3058,A2654,$P$2:$P$3058,"OK"))</f>
        <v>1</v>
      </c>
      <c r="S2654" s="7" t="str">
        <f aca="false">IF(OR(A2654="",P2654="DUP",R2654&lt;2),"",IF(Q2654=_xlfn.MINIFS($Q$2:$Q$3058,$A$2:$A$3058,A2654,$P$2:$P$3058,"OK"),"KEEP","DROP"))</f>
        <v/>
      </c>
      <c r="T2654" s="9" t="n">
        <f aca="false">IF(A2654="",1,0)</f>
        <v>0</v>
      </c>
      <c r="U2654" s="9" t="n">
        <f aca="false">IF(D2654="",1,0)</f>
        <v>0</v>
      </c>
      <c r="V2654" s="9" t="n">
        <f aca="false">IF(E2654="",1,0)</f>
        <v>0</v>
      </c>
      <c r="W2654" s="9" t="n">
        <f aca="false">IF(OR(H2654&lt;1,H2654&gt;10),1,0)</f>
        <v>0</v>
      </c>
      <c r="X2654" s="9" t="n">
        <f aca="false">IF(OR(I2654&lt;=0,I2654&gt;1500),1,0)</f>
        <v>0</v>
      </c>
      <c r="Y2654" s="9" t="n">
        <f aca="false">IF(J2654&gt;H2654*I2654,1,0)</f>
        <v>0</v>
      </c>
      <c r="Z2654" s="9" t="n">
        <f aca="false">IF(AND(N2654&lt;&gt;"",OR(N2654&lt;1,N2654&gt;5)),1,0)</f>
        <v>0</v>
      </c>
      <c r="AA2654" s="9" t="n">
        <f aca="false">IF(AND(M2654&lt;&gt;"",OR(M2654&lt;5,M2654&gt;180)),1,0)</f>
        <v>0</v>
      </c>
      <c r="AB2654" s="7" t="str">
        <f aca="false">IF(P2654="DUP","Exact duplicate row",IF(T2654=1,"Missing Order ID",IF(S2654="DROP","Duplicate Order ID (less complete row)",IF(U2654=1,"Missing Customer ID",IF(V2654=1,"Missing Restaurant name",IF(W2654=1,"Invalid/outlier quantity",IF(X2654=1,"Invalid/outlier unit price",IF(Y2654=1,"Discount greater than order value",""))))))))</f>
        <v/>
      </c>
      <c r="AC2654" s="7" t="str">
        <f aca="false">IF(AB2654="","KEEP","DROP")</f>
        <v>KEEP</v>
      </c>
      <c r="AD2654" s="7" t="str">
        <f aca="false">IF(TRIM(F2654)="",IFERROR(INDEX(Map_Tables!$I$4:$I$37,MATCH(TRIM(E2654),Map_Tables!$G$4:$G$37,0)),""),IFERROR(INDEX(Map_Tables!$B$4:$B$18,MATCH(TRIM(F2654),Map_Tables!$A$4:$A$18,0)),"CHECK"))</f>
        <v>Chennai</v>
      </c>
      <c r="AE2654" s="7" t="str">
        <f aca="false">IF(TRIM(E2654)="","",IFERROR(INDEX(Map_Tables!$H$4:$H$37,MATCH(TRIM(E2654),Map_Tables!$G$4:$G$37,0)),"CHECK"))</f>
        <v>Madras Biryani Co</v>
      </c>
      <c r="AF2654" s="7" t="str">
        <f aca="false">IF(TRIM(K2654)="","Unknown",IFERROR(INDEX(Map_Tables!$E$4:$E$15,MATCH(TRIM(K2654),Map_Tables!$D$4:$D$15,0)),"CHECK"))</f>
        <v>Cash on Delivery</v>
      </c>
      <c r="AG2654" s="7" t="str">
        <f aca="false">IF(LEFT(LOWER(TRIM(L2654)),6)="cancel","Cancelled","Delivered")</f>
        <v>Delivered</v>
      </c>
      <c r="AH2654" s="10" t="n">
        <f aca="false">IF(ISNUMBER(SEARCH("/",B2654)),DATE(VALUE(RIGHT(B2654,4)),VALUE(MID(B2654,4,2)),VALUE(LEFT(B2654,2))),IF(MID(B2654,5,1)="-",DATE(VALUE(LEFT(B2654,4)),VALUE(MID(B2654,6,2)),VALUE(RIGHT(B2654,2))),DATE(VALUE(RIGHT(B2654,4)),MATCH(MID(B2654,4,3),{"Jan","Feb","Mar","Apr","May","Jun","Jul","Aug","Sep","Oct","Nov","Dec"},0),VALUE(LEFT(B2654,2)))))</f>
        <v>45689</v>
      </c>
    </row>
    <row r="2655" customFormat="false" ht="15" hidden="false" customHeight="false" outlineLevel="0" collapsed="false">
      <c r="A2655" s="7" t="s">
        <v>5668</v>
      </c>
      <c r="B2655" s="7" t="s">
        <v>1698</v>
      </c>
      <c r="C2655" s="7" t="s">
        <v>1271</v>
      </c>
      <c r="D2655" s="7" t="s">
        <v>2805</v>
      </c>
      <c r="E2655" s="7" t="s">
        <v>98</v>
      </c>
      <c r="F2655" s="7" t="s">
        <v>86</v>
      </c>
      <c r="G2655" s="7" t="s">
        <v>99</v>
      </c>
      <c r="H2655" s="7" t="n">
        <v>4</v>
      </c>
      <c r="I2655" s="7" t="n">
        <v>275</v>
      </c>
      <c r="J2655" s="7" t="n">
        <v>40</v>
      </c>
      <c r="K2655" s="7" t="s">
        <v>93</v>
      </c>
      <c r="L2655" s="7" t="s">
        <v>194</v>
      </c>
      <c r="M2655" s="7" t="n">
        <v>24</v>
      </c>
      <c r="N2655" s="7" t="n">
        <v>3</v>
      </c>
      <c r="O2655" s="7" t="str">
        <f aca="false">A2655&amp;"|"&amp;B2655&amp;"|"&amp;C2655&amp;"|"&amp;D2655&amp;"|"&amp;E2655&amp;"|"&amp;F2655&amp;"|"&amp;G2655&amp;"|"&amp;H2655&amp;"|"&amp;I2655&amp;"|"&amp;J2655&amp;"|"&amp;K2655&amp;"|"&amp;L2655&amp;"|"&amp;M2655&amp;"|"&amp;N2655</f>
        <v>ORD12184|2025-10-05|14:30|C0138|Nawabi Biryani House|Bengaluru|Biryani|4|275|40|Credit Card|Delivered|24|3</v>
      </c>
      <c r="P2655" s="7" t="str">
        <f aca="false">IF(COUNTIF($O$2:O2655,O2655)&gt;1,"DUP","OK")</f>
        <v>OK</v>
      </c>
      <c r="Q2655" s="7" t="n">
        <f aca="false">COUNTBLANK(A2655:N2655)</f>
        <v>0</v>
      </c>
      <c r="R2655" s="7" t="n">
        <f aca="false">IF(A2655="",0,COUNTIFS($A$2:$A$3058,A2655,$P$2:$P$3058,"OK"))</f>
        <v>1</v>
      </c>
      <c r="S2655" s="7" t="str">
        <f aca="false">IF(OR(A2655="",P2655="DUP",R2655&lt;2),"",IF(Q2655=_xlfn.MINIFS($Q$2:$Q$3058,$A$2:$A$3058,A2655,$P$2:$P$3058,"OK"),"KEEP","DROP"))</f>
        <v/>
      </c>
      <c r="T2655" s="9" t="n">
        <f aca="false">IF(A2655="",1,0)</f>
        <v>0</v>
      </c>
      <c r="U2655" s="9" t="n">
        <f aca="false">IF(D2655="",1,0)</f>
        <v>0</v>
      </c>
      <c r="V2655" s="9" t="n">
        <f aca="false">IF(E2655="",1,0)</f>
        <v>0</v>
      </c>
      <c r="W2655" s="9" t="n">
        <f aca="false">IF(OR(H2655&lt;1,H2655&gt;10),1,0)</f>
        <v>0</v>
      </c>
      <c r="X2655" s="9" t="n">
        <f aca="false">IF(OR(I2655&lt;=0,I2655&gt;1500),1,0)</f>
        <v>0</v>
      </c>
      <c r="Y2655" s="9" t="n">
        <f aca="false">IF(J2655&gt;H2655*I2655,1,0)</f>
        <v>0</v>
      </c>
      <c r="Z2655" s="9" t="n">
        <f aca="false">IF(AND(N2655&lt;&gt;"",OR(N2655&lt;1,N2655&gt;5)),1,0)</f>
        <v>0</v>
      </c>
      <c r="AA2655" s="9" t="n">
        <f aca="false">IF(AND(M2655&lt;&gt;"",OR(M2655&lt;5,M2655&gt;180)),1,0)</f>
        <v>0</v>
      </c>
      <c r="AB2655" s="7" t="str">
        <f aca="false">IF(P2655="DUP","Exact duplicate row",IF(T2655=1,"Missing Order ID",IF(S2655="DROP","Duplicate Order ID (less complete row)",IF(U2655=1,"Missing Customer ID",IF(V2655=1,"Missing Restaurant name",IF(W2655=1,"Invalid/outlier quantity",IF(X2655=1,"Invalid/outlier unit price",IF(Y2655=1,"Discount greater than order value",""))))))))</f>
        <v/>
      </c>
      <c r="AC2655" s="7" t="str">
        <f aca="false">IF(AB2655="","KEEP","DROP")</f>
        <v>KEEP</v>
      </c>
      <c r="AD2655" s="7" t="str">
        <f aca="false">IF(TRIM(F2655)="",IFERROR(INDEX(Map_Tables!$I$4:$I$37,MATCH(TRIM(E2655),Map_Tables!$G$4:$G$37,0)),""),IFERROR(INDEX(Map_Tables!$B$4:$B$18,MATCH(TRIM(F2655),Map_Tables!$A$4:$A$18,0)),"CHECK"))</f>
        <v>Bengaluru</v>
      </c>
      <c r="AE2655" s="7" t="str">
        <f aca="false">IF(TRIM(E2655)="","",IFERROR(INDEX(Map_Tables!$H$4:$H$37,MATCH(TRIM(E2655),Map_Tables!$G$4:$G$37,0)),"CHECK"))</f>
        <v>Nawabi Biryani House</v>
      </c>
      <c r="AF2655" s="7" t="str">
        <f aca="false">IF(TRIM(K2655)="","Unknown",IFERROR(INDEX(Map_Tables!$E$4:$E$15,MATCH(TRIM(K2655),Map_Tables!$D$4:$D$15,0)),"CHECK"))</f>
        <v>Credit Card</v>
      </c>
      <c r="AG2655" s="7" t="str">
        <f aca="false">IF(LEFT(LOWER(TRIM(L2655)),6)="cancel","Cancelled","Delivered")</f>
        <v>Delivered</v>
      </c>
      <c r="AH2655" s="10" t="n">
        <f aca="false">IF(ISNUMBER(SEARCH("/",B2655)),DATE(VALUE(RIGHT(B2655,4)),VALUE(MID(B2655,4,2)),VALUE(LEFT(B2655,2))),IF(MID(B2655,5,1)="-",DATE(VALUE(LEFT(B2655,4)),VALUE(MID(B2655,6,2)),VALUE(RIGHT(B2655,2))),DATE(VALUE(RIGHT(B2655,4)),MATCH(MID(B2655,4,3),{"Jan","Feb","Mar","Apr","May","Jun","Jul","Aug","Sep","Oct","Nov","Dec"},0),VALUE(LEFT(B2655,2)))))</f>
        <v>45935</v>
      </c>
    </row>
    <row r="2656" customFormat="false" ht="15" hidden="false" customHeight="false" outlineLevel="0" collapsed="false">
      <c r="A2656" s="7" t="s">
        <v>5669</v>
      </c>
      <c r="B2656" s="7" t="s">
        <v>537</v>
      </c>
      <c r="C2656" s="7" t="s">
        <v>796</v>
      </c>
      <c r="D2656" s="7" t="s">
        <v>3114</v>
      </c>
      <c r="E2656" s="7" t="s">
        <v>3474</v>
      </c>
      <c r="F2656" s="7" t="s">
        <v>110</v>
      </c>
      <c r="G2656" s="7" t="s">
        <v>117</v>
      </c>
      <c r="H2656" s="7" t="n">
        <v>1</v>
      </c>
      <c r="I2656" s="7" t="n">
        <v>100</v>
      </c>
      <c r="J2656" s="7" t="n">
        <v>0</v>
      </c>
      <c r="K2656" s="7" t="s">
        <v>103</v>
      </c>
      <c r="L2656" s="7" t="s">
        <v>194</v>
      </c>
      <c r="M2656" s="7" t="n">
        <v>38</v>
      </c>
      <c r="N2656" s="7" t="n">
        <v>4</v>
      </c>
      <c r="O2656" s="7" t="str">
        <f aca="false">A2656&amp;"|"&amp;B2656&amp;"|"&amp;C2656&amp;"|"&amp;D2656&amp;"|"&amp;E2656&amp;"|"&amp;F2656&amp;"|"&amp;G2656&amp;"|"&amp;H2656&amp;"|"&amp;I2656&amp;"|"&amp;J2656&amp;"|"&amp;K2656&amp;"|"&amp;L2656&amp;"|"&amp;M2656&amp;"|"&amp;N2656</f>
        <v>ORD12035|2025-09-20|13:38|C0053|Chaat Corner |Delhi|Street Food|1|100|0|Debit Card|Delivered|38|4</v>
      </c>
      <c r="P2656" s="7" t="str">
        <f aca="false">IF(COUNTIF($O$2:O2656,O2656)&gt;1,"DUP","OK")</f>
        <v>OK</v>
      </c>
      <c r="Q2656" s="7" t="n">
        <f aca="false">COUNTBLANK(A2656:N2656)</f>
        <v>0</v>
      </c>
      <c r="R2656" s="7" t="n">
        <f aca="false">IF(A2656="",0,COUNTIFS($A$2:$A$3058,A2656,$P$2:$P$3058,"OK"))</f>
        <v>1</v>
      </c>
      <c r="S2656" s="7" t="str">
        <f aca="false">IF(OR(A2656="",P2656="DUP",R2656&lt;2),"",IF(Q2656=_xlfn.MINIFS($Q$2:$Q$3058,$A$2:$A$3058,A2656,$P$2:$P$3058,"OK"),"KEEP","DROP"))</f>
        <v/>
      </c>
      <c r="T2656" s="9" t="n">
        <f aca="false">IF(A2656="",1,0)</f>
        <v>0</v>
      </c>
      <c r="U2656" s="9" t="n">
        <f aca="false">IF(D2656="",1,0)</f>
        <v>0</v>
      </c>
      <c r="V2656" s="9" t="n">
        <f aca="false">IF(E2656="",1,0)</f>
        <v>0</v>
      </c>
      <c r="W2656" s="9" t="n">
        <f aca="false">IF(OR(H2656&lt;1,H2656&gt;10),1,0)</f>
        <v>0</v>
      </c>
      <c r="X2656" s="9" t="n">
        <f aca="false">IF(OR(I2656&lt;=0,I2656&gt;1500),1,0)</f>
        <v>0</v>
      </c>
      <c r="Y2656" s="9" t="n">
        <f aca="false">IF(J2656&gt;H2656*I2656,1,0)</f>
        <v>0</v>
      </c>
      <c r="Z2656" s="9" t="n">
        <f aca="false">IF(AND(N2656&lt;&gt;"",OR(N2656&lt;1,N2656&gt;5)),1,0)</f>
        <v>0</v>
      </c>
      <c r="AA2656" s="9" t="n">
        <f aca="false">IF(AND(M2656&lt;&gt;"",OR(M2656&lt;5,M2656&gt;180)),1,0)</f>
        <v>0</v>
      </c>
      <c r="AB2656" s="7" t="str">
        <f aca="false">IF(P2656="DUP","Exact duplicate row",IF(T2656=1,"Missing Order ID",IF(S2656="DROP","Duplicate Order ID (less complete row)",IF(U2656=1,"Missing Customer ID",IF(V2656=1,"Missing Restaurant name",IF(W2656=1,"Invalid/outlier quantity",IF(X2656=1,"Invalid/outlier unit price",IF(Y2656=1,"Discount greater than order value",""))))))))</f>
        <v/>
      </c>
      <c r="AC2656" s="7" t="str">
        <f aca="false">IF(AB2656="","KEEP","DROP")</f>
        <v>KEEP</v>
      </c>
      <c r="AD2656" s="7" t="str">
        <f aca="false">IF(TRIM(F2656)="",IFERROR(INDEX(Map_Tables!$I$4:$I$37,MATCH(TRIM(E2656),Map_Tables!$G$4:$G$37,0)),""),IFERROR(INDEX(Map_Tables!$B$4:$B$18,MATCH(TRIM(F2656),Map_Tables!$A$4:$A$18,0)),"CHECK"))</f>
        <v>Delhi</v>
      </c>
      <c r="AE2656" s="7" t="str">
        <f aca="false">IF(TRIM(E2656)="","",IFERROR(INDEX(Map_Tables!$H$4:$H$37,MATCH(TRIM(E2656),Map_Tables!$G$4:$G$37,0)),"CHECK"))</f>
        <v>Chaat Corner</v>
      </c>
      <c r="AF2656" s="7" t="str">
        <f aca="false">IF(TRIM(K2656)="","Unknown",IFERROR(INDEX(Map_Tables!$E$4:$E$15,MATCH(TRIM(K2656),Map_Tables!$D$4:$D$15,0)),"CHECK"))</f>
        <v>Debit Card</v>
      </c>
      <c r="AG2656" s="7" t="str">
        <f aca="false">IF(LEFT(LOWER(TRIM(L2656)),6)="cancel","Cancelled","Delivered")</f>
        <v>Delivered</v>
      </c>
      <c r="AH2656" s="10" t="n">
        <f aca="false">IF(ISNUMBER(SEARCH("/",B2656)),DATE(VALUE(RIGHT(B2656,4)),VALUE(MID(B2656,4,2)),VALUE(LEFT(B2656,2))),IF(MID(B2656,5,1)="-",DATE(VALUE(LEFT(B2656,4)),VALUE(MID(B2656,6,2)),VALUE(RIGHT(B2656,2))),DATE(VALUE(RIGHT(B2656,4)),MATCH(MID(B2656,4,3),{"Jan","Feb","Mar","Apr","May","Jun","Jul","Aug","Sep","Oct","Nov","Dec"},0),VALUE(LEFT(B2656,2)))))</f>
        <v>45920</v>
      </c>
    </row>
    <row r="2657" customFormat="false" ht="15" hidden="false" customHeight="false" outlineLevel="0" collapsed="false">
      <c r="A2657" s="7" t="s">
        <v>5670</v>
      </c>
      <c r="B2657" s="7" t="s">
        <v>2162</v>
      </c>
      <c r="C2657" s="7" t="s">
        <v>1624</v>
      </c>
      <c r="D2657" s="7" t="s">
        <v>1261</v>
      </c>
      <c r="E2657" s="7" t="s">
        <v>158</v>
      </c>
      <c r="F2657" s="7" t="s">
        <v>135</v>
      </c>
      <c r="G2657" s="7" t="s">
        <v>139</v>
      </c>
      <c r="H2657" s="7" t="n">
        <v>1</v>
      </c>
      <c r="I2657" s="7" t="n">
        <v>195</v>
      </c>
      <c r="J2657" s="7" t="n">
        <v>50</v>
      </c>
      <c r="K2657" s="7" t="s">
        <v>103</v>
      </c>
      <c r="L2657" s="7" t="s">
        <v>194</v>
      </c>
      <c r="M2657" s="7" t="n">
        <v>39</v>
      </c>
      <c r="N2657" s="7" t="n">
        <v>5</v>
      </c>
      <c r="O2657" s="7" t="str">
        <f aca="false">A2657&amp;"|"&amp;B2657&amp;"|"&amp;C2657&amp;"|"&amp;D2657&amp;"|"&amp;E2657&amp;"|"&amp;F2657&amp;"|"&amp;G2657&amp;"|"&amp;H2657&amp;"|"&amp;I2657&amp;"|"&amp;J2657&amp;"|"&amp;K2657&amp;"|"&amp;L2657&amp;"|"&amp;M2657&amp;"|"&amp;N2657</f>
        <v>ORD11827|2025-08-26|20:31|C0889|Pune Burger Hub|pune|Burgers|1|195|50|Debit Card|Delivered|39|5</v>
      </c>
      <c r="P2657" s="7" t="str">
        <f aca="false">IF(COUNTIF($O$2:O2657,O2657)&gt;1,"DUP","OK")</f>
        <v>OK</v>
      </c>
      <c r="Q2657" s="7" t="n">
        <f aca="false">COUNTBLANK(A2657:N2657)</f>
        <v>0</v>
      </c>
      <c r="R2657" s="7" t="n">
        <f aca="false">IF(A2657="",0,COUNTIFS($A$2:$A$3058,A2657,$P$2:$P$3058,"OK"))</f>
        <v>1</v>
      </c>
      <c r="S2657" s="7" t="str">
        <f aca="false">IF(OR(A2657="",P2657="DUP",R2657&lt;2),"",IF(Q2657=_xlfn.MINIFS($Q$2:$Q$3058,$A$2:$A$3058,A2657,$P$2:$P$3058,"OK"),"KEEP","DROP"))</f>
        <v/>
      </c>
      <c r="T2657" s="9" t="n">
        <f aca="false">IF(A2657="",1,0)</f>
        <v>0</v>
      </c>
      <c r="U2657" s="9" t="n">
        <f aca="false">IF(D2657="",1,0)</f>
        <v>0</v>
      </c>
      <c r="V2657" s="9" t="n">
        <f aca="false">IF(E2657="",1,0)</f>
        <v>0</v>
      </c>
      <c r="W2657" s="9" t="n">
        <f aca="false">IF(OR(H2657&lt;1,H2657&gt;10),1,0)</f>
        <v>0</v>
      </c>
      <c r="X2657" s="9" t="n">
        <f aca="false">IF(OR(I2657&lt;=0,I2657&gt;1500),1,0)</f>
        <v>0</v>
      </c>
      <c r="Y2657" s="9" t="n">
        <f aca="false">IF(J2657&gt;H2657*I2657,1,0)</f>
        <v>0</v>
      </c>
      <c r="Z2657" s="9" t="n">
        <f aca="false">IF(AND(N2657&lt;&gt;"",OR(N2657&lt;1,N2657&gt;5)),1,0)</f>
        <v>0</v>
      </c>
      <c r="AA2657" s="9" t="n">
        <f aca="false">IF(AND(M2657&lt;&gt;"",OR(M2657&lt;5,M2657&gt;180)),1,0)</f>
        <v>0</v>
      </c>
      <c r="AB2657" s="7" t="str">
        <f aca="false">IF(P2657="DUP","Exact duplicate row",IF(T2657=1,"Missing Order ID",IF(S2657="DROP","Duplicate Order ID (less complete row)",IF(U2657=1,"Missing Customer ID",IF(V2657=1,"Missing Restaurant name",IF(W2657=1,"Invalid/outlier quantity",IF(X2657=1,"Invalid/outlier unit price",IF(Y2657=1,"Discount greater than order value",""))))))))</f>
        <v/>
      </c>
      <c r="AC2657" s="7" t="str">
        <f aca="false">IF(AB2657="","KEEP","DROP")</f>
        <v>KEEP</v>
      </c>
      <c r="AD2657" s="7" t="str">
        <f aca="false">IF(TRIM(F2657)="",IFERROR(INDEX(Map_Tables!$I$4:$I$37,MATCH(TRIM(E2657),Map_Tables!$G$4:$G$37,0)),""),IFERROR(INDEX(Map_Tables!$B$4:$B$18,MATCH(TRIM(F2657),Map_Tables!$A$4:$A$18,0)),"CHECK"))</f>
        <v>Pune</v>
      </c>
      <c r="AE2657" s="7" t="str">
        <f aca="false">IF(TRIM(E2657)="","",IFERROR(INDEX(Map_Tables!$H$4:$H$37,MATCH(TRIM(E2657),Map_Tables!$G$4:$G$37,0)),"CHECK"))</f>
        <v>Pune Burger Hub</v>
      </c>
      <c r="AF2657" s="7" t="str">
        <f aca="false">IF(TRIM(K2657)="","Unknown",IFERROR(INDEX(Map_Tables!$E$4:$E$15,MATCH(TRIM(K2657),Map_Tables!$D$4:$D$15,0)),"CHECK"))</f>
        <v>Debit Card</v>
      </c>
      <c r="AG2657" s="7" t="str">
        <f aca="false">IF(LEFT(LOWER(TRIM(L2657)),6)="cancel","Cancelled","Delivered")</f>
        <v>Delivered</v>
      </c>
      <c r="AH2657" s="10" t="n">
        <f aca="false">IF(ISNUMBER(SEARCH("/",B2657)),DATE(VALUE(RIGHT(B2657,4)),VALUE(MID(B2657,4,2)),VALUE(LEFT(B2657,2))),IF(MID(B2657,5,1)="-",DATE(VALUE(LEFT(B2657,4)),VALUE(MID(B2657,6,2)),VALUE(RIGHT(B2657,2))),DATE(VALUE(RIGHT(B2657,4)),MATCH(MID(B2657,4,3),{"Jan","Feb","Mar","Apr","May","Jun","Jul","Aug","Sep","Oct","Nov","Dec"},0),VALUE(LEFT(B2657,2)))))</f>
        <v>45895</v>
      </c>
    </row>
    <row r="2658" customFormat="false" ht="15" hidden="false" customHeight="false" outlineLevel="0" collapsed="false">
      <c r="A2658" s="7" t="s">
        <v>5671</v>
      </c>
      <c r="B2658" s="7" t="s">
        <v>3637</v>
      </c>
      <c r="C2658" s="7" t="s">
        <v>1168</v>
      </c>
      <c r="D2658" s="7" t="s">
        <v>2411</v>
      </c>
      <c r="E2658" s="7" t="s">
        <v>159</v>
      </c>
      <c r="F2658" s="7" t="s">
        <v>1226</v>
      </c>
      <c r="G2658" s="7" t="s">
        <v>90</v>
      </c>
      <c r="H2658" s="7" t="n">
        <v>2</v>
      </c>
      <c r="I2658" s="7" t="n">
        <v>245</v>
      </c>
      <c r="J2658" s="7" t="n">
        <v>40</v>
      </c>
      <c r="K2658" s="7" t="s">
        <v>121</v>
      </c>
      <c r="L2658" s="7" t="s">
        <v>194</v>
      </c>
      <c r="M2658" s="7" t="n">
        <v>29</v>
      </c>
      <c r="N2658" s="7" t="n">
        <v>5</v>
      </c>
      <c r="O2658" s="7" t="str">
        <f aca="false">A2658&amp;"|"&amp;B2658&amp;"|"&amp;C2658&amp;"|"&amp;D2658&amp;"|"&amp;E2658&amp;"|"&amp;F2658&amp;"|"&amp;G2658&amp;"|"&amp;H2658&amp;"|"&amp;I2658&amp;"|"&amp;J2658&amp;"|"&amp;K2658&amp;"|"&amp;L2658&amp;"|"&amp;M2658&amp;"|"&amp;N2658</f>
        <v>ORD12885|2025-12-19|18:56|C0477|Maratha Thali House|Pune |North Indian|2|245|40|Wallet|Delivered|29|5</v>
      </c>
      <c r="P2658" s="7" t="str">
        <f aca="false">IF(COUNTIF($O$2:O2658,O2658)&gt;1,"DUP","OK")</f>
        <v>OK</v>
      </c>
      <c r="Q2658" s="7" t="n">
        <f aca="false">COUNTBLANK(A2658:N2658)</f>
        <v>0</v>
      </c>
      <c r="R2658" s="7" t="n">
        <f aca="false">IF(A2658="",0,COUNTIFS($A$2:$A$3058,A2658,$P$2:$P$3058,"OK"))</f>
        <v>1</v>
      </c>
      <c r="S2658" s="7" t="str">
        <f aca="false">IF(OR(A2658="",P2658="DUP",R2658&lt;2),"",IF(Q2658=_xlfn.MINIFS($Q$2:$Q$3058,$A$2:$A$3058,A2658,$P$2:$P$3058,"OK"),"KEEP","DROP"))</f>
        <v/>
      </c>
      <c r="T2658" s="9" t="n">
        <f aca="false">IF(A2658="",1,0)</f>
        <v>0</v>
      </c>
      <c r="U2658" s="9" t="n">
        <f aca="false">IF(D2658="",1,0)</f>
        <v>0</v>
      </c>
      <c r="V2658" s="9" t="n">
        <f aca="false">IF(E2658="",1,0)</f>
        <v>0</v>
      </c>
      <c r="W2658" s="9" t="n">
        <f aca="false">IF(OR(H2658&lt;1,H2658&gt;10),1,0)</f>
        <v>0</v>
      </c>
      <c r="X2658" s="9" t="n">
        <f aca="false">IF(OR(I2658&lt;=0,I2658&gt;1500),1,0)</f>
        <v>0</v>
      </c>
      <c r="Y2658" s="9" t="n">
        <f aca="false">IF(J2658&gt;H2658*I2658,1,0)</f>
        <v>0</v>
      </c>
      <c r="Z2658" s="9" t="n">
        <f aca="false">IF(AND(N2658&lt;&gt;"",OR(N2658&lt;1,N2658&gt;5)),1,0)</f>
        <v>0</v>
      </c>
      <c r="AA2658" s="9" t="n">
        <f aca="false">IF(AND(M2658&lt;&gt;"",OR(M2658&lt;5,M2658&gt;180)),1,0)</f>
        <v>0</v>
      </c>
      <c r="AB2658" s="7" t="str">
        <f aca="false">IF(P2658="DUP","Exact duplicate row",IF(T2658=1,"Missing Order ID",IF(S2658="DROP","Duplicate Order ID (less complete row)",IF(U2658=1,"Missing Customer ID",IF(V2658=1,"Missing Restaurant name",IF(W2658=1,"Invalid/outlier quantity",IF(X2658=1,"Invalid/outlier unit price",IF(Y2658=1,"Discount greater than order value",""))))))))</f>
        <v/>
      </c>
      <c r="AC2658" s="7" t="str">
        <f aca="false">IF(AB2658="","KEEP","DROP")</f>
        <v>KEEP</v>
      </c>
      <c r="AD2658" s="7" t="str">
        <f aca="false">IF(TRIM(F2658)="",IFERROR(INDEX(Map_Tables!$I$4:$I$37,MATCH(TRIM(E2658),Map_Tables!$G$4:$G$37,0)),""),IFERROR(INDEX(Map_Tables!$B$4:$B$18,MATCH(TRIM(F2658),Map_Tables!$A$4:$A$18,0)),"CHECK"))</f>
        <v>Pune</v>
      </c>
      <c r="AE2658" s="7" t="str">
        <f aca="false">IF(TRIM(E2658)="","",IFERROR(INDEX(Map_Tables!$H$4:$H$37,MATCH(TRIM(E2658),Map_Tables!$G$4:$G$37,0)),"CHECK"))</f>
        <v>Maratha Thali House</v>
      </c>
      <c r="AF2658" s="7" t="str">
        <f aca="false">IF(TRIM(K2658)="","Unknown",IFERROR(INDEX(Map_Tables!$E$4:$E$15,MATCH(TRIM(K2658),Map_Tables!$D$4:$D$15,0)),"CHECK"))</f>
        <v>Wallet</v>
      </c>
      <c r="AG2658" s="7" t="str">
        <f aca="false">IF(LEFT(LOWER(TRIM(L2658)),6)="cancel","Cancelled","Delivered")</f>
        <v>Delivered</v>
      </c>
      <c r="AH2658" s="10" t="n">
        <f aca="false">IF(ISNUMBER(SEARCH("/",B2658)),DATE(VALUE(RIGHT(B2658,4)),VALUE(MID(B2658,4,2)),VALUE(LEFT(B2658,2))),IF(MID(B2658,5,1)="-",DATE(VALUE(LEFT(B2658,4)),VALUE(MID(B2658,6,2)),VALUE(RIGHT(B2658,2))),DATE(VALUE(RIGHT(B2658,4)),MATCH(MID(B2658,4,3),{"Jan","Feb","Mar","Apr","May","Jun","Jul","Aug","Sep","Oct","Nov","Dec"},0),VALUE(LEFT(B2658,2)))))</f>
        <v>46010</v>
      </c>
    </row>
    <row r="2659" customFormat="false" ht="15" hidden="false" customHeight="false" outlineLevel="0" collapsed="false">
      <c r="A2659" s="7" t="s">
        <v>5672</v>
      </c>
      <c r="B2659" s="7" t="s">
        <v>865</v>
      </c>
      <c r="C2659" s="7" t="s">
        <v>1635</v>
      </c>
      <c r="D2659" s="7" t="s">
        <v>5673</v>
      </c>
      <c r="E2659" s="7" t="s">
        <v>151</v>
      </c>
      <c r="F2659" s="7" t="s">
        <v>702</v>
      </c>
      <c r="G2659" s="7" t="s">
        <v>95</v>
      </c>
      <c r="H2659" s="7" t="n">
        <v>2</v>
      </c>
      <c r="I2659" s="7" t="n">
        <v>175</v>
      </c>
      <c r="J2659" s="7" t="n">
        <v>125</v>
      </c>
      <c r="K2659" s="7" t="s">
        <v>112</v>
      </c>
      <c r="L2659" s="7" t="s">
        <v>194</v>
      </c>
      <c r="M2659" s="7" t="n">
        <v>42</v>
      </c>
      <c r="N2659" s="7"/>
      <c r="O2659" s="7" t="str">
        <f aca="false">A2659&amp;"|"&amp;B2659&amp;"|"&amp;C2659&amp;"|"&amp;D2659&amp;"|"&amp;E2659&amp;"|"&amp;F2659&amp;"|"&amp;G2659&amp;"|"&amp;H2659&amp;"|"&amp;I2659&amp;"|"&amp;J2659&amp;"|"&amp;K2659&amp;"|"&amp;L2659&amp;"|"&amp;M2659&amp;"|"&amp;N2659</f>
        <v>ORD12641|2025-11-22|21:31|C0258|Chettinad House|CHENNAI |South Indian|2|175|125|Cash on Delivery|Delivered|42|</v>
      </c>
      <c r="P2659" s="7" t="str">
        <f aca="false">IF(COUNTIF($O$2:O2659,O2659)&gt;1,"DUP","OK")</f>
        <v>OK</v>
      </c>
      <c r="Q2659" s="7" t="n">
        <f aca="false">COUNTBLANK(A2659:N2659)</f>
        <v>1</v>
      </c>
      <c r="R2659" s="7" t="n">
        <f aca="false">IF(A2659="",0,COUNTIFS($A$2:$A$3058,A2659,$P$2:$P$3058,"OK"))</f>
        <v>1</v>
      </c>
      <c r="S2659" s="7" t="str">
        <f aca="false">IF(OR(A2659="",P2659="DUP",R2659&lt;2),"",IF(Q2659=_xlfn.MINIFS($Q$2:$Q$3058,$A$2:$A$3058,A2659,$P$2:$P$3058,"OK"),"KEEP","DROP"))</f>
        <v/>
      </c>
      <c r="T2659" s="9" t="n">
        <f aca="false">IF(A2659="",1,0)</f>
        <v>0</v>
      </c>
      <c r="U2659" s="9" t="n">
        <f aca="false">IF(D2659="",1,0)</f>
        <v>0</v>
      </c>
      <c r="V2659" s="9" t="n">
        <f aca="false">IF(E2659="",1,0)</f>
        <v>0</v>
      </c>
      <c r="W2659" s="9" t="n">
        <f aca="false">IF(OR(H2659&lt;1,H2659&gt;10),1,0)</f>
        <v>0</v>
      </c>
      <c r="X2659" s="9" t="n">
        <f aca="false">IF(OR(I2659&lt;=0,I2659&gt;1500),1,0)</f>
        <v>0</v>
      </c>
      <c r="Y2659" s="9" t="n">
        <f aca="false">IF(J2659&gt;H2659*I2659,1,0)</f>
        <v>0</v>
      </c>
      <c r="Z2659" s="9" t="n">
        <f aca="false">IF(AND(N2659&lt;&gt;"",OR(N2659&lt;1,N2659&gt;5)),1,0)</f>
        <v>0</v>
      </c>
      <c r="AA2659" s="9" t="n">
        <f aca="false">IF(AND(M2659&lt;&gt;"",OR(M2659&lt;5,M2659&gt;180)),1,0)</f>
        <v>0</v>
      </c>
      <c r="AB2659" s="7" t="str">
        <f aca="false">IF(P2659="DUP","Exact duplicate row",IF(T2659=1,"Missing Order ID",IF(S2659="DROP","Duplicate Order ID (less complete row)",IF(U2659=1,"Missing Customer ID",IF(V2659=1,"Missing Restaurant name",IF(W2659=1,"Invalid/outlier quantity",IF(X2659=1,"Invalid/outlier unit price",IF(Y2659=1,"Discount greater than order value",""))))))))</f>
        <v/>
      </c>
      <c r="AC2659" s="7" t="str">
        <f aca="false">IF(AB2659="","KEEP","DROP")</f>
        <v>KEEP</v>
      </c>
      <c r="AD2659" s="7" t="str">
        <f aca="false">IF(TRIM(F2659)="",IFERROR(INDEX(Map_Tables!$I$4:$I$37,MATCH(TRIM(E2659),Map_Tables!$G$4:$G$37,0)),""),IFERROR(INDEX(Map_Tables!$B$4:$B$18,MATCH(TRIM(F2659),Map_Tables!$A$4:$A$18,0)),"CHECK"))</f>
        <v>Chennai</v>
      </c>
      <c r="AE2659" s="7" t="str">
        <f aca="false">IF(TRIM(E2659)="","",IFERROR(INDEX(Map_Tables!$H$4:$H$37,MATCH(TRIM(E2659),Map_Tables!$G$4:$G$37,0)),"CHECK"))</f>
        <v>Chettinad House</v>
      </c>
      <c r="AF2659" s="7" t="str">
        <f aca="false">IF(TRIM(K2659)="","Unknown",IFERROR(INDEX(Map_Tables!$E$4:$E$15,MATCH(TRIM(K2659),Map_Tables!$D$4:$D$15,0)),"CHECK"))</f>
        <v>Cash on Delivery</v>
      </c>
      <c r="AG2659" s="7" t="str">
        <f aca="false">IF(LEFT(LOWER(TRIM(L2659)),6)="cancel","Cancelled","Delivered")</f>
        <v>Delivered</v>
      </c>
      <c r="AH2659" s="10" t="n">
        <f aca="false">IF(ISNUMBER(SEARCH("/",B2659)),DATE(VALUE(RIGHT(B2659,4)),VALUE(MID(B2659,4,2)),VALUE(LEFT(B2659,2))),IF(MID(B2659,5,1)="-",DATE(VALUE(LEFT(B2659,4)),VALUE(MID(B2659,6,2)),VALUE(RIGHT(B2659,2))),DATE(VALUE(RIGHT(B2659,4)),MATCH(MID(B2659,4,3),{"Jan","Feb","Mar","Apr","May","Jun","Jul","Aug","Sep","Oct","Nov","Dec"},0),VALUE(LEFT(B2659,2)))))</f>
        <v>45983</v>
      </c>
    </row>
    <row r="2660" customFormat="false" ht="15" hidden="false" customHeight="false" outlineLevel="0" collapsed="false">
      <c r="A2660" s="7" t="s">
        <v>5674</v>
      </c>
      <c r="B2660" s="7" t="s">
        <v>869</v>
      </c>
      <c r="C2660" s="7" t="s">
        <v>5675</v>
      </c>
      <c r="D2660" s="7" t="s">
        <v>2677</v>
      </c>
      <c r="E2660" s="7" t="s">
        <v>142</v>
      </c>
      <c r="F2660" s="7" t="s">
        <v>110</v>
      </c>
      <c r="G2660" s="7" t="s">
        <v>105</v>
      </c>
      <c r="H2660" s="7" t="n">
        <v>1</v>
      </c>
      <c r="I2660" s="7" t="n">
        <v>165</v>
      </c>
      <c r="J2660" s="7" t="n">
        <v>0</v>
      </c>
      <c r="K2660" s="7" t="s">
        <v>93</v>
      </c>
      <c r="L2660" s="7" t="s">
        <v>194</v>
      </c>
      <c r="M2660" s="7" t="n">
        <v>25</v>
      </c>
      <c r="N2660" s="7" t="n">
        <v>5</v>
      </c>
      <c r="O2660" s="7" t="str">
        <f aca="false">A2660&amp;"|"&amp;B2660&amp;"|"&amp;C2660&amp;"|"&amp;D2660&amp;"|"&amp;E2660&amp;"|"&amp;F2660&amp;"|"&amp;G2660&amp;"|"&amp;H2660&amp;"|"&amp;I2660&amp;"|"&amp;J2660&amp;"|"&amp;K2660&amp;"|"&amp;L2660&amp;"|"&amp;M2660&amp;"|"&amp;N2660</f>
        <v>ORD11315|2025-06-19|15:21|C1439|Momo Magic|Delhi|Chinese|1|165|0|Credit Card|Delivered|25|5</v>
      </c>
      <c r="P2660" s="7" t="str">
        <f aca="false">IF(COUNTIF($O$2:O2660,O2660)&gt;1,"DUP","OK")</f>
        <v>OK</v>
      </c>
      <c r="Q2660" s="7" t="n">
        <f aca="false">COUNTBLANK(A2660:N2660)</f>
        <v>0</v>
      </c>
      <c r="R2660" s="7" t="n">
        <f aca="false">IF(A2660="",0,COUNTIFS($A$2:$A$3058,A2660,$P$2:$P$3058,"OK"))</f>
        <v>1</v>
      </c>
      <c r="S2660" s="7" t="str">
        <f aca="false">IF(OR(A2660="",P2660="DUP",R2660&lt;2),"",IF(Q2660=_xlfn.MINIFS($Q$2:$Q$3058,$A$2:$A$3058,A2660,$P$2:$P$3058,"OK"),"KEEP","DROP"))</f>
        <v/>
      </c>
      <c r="T2660" s="9" t="n">
        <f aca="false">IF(A2660="",1,0)</f>
        <v>0</v>
      </c>
      <c r="U2660" s="9" t="n">
        <f aca="false">IF(D2660="",1,0)</f>
        <v>0</v>
      </c>
      <c r="V2660" s="9" t="n">
        <f aca="false">IF(E2660="",1,0)</f>
        <v>0</v>
      </c>
      <c r="W2660" s="9" t="n">
        <f aca="false">IF(OR(H2660&lt;1,H2660&gt;10),1,0)</f>
        <v>0</v>
      </c>
      <c r="X2660" s="9" t="n">
        <f aca="false">IF(OR(I2660&lt;=0,I2660&gt;1500),1,0)</f>
        <v>0</v>
      </c>
      <c r="Y2660" s="9" t="n">
        <f aca="false">IF(J2660&gt;H2660*I2660,1,0)</f>
        <v>0</v>
      </c>
      <c r="Z2660" s="9" t="n">
        <f aca="false">IF(AND(N2660&lt;&gt;"",OR(N2660&lt;1,N2660&gt;5)),1,0)</f>
        <v>0</v>
      </c>
      <c r="AA2660" s="9" t="n">
        <f aca="false">IF(AND(M2660&lt;&gt;"",OR(M2660&lt;5,M2660&gt;180)),1,0)</f>
        <v>0</v>
      </c>
      <c r="AB2660" s="7" t="str">
        <f aca="false">IF(P2660="DUP","Exact duplicate row",IF(T2660=1,"Missing Order ID",IF(S2660="DROP","Duplicate Order ID (less complete row)",IF(U2660=1,"Missing Customer ID",IF(V2660=1,"Missing Restaurant name",IF(W2660=1,"Invalid/outlier quantity",IF(X2660=1,"Invalid/outlier unit price",IF(Y2660=1,"Discount greater than order value",""))))))))</f>
        <v/>
      </c>
      <c r="AC2660" s="7" t="str">
        <f aca="false">IF(AB2660="","KEEP","DROP")</f>
        <v>KEEP</v>
      </c>
      <c r="AD2660" s="7" t="str">
        <f aca="false">IF(TRIM(F2660)="",IFERROR(INDEX(Map_Tables!$I$4:$I$37,MATCH(TRIM(E2660),Map_Tables!$G$4:$G$37,0)),""),IFERROR(INDEX(Map_Tables!$B$4:$B$18,MATCH(TRIM(F2660),Map_Tables!$A$4:$A$18,0)),"CHECK"))</f>
        <v>Delhi</v>
      </c>
      <c r="AE2660" s="7" t="str">
        <f aca="false">IF(TRIM(E2660)="","",IFERROR(INDEX(Map_Tables!$H$4:$H$37,MATCH(TRIM(E2660),Map_Tables!$G$4:$G$37,0)),"CHECK"))</f>
        <v>Momo Magic</v>
      </c>
      <c r="AF2660" s="7" t="str">
        <f aca="false">IF(TRIM(K2660)="","Unknown",IFERROR(INDEX(Map_Tables!$E$4:$E$15,MATCH(TRIM(K2660),Map_Tables!$D$4:$D$15,0)),"CHECK"))</f>
        <v>Credit Card</v>
      </c>
      <c r="AG2660" s="7" t="str">
        <f aca="false">IF(LEFT(LOWER(TRIM(L2660)),6)="cancel","Cancelled","Delivered")</f>
        <v>Delivered</v>
      </c>
      <c r="AH2660" s="10" t="n">
        <f aca="false">IF(ISNUMBER(SEARCH("/",B2660)),DATE(VALUE(RIGHT(B2660,4)),VALUE(MID(B2660,4,2)),VALUE(LEFT(B2660,2))),IF(MID(B2660,5,1)="-",DATE(VALUE(LEFT(B2660,4)),VALUE(MID(B2660,6,2)),VALUE(RIGHT(B2660,2))),DATE(VALUE(RIGHT(B2660,4)),MATCH(MID(B2660,4,3),{"Jan","Feb","Mar","Apr","May","Jun","Jul","Aug","Sep","Oct","Nov","Dec"},0),VALUE(LEFT(B2660,2)))))</f>
        <v>45827</v>
      </c>
    </row>
    <row r="2661" customFormat="false" ht="15" hidden="false" customHeight="false" outlineLevel="0" collapsed="false">
      <c r="A2661" s="7" t="s">
        <v>5676</v>
      </c>
      <c r="B2661" s="7" t="s">
        <v>451</v>
      </c>
      <c r="C2661" s="7" t="s">
        <v>5677</v>
      </c>
      <c r="D2661" s="7" t="s">
        <v>482</v>
      </c>
      <c r="E2661" s="7" t="s">
        <v>126</v>
      </c>
      <c r="F2661" s="7" t="s">
        <v>101</v>
      </c>
      <c r="G2661" s="7" t="s">
        <v>105</v>
      </c>
      <c r="H2661" s="7" t="n">
        <v>3</v>
      </c>
      <c r="I2661" s="7" t="n">
        <v>195</v>
      </c>
      <c r="J2661" s="7" t="n">
        <v>0</v>
      </c>
      <c r="K2661" s="7" t="s">
        <v>2596</v>
      </c>
      <c r="L2661" s="7" t="s">
        <v>194</v>
      </c>
      <c r="M2661" s="7" t="n">
        <v>47</v>
      </c>
      <c r="N2661" s="7" t="n">
        <v>3</v>
      </c>
      <c r="O2661" s="7" t="str">
        <f aca="false">A2661&amp;"|"&amp;B2661&amp;"|"&amp;C2661&amp;"|"&amp;D2661&amp;"|"&amp;E2661&amp;"|"&amp;F2661&amp;"|"&amp;G2661&amp;"|"&amp;H2661&amp;"|"&amp;I2661&amp;"|"&amp;J2661&amp;"|"&amp;K2661&amp;"|"&amp;L2661&amp;"|"&amp;M2661&amp;"|"&amp;N2661</f>
        <v>ORD11526|2025-07-17|17:37|C0476|Dragon Express|Mumbai|Chinese|3|195|0|COD|Delivered|47|3</v>
      </c>
      <c r="P2661" s="7" t="str">
        <f aca="false">IF(COUNTIF($O$2:O2661,O2661)&gt;1,"DUP","OK")</f>
        <v>OK</v>
      </c>
      <c r="Q2661" s="7" t="n">
        <f aca="false">COUNTBLANK(A2661:N2661)</f>
        <v>0</v>
      </c>
      <c r="R2661" s="7" t="n">
        <f aca="false">IF(A2661="",0,COUNTIFS($A$2:$A$3058,A2661,$P$2:$P$3058,"OK"))</f>
        <v>1</v>
      </c>
      <c r="S2661" s="7" t="str">
        <f aca="false">IF(OR(A2661="",P2661="DUP",R2661&lt;2),"",IF(Q2661=_xlfn.MINIFS($Q$2:$Q$3058,$A$2:$A$3058,A2661,$P$2:$P$3058,"OK"),"KEEP","DROP"))</f>
        <v/>
      </c>
      <c r="T2661" s="9" t="n">
        <f aca="false">IF(A2661="",1,0)</f>
        <v>0</v>
      </c>
      <c r="U2661" s="9" t="n">
        <f aca="false">IF(D2661="",1,0)</f>
        <v>0</v>
      </c>
      <c r="V2661" s="9" t="n">
        <f aca="false">IF(E2661="",1,0)</f>
        <v>0</v>
      </c>
      <c r="W2661" s="9" t="n">
        <f aca="false">IF(OR(H2661&lt;1,H2661&gt;10),1,0)</f>
        <v>0</v>
      </c>
      <c r="X2661" s="9" t="n">
        <f aca="false">IF(OR(I2661&lt;=0,I2661&gt;1500),1,0)</f>
        <v>0</v>
      </c>
      <c r="Y2661" s="9" t="n">
        <f aca="false">IF(J2661&gt;H2661*I2661,1,0)</f>
        <v>0</v>
      </c>
      <c r="Z2661" s="9" t="n">
        <f aca="false">IF(AND(N2661&lt;&gt;"",OR(N2661&lt;1,N2661&gt;5)),1,0)</f>
        <v>0</v>
      </c>
      <c r="AA2661" s="9" t="n">
        <f aca="false">IF(AND(M2661&lt;&gt;"",OR(M2661&lt;5,M2661&gt;180)),1,0)</f>
        <v>0</v>
      </c>
      <c r="AB2661" s="7" t="str">
        <f aca="false">IF(P2661="DUP","Exact duplicate row",IF(T2661=1,"Missing Order ID",IF(S2661="DROP","Duplicate Order ID (less complete row)",IF(U2661=1,"Missing Customer ID",IF(V2661=1,"Missing Restaurant name",IF(W2661=1,"Invalid/outlier quantity",IF(X2661=1,"Invalid/outlier unit price",IF(Y2661=1,"Discount greater than order value",""))))))))</f>
        <v/>
      </c>
      <c r="AC2661" s="7" t="str">
        <f aca="false">IF(AB2661="","KEEP","DROP")</f>
        <v>KEEP</v>
      </c>
      <c r="AD2661" s="7" t="str">
        <f aca="false">IF(TRIM(F2661)="",IFERROR(INDEX(Map_Tables!$I$4:$I$37,MATCH(TRIM(E2661),Map_Tables!$G$4:$G$37,0)),""),IFERROR(INDEX(Map_Tables!$B$4:$B$18,MATCH(TRIM(F2661),Map_Tables!$A$4:$A$18,0)),"CHECK"))</f>
        <v>Mumbai</v>
      </c>
      <c r="AE2661" s="7" t="str">
        <f aca="false">IF(TRIM(E2661)="","",IFERROR(INDEX(Map_Tables!$H$4:$H$37,MATCH(TRIM(E2661),Map_Tables!$G$4:$G$37,0)),"CHECK"))</f>
        <v>Dragon Express</v>
      </c>
      <c r="AF2661" s="7" t="str">
        <f aca="false">IF(TRIM(K2661)="","Unknown",IFERROR(INDEX(Map_Tables!$E$4:$E$15,MATCH(TRIM(K2661),Map_Tables!$D$4:$D$15,0)),"CHECK"))</f>
        <v>Cash on Delivery</v>
      </c>
      <c r="AG2661" s="7" t="str">
        <f aca="false">IF(LEFT(LOWER(TRIM(L2661)),6)="cancel","Cancelled","Delivered")</f>
        <v>Delivered</v>
      </c>
      <c r="AH2661" s="10" t="n">
        <f aca="false">IF(ISNUMBER(SEARCH("/",B2661)),DATE(VALUE(RIGHT(B2661,4)),VALUE(MID(B2661,4,2)),VALUE(LEFT(B2661,2))),IF(MID(B2661,5,1)="-",DATE(VALUE(LEFT(B2661,4)),VALUE(MID(B2661,6,2)),VALUE(RIGHT(B2661,2))),DATE(VALUE(RIGHT(B2661,4)),MATCH(MID(B2661,4,3),{"Jan","Feb","Mar","Apr","May","Jun","Jul","Aug","Sep","Oct","Nov","Dec"},0),VALUE(LEFT(B2661,2)))))</f>
        <v>45855</v>
      </c>
    </row>
    <row r="2662" customFormat="false" ht="15" hidden="false" customHeight="false" outlineLevel="0" collapsed="false">
      <c r="A2662" s="7" t="s">
        <v>5678</v>
      </c>
      <c r="B2662" s="7" t="s">
        <v>1614</v>
      </c>
      <c r="C2662" s="7" t="s">
        <v>644</v>
      </c>
      <c r="D2662" s="7" t="s">
        <v>370</v>
      </c>
      <c r="E2662" s="7" t="s">
        <v>89</v>
      </c>
      <c r="F2662" s="7"/>
      <c r="G2662" s="7" t="s">
        <v>90</v>
      </c>
      <c r="H2662" s="7" t="n">
        <v>2</v>
      </c>
      <c r="I2662" s="7" t="n">
        <v>180</v>
      </c>
      <c r="J2662" s="7" t="n">
        <v>0</v>
      </c>
      <c r="K2662" s="7" t="s">
        <v>121</v>
      </c>
      <c r="L2662" s="7" t="s">
        <v>194</v>
      </c>
      <c r="M2662" s="7" t="n">
        <v>35</v>
      </c>
      <c r="N2662" s="7" t="n">
        <v>4</v>
      </c>
      <c r="O2662" s="7" t="str">
        <f aca="false">A2662&amp;"|"&amp;B2662&amp;"|"&amp;C2662&amp;"|"&amp;D2662&amp;"|"&amp;E2662&amp;"|"&amp;F2662&amp;"|"&amp;G2662&amp;"|"&amp;H2662&amp;"|"&amp;I2662&amp;"|"&amp;J2662&amp;"|"&amp;K2662&amp;"|"&amp;L2662&amp;"|"&amp;M2662&amp;"|"&amp;N2662</f>
        <v>ORD11563|2025-07-23|13:27|C0092|Spice Junction||North Indian|2|180|0|Wallet|Delivered|35|4</v>
      </c>
      <c r="P2662" s="7" t="str">
        <f aca="false">IF(COUNTIF($O$2:O2662,O2662)&gt;1,"DUP","OK")</f>
        <v>OK</v>
      </c>
      <c r="Q2662" s="7" t="n">
        <f aca="false">COUNTBLANK(A2662:N2662)</f>
        <v>1</v>
      </c>
      <c r="R2662" s="7" t="n">
        <f aca="false">IF(A2662="",0,COUNTIFS($A$2:$A$3058,A2662,$P$2:$P$3058,"OK"))</f>
        <v>1</v>
      </c>
      <c r="S2662" s="7" t="str">
        <f aca="false">IF(OR(A2662="",P2662="DUP",R2662&lt;2),"",IF(Q2662=_xlfn.MINIFS($Q$2:$Q$3058,$A$2:$A$3058,A2662,$P$2:$P$3058,"OK"),"KEEP","DROP"))</f>
        <v/>
      </c>
      <c r="T2662" s="9" t="n">
        <f aca="false">IF(A2662="",1,0)</f>
        <v>0</v>
      </c>
      <c r="U2662" s="9" t="n">
        <f aca="false">IF(D2662="",1,0)</f>
        <v>0</v>
      </c>
      <c r="V2662" s="9" t="n">
        <f aca="false">IF(E2662="",1,0)</f>
        <v>0</v>
      </c>
      <c r="W2662" s="9" t="n">
        <f aca="false">IF(OR(H2662&lt;1,H2662&gt;10),1,0)</f>
        <v>0</v>
      </c>
      <c r="X2662" s="9" t="n">
        <f aca="false">IF(OR(I2662&lt;=0,I2662&gt;1500),1,0)</f>
        <v>0</v>
      </c>
      <c r="Y2662" s="9" t="n">
        <f aca="false">IF(J2662&gt;H2662*I2662,1,0)</f>
        <v>0</v>
      </c>
      <c r="Z2662" s="9" t="n">
        <f aca="false">IF(AND(N2662&lt;&gt;"",OR(N2662&lt;1,N2662&gt;5)),1,0)</f>
        <v>0</v>
      </c>
      <c r="AA2662" s="9" t="n">
        <f aca="false">IF(AND(M2662&lt;&gt;"",OR(M2662&lt;5,M2662&gt;180)),1,0)</f>
        <v>0</v>
      </c>
      <c r="AB2662" s="7" t="str">
        <f aca="false">IF(P2662="DUP","Exact duplicate row",IF(T2662=1,"Missing Order ID",IF(S2662="DROP","Duplicate Order ID (less complete row)",IF(U2662=1,"Missing Customer ID",IF(V2662=1,"Missing Restaurant name",IF(W2662=1,"Invalid/outlier quantity",IF(X2662=1,"Invalid/outlier unit price",IF(Y2662=1,"Discount greater than order value",""))))))))</f>
        <v/>
      </c>
      <c r="AC2662" s="7" t="str">
        <f aca="false">IF(AB2662="","KEEP","DROP")</f>
        <v>KEEP</v>
      </c>
      <c r="AD2662" s="7" t="str">
        <f aca="false">IF(TRIM(F2662)="",IFERROR(INDEX(Map_Tables!$I$4:$I$37,MATCH(TRIM(E2662),Map_Tables!$G$4:$G$37,0)),""),IFERROR(INDEX(Map_Tables!$B$4:$B$18,MATCH(TRIM(F2662),Map_Tables!$A$4:$A$18,0)),"CHECK"))</f>
        <v>Bengaluru</v>
      </c>
      <c r="AE2662" s="7" t="str">
        <f aca="false">IF(TRIM(E2662)="","",IFERROR(INDEX(Map_Tables!$H$4:$H$37,MATCH(TRIM(E2662),Map_Tables!$G$4:$G$37,0)),"CHECK"))</f>
        <v>Spice Junction</v>
      </c>
      <c r="AF2662" s="7" t="str">
        <f aca="false">IF(TRIM(K2662)="","Unknown",IFERROR(INDEX(Map_Tables!$E$4:$E$15,MATCH(TRIM(K2662),Map_Tables!$D$4:$D$15,0)),"CHECK"))</f>
        <v>Wallet</v>
      </c>
      <c r="AG2662" s="7" t="str">
        <f aca="false">IF(LEFT(LOWER(TRIM(L2662)),6)="cancel","Cancelled","Delivered")</f>
        <v>Delivered</v>
      </c>
      <c r="AH2662" s="10" t="n">
        <f aca="false">IF(ISNUMBER(SEARCH("/",B2662)),DATE(VALUE(RIGHT(B2662,4)),VALUE(MID(B2662,4,2)),VALUE(LEFT(B2662,2))),IF(MID(B2662,5,1)="-",DATE(VALUE(LEFT(B2662,4)),VALUE(MID(B2662,6,2)),VALUE(RIGHT(B2662,2))),DATE(VALUE(RIGHT(B2662,4)),MATCH(MID(B2662,4,3),{"Jan","Feb","Mar","Apr","May","Jun","Jul","Aug","Sep","Oct","Nov","Dec"},0),VALUE(LEFT(B2662,2)))))</f>
        <v>45861</v>
      </c>
    </row>
    <row r="2663" customFormat="false" ht="15" hidden="false" customHeight="false" outlineLevel="0" collapsed="false">
      <c r="A2663" s="7" t="s">
        <v>5679</v>
      </c>
      <c r="B2663" s="7" t="s">
        <v>2182</v>
      </c>
      <c r="C2663" s="7" t="s">
        <v>817</v>
      </c>
      <c r="D2663" s="7" t="s">
        <v>1801</v>
      </c>
      <c r="E2663" s="7" t="s">
        <v>104</v>
      </c>
      <c r="F2663" s="7" t="s">
        <v>86</v>
      </c>
      <c r="G2663" s="7" t="s">
        <v>105</v>
      </c>
      <c r="H2663" s="7" t="n">
        <v>5</v>
      </c>
      <c r="I2663" s="7" t="n">
        <v>215</v>
      </c>
      <c r="J2663" s="7" t="n">
        <v>0</v>
      </c>
      <c r="K2663" s="7" t="s">
        <v>88</v>
      </c>
      <c r="L2663" s="7" t="s">
        <v>194</v>
      </c>
      <c r="M2663" s="7" t="n">
        <v>47</v>
      </c>
      <c r="N2663" s="7" t="n">
        <v>4</v>
      </c>
      <c r="O2663" s="7" t="str">
        <f aca="false">A2663&amp;"|"&amp;B2663&amp;"|"&amp;C2663&amp;"|"&amp;D2663&amp;"|"&amp;E2663&amp;"|"&amp;F2663&amp;"|"&amp;G2663&amp;"|"&amp;H2663&amp;"|"&amp;I2663&amp;"|"&amp;J2663&amp;"|"&amp;K2663&amp;"|"&amp;L2663&amp;"|"&amp;M2663&amp;"|"&amp;N2663</f>
        <v>ORD11753|2025-08-17|20:53|C0827|Wok &amp; Roll|Bengaluru|Chinese|5|215|0|UPI|Delivered|47|4</v>
      </c>
      <c r="P2663" s="7" t="str">
        <f aca="false">IF(COUNTIF($O$2:O2663,O2663)&gt;1,"DUP","OK")</f>
        <v>OK</v>
      </c>
      <c r="Q2663" s="7" t="n">
        <f aca="false">COUNTBLANK(A2663:N2663)</f>
        <v>0</v>
      </c>
      <c r="R2663" s="7" t="n">
        <f aca="false">IF(A2663="",0,COUNTIFS($A$2:$A$3058,A2663,$P$2:$P$3058,"OK"))</f>
        <v>1</v>
      </c>
      <c r="S2663" s="7" t="str">
        <f aca="false">IF(OR(A2663="",P2663="DUP",R2663&lt;2),"",IF(Q2663=_xlfn.MINIFS($Q$2:$Q$3058,$A$2:$A$3058,A2663,$P$2:$P$3058,"OK"),"KEEP","DROP"))</f>
        <v/>
      </c>
      <c r="T2663" s="9" t="n">
        <f aca="false">IF(A2663="",1,0)</f>
        <v>0</v>
      </c>
      <c r="U2663" s="9" t="n">
        <f aca="false">IF(D2663="",1,0)</f>
        <v>0</v>
      </c>
      <c r="V2663" s="9" t="n">
        <f aca="false">IF(E2663="",1,0)</f>
        <v>0</v>
      </c>
      <c r="W2663" s="9" t="n">
        <f aca="false">IF(OR(H2663&lt;1,H2663&gt;10),1,0)</f>
        <v>0</v>
      </c>
      <c r="X2663" s="9" t="n">
        <f aca="false">IF(OR(I2663&lt;=0,I2663&gt;1500),1,0)</f>
        <v>0</v>
      </c>
      <c r="Y2663" s="9" t="n">
        <f aca="false">IF(J2663&gt;H2663*I2663,1,0)</f>
        <v>0</v>
      </c>
      <c r="Z2663" s="9" t="n">
        <f aca="false">IF(AND(N2663&lt;&gt;"",OR(N2663&lt;1,N2663&gt;5)),1,0)</f>
        <v>0</v>
      </c>
      <c r="AA2663" s="9" t="n">
        <f aca="false">IF(AND(M2663&lt;&gt;"",OR(M2663&lt;5,M2663&gt;180)),1,0)</f>
        <v>0</v>
      </c>
      <c r="AB2663" s="7" t="str">
        <f aca="false">IF(P2663="DUP","Exact duplicate row",IF(T2663=1,"Missing Order ID",IF(S2663="DROP","Duplicate Order ID (less complete row)",IF(U2663=1,"Missing Customer ID",IF(V2663=1,"Missing Restaurant name",IF(W2663=1,"Invalid/outlier quantity",IF(X2663=1,"Invalid/outlier unit price",IF(Y2663=1,"Discount greater than order value",""))))))))</f>
        <v/>
      </c>
      <c r="AC2663" s="7" t="str">
        <f aca="false">IF(AB2663="","KEEP","DROP")</f>
        <v>KEEP</v>
      </c>
      <c r="AD2663" s="7" t="str">
        <f aca="false">IF(TRIM(F2663)="",IFERROR(INDEX(Map_Tables!$I$4:$I$37,MATCH(TRIM(E2663),Map_Tables!$G$4:$G$37,0)),""),IFERROR(INDEX(Map_Tables!$B$4:$B$18,MATCH(TRIM(F2663),Map_Tables!$A$4:$A$18,0)),"CHECK"))</f>
        <v>Bengaluru</v>
      </c>
      <c r="AE2663" s="7" t="str">
        <f aca="false">IF(TRIM(E2663)="","",IFERROR(INDEX(Map_Tables!$H$4:$H$37,MATCH(TRIM(E2663),Map_Tables!$G$4:$G$37,0)),"CHECK"))</f>
        <v>Wok &amp; Roll</v>
      </c>
      <c r="AF2663" s="7" t="str">
        <f aca="false">IF(TRIM(K2663)="","Unknown",IFERROR(INDEX(Map_Tables!$E$4:$E$15,MATCH(TRIM(K2663),Map_Tables!$D$4:$D$15,0)),"CHECK"))</f>
        <v>UPI</v>
      </c>
      <c r="AG2663" s="7" t="str">
        <f aca="false">IF(LEFT(LOWER(TRIM(L2663)),6)="cancel","Cancelled","Delivered")</f>
        <v>Delivered</v>
      </c>
      <c r="AH2663" s="10" t="n">
        <f aca="false">IF(ISNUMBER(SEARCH("/",B2663)),DATE(VALUE(RIGHT(B2663,4)),VALUE(MID(B2663,4,2)),VALUE(LEFT(B2663,2))),IF(MID(B2663,5,1)="-",DATE(VALUE(LEFT(B2663,4)),VALUE(MID(B2663,6,2)),VALUE(RIGHT(B2663,2))),DATE(VALUE(RIGHT(B2663,4)),MATCH(MID(B2663,4,3),{"Jan","Feb","Mar","Apr","May","Jun","Jul","Aug","Sep","Oct","Nov","Dec"},0),VALUE(LEFT(B2663,2)))))</f>
        <v>45886</v>
      </c>
    </row>
    <row r="2664" customFormat="false" ht="15" hidden="false" customHeight="false" outlineLevel="0" collapsed="false">
      <c r="A2664" s="7" t="s">
        <v>5680</v>
      </c>
      <c r="B2664" s="7" t="s">
        <v>3619</v>
      </c>
      <c r="C2664" s="7" t="s">
        <v>573</v>
      </c>
      <c r="D2664" s="7" t="s">
        <v>2052</v>
      </c>
      <c r="E2664" s="7" t="s">
        <v>116</v>
      </c>
      <c r="F2664" s="7" t="s">
        <v>101</v>
      </c>
      <c r="G2664" s="7" t="s">
        <v>117</v>
      </c>
      <c r="H2664" s="7" t="n">
        <v>3</v>
      </c>
      <c r="I2664" s="7" t="n">
        <v>150</v>
      </c>
      <c r="J2664" s="7" t="n">
        <v>0</v>
      </c>
      <c r="K2664" s="7" t="s">
        <v>120</v>
      </c>
      <c r="L2664" s="7" t="s">
        <v>194</v>
      </c>
      <c r="M2664" s="7" t="n">
        <v>43</v>
      </c>
      <c r="N2664" s="7" t="n">
        <v>5</v>
      </c>
      <c r="O2664" s="7" t="str">
        <f aca="false">A2664&amp;"|"&amp;B2664&amp;"|"&amp;C2664&amp;"|"&amp;D2664&amp;"|"&amp;E2664&amp;"|"&amp;F2664&amp;"|"&amp;G2664&amp;"|"&amp;H2664&amp;"|"&amp;I2664&amp;"|"&amp;J2664&amp;"|"&amp;K2664&amp;"|"&amp;L2664&amp;"|"&amp;M2664&amp;"|"&amp;N2664</f>
        <v>ORD11606|2025-07-28|21:43|C1443|Pav Bhaji Point|Mumbai|Street Food|3|150|0|wallet|Delivered|43|5</v>
      </c>
      <c r="P2664" s="7" t="str">
        <f aca="false">IF(COUNTIF($O$2:O2664,O2664)&gt;1,"DUP","OK")</f>
        <v>OK</v>
      </c>
      <c r="Q2664" s="7" t="n">
        <f aca="false">COUNTBLANK(A2664:N2664)</f>
        <v>0</v>
      </c>
      <c r="R2664" s="7" t="n">
        <f aca="false">IF(A2664="",0,COUNTIFS($A$2:$A$3058,A2664,$P$2:$P$3058,"OK"))</f>
        <v>1</v>
      </c>
      <c r="S2664" s="7" t="str">
        <f aca="false">IF(OR(A2664="",P2664="DUP",R2664&lt;2),"",IF(Q2664=_xlfn.MINIFS($Q$2:$Q$3058,$A$2:$A$3058,A2664,$P$2:$P$3058,"OK"),"KEEP","DROP"))</f>
        <v/>
      </c>
      <c r="T2664" s="9" t="n">
        <f aca="false">IF(A2664="",1,0)</f>
        <v>0</v>
      </c>
      <c r="U2664" s="9" t="n">
        <f aca="false">IF(D2664="",1,0)</f>
        <v>0</v>
      </c>
      <c r="V2664" s="9" t="n">
        <f aca="false">IF(E2664="",1,0)</f>
        <v>0</v>
      </c>
      <c r="W2664" s="9" t="n">
        <f aca="false">IF(OR(H2664&lt;1,H2664&gt;10),1,0)</f>
        <v>0</v>
      </c>
      <c r="X2664" s="9" t="n">
        <f aca="false">IF(OR(I2664&lt;=0,I2664&gt;1500),1,0)</f>
        <v>0</v>
      </c>
      <c r="Y2664" s="9" t="n">
        <f aca="false">IF(J2664&gt;H2664*I2664,1,0)</f>
        <v>0</v>
      </c>
      <c r="Z2664" s="9" t="n">
        <f aca="false">IF(AND(N2664&lt;&gt;"",OR(N2664&lt;1,N2664&gt;5)),1,0)</f>
        <v>0</v>
      </c>
      <c r="AA2664" s="9" t="n">
        <f aca="false">IF(AND(M2664&lt;&gt;"",OR(M2664&lt;5,M2664&gt;180)),1,0)</f>
        <v>0</v>
      </c>
      <c r="AB2664" s="7" t="str">
        <f aca="false">IF(P2664="DUP","Exact duplicate row",IF(T2664=1,"Missing Order ID",IF(S2664="DROP","Duplicate Order ID (less complete row)",IF(U2664=1,"Missing Customer ID",IF(V2664=1,"Missing Restaurant name",IF(W2664=1,"Invalid/outlier quantity",IF(X2664=1,"Invalid/outlier unit price",IF(Y2664=1,"Discount greater than order value",""))))))))</f>
        <v/>
      </c>
      <c r="AC2664" s="7" t="str">
        <f aca="false">IF(AB2664="","KEEP","DROP")</f>
        <v>KEEP</v>
      </c>
      <c r="AD2664" s="7" t="str">
        <f aca="false">IF(TRIM(F2664)="",IFERROR(INDEX(Map_Tables!$I$4:$I$37,MATCH(TRIM(E2664),Map_Tables!$G$4:$G$37,0)),""),IFERROR(INDEX(Map_Tables!$B$4:$B$18,MATCH(TRIM(F2664),Map_Tables!$A$4:$A$18,0)),"CHECK"))</f>
        <v>Mumbai</v>
      </c>
      <c r="AE2664" s="7" t="str">
        <f aca="false">IF(TRIM(E2664)="","",IFERROR(INDEX(Map_Tables!$H$4:$H$37,MATCH(TRIM(E2664),Map_Tables!$G$4:$G$37,0)),"CHECK"))</f>
        <v>Pav Bhaji Point</v>
      </c>
      <c r="AF2664" s="7" t="str">
        <f aca="false">IF(TRIM(K2664)="","Unknown",IFERROR(INDEX(Map_Tables!$E$4:$E$15,MATCH(TRIM(K2664),Map_Tables!$D$4:$D$15,0)),"CHECK"))</f>
        <v>Wallet</v>
      </c>
      <c r="AG2664" s="7" t="str">
        <f aca="false">IF(LEFT(LOWER(TRIM(L2664)),6)="cancel","Cancelled","Delivered")</f>
        <v>Delivered</v>
      </c>
      <c r="AH2664" s="10" t="n">
        <f aca="false">IF(ISNUMBER(SEARCH("/",B2664)),DATE(VALUE(RIGHT(B2664,4)),VALUE(MID(B2664,4,2)),VALUE(LEFT(B2664,2))),IF(MID(B2664,5,1)="-",DATE(VALUE(LEFT(B2664,4)),VALUE(MID(B2664,6,2)),VALUE(RIGHT(B2664,2))),DATE(VALUE(RIGHT(B2664,4)),MATCH(MID(B2664,4,3),{"Jan","Feb","Mar","Apr","May","Jun","Jul","Aug","Sep","Oct","Nov","Dec"},0),VALUE(LEFT(B2664,2)))))</f>
        <v>45866</v>
      </c>
    </row>
    <row r="2665" customFormat="false" ht="15" hidden="false" customHeight="false" outlineLevel="0" collapsed="false">
      <c r="A2665" s="7" t="s">
        <v>5681</v>
      </c>
      <c r="B2665" s="7" t="s">
        <v>995</v>
      </c>
      <c r="C2665" s="7" t="s">
        <v>1805</v>
      </c>
      <c r="D2665" s="7" t="s">
        <v>5682</v>
      </c>
      <c r="E2665" s="7" t="s">
        <v>148</v>
      </c>
      <c r="F2665" s="7" t="s">
        <v>119</v>
      </c>
      <c r="G2665" s="7" t="s">
        <v>123</v>
      </c>
      <c r="H2665" s="7" t="n">
        <v>3</v>
      </c>
      <c r="I2665" s="7" t="n">
        <v>355</v>
      </c>
      <c r="J2665" s="7" t="n">
        <v>50</v>
      </c>
      <c r="K2665" s="7" t="s">
        <v>88</v>
      </c>
      <c r="L2665" s="7" t="s">
        <v>220</v>
      </c>
      <c r="M2665" s="7" t="n">
        <v>31</v>
      </c>
      <c r="N2665" s="7"/>
      <c r="O2665" s="7" t="str">
        <f aca="false">A2665&amp;"|"&amp;B2665&amp;"|"&amp;C2665&amp;"|"&amp;D2665&amp;"|"&amp;E2665&amp;"|"&amp;F2665&amp;"|"&amp;G2665&amp;"|"&amp;H2665&amp;"|"&amp;I2665&amp;"|"&amp;J2665&amp;"|"&amp;K2665&amp;"|"&amp;L2665&amp;"|"&amp;M2665&amp;"|"&amp;N2665</f>
        <v>ORD10344|2025-02-15|19:30|C0665|Pizza Palace|Hyderabad|Pizza|3|355|50|UPI|DELIVERED|31|</v>
      </c>
      <c r="P2665" s="7" t="str">
        <f aca="false">IF(COUNTIF($O$2:O2665,O2665)&gt;1,"DUP","OK")</f>
        <v>OK</v>
      </c>
      <c r="Q2665" s="7" t="n">
        <f aca="false">COUNTBLANK(A2665:N2665)</f>
        <v>1</v>
      </c>
      <c r="R2665" s="7" t="n">
        <f aca="false">IF(A2665="",0,COUNTIFS($A$2:$A$3058,A2665,$P$2:$P$3058,"OK"))</f>
        <v>1</v>
      </c>
      <c r="S2665" s="7" t="str">
        <f aca="false">IF(OR(A2665="",P2665="DUP",R2665&lt;2),"",IF(Q2665=_xlfn.MINIFS($Q$2:$Q$3058,$A$2:$A$3058,A2665,$P$2:$P$3058,"OK"),"KEEP","DROP"))</f>
        <v/>
      </c>
      <c r="T2665" s="9" t="n">
        <f aca="false">IF(A2665="",1,0)</f>
        <v>0</v>
      </c>
      <c r="U2665" s="9" t="n">
        <f aca="false">IF(D2665="",1,0)</f>
        <v>0</v>
      </c>
      <c r="V2665" s="9" t="n">
        <f aca="false">IF(E2665="",1,0)</f>
        <v>0</v>
      </c>
      <c r="W2665" s="9" t="n">
        <f aca="false">IF(OR(H2665&lt;1,H2665&gt;10),1,0)</f>
        <v>0</v>
      </c>
      <c r="X2665" s="9" t="n">
        <f aca="false">IF(OR(I2665&lt;=0,I2665&gt;1500),1,0)</f>
        <v>0</v>
      </c>
      <c r="Y2665" s="9" t="n">
        <f aca="false">IF(J2665&gt;H2665*I2665,1,0)</f>
        <v>0</v>
      </c>
      <c r="Z2665" s="9" t="n">
        <f aca="false">IF(AND(N2665&lt;&gt;"",OR(N2665&lt;1,N2665&gt;5)),1,0)</f>
        <v>0</v>
      </c>
      <c r="AA2665" s="9" t="n">
        <f aca="false">IF(AND(M2665&lt;&gt;"",OR(M2665&lt;5,M2665&gt;180)),1,0)</f>
        <v>0</v>
      </c>
      <c r="AB2665" s="7" t="str">
        <f aca="false">IF(P2665="DUP","Exact duplicate row",IF(T2665=1,"Missing Order ID",IF(S2665="DROP","Duplicate Order ID (less complete row)",IF(U2665=1,"Missing Customer ID",IF(V2665=1,"Missing Restaurant name",IF(W2665=1,"Invalid/outlier quantity",IF(X2665=1,"Invalid/outlier unit price",IF(Y2665=1,"Discount greater than order value",""))))))))</f>
        <v/>
      </c>
      <c r="AC2665" s="7" t="str">
        <f aca="false">IF(AB2665="","KEEP","DROP")</f>
        <v>KEEP</v>
      </c>
      <c r="AD2665" s="7" t="str">
        <f aca="false">IF(TRIM(F2665)="",IFERROR(INDEX(Map_Tables!$I$4:$I$37,MATCH(TRIM(E2665),Map_Tables!$G$4:$G$37,0)),""),IFERROR(INDEX(Map_Tables!$B$4:$B$18,MATCH(TRIM(F2665),Map_Tables!$A$4:$A$18,0)),"CHECK"))</f>
        <v>Hyderabad</v>
      </c>
      <c r="AE2665" s="7" t="str">
        <f aca="false">IF(TRIM(E2665)="","",IFERROR(INDEX(Map_Tables!$H$4:$H$37,MATCH(TRIM(E2665),Map_Tables!$G$4:$G$37,0)),"CHECK"))</f>
        <v>Pizza Palace</v>
      </c>
      <c r="AF2665" s="7" t="str">
        <f aca="false">IF(TRIM(K2665)="","Unknown",IFERROR(INDEX(Map_Tables!$E$4:$E$15,MATCH(TRIM(K2665),Map_Tables!$D$4:$D$15,0)),"CHECK"))</f>
        <v>UPI</v>
      </c>
      <c r="AG2665" s="7" t="str">
        <f aca="false">IF(LEFT(LOWER(TRIM(L2665)),6)="cancel","Cancelled","Delivered")</f>
        <v>Delivered</v>
      </c>
      <c r="AH2665" s="10" t="n">
        <f aca="false">IF(ISNUMBER(SEARCH("/",B2665)),DATE(VALUE(RIGHT(B2665,4)),VALUE(MID(B2665,4,2)),VALUE(LEFT(B2665,2))),IF(MID(B2665,5,1)="-",DATE(VALUE(LEFT(B2665,4)),VALUE(MID(B2665,6,2)),VALUE(RIGHT(B2665,2))),DATE(VALUE(RIGHT(B2665,4)),MATCH(MID(B2665,4,3),{"Jan","Feb","Mar","Apr","May","Jun","Jul","Aug","Sep","Oct","Nov","Dec"},0),VALUE(LEFT(B2665,2)))))</f>
        <v>45703</v>
      </c>
    </row>
    <row r="2666" customFormat="false" ht="15" hidden="false" customHeight="false" outlineLevel="0" collapsed="false">
      <c r="A2666" s="7" t="s">
        <v>2711</v>
      </c>
      <c r="B2666" s="7" t="s">
        <v>1132</v>
      </c>
      <c r="C2666" s="7" t="s">
        <v>1438</v>
      </c>
      <c r="D2666" s="7" t="s">
        <v>851</v>
      </c>
      <c r="E2666" s="7" t="s">
        <v>130</v>
      </c>
      <c r="F2666" s="7" t="s">
        <v>110</v>
      </c>
      <c r="G2666" s="7" t="s">
        <v>90</v>
      </c>
      <c r="H2666" s="7" t="n">
        <v>2</v>
      </c>
      <c r="I2666" s="7" t="n">
        <v>235</v>
      </c>
      <c r="J2666" s="7" t="n">
        <v>50</v>
      </c>
      <c r="K2666" s="7" t="s">
        <v>88</v>
      </c>
      <c r="L2666" s="7" t="s">
        <v>194</v>
      </c>
      <c r="M2666" s="7" t="n">
        <v>43</v>
      </c>
      <c r="N2666" s="7" t="n">
        <v>3</v>
      </c>
      <c r="O2666" s="7" t="str">
        <f aca="false">A2666&amp;"|"&amp;B2666&amp;"|"&amp;C2666&amp;"|"&amp;D2666&amp;"|"&amp;E2666&amp;"|"&amp;F2666&amp;"|"&amp;G2666&amp;"|"&amp;H2666&amp;"|"&amp;I2666&amp;"|"&amp;J2666&amp;"|"&amp;K2666&amp;"|"&amp;L2666&amp;"|"&amp;M2666&amp;"|"&amp;N2666</f>
        <v>ORD10682|2025-03-28|09:47|C0264|Tandoor Tales|Delhi|North Indian|2|235|50|UPI|Delivered|43|3</v>
      </c>
      <c r="P2666" s="7" t="str">
        <f aca="false">IF(COUNTIF($O$2:O2666,O2666)&gt;1,"DUP","OK")</f>
        <v>DUP</v>
      </c>
      <c r="Q2666" s="7" t="n">
        <f aca="false">COUNTBLANK(A2666:N2666)</f>
        <v>0</v>
      </c>
      <c r="R2666" s="7" t="n">
        <f aca="false">IF(A2666="",0,COUNTIFS($A$2:$A$3058,A2666,$P$2:$P$3058,"OK"))</f>
        <v>1</v>
      </c>
      <c r="S2666" s="7" t="str">
        <f aca="false">IF(OR(A2666="",P2666="DUP",R2666&lt;2),"",IF(Q2666=_xlfn.MINIFS($Q$2:$Q$3058,$A$2:$A$3058,A2666,$P$2:$P$3058,"OK"),"KEEP","DROP"))</f>
        <v/>
      </c>
      <c r="T2666" s="9" t="n">
        <f aca="false">IF(A2666="",1,0)</f>
        <v>0</v>
      </c>
      <c r="U2666" s="9" t="n">
        <f aca="false">IF(D2666="",1,0)</f>
        <v>0</v>
      </c>
      <c r="V2666" s="9" t="n">
        <f aca="false">IF(E2666="",1,0)</f>
        <v>0</v>
      </c>
      <c r="W2666" s="9" t="n">
        <f aca="false">IF(OR(H2666&lt;1,H2666&gt;10),1,0)</f>
        <v>0</v>
      </c>
      <c r="X2666" s="9" t="n">
        <f aca="false">IF(OR(I2666&lt;=0,I2666&gt;1500),1,0)</f>
        <v>0</v>
      </c>
      <c r="Y2666" s="9" t="n">
        <f aca="false">IF(J2666&gt;H2666*I2666,1,0)</f>
        <v>0</v>
      </c>
      <c r="Z2666" s="9" t="n">
        <f aca="false">IF(AND(N2666&lt;&gt;"",OR(N2666&lt;1,N2666&gt;5)),1,0)</f>
        <v>0</v>
      </c>
      <c r="AA2666" s="9" t="n">
        <f aca="false">IF(AND(M2666&lt;&gt;"",OR(M2666&lt;5,M2666&gt;180)),1,0)</f>
        <v>0</v>
      </c>
      <c r="AB2666" s="7" t="str">
        <f aca="false">IF(P2666="DUP","Exact duplicate row",IF(T2666=1,"Missing Order ID",IF(S2666="DROP","Duplicate Order ID (less complete row)",IF(U2666=1,"Missing Customer ID",IF(V2666=1,"Missing Restaurant name",IF(W2666=1,"Invalid/outlier quantity",IF(X2666=1,"Invalid/outlier unit price",IF(Y2666=1,"Discount greater than order value",""))))))))</f>
        <v>Exact duplicate row</v>
      </c>
      <c r="AC2666" s="7" t="str">
        <f aca="false">IF(AB2666="","KEEP","DROP")</f>
        <v>DROP</v>
      </c>
      <c r="AD2666" s="7" t="str">
        <f aca="false">IF(TRIM(F2666)="",IFERROR(INDEX(Map_Tables!$I$4:$I$37,MATCH(TRIM(E2666),Map_Tables!$G$4:$G$37,0)),""),IFERROR(INDEX(Map_Tables!$B$4:$B$18,MATCH(TRIM(F2666),Map_Tables!$A$4:$A$18,0)),"CHECK"))</f>
        <v>Delhi</v>
      </c>
      <c r="AE2666" s="7" t="str">
        <f aca="false">IF(TRIM(E2666)="","",IFERROR(INDEX(Map_Tables!$H$4:$H$37,MATCH(TRIM(E2666),Map_Tables!$G$4:$G$37,0)),"CHECK"))</f>
        <v>Tandoor Tales</v>
      </c>
      <c r="AF2666" s="7" t="str">
        <f aca="false">IF(TRIM(K2666)="","Unknown",IFERROR(INDEX(Map_Tables!$E$4:$E$15,MATCH(TRIM(K2666),Map_Tables!$D$4:$D$15,0)),"CHECK"))</f>
        <v>UPI</v>
      </c>
      <c r="AG2666" s="7" t="str">
        <f aca="false">IF(LEFT(LOWER(TRIM(L2666)),6)="cancel","Cancelled","Delivered")</f>
        <v>Delivered</v>
      </c>
      <c r="AH2666" s="10" t="n">
        <f aca="false">IF(ISNUMBER(SEARCH("/",B2666)),DATE(VALUE(RIGHT(B2666,4)),VALUE(MID(B2666,4,2)),VALUE(LEFT(B2666,2))),IF(MID(B2666,5,1)="-",DATE(VALUE(LEFT(B2666,4)),VALUE(MID(B2666,6,2)),VALUE(RIGHT(B2666,2))),DATE(VALUE(RIGHT(B2666,4)),MATCH(MID(B2666,4,3),{"Jan","Feb","Mar","Apr","May","Jun","Jul","Aug","Sep","Oct","Nov","Dec"},0),VALUE(LEFT(B2666,2)))))</f>
        <v>45744</v>
      </c>
    </row>
    <row r="2667" customFormat="false" ht="15" hidden="false" customHeight="false" outlineLevel="0" collapsed="false">
      <c r="A2667" s="7" t="s">
        <v>5683</v>
      </c>
      <c r="B2667" s="7" t="s">
        <v>2231</v>
      </c>
      <c r="C2667" s="7" t="s">
        <v>5606</v>
      </c>
      <c r="D2667" s="7" t="s">
        <v>5436</v>
      </c>
      <c r="E2667" s="7" t="s">
        <v>159</v>
      </c>
      <c r="F2667" s="7" t="s">
        <v>135</v>
      </c>
      <c r="G2667" s="7" t="s">
        <v>90</v>
      </c>
      <c r="H2667" s="7" t="n">
        <v>1</v>
      </c>
      <c r="I2667" s="7" t="n">
        <v>215</v>
      </c>
      <c r="J2667" s="7" t="n">
        <v>0</v>
      </c>
      <c r="K2667" s="7" t="s">
        <v>112</v>
      </c>
      <c r="L2667" s="7" t="s">
        <v>194</v>
      </c>
      <c r="M2667" s="7" t="n">
        <v>41</v>
      </c>
      <c r="N2667" s="7" t="n">
        <v>4</v>
      </c>
      <c r="O2667" s="7" t="str">
        <f aca="false">A2667&amp;"|"&amp;B2667&amp;"|"&amp;C2667&amp;"|"&amp;D2667&amp;"|"&amp;E2667&amp;"|"&amp;F2667&amp;"|"&amp;G2667&amp;"|"&amp;H2667&amp;"|"&amp;I2667&amp;"|"&amp;J2667&amp;"|"&amp;K2667&amp;"|"&amp;L2667&amp;"|"&amp;M2667&amp;"|"&amp;N2667</f>
        <v>ORD12342|2025-10-22|18:06|C1090|Maratha Thali House|pune|North Indian|1|215|0|Cash on Delivery|Delivered|41|4</v>
      </c>
      <c r="P2667" s="7" t="str">
        <f aca="false">IF(COUNTIF($O$2:O2667,O2667)&gt;1,"DUP","OK")</f>
        <v>OK</v>
      </c>
      <c r="Q2667" s="7" t="n">
        <f aca="false">COUNTBLANK(A2667:N2667)</f>
        <v>0</v>
      </c>
      <c r="R2667" s="7" t="n">
        <f aca="false">IF(A2667="",0,COUNTIFS($A$2:$A$3058,A2667,$P$2:$P$3058,"OK"))</f>
        <v>1</v>
      </c>
      <c r="S2667" s="7" t="str">
        <f aca="false">IF(OR(A2667="",P2667="DUP",R2667&lt;2),"",IF(Q2667=_xlfn.MINIFS($Q$2:$Q$3058,$A$2:$A$3058,A2667,$P$2:$P$3058,"OK"),"KEEP","DROP"))</f>
        <v/>
      </c>
      <c r="T2667" s="9" t="n">
        <f aca="false">IF(A2667="",1,0)</f>
        <v>0</v>
      </c>
      <c r="U2667" s="9" t="n">
        <f aca="false">IF(D2667="",1,0)</f>
        <v>0</v>
      </c>
      <c r="V2667" s="9" t="n">
        <f aca="false">IF(E2667="",1,0)</f>
        <v>0</v>
      </c>
      <c r="W2667" s="9" t="n">
        <f aca="false">IF(OR(H2667&lt;1,H2667&gt;10),1,0)</f>
        <v>0</v>
      </c>
      <c r="X2667" s="9" t="n">
        <f aca="false">IF(OR(I2667&lt;=0,I2667&gt;1500),1,0)</f>
        <v>0</v>
      </c>
      <c r="Y2667" s="9" t="n">
        <f aca="false">IF(J2667&gt;H2667*I2667,1,0)</f>
        <v>0</v>
      </c>
      <c r="Z2667" s="9" t="n">
        <f aca="false">IF(AND(N2667&lt;&gt;"",OR(N2667&lt;1,N2667&gt;5)),1,0)</f>
        <v>0</v>
      </c>
      <c r="AA2667" s="9" t="n">
        <f aca="false">IF(AND(M2667&lt;&gt;"",OR(M2667&lt;5,M2667&gt;180)),1,0)</f>
        <v>0</v>
      </c>
      <c r="AB2667" s="7" t="str">
        <f aca="false">IF(P2667="DUP","Exact duplicate row",IF(T2667=1,"Missing Order ID",IF(S2667="DROP","Duplicate Order ID (less complete row)",IF(U2667=1,"Missing Customer ID",IF(V2667=1,"Missing Restaurant name",IF(W2667=1,"Invalid/outlier quantity",IF(X2667=1,"Invalid/outlier unit price",IF(Y2667=1,"Discount greater than order value",""))))))))</f>
        <v/>
      </c>
      <c r="AC2667" s="7" t="str">
        <f aca="false">IF(AB2667="","KEEP","DROP")</f>
        <v>KEEP</v>
      </c>
      <c r="AD2667" s="7" t="str">
        <f aca="false">IF(TRIM(F2667)="",IFERROR(INDEX(Map_Tables!$I$4:$I$37,MATCH(TRIM(E2667),Map_Tables!$G$4:$G$37,0)),""),IFERROR(INDEX(Map_Tables!$B$4:$B$18,MATCH(TRIM(F2667),Map_Tables!$A$4:$A$18,0)),"CHECK"))</f>
        <v>Pune</v>
      </c>
      <c r="AE2667" s="7" t="str">
        <f aca="false">IF(TRIM(E2667)="","",IFERROR(INDEX(Map_Tables!$H$4:$H$37,MATCH(TRIM(E2667),Map_Tables!$G$4:$G$37,0)),"CHECK"))</f>
        <v>Maratha Thali House</v>
      </c>
      <c r="AF2667" s="7" t="str">
        <f aca="false">IF(TRIM(K2667)="","Unknown",IFERROR(INDEX(Map_Tables!$E$4:$E$15,MATCH(TRIM(K2667),Map_Tables!$D$4:$D$15,0)),"CHECK"))</f>
        <v>Cash on Delivery</v>
      </c>
      <c r="AG2667" s="7" t="str">
        <f aca="false">IF(LEFT(LOWER(TRIM(L2667)),6)="cancel","Cancelled","Delivered")</f>
        <v>Delivered</v>
      </c>
      <c r="AH2667" s="10" t="n">
        <f aca="false">IF(ISNUMBER(SEARCH("/",B2667)),DATE(VALUE(RIGHT(B2667,4)),VALUE(MID(B2667,4,2)),VALUE(LEFT(B2667,2))),IF(MID(B2667,5,1)="-",DATE(VALUE(LEFT(B2667,4)),VALUE(MID(B2667,6,2)),VALUE(RIGHT(B2667,2))),DATE(VALUE(RIGHT(B2667,4)),MATCH(MID(B2667,4,3),{"Jan","Feb","Mar","Apr","May","Jun","Jul","Aug","Sep","Oct","Nov","Dec"},0),VALUE(LEFT(B2667,2)))))</f>
        <v>45952</v>
      </c>
    </row>
    <row r="2668" customFormat="false" ht="15" hidden="false" customHeight="false" outlineLevel="0" collapsed="false">
      <c r="A2668" s="7" t="s">
        <v>5684</v>
      </c>
      <c r="B2668" s="7" t="s">
        <v>558</v>
      </c>
      <c r="C2668" s="7" t="s">
        <v>5685</v>
      </c>
      <c r="D2668" s="7" t="s">
        <v>4476</v>
      </c>
      <c r="E2668" s="7" t="s">
        <v>154</v>
      </c>
      <c r="F2668" s="7" t="s">
        <v>128</v>
      </c>
      <c r="G2668" s="7" t="s">
        <v>99</v>
      </c>
      <c r="H2668" s="7" t="n">
        <v>2</v>
      </c>
      <c r="I2668" s="7" t="n">
        <v>265</v>
      </c>
      <c r="J2668" s="7" t="n">
        <v>30</v>
      </c>
      <c r="K2668" s="7" t="s">
        <v>88</v>
      </c>
      <c r="L2668" s="7" t="s">
        <v>194</v>
      </c>
      <c r="M2668" s="7" t="n">
        <v>29</v>
      </c>
      <c r="N2668" s="7" t="n">
        <v>4</v>
      </c>
      <c r="O2668" s="7" t="str">
        <f aca="false">A2668&amp;"|"&amp;B2668&amp;"|"&amp;C2668&amp;"|"&amp;D2668&amp;"|"&amp;E2668&amp;"|"&amp;F2668&amp;"|"&amp;G2668&amp;"|"&amp;H2668&amp;"|"&amp;I2668&amp;"|"&amp;J2668&amp;"|"&amp;K2668&amp;"|"&amp;L2668&amp;"|"&amp;M2668&amp;"|"&amp;N2668</f>
        <v>ORD12413|2025-10-31|18:43|C0224|Madras Biryani Co|Chennai|Biryani|2|265|30|UPI|Delivered|29|4</v>
      </c>
      <c r="P2668" s="7" t="str">
        <f aca="false">IF(COUNTIF($O$2:O2668,O2668)&gt;1,"DUP","OK")</f>
        <v>OK</v>
      </c>
      <c r="Q2668" s="7" t="n">
        <f aca="false">COUNTBLANK(A2668:N2668)</f>
        <v>0</v>
      </c>
      <c r="R2668" s="7" t="n">
        <f aca="false">IF(A2668="",0,COUNTIFS($A$2:$A$3058,A2668,$P$2:$P$3058,"OK"))</f>
        <v>1</v>
      </c>
      <c r="S2668" s="7" t="str">
        <f aca="false">IF(OR(A2668="",P2668="DUP",R2668&lt;2),"",IF(Q2668=_xlfn.MINIFS($Q$2:$Q$3058,$A$2:$A$3058,A2668,$P$2:$P$3058,"OK"),"KEEP","DROP"))</f>
        <v/>
      </c>
      <c r="T2668" s="9" t="n">
        <f aca="false">IF(A2668="",1,0)</f>
        <v>0</v>
      </c>
      <c r="U2668" s="9" t="n">
        <f aca="false">IF(D2668="",1,0)</f>
        <v>0</v>
      </c>
      <c r="V2668" s="9" t="n">
        <f aca="false">IF(E2668="",1,0)</f>
        <v>0</v>
      </c>
      <c r="W2668" s="9" t="n">
        <f aca="false">IF(OR(H2668&lt;1,H2668&gt;10),1,0)</f>
        <v>0</v>
      </c>
      <c r="X2668" s="9" t="n">
        <f aca="false">IF(OR(I2668&lt;=0,I2668&gt;1500),1,0)</f>
        <v>0</v>
      </c>
      <c r="Y2668" s="9" t="n">
        <f aca="false">IF(J2668&gt;H2668*I2668,1,0)</f>
        <v>0</v>
      </c>
      <c r="Z2668" s="9" t="n">
        <f aca="false">IF(AND(N2668&lt;&gt;"",OR(N2668&lt;1,N2668&gt;5)),1,0)</f>
        <v>0</v>
      </c>
      <c r="AA2668" s="9" t="n">
        <f aca="false">IF(AND(M2668&lt;&gt;"",OR(M2668&lt;5,M2668&gt;180)),1,0)</f>
        <v>0</v>
      </c>
      <c r="AB2668" s="7" t="str">
        <f aca="false">IF(P2668="DUP","Exact duplicate row",IF(T2668=1,"Missing Order ID",IF(S2668="DROP","Duplicate Order ID (less complete row)",IF(U2668=1,"Missing Customer ID",IF(V2668=1,"Missing Restaurant name",IF(W2668=1,"Invalid/outlier quantity",IF(X2668=1,"Invalid/outlier unit price",IF(Y2668=1,"Discount greater than order value",""))))))))</f>
        <v/>
      </c>
      <c r="AC2668" s="7" t="str">
        <f aca="false">IF(AB2668="","KEEP","DROP")</f>
        <v>KEEP</v>
      </c>
      <c r="AD2668" s="7" t="str">
        <f aca="false">IF(TRIM(F2668)="",IFERROR(INDEX(Map_Tables!$I$4:$I$37,MATCH(TRIM(E2668),Map_Tables!$G$4:$G$37,0)),""),IFERROR(INDEX(Map_Tables!$B$4:$B$18,MATCH(TRIM(F2668),Map_Tables!$A$4:$A$18,0)),"CHECK"))</f>
        <v>Chennai</v>
      </c>
      <c r="AE2668" s="7" t="str">
        <f aca="false">IF(TRIM(E2668)="","",IFERROR(INDEX(Map_Tables!$H$4:$H$37,MATCH(TRIM(E2668),Map_Tables!$G$4:$G$37,0)),"CHECK"))</f>
        <v>Madras Biryani Co</v>
      </c>
      <c r="AF2668" s="7" t="str">
        <f aca="false">IF(TRIM(K2668)="","Unknown",IFERROR(INDEX(Map_Tables!$E$4:$E$15,MATCH(TRIM(K2668),Map_Tables!$D$4:$D$15,0)),"CHECK"))</f>
        <v>UPI</v>
      </c>
      <c r="AG2668" s="7" t="str">
        <f aca="false">IF(LEFT(LOWER(TRIM(L2668)),6)="cancel","Cancelled","Delivered")</f>
        <v>Delivered</v>
      </c>
      <c r="AH2668" s="10" t="n">
        <f aca="false">IF(ISNUMBER(SEARCH("/",B2668)),DATE(VALUE(RIGHT(B2668,4)),VALUE(MID(B2668,4,2)),VALUE(LEFT(B2668,2))),IF(MID(B2668,5,1)="-",DATE(VALUE(LEFT(B2668,4)),VALUE(MID(B2668,6,2)),VALUE(RIGHT(B2668,2))),DATE(VALUE(RIGHT(B2668,4)),MATCH(MID(B2668,4,3),{"Jan","Feb","Mar","Apr","May","Jun","Jul","Aug","Sep","Oct","Nov","Dec"},0),VALUE(LEFT(B2668,2)))))</f>
        <v>45961</v>
      </c>
    </row>
    <row r="2669" customFormat="false" ht="15" hidden="false" customHeight="false" outlineLevel="0" collapsed="false">
      <c r="A2669" s="7" t="s">
        <v>5686</v>
      </c>
      <c r="B2669" s="7" t="s">
        <v>4247</v>
      </c>
      <c r="C2669" s="7" t="s">
        <v>832</v>
      </c>
      <c r="D2669" s="7" t="s">
        <v>5687</v>
      </c>
      <c r="E2669" s="7" t="s">
        <v>89</v>
      </c>
      <c r="F2669" s="7" t="s">
        <v>785</v>
      </c>
      <c r="G2669" s="7" t="s">
        <v>90</v>
      </c>
      <c r="H2669" s="7" t="n">
        <v>4</v>
      </c>
      <c r="I2669" s="7" t="n">
        <v>255</v>
      </c>
      <c r="J2669" s="7" t="n">
        <v>50</v>
      </c>
      <c r="K2669" s="7" t="s">
        <v>93</v>
      </c>
      <c r="L2669" s="7" t="s">
        <v>238</v>
      </c>
      <c r="M2669" s="7"/>
      <c r="N2669" s="7"/>
      <c r="O2669" s="7" t="str">
        <f aca="false">A2669&amp;"|"&amp;B2669&amp;"|"&amp;C2669&amp;"|"&amp;D2669&amp;"|"&amp;E2669&amp;"|"&amp;F2669&amp;"|"&amp;G2669&amp;"|"&amp;H2669&amp;"|"&amp;I2669&amp;"|"&amp;J2669&amp;"|"&amp;K2669&amp;"|"&amp;L2669&amp;"|"&amp;M2669&amp;"|"&amp;N2669</f>
        <v>ORD12227|2025-10-10|08:40|C0784|Spice Junction|Bengaluru |North Indian|4|255|50|Credit Card|Cancelled||</v>
      </c>
      <c r="P2669" s="7" t="str">
        <f aca="false">IF(COUNTIF($O$2:O2669,O2669)&gt;1,"DUP","OK")</f>
        <v>OK</v>
      </c>
      <c r="Q2669" s="7" t="n">
        <f aca="false">COUNTBLANK(A2669:N2669)</f>
        <v>2</v>
      </c>
      <c r="R2669" s="7" t="n">
        <f aca="false">IF(A2669="",0,COUNTIFS($A$2:$A$3058,A2669,$P$2:$P$3058,"OK"))</f>
        <v>1</v>
      </c>
      <c r="S2669" s="7" t="str">
        <f aca="false">IF(OR(A2669="",P2669="DUP",R2669&lt;2),"",IF(Q2669=_xlfn.MINIFS($Q$2:$Q$3058,$A$2:$A$3058,A2669,$P$2:$P$3058,"OK"),"KEEP","DROP"))</f>
        <v/>
      </c>
      <c r="T2669" s="9" t="n">
        <f aca="false">IF(A2669="",1,0)</f>
        <v>0</v>
      </c>
      <c r="U2669" s="9" t="n">
        <f aca="false">IF(D2669="",1,0)</f>
        <v>0</v>
      </c>
      <c r="V2669" s="9" t="n">
        <f aca="false">IF(E2669="",1,0)</f>
        <v>0</v>
      </c>
      <c r="W2669" s="9" t="n">
        <f aca="false">IF(OR(H2669&lt;1,H2669&gt;10),1,0)</f>
        <v>0</v>
      </c>
      <c r="X2669" s="9" t="n">
        <f aca="false">IF(OR(I2669&lt;=0,I2669&gt;1500),1,0)</f>
        <v>0</v>
      </c>
      <c r="Y2669" s="9" t="n">
        <f aca="false">IF(J2669&gt;H2669*I2669,1,0)</f>
        <v>0</v>
      </c>
      <c r="Z2669" s="9" t="n">
        <f aca="false">IF(AND(N2669&lt;&gt;"",OR(N2669&lt;1,N2669&gt;5)),1,0)</f>
        <v>0</v>
      </c>
      <c r="AA2669" s="9" t="n">
        <f aca="false">IF(AND(M2669&lt;&gt;"",OR(M2669&lt;5,M2669&gt;180)),1,0)</f>
        <v>0</v>
      </c>
      <c r="AB2669" s="7" t="str">
        <f aca="false">IF(P2669="DUP","Exact duplicate row",IF(T2669=1,"Missing Order ID",IF(S2669="DROP","Duplicate Order ID (less complete row)",IF(U2669=1,"Missing Customer ID",IF(V2669=1,"Missing Restaurant name",IF(W2669=1,"Invalid/outlier quantity",IF(X2669=1,"Invalid/outlier unit price",IF(Y2669=1,"Discount greater than order value",""))))))))</f>
        <v/>
      </c>
      <c r="AC2669" s="7" t="str">
        <f aca="false">IF(AB2669="","KEEP","DROP")</f>
        <v>KEEP</v>
      </c>
      <c r="AD2669" s="7" t="str">
        <f aca="false">IF(TRIM(F2669)="",IFERROR(INDEX(Map_Tables!$I$4:$I$37,MATCH(TRIM(E2669),Map_Tables!$G$4:$G$37,0)),""),IFERROR(INDEX(Map_Tables!$B$4:$B$18,MATCH(TRIM(F2669),Map_Tables!$A$4:$A$18,0)),"CHECK"))</f>
        <v>Bengaluru</v>
      </c>
      <c r="AE2669" s="7" t="str">
        <f aca="false">IF(TRIM(E2669)="","",IFERROR(INDEX(Map_Tables!$H$4:$H$37,MATCH(TRIM(E2669),Map_Tables!$G$4:$G$37,0)),"CHECK"))</f>
        <v>Spice Junction</v>
      </c>
      <c r="AF2669" s="7" t="str">
        <f aca="false">IF(TRIM(K2669)="","Unknown",IFERROR(INDEX(Map_Tables!$E$4:$E$15,MATCH(TRIM(K2669),Map_Tables!$D$4:$D$15,0)),"CHECK"))</f>
        <v>Credit Card</v>
      </c>
      <c r="AG2669" s="7" t="str">
        <f aca="false">IF(LEFT(LOWER(TRIM(L2669)),6)="cancel","Cancelled","Delivered")</f>
        <v>Cancelled</v>
      </c>
      <c r="AH2669" s="10" t="n">
        <f aca="false">IF(ISNUMBER(SEARCH("/",B2669)),DATE(VALUE(RIGHT(B2669,4)),VALUE(MID(B2669,4,2)),VALUE(LEFT(B2669,2))),IF(MID(B2669,5,1)="-",DATE(VALUE(LEFT(B2669,4)),VALUE(MID(B2669,6,2)),VALUE(RIGHT(B2669,2))),DATE(VALUE(RIGHT(B2669,4)),MATCH(MID(B2669,4,3),{"Jan","Feb","Mar","Apr","May","Jun","Jul","Aug","Sep","Oct","Nov","Dec"},0),VALUE(LEFT(B2669,2)))))</f>
        <v>45940</v>
      </c>
    </row>
    <row r="2670" customFormat="false" ht="15" hidden="false" customHeight="false" outlineLevel="0" collapsed="false">
      <c r="A2670" s="7" t="s">
        <v>5688</v>
      </c>
      <c r="B2670" s="7" t="s">
        <v>1376</v>
      </c>
      <c r="C2670" s="7" t="s">
        <v>1745</v>
      </c>
      <c r="D2670" s="7" t="s">
        <v>1299</v>
      </c>
      <c r="E2670" s="7" t="s">
        <v>166</v>
      </c>
      <c r="F2670" s="7" t="s">
        <v>146</v>
      </c>
      <c r="G2670" s="7" t="s">
        <v>117</v>
      </c>
      <c r="H2670" s="7" t="n">
        <v>3</v>
      </c>
      <c r="I2670" s="7" t="n">
        <v>100</v>
      </c>
      <c r="J2670" s="7" t="n">
        <v>0</v>
      </c>
      <c r="K2670" s="7" t="s">
        <v>2596</v>
      </c>
      <c r="L2670" s="7" t="s">
        <v>238</v>
      </c>
      <c r="M2670" s="7"/>
      <c r="N2670" s="7"/>
      <c r="O2670" s="7" t="str">
        <f aca="false">A2670&amp;"|"&amp;B2670&amp;"|"&amp;C2670&amp;"|"&amp;D2670&amp;"|"&amp;E2670&amp;"|"&amp;F2670&amp;"|"&amp;G2670&amp;"|"&amp;H2670&amp;"|"&amp;I2670&amp;"|"&amp;J2670&amp;"|"&amp;K2670&amp;"|"&amp;L2670&amp;"|"&amp;M2670&amp;"|"&amp;N2670</f>
        <v>ORD10997|2025-05-07|10:25|C0070|Dhokla Delight|Ahmedabad|Street Food|3|100|0|COD|Cancelled||</v>
      </c>
      <c r="P2670" s="7" t="str">
        <f aca="false">IF(COUNTIF($O$2:O2670,O2670)&gt;1,"DUP","OK")</f>
        <v>OK</v>
      </c>
      <c r="Q2670" s="7" t="n">
        <f aca="false">COUNTBLANK(A2670:N2670)</f>
        <v>2</v>
      </c>
      <c r="R2670" s="7" t="n">
        <f aca="false">IF(A2670="",0,COUNTIFS($A$2:$A$3058,A2670,$P$2:$P$3058,"OK"))</f>
        <v>1</v>
      </c>
      <c r="S2670" s="7" t="str">
        <f aca="false">IF(OR(A2670="",P2670="DUP",R2670&lt;2),"",IF(Q2670=_xlfn.MINIFS($Q$2:$Q$3058,$A$2:$A$3058,A2670,$P$2:$P$3058,"OK"),"KEEP","DROP"))</f>
        <v/>
      </c>
      <c r="T2670" s="9" t="n">
        <f aca="false">IF(A2670="",1,0)</f>
        <v>0</v>
      </c>
      <c r="U2670" s="9" t="n">
        <f aca="false">IF(D2670="",1,0)</f>
        <v>0</v>
      </c>
      <c r="V2670" s="9" t="n">
        <f aca="false">IF(E2670="",1,0)</f>
        <v>0</v>
      </c>
      <c r="W2670" s="9" t="n">
        <f aca="false">IF(OR(H2670&lt;1,H2670&gt;10),1,0)</f>
        <v>0</v>
      </c>
      <c r="X2670" s="9" t="n">
        <f aca="false">IF(OR(I2670&lt;=0,I2670&gt;1500),1,0)</f>
        <v>0</v>
      </c>
      <c r="Y2670" s="9" t="n">
        <f aca="false">IF(J2670&gt;H2670*I2670,1,0)</f>
        <v>0</v>
      </c>
      <c r="Z2670" s="9" t="n">
        <f aca="false">IF(AND(N2670&lt;&gt;"",OR(N2670&lt;1,N2670&gt;5)),1,0)</f>
        <v>0</v>
      </c>
      <c r="AA2670" s="9" t="n">
        <f aca="false">IF(AND(M2670&lt;&gt;"",OR(M2670&lt;5,M2670&gt;180)),1,0)</f>
        <v>0</v>
      </c>
      <c r="AB2670" s="7" t="str">
        <f aca="false">IF(P2670="DUP","Exact duplicate row",IF(T2670=1,"Missing Order ID",IF(S2670="DROP","Duplicate Order ID (less complete row)",IF(U2670=1,"Missing Customer ID",IF(V2670=1,"Missing Restaurant name",IF(W2670=1,"Invalid/outlier quantity",IF(X2670=1,"Invalid/outlier unit price",IF(Y2670=1,"Discount greater than order value",""))))))))</f>
        <v/>
      </c>
      <c r="AC2670" s="7" t="str">
        <f aca="false">IF(AB2670="","KEEP","DROP")</f>
        <v>KEEP</v>
      </c>
      <c r="AD2670" s="7" t="str">
        <f aca="false">IF(TRIM(F2670)="",IFERROR(INDEX(Map_Tables!$I$4:$I$37,MATCH(TRIM(E2670),Map_Tables!$G$4:$G$37,0)),""),IFERROR(INDEX(Map_Tables!$B$4:$B$18,MATCH(TRIM(F2670),Map_Tables!$A$4:$A$18,0)),"CHECK"))</f>
        <v>Ahmedabad</v>
      </c>
      <c r="AE2670" s="7" t="str">
        <f aca="false">IF(TRIM(E2670)="","",IFERROR(INDEX(Map_Tables!$H$4:$H$37,MATCH(TRIM(E2670),Map_Tables!$G$4:$G$37,0)),"CHECK"))</f>
        <v>Dhokla Delight</v>
      </c>
      <c r="AF2670" s="7" t="str">
        <f aca="false">IF(TRIM(K2670)="","Unknown",IFERROR(INDEX(Map_Tables!$E$4:$E$15,MATCH(TRIM(K2670),Map_Tables!$D$4:$D$15,0)),"CHECK"))</f>
        <v>Cash on Delivery</v>
      </c>
      <c r="AG2670" s="7" t="str">
        <f aca="false">IF(LEFT(LOWER(TRIM(L2670)),6)="cancel","Cancelled","Delivered")</f>
        <v>Cancelled</v>
      </c>
      <c r="AH2670" s="10" t="n">
        <f aca="false">IF(ISNUMBER(SEARCH("/",B2670)),DATE(VALUE(RIGHT(B2670,4)),VALUE(MID(B2670,4,2)),VALUE(LEFT(B2670,2))),IF(MID(B2670,5,1)="-",DATE(VALUE(LEFT(B2670,4)),VALUE(MID(B2670,6,2)),VALUE(RIGHT(B2670,2))),DATE(VALUE(RIGHT(B2670,4)),MATCH(MID(B2670,4,3),{"Jan","Feb","Mar","Apr","May","Jun","Jul","Aug","Sep","Oct","Nov","Dec"},0),VALUE(LEFT(B2670,2)))))</f>
        <v>45784</v>
      </c>
    </row>
    <row r="2671" customFormat="false" ht="15" hidden="false" customHeight="false" outlineLevel="0" collapsed="false">
      <c r="A2671" s="7" t="s">
        <v>5689</v>
      </c>
      <c r="B2671" s="7" t="s">
        <v>1433</v>
      </c>
      <c r="C2671" s="7" t="s">
        <v>1718</v>
      </c>
      <c r="D2671" s="7" t="s">
        <v>962</v>
      </c>
      <c r="E2671" s="7" t="s">
        <v>122</v>
      </c>
      <c r="F2671" s="7" t="s">
        <v>101</v>
      </c>
      <c r="G2671" s="7" t="s">
        <v>123</v>
      </c>
      <c r="H2671" s="7" t="n">
        <v>4</v>
      </c>
      <c r="I2671" s="7" t="n">
        <v>280</v>
      </c>
      <c r="J2671" s="7" t="n">
        <v>0</v>
      </c>
      <c r="K2671" s="7" t="s">
        <v>112</v>
      </c>
      <c r="L2671" s="7" t="s">
        <v>194</v>
      </c>
      <c r="M2671" s="7" t="n">
        <v>45</v>
      </c>
      <c r="N2671" s="7"/>
      <c r="O2671" s="7" t="str">
        <f aca="false">A2671&amp;"|"&amp;B2671&amp;"|"&amp;C2671&amp;"|"&amp;D2671&amp;"|"&amp;E2671&amp;"|"&amp;F2671&amp;"|"&amp;G2671&amp;"|"&amp;H2671&amp;"|"&amp;I2671&amp;"|"&amp;J2671&amp;"|"&amp;K2671&amp;"|"&amp;L2671&amp;"|"&amp;M2671&amp;"|"&amp;N2671</f>
        <v>ORD12063|2025-09-23|20:13|C0741|Mumbai Pizza Co|Mumbai|Pizza|4|280|0|Cash on Delivery|Delivered|45|</v>
      </c>
      <c r="P2671" s="7" t="str">
        <f aca="false">IF(COUNTIF($O$2:O2671,O2671)&gt;1,"DUP","OK")</f>
        <v>OK</v>
      </c>
      <c r="Q2671" s="7" t="n">
        <f aca="false">COUNTBLANK(A2671:N2671)</f>
        <v>1</v>
      </c>
      <c r="R2671" s="7" t="n">
        <f aca="false">IF(A2671="",0,COUNTIFS($A$2:$A$3058,A2671,$P$2:$P$3058,"OK"))</f>
        <v>1</v>
      </c>
      <c r="S2671" s="7" t="str">
        <f aca="false">IF(OR(A2671="",P2671="DUP",R2671&lt;2),"",IF(Q2671=_xlfn.MINIFS($Q$2:$Q$3058,$A$2:$A$3058,A2671,$P$2:$P$3058,"OK"),"KEEP","DROP"))</f>
        <v/>
      </c>
      <c r="T2671" s="9" t="n">
        <f aca="false">IF(A2671="",1,0)</f>
        <v>0</v>
      </c>
      <c r="U2671" s="9" t="n">
        <f aca="false">IF(D2671="",1,0)</f>
        <v>0</v>
      </c>
      <c r="V2671" s="9" t="n">
        <f aca="false">IF(E2671="",1,0)</f>
        <v>0</v>
      </c>
      <c r="W2671" s="9" t="n">
        <f aca="false">IF(OR(H2671&lt;1,H2671&gt;10),1,0)</f>
        <v>0</v>
      </c>
      <c r="X2671" s="9" t="n">
        <f aca="false">IF(OR(I2671&lt;=0,I2671&gt;1500),1,0)</f>
        <v>0</v>
      </c>
      <c r="Y2671" s="9" t="n">
        <f aca="false">IF(J2671&gt;H2671*I2671,1,0)</f>
        <v>0</v>
      </c>
      <c r="Z2671" s="9" t="n">
        <f aca="false">IF(AND(N2671&lt;&gt;"",OR(N2671&lt;1,N2671&gt;5)),1,0)</f>
        <v>0</v>
      </c>
      <c r="AA2671" s="9" t="n">
        <f aca="false">IF(AND(M2671&lt;&gt;"",OR(M2671&lt;5,M2671&gt;180)),1,0)</f>
        <v>0</v>
      </c>
      <c r="AB2671" s="7" t="str">
        <f aca="false">IF(P2671="DUP","Exact duplicate row",IF(T2671=1,"Missing Order ID",IF(S2671="DROP","Duplicate Order ID (less complete row)",IF(U2671=1,"Missing Customer ID",IF(V2671=1,"Missing Restaurant name",IF(W2671=1,"Invalid/outlier quantity",IF(X2671=1,"Invalid/outlier unit price",IF(Y2671=1,"Discount greater than order value",""))))))))</f>
        <v/>
      </c>
      <c r="AC2671" s="7" t="str">
        <f aca="false">IF(AB2671="","KEEP","DROP")</f>
        <v>KEEP</v>
      </c>
      <c r="AD2671" s="7" t="str">
        <f aca="false">IF(TRIM(F2671)="",IFERROR(INDEX(Map_Tables!$I$4:$I$37,MATCH(TRIM(E2671),Map_Tables!$G$4:$G$37,0)),""),IFERROR(INDEX(Map_Tables!$B$4:$B$18,MATCH(TRIM(F2671),Map_Tables!$A$4:$A$18,0)),"CHECK"))</f>
        <v>Mumbai</v>
      </c>
      <c r="AE2671" s="7" t="str">
        <f aca="false">IF(TRIM(E2671)="","",IFERROR(INDEX(Map_Tables!$H$4:$H$37,MATCH(TRIM(E2671),Map_Tables!$G$4:$G$37,0)),"CHECK"))</f>
        <v>Mumbai Pizza Co</v>
      </c>
      <c r="AF2671" s="7" t="str">
        <f aca="false">IF(TRIM(K2671)="","Unknown",IFERROR(INDEX(Map_Tables!$E$4:$E$15,MATCH(TRIM(K2671),Map_Tables!$D$4:$D$15,0)),"CHECK"))</f>
        <v>Cash on Delivery</v>
      </c>
      <c r="AG2671" s="7" t="str">
        <f aca="false">IF(LEFT(LOWER(TRIM(L2671)),6)="cancel","Cancelled","Delivered")</f>
        <v>Delivered</v>
      </c>
      <c r="AH2671" s="10" t="n">
        <f aca="false">IF(ISNUMBER(SEARCH("/",B2671)),DATE(VALUE(RIGHT(B2671,4)),VALUE(MID(B2671,4,2)),VALUE(LEFT(B2671,2))),IF(MID(B2671,5,1)="-",DATE(VALUE(LEFT(B2671,4)),VALUE(MID(B2671,6,2)),VALUE(RIGHT(B2671,2))),DATE(VALUE(RIGHT(B2671,4)),MATCH(MID(B2671,4,3),{"Jan","Feb","Mar","Apr","May","Jun","Jul","Aug","Sep","Oct","Nov","Dec"},0),VALUE(LEFT(B2671,2)))))</f>
        <v>45923</v>
      </c>
    </row>
    <row r="2672" customFormat="false" ht="15" hidden="false" customHeight="false" outlineLevel="0" collapsed="false">
      <c r="A2672" s="7" t="s">
        <v>5690</v>
      </c>
      <c r="B2672" s="7" t="s">
        <v>3231</v>
      </c>
      <c r="C2672" s="7" t="s">
        <v>486</v>
      </c>
      <c r="D2672" s="7" t="s">
        <v>4561</v>
      </c>
      <c r="E2672" s="7" t="s">
        <v>98</v>
      </c>
      <c r="F2672" s="7" t="s">
        <v>86</v>
      </c>
      <c r="G2672" s="7" t="s">
        <v>99</v>
      </c>
      <c r="H2672" s="7" t="n">
        <v>4</v>
      </c>
      <c r="I2672" s="7" t="n">
        <v>265</v>
      </c>
      <c r="J2672" s="7" t="n">
        <v>0</v>
      </c>
      <c r="K2672" s="7" t="s">
        <v>421</v>
      </c>
      <c r="L2672" s="7" t="s">
        <v>194</v>
      </c>
      <c r="M2672" s="7" t="n">
        <v>33</v>
      </c>
      <c r="N2672" s="7" t="n">
        <v>5</v>
      </c>
      <c r="O2672" s="7" t="str">
        <f aca="false">A2672&amp;"|"&amp;B2672&amp;"|"&amp;C2672&amp;"|"&amp;D2672&amp;"|"&amp;E2672&amp;"|"&amp;F2672&amp;"|"&amp;G2672&amp;"|"&amp;H2672&amp;"|"&amp;I2672&amp;"|"&amp;J2672&amp;"|"&amp;K2672&amp;"|"&amp;L2672&amp;"|"&amp;M2672&amp;"|"&amp;N2672</f>
        <v>ORD11111|2025-05-21|12:46|C1359|Nawabi Biryani House|Bengaluru|Biryani|4|265|0|UPI |Delivered|33|5</v>
      </c>
      <c r="P2672" s="7" t="str">
        <f aca="false">IF(COUNTIF($O$2:O2672,O2672)&gt;1,"DUP","OK")</f>
        <v>OK</v>
      </c>
      <c r="Q2672" s="7" t="n">
        <f aca="false">COUNTBLANK(A2672:N2672)</f>
        <v>0</v>
      </c>
      <c r="R2672" s="7" t="n">
        <f aca="false">IF(A2672="",0,COUNTIFS($A$2:$A$3058,A2672,$P$2:$P$3058,"OK"))</f>
        <v>1</v>
      </c>
      <c r="S2672" s="7" t="str">
        <f aca="false">IF(OR(A2672="",P2672="DUP",R2672&lt;2),"",IF(Q2672=_xlfn.MINIFS($Q$2:$Q$3058,$A$2:$A$3058,A2672,$P$2:$P$3058,"OK"),"KEEP","DROP"))</f>
        <v/>
      </c>
      <c r="T2672" s="9" t="n">
        <f aca="false">IF(A2672="",1,0)</f>
        <v>0</v>
      </c>
      <c r="U2672" s="9" t="n">
        <f aca="false">IF(D2672="",1,0)</f>
        <v>0</v>
      </c>
      <c r="V2672" s="9" t="n">
        <f aca="false">IF(E2672="",1,0)</f>
        <v>0</v>
      </c>
      <c r="W2672" s="9" t="n">
        <f aca="false">IF(OR(H2672&lt;1,H2672&gt;10),1,0)</f>
        <v>0</v>
      </c>
      <c r="X2672" s="9" t="n">
        <f aca="false">IF(OR(I2672&lt;=0,I2672&gt;1500),1,0)</f>
        <v>0</v>
      </c>
      <c r="Y2672" s="9" t="n">
        <f aca="false">IF(J2672&gt;H2672*I2672,1,0)</f>
        <v>0</v>
      </c>
      <c r="Z2672" s="9" t="n">
        <f aca="false">IF(AND(N2672&lt;&gt;"",OR(N2672&lt;1,N2672&gt;5)),1,0)</f>
        <v>0</v>
      </c>
      <c r="AA2672" s="9" t="n">
        <f aca="false">IF(AND(M2672&lt;&gt;"",OR(M2672&lt;5,M2672&gt;180)),1,0)</f>
        <v>0</v>
      </c>
      <c r="AB2672" s="7" t="str">
        <f aca="false">IF(P2672="DUP","Exact duplicate row",IF(T2672=1,"Missing Order ID",IF(S2672="DROP","Duplicate Order ID (less complete row)",IF(U2672=1,"Missing Customer ID",IF(V2672=1,"Missing Restaurant name",IF(W2672=1,"Invalid/outlier quantity",IF(X2672=1,"Invalid/outlier unit price",IF(Y2672=1,"Discount greater than order value",""))))))))</f>
        <v/>
      </c>
      <c r="AC2672" s="7" t="str">
        <f aca="false">IF(AB2672="","KEEP","DROP")</f>
        <v>KEEP</v>
      </c>
      <c r="AD2672" s="7" t="str">
        <f aca="false">IF(TRIM(F2672)="",IFERROR(INDEX(Map_Tables!$I$4:$I$37,MATCH(TRIM(E2672),Map_Tables!$G$4:$G$37,0)),""),IFERROR(INDEX(Map_Tables!$B$4:$B$18,MATCH(TRIM(F2672),Map_Tables!$A$4:$A$18,0)),"CHECK"))</f>
        <v>Bengaluru</v>
      </c>
      <c r="AE2672" s="7" t="str">
        <f aca="false">IF(TRIM(E2672)="","",IFERROR(INDEX(Map_Tables!$H$4:$H$37,MATCH(TRIM(E2672),Map_Tables!$G$4:$G$37,0)),"CHECK"))</f>
        <v>Nawabi Biryani House</v>
      </c>
      <c r="AF2672" s="7" t="str">
        <f aca="false">IF(TRIM(K2672)="","Unknown",IFERROR(INDEX(Map_Tables!$E$4:$E$15,MATCH(TRIM(K2672),Map_Tables!$D$4:$D$15,0)),"CHECK"))</f>
        <v>UPI</v>
      </c>
      <c r="AG2672" s="7" t="str">
        <f aca="false">IF(LEFT(LOWER(TRIM(L2672)),6)="cancel","Cancelled","Delivered")</f>
        <v>Delivered</v>
      </c>
      <c r="AH2672" s="10" t="n">
        <f aca="false">IF(ISNUMBER(SEARCH("/",B2672)),DATE(VALUE(RIGHT(B2672,4)),VALUE(MID(B2672,4,2)),VALUE(LEFT(B2672,2))),IF(MID(B2672,5,1)="-",DATE(VALUE(LEFT(B2672,4)),VALUE(MID(B2672,6,2)),VALUE(RIGHT(B2672,2))),DATE(VALUE(RIGHT(B2672,4)),MATCH(MID(B2672,4,3),{"Jan","Feb","Mar","Apr","May","Jun","Jul","Aug","Sep","Oct","Nov","Dec"},0),VALUE(LEFT(B2672,2)))))</f>
        <v>45798</v>
      </c>
    </row>
    <row r="2673" customFormat="false" ht="15" hidden="false" customHeight="false" outlineLevel="0" collapsed="false">
      <c r="A2673" s="7" t="s">
        <v>5691</v>
      </c>
      <c r="B2673" s="7" t="s">
        <v>731</v>
      </c>
      <c r="C2673" s="7" t="s">
        <v>866</v>
      </c>
      <c r="D2673" s="7" t="s">
        <v>3663</v>
      </c>
      <c r="E2673" s="7" t="s">
        <v>130</v>
      </c>
      <c r="F2673" s="7" t="s">
        <v>110</v>
      </c>
      <c r="G2673" s="7" t="s">
        <v>90</v>
      </c>
      <c r="H2673" s="7" t="n">
        <v>2</v>
      </c>
      <c r="I2673" s="7" t="n">
        <v>245</v>
      </c>
      <c r="J2673" s="7" t="n">
        <v>0</v>
      </c>
      <c r="K2673" s="7" t="s">
        <v>421</v>
      </c>
      <c r="L2673" s="7" t="s">
        <v>194</v>
      </c>
      <c r="M2673" s="7" t="n">
        <v>38</v>
      </c>
      <c r="N2673" s="7" t="n">
        <v>5</v>
      </c>
      <c r="O2673" s="7" t="str">
        <f aca="false">A2673&amp;"|"&amp;B2673&amp;"|"&amp;C2673&amp;"|"&amp;D2673&amp;"|"&amp;E2673&amp;"|"&amp;F2673&amp;"|"&amp;G2673&amp;"|"&amp;H2673&amp;"|"&amp;I2673&amp;"|"&amp;J2673&amp;"|"&amp;K2673&amp;"|"&amp;L2673&amp;"|"&amp;M2673&amp;"|"&amp;N2673</f>
        <v>ORD12214|2025-10-09|10:06|C0156|Tandoor Tales|Delhi|North Indian|2|245|0|UPI |Delivered|38|5</v>
      </c>
      <c r="P2673" s="7" t="str">
        <f aca="false">IF(COUNTIF($O$2:O2673,O2673)&gt;1,"DUP","OK")</f>
        <v>OK</v>
      </c>
      <c r="Q2673" s="7" t="n">
        <f aca="false">COUNTBLANK(A2673:N2673)</f>
        <v>0</v>
      </c>
      <c r="R2673" s="7" t="n">
        <f aca="false">IF(A2673="",0,COUNTIFS($A$2:$A$3058,A2673,$P$2:$P$3058,"OK"))</f>
        <v>1</v>
      </c>
      <c r="S2673" s="7" t="str">
        <f aca="false">IF(OR(A2673="",P2673="DUP",R2673&lt;2),"",IF(Q2673=_xlfn.MINIFS($Q$2:$Q$3058,$A$2:$A$3058,A2673,$P$2:$P$3058,"OK"),"KEEP","DROP"))</f>
        <v/>
      </c>
      <c r="T2673" s="9" t="n">
        <f aca="false">IF(A2673="",1,0)</f>
        <v>0</v>
      </c>
      <c r="U2673" s="9" t="n">
        <f aca="false">IF(D2673="",1,0)</f>
        <v>0</v>
      </c>
      <c r="V2673" s="9" t="n">
        <f aca="false">IF(E2673="",1,0)</f>
        <v>0</v>
      </c>
      <c r="W2673" s="9" t="n">
        <f aca="false">IF(OR(H2673&lt;1,H2673&gt;10),1,0)</f>
        <v>0</v>
      </c>
      <c r="X2673" s="9" t="n">
        <f aca="false">IF(OR(I2673&lt;=0,I2673&gt;1500),1,0)</f>
        <v>0</v>
      </c>
      <c r="Y2673" s="9" t="n">
        <f aca="false">IF(J2673&gt;H2673*I2673,1,0)</f>
        <v>0</v>
      </c>
      <c r="Z2673" s="9" t="n">
        <f aca="false">IF(AND(N2673&lt;&gt;"",OR(N2673&lt;1,N2673&gt;5)),1,0)</f>
        <v>0</v>
      </c>
      <c r="AA2673" s="9" t="n">
        <f aca="false">IF(AND(M2673&lt;&gt;"",OR(M2673&lt;5,M2673&gt;180)),1,0)</f>
        <v>0</v>
      </c>
      <c r="AB2673" s="7" t="str">
        <f aca="false">IF(P2673="DUP","Exact duplicate row",IF(T2673=1,"Missing Order ID",IF(S2673="DROP","Duplicate Order ID (less complete row)",IF(U2673=1,"Missing Customer ID",IF(V2673=1,"Missing Restaurant name",IF(W2673=1,"Invalid/outlier quantity",IF(X2673=1,"Invalid/outlier unit price",IF(Y2673=1,"Discount greater than order value",""))))))))</f>
        <v/>
      </c>
      <c r="AC2673" s="7" t="str">
        <f aca="false">IF(AB2673="","KEEP","DROP")</f>
        <v>KEEP</v>
      </c>
      <c r="AD2673" s="7" t="str">
        <f aca="false">IF(TRIM(F2673)="",IFERROR(INDEX(Map_Tables!$I$4:$I$37,MATCH(TRIM(E2673),Map_Tables!$G$4:$G$37,0)),""),IFERROR(INDEX(Map_Tables!$B$4:$B$18,MATCH(TRIM(F2673),Map_Tables!$A$4:$A$18,0)),"CHECK"))</f>
        <v>Delhi</v>
      </c>
      <c r="AE2673" s="7" t="str">
        <f aca="false">IF(TRIM(E2673)="","",IFERROR(INDEX(Map_Tables!$H$4:$H$37,MATCH(TRIM(E2673),Map_Tables!$G$4:$G$37,0)),"CHECK"))</f>
        <v>Tandoor Tales</v>
      </c>
      <c r="AF2673" s="7" t="str">
        <f aca="false">IF(TRIM(K2673)="","Unknown",IFERROR(INDEX(Map_Tables!$E$4:$E$15,MATCH(TRIM(K2673),Map_Tables!$D$4:$D$15,0)),"CHECK"))</f>
        <v>UPI</v>
      </c>
      <c r="AG2673" s="7" t="str">
        <f aca="false">IF(LEFT(LOWER(TRIM(L2673)),6)="cancel","Cancelled","Delivered")</f>
        <v>Delivered</v>
      </c>
      <c r="AH2673" s="10" t="n">
        <f aca="false">IF(ISNUMBER(SEARCH("/",B2673)),DATE(VALUE(RIGHT(B2673,4)),VALUE(MID(B2673,4,2)),VALUE(LEFT(B2673,2))),IF(MID(B2673,5,1)="-",DATE(VALUE(LEFT(B2673,4)),VALUE(MID(B2673,6,2)),VALUE(RIGHT(B2673,2))),DATE(VALUE(RIGHT(B2673,4)),MATCH(MID(B2673,4,3),{"Jan","Feb","Mar","Apr","May","Jun","Jul","Aug","Sep","Oct","Nov","Dec"},0),VALUE(LEFT(B2673,2)))))</f>
        <v>45939</v>
      </c>
    </row>
    <row r="2674" customFormat="false" ht="15" hidden="false" customHeight="false" outlineLevel="0" collapsed="false">
      <c r="A2674" s="7" t="s">
        <v>5692</v>
      </c>
      <c r="B2674" s="7" t="s">
        <v>500</v>
      </c>
      <c r="C2674" s="7" t="s">
        <v>1784</v>
      </c>
      <c r="D2674" s="7" t="s">
        <v>5693</v>
      </c>
      <c r="E2674" s="7" t="s">
        <v>94</v>
      </c>
      <c r="F2674" s="7" t="s">
        <v>86</v>
      </c>
      <c r="G2674" s="7" t="s">
        <v>95</v>
      </c>
      <c r="H2674" s="7" t="n">
        <v>1</v>
      </c>
      <c r="I2674" s="7" t="n">
        <v>110</v>
      </c>
      <c r="J2674" s="7" t="n">
        <v>0</v>
      </c>
      <c r="K2674" s="7" t="s">
        <v>421</v>
      </c>
      <c r="L2674" s="7" t="s">
        <v>194</v>
      </c>
      <c r="M2674" s="7" t="n">
        <v>36</v>
      </c>
      <c r="N2674" s="7"/>
      <c r="O2674" s="7" t="str">
        <f aca="false">A2674&amp;"|"&amp;B2674&amp;"|"&amp;C2674&amp;"|"&amp;D2674&amp;"|"&amp;E2674&amp;"|"&amp;F2674&amp;"|"&amp;G2674&amp;"|"&amp;H2674&amp;"|"&amp;I2674&amp;"|"&amp;J2674&amp;"|"&amp;K2674&amp;"|"&amp;L2674&amp;"|"&amp;M2674&amp;"|"&amp;N2674</f>
        <v>ORD11360|2025-06-24|18:23|C0442|Dosa Darbar|Bengaluru|South Indian|1|110|0|UPI |Delivered|36|</v>
      </c>
      <c r="P2674" s="7" t="str">
        <f aca="false">IF(COUNTIF($O$2:O2674,O2674)&gt;1,"DUP","OK")</f>
        <v>OK</v>
      </c>
      <c r="Q2674" s="7" t="n">
        <f aca="false">COUNTBLANK(A2674:N2674)</f>
        <v>1</v>
      </c>
      <c r="R2674" s="7" t="n">
        <f aca="false">IF(A2674="",0,COUNTIFS($A$2:$A$3058,A2674,$P$2:$P$3058,"OK"))</f>
        <v>1</v>
      </c>
      <c r="S2674" s="7" t="str">
        <f aca="false">IF(OR(A2674="",P2674="DUP",R2674&lt;2),"",IF(Q2674=_xlfn.MINIFS($Q$2:$Q$3058,$A$2:$A$3058,A2674,$P$2:$P$3058,"OK"),"KEEP","DROP"))</f>
        <v/>
      </c>
      <c r="T2674" s="9" t="n">
        <f aca="false">IF(A2674="",1,0)</f>
        <v>0</v>
      </c>
      <c r="U2674" s="9" t="n">
        <f aca="false">IF(D2674="",1,0)</f>
        <v>0</v>
      </c>
      <c r="V2674" s="9" t="n">
        <f aca="false">IF(E2674="",1,0)</f>
        <v>0</v>
      </c>
      <c r="W2674" s="9" t="n">
        <f aca="false">IF(OR(H2674&lt;1,H2674&gt;10),1,0)</f>
        <v>0</v>
      </c>
      <c r="X2674" s="9" t="n">
        <f aca="false">IF(OR(I2674&lt;=0,I2674&gt;1500),1,0)</f>
        <v>0</v>
      </c>
      <c r="Y2674" s="9" t="n">
        <f aca="false">IF(J2674&gt;H2674*I2674,1,0)</f>
        <v>0</v>
      </c>
      <c r="Z2674" s="9" t="n">
        <f aca="false">IF(AND(N2674&lt;&gt;"",OR(N2674&lt;1,N2674&gt;5)),1,0)</f>
        <v>0</v>
      </c>
      <c r="AA2674" s="9" t="n">
        <f aca="false">IF(AND(M2674&lt;&gt;"",OR(M2674&lt;5,M2674&gt;180)),1,0)</f>
        <v>0</v>
      </c>
      <c r="AB2674" s="7" t="str">
        <f aca="false">IF(P2674="DUP","Exact duplicate row",IF(T2674=1,"Missing Order ID",IF(S2674="DROP","Duplicate Order ID (less complete row)",IF(U2674=1,"Missing Customer ID",IF(V2674=1,"Missing Restaurant name",IF(W2674=1,"Invalid/outlier quantity",IF(X2674=1,"Invalid/outlier unit price",IF(Y2674=1,"Discount greater than order value",""))))))))</f>
        <v/>
      </c>
      <c r="AC2674" s="7" t="str">
        <f aca="false">IF(AB2674="","KEEP","DROP")</f>
        <v>KEEP</v>
      </c>
      <c r="AD2674" s="7" t="str">
        <f aca="false">IF(TRIM(F2674)="",IFERROR(INDEX(Map_Tables!$I$4:$I$37,MATCH(TRIM(E2674),Map_Tables!$G$4:$G$37,0)),""),IFERROR(INDEX(Map_Tables!$B$4:$B$18,MATCH(TRIM(F2674),Map_Tables!$A$4:$A$18,0)),"CHECK"))</f>
        <v>Bengaluru</v>
      </c>
      <c r="AE2674" s="7" t="str">
        <f aca="false">IF(TRIM(E2674)="","",IFERROR(INDEX(Map_Tables!$H$4:$H$37,MATCH(TRIM(E2674),Map_Tables!$G$4:$G$37,0)),"CHECK"))</f>
        <v>Dosa Darbar</v>
      </c>
      <c r="AF2674" s="7" t="str">
        <f aca="false">IF(TRIM(K2674)="","Unknown",IFERROR(INDEX(Map_Tables!$E$4:$E$15,MATCH(TRIM(K2674),Map_Tables!$D$4:$D$15,0)),"CHECK"))</f>
        <v>UPI</v>
      </c>
      <c r="AG2674" s="7" t="str">
        <f aca="false">IF(LEFT(LOWER(TRIM(L2674)),6)="cancel","Cancelled","Delivered")</f>
        <v>Delivered</v>
      </c>
      <c r="AH2674" s="10" t="n">
        <f aca="false">IF(ISNUMBER(SEARCH("/",B2674)),DATE(VALUE(RIGHT(B2674,4)),VALUE(MID(B2674,4,2)),VALUE(LEFT(B2674,2))),IF(MID(B2674,5,1)="-",DATE(VALUE(LEFT(B2674,4)),VALUE(MID(B2674,6,2)),VALUE(RIGHT(B2674,2))),DATE(VALUE(RIGHT(B2674,4)),MATCH(MID(B2674,4,3),{"Jan","Feb","Mar","Apr","May","Jun","Jul","Aug","Sep","Oct","Nov","Dec"},0),VALUE(LEFT(B2674,2)))))</f>
        <v>45832</v>
      </c>
    </row>
    <row r="2675" customFormat="false" ht="15" hidden="false" customHeight="false" outlineLevel="0" collapsed="false">
      <c r="A2675" s="7" t="s">
        <v>5694</v>
      </c>
      <c r="B2675" s="7" t="s">
        <v>402</v>
      </c>
      <c r="C2675" s="7" t="s">
        <v>3163</v>
      </c>
      <c r="D2675" s="7" t="s">
        <v>448</v>
      </c>
      <c r="E2675" s="7" t="s">
        <v>4119</v>
      </c>
      <c r="F2675" s="7" t="s">
        <v>86</v>
      </c>
      <c r="G2675" s="7" t="s">
        <v>99</v>
      </c>
      <c r="H2675" s="7" t="n">
        <v>1</v>
      </c>
      <c r="I2675" s="7" t="n">
        <v>290</v>
      </c>
      <c r="J2675" s="7" t="n">
        <v>0</v>
      </c>
      <c r="K2675" s="7" t="s">
        <v>88</v>
      </c>
      <c r="L2675" s="7" t="s">
        <v>194</v>
      </c>
      <c r="M2675" s="7" t="n">
        <v>33</v>
      </c>
      <c r="N2675" s="7" t="n">
        <v>4</v>
      </c>
      <c r="O2675" s="7" t="str">
        <f aca="false">A2675&amp;"|"&amp;B2675&amp;"|"&amp;C2675&amp;"|"&amp;D2675&amp;"|"&amp;E2675&amp;"|"&amp;F2675&amp;"|"&amp;G2675&amp;"|"&amp;H2675&amp;"|"&amp;I2675&amp;"|"&amp;J2675&amp;"|"&amp;K2675&amp;"|"&amp;L2675&amp;"|"&amp;M2675&amp;"|"&amp;N2675</f>
        <v>ORD12108|2025-09-28|19:28|C1284|nawabi biryani house|Bengaluru|Biryani|1|290|0|UPI|Delivered|33|4</v>
      </c>
      <c r="P2675" s="7" t="str">
        <f aca="false">IF(COUNTIF($O$2:O2675,O2675)&gt;1,"DUP","OK")</f>
        <v>OK</v>
      </c>
      <c r="Q2675" s="7" t="n">
        <f aca="false">COUNTBLANK(A2675:N2675)</f>
        <v>0</v>
      </c>
      <c r="R2675" s="7" t="n">
        <f aca="false">IF(A2675="",0,COUNTIFS($A$2:$A$3058,A2675,$P$2:$P$3058,"OK"))</f>
        <v>1</v>
      </c>
      <c r="S2675" s="7" t="str">
        <f aca="false">IF(OR(A2675="",P2675="DUP",R2675&lt;2),"",IF(Q2675=_xlfn.MINIFS($Q$2:$Q$3058,$A$2:$A$3058,A2675,$P$2:$P$3058,"OK"),"KEEP","DROP"))</f>
        <v/>
      </c>
      <c r="T2675" s="9" t="n">
        <f aca="false">IF(A2675="",1,0)</f>
        <v>0</v>
      </c>
      <c r="U2675" s="9" t="n">
        <f aca="false">IF(D2675="",1,0)</f>
        <v>0</v>
      </c>
      <c r="V2675" s="9" t="n">
        <f aca="false">IF(E2675="",1,0)</f>
        <v>0</v>
      </c>
      <c r="W2675" s="9" t="n">
        <f aca="false">IF(OR(H2675&lt;1,H2675&gt;10),1,0)</f>
        <v>0</v>
      </c>
      <c r="X2675" s="9" t="n">
        <f aca="false">IF(OR(I2675&lt;=0,I2675&gt;1500),1,0)</f>
        <v>0</v>
      </c>
      <c r="Y2675" s="9" t="n">
        <f aca="false">IF(J2675&gt;H2675*I2675,1,0)</f>
        <v>0</v>
      </c>
      <c r="Z2675" s="9" t="n">
        <f aca="false">IF(AND(N2675&lt;&gt;"",OR(N2675&lt;1,N2675&gt;5)),1,0)</f>
        <v>0</v>
      </c>
      <c r="AA2675" s="9" t="n">
        <f aca="false">IF(AND(M2675&lt;&gt;"",OR(M2675&lt;5,M2675&gt;180)),1,0)</f>
        <v>0</v>
      </c>
      <c r="AB2675" s="7" t="str">
        <f aca="false">IF(P2675="DUP","Exact duplicate row",IF(T2675=1,"Missing Order ID",IF(S2675="DROP","Duplicate Order ID (less complete row)",IF(U2675=1,"Missing Customer ID",IF(V2675=1,"Missing Restaurant name",IF(W2675=1,"Invalid/outlier quantity",IF(X2675=1,"Invalid/outlier unit price",IF(Y2675=1,"Discount greater than order value",""))))))))</f>
        <v/>
      </c>
      <c r="AC2675" s="7" t="str">
        <f aca="false">IF(AB2675="","KEEP","DROP")</f>
        <v>KEEP</v>
      </c>
      <c r="AD2675" s="7" t="str">
        <f aca="false">IF(TRIM(F2675)="",IFERROR(INDEX(Map_Tables!$I$4:$I$37,MATCH(TRIM(E2675),Map_Tables!$G$4:$G$37,0)),""),IFERROR(INDEX(Map_Tables!$B$4:$B$18,MATCH(TRIM(F2675),Map_Tables!$A$4:$A$18,0)),"CHECK"))</f>
        <v>Bengaluru</v>
      </c>
      <c r="AE2675" s="7" t="str">
        <f aca="false">IF(TRIM(E2675)="","",IFERROR(INDEX(Map_Tables!$H$4:$H$37,MATCH(TRIM(E2675),Map_Tables!$G$4:$G$37,0)),"CHECK"))</f>
        <v>Nawabi Biryani House</v>
      </c>
      <c r="AF2675" s="7" t="str">
        <f aca="false">IF(TRIM(K2675)="","Unknown",IFERROR(INDEX(Map_Tables!$E$4:$E$15,MATCH(TRIM(K2675),Map_Tables!$D$4:$D$15,0)),"CHECK"))</f>
        <v>UPI</v>
      </c>
      <c r="AG2675" s="7" t="str">
        <f aca="false">IF(LEFT(LOWER(TRIM(L2675)),6)="cancel","Cancelled","Delivered")</f>
        <v>Delivered</v>
      </c>
      <c r="AH2675" s="10" t="n">
        <f aca="false">IF(ISNUMBER(SEARCH("/",B2675)),DATE(VALUE(RIGHT(B2675,4)),VALUE(MID(B2675,4,2)),VALUE(LEFT(B2675,2))),IF(MID(B2675,5,1)="-",DATE(VALUE(LEFT(B2675,4)),VALUE(MID(B2675,6,2)),VALUE(RIGHT(B2675,2))),DATE(VALUE(RIGHT(B2675,4)),MATCH(MID(B2675,4,3),{"Jan","Feb","Mar","Apr","May","Jun","Jul","Aug","Sep","Oct","Nov","Dec"},0),VALUE(LEFT(B2675,2)))))</f>
        <v>45928</v>
      </c>
    </row>
    <row r="2676" customFormat="false" ht="15" hidden="false" customHeight="false" outlineLevel="0" collapsed="false">
      <c r="A2676" s="7" t="s">
        <v>5695</v>
      </c>
      <c r="B2676" s="7" t="s">
        <v>5696</v>
      </c>
      <c r="C2676" s="7" t="s">
        <v>2113</v>
      </c>
      <c r="D2676" s="7" t="s">
        <v>4022</v>
      </c>
      <c r="E2676" s="7" t="s">
        <v>164</v>
      </c>
      <c r="F2676" s="7" t="s">
        <v>141</v>
      </c>
      <c r="G2676" s="7" t="s">
        <v>150</v>
      </c>
      <c r="H2676" s="7" t="n">
        <v>4</v>
      </c>
      <c r="I2676" s="7" t="n">
        <v>120</v>
      </c>
      <c r="J2676" s="7" t="n">
        <v>0</v>
      </c>
      <c r="K2676" s="7" t="s">
        <v>88</v>
      </c>
      <c r="L2676" s="7" t="s">
        <v>194</v>
      </c>
      <c r="M2676" s="7" t="n">
        <v>35</v>
      </c>
      <c r="N2676" s="7" t="n">
        <v>4</v>
      </c>
      <c r="O2676" s="7" t="str">
        <f aca="false">A2676&amp;"|"&amp;B2676&amp;"|"&amp;C2676&amp;"|"&amp;D2676&amp;"|"&amp;E2676&amp;"|"&amp;F2676&amp;"|"&amp;G2676&amp;"|"&amp;H2676&amp;"|"&amp;I2676&amp;"|"&amp;J2676&amp;"|"&amp;K2676&amp;"|"&amp;L2676&amp;"|"&amp;M2676&amp;"|"&amp;N2676</f>
        <v>ORD10710|31/03/2025|14:02|C0533|Mishti Mandir|Kolkata|Desserts|4|120|0|UPI|Delivered|35|4</v>
      </c>
      <c r="P2676" s="7" t="str">
        <f aca="false">IF(COUNTIF($O$2:O2676,O2676)&gt;1,"DUP","OK")</f>
        <v>OK</v>
      </c>
      <c r="Q2676" s="7" t="n">
        <f aca="false">COUNTBLANK(A2676:N2676)</f>
        <v>0</v>
      </c>
      <c r="R2676" s="7" t="n">
        <f aca="false">IF(A2676="",0,COUNTIFS($A$2:$A$3058,A2676,$P$2:$P$3058,"OK"))</f>
        <v>1</v>
      </c>
      <c r="S2676" s="7" t="str">
        <f aca="false">IF(OR(A2676="",P2676="DUP",R2676&lt;2),"",IF(Q2676=_xlfn.MINIFS($Q$2:$Q$3058,$A$2:$A$3058,A2676,$P$2:$P$3058,"OK"),"KEEP","DROP"))</f>
        <v/>
      </c>
      <c r="T2676" s="9" t="n">
        <f aca="false">IF(A2676="",1,0)</f>
        <v>0</v>
      </c>
      <c r="U2676" s="9" t="n">
        <f aca="false">IF(D2676="",1,0)</f>
        <v>0</v>
      </c>
      <c r="V2676" s="9" t="n">
        <f aca="false">IF(E2676="",1,0)</f>
        <v>0</v>
      </c>
      <c r="W2676" s="9" t="n">
        <f aca="false">IF(OR(H2676&lt;1,H2676&gt;10),1,0)</f>
        <v>0</v>
      </c>
      <c r="X2676" s="9" t="n">
        <f aca="false">IF(OR(I2676&lt;=0,I2676&gt;1500),1,0)</f>
        <v>0</v>
      </c>
      <c r="Y2676" s="9" t="n">
        <f aca="false">IF(J2676&gt;H2676*I2676,1,0)</f>
        <v>0</v>
      </c>
      <c r="Z2676" s="9" t="n">
        <f aca="false">IF(AND(N2676&lt;&gt;"",OR(N2676&lt;1,N2676&gt;5)),1,0)</f>
        <v>0</v>
      </c>
      <c r="AA2676" s="9" t="n">
        <f aca="false">IF(AND(M2676&lt;&gt;"",OR(M2676&lt;5,M2676&gt;180)),1,0)</f>
        <v>0</v>
      </c>
      <c r="AB2676" s="7" t="str">
        <f aca="false">IF(P2676="DUP","Exact duplicate row",IF(T2676=1,"Missing Order ID",IF(S2676="DROP","Duplicate Order ID (less complete row)",IF(U2676=1,"Missing Customer ID",IF(V2676=1,"Missing Restaurant name",IF(W2676=1,"Invalid/outlier quantity",IF(X2676=1,"Invalid/outlier unit price",IF(Y2676=1,"Discount greater than order value",""))))))))</f>
        <v/>
      </c>
      <c r="AC2676" s="7" t="str">
        <f aca="false">IF(AB2676="","KEEP","DROP")</f>
        <v>KEEP</v>
      </c>
      <c r="AD2676" s="7" t="str">
        <f aca="false">IF(TRIM(F2676)="",IFERROR(INDEX(Map_Tables!$I$4:$I$37,MATCH(TRIM(E2676),Map_Tables!$G$4:$G$37,0)),""),IFERROR(INDEX(Map_Tables!$B$4:$B$18,MATCH(TRIM(F2676),Map_Tables!$A$4:$A$18,0)),"CHECK"))</f>
        <v>Kolkata</v>
      </c>
      <c r="AE2676" s="7" t="str">
        <f aca="false">IF(TRIM(E2676)="","",IFERROR(INDEX(Map_Tables!$H$4:$H$37,MATCH(TRIM(E2676),Map_Tables!$G$4:$G$37,0)),"CHECK"))</f>
        <v>Mishti Mandir</v>
      </c>
      <c r="AF2676" s="7" t="str">
        <f aca="false">IF(TRIM(K2676)="","Unknown",IFERROR(INDEX(Map_Tables!$E$4:$E$15,MATCH(TRIM(K2676),Map_Tables!$D$4:$D$15,0)),"CHECK"))</f>
        <v>UPI</v>
      </c>
      <c r="AG2676" s="7" t="str">
        <f aca="false">IF(LEFT(LOWER(TRIM(L2676)),6)="cancel","Cancelled","Delivered")</f>
        <v>Delivered</v>
      </c>
      <c r="AH2676" s="10" t="n">
        <f aca="false">IF(ISNUMBER(SEARCH("/",B2676)),DATE(VALUE(RIGHT(B2676,4)),VALUE(MID(B2676,4,2)),VALUE(LEFT(B2676,2))),IF(MID(B2676,5,1)="-",DATE(VALUE(LEFT(B2676,4)),VALUE(MID(B2676,6,2)),VALUE(RIGHT(B2676,2))),DATE(VALUE(RIGHT(B2676,4)),MATCH(MID(B2676,4,3),{"Jan","Feb","Mar","Apr","May","Jun","Jul","Aug","Sep","Oct","Nov","Dec"},0),VALUE(LEFT(B2676,2)))))</f>
        <v>45747</v>
      </c>
    </row>
    <row r="2677" customFormat="false" ht="15" hidden="false" customHeight="false" outlineLevel="0" collapsed="false">
      <c r="A2677" s="7" t="s">
        <v>5697</v>
      </c>
      <c r="B2677" s="7" t="s">
        <v>2283</v>
      </c>
      <c r="C2677" s="7" t="s">
        <v>3029</v>
      </c>
      <c r="D2677" s="7" t="s">
        <v>5497</v>
      </c>
      <c r="E2677" s="7" t="s">
        <v>160</v>
      </c>
      <c r="F2677" s="7" t="s">
        <v>136</v>
      </c>
      <c r="G2677" s="7" t="s">
        <v>150</v>
      </c>
      <c r="H2677" s="7" t="n">
        <v>1</v>
      </c>
      <c r="I2677" s="7" t="n">
        <v>185</v>
      </c>
      <c r="J2677" s="7" t="n">
        <v>0</v>
      </c>
      <c r="K2677" s="7" t="s">
        <v>526</v>
      </c>
      <c r="L2677" s="7" t="s">
        <v>194</v>
      </c>
      <c r="M2677" s="7" t="n">
        <v>45</v>
      </c>
      <c r="N2677" s="7" t="n">
        <v>5</v>
      </c>
      <c r="O2677" s="7" t="str">
        <f aca="false">A2677&amp;"|"&amp;B2677&amp;"|"&amp;C2677&amp;"|"&amp;D2677&amp;"|"&amp;E2677&amp;"|"&amp;F2677&amp;"|"&amp;G2677&amp;"|"&amp;H2677&amp;"|"&amp;I2677&amp;"|"&amp;J2677&amp;"|"&amp;K2677&amp;"|"&amp;L2677&amp;"|"&amp;M2677&amp;"|"&amp;N2677</f>
        <v>ORD11879|2025-09-02|18:07|C0552|Cake Walk|Pune|Desserts|1|185|0|DC|Delivered|45|5</v>
      </c>
      <c r="P2677" s="7" t="str">
        <f aca="false">IF(COUNTIF($O$2:O2677,O2677)&gt;1,"DUP","OK")</f>
        <v>OK</v>
      </c>
      <c r="Q2677" s="7" t="n">
        <f aca="false">COUNTBLANK(A2677:N2677)</f>
        <v>0</v>
      </c>
      <c r="R2677" s="7" t="n">
        <f aca="false">IF(A2677="",0,COUNTIFS($A$2:$A$3058,A2677,$P$2:$P$3058,"OK"))</f>
        <v>1</v>
      </c>
      <c r="S2677" s="7" t="str">
        <f aca="false">IF(OR(A2677="",P2677="DUP",R2677&lt;2),"",IF(Q2677=_xlfn.MINIFS($Q$2:$Q$3058,$A$2:$A$3058,A2677,$P$2:$P$3058,"OK"),"KEEP","DROP"))</f>
        <v/>
      </c>
      <c r="T2677" s="9" t="n">
        <f aca="false">IF(A2677="",1,0)</f>
        <v>0</v>
      </c>
      <c r="U2677" s="9" t="n">
        <f aca="false">IF(D2677="",1,0)</f>
        <v>0</v>
      </c>
      <c r="V2677" s="9" t="n">
        <f aca="false">IF(E2677="",1,0)</f>
        <v>0</v>
      </c>
      <c r="W2677" s="9" t="n">
        <f aca="false">IF(OR(H2677&lt;1,H2677&gt;10),1,0)</f>
        <v>0</v>
      </c>
      <c r="X2677" s="9" t="n">
        <f aca="false">IF(OR(I2677&lt;=0,I2677&gt;1500),1,0)</f>
        <v>0</v>
      </c>
      <c r="Y2677" s="9" t="n">
        <f aca="false">IF(J2677&gt;H2677*I2677,1,0)</f>
        <v>0</v>
      </c>
      <c r="Z2677" s="9" t="n">
        <f aca="false">IF(AND(N2677&lt;&gt;"",OR(N2677&lt;1,N2677&gt;5)),1,0)</f>
        <v>0</v>
      </c>
      <c r="AA2677" s="9" t="n">
        <f aca="false">IF(AND(M2677&lt;&gt;"",OR(M2677&lt;5,M2677&gt;180)),1,0)</f>
        <v>0</v>
      </c>
      <c r="AB2677" s="7" t="str">
        <f aca="false">IF(P2677="DUP","Exact duplicate row",IF(T2677=1,"Missing Order ID",IF(S2677="DROP","Duplicate Order ID (less complete row)",IF(U2677=1,"Missing Customer ID",IF(V2677=1,"Missing Restaurant name",IF(W2677=1,"Invalid/outlier quantity",IF(X2677=1,"Invalid/outlier unit price",IF(Y2677=1,"Discount greater than order value",""))))))))</f>
        <v/>
      </c>
      <c r="AC2677" s="7" t="str">
        <f aca="false">IF(AB2677="","KEEP","DROP")</f>
        <v>KEEP</v>
      </c>
      <c r="AD2677" s="7" t="str">
        <f aca="false">IF(TRIM(F2677)="",IFERROR(INDEX(Map_Tables!$I$4:$I$37,MATCH(TRIM(E2677),Map_Tables!$G$4:$G$37,0)),""),IFERROR(INDEX(Map_Tables!$B$4:$B$18,MATCH(TRIM(F2677),Map_Tables!$A$4:$A$18,0)),"CHECK"))</f>
        <v>Pune</v>
      </c>
      <c r="AE2677" s="7" t="str">
        <f aca="false">IF(TRIM(E2677)="","",IFERROR(INDEX(Map_Tables!$H$4:$H$37,MATCH(TRIM(E2677),Map_Tables!$G$4:$G$37,0)),"CHECK"))</f>
        <v>Cake Walk</v>
      </c>
      <c r="AF2677" s="7" t="str">
        <f aca="false">IF(TRIM(K2677)="","Unknown",IFERROR(INDEX(Map_Tables!$E$4:$E$15,MATCH(TRIM(K2677),Map_Tables!$D$4:$D$15,0)),"CHECK"))</f>
        <v>Debit Card</v>
      </c>
      <c r="AG2677" s="7" t="str">
        <f aca="false">IF(LEFT(LOWER(TRIM(L2677)),6)="cancel","Cancelled","Delivered")</f>
        <v>Delivered</v>
      </c>
      <c r="AH2677" s="10" t="n">
        <f aca="false">IF(ISNUMBER(SEARCH("/",B2677)),DATE(VALUE(RIGHT(B2677,4)),VALUE(MID(B2677,4,2)),VALUE(LEFT(B2677,2))),IF(MID(B2677,5,1)="-",DATE(VALUE(LEFT(B2677,4)),VALUE(MID(B2677,6,2)),VALUE(RIGHT(B2677,2))),DATE(VALUE(RIGHT(B2677,4)),MATCH(MID(B2677,4,3),{"Jan","Feb","Mar","Apr","May","Jun","Jul","Aug","Sep","Oct","Nov","Dec"},0),VALUE(LEFT(B2677,2)))))</f>
        <v>45902</v>
      </c>
    </row>
    <row r="2678" customFormat="false" ht="15" hidden="false" customHeight="false" outlineLevel="0" collapsed="false">
      <c r="A2678" s="7" t="s">
        <v>5698</v>
      </c>
      <c r="B2678" s="7" t="s">
        <v>2579</v>
      </c>
      <c r="C2678" s="7" t="s">
        <v>524</v>
      </c>
      <c r="D2678" s="7" t="s">
        <v>5165</v>
      </c>
      <c r="E2678" s="7" t="s">
        <v>164</v>
      </c>
      <c r="F2678" s="7" t="s">
        <v>141</v>
      </c>
      <c r="G2678" s="7" t="s">
        <v>150</v>
      </c>
      <c r="H2678" s="7" t="n">
        <v>2</v>
      </c>
      <c r="I2678" s="7" t="n">
        <v>115</v>
      </c>
      <c r="J2678" s="7" t="n">
        <v>50</v>
      </c>
      <c r="K2678" s="7" t="s">
        <v>103</v>
      </c>
      <c r="L2678" s="7" t="s">
        <v>194</v>
      </c>
      <c r="M2678" s="7" t="n">
        <v>30</v>
      </c>
      <c r="N2678" s="7" t="n">
        <v>5</v>
      </c>
      <c r="O2678" s="7" t="str">
        <f aca="false">A2678&amp;"|"&amp;B2678&amp;"|"&amp;C2678&amp;"|"&amp;D2678&amp;"|"&amp;E2678&amp;"|"&amp;F2678&amp;"|"&amp;G2678&amp;"|"&amp;H2678&amp;"|"&amp;I2678&amp;"|"&amp;J2678&amp;"|"&amp;K2678&amp;"|"&amp;L2678&amp;"|"&amp;M2678&amp;"|"&amp;N2678</f>
        <v>ORD11379|2025-06-27|15:32|C1438|Mishti Mandir|Kolkata|Desserts|2|115|50|Debit Card|Delivered|30|5</v>
      </c>
      <c r="P2678" s="7" t="str">
        <f aca="false">IF(COUNTIF($O$2:O2678,O2678)&gt;1,"DUP","OK")</f>
        <v>OK</v>
      </c>
      <c r="Q2678" s="7" t="n">
        <f aca="false">COUNTBLANK(A2678:N2678)</f>
        <v>0</v>
      </c>
      <c r="R2678" s="7" t="n">
        <f aca="false">IF(A2678="",0,COUNTIFS($A$2:$A$3058,A2678,$P$2:$P$3058,"OK"))</f>
        <v>1</v>
      </c>
      <c r="S2678" s="7" t="str">
        <f aca="false">IF(OR(A2678="",P2678="DUP",R2678&lt;2),"",IF(Q2678=_xlfn.MINIFS($Q$2:$Q$3058,$A$2:$A$3058,A2678,$P$2:$P$3058,"OK"),"KEEP","DROP"))</f>
        <v/>
      </c>
      <c r="T2678" s="9" t="n">
        <f aca="false">IF(A2678="",1,0)</f>
        <v>0</v>
      </c>
      <c r="U2678" s="9" t="n">
        <f aca="false">IF(D2678="",1,0)</f>
        <v>0</v>
      </c>
      <c r="V2678" s="9" t="n">
        <f aca="false">IF(E2678="",1,0)</f>
        <v>0</v>
      </c>
      <c r="W2678" s="9" t="n">
        <f aca="false">IF(OR(H2678&lt;1,H2678&gt;10),1,0)</f>
        <v>0</v>
      </c>
      <c r="X2678" s="9" t="n">
        <f aca="false">IF(OR(I2678&lt;=0,I2678&gt;1500),1,0)</f>
        <v>0</v>
      </c>
      <c r="Y2678" s="9" t="n">
        <f aca="false">IF(J2678&gt;H2678*I2678,1,0)</f>
        <v>0</v>
      </c>
      <c r="Z2678" s="9" t="n">
        <f aca="false">IF(AND(N2678&lt;&gt;"",OR(N2678&lt;1,N2678&gt;5)),1,0)</f>
        <v>0</v>
      </c>
      <c r="AA2678" s="9" t="n">
        <f aca="false">IF(AND(M2678&lt;&gt;"",OR(M2678&lt;5,M2678&gt;180)),1,0)</f>
        <v>0</v>
      </c>
      <c r="AB2678" s="7" t="str">
        <f aca="false">IF(P2678="DUP","Exact duplicate row",IF(T2678=1,"Missing Order ID",IF(S2678="DROP","Duplicate Order ID (less complete row)",IF(U2678=1,"Missing Customer ID",IF(V2678=1,"Missing Restaurant name",IF(W2678=1,"Invalid/outlier quantity",IF(X2678=1,"Invalid/outlier unit price",IF(Y2678=1,"Discount greater than order value",""))))))))</f>
        <v/>
      </c>
      <c r="AC2678" s="7" t="str">
        <f aca="false">IF(AB2678="","KEEP","DROP")</f>
        <v>KEEP</v>
      </c>
      <c r="AD2678" s="7" t="str">
        <f aca="false">IF(TRIM(F2678)="",IFERROR(INDEX(Map_Tables!$I$4:$I$37,MATCH(TRIM(E2678),Map_Tables!$G$4:$G$37,0)),""),IFERROR(INDEX(Map_Tables!$B$4:$B$18,MATCH(TRIM(F2678),Map_Tables!$A$4:$A$18,0)),"CHECK"))</f>
        <v>Kolkata</v>
      </c>
      <c r="AE2678" s="7" t="str">
        <f aca="false">IF(TRIM(E2678)="","",IFERROR(INDEX(Map_Tables!$H$4:$H$37,MATCH(TRIM(E2678),Map_Tables!$G$4:$G$37,0)),"CHECK"))</f>
        <v>Mishti Mandir</v>
      </c>
      <c r="AF2678" s="7" t="str">
        <f aca="false">IF(TRIM(K2678)="","Unknown",IFERROR(INDEX(Map_Tables!$E$4:$E$15,MATCH(TRIM(K2678),Map_Tables!$D$4:$D$15,0)),"CHECK"))</f>
        <v>Debit Card</v>
      </c>
      <c r="AG2678" s="7" t="str">
        <f aca="false">IF(LEFT(LOWER(TRIM(L2678)),6)="cancel","Cancelled","Delivered")</f>
        <v>Delivered</v>
      </c>
      <c r="AH2678" s="10" t="n">
        <f aca="false">IF(ISNUMBER(SEARCH("/",B2678)),DATE(VALUE(RIGHT(B2678,4)),VALUE(MID(B2678,4,2)),VALUE(LEFT(B2678,2))),IF(MID(B2678,5,1)="-",DATE(VALUE(LEFT(B2678,4)),VALUE(MID(B2678,6,2)),VALUE(RIGHT(B2678,2))),DATE(VALUE(RIGHT(B2678,4)),MATCH(MID(B2678,4,3),{"Jan","Feb","Mar","Apr","May","Jun","Jul","Aug","Sep","Oct","Nov","Dec"},0),VALUE(LEFT(B2678,2)))))</f>
        <v>45835</v>
      </c>
    </row>
    <row r="2679" customFormat="false" ht="15" hidden="false" customHeight="false" outlineLevel="0" collapsed="false">
      <c r="A2679" s="7" t="s">
        <v>5699</v>
      </c>
      <c r="B2679" s="7" t="s">
        <v>667</v>
      </c>
      <c r="C2679" s="7" t="s">
        <v>201</v>
      </c>
      <c r="D2679" s="7" t="s">
        <v>2554</v>
      </c>
      <c r="E2679" s="7" t="s">
        <v>149</v>
      </c>
      <c r="F2679" s="7" t="s">
        <v>119</v>
      </c>
      <c r="G2679" s="7" t="s">
        <v>150</v>
      </c>
      <c r="H2679" s="7" t="n">
        <v>1</v>
      </c>
      <c r="I2679" s="7" t="n">
        <v>-170</v>
      </c>
      <c r="J2679" s="7" t="n">
        <v>68</v>
      </c>
      <c r="K2679" s="7" t="s">
        <v>88</v>
      </c>
      <c r="L2679" s="7" t="s">
        <v>194</v>
      </c>
      <c r="M2679" s="7" t="n">
        <v>28</v>
      </c>
      <c r="N2679" s="7" t="n">
        <v>5</v>
      </c>
      <c r="O2679" s="7" t="str">
        <f aca="false">A2679&amp;"|"&amp;B2679&amp;"|"&amp;C2679&amp;"|"&amp;D2679&amp;"|"&amp;E2679&amp;"|"&amp;F2679&amp;"|"&amp;G2679&amp;"|"&amp;H2679&amp;"|"&amp;I2679&amp;"|"&amp;J2679&amp;"|"&amp;K2679&amp;"|"&amp;L2679&amp;"|"&amp;M2679&amp;"|"&amp;N2679</f>
        <v>ORD10425|2025-02-26|20:46|C1184|Sweet Tooth Studio|Hyderabad|Desserts|1|-170|68|UPI|Delivered|28|5</v>
      </c>
      <c r="P2679" s="7" t="str">
        <f aca="false">IF(COUNTIF($O$2:O2679,O2679)&gt;1,"DUP","OK")</f>
        <v>OK</v>
      </c>
      <c r="Q2679" s="7" t="n">
        <f aca="false">COUNTBLANK(A2679:N2679)</f>
        <v>0</v>
      </c>
      <c r="R2679" s="7" t="n">
        <f aca="false">IF(A2679="",0,COUNTIFS($A$2:$A$3058,A2679,$P$2:$P$3058,"OK"))</f>
        <v>1</v>
      </c>
      <c r="S2679" s="7" t="str">
        <f aca="false">IF(OR(A2679="",P2679="DUP",R2679&lt;2),"",IF(Q2679=_xlfn.MINIFS($Q$2:$Q$3058,$A$2:$A$3058,A2679,$P$2:$P$3058,"OK"),"KEEP","DROP"))</f>
        <v/>
      </c>
      <c r="T2679" s="9" t="n">
        <f aca="false">IF(A2679="",1,0)</f>
        <v>0</v>
      </c>
      <c r="U2679" s="9" t="n">
        <f aca="false">IF(D2679="",1,0)</f>
        <v>0</v>
      </c>
      <c r="V2679" s="9" t="n">
        <f aca="false">IF(E2679="",1,0)</f>
        <v>0</v>
      </c>
      <c r="W2679" s="9" t="n">
        <f aca="false">IF(OR(H2679&lt;1,H2679&gt;10),1,0)</f>
        <v>0</v>
      </c>
      <c r="X2679" s="9" t="n">
        <f aca="false">IF(OR(I2679&lt;=0,I2679&gt;1500),1,0)</f>
        <v>1</v>
      </c>
      <c r="Y2679" s="9" t="n">
        <f aca="false">IF(J2679&gt;H2679*I2679,1,0)</f>
        <v>1</v>
      </c>
      <c r="Z2679" s="9" t="n">
        <f aca="false">IF(AND(N2679&lt;&gt;"",OR(N2679&lt;1,N2679&gt;5)),1,0)</f>
        <v>0</v>
      </c>
      <c r="AA2679" s="9" t="n">
        <f aca="false">IF(AND(M2679&lt;&gt;"",OR(M2679&lt;5,M2679&gt;180)),1,0)</f>
        <v>0</v>
      </c>
      <c r="AB2679" s="7" t="str">
        <f aca="false">IF(P2679="DUP","Exact duplicate row",IF(T2679=1,"Missing Order ID",IF(S2679="DROP","Duplicate Order ID (less complete row)",IF(U2679=1,"Missing Customer ID",IF(V2679=1,"Missing Restaurant name",IF(W2679=1,"Invalid/outlier quantity",IF(X2679=1,"Invalid/outlier unit price",IF(Y2679=1,"Discount greater than order value",""))))))))</f>
        <v>Invalid/outlier unit price</v>
      </c>
      <c r="AC2679" s="7" t="str">
        <f aca="false">IF(AB2679="","KEEP","DROP")</f>
        <v>DROP</v>
      </c>
      <c r="AD2679" s="7" t="str">
        <f aca="false">IF(TRIM(F2679)="",IFERROR(INDEX(Map_Tables!$I$4:$I$37,MATCH(TRIM(E2679),Map_Tables!$G$4:$G$37,0)),""),IFERROR(INDEX(Map_Tables!$B$4:$B$18,MATCH(TRIM(F2679),Map_Tables!$A$4:$A$18,0)),"CHECK"))</f>
        <v>Hyderabad</v>
      </c>
      <c r="AE2679" s="7" t="str">
        <f aca="false">IF(TRIM(E2679)="","",IFERROR(INDEX(Map_Tables!$H$4:$H$37,MATCH(TRIM(E2679),Map_Tables!$G$4:$G$37,0)),"CHECK"))</f>
        <v>Sweet Tooth Studio</v>
      </c>
      <c r="AF2679" s="7" t="str">
        <f aca="false">IF(TRIM(K2679)="","Unknown",IFERROR(INDEX(Map_Tables!$E$4:$E$15,MATCH(TRIM(K2679),Map_Tables!$D$4:$D$15,0)),"CHECK"))</f>
        <v>UPI</v>
      </c>
      <c r="AG2679" s="7" t="str">
        <f aca="false">IF(LEFT(LOWER(TRIM(L2679)),6)="cancel","Cancelled","Delivered")</f>
        <v>Delivered</v>
      </c>
      <c r="AH2679" s="10" t="n">
        <f aca="false">IF(ISNUMBER(SEARCH("/",B2679)),DATE(VALUE(RIGHT(B2679,4)),VALUE(MID(B2679,4,2)),VALUE(LEFT(B2679,2))),IF(MID(B2679,5,1)="-",DATE(VALUE(LEFT(B2679,4)),VALUE(MID(B2679,6,2)),VALUE(RIGHT(B2679,2))),DATE(VALUE(RIGHT(B2679,4)),MATCH(MID(B2679,4,3),{"Jan","Feb","Mar","Apr","May","Jun","Jul","Aug","Sep","Oct","Nov","Dec"},0),VALUE(LEFT(B2679,2)))))</f>
        <v>45714</v>
      </c>
    </row>
    <row r="2680" customFormat="false" ht="15" hidden="false" customHeight="false" outlineLevel="0" collapsed="false">
      <c r="A2680" s="7" t="s">
        <v>5700</v>
      </c>
      <c r="B2680" s="7" t="s">
        <v>704</v>
      </c>
      <c r="C2680" s="7" t="s">
        <v>1926</v>
      </c>
      <c r="D2680" s="7" t="s">
        <v>5583</v>
      </c>
      <c r="E2680" s="7" t="s">
        <v>122</v>
      </c>
      <c r="F2680" s="7" t="s">
        <v>101</v>
      </c>
      <c r="G2680" s="7" t="s">
        <v>123</v>
      </c>
      <c r="H2680" s="7" t="n">
        <v>2</v>
      </c>
      <c r="I2680" s="7" t="n">
        <v>420</v>
      </c>
      <c r="J2680" s="7" t="n">
        <v>125</v>
      </c>
      <c r="K2680" s="7" t="s">
        <v>93</v>
      </c>
      <c r="L2680" s="7" t="s">
        <v>194</v>
      </c>
      <c r="M2680" s="7" t="n">
        <v>46</v>
      </c>
      <c r="N2680" s="7" t="n">
        <v>5</v>
      </c>
      <c r="O2680" s="7" t="str">
        <f aca="false">A2680&amp;"|"&amp;B2680&amp;"|"&amp;C2680&amp;"|"&amp;D2680&amp;"|"&amp;E2680&amp;"|"&amp;F2680&amp;"|"&amp;G2680&amp;"|"&amp;H2680&amp;"|"&amp;I2680&amp;"|"&amp;J2680&amp;"|"&amp;K2680&amp;"|"&amp;L2680&amp;"|"&amp;M2680&amp;"|"&amp;N2680</f>
        <v>ORD10293|2025-02-08|22:56|C0347|Mumbai Pizza Co|Mumbai|Pizza|2|420|125|Credit Card|Delivered|46|5</v>
      </c>
      <c r="P2680" s="7" t="str">
        <f aca="false">IF(COUNTIF($O$2:O2680,O2680)&gt;1,"DUP","OK")</f>
        <v>OK</v>
      </c>
      <c r="Q2680" s="7" t="n">
        <f aca="false">COUNTBLANK(A2680:N2680)</f>
        <v>0</v>
      </c>
      <c r="R2680" s="7" t="n">
        <f aca="false">IF(A2680="",0,COUNTIFS($A$2:$A$3058,A2680,$P$2:$P$3058,"OK"))</f>
        <v>1</v>
      </c>
      <c r="S2680" s="7" t="str">
        <f aca="false">IF(OR(A2680="",P2680="DUP",R2680&lt;2),"",IF(Q2680=_xlfn.MINIFS($Q$2:$Q$3058,$A$2:$A$3058,A2680,$P$2:$P$3058,"OK"),"KEEP","DROP"))</f>
        <v/>
      </c>
      <c r="T2680" s="9" t="n">
        <f aca="false">IF(A2680="",1,0)</f>
        <v>0</v>
      </c>
      <c r="U2680" s="9" t="n">
        <f aca="false">IF(D2680="",1,0)</f>
        <v>0</v>
      </c>
      <c r="V2680" s="9" t="n">
        <f aca="false">IF(E2680="",1,0)</f>
        <v>0</v>
      </c>
      <c r="W2680" s="9" t="n">
        <f aca="false">IF(OR(H2680&lt;1,H2680&gt;10),1,0)</f>
        <v>0</v>
      </c>
      <c r="X2680" s="9" t="n">
        <f aca="false">IF(OR(I2680&lt;=0,I2680&gt;1500),1,0)</f>
        <v>0</v>
      </c>
      <c r="Y2680" s="9" t="n">
        <f aca="false">IF(J2680&gt;H2680*I2680,1,0)</f>
        <v>0</v>
      </c>
      <c r="Z2680" s="9" t="n">
        <f aca="false">IF(AND(N2680&lt;&gt;"",OR(N2680&lt;1,N2680&gt;5)),1,0)</f>
        <v>0</v>
      </c>
      <c r="AA2680" s="9" t="n">
        <f aca="false">IF(AND(M2680&lt;&gt;"",OR(M2680&lt;5,M2680&gt;180)),1,0)</f>
        <v>0</v>
      </c>
      <c r="AB2680" s="7" t="str">
        <f aca="false">IF(P2680="DUP","Exact duplicate row",IF(T2680=1,"Missing Order ID",IF(S2680="DROP","Duplicate Order ID (less complete row)",IF(U2680=1,"Missing Customer ID",IF(V2680=1,"Missing Restaurant name",IF(W2680=1,"Invalid/outlier quantity",IF(X2680=1,"Invalid/outlier unit price",IF(Y2680=1,"Discount greater than order value",""))))))))</f>
        <v/>
      </c>
      <c r="AC2680" s="7" t="str">
        <f aca="false">IF(AB2680="","KEEP","DROP")</f>
        <v>KEEP</v>
      </c>
      <c r="AD2680" s="7" t="str">
        <f aca="false">IF(TRIM(F2680)="",IFERROR(INDEX(Map_Tables!$I$4:$I$37,MATCH(TRIM(E2680),Map_Tables!$G$4:$G$37,0)),""),IFERROR(INDEX(Map_Tables!$B$4:$B$18,MATCH(TRIM(F2680),Map_Tables!$A$4:$A$18,0)),"CHECK"))</f>
        <v>Mumbai</v>
      </c>
      <c r="AE2680" s="7" t="str">
        <f aca="false">IF(TRIM(E2680)="","",IFERROR(INDEX(Map_Tables!$H$4:$H$37,MATCH(TRIM(E2680),Map_Tables!$G$4:$G$37,0)),"CHECK"))</f>
        <v>Mumbai Pizza Co</v>
      </c>
      <c r="AF2680" s="7" t="str">
        <f aca="false">IF(TRIM(K2680)="","Unknown",IFERROR(INDEX(Map_Tables!$E$4:$E$15,MATCH(TRIM(K2680),Map_Tables!$D$4:$D$15,0)),"CHECK"))</f>
        <v>Credit Card</v>
      </c>
      <c r="AG2680" s="7" t="str">
        <f aca="false">IF(LEFT(LOWER(TRIM(L2680)),6)="cancel","Cancelled","Delivered")</f>
        <v>Delivered</v>
      </c>
      <c r="AH2680" s="10" t="n">
        <f aca="false">IF(ISNUMBER(SEARCH("/",B2680)),DATE(VALUE(RIGHT(B2680,4)),VALUE(MID(B2680,4,2)),VALUE(LEFT(B2680,2))),IF(MID(B2680,5,1)="-",DATE(VALUE(LEFT(B2680,4)),VALUE(MID(B2680,6,2)),VALUE(RIGHT(B2680,2))),DATE(VALUE(RIGHT(B2680,4)),MATCH(MID(B2680,4,3),{"Jan","Feb","Mar","Apr","May","Jun","Jul","Aug","Sep","Oct","Nov","Dec"},0),VALUE(LEFT(B2680,2)))))</f>
        <v>45696</v>
      </c>
    </row>
    <row r="2681" customFormat="false" ht="15" hidden="false" customHeight="false" outlineLevel="0" collapsed="false">
      <c r="A2681" s="7" t="s">
        <v>5701</v>
      </c>
      <c r="B2681" s="7" t="s">
        <v>1790</v>
      </c>
      <c r="C2681" s="7" t="s">
        <v>1250</v>
      </c>
      <c r="D2681" s="7" t="s">
        <v>2081</v>
      </c>
      <c r="E2681" s="7" t="s">
        <v>152</v>
      </c>
      <c r="F2681" s="7" t="s">
        <v>128</v>
      </c>
      <c r="G2681" s="7" t="s">
        <v>95</v>
      </c>
      <c r="H2681" s="7" t="n">
        <v>2</v>
      </c>
      <c r="I2681" s="7" t="n">
        <v>120</v>
      </c>
      <c r="J2681" s="7" t="n">
        <v>75</v>
      </c>
      <c r="K2681" s="7" t="s">
        <v>229</v>
      </c>
      <c r="L2681" s="7" t="s">
        <v>194</v>
      </c>
      <c r="M2681" s="7" t="n">
        <v>36</v>
      </c>
      <c r="N2681" s="7" t="n">
        <v>3</v>
      </c>
      <c r="O2681" s="7" t="str">
        <f aca="false">A2681&amp;"|"&amp;B2681&amp;"|"&amp;C2681&amp;"|"&amp;D2681&amp;"|"&amp;E2681&amp;"|"&amp;F2681&amp;"|"&amp;G2681&amp;"|"&amp;H2681&amp;"|"&amp;I2681&amp;"|"&amp;J2681&amp;"|"&amp;K2681&amp;"|"&amp;L2681&amp;"|"&amp;M2681&amp;"|"&amp;N2681</f>
        <v>ORD11066|2025-05-15|12:02|C0298|Filter Coffee &amp; Tiffin|Chennai|South Indian|2|120|75|Upi|Delivered|36|3</v>
      </c>
      <c r="P2681" s="7" t="str">
        <f aca="false">IF(COUNTIF($O$2:O2681,O2681)&gt;1,"DUP","OK")</f>
        <v>OK</v>
      </c>
      <c r="Q2681" s="7" t="n">
        <f aca="false">COUNTBLANK(A2681:N2681)</f>
        <v>0</v>
      </c>
      <c r="R2681" s="7" t="n">
        <f aca="false">IF(A2681="",0,COUNTIFS($A$2:$A$3058,A2681,$P$2:$P$3058,"OK"))</f>
        <v>1</v>
      </c>
      <c r="S2681" s="7" t="str">
        <f aca="false">IF(OR(A2681="",P2681="DUP",R2681&lt;2),"",IF(Q2681=_xlfn.MINIFS($Q$2:$Q$3058,$A$2:$A$3058,A2681,$P$2:$P$3058,"OK"),"KEEP","DROP"))</f>
        <v/>
      </c>
      <c r="T2681" s="9" t="n">
        <f aca="false">IF(A2681="",1,0)</f>
        <v>0</v>
      </c>
      <c r="U2681" s="9" t="n">
        <f aca="false">IF(D2681="",1,0)</f>
        <v>0</v>
      </c>
      <c r="V2681" s="9" t="n">
        <f aca="false">IF(E2681="",1,0)</f>
        <v>0</v>
      </c>
      <c r="W2681" s="9" t="n">
        <f aca="false">IF(OR(H2681&lt;1,H2681&gt;10),1,0)</f>
        <v>0</v>
      </c>
      <c r="X2681" s="9" t="n">
        <f aca="false">IF(OR(I2681&lt;=0,I2681&gt;1500),1,0)</f>
        <v>0</v>
      </c>
      <c r="Y2681" s="9" t="n">
        <f aca="false">IF(J2681&gt;H2681*I2681,1,0)</f>
        <v>0</v>
      </c>
      <c r="Z2681" s="9" t="n">
        <f aca="false">IF(AND(N2681&lt;&gt;"",OR(N2681&lt;1,N2681&gt;5)),1,0)</f>
        <v>0</v>
      </c>
      <c r="AA2681" s="9" t="n">
        <f aca="false">IF(AND(M2681&lt;&gt;"",OR(M2681&lt;5,M2681&gt;180)),1,0)</f>
        <v>0</v>
      </c>
      <c r="AB2681" s="7" t="str">
        <f aca="false">IF(P2681="DUP","Exact duplicate row",IF(T2681=1,"Missing Order ID",IF(S2681="DROP","Duplicate Order ID (less complete row)",IF(U2681=1,"Missing Customer ID",IF(V2681=1,"Missing Restaurant name",IF(W2681=1,"Invalid/outlier quantity",IF(X2681=1,"Invalid/outlier unit price",IF(Y2681=1,"Discount greater than order value",""))))))))</f>
        <v/>
      </c>
      <c r="AC2681" s="7" t="str">
        <f aca="false">IF(AB2681="","KEEP","DROP")</f>
        <v>KEEP</v>
      </c>
      <c r="AD2681" s="7" t="str">
        <f aca="false">IF(TRIM(F2681)="",IFERROR(INDEX(Map_Tables!$I$4:$I$37,MATCH(TRIM(E2681),Map_Tables!$G$4:$G$37,0)),""),IFERROR(INDEX(Map_Tables!$B$4:$B$18,MATCH(TRIM(F2681),Map_Tables!$A$4:$A$18,0)),"CHECK"))</f>
        <v>Chennai</v>
      </c>
      <c r="AE2681" s="7" t="str">
        <f aca="false">IF(TRIM(E2681)="","",IFERROR(INDEX(Map_Tables!$H$4:$H$37,MATCH(TRIM(E2681),Map_Tables!$G$4:$G$37,0)),"CHECK"))</f>
        <v>Filter Coffee &amp; Tiffin</v>
      </c>
      <c r="AF2681" s="7" t="str">
        <f aca="false">IF(TRIM(K2681)="","Unknown",IFERROR(INDEX(Map_Tables!$E$4:$E$15,MATCH(TRIM(K2681),Map_Tables!$D$4:$D$15,0)),"CHECK"))</f>
        <v>UPI</v>
      </c>
      <c r="AG2681" s="7" t="str">
        <f aca="false">IF(LEFT(LOWER(TRIM(L2681)),6)="cancel","Cancelled","Delivered")</f>
        <v>Delivered</v>
      </c>
      <c r="AH2681" s="10" t="n">
        <f aca="false">IF(ISNUMBER(SEARCH("/",B2681)),DATE(VALUE(RIGHT(B2681,4)),VALUE(MID(B2681,4,2)),VALUE(LEFT(B2681,2))),IF(MID(B2681,5,1)="-",DATE(VALUE(LEFT(B2681,4)),VALUE(MID(B2681,6,2)),VALUE(RIGHT(B2681,2))),DATE(VALUE(RIGHT(B2681,4)),MATCH(MID(B2681,4,3),{"Jan","Feb","Mar","Apr","May","Jun","Jul","Aug","Sep","Oct","Nov","Dec"},0),VALUE(LEFT(B2681,2)))))</f>
        <v>45792</v>
      </c>
    </row>
    <row r="2682" customFormat="false" ht="15" hidden="false" customHeight="false" outlineLevel="0" collapsed="false">
      <c r="A2682" s="7" t="s">
        <v>5702</v>
      </c>
      <c r="B2682" s="7" t="s">
        <v>2351</v>
      </c>
      <c r="C2682" s="7" t="s">
        <v>1684</v>
      </c>
      <c r="D2682" s="7" t="s">
        <v>3792</v>
      </c>
      <c r="E2682" s="7" t="s">
        <v>113</v>
      </c>
      <c r="F2682" s="7" t="s">
        <v>101</v>
      </c>
      <c r="G2682" s="7" t="s">
        <v>90</v>
      </c>
      <c r="H2682" s="7" t="n">
        <v>1</v>
      </c>
      <c r="I2682" s="7" t="n">
        <v>240</v>
      </c>
      <c r="J2682" s="7" t="n">
        <v>0</v>
      </c>
      <c r="K2682" s="7" t="s">
        <v>88</v>
      </c>
      <c r="L2682" s="7" t="s">
        <v>194</v>
      </c>
      <c r="M2682" s="7" t="n">
        <v>38</v>
      </c>
      <c r="N2682" s="7" t="n">
        <v>5</v>
      </c>
      <c r="O2682" s="7" t="str">
        <f aca="false">A2682&amp;"|"&amp;B2682&amp;"|"&amp;C2682&amp;"|"&amp;D2682&amp;"|"&amp;E2682&amp;"|"&amp;F2682&amp;"|"&amp;G2682&amp;"|"&amp;H2682&amp;"|"&amp;I2682&amp;"|"&amp;J2682&amp;"|"&amp;K2682&amp;"|"&amp;L2682&amp;"|"&amp;M2682&amp;"|"&amp;N2682</f>
        <v>ORD12378|2025-10-27|11:30|C0783|Curry Leaf Kitchen|Mumbai|North Indian|1|240|0|UPI|Delivered|38|5</v>
      </c>
      <c r="P2682" s="7" t="str">
        <f aca="false">IF(COUNTIF($O$2:O2682,O2682)&gt;1,"DUP","OK")</f>
        <v>OK</v>
      </c>
      <c r="Q2682" s="7" t="n">
        <f aca="false">COUNTBLANK(A2682:N2682)</f>
        <v>0</v>
      </c>
      <c r="R2682" s="7" t="n">
        <f aca="false">IF(A2682="",0,COUNTIFS($A$2:$A$3058,A2682,$P$2:$P$3058,"OK"))</f>
        <v>1</v>
      </c>
      <c r="S2682" s="7" t="str">
        <f aca="false">IF(OR(A2682="",P2682="DUP",R2682&lt;2),"",IF(Q2682=_xlfn.MINIFS($Q$2:$Q$3058,$A$2:$A$3058,A2682,$P$2:$P$3058,"OK"),"KEEP","DROP"))</f>
        <v/>
      </c>
      <c r="T2682" s="9" t="n">
        <f aca="false">IF(A2682="",1,0)</f>
        <v>0</v>
      </c>
      <c r="U2682" s="9" t="n">
        <f aca="false">IF(D2682="",1,0)</f>
        <v>0</v>
      </c>
      <c r="V2682" s="9" t="n">
        <f aca="false">IF(E2682="",1,0)</f>
        <v>0</v>
      </c>
      <c r="W2682" s="9" t="n">
        <f aca="false">IF(OR(H2682&lt;1,H2682&gt;10),1,0)</f>
        <v>0</v>
      </c>
      <c r="X2682" s="9" t="n">
        <f aca="false">IF(OR(I2682&lt;=0,I2682&gt;1500),1,0)</f>
        <v>0</v>
      </c>
      <c r="Y2682" s="9" t="n">
        <f aca="false">IF(J2682&gt;H2682*I2682,1,0)</f>
        <v>0</v>
      </c>
      <c r="Z2682" s="9" t="n">
        <f aca="false">IF(AND(N2682&lt;&gt;"",OR(N2682&lt;1,N2682&gt;5)),1,0)</f>
        <v>0</v>
      </c>
      <c r="AA2682" s="9" t="n">
        <f aca="false">IF(AND(M2682&lt;&gt;"",OR(M2682&lt;5,M2682&gt;180)),1,0)</f>
        <v>0</v>
      </c>
      <c r="AB2682" s="7" t="str">
        <f aca="false">IF(P2682="DUP","Exact duplicate row",IF(T2682=1,"Missing Order ID",IF(S2682="DROP","Duplicate Order ID (less complete row)",IF(U2682=1,"Missing Customer ID",IF(V2682=1,"Missing Restaurant name",IF(W2682=1,"Invalid/outlier quantity",IF(X2682=1,"Invalid/outlier unit price",IF(Y2682=1,"Discount greater than order value",""))))))))</f>
        <v/>
      </c>
      <c r="AC2682" s="7" t="str">
        <f aca="false">IF(AB2682="","KEEP","DROP")</f>
        <v>KEEP</v>
      </c>
      <c r="AD2682" s="7" t="str">
        <f aca="false">IF(TRIM(F2682)="",IFERROR(INDEX(Map_Tables!$I$4:$I$37,MATCH(TRIM(E2682),Map_Tables!$G$4:$G$37,0)),""),IFERROR(INDEX(Map_Tables!$B$4:$B$18,MATCH(TRIM(F2682),Map_Tables!$A$4:$A$18,0)),"CHECK"))</f>
        <v>Mumbai</v>
      </c>
      <c r="AE2682" s="7" t="str">
        <f aca="false">IF(TRIM(E2682)="","",IFERROR(INDEX(Map_Tables!$H$4:$H$37,MATCH(TRIM(E2682),Map_Tables!$G$4:$G$37,0)),"CHECK"))</f>
        <v>Curry Leaf Kitchen</v>
      </c>
      <c r="AF2682" s="7" t="str">
        <f aca="false">IF(TRIM(K2682)="","Unknown",IFERROR(INDEX(Map_Tables!$E$4:$E$15,MATCH(TRIM(K2682),Map_Tables!$D$4:$D$15,0)),"CHECK"))</f>
        <v>UPI</v>
      </c>
      <c r="AG2682" s="7" t="str">
        <f aca="false">IF(LEFT(LOWER(TRIM(L2682)),6)="cancel","Cancelled","Delivered")</f>
        <v>Delivered</v>
      </c>
      <c r="AH2682" s="10" t="n">
        <f aca="false">IF(ISNUMBER(SEARCH("/",B2682)),DATE(VALUE(RIGHT(B2682,4)),VALUE(MID(B2682,4,2)),VALUE(LEFT(B2682,2))),IF(MID(B2682,5,1)="-",DATE(VALUE(LEFT(B2682,4)),VALUE(MID(B2682,6,2)),VALUE(RIGHT(B2682,2))),DATE(VALUE(RIGHT(B2682,4)),MATCH(MID(B2682,4,3),{"Jan","Feb","Mar","Apr","May","Jun","Jul","Aug","Sep","Oct","Nov","Dec"},0),VALUE(LEFT(B2682,2)))))</f>
        <v>45957</v>
      </c>
    </row>
    <row r="2683" customFormat="false" ht="15" hidden="false" customHeight="false" outlineLevel="0" collapsed="false">
      <c r="A2683" s="7" t="s">
        <v>5703</v>
      </c>
      <c r="B2683" s="7" t="s">
        <v>1437</v>
      </c>
      <c r="C2683" s="7" t="s">
        <v>2923</v>
      </c>
      <c r="D2683" s="7" t="s">
        <v>3974</v>
      </c>
      <c r="E2683" s="7" t="s">
        <v>1098</v>
      </c>
      <c r="F2683" s="7" t="s">
        <v>86</v>
      </c>
      <c r="G2683" s="7" t="s">
        <v>90</v>
      </c>
      <c r="H2683" s="7" t="n">
        <v>2</v>
      </c>
      <c r="I2683" s="7" t="n">
        <v>210</v>
      </c>
      <c r="J2683" s="7" t="n">
        <v>0</v>
      </c>
      <c r="K2683" s="7" t="s">
        <v>93</v>
      </c>
      <c r="L2683" s="7" t="s">
        <v>194</v>
      </c>
      <c r="M2683" s="7" t="n">
        <v>38</v>
      </c>
      <c r="N2683" s="7" t="n">
        <v>5</v>
      </c>
      <c r="O2683" s="7" t="str">
        <f aca="false">A2683&amp;"|"&amp;B2683&amp;"|"&amp;C2683&amp;"|"&amp;D2683&amp;"|"&amp;E2683&amp;"|"&amp;F2683&amp;"|"&amp;G2683&amp;"|"&amp;H2683&amp;"|"&amp;I2683&amp;"|"&amp;J2683&amp;"|"&amp;K2683&amp;"|"&amp;L2683&amp;"|"&amp;M2683&amp;"|"&amp;N2683</f>
        <v>ORD11639|2025-08-02|13:11|C1038|SPICE JUNCTION|Bengaluru|North Indian|2|210|0|Credit Card|Delivered|38|5</v>
      </c>
      <c r="P2683" s="7" t="str">
        <f aca="false">IF(COUNTIF($O$2:O2683,O2683)&gt;1,"DUP","OK")</f>
        <v>OK</v>
      </c>
      <c r="Q2683" s="7" t="n">
        <f aca="false">COUNTBLANK(A2683:N2683)</f>
        <v>0</v>
      </c>
      <c r="R2683" s="7" t="n">
        <f aca="false">IF(A2683="",0,COUNTIFS($A$2:$A$3058,A2683,$P$2:$P$3058,"OK"))</f>
        <v>1</v>
      </c>
      <c r="S2683" s="7" t="str">
        <f aca="false">IF(OR(A2683="",P2683="DUP",R2683&lt;2),"",IF(Q2683=_xlfn.MINIFS($Q$2:$Q$3058,$A$2:$A$3058,A2683,$P$2:$P$3058,"OK"),"KEEP","DROP"))</f>
        <v/>
      </c>
      <c r="T2683" s="9" t="n">
        <f aca="false">IF(A2683="",1,0)</f>
        <v>0</v>
      </c>
      <c r="U2683" s="9" t="n">
        <f aca="false">IF(D2683="",1,0)</f>
        <v>0</v>
      </c>
      <c r="V2683" s="9" t="n">
        <f aca="false">IF(E2683="",1,0)</f>
        <v>0</v>
      </c>
      <c r="W2683" s="9" t="n">
        <f aca="false">IF(OR(H2683&lt;1,H2683&gt;10),1,0)</f>
        <v>0</v>
      </c>
      <c r="X2683" s="9" t="n">
        <f aca="false">IF(OR(I2683&lt;=0,I2683&gt;1500),1,0)</f>
        <v>0</v>
      </c>
      <c r="Y2683" s="9" t="n">
        <f aca="false">IF(J2683&gt;H2683*I2683,1,0)</f>
        <v>0</v>
      </c>
      <c r="Z2683" s="9" t="n">
        <f aca="false">IF(AND(N2683&lt;&gt;"",OR(N2683&lt;1,N2683&gt;5)),1,0)</f>
        <v>0</v>
      </c>
      <c r="AA2683" s="9" t="n">
        <f aca="false">IF(AND(M2683&lt;&gt;"",OR(M2683&lt;5,M2683&gt;180)),1,0)</f>
        <v>0</v>
      </c>
      <c r="AB2683" s="7" t="str">
        <f aca="false">IF(P2683="DUP","Exact duplicate row",IF(T2683=1,"Missing Order ID",IF(S2683="DROP","Duplicate Order ID (less complete row)",IF(U2683=1,"Missing Customer ID",IF(V2683=1,"Missing Restaurant name",IF(W2683=1,"Invalid/outlier quantity",IF(X2683=1,"Invalid/outlier unit price",IF(Y2683=1,"Discount greater than order value",""))))))))</f>
        <v/>
      </c>
      <c r="AC2683" s="7" t="str">
        <f aca="false">IF(AB2683="","KEEP","DROP")</f>
        <v>KEEP</v>
      </c>
      <c r="AD2683" s="7" t="str">
        <f aca="false">IF(TRIM(F2683)="",IFERROR(INDEX(Map_Tables!$I$4:$I$37,MATCH(TRIM(E2683),Map_Tables!$G$4:$G$37,0)),""),IFERROR(INDEX(Map_Tables!$B$4:$B$18,MATCH(TRIM(F2683),Map_Tables!$A$4:$A$18,0)),"CHECK"))</f>
        <v>Bengaluru</v>
      </c>
      <c r="AE2683" s="7" t="str">
        <f aca="false">IF(TRIM(E2683)="","",IFERROR(INDEX(Map_Tables!$H$4:$H$37,MATCH(TRIM(E2683),Map_Tables!$G$4:$G$37,0)),"CHECK"))</f>
        <v>Spice Junction</v>
      </c>
      <c r="AF2683" s="7" t="str">
        <f aca="false">IF(TRIM(K2683)="","Unknown",IFERROR(INDEX(Map_Tables!$E$4:$E$15,MATCH(TRIM(K2683),Map_Tables!$D$4:$D$15,0)),"CHECK"))</f>
        <v>Credit Card</v>
      </c>
      <c r="AG2683" s="7" t="str">
        <f aca="false">IF(LEFT(LOWER(TRIM(L2683)),6)="cancel","Cancelled","Delivered")</f>
        <v>Delivered</v>
      </c>
      <c r="AH2683" s="10" t="n">
        <f aca="false">IF(ISNUMBER(SEARCH("/",B2683)),DATE(VALUE(RIGHT(B2683,4)),VALUE(MID(B2683,4,2)),VALUE(LEFT(B2683,2))),IF(MID(B2683,5,1)="-",DATE(VALUE(LEFT(B2683,4)),VALUE(MID(B2683,6,2)),VALUE(RIGHT(B2683,2))),DATE(VALUE(RIGHT(B2683,4)),MATCH(MID(B2683,4,3),{"Jan","Feb","Mar","Apr","May","Jun","Jul","Aug","Sep","Oct","Nov","Dec"},0),VALUE(LEFT(B2683,2)))))</f>
        <v>45871</v>
      </c>
    </row>
    <row r="2684" customFormat="false" ht="15" hidden="false" customHeight="false" outlineLevel="0" collapsed="false">
      <c r="A2684" s="7" t="s">
        <v>5704</v>
      </c>
      <c r="B2684" s="7" t="s">
        <v>4373</v>
      </c>
      <c r="C2684" s="7" t="s">
        <v>564</v>
      </c>
      <c r="D2684" s="7" t="s">
        <v>5705</v>
      </c>
      <c r="E2684" s="7" t="s">
        <v>159</v>
      </c>
      <c r="F2684" s="7" t="s">
        <v>136</v>
      </c>
      <c r="G2684" s="7" t="s">
        <v>90</v>
      </c>
      <c r="H2684" s="7" t="n">
        <v>3</v>
      </c>
      <c r="I2684" s="7" t="n">
        <v>220</v>
      </c>
      <c r="J2684" s="7" t="n">
        <v>0</v>
      </c>
      <c r="K2684" s="7" t="s">
        <v>112</v>
      </c>
      <c r="L2684" s="7" t="s">
        <v>194</v>
      </c>
      <c r="M2684" s="7" t="n">
        <v>34</v>
      </c>
      <c r="N2684" s="7" t="n">
        <v>3</v>
      </c>
      <c r="O2684" s="7" t="str">
        <f aca="false">A2684&amp;"|"&amp;B2684&amp;"|"&amp;C2684&amp;"|"&amp;D2684&amp;"|"&amp;E2684&amp;"|"&amp;F2684&amp;"|"&amp;G2684&amp;"|"&amp;H2684&amp;"|"&amp;I2684&amp;"|"&amp;J2684&amp;"|"&amp;K2684&amp;"|"&amp;L2684&amp;"|"&amp;M2684&amp;"|"&amp;N2684</f>
        <v>ORD12478|2025-11-07|16:18|C1219|Maratha Thali House|Pune|North Indian|3|220|0|Cash on Delivery|Delivered|34|3</v>
      </c>
      <c r="P2684" s="7" t="str">
        <f aca="false">IF(COUNTIF($O$2:O2684,O2684)&gt;1,"DUP","OK")</f>
        <v>OK</v>
      </c>
      <c r="Q2684" s="7" t="n">
        <f aca="false">COUNTBLANK(A2684:N2684)</f>
        <v>0</v>
      </c>
      <c r="R2684" s="7" t="n">
        <f aca="false">IF(A2684="",0,COUNTIFS($A$2:$A$3058,A2684,$P$2:$P$3058,"OK"))</f>
        <v>1</v>
      </c>
      <c r="S2684" s="7" t="str">
        <f aca="false">IF(OR(A2684="",P2684="DUP",R2684&lt;2),"",IF(Q2684=_xlfn.MINIFS($Q$2:$Q$3058,$A$2:$A$3058,A2684,$P$2:$P$3058,"OK"),"KEEP","DROP"))</f>
        <v/>
      </c>
      <c r="T2684" s="9" t="n">
        <f aca="false">IF(A2684="",1,0)</f>
        <v>0</v>
      </c>
      <c r="U2684" s="9" t="n">
        <f aca="false">IF(D2684="",1,0)</f>
        <v>0</v>
      </c>
      <c r="V2684" s="9" t="n">
        <f aca="false">IF(E2684="",1,0)</f>
        <v>0</v>
      </c>
      <c r="W2684" s="9" t="n">
        <f aca="false">IF(OR(H2684&lt;1,H2684&gt;10),1,0)</f>
        <v>0</v>
      </c>
      <c r="X2684" s="9" t="n">
        <f aca="false">IF(OR(I2684&lt;=0,I2684&gt;1500),1,0)</f>
        <v>0</v>
      </c>
      <c r="Y2684" s="9" t="n">
        <f aca="false">IF(J2684&gt;H2684*I2684,1,0)</f>
        <v>0</v>
      </c>
      <c r="Z2684" s="9" t="n">
        <f aca="false">IF(AND(N2684&lt;&gt;"",OR(N2684&lt;1,N2684&gt;5)),1,0)</f>
        <v>0</v>
      </c>
      <c r="AA2684" s="9" t="n">
        <f aca="false">IF(AND(M2684&lt;&gt;"",OR(M2684&lt;5,M2684&gt;180)),1,0)</f>
        <v>0</v>
      </c>
      <c r="AB2684" s="7" t="str">
        <f aca="false">IF(P2684="DUP","Exact duplicate row",IF(T2684=1,"Missing Order ID",IF(S2684="DROP","Duplicate Order ID (less complete row)",IF(U2684=1,"Missing Customer ID",IF(V2684=1,"Missing Restaurant name",IF(W2684=1,"Invalid/outlier quantity",IF(X2684=1,"Invalid/outlier unit price",IF(Y2684=1,"Discount greater than order value",""))))))))</f>
        <v/>
      </c>
      <c r="AC2684" s="7" t="str">
        <f aca="false">IF(AB2684="","KEEP","DROP")</f>
        <v>KEEP</v>
      </c>
      <c r="AD2684" s="7" t="str">
        <f aca="false">IF(TRIM(F2684)="",IFERROR(INDEX(Map_Tables!$I$4:$I$37,MATCH(TRIM(E2684),Map_Tables!$G$4:$G$37,0)),""),IFERROR(INDEX(Map_Tables!$B$4:$B$18,MATCH(TRIM(F2684),Map_Tables!$A$4:$A$18,0)),"CHECK"))</f>
        <v>Pune</v>
      </c>
      <c r="AE2684" s="7" t="str">
        <f aca="false">IF(TRIM(E2684)="","",IFERROR(INDEX(Map_Tables!$H$4:$H$37,MATCH(TRIM(E2684),Map_Tables!$G$4:$G$37,0)),"CHECK"))</f>
        <v>Maratha Thali House</v>
      </c>
      <c r="AF2684" s="7" t="str">
        <f aca="false">IF(TRIM(K2684)="","Unknown",IFERROR(INDEX(Map_Tables!$E$4:$E$15,MATCH(TRIM(K2684),Map_Tables!$D$4:$D$15,0)),"CHECK"))</f>
        <v>Cash on Delivery</v>
      </c>
      <c r="AG2684" s="7" t="str">
        <f aca="false">IF(LEFT(LOWER(TRIM(L2684)),6)="cancel","Cancelled","Delivered")</f>
        <v>Delivered</v>
      </c>
      <c r="AH2684" s="10" t="n">
        <f aca="false">IF(ISNUMBER(SEARCH("/",B2684)),DATE(VALUE(RIGHT(B2684,4)),VALUE(MID(B2684,4,2)),VALUE(LEFT(B2684,2))),IF(MID(B2684,5,1)="-",DATE(VALUE(LEFT(B2684,4)),VALUE(MID(B2684,6,2)),VALUE(RIGHT(B2684,2))),DATE(VALUE(RIGHT(B2684,4)),MATCH(MID(B2684,4,3),{"Jan","Feb","Mar","Apr","May","Jun","Jul","Aug","Sep","Oct","Nov","Dec"},0),VALUE(LEFT(B2684,2)))))</f>
        <v>45968</v>
      </c>
    </row>
    <row r="2685" customFormat="false" ht="15" hidden="false" customHeight="false" outlineLevel="0" collapsed="false">
      <c r="A2685" s="7" t="s">
        <v>5706</v>
      </c>
      <c r="B2685" s="7" t="s">
        <v>1721</v>
      </c>
      <c r="C2685" s="7" t="s">
        <v>4305</v>
      </c>
      <c r="D2685" s="7" t="s">
        <v>4152</v>
      </c>
      <c r="E2685" s="7" t="s">
        <v>98</v>
      </c>
      <c r="F2685" s="7" t="s">
        <v>86</v>
      </c>
      <c r="G2685" s="7" t="s">
        <v>99</v>
      </c>
      <c r="H2685" s="7" t="n">
        <v>1</v>
      </c>
      <c r="I2685" s="7" t="n">
        <v>285</v>
      </c>
      <c r="J2685" s="7" t="n">
        <v>0</v>
      </c>
      <c r="K2685" s="7" t="s">
        <v>1173</v>
      </c>
      <c r="L2685" s="7" t="s">
        <v>194</v>
      </c>
      <c r="M2685" s="7" t="n">
        <v>40</v>
      </c>
      <c r="N2685" s="7"/>
      <c r="O2685" s="7" t="str">
        <f aca="false">A2685&amp;"|"&amp;B2685&amp;"|"&amp;C2685&amp;"|"&amp;D2685&amp;"|"&amp;E2685&amp;"|"&amp;F2685&amp;"|"&amp;G2685&amp;"|"&amp;H2685&amp;"|"&amp;I2685&amp;"|"&amp;J2685&amp;"|"&amp;K2685&amp;"|"&amp;L2685&amp;"|"&amp;M2685&amp;"|"&amp;N2685</f>
        <v>ORD11013|2025-05-08|21:19|C0520|Nawabi Biryani House|Bengaluru|Biryani|1|285|0|E-Wallet|Delivered|40|</v>
      </c>
      <c r="P2685" s="7" t="str">
        <f aca="false">IF(COUNTIF($O$2:O2685,O2685)&gt;1,"DUP","OK")</f>
        <v>OK</v>
      </c>
      <c r="Q2685" s="7" t="n">
        <f aca="false">COUNTBLANK(A2685:N2685)</f>
        <v>1</v>
      </c>
      <c r="R2685" s="7" t="n">
        <f aca="false">IF(A2685="",0,COUNTIFS($A$2:$A$3058,A2685,$P$2:$P$3058,"OK"))</f>
        <v>1</v>
      </c>
      <c r="S2685" s="7" t="str">
        <f aca="false">IF(OR(A2685="",P2685="DUP",R2685&lt;2),"",IF(Q2685=_xlfn.MINIFS($Q$2:$Q$3058,$A$2:$A$3058,A2685,$P$2:$P$3058,"OK"),"KEEP","DROP"))</f>
        <v/>
      </c>
      <c r="T2685" s="9" t="n">
        <f aca="false">IF(A2685="",1,0)</f>
        <v>0</v>
      </c>
      <c r="U2685" s="9" t="n">
        <f aca="false">IF(D2685="",1,0)</f>
        <v>0</v>
      </c>
      <c r="V2685" s="9" t="n">
        <f aca="false">IF(E2685="",1,0)</f>
        <v>0</v>
      </c>
      <c r="W2685" s="9" t="n">
        <f aca="false">IF(OR(H2685&lt;1,H2685&gt;10),1,0)</f>
        <v>0</v>
      </c>
      <c r="X2685" s="9" t="n">
        <f aca="false">IF(OR(I2685&lt;=0,I2685&gt;1500),1,0)</f>
        <v>0</v>
      </c>
      <c r="Y2685" s="9" t="n">
        <f aca="false">IF(J2685&gt;H2685*I2685,1,0)</f>
        <v>0</v>
      </c>
      <c r="Z2685" s="9" t="n">
        <f aca="false">IF(AND(N2685&lt;&gt;"",OR(N2685&lt;1,N2685&gt;5)),1,0)</f>
        <v>0</v>
      </c>
      <c r="AA2685" s="9" t="n">
        <f aca="false">IF(AND(M2685&lt;&gt;"",OR(M2685&lt;5,M2685&gt;180)),1,0)</f>
        <v>0</v>
      </c>
      <c r="AB2685" s="7" t="str">
        <f aca="false">IF(P2685="DUP","Exact duplicate row",IF(T2685=1,"Missing Order ID",IF(S2685="DROP","Duplicate Order ID (less complete row)",IF(U2685=1,"Missing Customer ID",IF(V2685=1,"Missing Restaurant name",IF(W2685=1,"Invalid/outlier quantity",IF(X2685=1,"Invalid/outlier unit price",IF(Y2685=1,"Discount greater than order value",""))))))))</f>
        <v/>
      </c>
      <c r="AC2685" s="7" t="str">
        <f aca="false">IF(AB2685="","KEEP","DROP")</f>
        <v>KEEP</v>
      </c>
      <c r="AD2685" s="7" t="str">
        <f aca="false">IF(TRIM(F2685)="",IFERROR(INDEX(Map_Tables!$I$4:$I$37,MATCH(TRIM(E2685),Map_Tables!$G$4:$G$37,0)),""),IFERROR(INDEX(Map_Tables!$B$4:$B$18,MATCH(TRIM(F2685),Map_Tables!$A$4:$A$18,0)),"CHECK"))</f>
        <v>Bengaluru</v>
      </c>
      <c r="AE2685" s="7" t="str">
        <f aca="false">IF(TRIM(E2685)="","",IFERROR(INDEX(Map_Tables!$H$4:$H$37,MATCH(TRIM(E2685),Map_Tables!$G$4:$G$37,0)),"CHECK"))</f>
        <v>Nawabi Biryani House</v>
      </c>
      <c r="AF2685" s="7" t="str">
        <f aca="false">IF(TRIM(K2685)="","Unknown",IFERROR(INDEX(Map_Tables!$E$4:$E$15,MATCH(TRIM(K2685),Map_Tables!$D$4:$D$15,0)),"CHECK"))</f>
        <v>Wallet</v>
      </c>
      <c r="AG2685" s="7" t="str">
        <f aca="false">IF(LEFT(LOWER(TRIM(L2685)),6)="cancel","Cancelled","Delivered")</f>
        <v>Delivered</v>
      </c>
      <c r="AH2685" s="10" t="n">
        <f aca="false">IF(ISNUMBER(SEARCH("/",B2685)),DATE(VALUE(RIGHT(B2685,4)),VALUE(MID(B2685,4,2)),VALUE(LEFT(B2685,2))),IF(MID(B2685,5,1)="-",DATE(VALUE(LEFT(B2685,4)),VALUE(MID(B2685,6,2)),VALUE(RIGHT(B2685,2))),DATE(VALUE(RIGHT(B2685,4)),MATCH(MID(B2685,4,3),{"Jan","Feb","Mar","Apr","May","Jun","Jul","Aug","Sep","Oct","Nov","Dec"},0),VALUE(LEFT(B2685,2)))))</f>
        <v>45785</v>
      </c>
    </row>
    <row r="2686" customFormat="false" ht="15" hidden="false" customHeight="false" outlineLevel="0" collapsed="false">
      <c r="A2686" s="7" t="s">
        <v>5707</v>
      </c>
      <c r="B2686" s="7" t="s">
        <v>1711</v>
      </c>
      <c r="C2686" s="7" t="s">
        <v>5708</v>
      </c>
      <c r="D2686" s="7" t="s">
        <v>3423</v>
      </c>
      <c r="E2686" s="7" t="s">
        <v>130</v>
      </c>
      <c r="F2686" s="7" t="s">
        <v>110</v>
      </c>
      <c r="G2686" s="7" t="s">
        <v>90</v>
      </c>
      <c r="H2686" s="7" t="n">
        <v>2</v>
      </c>
      <c r="I2686" s="7" t="n">
        <v>240</v>
      </c>
      <c r="J2686" s="7" t="n">
        <v>150</v>
      </c>
      <c r="K2686" s="7" t="s">
        <v>121</v>
      </c>
      <c r="L2686" s="7" t="s">
        <v>238</v>
      </c>
      <c r="M2686" s="7"/>
      <c r="N2686" s="7"/>
      <c r="O2686" s="7" t="str">
        <f aca="false">A2686&amp;"|"&amp;B2686&amp;"|"&amp;C2686&amp;"|"&amp;D2686&amp;"|"&amp;E2686&amp;"|"&amp;F2686&amp;"|"&amp;G2686&amp;"|"&amp;H2686&amp;"|"&amp;I2686&amp;"|"&amp;J2686&amp;"|"&amp;K2686&amp;"|"&amp;L2686&amp;"|"&amp;M2686&amp;"|"&amp;N2686</f>
        <v>ORD12128|2025-09-30|18:24|C0840|Tandoor Tales|Delhi|North Indian|2|240|150|Wallet|Cancelled||</v>
      </c>
      <c r="P2686" s="7" t="str">
        <f aca="false">IF(COUNTIF($O$2:O2686,O2686)&gt;1,"DUP","OK")</f>
        <v>OK</v>
      </c>
      <c r="Q2686" s="7" t="n">
        <f aca="false">COUNTBLANK(A2686:N2686)</f>
        <v>2</v>
      </c>
      <c r="R2686" s="7" t="n">
        <f aca="false">IF(A2686="",0,COUNTIFS($A$2:$A$3058,A2686,$P$2:$P$3058,"OK"))</f>
        <v>1</v>
      </c>
      <c r="S2686" s="7" t="str">
        <f aca="false">IF(OR(A2686="",P2686="DUP",R2686&lt;2),"",IF(Q2686=_xlfn.MINIFS($Q$2:$Q$3058,$A$2:$A$3058,A2686,$P$2:$P$3058,"OK"),"KEEP","DROP"))</f>
        <v/>
      </c>
      <c r="T2686" s="9" t="n">
        <f aca="false">IF(A2686="",1,0)</f>
        <v>0</v>
      </c>
      <c r="U2686" s="9" t="n">
        <f aca="false">IF(D2686="",1,0)</f>
        <v>0</v>
      </c>
      <c r="V2686" s="9" t="n">
        <f aca="false">IF(E2686="",1,0)</f>
        <v>0</v>
      </c>
      <c r="W2686" s="9" t="n">
        <f aca="false">IF(OR(H2686&lt;1,H2686&gt;10),1,0)</f>
        <v>0</v>
      </c>
      <c r="X2686" s="9" t="n">
        <f aca="false">IF(OR(I2686&lt;=0,I2686&gt;1500),1,0)</f>
        <v>0</v>
      </c>
      <c r="Y2686" s="9" t="n">
        <f aca="false">IF(J2686&gt;H2686*I2686,1,0)</f>
        <v>0</v>
      </c>
      <c r="Z2686" s="9" t="n">
        <f aca="false">IF(AND(N2686&lt;&gt;"",OR(N2686&lt;1,N2686&gt;5)),1,0)</f>
        <v>0</v>
      </c>
      <c r="AA2686" s="9" t="n">
        <f aca="false">IF(AND(M2686&lt;&gt;"",OR(M2686&lt;5,M2686&gt;180)),1,0)</f>
        <v>0</v>
      </c>
      <c r="AB2686" s="7" t="str">
        <f aca="false">IF(P2686="DUP","Exact duplicate row",IF(T2686=1,"Missing Order ID",IF(S2686="DROP","Duplicate Order ID (less complete row)",IF(U2686=1,"Missing Customer ID",IF(V2686=1,"Missing Restaurant name",IF(W2686=1,"Invalid/outlier quantity",IF(X2686=1,"Invalid/outlier unit price",IF(Y2686=1,"Discount greater than order value",""))))))))</f>
        <v/>
      </c>
      <c r="AC2686" s="7" t="str">
        <f aca="false">IF(AB2686="","KEEP","DROP")</f>
        <v>KEEP</v>
      </c>
      <c r="AD2686" s="7" t="str">
        <f aca="false">IF(TRIM(F2686)="",IFERROR(INDEX(Map_Tables!$I$4:$I$37,MATCH(TRIM(E2686),Map_Tables!$G$4:$G$37,0)),""),IFERROR(INDEX(Map_Tables!$B$4:$B$18,MATCH(TRIM(F2686),Map_Tables!$A$4:$A$18,0)),"CHECK"))</f>
        <v>Delhi</v>
      </c>
      <c r="AE2686" s="7" t="str">
        <f aca="false">IF(TRIM(E2686)="","",IFERROR(INDEX(Map_Tables!$H$4:$H$37,MATCH(TRIM(E2686),Map_Tables!$G$4:$G$37,0)),"CHECK"))</f>
        <v>Tandoor Tales</v>
      </c>
      <c r="AF2686" s="7" t="str">
        <f aca="false">IF(TRIM(K2686)="","Unknown",IFERROR(INDEX(Map_Tables!$E$4:$E$15,MATCH(TRIM(K2686),Map_Tables!$D$4:$D$15,0)),"CHECK"))</f>
        <v>Wallet</v>
      </c>
      <c r="AG2686" s="7" t="str">
        <f aca="false">IF(LEFT(LOWER(TRIM(L2686)),6)="cancel","Cancelled","Delivered")</f>
        <v>Cancelled</v>
      </c>
      <c r="AH2686" s="10" t="n">
        <f aca="false">IF(ISNUMBER(SEARCH("/",B2686)),DATE(VALUE(RIGHT(B2686,4)),VALUE(MID(B2686,4,2)),VALUE(LEFT(B2686,2))),IF(MID(B2686,5,1)="-",DATE(VALUE(LEFT(B2686,4)),VALUE(MID(B2686,6,2)),VALUE(RIGHT(B2686,2))),DATE(VALUE(RIGHT(B2686,4)),MATCH(MID(B2686,4,3),{"Jan","Feb","Mar","Apr","May","Jun","Jul","Aug","Sep","Oct","Nov","Dec"},0),VALUE(LEFT(B2686,2)))))</f>
        <v>45930</v>
      </c>
    </row>
    <row r="2687" customFormat="false" ht="15" hidden="false" customHeight="false" outlineLevel="0" collapsed="false">
      <c r="A2687" s="7" t="s">
        <v>5709</v>
      </c>
      <c r="B2687" s="7" t="s">
        <v>1018</v>
      </c>
      <c r="C2687" s="7" t="s">
        <v>976</v>
      </c>
      <c r="D2687" s="7" t="s">
        <v>4244</v>
      </c>
      <c r="E2687" s="7" t="s">
        <v>158</v>
      </c>
      <c r="F2687" s="7" t="s">
        <v>136</v>
      </c>
      <c r="G2687" s="7" t="s">
        <v>139</v>
      </c>
      <c r="H2687" s="7" t="n">
        <v>1</v>
      </c>
      <c r="I2687" s="7" t="n">
        <v>205</v>
      </c>
      <c r="J2687" s="7" t="n">
        <v>0</v>
      </c>
      <c r="K2687" s="7" t="s">
        <v>112</v>
      </c>
      <c r="L2687" s="7" t="s">
        <v>194</v>
      </c>
      <c r="M2687" s="7" t="n">
        <v>34</v>
      </c>
      <c r="N2687" s="7" t="n">
        <v>5</v>
      </c>
      <c r="O2687" s="7" t="str">
        <f aca="false">A2687&amp;"|"&amp;B2687&amp;"|"&amp;C2687&amp;"|"&amp;D2687&amp;"|"&amp;E2687&amp;"|"&amp;F2687&amp;"|"&amp;G2687&amp;"|"&amp;H2687&amp;"|"&amp;I2687&amp;"|"&amp;J2687&amp;"|"&amp;K2687&amp;"|"&amp;L2687&amp;"|"&amp;M2687&amp;"|"&amp;N2687</f>
        <v>ORD11718|13/08/2025|20:20|C0356|Pune Burger Hub|Pune|Burgers|1|205|0|Cash on Delivery|Delivered|34|5</v>
      </c>
      <c r="P2687" s="7" t="str">
        <f aca="false">IF(COUNTIF($O$2:O2687,O2687)&gt;1,"DUP","OK")</f>
        <v>OK</v>
      </c>
      <c r="Q2687" s="7" t="n">
        <f aca="false">COUNTBLANK(A2687:N2687)</f>
        <v>0</v>
      </c>
      <c r="R2687" s="7" t="n">
        <f aca="false">IF(A2687="",0,COUNTIFS($A$2:$A$3058,A2687,$P$2:$P$3058,"OK"))</f>
        <v>1</v>
      </c>
      <c r="S2687" s="7" t="str">
        <f aca="false">IF(OR(A2687="",P2687="DUP",R2687&lt;2),"",IF(Q2687=_xlfn.MINIFS($Q$2:$Q$3058,$A$2:$A$3058,A2687,$P$2:$P$3058,"OK"),"KEEP","DROP"))</f>
        <v/>
      </c>
      <c r="T2687" s="9" t="n">
        <f aca="false">IF(A2687="",1,0)</f>
        <v>0</v>
      </c>
      <c r="U2687" s="9" t="n">
        <f aca="false">IF(D2687="",1,0)</f>
        <v>0</v>
      </c>
      <c r="V2687" s="9" t="n">
        <f aca="false">IF(E2687="",1,0)</f>
        <v>0</v>
      </c>
      <c r="W2687" s="9" t="n">
        <f aca="false">IF(OR(H2687&lt;1,H2687&gt;10),1,0)</f>
        <v>0</v>
      </c>
      <c r="X2687" s="9" t="n">
        <f aca="false">IF(OR(I2687&lt;=0,I2687&gt;1500),1,0)</f>
        <v>0</v>
      </c>
      <c r="Y2687" s="9" t="n">
        <f aca="false">IF(J2687&gt;H2687*I2687,1,0)</f>
        <v>0</v>
      </c>
      <c r="Z2687" s="9" t="n">
        <f aca="false">IF(AND(N2687&lt;&gt;"",OR(N2687&lt;1,N2687&gt;5)),1,0)</f>
        <v>0</v>
      </c>
      <c r="AA2687" s="9" t="n">
        <f aca="false">IF(AND(M2687&lt;&gt;"",OR(M2687&lt;5,M2687&gt;180)),1,0)</f>
        <v>0</v>
      </c>
      <c r="AB2687" s="7" t="str">
        <f aca="false">IF(P2687="DUP","Exact duplicate row",IF(T2687=1,"Missing Order ID",IF(S2687="DROP","Duplicate Order ID (less complete row)",IF(U2687=1,"Missing Customer ID",IF(V2687=1,"Missing Restaurant name",IF(W2687=1,"Invalid/outlier quantity",IF(X2687=1,"Invalid/outlier unit price",IF(Y2687=1,"Discount greater than order value",""))))))))</f>
        <v/>
      </c>
      <c r="AC2687" s="7" t="str">
        <f aca="false">IF(AB2687="","KEEP","DROP")</f>
        <v>KEEP</v>
      </c>
      <c r="AD2687" s="7" t="str">
        <f aca="false">IF(TRIM(F2687)="",IFERROR(INDEX(Map_Tables!$I$4:$I$37,MATCH(TRIM(E2687),Map_Tables!$G$4:$G$37,0)),""),IFERROR(INDEX(Map_Tables!$B$4:$B$18,MATCH(TRIM(F2687),Map_Tables!$A$4:$A$18,0)),"CHECK"))</f>
        <v>Pune</v>
      </c>
      <c r="AE2687" s="7" t="str">
        <f aca="false">IF(TRIM(E2687)="","",IFERROR(INDEX(Map_Tables!$H$4:$H$37,MATCH(TRIM(E2687),Map_Tables!$G$4:$G$37,0)),"CHECK"))</f>
        <v>Pune Burger Hub</v>
      </c>
      <c r="AF2687" s="7" t="str">
        <f aca="false">IF(TRIM(K2687)="","Unknown",IFERROR(INDEX(Map_Tables!$E$4:$E$15,MATCH(TRIM(K2687),Map_Tables!$D$4:$D$15,0)),"CHECK"))</f>
        <v>Cash on Delivery</v>
      </c>
      <c r="AG2687" s="7" t="str">
        <f aca="false">IF(LEFT(LOWER(TRIM(L2687)),6)="cancel","Cancelled","Delivered")</f>
        <v>Delivered</v>
      </c>
      <c r="AH2687" s="10" t="n">
        <f aca="false">IF(ISNUMBER(SEARCH("/",B2687)),DATE(VALUE(RIGHT(B2687,4)),VALUE(MID(B2687,4,2)),VALUE(LEFT(B2687,2))),IF(MID(B2687,5,1)="-",DATE(VALUE(LEFT(B2687,4)),VALUE(MID(B2687,6,2)),VALUE(RIGHT(B2687,2))),DATE(VALUE(RIGHT(B2687,4)),MATCH(MID(B2687,4,3),{"Jan","Feb","Mar","Apr","May","Jun","Jul","Aug","Sep","Oct","Nov","Dec"},0),VALUE(LEFT(B2687,2)))))</f>
        <v>45882</v>
      </c>
    </row>
    <row r="2688" customFormat="false" ht="15" hidden="false" customHeight="false" outlineLevel="0" collapsed="false">
      <c r="A2688" s="7" t="s">
        <v>5710</v>
      </c>
      <c r="B2688" s="7" t="s">
        <v>960</v>
      </c>
      <c r="C2688" s="7" t="s">
        <v>3904</v>
      </c>
      <c r="D2688" s="7" t="s">
        <v>2556</v>
      </c>
      <c r="E2688" s="7" t="s">
        <v>104</v>
      </c>
      <c r="F2688" s="7" t="s">
        <v>928</v>
      </c>
      <c r="G2688" s="7" t="s">
        <v>105</v>
      </c>
      <c r="H2688" s="7" t="n">
        <v>1</v>
      </c>
      <c r="I2688" s="7" t="n">
        <v>180</v>
      </c>
      <c r="J2688" s="7" t="n">
        <v>0</v>
      </c>
      <c r="K2688" s="7" t="s">
        <v>103</v>
      </c>
      <c r="L2688" s="7" t="s">
        <v>194</v>
      </c>
      <c r="M2688" s="7" t="n">
        <v>46</v>
      </c>
      <c r="N2688" s="7" t="n">
        <v>4</v>
      </c>
      <c r="O2688" s="7" t="str">
        <f aca="false">A2688&amp;"|"&amp;B2688&amp;"|"&amp;C2688&amp;"|"&amp;D2688&amp;"|"&amp;E2688&amp;"|"&amp;F2688&amp;"|"&amp;G2688&amp;"|"&amp;H2688&amp;"|"&amp;I2688&amp;"|"&amp;J2688&amp;"|"&amp;K2688&amp;"|"&amp;L2688&amp;"|"&amp;M2688&amp;"|"&amp;N2688</f>
        <v>ORD10938|2025-04-28|21:14|C0544|Wok &amp; Roll|Bangalore|Chinese|1|180|0|Debit Card|Delivered|46|4</v>
      </c>
      <c r="P2688" s="7" t="str">
        <f aca="false">IF(COUNTIF($O$2:O2688,O2688)&gt;1,"DUP","OK")</f>
        <v>OK</v>
      </c>
      <c r="Q2688" s="7" t="n">
        <f aca="false">COUNTBLANK(A2688:N2688)</f>
        <v>0</v>
      </c>
      <c r="R2688" s="7" t="n">
        <f aca="false">IF(A2688="",0,COUNTIFS($A$2:$A$3058,A2688,$P$2:$P$3058,"OK"))</f>
        <v>1</v>
      </c>
      <c r="S2688" s="7" t="str">
        <f aca="false">IF(OR(A2688="",P2688="DUP",R2688&lt;2),"",IF(Q2688=_xlfn.MINIFS($Q$2:$Q$3058,$A$2:$A$3058,A2688,$P$2:$P$3058,"OK"),"KEEP","DROP"))</f>
        <v/>
      </c>
      <c r="T2688" s="9" t="n">
        <f aca="false">IF(A2688="",1,0)</f>
        <v>0</v>
      </c>
      <c r="U2688" s="9" t="n">
        <f aca="false">IF(D2688="",1,0)</f>
        <v>0</v>
      </c>
      <c r="V2688" s="9" t="n">
        <f aca="false">IF(E2688="",1,0)</f>
        <v>0</v>
      </c>
      <c r="W2688" s="9" t="n">
        <f aca="false">IF(OR(H2688&lt;1,H2688&gt;10),1,0)</f>
        <v>0</v>
      </c>
      <c r="X2688" s="9" t="n">
        <f aca="false">IF(OR(I2688&lt;=0,I2688&gt;1500),1,0)</f>
        <v>0</v>
      </c>
      <c r="Y2688" s="9" t="n">
        <f aca="false">IF(J2688&gt;H2688*I2688,1,0)</f>
        <v>0</v>
      </c>
      <c r="Z2688" s="9" t="n">
        <f aca="false">IF(AND(N2688&lt;&gt;"",OR(N2688&lt;1,N2688&gt;5)),1,0)</f>
        <v>0</v>
      </c>
      <c r="AA2688" s="9" t="n">
        <f aca="false">IF(AND(M2688&lt;&gt;"",OR(M2688&lt;5,M2688&gt;180)),1,0)</f>
        <v>0</v>
      </c>
      <c r="AB2688" s="7" t="str">
        <f aca="false">IF(P2688="DUP","Exact duplicate row",IF(T2688=1,"Missing Order ID",IF(S2688="DROP","Duplicate Order ID (less complete row)",IF(U2688=1,"Missing Customer ID",IF(V2688=1,"Missing Restaurant name",IF(W2688=1,"Invalid/outlier quantity",IF(X2688=1,"Invalid/outlier unit price",IF(Y2688=1,"Discount greater than order value",""))))))))</f>
        <v/>
      </c>
      <c r="AC2688" s="7" t="str">
        <f aca="false">IF(AB2688="","KEEP","DROP")</f>
        <v>KEEP</v>
      </c>
      <c r="AD2688" s="7" t="str">
        <f aca="false">IF(TRIM(F2688)="",IFERROR(INDEX(Map_Tables!$I$4:$I$37,MATCH(TRIM(E2688),Map_Tables!$G$4:$G$37,0)),""),IFERROR(INDEX(Map_Tables!$B$4:$B$18,MATCH(TRIM(F2688),Map_Tables!$A$4:$A$18,0)),"CHECK"))</f>
        <v>Bengaluru</v>
      </c>
      <c r="AE2688" s="7" t="str">
        <f aca="false">IF(TRIM(E2688)="","",IFERROR(INDEX(Map_Tables!$H$4:$H$37,MATCH(TRIM(E2688),Map_Tables!$G$4:$G$37,0)),"CHECK"))</f>
        <v>Wok &amp; Roll</v>
      </c>
      <c r="AF2688" s="7" t="str">
        <f aca="false">IF(TRIM(K2688)="","Unknown",IFERROR(INDEX(Map_Tables!$E$4:$E$15,MATCH(TRIM(K2688),Map_Tables!$D$4:$D$15,0)),"CHECK"))</f>
        <v>Debit Card</v>
      </c>
      <c r="AG2688" s="7" t="str">
        <f aca="false">IF(LEFT(LOWER(TRIM(L2688)),6)="cancel","Cancelled","Delivered")</f>
        <v>Delivered</v>
      </c>
      <c r="AH2688" s="10" t="n">
        <f aca="false">IF(ISNUMBER(SEARCH("/",B2688)),DATE(VALUE(RIGHT(B2688,4)),VALUE(MID(B2688,4,2)),VALUE(LEFT(B2688,2))),IF(MID(B2688,5,1)="-",DATE(VALUE(LEFT(B2688,4)),VALUE(MID(B2688,6,2)),VALUE(RIGHT(B2688,2))),DATE(VALUE(RIGHT(B2688,4)),MATCH(MID(B2688,4,3),{"Jan","Feb","Mar","Apr","May","Jun","Jul","Aug","Sep","Oct","Nov","Dec"},0),VALUE(LEFT(B2688,2)))))</f>
        <v>45775</v>
      </c>
    </row>
    <row r="2689" customFormat="false" ht="15" hidden="false" customHeight="false" outlineLevel="0" collapsed="false">
      <c r="A2689" s="7" t="s">
        <v>5711</v>
      </c>
      <c r="B2689" s="7" t="s">
        <v>477</v>
      </c>
      <c r="C2689" s="7" t="s">
        <v>2405</v>
      </c>
      <c r="D2689" s="7" t="s">
        <v>3146</v>
      </c>
      <c r="E2689" s="7" t="s">
        <v>94</v>
      </c>
      <c r="F2689" s="7" t="s">
        <v>86</v>
      </c>
      <c r="G2689" s="7" t="s">
        <v>95</v>
      </c>
      <c r="H2689" s="7" t="n">
        <v>2</v>
      </c>
      <c r="I2689" s="7" t="n">
        <v>100</v>
      </c>
      <c r="J2689" s="7" t="n">
        <v>50</v>
      </c>
      <c r="K2689" s="7" t="s">
        <v>112</v>
      </c>
      <c r="L2689" s="7" t="s">
        <v>194</v>
      </c>
      <c r="M2689" s="7" t="n">
        <v>35</v>
      </c>
      <c r="N2689" s="7" t="n">
        <v>3</v>
      </c>
      <c r="O2689" s="7" t="str">
        <f aca="false">A2689&amp;"|"&amp;B2689&amp;"|"&amp;C2689&amp;"|"&amp;D2689&amp;"|"&amp;E2689&amp;"|"&amp;F2689&amp;"|"&amp;G2689&amp;"|"&amp;H2689&amp;"|"&amp;I2689&amp;"|"&amp;J2689&amp;"|"&amp;K2689&amp;"|"&amp;L2689&amp;"|"&amp;M2689&amp;"|"&amp;N2689</f>
        <v>ORD10835|2025-04-16|13:48|C0669|Dosa Darbar|Bengaluru|South Indian|2|100|50|Cash on Delivery|Delivered|35|3</v>
      </c>
      <c r="P2689" s="7" t="str">
        <f aca="false">IF(COUNTIF($O$2:O2689,O2689)&gt;1,"DUP","OK")</f>
        <v>OK</v>
      </c>
      <c r="Q2689" s="7" t="n">
        <f aca="false">COUNTBLANK(A2689:N2689)</f>
        <v>0</v>
      </c>
      <c r="R2689" s="7" t="n">
        <f aca="false">IF(A2689="",0,COUNTIFS($A$2:$A$3058,A2689,$P$2:$P$3058,"OK"))</f>
        <v>1</v>
      </c>
      <c r="S2689" s="7" t="str">
        <f aca="false">IF(OR(A2689="",P2689="DUP",R2689&lt;2),"",IF(Q2689=_xlfn.MINIFS($Q$2:$Q$3058,$A$2:$A$3058,A2689,$P$2:$P$3058,"OK"),"KEEP","DROP"))</f>
        <v/>
      </c>
      <c r="T2689" s="9" t="n">
        <f aca="false">IF(A2689="",1,0)</f>
        <v>0</v>
      </c>
      <c r="U2689" s="9" t="n">
        <f aca="false">IF(D2689="",1,0)</f>
        <v>0</v>
      </c>
      <c r="V2689" s="9" t="n">
        <f aca="false">IF(E2689="",1,0)</f>
        <v>0</v>
      </c>
      <c r="W2689" s="9" t="n">
        <f aca="false">IF(OR(H2689&lt;1,H2689&gt;10),1,0)</f>
        <v>0</v>
      </c>
      <c r="X2689" s="9" t="n">
        <f aca="false">IF(OR(I2689&lt;=0,I2689&gt;1500),1,0)</f>
        <v>0</v>
      </c>
      <c r="Y2689" s="9" t="n">
        <f aca="false">IF(J2689&gt;H2689*I2689,1,0)</f>
        <v>0</v>
      </c>
      <c r="Z2689" s="9" t="n">
        <f aca="false">IF(AND(N2689&lt;&gt;"",OR(N2689&lt;1,N2689&gt;5)),1,0)</f>
        <v>0</v>
      </c>
      <c r="AA2689" s="9" t="n">
        <f aca="false">IF(AND(M2689&lt;&gt;"",OR(M2689&lt;5,M2689&gt;180)),1,0)</f>
        <v>0</v>
      </c>
      <c r="AB2689" s="7" t="str">
        <f aca="false">IF(P2689="DUP","Exact duplicate row",IF(T2689=1,"Missing Order ID",IF(S2689="DROP","Duplicate Order ID (less complete row)",IF(U2689=1,"Missing Customer ID",IF(V2689=1,"Missing Restaurant name",IF(W2689=1,"Invalid/outlier quantity",IF(X2689=1,"Invalid/outlier unit price",IF(Y2689=1,"Discount greater than order value",""))))))))</f>
        <v/>
      </c>
      <c r="AC2689" s="7" t="str">
        <f aca="false">IF(AB2689="","KEEP","DROP")</f>
        <v>KEEP</v>
      </c>
      <c r="AD2689" s="7" t="str">
        <f aca="false">IF(TRIM(F2689)="",IFERROR(INDEX(Map_Tables!$I$4:$I$37,MATCH(TRIM(E2689),Map_Tables!$G$4:$G$37,0)),""),IFERROR(INDEX(Map_Tables!$B$4:$B$18,MATCH(TRIM(F2689),Map_Tables!$A$4:$A$18,0)),"CHECK"))</f>
        <v>Bengaluru</v>
      </c>
      <c r="AE2689" s="7" t="str">
        <f aca="false">IF(TRIM(E2689)="","",IFERROR(INDEX(Map_Tables!$H$4:$H$37,MATCH(TRIM(E2689),Map_Tables!$G$4:$G$37,0)),"CHECK"))</f>
        <v>Dosa Darbar</v>
      </c>
      <c r="AF2689" s="7" t="str">
        <f aca="false">IF(TRIM(K2689)="","Unknown",IFERROR(INDEX(Map_Tables!$E$4:$E$15,MATCH(TRIM(K2689),Map_Tables!$D$4:$D$15,0)),"CHECK"))</f>
        <v>Cash on Delivery</v>
      </c>
      <c r="AG2689" s="7" t="str">
        <f aca="false">IF(LEFT(LOWER(TRIM(L2689)),6)="cancel","Cancelled","Delivered")</f>
        <v>Delivered</v>
      </c>
      <c r="AH2689" s="10" t="n">
        <f aca="false">IF(ISNUMBER(SEARCH("/",B2689)),DATE(VALUE(RIGHT(B2689,4)),VALUE(MID(B2689,4,2)),VALUE(LEFT(B2689,2))),IF(MID(B2689,5,1)="-",DATE(VALUE(LEFT(B2689,4)),VALUE(MID(B2689,6,2)),VALUE(RIGHT(B2689,2))),DATE(VALUE(RIGHT(B2689,4)),MATCH(MID(B2689,4,3),{"Jan","Feb","Mar","Apr","May","Jun","Jul","Aug","Sep","Oct","Nov","Dec"},0),VALUE(LEFT(B2689,2)))))</f>
        <v>45763</v>
      </c>
    </row>
    <row r="2690" customFormat="false" ht="15" hidden="false" customHeight="false" outlineLevel="0" collapsed="false">
      <c r="A2690" s="7" t="s">
        <v>5712</v>
      </c>
      <c r="B2690" s="7" t="s">
        <v>5713</v>
      </c>
      <c r="C2690" s="7" t="s">
        <v>2705</v>
      </c>
      <c r="D2690" s="7" t="s">
        <v>5583</v>
      </c>
      <c r="E2690" s="7" t="s">
        <v>130</v>
      </c>
      <c r="F2690" s="7" t="s">
        <v>110</v>
      </c>
      <c r="G2690" s="7" t="s">
        <v>90</v>
      </c>
      <c r="H2690" s="7" t="n">
        <v>1</v>
      </c>
      <c r="I2690" s="7" t="n">
        <v>210</v>
      </c>
      <c r="J2690" s="7" t="n">
        <v>75</v>
      </c>
      <c r="K2690" s="7" t="s">
        <v>93</v>
      </c>
      <c r="L2690" s="7" t="s">
        <v>194</v>
      </c>
      <c r="M2690" s="7" t="n">
        <v>36</v>
      </c>
      <c r="N2690" s="7" t="n">
        <v>5</v>
      </c>
      <c r="O2690" s="7" t="str">
        <f aca="false">A2690&amp;"|"&amp;B2690&amp;"|"&amp;C2690&amp;"|"&amp;D2690&amp;"|"&amp;E2690&amp;"|"&amp;F2690&amp;"|"&amp;G2690&amp;"|"&amp;H2690&amp;"|"&amp;I2690&amp;"|"&amp;J2690&amp;"|"&amp;K2690&amp;"|"&amp;L2690&amp;"|"&amp;M2690&amp;"|"&amp;N2690</f>
        <v>ORD10255|02-Feb-2025|21:53|C0347|Tandoor Tales|Delhi|North Indian|1|210|75|Credit Card|Delivered|36|5</v>
      </c>
      <c r="P2690" s="7" t="str">
        <f aca="false">IF(COUNTIF($O$2:O2690,O2690)&gt;1,"DUP","OK")</f>
        <v>OK</v>
      </c>
      <c r="Q2690" s="7" t="n">
        <f aca="false">COUNTBLANK(A2690:N2690)</f>
        <v>0</v>
      </c>
      <c r="R2690" s="7" t="n">
        <f aca="false">IF(A2690="",0,COUNTIFS($A$2:$A$3058,A2690,$P$2:$P$3058,"OK"))</f>
        <v>1</v>
      </c>
      <c r="S2690" s="7" t="str">
        <f aca="false">IF(OR(A2690="",P2690="DUP",R2690&lt;2),"",IF(Q2690=_xlfn.MINIFS($Q$2:$Q$3058,$A$2:$A$3058,A2690,$P$2:$P$3058,"OK"),"KEEP","DROP"))</f>
        <v/>
      </c>
      <c r="T2690" s="9" t="n">
        <f aca="false">IF(A2690="",1,0)</f>
        <v>0</v>
      </c>
      <c r="U2690" s="9" t="n">
        <f aca="false">IF(D2690="",1,0)</f>
        <v>0</v>
      </c>
      <c r="V2690" s="9" t="n">
        <f aca="false">IF(E2690="",1,0)</f>
        <v>0</v>
      </c>
      <c r="W2690" s="9" t="n">
        <f aca="false">IF(OR(H2690&lt;1,H2690&gt;10),1,0)</f>
        <v>0</v>
      </c>
      <c r="X2690" s="9" t="n">
        <f aca="false">IF(OR(I2690&lt;=0,I2690&gt;1500),1,0)</f>
        <v>0</v>
      </c>
      <c r="Y2690" s="9" t="n">
        <f aca="false">IF(J2690&gt;H2690*I2690,1,0)</f>
        <v>0</v>
      </c>
      <c r="Z2690" s="9" t="n">
        <f aca="false">IF(AND(N2690&lt;&gt;"",OR(N2690&lt;1,N2690&gt;5)),1,0)</f>
        <v>0</v>
      </c>
      <c r="AA2690" s="9" t="n">
        <f aca="false">IF(AND(M2690&lt;&gt;"",OR(M2690&lt;5,M2690&gt;180)),1,0)</f>
        <v>0</v>
      </c>
      <c r="AB2690" s="7" t="str">
        <f aca="false">IF(P2690="DUP","Exact duplicate row",IF(T2690=1,"Missing Order ID",IF(S2690="DROP","Duplicate Order ID (less complete row)",IF(U2690=1,"Missing Customer ID",IF(V2690=1,"Missing Restaurant name",IF(W2690=1,"Invalid/outlier quantity",IF(X2690=1,"Invalid/outlier unit price",IF(Y2690=1,"Discount greater than order value",""))))))))</f>
        <v/>
      </c>
      <c r="AC2690" s="7" t="str">
        <f aca="false">IF(AB2690="","KEEP","DROP")</f>
        <v>KEEP</v>
      </c>
      <c r="AD2690" s="7" t="str">
        <f aca="false">IF(TRIM(F2690)="",IFERROR(INDEX(Map_Tables!$I$4:$I$37,MATCH(TRIM(E2690),Map_Tables!$G$4:$G$37,0)),""),IFERROR(INDEX(Map_Tables!$B$4:$B$18,MATCH(TRIM(F2690),Map_Tables!$A$4:$A$18,0)),"CHECK"))</f>
        <v>Delhi</v>
      </c>
      <c r="AE2690" s="7" t="str">
        <f aca="false">IF(TRIM(E2690)="","",IFERROR(INDEX(Map_Tables!$H$4:$H$37,MATCH(TRIM(E2690),Map_Tables!$G$4:$G$37,0)),"CHECK"))</f>
        <v>Tandoor Tales</v>
      </c>
      <c r="AF2690" s="7" t="str">
        <f aca="false">IF(TRIM(K2690)="","Unknown",IFERROR(INDEX(Map_Tables!$E$4:$E$15,MATCH(TRIM(K2690),Map_Tables!$D$4:$D$15,0)),"CHECK"))</f>
        <v>Credit Card</v>
      </c>
      <c r="AG2690" s="7" t="str">
        <f aca="false">IF(LEFT(LOWER(TRIM(L2690)),6)="cancel","Cancelled","Delivered")</f>
        <v>Delivered</v>
      </c>
      <c r="AH2690" s="10" t="n">
        <f aca="false">IF(ISNUMBER(SEARCH("/",B2690)),DATE(VALUE(RIGHT(B2690,4)),VALUE(MID(B2690,4,2)),VALUE(LEFT(B2690,2))),IF(MID(B2690,5,1)="-",DATE(VALUE(LEFT(B2690,4)),VALUE(MID(B2690,6,2)),VALUE(RIGHT(B2690,2))),DATE(VALUE(RIGHT(B2690,4)),MATCH(MID(B2690,4,3),{"Jan","Feb","Mar","Apr","May","Jun","Jul","Aug","Sep","Oct","Nov","Dec"},0),VALUE(LEFT(B2690,2)))))</f>
        <v>45690</v>
      </c>
    </row>
    <row r="2691" customFormat="false" ht="15" hidden="false" customHeight="false" outlineLevel="0" collapsed="false">
      <c r="A2691" s="7" t="s">
        <v>5714</v>
      </c>
      <c r="B2691" s="7" t="s">
        <v>795</v>
      </c>
      <c r="C2691" s="7" t="s">
        <v>455</v>
      </c>
      <c r="D2691" s="7" t="s">
        <v>2043</v>
      </c>
      <c r="E2691" s="7" t="s">
        <v>152</v>
      </c>
      <c r="F2691" s="7" t="s">
        <v>127</v>
      </c>
      <c r="G2691" s="7" t="s">
        <v>95</v>
      </c>
      <c r="H2691" s="7" t="n">
        <v>1</v>
      </c>
      <c r="I2691" s="7" t="n">
        <v>100</v>
      </c>
      <c r="J2691" s="7" t="n">
        <v>0</v>
      </c>
      <c r="K2691" s="7" t="s">
        <v>103</v>
      </c>
      <c r="L2691" s="7" t="s">
        <v>194</v>
      </c>
      <c r="M2691" s="7" t="n">
        <v>33</v>
      </c>
      <c r="N2691" s="7" t="n">
        <v>3</v>
      </c>
      <c r="O2691" s="7" t="str">
        <f aca="false">A2691&amp;"|"&amp;B2691&amp;"|"&amp;C2691&amp;"|"&amp;D2691&amp;"|"&amp;E2691&amp;"|"&amp;F2691&amp;"|"&amp;G2691&amp;"|"&amp;H2691&amp;"|"&amp;I2691&amp;"|"&amp;J2691&amp;"|"&amp;K2691&amp;"|"&amp;L2691&amp;"|"&amp;M2691&amp;"|"&amp;N2691</f>
        <v>ORD11483|2025-07-12|13:24|C0605|Filter Coffee &amp; Tiffin|chennai|South Indian|1|100|0|Debit Card|Delivered|33|3</v>
      </c>
      <c r="P2691" s="7" t="str">
        <f aca="false">IF(COUNTIF($O$2:O2691,O2691)&gt;1,"DUP","OK")</f>
        <v>OK</v>
      </c>
      <c r="Q2691" s="7" t="n">
        <f aca="false">COUNTBLANK(A2691:N2691)</f>
        <v>0</v>
      </c>
      <c r="R2691" s="7" t="n">
        <f aca="false">IF(A2691="",0,COUNTIFS($A$2:$A$3058,A2691,$P$2:$P$3058,"OK"))</f>
        <v>1</v>
      </c>
      <c r="S2691" s="7" t="str">
        <f aca="false">IF(OR(A2691="",P2691="DUP",R2691&lt;2),"",IF(Q2691=_xlfn.MINIFS($Q$2:$Q$3058,$A$2:$A$3058,A2691,$P$2:$P$3058,"OK"),"KEEP","DROP"))</f>
        <v/>
      </c>
      <c r="T2691" s="9" t="n">
        <f aca="false">IF(A2691="",1,0)</f>
        <v>0</v>
      </c>
      <c r="U2691" s="9" t="n">
        <f aca="false">IF(D2691="",1,0)</f>
        <v>0</v>
      </c>
      <c r="V2691" s="9" t="n">
        <f aca="false">IF(E2691="",1,0)</f>
        <v>0</v>
      </c>
      <c r="W2691" s="9" t="n">
        <f aca="false">IF(OR(H2691&lt;1,H2691&gt;10),1,0)</f>
        <v>0</v>
      </c>
      <c r="X2691" s="9" t="n">
        <f aca="false">IF(OR(I2691&lt;=0,I2691&gt;1500),1,0)</f>
        <v>0</v>
      </c>
      <c r="Y2691" s="9" t="n">
        <f aca="false">IF(J2691&gt;H2691*I2691,1,0)</f>
        <v>0</v>
      </c>
      <c r="Z2691" s="9" t="n">
        <f aca="false">IF(AND(N2691&lt;&gt;"",OR(N2691&lt;1,N2691&gt;5)),1,0)</f>
        <v>0</v>
      </c>
      <c r="AA2691" s="9" t="n">
        <f aca="false">IF(AND(M2691&lt;&gt;"",OR(M2691&lt;5,M2691&gt;180)),1,0)</f>
        <v>0</v>
      </c>
      <c r="AB2691" s="7" t="str">
        <f aca="false">IF(P2691="DUP","Exact duplicate row",IF(T2691=1,"Missing Order ID",IF(S2691="DROP","Duplicate Order ID (less complete row)",IF(U2691=1,"Missing Customer ID",IF(V2691=1,"Missing Restaurant name",IF(W2691=1,"Invalid/outlier quantity",IF(X2691=1,"Invalid/outlier unit price",IF(Y2691=1,"Discount greater than order value",""))))))))</f>
        <v/>
      </c>
      <c r="AC2691" s="7" t="str">
        <f aca="false">IF(AB2691="","KEEP","DROP")</f>
        <v>KEEP</v>
      </c>
      <c r="AD2691" s="7" t="str">
        <f aca="false">IF(TRIM(F2691)="",IFERROR(INDEX(Map_Tables!$I$4:$I$37,MATCH(TRIM(E2691),Map_Tables!$G$4:$G$37,0)),""),IFERROR(INDEX(Map_Tables!$B$4:$B$18,MATCH(TRIM(F2691),Map_Tables!$A$4:$A$18,0)),"CHECK"))</f>
        <v>Chennai</v>
      </c>
      <c r="AE2691" s="7" t="str">
        <f aca="false">IF(TRIM(E2691)="","",IFERROR(INDEX(Map_Tables!$H$4:$H$37,MATCH(TRIM(E2691),Map_Tables!$G$4:$G$37,0)),"CHECK"))</f>
        <v>Filter Coffee &amp; Tiffin</v>
      </c>
      <c r="AF2691" s="7" t="str">
        <f aca="false">IF(TRIM(K2691)="","Unknown",IFERROR(INDEX(Map_Tables!$E$4:$E$15,MATCH(TRIM(K2691),Map_Tables!$D$4:$D$15,0)),"CHECK"))</f>
        <v>Debit Card</v>
      </c>
      <c r="AG2691" s="7" t="str">
        <f aca="false">IF(LEFT(LOWER(TRIM(L2691)),6)="cancel","Cancelled","Delivered")</f>
        <v>Delivered</v>
      </c>
      <c r="AH2691" s="10" t="n">
        <f aca="false">IF(ISNUMBER(SEARCH("/",B2691)),DATE(VALUE(RIGHT(B2691,4)),VALUE(MID(B2691,4,2)),VALUE(LEFT(B2691,2))),IF(MID(B2691,5,1)="-",DATE(VALUE(LEFT(B2691,4)),VALUE(MID(B2691,6,2)),VALUE(RIGHT(B2691,2))),DATE(VALUE(RIGHT(B2691,4)),MATCH(MID(B2691,4,3),{"Jan","Feb","Mar","Apr","May","Jun","Jul","Aug","Sep","Oct","Nov","Dec"},0),VALUE(LEFT(B2691,2)))))</f>
        <v>45850</v>
      </c>
    </row>
    <row r="2692" customFormat="false" ht="15" hidden="false" customHeight="false" outlineLevel="0" collapsed="false">
      <c r="A2692" s="7" t="s">
        <v>2865</v>
      </c>
      <c r="B2692" s="7" t="s">
        <v>1645</v>
      </c>
      <c r="C2692" s="7" t="s">
        <v>2088</v>
      </c>
      <c r="D2692" s="7" t="s">
        <v>2866</v>
      </c>
      <c r="E2692" s="7" t="s">
        <v>113</v>
      </c>
      <c r="F2692" s="7" t="s">
        <v>101</v>
      </c>
      <c r="G2692" s="7" t="s">
        <v>90</v>
      </c>
      <c r="H2692" s="7" t="n">
        <v>3</v>
      </c>
      <c r="I2692" s="7" t="n">
        <v>215</v>
      </c>
      <c r="J2692" s="7" t="n">
        <v>0</v>
      </c>
      <c r="K2692" s="7" t="s">
        <v>88</v>
      </c>
      <c r="L2692" s="7" t="s">
        <v>194</v>
      </c>
      <c r="M2692" s="7" t="n">
        <v>49</v>
      </c>
      <c r="N2692" s="7" t="n">
        <v>3</v>
      </c>
      <c r="O2692" s="7" t="str">
        <f aca="false">A2692&amp;"|"&amp;B2692&amp;"|"&amp;C2692&amp;"|"&amp;D2692&amp;"|"&amp;E2692&amp;"|"&amp;F2692&amp;"|"&amp;G2692&amp;"|"&amp;H2692&amp;"|"&amp;I2692&amp;"|"&amp;J2692&amp;"|"&amp;K2692&amp;"|"&amp;L2692&amp;"|"&amp;M2692&amp;"|"&amp;N2692</f>
        <v>ORD11597|2025-07-27|19:56|C1162|Curry Leaf Kitchen|Mumbai|North Indian|3|215|0|UPI|Delivered|49|3</v>
      </c>
      <c r="P2692" s="7" t="str">
        <f aca="false">IF(COUNTIF($O$2:O2692,O2692)&gt;1,"DUP","OK")</f>
        <v>DUP</v>
      </c>
      <c r="Q2692" s="7" t="n">
        <f aca="false">COUNTBLANK(A2692:N2692)</f>
        <v>0</v>
      </c>
      <c r="R2692" s="7" t="n">
        <f aca="false">IF(A2692="",0,COUNTIFS($A$2:$A$3058,A2692,$P$2:$P$3058,"OK"))</f>
        <v>1</v>
      </c>
      <c r="S2692" s="7" t="str">
        <f aca="false">IF(OR(A2692="",P2692="DUP",R2692&lt;2),"",IF(Q2692=_xlfn.MINIFS($Q$2:$Q$3058,$A$2:$A$3058,A2692,$P$2:$P$3058,"OK"),"KEEP","DROP"))</f>
        <v/>
      </c>
      <c r="T2692" s="9" t="n">
        <f aca="false">IF(A2692="",1,0)</f>
        <v>0</v>
      </c>
      <c r="U2692" s="9" t="n">
        <f aca="false">IF(D2692="",1,0)</f>
        <v>0</v>
      </c>
      <c r="V2692" s="9" t="n">
        <f aca="false">IF(E2692="",1,0)</f>
        <v>0</v>
      </c>
      <c r="W2692" s="9" t="n">
        <f aca="false">IF(OR(H2692&lt;1,H2692&gt;10),1,0)</f>
        <v>0</v>
      </c>
      <c r="X2692" s="9" t="n">
        <f aca="false">IF(OR(I2692&lt;=0,I2692&gt;1500),1,0)</f>
        <v>0</v>
      </c>
      <c r="Y2692" s="9" t="n">
        <f aca="false">IF(J2692&gt;H2692*I2692,1,0)</f>
        <v>0</v>
      </c>
      <c r="Z2692" s="9" t="n">
        <f aca="false">IF(AND(N2692&lt;&gt;"",OR(N2692&lt;1,N2692&gt;5)),1,0)</f>
        <v>0</v>
      </c>
      <c r="AA2692" s="9" t="n">
        <f aca="false">IF(AND(M2692&lt;&gt;"",OR(M2692&lt;5,M2692&gt;180)),1,0)</f>
        <v>0</v>
      </c>
      <c r="AB2692" s="7" t="str">
        <f aca="false">IF(P2692="DUP","Exact duplicate row",IF(T2692=1,"Missing Order ID",IF(S2692="DROP","Duplicate Order ID (less complete row)",IF(U2692=1,"Missing Customer ID",IF(V2692=1,"Missing Restaurant name",IF(W2692=1,"Invalid/outlier quantity",IF(X2692=1,"Invalid/outlier unit price",IF(Y2692=1,"Discount greater than order value",""))))))))</f>
        <v>Exact duplicate row</v>
      </c>
      <c r="AC2692" s="7" t="str">
        <f aca="false">IF(AB2692="","KEEP","DROP")</f>
        <v>DROP</v>
      </c>
      <c r="AD2692" s="7" t="str">
        <f aca="false">IF(TRIM(F2692)="",IFERROR(INDEX(Map_Tables!$I$4:$I$37,MATCH(TRIM(E2692),Map_Tables!$G$4:$G$37,0)),""),IFERROR(INDEX(Map_Tables!$B$4:$B$18,MATCH(TRIM(F2692),Map_Tables!$A$4:$A$18,0)),"CHECK"))</f>
        <v>Mumbai</v>
      </c>
      <c r="AE2692" s="7" t="str">
        <f aca="false">IF(TRIM(E2692)="","",IFERROR(INDEX(Map_Tables!$H$4:$H$37,MATCH(TRIM(E2692),Map_Tables!$G$4:$G$37,0)),"CHECK"))</f>
        <v>Curry Leaf Kitchen</v>
      </c>
      <c r="AF2692" s="7" t="str">
        <f aca="false">IF(TRIM(K2692)="","Unknown",IFERROR(INDEX(Map_Tables!$E$4:$E$15,MATCH(TRIM(K2692),Map_Tables!$D$4:$D$15,0)),"CHECK"))</f>
        <v>UPI</v>
      </c>
      <c r="AG2692" s="7" t="str">
        <f aca="false">IF(LEFT(LOWER(TRIM(L2692)),6)="cancel","Cancelled","Delivered")</f>
        <v>Delivered</v>
      </c>
      <c r="AH2692" s="10" t="n">
        <f aca="false">IF(ISNUMBER(SEARCH("/",B2692)),DATE(VALUE(RIGHT(B2692,4)),VALUE(MID(B2692,4,2)),VALUE(LEFT(B2692,2))),IF(MID(B2692,5,1)="-",DATE(VALUE(LEFT(B2692,4)),VALUE(MID(B2692,6,2)),VALUE(RIGHT(B2692,2))),DATE(VALUE(RIGHT(B2692,4)),MATCH(MID(B2692,4,3),{"Jan","Feb","Mar","Apr","May","Jun","Jul","Aug","Sep","Oct","Nov","Dec"},0),VALUE(LEFT(B2692,2)))))</f>
        <v>45865</v>
      </c>
    </row>
    <row r="2693" customFormat="false" ht="15" hidden="false" customHeight="false" outlineLevel="0" collapsed="false">
      <c r="A2693" s="7" t="s">
        <v>5715</v>
      </c>
      <c r="B2693" s="7" t="s">
        <v>3986</v>
      </c>
      <c r="C2693" s="7" t="s">
        <v>232</v>
      </c>
      <c r="D2693" s="7" t="s">
        <v>2086</v>
      </c>
      <c r="E2693" s="7" t="s">
        <v>154</v>
      </c>
      <c r="F2693" s="7" t="s">
        <v>128</v>
      </c>
      <c r="G2693" s="7" t="s">
        <v>99</v>
      </c>
      <c r="H2693" s="7" t="n">
        <v>5</v>
      </c>
      <c r="I2693" s="7" t="n">
        <v>270</v>
      </c>
      <c r="J2693" s="7" t="n">
        <v>20</v>
      </c>
      <c r="K2693" s="7" t="s">
        <v>121</v>
      </c>
      <c r="L2693" s="7" t="s">
        <v>194</v>
      </c>
      <c r="M2693" s="7" t="n">
        <v>27</v>
      </c>
      <c r="N2693" s="7" t="n">
        <v>3</v>
      </c>
      <c r="O2693" s="7" t="str">
        <f aca="false">A2693&amp;"|"&amp;B2693&amp;"|"&amp;C2693&amp;"|"&amp;D2693&amp;"|"&amp;E2693&amp;"|"&amp;F2693&amp;"|"&amp;G2693&amp;"|"&amp;H2693&amp;"|"&amp;I2693&amp;"|"&amp;J2693&amp;"|"&amp;K2693&amp;"|"&amp;L2693&amp;"|"&amp;M2693&amp;"|"&amp;N2693</f>
        <v>ORD11408|2025-07-02|21:09|C0165|Madras Biryani Co|Chennai|Biryani|5|270|20|Wallet|Delivered|27|3</v>
      </c>
      <c r="P2693" s="7" t="str">
        <f aca="false">IF(COUNTIF($O$2:O2693,O2693)&gt;1,"DUP","OK")</f>
        <v>OK</v>
      </c>
      <c r="Q2693" s="7" t="n">
        <f aca="false">COUNTBLANK(A2693:N2693)</f>
        <v>0</v>
      </c>
      <c r="R2693" s="7" t="n">
        <f aca="false">IF(A2693="",0,COUNTIFS($A$2:$A$3058,A2693,$P$2:$P$3058,"OK"))</f>
        <v>1</v>
      </c>
      <c r="S2693" s="7" t="str">
        <f aca="false">IF(OR(A2693="",P2693="DUP",R2693&lt;2),"",IF(Q2693=_xlfn.MINIFS($Q$2:$Q$3058,$A$2:$A$3058,A2693,$P$2:$P$3058,"OK"),"KEEP","DROP"))</f>
        <v/>
      </c>
      <c r="T2693" s="9" t="n">
        <f aca="false">IF(A2693="",1,0)</f>
        <v>0</v>
      </c>
      <c r="U2693" s="9" t="n">
        <f aca="false">IF(D2693="",1,0)</f>
        <v>0</v>
      </c>
      <c r="V2693" s="9" t="n">
        <f aca="false">IF(E2693="",1,0)</f>
        <v>0</v>
      </c>
      <c r="W2693" s="9" t="n">
        <f aca="false">IF(OR(H2693&lt;1,H2693&gt;10),1,0)</f>
        <v>0</v>
      </c>
      <c r="X2693" s="9" t="n">
        <f aca="false">IF(OR(I2693&lt;=0,I2693&gt;1500),1,0)</f>
        <v>0</v>
      </c>
      <c r="Y2693" s="9" t="n">
        <f aca="false">IF(J2693&gt;H2693*I2693,1,0)</f>
        <v>0</v>
      </c>
      <c r="Z2693" s="9" t="n">
        <f aca="false">IF(AND(N2693&lt;&gt;"",OR(N2693&lt;1,N2693&gt;5)),1,0)</f>
        <v>0</v>
      </c>
      <c r="AA2693" s="9" t="n">
        <f aca="false">IF(AND(M2693&lt;&gt;"",OR(M2693&lt;5,M2693&gt;180)),1,0)</f>
        <v>0</v>
      </c>
      <c r="AB2693" s="7" t="str">
        <f aca="false">IF(P2693="DUP","Exact duplicate row",IF(T2693=1,"Missing Order ID",IF(S2693="DROP","Duplicate Order ID (less complete row)",IF(U2693=1,"Missing Customer ID",IF(V2693=1,"Missing Restaurant name",IF(W2693=1,"Invalid/outlier quantity",IF(X2693=1,"Invalid/outlier unit price",IF(Y2693=1,"Discount greater than order value",""))))))))</f>
        <v/>
      </c>
      <c r="AC2693" s="7" t="str">
        <f aca="false">IF(AB2693="","KEEP","DROP")</f>
        <v>KEEP</v>
      </c>
      <c r="AD2693" s="7" t="str">
        <f aca="false">IF(TRIM(F2693)="",IFERROR(INDEX(Map_Tables!$I$4:$I$37,MATCH(TRIM(E2693),Map_Tables!$G$4:$G$37,0)),""),IFERROR(INDEX(Map_Tables!$B$4:$B$18,MATCH(TRIM(F2693),Map_Tables!$A$4:$A$18,0)),"CHECK"))</f>
        <v>Chennai</v>
      </c>
      <c r="AE2693" s="7" t="str">
        <f aca="false">IF(TRIM(E2693)="","",IFERROR(INDEX(Map_Tables!$H$4:$H$37,MATCH(TRIM(E2693),Map_Tables!$G$4:$G$37,0)),"CHECK"))</f>
        <v>Madras Biryani Co</v>
      </c>
      <c r="AF2693" s="7" t="str">
        <f aca="false">IF(TRIM(K2693)="","Unknown",IFERROR(INDEX(Map_Tables!$E$4:$E$15,MATCH(TRIM(K2693),Map_Tables!$D$4:$D$15,0)),"CHECK"))</f>
        <v>Wallet</v>
      </c>
      <c r="AG2693" s="7" t="str">
        <f aca="false">IF(LEFT(LOWER(TRIM(L2693)),6)="cancel","Cancelled","Delivered")</f>
        <v>Delivered</v>
      </c>
      <c r="AH2693" s="10" t="n">
        <f aca="false">IF(ISNUMBER(SEARCH("/",B2693)),DATE(VALUE(RIGHT(B2693,4)),VALUE(MID(B2693,4,2)),VALUE(LEFT(B2693,2))),IF(MID(B2693,5,1)="-",DATE(VALUE(LEFT(B2693,4)),VALUE(MID(B2693,6,2)),VALUE(RIGHT(B2693,2))),DATE(VALUE(RIGHT(B2693,4)),MATCH(MID(B2693,4,3),{"Jan","Feb","Mar","Apr","May","Jun","Jul","Aug","Sep","Oct","Nov","Dec"},0),VALUE(LEFT(B2693,2)))))</f>
        <v>45840</v>
      </c>
    </row>
    <row r="2694" customFormat="false" ht="15" hidden="false" customHeight="false" outlineLevel="0" collapsed="false">
      <c r="A2694" s="7" t="s">
        <v>5716</v>
      </c>
      <c r="B2694" s="7" t="s">
        <v>1287</v>
      </c>
      <c r="C2694" s="7" t="s">
        <v>2756</v>
      </c>
      <c r="D2694" s="7" t="s">
        <v>4049</v>
      </c>
      <c r="E2694" s="7" t="s">
        <v>122</v>
      </c>
      <c r="F2694" s="7" t="s">
        <v>101</v>
      </c>
      <c r="G2694" s="7" t="s">
        <v>123</v>
      </c>
      <c r="H2694" s="7" t="n">
        <v>3</v>
      </c>
      <c r="I2694" s="7" t="n">
        <v>320</v>
      </c>
      <c r="J2694" s="7" t="n">
        <v>40</v>
      </c>
      <c r="K2694" s="7" t="s">
        <v>87</v>
      </c>
      <c r="L2694" s="7" t="s">
        <v>194</v>
      </c>
      <c r="M2694" s="7" t="n">
        <v>45</v>
      </c>
      <c r="N2694" s="7" t="n">
        <v>3</v>
      </c>
      <c r="O2694" s="7" t="str">
        <f aca="false">A2694&amp;"|"&amp;B2694&amp;"|"&amp;C2694&amp;"|"&amp;D2694&amp;"|"&amp;E2694&amp;"|"&amp;F2694&amp;"|"&amp;G2694&amp;"|"&amp;H2694&amp;"|"&amp;I2694&amp;"|"&amp;J2694&amp;"|"&amp;K2694&amp;"|"&amp;L2694&amp;"|"&amp;M2694&amp;"|"&amp;N2694</f>
        <v>ORD12952|2025-12-26|20:17|C1427|Mumbai Pizza Co|Mumbai|Pizza|3|320|40|upi|Delivered|45|3</v>
      </c>
      <c r="P2694" s="7" t="str">
        <f aca="false">IF(COUNTIF($O$2:O2694,O2694)&gt;1,"DUP","OK")</f>
        <v>OK</v>
      </c>
      <c r="Q2694" s="7" t="n">
        <f aca="false">COUNTBLANK(A2694:N2694)</f>
        <v>0</v>
      </c>
      <c r="R2694" s="7" t="n">
        <f aca="false">IF(A2694="",0,COUNTIFS($A$2:$A$3058,A2694,$P$2:$P$3058,"OK"))</f>
        <v>1</v>
      </c>
      <c r="S2694" s="7" t="str">
        <f aca="false">IF(OR(A2694="",P2694="DUP",R2694&lt;2),"",IF(Q2694=_xlfn.MINIFS($Q$2:$Q$3058,$A$2:$A$3058,A2694,$P$2:$P$3058,"OK"),"KEEP","DROP"))</f>
        <v/>
      </c>
      <c r="T2694" s="9" t="n">
        <f aca="false">IF(A2694="",1,0)</f>
        <v>0</v>
      </c>
      <c r="U2694" s="9" t="n">
        <f aca="false">IF(D2694="",1,0)</f>
        <v>0</v>
      </c>
      <c r="V2694" s="9" t="n">
        <f aca="false">IF(E2694="",1,0)</f>
        <v>0</v>
      </c>
      <c r="W2694" s="9" t="n">
        <f aca="false">IF(OR(H2694&lt;1,H2694&gt;10),1,0)</f>
        <v>0</v>
      </c>
      <c r="X2694" s="9" t="n">
        <f aca="false">IF(OR(I2694&lt;=0,I2694&gt;1500),1,0)</f>
        <v>0</v>
      </c>
      <c r="Y2694" s="9" t="n">
        <f aca="false">IF(J2694&gt;H2694*I2694,1,0)</f>
        <v>0</v>
      </c>
      <c r="Z2694" s="9" t="n">
        <f aca="false">IF(AND(N2694&lt;&gt;"",OR(N2694&lt;1,N2694&gt;5)),1,0)</f>
        <v>0</v>
      </c>
      <c r="AA2694" s="9" t="n">
        <f aca="false">IF(AND(M2694&lt;&gt;"",OR(M2694&lt;5,M2694&gt;180)),1,0)</f>
        <v>0</v>
      </c>
      <c r="AB2694" s="7" t="str">
        <f aca="false">IF(P2694="DUP","Exact duplicate row",IF(T2694=1,"Missing Order ID",IF(S2694="DROP","Duplicate Order ID (less complete row)",IF(U2694=1,"Missing Customer ID",IF(V2694=1,"Missing Restaurant name",IF(W2694=1,"Invalid/outlier quantity",IF(X2694=1,"Invalid/outlier unit price",IF(Y2694=1,"Discount greater than order value",""))))))))</f>
        <v/>
      </c>
      <c r="AC2694" s="7" t="str">
        <f aca="false">IF(AB2694="","KEEP","DROP")</f>
        <v>KEEP</v>
      </c>
      <c r="AD2694" s="7" t="str">
        <f aca="false">IF(TRIM(F2694)="",IFERROR(INDEX(Map_Tables!$I$4:$I$37,MATCH(TRIM(E2694),Map_Tables!$G$4:$G$37,0)),""),IFERROR(INDEX(Map_Tables!$B$4:$B$18,MATCH(TRIM(F2694),Map_Tables!$A$4:$A$18,0)),"CHECK"))</f>
        <v>Mumbai</v>
      </c>
      <c r="AE2694" s="7" t="str">
        <f aca="false">IF(TRIM(E2694)="","",IFERROR(INDEX(Map_Tables!$H$4:$H$37,MATCH(TRIM(E2694),Map_Tables!$G$4:$G$37,0)),"CHECK"))</f>
        <v>Mumbai Pizza Co</v>
      </c>
      <c r="AF2694" s="7" t="str">
        <f aca="false">IF(TRIM(K2694)="","Unknown",IFERROR(INDEX(Map_Tables!$E$4:$E$15,MATCH(TRIM(K2694),Map_Tables!$D$4:$D$15,0)),"CHECK"))</f>
        <v>UPI</v>
      </c>
      <c r="AG2694" s="7" t="str">
        <f aca="false">IF(LEFT(LOWER(TRIM(L2694)),6)="cancel","Cancelled","Delivered")</f>
        <v>Delivered</v>
      </c>
      <c r="AH2694" s="10" t="n">
        <f aca="false">IF(ISNUMBER(SEARCH("/",B2694)),DATE(VALUE(RIGHT(B2694,4)),VALUE(MID(B2694,4,2)),VALUE(LEFT(B2694,2))),IF(MID(B2694,5,1)="-",DATE(VALUE(LEFT(B2694,4)),VALUE(MID(B2694,6,2)),VALUE(RIGHT(B2694,2))),DATE(VALUE(RIGHT(B2694,4)),MATCH(MID(B2694,4,3),{"Jan","Feb","Mar","Apr","May","Jun","Jul","Aug","Sep","Oct","Nov","Dec"},0),VALUE(LEFT(B2694,2)))))</f>
        <v>46017</v>
      </c>
    </row>
    <row r="2695" customFormat="false" ht="15" hidden="false" customHeight="false" outlineLevel="0" collapsed="false">
      <c r="A2695" s="7" t="s">
        <v>5717</v>
      </c>
      <c r="B2695" s="7" t="s">
        <v>1698</v>
      </c>
      <c r="C2695" s="7" t="s">
        <v>433</v>
      </c>
      <c r="D2695" s="7" t="s">
        <v>5248</v>
      </c>
      <c r="E2695" s="7" t="s">
        <v>113</v>
      </c>
      <c r="F2695" s="7" t="s">
        <v>101</v>
      </c>
      <c r="G2695" s="7" t="s">
        <v>90</v>
      </c>
      <c r="H2695" s="7" t="n">
        <v>1</v>
      </c>
      <c r="I2695" s="7" t="n">
        <v>180</v>
      </c>
      <c r="J2695" s="7" t="n">
        <v>40</v>
      </c>
      <c r="K2695" s="7" t="s">
        <v>112</v>
      </c>
      <c r="L2695" s="7" t="s">
        <v>194</v>
      </c>
      <c r="M2695" s="7" t="n">
        <v>52</v>
      </c>
      <c r="N2695" s="7" t="n">
        <v>4</v>
      </c>
      <c r="O2695" s="7" t="str">
        <f aca="false">A2695&amp;"|"&amp;B2695&amp;"|"&amp;C2695&amp;"|"&amp;D2695&amp;"|"&amp;E2695&amp;"|"&amp;F2695&amp;"|"&amp;G2695&amp;"|"&amp;H2695&amp;"|"&amp;I2695&amp;"|"&amp;J2695&amp;"|"&amp;K2695&amp;"|"&amp;L2695&amp;"|"&amp;M2695&amp;"|"&amp;N2695</f>
        <v>ORD12185|2025-10-05|19:43|C1142|Curry Leaf Kitchen|Mumbai|North Indian|1|180|40|Cash on Delivery|Delivered|52|4</v>
      </c>
      <c r="P2695" s="7" t="str">
        <f aca="false">IF(COUNTIF($O$2:O2695,O2695)&gt;1,"DUP","OK")</f>
        <v>OK</v>
      </c>
      <c r="Q2695" s="7" t="n">
        <f aca="false">COUNTBLANK(A2695:N2695)</f>
        <v>0</v>
      </c>
      <c r="R2695" s="7" t="n">
        <f aca="false">IF(A2695="",0,COUNTIFS($A$2:$A$3058,A2695,$P$2:$P$3058,"OK"))</f>
        <v>1</v>
      </c>
      <c r="S2695" s="7" t="str">
        <f aca="false">IF(OR(A2695="",P2695="DUP",R2695&lt;2),"",IF(Q2695=_xlfn.MINIFS($Q$2:$Q$3058,$A$2:$A$3058,A2695,$P$2:$P$3058,"OK"),"KEEP","DROP"))</f>
        <v/>
      </c>
      <c r="T2695" s="9" t="n">
        <f aca="false">IF(A2695="",1,0)</f>
        <v>0</v>
      </c>
      <c r="U2695" s="9" t="n">
        <f aca="false">IF(D2695="",1,0)</f>
        <v>0</v>
      </c>
      <c r="V2695" s="9" t="n">
        <f aca="false">IF(E2695="",1,0)</f>
        <v>0</v>
      </c>
      <c r="W2695" s="9" t="n">
        <f aca="false">IF(OR(H2695&lt;1,H2695&gt;10),1,0)</f>
        <v>0</v>
      </c>
      <c r="X2695" s="9" t="n">
        <f aca="false">IF(OR(I2695&lt;=0,I2695&gt;1500),1,0)</f>
        <v>0</v>
      </c>
      <c r="Y2695" s="9" t="n">
        <f aca="false">IF(J2695&gt;H2695*I2695,1,0)</f>
        <v>0</v>
      </c>
      <c r="Z2695" s="9" t="n">
        <f aca="false">IF(AND(N2695&lt;&gt;"",OR(N2695&lt;1,N2695&gt;5)),1,0)</f>
        <v>0</v>
      </c>
      <c r="AA2695" s="9" t="n">
        <f aca="false">IF(AND(M2695&lt;&gt;"",OR(M2695&lt;5,M2695&gt;180)),1,0)</f>
        <v>0</v>
      </c>
      <c r="AB2695" s="7" t="str">
        <f aca="false">IF(P2695="DUP","Exact duplicate row",IF(T2695=1,"Missing Order ID",IF(S2695="DROP","Duplicate Order ID (less complete row)",IF(U2695=1,"Missing Customer ID",IF(V2695=1,"Missing Restaurant name",IF(W2695=1,"Invalid/outlier quantity",IF(X2695=1,"Invalid/outlier unit price",IF(Y2695=1,"Discount greater than order value",""))))))))</f>
        <v/>
      </c>
      <c r="AC2695" s="7" t="str">
        <f aca="false">IF(AB2695="","KEEP","DROP")</f>
        <v>KEEP</v>
      </c>
      <c r="AD2695" s="7" t="str">
        <f aca="false">IF(TRIM(F2695)="",IFERROR(INDEX(Map_Tables!$I$4:$I$37,MATCH(TRIM(E2695),Map_Tables!$G$4:$G$37,0)),""),IFERROR(INDEX(Map_Tables!$B$4:$B$18,MATCH(TRIM(F2695),Map_Tables!$A$4:$A$18,0)),"CHECK"))</f>
        <v>Mumbai</v>
      </c>
      <c r="AE2695" s="7" t="str">
        <f aca="false">IF(TRIM(E2695)="","",IFERROR(INDEX(Map_Tables!$H$4:$H$37,MATCH(TRIM(E2695),Map_Tables!$G$4:$G$37,0)),"CHECK"))</f>
        <v>Curry Leaf Kitchen</v>
      </c>
      <c r="AF2695" s="7" t="str">
        <f aca="false">IF(TRIM(K2695)="","Unknown",IFERROR(INDEX(Map_Tables!$E$4:$E$15,MATCH(TRIM(K2695),Map_Tables!$D$4:$D$15,0)),"CHECK"))</f>
        <v>Cash on Delivery</v>
      </c>
      <c r="AG2695" s="7" t="str">
        <f aca="false">IF(LEFT(LOWER(TRIM(L2695)),6)="cancel","Cancelled","Delivered")</f>
        <v>Delivered</v>
      </c>
      <c r="AH2695" s="10" t="n">
        <f aca="false">IF(ISNUMBER(SEARCH("/",B2695)),DATE(VALUE(RIGHT(B2695,4)),VALUE(MID(B2695,4,2)),VALUE(LEFT(B2695,2))),IF(MID(B2695,5,1)="-",DATE(VALUE(LEFT(B2695,4)),VALUE(MID(B2695,6,2)),VALUE(RIGHT(B2695,2))),DATE(VALUE(RIGHT(B2695,4)),MATCH(MID(B2695,4,3),{"Jan","Feb","Mar","Apr","May","Jun","Jul","Aug","Sep","Oct","Nov","Dec"},0),VALUE(LEFT(B2695,2)))))</f>
        <v>45935</v>
      </c>
    </row>
    <row r="2696" customFormat="false" ht="15" hidden="false" customHeight="false" outlineLevel="0" collapsed="false">
      <c r="A2696" s="7" t="s">
        <v>5718</v>
      </c>
      <c r="B2696" s="7" t="s">
        <v>4502</v>
      </c>
      <c r="C2696" s="7" t="s">
        <v>1901</v>
      </c>
      <c r="D2696" s="7" t="s">
        <v>509</v>
      </c>
      <c r="E2696" s="7" t="s">
        <v>134</v>
      </c>
      <c r="F2696" s="7" t="s">
        <v>110</v>
      </c>
      <c r="G2696" s="7" t="s">
        <v>117</v>
      </c>
      <c r="H2696" s="7" t="n">
        <v>2</v>
      </c>
      <c r="I2696" s="7" t="n">
        <v>140</v>
      </c>
      <c r="J2696" s="7" t="n">
        <v>20</v>
      </c>
      <c r="K2696" s="7" t="s">
        <v>88</v>
      </c>
      <c r="L2696" s="7" t="s">
        <v>194</v>
      </c>
      <c r="M2696" s="7" t="n">
        <v>31</v>
      </c>
      <c r="N2696" s="7"/>
      <c r="O2696" s="7" t="str">
        <f aca="false">A2696&amp;"|"&amp;B2696&amp;"|"&amp;C2696&amp;"|"&amp;D2696&amp;"|"&amp;E2696&amp;"|"&amp;F2696&amp;"|"&amp;G2696&amp;"|"&amp;H2696&amp;"|"&amp;I2696&amp;"|"&amp;J2696&amp;"|"&amp;K2696&amp;"|"&amp;L2696&amp;"|"&amp;M2696&amp;"|"&amp;N2696</f>
        <v>ORD10724|02/04/2025|18:33|C0087|Chaat Corner|Delhi|Street Food|2|140|20|UPI|Delivered|31|</v>
      </c>
      <c r="P2696" s="7" t="str">
        <f aca="false">IF(COUNTIF($O$2:O2696,O2696)&gt;1,"DUP","OK")</f>
        <v>OK</v>
      </c>
      <c r="Q2696" s="7" t="n">
        <f aca="false">COUNTBLANK(A2696:N2696)</f>
        <v>1</v>
      </c>
      <c r="R2696" s="7" t="n">
        <f aca="false">IF(A2696="",0,COUNTIFS($A$2:$A$3058,A2696,$P$2:$P$3058,"OK"))</f>
        <v>1</v>
      </c>
      <c r="S2696" s="7" t="str">
        <f aca="false">IF(OR(A2696="",P2696="DUP",R2696&lt;2),"",IF(Q2696=_xlfn.MINIFS($Q$2:$Q$3058,$A$2:$A$3058,A2696,$P$2:$P$3058,"OK"),"KEEP","DROP"))</f>
        <v/>
      </c>
      <c r="T2696" s="9" t="n">
        <f aca="false">IF(A2696="",1,0)</f>
        <v>0</v>
      </c>
      <c r="U2696" s="9" t="n">
        <f aca="false">IF(D2696="",1,0)</f>
        <v>0</v>
      </c>
      <c r="V2696" s="9" t="n">
        <f aca="false">IF(E2696="",1,0)</f>
        <v>0</v>
      </c>
      <c r="W2696" s="9" t="n">
        <f aca="false">IF(OR(H2696&lt;1,H2696&gt;10),1,0)</f>
        <v>0</v>
      </c>
      <c r="X2696" s="9" t="n">
        <f aca="false">IF(OR(I2696&lt;=0,I2696&gt;1500),1,0)</f>
        <v>0</v>
      </c>
      <c r="Y2696" s="9" t="n">
        <f aca="false">IF(J2696&gt;H2696*I2696,1,0)</f>
        <v>0</v>
      </c>
      <c r="Z2696" s="9" t="n">
        <f aca="false">IF(AND(N2696&lt;&gt;"",OR(N2696&lt;1,N2696&gt;5)),1,0)</f>
        <v>0</v>
      </c>
      <c r="AA2696" s="9" t="n">
        <f aca="false">IF(AND(M2696&lt;&gt;"",OR(M2696&lt;5,M2696&gt;180)),1,0)</f>
        <v>0</v>
      </c>
      <c r="AB2696" s="7" t="str">
        <f aca="false">IF(P2696="DUP","Exact duplicate row",IF(T2696=1,"Missing Order ID",IF(S2696="DROP","Duplicate Order ID (less complete row)",IF(U2696=1,"Missing Customer ID",IF(V2696=1,"Missing Restaurant name",IF(W2696=1,"Invalid/outlier quantity",IF(X2696=1,"Invalid/outlier unit price",IF(Y2696=1,"Discount greater than order value",""))))))))</f>
        <v/>
      </c>
      <c r="AC2696" s="7" t="str">
        <f aca="false">IF(AB2696="","KEEP","DROP")</f>
        <v>KEEP</v>
      </c>
      <c r="AD2696" s="7" t="str">
        <f aca="false">IF(TRIM(F2696)="",IFERROR(INDEX(Map_Tables!$I$4:$I$37,MATCH(TRIM(E2696),Map_Tables!$G$4:$G$37,0)),""),IFERROR(INDEX(Map_Tables!$B$4:$B$18,MATCH(TRIM(F2696),Map_Tables!$A$4:$A$18,0)),"CHECK"))</f>
        <v>Delhi</v>
      </c>
      <c r="AE2696" s="7" t="str">
        <f aca="false">IF(TRIM(E2696)="","",IFERROR(INDEX(Map_Tables!$H$4:$H$37,MATCH(TRIM(E2696),Map_Tables!$G$4:$G$37,0)),"CHECK"))</f>
        <v>Chaat Corner</v>
      </c>
      <c r="AF2696" s="7" t="str">
        <f aca="false">IF(TRIM(K2696)="","Unknown",IFERROR(INDEX(Map_Tables!$E$4:$E$15,MATCH(TRIM(K2696),Map_Tables!$D$4:$D$15,0)),"CHECK"))</f>
        <v>UPI</v>
      </c>
      <c r="AG2696" s="7" t="str">
        <f aca="false">IF(LEFT(LOWER(TRIM(L2696)),6)="cancel","Cancelled","Delivered")</f>
        <v>Delivered</v>
      </c>
      <c r="AH2696" s="10" t="n">
        <f aca="false">IF(ISNUMBER(SEARCH("/",B2696)),DATE(VALUE(RIGHT(B2696,4)),VALUE(MID(B2696,4,2)),VALUE(LEFT(B2696,2))),IF(MID(B2696,5,1)="-",DATE(VALUE(LEFT(B2696,4)),VALUE(MID(B2696,6,2)),VALUE(RIGHT(B2696,2))),DATE(VALUE(RIGHT(B2696,4)),MATCH(MID(B2696,4,3),{"Jan","Feb","Mar","Apr","May","Jun","Jul","Aug","Sep","Oct","Nov","Dec"},0),VALUE(LEFT(B2696,2)))))</f>
        <v>45749</v>
      </c>
    </row>
    <row r="2697" customFormat="false" ht="15" hidden="false" customHeight="false" outlineLevel="0" collapsed="false">
      <c r="A2697" s="7" t="s">
        <v>5719</v>
      </c>
      <c r="B2697" s="7" t="s">
        <v>1418</v>
      </c>
      <c r="C2697" s="7" t="s">
        <v>1920</v>
      </c>
      <c r="D2697" s="7" t="s">
        <v>2988</v>
      </c>
      <c r="E2697" s="7" t="s">
        <v>138</v>
      </c>
      <c r="F2697" s="7" t="s">
        <v>110</v>
      </c>
      <c r="G2697" s="7" t="s">
        <v>139</v>
      </c>
      <c r="H2697" s="7" t="n">
        <v>2</v>
      </c>
      <c r="I2697" s="7" t="n">
        <v>220</v>
      </c>
      <c r="J2697" s="7" t="n">
        <v>0</v>
      </c>
      <c r="K2697" s="7" t="s">
        <v>121</v>
      </c>
      <c r="L2697" s="7" t="s">
        <v>194</v>
      </c>
      <c r="M2697" s="7" t="n">
        <v>34</v>
      </c>
      <c r="N2697" s="7"/>
      <c r="O2697" s="7" t="str">
        <f aca="false">A2697&amp;"|"&amp;B2697&amp;"|"&amp;C2697&amp;"|"&amp;D2697&amp;"|"&amp;E2697&amp;"|"&amp;F2697&amp;"|"&amp;G2697&amp;"|"&amp;H2697&amp;"|"&amp;I2697&amp;"|"&amp;J2697&amp;"|"&amp;K2697&amp;"|"&amp;L2697&amp;"|"&amp;M2697&amp;"|"&amp;N2697</f>
        <v>ORD10970|02/05/2025|22:09|C1332|Burger Barn|Delhi|Burgers|2|220|0|Wallet|Delivered|34|</v>
      </c>
      <c r="P2697" s="7" t="str">
        <f aca="false">IF(COUNTIF($O$2:O2697,O2697)&gt;1,"DUP","OK")</f>
        <v>OK</v>
      </c>
      <c r="Q2697" s="7" t="n">
        <f aca="false">COUNTBLANK(A2697:N2697)</f>
        <v>1</v>
      </c>
      <c r="R2697" s="7" t="n">
        <f aca="false">IF(A2697="",0,COUNTIFS($A$2:$A$3058,A2697,$P$2:$P$3058,"OK"))</f>
        <v>1</v>
      </c>
      <c r="S2697" s="7" t="str">
        <f aca="false">IF(OR(A2697="",P2697="DUP",R2697&lt;2),"",IF(Q2697=_xlfn.MINIFS($Q$2:$Q$3058,$A$2:$A$3058,A2697,$P$2:$P$3058,"OK"),"KEEP","DROP"))</f>
        <v/>
      </c>
      <c r="T2697" s="9" t="n">
        <f aca="false">IF(A2697="",1,0)</f>
        <v>0</v>
      </c>
      <c r="U2697" s="9" t="n">
        <f aca="false">IF(D2697="",1,0)</f>
        <v>0</v>
      </c>
      <c r="V2697" s="9" t="n">
        <f aca="false">IF(E2697="",1,0)</f>
        <v>0</v>
      </c>
      <c r="W2697" s="9" t="n">
        <f aca="false">IF(OR(H2697&lt;1,H2697&gt;10),1,0)</f>
        <v>0</v>
      </c>
      <c r="X2697" s="9" t="n">
        <f aca="false">IF(OR(I2697&lt;=0,I2697&gt;1500),1,0)</f>
        <v>0</v>
      </c>
      <c r="Y2697" s="9" t="n">
        <f aca="false">IF(J2697&gt;H2697*I2697,1,0)</f>
        <v>0</v>
      </c>
      <c r="Z2697" s="9" t="n">
        <f aca="false">IF(AND(N2697&lt;&gt;"",OR(N2697&lt;1,N2697&gt;5)),1,0)</f>
        <v>0</v>
      </c>
      <c r="AA2697" s="9" t="n">
        <f aca="false">IF(AND(M2697&lt;&gt;"",OR(M2697&lt;5,M2697&gt;180)),1,0)</f>
        <v>0</v>
      </c>
      <c r="AB2697" s="7" t="str">
        <f aca="false">IF(P2697="DUP","Exact duplicate row",IF(T2697=1,"Missing Order ID",IF(S2697="DROP","Duplicate Order ID (less complete row)",IF(U2697=1,"Missing Customer ID",IF(V2697=1,"Missing Restaurant name",IF(W2697=1,"Invalid/outlier quantity",IF(X2697=1,"Invalid/outlier unit price",IF(Y2697=1,"Discount greater than order value",""))))))))</f>
        <v/>
      </c>
      <c r="AC2697" s="7" t="str">
        <f aca="false">IF(AB2697="","KEEP","DROP")</f>
        <v>KEEP</v>
      </c>
      <c r="AD2697" s="7" t="str">
        <f aca="false">IF(TRIM(F2697)="",IFERROR(INDEX(Map_Tables!$I$4:$I$37,MATCH(TRIM(E2697),Map_Tables!$G$4:$G$37,0)),""),IFERROR(INDEX(Map_Tables!$B$4:$B$18,MATCH(TRIM(F2697),Map_Tables!$A$4:$A$18,0)),"CHECK"))</f>
        <v>Delhi</v>
      </c>
      <c r="AE2697" s="7" t="str">
        <f aca="false">IF(TRIM(E2697)="","",IFERROR(INDEX(Map_Tables!$H$4:$H$37,MATCH(TRIM(E2697),Map_Tables!$G$4:$G$37,0)),"CHECK"))</f>
        <v>Burger Barn</v>
      </c>
      <c r="AF2697" s="7" t="str">
        <f aca="false">IF(TRIM(K2697)="","Unknown",IFERROR(INDEX(Map_Tables!$E$4:$E$15,MATCH(TRIM(K2697),Map_Tables!$D$4:$D$15,0)),"CHECK"))</f>
        <v>Wallet</v>
      </c>
      <c r="AG2697" s="7" t="str">
        <f aca="false">IF(LEFT(LOWER(TRIM(L2697)),6)="cancel","Cancelled","Delivered")</f>
        <v>Delivered</v>
      </c>
      <c r="AH2697" s="10" t="n">
        <f aca="false">IF(ISNUMBER(SEARCH("/",B2697)),DATE(VALUE(RIGHT(B2697,4)),VALUE(MID(B2697,4,2)),VALUE(LEFT(B2697,2))),IF(MID(B2697,5,1)="-",DATE(VALUE(LEFT(B2697,4)),VALUE(MID(B2697,6,2)),VALUE(RIGHT(B2697,2))),DATE(VALUE(RIGHT(B2697,4)),MATCH(MID(B2697,4,3),{"Jan","Feb","Mar","Apr","May","Jun","Jul","Aug","Sep","Oct","Nov","Dec"},0),VALUE(LEFT(B2697,2)))))</f>
        <v>45779</v>
      </c>
    </row>
    <row r="2698" customFormat="false" ht="15" hidden="false" customHeight="false" outlineLevel="0" collapsed="false">
      <c r="A2698" s="7" t="s">
        <v>5720</v>
      </c>
      <c r="B2698" s="7" t="s">
        <v>2598</v>
      </c>
      <c r="C2698" s="7" t="s">
        <v>2355</v>
      </c>
      <c r="D2698" s="7" t="s">
        <v>3335</v>
      </c>
      <c r="E2698" s="7" t="s">
        <v>168</v>
      </c>
      <c r="F2698" s="7" t="s">
        <v>146</v>
      </c>
      <c r="G2698" s="7" t="s">
        <v>123</v>
      </c>
      <c r="H2698" s="7" t="n">
        <v>1</v>
      </c>
      <c r="I2698" s="7" t="n">
        <v>315</v>
      </c>
      <c r="J2698" s="7" t="n">
        <v>40</v>
      </c>
      <c r="K2698" s="7" t="s">
        <v>88</v>
      </c>
      <c r="L2698" s="7" t="s">
        <v>194</v>
      </c>
      <c r="M2698" s="7" t="n">
        <v>36</v>
      </c>
      <c r="N2698" s="7"/>
      <c r="O2698" s="7" t="str">
        <f aca="false">A2698&amp;"|"&amp;B2698&amp;"|"&amp;C2698&amp;"|"&amp;D2698&amp;"|"&amp;E2698&amp;"|"&amp;F2698&amp;"|"&amp;G2698&amp;"|"&amp;H2698&amp;"|"&amp;I2698&amp;"|"&amp;J2698&amp;"|"&amp;K2698&amp;"|"&amp;L2698&amp;"|"&amp;M2698&amp;"|"&amp;N2698</f>
        <v>ORD10497|2025-03-07|10:05|C0582|Cheesy Slice|Ahmedabad|Pizza|1|315|40|UPI|Delivered|36|</v>
      </c>
      <c r="P2698" s="7" t="str">
        <f aca="false">IF(COUNTIF($O$2:O2698,O2698)&gt;1,"DUP","OK")</f>
        <v>OK</v>
      </c>
      <c r="Q2698" s="7" t="n">
        <f aca="false">COUNTBLANK(A2698:N2698)</f>
        <v>1</v>
      </c>
      <c r="R2698" s="7" t="n">
        <f aca="false">IF(A2698="",0,COUNTIFS($A$2:$A$3058,A2698,$P$2:$P$3058,"OK"))</f>
        <v>1</v>
      </c>
      <c r="S2698" s="7" t="str">
        <f aca="false">IF(OR(A2698="",P2698="DUP",R2698&lt;2),"",IF(Q2698=_xlfn.MINIFS($Q$2:$Q$3058,$A$2:$A$3058,A2698,$P$2:$P$3058,"OK"),"KEEP","DROP"))</f>
        <v/>
      </c>
      <c r="T2698" s="9" t="n">
        <f aca="false">IF(A2698="",1,0)</f>
        <v>0</v>
      </c>
      <c r="U2698" s="9" t="n">
        <f aca="false">IF(D2698="",1,0)</f>
        <v>0</v>
      </c>
      <c r="V2698" s="9" t="n">
        <f aca="false">IF(E2698="",1,0)</f>
        <v>0</v>
      </c>
      <c r="W2698" s="9" t="n">
        <f aca="false">IF(OR(H2698&lt;1,H2698&gt;10),1,0)</f>
        <v>0</v>
      </c>
      <c r="X2698" s="9" t="n">
        <f aca="false">IF(OR(I2698&lt;=0,I2698&gt;1500),1,0)</f>
        <v>0</v>
      </c>
      <c r="Y2698" s="9" t="n">
        <f aca="false">IF(J2698&gt;H2698*I2698,1,0)</f>
        <v>0</v>
      </c>
      <c r="Z2698" s="9" t="n">
        <f aca="false">IF(AND(N2698&lt;&gt;"",OR(N2698&lt;1,N2698&gt;5)),1,0)</f>
        <v>0</v>
      </c>
      <c r="AA2698" s="9" t="n">
        <f aca="false">IF(AND(M2698&lt;&gt;"",OR(M2698&lt;5,M2698&gt;180)),1,0)</f>
        <v>0</v>
      </c>
      <c r="AB2698" s="7" t="str">
        <f aca="false">IF(P2698="DUP","Exact duplicate row",IF(T2698=1,"Missing Order ID",IF(S2698="DROP","Duplicate Order ID (less complete row)",IF(U2698=1,"Missing Customer ID",IF(V2698=1,"Missing Restaurant name",IF(W2698=1,"Invalid/outlier quantity",IF(X2698=1,"Invalid/outlier unit price",IF(Y2698=1,"Discount greater than order value",""))))))))</f>
        <v/>
      </c>
      <c r="AC2698" s="7" t="str">
        <f aca="false">IF(AB2698="","KEEP","DROP")</f>
        <v>KEEP</v>
      </c>
      <c r="AD2698" s="7" t="str">
        <f aca="false">IF(TRIM(F2698)="",IFERROR(INDEX(Map_Tables!$I$4:$I$37,MATCH(TRIM(E2698),Map_Tables!$G$4:$G$37,0)),""),IFERROR(INDEX(Map_Tables!$B$4:$B$18,MATCH(TRIM(F2698),Map_Tables!$A$4:$A$18,0)),"CHECK"))</f>
        <v>Ahmedabad</v>
      </c>
      <c r="AE2698" s="7" t="str">
        <f aca="false">IF(TRIM(E2698)="","",IFERROR(INDEX(Map_Tables!$H$4:$H$37,MATCH(TRIM(E2698),Map_Tables!$G$4:$G$37,0)),"CHECK"))</f>
        <v>Cheesy Slice</v>
      </c>
      <c r="AF2698" s="7" t="str">
        <f aca="false">IF(TRIM(K2698)="","Unknown",IFERROR(INDEX(Map_Tables!$E$4:$E$15,MATCH(TRIM(K2698),Map_Tables!$D$4:$D$15,0)),"CHECK"))</f>
        <v>UPI</v>
      </c>
      <c r="AG2698" s="7" t="str">
        <f aca="false">IF(LEFT(LOWER(TRIM(L2698)),6)="cancel","Cancelled","Delivered")</f>
        <v>Delivered</v>
      </c>
      <c r="AH2698" s="10" t="n">
        <f aca="false">IF(ISNUMBER(SEARCH("/",B2698)),DATE(VALUE(RIGHT(B2698,4)),VALUE(MID(B2698,4,2)),VALUE(LEFT(B2698,2))),IF(MID(B2698,5,1)="-",DATE(VALUE(LEFT(B2698,4)),VALUE(MID(B2698,6,2)),VALUE(RIGHT(B2698,2))),DATE(VALUE(RIGHT(B2698,4)),MATCH(MID(B2698,4,3),{"Jan","Feb","Mar","Apr","May","Jun","Jul","Aug","Sep","Oct","Nov","Dec"},0),VALUE(LEFT(B2698,2)))))</f>
        <v>45723</v>
      </c>
    </row>
    <row r="2699" customFormat="false" ht="15" hidden="false" customHeight="false" outlineLevel="0" collapsed="false">
      <c r="A2699" s="7" t="s">
        <v>5721</v>
      </c>
      <c r="B2699" s="7" t="s">
        <v>1752</v>
      </c>
      <c r="C2699" s="7" t="s">
        <v>1211</v>
      </c>
      <c r="D2699" s="7" t="s">
        <v>5722</v>
      </c>
      <c r="E2699" s="7" t="s">
        <v>104</v>
      </c>
      <c r="F2699" s="7" t="s">
        <v>86</v>
      </c>
      <c r="G2699" s="7" t="s">
        <v>105</v>
      </c>
      <c r="H2699" s="7" t="n">
        <v>2</v>
      </c>
      <c r="I2699" s="7" t="n">
        <v>230</v>
      </c>
      <c r="J2699" s="7" t="n">
        <v>30</v>
      </c>
      <c r="K2699" s="7" t="s">
        <v>421</v>
      </c>
      <c r="L2699" s="7" t="s">
        <v>194</v>
      </c>
      <c r="M2699" s="7" t="n">
        <v>29</v>
      </c>
      <c r="N2699" s="7" t="n">
        <v>5</v>
      </c>
      <c r="O2699" s="7" t="str">
        <f aca="false">A2699&amp;"|"&amp;B2699&amp;"|"&amp;C2699&amp;"|"&amp;D2699&amp;"|"&amp;E2699&amp;"|"&amp;F2699&amp;"|"&amp;G2699&amp;"|"&amp;H2699&amp;"|"&amp;I2699&amp;"|"&amp;J2699&amp;"|"&amp;K2699&amp;"|"&amp;L2699&amp;"|"&amp;M2699&amp;"|"&amp;N2699</f>
        <v>ORD10951|2025-04-30|20:42|C0073|Wok &amp; Roll|Bengaluru|Chinese|2|230|30|UPI |Delivered|29|5</v>
      </c>
      <c r="P2699" s="7" t="str">
        <f aca="false">IF(COUNTIF($O$2:O2699,O2699)&gt;1,"DUP","OK")</f>
        <v>OK</v>
      </c>
      <c r="Q2699" s="7" t="n">
        <f aca="false">COUNTBLANK(A2699:N2699)</f>
        <v>0</v>
      </c>
      <c r="R2699" s="7" t="n">
        <f aca="false">IF(A2699="",0,COUNTIFS($A$2:$A$3058,A2699,$P$2:$P$3058,"OK"))</f>
        <v>1</v>
      </c>
      <c r="S2699" s="7" t="str">
        <f aca="false">IF(OR(A2699="",P2699="DUP",R2699&lt;2),"",IF(Q2699=_xlfn.MINIFS($Q$2:$Q$3058,$A$2:$A$3058,A2699,$P$2:$P$3058,"OK"),"KEEP","DROP"))</f>
        <v/>
      </c>
      <c r="T2699" s="9" t="n">
        <f aca="false">IF(A2699="",1,0)</f>
        <v>0</v>
      </c>
      <c r="U2699" s="9" t="n">
        <f aca="false">IF(D2699="",1,0)</f>
        <v>0</v>
      </c>
      <c r="V2699" s="9" t="n">
        <f aca="false">IF(E2699="",1,0)</f>
        <v>0</v>
      </c>
      <c r="W2699" s="9" t="n">
        <f aca="false">IF(OR(H2699&lt;1,H2699&gt;10),1,0)</f>
        <v>0</v>
      </c>
      <c r="X2699" s="9" t="n">
        <f aca="false">IF(OR(I2699&lt;=0,I2699&gt;1500),1,0)</f>
        <v>0</v>
      </c>
      <c r="Y2699" s="9" t="n">
        <f aca="false">IF(J2699&gt;H2699*I2699,1,0)</f>
        <v>0</v>
      </c>
      <c r="Z2699" s="9" t="n">
        <f aca="false">IF(AND(N2699&lt;&gt;"",OR(N2699&lt;1,N2699&gt;5)),1,0)</f>
        <v>0</v>
      </c>
      <c r="AA2699" s="9" t="n">
        <f aca="false">IF(AND(M2699&lt;&gt;"",OR(M2699&lt;5,M2699&gt;180)),1,0)</f>
        <v>0</v>
      </c>
      <c r="AB2699" s="7" t="str">
        <f aca="false">IF(P2699="DUP","Exact duplicate row",IF(T2699=1,"Missing Order ID",IF(S2699="DROP","Duplicate Order ID (less complete row)",IF(U2699=1,"Missing Customer ID",IF(V2699=1,"Missing Restaurant name",IF(W2699=1,"Invalid/outlier quantity",IF(X2699=1,"Invalid/outlier unit price",IF(Y2699=1,"Discount greater than order value",""))))))))</f>
        <v/>
      </c>
      <c r="AC2699" s="7" t="str">
        <f aca="false">IF(AB2699="","KEEP","DROP")</f>
        <v>KEEP</v>
      </c>
      <c r="AD2699" s="7" t="str">
        <f aca="false">IF(TRIM(F2699)="",IFERROR(INDEX(Map_Tables!$I$4:$I$37,MATCH(TRIM(E2699),Map_Tables!$G$4:$G$37,0)),""),IFERROR(INDEX(Map_Tables!$B$4:$B$18,MATCH(TRIM(F2699),Map_Tables!$A$4:$A$18,0)),"CHECK"))</f>
        <v>Bengaluru</v>
      </c>
      <c r="AE2699" s="7" t="str">
        <f aca="false">IF(TRIM(E2699)="","",IFERROR(INDEX(Map_Tables!$H$4:$H$37,MATCH(TRIM(E2699),Map_Tables!$G$4:$G$37,0)),"CHECK"))</f>
        <v>Wok &amp; Roll</v>
      </c>
      <c r="AF2699" s="7" t="str">
        <f aca="false">IF(TRIM(K2699)="","Unknown",IFERROR(INDEX(Map_Tables!$E$4:$E$15,MATCH(TRIM(K2699),Map_Tables!$D$4:$D$15,0)),"CHECK"))</f>
        <v>UPI</v>
      </c>
      <c r="AG2699" s="7" t="str">
        <f aca="false">IF(LEFT(LOWER(TRIM(L2699)),6)="cancel","Cancelled","Delivered")</f>
        <v>Delivered</v>
      </c>
      <c r="AH2699" s="10" t="n">
        <f aca="false">IF(ISNUMBER(SEARCH("/",B2699)),DATE(VALUE(RIGHT(B2699,4)),VALUE(MID(B2699,4,2)),VALUE(LEFT(B2699,2))),IF(MID(B2699,5,1)="-",DATE(VALUE(LEFT(B2699,4)),VALUE(MID(B2699,6,2)),VALUE(RIGHT(B2699,2))),DATE(VALUE(RIGHT(B2699,4)),MATCH(MID(B2699,4,3),{"Jan","Feb","Mar","Apr","May","Jun","Jul","Aug","Sep","Oct","Nov","Dec"},0),VALUE(LEFT(B2699,2)))))</f>
        <v>45777</v>
      </c>
    </row>
    <row r="2700" customFormat="false" ht="15" hidden="false" customHeight="false" outlineLevel="0" collapsed="false">
      <c r="A2700" s="7" t="s">
        <v>5723</v>
      </c>
      <c r="B2700" s="7" t="s">
        <v>204</v>
      </c>
      <c r="C2700" s="7" t="s">
        <v>2923</v>
      </c>
      <c r="D2700" s="7" t="s">
        <v>982</v>
      </c>
      <c r="E2700" s="7" t="s">
        <v>126</v>
      </c>
      <c r="F2700" s="7" t="s">
        <v>101</v>
      </c>
      <c r="G2700" s="7" t="s">
        <v>105</v>
      </c>
      <c r="H2700" s="7" t="n">
        <v>4</v>
      </c>
      <c r="I2700" s="7" t="n">
        <v>225</v>
      </c>
      <c r="J2700" s="7" t="n">
        <v>0</v>
      </c>
      <c r="K2700" s="7" t="s">
        <v>421</v>
      </c>
      <c r="L2700" s="7" t="s">
        <v>194</v>
      </c>
      <c r="M2700" s="7" t="n">
        <v>52</v>
      </c>
      <c r="N2700" s="7"/>
      <c r="O2700" s="7" t="str">
        <f aca="false">A2700&amp;"|"&amp;B2700&amp;"|"&amp;C2700&amp;"|"&amp;D2700&amp;"|"&amp;E2700&amp;"|"&amp;F2700&amp;"|"&amp;G2700&amp;"|"&amp;H2700&amp;"|"&amp;I2700&amp;"|"&amp;J2700&amp;"|"&amp;K2700&amp;"|"&amp;L2700&amp;"|"&amp;M2700&amp;"|"&amp;N2700</f>
        <v>ORD10806|2025-04-12|13:11|C1144|Dragon Express|Mumbai|Chinese|4|225|0|UPI |Delivered|52|</v>
      </c>
      <c r="P2700" s="7" t="str">
        <f aca="false">IF(COUNTIF($O$2:O2700,O2700)&gt;1,"DUP","OK")</f>
        <v>OK</v>
      </c>
      <c r="Q2700" s="7" t="n">
        <f aca="false">COUNTBLANK(A2700:N2700)</f>
        <v>1</v>
      </c>
      <c r="R2700" s="7" t="n">
        <f aca="false">IF(A2700="",0,COUNTIFS($A$2:$A$3058,A2700,$P$2:$P$3058,"OK"))</f>
        <v>1</v>
      </c>
      <c r="S2700" s="7" t="str">
        <f aca="false">IF(OR(A2700="",P2700="DUP",R2700&lt;2),"",IF(Q2700=_xlfn.MINIFS($Q$2:$Q$3058,$A$2:$A$3058,A2700,$P$2:$P$3058,"OK"),"KEEP","DROP"))</f>
        <v/>
      </c>
      <c r="T2700" s="9" t="n">
        <f aca="false">IF(A2700="",1,0)</f>
        <v>0</v>
      </c>
      <c r="U2700" s="9" t="n">
        <f aca="false">IF(D2700="",1,0)</f>
        <v>0</v>
      </c>
      <c r="V2700" s="9" t="n">
        <f aca="false">IF(E2700="",1,0)</f>
        <v>0</v>
      </c>
      <c r="W2700" s="9" t="n">
        <f aca="false">IF(OR(H2700&lt;1,H2700&gt;10),1,0)</f>
        <v>0</v>
      </c>
      <c r="X2700" s="9" t="n">
        <f aca="false">IF(OR(I2700&lt;=0,I2700&gt;1500),1,0)</f>
        <v>0</v>
      </c>
      <c r="Y2700" s="9" t="n">
        <f aca="false">IF(J2700&gt;H2700*I2700,1,0)</f>
        <v>0</v>
      </c>
      <c r="Z2700" s="9" t="n">
        <f aca="false">IF(AND(N2700&lt;&gt;"",OR(N2700&lt;1,N2700&gt;5)),1,0)</f>
        <v>0</v>
      </c>
      <c r="AA2700" s="9" t="n">
        <f aca="false">IF(AND(M2700&lt;&gt;"",OR(M2700&lt;5,M2700&gt;180)),1,0)</f>
        <v>0</v>
      </c>
      <c r="AB2700" s="7" t="str">
        <f aca="false">IF(P2700="DUP","Exact duplicate row",IF(T2700=1,"Missing Order ID",IF(S2700="DROP","Duplicate Order ID (less complete row)",IF(U2700=1,"Missing Customer ID",IF(V2700=1,"Missing Restaurant name",IF(W2700=1,"Invalid/outlier quantity",IF(X2700=1,"Invalid/outlier unit price",IF(Y2700=1,"Discount greater than order value",""))))))))</f>
        <v/>
      </c>
      <c r="AC2700" s="7" t="str">
        <f aca="false">IF(AB2700="","KEEP","DROP")</f>
        <v>KEEP</v>
      </c>
      <c r="AD2700" s="7" t="str">
        <f aca="false">IF(TRIM(F2700)="",IFERROR(INDEX(Map_Tables!$I$4:$I$37,MATCH(TRIM(E2700),Map_Tables!$G$4:$G$37,0)),""),IFERROR(INDEX(Map_Tables!$B$4:$B$18,MATCH(TRIM(F2700),Map_Tables!$A$4:$A$18,0)),"CHECK"))</f>
        <v>Mumbai</v>
      </c>
      <c r="AE2700" s="7" t="str">
        <f aca="false">IF(TRIM(E2700)="","",IFERROR(INDEX(Map_Tables!$H$4:$H$37,MATCH(TRIM(E2700),Map_Tables!$G$4:$G$37,0)),"CHECK"))</f>
        <v>Dragon Express</v>
      </c>
      <c r="AF2700" s="7" t="str">
        <f aca="false">IF(TRIM(K2700)="","Unknown",IFERROR(INDEX(Map_Tables!$E$4:$E$15,MATCH(TRIM(K2700),Map_Tables!$D$4:$D$15,0)),"CHECK"))</f>
        <v>UPI</v>
      </c>
      <c r="AG2700" s="7" t="str">
        <f aca="false">IF(LEFT(LOWER(TRIM(L2700)),6)="cancel","Cancelled","Delivered")</f>
        <v>Delivered</v>
      </c>
      <c r="AH2700" s="10" t="n">
        <f aca="false">IF(ISNUMBER(SEARCH("/",B2700)),DATE(VALUE(RIGHT(B2700,4)),VALUE(MID(B2700,4,2)),VALUE(LEFT(B2700,2))),IF(MID(B2700,5,1)="-",DATE(VALUE(LEFT(B2700,4)),VALUE(MID(B2700,6,2)),VALUE(RIGHT(B2700,2))),DATE(VALUE(RIGHT(B2700,4)),MATCH(MID(B2700,4,3),{"Jan","Feb","Mar","Apr","May","Jun","Jul","Aug","Sep","Oct","Nov","Dec"},0),VALUE(LEFT(B2700,2)))))</f>
        <v>45759</v>
      </c>
    </row>
    <row r="2701" customFormat="false" ht="15" hidden="false" customHeight="false" outlineLevel="0" collapsed="false">
      <c r="A2701" s="7" t="s">
        <v>5724</v>
      </c>
      <c r="B2701" s="7" t="s">
        <v>523</v>
      </c>
      <c r="C2701" s="7" t="s">
        <v>2607</v>
      </c>
      <c r="D2701" s="7" t="s">
        <v>3847</v>
      </c>
      <c r="E2701" s="7" t="s">
        <v>130</v>
      </c>
      <c r="F2701" s="7"/>
      <c r="G2701" s="7" t="s">
        <v>90</v>
      </c>
      <c r="H2701" s="7" t="n">
        <v>4</v>
      </c>
      <c r="I2701" s="7" t="n">
        <v>250</v>
      </c>
      <c r="J2701" s="7" t="n">
        <v>150</v>
      </c>
      <c r="K2701" s="7" t="s">
        <v>88</v>
      </c>
      <c r="L2701" s="7" t="s">
        <v>194</v>
      </c>
      <c r="M2701" s="7" t="n">
        <v>39</v>
      </c>
      <c r="N2701" s="7" t="n">
        <v>3</v>
      </c>
      <c r="O2701" s="7" t="str">
        <f aca="false">A2701&amp;"|"&amp;B2701&amp;"|"&amp;C2701&amp;"|"&amp;D2701&amp;"|"&amp;E2701&amp;"|"&amp;F2701&amp;"|"&amp;G2701&amp;"|"&amp;H2701&amp;"|"&amp;I2701&amp;"|"&amp;J2701&amp;"|"&amp;K2701&amp;"|"&amp;L2701&amp;"|"&amp;M2701&amp;"|"&amp;N2701</f>
        <v>ORD11830|2025-08-27|12:01|C0979|Tandoor Tales||North Indian|4|250|150|UPI|Delivered|39|3</v>
      </c>
      <c r="P2701" s="7" t="str">
        <f aca="false">IF(COUNTIF($O$2:O2701,O2701)&gt;1,"DUP","OK")</f>
        <v>OK</v>
      </c>
      <c r="Q2701" s="7" t="n">
        <f aca="false">COUNTBLANK(A2701:N2701)</f>
        <v>1</v>
      </c>
      <c r="R2701" s="7" t="n">
        <f aca="false">IF(A2701="",0,COUNTIFS($A$2:$A$3058,A2701,$P$2:$P$3058,"OK"))</f>
        <v>1</v>
      </c>
      <c r="S2701" s="7" t="str">
        <f aca="false">IF(OR(A2701="",P2701="DUP",R2701&lt;2),"",IF(Q2701=_xlfn.MINIFS($Q$2:$Q$3058,$A$2:$A$3058,A2701,$P$2:$P$3058,"OK"),"KEEP","DROP"))</f>
        <v/>
      </c>
      <c r="T2701" s="9" t="n">
        <f aca="false">IF(A2701="",1,0)</f>
        <v>0</v>
      </c>
      <c r="U2701" s="9" t="n">
        <f aca="false">IF(D2701="",1,0)</f>
        <v>0</v>
      </c>
      <c r="V2701" s="9" t="n">
        <f aca="false">IF(E2701="",1,0)</f>
        <v>0</v>
      </c>
      <c r="W2701" s="9" t="n">
        <f aca="false">IF(OR(H2701&lt;1,H2701&gt;10),1,0)</f>
        <v>0</v>
      </c>
      <c r="X2701" s="9" t="n">
        <f aca="false">IF(OR(I2701&lt;=0,I2701&gt;1500),1,0)</f>
        <v>0</v>
      </c>
      <c r="Y2701" s="9" t="n">
        <f aca="false">IF(J2701&gt;H2701*I2701,1,0)</f>
        <v>0</v>
      </c>
      <c r="Z2701" s="9" t="n">
        <f aca="false">IF(AND(N2701&lt;&gt;"",OR(N2701&lt;1,N2701&gt;5)),1,0)</f>
        <v>0</v>
      </c>
      <c r="AA2701" s="9" t="n">
        <f aca="false">IF(AND(M2701&lt;&gt;"",OR(M2701&lt;5,M2701&gt;180)),1,0)</f>
        <v>0</v>
      </c>
      <c r="AB2701" s="7" t="str">
        <f aca="false">IF(P2701="DUP","Exact duplicate row",IF(T2701=1,"Missing Order ID",IF(S2701="DROP","Duplicate Order ID (less complete row)",IF(U2701=1,"Missing Customer ID",IF(V2701=1,"Missing Restaurant name",IF(W2701=1,"Invalid/outlier quantity",IF(X2701=1,"Invalid/outlier unit price",IF(Y2701=1,"Discount greater than order value",""))))))))</f>
        <v/>
      </c>
      <c r="AC2701" s="7" t="str">
        <f aca="false">IF(AB2701="","KEEP","DROP")</f>
        <v>KEEP</v>
      </c>
      <c r="AD2701" s="7" t="str">
        <f aca="false">IF(TRIM(F2701)="",IFERROR(INDEX(Map_Tables!$I$4:$I$37,MATCH(TRIM(E2701),Map_Tables!$G$4:$G$37,0)),""),IFERROR(INDEX(Map_Tables!$B$4:$B$18,MATCH(TRIM(F2701),Map_Tables!$A$4:$A$18,0)),"CHECK"))</f>
        <v>Delhi</v>
      </c>
      <c r="AE2701" s="7" t="str">
        <f aca="false">IF(TRIM(E2701)="","",IFERROR(INDEX(Map_Tables!$H$4:$H$37,MATCH(TRIM(E2701),Map_Tables!$G$4:$G$37,0)),"CHECK"))</f>
        <v>Tandoor Tales</v>
      </c>
      <c r="AF2701" s="7" t="str">
        <f aca="false">IF(TRIM(K2701)="","Unknown",IFERROR(INDEX(Map_Tables!$E$4:$E$15,MATCH(TRIM(K2701),Map_Tables!$D$4:$D$15,0)),"CHECK"))</f>
        <v>UPI</v>
      </c>
      <c r="AG2701" s="7" t="str">
        <f aca="false">IF(LEFT(LOWER(TRIM(L2701)),6)="cancel","Cancelled","Delivered")</f>
        <v>Delivered</v>
      </c>
      <c r="AH2701" s="10" t="n">
        <f aca="false">IF(ISNUMBER(SEARCH("/",B2701)),DATE(VALUE(RIGHT(B2701,4)),VALUE(MID(B2701,4,2)),VALUE(LEFT(B2701,2))),IF(MID(B2701,5,1)="-",DATE(VALUE(LEFT(B2701,4)),VALUE(MID(B2701,6,2)),VALUE(RIGHT(B2701,2))),DATE(VALUE(RIGHT(B2701,4)),MATCH(MID(B2701,4,3),{"Jan","Feb","Mar","Apr","May","Jun","Jul","Aug","Sep","Oct","Nov","Dec"},0),VALUE(LEFT(B2701,2)))))</f>
        <v>45896</v>
      </c>
    </row>
    <row r="2702" customFormat="false" ht="15" hidden="false" customHeight="false" outlineLevel="0" collapsed="false">
      <c r="A2702" s="7" t="s">
        <v>4546</v>
      </c>
      <c r="B2702" s="7" t="s">
        <v>1171</v>
      </c>
      <c r="C2702" s="7" t="s">
        <v>2083</v>
      </c>
      <c r="D2702" s="7" t="s">
        <v>1181</v>
      </c>
      <c r="E2702" s="7" t="s">
        <v>161</v>
      </c>
      <c r="F2702" s="7" t="s">
        <v>141</v>
      </c>
      <c r="G2702" s="7" t="s">
        <v>117</v>
      </c>
      <c r="H2702" s="7" t="n">
        <v>2</v>
      </c>
      <c r="I2702" s="7" t="n">
        <v>150</v>
      </c>
      <c r="J2702" s="7" t="n">
        <v>100</v>
      </c>
      <c r="K2702" s="7" t="s">
        <v>103</v>
      </c>
      <c r="L2702" s="7" t="s">
        <v>194</v>
      </c>
      <c r="M2702" s="7" t="n">
        <v>43</v>
      </c>
      <c r="N2702" s="7" t="n">
        <v>4</v>
      </c>
      <c r="O2702" s="7" t="str">
        <f aca="false">A2702&amp;"|"&amp;B2702&amp;"|"&amp;C2702&amp;"|"&amp;D2702&amp;"|"&amp;E2702&amp;"|"&amp;F2702&amp;"|"&amp;G2702&amp;"|"&amp;H2702&amp;"|"&amp;I2702&amp;"|"&amp;J2702&amp;"|"&amp;K2702&amp;"|"&amp;L2702&amp;"|"&amp;M2702&amp;"|"&amp;N2702</f>
        <v>ORD12178|2025-10-04|21:13|C0857|Bengal Bites|Kolkata|Street Food|2|150|100|Debit Card|Delivered|43|4</v>
      </c>
      <c r="P2702" s="7" t="str">
        <f aca="false">IF(COUNTIF($O$2:O2702,O2702)&gt;1,"DUP","OK")</f>
        <v>DUP</v>
      </c>
      <c r="Q2702" s="7" t="n">
        <f aca="false">COUNTBLANK(A2702:N2702)</f>
        <v>0</v>
      </c>
      <c r="R2702" s="7" t="n">
        <f aca="false">IF(A2702="",0,COUNTIFS($A$2:$A$3058,A2702,$P$2:$P$3058,"OK"))</f>
        <v>1</v>
      </c>
      <c r="S2702" s="7" t="str">
        <f aca="false">IF(OR(A2702="",P2702="DUP",R2702&lt;2),"",IF(Q2702=_xlfn.MINIFS($Q$2:$Q$3058,$A$2:$A$3058,A2702,$P$2:$P$3058,"OK"),"KEEP","DROP"))</f>
        <v/>
      </c>
      <c r="T2702" s="9" t="n">
        <f aca="false">IF(A2702="",1,0)</f>
        <v>0</v>
      </c>
      <c r="U2702" s="9" t="n">
        <f aca="false">IF(D2702="",1,0)</f>
        <v>0</v>
      </c>
      <c r="V2702" s="9" t="n">
        <f aca="false">IF(E2702="",1,0)</f>
        <v>0</v>
      </c>
      <c r="W2702" s="9" t="n">
        <f aca="false">IF(OR(H2702&lt;1,H2702&gt;10),1,0)</f>
        <v>0</v>
      </c>
      <c r="X2702" s="9" t="n">
        <f aca="false">IF(OR(I2702&lt;=0,I2702&gt;1500),1,0)</f>
        <v>0</v>
      </c>
      <c r="Y2702" s="9" t="n">
        <f aca="false">IF(J2702&gt;H2702*I2702,1,0)</f>
        <v>0</v>
      </c>
      <c r="Z2702" s="9" t="n">
        <f aca="false">IF(AND(N2702&lt;&gt;"",OR(N2702&lt;1,N2702&gt;5)),1,0)</f>
        <v>0</v>
      </c>
      <c r="AA2702" s="9" t="n">
        <f aca="false">IF(AND(M2702&lt;&gt;"",OR(M2702&lt;5,M2702&gt;180)),1,0)</f>
        <v>0</v>
      </c>
      <c r="AB2702" s="7" t="str">
        <f aca="false">IF(P2702="DUP","Exact duplicate row",IF(T2702=1,"Missing Order ID",IF(S2702="DROP","Duplicate Order ID (less complete row)",IF(U2702=1,"Missing Customer ID",IF(V2702=1,"Missing Restaurant name",IF(W2702=1,"Invalid/outlier quantity",IF(X2702=1,"Invalid/outlier unit price",IF(Y2702=1,"Discount greater than order value",""))))))))</f>
        <v>Exact duplicate row</v>
      </c>
      <c r="AC2702" s="7" t="str">
        <f aca="false">IF(AB2702="","KEEP","DROP")</f>
        <v>DROP</v>
      </c>
      <c r="AD2702" s="7" t="str">
        <f aca="false">IF(TRIM(F2702)="",IFERROR(INDEX(Map_Tables!$I$4:$I$37,MATCH(TRIM(E2702),Map_Tables!$G$4:$G$37,0)),""),IFERROR(INDEX(Map_Tables!$B$4:$B$18,MATCH(TRIM(F2702),Map_Tables!$A$4:$A$18,0)),"CHECK"))</f>
        <v>Kolkata</v>
      </c>
      <c r="AE2702" s="7" t="str">
        <f aca="false">IF(TRIM(E2702)="","",IFERROR(INDEX(Map_Tables!$H$4:$H$37,MATCH(TRIM(E2702),Map_Tables!$G$4:$G$37,0)),"CHECK"))</f>
        <v>Bengal Bites</v>
      </c>
      <c r="AF2702" s="7" t="str">
        <f aca="false">IF(TRIM(K2702)="","Unknown",IFERROR(INDEX(Map_Tables!$E$4:$E$15,MATCH(TRIM(K2702),Map_Tables!$D$4:$D$15,0)),"CHECK"))</f>
        <v>Debit Card</v>
      </c>
      <c r="AG2702" s="7" t="str">
        <f aca="false">IF(LEFT(LOWER(TRIM(L2702)),6)="cancel","Cancelled","Delivered")</f>
        <v>Delivered</v>
      </c>
      <c r="AH2702" s="10" t="n">
        <f aca="false">IF(ISNUMBER(SEARCH("/",B2702)),DATE(VALUE(RIGHT(B2702,4)),VALUE(MID(B2702,4,2)),VALUE(LEFT(B2702,2))),IF(MID(B2702,5,1)="-",DATE(VALUE(LEFT(B2702,4)),VALUE(MID(B2702,6,2)),VALUE(RIGHT(B2702,2))),DATE(VALUE(RIGHT(B2702,4)),MATCH(MID(B2702,4,3),{"Jan","Feb","Mar","Apr","May","Jun","Jul","Aug","Sep","Oct","Nov","Dec"},0),VALUE(LEFT(B2702,2)))))</f>
        <v>45934</v>
      </c>
    </row>
    <row r="2703" customFormat="false" ht="15" hidden="false" customHeight="false" outlineLevel="0" collapsed="false">
      <c r="A2703" s="7" t="s">
        <v>5725</v>
      </c>
      <c r="B2703" s="7" t="s">
        <v>625</v>
      </c>
      <c r="C2703" s="7" t="s">
        <v>1250</v>
      </c>
      <c r="D2703" s="7" t="s">
        <v>4862</v>
      </c>
      <c r="E2703" s="7" t="s">
        <v>113</v>
      </c>
      <c r="F2703" s="7" t="s">
        <v>101</v>
      </c>
      <c r="G2703" s="7" t="s">
        <v>90</v>
      </c>
      <c r="H2703" s="7" t="n">
        <v>1</v>
      </c>
      <c r="I2703" s="7" t="n">
        <v>310</v>
      </c>
      <c r="J2703" s="7" t="n">
        <v>75</v>
      </c>
      <c r="K2703" s="7" t="s">
        <v>88</v>
      </c>
      <c r="L2703" s="7" t="s">
        <v>194</v>
      </c>
      <c r="M2703" s="7" t="n">
        <v>45</v>
      </c>
      <c r="N2703" s="7" t="n">
        <v>4</v>
      </c>
      <c r="O2703" s="7" t="str">
        <f aca="false">A2703&amp;"|"&amp;B2703&amp;"|"&amp;C2703&amp;"|"&amp;D2703&amp;"|"&amp;E2703&amp;"|"&amp;F2703&amp;"|"&amp;G2703&amp;"|"&amp;H2703&amp;"|"&amp;I2703&amp;"|"&amp;J2703&amp;"|"&amp;K2703&amp;"|"&amp;L2703&amp;"|"&amp;M2703&amp;"|"&amp;N2703</f>
        <v>ORD11740|2025-08-16|12:02|C1375|Curry Leaf Kitchen|Mumbai|North Indian|1|310|75|UPI|Delivered|45|4</v>
      </c>
      <c r="P2703" s="7" t="str">
        <f aca="false">IF(COUNTIF($O$2:O2703,O2703)&gt;1,"DUP","OK")</f>
        <v>OK</v>
      </c>
      <c r="Q2703" s="7" t="n">
        <f aca="false">COUNTBLANK(A2703:N2703)</f>
        <v>0</v>
      </c>
      <c r="R2703" s="7" t="n">
        <f aca="false">IF(A2703="",0,COUNTIFS($A$2:$A$3058,A2703,$P$2:$P$3058,"OK"))</f>
        <v>1</v>
      </c>
      <c r="S2703" s="7" t="str">
        <f aca="false">IF(OR(A2703="",P2703="DUP",R2703&lt;2),"",IF(Q2703=_xlfn.MINIFS($Q$2:$Q$3058,$A$2:$A$3058,A2703,$P$2:$P$3058,"OK"),"KEEP","DROP"))</f>
        <v/>
      </c>
      <c r="T2703" s="9" t="n">
        <f aca="false">IF(A2703="",1,0)</f>
        <v>0</v>
      </c>
      <c r="U2703" s="9" t="n">
        <f aca="false">IF(D2703="",1,0)</f>
        <v>0</v>
      </c>
      <c r="V2703" s="9" t="n">
        <f aca="false">IF(E2703="",1,0)</f>
        <v>0</v>
      </c>
      <c r="W2703" s="9" t="n">
        <f aca="false">IF(OR(H2703&lt;1,H2703&gt;10),1,0)</f>
        <v>0</v>
      </c>
      <c r="X2703" s="9" t="n">
        <f aca="false">IF(OR(I2703&lt;=0,I2703&gt;1500),1,0)</f>
        <v>0</v>
      </c>
      <c r="Y2703" s="9" t="n">
        <f aca="false">IF(J2703&gt;H2703*I2703,1,0)</f>
        <v>0</v>
      </c>
      <c r="Z2703" s="9" t="n">
        <f aca="false">IF(AND(N2703&lt;&gt;"",OR(N2703&lt;1,N2703&gt;5)),1,0)</f>
        <v>0</v>
      </c>
      <c r="AA2703" s="9" t="n">
        <f aca="false">IF(AND(M2703&lt;&gt;"",OR(M2703&lt;5,M2703&gt;180)),1,0)</f>
        <v>0</v>
      </c>
      <c r="AB2703" s="7" t="str">
        <f aca="false">IF(P2703="DUP","Exact duplicate row",IF(T2703=1,"Missing Order ID",IF(S2703="DROP","Duplicate Order ID (less complete row)",IF(U2703=1,"Missing Customer ID",IF(V2703=1,"Missing Restaurant name",IF(W2703=1,"Invalid/outlier quantity",IF(X2703=1,"Invalid/outlier unit price",IF(Y2703=1,"Discount greater than order value",""))))))))</f>
        <v/>
      </c>
      <c r="AC2703" s="7" t="str">
        <f aca="false">IF(AB2703="","KEEP","DROP")</f>
        <v>KEEP</v>
      </c>
      <c r="AD2703" s="7" t="str">
        <f aca="false">IF(TRIM(F2703)="",IFERROR(INDEX(Map_Tables!$I$4:$I$37,MATCH(TRIM(E2703),Map_Tables!$G$4:$G$37,0)),""),IFERROR(INDEX(Map_Tables!$B$4:$B$18,MATCH(TRIM(F2703),Map_Tables!$A$4:$A$18,0)),"CHECK"))</f>
        <v>Mumbai</v>
      </c>
      <c r="AE2703" s="7" t="str">
        <f aca="false">IF(TRIM(E2703)="","",IFERROR(INDEX(Map_Tables!$H$4:$H$37,MATCH(TRIM(E2703),Map_Tables!$G$4:$G$37,0)),"CHECK"))</f>
        <v>Curry Leaf Kitchen</v>
      </c>
      <c r="AF2703" s="7" t="str">
        <f aca="false">IF(TRIM(K2703)="","Unknown",IFERROR(INDEX(Map_Tables!$E$4:$E$15,MATCH(TRIM(K2703),Map_Tables!$D$4:$D$15,0)),"CHECK"))</f>
        <v>UPI</v>
      </c>
      <c r="AG2703" s="7" t="str">
        <f aca="false">IF(LEFT(LOWER(TRIM(L2703)),6)="cancel","Cancelled","Delivered")</f>
        <v>Delivered</v>
      </c>
      <c r="AH2703" s="10" t="n">
        <f aca="false">IF(ISNUMBER(SEARCH("/",B2703)),DATE(VALUE(RIGHT(B2703,4)),VALUE(MID(B2703,4,2)),VALUE(LEFT(B2703,2))),IF(MID(B2703,5,1)="-",DATE(VALUE(LEFT(B2703,4)),VALUE(MID(B2703,6,2)),VALUE(RIGHT(B2703,2))),DATE(VALUE(RIGHT(B2703,4)),MATCH(MID(B2703,4,3),{"Jan","Feb","Mar","Apr","May","Jun","Jul","Aug","Sep","Oct","Nov","Dec"},0),VALUE(LEFT(B2703,2)))))</f>
        <v>45885</v>
      </c>
    </row>
    <row r="2704" customFormat="false" ht="15" hidden="false" customHeight="false" outlineLevel="0" collapsed="false">
      <c r="A2704" s="7" t="s">
        <v>5726</v>
      </c>
      <c r="B2704" s="7" t="s">
        <v>995</v>
      </c>
      <c r="C2704" s="7" t="s">
        <v>749</v>
      </c>
      <c r="D2704" s="7" t="s">
        <v>684</v>
      </c>
      <c r="E2704" s="7" t="s">
        <v>126</v>
      </c>
      <c r="F2704" s="7" t="s">
        <v>101</v>
      </c>
      <c r="G2704" s="7" t="s">
        <v>105</v>
      </c>
      <c r="H2704" s="7" t="n">
        <v>5</v>
      </c>
      <c r="I2704" s="7" t="n">
        <v>225</v>
      </c>
      <c r="J2704" s="7" t="n">
        <v>0</v>
      </c>
      <c r="K2704" s="7" t="s">
        <v>112</v>
      </c>
      <c r="L2704" s="7" t="s">
        <v>194</v>
      </c>
      <c r="M2704" s="7" t="n">
        <v>36</v>
      </c>
      <c r="N2704" s="7" t="n">
        <v>4</v>
      </c>
      <c r="O2704" s="7" t="str">
        <f aca="false">A2704&amp;"|"&amp;B2704&amp;"|"&amp;C2704&amp;"|"&amp;D2704&amp;"|"&amp;E2704&amp;"|"&amp;F2704&amp;"|"&amp;G2704&amp;"|"&amp;H2704&amp;"|"&amp;I2704&amp;"|"&amp;J2704&amp;"|"&amp;K2704&amp;"|"&amp;L2704&amp;"|"&amp;M2704&amp;"|"&amp;N2704</f>
        <v>ORD10338|2025-02-15|11:16|C1475|Dragon Express|Mumbai|Chinese|5|225|0|Cash on Delivery|Delivered|36|4</v>
      </c>
      <c r="P2704" s="7" t="str">
        <f aca="false">IF(COUNTIF($O$2:O2704,O2704)&gt;1,"DUP","OK")</f>
        <v>OK</v>
      </c>
      <c r="Q2704" s="7" t="n">
        <f aca="false">COUNTBLANK(A2704:N2704)</f>
        <v>0</v>
      </c>
      <c r="R2704" s="7" t="n">
        <f aca="false">IF(A2704="",0,COUNTIFS($A$2:$A$3058,A2704,$P$2:$P$3058,"OK"))</f>
        <v>1</v>
      </c>
      <c r="S2704" s="7" t="str">
        <f aca="false">IF(OR(A2704="",P2704="DUP",R2704&lt;2),"",IF(Q2704=_xlfn.MINIFS($Q$2:$Q$3058,$A$2:$A$3058,A2704,$P$2:$P$3058,"OK"),"KEEP","DROP"))</f>
        <v/>
      </c>
      <c r="T2704" s="9" t="n">
        <f aca="false">IF(A2704="",1,0)</f>
        <v>0</v>
      </c>
      <c r="U2704" s="9" t="n">
        <f aca="false">IF(D2704="",1,0)</f>
        <v>0</v>
      </c>
      <c r="V2704" s="9" t="n">
        <f aca="false">IF(E2704="",1,0)</f>
        <v>0</v>
      </c>
      <c r="W2704" s="9" t="n">
        <f aca="false">IF(OR(H2704&lt;1,H2704&gt;10),1,0)</f>
        <v>0</v>
      </c>
      <c r="X2704" s="9" t="n">
        <f aca="false">IF(OR(I2704&lt;=0,I2704&gt;1500),1,0)</f>
        <v>0</v>
      </c>
      <c r="Y2704" s="9" t="n">
        <f aca="false">IF(J2704&gt;H2704*I2704,1,0)</f>
        <v>0</v>
      </c>
      <c r="Z2704" s="9" t="n">
        <f aca="false">IF(AND(N2704&lt;&gt;"",OR(N2704&lt;1,N2704&gt;5)),1,0)</f>
        <v>0</v>
      </c>
      <c r="AA2704" s="9" t="n">
        <f aca="false">IF(AND(M2704&lt;&gt;"",OR(M2704&lt;5,M2704&gt;180)),1,0)</f>
        <v>0</v>
      </c>
      <c r="AB2704" s="7" t="str">
        <f aca="false">IF(P2704="DUP","Exact duplicate row",IF(T2704=1,"Missing Order ID",IF(S2704="DROP","Duplicate Order ID (less complete row)",IF(U2704=1,"Missing Customer ID",IF(V2704=1,"Missing Restaurant name",IF(W2704=1,"Invalid/outlier quantity",IF(X2704=1,"Invalid/outlier unit price",IF(Y2704=1,"Discount greater than order value",""))))))))</f>
        <v/>
      </c>
      <c r="AC2704" s="7" t="str">
        <f aca="false">IF(AB2704="","KEEP","DROP")</f>
        <v>KEEP</v>
      </c>
      <c r="AD2704" s="7" t="str">
        <f aca="false">IF(TRIM(F2704)="",IFERROR(INDEX(Map_Tables!$I$4:$I$37,MATCH(TRIM(E2704),Map_Tables!$G$4:$G$37,0)),""),IFERROR(INDEX(Map_Tables!$B$4:$B$18,MATCH(TRIM(F2704),Map_Tables!$A$4:$A$18,0)),"CHECK"))</f>
        <v>Mumbai</v>
      </c>
      <c r="AE2704" s="7" t="str">
        <f aca="false">IF(TRIM(E2704)="","",IFERROR(INDEX(Map_Tables!$H$4:$H$37,MATCH(TRIM(E2704),Map_Tables!$G$4:$G$37,0)),"CHECK"))</f>
        <v>Dragon Express</v>
      </c>
      <c r="AF2704" s="7" t="str">
        <f aca="false">IF(TRIM(K2704)="","Unknown",IFERROR(INDEX(Map_Tables!$E$4:$E$15,MATCH(TRIM(K2704),Map_Tables!$D$4:$D$15,0)),"CHECK"))</f>
        <v>Cash on Delivery</v>
      </c>
      <c r="AG2704" s="7" t="str">
        <f aca="false">IF(LEFT(LOWER(TRIM(L2704)),6)="cancel","Cancelled","Delivered")</f>
        <v>Delivered</v>
      </c>
      <c r="AH2704" s="10" t="n">
        <f aca="false">IF(ISNUMBER(SEARCH("/",B2704)),DATE(VALUE(RIGHT(B2704,4)),VALUE(MID(B2704,4,2)),VALUE(LEFT(B2704,2))),IF(MID(B2704,5,1)="-",DATE(VALUE(LEFT(B2704,4)),VALUE(MID(B2704,6,2)),VALUE(RIGHT(B2704,2))),DATE(VALUE(RIGHT(B2704,4)),MATCH(MID(B2704,4,3),{"Jan","Feb","Mar","Apr","May","Jun","Jul","Aug","Sep","Oct","Nov","Dec"},0),VALUE(LEFT(B2704,2)))))</f>
        <v>45703</v>
      </c>
    </row>
    <row r="2705" customFormat="false" ht="15" hidden="false" customHeight="false" outlineLevel="0" collapsed="false">
      <c r="A2705" s="7" t="s">
        <v>5727</v>
      </c>
      <c r="B2705" s="7" t="s">
        <v>5728</v>
      </c>
      <c r="C2705" s="7" t="s">
        <v>5729</v>
      </c>
      <c r="D2705" s="7" t="s">
        <v>5730</v>
      </c>
      <c r="E2705" s="7" t="s">
        <v>130</v>
      </c>
      <c r="F2705" s="7" t="s">
        <v>110</v>
      </c>
      <c r="G2705" s="7" t="s">
        <v>90</v>
      </c>
      <c r="H2705" s="7" t="n">
        <v>1</v>
      </c>
      <c r="I2705" s="7" t="n">
        <v>280</v>
      </c>
      <c r="J2705" s="7" t="n">
        <v>0</v>
      </c>
      <c r="K2705" s="7" t="s">
        <v>93</v>
      </c>
      <c r="L2705" s="7" t="s">
        <v>194</v>
      </c>
      <c r="M2705" s="7" t="n">
        <v>44</v>
      </c>
      <c r="N2705" s="7" t="n">
        <v>3</v>
      </c>
      <c r="O2705" s="7" t="str">
        <f aca="false">A2705&amp;"|"&amp;B2705&amp;"|"&amp;C2705&amp;"|"&amp;D2705&amp;"|"&amp;E2705&amp;"|"&amp;F2705&amp;"|"&amp;G2705&amp;"|"&amp;H2705&amp;"|"&amp;I2705&amp;"|"&amp;J2705&amp;"|"&amp;K2705&amp;"|"&amp;L2705&amp;"|"&amp;M2705&amp;"|"&amp;N2705</f>
        <v>ORD10731|04-Apr-2025|09:11|C0738|Tandoor Tales|Delhi|North Indian|1|280|0|Credit Card|Delivered|44|3</v>
      </c>
      <c r="P2705" s="7" t="str">
        <f aca="false">IF(COUNTIF($O$2:O2705,O2705)&gt;1,"DUP","OK")</f>
        <v>OK</v>
      </c>
      <c r="Q2705" s="7" t="n">
        <f aca="false">COUNTBLANK(A2705:N2705)</f>
        <v>0</v>
      </c>
      <c r="R2705" s="7" t="n">
        <f aca="false">IF(A2705="",0,COUNTIFS($A$2:$A$3058,A2705,$P$2:$P$3058,"OK"))</f>
        <v>1</v>
      </c>
      <c r="S2705" s="7" t="str">
        <f aca="false">IF(OR(A2705="",P2705="DUP",R2705&lt;2),"",IF(Q2705=_xlfn.MINIFS($Q$2:$Q$3058,$A$2:$A$3058,A2705,$P$2:$P$3058,"OK"),"KEEP","DROP"))</f>
        <v/>
      </c>
      <c r="T2705" s="9" t="n">
        <f aca="false">IF(A2705="",1,0)</f>
        <v>0</v>
      </c>
      <c r="U2705" s="9" t="n">
        <f aca="false">IF(D2705="",1,0)</f>
        <v>0</v>
      </c>
      <c r="V2705" s="9" t="n">
        <f aca="false">IF(E2705="",1,0)</f>
        <v>0</v>
      </c>
      <c r="W2705" s="9" t="n">
        <f aca="false">IF(OR(H2705&lt;1,H2705&gt;10),1,0)</f>
        <v>0</v>
      </c>
      <c r="X2705" s="9" t="n">
        <f aca="false">IF(OR(I2705&lt;=0,I2705&gt;1500),1,0)</f>
        <v>0</v>
      </c>
      <c r="Y2705" s="9" t="n">
        <f aca="false">IF(J2705&gt;H2705*I2705,1,0)</f>
        <v>0</v>
      </c>
      <c r="Z2705" s="9" t="n">
        <f aca="false">IF(AND(N2705&lt;&gt;"",OR(N2705&lt;1,N2705&gt;5)),1,0)</f>
        <v>0</v>
      </c>
      <c r="AA2705" s="9" t="n">
        <f aca="false">IF(AND(M2705&lt;&gt;"",OR(M2705&lt;5,M2705&gt;180)),1,0)</f>
        <v>0</v>
      </c>
      <c r="AB2705" s="7" t="str">
        <f aca="false">IF(P2705="DUP","Exact duplicate row",IF(T2705=1,"Missing Order ID",IF(S2705="DROP","Duplicate Order ID (less complete row)",IF(U2705=1,"Missing Customer ID",IF(V2705=1,"Missing Restaurant name",IF(W2705=1,"Invalid/outlier quantity",IF(X2705=1,"Invalid/outlier unit price",IF(Y2705=1,"Discount greater than order value",""))))))))</f>
        <v/>
      </c>
      <c r="AC2705" s="7" t="str">
        <f aca="false">IF(AB2705="","KEEP","DROP")</f>
        <v>KEEP</v>
      </c>
      <c r="AD2705" s="7" t="str">
        <f aca="false">IF(TRIM(F2705)="",IFERROR(INDEX(Map_Tables!$I$4:$I$37,MATCH(TRIM(E2705),Map_Tables!$G$4:$G$37,0)),""),IFERROR(INDEX(Map_Tables!$B$4:$B$18,MATCH(TRIM(F2705),Map_Tables!$A$4:$A$18,0)),"CHECK"))</f>
        <v>Delhi</v>
      </c>
      <c r="AE2705" s="7" t="str">
        <f aca="false">IF(TRIM(E2705)="","",IFERROR(INDEX(Map_Tables!$H$4:$H$37,MATCH(TRIM(E2705),Map_Tables!$G$4:$G$37,0)),"CHECK"))</f>
        <v>Tandoor Tales</v>
      </c>
      <c r="AF2705" s="7" t="str">
        <f aca="false">IF(TRIM(K2705)="","Unknown",IFERROR(INDEX(Map_Tables!$E$4:$E$15,MATCH(TRIM(K2705),Map_Tables!$D$4:$D$15,0)),"CHECK"))</f>
        <v>Credit Card</v>
      </c>
      <c r="AG2705" s="7" t="str">
        <f aca="false">IF(LEFT(LOWER(TRIM(L2705)),6)="cancel","Cancelled","Delivered")</f>
        <v>Delivered</v>
      </c>
      <c r="AH2705" s="10" t="n">
        <f aca="false">IF(ISNUMBER(SEARCH("/",B2705)),DATE(VALUE(RIGHT(B2705,4)),VALUE(MID(B2705,4,2)),VALUE(LEFT(B2705,2))),IF(MID(B2705,5,1)="-",DATE(VALUE(LEFT(B2705,4)),VALUE(MID(B2705,6,2)),VALUE(RIGHT(B2705,2))),DATE(VALUE(RIGHT(B2705,4)),MATCH(MID(B2705,4,3),{"Jan","Feb","Mar","Apr","May","Jun","Jul","Aug","Sep","Oct","Nov","Dec"},0),VALUE(LEFT(B2705,2)))))</f>
        <v>45751</v>
      </c>
    </row>
    <row r="2706" customFormat="false" ht="15" hidden="false" customHeight="false" outlineLevel="0" collapsed="false">
      <c r="A2706" s="7" t="s">
        <v>5731</v>
      </c>
      <c r="B2706" s="7" t="s">
        <v>723</v>
      </c>
      <c r="C2706" s="7" t="s">
        <v>804</v>
      </c>
      <c r="D2706" s="7" t="s">
        <v>4588</v>
      </c>
      <c r="E2706" s="7" t="s">
        <v>122</v>
      </c>
      <c r="F2706" s="7" t="s">
        <v>101</v>
      </c>
      <c r="G2706" s="7" t="s">
        <v>123</v>
      </c>
      <c r="H2706" s="7" t="n">
        <v>1</v>
      </c>
      <c r="I2706" s="7" t="n">
        <v>340</v>
      </c>
      <c r="J2706" s="7" t="n">
        <v>0</v>
      </c>
      <c r="K2706" s="7" t="s">
        <v>93</v>
      </c>
      <c r="L2706" s="7" t="s">
        <v>194</v>
      </c>
      <c r="M2706" s="7" t="n">
        <v>40</v>
      </c>
      <c r="N2706" s="7" t="n">
        <v>3</v>
      </c>
      <c r="O2706" s="7" t="str">
        <f aca="false">A2706&amp;"|"&amp;B2706&amp;"|"&amp;C2706&amp;"|"&amp;D2706&amp;"|"&amp;E2706&amp;"|"&amp;F2706&amp;"|"&amp;G2706&amp;"|"&amp;H2706&amp;"|"&amp;I2706&amp;"|"&amp;J2706&amp;"|"&amp;K2706&amp;"|"&amp;L2706&amp;"|"&amp;M2706&amp;"|"&amp;N2706</f>
        <v>ORD10609|2025-03-18|14:12|C1231|Mumbai Pizza Co|Mumbai|Pizza|1|340|0|Credit Card|Delivered|40|3</v>
      </c>
      <c r="P2706" s="7" t="str">
        <f aca="false">IF(COUNTIF($O$2:O2706,O2706)&gt;1,"DUP","OK")</f>
        <v>OK</v>
      </c>
      <c r="Q2706" s="7" t="n">
        <f aca="false">COUNTBLANK(A2706:N2706)</f>
        <v>0</v>
      </c>
      <c r="R2706" s="7" t="n">
        <f aca="false">IF(A2706="",0,COUNTIFS($A$2:$A$3058,A2706,$P$2:$P$3058,"OK"))</f>
        <v>1</v>
      </c>
      <c r="S2706" s="7" t="str">
        <f aca="false">IF(OR(A2706="",P2706="DUP",R2706&lt;2),"",IF(Q2706=_xlfn.MINIFS($Q$2:$Q$3058,$A$2:$A$3058,A2706,$P$2:$P$3058,"OK"),"KEEP","DROP"))</f>
        <v/>
      </c>
      <c r="T2706" s="9" t="n">
        <f aca="false">IF(A2706="",1,0)</f>
        <v>0</v>
      </c>
      <c r="U2706" s="9" t="n">
        <f aca="false">IF(D2706="",1,0)</f>
        <v>0</v>
      </c>
      <c r="V2706" s="9" t="n">
        <f aca="false">IF(E2706="",1,0)</f>
        <v>0</v>
      </c>
      <c r="W2706" s="9" t="n">
        <f aca="false">IF(OR(H2706&lt;1,H2706&gt;10),1,0)</f>
        <v>0</v>
      </c>
      <c r="X2706" s="9" t="n">
        <f aca="false">IF(OR(I2706&lt;=0,I2706&gt;1500),1,0)</f>
        <v>0</v>
      </c>
      <c r="Y2706" s="9" t="n">
        <f aca="false">IF(J2706&gt;H2706*I2706,1,0)</f>
        <v>0</v>
      </c>
      <c r="Z2706" s="9" t="n">
        <f aca="false">IF(AND(N2706&lt;&gt;"",OR(N2706&lt;1,N2706&gt;5)),1,0)</f>
        <v>0</v>
      </c>
      <c r="AA2706" s="9" t="n">
        <f aca="false">IF(AND(M2706&lt;&gt;"",OR(M2706&lt;5,M2706&gt;180)),1,0)</f>
        <v>0</v>
      </c>
      <c r="AB2706" s="7" t="str">
        <f aca="false">IF(P2706="DUP","Exact duplicate row",IF(T2706=1,"Missing Order ID",IF(S2706="DROP","Duplicate Order ID (less complete row)",IF(U2706=1,"Missing Customer ID",IF(V2706=1,"Missing Restaurant name",IF(W2706=1,"Invalid/outlier quantity",IF(X2706=1,"Invalid/outlier unit price",IF(Y2706=1,"Discount greater than order value",""))))))))</f>
        <v/>
      </c>
      <c r="AC2706" s="7" t="str">
        <f aca="false">IF(AB2706="","KEEP","DROP")</f>
        <v>KEEP</v>
      </c>
      <c r="AD2706" s="7" t="str">
        <f aca="false">IF(TRIM(F2706)="",IFERROR(INDEX(Map_Tables!$I$4:$I$37,MATCH(TRIM(E2706),Map_Tables!$G$4:$G$37,0)),""),IFERROR(INDEX(Map_Tables!$B$4:$B$18,MATCH(TRIM(F2706),Map_Tables!$A$4:$A$18,0)),"CHECK"))</f>
        <v>Mumbai</v>
      </c>
      <c r="AE2706" s="7" t="str">
        <f aca="false">IF(TRIM(E2706)="","",IFERROR(INDEX(Map_Tables!$H$4:$H$37,MATCH(TRIM(E2706),Map_Tables!$G$4:$G$37,0)),"CHECK"))</f>
        <v>Mumbai Pizza Co</v>
      </c>
      <c r="AF2706" s="7" t="str">
        <f aca="false">IF(TRIM(K2706)="","Unknown",IFERROR(INDEX(Map_Tables!$E$4:$E$15,MATCH(TRIM(K2706),Map_Tables!$D$4:$D$15,0)),"CHECK"))</f>
        <v>Credit Card</v>
      </c>
      <c r="AG2706" s="7" t="str">
        <f aca="false">IF(LEFT(LOWER(TRIM(L2706)),6)="cancel","Cancelled","Delivered")</f>
        <v>Delivered</v>
      </c>
      <c r="AH2706" s="10" t="n">
        <f aca="false">IF(ISNUMBER(SEARCH("/",B2706)),DATE(VALUE(RIGHT(B2706,4)),VALUE(MID(B2706,4,2)),VALUE(LEFT(B2706,2))),IF(MID(B2706,5,1)="-",DATE(VALUE(LEFT(B2706,4)),VALUE(MID(B2706,6,2)),VALUE(RIGHT(B2706,2))),DATE(VALUE(RIGHT(B2706,4)),MATCH(MID(B2706,4,3),{"Jan","Feb","Mar","Apr","May","Jun","Jul","Aug","Sep","Oct","Nov","Dec"},0),VALUE(LEFT(B2706,2)))))</f>
        <v>45734</v>
      </c>
    </row>
    <row r="2707" customFormat="false" ht="15" hidden="false" customHeight="false" outlineLevel="0" collapsed="false">
      <c r="A2707" s="7" t="s">
        <v>5732</v>
      </c>
      <c r="B2707" s="7" t="s">
        <v>355</v>
      </c>
      <c r="C2707" s="7" t="s">
        <v>3725</v>
      </c>
      <c r="D2707" s="7" t="s">
        <v>1141</v>
      </c>
      <c r="E2707" s="7" t="s">
        <v>941</v>
      </c>
      <c r="F2707" s="7" t="s">
        <v>86</v>
      </c>
      <c r="G2707" s="7" t="s">
        <v>99</v>
      </c>
      <c r="H2707" s="7" t="n">
        <v>4</v>
      </c>
      <c r="I2707" s="7" t="n">
        <v>335</v>
      </c>
      <c r="J2707" s="7" t="n">
        <v>150</v>
      </c>
      <c r="K2707" s="7" t="s">
        <v>88</v>
      </c>
      <c r="L2707" s="7" t="s">
        <v>194</v>
      </c>
      <c r="M2707" s="7" t="n">
        <v>39</v>
      </c>
      <c r="N2707" s="7"/>
      <c r="O2707" s="7" t="str">
        <f aca="false">A2707&amp;"|"&amp;B2707&amp;"|"&amp;C2707&amp;"|"&amp;D2707&amp;"|"&amp;E2707&amp;"|"&amp;F2707&amp;"|"&amp;G2707&amp;"|"&amp;H2707&amp;"|"&amp;I2707&amp;"|"&amp;J2707&amp;"|"&amp;K2707&amp;"|"&amp;L2707&amp;"|"&amp;M2707&amp;"|"&amp;N2707</f>
        <v>ORD11149|2025-05-27|10:22|C1393|Nawabi Biryani House |Bengaluru|Biryani|4|335|150|UPI|Delivered|39|</v>
      </c>
      <c r="P2707" s="7" t="str">
        <f aca="false">IF(COUNTIF($O$2:O2707,O2707)&gt;1,"DUP","OK")</f>
        <v>OK</v>
      </c>
      <c r="Q2707" s="7" t="n">
        <f aca="false">COUNTBLANK(A2707:N2707)</f>
        <v>1</v>
      </c>
      <c r="R2707" s="7" t="n">
        <f aca="false">IF(A2707="",0,COUNTIFS($A$2:$A$3058,A2707,$P$2:$P$3058,"OK"))</f>
        <v>1</v>
      </c>
      <c r="S2707" s="7" t="str">
        <f aca="false">IF(OR(A2707="",P2707="DUP",R2707&lt;2),"",IF(Q2707=_xlfn.MINIFS($Q$2:$Q$3058,$A$2:$A$3058,A2707,$P$2:$P$3058,"OK"),"KEEP","DROP"))</f>
        <v/>
      </c>
      <c r="T2707" s="9" t="n">
        <f aca="false">IF(A2707="",1,0)</f>
        <v>0</v>
      </c>
      <c r="U2707" s="9" t="n">
        <f aca="false">IF(D2707="",1,0)</f>
        <v>0</v>
      </c>
      <c r="V2707" s="9" t="n">
        <f aca="false">IF(E2707="",1,0)</f>
        <v>0</v>
      </c>
      <c r="W2707" s="9" t="n">
        <f aca="false">IF(OR(H2707&lt;1,H2707&gt;10),1,0)</f>
        <v>0</v>
      </c>
      <c r="X2707" s="9" t="n">
        <f aca="false">IF(OR(I2707&lt;=0,I2707&gt;1500),1,0)</f>
        <v>0</v>
      </c>
      <c r="Y2707" s="9" t="n">
        <f aca="false">IF(J2707&gt;H2707*I2707,1,0)</f>
        <v>0</v>
      </c>
      <c r="Z2707" s="9" t="n">
        <f aca="false">IF(AND(N2707&lt;&gt;"",OR(N2707&lt;1,N2707&gt;5)),1,0)</f>
        <v>0</v>
      </c>
      <c r="AA2707" s="9" t="n">
        <f aca="false">IF(AND(M2707&lt;&gt;"",OR(M2707&lt;5,M2707&gt;180)),1,0)</f>
        <v>0</v>
      </c>
      <c r="AB2707" s="7" t="str">
        <f aca="false">IF(P2707="DUP","Exact duplicate row",IF(T2707=1,"Missing Order ID",IF(S2707="DROP","Duplicate Order ID (less complete row)",IF(U2707=1,"Missing Customer ID",IF(V2707=1,"Missing Restaurant name",IF(W2707=1,"Invalid/outlier quantity",IF(X2707=1,"Invalid/outlier unit price",IF(Y2707=1,"Discount greater than order value",""))))))))</f>
        <v/>
      </c>
      <c r="AC2707" s="7" t="str">
        <f aca="false">IF(AB2707="","KEEP","DROP")</f>
        <v>KEEP</v>
      </c>
      <c r="AD2707" s="7" t="str">
        <f aca="false">IF(TRIM(F2707)="",IFERROR(INDEX(Map_Tables!$I$4:$I$37,MATCH(TRIM(E2707),Map_Tables!$G$4:$G$37,0)),""),IFERROR(INDEX(Map_Tables!$B$4:$B$18,MATCH(TRIM(F2707),Map_Tables!$A$4:$A$18,0)),"CHECK"))</f>
        <v>Bengaluru</v>
      </c>
      <c r="AE2707" s="7" t="str">
        <f aca="false">IF(TRIM(E2707)="","",IFERROR(INDEX(Map_Tables!$H$4:$H$37,MATCH(TRIM(E2707),Map_Tables!$G$4:$G$37,0)),"CHECK"))</f>
        <v>Nawabi Biryani House</v>
      </c>
      <c r="AF2707" s="7" t="str">
        <f aca="false">IF(TRIM(K2707)="","Unknown",IFERROR(INDEX(Map_Tables!$E$4:$E$15,MATCH(TRIM(K2707),Map_Tables!$D$4:$D$15,0)),"CHECK"))</f>
        <v>UPI</v>
      </c>
      <c r="AG2707" s="7" t="str">
        <f aca="false">IF(LEFT(LOWER(TRIM(L2707)),6)="cancel","Cancelled","Delivered")</f>
        <v>Delivered</v>
      </c>
      <c r="AH2707" s="10" t="n">
        <f aca="false">IF(ISNUMBER(SEARCH("/",B2707)),DATE(VALUE(RIGHT(B2707,4)),VALUE(MID(B2707,4,2)),VALUE(LEFT(B2707,2))),IF(MID(B2707,5,1)="-",DATE(VALUE(LEFT(B2707,4)),VALUE(MID(B2707,6,2)),VALUE(RIGHT(B2707,2))),DATE(VALUE(RIGHT(B2707,4)),MATCH(MID(B2707,4,3),{"Jan","Feb","Mar","Apr","May","Jun","Jul","Aug","Sep","Oct","Nov","Dec"},0),VALUE(LEFT(B2707,2)))))</f>
        <v>45804</v>
      </c>
    </row>
    <row r="2708" customFormat="false" ht="15" hidden="false" customHeight="false" outlineLevel="0" collapsed="false">
      <c r="A2708" s="7" t="s">
        <v>5733</v>
      </c>
      <c r="B2708" s="7" t="s">
        <v>2501</v>
      </c>
      <c r="C2708" s="7" t="s">
        <v>223</v>
      </c>
      <c r="D2708" s="7" t="s">
        <v>293</v>
      </c>
      <c r="E2708" s="7" t="s">
        <v>89</v>
      </c>
      <c r="F2708" s="7" t="s">
        <v>86</v>
      </c>
      <c r="G2708" s="7" t="s">
        <v>90</v>
      </c>
      <c r="H2708" s="7" t="n">
        <v>2</v>
      </c>
      <c r="I2708" s="7" t="n">
        <v>290</v>
      </c>
      <c r="J2708" s="7" t="n">
        <v>0</v>
      </c>
      <c r="K2708" s="7" t="s">
        <v>88</v>
      </c>
      <c r="L2708" s="7" t="s">
        <v>194</v>
      </c>
      <c r="M2708" s="7" t="n">
        <v>38</v>
      </c>
      <c r="N2708" s="7" t="n">
        <v>5</v>
      </c>
      <c r="O2708" s="7" t="str">
        <f aca="false">A2708&amp;"|"&amp;B2708&amp;"|"&amp;C2708&amp;"|"&amp;D2708&amp;"|"&amp;E2708&amp;"|"&amp;F2708&amp;"|"&amp;G2708&amp;"|"&amp;H2708&amp;"|"&amp;I2708&amp;"|"&amp;J2708&amp;"|"&amp;K2708&amp;"|"&amp;L2708&amp;"|"&amp;M2708&amp;"|"&amp;N2708</f>
        <v>ORD12244|2025-10-12|10:20|C1451|Spice Junction|Bengaluru|North Indian|2|290|0|UPI|Delivered|38|5</v>
      </c>
      <c r="P2708" s="7" t="str">
        <f aca="false">IF(COUNTIF($O$2:O2708,O2708)&gt;1,"DUP","OK")</f>
        <v>OK</v>
      </c>
      <c r="Q2708" s="7" t="n">
        <f aca="false">COUNTBLANK(A2708:N2708)</f>
        <v>0</v>
      </c>
      <c r="R2708" s="7" t="n">
        <f aca="false">IF(A2708="",0,COUNTIFS($A$2:$A$3058,A2708,$P$2:$P$3058,"OK"))</f>
        <v>1</v>
      </c>
      <c r="S2708" s="7" t="str">
        <f aca="false">IF(OR(A2708="",P2708="DUP",R2708&lt;2),"",IF(Q2708=_xlfn.MINIFS($Q$2:$Q$3058,$A$2:$A$3058,A2708,$P$2:$P$3058,"OK"),"KEEP","DROP"))</f>
        <v/>
      </c>
      <c r="T2708" s="9" t="n">
        <f aca="false">IF(A2708="",1,0)</f>
        <v>0</v>
      </c>
      <c r="U2708" s="9" t="n">
        <f aca="false">IF(D2708="",1,0)</f>
        <v>0</v>
      </c>
      <c r="V2708" s="9" t="n">
        <f aca="false">IF(E2708="",1,0)</f>
        <v>0</v>
      </c>
      <c r="W2708" s="9" t="n">
        <f aca="false">IF(OR(H2708&lt;1,H2708&gt;10),1,0)</f>
        <v>0</v>
      </c>
      <c r="X2708" s="9" t="n">
        <f aca="false">IF(OR(I2708&lt;=0,I2708&gt;1500),1,0)</f>
        <v>0</v>
      </c>
      <c r="Y2708" s="9" t="n">
        <f aca="false">IF(J2708&gt;H2708*I2708,1,0)</f>
        <v>0</v>
      </c>
      <c r="Z2708" s="9" t="n">
        <f aca="false">IF(AND(N2708&lt;&gt;"",OR(N2708&lt;1,N2708&gt;5)),1,0)</f>
        <v>0</v>
      </c>
      <c r="AA2708" s="9" t="n">
        <f aca="false">IF(AND(M2708&lt;&gt;"",OR(M2708&lt;5,M2708&gt;180)),1,0)</f>
        <v>0</v>
      </c>
      <c r="AB2708" s="7" t="str">
        <f aca="false">IF(P2708="DUP","Exact duplicate row",IF(T2708=1,"Missing Order ID",IF(S2708="DROP","Duplicate Order ID (less complete row)",IF(U2708=1,"Missing Customer ID",IF(V2708=1,"Missing Restaurant name",IF(W2708=1,"Invalid/outlier quantity",IF(X2708=1,"Invalid/outlier unit price",IF(Y2708=1,"Discount greater than order value",""))))))))</f>
        <v/>
      </c>
      <c r="AC2708" s="7" t="str">
        <f aca="false">IF(AB2708="","KEEP","DROP")</f>
        <v>KEEP</v>
      </c>
      <c r="AD2708" s="7" t="str">
        <f aca="false">IF(TRIM(F2708)="",IFERROR(INDEX(Map_Tables!$I$4:$I$37,MATCH(TRIM(E2708),Map_Tables!$G$4:$G$37,0)),""),IFERROR(INDEX(Map_Tables!$B$4:$B$18,MATCH(TRIM(F2708),Map_Tables!$A$4:$A$18,0)),"CHECK"))</f>
        <v>Bengaluru</v>
      </c>
      <c r="AE2708" s="7" t="str">
        <f aca="false">IF(TRIM(E2708)="","",IFERROR(INDEX(Map_Tables!$H$4:$H$37,MATCH(TRIM(E2708),Map_Tables!$G$4:$G$37,0)),"CHECK"))</f>
        <v>Spice Junction</v>
      </c>
      <c r="AF2708" s="7" t="str">
        <f aca="false">IF(TRIM(K2708)="","Unknown",IFERROR(INDEX(Map_Tables!$E$4:$E$15,MATCH(TRIM(K2708),Map_Tables!$D$4:$D$15,0)),"CHECK"))</f>
        <v>UPI</v>
      </c>
      <c r="AG2708" s="7" t="str">
        <f aca="false">IF(LEFT(LOWER(TRIM(L2708)),6)="cancel","Cancelled","Delivered")</f>
        <v>Delivered</v>
      </c>
      <c r="AH2708" s="10" t="n">
        <f aca="false">IF(ISNUMBER(SEARCH("/",B2708)),DATE(VALUE(RIGHT(B2708,4)),VALUE(MID(B2708,4,2)),VALUE(LEFT(B2708,2))),IF(MID(B2708,5,1)="-",DATE(VALUE(LEFT(B2708,4)),VALUE(MID(B2708,6,2)),VALUE(RIGHT(B2708,2))),DATE(VALUE(RIGHT(B2708,4)),MATCH(MID(B2708,4,3),{"Jan","Feb","Mar","Apr","May","Jun","Jul","Aug","Sep","Oct","Nov","Dec"},0),VALUE(LEFT(B2708,2)))))</f>
        <v>45942</v>
      </c>
    </row>
    <row r="2709" customFormat="false" ht="15" hidden="false" customHeight="false" outlineLevel="0" collapsed="false">
      <c r="A2709" s="7" t="s">
        <v>5734</v>
      </c>
      <c r="B2709" s="7" t="s">
        <v>1680</v>
      </c>
      <c r="C2709" s="7" t="s">
        <v>602</v>
      </c>
      <c r="D2709" s="7" t="s">
        <v>3624</v>
      </c>
      <c r="E2709" s="7" t="s">
        <v>4762</v>
      </c>
      <c r="F2709" s="7" t="s">
        <v>119</v>
      </c>
      <c r="G2709" s="7" t="s">
        <v>95</v>
      </c>
      <c r="H2709" s="7" t="n">
        <v>2</v>
      </c>
      <c r="I2709" s="7" t="n">
        <v>150</v>
      </c>
      <c r="J2709" s="7" t="n">
        <v>120</v>
      </c>
      <c r="K2709" s="7" t="s">
        <v>88</v>
      </c>
      <c r="L2709" s="7" t="s">
        <v>194</v>
      </c>
      <c r="M2709" s="7" t="n">
        <v>31</v>
      </c>
      <c r="N2709" s="7" t="n">
        <v>3</v>
      </c>
      <c r="O2709" s="7" t="str">
        <f aca="false">A2709&amp;"|"&amp;B2709&amp;"|"&amp;C2709&amp;"|"&amp;D2709&amp;"|"&amp;E2709&amp;"|"&amp;F2709&amp;"|"&amp;G2709&amp;"|"&amp;H2709&amp;"|"&amp;I2709&amp;"|"&amp;J2709&amp;"|"&amp;K2709&amp;"|"&amp;L2709&amp;"|"&amp;M2709&amp;"|"&amp;N2709</f>
        <v>ORD11714|2025-08-13|17:17|C0831|Andhra Meals Mess |Hyderabad|South Indian|2|150|120|UPI|Delivered|31|3</v>
      </c>
      <c r="P2709" s="7" t="str">
        <f aca="false">IF(COUNTIF($O$2:O2709,O2709)&gt;1,"DUP","OK")</f>
        <v>OK</v>
      </c>
      <c r="Q2709" s="7" t="n">
        <f aca="false">COUNTBLANK(A2709:N2709)</f>
        <v>0</v>
      </c>
      <c r="R2709" s="7" t="n">
        <f aca="false">IF(A2709="",0,COUNTIFS($A$2:$A$3058,A2709,$P$2:$P$3058,"OK"))</f>
        <v>1</v>
      </c>
      <c r="S2709" s="7" t="str">
        <f aca="false">IF(OR(A2709="",P2709="DUP",R2709&lt;2),"",IF(Q2709=_xlfn.MINIFS($Q$2:$Q$3058,$A$2:$A$3058,A2709,$P$2:$P$3058,"OK"),"KEEP","DROP"))</f>
        <v/>
      </c>
      <c r="T2709" s="9" t="n">
        <f aca="false">IF(A2709="",1,0)</f>
        <v>0</v>
      </c>
      <c r="U2709" s="9" t="n">
        <f aca="false">IF(D2709="",1,0)</f>
        <v>0</v>
      </c>
      <c r="V2709" s="9" t="n">
        <f aca="false">IF(E2709="",1,0)</f>
        <v>0</v>
      </c>
      <c r="W2709" s="9" t="n">
        <f aca="false">IF(OR(H2709&lt;1,H2709&gt;10),1,0)</f>
        <v>0</v>
      </c>
      <c r="X2709" s="9" t="n">
        <f aca="false">IF(OR(I2709&lt;=0,I2709&gt;1500),1,0)</f>
        <v>0</v>
      </c>
      <c r="Y2709" s="9" t="n">
        <f aca="false">IF(J2709&gt;H2709*I2709,1,0)</f>
        <v>0</v>
      </c>
      <c r="Z2709" s="9" t="n">
        <f aca="false">IF(AND(N2709&lt;&gt;"",OR(N2709&lt;1,N2709&gt;5)),1,0)</f>
        <v>0</v>
      </c>
      <c r="AA2709" s="9" t="n">
        <f aca="false">IF(AND(M2709&lt;&gt;"",OR(M2709&lt;5,M2709&gt;180)),1,0)</f>
        <v>0</v>
      </c>
      <c r="AB2709" s="7" t="str">
        <f aca="false">IF(P2709="DUP","Exact duplicate row",IF(T2709=1,"Missing Order ID",IF(S2709="DROP","Duplicate Order ID (less complete row)",IF(U2709=1,"Missing Customer ID",IF(V2709=1,"Missing Restaurant name",IF(W2709=1,"Invalid/outlier quantity",IF(X2709=1,"Invalid/outlier unit price",IF(Y2709=1,"Discount greater than order value",""))))))))</f>
        <v/>
      </c>
      <c r="AC2709" s="7" t="str">
        <f aca="false">IF(AB2709="","KEEP","DROP")</f>
        <v>KEEP</v>
      </c>
      <c r="AD2709" s="7" t="str">
        <f aca="false">IF(TRIM(F2709)="",IFERROR(INDEX(Map_Tables!$I$4:$I$37,MATCH(TRIM(E2709),Map_Tables!$G$4:$G$37,0)),""),IFERROR(INDEX(Map_Tables!$B$4:$B$18,MATCH(TRIM(F2709),Map_Tables!$A$4:$A$18,0)),"CHECK"))</f>
        <v>Hyderabad</v>
      </c>
      <c r="AE2709" s="7" t="str">
        <f aca="false">IF(TRIM(E2709)="","",IFERROR(INDEX(Map_Tables!$H$4:$H$37,MATCH(TRIM(E2709),Map_Tables!$G$4:$G$37,0)),"CHECK"))</f>
        <v>Andhra Meals Mess</v>
      </c>
      <c r="AF2709" s="7" t="str">
        <f aca="false">IF(TRIM(K2709)="","Unknown",IFERROR(INDEX(Map_Tables!$E$4:$E$15,MATCH(TRIM(K2709),Map_Tables!$D$4:$D$15,0)),"CHECK"))</f>
        <v>UPI</v>
      </c>
      <c r="AG2709" s="7" t="str">
        <f aca="false">IF(LEFT(LOWER(TRIM(L2709)),6)="cancel","Cancelled","Delivered")</f>
        <v>Delivered</v>
      </c>
      <c r="AH2709" s="10" t="n">
        <f aca="false">IF(ISNUMBER(SEARCH("/",B2709)),DATE(VALUE(RIGHT(B2709,4)),VALUE(MID(B2709,4,2)),VALUE(LEFT(B2709,2))),IF(MID(B2709,5,1)="-",DATE(VALUE(LEFT(B2709,4)),VALUE(MID(B2709,6,2)),VALUE(RIGHT(B2709,2))),DATE(VALUE(RIGHT(B2709,4)),MATCH(MID(B2709,4,3),{"Jan","Feb","Mar","Apr","May","Jun","Jul","Aug","Sep","Oct","Nov","Dec"},0),VALUE(LEFT(B2709,2)))))</f>
        <v>45882</v>
      </c>
    </row>
    <row r="2710" customFormat="false" ht="15" hidden="false" customHeight="false" outlineLevel="0" collapsed="false">
      <c r="A2710" s="7" t="s">
        <v>5735</v>
      </c>
      <c r="B2710" s="7" t="s">
        <v>715</v>
      </c>
      <c r="C2710" s="7" t="s">
        <v>809</v>
      </c>
      <c r="D2710" s="7" t="s">
        <v>4690</v>
      </c>
      <c r="E2710" s="7" t="s">
        <v>134</v>
      </c>
      <c r="F2710" s="7" t="s">
        <v>110</v>
      </c>
      <c r="G2710" s="7" t="s">
        <v>117</v>
      </c>
      <c r="H2710" s="7" t="n">
        <v>3</v>
      </c>
      <c r="I2710" s="7" t="n">
        <v>85</v>
      </c>
      <c r="J2710" s="7" t="n">
        <v>50</v>
      </c>
      <c r="K2710" s="7" t="s">
        <v>112</v>
      </c>
      <c r="L2710" s="7" t="s">
        <v>194</v>
      </c>
      <c r="M2710" s="7" t="n">
        <v>43</v>
      </c>
      <c r="N2710" s="7"/>
      <c r="O2710" s="7" t="str">
        <f aca="false">A2710&amp;"|"&amp;B2710&amp;"|"&amp;C2710&amp;"|"&amp;D2710&amp;"|"&amp;E2710&amp;"|"&amp;F2710&amp;"|"&amp;G2710&amp;"|"&amp;H2710&amp;"|"&amp;I2710&amp;"|"&amp;J2710&amp;"|"&amp;K2710&amp;"|"&amp;L2710&amp;"|"&amp;M2710&amp;"|"&amp;N2710</f>
        <v>ORD11271|2025-06-11|19:49|C0205|Chaat Corner|Delhi|Street Food|3|85|50|Cash on Delivery|Delivered|43|</v>
      </c>
      <c r="P2710" s="7" t="str">
        <f aca="false">IF(COUNTIF($O$2:O2710,O2710)&gt;1,"DUP","OK")</f>
        <v>OK</v>
      </c>
      <c r="Q2710" s="7" t="n">
        <f aca="false">COUNTBLANK(A2710:N2710)</f>
        <v>1</v>
      </c>
      <c r="R2710" s="7" t="n">
        <f aca="false">IF(A2710="",0,COUNTIFS($A$2:$A$3058,A2710,$P$2:$P$3058,"OK"))</f>
        <v>1</v>
      </c>
      <c r="S2710" s="7" t="str">
        <f aca="false">IF(OR(A2710="",P2710="DUP",R2710&lt;2),"",IF(Q2710=_xlfn.MINIFS($Q$2:$Q$3058,$A$2:$A$3058,A2710,$P$2:$P$3058,"OK"),"KEEP","DROP"))</f>
        <v/>
      </c>
      <c r="T2710" s="9" t="n">
        <f aca="false">IF(A2710="",1,0)</f>
        <v>0</v>
      </c>
      <c r="U2710" s="9" t="n">
        <f aca="false">IF(D2710="",1,0)</f>
        <v>0</v>
      </c>
      <c r="V2710" s="9" t="n">
        <f aca="false">IF(E2710="",1,0)</f>
        <v>0</v>
      </c>
      <c r="W2710" s="9" t="n">
        <f aca="false">IF(OR(H2710&lt;1,H2710&gt;10),1,0)</f>
        <v>0</v>
      </c>
      <c r="X2710" s="9" t="n">
        <f aca="false">IF(OR(I2710&lt;=0,I2710&gt;1500),1,0)</f>
        <v>0</v>
      </c>
      <c r="Y2710" s="9" t="n">
        <f aca="false">IF(J2710&gt;H2710*I2710,1,0)</f>
        <v>0</v>
      </c>
      <c r="Z2710" s="9" t="n">
        <f aca="false">IF(AND(N2710&lt;&gt;"",OR(N2710&lt;1,N2710&gt;5)),1,0)</f>
        <v>0</v>
      </c>
      <c r="AA2710" s="9" t="n">
        <f aca="false">IF(AND(M2710&lt;&gt;"",OR(M2710&lt;5,M2710&gt;180)),1,0)</f>
        <v>0</v>
      </c>
      <c r="AB2710" s="7" t="str">
        <f aca="false">IF(P2710="DUP","Exact duplicate row",IF(T2710=1,"Missing Order ID",IF(S2710="DROP","Duplicate Order ID (less complete row)",IF(U2710=1,"Missing Customer ID",IF(V2710=1,"Missing Restaurant name",IF(W2710=1,"Invalid/outlier quantity",IF(X2710=1,"Invalid/outlier unit price",IF(Y2710=1,"Discount greater than order value",""))))))))</f>
        <v/>
      </c>
      <c r="AC2710" s="7" t="str">
        <f aca="false">IF(AB2710="","KEEP","DROP")</f>
        <v>KEEP</v>
      </c>
      <c r="AD2710" s="7" t="str">
        <f aca="false">IF(TRIM(F2710)="",IFERROR(INDEX(Map_Tables!$I$4:$I$37,MATCH(TRIM(E2710),Map_Tables!$G$4:$G$37,0)),""),IFERROR(INDEX(Map_Tables!$B$4:$B$18,MATCH(TRIM(F2710),Map_Tables!$A$4:$A$18,0)),"CHECK"))</f>
        <v>Delhi</v>
      </c>
      <c r="AE2710" s="7" t="str">
        <f aca="false">IF(TRIM(E2710)="","",IFERROR(INDEX(Map_Tables!$H$4:$H$37,MATCH(TRIM(E2710),Map_Tables!$G$4:$G$37,0)),"CHECK"))</f>
        <v>Chaat Corner</v>
      </c>
      <c r="AF2710" s="7" t="str">
        <f aca="false">IF(TRIM(K2710)="","Unknown",IFERROR(INDEX(Map_Tables!$E$4:$E$15,MATCH(TRIM(K2710),Map_Tables!$D$4:$D$15,0)),"CHECK"))</f>
        <v>Cash on Delivery</v>
      </c>
      <c r="AG2710" s="7" t="str">
        <f aca="false">IF(LEFT(LOWER(TRIM(L2710)),6)="cancel","Cancelled","Delivered")</f>
        <v>Delivered</v>
      </c>
      <c r="AH2710" s="10" t="n">
        <f aca="false">IF(ISNUMBER(SEARCH("/",B2710)),DATE(VALUE(RIGHT(B2710,4)),VALUE(MID(B2710,4,2)),VALUE(LEFT(B2710,2))),IF(MID(B2710,5,1)="-",DATE(VALUE(LEFT(B2710,4)),VALUE(MID(B2710,6,2)),VALUE(RIGHT(B2710,2))),DATE(VALUE(RIGHT(B2710,4)),MATCH(MID(B2710,4,3),{"Jan","Feb","Mar","Apr","May","Jun","Jul","Aug","Sep","Oct","Nov","Dec"},0),VALUE(LEFT(B2710,2)))))</f>
        <v>45819</v>
      </c>
    </row>
    <row r="2711" customFormat="false" ht="15" hidden="false" customHeight="false" outlineLevel="0" collapsed="false">
      <c r="A2711" s="7" t="s">
        <v>5736</v>
      </c>
      <c r="B2711" s="7" t="s">
        <v>5737</v>
      </c>
      <c r="C2711" s="7" t="s">
        <v>1204</v>
      </c>
      <c r="D2711" s="7" t="s">
        <v>5376</v>
      </c>
      <c r="E2711" s="7" t="s">
        <v>134</v>
      </c>
      <c r="F2711" s="7" t="s">
        <v>110</v>
      </c>
      <c r="G2711" s="7" t="s">
        <v>117</v>
      </c>
      <c r="H2711" s="7" t="n">
        <v>3</v>
      </c>
      <c r="I2711" s="7" t="n">
        <v>100</v>
      </c>
      <c r="J2711" s="7" t="n">
        <v>0</v>
      </c>
      <c r="K2711" s="7" t="s">
        <v>88</v>
      </c>
      <c r="L2711" s="7" t="s">
        <v>194</v>
      </c>
      <c r="M2711" s="7" t="n">
        <v>35</v>
      </c>
      <c r="N2711" s="7" t="n">
        <v>3</v>
      </c>
      <c r="O2711" s="7" t="str">
        <f aca="false">A2711&amp;"|"&amp;B2711&amp;"|"&amp;C2711&amp;"|"&amp;D2711&amp;"|"&amp;E2711&amp;"|"&amp;F2711&amp;"|"&amp;G2711&amp;"|"&amp;H2711&amp;"|"&amp;I2711&amp;"|"&amp;J2711&amp;"|"&amp;K2711&amp;"|"&amp;L2711&amp;"|"&amp;M2711&amp;"|"&amp;N2711</f>
        <v>ORD10910|24-Apr-2025|17:31|C0286|Chaat Corner|Delhi|Street Food|3|100|0|UPI|Delivered|35|3</v>
      </c>
      <c r="P2711" s="7" t="str">
        <f aca="false">IF(COUNTIF($O$2:O2711,O2711)&gt;1,"DUP","OK")</f>
        <v>OK</v>
      </c>
      <c r="Q2711" s="7" t="n">
        <f aca="false">COUNTBLANK(A2711:N2711)</f>
        <v>0</v>
      </c>
      <c r="R2711" s="7" t="n">
        <f aca="false">IF(A2711="",0,COUNTIFS($A$2:$A$3058,A2711,$P$2:$P$3058,"OK"))</f>
        <v>1</v>
      </c>
      <c r="S2711" s="7" t="str">
        <f aca="false">IF(OR(A2711="",P2711="DUP",R2711&lt;2),"",IF(Q2711=_xlfn.MINIFS($Q$2:$Q$3058,$A$2:$A$3058,A2711,$P$2:$P$3058,"OK"),"KEEP","DROP"))</f>
        <v/>
      </c>
      <c r="T2711" s="9" t="n">
        <f aca="false">IF(A2711="",1,0)</f>
        <v>0</v>
      </c>
      <c r="U2711" s="9" t="n">
        <f aca="false">IF(D2711="",1,0)</f>
        <v>0</v>
      </c>
      <c r="V2711" s="9" t="n">
        <f aca="false">IF(E2711="",1,0)</f>
        <v>0</v>
      </c>
      <c r="W2711" s="9" t="n">
        <f aca="false">IF(OR(H2711&lt;1,H2711&gt;10),1,0)</f>
        <v>0</v>
      </c>
      <c r="X2711" s="9" t="n">
        <f aca="false">IF(OR(I2711&lt;=0,I2711&gt;1500),1,0)</f>
        <v>0</v>
      </c>
      <c r="Y2711" s="9" t="n">
        <f aca="false">IF(J2711&gt;H2711*I2711,1,0)</f>
        <v>0</v>
      </c>
      <c r="Z2711" s="9" t="n">
        <f aca="false">IF(AND(N2711&lt;&gt;"",OR(N2711&lt;1,N2711&gt;5)),1,0)</f>
        <v>0</v>
      </c>
      <c r="AA2711" s="9" t="n">
        <f aca="false">IF(AND(M2711&lt;&gt;"",OR(M2711&lt;5,M2711&gt;180)),1,0)</f>
        <v>0</v>
      </c>
      <c r="AB2711" s="7" t="str">
        <f aca="false">IF(P2711="DUP","Exact duplicate row",IF(T2711=1,"Missing Order ID",IF(S2711="DROP","Duplicate Order ID (less complete row)",IF(U2711=1,"Missing Customer ID",IF(V2711=1,"Missing Restaurant name",IF(W2711=1,"Invalid/outlier quantity",IF(X2711=1,"Invalid/outlier unit price",IF(Y2711=1,"Discount greater than order value",""))))))))</f>
        <v/>
      </c>
      <c r="AC2711" s="7" t="str">
        <f aca="false">IF(AB2711="","KEEP","DROP")</f>
        <v>KEEP</v>
      </c>
      <c r="AD2711" s="7" t="str">
        <f aca="false">IF(TRIM(F2711)="",IFERROR(INDEX(Map_Tables!$I$4:$I$37,MATCH(TRIM(E2711),Map_Tables!$G$4:$G$37,0)),""),IFERROR(INDEX(Map_Tables!$B$4:$B$18,MATCH(TRIM(F2711),Map_Tables!$A$4:$A$18,0)),"CHECK"))</f>
        <v>Delhi</v>
      </c>
      <c r="AE2711" s="7" t="str">
        <f aca="false">IF(TRIM(E2711)="","",IFERROR(INDEX(Map_Tables!$H$4:$H$37,MATCH(TRIM(E2711),Map_Tables!$G$4:$G$37,0)),"CHECK"))</f>
        <v>Chaat Corner</v>
      </c>
      <c r="AF2711" s="7" t="str">
        <f aca="false">IF(TRIM(K2711)="","Unknown",IFERROR(INDEX(Map_Tables!$E$4:$E$15,MATCH(TRIM(K2711),Map_Tables!$D$4:$D$15,0)),"CHECK"))</f>
        <v>UPI</v>
      </c>
      <c r="AG2711" s="7" t="str">
        <f aca="false">IF(LEFT(LOWER(TRIM(L2711)),6)="cancel","Cancelled","Delivered")</f>
        <v>Delivered</v>
      </c>
      <c r="AH2711" s="10" t="n">
        <f aca="false">IF(ISNUMBER(SEARCH("/",B2711)),DATE(VALUE(RIGHT(B2711,4)),VALUE(MID(B2711,4,2)),VALUE(LEFT(B2711,2))),IF(MID(B2711,5,1)="-",DATE(VALUE(LEFT(B2711,4)),VALUE(MID(B2711,6,2)),VALUE(RIGHT(B2711,2))),DATE(VALUE(RIGHT(B2711,4)),MATCH(MID(B2711,4,3),{"Jan","Feb","Mar","Apr","May","Jun","Jul","Aug","Sep","Oct","Nov","Dec"},0),VALUE(LEFT(B2711,2)))))</f>
        <v>45771</v>
      </c>
    </row>
    <row r="2712" customFormat="false" ht="15" hidden="false" customHeight="false" outlineLevel="0" collapsed="false">
      <c r="A2712" s="7" t="s">
        <v>5738</v>
      </c>
      <c r="B2712" s="7" t="s">
        <v>2495</v>
      </c>
      <c r="C2712" s="7" t="s">
        <v>201</v>
      </c>
      <c r="D2712" s="7" t="s">
        <v>2585</v>
      </c>
      <c r="E2712" s="7" t="s">
        <v>154</v>
      </c>
      <c r="F2712" s="7" t="s">
        <v>128</v>
      </c>
      <c r="G2712" s="7" t="s">
        <v>99</v>
      </c>
      <c r="H2712" s="7" t="n">
        <v>1</v>
      </c>
      <c r="I2712" s="7" t="n">
        <v>255</v>
      </c>
      <c r="J2712" s="7" t="n">
        <v>100</v>
      </c>
      <c r="K2712" s="7" t="s">
        <v>112</v>
      </c>
      <c r="L2712" s="7" t="s">
        <v>194</v>
      </c>
      <c r="M2712" s="7" t="n">
        <v>29</v>
      </c>
      <c r="N2712" s="7" t="n">
        <v>4</v>
      </c>
      <c r="O2712" s="7" t="str">
        <f aca="false">A2712&amp;"|"&amp;B2712&amp;"|"&amp;C2712&amp;"|"&amp;D2712&amp;"|"&amp;E2712&amp;"|"&amp;F2712&amp;"|"&amp;G2712&amp;"|"&amp;H2712&amp;"|"&amp;I2712&amp;"|"&amp;J2712&amp;"|"&amp;K2712&amp;"|"&amp;L2712&amp;"|"&amp;M2712&amp;"|"&amp;N2712</f>
        <v>ORD12633|2025-11-21|20:46|C1248|Madras Biryani Co|Chennai|Biryani|1|255|100|Cash on Delivery|Delivered|29|4</v>
      </c>
      <c r="P2712" s="7" t="str">
        <f aca="false">IF(COUNTIF($O$2:O2712,O2712)&gt;1,"DUP","OK")</f>
        <v>OK</v>
      </c>
      <c r="Q2712" s="7" t="n">
        <f aca="false">COUNTBLANK(A2712:N2712)</f>
        <v>0</v>
      </c>
      <c r="R2712" s="7" t="n">
        <f aca="false">IF(A2712="",0,COUNTIFS($A$2:$A$3058,A2712,$P$2:$P$3058,"OK"))</f>
        <v>1</v>
      </c>
      <c r="S2712" s="7" t="str">
        <f aca="false">IF(OR(A2712="",P2712="DUP",R2712&lt;2),"",IF(Q2712=_xlfn.MINIFS($Q$2:$Q$3058,$A$2:$A$3058,A2712,$P$2:$P$3058,"OK"),"KEEP","DROP"))</f>
        <v/>
      </c>
      <c r="T2712" s="9" t="n">
        <f aca="false">IF(A2712="",1,0)</f>
        <v>0</v>
      </c>
      <c r="U2712" s="9" t="n">
        <f aca="false">IF(D2712="",1,0)</f>
        <v>0</v>
      </c>
      <c r="V2712" s="9" t="n">
        <f aca="false">IF(E2712="",1,0)</f>
        <v>0</v>
      </c>
      <c r="W2712" s="9" t="n">
        <f aca="false">IF(OR(H2712&lt;1,H2712&gt;10),1,0)</f>
        <v>0</v>
      </c>
      <c r="X2712" s="9" t="n">
        <f aca="false">IF(OR(I2712&lt;=0,I2712&gt;1500),1,0)</f>
        <v>0</v>
      </c>
      <c r="Y2712" s="9" t="n">
        <f aca="false">IF(J2712&gt;H2712*I2712,1,0)</f>
        <v>0</v>
      </c>
      <c r="Z2712" s="9" t="n">
        <f aca="false">IF(AND(N2712&lt;&gt;"",OR(N2712&lt;1,N2712&gt;5)),1,0)</f>
        <v>0</v>
      </c>
      <c r="AA2712" s="9" t="n">
        <f aca="false">IF(AND(M2712&lt;&gt;"",OR(M2712&lt;5,M2712&gt;180)),1,0)</f>
        <v>0</v>
      </c>
      <c r="AB2712" s="7" t="str">
        <f aca="false">IF(P2712="DUP","Exact duplicate row",IF(T2712=1,"Missing Order ID",IF(S2712="DROP","Duplicate Order ID (less complete row)",IF(U2712=1,"Missing Customer ID",IF(V2712=1,"Missing Restaurant name",IF(W2712=1,"Invalid/outlier quantity",IF(X2712=1,"Invalid/outlier unit price",IF(Y2712=1,"Discount greater than order value",""))))))))</f>
        <v/>
      </c>
      <c r="AC2712" s="7" t="str">
        <f aca="false">IF(AB2712="","KEEP","DROP")</f>
        <v>KEEP</v>
      </c>
      <c r="AD2712" s="7" t="str">
        <f aca="false">IF(TRIM(F2712)="",IFERROR(INDEX(Map_Tables!$I$4:$I$37,MATCH(TRIM(E2712),Map_Tables!$G$4:$G$37,0)),""),IFERROR(INDEX(Map_Tables!$B$4:$B$18,MATCH(TRIM(F2712),Map_Tables!$A$4:$A$18,0)),"CHECK"))</f>
        <v>Chennai</v>
      </c>
      <c r="AE2712" s="7" t="str">
        <f aca="false">IF(TRIM(E2712)="","",IFERROR(INDEX(Map_Tables!$H$4:$H$37,MATCH(TRIM(E2712),Map_Tables!$G$4:$G$37,0)),"CHECK"))</f>
        <v>Madras Biryani Co</v>
      </c>
      <c r="AF2712" s="7" t="str">
        <f aca="false">IF(TRIM(K2712)="","Unknown",IFERROR(INDEX(Map_Tables!$E$4:$E$15,MATCH(TRIM(K2712),Map_Tables!$D$4:$D$15,0)),"CHECK"))</f>
        <v>Cash on Delivery</v>
      </c>
      <c r="AG2712" s="7" t="str">
        <f aca="false">IF(LEFT(LOWER(TRIM(L2712)),6)="cancel","Cancelled","Delivered")</f>
        <v>Delivered</v>
      </c>
      <c r="AH2712" s="10" t="n">
        <f aca="false">IF(ISNUMBER(SEARCH("/",B2712)),DATE(VALUE(RIGHT(B2712,4)),VALUE(MID(B2712,4,2)),VALUE(LEFT(B2712,2))),IF(MID(B2712,5,1)="-",DATE(VALUE(LEFT(B2712,4)),VALUE(MID(B2712,6,2)),VALUE(RIGHT(B2712,2))),DATE(VALUE(RIGHT(B2712,4)),MATCH(MID(B2712,4,3),{"Jan","Feb","Mar","Apr","May","Jun","Jul","Aug","Sep","Oct","Nov","Dec"},0),VALUE(LEFT(B2712,2)))))</f>
        <v>45982</v>
      </c>
    </row>
    <row r="2713" customFormat="false" ht="15" hidden="false" customHeight="false" outlineLevel="0" collapsed="false">
      <c r="A2713" s="7" t="s">
        <v>5739</v>
      </c>
      <c r="B2713" s="7" t="s">
        <v>240</v>
      </c>
      <c r="C2713" s="7" t="s">
        <v>5740</v>
      </c>
      <c r="D2713" s="7" t="s">
        <v>1278</v>
      </c>
      <c r="E2713" s="7" t="s">
        <v>167</v>
      </c>
      <c r="F2713" s="7" t="s">
        <v>146</v>
      </c>
      <c r="G2713" s="7" t="s">
        <v>156</v>
      </c>
      <c r="H2713" s="7" t="n">
        <v>1</v>
      </c>
      <c r="I2713" s="7" t="n">
        <v>265</v>
      </c>
      <c r="J2713" s="7" t="n">
        <v>0</v>
      </c>
      <c r="K2713" s="7" t="s">
        <v>121</v>
      </c>
      <c r="L2713" s="7" t="s">
        <v>194</v>
      </c>
      <c r="M2713" s="7" t="n">
        <v>33</v>
      </c>
      <c r="N2713" s="7" t="n">
        <v>5</v>
      </c>
      <c r="O2713" s="7" t="str">
        <f aca="false">A2713&amp;"|"&amp;B2713&amp;"|"&amp;C2713&amp;"|"&amp;D2713&amp;"|"&amp;E2713&amp;"|"&amp;F2713&amp;"|"&amp;G2713&amp;"|"&amp;H2713&amp;"|"&amp;I2713&amp;"|"&amp;J2713&amp;"|"&amp;K2713&amp;"|"&amp;L2713&amp;"|"&amp;M2713&amp;"|"&amp;N2713</f>
        <v>ORD12152|2025-10-02|19:20|C1060|Fit Fuel Kitchen|Ahmedabad|Healthy Food|1|265|0|Wallet|Delivered|33|5</v>
      </c>
      <c r="P2713" s="7" t="str">
        <f aca="false">IF(COUNTIF($O$2:O2713,O2713)&gt;1,"DUP","OK")</f>
        <v>OK</v>
      </c>
      <c r="Q2713" s="7" t="n">
        <f aca="false">COUNTBLANK(A2713:N2713)</f>
        <v>0</v>
      </c>
      <c r="R2713" s="7" t="n">
        <f aca="false">IF(A2713="",0,COUNTIFS($A$2:$A$3058,A2713,$P$2:$P$3058,"OK"))</f>
        <v>1</v>
      </c>
      <c r="S2713" s="7" t="str">
        <f aca="false">IF(OR(A2713="",P2713="DUP",R2713&lt;2),"",IF(Q2713=_xlfn.MINIFS($Q$2:$Q$3058,$A$2:$A$3058,A2713,$P$2:$P$3058,"OK"),"KEEP","DROP"))</f>
        <v/>
      </c>
      <c r="T2713" s="9" t="n">
        <f aca="false">IF(A2713="",1,0)</f>
        <v>0</v>
      </c>
      <c r="U2713" s="9" t="n">
        <f aca="false">IF(D2713="",1,0)</f>
        <v>0</v>
      </c>
      <c r="V2713" s="9" t="n">
        <f aca="false">IF(E2713="",1,0)</f>
        <v>0</v>
      </c>
      <c r="W2713" s="9" t="n">
        <f aca="false">IF(OR(H2713&lt;1,H2713&gt;10),1,0)</f>
        <v>0</v>
      </c>
      <c r="X2713" s="9" t="n">
        <f aca="false">IF(OR(I2713&lt;=0,I2713&gt;1500),1,0)</f>
        <v>0</v>
      </c>
      <c r="Y2713" s="9" t="n">
        <f aca="false">IF(J2713&gt;H2713*I2713,1,0)</f>
        <v>0</v>
      </c>
      <c r="Z2713" s="9" t="n">
        <f aca="false">IF(AND(N2713&lt;&gt;"",OR(N2713&lt;1,N2713&gt;5)),1,0)</f>
        <v>0</v>
      </c>
      <c r="AA2713" s="9" t="n">
        <f aca="false">IF(AND(M2713&lt;&gt;"",OR(M2713&lt;5,M2713&gt;180)),1,0)</f>
        <v>0</v>
      </c>
      <c r="AB2713" s="7" t="str">
        <f aca="false">IF(P2713="DUP","Exact duplicate row",IF(T2713=1,"Missing Order ID",IF(S2713="DROP","Duplicate Order ID (less complete row)",IF(U2713=1,"Missing Customer ID",IF(V2713=1,"Missing Restaurant name",IF(W2713=1,"Invalid/outlier quantity",IF(X2713=1,"Invalid/outlier unit price",IF(Y2713=1,"Discount greater than order value",""))))))))</f>
        <v/>
      </c>
      <c r="AC2713" s="7" t="str">
        <f aca="false">IF(AB2713="","KEEP","DROP")</f>
        <v>KEEP</v>
      </c>
      <c r="AD2713" s="7" t="str">
        <f aca="false">IF(TRIM(F2713)="",IFERROR(INDEX(Map_Tables!$I$4:$I$37,MATCH(TRIM(E2713),Map_Tables!$G$4:$G$37,0)),""),IFERROR(INDEX(Map_Tables!$B$4:$B$18,MATCH(TRIM(F2713),Map_Tables!$A$4:$A$18,0)),"CHECK"))</f>
        <v>Ahmedabad</v>
      </c>
      <c r="AE2713" s="7" t="str">
        <f aca="false">IF(TRIM(E2713)="","",IFERROR(INDEX(Map_Tables!$H$4:$H$37,MATCH(TRIM(E2713),Map_Tables!$G$4:$G$37,0)),"CHECK"))</f>
        <v>Fit Fuel Kitchen</v>
      </c>
      <c r="AF2713" s="7" t="str">
        <f aca="false">IF(TRIM(K2713)="","Unknown",IFERROR(INDEX(Map_Tables!$E$4:$E$15,MATCH(TRIM(K2713),Map_Tables!$D$4:$D$15,0)),"CHECK"))</f>
        <v>Wallet</v>
      </c>
      <c r="AG2713" s="7" t="str">
        <f aca="false">IF(LEFT(LOWER(TRIM(L2713)),6)="cancel","Cancelled","Delivered")</f>
        <v>Delivered</v>
      </c>
      <c r="AH2713" s="10" t="n">
        <f aca="false">IF(ISNUMBER(SEARCH("/",B2713)),DATE(VALUE(RIGHT(B2713,4)),VALUE(MID(B2713,4,2)),VALUE(LEFT(B2713,2))),IF(MID(B2713,5,1)="-",DATE(VALUE(LEFT(B2713,4)),VALUE(MID(B2713,6,2)),VALUE(RIGHT(B2713,2))),DATE(VALUE(RIGHT(B2713,4)),MATCH(MID(B2713,4,3),{"Jan","Feb","Mar","Apr","May","Jun","Jul","Aug","Sep","Oct","Nov","Dec"},0),VALUE(LEFT(B2713,2)))))</f>
        <v>45932</v>
      </c>
    </row>
    <row r="2714" customFormat="false" ht="15" hidden="false" customHeight="false" outlineLevel="0" collapsed="false">
      <c r="A2714" s="7" t="s">
        <v>5741</v>
      </c>
      <c r="B2714" s="7" t="s">
        <v>1535</v>
      </c>
      <c r="C2714" s="7" t="s">
        <v>4417</v>
      </c>
      <c r="D2714" s="7" t="s">
        <v>5575</v>
      </c>
      <c r="E2714" s="7" t="s">
        <v>159</v>
      </c>
      <c r="F2714" s="7" t="s">
        <v>136</v>
      </c>
      <c r="G2714" s="7" t="s">
        <v>90</v>
      </c>
      <c r="H2714" s="7" t="n">
        <v>1</v>
      </c>
      <c r="I2714" s="7" t="n">
        <v>195</v>
      </c>
      <c r="J2714" s="7" t="n">
        <v>0</v>
      </c>
      <c r="K2714" s="7" t="s">
        <v>421</v>
      </c>
      <c r="L2714" s="7" t="s">
        <v>194</v>
      </c>
      <c r="M2714" s="7" t="n">
        <v>21</v>
      </c>
      <c r="N2714" s="7" t="n">
        <v>4</v>
      </c>
      <c r="O2714" s="7" t="str">
        <f aca="false">A2714&amp;"|"&amp;B2714&amp;"|"&amp;C2714&amp;"|"&amp;D2714&amp;"|"&amp;E2714&amp;"|"&amp;F2714&amp;"|"&amp;G2714&amp;"|"&amp;H2714&amp;"|"&amp;I2714&amp;"|"&amp;J2714&amp;"|"&amp;K2714&amp;"|"&amp;L2714&amp;"|"&amp;M2714&amp;"|"&amp;N2714</f>
        <v>ORD12011|2025-09-18|08:42|C1075|Maratha Thali House|Pune|North Indian|1|195|0|UPI |Delivered|21|4</v>
      </c>
      <c r="P2714" s="7" t="str">
        <f aca="false">IF(COUNTIF($O$2:O2714,O2714)&gt;1,"DUP","OK")</f>
        <v>OK</v>
      </c>
      <c r="Q2714" s="7" t="n">
        <f aca="false">COUNTBLANK(A2714:N2714)</f>
        <v>0</v>
      </c>
      <c r="R2714" s="7" t="n">
        <f aca="false">IF(A2714="",0,COUNTIFS($A$2:$A$3058,A2714,$P$2:$P$3058,"OK"))</f>
        <v>1</v>
      </c>
      <c r="S2714" s="7" t="str">
        <f aca="false">IF(OR(A2714="",P2714="DUP",R2714&lt;2),"",IF(Q2714=_xlfn.MINIFS($Q$2:$Q$3058,$A$2:$A$3058,A2714,$P$2:$P$3058,"OK"),"KEEP","DROP"))</f>
        <v/>
      </c>
      <c r="T2714" s="9" t="n">
        <f aca="false">IF(A2714="",1,0)</f>
        <v>0</v>
      </c>
      <c r="U2714" s="9" t="n">
        <f aca="false">IF(D2714="",1,0)</f>
        <v>0</v>
      </c>
      <c r="V2714" s="9" t="n">
        <f aca="false">IF(E2714="",1,0)</f>
        <v>0</v>
      </c>
      <c r="W2714" s="9" t="n">
        <f aca="false">IF(OR(H2714&lt;1,H2714&gt;10),1,0)</f>
        <v>0</v>
      </c>
      <c r="X2714" s="9" t="n">
        <f aca="false">IF(OR(I2714&lt;=0,I2714&gt;1500),1,0)</f>
        <v>0</v>
      </c>
      <c r="Y2714" s="9" t="n">
        <f aca="false">IF(J2714&gt;H2714*I2714,1,0)</f>
        <v>0</v>
      </c>
      <c r="Z2714" s="9" t="n">
        <f aca="false">IF(AND(N2714&lt;&gt;"",OR(N2714&lt;1,N2714&gt;5)),1,0)</f>
        <v>0</v>
      </c>
      <c r="AA2714" s="9" t="n">
        <f aca="false">IF(AND(M2714&lt;&gt;"",OR(M2714&lt;5,M2714&gt;180)),1,0)</f>
        <v>0</v>
      </c>
      <c r="AB2714" s="7" t="str">
        <f aca="false">IF(P2714="DUP","Exact duplicate row",IF(T2714=1,"Missing Order ID",IF(S2714="DROP","Duplicate Order ID (less complete row)",IF(U2714=1,"Missing Customer ID",IF(V2714=1,"Missing Restaurant name",IF(W2714=1,"Invalid/outlier quantity",IF(X2714=1,"Invalid/outlier unit price",IF(Y2714=1,"Discount greater than order value",""))))))))</f>
        <v/>
      </c>
      <c r="AC2714" s="7" t="str">
        <f aca="false">IF(AB2714="","KEEP","DROP")</f>
        <v>KEEP</v>
      </c>
      <c r="AD2714" s="7" t="str">
        <f aca="false">IF(TRIM(F2714)="",IFERROR(INDEX(Map_Tables!$I$4:$I$37,MATCH(TRIM(E2714),Map_Tables!$G$4:$G$37,0)),""),IFERROR(INDEX(Map_Tables!$B$4:$B$18,MATCH(TRIM(F2714),Map_Tables!$A$4:$A$18,0)),"CHECK"))</f>
        <v>Pune</v>
      </c>
      <c r="AE2714" s="7" t="str">
        <f aca="false">IF(TRIM(E2714)="","",IFERROR(INDEX(Map_Tables!$H$4:$H$37,MATCH(TRIM(E2714),Map_Tables!$G$4:$G$37,0)),"CHECK"))</f>
        <v>Maratha Thali House</v>
      </c>
      <c r="AF2714" s="7" t="str">
        <f aca="false">IF(TRIM(K2714)="","Unknown",IFERROR(INDEX(Map_Tables!$E$4:$E$15,MATCH(TRIM(K2714),Map_Tables!$D$4:$D$15,0)),"CHECK"))</f>
        <v>UPI</v>
      </c>
      <c r="AG2714" s="7" t="str">
        <f aca="false">IF(LEFT(LOWER(TRIM(L2714)),6)="cancel","Cancelled","Delivered")</f>
        <v>Delivered</v>
      </c>
      <c r="AH2714" s="10" t="n">
        <f aca="false">IF(ISNUMBER(SEARCH("/",B2714)),DATE(VALUE(RIGHT(B2714,4)),VALUE(MID(B2714,4,2)),VALUE(LEFT(B2714,2))),IF(MID(B2714,5,1)="-",DATE(VALUE(LEFT(B2714,4)),VALUE(MID(B2714,6,2)),VALUE(RIGHT(B2714,2))),DATE(VALUE(RIGHT(B2714,4)),MATCH(MID(B2714,4,3),{"Jan","Feb","Mar","Apr","May","Jun","Jul","Aug","Sep","Oct","Nov","Dec"},0),VALUE(LEFT(B2714,2)))))</f>
        <v>45918</v>
      </c>
    </row>
    <row r="2715" customFormat="false" ht="15" hidden="false" customHeight="false" outlineLevel="0" collapsed="false">
      <c r="A2715" s="7" t="s">
        <v>5742</v>
      </c>
      <c r="B2715" s="7" t="s">
        <v>3122</v>
      </c>
      <c r="C2715" s="7" t="s">
        <v>2266</v>
      </c>
      <c r="D2715" s="7" t="s">
        <v>5162</v>
      </c>
      <c r="E2715" s="7" t="s">
        <v>147</v>
      </c>
      <c r="F2715" s="7" t="s">
        <v>119</v>
      </c>
      <c r="G2715" s="7" t="s">
        <v>95</v>
      </c>
      <c r="H2715" s="7" t="n">
        <v>2</v>
      </c>
      <c r="I2715" s="7" t="n">
        <v>130</v>
      </c>
      <c r="J2715" s="7" t="n">
        <v>0</v>
      </c>
      <c r="K2715" s="7" t="s">
        <v>112</v>
      </c>
      <c r="L2715" s="7" t="s">
        <v>194</v>
      </c>
      <c r="M2715" s="7" t="n">
        <v>37</v>
      </c>
      <c r="N2715" s="7" t="n">
        <v>4</v>
      </c>
      <c r="O2715" s="7" t="str">
        <f aca="false">A2715&amp;"|"&amp;B2715&amp;"|"&amp;C2715&amp;"|"&amp;D2715&amp;"|"&amp;E2715&amp;"|"&amp;F2715&amp;"|"&amp;G2715&amp;"|"&amp;H2715&amp;"|"&amp;I2715&amp;"|"&amp;J2715&amp;"|"&amp;K2715&amp;"|"&amp;L2715&amp;"|"&amp;M2715&amp;"|"&amp;N2715</f>
        <v>ORD12492|2025-11-09|11:45|C0217|Andhra Meals Mess|Hyderabad|South Indian|2|130|0|Cash on Delivery|Delivered|37|4</v>
      </c>
      <c r="P2715" s="7" t="str">
        <f aca="false">IF(COUNTIF($O$2:O2715,O2715)&gt;1,"DUP","OK")</f>
        <v>OK</v>
      </c>
      <c r="Q2715" s="7" t="n">
        <f aca="false">COUNTBLANK(A2715:N2715)</f>
        <v>0</v>
      </c>
      <c r="R2715" s="7" t="n">
        <f aca="false">IF(A2715="",0,COUNTIFS($A$2:$A$3058,A2715,$P$2:$P$3058,"OK"))</f>
        <v>1</v>
      </c>
      <c r="S2715" s="7" t="str">
        <f aca="false">IF(OR(A2715="",P2715="DUP",R2715&lt;2),"",IF(Q2715=_xlfn.MINIFS($Q$2:$Q$3058,$A$2:$A$3058,A2715,$P$2:$P$3058,"OK"),"KEEP","DROP"))</f>
        <v/>
      </c>
      <c r="T2715" s="9" t="n">
        <f aca="false">IF(A2715="",1,0)</f>
        <v>0</v>
      </c>
      <c r="U2715" s="9" t="n">
        <f aca="false">IF(D2715="",1,0)</f>
        <v>0</v>
      </c>
      <c r="V2715" s="9" t="n">
        <f aca="false">IF(E2715="",1,0)</f>
        <v>0</v>
      </c>
      <c r="W2715" s="9" t="n">
        <f aca="false">IF(OR(H2715&lt;1,H2715&gt;10),1,0)</f>
        <v>0</v>
      </c>
      <c r="X2715" s="9" t="n">
        <f aca="false">IF(OR(I2715&lt;=0,I2715&gt;1500),1,0)</f>
        <v>0</v>
      </c>
      <c r="Y2715" s="9" t="n">
        <f aca="false">IF(J2715&gt;H2715*I2715,1,0)</f>
        <v>0</v>
      </c>
      <c r="Z2715" s="9" t="n">
        <f aca="false">IF(AND(N2715&lt;&gt;"",OR(N2715&lt;1,N2715&gt;5)),1,0)</f>
        <v>0</v>
      </c>
      <c r="AA2715" s="9" t="n">
        <f aca="false">IF(AND(M2715&lt;&gt;"",OR(M2715&lt;5,M2715&gt;180)),1,0)</f>
        <v>0</v>
      </c>
      <c r="AB2715" s="7" t="str">
        <f aca="false">IF(P2715="DUP","Exact duplicate row",IF(T2715=1,"Missing Order ID",IF(S2715="DROP","Duplicate Order ID (less complete row)",IF(U2715=1,"Missing Customer ID",IF(V2715=1,"Missing Restaurant name",IF(W2715=1,"Invalid/outlier quantity",IF(X2715=1,"Invalid/outlier unit price",IF(Y2715=1,"Discount greater than order value",""))))))))</f>
        <v/>
      </c>
      <c r="AC2715" s="7" t="str">
        <f aca="false">IF(AB2715="","KEEP","DROP")</f>
        <v>KEEP</v>
      </c>
      <c r="AD2715" s="7" t="str">
        <f aca="false">IF(TRIM(F2715)="",IFERROR(INDEX(Map_Tables!$I$4:$I$37,MATCH(TRIM(E2715),Map_Tables!$G$4:$G$37,0)),""),IFERROR(INDEX(Map_Tables!$B$4:$B$18,MATCH(TRIM(F2715),Map_Tables!$A$4:$A$18,0)),"CHECK"))</f>
        <v>Hyderabad</v>
      </c>
      <c r="AE2715" s="7" t="str">
        <f aca="false">IF(TRIM(E2715)="","",IFERROR(INDEX(Map_Tables!$H$4:$H$37,MATCH(TRIM(E2715),Map_Tables!$G$4:$G$37,0)),"CHECK"))</f>
        <v>Andhra Meals Mess</v>
      </c>
      <c r="AF2715" s="7" t="str">
        <f aca="false">IF(TRIM(K2715)="","Unknown",IFERROR(INDEX(Map_Tables!$E$4:$E$15,MATCH(TRIM(K2715),Map_Tables!$D$4:$D$15,0)),"CHECK"))</f>
        <v>Cash on Delivery</v>
      </c>
      <c r="AG2715" s="7" t="str">
        <f aca="false">IF(LEFT(LOWER(TRIM(L2715)),6)="cancel","Cancelled","Delivered")</f>
        <v>Delivered</v>
      </c>
      <c r="AH2715" s="10" t="n">
        <f aca="false">IF(ISNUMBER(SEARCH("/",B2715)),DATE(VALUE(RIGHT(B2715,4)),VALUE(MID(B2715,4,2)),VALUE(LEFT(B2715,2))),IF(MID(B2715,5,1)="-",DATE(VALUE(LEFT(B2715,4)),VALUE(MID(B2715,6,2)),VALUE(RIGHT(B2715,2))),DATE(VALUE(RIGHT(B2715,4)),MATCH(MID(B2715,4,3),{"Jan","Feb","Mar","Apr","May","Jun","Jul","Aug","Sep","Oct","Nov","Dec"},0),VALUE(LEFT(B2715,2)))))</f>
        <v>45970</v>
      </c>
    </row>
    <row r="2716" customFormat="false" ht="15" hidden="false" customHeight="false" outlineLevel="0" collapsed="false">
      <c r="A2716" s="7" t="s">
        <v>5743</v>
      </c>
      <c r="B2716" s="7" t="s">
        <v>432</v>
      </c>
      <c r="C2716" s="7" t="s">
        <v>2904</v>
      </c>
      <c r="D2716" s="7" t="s">
        <v>192</v>
      </c>
      <c r="E2716" s="7" t="s">
        <v>165</v>
      </c>
      <c r="F2716" s="7" t="s">
        <v>146</v>
      </c>
      <c r="G2716" s="7" t="s">
        <v>90</v>
      </c>
      <c r="H2716" s="7" t="n">
        <v>4</v>
      </c>
      <c r="I2716" s="7" t="n">
        <v>205</v>
      </c>
      <c r="J2716" s="7" t="n">
        <v>125</v>
      </c>
      <c r="K2716" s="7"/>
      <c r="L2716" s="7" t="s">
        <v>238</v>
      </c>
      <c r="M2716" s="7"/>
      <c r="N2716" s="7"/>
      <c r="O2716" s="7" t="str">
        <f aca="false">A2716&amp;"|"&amp;B2716&amp;"|"&amp;C2716&amp;"|"&amp;D2716&amp;"|"&amp;E2716&amp;"|"&amp;F2716&amp;"|"&amp;G2716&amp;"|"&amp;H2716&amp;"|"&amp;I2716&amp;"|"&amp;J2716&amp;"|"&amp;K2716&amp;"|"&amp;L2716&amp;"|"&amp;M2716&amp;"|"&amp;N2716</f>
        <v>ORD11811|2025-08-24|22:17|C0623|Gujarati Thali Ghar|Ahmedabad|North Indian|4|205|125||Cancelled||</v>
      </c>
      <c r="P2716" s="7" t="str">
        <f aca="false">IF(COUNTIF($O$2:O2716,O2716)&gt;1,"DUP","OK")</f>
        <v>OK</v>
      </c>
      <c r="Q2716" s="7" t="n">
        <f aca="false">COUNTBLANK(A2716:N2716)</f>
        <v>3</v>
      </c>
      <c r="R2716" s="7" t="n">
        <f aca="false">IF(A2716="",0,COUNTIFS($A$2:$A$3058,A2716,$P$2:$P$3058,"OK"))</f>
        <v>1</v>
      </c>
      <c r="S2716" s="7" t="str">
        <f aca="false">IF(OR(A2716="",P2716="DUP",R2716&lt;2),"",IF(Q2716=_xlfn.MINIFS($Q$2:$Q$3058,$A$2:$A$3058,A2716,$P$2:$P$3058,"OK"),"KEEP","DROP"))</f>
        <v/>
      </c>
      <c r="T2716" s="9" t="n">
        <f aca="false">IF(A2716="",1,0)</f>
        <v>0</v>
      </c>
      <c r="U2716" s="9" t="n">
        <f aca="false">IF(D2716="",1,0)</f>
        <v>0</v>
      </c>
      <c r="V2716" s="9" t="n">
        <f aca="false">IF(E2716="",1,0)</f>
        <v>0</v>
      </c>
      <c r="W2716" s="9" t="n">
        <f aca="false">IF(OR(H2716&lt;1,H2716&gt;10),1,0)</f>
        <v>0</v>
      </c>
      <c r="X2716" s="9" t="n">
        <f aca="false">IF(OR(I2716&lt;=0,I2716&gt;1500),1,0)</f>
        <v>0</v>
      </c>
      <c r="Y2716" s="9" t="n">
        <f aca="false">IF(J2716&gt;H2716*I2716,1,0)</f>
        <v>0</v>
      </c>
      <c r="Z2716" s="9" t="n">
        <f aca="false">IF(AND(N2716&lt;&gt;"",OR(N2716&lt;1,N2716&gt;5)),1,0)</f>
        <v>0</v>
      </c>
      <c r="AA2716" s="9" t="n">
        <f aca="false">IF(AND(M2716&lt;&gt;"",OR(M2716&lt;5,M2716&gt;180)),1,0)</f>
        <v>0</v>
      </c>
      <c r="AB2716" s="7" t="str">
        <f aca="false">IF(P2716="DUP","Exact duplicate row",IF(T2716=1,"Missing Order ID",IF(S2716="DROP","Duplicate Order ID (less complete row)",IF(U2716=1,"Missing Customer ID",IF(V2716=1,"Missing Restaurant name",IF(W2716=1,"Invalid/outlier quantity",IF(X2716=1,"Invalid/outlier unit price",IF(Y2716=1,"Discount greater than order value",""))))))))</f>
        <v/>
      </c>
      <c r="AC2716" s="7" t="str">
        <f aca="false">IF(AB2716="","KEEP","DROP")</f>
        <v>KEEP</v>
      </c>
      <c r="AD2716" s="7" t="str">
        <f aca="false">IF(TRIM(F2716)="",IFERROR(INDEX(Map_Tables!$I$4:$I$37,MATCH(TRIM(E2716),Map_Tables!$G$4:$G$37,0)),""),IFERROR(INDEX(Map_Tables!$B$4:$B$18,MATCH(TRIM(F2716),Map_Tables!$A$4:$A$18,0)),"CHECK"))</f>
        <v>Ahmedabad</v>
      </c>
      <c r="AE2716" s="7" t="str">
        <f aca="false">IF(TRIM(E2716)="","",IFERROR(INDEX(Map_Tables!$H$4:$H$37,MATCH(TRIM(E2716),Map_Tables!$G$4:$G$37,0)),"CHECK"))</f>
        <v>Gujarati Thali Ghar</v>
      </c>
      <c r="AF2716" s="7" t="str">
        <f aca="false">IF(TRIM(K2716)="","Unknown",IFERROR(INDEX(Map_Tables!$E$4:$E$15,MATCH(TRIM(K2716),Map_Tables!$D$4:$D$15,0)),"CHECK"))</f>
        <v>Unknown</v>
      </c>
      <c r="AG2716" s="7" t="str">
        <f aca="false">IF(LEFT(LOWER(TRIM(L2716)),6)="cancel","Cancelled","Delivered")</f>
        <v>Cancelled</v>
      </c>
      <c r="AH2716" s="10" t="n">
        <f aca="false">IF(ISNUMBER(SEARCH("/",B2716)),DATE(VALUE(RIGHT(B2716,4)),VALUE(MID(B2716,4,2)),VALUE(LEFT(B2716,2))),IF(MID(B2716,5,1)="-",DATE(VALUE(LEFT(B2716,4)),VALUE(MID(B2716,6,2)),VALUE(RIGHT(B2716,2))),DATE(VALUE(RIGHT(B2716,4)),MATCH(MID(B2716,4,3),{"Jan","Feb","Mar","Apr","May","Jun","Jul","Aug","Sep","Oct","Nov","Dec"},0),VALUE(LEFT(B2716,2)))))</f>
        <v>45893</v>
      </c>
    </row>
    <row r="2717" customFormat="false" ht="15" hidden="false" customHeight="false" outlineLevel="0" collapsed="false">
      <c r="A2717" s="7" t="s">
        <v>5744</v>
      </c>
      <c r="B2717" s="7" t="s">
        <v>1845</v>
      </c>
      <c r="C2717" s="7" t="s">
        <v>5159</v>
      </c>
      <c r="D2717" s="7" t="s">
        <v>3706</v>
      </c>
      <c r="E2717" s="7" t="s">
        <v>126</v>
      </c>
      <c r="F2717" s="7" t="s">
        <v>101</v>
      </c>
      <c r="G2717" s="7" t="s">
        <v>105</v>
      </c>
      <c r="H2717" s="7" t="n">
        <v>5</v>
      </c>
      <c r="I2717" s="7" t="n">
        <v>190</v>
      </c>
      <c r="J2717" s="7" t="n">
        <v>150</v>
      </c>
      <c r="K2717" s="7" t="s">
        <v>298</v>
      </c>
      <c r="L2717" s="7" t="s">
        <v>194</v>
      </c>
      <c r="M2717" s="7" t="n">
        <v>41</v>
      </c>
      <c r="N2717" s="7" t="n">
        <v>4</v>
      </c>
      <c r="O2717" s="7" t="str">
        <f aca="false">A2717&amp;"|"&amp;B2717&amp;"|"&amp;C2717&amp;"|"&amp;D2717&amp;"|"&amp;E2717&amp;"|"&amp;F2717&amp;"|"&amp;G2717&amp;"|"&amp;H2717&amp;"|"&amp;I2717&amp;"|"&amp;J2717&amp;"|"&amp;K2717&amp;"|"&amp;L2717&amp;"|"&amp;M2717&amp;"|"&amp;N2717</f>
        <v>ORD11995|2025-09-15|13:44|C0386|Dragon Express|Mumbai|Chinese|5|190|150|Cash On Delivery|Delivered|41|4</v>
      </c>
      <c r="P2717" s="7" t="str">
        <f aca="false">IF(COUNTIF($O$2:O2717,O2717)&gt;1,"DUP","OK")</f>
        <v>OK</v>
      </c>
      <c r="Q2717" s="7" t="n">
        <f aca="false">COUNTBLANK(A2717:N2717)</f>
        <v>0</v>
      </c>
      <c r="R2717" s="7" t="n">
        <f aca="false">IF(A2717="",0,COUNTIFS($A$2:$A$3058,A2717,$P$2:$P$3058,"OK"))</f>
        <v>1</v>
      </c>
      <c r="S2717" s="7" t="str">
        <f aca="false">IF(OR(A2717="",P2717="DUP",R2717&lt;2),"",IF(Q2717=_xlfn.MINIFS($Q$2:$Q$3058,$A$2:$A$3058,A2717,$P$2:$P$3058,"OK"),"KEEP","DROP"))</f>
        <v/>
      </c>
      <c r="T2717" s="9" t="n">
        <f aca="false">IF(A2717="",1,0)</f>
        <v>0</v>
      </c>
      <c r="U2717" s="9" t="n">
        <f aca="false">IF(D2717="",1,0)</f>
        <v>0</v>
      </c>
      <c r="V2717" s="9" t="n">
        <f aca="false">IF(E2717="",1,0)</f>
        <v>0</v>
      </c>
      <c r="W2717" s="9" t="n">
        <f aca="false">IF(OR(H2717&lt;1,H2717&gt;10),1,0)</f>
        <v>0</v>
      </c>
      <c r="X2717" s="9" t="n">
        <f aca="false">IF(OR(I2717&lt;=0,I2717&gt;1500),1,0)</f>
        <v>0</v>
      </c>
      <c r="Y2717" s="9" t="n">
        <f aca="false">IF(J2717&gt;H2717*I2717,1,0)</f>
        <v>0</v>
      </c>
      <c r="Z2717" s="9" t="n">
        <f aca="false">IF(AND(N2717&lt;&gt;"",OR(N2717&lt;1,N2717&gt;5)),1,0)</f>
        <v>0</v>
      </c>
      <c r="AA2717" s="9" t="n">
        <f aca="false">IF(AND(M2717&lt;&gt;"",OR(M2717&lt;5,M2717&gt;180)),1,0)</f>
        <v>0</v>
      </c>
      <c r="AB2717" s="7" t="str">
        <f aca="false">IF(P2717="DUP","Exact duplicate row",IF(T2717=1,"Missing Order ID",IF(S2717="DROP","Duplicate Order ID (less complete row)",IF(U2717=1,"Missing Customer ID",IF(V2717=1,"Missing Restaurant name",IF(W2717=1,"Invalid/outlier quantity",IF(X2717=1,"Invalid/outlier unit price",IF(Y2717=1,"Discount greater than order value",""))))))))</f>
        <v/>
      </c>
      <c r="AC2717" s="7" t="str">
        <f aca="false">IF(AB2717="","KEEP","DROP")</f>
        <v>KEEP</v>
      </c>
      <c r="AD2717" s="7" t="str">
        <f aca="false">IF(TRIM(F2717)="",IFERROR(INDEX(Map_Tables!$I$4:$I$37,MATCH(TRIM(E2717),Map_Tables!$G$4:$G$37,0)),""),IFERROR(INDEX(Map_Tables!$B$4:$B$18,MATCH(TRIM(F2717),Map_Tables!$A$4:$A$18,0)),"CHECK"))</f>
        <v>Mumbai</v>
      </c>
      <c r="AE2717" s="7" t="str">
        <f aca="false">IF(TRIM(E2717)="","",IFERROR(INDEX(Map_Tables!$H$4:$H$37,MATCH(TRIM(E2717),Map_Tables!$G$4:$G$37,0)),"CHECK"))</f>
        <v>Dragon Express</v>
      </c>
      <c r="AF2717" s="7" t="str">
        <f aca="false">IF(TRIM(K2717)="","Unknown",IFERROR(INDEX(Map_Tables!$E$4:$E$15,MATCH(TRIM(K2717),Map_Tables!$D$4:$D$15,0)),"CHECK"))</f>
        <v>Cash on Delivery</v>
      </c>
      <c r="AG2717" s="7" t="str">
        <f aca="false">IF(LEFT(LOWER(TRIM(L2717)),6)="cancel","Cancelled","Delivered")</f>
        <v>Delivered</v>
      </c>
      <c r="AH2717" s="10" t="n">
        <f aca="false">IF(ISNUMBER(SEARCH("/",B2717)),DATE(VALUE(RIGHT(B2717,4)),VALUE(MID(B2717,4,2)),VALUE(LEFT(B2717,2))),IF(MID(B2717,5,1)="-",DATE(VALUE(LEFT(B2717,4)),VALUE(MID(B2717,6,2)),VALUE(RIGHT(B2717,2))),DATE(VALUE(RIGHT(B2717,4)),MATCH(MID(B2717,4,3),{"Jan","Feb","Mar","Apr","May","Jun","Jul","Aug","Sep","Oct","Nov","Dec"},0),VALUE(LEFT(B2717,2)))))</f>
        <v>45915</v>
      </c>
    </row>
    <row r="2718" customFormat="false" ht="15" hidden="false" customHeight="false" outlineLevel="0" collapsed="false">
      <c r="A2718" s="7" t="s">
        <v>5745</v>
      </c>
      <c r="B2718" s="7" t="s">
        <v>360</v>
      </c>
      <c r="C2718" s="7" t="s">
        <v>5421</v>
      </c>
      <c r="D2718" s="7" t="s">
        <v>339</v>
      </c>
      <c r="E2718" s="7" t="s">
        <v>113</v>
      </c>
      <c r="F2718" s="7" t="s">
        <v>215</v>
      </c>
      <c r="G2718" s="7" t="s">
        <v>90</v>
      </c>
      <c r="H2718" s="7" t="n">
        <v>1</v>
      </c>
      <c r="I2718" s="7" t="n">
        <v>250</v>
      </c>
      <c r="J2718" s="7" t="n">
        <v>0</v>
      </c>
      <c r="K2718" s="7" t="s">
        <v>112</v>
      </c>
      <c r="L2718" s="7" t="s">
        <v>194</v>
      </c>
      <c r="M2718" s="7" t="n">
        <v>33</v>
      </c>
      <c r="N2718" s="7" t="n">
        <v>4</v>
      </c>
      <c r="O2718" s="7" t="str">
        <f aca="false">A2718&amp;"|"&amp;B2718&amp;"|"&amp;C2718&amp;"|"&amp;D2718&amp;"|"&amp;E2718&amp;"|"&amp;F2718&amp;"|"&amp;G2718&amp;"|"&amp;H2718&amp;"|"&amp;I2718&amp;"|"&amp;J2718&amp;"|"&amp;K2718&amp;"|"&amp;L2718&amp;"|"&amp;M2718&amp;"|"&amp;N2718</f>
        <v>ORD10720|2025-04-02|10:52|C0245|Curry Leaf Kitchen|MUMBAI|North Indian|1|250|0|Cash on Delivery|Delivered|33|4</v>
      </c>
      <c r="P2718" s="7" t="str">
        <f aca="false">IF(COUNTIF($O$2:O2718,O2718)&gt;1,"DUP","OK")</f>
        <v>OK</v>
      </c>
      <c r="Q2718" s="7" t="n">
        <f aca="false">COUNTBLANK(A2718:N2718)</f>
        <v>0</v>
      </c>
      <c r="R2718" s="7" t="n">
        <f aca="false">IF(A2718="",0,COUNTIFS($A$2:$A$3058,A2718,$P$2:$P$3058,"OK"))</f>
        <v>1</v>
      </c>
      <c r="S2718" s="7" t="str">
        <f aca="false">IF(OR(A2718="",P2718="DUP",R2718&lt;2),"",IF(Q2718=_xlfn.MINIFS($Q$2:$Q$3058,$A$2:$A$3058,A2718,$P$2:$P$3058,"OK"),"KEEP","DROP"))</f>
        <v/>
      </c>
      <c r="T2718" s="9" t="n">
        <f aca="false">IF(A2718="",1,0)</f>
        <v>0</v>
      </c>
      <c r="U2718" s="9" t="n">
        <f aca="false">IF(D2718="",1,0)</f>
        <v>0</v>
      </c>
      <c r="V2718" s="9" t="n">
        <f aca="false">IF(E2718="",1,0)</f>
        <v>0</v>
      </c>
      <c r="W2718" s="9" t="n">
        <f aca="false">IF(OR(H2718&lt;1,H2718&gt;10),1,0)</f>
        <v>0</v>
      </c>
      <c r="X2718" s="9" t="n">
        <f aca="false">IF(OR(I2718&lt;=0,I2718&gt;1500),1,0)</f>
        <v>0</v>
      </c>
      <c r="Y2718" s="9" t="n">
        <f aca="false">IF(J2718&gt;H2718*I2718,1,0)</f>
        <v>0</v>
      </c>
      <c r="Z2718" s="9" t="n">
        <f aca="false">IF(AND(N2718&lt;&gt;"",OR(N2718&lt;1,N2718&gt;5)),1,0)</f>
        <v>0</v>
      </c>
      <c r="AA2718" s="9" t="n">
        <f aca="false">IF(AND(M2718&lt;&gt;"",OR(M2718&lt;5,M2718&gt;180)),1,0)</f>
        <v>0</v>
      </c>
      <c r="AB2718" s="7" t="str">
        <f aca="false">IF(P2718="DUP","Exact duplicate row",IF(T2718=1,"Missing Order ID",IF(S2718="DROP","Duplicate Order ID (less complete row)",IF(U2718=1,"Missing Customer ID",IF(V2718=1,"Missing Restaurant name",IF(W2718=1,"Invalid/outlier quantity",IF(X2718=1,"Invalid/outlier unit price",IF(Y2718=1,"Discount greater than order value",""))))))))</f>
        <v/>
      </c>
      <c r="AC2718" s="7" t="str">
        <f aca="false">IF(AB2718="","KEEP","DROP")</f>
        <v>KEEP</v>
      </c>
      <c r="AD2718" s="7" t="str">
        <f aca="false">IF(TRIM(F2718)="",IFERROR(INDEX(Map_Tables!$I$4:$I$37,MATCH(TRIM(E2718),Map_Tables!$G$4:$G$37,0)),""),IFERROR(INDEX(Map_Tables!$B$4:$B$18,MATCH(TRIM(F2718),Map_Tables!$A$4:$A$18,0)),"CHECK"))</f>
        <v>Mumbai</v>
      </c>
      <c r="AE2718" s="7" t="str">
        <f aca="false">IF(TRIM(E2718)="","",IFERROR(INDEX(Map_Tables!$H$4:$H$37,MATCH(TRIM(E2718),Map_Tables!$G$4:$G$37,0)),"CHECK"))</f>
        <v>Curry Leaf Kitchen</v>
      </c>
      <c r="AF2718" s="7" t="str">
        <f aca="false">IF(TRIM(K2718)="","Unknown",IFERROR(INDEX(Map_Tables!$E$4:$E$15,MATCH(TRIM(K2718),Map_Tables!$D$4:$D$15,0)),"CHECK"))</f>
        <v>Cash on Delivery</v>
      </c>
      <c r="AG2718" s="7" t="str">
        <f aca="false">IF(LEFT(LOWER(TRIM(L2718)),6)="cancel","Cancelled","Delivered")</f>
        <v>Delivered</v>
      </c>
      <c r="AH2718" s="10" t="n">
        <f aca="false">IF(ISNUMBER(SEARCH("/",B2718)),DATE(VALUE(RIGHT(B2718,4)),VALUE(MID(B2718,4,2)),VALUE(LEFT(B2718,2))),IF(MID(B2718,5,1)="-",DATE(VALUE(LEFT(B2718,4)),VALUE(MID(B2718,6,2)),VALUE(RIGHT(B2718,2))),DATE(VALUE(RIGHT(B2718,4)),MATCH(MID(B2718,4,3),{"Jan","Feb","Mar","Apr","May","Jun","Jul","Aug","Sep","Oct","Nov","Dec"},0),VALUE(LEFT(B2718,2)))))</f>
        <v>45749</v>
      </c>
    </row>
    <row r="2719" customFormat="false" ht="15" hidden="false" customHeight="false" outlineLevel="0" collapsed="false">
      <c r="A2719" s="7" t="s">
        <v>5746</v>
      </c>
      <c r="B2719" s="7" t="s">
        <v>1667</v>
      </c>
      <c r="C2719" s="7" t="s">
        <v>686</v>
      </c>
      <c r="D2719" s="7" t="s">
        <v>1668</v>
      </c>
      <c r="E2719" s="7" t="s">
        <v>104</v>
      </c>
      <c r="F2719" s="7" t="s">
        <v>86</v>
      </c>
      <c r="G2719" s="7" t="s">
        <v>105</v>
      </c>
      <c r="H2719" s="7" t="n">
        <v>1</v>
      </c>
      <c r="I2719" s="7" t="n">
        <v>205</v>
      </c>
      <c r="J2719" s="7" t="n">
        <v>0</v>
      </c>
      <c r="K2719" s="7" t="s">
        <v>88</v>
      </c>
      <c r="L2719" s="7" t="s">
        <v>194</v>
      </c>
      <c r="M2719" s="7" t="n">
        <v>37</v>
      </c>
      <c r="N2719" s="7" t="n">
        <v>4</v>
      </c>
      <c r="O2719" s="7" t="str">
        <f aca="false">A2719&amp;"|"&amp;B2719&amp;"|"&amp;C2719&amp;"|"&amp;D2719&amp;"|"&amp;E2719&amp;"|"&amp;F2719&amp;"|"&amp;G2719&amp;"|"&amp;H2719&amp;"|"&amp;I2719&amp;"|"&amp;J2719&amp;"|"&amp;K2719&amp;"|"&amp;L2719&amp;"|"&amp;M2719&amp;"|"&amp;N2719</f>
        <v>ORD11570|2025-07-24|19:57|C0221|Wok &amp; Roll|Bengaluru|Chinese|1|205|0|UPI|Delivered|37|4</v>
      </c>
      <c r="P2719" s="7" t="str">
        <f aca="false">IF(COUNTIF($O$2:O2719,O2719)&gt;1,"DUP","OK")</f>
        <v>OK</v>
      </c>
      <c r="Q2719" s="7" t="n">
        <f aca="false">COUNTBLANK(A2719:N2719)</f>
        <v>0</v>
      </c>
      <c r="R2719" s="7" t="n">
        <f aca="false">IF(A2719="",0,COUNTIFS($A$2:$A$3058,A2719,$P$2:$P$3058,"OK"))</f>
        <v>1</v>
      </c>
      <c r="S2719" s="7" t="str">
        <f aca="false">IF(OR(A2719="",P2719="DUP",R2719&lt;2),"",IF(Q2719=_xlfn.MINIFS($Q$2:$Q$3058,$A$2:$A$3058,A2719,$P$2:$P$3058,"OK"),"KEEP","DROP"))</f>
        <v/>
      </c>
      <c r="T2719" s="9" t="n">
        <f aca="false">IF(A2719="",1,0)</f>
        <v>0</v>
      </c>
      <c r="U2719" s="9" t="n">
        <f aca="false">IF(D2719="",1,0)</f>
        <v>0</v>
      </c>
      <c r="V2719" s="9" t="n">
        <f aca="false">IF(E2719="",1,0)</f>
        <v>0</v>
      </c>
      <c r="W2719" s="9" t="n">
        <f aca="false">IF(OR(H2719&lt;1,H2719&gt;10),1,0)</f>
        <v>0</v>
      </c>
      <c r="X2719" s="9" t="n">
        <f aca="false">IF(OR(I2719&lt;=0,I2719&gt;1500),1,0)</f>
        <v>0</v>
      </c>
      <c r="Y2719" s="9" t="n">
        <f aca="false">IF(J2719&gt;H2719*I2719,1,0)</f>
        <v>0</v>
      </c>
      <c r="Z2719" s="9" t="n">
        <f aca="false">IF(AND(N2719&lt;&gt;"",OR(N2719&lt;1,N2719&gt;5)),1,0)</f>
        <v>0</v>
      </c>
      <c r="AA2719" s="9" t="n">
        <f aca="false">IF(AND(M2719&lt;&gt;"",OR(M2719&lt;5,M2719&gt;180)),1,0)</f>
        <v>0</v>
      </c>
      <c r="AB2719" s="7" t="str">
        <f aca="false">IF(P2719="DUP","Exact duplicate row",IF(T2719=1,"Missing Order ID",IF(S2719="DROP","Duplicate Order ID (less complete row)",IF(U2719=1,"Missing Customer ID",IF(V2719=1,"Missing Restaurant name",IF(W2719=1,"Invalid/outlier quantity",IF(X2719=1,"Invalid/outlier unit price",IF(Y2719=1,"Discount greater than order value",""))))))))</f>
        <v/>
      </c>
      <c r="AC2719" s="7" t="str">
        <f aca="false">IF(AB2719="","KEEP","DROP")</f>
        <v>KEEP</v>
      </c>
      <c r="AD2719" s="7" t="str">
        <f aca="false">IF(TRIM(F2719)="",IFERROR(INDEX(Map_Tables!$I$4:$I$37,MATCH(TRIM(E2719),Map_Tables!$G$4:$G$37,0)),""),IFERROR(INDEX(Map_Tables!$B$4:$B$18,MATCH(TRIM(F2719),Map_Tables!$A$4:$A$18,0)),"CHECK"))</f>
        <v>Bengaluru</v>
      </c>
      <c r="AE2719" s="7" t="str">
        <f aca="false">IF(TRIM(E2719)="","",IFERROR(INDEX(Map_Tables!$H$4:$H$37,MATCH(TRIM(E2719),Map_Tables!$G$4:$G$37,0)),"CHECK"))</f>
        <v>Wok &amp; Roll</v>
      </c>
      <c r="AF2719" s="7" t="str">
        <f aca="false">IF(TRIM(K2719)="","Unknown",IFERROR(INDEX(Map_Tables!$E$4:$E$15,MATCH(TRIM(K2719),Map_Tables!$D$4:$D$15,0)),"CHECK"))</f>
        <v>UPI</v>
      </c>
      <c r="AG2719" s="7" t="str">
        <f aca="false">IF(LEFT(LOWER(TRIM(L2719)),6)="cancel","Cancelled","Delivered")</f>
        <v>Delivered</v>
      </c>
      <c r="AH2719" s="10" t="n">
        <f aca="false">IF(ISNUMBER(SEARCH("/",B2719)),DATE(VALUE(RIGHT(B2719,4)),VALUE(MID(B2719,4,2)),VALUE(LEFT(B2719,2))),IF(MID(B2719,5,1)="-",DATE(VALUE(LEFT(B2719,4)),VALUE(MID(B2719,6,2)),VALUE(RIGHT(B2719,2))),DATE(VALUE(RIGHT(B2719,4)),MATCH(MID(B2719,4,3),{"Jan","Feb","Mar","Apr","May","Jun","Jul","Aug","Sep","Oct","Nov","Dec"},0),VALUE(LEFT(B2719,2)))))</f>
        <v>45862</v>
      </c>
    </row>
    <row r="2720" customFormat="false" ht="15" hidden="false" customHeight="false" outlineLevel="0" collapsed="false">
      <c r="A2720" s="7" t="s">
        <v>5747</v>
      </c>
      <c r="B2720" s="7" t="s">
        <v>576</v>
      </c>
      <c r="C2720" s="7" t="s">
        <v>5149</v>
      </c>
      <c r="D2720" s="7" t="s">
        <v>1042</v>
      </c>
      <c r="E2720" s="7" t="s">
        <v>147</v>
      </c>
      <c r="F2720" s="7" t="s">
        <v>119</v>
      </c>
      <c r="G2720" s="7" t="s">
        <v>95</v>
      </c>
      <c r="H2720" s="7" t="n">
        <v>2</v>
      </c>
      <c r="I2720" s="7" t="n">
        <v>150</v>
      </c>
      <c r="J2720" s="7" t="n">
        <v>0</v>
      </c>
      <c r="K2720" s="7" t="s">
        <v>88</v>
      </c>
      <c r="L2720" s="7" t="s">
        <v>194</v>
      </c>
      <c r="M2720" s="7" t="n">
        <v>23</v>
      </c>
      <c r="N2720" s="7" t="n">
        <v>5</v>
      </c>
      <c r="O2720" s="7" t="str">
        <f aca="false">A2720&amp;"|"&amp;B2720&amp;"|"&amp;C2720&amp;"|"&amp;D2720&amp;"|"&amp;E2720&amp;"|"&amp;F2720&amp;"|"&amp;G2720&amp;"|"&amp;H2720&amp;"|"&amp;I2720&amp;"|"&amp;J2720&amp;"|"&amp;K2720&amp;"|"&amp;L2720&amp;"|"&amp;M2720&amp;"|"&amp;N2720</f>
        <v>ORD12276|2025-10-15|17:26|C0976|Andhra Meals Mess|Hyderabad|South Indian|2|150|0|UPI|Delivered|23|5</v>
      </c>
      <c r="P2720" s="7" t="str">
        <f aca="false">IF(COUNTIF($O$2:O2720,O2720)&gt;1,"DUP","OK")</f>
        <v>OK</v>
      </c>
      <c r="Q2720" s="7" t="n">
        <f aca="false">COUNTBLANK(A2720:N2720)</f>
        <v>0</v>
      </c>
      <c r="R2720" s="7" t="n">
        <f aca="false">IF(A2720="",0,COUNTIFS($A$2:$A$3058,A2720,$P$2:$P$3058,"OK"))</f>
        <v>1</v>
      </c>
      <c r="S2720" s="7" t="str">
        <f aca="false">IF(OR(A2720="",P2720="DUP",R2720&lt;2),"",IF(Q2720=_xlfn.MINIFS($Q$2:$Q$3058,$A$2:$A$3058,A2720,$P$2:$P$3058,"OK"),"KEEP","DROP"))</f>
        <v/>
      </c>
      <c r="T2720" s="9" t="n">
        <f aca="false">IF(A2720="",1,0)</f>
        <v>0</v>
      </c>
      <c r="U2720" s="9" t="n">
        <f aca="false">IF(D2720="",1,0)</f>
        <v>0</v>
      </c>
      <c r="V2720" s="9" t="n">
        <f aca="false">IF(E2720="",1,0)</f>
        <v>0</v>
      </c>
      <c r="W2720" s="9" t="n">
        <f aca="false">IF(OR(H2720&lt;1,H2720&gt;10),1,0)</f>
        <v>0</v>
      </c>
      <c r="X2720" s="9" t="n">
        <f aca="false">IF(OR(I2720&lt;=0,I2720&gt;1500),1,0)</f>
        <v>0</v>
      </c>
      <c r="Y2720" s="9" t="n">
        <f aca="false">IF(J2720&gt;H2720*I2720,1,0)</f>
        <v>0</v>
      </c>
      <c r="Z2720" s="9" t="n">
        <f aca="false">IF(AND(N2720&lt;&gt;"",OR(N2720&lt;1,N2720&gt;5)),1,0)</f>
        <v>0</v>
      </c>
      <c r="AA2720" s="9" t="n">
        <f aca="false">IF(AND(M2720&lt;&gt;"",OR(M2720&lt;5,M2720&gt;180)),1,0)</f>
        <v>0</v>
      </c>
      <c r="AB2720" s="7" t="str">
        <f aca="false">IF(P2720="DUP","Exact duplicate row",IF(T2720=1,"Missing Order ID",IF(S2720="DROP","Duplicate Order ID (less complete row)",IF(U2720=1,"Missing Customer ID",IF(V2720=1,"Missing Restaurant name",IF(W2720=1,"Invalid/outlier quantity",IF(X2720=1,"Invalid/outlier unit price",IF(Y2720=1,"Discount greater than order value",""))))))))</f>
        <v/>
      </c>
      <c r="AC2720" s="7" t="str">
        <f aca="false">IF(AB2720="","KEEP","DROP")</f>
        <v>KEEP</v>
      </c>
      <c r="AD2720" s="7" t="str">
        <f aca="false">IF(TRIM(F2720)="",IFERROR(INDEX(Map_Tables!$I$4:$I$37,MATCH(TRIM(E2720),Map_Tables!$G$4:$G$37,0)),""),IFERROR(INDEX(Map_Tables!$B$4:$B$18,MATCH(TRIM(F2720),Map_Tables!$A$4:$A$18,0)),"CHECK"))</f>
        <v>Hyderabad</v>
      </c>
      <c r="AE2720" s="7" t="str">
        <f aca="false">IF(TRIM(E2720)="","",IFERROR(INDEX(Map_Tables!$H$4:$H$37,MATCH(TRIM(E2720),Map_Tables!$G$4:$G$37,0)),"CHECK"))</f>
        <v>Andhra Meals Mess</v>
      </c>
      <c r="AF2720" s="7" t="str">
        <f aca="false">IF(TRIM(K2720)="","Unknown",IFERROR(INDEX(Map_Tables!$E$4:$E$15,MATCH(TRIM(K2720),Map_Tables!$D$4:$D$15,0)),"CHECK"))</f>
        <v>UPI</v>
      </c>
      <c r="AG2720" s="7" t="str">
        <f aca="false">IF(LEFT(LOWER(TRIM(L2720)),6)="cancel","Cancelled","Delivered")</f>
        <v>Delivered</v>
      </c>
      <c r="AH2720" s="10" t="n">
        <f aca="false">IF(ISNUMBER(SEARCH("/",B2720)),DATE(VALUE(RIGHT(B2720,4)),VALUE(MID(B2720,4,2)),VALUE(LEFT(B2720,2))),IF(MID(B2720,5,1)="-",DATE(VALUE(LEFT(B2720,4)),VALUE(MID(B2720,6,2)),VALUE(RIGHT(B2720,2))),DATE(VALUE(RIGHT(B2720,4)),MATCH(MID(B2720,4,3),{"Jan","Feb","Mar","Apr","May","Jun","Jul","Aug","Sep","Oct","Nov","Dec"},0),VALUE(LEFT(B2720,2)))))</f>
        <v>45945</v>
      </c>
    </row>
    <row r="2721" customFormat="false" ht="15" hidden="false" customHeight="false" outlineLevel="0" collapsed="false">
      <c r="A2721" s="7" t="s">
        <v>5748</v>
      </c>
      <c r="B2721" s="7" t="s">
        <v>838</v>
      </c>
      <c r="C2721" s="7" t="s">
        <v>2410</v>
      </c>
      <c r="D2721" s="7" t="s">
        <v>4680</v>
      </c>
      <c r="E2721" s="7" t="s">
        <v>113</v>
      </c>
      <c r="F2721" s="7" t="s">
        <v>101</v>
      </c>
      <c r="G2721" s="7" t="s">
        <v>90</v>
      </c>
      <c r="H2721" s="7" t="n">
        <v>-1</v>
      </c>
      <c r="I2721" s="7" t="n">
        <v>255</v>
      </c>
      <c r="J2721" s="7" t="n">
        <v>75</v>
      </c>
      <c r="K2721" s="7" t="s">
        <v>133</v>
      </c>
      <c r="L2721" s="7" t="s">
        <v>194</v>
      </c>
      <c r="M2721" s="7" t="n">
        <v>41</v>
      </c>
      <c r="N2721" s="7" t="n">
        <v>4</v>
      </c>
      <c r="O2721" s="7" t="str">
        <f aca="false">A2721&amp;"|"&amp;B2721&amp;"|"&amp;C2721&amp;"|"&amp;D2721&amp;"|"&amp;E2721&amp;"|"&amp;F2721&amp;"|"&amp;G2721&amp;"|"&amp;H2721&amp;"|"&amp;I2721&amp;"|"&amp;J2721&amp;"|"&amp;K2721&amp;"|"&amp;L2721&amp;"|"&amp;M2721&amp;"|"&amp;N2721</f>
        <v>ORD10435|2025-02-28|12:50|C0504|Curry Leaf Kitchen|Mumbai|North Indian|-1|255|75|Net Banking|Delivered|41|4</v>
      </c>
      <c r="P2721" s="7" t="str">
        <f aca="false">IF(COUNTIF($O$2:O2721,O2721)&gt;1,"DUP","OK")</f>
        <v>OK</v>
      </c>
      <c r="Q2721" s="7" t="n">
        <f aca="false">COUNTBLANK(A2721:N2721)</f>
        <v>0</v>
      </c>
      <c r="R2721" s="7" t="n">
        <f aca="false">IF(A2721="",0,COUNTIFS($A$2:$A$3058,A2721,$P$2:$P$3058,"OK"))</f>
        <v>1</v>
      </c>
      <c r="S2721" s="7" t="str">
        <f aca="false">IF(OR(A2721="",P2721="DUP",R2721&lt;2),"",IF(Q2721=_xlfn.MINIFS($Q$2:$Q$3058,$A$2:$A$3058,A2721,$P$2:$P$3058,"OK"),"KEEP","DROP"))</f>
        <v/>
      </c>
      <c r="T2721" s="9" t="n">
        <f aca="false">IF(A2721="",1,0)</f>
        <v>0</v>
      </c>
      <c r="U2721" s="9" t="n">
        <f aca="false">IF(D2721="",1,0)</f>
        <v>0</v>
      </c>
      <c r="V2721" s="9" t="n">
        <f aca="false">IF(E2721="",1,0)</f>
        <v>0</v>
      </c>
      <c r="W2721" s="9" t="n">
        <f aca="false">IF(OR(H2721&lt;1,H2721&gt;10),1,0)</f>
        <v>1</v>
      </c>
      <c r="X2721" s="9" t="n">
        <f aca="false">IF(OR(I2721&lt;=0,I2721&gt;1500),1,0)</f>
        <v>0</v>
      </c>
      <c r="Y2721" s="9" t="n">
        <f aca="false">IF(J2721&gt;H2721*I2721,1,0)</f>
        <v>1</v>
      </c>
      <c r="Z2721" s="9" t="n">
        <f aca="false">IF(AND(N2721&lt;&gt;"",OR(N2721&lt;1,N2721&gt;5)),1,0)</f>
        <v>0</v>
      </c>
      <c r="AA2721" s="9" t="n">
        <f aca="false">IF(AND(M2721&lt;&gt;"",OR(M2721&lt;5,M2721&gt;180)),1,0)</f>
        <v>0</v>
      </c>
      <c r="AB2721" s="7" t="str">
        <f aca="false">IF(P2721="DUP","Exact duplicate row",IF(T2721=1,"Missing Order ID",IF(S2721="DROP","Duplicate Order ID (less complete row)",IF(U2721=1,"Missing Customer ID",IF(V2721=1,"Missing Restaurant name",IF(W2721=1,"Invalid/outlier quantity",IF(X2721=1,"Invalid/outlier unit price",IF(Y2721=1,"Discount greater than order value",""))))))))</f>
        <v>Invalid/outlier quantity</v>
      </c>
      <c r="AC2721" s="7" t="str">
        <f aca="false">IF(AB2721="","KEEP","DROP")</f>
        <v>DROP</v>
      </c>
      <c r="AD2721" s="7" t="str">
        <f aca="false">IF(TRIM(F2721)="",IFERROR(INDEX(Map_Tables!$I$4:$I$37,MATCH(TRIM(E2721),Map_Tables!$G$4:$G$37,0)),""),IFERROR(INDEX(Map_Tables!$B$4:$B$18,MATCH(TRIM(F2721),Map_Tables!$A$4:$A$18,0)),"CHECK"))</f>
        <v>Mumbai</v>
      </c>
      <c r="AE2721" s="7" t="str">
        <f aca="false">IF(TRIM(E2721)="","",IFERROR(INDEX(Map_Tables!$H$4:$H$37,MATCH(TRIM(E2721),Map_Tables!$G$4:$G$37,0)),"CHECK"))</f>
        <v>Curry Leaf Kitchen</v>
      </c>
      <c r="AF2721" s="7" t="str">
        <f aca="false">IF(TRIM(K2721)="","Unknown",IFERROR(INDEX(Map_Tables!$E$4:$E$15,MATCH(TRIM(K2721),Map_Tables!$D$4:$D$15,0)),"CHECK"))</f>
        <v>Net Banking</v>
      </c>
      <c r="AG2721" s="7" t="str">
        <f aca="false">IF(LEFT(LOWER(TRIM(L2721)),6)="cancel","Cancelled","Delivered")</f>
        <v>Delivered</v>
      </c>
      <c r="AH2721" s="10" t="n">
        <f aca="false">IF(ISNUMBER(SEARCH("/",B2721)),DATE(VALUE(RIGHT(B2721,4)),VALUE(MID(B2721,4,2)),VALUE(LEFT(B2721,2))),IF(MID(B2721,5,1)="-",DATE(VALUE(LEFT(B2721,4)),VALUE(MID(B2721,6,2)),VALUE(RIGHT(B2721,2))),DATE(VALUE(RIGHT(B2721,4)),MATCH(MID(B2721,4,3),{"Jan","Feb","Mar","Apr","May","Jun","Jul","Aug","Sep","Oct","Nov","Dec"},0),VALUE(LEFT(B2721,2)))))</f>
        <v>45716</v>
      </c>
    </row>
    <row r="2722" customFormat="false" ht="15" hidden="false" customHeight="false" outlineLevel="0" collapsed="false">
      <c r="A2722" s="7" t="s">
        <v>5749</v>
      </c>
      <c r="B2722" s="7" t="s">
        <v>1976</v>
      </c>
      <c r="C2722" s="7" t="s">
        <v>428</v>
      </c>
      <c r="D2722" s="7" t="s">
        <v>1774</v>
      </c>
      <c r="E2722" s="7" t="s">
        <v>134</v>
      </c>
      <c r="F2722" s="7" t="s">
        <v>109</v>
      </c>
      <c r="G2722" s="7" t="s">
        <v>117</v>
      </c>
      <c r="H2722" s="7" t="n">
        <v>2</v>
      </c>
      <c r="I2722" s="7" t="n">
        <v>90</v>
      </c>
      <c r="J2722" s="7" t="n">
        <v>0</v>
      </c>
      <c r="K2722" s="7" t="s">
        <v>88</v>
      </c>
      <c r="L2722" s="7" t="s">
        <v>194</v>
      </c>
      <c r="M2722" s="7" t="n">
        <v>31</v>
      </c>
      <c r="N2722" s="7" t="n">
        <v>3</v>
      </c>
      <c r="O2722" s="7" t="str">
        <f aca="false">A2722&amp;"|"&amp;B2722&amp;"|"&amp;C2722&amp;"|"&amp;D2722&amp;"|"&amp;E2722&amp;"|"&amp;F2722&amp;"|"&amp;G2722&amp;"|"&amp;H2722&amp;"|"&amp;I2722&amp;"|"&amp;J2722&amp;"|"&amp;K2722&amp;"|"&amp;L2722&amp;"|"&amp;M2722&amp;"|"&amp;N2722</f>
        <v>ORD11300|2025-06-16|10:24|C0083|Chaat Corner|delhi|Street Food|2|90|0|UPI|Delivered|31|3</v>
      </c>
      <c r="P2722" s="7" t="str">
        <f aca="false">IF(COUNTIF($O$2:O2722,O2722)&gt;1,"DUP","OK")</f>
        <v>OK</v>
      </c>
      <c r="Q2722" s="7" t="n">
        <f aca="false">COUNTBLANK(A2722:N2722)</f>
        <v>0</v>
      </c>
      <c r="R2722" s="7" t="n">
        <f aca="false">IF(A2722="",0,COUNTIFS($A$2:$A$3058,A2722,$P$2:$P$3058,"OK"))</f>
        <v>1</v>
      </c>
      <c r="S2722" s="7" t="str">
        <f aca="false">IF(OR(A2722="",P2722="DUP",R2722&lt;2),"",IF(Q2722=_xlfn.MINIFS($Q$2:$Q$3058,$A$2:$A$3058,A2722,$P$2:$P$3058,"OK"),"KEEP","DROP"))</f>
        <v/>
      </c>
      <c r="T2722" s="9" t="n">
        <f aca="false">IF(A2722="",1,0)</f>
        <v>0</v>
      </c>
      <c r="U2722" s="9" t="n">
        <f aca="false">IF(D2722="",1,0)</f>
        <v>0</v>
      </c>
      <c r="V2722" s="9" t="n">
        <f aca="false">IF(E2722="",1,0)</f>
        <v>0</v>
      </c>
      <c r="W2722" s="9" t="n">
        <f aca="false">IF(OR(H2722&lt;1,H2722&gt;10),1,0)</f>
        <v>0</v>
      </c>
      <c r="X2722" s="9" t="n">
        <f aca="false">IF(OR(I2722&lt;=0,I2722&gt;1500),1,0)</f>
        <v>0</v>
      </c>
      <c r="Y2722" s="9" t="n">
        <f aca="false">IF(J2722&gt;H2722*I2722,1,0)</f>
        <v>0</v>
      </c>
      <c r="Z2722" s="9" t="n">
        <f aca="false">IF(AND(N2722&lt;&gt;"",OR(N2722&lt;1,N2722&gt;5)),1,0)</f>
        <v>0</v>
      </c>
      <c r="AA2722" s="9" t="n">
        <f aca="false">IF(AND(M2722&lt;&gt;"",OR(M2722&lt;5,M2722&gt;180)),1,0)</f>
        <v>0</v>
      </c>
      <c r="AB2722" s="7" t="str">
        <f aca="false">IF(P2722="DUP","Exact duplicate row",IF(T2722=1,"Missing Order ID",IF(S2722="DROP","Duplicate Order ID (less complete row)",IF(U2722=1,"Missing Customer ID",IF(V2722=1,"Missing Restaurant name",IF(W2722=1,"Invalid/outlier quantity",IF(X2722=1,"Invalid/outlier unit price",IF(Y2722=1,"Discount greater than order value",""))))))))</f>
        <v/>
      </c>
      <c r="AC2722" s="7" t="str">
        <f aca="false">IF(AB2722="","KEEP","DROP")</f>
        <v>KEEP</v>
      </c>
      <c r="AD2722" s="7" t="str">
        <f aca="false">IF(TRIM(F2722)="",IFERROR(INDEX(Map_Tables!$I$4:$I$37,MATCH(TRIM(E2722),Map_Tables!$G$4:$G$37,0)),""),IFERROR(INDEX(Map_Tables!$B$4:$B$18,MATCH(TRIM(F2722),Map_Tables!$A$4:$A$18,0)),"CHECK"))</f>
        <v>Delhi</v>
      </c>
      <c r="AE2722" s="7" t="str">
        <f aca="false">IF(TRIM(E2722)="","",IFERROR(INDEX(Map_Tables!$H$4:$H$37,MATCH(TRIM(E2722),Map_Tables!$G$4:$G$37,0)),"CHECK"))</f>
        <v>Chaat Corner</v>
      </c>
      <c r="AF2722" s="7" t="str">
        <f aca="false">IF(TRIM(K2722)="","Unknown",IFERROR(INDEX(Map_Tables!$E$4:$E$15,MATCH(TRIM(K2722),Map_Tables!$D$4:$D$15,0)),"CHECK"))</f>
        <v>UPI</v>
      </c>
      <c r="AG2722" s="7" t="str">
        <f aca="false">IF(LEFT(LOWER(TRIM(L2722)),6)="cancel","Cancelled","Delivered")</f>
        <v>Delivered</v>
      </c>
      <c r="AH2722" s="10" t="n">
        <f aca="false">IF(ISNUMBER(SEARCH("/",B2722)),DATE(VALUE(RIGHT(B2722,4)),VALUE(MID(B2722,4,2)),VALUE(LEFT(B2722,2))),IF(MID(B2722,5,1)="-",DATE(VALUE(LEFT(B2722,4)),VALUE(MID(B2722,6,2)),VALUE(RIGHT(B2722,2))),DATE(VALUE(RIGHT(B2722,4)),MATCH(MID(B2722,4,3),{"Jan","Feb","Mar","Apr","May","Jun","Jul","Aug","Sep","Oct","Nov","Dec"},0),VALUE(LEFT(B2722,2)))))</f>
        <v>45824</v>
      </c>
    </row>
    <row r="2723" customFormat="false" ht="15" hidden="false" customHeight="false" outlineLevel="0" collapsed="false">
      <c r="A2723" s="7" t="s">
        <v>5750</v>
      </c>
      <c r="B2723" s="7" t="s">
        <v>1171</v>
      </c>
      <c r="C2723" s="7" t="s">
        <v>1474</v>
      </c>
      <c r="D2723" s="7" t="s">
        <v>5751</v>
      </c>
      <c r="E2723" s="7" t="s">
        <v>5752</v>
      </c>
      <c r="F2723" s="7" t="s">
        <v>119</v>
      </c>
      <c r="G2723" s="7" t="s">
        <v>123</v>
      </c>
      <c r="H2723" s="7" t="n">
        <v>1</v>
      </c>
      <c r="I2723" s="7" t="n">
        <v>275</v>
      </c>
      <c r="J2723" s="7" t="n">
        <v>0</v>
      </c>
      <c r="K2723" s="7" t="s">
        <v>112</v>
      </c>
      <c r="L2723" s="7" t="s">
        <v>194</v>
      </c>
      <c r="M2723" s="7" t="n">
        <v>29</v>
      </c>
      <c r="N2723" s="7" t="n">
        <v>4</v>
      </c>
      <c r="O2723" s="7" t="str">
        <f aca="false">A2723&amp;"|"&amp;B2723&amp;"|"&amp;C2723&amp;"|"&amp;D2723&amp;"|"&amp;E2723&amp;"|"&amp;F2723&amp;"|"&amp;G2723&amp;"|"&amp;H2723&amp;"|"&amp;I2723&amp;"|"&amp;J2723&amp;"|"&amp;K2723&amp;"|"&amp;L2723&amp;"|"&amp;M2723&amp;"|"&amp;N2723</f>
        <v>ORD12175|2025-10-04|19:37|C1249| Pizza Palace|Hyderabad|Pizza|1|275|0|Cash on Delivery|Delivered|29|4</v>
      </c>
      <c r="P2723" s="7" t="str">
        <f aca="false">IF(COUNTIF($O$2:O2723,O2723)&gt;1,"DUP","OK")</f>
        <v>OK</v>
      </c>
      <c r="Q2723" s="7" t="n">
        <f aca="false">COUNTBLANK(A2723:N2723)</f>
        <v>0</v>
      </c>
      <c r="R2723" s="7" t="n">
        <f aca="false">IF(A2723="",0,COUNTIFS($A$2:$A$3058,A2723,$P$2:$P$3058,"OK"))</f>
        <v>1</v>
      </c>
      <c r="S2723" s="7" t="str">
        <f aca="false">IF(OR(A2723="",P2723="DUP",R2723&lt;2),"",IF(Q2723=_xlfn.MINIFS($Q$2:$Q$3058,$A$2:$A$3058,A2723,$P$2:$P$3058,"OK"),"KEEP","DROP"))</f>
        <v/>
      </c>
      <c r="T2723" s="9" t="n">
        <f aca="false">IF(A2723="",1,0)</f>
        <v>0</v>
      </c>
      <c r="U2723" s="9" t="n">
        <f aca="false">IF(D2723="",1,0)</f>
        <v>0</v>
      </c>
      <c r="V2723" s="9" t="n">
        <f aca="false">IF(E2723="",1,0)</f>
        <v>0</v>
      </c>
      <c r="W2723" s="9" t="n">
        <f aca="false">IF(OR(H2723&lt;1,H2723&gt;10),1,0)</f>
        <v>0</v>
      </c>
      <c r="X2723" s="9" t="n">
        <f aca="false">IF(OR(I2723&lt;=0,I2723&gt;1500),1,0)</f>
        <v>0</v>
      </c>
      <c r="Y2723" s="9" t="n">
        <f aca="false">IF(J2723&gt;H2723*I2723,1,0)</f>
        <v>0</v>
      </c>
      <c r="Z2723" s="9" t="n">
        <f aca="false">IF(AND(N2723&lt;&gt;"",OR(N2723&lt;1,N2723&gt;5)),1,0)</f>
        <v>0</v>
      </c>
      <c r="AA2723" s="9" t="n">
        <f aca="false">IF(AND(M2723&lt;&gt;"",OR(M2723&lt;5,M2723&gt;180)),1,0)</f>
        <v>0</v>
      </c>
      <c r="AB2723" s="7" t="str">
        <f aca="false">IF(P2723="DUP","Exact duplicate row",IF(T2723=1,"Missing Order ID",IF(S2723="DROP","Duplicate Order ID (less complete row)",IF(U2723=1,"Missing Customer ID",IF(V2723=1,"Missing Restaurant name",IF(W2723=1,"Invalid/outlier quantity",IF(X2723=1,"Invalid/outlier unit price",IF(Y2723=1,"Discount greater than order value",""))))))))</f>
        <v/>
      </c>
      <c r="AC2723" s="7" t="str">
        <f aca="false">IF(AB2723="","KEEP","DROP")</f>
        <v>KEEP</v>
      </c>
      <c r="AD2723" s="7" t="str">
        <f aca="false">IF(TRIM(F2723)="",IFERROR(INDEX(Map_Tables!$I$4:$I$37,MATCH(TRIM(E2723),Map_Tables!$G$4:$G$37,0)),""),IFERROR(INDEX(Map_Tables!$B$4:$B$18,MATCH(TRIM(F2723),Map_Tables!$A$4:$A$18,0)),"CHECK"))</f>
        <v>Hyderabad</v>
      </c>
      <c r="AE2723" s="7" t="str">
        <f aca="false">IF(TRIM(E2723)="","",IFERROR(INDEX(Map_Tables!$H$4:$H$37,MATCH(TRIM(E2723),Map_Tables!$G$4:$G$37,0)),"CHECK"))</f>
        <v>Pizza Palace</v>
      </c>
      <c r="AF2723" s="7" t="str">
        <f aca="false">IF(TRIM(K2723)="","Unknown",IFERROR(INDEX(Map_Tables!$E$4:$E$15,MATCH(TRIM(K2723),Map_Tables!$D$4:$D$15,0)),"CHECK"))</f>
        <v>Cash on Delivery</v>
      </c>
      <c r="AG2723" s="7" t="str">
        <f aca="false">IF(LEFT(LOWER(TRIM(L2723)),6)="cancel","Cancelled","Delivered")</f>
        <v>Delivered</v>
      </c>
      <c r="AH2723" s="10" t="n">
        <f aca="false">IF(ISNUMBER(SEARCH("/",B2723)),DATE(VALUE(RIGHT(B2723,4)),VALUE(MID(B2723,4,2)),VALUE(LEFT(B2723,2))),IF(MID(B2723,5,1)="-",DATE(VALUE(LEFT(B2723,4)),VALUE(MID(B2723,6,2)),VALUE(RIGHT(B2723,2))),DATE(VALUE(RIGHT(B2723,4)),MATCH(MID(B2723,4,3),{"Jan","Feb","Mar","Apr","May","Jun","Jul","Aug","Sep","Oct","Nov","Dec"},0),VALUE(LEFT(B2723,2)))))</f>
        <v>45934</v>
      </c>
    </row>
    <row r="2724" customFormat="false" ht="15" hidden="false" customHeight="false" outlineLevel="0" collapsed="false">
      <c r="A2724" s="7" t="s">
        <v>5753</v>
      </c>
      <c r="B2724" s="7" t="s">
        <v>4352</v>
      </c>
      <c r="C2724" s="7" t="s">
        <v>2904</v>
      </c>
      <c r="D2724" s="7" t="s">
        <v>1385</v>
      </c>
      <c r="E2724" s="7" t="s">
        <v>130</v>
      </c>
      <c r="F2724" s="7" t="s">
        <v>756</v>
      </c>
      <c r="G2724" s="7" t="s">
        <v>90</v>
      </c>
      <c r="H2724" s="7" t="n">
        <v>2</v>
      </c>
      <c r="I2724" s="7" t="n">
        <v>250</v>
      </c>
      <c r="J2724" s="7" t="n">
        <v>0</v>
      </c>
      <c r="K2724" s="7" t="s">
        <v>88</v>
      </c>
      <c r="L2724" s="7" t="s">
        <v>194</v>
      </c>
      <c r="M2724" s="7" t="n">
        <v>36</v>
      </c>
      <c r="N2724" s="7" t="n">
        <v>3</v>
      </c>
      <c r="O2724" s="7" t="str">
        <f aca="false">A2724&amp;"|"&amp;B2724&amp;"|"&amp;C2724&amp;"|"&amp;D2724&amp;"|"&amp;E2724&amp;"|"&amp;F2724&amp;"|"&amp;G2724&amp;"|"&amp;H2724&amp;"|"&amp;I2724&amp;"|"&amp;J2724&amp;"|"&amp;K2724&amp;"|"&amp;L2724&amp;"|"&amp;M2724&amp;"|"&amp;N2724</f>
        <v>ORD10406|2025-02-23|22:17|C0178|Tandoor Tales|Delhi |North Indian|2|250|0|UPI|Delivered|36|3</v>
      </c>
      <c r="P2724" s="7" t="str">
        <f aca="false">IF(COUNTIF($O$2:O2724,O2724)&gt;1,"DUP","OK")</f>
        <v>OK</v>
      </c>
      <c r="Q2724" s="7" t="n">
        <f aca="false">COUNTBLANK(A2724:N2724)</f>
        <v>0</v>
      </c>
      <c r="R2724" s="7" t="n">
        <f aca="false">IF(A2724="",0,COUNTIFS($A$2:$A$3058,A2724,$P$2:$P$3058,"OK"))</f>
        <v>1</v>
      </c>
      <c r="S2724" s="7" t="str">
        <f aca="false">IF(OR(A2724="",P2724="DUP",R2724&lt;2),"",IF(Q2724=_xlfn.MINIFS($Q$2:$Q$3058,$A$2:$A$3058,A2724,$P$2:$P$3058,"OK"),"KEEP","DROP"))</f>
        <v/>
      </c>
      <c r="T2724" s="9" t="n">
        <f aca="false">IF(A2724="",1,0)</f>
        <v>0</v>
      </c>
      <c r="U2724" s="9" t="n">
        <f aca="false">IF(D2724="",1,0)</f>
        <v>0</v>
      </c>
      <c r="V2724" s="9" t="n">
        <f aca="false">IF(E2724="",1,0)</f>
        <v>0</v>
      </c>
      <c r="W2724" s="9" t="n">
        <f aca="false">IF(OR(H2724&lt;1,H2724&gt;10),1,0)</f>
        <v>0</v>
      </c>
      <c r="X2724" s="9" t="n">
        <f aca="false">IF(OR(I2724&lt;=0,I2724&gt;1500),1,0)</f>
        <v>0</v>
      </c>
      <c r="Y2724" s="9" t="n">
        <f aca="false">IF(J2724&gt;H2724*I2724,1,0)</f>
        <v>0</v>
      </c>
      <c r="Z2724" s="9" t="n">
        <f aca="false">IF(AND(N2724&lt;&gt;"",OR(N2724&lt;1,N2724&gt;5)),1,0)</f>
        <v>0</v>
      </c>
      <c r="AA2724" s="9" t="n">
        <f aca="false">IF(AND(M2724&lt;&gt;"",OR(M2724&lt;5,M2724&gt;180)),1,0)</f>
        <v>0</v>
      </c>
      <c r="AB2724" s="7" t="str">
        <f aca="false">IF(P2724="DUP","Exact duplicate row",IF(T2724=1,"Missing Order ID",IF(S2724="DROP","Duplicate Order ID (less complete row)",IF(U2724=1,"Missing Customer ID",IF(V2724=1,"Missing Restaurant name",IF(W2724=1,"Invalid/outlier quantity",IF(X2724=1,"Invalid/outlier unit price",IF(Y2724=1,"Discount greater than order value",""))))))))</f>
        <v/>
      </c>
      <c r="AC2724" s="7" t="str">
        <f aca="false">IF(AB2724="","KEEP","DROP")</f>
        <v>KEEP</v>
      </c>
      <c r="AD2724" s="7" t="str">
        <f aca="false">IF(TRIM(F2724)="",IFERROR(INDEX(Map_Tables!$I$4:$I$37,MATCH(TRIM(E2724),Map_Tables!$G$4:$G$37,0)),""),IFERROR(INDEX(Map_Tables!$B$4:$B$18,MATCH(TRIM(F2724),Map_Tables!$A$4:$A$18,0)),"CHECK"))</f>
        <v>Delhi</v>
      </c>
      <c r="AE2724" s="7" t="str">
        <f aca="false">IF(TRIM(E2724)="","",IFERROR(INDEX(Map_Tables!$H$4:$H$37,MATCH(TRIM(E2724),Map_Tables!$G$4:$G$37,0)),"CHECK"))</f>
        <v>Tandoor Tales</v>
      </c>
      <c r="AF2724" s="7" t="str">
        <f aca="false">IF(TRIM(K2724)="","Unknown",IFERROR(INDEX(Map_Tables!$E$4:$E$15,MATCH(TRIM(K2724),Map_Tables!$D$4:$D$15,0)),"CHECK"))</f>
        <v>UPI</v>
      </c>
      <c r="AG2724" s="7" t="str">
        <f aca="false">IF(LEFT(LOWER(TRIM(L2724)),6)="cancel","Cancelled","Delivered")</f>
        <v>Delivered</v>
      </c>
      <c r="AH2724" s="10" t="n">
        <f aca="false">IF(ISNUMBER(SEARCH("/",B2724)),DATE(VALUE(RIGHT(B2724,4)),VALUE(MID(B2724,4,2)),VALUE(LEFT(B2724,2))),IF(MID(B2724,5,1)="-",DATE(VALUE(LEFT(B2724,4)),VALUE(MID(B2724,6,2)),VALUE(RIGHT(B2724,2))),DATE(VALUE(RIGHT(B2724,4)),MATCH(MID(B2724,4,3),{"Jan","Feb","Mar","Apr","May","Jun","Jul","Aug","Sep","Oct","Nov","Dec"},0),VALUE(LEFT(B2724,2)))))</f>
        <v>45711</v>
      </c>
    </row>
    <row r="2725" customFormat="false" ht="15" hidden="false" customHeight="false" outlineLevel="0" collapsed="false">
      <c r="A2725" s="7" t="s">
        <v>5754</v>
      </c>
      <c r="B2725" s="7" t="s">
        <v>473</v>
      </c>
      <c r="C2725" s="7" t="s">
        <v>732</v>
      </c>
      <c r="D2725" s="7" t="s">
        <v>922</v>
      </c>
      <c r="E2725" s="7" t="s">
        <v>126</v>
      </c>
      <c r="F2725" s="7" t="s">
        <v>100</v>
      </c>
      <c r="G2725" s="7" t="s">
        <v>105</v>
      </c>
      <c r="H2725" s="7" t="n">
        <v>4</v>
      </c>
      <c r="I2725" s="7" t="n">
        <v>175</v>
      </c>
      <c r="J2725" s="7" t="n">
        <v>0</v>
      </c>
      <c r="K2725" s="7" t="s">
        <v>112</v>
      </c>
      <c r="L2725" s="7" t="s">
        <v>238</v>
      </c>
      <c r="M2725" s="7"/>
      <c r="N2725" s="7"/>
      <c r="O2725" s="7" t="str">
        <f aca="false">A2725&amp;"|"&amp;B2725&amp;"|"&amp;C2725&amp;"|"&amp;D2725&amp;"|"&amp;E2725&amp;"|"&amp;F2725&amp;"|"&amp;G2725&amp;"|"&amp;H2725&amp;"|"&amp;I2725&amp;"|"&amp;J2725&amp;"|"&amp;K2725&amp;"|"&amp;L2725&amp;"|"&amp;M2725&amp;"|"&amp;N2725</f>
        <v>ORD10822|2025-04-14|19:07|C0562|Dragon Express|mumbai|Chinese|4|175|0|Cash on Delivery|Cancelled||</v>
      </c>
      <c r="P2725" s="7" t="str">
        <f aca="false">IF(COUNTIF($O$2:O2725,O2725)&gt;1,"DUP","OK")</f>
        <v>OK</v>
      </c>
      <c r="Q2725" s="7" t="n">
        <f aca="false">COUNTBLANK(A2725:N2725)</f>
        <v>2</v>
      </c>
      <c r="R2725" s="7" t="n">
        <f aca="false">IF(A2725="",0,COUNTIFS($A$2:$A$3058,A2725,$P$2:$P$3058,"OK"))</f>
        <v>1</v>
      </c>
      <c r="S2725" s="7" t="str">
        <f aca="false">IF(OR(A2725="",P2725="DUP",R2725&lt;2),"",IF(Q2725=_xlfn.MINIFS($Q$2:$Q$3058,$A$2:$A$3058,A2725,$P$2:$P$3058,"OK"),"KEEP","DROP"))</f>
        <v/>
      </c>
      <c r="T2725" s="9" t="n">
        <f aca="false">IF(A2725="",1,0)</f>
        <v>0</v>
      </c>
      <c r="U2725" s="9" t="n">
        <f aca="false">IF(D2725="",1,0)</f>
        <v>0</v>
      </c>
      <c r="V2725" s="9" t="n">
        <f aca="false">IF(E2725="",1,0)</f>
        <v>0</v>
      </c>
      <c r="W2725" s="9" t="n">
        <f aca="false">IF(OR(H2725&lt;1,H2725&gt;10),1,0)</f>
        <v>0</v>
      </c>
      <c r="X2725" s="9" t="n">
        <f aca="false">IF(OR(I2725&lt;=0,I2725&gt;1500),1,0)</f>
        <v>0</v>
      </c>
      <c r="Y2725" s="9" t="n">
        <f aca="false">IF(J2725&gt;H2725*I2725,1,0)</f>
        <v>0</v>
      </c>
      <c r="Z2725" s="9" t="n">
        <f aca="false">IF(AND(N2725&lt;&gt;"",OR(N2725&lt;1,N2725&gt;5)),1,0)</f>
        <v>0</v>
      </c>
      <c r="AA2725" s="9" t="n">
        <f aca="false">IF(AND(M2725&lt;&gt;"",OR(M2725&lt;5,M2725&gt;180)),1,0)</f>
        <v>0</v>
      </c>
      <c r="AB2725" s="7" t="str">
        <f aca="false">IF(P2725="DUP","Exact duplicate row",IF(T2725=1,"Missing Order ID",IF(S2725="DROP","Duplicate Order ID (less complete row)",IF(U2725=1,"Missing Customer ID",IF(V2725=1,"Missing Restaurant name",IF(W2725=1,"Invalid/outlier quantity",IF(X2725=1,"Invalid/outlier unit price",IF(Y2725=1,"Discount greater than order value",""))))))))</f>
        <v/>
      </c>
      <c r="AC2725" s="7" t="str">
        <f aca="false">IF(AB2725="","KEEP","DROP")</f>
        <v>KEEP</v>
      </c>
      <c r="AD2725" s="7" t="str">
        <f aca="false">IF(TRIM(F2725)="",IFERROR(INDEX(Map_Tables!$I$4:$I$37,MATCH(TRIM(E2725),Map_Tables!$G$4:$G$37,0)),""),IFERROR(INDEX(Map_Tables!$B$4:$B$18,MATCH(TRIM(F2725),Map_Tables!$A$4:$A$18,0)),"CHECK"))</f>
        <v>Mumbai</v>
      </c>
      <c r="AE2725" s="7" t="str">
        <f aca="false">IF(TRIM(E2725)="","",IFERROR(INDEX(Map_Tables!$H$4:$H$37,MATCH(TRIM(E2725),Map_Tables!$G$4:$G$37,0)),"CHECK"))</f>
        <v>Dragon Express</v>
      </c>
      <c r="AF2725" s="7" t="str">
        <f aca="false">IF(TRIM(K2725)="","Unknown",IFERROR(INDEX(Map_Tables!$E$4:$E$15,MATCH(TRIM(K2725),Map_Tables!$D$4:$D$15,0)),"CHECK"))</f>
        <v>Cash on Delivery</v>
      </c>
      <c r="AG2725" s="7" t="str">
        <f aca="false">IF(LEFT(LOWER(TRIM(L2725)),6)="cancel","Cancelled","Delivered")</f>
        <v>Cancelled</v>
      </c>
      <c r="AH2725" s="10" t="n">
        <f aca="false">IF(ISNUMBER(SEARCH("/",B2725)),DATE(VALUE(RIGHT(B2725,4)),VALUE(MID(B2725,4,2)),VALUE(LEFT(B2725,2))),IF(MID(B2725,5,1)="-",DATE(VALUE(LEFT(B2725,4)),VALUE(MID(B2725,6,2)),VALUE(RIGHT(B2725,2))),DATE(VALUE(RIGHT(B2725,4)),MATCH(MID(B2725,4,3),{"Jan","Feb","Mar","Apr","May","Jun","Jul","Aug","Sep","Oct","Nov","Dec"},0),VALUE(LEFT(B2725,2)))))</f>
        <v>45761</v>
      </c>
    </row>
    <row r="2726" customFormat="false" ht="15" hidden="false" customHeight="false" outlineLevel="0" collapsed="false">
      <c r="A2726" s="7" t="s">
        <v>5755</v>
      </c>
      <c r="B2726" s="7" t="s">
        <v>696</v>
      </c>
      <c r="C2726" s="7" t="s">
        <v>2853</v>
      </c>
      <c r="D2726" s="7" t="s">
        <v>5756</v>
      </c>
      <c r="E2726" s="7" t="s">
        <v>104</v>
      </c>
      <c r="F2726" s="7" t="s">
        <v>86</v>
      </c>
      <c r="G2726" s="7" t="s">
        <v>105</v>
      </c>
      <c r="H2726" s="7" t="n">
        <v>1</v>
      </c>
      <c r="I2726" s="7" t="n">
        <v>185</v>
      </c>
      <c r="J2726" s="7" t="n">
        <v>40</v>
      </c>
      <c r="K2726" s="7" t="s">
        <v>2596</v>
      </c>
      <c r="L2726" s="7" t="s">
        <v>194</v>
      </c>
      <c r="M2726" s="7" t="n">
        <v>49</v>
      </c>
      <c r="N2726" s="7" t="n">
        <v>5</v>
      </c>
      <c r="O2726" s="7" t="str">
        <f aca="false">A2726&amp;"|"&amp;B2726&amp;"|"&amp;C2726&amp;"|"&amp;D2726&amp;"|"&amp;E2726&amp;"|"&amp;F2726&amp;"|"&amp;G2726&amp;"|"&amp;H2726&amp;"|"&amp;I2726&amp;"|"&amp;J2726&amp;"|"&amp;K2726&amp;"|"&amp;L2726&amp;"|"&amp;M2726&amp;"|"&amp;N2726</f>
        <v>ORD11790|2025-08-21|20:14|C1022|Wok &amp; Roll|Bengaluru|Chinese|1|185|40|COD|Delivered|49|5</v>
      </c>
      <c r="P2726" s="7" t="str">
        <f aca="false">IF(COUNTIF($O$2:O2726,O2726)&gt;1,"DUP","OK")</f>
        <v>OK</v>
      </c>
      <c r="Q2726" s="7" t="n">
        <f aca="false">COUNTBLANK(A2726:N2726)</f>
        <v>0</v>
      </c>
      <c r="R2726" s="7" t="n">
        <f aca="false">IF(A2726="",0,COUNTIFS($A$2:$A$3058,A2726,$P$2:$P$3058,"OK"))</f>
        <v>1</v>
      </c>
      <c r="S2726" s="7" t="str">
        <f aca="false">IF(OR(A2726="",P2726="DUP",R2726&lt;2),"",IF(Q2726=_xlfn.MINIFS($Q$2:$Q$3058,$A$2:$A$3058,A2726,$P$2:$P$3058,"OK"),"KEEP","DROP"))</f>
        <v/>
      </c>
      <c r="T2726" s="9" t="n">
        <f aca="false">IF(A2726="",1,0)</f>
        <v>0</v>
      </c>
      <c r="U2726" s="9" t="n">
        <f aca="false">IF(D2726="",1,0)</f>
        <v>0</v>
      </c>
      <c r="V2726" s="9" t="n">
        <f aca="false">IF(E2726="",1,0)</f>
        <v>0</v>
      </c>
      <c r="W2726" s="9" t="n">
        <f aca="false">IF(OR(H2726&lt;1,H2726&gt;10),1,0)</f>
        <v>0</v>
      </c>
      <c r="X2726" s="9" t="n">
        <f aca="false">IF(OR(I2726&lt;=0,I2726&gt;1500),1,0)</f>
        <v>0</v>
      </c>
      <c r="Y2726" s="9" t="n">
        <f aca="false">IF(J2726&gt;H2726*I2726,1,0)</f>
        <v>0</v>
      </c>
      <c r="Z2726" s="9" t="n">
        <f aca="false">IF(AND(N2726&lt;&gt;"",OR(N2726&lt;1,N2726&gt;5)),1,0)</f>
        <v>0</v>
      </c>
      <c r="AA2726" s="9" t="n">
        <f aca="false">IF(AND(M2726&lt;&gt;"",OR(M2726&lt;5,M2726&gt;180)),1,0)</f>
        <v>0</v>
      </c>
      <c r="AB2726" s="7" t="str">
        <f aca="false">IF(P2726="DUP","Exact duplicate row",IF(T2726=1,"Missing Order ID",IF(S2726="DROP","Duplicate Order ID (less complete row)",IF(U2726=1,"Missing Customer ID",IF(V2726=1,"Missing Restaurant name",IF(W2726=1,"Invalid/outlier quantity",IF(X2726=1,"Invalid/outlier unit price",IF(Y2726=1,"Discount greater than order value",""))))))))</f>
        <v/>
      </c>
      <c r="AC2726" s="7" t="str">
        <f aca="false">IF(AB2726="","KEEP","DROP")</f>
        <v>KEEP</v>
      </c>
      <c r="AD2726" s="7" t="str">
        <f aca="false">IF(TRIM(F2726)="",IFERROR(INDEX(Map_Tables!$I$4:$I$37,MATCH(TRIM(E2726),Map_Tables!$G$4:$G$37,0)),""),IFERROR(INDEX(Map_Tables!$B$4:$B$18,MATCH(TRIM(F2726),Map_Tables!$A$4:$A$18,0)),"CHECK"))</f>
        <v>Bengaluru</v>
      </c>
      <c r="AE2726" s="7" t="str">
        <f aca="false">IF(TRIM(E2726)="","",IFERROR(INDEX(Map_Tables!$H$4:$H$37,MATCH(TRIM(E2726),Map_Tables!$G$4:$G$37,0)),"CHECK"))</f>
        <v>Wok &amp; Roll</v>
      </c>
      <c r="AF2726" s="7" t="str">
        <f aca="false">IF(TRIM(K2726)="","Unknown",IFERROR(INDEX(Map_Tables!$E$4:$E$15,MATCH(TRIM(K2726),Map_Tables!$D$4:$D$15,0)),"CHECK"))</f>
        <v>Cash on Delivery</v>
      </c>
      <c r="AG2726" s="7" t="str">
        <f aca="false">IF(LEFT(LOWER(TRIM(L2726)),6)="cancel","Cancelled","Delivered")</f>
        <v>Delivered</v>
      </c>
      <c r="AH2726" s="10" t="n">
        <f aca="false">IF(ISNUMBER(SEARCH("/",B2726)),DATE(VALUE(RIGHT(B2726,4)),VALUE(MID(B2726,4,2)),VALUE(LEFT(B2726,2))),IF(MID(B2726,5,1)="-",DATE(VALUE(LEFT(B2726,4)),VALUE(MID(B2726,6,2)),VALUE(RIGHT(B2726,2))),DATE(VALUE(RIGHT(B2726,4)),MATCH(MID(B2726,4,3),{"Jan","Feb","Mar","Apr","May","Jun","Jul","Aug","Sep","Oct","Nov","Dec"},0),VALUE(LEFT(B2726,2)))))</f>
        <v>45890</v>
      </c>
    </row>
    <row r="2727" customFormat="false" ht="15" hidden="false" customHeight="false" outlineLevel="0" collapsed="false">
      <c r="A2727" s="7" t="s">
        <v>5757</v>
      </c>
      <c r="B2727" s="7" t="s">
        <v>1650</v>
      </c>
      <c r="C2727" s="7" t="s">
        <v>5643</v>
      </c>
      <c r="D2727" s="7" t="s">
        <v>2807</v>
      </c>
      <c r="E2727" s="7" t="s">
        <v>165</v>
      </c>
      <c r="F2727" s="7" t="s">
        <v>146</v>
      </c>
      <c r="G2727" s="7" t="s">
        <v>90</v>
      </c>
      <c r="H2727" s="7" t="n">
        <v>1</v>
      </c>
      <c r="I2727" s="7" t="n">
        <v>180</v>
      </c>
      <c r="J2727" s="7" t="n">
        <v>40</v>
      </c>
      <c r="K2727" s="7" t="s">
        <v>88</v>
      </c>
      <c r="L2727" s="7" t="s">
        <v>194</v>
      </c>
      <c r="M2727" s="7" t="n">
        <v>29</v>
      </c>
      <c r="N2727" s="7" t="n">
        <v>3</v>
      </c>
      <c r="O2727" s="7" t="str">
        <f aca="false">A2727&amp;"|"&amp;B2727&amp;"|"&amp;C2727&amp;"|"&amp;D2727&amp;"|"&amp;E2727&amp;"|"&amp;F2727&amp;"|"&amp;G2727&amp;"|"&amp;H2727&amp;"|"&amp;I2727&amp;"|"&amp;J2727&amp;"|"&amp;K2727&amp;"|"&amp;L2727&amp;"|"&amp;M2727&amp;"|"&amp;N2727</f>
        <v>ORD12954|2025-12-27|13:30|C1387|Gujarati Thali Ghar|Ahmedabad|North Indian|1|180|40|UPI|Delivered|29|3</v>
      </c>
      <c r="P2727" s="7" t="str">
        <f aca="false">IF(COUNTIF($O$2:O2727,O2727)&gt;1,"DUP","OK")</f>
        <v>OK</v>
      </c>
      <c r="Q2727" s="7" t="n">
        <f aca="false">COUNTBLANK(A2727:N2727)</f>
        <v>0</v>
      </c>
      <c r="R2727" s="7" t="n">
        <f aca="false">IF(A2727="",0,COUNTIFS($A$2:$A$3058,A2727,$P$2:$P$3058,"OK"))</f>
        <v>1</v>
      </c>
      <c r="S2727" s="7" t="str">
        <f aca="false">IF(OR(A2727="",P2727="DUP",R2727&lt;2),"",IF(Q2727=_xlfn.MINIFS($Q$2:$Q$3058,$A$2:$A$3058,A2727,$P$2:$P$3058,"OK"),"KEEP","DROP"))</f>
        <v/>
      </c>
      <c r="T2727" s="9" t="n">
        <f aca="false">IF(A2727="",1,0)</f>
        <v>0</v>
      </c>
      <c r="U2727" s="9" t="n">
        <f aca="false">IF(D2727="",1,0)</f>
        <v>0</v>
      </c>
      <c r="V2727" s="9" t="n">
        <f aca="false">IF(E2727="",1,0)</f>
        <v>0</v>
      </c>
      <c r="W2727" s="9" t="n">
        <f aca="false">IF(OR(H2727&lt;1,H2727&gt;10),1,0)</f>
        <v>0</v>
      </c>
      <c r="X2727" s="9" t="n">
        <f aca="false">IF(OR(I2727&lt;=0,I2727&gt;1500),1,0)</f>
        <v>0</v>
      </c>
      <c r="Y2727" s="9" t="n">
        <f aca="false">IF(J2727&gt;H2727*I2727,1,0)</f>
        <v>0</v>
      </c>
      <c r="Z2727" s="9" t="n">
        <f aca="false">IF(AND(N2727&lt;&gt;"",OR(N2727&lt;1,N2727&gt;5)),1,0)</f>
        <v>0</v>
      </c>
      <c r="AA2727" s="9" t="n">
        <f aca="false">IF(AND(M2727&lt;&gt;"",OR(M2727&lt;5,M2727&gt;180)),1,0)</f>
        <v>0</v>
      </c>
      <c r="AB2727" s="7" t="str">
        <f aca="false">IF(P2727="DUP","Exact duplicate row",IF(T2727=1,"Missing Order ID",IF(S2727="DROP","Duplicate Order ID (less complete row)",IF(U2727=1,"Missing Customer ID",IF(V2727=1,"Missing Restaurant name",IF(W2727=1,"Invalid/outlier quantity",IF(X2727=1,"Invalid/outlier unit price",IF(Y2727=1,"Discount greater than order value",""))))))))</f>
        <v/>
      </c>
      <c r="AC2727" s="7" t="str">
        <f aca="false">IF(AB2727="","KEEP","DROP")</f>
        <v>KEEP</v>
      </c>
      <c r="AD2727" s="7" t="str">
        <f aca="false">IF(TRIM(F2727)="",IFERROR(INDEX(Map_Tables!$I$4:$I$37,MATCH(TRIM(E2727),Map_Tables!$G$4:$G$37,0)),""),IFERROR(INDEX(Map_Tables!$B$4:$B$18,MATCH(TRIM(F2727),Map_Tables!$A$4:$A$18,0)),"CHECK"))</f>
        <v>Ahmedabad</v>
      </c>
      <c r="AE2727" s="7" t="str">
        <f aca="false">IF(TRIM(E2727)="","",IFERROR(INDEX(Map_Tables!$H$4:$H$37,MATCH(TRIM(E2727),Map_Tables!$G$4:$G$37,0)),"CHECK"))</f>
        <v>Gujarati Thali Ghar</v>
      </c>
      <c r="AF2727" s="7" t="str">
        <f aca="false">IF(TRIM(K2727)="","Unknown",IFERROR(INDEX(Map_Tables!$E$4:$E$15,MATCH(TRIM(K2727),Map_Tables!$D$4:$D$15,0)),"CHECK"))</f>
        <v>UPI</v>
      </c>
      <c r="AG2727" s="7" t="str">
        <f aca="false">IF(LEFT(LOWER(TRIM(L2727)),6)="cancel","Cancelled","Delivered")</f>
        <v>Delivered</v>
      </c>
      <c r="AH2727" s="10" t="n">
        <f aca="false">IF(ISNUMBER(SEARCH("/",B2727)),DATE(VALUE(RIGHT(B2727,4)),VALUE(MID(B2727,4,2)),VALUE(LEFT(B2727,2))),IF(MID(B2727,5,1)="-",DATE(VALUE(LEFT(B2727,4)),VALUE(MID(B2727,6,2)),VALUE(RIGHT(B2727,2))),DATE(VALUE(RIGHT(B2727,4)),MATCH(MID(B2727,4,3),{"Jan","Feb","Mar","Apr","May","Jun","Jul","Aug","Sep","Oct","Nov","Dec"},0),VALUE(LEFT(B2727,2)))))</f>
        <v>46018</v>
      </c>
    </row>
    <row r="2728" customFormat="false" ht="15" hidden="false" customHeight="false" outlineLevel="0" collapsed="false">
      <c r="A2728" s="7" t="s">
        <v>5758</v>
      </c>
      <c r="B2728" s="7" t="s">
        <v>5164</v>
      </c>
      <c r="C2728" s="7" t="s">
        <v>2398</v>
      </c>
      <c r="D2728" s="7" t="s">
        <v>4831</v>
      </c>
      <c r="E2728" s="7" t="s">
        <v>168</v>
      </c>
      <c r="F2728" s="7" t="s">
        <v>146</v>
      </c>
      <c r="G2728" s="7" t="s">
        <v>123</v>
      </c>
      <c r="H2728" s="7" t="n">
        <v>3</v>
      </c>
      <c r="I2728" s="7" t="n">
        <v>365</v>
      </c>
      <c r="J2728" s="7" t="n">
        <v>0</v>
      </c>
      <c r="K2728" s="7" t="s">
        <v>121</v>
      </c>
      <c r="L2728" s="7" t="s">
        <v>194</v>
      </c>
      <c r="M2728" s="7" t="n">
        <v>44</v>
      </c>
      <c r="N2728" s="7" t="n">
        <v>4</v>
      </c>
      <c r="O2728" s="7" t="str">
        <f aca="false">A2728&amp;"|"&amp;B2728&amp;"|"&amp;C2728&amp;"|"&amp;D2728&amp;"|"&amp;E2728&amp;"|"&amp;F2728&amp;"|"&amp;G2728&amp;"|"&amp;H2728&amp;"|"&amp;I2728&amp;"|"&amp;J2728&amp;"|"&amp;K2728&amp;"|"&amp;L2728&amp;"|"&amp;M2728&amp;"|"&amp;N2728</f>
        <v>ORD12352|23-Oct-2025|12:14|C1343|Cheesy Slice|Ahmedabad|Pizza|3|365|0|Wallet|Delivered|44|4</v>
      </c>
      <c r="P2728" s="7" t="str">
        <f aca="false">IF(COUNTIF($O$2:O2728,O2728)&gt;1,"DUP","OK")</f>
        <v>OK</v>
      </c>
      <c r="Q2728" s="7" t="n">
        <f aca="false">COUNTBLANK(A2728:N2728)</f>
        <v>0</v>
      </c>
      <c r="R2728" s="7" t="n">
        <f aca="false">IF(A2728="",0,COUNTIFS($A$2:$A$3058,A2728,$P$2:$P$3058,"OK"))</f>
        <v>1</v>
      </c>
      <c r="S2728" s="7" t="str">
        <f aca="false">IF(OR(A2728="",P2728="DUP",R2728&lt;2),"",IF(Q2728=_xlfn.MINIFS($Q$2:$Q$3058,$A$2:$A$3058,A2728,$P$2:$P$3058,"OK"),"KEEP","DROP"))</f>
        <v/>
      </c>
      <c r="T2728" s="9" t="n">
        <f aca="false">IF(A2728="",1,0)</f>
        <v>0</v>
      </c>
      <c r="U2728" s="9" t="n">
        <f aca="false">IF(D2728="",1,0)</f>
        <v>0</v>
      </c>
      <c r="V2728" s="9" t="n">
        <f aca="false">IF(E2728="",1,0)</f>
        <v>0</v>
      </c>
      <c r="W2728" s="9" t="n">
        <f aca="false">IF(OR(H2728&lt;1,H2728&gt;10),1,0)</f>
        <v>0</v>
      </c>
      <c r="X2728" s="9" t="n">
        <f aca="false">IF(OR(I2728&lt;=0,I2728&gt;1500),1,0)</f>
        <v>0</v>
      </c>
      <c r="Y2728" s="9" t="n">
        <f aca="false">IF(J2728&gt;H2728*I2728,1,0)</f>
        <v>0</v>
      </c>
      <c r="Z2728" s="9" t="n">
        <f aca="false">IF(AND(N2728&lt;&gt;"",OR(N2728&lt;1,N2728&gt;5)),1,0)</f>
        <v>0</v>
      </c>
      <c r="AA2728" s="9" t="n">
        <f aca="false">IF(AND(M2728&lt;&gt;"",OR(M2728&lt;5,M2728&gt;180)),1,0)</f>
        <v>0</v>
      </c>
      <c r="AB2728" s="7" t="str">
        <f aca="false">IF(P2728="DUP","Exact duplicate row",IF(T2728=1,"Missing Order ID",IF(S2728="DROP","Duplicate Order ID (less complete row)",IF(U2728=1,"Missing Customer ID",IF(V2728=1,"Missing Restaurant name",IF(W2728=1,"Invalid/outlier quantity",IF(X2728=1,"Invalid/outlier unit price",IF(Y2728=1,"Discount greater than order value",""))))))))</f>
        <v/>
      </c>
      <c r="AC2728" s="7" t="str">
        <f aca="false">IF(AB2728="","KEEP","DROP")</f>
        <v>KEEP</v>
      </c>
      <c r="AD2728" s="7" t="str">
        <f aca="false">IF(TRIM(F2728)="",IFERROR(INDEX(Map_Tables!$I$4:$I$37,MATCH(TRIM(E2728),Map_Tables!$G$4:$G$37,0)),""),IFERROR(INDEX(Map_Tables!$B$4:$B$18,MATCH(TRIM(F2728),Map_Tables!$A$4:$A$18,0)),"CHECK"))</f>
        <v>Ahmedabad</v>
      </c>
      <c r="AE2728" s="7" t="str">
        <f aca="false">IF(TRIM(E2728)="","",IFERROR(INDEX(Map_Tables!$H$4:$H$37,MATCH(TRIM(E2728),Map_Tables!$G$4:$G$37,0)),"CHECK"))</f>
        <v>Cheesy Slice</v>
      </c>
      <c r="AF2728" s="7" t="str">
        <f aca="false">IF(TRIM(K2728)="","Unknown",IFERROR(INDEX(Map_Tables!$E$4:$E$15,MATCH(TRIM(K2728),Map_Tables!$D$4:$D$15,0)),"CHECK"))</f>
        <v>Wallet</v>
      </c>
      <c r="AG2728" s="7" t="str">
        <f aca="false">IF(LEFT(LOWER(TRIM(L2728)),6)="cancel","Cancelled","Delivered")</f>
        <v>Delivered</v>
      </c>
      <c r="AH2728" s="10" t="n">
        <f aca="false">IF(ISNUMBER(SEARCH("/",B2728)),DATE(VALUE(RIGHT(B2728,4)),VALUE(MID(B2728,4,2)),VALUE(LEFT(B2728,2))),IF(MID(B2728,5,1)="-",DATE(VALUE(LEFT(B2728,4)),VALUE(MID(B2728,6,2)),VALUE(RIGHT(B2728,2))),DATE(VALUE(RIGHT(B2728,4)),MATCH(MID(B2728,4,3),{"Jan","Feb","Mar","Apr","May","Jun","Jul","Aug","Sep","Oct","Nov","Dec"},0),VALUE(LEFT(B2728,2)))))</f>
        <v>45953</v>
      </c>
    </row>
    <row r="2729" customFormat="false" ht="15" hidden="false" customHeight="false" outlineLevel="0" collapsed="false">
      <c r="A2729" s="7" t="s">
        <v>5759</v>
      </c>
      <c r="B2729" s="7" t="s">
        <v>5760</v>
      </c>
      <c r="C2729" s="7" t="s">
        <v>1365</v>
      </c>
      <c r="D2729" s="7" t="s">
        <v>5761</v>
      </c>
      <c r="E2729" s="7" t="s">
        <v>122</v>
      </c>
      <c r="F2729" s="7" t="s">
        <v>101</v>
      </c>
      <c r="G2729" s="7" t="s">
        <v>123</v>
      </c>
      <c r="H2729" s="7" t="n">
        <v>1</v>
      </c>
      <c r="I2729" s="7" t="n">
        <v>315</v>
      </c>
      <c r="J2729" s="7" t="n">
        <v>0</v>
      </c>
      <c r="K2729" s="7" t="s">
        <v>88</v>
      </c>
      <c r="L2729" s="7" t="s">
        <v>194</v>
      </c>
      <c r="M2729" s="7" t="n">
        <v>40</v>
      </c>
      <c r="N2729" s="7" t="n">
        <v>3</v>
      </c>
      <c r="O2729" s="7" t="str">
        <f aca="false">A2729&amp;"|"&amp;B2729&amp;"|"&amp;C2729&amp;"|"&amp;D2729&amp;"|"&amp;E2729&amp;"|"&amp;F2729&amp;"|"&amp;G2729&amp;"|"&amp;H2729&amp;"|"&amp;I2729&amp;"|"&amp;J2729&amp;"|"&amp;K2729&amp;"|"&amp;L2729&amp;"|"&amp;M2729&amp;"|"&amp;N2729</f>
        <v>ORD12316|19/10/2025|18:11|C1325|Mumbai Pizza Co|Mumbai|Pizza|1|315|0|UPI|Delivered|40|3</v>
      </c>
      <c r="P2729" s="7" t="str">
        <f aca="false">IF(COUNTIF($O$2:O2729,O2729)&gt;1,"DUP","OK")</f>
        <v>OK</v>
      </c>
      <c r="Q2729" s="7" t="n">
        <f aca="false">COUNTBLANK(A2729:N2729)</f>
        <v>0</v>
      </c>
      <c r="R2729" s="7" t="n">
        <f aca="false">IF(A2729="",0,COUNTIFS($A$2:$A$3058,A2729,$P$2:$P$3058,"OK"))</f>
        <v>1</v>
      </c>
      <c r="S2729" s="7" t="str">
        <f aca="false">IF(OR(A2729="",P2729="DUP",R2729&lt;2),"",IF(Q2729=_xlfn.MINIFS($Q$2:$Q$3058,$A$2:$A$3058,A2729,$P$2:$P$3058,"OK"),"KEEP","DROP"))</f>
        <v/>
      </c>
      <c r="T2729" s="9" t="n">
        <f aca="false">IF(A2729="",1,0)</f>
        <v>0</v>
      </c>
      <c r="U2729" s="9" t="n">
        <f aca="false">IF(D2729="",1,0)</f>
        <v>0</v>
      </c>
      <c r="V2729" s="9" t="n">
        <f aca="false">IF(E2729="",1,0)</f>
        <v>0</v>
      </c>
      <c r="W2729" s="9" t="n">
        <f aca="false">IF(OR(H2729&lt;1,H2729&gt;10),1,0)</f>
        <v>0</v>
      </c>
      <c r="X2729" s="9" t="n">
        <f aca="false">IF(OR(I2729&lt;=0,I2729&gt;1500),1,0)</f>
        <v>0</v>
      </c>
      <c r="Y2729" s="9" t="n">
        <f aca="false">IF(J2729&gt;H2729*I2729,1,0)</f>
        <v>0</v>
      </c>
      <c r="Z2729" s="9" t="n">
        <f aca="false">IF(AND(N2729&lt;&gt;"",OR(N2729&lt;1,N2729&gt;5)),1,0)</f>
        <v>0</v>
      </c>
      <c r="AA2729" s="9" t="n">
        <f aca="false">IF(AND(M2729&lt;&gt;"",OR(M2729&lt;5,M2729&gt;180)),1,0)</f>
        <v>0</v>
      </c>
      <c r="AB2729" s="7" t="str">
        <f aca="false">IF(P2729="DUP","Exact duplicate row",IF(T2729=1,"Missing Order ID",IF(S2729="DROP","Duplicate Order ID (less complete row)",IF(U2729=1,"Missing Customer ID",IF(V2729=1,"Missing Restaurant name",IF(W2729=1,"Invalid/outlier quantity",IF(X2729=1,"Invalid/outlier unit price",IF(Y2729=1,"Discount greater than order value",""))))))))</f>
        <v/>
      </c>
      <c r="AC2729" s="7" t="str">
        <f aca="false">IF(AB2729="","KEEP","DROP")</f>
        <v>KEEP</v>
      </c>
      <c r="AD2729" s="7" t="str">
        <f aca="false">IF(TRIM(F2729)="",IFERROR(INDEX(Map_Tables!$I$4:$I$37,MATCH(TRIM(E2729),Map_Tables!$G$4:$G$37,0)),""),IFERROR(INDEX(Map_Tables!$B$4:$B$18,MATCH(TRIM(F2729),Map_Tables!$A$4:$A$18,0)),"CHECK"))</f>
        <v>Mumbai</v>
      </c>
      <c r="AE2729" s="7" t="str">
        <f aca="false">IF(TRIM(E2729)="","",IFERROR(INDEX(Map_Tables!$H$4:$H$37,MATCH(TRIM(E2729),Map_Tables!$G$4:$G$37,0)),"CHECK"))</f>
        <v>Mumbai Pizza Co</v>
      </c>
      <c r="AF2729" s="7" t="str">
        <f aca="false">IF(TRIM(K2729)="","Unknown",IFERROR(INDEX(Map_Tables!$E$4:$E$15,MATCH(TRIM(K2729),Map_Tables!$D$4:$D$15,0)),"CHECK"))</f>
        <v>UPI</v>
      </c>
      <c r="AG2729" s="7" t="str">
        <f aca="false">IF(LEFT(LOWER(TRIM(L2729)),6)="cancel","Cancelled","Delivered")</f>
        <v>Delivered</v>
      </c>
      <c r="AH2729" s="10" t="n">
        <f aca="false">IF(ISNUMBER(SEARCH("/",B2729)),DATE(VALUE(RIGHT(B2729,4)),VALUE(MID(B2729,4,2)),VALUE(LEFT(B2729,2))),IF(MID(B2729,5,1)="-",DATE(VALUE(LEFT(B2729,4)),VALUE(MID(B2729,6,2)),VALUE(RIGHT(B2729,2))),DATE(VALUE(RIGHT(B2729,4)),MATCH(MID(B2729,4,3),{"Jan","Feb","Mar","Apr","May","Jun","Jul","Aug","Sep","Oct","Nov","Dec"},0),VALUE(LEFT(B2729,2)))))</f>
        <v>45949</v>
      </c>
    </row>
    <row r="2730" customFormat="false" ht="15" hidden="false" customHeight="false" outlineLevel="0" collapsed="false">
      <c r="A2730" s="7" t="s">
        <v>5762</v>
      </c>
      <c r="B2730" s="7" t="s">
        <v>1657</v>
      </c>
      <c r="C2730" s="7" t="s">
        <v>3036</v>
      </c>
      <c r="D2730" s="7" t="s">
        <v>620</v>
      </c>
      <c r="E2730" s="7" t="s">
        <v>163</v>
      </c>
      <c r="F2730" s="7" t="s">
        <v>141</v>
      </c>
      <c r="G2730" s="7" t="s">
        <v>99</v>
      </c>
      <c r="H2730" s="7" t="n">
        <v>4</v>
      </c>
      <c r="I2730" s="7" t="n">
        <v>285</v>
      </c>
      <c r="J2730" s="7" t="n">
        <v>150</v>
      </c>
      <c r="K2730" s="7" t="s">
        <v>133</v>
      </c>
      <c r="L2730" s="7" t="s">
        <v>194</v>
      </c>
      <c r="M2730" s="7" t="n">
        <v>42</v>
      </c>
      <c r="N2730" s="7" t="n">
        <v>4</v>
      </c>
      <c r="O2730" s="7" t="str">
        <f aca="false">A2730&amp;"|"&amp;B2730&amp;"|"&amp;C2730&amp;"|"&amp;D2730&amp;"|"&amp;E2730&amp;"|"&amp;F2730&amp;"|"&amp;G2730&amp;"|"&amp;H2730&amp;"|"&amp;I2730&amp;"|"&amp;J2730&amp;"|"&amp;K2730&amp;"|"&amp;L2730&amp;"|"&amp;M2730&amp;"|"&amp;N2730</f>
        <v>ORD11859|2025-08-31|11:33|C0255|Biryani Baadshah|Kolkata|Biryani|4|285|150|Net Banking|Delivered|42|4</v>
      </c>
      <c r="P2730" s="7" t="str">
        <f aca="false">IF(COUNTIF($O$2:O2730,O2730)&gt;1,"DUP","OK")</f>
        <v>OK</v>
      </c>
      <c r="Q2730" s="7" t="n">
        <f aca="false">COUNTBLANK(A2730:N2730)</f>
        <v>0</v>
      </c>
      <c r="R2730" s="7" t="n">
        <f aca="false">IF(A2730="",0,COUNTIFS($A$2:$A$3058,A2730,$P$2:$P$3058,"OK"))</f>
        <v>1</v>
      </c>
      <c r="S2730" s="7" t="str">
        <f aca="false">IF(OR(A2730="",P2730="DUP",R2730&lt;2),"",IF(Q2730=_xlfn.MINIFS($Q$2:$Q$3058,$A$2:$A$3058,A2730,$P$2:$P$3058,"OK"),"KEEP","DROP"))</f>
        <v/>
      </c>
      <c r="T2730" s="9" t="n">
        <f aca="false">IF(A2730="",1,0)</f>
        <v>0</v>
      </c>
      <c r="U2730" s="9" t="n">
        <f aca="false">IF(D2730="",1,0)</f>
        <v>0</v>
      </c>
      <c r="V2730" s="9" t="n">
        <f aca="false">IF(E2730="",1,0)</f>
        <v>0</v>
      </c>
      <c r="W2730" s="9" t="n">
        <f aca="false">IF(OR(H2730&lt;1,H2730&gt;10),1,0)</f>
        <v>0</v>
      </c>
      <c r="X2730" s="9" t="n">
        <f aca="false">IF(OR(I2730&lt;=0,I2730&gt;1500),1,0)</f>
        <v>0</v>
      </c>
      <c r="Y2730" s="9" t="n">
        <f aca="false">IF(J2730&gt;H2730*I2730,1,0)</f>
        <v>0</v>
      </c>
      <c r="Z2730" s="9" t="n">
        <f aca="false">IF(AND(N2730&lt;&gt;"",OR(N2730&lt;1,N2730&gt;5)),1,0)</f>
        <v>0</v>
      </c>
      <c r="AA2730" s="9" t="n">
        <f aca="false">IF(AND(M2730&lt;&gt;"",OR(M2730&lt;5,M2730&gt;180)),1,0)</f>
        <v>0</v>
      </c>
      <c r="AB2730" s="7" t="str">
        <f aca="false">IF(P2730="DUP","Exact duplicate row",IF(T2730=1,"Missing Order ID",IF(S2730="DROP","Duplicate Order ID (less complete row)",IF(U2730=1,"Missing Customer ID",IF(V2730=1,"Missing Restaurant name",IF(W2730=1,"Invalid/outlier quantity",IF(X2730=1,"Invalid/outlier unit price",IF(Y2730=1,"Discount greater than order value",""))))))))</f>
        <v/>
      </c>
      <c r="AC2730" s="7" t="str">
        <f aca="false">IF(AB2730="","KEEP","DROP")</f>
        <v>KEEP</v>
      </c>
      <c r="AD2730" s="7" t="str">
        <f aca="false">IF(TRIM(F2730)="",IFERROR(INDEX(Map_Tables!$I$4:$I$37,MATCH(TRIM(E2730),Map_Tables!$G$4:$G$37,0)),""),IFERROR(INDEX(Map_Tables!$B$4:$B$18,MATCH(TRIM(F2730),Map_Tables!$A$4:$A$18,0)),"CHECK"))</f>
        <v>Kolkata</v>
      </c>
      <c r="AE2730" s="7" t="str">
        <f aca="false">IF(TRIM(E2730)="","",IFERROR(INDEX(Map_Tables!$H$4:$H$37,MATCH(TRIM(E2730),Map_Tables!$G$4:$G$37,0)),"CHECK"))</f>
        <v>Biryani Baadshah</v>
      </c>
      <c r="AF2730" s="7" t="str">
        <f aca="false">IF(TRIM(K2730)="","Unknown",IFERROR(INDEX(Map_Tables!$E$4:$E$15,MATCH(TRIM(K2730),Map_Tables!$D$4:$D$15,0)),"CHECK"))</f>
        <v>Net Banking</v>
      </c>
      <c r="AG2730" s="7" t="str">
        <f aca="false">IF(LEFT(LOWER(TRIM(L2730)),6)="cancel","Cancelled","Delivered")</f>
        <v>Delivered</v>
      </c>
      <c r="AH2730" s="10" t="n">
        <f aca="false">IF(ISNUMBER(SEARCH("/",B2730)),DATE(VALUE(RIGHT(B2730,4)),VALUE(MID(B2730,4,2)),VALUE(LEFT(B2730,2))),IF(MID(B2730,5,1)="-",DATE(VALUE(LEFT(B2730,4)),VALUE(MID(B2730,6,2)),VALUE(RIGHT(B2730,2))),DATE(VALUE(RIGHT(B2730,4)),MATCH(MID(B2730,4,3),{"Jan","Feb","Mar","Apr","May","Jun","Jul","Aug","Sep","Oct","Nov","Dec"},0),VALUE(LEFT(B2730,2)))))</f>
        <v>45900</v>
      </c>
    </row>
    <row r="2731" customFormat="false" ht="15" hidden="false" customHeight="false" outlineLevel="0" collapsed="false">
      <c r="A2731" s="7" t="s">
        <v>5763</v>
      </c>
      <c r="B2731" s="7" t="s">
        <v>4276</v>
      </c>
      <c r="C2731" s="7" t="s">
        <v>3209</v>
      </c>
      <c r="D2731" s="7" t="s">
        <v>5615</v>
      </c>
      <c r="E2731" s="7" t="s">
        <v>113</v>
      </c>
      <c r="F2731" s="7" t="s">
        <v>101</v>
      </c>
      <c r="G2731" s="7" t="s">
        <v>90</v>
      </c>
      <c r="H2731" s="7" t="n">
        <v>2</v>
      </c>
      <c r="I2731" s="7" t="n">
        <v>155</v>
      </c>
      <c r="J2731" s="7" t="n">
        <v>0</v>
      </c>
      <c r="K2731" s="7" t="s">
        <v>93</v>
      </c>
      <c r="L2731" s="7" t="s">
        <v>194</v>
      </c>
      <c r="M2731" s="7" t="n">
        <v>50</v>
      </c>
      <c r="N2731" s="7" t="n">
        <v>3</v>
      </c>
      <c r="O2731" s="7" t="str">
        <f aca="false">A2731&amp;"|"&amp;B2731&amp;"|"&amp;C2731&amp;"|"&amp;D2731&amp;"|"&amp;E2731&amp;"|"&amp;F2731&amp;"|"&amp;G2731&amp;"|"&amp;H2731&amp;"|"&amp;I2731&amp;"|"&amp;J2731&amp;"|"&amp;K2731&amp;"|"&amp;L2731&amp;"|"&amp;M2731&amp;"|"&amp;N2731</f>
        <v>ORD11558|2025-07-22|20:08|C1351|Curry Leaf Kitchen|Mumbai|North Indian|2|155|0|Credit Card|Delivered|50|3</v>
      </c>
      <c r="P2731" s="7" t="str">
        <f aca="false">IF(COUNTIF($O$2:O2731,O2731)&gt;1,"DUP","OK")</f>
        <v>OK</v>
      </c>
      <c r="Q2731" s="7" t="n">
        <f aca="false">COUNTBLANK(A2731:N2731)</f>
        <v>0</v>
      </c>
      <c r="R2731" s="7" t="n">
        <f aca="false">IF(A2731="",0,COUNTIFS($A$2:$A$3058,A2731,$P$2:$P$3058,"OK"))</f>
        <v>1</v>
      </c>
      <c r="S2731" s="7" t="str">
        <f aca="false">IF(OR(A2731="",P2731="DUP",R2731&lt;2),"",IF(Q2731=_xlfn.MINIFS($Q$2:$Q$3058,$A$2:$A$3058,A2731,$P$2:$P$3058,"OK"),"KEEP","DROP"))</f>
        <v/>
      </c>
      <c r="T2731" s="9" t="n">
        <f aca="false">IF(A2731="",1,0)</f>
        <v>0</v>
      </c>
      <c r="U2731" s="9" t="n">
        <f aca="false">IF(D2731="",1,0)</f>
        <v>0</v>
      </c>
      <c r="V2731" s="9" t="n">
        <f aca="false">IF(E2731="",1,0)</f>
        <v>0</v>
      </c>
      <c r="W2731" s="9" t="n">
        <f aca="false">IF(OR(H2731&lt;1,H2731&gt;10),1,0)</f>
        <v>0</v>
      </c>
      <c r="X2731" s="9" t="n">
        <f aca="false">IF(OR(I2731&lt;=0,I2731&gt;1500),1,0)</f>
        <v>0</v>
      </c>
      <c r="Y2731" s="9" t="n">
        <f aca="false">IF(J2731&gt;H2731*I2731,1,0)</f>
        <v>0</v>
      </c>
      <c r="Z2731" s="9" t="n">
        <f aca="false">IF(AND(N2731&lt;&gt;"",OR(N2731&lt;1,N2731&gt;5)),1,0)</f>
        <v>0</v>
      </c>
      <c r="AA2731" s="9" t="n">
        <f aca="false">IF(AND(M2731&lt;&gt;"",OR(M2731&lt;5,M2731&gt;180)),1,0)</f>
        <v>0</v>
      </c>
      <c r="AB2731" s="7" t="str">
        <f aca="false">IF(P2731="DUP","Exact duplicate row",IF(T2731=1,"Missing Order ID",IF(S2731="DROP","Duplicate Order ID (less complete row)",IF(U2731=1,"Missing Customer ID",IF(V2731=1,"Missing Restaurant name",IF(W2731=1,"Invalid/outlier quantity",IF(X2731=1,"Invalid/outlier unit price",IF(Y2731=1,"Discount greater than order value",""))))))))</f>
        <v/>
      </c>
      <c r="AC2731" s="7" t="str">
        <f aca="false">IF(AB2731="","KEEP","DROP")</f>
        <v>KEEP</v>
      </c>
      <c r="AD2731" s="7" t="str">
        <f aca="false">IF(TRIM(F2731)="",IFERROR(INDEX(Map_Tables!$I$4:$I$37,MATCH(TRIM(E2731),Map_Tables!$G$4:$G$37,0)),""),IFERROR(INDEX(Map_Tables!$B$4:$B$18,MATCH(TRIM(F2731),Map_Tables!$A$4:$A$18,0)),"CHECK"))</f>
        <v>Mumbai</v>
      </c>
      <c r="AE2731" s="7" t="str">
        <f aca="false">IF(TRIM(E2731)="","",IFERROR(INDEX(Map_Tables!$H$4:$H$37,MATCH(TRIM(E2731),Map_Tables!$G$4:$G$37,0)),"CHECK"))</f>
        <v>Curry Leaf Kitchen</v>
      </c>
      <c r="AF2731" s="7" t="str">
        <f aca="false">IF(TRIM(K2731)="","Unknown",IFERROR(INDEX(Map_Tables!$E$4:$E$15,MATCH(TRIM(K2731),Map_Tables!$D$4:$D$15,0)),"CHECK"))</f>
        <v>Credit Card</v>
      </c>
      <c r="AG2731" s="7" t="str">
        <f aca="false">IF(LEFT(LOWER(TRIM(L2731)),6)="cancel","Cancelled","Delivered")</f>
        <v>Delivered</v>
      </c>
      <c r="AH2731" s="10" t="n">
        <f aca="false">IF(ISNUMBER(SEARCH("/",B2731)),DATE(VALUE(RIGHT(B2731,4)),VALUE(MID(B2731,4,2)),VALUE(LEFT(B2731,2))),IF(MID(B2731,5,1)="-",DATE(VALUE(LEFT(B2731,4)),VALUE(MID(B2731,6,2)),VALUE(RIGHT(B2731,2))),DATE(VALUE(RIGHT(B2731,4)),MATCH(MID(B2731,4,3),{"Jan","Feb","Mar","Apr","May","Jun","Jul","Aug","Sep","Oct","Nov","Dec"},0),VALUE(LEFT(B2731,2)))))</f>
        <v>45860</v>
      </c>
    </row>
    <row r="2732" customFormat="false" ht="15" hidden="false" customHeight="false" outlineLevel="0" collapsed="false">
      <c r="A2732" s="7" t="s">
        <v>5764</v>
      </c>
      <c r="B2732" s="7" t="s">
        <v>1160</v>
      </c>
      <c r="C2732" s="7" t="s">
        <v>3608</v>
      </c>
      <c r="D2732" s="7" t="s">
        <v>3323</v>
      </c>
      <c r="E2732" s="7" t="s">
        <v>130</v>
      </c>
      <c r="F2732" s="7" t="s">
        <v>110</v>
      </c>
      <c r="G2732" s="7" t="s">
        <v>90</v>
      </c>
      <c r="H2732" s="7" t="n">
        <v>1</v>
      </c>
      <c r="I2732" s="7" t="n">
        <v>200</v>
      </c>
      <c r="J2732" s="7" t="n">
        <v>0</v>
      </c>
      <c r="K2732" s="7" t="s">
        <v>112</v>
      </c>
      <c r="L2732" s="7" t="s">
        <v>194</v>
      </c>
      <c r="M2732" s="7" t="n">
        <v>49</v>
      </c>
      <c r="N2732" s="7" t="n">
        <v>5</v>
      </c>
      <c r="O2732" s="7" t="str">
        <f aca="false">A2732&amp;"|"&amp;B2732&amp;"|"&amp;C2732&amp;"|"&amp;D2732&amp;"|"&amp;E2732&amp;"|"&amp;F2732&amp;"|"&amp;G2732&amp;"|"&amp;H2732&amp;"|"&amp;I2732&amp;"|"&amp;J2732&amp;"|"&amp;K2732&amp;"|"&amp;L2732&amp;"|"&amp;M2732&amp;"|"&amp;N2732</f>
        <v>ORD10546|2025-03-11|12:16|C0628|Tandoor Tales|Delhi|North Indian|1|200|0|Cash on Delivery|Delivered|49|5</v>
      </c>
      <c r="P2732" s="7" t="str">
        <f aca="false">IF(COUNTIF($O$2:O2732,O2732)&gt;1,"DUP","OK")</f>
        <v>OK</v>
      </c>
      <c r="Q2732" s="7" t="n">
        <f aca="false">COUNTBLANK(A2732:N2732)</f>
        <v>0</v>
      </c>
      <c r="R2732" s="7" t="n">
        <f aca="false">IF(A2732="",0,COUNTIFS($A$2:$A$3058,A2732,$P$2:$P$3058,"OK"))</f>
        <v>1</v>
      </c>
      <c r="S2732" s="7" t="str">
        <f aca="false">IF(OR(A2732="",P2732="DUP",R2732&lt;2),"",IF(Q2732=_xlfn.MINIFS($Q$2:$Q$3058,$A$2:$A$3058,A2732,$P$2:$P$3058,"OK"),"KEEP","DROP"))</f>
        <v/>
      </c>
      <c r="T2732" s="9" t="n">
        <f aca="false">IF(A2732="",1,0)</f>
        <v>0</v>
      </c>
      <c r="U2732" s="9" t="n">
        <f aca="false">IF(D2732="",1,0)</f>
        <v>0</v>
      </c>
      <c r="V2732" s="9" t="n">
        <f aca="false">IF(E2732="",1,0)</f>
        <v>0</v>
      </c>
      <c r="W2732" s="9" t="n">
        <f aca="false">IF(OR(H2732&lt;1,H2732&gt;10),1,0)</f>
        <v>0</v>
      </c>
      <c r="X2732" s="9" t="n">
        <f aca="false">IF(OR(I2732&lt;=0,I2732&gt;1500),1,0)</f>
        <v>0</v>
      </c>
      <c r="Y2732" s="9" t="n">
        <f aca="false">IF(J2732&gt;H2732*I2732,1,0)</f>
        <v>0</v>
      </c>
      <c r="Z2732" s="9" t="n">
        <f aca="false">IF(AND(N2732&lt;&gt;"",OR(N2732&lt;1,N2732&gt;5)),1,0)</f>
        <v>0</v>
      </c>
      <c r="AA2732" s="9" t="n">
        <f aca="false">IF(AND(M2732&lt;&gt;"",OR(M2732&lt;5,M2732&gt;180)),1,0)</f>
        <v>0</v>
      </c>
      <c r="AB2732" s="7" t="str">
        <f aca="false">IF(P2732="DUP","Exact duplicate row",IF(T2732=1,"Missing Order ID",IF(S2732="DROP","Duplicate Order ID (less complete row)",IF(U2732=1,"Missing Customer ID",IF(V2732=1,"Missing Restaurant name",IF(W2732=1,"Invalid/outlier quantity",IF(X2732=1,"Invalid/outlier unit price",IF(Y2732=1,"Discount greater than order value",""))))))))</f>
        <v/>
      </c>
      <c r="AC2732" s="7" t="str">
        <f aca="false">IF(AB2732="","KEEP","DROP")</f>
        <v>KEEP</v>
      </c>
      <c r="AD2732" s="7" t="str">
        <f aca="false">IF(TRIM(F2732)="",IFERROR(INDEX(Map_Tables!$I$4:$I$37,MATCH(TRIM(E2732),Map_Tables!$G$4:$G$37,0)),""),IFERROR(INDEX(Map_Tables!$B$4:$B$18,MATCH(TRIM(F2732),Map_Tables!$A$4:$A$18,0)),"CHECK"))</f>
        <v>Delhi</v>
      </c>
      <c r="AE2732" s="7" t="str">
        <f aca="false">IF(TRIM(E2732)="","",IFERROR(INDEX(Map_Tables!$H$4:$H$37,MATCH(TRIM(E2732),Map_Tables!$G$4:$G$37,0)),"CHECK"))</f>
        <v>Tandoor Tales</v>
      </c>
      <c r="AF2732" s="7" t="str">
        <f aca="false">IF(TRIM(K2732)="","Unknown",IFERROR(INDEX(Map_Tables!$E$4:$E$15,MATCH(TRIM(K2732),Map_Tables!$D$4:$D$15,0)),"CHECK"))</f>
        <v>Cash on Delivery</v>
      </c>
      <c r="AG2732" s="7" t="str">
        <f aca="false">IF(LEFT(LOWER(TRIM(L2732)),6)="cancel","Cancelled","Delivered")</f>
        <v>Delivered</v>
      </c>
      <c r="AH2732" s="10" t="n">
        <f aca="false">IF(ISNUMBER(SEARCH("/",B2732)),DATE(VALUE(RIGHT(B2732,4)),VALUE(MID(B2732,4,2)),VALUE(LEFT(B2732,2))),IF(MID(B2732,5,1)="-",DATE(VALUE(LEFT(B2732,4)),VALUE(MID(B2732,6,2)),VALUE(RIGHT(B2732,2))),DATE(VALUE(RIGHT(B2732,4)),MATCH(MID(B2732,4,3),{"Jan","Feb","Mar","Apr","May","Jun","Jul","Aug","Sep","Oct","Nov","Dec"},0),VALUE(LEFT(B2732,2)))))</f>
        <v>45727</v>
      </c>
    </row>
    <row r="2733" customFormat="false" ht="15" hidden="false" customHeight="false" outlineLevel="0" collapsed="false">
      <c r="A2733" s="7" t="s">
        <v>5765</v>
      </c>
      <c r="B2733" s="7" t="s">
        <v>2050</v>
      </c>
      <c r="C2733" s="7" t="s">
        <v>792</v>
      </c>
      <c r="D2733" s="7" t="s">
        <v>2883</v>
      </c>
      <c r="E2733" s="7" t="s">
        <v>148</v>
      </c>
      <c r="F2733" s="7" t="s">
        <v>119</v>
      </c>
      <c r="G2733" s="7" t="s">
        <v>123</v>
      </c>
      <c r="H2733" s="7" t="n">
        <v>3</v>
      </c>
      <c r="I2733" s="7" t="n">
        <v>355</v>
      </c>
      <c r="J2733" s="7" t="n">
        <v>0</v>
      </c>
      <c r="K2733" s="7" t="s">
        <v>103</v>
      </c>
      <c r="L2733" s="7" t="s">
        <v>194</v>
      </c>
      <c r="M2733" s="7" t="n">
        <v>26</v>
      </c>
      <c r="N2733" s="7" t="n">
        <v>5</v>
      </c>
      <c r="O2733" s="7" t="str">
        <f aca="false">A2733&amp;"|"&amp;B2733&amp;"|"&amp;C2733&amp;"|"&amp;D2733&amp;"|"&amp;E2733&amp;"|"&amp;F2733&amp;"|"&amp;G2733&amp;"|"&amp;H2733&amp;"|"&amp;I2733&amp;"|"&amp;J2733&amp;"|"&amp;K2733&amp;"|"&amp;L2733&amp;"|"&amp;M2733&amp;"|"&amp;N2733</f>
        <v>ORD10213|2025-01-29|11:38|C1272|Pizza Palace|Hyderabad|Pizza|3|355|0|Debit Card|Delivered|26|5</v>
      </c>
      <c r="P2733" s="7" t="str">
        <f aca="false">IF(COUNTIF($O$2:O2733,O2733)&gt;1,"DUP","OK")</f>
        <v>OK</v>
      </c>
      <c r="Q2733" s="7" t="n">
        <f aca="false">COUNTBLANK(A2733:N2733)</f>
        <v>0</v>
      </c>
      <c r="R2733" s="7" t="n">
        <f aca="false">IF(A2733="",0,COUNTIFS($A$2:$A$3058,A2733,$P$2:$P$3058,"OK"))</f>
        <v>1</v>
      </c>
      <c r="S2733" s="7" t="str">
        <f aca="false">IF(OR(A2733="",P2733="DUP",R2733&lt;2),"",IF(Q2733=_xlfn.MINIFS($Q$2:$Q$3058,$A$2:$A$3058,A2733,$P$2:$P$3058,"OK"),"KEEP","DROP"))</f>
        <v/>
      </c>
      <c r="T2733" s="9" t="n">
        <f aca="false">IF(A2733="",1,0)</f>
        <v>0</v>
      </c>
      <c r="U2733" s="9" t="n">
        <f aca="false">IF(D2733="",1,0)</f>
        <v>0</v>
      </c>
      <c r="V2733" s="9" t="n">
        <f aca="false">IF(E2733="",1,0)</f>
        <v>0</v>
      </c>
      <c r="W2733" s="9" t="n">
        <f aca="false">IF(OR(H2733&lt;1,H2733&gt;10),1,0)</f>
        <v>0</v>
      </c>
      <c r="X2733" s="9" t="n">
        <f aca="false">IF(OR(I2733&lt;=0,I2733&gt;1500),1,0)</f>
        <v>0</v>
      </c>
      <c r="Y2733" s="9" t="n">
        <f aca="false">IF(J2733&gt;H2733*I2733,1,0)</f>
        <v>0</v>
      </c>
      <c r="Z2733" s="9" t="n">
        <f aca="false">IF(AND(N2733&lt;&gt;"",OR(N2733&lt;1,N2733&gt;5)),1,0)</f>
        <v>0</v>
      </c>
      <c r="AA2733" s="9" t="n">
        <f aca="false">IF(AND(M2733&lt;&gt;"",OR(M2733&lt;5,M2733&gt;180)),1,0)</f>
        <v>0</v>
      </c>
      <c r="AB2733" s="7" t="str">
        <f aca="false">IF(P2733="DUP","Exact duplicate row",IF(T2733=1,"Missing Order ID",IF(S2733="DROP","Duplicate Order ID (less complete row)",IF(U2733=1,"Missing Customer ID",IF(V2733=1,"Missing Restaurant name",IF(W2733=1,"Invalid/outlier quantity",IF(X2733=1,"Invalid/outlier unit price",IF(Y2733=1,"Discount greater than order value",""))))))))</f>
        <v/>
      </c>
      <c r="AC2733" s="7" t="str">
        <f aca="false">IF(AB2733="","KEEP","DROP")</f>
        <v>KEEP</v>
      </c>
      <c r="AD2733" s="7" t="str">
        <f aca="false">IF(TRIM(F2733)="",IFERROR(INDEX(Map_Tables!$I$4:$I$37,MATCH(TRIM(E2733),Map_Tables!$G$4:$G$37,0)),""),IFERROR(INDEX(Map_Tables!$B$4:$B$18,MATCH(TRIM(F2733),Map_Tables!$A$4:$A$18,0)),"CHECK"))</f>
        <v>Hyderabad</v>
      </c>
      <c r="AE2733" s="7" t="str">
        <f aca="false">IF(TRIM(E2733)="","",IFERROR(INDEX(Map_Tables!$H$4:$H$37,MATCH(TRIM(E2733),Map_Tables!$G$4:$G$37,0)),"CHECK"))</f>
        <v>Pizza Palace</v>
      </c>
      <c r="AF2733" s="7" t="str">
        <f aca="false">IF(TRIM(K2733)="","Unknown",IFERROR(INDEX(Map_Tables!$E$4:$E$15,MATCH(TRIM(K2733),Map_Tables!$D$4:$D$15,0)),"CHECK"))</f>
        <v>Debit Card</v>
      </c>
      <c r="AG2733" s="7" t="str">
        <f aca="false">IF(LEFT(LOWER(TRIM(L2733)),6)="cancel","Cancelled","Delivered")</f>
        <v>Delivered</v>
      </c>
      <c r="AH2733" s="10" t="n">
        <f aca="false">IF(ISNUMBER(SEARCH("/",B2733)),DATE(VALUE(RIGHT(B2733,4)),VALUE(MID(B2733,4,2)),VALUE(LEFT(B2733,2))),IF(MID(B2733,5,1)="-",DATE(VALUE(LEFT(B2733,4)),VALUE(MID(B2733,6,2)),VALUE(RIGHT(B2733,2))),DATE(VALUE(RIGHT(B2733,4)),MATCH(MID(B2733,4,3),{"Jan","Feb","Mar","Apr","May","Jun","Jul","Aug","Sep","Oct","Nov","Dec"},0),VALUE(LEFT(B2733,2)))))</f>
        <v>45686</v>
      </c>
    </row>
    <row r="2734" customFormat="false" ht="15" hidden="false" customHeight="false" outlineLevel="0" collapsed="false">
      <c r="A2734" s="7" t="s">
        <v>5766</v>
      </c>
      <c r="B2734" s="7" t="s">
        <v>2308</v>
      </c>
      <c r="C2734" s="7" t="s">
        <v>5767</v>
      </c>
      <c r="D2734" s="7" t="s">
        <v>316</v>
      </c>
      <c r="E2734" s="7" t="s">
        <v>142</v>
      </c>
      <c r="F2734" s="7" t="s">
        <v>110</v>
      </c>
      <c r="G2734" s="7" t="s">
        <v>105</v>
      </c>
      <c r="H2734" s="7" t="n">
        <v>3</v>
      </c>
      <c r="I2734" s="7" t="n">
        <v>150</v>
      </c>
      <c r="J2734" s="7" t="n">
        <v>0</v>
      </c>
      <c r="K2734" s="7" t="s">
        <v>88</v>
      </c>
      <c r="L2734" s="7" t="s">
        <v>194</v>
      </c>
      <c r="M2734" s="7" t="n">
        <v>46</v>
      </c>
      <c r="N2734" s="7" t="n">
        <v>3</v>
      </c>
      <c r="O2734" s="7" t="str">
        <f aca="false">A2734&amp;"|"&amp;B2734&amp;"|"&amp;C2734&amp;"|"&amp;D2734&amp;"|"&amp;E2734&amp;"|"&amp;F2734&amp;"|"&amp;G2734&amp;"|"&amp;H2734&amp;"|"&amp;I2734&amp;"|"&amp;J2734&amp;"|"&amp;K2734&amp;"|"&amp;L2734&amp;"|"&amp;M2734&amp;"|"&amp;N2734</f>
        <v>ORD10897|2025-04-23|17:12|C0468|Momo Magic|Delhi|Chinese|3|150|0|UPI|Delivered|46|3</v>
      </c>
      <c r="P2734" s="7" t="str">
        <f aca="false">IF(COUNTIF($O$2:O2734,O2734)&gt;1,"DUP","OK")</f>
        <v>OK</v>
      </c>
      <c r="Q2734" s="7" t="n">
        <f aca="false">COUNTBLANK(A2734:N2734)</f>
        <v>0</v>
      </c>
      <c r="R2734" s="7" t="n">
        <f aca="false">IF(A2734="",0,COUNTIFS($A$2:$A$3058,A2734,$P$2:$P$3058,"OK"))</f>
        <v>1</v>
      </c>
      <c r="S2734" s="7" t="str">
        <f aca="false">IF(OR(A2734="",P2734="DUP",R2734&lt;2),"",IF(Q2734=_xlfn.MINIFS($Q$2:$Q$3058,$A$2:$A$3058,A2734,$P$2:$P$3058,"OK"),"KEEP","DROP"))</f>
        <v/>
      </c>
      <c r="T2734" s="9" t="n">
        <f aca="false">IF(A2734="",1,0)</f>
        <v>0</v>
      </c>
      <c r="U2734" s="9" t="n">
        <f aca="false">IF(D2734="",1,0)</f>
        <v>0</v>
      </c>
      <c r="V2734" s="9" t="n">
        <f aca="false">IF(E2734="",1,0)</f>
        <v>0</v>
      </c>
      <c r="W2734" s="9" t="n">
        <f aca="false">IF(OR(H2734&lt;1,H2734&gt;10),1,0)</f>
        <v>0</v>
      </c>
      <c r="X2734" s="9" t="n">
        <f aca="false">IF(OR(I2734&lt;=0,I2734&gt;1500),1,0)</f>
        <v>0</v>
      </c>
      <c r="Y2734" s="9" t="n">
        <f aca="false">IF(J2734&gt;H2734*I2734,1,0)</f>
        <v>0</v>
      </c>
      <c r="Z2734" s="9" t="n">
        <f aca="false">IF(AND(N2734&lt;&gt;"",OR(N2734&lt;1,N2734&gt;5)),1,0)</f>
        <v>0</v>
      </c>
      <c r="AA2734" s="9" t="n">
        <f aca="false">IF(AND(M2734&lt;&gt;"",OR(M2734&lt;5,M2734&gt;180)),1,0)</f>
        <v>0</v>
      </c>
      <c r="AB2734" s="7" t="str">
        <f aca="false">IF(P2734="DUP","Exact duplicate row",IF(T2734=1,"Missing Order ID",IF(S2734="DROP","Duplicate Order ID (less complete row)",IF(U2734=1,"Missing Customer ID",IF(V2734=1,"Missing Restaurant name",IF(W2734=1,"Invalid/outlier quantity",IF(X2734=1,"Invalid/outlier unit price",IF(Y2734=1,"Discount greater than order value",""))))))))</f>
        <v/>
      </c>
      <c r="AC2734" s="7" t="str">
        <f aca="false">IF(AB2734="","KEEP","DROP")</f>
        <v>KEEP</v>
      </c>
      <c r="AD2734" s="7" t="str">
        <f aca="false">IF(TRIM(F2734)="",IFERROR(INDEX(Map_Tables!$I$4:$I$37,MATCH(TRIM(E2734),Map_Tables!$G$4:$G$37,0)),""),IFERROR(INDEX(Map_Tables!$B$4:$B$18,MATCH(TRIM(F2734),Map_Tables!$A$4:$A$18,0)),"CHECK"))</f>
        <v>Delhi</v>
      </c>
      <c r="AE2734" s="7" t="str">
        <f aca="false">IF(TRIM(E2734)="","",IFERROR(INDEX(Map_Tables!$H$4:$H$37,MATCH(TRIM(E2734),Map_Tables!$G$4:$G$37,0)),"CHECK"))</f>
        <v>Momo Magic</v>
      </c>
      <c r="AF2734" s="7" t="str">
        <f aca="false">IF(TRIM(K2734)="","Unknown",IFERROR(INDEX(Map_Tables!$E$4:$E$15,MATCH(TRIM(K2734),Map_Tables!$D$4:$D$15,0)),"CHECK"))</f>
        <v>UPI</v>
      </c>
      <c r="AG2734" s="7" t="str">
        <f aca="false">IF(LEFT(LOWER(TRIM(L2734)),6)="cancel","Cancelled","Delivered")</f>
        <v>Delivered</v>
      </c>
      <c r="AH2734" s="10" t="n">
        <f aca="false">IF(ISNUMBER(SEARCH("/",B2734)),DATE(VALUE(RIGHT(B2734,4)),VALUE(MID(B2734,4,2)),VALUE(LEFT(B2734,2))),IF(MID(B2734,5,1)="-",DATE(VALUE(LEFT(B2734,4)),VALUE(MID(B2734,6,2)),VALUE(RIGHT(B2734,2))),DATE(VALUE(RIGHT(B2734,4)),MATCH(MID(B2734,4,3),{"Jan","Feb","Mar","Apr","May","Jun","Jul","Aug","Sep","Oct","Nov","Dec"},0),VALUE(LEFT(B2734,2)))))</f>
        <v>45770</v>
      </c>
    </row>
    <row r="2735" customFormat="false" ht="15" hidden="false" customHeight="false" outlineLevel="0" collapsed="false">
      <c r="A2735" s="7" t="s">
        <v>5768</v>
      </c>
      <c r="B2735" s="7" t="s">
        <v>2104</v>
      </c>
      <c r="C2735" s="7" t="s">
        <v>5233</v>
      </c>
      <c r="D2735" s="7" t="s">
        <v>2614</v>
      </c>
      <c r="E2735" s="7" t="s">
        <v>154</v>
      </c>
      <c r="F2735" s="7" t="s">
        <v>806</v>
      </c>
      <c r="G2735" s="7" t="s">
        <v>99</v>
      </c>
      <c r="H2735" s="7" t="n">
        <v>2</v>
      </c>
      <c r="I2735" s="7" t="n">
        <v>250</v>
      </c>
      <c r="J2735" s="7" t="n">
        <v>40</v>
      </c>
      <c r="K2735" s="7" t="s">
        <v>88</v>
      </c>
      <c r="L2735" s="7" t="s">
        <v>194</v>
      </c>
      <c r="M2735" s="7" t="n">
        <v>39</v>
      </c>
      <c r="N2735" s="7"/>
      <c r="O2735" s="7" t="str">
        <f aca="false">A2735&amp;"|"&amp;B2735&amp;"|"&amp;C2735&amp;"|"&amp;D2735&amp;"|"&amp;E2735&amp;"|"&amp;F2735&amp;"|"&amp;G2735&amp;"|"&amp;H2735&amp;"|"&amp;I2735&amp;"|"&amp;J2735&amp;"|"&amp;K2735&amp;"|"&amp;L2735&amp;"|"&amp;M2735&amp;"|"&amp;N2735</f>
        <v>ORD11942|2025-09-09|17:23|C1313|Madras Biryani Co|Madras|Biryani|2|250|40|UPI|Delivered|39|</v>
      </c>
      <c r="P2735" s="7" t="str">
        <f aca="false">IF(COUNTIF($O$2:O2735,O2735)&gt;1,"DUP","OK")</f>
        <v>OK</v>
      </c>
      <c r="Q2735" s="7" t="n">
        <f aca="false">COUNTBLANK(A2735:N2735)</f>
        <v>1</v>
      </c>
      <c r="R2735" s="7" t="n">
        <f aca="false">IF(A2735="",0,COUNTIFS($A$2:$A$3058,A2735,$P$2:$P$3058,"OK"))</f>
        <v>1</v>
      </c>
      <c r="S2735" s="7" t="str">
        <f aca="false">IF(OR(A2735="",P2735="DUP",R2735&lt;2),"",IF(Q2735=_xlfn.MINIFS($Q$2:$Q$3058,$A$2:$A$3058,A2735,$P$2:$P$3058,"OK"),"KEEP","DROP"))</f>
        <v/>
      </c>
      <c r="T2735" s="9" t="n">
        <f aca="false">IF(A2735="",1,0)</f>
        <v>0</v>
      </c>
      <c r="U2735" s="9" t="n">
        <f aca="false">IF(D2735="",1,0)</f>
        <v>0</v>
      </c>
      <c r="V2735" s="9" t="n">
        <f aca="false">IF(E2735="",1,0)</f>
        <v>0</v>
      </c>
      <c r="W2735" s="9" t="n">
        <f aca="false">IF(OR(H2735&lt;1,H2735&gt;10),1,0)</f>
        <v>0</v>
      </c>
      <c r="X2735" s="9" t="n">
        <f aca="false">IF(OR(I2735&lt;=0,I2735&gt;1500),1,0)</f>
        <v>0</v>
      </c>
      <c r="Y2735" s="9" t="n">
        <f aca="false">IF(J2735&gt;H2735*I2735,1,0)</f>
        <v>0</v>
      </c>
      <c r="Z2735" s="9" t="n">
        <f aca="false">IF(AND(N2735&lt;&gt;"",OR(N2735&lt;1,N2735&gt;5)),1,0)</f>
        <v>0</v>
      </c>
      <c r="AA2735" s="9" t="n">
        <f aca="false">IF(AND(M2735&lt;&gt;"",OR(M2735&lt;5,M2735&gt;180)),1,0)</f>
        <v>0</v>
      </c>
      <c r="AB2735" s="7" t="str">
        <f aca="false">IF(P2735="DUP","Exact duplicate row",IF(T2735=1,"Missing Order ID",IF(S2735="DROP","Duplicate Order ID (less complete row)",IF(U2735=1,"Missing Customer ID",IF(V2735=1,"Missing Restaurant name",IF(W2735=1,"Invalid/outlier quantity",IF(X2735=1,"Invalid/outlier unit price",IF(Y2735=1,"Discount greater than order value",""))))))))</f>
        <v/>
      </c>
      <c r="AC2735" s="7" t="str">
        <f aca="false">IF(AB2735="","KEEP","DROP")</f>
        <v>KEEP</v>
      </c>
      <c r="AD2735" s="7" t="str">
        <f aca="false">IF(TRIM(F2735)="",IFERROR(INDEX(Map_Tables!$I$4:$I$37,MATCH(TRIM(E2735),Map_Tables!$G$4:$G$37,0)),""),IFERROR(INDEX(Map_Tables!$B$4:$B$18,MATCH(TRIM(F2735),Map_Tables!$A$4:$A$18,0)),"CHECK"))</f>
        <v>Chennai</v>
      </c>
      <c r="AE2735" s="7" t="str">
        <f aca="false">IF(TRIM(E2735)="","",IFERROR(INDEX(Map_Tables!$H$4:$H$37,MATCH(TRIM(E2735),Map_Tables!$G$4:$G$37,0)),"CHECK"))</f>
        <v>Madras Biryani Co</v>
      </c>
      <c r="AF2735" s="7" t="str">
        <f aca="false">IF(TRIM(K2735)="","Unknown",IFERROR(INDEX(Map_Tables!$E$4:$E$15,MATCH(TRIM(K2735),Map_Tables!$D$4:$D$15,0)),"CHECK"))</f>
        <v>UPI</v>
      </c>
      <c r="AG2735" s="7" t="str">
        <f aca="false">IF(LEFT(LOWER(TRIM(L2735)),6)="cancel","Cancelled","Delivered")</f>
        <v>Delivered</v>
      </c>
      <c r="AH2735" s="10" t="n">
        <f aca="false">IF(ISNUMBER(SEARCH("/",B2735)),DATE(VALUE(RIGHT(B2735,4)),VALUE(MID(B2735,4,2)),VALUE(LEFT(B2735,2))),IF(MID(B2735,5,1)="-",DATE(VALUE(LEFT(B2735,4)),VALUE(MID(B2735,6,2)),VALUE(RIGHT(B2735,2))),DATE(VALUE(RIGHT(B2735,4)),MATCH(MID(B2735,4,3),{"Jan","Feb","Mar","Apr","May","Jun","Jul","Aug","Sep","Oct","Nov","Dec"},0),VALUE(LEFT(B2735,2)))))</f>
        <v>45909</v>
      </c>
    </row>
    <row r="2736" customFormat="false" ht="15" hidden="false" customHeight="false" outlineLevel="0" collapsed="false">
      <c r="A2736" s="7" t="s">
        <v>5769</v>
      </c>
      <c r="B2736" s="7" t="s">
        <v>1373</v>
      </c>
      <c r="C2736" s="7" t="s">
        <v>5181</v>
      </c>
      <c r="D2736" s="7" t="s">
        <v>1931</v>
      </c>
      <c r="E2736" s="7" t="s">
        <v>711</v>
      </c>
      <c r="F2736" s="7" t="s">
        <v>101</v>
      </c>
      <c r="G2736" s="7" t="s">
        <v>90</v>
      </c>
      <c r="H2736" s="7" t="n">
        <v>2</v>
      </c>
      <c r="I2736" s="7" t="n">
        <v>220</v>
      </c>
      <c r="J2736" s="7" t="n">
        <v>0</v>
      </c>
      <c r="K2736" s="7" t="s">
        <v>88</v>
      </c>
      <c r="L2736" s="7" t="s">
        <v>194</v>
      </c>
      <c r="M2736" s="7" t="n">
        <v>40</v>
      </c>
      <c r="N2736" s="7"/>
      <c r="O2736" s="7" t="str">
        <f aca="false">A2736&amp;"|"&amp;B2736&amp;"|"&amp;C2736&amp;"|"&amp;D2736&amp;"|"&amp;E2736&amp;"|"&amp;F2736&amp;"|"&amp;G2736&amp;"|"&amp;H2736&amp;"|"&amp;I2736&amp;"|"&amp;J2736&amp;"|"&amp;K2736&amp;"|"&amp;L2736&amp;"|"&amp;M2736&amp;"|"&amp;N2736</f>
        <v>ORD11892|2025-09-03|18:13|C0318|Curry  Leaf Kitchen|Mumbai|North Indian|2|220|0|UPI|Delivered|40|</v>
      </c>
      <c r="P2736" s="7" t="str">
        <f aca="false">IF(COUNTIF($O$2:O2736,O2736)&gt;1,"DUP","OK")</f>
        <v>OK</v>
      </c>
      <c r="Q2736" s="7" t="n">
        <f aca="false">COUNTBLANK(A2736:N2736)</f>
        <v>1</v>
      </c>
      <c r="R2736" s="7" t="n">
        <f aca="false">IF(A2736="",0,COUNTIFS($A$2:$A$3058,A2736,$P$2:$P$3058,"OK"))</f>
        <v>1</v>
      </c>
      <c r="S2736" s="7" t="str">
        <f aca="false">IF(OR(A2736="",P2736="DUP",R2736&lt;2),"",IF(Q2736=_xlfn.MINIFS($Q$2:$Q$3058,$A$2:$A$3058,A2736,$P$2:$P$3058,"OK"),"KEEP","DROP"))</f>
        <v/>
      </c>
      <c r="T2736" s="9" t="n">
        <f aca="false">IF(A2736="",1,0)</f>
        <v>0</v>
      </c>
      <c r="U2736" s="9" t="n">
        <f aca="false">IF(D2736="",1,0)</f>
        <v>0</v>
      </c>
      <c r="V2736" s="9" t="n">
        <f aca="false">IF(E2736="",1,0)</f>
        <v>0</v>
      </c>
      <c r="W2736" s="9" t="n">
        <f aca="false">IF(OR(H2736&lt;1,H2736&gt;10),1,0)</f>
        <v>0</v>
      </c>
      <c r="X2736" s="9" t="n">
        <f aca="false">IF(OR(I2736&lt;=0,I2736&gt;1500),1,0)</f>
        <v>0</v>
      </c>
      <c r="Y2736" s="9" t="n">
        <f aca="false">IF(J2736&gt;H2736*I2736,1,0)</f>
        <v>0</v>
      </c>
      <c r="Z2736" s="9" t="n">
        <f aca="false">IF(AND(N2736&lt;&gt;"",OR(N2736&lt;1,N2736&gt;5)),1,0)</f>
        <v>0</v>
      </c>
      <c r="AA2736" s="9" t="n">
        <f aca="false">IF(AND(M2736&lt;&gt;"",OR(M2736&lt;5,M2736&gt;180)),1,0)</f>
        <v>0</v>
      </c>
      <c r="AB2736" s="7" t="str">
        <f aca="false">IF(P2736="DUP","Exact duplicate row",IF(T2736=1,"Missing Order ID",IF(S2736="DROP","Duplicate Order ID (less complete row)",IF(U2736=1,"Missing Customer ID",IF(V2736=1,"Missing Restaurant name",IF(W2736=1,"Invalid/outlier quantity",IF(X2736=1,"Invalid/outlier unit price",IF(Y2736=1,"Discount greater than order value",""))))))))</f>
        <v/>
      </c>
      <c r="AC2736" s="7" t="str">
        <f aca="false">IF(AB2736="","KEEP","DROP")</f>
        <v>KEEP</v>
      </c>
      <c r="AD2736" s="7" t="str">
        <f aca="false">IF(TRIM(F2736)="",IFERROR(INDEX(Map_Tables!$I$4:$I$37,MATCH(TRIM(E2736),Map_Tables!$G$4:$G$37,0)),""),IFERROR(INDEX(Map_Tables!$B$4:$B$18,MATCH(TRIM(F2736),Map_Tables!$A$4:$A$18,0)),"CHECK"))</f>
        <v>Mumbai</v>
      </c>
      <c r="AE2736" s="7" t="str">
        <f aca="false">IF(TRIM(E2736)="","",IFERROR(INDEX(Map_Tables!$H$4:$H$37,MATCH(TRIM(E2736),Map_Tables!$G$4:$G$37,0)),"CHECK"))</f>
        <v>Curry Leaf Kitchen</v>
      </c>
      <c r="AF2736" s="7" t="str">
        <f aca="false">IF(TRIM(K2736)="","Unknown",IFERROR(INDEX(Map_Tables!$E$4:$E$15,MATCH(TRIM(K2736),Map_Tables!$D$4:$D$15,0)),"CHECK"))</f>
        <v>UPI</v>
      </c>
      <c r="AG2736" s="7" t="str">
        <f aca="false">IF(LEFT(LOWER(TRIM(L2736)),6)="cancel","Cancelled","Delivered")</f>
        <v>Delivered</v>
      </c>
      <c r="AH2736" s="10" t="n">
        <f aca="false">IF(ISNUMBER(SEARCH("/",B2736)),DATE(VALUE(RIGHT(B2736,4)),VALUE(MID(B2736,4,2)),VALUE(LEFT(B2736,2))),IF(MID(B2736,5,1)="-",DATE(VALUE(LEFT(B2736,4)),VALUE(MID(B2736,6,2)),VALUE(RIGHT(B2736,2))),DATE(VALUE(RIGHT(B2736,4)),MATCH(MID(B2736,4,3),{"Jan","Feb","Mar","Apr","May","Jun","Jul","Aug","Sep","Oct","Nov","Dec"},0),VALUE(LEFT(B2736,2)))))</f>
        <v>45903</v>
      </c>
    </row>
    <row r="2737" customFormat="false" ht="15" hidden="false" customHeight="false" outlineLevel="0" collapsed="false">
      <c r="A2737" s="7" t="s">
        <v>5770</v>
      </c>
      <c r="B2737" s="7" t="s">
        <v>3417</v>
      </c>
      <c r="C2737" s="7" t="s">
        <v>2088</v>
      </c>
      <c r="D2737" s="7" t="s">
        <v>2525</v>
      </c>
      <c r="E2737" s="7" t="s">
        <v>154</v>
      </c>
      <c r="F2737" s="7" t="s">
        <v>128</v>
      </c>
      <c r="G2737" s="7" t="s">
        <v>99</v>
      </c>
      <c r="H2737" s="7" t="n">
        <v>2</v>
      </c>
      <c r="I2737" s="7" t="n">
        <v>225</v>
      </c>
      <c r="J2737" s="7" t="n">
        <v>20</v>
      </c>
      <c r="K2737" s="7" t="s">
        <v>87</v>
      </c>
      <c r="L2737" s="7" t="s">
        <v>238</v>
      </c>
      <c r="M2737" s="7"/>
      <c r="N2737" s="7"/>
      <c r="O2737" s="7" t="str">
        <f aca="false">A2737&amp;"|"&amp;B2737&amp;"|"&amp;C2737&amp;"|"&amp;D2737&amp;"|"&amp;E2737&amp;"|"&amp;F2737&amp;"|"&amp;G2737&amp;"|"&amp;H2737&amp;"|"&amp;I2737&amp;"|"&amp;J2737&amp;"|"&amp;K2737&amp;"|"&amp;L2737&amp;"|"&amp;M2737&amp;"|"&amp;N2737</f>
        <v>ORD10917|2025-04-25|19:56|C0604|Madras Biryani Co|Chennai|Biryani|2|225|20|upi|Cancelled||</v>
      </c>
      <c r="P2737" s="7" t="str">
        <f aca="false">IF(COUNTIF($O$2:O2737,O2737)&gt;1,"DUP","OK")</f>
        <v>OK</v>
      </c>
      <c r="Q2737" s="7" t="n">
        <f aca="false">COUNTBLANK(A2737:N2737)</f>
        <v>2</v>
      </c>
      <c r="R2737" s="7" t="n">
        <f aca="false">IF(A2737="",0,COUNTIFS($A$2:$A$3058,A2737,$P$2:$P$3058,"OK"))</f>
        <v>1</v>
      </c>
      <c r="S2737" s="7" t="str">
        <f aca="false">IF(OR(A2737="",P2737="DUP",R2737&lt;2),"",IF(Q2737=_xlfn.MINIFS($Q$2:$Q$3058,$A$2:$A$3058,A2737,$P$2:$P$3058,"OK"),"KEEP","DROP"))</f>
        <v/>
      </c>
      <c r="T2737" s="9" t="n">
        <f aca="false">IF(A2737="",1,0)</f>
        <v>0</v>
      </c>
      <c r="U2737" s="9" t="n">
        <f aca="false">IF(D2737="",1,0)</f>
        <v>0</v>
      </c>
      <c r="V2737" s="9" t="n">
        <f aca="false">IF(E2737="",1,0)</f>
        <v>0</v>
      </c>
      <c r="W2737" s="9" t="n">
        <f aca="false">IF(OR(H2737&lt;1,H2737&gt;10),1,0)</f>
        <v>0</v>
      </c>
      <c r="X2737" s="9" t="n">
        <f aca="false">IF(OR(I2737&lt;=0,I2737&gt;1500),1,0)</f>
        <v>0</v>
      </c>
      <c r="Y2737" s="9" t="n">
        <f aca="false">IF(J2737&gt;H2737*I2737,1,0)</f>
        <v>0</v>
      </c>
      <c r="Z2737" s="9" t="n">
        <f aca="false">IF(AND(N2737&lt;&gt;"",OR(N2737&lt;1,N2737&gt;5)),1,0)</f>
        <v>0</v>
      </c>
      <c r="AA2737" s="9" t="n">
        <f aca="false">IF(AND(M2737&lt;&gt;"",OR(M2737&lt;5,M2737&gt;180)),1,0)</f>
        <v>0</v>
      </c>
      <c r="AB2737" s="7" t="str">
        <f aca="false">IF(P2737="DUP","Exact duplicate row",IF(T2737=1,"Missing Order ID",IF(S2737="DROP","Duplicate Order ID (less complete row)",IF(U2737=1,"Missing Customer ID",IF(V2737=1,"Missing Restaurant name",IF(W2737=1,"Invalid/outlier quantity",IF(X2737=1,"Invalid/outlier unit price",IF(Y2737=1,"Discount greater than order value",""))))))))</f>
        <v/>
      </c>
      <c r="AC2737" s="7" t="str">
        <f aca="false">IF(AB2737="","KEEP","DROP")</f>
        <v>KEEP</v>
      </c>
      <c r="AD2737" s="7" t="str">
        <f aca="false">IF(TRIM(F2737)="",IFERROR(INDEX(Map_Tables!$I$4:$I$37,MATCH(TRIM(E2737),Map_Tables!$G$4:$G$37,0)),""),IFERROR(INDEX(Map_Tables!$B$4:$B$18,MATCH(TRIM(F2737),Map_Tables!$A$4:$A$18,0)),"CHECK"))</f>
        <v>Chennai</v>
      </c>
      <c r="AE2737" s="7" t="str">
        <f aca="false">IF(TRIM(E2737)="","",IFERROR(INDEX(Map_Tables!$H$4:$H$37,MATCH(TRIM(E2737),Map_Tables!$G$4:$G$37,0)),"CHECK"))</f>
        <v>Madras Biryani Co</v>
      </c>
      <c r="AF2737" s="7" t="str">
        <f aca="false">IF(TRIM(K2737)="","Unknown",IFERROR(INDEX(Map_Tables!$E$4:$E$15,MATCH(TRIM(K2737),Map_Tables!$D$4:$D$15,0)),"CHECK"))</f>
        <v>UPI</v>
      </c>
      <c r="AG2737" s="7" t="str">
        <f aca="false">IF(LEFT(LOWER(TRIM(L2737)),6)="cancel","Cancelled","Delivered")</f>
        <v>Cancelled</v>
      </c>
      <c r="AH2737" s="10" t="n">
        <f aca="false">IF(ISNUMBER(SEARCH("/",B2737)),DATE(VALUE(RIGHT(B2737,4)),VALUE(MID(B2737,4,2)),VALUE(LEFT(B2737,2))),IF(MID(B2737,5,1)="-",DATE(VALUE(LEFT(B2737,4)),VALUE(MID(B2737,6,2)),VALUE(RIGHT(B2737,2))),DATE(VALUE(RIGHT(B2737,4)),MATCH(MID(B2737,4,3),{"Jan","Feb","Mar","Apr","May","Jun","Jul","Aug","Sep","Oct","Nov","Dec"},0),VALUE(LEFT(B2737,2)))))</f>
        <v>45772</v>
      </c>
    </row>
    <row r="2738" customFormat="false" ht="15" hidden="false" customHeight="false" outlineLevel="0" collapsed="false">
      <c r="A2738" s="7" t="s">
        <v>5771</v>
      </c>
      <c r="B2738" s="7" t="s">
        <v>231</v>
      </c>
      <c r="C2738" s="7" t="s">
        <v>1572</v>
      </c>
      <c r="D2738" s="7" t="s">
        <v>2158</v>
      </c>
      <c r="E2738" s="7" t="s">
        <v>134</v>
      </c>
      <c r="F2738" s="7" t="s">
        <v>110</v>
      </c>
      <c r="G2738" s="7" t="s">
        <v>117</v>
      </c>
      <c r="H2738" s="7" t="n">
        <v>3</v>
      </c>
      <c r="I2738" s="7" t="n">
        <v>100</v>
      </c>
      <c r="J2738" s="7" t="n">
        <v>0</v>
      </c>
      <c r="K2738" s="7" t="s">
        <v>88</v>
      </c>
      <c r="L2738" s="7" t="s">
        <v>194</v>
      </c>
      <c r="M2738" s="7" t="n">
        <v>39</v>
      </c>
      <c r="N2738" s="7" t="n">
        <v>5</v>
      </c>
      <c r="O2738" s="7" t="str">
        <f aca="false">A2738&amp;"|"&amp;B2738&amp;"|"&amp;C2738&amp;"|"&amp;D2738&amp;"|"&amp;E2738&amp;"|"&amp;F2738&amp;"|"&amp;G2738&amp;"|"&amp;H2738&amp;"|"&amp;I2738&amp;"|"&amp;J2738&amp;"|"&amp;K2738&amp;"|"&amp;L2738&amp;"|"&amp;M2738&amp;"|"&amp;N2738</f>
        <v>ORD12724|2025-11-30|20:41|C1346|Chaat Corner|Delhi|Street Food|3|100|0|UPI|Delivered|39|5</v>
      </c>
      <c r="P2738" s="7" t="str">
        <f aca="false">IF(COUNTIF($O$2:O2738,O2738)&gt;1,"DUP","OK")</f>
        <v>OK</v>
      </c>
      <c r="Q2738" s="7" t="n">
        <f aca="false">COUNTBLANK(A2738:N2738)</f>
        <v>0</v>
      </c>
      <c r="R2738" s="7" t="n">
        <f aca="false">IF(A2738="",0,COUNTIFS($A$2:$A$3058,A2738,$P$2:$P$3058,"OK"))</f>
        <v>1</v>
      </c>
      <c r="S2738" s="7" t="str">
        <f aca="false">IF(OR(A2738="",P2738="DUP",R2738&lt;2),"",IF(Q2738=_xlfn.MINIFS($Q$2:$Q$3058,$A$2:$A$3058,A2738,$P$2:$P$3058,"OK"),"KEEP","DROP"))</f>
        <v/>
      </c>
      <c r="T2738" s="9" t="n">
        <f aca="false">IF(A2738="",1,0)</f>
        <v>0</v>
      </c>
      <c r="U2738" s="9" t="n">
        <f aca="false">IF(D2738="",1,0)</f>
        <v>0</v>
      </c>
      <c r="V2738" s="9" t="n">
        <f aca="false">IF(E2738="",1,0)</f>
        <v>0</v>
      </c>
      <c r="W2738" s="9" t="n">
        <f aca="false">IF(OR(H2738&lt;1,H2738&gt;10),1,0)</f>
        <v>0</v>
      </c>
      <c r="X2738" s="9" t="n">
        <f aca="false">IF(OR(I2738&lt;=0,I2738&gt;1500),1,0)</f>
        <v>0</v>
      </c>
      <c r="Y2738" s="9" t="n">
        <f aca="false">IF(J2738&gt;H2738*I2738,1,0)</f>
        <v>0</v>
      </c>
      <c r="Z2738" s="9" t="n">
        <f aca="false">IF(AND(N2738&lt;&gt;"",OR(N2738&lt;1,N2738&gt;5)),1,0)</f>
        <v>0</v>
      </c>
      <c r="AA2738" s="9" t="n">
        <f aca="false">IF(AND(M2738&lt;&gt;"",OR(M2738&lt;5,M2738&gt;180)),1,0)</f>
        <v>0</v>
      </c>
      <c r="AB2738" s="7" t="str">
        <f aca="false">IF(P2738="DUP","Exact duplicate row",IF(T2738=1,"Missing Order ID",IF(S2738="DROP","Duplicate Order ID (less complete row)",IF(U2738=1,"Missing Customer ID",IF(V2738=1,"Missing Restaurant name",IF(W2738=1,"Invalid/outlier quantity",IF(X2738=1,"Invalid/outlier unit price",IF(Y2738=1,"Discount greater than order value",""))))))))</f>
        <v/>
      </c>
      <c r="AC2738" s="7" t="str">
        <f aca="false">IF(AB2738="","KEEP","DROP")</f>
        <v>KEEP</v>
      </c>
      <c r="AD2738" s="7" t="str">
        <f aca="false">IF(TRIM(F2738)="",IFERROR(INDEX(Map_Tables!$I$4:$I$37,MATCH(TRIM(E2738),Map_Tables!$G$4:$G$37,0)),""),IFERROR(INDEX(Map_Tables!$B$4:$B$18,MATCH(TRIM(F2738),Map_Tables!$A$4:$A$18,0)),"CHECK"))</f>
        <v>Delhi</v>
      </c>
      <c r="AE2738" s="7" t="str">
        <f aca="false">IF(TRIM(E2738)="","",IFERROR(INDEX(Map_Tables!$H$4:$H$37,MATCH(TRIM(E2738),Map_Tables!$G$4:$G$37,0)),"CHECK"))</f>
        <v>Chaat Corner</v>
      </c>
      <c r="AF2738" s="7" t="str">
        <f aca="false">IF(TRIM(K2738)="","Unknown",IFERROR(INDEX(Map_Tables!$E$4:$E$15,MATCH(TRIM(K2738),Map_Tables!$D$4:$D$15,0)),"CHECK"))</f>
        <v>UPI</v>
      </c>
      <c r="AG2738" s="7" t="str">
        <f aca="false">IF(LEFT(LOWER(TRIM(L2738)),6)="cancel","Cancelled","Delivered")</f>
        <v>Delivered</v>
      </c>
      <c r="AH2738" s="10" t="n">
        <f aca="false">IF(ISNUMBER(SEARCH("/",B2738)),DATE(VALUE(RIGHT(B2738,4)),VALUE(MID(B2738,4,2)),VALUE(LEFT(B2738,2))),IF(MID(B2738,5,1)="-",DATE(VALUE(LEFT(B2738,4)),VALUE(MID(B2738,6,2)),VALUE(RIGHT(B2738,2))),DATE(VALUE(RIGHT(B2738,4)),MATCH(MID(B2738,4,3),{"Jan","Feb","Mar","Apr","May","Jun","Jul","Aug","Sep","Oct","Nov","Dec"},0),VALUE(LEFT(B2738,2)))))</f>
        <v>45991</v>
      </c>
    </row>
    <row r="2739" customFormat="false" ht="15" hidden="false" customHeight="false" outlineLevel="0" collapsed="false">
      <c r="A2739" s="7" t="s">
        <v>5772</v>
      </c>
      <c r="B2739" s="7" t="s">
        <v>2214</v>
      </c>
      <c r="C2739" s="7" t="s">
        <v>992</v>
      </c>
      <c r="D2739" s="7" t="s">
        <v>900</v>
      </c>
      <c r="E2739" s="7" t="s">
        <v>160</v>
      </c>
      <c r="F2739" s="7" t="s">
        <v>136</v>
      </c>
      <c r="G2739" s="7" t="s">
        <v>150</v>
      </c>
      <c r="H2739" s="7" t="n">
        <v>1</v>
      </c>
      <c r="I2739" s="7" t="n">
        <v>160</v>
      </c>
      <c r="J2739" s="7" t="n">
        <v>20</v>
      </c>
      <c r="K2739" s="7" t="s">
        <v>379</v>
      </c>
      <c r="L2739" s="7" t="s">
        <v>194</v>
      </c>
      <c r="M2739" s="7" t="n">
        <v>20</v>
      </c>
      <c r="N2739" s="7" t="n">
        <v>5</v>
      </c>
      <c r="O2739" s="7" t="str">
        <f aca="false">A2739&amp;"|"&amp;B2739&amp;"|"&amp;C2739&amp;"|"&amp;D2739&amp;"|"&amp;E2739&amp;"|"&amp;F2739&amp;"|"&amp;G2739&amp;"|"&amp;H2739&amp;"|"&amp;I2739&amp;"|"&amp;J2739&amp;"|"&amp;K2739&amp;"|"&amp;L2739&amp;"|"&amp;M2739&amp;"|"&amp;N2739</f>
        <v>ORD11290|2025-06-14|10:50|C0211|Cake Walk|Pune|Desserts|1|160|20|Credit card|Delivered|20|5</v>
      </c>
      <c r="P2739" s="7" t="str">
        <f aca="false">IF(COUNTIF($O$2:O2739,O2739)&gt;1,"DUP","OK")</f>
        <v>OK</v>
      </c>
      <c r="Q2739" s="7" t="n">
        <f aca="false">COUNTBLANK(A2739:N2739)</f>
        <v>0</v>
      </c>
      <c r="R2739" s="7" t="n">
        <f aca="false">IF(A2739="",0,COUNTIFS($A$2:$A$3058,A2739,$P$2:$P$3058,"OK"))</f>
        <v>1</v>
      </c>
      <c r="S2739" s="7" t="str">
        <f aca="false">IF(OR(A2739="",P2739="DUP",R2739&lt;2),"",IF(Q2739=_xlfn.MINIFS($Q$2:$Q$3058,$A$2:$A$3058,A2739,$P$2:$P$3058,"OK"),"KEEP","DROP"))</f>
        <v/>
      </c>
      <c r="T2739" s="9" t="n">
        <f aca="false">IF(A2739="",1,0)</f>
        <v>0</v>
      </c>
      <c r="U2739" s="9" t="n">
        <f aca="false">IF(D2739="",1,0)</f>
        <v>0</v>
      </c>
      <c r="V2739" s="9" t="n">
        <f aca="false">IF(E2739="",1,0)</f>
        <v>0</v>
      </c>
      <c r="W2739" s="9" t="n">
        <f aca="false">IF(OR(H2739&lt;1,H2739&gt;10),1,0)</f>
        <v>0</v>
      </c>
      <c r="X2739" s="9" t="n">
        <f aca="false">IF(OR(I2739&lt;=0,I2739&gt;1500),1,0)</f>
        <v>0</v>
      </c>
      <c r="Y2739" s="9" t="n">
        <f aca="false">IF(J2739&gt;H2739*I2739,1,0)</f>
        <v>0</v>
      </c>
      <c r="Z2739" s="9" t="n">
        <f aca="false">IF(AND(N2739&lt;&gt;"",OR(N2739&lt;1,N2739&gt;5)),1,0)</f>
        <v>0</v>
      </c>
      <c r="AA2739" s="9" t="n">
        <f aca="false">IF(AND(M2739&lt;&gt;"",OR(M2739&lt;5,M2739&gt;180)),1,0)</f>
        <v>0</v>
      </c>
      <c r="AB2739" s="7" t="str">
        <f aca="false">IF(P2739="DUP","Exact duplicate row",IF(T2739=1,"Missing Order ID",IF(S2739="DROP","Duplicate Order ID (less complete row)",IF(U2739=1,"Missing Customer ID",IF(V2739=1,"Missing Restaurant name",IF(W2739=1,"Invalid/outlier quantity",IF(X2739=1,"Invalid/outlier unit price",IF(Y2739=1,"Discount greater than order value",""))))))))</f>
        <v/>
      </c>
      <c r="AC2739" s="7" t="str">
        <f aca="false">IF(AB2739="","KEEP","DROP")</f>
        <v>KEEP</v>
      </c>
      <c r="AD2739" s="7" t="str">
        <f aca="false">IF(TRIM(F2739)="",IFERROR(INDEX(Map_Tables!$I$4:$I$37,MATCH(TRIM(E2739),Map_Tables!$G$4:$G$37,0)),""),IFERROR(INDEX(Map_Tables!$B$4:$B$18,MATCH(TRIM(F2739),Map_Tables!$A$4:$A$18,0)),"CHECK"))</f>
        <v>Pune</v>
      </c>
      <c r="AE2739" s="7" t="str">
        <f aca="false">IF(TRIM(E2739)="","",IFERROR(INDEX(Map_Tables!$H$4:$H$37,MATCH(TRIM(E2739),Map_Tables!$G$4:$G$37,0)),"CHECK"))</f>
        <v>Cake Walk</v>
      </c>
      <c r="AF2739" s="7" t="str">
        <f aca="false">IF(TRIM(K2739)="","Unknown",IFERROR(INDEX(Map_Tables!$E$4:$E$15,MATCH(TRIM(K2739),Map_Tables!$D$4:$D$15,0)),"CHECK"))</f>
        <v>Credit Card</v>
      </c>
      <c r="AG2739" s="7" t="str">
        <f aca="false">IF(LEFT(LOWER(TRIM(L2739)),6)="cancel","Cancelled","Delivered")</f>
        <v>Delivered</v>
      </c>
      <c r="AH2739" s="10" t="n">
        <f aca="false">IF(ISNUMBER(SEARCH("/",B2739)),DATE(VALUE(RIGHT(B2739,4)),VALUE(MID(B2739,4,2)),VALUE(LEFT(B2739,2))),IF(MID(B2739,5,1)="-",DATE(VALUE(LEFT(B2739,4)),VALUE(MID(B2739,6,2)),VALUE(RIGHT(B2739,2))),DATE(VALUE(RIGHT(B2739,4)),MATCH(MID(B2739,4,3),{"Jan","Feb","Mar","Apr","May","Jun","Jul","Aug","Sep","Oct","Nov","Dec"},0),VALUE(LEFT(B2739,2)))))</f>
        <v>45822</v>
      </c>
    </row>
    <row r="2740" customFormat="false" ht="15" hidden="false" customHeight="false" outlineLevel="0" collapsed="false">
      <c r="A2740" s="7" t="s">
        <v>5773</v>
      </c>
      <c r="B2740" s="7" t="s">
        <v>3386</v>
      </c>
      <c r="C2740" s="7" t="s">
        <v>213</v>
      </c>
      <c r="D2740" s="7" t="s">
        <v>467</v>
      </c>
      <c r="E2740" s="7" t="s">
        <v>113</v>
      </c>
      <c r="F2740" s="7" t="s">
        <v>101</v>
      </c>
      <c r="G2740" s="7" t="s">
        <v>90</v>
      </c>
      <c r="H2740" s="7" t="n">
        <v>2</v>
      </c>
      <c r="I2740" s="7" t="n">
        <v>225</v>
      </c>
      <c r="J2740" s="7" t="n">
        <v>0</v>
      </c>
      <c r="K2740" s="7" t="s">
        <v>88</v>
      </c>
      <c r="L2740" s="7" t="s">
        <v>194</v>
      </c>
      <c r="M2740" s="7" t="n">
        <v>47</v>
      </c>
      <c r="N2740" s="7" t="n">
        <v>4</v>
      </c>
      <c r="O2740" s="7" t="str">
        <f aca="false">A2740&amp;"|"&amp;B2740&amp;"|"&amp;C2740&amp;"|"&amp;D2740&amp;"|"&amp;E2740&amp;"|"&amp;F2740&amp;"|"&amp;G2740&amp;"|"&amp;H2740&amp;"|"&amp;I2740&amp;"|"&amp;J2740&amp;"|"&amp;K2740&amp;"|"&amp;L2740&amp;"|"&amp;M2740&amp;"|"&amp;N2740</f>
        <v>ORD10815|2025-04-13|20:37|C0021|Curry Leaf Kitchen|Mumbai|North Indian|2|225|0|UPI|Delivered|47|4</v>
      </c>
      <c r="P2740" s="7" t="str">
        <f aca="false">IF(COUNTIF($O$2:O2740,O2740)&gt;1,"DUP","OK")</f>
        <v>OK</v>
      </c>
      <c r="Q2740" s="7" t="n">
        <f aca="false">COUNTBLANK(A2740:N2740)</f>
        <v>0</v>
      </c>
      <c r="R2740" s="7" t="n">
        <f aca="false">IF(A2740="",0,COUNTIFS($A$2:$A$3058,A2740,$P$2:$P$3058,"OK"))</f>
        <v>1</v>
      </c>
      <c r="S2740" s="7" t="str">
        <f aca="false">IF(OR(A2740="",P2740="DUP",R2740&lt;2),"",IF(Q2740=_xlfn.MINIFS($Q$2:$Q$3058,$A$2:$A$3058,A2740,$P$2:$P$3058,"OK"),"KEEP","DROP"))</f>
        <v/>
      </c>
      <c r="T2740" s="9" t="n">
        <f aca="false">IF(A2740="",1,0)</f>
        <v>0</v>
      </c>
      <c r="U2740" s="9" t="n">
        <f aca="false">IF(D2740="",1,0)</f>
        <v>0</v>
      </c>
      <c r="V2740" s="9" t="n">
        <f aca="false">IF(E2740="",1,0)</f>
        <v>0</v>
      </c>
      <c r="W2740" s="9" t="n">
        <f aca="false">IF(OR(H2740&lt;1,H2740&gt;10),1,0)</f>
        <v>0</v>
      </c>
      <c r="X2740" s="9" t="n">
        <f aca="false">IF(OR(I2740&lt;=0,I2740&gt;1500),1,0)</f>
        <v>0</v>
      </c>
      <c r="Y2740" s="9" t="n">
        <f aca="false">IF(J2740&gt;H2740*I2740,1,0)</f>
        <v>0</v>
      </c>
      <c r="Z2740" s="9" t="n">
        <f aca="false">IF(AND(N2740&lt;&gt;"",OR(N2740&lt;1,N2740&gt;5)),1,0)</f>
        <v>0</v>
      </c>
      <c r="AA2740" s="9" t="n">
        <f aca="false">IF(AND(M2740&lt;&gt;"",OR(M2740&lt;5,M2740&gt;180)),1,0)</f>
        <v>0</v>
      </c>
      <c r="AB2740" s="7" t="str">
        <f aca="false">IF(P2740="DUP","Exact duplicate row",IF(T2740=1,"Missing Order ID",IF(S2740="DROP","Duplicate Order ID (less complete row)",IF(U2740=1,"Missing Customer ID",IF(V2740=1,"Missing Restaurant name",IF(W2740=1,"Invalid/outlier quantity",IF(X2740=1,"Invalid/outlier unit price",IF(Y2740=1,"Discount greater than order value",""))))))))</f>
        <v/>
      </c>
      <c r="AC2740" s="7" t="str">
        <f aca="false">IF(AB2740="","KEEP","DROP")</f>
        <v>KEEP</v>
      </c>
      <c r="AD2740" s="7" t="str">
        <f aca="false">IF(TRIM(F2740)="",IFERROR(INDEX(Map_Tables!$I$4:$I$37,MATCH(TRIM(E2740),Map_Tables!$G$4:$G$37,0)),""),IFERROR(INDEX(Map_Tables!$B$4:$B$18,MATCH(TRIM(F2740),Map_Tables!$A$4:$A$18,0)),"CHECK"))</f>
        <v>Mumbai</v>
      </c>
      <c r="AE2740" s="7" t="str">
        <f aca="false">IF(TRIM(E2740)="","",IFERROR(INDEX(Map_Tables!$H$4:$H$37,MATCH(TRIM(E2740),Map_Tables!$G$4:$G$37,0)),"CHECK"))</f>
        <v>Curry Leaf Kitchen</v>
      </c>
      <c r="AF2740" s="7" t="str">
        <f aca="false">IF(TRIM(K2740)="","Unknown",IFERROR(INDEX(Map_Tables!$E$4:$E$15,MATCH(TRIM(K2740),Map_Tables!$D$4:$D$15,0)),"CHECK"))</f>
        <v>UPI</v>
      </c>
      <c r="AG2740" s="7" t="str">
        <f aca="false">IF(LEFT(LOWER(TRIM(L2740)),6)="cancel","Cancelled","Delivered")</f>
        <v>Delivered</v>
      </c>
      <c r="AH2740" s="10" t="n">
        <f aca="false">IF(ISNUMBER(SEARCH("/",B2740)),DATE(VALUE(RIGHT(B2740,4)),VALUE(MID(B2740,4,2)),VALUE(LEFT(B2740,2))),IF(MID(B2740,5,1)="-",DATE(VALUE(LEFT(B2740,4)),VALUE(MID(B2740,6,2)),VALUE(RIGHT(B2740,2))),DATE(VALUE(RIGHT(B2740,4)),MATCH(MID(B2740,4,3),{"Jan","Feb","Mar","Apr","May","Jun","Jul","Aug","Sep","Oct","Nov","Dec"},0),VALUE(LEFT(B2740,2)))))</f>
        <v>45760</v>
      </c>
    </row>
    <row r="2741" customFormat="false" ht="15" hidden="false" customHeight="false" outlineLevel="0" collapsed="false">
      <c r="A2741" s="7" t="s">
        <v>1038</v>
      </c>
      <c r="B2741" s="7" t="s">
        <v>715</v>
      </c>
      <c r="C2741" s="7" t="s">
        <v>679</v>
      </c>
      <c r="D2741" s="7" t="s">
        <v>1039</v>
      </c>
      <c r="E2741" s="7" t="s">
        <v>165</v>
      </c>
      <c r="F2741" s="7" t="s">
        <v>146</v>
      </c>
      <c r="G2741" s="7" t="s">
        <v>90</v>
      </c>
      <c r="H2741" s="7" t="n">
        <v>1</v>
      </c>
      <c r="I2741" s="7" t="n">
        <v>180</v>
      </c>
      <c r="J2741" s="7" t="n">
        <v>20</v>
      </c>
      <c r="K2741" s="7"/>
      <c r="L2741" s="7" t="s">
        <v>194</v>
      </c>
      <c r="M2741" s="7" t="n">
        <v>30</v>
      </c>
      <c r="N2741" s="7" t="n">
        <v>3</v>
      </c>
      <c r="O2741" s="7" t="str">
        <f aca="false">A2741&amp;"|"&amp;B2741&amp;"|"&amp;C2741&amp;"|"&amp;D2741&amp;"|"&amp;E2741&amp;"|"&amp;F2741&amp;"|"&amp;G2741&amp;"|"&amp;H2741&amp;"|"&amp;I2741&amp;"|"&amp;J2741&amp;"|"&amp;K2741&amp;"|"&amp;L2741&amp;"|"&amp;M2741&amp;"|"&amp;N2741</f>
        <v>ORD11266|2025-06-11|11:00|C0107|Gujarati Thali Ghar|Ahmedabad|North Indian|1|180|20||Delivered|30|3</v>
      </c>
      <c r="P2741" s="7" t="str">
        <f aca="false">IF(COUNTIF($O$2:O2741,O2741)&gt;1,"DUP","OK")</f>
        <v>DUP</v>
      </c>
      <c r="Q2741" s="7" t="n">
        <f aca="false">COUNTBLANK(A2741:N2741)</f>
        <v>1</v>
      </c>
      <c r="R2741" s="7" t="n">
        <f aca="false">IF(A2741="",0,COUNTIFS($A$2:$A$3058,A2741,$P$2:$P$3058,"OK"))</f>
        <v>1</v>
      </c>
      <c r="S2741" s="7" t="str">
        <f aca="false">IF(OR(A2741="",P2741="DUP",R2741&lt;2),"",IF(Q2741=_xlfn.MINIFS($Q$2:$Q$3058,$A$2:$A$3058,A2741,$P$2:$P$3058,"OK"),"KEEP","DROP"))</f>
        <v/>
      </c>
      <c r="T2741" s="9" t="n">
        <f aca="false">IF(A2741="",1,0)</f>
        <v>0</v>
      </c>
      <c r="U2741" s="9" t="n">
        <f aca="false">IF(D2741="",1,0)</f>
        <v>0</v>
      </c>
      <c r="V2741" s="9" t="n">
        <f aca="false">IF(E2741="",1,0)</f>
        <v>0</v>
      </c>
      <c r="W2741" s="9" t="n">
        <f aca="false">IF(OR(H2741&lt;1,H2741&gt;10),1,0)</f>
        <v>0</v>
      </c>
      <c r="X2741" s="9" t="n">
        <f aca="false">IF(OR(I2741&lt;=0,I2741&gt;1500),1,0)</f>
        <v>0</v>
      </c>
      <c r="Y2741" s="9" t="n">
        <f aca="false">IF(J2741&gt;H2741*I2741,1,0)</f>
        <v>0</v>
      </c>
      <c r="Z2741" s="9" t="n">
        <f aca="false">IF(AND(N2741&lt;&gt;"",OR(N2741&lt;1,N2741&gt;5)),1,0)</f>
        <v>0</v>
      </c>
      <c r="AA2741" s="9" t="n">
        <f aca="false">IF(AND(M2741&lt;&gt;"",OR(M2741&lt;5,M2741&gt;180)),1,0)</f>
        <v>0</v>
      </c>
      <c r="AB2741" s="7" t="str">
        <f aca="false">IF(P2741="DUP","Exact duplicate row",IF(T2741=1,"Missing Order ID",IF(S2741="DROP","Duplicate Order ID (less complete row)",IF(U2741=1,"Missing Customer ID",IF(V2741=1,"Missing Restaurant name",IF(W2741=1,"Invalid/outlier quantity",IF(X2741=1,"Invalid/outlier unit price",IF(Y2741=1,"Discount greater than order value",""))))))))</f>
        <v>Exact duplicate row</v>
      </c>
      <c r="AC2741" s="7" t="str">
        <f aca="false">IF(AB2741="","KEEP","DROP")</f>
        <v>DROP</v>
      </c>
      <c r="AD2741" s="7" t="str">
        <f aca="false">IF(TRIM(F2741)="",IFERROR(INDEX(Map_Tables!$I$4:$I$37,MATCH(TRIM(E2741),Map_Tables!$G$4:$G$37,0)),""),IFERROR(INDEX(Map_Tables!$B$4:$B$18,MATCH(TRIM(F2741),Map_Tables!$A$4:$A$18,0)),"CHECK"))</f>
        <v>Ahmedabad</v>
      </c>
      <c r="AE2741" s="7" t="str">
        <f aca="false">IF(TRIM(E2741)="","",IFERROR(INDEX(Map_Tables!$H$4:$H$37,MATCH(TRIM(E2741),Map_Tables!$G$4:$G$37,0)),"CHECK"))</f>
        <v>Gujarati Thali Ghar</v>
      </c>
      <c r="AF2741" s="7" t="str">
        <f aca="false">IF(TRIM(K2741)="","Unknown",IFERROR(INDEX(Map_Tables!$E$4:$E$15,MATCH(TRIM(K2741),Map_Tables!$D$4:$D$15,0)),"CHECK"))</f>
        <v>Unknown</v>
      </c>
      <c r="AG2741" s="7" t="str">
        <f aca="false">IF(LEFT(LOWER(TRIM(L2741)),6)="cancel","Cancelled","Delivered")</f>
        <v>Delivered</v>
      </c>
      <c r="AH2741" s="10" t="n">
        <f aca="false">IF(ISNUMBER(SEARCH("/",B2741)),DATE(VALUE(RIGHT(B2741,4)),VALUE(MID(B2741,4,2)),VALUE(LEFT(B2741,2))),IF(MID(B2741,5,1)="-",DATE(VALUE(LEFT(B2741,4)),VALUE(MID(B2741,6,2)),VALUE(RIGHT(B2741,2))),DATE(VALUE(RIGHT(B2741,4)),MATCH(MID(B2741,4,3),{"Jan","Feb","Mar","Apr","May","Jun","Jul","Aug","Sep","Oct","Nov","Dec"},0),VALUE(LEFT(B2741,2)))))</f>
        <v>45819</v>
      </c>
    </row>
    <row r="2742" customFormat="false" ht="15" hidden="false" customHeight="false" outlineLevel="0" collapsed="false">
      <c r="A2742" s="7" t="s">
        <v>5774</v>
      </c>
      <c r="B2742" s="7" t="s">
        <v>995</v>
      </c>
      <c r="C2742" s="7" t="s">
        <v>3794</v>
      </c>
      <c r="D2742" s="7" t="s">
        <v>4755</v>
      </c>
      <c r="E2742" s="7" t="s">
        <v>122</v>
      </c>
      <c r="F2742" s="7" t="s">
        <v>101</v>
      </c>
      <c r="G2742" s="7" t="s">
        <v>123</v>
      </c>
      <c r="H2742" s="7" t="n">
        <v>1</v>
      </c>
      <c r="I2742" s="7" t="n">
        <v>430</v>
      </c>
      <c r="J2742" s="7" t="n">
        <v>0</v>
      </c>
      <c r="K2742" s="7" t="s">
        <v>526</v>
      </c>
      <c r="L2742" s="7" t="s">
        <v>194</v>
      </c>
      <c r="M2742" s="7" t="n">
        <v>45</v>
      </c>
      <c r="N2742" s="7" t="n">
        <v>5</v>
      </c>
      <c r="O2742" s="7" t="str">
        <f aca="false">A2742&amp;"|"&amp;B2742&amp;"|"&amp;C2742&amp;"|"&amp;D2742&amp;"|"&amp;E2742&amp;"|"&amp;F2742&amp;"|"&amp;G2742&amp;"|"&amp;H2742&amp;"|"&amp;I2742&amp;"|"&amp;J2742&amp;"|"&amp;K2742&amp;"|"&amp;L2742&amp;"|"&amp;M2742&amp;"|"&amp;N2742</f>
        <v>ORD10343|2025-02-15|19:13|C1306|Mumbai Pizza Co|Mumbai|Pizza|1|430|0|DC|Delivered|45|5</v>
      </c>
      <c r="P2742" s="7" t="str">
        <f aca="false">IF(COUNTIF($O$2:O2742,O2742)&gt;1,"DUP","OK")</f>
        <v>OK</v>
      </c>
      <c r="Q2742" s="7" t="n">
        <f aca="false">COUNTBLANK(A2742:N2742)</f>
        <v>0</v>
      </c>
      <c r="R2742" s="7" t="n">
        <f aca="false">IF(A2742="",0,COUNTIFS($A$2:$A$3058,A2742,$P$2:$P$3058,"OK"))</f>
        <v>1</v>
      </c>
      <c r="S2742" s="7" t="str">
        <f aca="false">IF(OR(A2742="",P2742="DUP",R2742&lt;2),"",IF(Q2742=_xlfn.MINIFS($Q$2:$Q$3058,$A$2:$A$3058,A2742,$P$2:$P$3058,"OK"),"KEEP","DROP"))</f>
        <v/>
      </c>
      <c r="T2742" s="9" t="n">
        <f aca="false">IF(A2742="",1,0)</f>
        <v>0</v>
      </c>
      <c r="U2742" s="9" t="n">
        <f aca="false">IF(D2742="",1,0)</f>
        <v>0</v>
      </c>
      <c r="V2742" s="9" t="n">
        <f aca="false">IF(E2742="",1,0)</f>
        <v>0</v>
      </c>
      <c r="W2742" s="9" t="n">
        <f aca="false">IF(OR(H2742&lt;1,H2742&gt;10),1,0)</f>
        <v>0</v>
      </c>
      <c r="X2742" s="9" t="n">
        <f aca="false">IF(OR(I2742&lt;=0,I2742&gt;1500),1,0)</f>
        <v>0</v>
      </c>
      <c r="Y2742" s="9" t="n">
        <f aca="false">IF(J2742&gt;H2742*I2742,1,0)</f>
        <v>0</v>
      </c>
      <c r="Z2742" s="9" t="n">
        <f aca="false">IF(AND(N2742&lt;&gt;"",OR(N2742&lt;1,N2742&gt;5)),1,0)</f>
        <v>0</v>
      </c>
      <c r="AA2742" s="9" t="n">
        <f aca="false">IF(AND(M2742&lt;&gt;"",OR(M2742&lt;5,M2742&gt;180)),1,0)</f>
        <v>0</v>
      </c>
      <c r="AB2742" s="7" t="str">
        <f aca="false">IF(P2742="DUP","Exact duplicate row",IF(T2742=1,"Missing Order ID",IF(S2742="DROP","Duplicate Order ID (less complete row)",IF(U2742=1,"Missing Customer ID",IF(V2742=1,"Missing Restaurant name",IF(W2742=1,"Invalid/outlier quantity",IF(X2742=1,"Invalid/outlier unit price",IF(Y2742=1,"Discount greater than order value",""))))))))</f>
        <v/>
      </c>
      <c r="AC2742" s="7" t="str">
        <f aca="false">IF(AB2742="","KEEP","DROP")</f>
        <v>KEEP</v>
      </c>
      <c r="AD2742" s="7" t="str">
        <f aca="false">IF(TRIM(F2742)="",IFERROR(INDEX(Map_Tables!$I$4:$I$37,MATCH(TRIM(E2742),Map_Tables!$G$4:$G$37,0)),""),IFERROR(INDEX(Map_Tables!$B$4:$B$18,MATCH(TRIM(F2742),Map_Tables!$A$4:$A$18,0)),"CHECK"))</f>
        <v>Mumbai</v>
      </c>
      <c r="AE2742" s="7" t="str">
        <f aca="false">IF(TRIM(E2742)="","",IFERROR(INDEX(Map_Tables!$H$4:$H$37,MATCH(TRIM(E2742),Map_Tables!$G$4:$G$37,0)),"CHECK"))</f>
        <v>Mumbai Pizza Co</v>
      </c>
      <c r="AF2742" s="7" t="str">
        <f aca="false">IF(TRIM(K2742)="","Unknown",IFERROR(INDEX(Map_Tables!$E$4:$E$15,MATCH(TRIM(K2742),Map_Tables!$D$4:$D$15,0)),"CHECK"))</f>
        <v>Debit Card</v>
      </c>
      <c r="AG2742" s="7" t="str">
        <f aca="false">IF(LEFT(LOWER(TRIM(L2742)),6)="cancel","Cancelled","Delivered")</f>
        <v>Delivered</v>
      </c>
      <c r="AH2742" s="10" t="n">
        <f aca="false">IF(ISNUMBER(SEARCH("/",B2742)),DATE(VALUE(RIGHT(B2742,4)),VALUE(MID(B2742,4,2)),VALUE(LEFT(B2742,2))),IF(MID(B2742,5,1)="-",DATE(VALUE(LEFT(B2742,4)),VALUE(MID(B2742,6,2)),VALUE(RIGHT(B2742,2))),DATE(VALUE(RIGHT(B2742,4)),MATCH(MID(B2742,4,3),{"Jan","Feb","Mar","Apr","May","Jun","Jul","Aug","Sep","Oct","Nov","Dec"},0),VALUE(LEFT(B2742,2)))))</f>
        <v>45703</v>
      </c>
    </row>
    <row r="2743" customFormat="false" ht="15" hidden="false" customHeight="false" outlineLevel="0" collapsed="false">
      <c r="A2743" s="7" t="s">
        <v>5775</v>
      </c>
      <c r="B2743" s="7" t="s">
        <v>1733</v>
      </c>
      <c r="C2743" s="7" t="s">
        <v>856</v>
      </c>
      <c r="D2743" s="7" t="s">
        <v>3624</v>
      </c>
      <c r="E2743" s="7" t="s">
        <v>5776</v>
      </c>
      <c r="F2743" s="7" t="s">
        <v>141</v>
      </c>
      <c r="G2743" s="7" t="s">
        <v>99</v>
      </c>
      <c r="H2743" s="7" t="n">
        <v>4</v>
      </c>
      <c r="I2743" s="7" t="n">
        <v>245</v>
      </c>
      <c r="J2743" s="7" t="n">
        <v>0</v>
      </c>
      <c r="K2743" s="7" t="s">
        <v>88</v>
      </c>
      <c r="L2743" s="7" t="s">
        <v>194</v>
      </c>
      <c r="M2743" s="7" t="n">
        <v>43</v>
      </c>
      <c r="N2743" s="7" t="n">
        <v>4</v>
      </c>
      <c r="O2743" s="7" t="str">
        <f aca="false">A2743&amp;"|"&amp;B2743&amp;"|"&amp;C2743&amp;"|"&amp;D2743&amp;"|"&amp;E2743&amp;"|"&amp;F2743&amp;"|"&amp;G2743&amp;"|"&amp;H2743&amp;"|"&amp;I2743&amp;"|"&amp;J2743&amp;"|"&amp;K2743&amp;"|"&amp;L2743&amp;"|"&amp;M2743&amp;"|"&amp;N2743</f>
        <v>ORD12598|2025-11-17|21:04|C0831|Biryani  Baadshah|Kolkata|Biryani|4|245|0|UPI|Delivered|43|4</v>
      </c>
      <c r="P2743" s="7" t="str">
        <f aca="false">IF(COUNTIF($O$2:O2743,O2743)&gt;1,"DUP","OK")</f>
        <v>OK</v>
      </c>
      <c r="Q2743" s="7" t="n">
        <f aca="false">COUNTBLANK(A2743:N2743)</f>
        <v>0</v>
      </c>
      <c r="R2743" s="7" t="n">
        <f aca="false">IF(A2743="",0,COUNTIFS($A$2:$A$3058,A2743,$P$2:$P$3058,"OK"))</f>
        <v>1</v>
      </c>
      <c r="S2743" s="7" t="str">
        <f aca="false">IF(OR(A2743="",P2743="DUP",R2743&lt;2),"",IF(Q2743=_xlfn.MINIFS($Q$2:$Q$3058,$A$2:$A$3058,A2743,$P$2:$P$3058,"OK"),"KEEP","DROP"))</f>
        <v/>
      </c>
      <c r="T2743" s="9" t="n">
        <f aca="false">IF(A2743="",1,0)</f>
        <v>0</v>
      </c>
      <c r="U2743" s="9" t="n">
        <f aca="false">IF(D2743="",1,0)</f>
        <v>0</v>
      </c>
      <c r="V2743" s="9" t="n">
        <f aca="false">IF(E2743="",1,0)</f>
        <v>0</v>
      </c>
      <c r="W2743" s="9" t="n">
        <f aca="false">IF(OR(H2743&lt;1,H2743&gt;10),1,0)</f>
        <v>0</v>
      </c>
      <c r="X2743" s="9" t="n">
        <f aca="false">IF(OR(I2743&lt;=0,I2743&gt;1500),1,0)</f>
        <v>0</v>
      </c>
      <c r="Y2743" s="9" t="n">
        <f aca="false">IF(J2743&gt;H2743*I2743,1,0)</f>
        <v>0</v>
      </c>
      <c r="Z2743" s="9" t="n">
        <f aca="false">IF(AND(N2743&lt;&gt;"",OR(N2743&lt;1,N2743&gt;5)),1,0)</f>
        <v>0</v>
      </c>
      <c r="AA2743" s="9" t="n">
        <f aca="false">IF(AND(M2743&lt;&gt;"",OR(M2743&lt;5,M2743&gt;180)),1,0)</f>
        <v>0</v>
      </c>
      <c r="AB2743" s="7" t="str">
        <f aca="false">IF(P2743="DUP","Exact duplicate row",IF(T2743=1,"Missing Order ID",IF(S2743="DROP","Duplicate Order ID (less complete row)",IF(U2743=1,"Missing Customer ID",IF(V2743=1,"Missing Restaurant name",IF(W2743=1,"Invalid/outlier quantity",IF(X2743=1,"Invalid/outlier unit price",IF(Y2743=1,"Discount greater than order value",""))))))))</f>
        <v/>
      </c>
      <c r="AC2743" s="7" t="str">
        <f aca="false">IF(AB2743="","KEEP","DROP")</f>
        <v>KEEP</v>
      </c>
      <c r="AD2743" s="7" t="str">
        <f aca="false">IF(TRIM(F2743)="",IFERROR(INDEX(Map_Tables!$I$4:$I$37,MATCH(TRIM(E2743),Map_Tables!$G$4:$G$37,0)),""),IFERROR(INDEX(Map_Tables!$B$4:$B$18,MATCH(TRIM(F2743),Map_Tables!$A$4:$A$18,0)),"CHECK"))</f>
        <v>Kolkata</v>
      </c>
      <c r="AE2743" s="7" t="str">
        <f aca="false">IF(TRIM(E2743)="","",IFERROR(INDEX(Map_Tables!$H$4:$H$37,MATCH(TRIM(E2743),Map_Tables!$G$4:$G$37,0)),"CHECK"))</f>
        <v>Biryani Baadshah</v>
      </c>
      <c r="AF2743" s="7" t="str">
        <f aca="false">IF(TRIM(K2743)="","Unknown",IFERROR(INDEX(Map_Tables!$E$4:$E$15,MATCH(TRIM(K2743),Map_Tables!$D$4:$D$15,0)),"CHECK"))</f>
        <v>UPI</v>
      </c>
      <c r="AG2743" s="7" t="str">
        <f aca="false">IF(LEFT(LOWER(TRIM(L2743)),6)="cancel","Cancelled","Delivered")</f>
        <v>Delivered</v>
      </c>
      <c r="AH2743" s="10" t="n">
        <f aca="false">IF(ISNUMBER(SEARCH("/",B2743)),DATE(VALUE(RIGHT(B2743,4)),VALUE(MID(B2743,4,2)),VALUE(LEFT(B2743,2))),IF(MID(B2743,5,1)="-",DATE(VALUE(LEFT(B2743,4)),VALUE(MID(B2743,6,2)),VALUE(RIGHT(B2743,2))),DATE(VALUE(RIGHT(B2743,4)),MATCH(MID(B2743,4,3),{"Jan","Feb","Mar","Apr","May","Jun","Jul","Aug","Sep","Oct","Nov","Dec"},0),VALUE(LEFT(B2743,2)))))</f>
        <v>45978</v>
      </c>
    </row>
    <row r="2744" customFormat="false" ht="15" hidden="false" customHeight="false" outlineLevel="0" collapsed="false">
      <c r="A2744" s="7" t="s">
        <v>5777</v>
      </c>
      <c r="B2744" s="7" t="s">
        <v>364</v>
      </c>
      <c r="C2744" s="7" t="s">
        <v>2266</v>
      </c>
      <c r="D2744" s="7" t="s">
        <v>4415</v>
      </c>
      <c r="E2744" s="7" t="s">
        <v>104</v>
      </c>
      <c r="F2744" s="7" t="s">
        <v>86</v>
      </c>
      <c r="G2744" s="7" t="s">
        <v>105</v>
      </c>
      <c r="H2744" s="7" t="n">
        <v>3</v>
      </c>
      <c r="I2744" s="7" t="n">
        <v>210</v>
      </c>
      <c r="J2744" s="7" t="n">
        <v>0</v>
      </c>
      <c r="K2744" s="7" t="s">
        <v>132</v>
      </c>
      <c r="L2744" s="7" t="s">
        <v>194</v>
      </c>
      <c r="M2744" s="7" t="n">
        <v>39</v>
      </c>
      <c r="N2744" s="7"/>
      <c r="O2744" s="7" t="str">
        <f aca="false">A2744&amp;"|"&amp;B2744&amp;"|"&amp;C2744&amp;"|"&amp;D2744&amp;"|"&amp;E2744&amp;"|"&amp;F2744&amp;"|"&amp;G2744&amp;"|"&amp;H2744&amp;"|"&amp;I2744&amp;"|"&amp;J2744&amp;"|"&amp;K2744&amp;"|"&amp;L2744&amp;"|"&amp;M2744&amp;"|"&amp;N2744</f>
        <v>ORD11411|2025-07-03|11:45|C0329|Wok &amp; Roll|Bengaluru|Chinese|3|210|0|net banking|Delivered|39|</v>
      </c>
      <c r="P2744" s="7" t="str">
        <f aca="false">IF(COUNTIF($O$2:O2744,O2744)&gt;1,"DUP","OK")</f>
        <v>OK</v>
      </c>
      <c r="Q2744" s="7" t="n">
        <f aca="false">COUNTBLANK(A2744:N2744)</f>
        <v>1</v>
      </c>
      <c r="R2744" s="7" t="n">
        <f aca="false">IF(A2744="",0,COUNTIFS($A$2:$A$3058,A2744,$P$2:$P$3058,"OK"))</f>
        <v>1</v>
      </c>
      <c r="S2744" s="7" t="str">
        <f aca="false">IF(OR(A2744="",P2744="DUP",R2744&lt;2),"",IF(Q2744=_xlfn.MINIFS($Q$2:$Q$3058,$A$2:$A$3058,A2744,$P$2:$P$3058,"OK"),"KEEP","DROP"))</f>
        <v/>
      </c>
      <c r="T2744" s="9" t="n">
        <f aca="false">IF(A2744="",1,0)</f>
        <v>0</v>
      </c>
      <c r="U2744" s="9" t="n">
        <f aca="false">IF(D2744="",1,0)</f>
        <v>0</v>
      </c>
      <c r="V2744" s="9" t="n">
        <f aca="false">IF(E2744="",1,0)</f>
        <v>0</v>
      </c>
      <c r="W2744" s="9" t="n">
        <f aca="false">IF(OR(H2744&lt;1,H2744&gt;10),1,0)</f>
        <v>0</v>
      </c>
      <c r="X2744" s="9" t="n">
        <f aca="false">IF(OR(I2744&lt;=0,I2744&gt;1500),1,0)</f>
        <v>0</v>
      </c>
      <c r="Y2744" s="9" t="n">
        <f aca="false">IF(J2744&gt;H2744*I2744,1,0)</f>
        <v>0</v>
      </c>
      <c r="Z2744" s="9" t="n">
        <f aca="false">IF(AND(N2744&lt;&gt;"",OR(N2744&lt;1,N2744&gt;5)),1,0)</f>
        <v>0</v>
      </c>
      <c r="AA2744" s="9" t="n">
        <f aca="false">IF(AND(M2744&lt;&gt;"",OR(M2744&lt;5,M2744&gt;180)),1,0)</f>
        <v>0</v>
      </c>
      <c r="AB2744" s="7" t="str">
        <f aca="false">IF(P2744="DUP","Exact duplicate row",IF(T2744=1,"Missing Order ID",IF(S2744="DROP","Duplicate Order ID (less complete row)",IF(U2744=1,"Missing Customer ID",IF(V2744=1,"Missing Restaurant name",IF(W2744=1,"Invalid/outlier quantity",IF(X2744=1,"Invalid/outlier unit price",IF(Y2744=1,"Discount greater than order value",""))))))))</f>
        <v/>
      </c>
      <c r="AC2744" s="7" t="str">
        <f aca="false">IF(AB2744="","KEEP","DROP")</f>
        <v>KEEP</v>
      </c>
      <c r="AD2744" s="7" t="str">
        <f aca="false">IF(TRIM(F2744)="",IFERROR(INDEX(Map_Tables!$I$4:$I$37,MATCH(TRIM(E2744),Map_Tables!$G$4:$G$37,0)),""),IFERROR(INDEX(Map_Tables!$B$4:$B$18,MATCH(TRIM(F2744),Map_Tables!$A$4:$A$18,0)),"CHECK"))</f>
        <v>Bengaluru</v>
      </c>
      <c r="AE2744" s="7" t="str">
        <f aca="false">IF(TRIM(E2744)="","",IFERROR(INDEX(Map_Tables!$H$4:$H$37,MATCH(TRIM(E2744),Map_Tables!$G$4:$G$37,0)),"CHECK"))</f>
        <v>Wok &amp; Roll</v>
      </c>
      <c r="AF2744" s="7" t="str">
        <f aca="false">IF(TRIM(K2744)="","Unknown",IFERROR(INDEX(Map_Tables!$E$4:$E$15,MATCH(TRIM(K2744),Map_Tables!$D$4:$D$15,0)),"CHECK"))</f>
        <v>Net Banking</v>
      </c>
      <c r="AG2744" s="7" t="str">
        <f aca="false">IF(LEFT(LOWER(TRIM(L2744)),6)="cancel","Cancelled","Delivered")</f>
        <v>Delivered</v>
      </c>
      <c r="AH2744" s="10" t="n">
        <f aca="false">IF(ISNUMBER(SEARCH("/",B2744)),DATE(VALUE(RIGHT(B2744,4)),VALUE(MID(B2744,4,2)),VALUE(LEFT(B2744,2))),IF(MID(B2744,5,1)="-",DATE(VALUE(LEFT(B2744,4)),VALUE(MID(B2744,6,2)),VALUE(RIGHT(B2744,2))),DATE(VALUE(RIGHT(B2744,4)),MATCH(MID(B2744,4,3),{"Jan","Feb","Mar","Apr","May","Jun","Jul","Aug","Sep","Oct","Nov","Dec"},0),VALUE(LEFT(B2744,2)))))</f>
        <v>45841</v>
      </c>
    </row>
    <row r="2745" customFormat="false" ht="15" hidden="false" customHeight="false" outlineLevel="0" collapsed="false">
      <c r="A2745" s="7" t="s">
        <v>5778</v>
      </c>
      <c r="B2745" s="7" t="s">
        <v>267</v>
      </c>
      <c r="C2745" s="7" t="s">
        <v>981</v>
      </c>
      <c r="D2745" s="7" t="s">
        <v>5779</v>
      </c>
      <c r="E2745" s="7" t="s">
        <v>116</v>
      </c>
      <c r="F2745" s="7" t="s">
        <v>1557</v>
      </c>
      <c r="G2745" s="7" t="s">
        <v>117</v>
      </c>
      <c r="H2745" s="7" t="n">
        <v>1</v>
      </c>
      <c r="I2745" s="7" t="n">
        <v>140</v>
      </c>
      <c r="J2745" s="7" t="n">
        <v>0</v>
      </c>
      <c r="K2745" s="7" t="s">
        <v>88</v>
      </c>
      <c r="L2745" s="7" t="s">
        <v>194</v>
      </c>
      <c r="M2745" s="7" t="n">
        <v>31</v>
      </c>
      <c r="N2745" s="7"/>
      <c r="O2745" s="7" t="str">
        <f aca="false">A2745&amp;"|"&amp;B2745&amp;"|"&amp;C2745&amp;"|"&amp;D2745&amp;"|"&amp;E2745&amp;"|"&amp;F2745&amp;"|"&amp;G2745&amp;"|"&amp;H2745&amp;"|"&amp;I2745&amp;"|"&amp;J2745&amp;"|"&amp;K2745&amp;"|"&amp;L2745&amp;"|"&amp;M2745&amp;"|"&amp;N2745</f>
        <v>ORD11215|2025-06-03|11:52|C1036|Pav Bhaji Point|Mumbai |Street Food|1|140|0|UPI|Delivered|31|</v>
      </c>
      <c r="P2745" s="7" t="str">
        <f aca="false">IF(COUNTIF($O$2:O2745,O2745)&gt;1,"DUP","OK")</f>
        <v>OK</v>
      </c>
      <c r="Q2745" s="7" t="n">
        <f aca="false">COUNTBLANK(A2745:N2745)</f>
        <v>1</v>
      </c>
      <c r="R2745" s="7" t="n">
        <f aca="false">IF(A2745="",0,COUNTIFS($A$2:$A$3058,A2745,$P$2:$P$3058,"OK"))</f>
        <v>1</v>
      </c>
      <c r="S2745" s="7" t="str">
        <f aca="false">IF(OR(A2745="",P2745="DUP",R2745&lt;2),"",IF(Q2745=_xlfn.MINIFS($Q$2:$Q$3058,$A$2:$A$3058,A2745,$P$2:$P$3058,"OK"),"KEEP","DROP"))</f>
        <v/>
      </c>
      <c r="T2745" s="9" t="n">
        <f aca="false">IF(A2745="",1,0)</f>
        <v>0</v>
      </c>
      <c r="U2745" s="9" t="n">
        <f aca="false">IF(D2745="",1,0)</f>
        <v>0</v>
      </c>
      <c r="V2745" s="9" t="n">
        <f aca="false">IF(E2745="",1,0)</f>
        <v>0</v>
      </c>
      <c r="W2745" s="9" t="n">
        <f aca="false">IF(OR(H2745&lt;1,H2745&gt;10),1,0)</f>
        <v>0</v>
      </c>
      <c r="X2745" s="9" t="n">
        <f aca="false">IF(OR(I2745&lt;=0,I2745&gt;1500),1,0)</f>
        <v>0</v>
      </c>
      <c r="Y2745" s="9" t="n">
        <f aca="false">IF(J2745&gt;H2745*I2745,1,0)</f>
        <v>0</v>
      </c>
      <c r="Z2745" s="9" t="n">
        <f aca="false">IF(AND(N2745&lt;&gt;"",OR(N2745&lt;1,N2745&gt;5)),1,0)</f>
        <v>0</v>
      </c>
      <c r="AA2745" s="9" t="n">
        <f aca="false">IF(AND(M2745&lt;&gt;"",OR(M2745&lt;5,M2745&gt;180)),1,0)</f>
        <v>0</v>
      </c>
      <c r="AB2745" s="7" t="str">
        <f aca="false">IF(P2745="DUP","Exact duplicate row",IF(T2745=1,"Missing Order ID",IF(S2745="DROP","Duplicate Order ID (less complete row)",IF(U2745=1,"Missing Customer ID",IF(V2745=1,"Missing Restaurant name",IF(W2745=1,"Invalid/outlier quantity",IF(X2745=1,"Invalid/outlier unit price",IF(Y2745=1,"Discount greater than order value",""))))))))</f>
        <v/>
      </c>
      <c r="AC2745" s="7" t="str">
        <f aca="false">IF(AB2745="","KEEP","DROP")</f>
        <v>KEEP</v>
      </c>
      <c r="AD2745" s="7" t="str">
        <f aca="false">IF(TRIM(F2745)="",IFERROR(INDEX(Map_Tables!$I$4:$I$37,MATCH(TRIM(E2745),Map_Tables!$G$4:$G$37,0)),""),IFERROR(INDEX(Map_Tables!$B$4:$B$18,MATCH(TRIM(F2745),Map_Tables!$A$4:$A$18,0)),"CHECK"))</f>
        <v>Mumbai</v>
      </c>
      <c r="AE2745" s="7" t="str">
        <f aca="false">IF(TRIM(E2745)="","",IFERROR(INDEX(Map_Tables!$H$4:$H$37,MATCH(TRIM(E2745),Map_Tables!$G$4:$G$37,0)),"CHECK"))</f>
        <v>Pav Bhaji Point</v>
      </c>
      <c r="AF2745" s="7" t="str">
        <f aca="false">IF(TRIM(K2745)="","Unknown",IFERROR(INDEX(Map_Tables!$E$4:$E$15,MATCH(TRIM(K2745),Map_Tables!$D$4:$D$15,0)),"CHECK"))</f>
        <v>UPI</v>
      </c>
      <c r="AG2745" s="7" t="str">
        <f aca="false">IF(LEFT(LOWER(TRIM(L2745)),6)="cancel","Cancelled","Delivered")</f>
        <v>Delivered</v>
      </c>
      <c r="AH2745" s="10" t="n">
        <f aca="false">IF(ISNUMBER(SEARCH("/",B2745)),DATE(VALUE(RIGHT(B2745,4)),VALUE(MID(B2745,4,2)),VALUE(LEFT(B2745,2))),IF(MID(B2745,5,1)="-",DATE(VALUE(LEFT(B2745,4)),VALUE(MID(B2745,6,2)),VALUE(RIGHT(B2745,2))),DATE(VALUE(RIGHT(B2745,4)),MATCH(MID(B2745,4,3),{"Jan","Feb","Mar","Apr","May","Jun","Jul","Aug","Sep","Oct","Nov","Dec"},0),VALUE(LEFT(B2745,2)))))</f>
        <v>45811</v>
      </c>
    </row>
    <row r="2746" customFormat="false" ht="15" hidden="false" customHeight="false" outlineLevel="0" collapsed="false">
      <c r="A2746" s="7" t="s">
        <v>5780</v>
      </c>
      <c r="B2746" s="7" t="s">
        <v>2461</v>
      </c>
      <c r="C2746" s="7" t="s">
        <v>732</v>
      </c>
      <c r="D2746" s="7" t="s">
        <v>5781</v>
      </c>
      <c r="E2746" s="7" t="s">
        <v>126</v>
      </c>
      <c r="F2746" s="7" t="s">
        <v>101</v>
      </c>
      <c r="G2746" s="7" t="s">
        <v>105</v>
      </c>
      <c r="H2746" s="7" t="n">
        <v>4</v>
      </c>
      <c r="I2746" s="7" t="n">
        <v>230</v>
      </c>
      <c r="J2746" s="7" t="n">
        <v>100</v>
      </c>
      <c r="K2746" s="7" t="s">
        <v>102</v>
      </c>
      <c r="L2746" s="7" t="s">
        <v>194</v>
      </c>
      <c r="M2746" s="7" t="n">
        <v>44</v>
      </c>
      <c r="N2746" s="7" t="n">
        <v>5</v>
      </c>
      <c r="O2746" s="7" t="str">
        <f aca="false">A2746&amp;"|"&amp;B2746&amp;"|"&amp;C2746&amp;"|"&amp;D2746&amp;"|"&amp;E2746&amp;"|"&amp;F2746&amp;"|"&amp;G2746&amp;"|"&amp;H2746&amp;"|"&amp;I2746&amp;"|"&amp;J2746&amp;"|"&amp;K2746&amp;"|"&amp;L2746&amp;"|"&amp;M2746&amp;"|"&amp;N2746</f>
        <v>ORD10967|2025-05-02|19:07|C0414|Dragon Express|Mumbai|Chinese|4|230|100|debit card|Delivered|44|5</v>
      </c>
      <c r="P2746" s="7" t="str">
        <f aca="false">IF(COUNTIF($O$2:O2746,O2746)&gt;1,"DUP","OK")</f>
        <v>OK</v>
      </c>
      <c r="Q2746" s="7" t="n">
        <f aca="false">COUNTBLANK(A2746:N2746)</f>
        <v>0</v>
      </c>
      <c r="R2746" s="7" t="n">
        <f aca="false">IF(A2746="",0,COUNTIFS($A$2:$A$3058,A2746,$P$2:$P$3058,"OK"))</f>
        <v>1</v>
      </c>
      <c r="S2746" s="7" t="str">
        <f aca="false">IF(OR(A2746="",P2746="DUP",R2746&lt;2),"",IF(Q2746=_xlfn.MINIFS($Q$2:$Q$3058,$A$2:$A$3058,A2746,$P$2:$P$3058,"OK"),"KEEP","DROP"))</f>
        <v/>
      </c>
      <c r="T2746" s="9" t="n">
        <f aca="false">IF(A2746="",1,0)</f>
        <v>0</v>
      </c>
      <c r="U2746" s="9" t="n">
        <f aca="false">IF(D2746="",1,0)</f>
        <v>0</v>
      </c>
      <c r="V2746" s="9" t="n">
        <f aca="false">IF(E2746="",1,0)</f>
        <v>0</v>
      </c>
      <c r="W2746" s="9" t="n">
        <f aca="false">IF(OR(H2746&lt;1,H2746&gt;10),1,0)</f>
        <v>0</v>
      </c>
      <c r="X2746" s="9" t="n">
        <f aca="false">IF(OR(I2746&lt;=0,I2746&gt;1500),1,0)</f>
        <v>0</v>
      </c>
      <c r="Y2746" s="9" t="n">
        <f aca="false">IF(J2746&gt;H2746*I2746,1,0)</f>
        <v>0</v>
      </c>
      <c r="Z2746" s="9" t="n">
        <f aca="false">IF(AND(N2746&lt;&gt;"",OR(N2746&lt;1,N2746&gt;5)),1,0)</f>
        <v>0</v>
      </c>
      <c r="AA2746" s="9" t="n">
        <f aca="false">IF(AND(M2746&lt;&gt;"",OR(M2746&lt;5,M2746&gt;180)),1,0)</f>
        <v>0</v>
      </c>
      <c r="AB2746" s="7" t="str">
        <f aca="false">IF(P2746="DUP","Exact duplicate row",IF(T2746=1,"Missing Order ID",IF(S2746="DROP","Duplicate Order ID (less complete row)",IF(U2746=1,"Missing Customer ID",IF(V2746=1,"Missing Restaurant name",IF(W2746=1,"Invalid/outlier quantity",IF(X2746=1,"Invalid/outlier unit price",IF(Y2746=1,"Discount greater than order value",""))))))))</f>
        <v/>
      </c>
      <c r="AC2746" s="7" t="str">
        <f aca="false">IF(AB2746="","KEEP","DROP")</f>
        <v>KEEP</v>
      </c>
      <c r="AD2746" s="7" t="str">
        <f aca="false">IF(TRIM(F2746)="",IFERROR(INDEX(Map_Tables!$I$4:$I$37,MATCH(TRIM(E2746),Map_Tables!$G$4:$G$37,0)),""),IFERROR(INDEX(Map_Tables!$B$4:$B$18,MATCH(TRIM(F2746),Map_Tables!$A$4:$A$18,0)),"CHECK"))</f>
        <v>Mumbai</v>
      </c>
      <c r="AE2746" s="7" t="str">
        <f aca="false">IF(TRIM(E2746)="","",IFERROR(INDEX(Map_Tables!$H$4:$H$37,MATCH(TRIM(E2746),Map_Tables!$G$4:$G$37,0)),"CHECK"))</f>
        <v>Dragon Express</v>
      </c>
      <c r="AF2746" s="7" t="str">
        <f aca="false">IF(TRIM(K2746)="","Unknown",IFERROR(INDEX(Map_Tables!$E$4:$E$15,MATCH(TRIM(K2746),Map_Tables!$D$4:$D$15,0)),"CHECK"))</f>
        <v>Debit Card</v>
      </c>
      <c r="AG2746" s="7" t="str">
        <f aca="false">IF(LEFT(LOWER(TRIM(L2746)),6)="cancel","Cancelled","Delivered")</f>
        <v>Delivered</v>
      </c>
      <c r="AH2746" s="10" t="n">
        <f aca="false">IF(ISNUMBER(SEARCH("/",B2746)),DATE(VALUE(RIGHT(B2746,4)),VALUE(MID(B2746,4,2)),VALUE(LEFT(B2746,2))),IF(MID(B2746,5,1)="-",DATE(VALUE(LEFT(B2746,4)),VALUE(MID(B2746,6,2)),VALUE(RIGHT(B2746,2))),DATE(VALUE(RIGHT(B2746,4)),MATCH(MID(B2746,4,3),{"Jan","Feb","Mar","Apr","May","Jun","Jul","Aug","Sep","Oct","Nov","Dec"},0),VALUE(LEFT(B2746,2)))))</f>
        <v>45779</v>
      </c>
    </row>
    <row r="2747" customFormat="false" ht="15" hidden="false" customHeight="false" outlineLevel="0" collapsed="false">
      <c r="A2747" s="7" t="s">
        <v>5782</v>
      </c>
      <c r="B2747" s="7" t="s">
        <v>291</v>
      </c>
      <c r="C2747" s="7" t="s">
        <v>478</v>
      </c>
      <c r="D2747" s="7" t="s">
        <v>5783</v>
      </c>
      <c r="E2747" s="7" t="s">
        <v>144</v>
      </c>
      <c r="F2747" s="7" t="s">
        <v>2488</v>
      </c>
      <c r="G2747" s="7" t="s">
        <v>99</v>
      </c>
      <c r="H2747" s="7" t="n">
        <v>2</v>
      </c>
      <c r="I2747" s="7" t="n">
        <v>375</v>
      </c>
      <c r="J2747" s="7" t="n">
        <v>0</v>
      </c>
      <c r="K2747" s="7" t="s">
        <v>112</v>
      </c>
      <c r="L2747" s="7" t="s">
        <v>194</v>
      </c>
      <c r="M2747" s="7" t="n">
        <v>47</v>
      </c>
      <c r="N2747" s="7" t="n">
        <v>3</v>
      </c>
      <c r="O2747" s="7" t="str">
        <f aca="false">A2747&amp;"|"&amp;B2747&amp;"|"&amp;C2747&amp;"|"&amp;D2747&amp;"|"&amp;E2747&amp;"|"&amp;F2747&amp;"|"&amp;G2747&amp;"|"&amp;H2747&amp;"|"&amp;I2747&amp;"|"&amp;J2747&amp;"|"&amp;K2747&amp;"|"&amp;L2747&amp;"|"&amp;M2747&amp;"|"&amp;N2747</f>
        <v>ORD11231|2025-06-05|20:03|C0246|Hyderabad Dum Biryani|HYDERABAD|Biryani|2|375|0|Cash on Delivery|Delivered|47|3</v>
      </c>
      <c r="P2747" s="7" t="str">
        <f aca="false">IF(COUNTIF($O$2:O2747,O2747)&gt;1,"DUP","OK")</f>
        <v>OK</v>
      </c>
      <c r="Q2747" s="7" t="n">
        <f aca="false">COUNTBLANK(A2747:N2747)</f>
        <v>0</v>
      </c>
      <c r="R2747" s="7" t="n">
        <f aca="false">IF(A2747="",0,COUNTIFS($A$2:$A$3058,A2747,$P$2:$P$3058,"OK"))</f>
        <v>1</v>
      </c>
      <c r="S2747" s="7" t="str">
        <f aca="false">IF(OR(A2747="",P2747="DUP",R2747&lt;2),"",IF(Q2747=_xlfn.MINIFS($Q$2:$Q$3058,$A$2:$A$3058,A2747,$P$2:$P$3058,"OK"),"KEEP","DROP"))</f>
        <v/>
      </c>
      <c r="T2747" s="9" t="n">
        <f aca="false">IF(A2747="",1,0)</f>
        <v>0</v>
      </c>
      <c r="U2747" s="9" t="n">
        <f aca="false">IF(D2747="",1,0)</f>
        <v>0</v>
      </c>
      <c r="V2747" s="9" t="n">
        <f aca="false">IF(E2747="",1,0)</f>
        <v>0</v>
      </c>
      <c r="W2747" s="9" t="n">
        <f aca="false">IF(OR(H2747&lt;1,H2747&gt;10),1,0)</f>
        <v>0</v>
      </c>
      <c r="X2747" s="9" t="n">
        <f aca="false">IF(OR(I2747&lt;=0,I2747&gt;1500),1,0)</f>
        <v>0</v>
      </c>
      <c r="Y2747" s="9" t="n">
        <f aca="false">IF(J2747&gt;H2747*I2747,1,0)</f>
        <v>0</v>
      </c>
      <c r="Z2747" s="9" t="n">
        <f aca="false">IF(AND(N2747&lt;&gt;"",OR(N2747&lt;1,N2747&gt;5)),1,0)</f>
        <v>0</v>
      </c>
      <c r="AA2747" s="9" t="n">
        <f aca="false">IF(AND(M2747&lt;&gt;"",OR(M2747&lt;5,M2747&gt;180)),1,0)</f>
        <v>0</v>
      </c>
      <c r="AB2747" s="7" t="str">
        <f aca="false">IF(P2747="DUP","Exact duplicate row",IF(T2747=1,"Missing Order ID",IF(S2747="DROP","Duplicate Order ID (less complete row)",IF(U2747=1,"Missing Customer ID",IF(V2747=1,"Missing Restaurant name",IF(W2747=1,"Invalid/outlier quantity",IF(X2747=1,"Invalid/outlier unit price",IF(Y2747=1,"Discount greater than order value",""))))))))</f>
        <v/>
      </c>
      <c r="AC2747" s="7" t="str">
        <f aca="false">IF(AB2747="","KEEP","DROP")</f>
        <v>KEEP</v>
      </c>
      <c r="AD2747" s="7" t="str">
        <f aca="false">IF(TRIM(F2747)="",IFERROR(INDEX(Map_Tables!$I$4:$I$37,MATCH(TRIM(E2747),Map_Tables!$G$4:$G$37,0)),""),IFERROR(INDEX(Map_Tables!$B$4:$B$18,MATCH(TRIM(F2747),Map_Tables!$A$4:$A$18,0)),"CHECK"))</f>
        <v>Hyderabad</v>
      </c>
      <c r="AE2747" s="7" t="str">
        <f aca="false">IF(TRIM(E2747)="","",IFERROR(INDEX(Map_Tables!$H$4:$H$37,MATCH(TRIM(E2747),Map_Tables!$G$4:$G$37,0)),"CHECK"))</f>
        <v>Hyderabad Dum Biryani</v>
      </c>
      <c r="AF2747" s="7" t="str">
        <f aca="false">IF(TRIM(K2747)="","Unknown",IFERROR(INDEX(Map_Tables!$E$4:$E$15,MATCH(TRIM(K2747),Map_Tables!$D$4:$D$15,0)),"CHECK"))</f>
        <v>Cash on Delivery</v>
      </c>
      <c r="AG2747" s="7" t="str">
        <f aca="false">IF(LEFT(LOWER(TRIM(L2747)),6)="cancel","Cancelled","Delivered")</f>
        <v>Delivered</v>
      </c>
      <c r="AH2747" s="10" t="n">
        <f aca="false">IF(ISNUMBER(SEARCH("/",B2747)),DATE(VALUE(RIGHT(B2747,4)),VALUE(MID(B2747,4,2)),VALUE(LEFT(B2747,2))),IF(MID(B2747,5,1)="-",DATE(VALUE(LEFT(B2747,4)),VALUE(MID(B2747,6,2)),VALUE(RIGHT(B2747,2))),DATE(VALUE(RIGHT(B2747,4)),MATCH(MID(B2747,4,3),{"Jan","Feb","Mar","Apr","May","Jun","Jul","Aug","Sep","Oct","Nov","Dec"},0),VALUE(LEFT(B2747,2)))))</f>
        <v>45813</v>
      </c>
    </row>
    <row r="2748" customFormat="false" ht="15" hidden="false" customHeight="false" outlineLevel="0" collapsed="false">
      <c r="A2748" s="7" t="s">
        <v>5784</v>
      </c>
      <c r="B2748" s="7" t="s">
        <v>2231</v>
      </c>
      <c r="C2748" s="7" t="s">
        <v>310</v>
      </c>
      <c r="D2748" s="7" t="s">
        <v>1870</v>
      </c>
      <c r="E2748" s="7" t="s">
        <v>126</v>
      </c>
      <c r="F2748" s="7" t="s">
        <v>101</v>
      </c>
      <c r="G2748" s="7" t="s">
        <v>105</v>
      </c>
      <c r="H2748" s="7" t="n">
        <v>3</v>
      </c>
      <c r="I2748" s="7" t="n">
        <v>235</v>
      </c>
      <c r="J2748" s="7" t="n">
        <v>50</v>
      </c>
      <c r="K2748" s="7" t="s">
        <v>93</v>
      </c>
      <c r="L2748" s="7" t="s">
        <v>194</v>
      </c>
      <c r="M2748" s="7" t="n">
        <v>40</v>
      </c>
      <c r="N2748" s="7" t="n">
        <v>3</v>
      </c>
      <c r="O2748" s="7" t="str">
        <f aca="false">A2748&amp;"|"&amp;B2748&amp;"|"&amp;C2748&amp;"|"&amp;D2748&amp;"|"&amp;E2748&amp;"|"&amp;F2748&amp;"|"&amp;G2748&amp;"|"&amp;H2748&amp;"|"&amp;I2748&amp;"|"&amp;J2748&amp;"|"&amp;K2748&amp;"|"&amp;L2748&amp;"|"&amp;M2748&amp;"|"&amp;N2748</f>
        <v>ORD12344|2025-10-22|19:09|C0385|Dragon Express|Mumbai|Chinese|3|235|50|Credit Card|Delivered|40|3</v>
      </c>
      <c r="P2748" s="7" t="str">
        <f aca="false">IF(COUNTIF($O$2:O2748,O2748)&gt;1,"DUP","OK")</f>
        <v>OK</v>
      </c>
      <c r="Q2748" s="7" t="n">
        <f aca="false">COUNTBLANK(A2748:N2748)</f>
        <v>0</v>
      </c>
      <c r="R2748" s="7" t="n">
        <f aca="false">IF(A2748="",0,COUNTIFS($A$2:$A$3058,A2748,$P$2:$P$3058,"OK"))</f>
        <v>1</v>
      </c>
      <c r="S2748" s="7" t="str">
        <f aca="false">IF(OR(A2748="",P2748="DUP",R2748&lt;2),"",IF(Q2748=_xlfn.MINIFS($Q$2:$Q$3058,$A$2:$A$3058,A2748,$P$2:$P$3058,"OK"),"KEEP","DROP"))</f>
        <v/>
      </c>
      <c r="T2748" s="9" t="n">
        <f aca="false">IF(A2748="",1,0)</f>
        <v>0</v>
      </c>
      <c r="U2748" s="9" t="n">
        <f aca="false">IF(D2748="",1,0)</f>
        <v>0</v>
      </c>
      <c r="V2748" s="9" t="n">
        <f aca="false">IF(E2748="",1,0)</f>
        <v>0</v>
      </c>
      <c r="W2748" s="9" t="n">
        <f aca="false">IF(OR(H2748&lt;1,H2748&gt;10),1,0)</f>
        <v>0</v>
      </c>
      <c r="X2748" s="9" t="n">
        <f aca="false">IF(OR(I2748&lt;=0,I2748&gt;1500),1,0)</f>
        <v>0</v>
      </c>
      <c r="Y2748" s="9" t="n">
        <f aca="false">IF(J2748&gt;H2748*I2748,1,0)</f>
        <v>0</v>
      </c>
      <c r="Z2748" s="9" t="n">
        <f aca="false">IF(AND(N2748&lt;&gt;"",OR(N2748&lt;1,N2748&gt;5)),1,0)</f>
        <v>0</v>
      </c>
      <c r="AA2748" s="9" t="n">
        <f aca="false">IF(AND(M2748&lt;&gt;"",OR(M2748&lt;5,M2748&gt;180)),1,0)</f>
        <v>0</v>
      </c>
      <c r="AB2748" s="7" t="str">
        <f aca="false">IF(P2748="DUP","Exact duplicate row",IF(T2748=1,"Missing Order ID",IF(S2748="DROP","Duplicate Order ID (less complete row)",IF(U2748=1,"Missing Customer ID",IF(V2748=1,"Missing Restaurant name",IF(W2748=1,"Invalid/outlier quantity",IF(X2748=1,"Invalid/outlier unit price",IF(Y2748=1,"Discount greater than order value",""))))))))</f>
        <v/>
      </c>
      <c r="AC2748" s="7" t="str">
        <f aca="false">IF(AB2748="","KEEP","DROP")</f>
        <v>KEEP</v>
      </c>
      <c r="AD2748" s="7" t="str">
        <f aca="false">IF(TRIM(F2748)="",IFERROR(INDEX(Map_Tables!$I$4:$I$37,MATCH(TRIM(E2748),Map_Tables!$G$4:$G$37,0)),""),IFERROR(INDEX(Map_Tables!$B$4:$B$18,MATCH(TRIM(F2748),Map_Tables!$A$4:$A$18,0)),"CHECK"))</f>
        <v>Mumbai</v>
      </c>
      <c r="AE2748" s="7" t="str">
        <f aca="false">IF(TRIM(E2748)="","",IFERROR(INDEX(Map_Tables!$H$4:$H$37,MATCH(TRIM(E2748),Map_Tables!$G$4:$G$37,0)),"CHECK"))</f>
        <v>Dragon Express</v>
      </c>
      <c r="AF2748" s="7" t="str">
        <f aca="false">IF(TRIM(K2748)="","Unknown",IFERROR(INDEX(Map_Tables!$E$4:$E$15,MATCH(TRIM(K2748),Map_Tables!$D$4:$D$15,0)),"CHECK"))</f>
        <v>Credit Card</v>
      </c>
      <c r="AG2748" s="7" t="str">
        <f aca="false">IF(LEFT(LOWER(TRIM(L2748)),6)="cancel","Cancelled","Delivered")</f>
        <v>Delivered</v>
      </c>
      <c r="AH2748" s="10" t="n">
        <f aca="false">IF(ISNUMBER(SEARCH("/",B2748)),DATE(VALUE(RIGHT(B2748,4)),VALUE(MID(B2748,4,2)),VALUE(LEFT(B2748,2))),IF(MID(B2748,5,1)="-",DATE(VALUE(LEFT(B2748,4)),VALUE(MID(B2748,6,2)),VALUE(RIGHT(B2748,2))),DATE(VALUE(RIGHT(B2748,4)),MATCH(MID(B2748,4,3),{"Jan","Feb","Mar","Apr","May","Jun","Jul","Aug","Sep","Oct","Nov","Dec"},0),VALUE(LEFT(B2748,2)))))</f>
        <v>45952</v>
      </c>
    </row>
    <row r="2749" customFormat="false" ht="15" hidden="false" customHeight="false" outlineLevel="0" collapsed="false">
      <c r="A2749" s="7" t="s">
        <v>5785</v>
      </c>
      <c r="B2749" s="7" t="s">
        <v>350</v>
      </c>
      <c r="C2749" s="7" t="s">
        <v>5159</v>
      </c>
      <c r="D2749" s="7" t="s">
        <v>1944</v>
      </c>
      <c r="E2749" s="7" t="s">
        <v>104</v>
      </c>
      <c r="F2749" s="7" t="s">
        <v>86</v>
      </c>
      <c r="G2749" s="7" t="s">
        <v>105</v>
      </c>
      <c r="H2749" s="7" t="n">
        <v>2</v>
      </c>
      <c r="I2749" s="7" t="n">
        <v>205</v>
      </c>
      <c r="J2749" s="7" t="n">
        <v>0</v>
      </c>
      <c r="K2749" s="7" t="s">
        <v>93</v>
      </c>
      <c r="L2749" s="7" t="s">
        <v>194</v>
      </c>
      <c r="M2749" s="7" t="n">
        <v>38</v>
      </c>
      <c r="N2749" s="7" t="n">
        <v>4</v>
      </c>
      <c r="O2749" s="7" t="str">
        <f aca="false">A2749&amp;"|"&amp;B2749&amp;"|"&amp;C2749&amp;"|"&amp;D2749&amp;"|"&amp;E2749&amp;"|"&amp;F2749&amp;"|"&amp;G2749&amp;"|"&amp;H2749&amp;"|"&amp;I2749&amp;"|"&amp;J2749&amp;"|"&amp;K2749&amp;"|"&amp;L2749&amp;"|"&amp;M2749&amp;"|"&amp;N2749</f>
        <v>ORD10696|2025-03-29|13:44|C0949|Wok &amp; Roll|Bengaluru|Chinese|2|205|0|Credit Card|Delivered|38|4</v>
      </c>
      <c r="P2749" s="7" t="str">
        <f aca="false">IF(COUNTIF($O$2:O2749,O2749)&gt;1,"DUP","OK")</f>
        <v>OK</v>
      </c>
      <c r="Q2749" s="7" t="n">
        <f aca="false">COUNTBLANK(A2749:N2749)</f>
        <v>0</v>
      </c>
      <c r="R2749" s="7" t="n">
        <f aca="false">IF(A2749="",0,COUNTIFS($A$2:$A$3058,A2749,$P$2:$P$3058,"OK"))</f>
        <v>1</v>
      </c>
      <c r="S2749" s="7" t="str">
        <f aca="false">IF(OR(A2749="",P2749="DUP",R2749&lt;2),"",IF(Q2749=_xlfn.MINIFS($Q$2:$Q$3058,$A$2:$A$3058,A2749,$P$2:$P$3058,"OK"),"KEEP","DROP"))</f>
        <v/>
      </c>
      <c r="T2749" s="9" t="n">
        <f aca="false">IF(A2749="",1,0)</f>
        <v>0</v>
      </c>
      <c r="U2749" s="9" t="n">
        <f aca="false">IF(D2749="",1,0)</f>
        <v>0</v>
      </c>
      <c r="V2749" s="9" t="n">
        <f aca="false">IF(E2749="",1,0)</f>
        <v>0</v>
      </c>
      <c r="W2749" s="9" t="n">
        <f aca="false">IF(OR(H2749&lt;1,H2749&gt;10),1,0)</f>
        <v>0</v>
      </c>
      <c r="X2749" s="9" t="n">
        <f aca="false">IF(OR(I2749&lt;=0,I2749&gt;1500),1,0)</f>
        <v>0</v>
      </c>
      <c r="Y2749" s="9" t="n">
        <f aca="false">IF(J2749&gt;H2749*I2749,1,0)</f>
        <v>0</v>
      </c>
      <c r="Z2749" s="9" t="n">
        <f aca="false">IF(AND(N2749&lt;&gt;"",OR(N2749&lt;1,N2749&gt;5)),1,0)</f>
        <v>0</v>
      </c>
      <c r="AA2749" s="9" t="n">
        <f aca="false">IF(AND(M2749&lt;&gt;"",OR(M2749&lt;5,M2749&gt;180)),1,0)</f>
        <v>0</v>
      </c>
      <c r="AB2749" s="7" t="str">
        <f aca="false">IF(P2749="DUP","Exact duplicate row",IF(T2749=1,"Missing Order ID",IF(S2749="DROP","Duplicate Order ID (less complete row)",IF(U2749=1,"Missing Customer ID",IF(V2749=1,"Missing Restaurant name",IF(W2749=1,"Invalid/outlier quantity",IF(X2749=1,"Invalid/outlier unit price",IF(Y2749=1,"Discount greater than order value",""))))))))</f>
        <v/>
      </c>
      <c r="AC2749" s="7" t="str">
        <f aca="false">IF(AB2749="","KEEP","DROP")</f>
        <v>KEEP</v>
      </c>
      <c r="AD2749" s="7" t="str">
        <f aca="false">IF(TRIM(F2749)="",IFERROR(INDEX(Map_Tables!$I$4:$I$37,MATCH(TRIM(E2749),Map_Tables!$G$4:$G$37,0)),""),IFERROR(INDEX(Map_Tables!$B$4:$B$18,MATCH(TRIM(F2749),Map_Tables!$A$4:$A$18,0)),"CHECK"))</f>
        <v>Bengaluru</v>
      </c>
      <c r="AE2749" s="7" t="str">
        <f aca="false">IF(TRIM(E2749)="","",IFERROR(INDEX(Map_Tables!$H$4:$H$37,MATCH(TRIM(E2749),Map_Tables!$G$4:$G$37,0)),"CHECK"))</f>
        <v>Wok &amp; Roll</v>
      </c>
      <c r="AF2749" s="7" t="str">
        <f aca="false">IF(TRIM(K2749)="","Unknown",IFERROR(INDEX(Map_Tables!$E$4:$E$15,MATCH(TRIM(K2749),Map_Tables!$D$4:$D$15,0)),"CHECK"))</f>
        <v>Credit Card</v>
      </c>
      <c r="AG2749" s="7" t="str">
        <f aca="false">IF(LEFT(LOWER(TRIM(L2749)),6)="cancel","Cancelled","Delivered")</f>
        <v>Delivered</v>
      </c>
      <c r="AH2749" s="10" t="n">
        <f aca="false">IF(ISNUMBER(SEARCH("/",B2749)),DATE(VALUE(RIGHT(B2749,4)),VALUE(MID(B2749,4,2)),VALUE(LEFT(B2749,2))),IF(MID(B2749,5,1)="-",DATE(VALUE(LEFT(B2749,4)),VALUE(MID(B2749,6,2)),VALUE(RIGHT(B2749,2))),DATE(VALUE(RIGHT(B2749,4)),MATCH(MID(B2749,4,3),{"Jan","Feb","Mar","Apr","May","Jun","Jul","Aug","Sep","Oct","Nov","Dec"},0),VALUE(LEFT(B2749,2)))))</f>
        <v>45745</v>
      </c>
    </row>
    <row r="2750" customFormat="false" ht="15" hidden="false" customHeight="false" outlineLevel="0" collapsed="false">
      <c r="A2750" s="7" t="s">
        <v>5786</v>
      </c>
      <c r="B2750" s="7" t="s">
        <v>528</v>
      </c>
      <c r="C2750" s="7" t="s">
        <v>5787</v>
      </c>
      <c r="D2750" s="7" t="s">
        <v>4798</v>
      </c>
      <c r="E2750" s="7" t="s">
        <v>134</v>
      </c>
      <c r="F2750" s="7" t="s">
        <v>110</v>
      </c>
      <c r="G2750" s="7" t="s">
        <v>117</v>
      </c>
      <c r="H2750" s="7" t="n">
        <v>3</v>
      </c>
      <c r="I2750" s="7" t="n">
        <v>80</v>
      </c>
      <c r="J2750" s="7" t="n">
        <v>0</v>
      </c>
      <c r="K2750" s="7" t="s">
        <v>526</v>
      </c>
      <c r="L2750" s="7" t="s">
        <v>194</v>
      </c>
      <c r="M2750" s="7" t="n">
        <v>37</v>
      </c>
      <c r="N2750" s="7" t="n">
        <v>4</v>
      </c>
      <c r="O2750" s="7" t="str">
        <f aca="false">A2750&amp;"|"&amp;B2750&amp;"|"&amp;C2750&amp;"|"&amp;D2750&amp;"|"&amp;E2750&amp;"|"&amp;F2750&amp;"|"&amp;G2750&amp;"|"&amp;H2750&amp;"|"&amp;I2750&amp;"|"&amp;J2750&amp;"|"&amp;K2750&amp;"|"&amp;L2750&amp;"|"&amp;M2750&amp;"|"&amp;N2750</f>
        <v>ORD12122|2025-09-29|22:48|C1114|Chaat Corner|Delhi|Street Food|3|80|0|DC|Delivered|37|4</v>
      </c>
      <c r="P2750" s="7" t="str">
        <f aca="false">IF(COUNTIF($O$2:O2750,O2750)&gt;1,"DUP","OK")</f>
        <v>OK</v>
      </c>
      <c r="Q2750" s="7" t="n">
        <f aca="false">COUNTBLANK(A2750:N2750)</f>
        <v>0</v>
      </c>
      <c r="R2750" s="7" t="n">
        <f aca="false">IF(A2750="",0,COUNTIFS($A$2:$A$3058,A2750,$P$2:$P$3058,"OK"))</f>
        <v>1</v>
      </c>
      <c r="S2750" s="7" t="str">
        <f aca="false">IF(OR(A2750="",P2750="DUP",R2750&lt;2),"",IF(Q2750=_xlfn.MINIFS($Q$2:$Q$3058,$A$2:$A$3058,A2750,$P$2:$P$3058,"OK"),"KEEP","DROP"))</f>
        <v/>
      </c>
      <c r="T2750" s="9" t="n">
        <f aca="false">IF(A2750="",1,0)</f>
        <v>0</v>
      </c>
      <c r="U2750" s="9" t="n">
        <f aca="false">IF(D2750="",1,0)</f>
        <v>0</v>
      </c>
      <c r="V2750" s="9" t="n">
        <f aca="false">IF(E2750="",1,0)</f>
        <v>0</v>
      </c>
      <c r="W2750" s="9" t="n">
        <f aca="false">IF(OR(H2750&lt;1,H2750&gt;10),1,0)</f>
        <v>0</v>
      </c>
      <c r="X2750" s="9" t="n">
        <f aca="false">IF(OR(I2750&lt;=0,I2750&gt;1500),1,0)</f>
        <v>0</v>
      </c>
      <c r="Y2750" s="9" t="n">
        <f aca="false">IF(J2750&gt;H2750*I2750,1,0)</f>
        <v>0</v>
      </c>
      <c r="Z2750" s="9" t="n">
        <f aca="false">IF(AND(N2750&lt;&gt;"",OR(N2750&lt;1,N2750&gt;5)),1,0)</f>
        <v>0</v>
      </c>
      <c r="AA2750" s="9" t="n">
        <f aca="false">IF(AND(M2750&lt;&gt;"",OR(M2750&lt;5,M2750&gt;180)),1,0)</f>
        <v>0</v>
      </c>
      <c r="AB2750" s="7" t="str">
        <f aca="false">IF(P2750="DUP","Exact duplicate row",IF(T2750=1,"Missing Order ID",IF(S2750="DROP","Duplicate Order ID (less complete row)",IF(U2750=1,"Missing Customer ID",IF(V2750=1,"Missing Restaurant name",IF(W2750=1,"Invalid/outlier quantity",IF(X2750=1,"Invalid/outlier unit price",IF(Y2750=1,"Discount greater than order value",""))))))))</f>
        <v/>
      </c>
      <c r="AC2750" s="7" t="str">
        <f aca="false">IF(AB2750="","KEEP","DROP")</f>
        <v>KEEP</v>
      </c>
      <c r="AD2750" s="7" t="str">
        <f aca="false">IF(TRIM(F2750)="",IFERROR(INDEX(Map_Tables!$I$4:$I$37,MATCH(TRIM(E2750),Map_Tables!$G$4:$G$37,0)),""),IFERROR(INDEX(Map_Tables!$B$4:$B$18,MATCH(TRIM(F2750),Map_Tables!$A$4:$A$18,0)),"CHECK"))</f>
        <v>Delhi</v>
      </c>
      <c r="AE2750" s="7" t="str">
        <f aca="false">IF(TRIM(E2750)="","",IFERROR(INDEX(Map_Tables!$H$4:$H$37,MATCH(TRIM(E2750),Map_Tables!$G$4:$G$37,0)),"CHECK"))</f>
        <v>Chaat Corner</v>
      </c>
      <c r="AF2750" s="7" t="str">
        <f aca="false">IF(TRIM(K2750)="","Unknown",IFERROR(INDEX(Map_Tables!$E$4:$E$15,MATCH(TRIM(K2750),Map_Tables!$D$4:$D$15,0)),"CHECK"))</f>
        <v>Debit Card</v>
      </c>
      <c r="AG2750" s="7" t="str">
        <f aca="false">IF(LEFT(LOWER(TRIM(L2750)),6)="cancel","Cancelled","Delivered")</f>
        <v>Delivered</v>
      </c>
      <c r="AH2750" s="10" t="n">
        <f aca="false">IF(ISNUMBER(SEARCH("/",B2750)),DATE(VALUE(RIGHT(B2750,4)),VALUE(MID(B2750,4,2)),VALUE(LEFT(B2750,2))),IF(MID(B2750,5,1)="-",DATE(VALUE(LEFT(B2750,4)),VALUE(MID(B2750,6,2)),VALUE(RIGHT(B2750,2))),DATE(VALUE(RIGHT(B2750,4)),MATCH(MID(B2750,4,3),{"Jan","Feb","Mar","Apr","May","Jun","Jul","Aug","Sep","Oct","Nov","Dec"},0),VALUE(LEFT(B2750,2)))))</f>
        <v>45929</v>
      </c>
    </row>
    <row r="2751" customFormat="false" ht="15" hidden="false" customHeight="false" outlineLevel="0" collapsed="false">
      <c r="A2751" s="7" t="s">
        <v>5788</v>
      </c>
      <c r="B2751" s="7" t="s">
        <v>723</v>
      </c>
      <c r="C2751" s="7" t="s">
        <v>1250</v>
      </c>
      <c r="D2751" s="7" t="s">
        <v>1979</v>
      </c>
      <c r="E2751" s="7" t="s">
        <v>116</v>
      </c>
      <c r="F2751" s="7" t="s">
        <v>100</v>
      </c>
      <c r="G2751" s="7" t="s">
        <v>117</v>
      </c>
      <c r="H2751" s="7" t="n">
        <v>2</v>
      </c>
      <c r="I2751" s="7" t="n">
        <v>125</v>
      </c>
      <c r="J2751" s="7" t="n">
        <v>0</v>
      </c>
      <c r="K2751" s="7" t="s">
        <v>88</v>
      </c>
      <c r="L2751" s="7" t="s">
        <v>194</v>
      </c>
      <c r="M2751" s="7" t="n">
        <v>48</v>
      </c>
      <c r="N2751" s="7" t="n">
        <v>3</v>
      </c>
      <c r="O2751" s="7" t="str">
        <f aca="false">A2751&amp;"|"&amp;B2751&amp;"|"&amp;C2751&amp;"|"&amp;D2751&amp;"|"&amp;E2751&amp;"|"&amp;F2751&amp;"|"&amp;G2751&amp;"|"&amp;H2751&amp;"|"&amp;I2751&amp;"|"&amp;J2751&amp;"|"&amp;K2751&amp;"|"&amp;L2751&amp;"|"&amp;M2751&amp;"|"&amp;N2751</f>
        <v>ORD10606|2025-03-18|12:02|C1335|Pav Bhaji Point|mumbai|Street Food|2|125|0|UPI|Delivered|48|3</v>
      </c>
      <c r="P2751" s="7" t="str">
        <f aca="false">IF(COUNTIF($O$2:O2751,O2751)&gt;1,"DUP","OK")</f>
        <v>OK</v>
      </c>
      <c r="Q2751" s="7" t="n">
        <f aca="false">COUNTBLANK(A2751:N2751)</f>
        <v>0</v>
      </c>
      <c r="R2751" s="7" t="n">
        <f aca="false">IF(A2751="",0,COUNTIFS($A$2:$A$3058,A2751,$P$2:$P$3058,"OK"))</f>
        <v>1</v>
      </c>
      <c r="S2751" s="7" t="str">
        <f aca="false">IF(OR(A2751="",P2751="DUP",R2751&lt;2),"",IF(Q2751=_xlfn.MINIFS($Q$2:$Q$3058,$A$2:$A$3058,A2751,$P$2:$P$3058,"OK"),"KEEP","DROP"))</f>
        <v/>
      </c>
      <c r="T2751" s="9" t="n">
        <f aca="false">IF(A2751="",1,0)</f>
        <v>0</v>
      </c>
      <c r="U2751" s="9" t="n">
        <f aca="false">IF(D2751="",1,0)</f>
        <v>0</v>
      </c>
      <c r="V2751" s="9" t="n">
        <f aca="false">IF(E2751="",1,0)</f>
        <v>0</v>
      </c>
      <c r="W2751" s="9" t="n">
        <f aca="false">IF(OR(H2751&lt;1,H2751&gt;10),1,0)</f>
        <v>0</v>
      </c>
      <c r="X2751" s="9" t="n">
        <f aca="false">IF(OR(I2751&lt;=0,I2751&gt;1500),1,0)</f>
        <v>0</v>
      </c>
      <c r="Y2751" s="9" t="n">
        <f aca="false">IF(J2751&gt;H2751*I2751,1,0)</f>
        <v>0</v>
      </c>
      <c r="Z2751" s="9" t="n">
        <f aca="false">IF(AND(N2751&lt;&gt;"",OR(N2751&lt;1,N2751&gt;5)),1,0)</f>
        <v>0</v>
      </c>
      <c r="AA2751" s="9" t="n">
        <f aca="false">IF(AND(M2751&lt;&gt;"",OR(M2751&lt;5,M2751&gt;180)),1,0)</f>
        <v>0</v>
      </c>
      <c r="AB2751" s="7" t="str">
        <f aca="false">IF(P2751="DUP","Exact duplicate row",IF(T2751=1,"Missing Order ID",IF(S2751="DROP","Duplicate Order ID (less complete row)",IF(U2751=1,"Missing Customer ID",IF(V2751=1,"Missing Restaurant name",IF(W2751=1,"Invalid/outlier quantity",IF(X2751=1,"Invalid/outlier unit price",IF(Y2751=1,"Discount greater than order value",""))))))))</f>
        <v/>
      </c>
      <c r="AC2751" s="7" t="str">
        <f aca="false">IF(AB2751="","KEEP","DROP")</f>
        <v>KEEP</v>
      </c>
      <c r="AD2751" s="7" t="str">
        <f aca="false">IF(TRIM(F2751)="",IFERROR(INDEX(Map_Tables!$I$4:$I$37,MATCH(TRIM(E2751),Map_Tables!$G$4:$G$37,0)),""),IFERROR(INDEX(Map_Tables!$B$4:$B$18,MATCH(TRIM(F2751),Map_Tables!$A$4:$A$18,0)),"CHECK"))</f>
        <v>Mumbai</v>
      </c>
      <c r="AE2751" s="7" t="str">
        <f aca="false">IF(TRIM(E2751)="","",IFERROR(INDEX(Map_Tables!$H$4:$H$37,MATCH(TRIM(E2751),Map_Tables!$G$4:$G$37,0)),"CHECK"))</f>
        <v>Pav Bhaji Point</v>
      </c>
      <c r="AF2751" s="7" t="str">
        <f aca="false">IF(TRIM(K2751)="","Unknown",IFERROR(INDEX(Map_Tables!$E$4:$E$15,MATCH(TRIM(K2751),Map_Tables!$D$4:$D$15,0)),"CHECK"))</f>
        <v>UPI</v>
      </c>
      <c r="AG2751" s="7" t="str">
        <f aca="false">IF(LEFT(LOWER(TRIM(L2751)),6)="cancel","Cancelled","Delivered")</f>
        <v>Delivered</v>
      </c>
      <c r="AH2751" s="10" t="n">
        <f aca="false">IF(ISNUMBER(SEARCH("/",B2751)),DATE(VALUE(RIGHT(B2751,4)),VALUE(MID(B2751,4,2)),VALUE(LEFT(B2751,2))),IF(MID(B2751,5,1)="-",DATE(VALUE(LEFT(B2751,4)),VALUE(MID(B2751,6,2)),VALUE(RIGHT(B2751,2))),DATE(VALUE(RIGHT(B2751,4)),MATCH(MID(B2751,4,3),{"Jan","Feb","Mar","Apr","May","Jun","Jul","Aug","Sep","Oct","Nov","Dec"},0),VALUE(LEFT(B2751,2)))))</f>
        <v>45734</v>
      </c>
    </row>
    <row r="2752" customFormat="false" ht="15" hidden="false" customHeight="false" outlineLevel="0" collapsed="false">
      <c r="A2752" s="7" t="s">
        <v>5789</v>
      </c>
      <c r="B2752" s="7" t="s">
        <v>924</v>
      </c>
      <c r="C2752" s="7" t="s">
        <v>3046</v>
      </c>
      <c r="D2752" s="7" t="s">
        <v>5790</v>
      </c>
      <c r="E2752" s="7" t="s">
        <v>94</v>
      </c>
      <c r="F2752" s="7" t="s">
        <v>86</v>
      </c>
      <c r="G2752" s="7" t="s">
        <v>95</v>
      </c>
      <c r="H2752" s="7" t="n">
        <v>3</v>
      </c>
      <c r="I2752" s="7" t="n">
        <v>110</v>
      </c>
      <c r="J2752" s="7" t="n">
        <v>0</v>
      </c>
      <c r="K2752" s="7" t="s">
        <v>88</v>
      </c>
      <c r="L2752" s="7" t="s">
        <v>194</v>
      </c>
      <c r="M2752" s="7" t="n">
        <v>38</v>
      </c>
      <c r="N2752" s="7" t="n">
        <v>5</v>
      </c>
      <c r="O2752" s="7" t="str">
        <f aca="false">A2752&amp;"|"&amp;B2752&amp;"|"&amp;C2752&amp;"|"&amp;D2752&amp;"|"&amp;E2752&amp;"|"&amp;F2752&amp;"|"&amp;G2752&amp;"|"&amp;H2752&amp;"|"&amp;I2752&amp;"|"&amp;J2752&amp;"|"&amp;K2752&amp;"|"&amp;L2752&amp;"|"&amp;M2752&amp;"|"&amp;N2752</f>
        <v>ORD10105|2025-01-14|18:17|C0525|Dosa Darbar|Bengaluru|South Indian|3|110|0|UPI|Delivered|38|5</v>
      </c>
      <c r="P2752" s="7" t="str">
        <f aca="false">IF(COUNTIF($O$2:O2752,O2752)&gt;1,"DUP","OK")</f>
        <v>OK</v>
      </c>
      <c r="Q2752" s="7" t="n">
        <f aca="false">COUNTBLANK(A2752:N2752)</f>
        <v>0</v>
      </c>
      <c r="R2752" s="7" t="n">
        <f aca="false">IF(A2752="",0,COUNTIFS($A$2:$A$3058,A2752,$P$2:$P$3058,"OK"))</f>
        <v>1</v>
      </c>
      <c r="S2752" s="7" t="str">
        <f aca="false">IF(OR(A2752="",P2752="DUP",R2752&lt;2),"",IF(Q2752=_xlfn.MINIFS($Q$2:$Q$3058,$A$2:$A$3058,A2752,$P$2:$P$3058,"OK"),"KEEP","DROP"))</f>
        <v/>
      </c>
      <c r="T2752" s="9" t="n">
        <f aca="false">IF(A2752="",1,0)</f>
        <v>0</v>
      </c>
      <c r="U2752" s="9" t="n">
        <f aca="false">IF(D2752="",1,0)</f>
        <v>0</v>
      </c>
      <c r="V2752" s="9" t="n">
        <f aca="false">IF(E2752="",1,0)</f>
        <v>0</v>
      </c>
      <c r="W2752" s="9" t="n">
        <f aca="false">IF(OR(H2752&lt;1,H2752&gt;10),1,0)</f>
        <v>0</v>
      </c>
      <c r="X2752" s="9" t="n">
        <f aca="false">IF(OR(I2752&lt;=0,I2752&gt;1500),1,0)</f>
        <v>0</v>
      </c>
      <c r="Y2752" s="9" t="n">
        <f aca="false">IF(J2752&gt;H2752*I2752,1,0)</f>
        <v>0</v>
      </c>
      <c r="Z2752" s="9" t="n">
        <f aca="false">IF(AND(N2752&lt;&gt;"",OR(N2752&lt;1,N2752&gt;5)),1,0)</f>
        <v>0</v>
      </c>
      <c r="AA2752" s="9" t="n">
        <f aca="false">IF(AND(M2752&lt;&gt;"",OR(M2752&lt;5,M2752&gt;180)),1,0)</f>
        <v>0</v>
      </c>
      <c r="AB2752" s="7" t="str">
        <f aca="false">IF(P2752="DUP","Exact duplicate row",IF(T2752=1,"Missing Order ID",IF(S2752="DROP","Duplicate Order ID (less complete row)",IF(U2752=1,"Missing Customer ID",IF(V2752=1,"Missing Restaurant name",IF(W2752=1,"Invalid/outlier quantity",IF(X2752=1,"Invalid/outlier unit price",IF(Y2752=1,"Discount greater than order value",""))))))))</f>
        <v/>
      </c>
      <c r="AC2752" s="7" t="str">
        <f aca="false">IF(AB2752="","KEEP","DROP")</f>
        <v>KEEP</v>
      </c>
      <c r="AD2752" s="7" t="str">
        <f aca="false">IF(TRIM(F2752)="",IFERROR(INDEX(Map_Tables!$I$4:$I$37,MATCH(TRIM(E2752),Map_Tables!$G$4:$G$37,0)),""),IFERROR(INDEX(Map_Tables!$B$4:$B$18,MATCH(TRIM(F2752),Map_Tables!$A$4:$A$18,0)),"CHECK"))</f>
        <v>Bengaluru</v>
      </c>
      <c r="AE2752" s="7" t="str">
        <f aca="false">IF(TRIM(E2752)="","",IFERROR(INDEX(Map_Tables!$H$4:$H$37,MATCH(TRIM(E2752),Map_Tables!$G$4:$G$37,0)),"CHECK"))</f>
        <v>Dosa Darbar</v>
      </c>
      <c r="AF2752" s="7" t="str">
        <f aca="false">IF(TRIM(K2752)="","Unknown",IFERROR(INDEX(Map_Tables!$E$4:$E$15,MATCH(TRIM(K2752),Map_Tables!$D$4:$D$15,0)),"CHECK"))</f>
        <v>UPI</v>
      </c>
      <c r="AG2752" s="7" t="str">
        <f aca="false">IF(LEFT(LOWER(TRIM(L2752)),6)="cancel","Cancelled","Delivered")</f>
        <v>Delivered</v>
      </c>
      <c r="AH2752" s="10" t="n">
        <f aca="false">IF(ISNUMBER(SEARCH("/",B2752)),DATE(VALUE(RIGHT(B2752,4)),VALUE(MID(B2752,4,2)),VALUE(LEFT(B2752,2))),IF(MID(B2752,5,1)="-",DATE(VALUE(LEFT(B2752,4)),VALUE(MID(B2752,6,2)),VALUE(RIGHT(B2752,2))),DATE(VALUE(RIGHT(B2752,4)),MATCH(MID(B2752,4,3),{"Jan","Feb","Mar","Apr","May","Jun","Jul","Aug","Sep","Oct","Nov","Dec"},0),VALUE(LEFT(B2752,2)))))</f>
        <v>45671</v>
      </c>
    </row>
    <row r="2753" customFormat="false" ht="15" hidden="false" customHeight="false" outlineLevel="0" collapsed="false">
      <c r="A2753" s="7" t="s">
        <v>5791</v>
      </c>
      <c r="B2753" s="7" t="s">
        <v>813</v>
      </c>
      <c r="C2753" s="7" t="s">
        <v>5792</v>
      </c>
      <c r="D2753" s="7" t="s">
        <v>5436</v>
      </c>
      <c r="E2753" s="7" t="s">
        <v>113</v>
      </c>
      <c r="F2753" s="7" t="s">
        <v>101</v>
      </c>
      <c r="G2753" s="7" t="s">
        <v>90</v>
      </c>
      <c r="H2753" s="7" t="n">
        <v>1</v>
      </c>
      <c r="I2753" s="7" t="n">
        <v>280</v>
      </c>
      <c r="J2753" s="7" t="n">
        <v>112</v>
      </c>
      <c r="K2753" s="7" t="s">
        <v>133</v>
      </c>
      <c r="L2753" s="7" t="s">
        <v>194</v>
      </c>
      <c r="M2753" s="7" t="n">
        <v>34</v>
      </c>
      <c r="N2753" s="7" t="n">
        <v>3</v>
      </c>
      <c r="O2753" s="7" t="str">
        <f aca="false">A2753&amp;"|"&amp;B2753&amp;"|"&amp;C2753&amp;"|"&amp;D2753&amp;"|"&amp;E2753&amp;"|"&amp;F2753&amp;"|"&amp;G2753&amp;"|"&amp;H2753&amp;"|"&amp;I2753&amp;"|"&amp;J2753&amp;"|"&amp;K2753&amp;"|"&amp;L2753&amp;"|"&amp;M2753&amp;"|"&amp;N2753</f>
        <v>ORD10646|2025-03-23|16:52|C1090|Curry Leaf Kitchen|Mumbai|North Indian|1|280|112|Net Banking|Delivered|34|3</v>
      </c>
      <c r="P2753" s="7" t="str">
        <f aca="false">IF(COUNTIF($O$2:O2753,O2753)&gt;1,"DUP","OK")</f>
        <v>OK</v>
      </c>
      <c r="Q2753" s="7" t="n">
        <f aca="false">COUNTBLANK(A2753:N2753)</f>
        <v>0</v>
      </c>
      <c r="R2753" s="7" t="n">
        <f aca="false">IF(A2753="",0,COUNTIFS($A$2:$A$3058,A2753,$P$2:$P$3058,"OK"))</f>
        <v>1</v>
      </c>
      <c r="S2753" s="7" t="str">
        <f aca="false">IF(OR(A2753="",P2753="DUP",R2753&lt;2),"",IF(Q2753=_xlfn.MINIFS($Q$2:$Q$3058,$A$2:$A$3058,A2753,$P$2:$P$3058,"OK"),"KEEP","DROP"))</f>
        <v/>
      </c>
      <c r="T2753" s="9" t="n">
        <f aca="false">IF(A2753="",1,0)</f>
        <v>0</v>
      </c>
      <c r="U2753" s="9" t="n">
        <f aca="false">IF(D2753="",1,0)</f>
        <v>0</v>
      </c>
      <c r="V2753" s="9" t="n">
        <f aca="false">IF(E2753="",1,0)</f>
        <v>0</v>
      </c>
      <c r="W2753" s="9" t="n">
        <f aca="false">IF(OR(H2753&lt;1,H2753&gt;10),1,0)</f>
        <v>0</v>
      </c>
      <c r="X2753" s="9" t="n">
        <f aca="false">IF(OR(I2753&lt;=0,I2753&gt;1500),1,0)</f>
        <v>0</v>
      </c>
      <c r="Y2753" s="9" t="n">
        <f aca="false">IF(J2753&gt;H2753*I2753,1,0)</f>
        <v>0</v>
      </c>
      <c r="Z2753" s="9" t="n">
        <f aca="false">IF(AND(N2753&lt;&gt;"",OR(N2753&lt;1,N2753&gt;5)),1,0)</f>
        <v>0</v>
      </c>
      <c r="AA2753" s="9" t="n">
        <f aca="false">IF(AND(M2753&lt;&gt;"",OR(M2753&lt;5,M2753&gt;180)),1,0)</f>
        <v>0</v>
      </c>
      <c r="AB2753" s="7" t="str">
        <f aca="false">IF(P2753="DUP","Exact duplicate row",IF(T2753=1,"Missing Order ID",IF(S2753="DROP","Duplicate Order ID (less complete row)",IF(U2753=1,"Missing Customer ID",IF(V2753=1,"Missing Restaurant name",IF(W2753=1,"Invalid/outlier quantity",IF(X2753=1,"Invalid/outlier unit price",IF(Y2753=1,"Discount greater than order value",""))))))))</f>
        <v/>
      </c>
      <c r="AC2753" s="7" t="str">
        <f aca="false">IF(AB2753="","KEEP","DROP")</f>
        <v>KEEP</v>
      </c>
      <c r="AD2753" s="7" t="str">
        <f aca="false">IF(TRIM(F2753)="",IFERROR(INDEX(Map_Tables!$I$4:$I$37,MATCH(TRIM(E2753),Map_Tables!$G$4:$G$37,0)),""),IFERROR(INDEX(Map_Tables!$B$4:$B$18,MATCH(TRIM(F2753),Map_Tables!$A$4:$A$18,0)),"CHECK"))</f>
        <v>Mumbai</v>
      </c>
      <c r="AE2753" s="7" t="str">
        <f aca="false">IF(TRIM(E2753)="","",IFERROR(INDEX(Map_Tables!$H$4:$H$37,MATCH(TRIM(E2753),Map_Tables!$G$4:$G$37,0)),"CHECK"))</f>
        <v>Curry Leaf Kitchen</v>
      </c>
      <c r="AF2753" s="7" t="str">
        <f aca="false">IF(TRIM(K2753)="","Unknown",IFERROR(INDEX(Map_Tables!$E$4:$E$15,MATCH(TRIM(K2753),Map_Tables!$D$4:$D$15,0)),"CHECK"))</f>
        <v>Net Banking</v>
      </c>
      <c r="AG2753" s="7" t="str">
        <f aca="false">IF(LEFT(LOWER(TRIM(L2753)),6)="cancel","Cancelled","Delivered")</f>
        <v>Delivered</v>
      </c>
      <c r="AH2753" s="10" t="n">
        <f aca="false">IF(ISNUMBER(SEARCH("/",B2753)),DATE(VALUE(RIGHT(B2753,4)),VALUE(MID(B2753,4,2)),VALUE(LEFT(B2753,2))),IF(MID(B2753,5,1)="-",DATE(VALUE(LEFT(B2753,4)),VALUE(MID(B2753,6,2)),VALUE(RIGHT(B2753,2))),DATE(VALUE(RIGHT(B2753,4)),MATCH(MID(B2753,4,3),{"Jan","Feb","Mar","Apr","May","Jun","Jul","Aug","Sep","Oct","Nov","Dec"},0),VALUE(LEFT(B2753,2)))))</f>
        <v>45739</v>
      </c>
    </row>
    <row r="2754" customFormat="false" ht="15" hidden="false" customHeight="false" outlineLevel="0" collapsed="false">
      <c r="A2754" s="7" t="s">
        <v>5793</v>
      </c>
      <c r="B2754" s="7" t="s">
        <v>3986</v>
      </c>
      <c r="C2754" s="7" t="s">
        <v>3415</v>
      </c>
      <c r="D2754" s="7" t="s">
        <v>3761</v>
      </c>
      <c r="E2754" s="7" t="s">
        <v>138</v>
      </c>
      <c r="F2754" s="7" t="s">
        <v>110</v>
      </c>
      <c r="G2754" s="7" t="s">
        <v>139</v>
      </c>
      <c r="H2754" s="7" t="n">
        <v>2</v>
      </c>
      <c r="I2754" s="7" t="n">
        <v>230</v>
      </c>
      <c r="J2754" s="7" t="n">
        <v>0</v>
      </c>
      <c r="K2754" s="7" t="s">
        <v>93</v>
      </c>
      <c r="L2754" s="7" t="s">
        <v>194</v>
      </c>
      <c r="M2754" s="7" t="n">
        <v>41</v>
      </c>
      <c r="N2754" s="7" t="n">
        <v>4</v>
      </c>
      <c r="O2754" s="7" t="str">
        <f aca="false">A2754&amp;"|"&amp;B2754&amp;"|"&amp;C2754&amp;"|"&amp;D2754&amp;"|"&amp;E2754&amp;"|"&amp;F2754&amp;"|"&amp;G2754&amp;"|"&amp;H2754&amp;"|"&amp;I2754&amp;"|"&amp;J2754&amp;"|"&amp;K2754&amp;"|"&amp;L2754&amp;"|"&amp;M2754&amp;"|"&amp;N2754</f>
        <v>ORD11405|2025-07-02|12:39|C0448|Burger Barn|Delhi|Burgers|2|230|0|Credit Card|Delivered|41|4</v>
      </c>
      <c r="P2754" s="7" t="str">
        <f aca="false">IF(COUNTIF($O$2:O2754,O2754)&gt;1,"DUP","OK")</f>
        <v>OK</v>
      </c>
      <c r="Q2754" s="7" t="n">
        <f aca="false">COUNTBLANK(A2754:N2754)</f>
        <v>0</v>
      </c>
      <c r="R2754" s="7" t="n">
        <f aca="false">IF(A2754="",0,COUNTIFS($A$2:$A$3058,A2754,$P$2:$P$3058,"OK"))</f>
        <v>1</v>
      </c>
      <c r="S2754" s="7" t="str">
        <f aca="false">IF(OR(A2754="",P2754="DUP",R2754&lt;2),"",IF(Q2754=_xlfn.MINIFS($Q$2:$Q$3058,$A$2:$A$3058,A2754,$P$2:$P$3058,"OK"),"KEEP","DROP"))</f>
        <v/>
      </c>
      <c r="T2754" s="9" t="n">
        <f aca="false">IF(A2754="",1,0)</f>
        <v>0</v>
      </c>
      <c r="U2754" s="9" t="n">
        <f aca="false">IF(D2754="",1,0)</f>
        <v>0</v>
      </c>
      <c r="V2754" s="9" t="n">
        <f aca="false">IF(E2754="",1,0)</f>
        <v>0</v>
      </c>
      <c r="W2754" s="9" t="n">
        <f aca="false">IF(OR(H2754&lt;1,H2754&gt;10),1,0)</f>
        <v>0</v>
      </c>
      <c r="X2754" s="9" t="n">
        <f aca="false">IF(OR(I2754&lt;=0,I2754&gt;1500),1,0)</f>
        <v>0</v>
      </c>
      <c r="Y2754" s="9" t="n">
        <f aca="false">IF(J2754&gt;H2754*I2754,1,0)</f>
        <v>0</v>
      </c>
      <c r="Z2754" s="9" t="n">
        <f aca="false">IF(AND(N2754&lt;&gt;"",OR(N2754&lt;1,N2754&gt;5)),1,0)</f>
        <v>0</v>
      </c>
      <c r="AA2754" s="9" t="n">
        <f aca="false">IF(AND(M2754&lt;&gt;"",OR(M2754&lt;5,M2754&gt;180)),1,0)</f>
        <v>0</v>
      </c>
      <c r="AB2754" s="7" t="str">
        <f aca="false">IF(P2754="DUP","Exact duplicate row",IF(T2754=1,"Missing Order ID",IF(S2754="DROP","Duplicate Order ID (less complete row)",IF(U2754=1,"Missing Customer ID",IF(V2754=1,"Missing Restaurant name",IF(W2754=1,"Invalid/outlier quantity",IF(X2754=1,"Invalid/outlier unit price",IF(Y2754=1,"Discount greater than order value",""))))))))</f>
        <v/>
      </c>
      <c r="AC2754" s="7" t="str">
        <f aca="false">IF(AB2754="","KEEP","DROP")</f>
        <v>KEEP</v>
      </c>
      <c r="AD2754" s="7" t="str">
        <f aca="false">IF(TRIM(F2754)="",IFERROR(INDEX(Map_Tables!$I$4:$I$37,MATCH(TRIM(E2754),Map_Tables!$G$4:$G$37,0)),""),IFERROR(INDEX(Map_Tables!$B$4:$B$18,MATCH(TRIM(F2754),Map_Tables!$A$4:$A$18,0)),"CHECK"))</f>
        <v>Delhi</v>
      </c>
      <c r="AE2754" s="7" t="str">
        <f aca="false">IF(TRIM(E2754)="","",IFERROR(INDEX(Map_Tables!$H$4:$H$37,MATCH(TRIM(E2754),Map_Tables!$G$4:$G$37,0)),"CHECK"))</f>
        <v>Burger Barn</v>
      </c>
      <c r="AF2754" s="7" t="str">
        <f aca="false">IF(TRIM(K2754)="","Unknown",IFERROR(INDEX(Map_Tables!$E$4:$E$15,MATCH(TRIM(K2754),Map_Tables!$D$4:$D$15,0)),"CHECK"))</f>
        <v>Credit Card</v>
      </c>
      <c r="AG2754" s="7" t="str">
        <f aca="false">IF(LEFT(LOWER(TRIM(L2754)),6)="cancel","Cancelled","Delivered")</f>
        <v>Delivered</v>
      </c>
      <c r="AH2754" s="10" t="n">
        <f aca="false">IF(ISNUMBER(SEARCH("/",B2754)),DATE(VALUE(RIGHT(B2754,4)),VALUE(MID(B2754,4,2)),VALUE(LEFT(B2754,2))),IF(MID(B2754,5,1)="-",DATE(VALUE(LEFT(B2754,4)),VALUE(MID(B2754,6,2)),VALUE(RIGHT(B2754,2))),DATE(VALUE(RIGHT(B2754,4)),MATCH(MID(B2754,4,3),{"Jan","Feb","Mar","Apr","May","Jun","Jul","Aug","Sep","Oct","Nov","Dec"},0),VALUE(LEFT(B2754,2)))))</f>
        <v>45840</v>
      </c>
    </row>
    <row r="2755" customFormat="false" ht="15" hidden="false" customHeight="false" outlineLevel="0" collapsed="false">
      <c r="A2755" s="7" t="s">
        <v>5794</v>
      </c>
      <c r="B2755" s="7" t="s">
        <v>2010</v>
      </c>
      <c r="C2755" s="7" t="s">
        <v>2705</v>
      </c>
      <c r="D2755" s="7" t="s">
        <v>773</v>
      </c>
      <c r="E2755" s="7" t="s">
        <v>113</v>
      </c>
      <c r="F2755" s="7" t="s">
        <v>101</v>
      </c>
      <c r="G2755" s="7" t="s">
        <v>90</v>
      </c>
      <c r="H2755" s="7" t="n">
        <v>2</v>
      </c>
      <c r="I2755" s="7" t="n">
        <v>215</v>
      </c>
      <c r="J2755" s="7" t="n">
        <v>40</v>
      </c>
      <c r="K2755" s="7" t="s">
        <v>93</v>
      </c>
      <c r="L2755" s="7" t="s">
        <v>194</v>
      </c>
      <c r="M2755" s="7" t="n">
        <v>43</v>
      </c>
      <c r="N2755" s="7" t="n">
        <v>5</v>
      </c>
      <c r="O2755" s="7" t="str">
        <f aca="false">A2755&amp;"|"&amp;B2755&amp;"|"&amp;C2755&amp;"|"&amp;D2755&amp;"|"&amp;E2755&amp;"|"&amp;F2755&amp;"|"&amp;G2755&amp;"|"&amp;H2755&amp;"|"&amp;I2755&amp;"|"&amp;J2755&amp;"|"&amp;K2755&amp;"|"&amp;L2755&amp;"|"&amp;M2755&amp;"|"&amp;N2755</f>
        <v>ORD10495|2025-03-06|21:53|C0285|Curry Leaf Kitchen|Mumbai|North Indian|2|215|40|Credit Card|Delivered|43|5</v>
      </c>
      <c r="P2755" s="7" t="str">
        <f aca="false">IF(COUNTIF($O$2:O2755,O2755)&gt;1,"DUP","OK")</f>
        <v>OK</v>
      </c>
      <c r="Q2755" s="7" t="n">
        <f aca="false">COUNTBLANK(A2755:N2755)</f>
        <v>0</v>
      </c>
      <c r="R2755" s="7" t="n">
        <f aca="false">IF(A2755="",0,COUNTIFS($A$2:$A$3058,A2755,$P$2:$P$3058,"OK"))</f>
        <v>1</v>
      </c>
      <c r="S2755" s="7" t="str">
        <f aca="false">IF(OR(A2755="",P2755="DUP",R2755&lt;2),"",IF(Q2755=_xlfn.MINIFS($Q$2:$Q$3058,$A$2:$A$3058,A2755,$P$2:$P$3058,"OK"),"KEEP","DROP"))</f>
        <v/>
      </c>
      <c r="T2755" s="9" t="n">
        <f aca="false">IF(A2755="",1,0)</f>
        <v>0</v>
      </c>
      <c r="U2755" s="9" t="n">
        <f aca="false">IF(D2755="",1,0)</f>
        <v>0</v>
      </c>
      <c r="V2755" s="9" t="n">
        <f aca="false">IF(E2755="",1,0)</f>
        <v>0</v>
      </c>
      <c r="W2755" s="9" t="n">
        <f aca="false">IF(OR(H2755&lt;1,H2755&gt;10),1,0)</f>
        <v>0</v>
      </c>
      <c r="X2755" s="9" t="n">
        <f aca="false">IF(OR(I2755&lt;=0,I2755&gt;1500),1,0)</f>
        <v>0</v>
      </c>
      <c r="Y2755" s="9" t="n">
        <f aca="false">IF(J2755&gt;H2755*I2755,1,0)</f>
        <v>0</v>
      </c>
      <c r="Z2755" s="9" t="n">
        <f aca="false">IF(AND(N2755&lt;&gt;"",OR(N2755&lt;1,N2755&gt;5)),1,0)</f>
        <v>0</v>
      </c>
      <c r="AA2755" s="9" t="n">
        <f aca="false">IF(AND(M2755&lt;&gt;"",OR(M2755&lt;5,M2755&gt;180)),1,0)</f>
        <v>0</v>
      </c>
      <c r="AB2755" s="7" t="str">
        <f aca="false">IF(P2755="DUP","Exact duplicate row",IF(T2755=1,"Missing Order ID",IF(S2755="DROP","Duplicate Order ID (less complete row)",IF(U2755=1,"Missing Customer ID",IF(V2755=1,"Missing Restaurant name",IF(W2755=1,"Invalid/outlier quantity",IF(X2755=1,"Invalid/outlier unit price",IF(Y2755=1,"Discount greater than order value",""))))))))</f>
        <v/>
      </c>
      <c r="AC2755" s="7" t="str">
        <f aca="false">IF(AB2755="","KEEP","DROP")</f>
        <v>KEEP</v>
      </c>
      <c r="AD2755" s="7" t="str">
        <f aca="false">IF(TRIM(F2755)="",IFERROR(INDEX(Map_Tables!$I$4:$I$37,MATCH(TRIM(E2755),Map_Tables!$G$4:$G$37,0)),""),IFERROR(INDEX(Map_Tables!$B$4:$B$18,MATCH(TRIM(F2755),Map_Tables!$A$4:$A$18,0)),"CHECK"))</f>
        <v>Mumbai</v>
      </c>
      <c r="AE2755" s="7" t="str">
        <f aca="false">IF(TRIM(E2755)="","",IFERROR(INDEX(Map_Tables!$H$4:$H$37,MATCH(TRIM(E2755),Map_Tables!$G$4:$G$37,0)),"CHECK"))</f>
        <v>Curry Leaf Kitchen</v>
      </c>
      <c r="AF2755" s="7" t="str">
        <f aca="false">IF(TRIM(K2755)="","Unknown",IFERROR(INDEX(Map_Tables!$E$4:$E$15,MATCH(TRIM(K2755),Map_Tables!$D$4:$D$15,0)),"CHECK"))</f>
        <v>Credit Card</v>
      </c>
      <c r="AG2755" s="7" t="str">
        <f aca="false">IF(LEFT(LOWER(TRIM(L2755)),6)="cancel","Cancelled","Delivered")</f>
        <v>Delivered</v>
      </c>
      <c r="AH2755" s="10" t="n">
        <f aca="false">IF(ISNUMBER(SEARCH("/",B2755)),DATE(VALUE(RIGHT(B2755,4)),VALUE(MID(B2755,4,2)),VALUE(LEFT(B2755,2))),IF(MID(B2755,5,1)="-",DATE(VALUE(LEFT(B2755,4)),VALUE(MID(B2755,6,2)),VALUE(RIGHT(B2755,2))),DATE(VALUE(RIGHT(B2755,4)),MATCH(MID(B2755,4,3),{"Jan","Feb","Mar","Apr","May","Jun","Jul","Aug","Sep","Oct","Nov","Dec"},0),VALUE(LEFT(B2755,2)))))</f>
        <v>45722</v>
      </c>
    </row>
    <row r="2756" customFormat="false" ht="15" hidden="false" customHeight="false" outlineLevel="0" collapsed="false">
      <c r="A2756" s="7" t="s">
        <v>5795</v>
      </c>
      <c r="B2756" s="7" t="s">
        <v>5796</v>
      </c>
      <c r="C2756" s="7" t="s">
        <v>619</v>
      </c>
      <c r="D2756" s="7" t="s">
        <v>2697</v>
      </c>
      <c r="E2756" s="7" t="s">
        <v>138</v>
      </c>
      <c r="F2756" s="7" t="s">
        <v>110</v>
      </c>
      <c r="G2756" s="7" t="s">
        <v>139</v>
      </c>
      <c r="H2756" s="7" t="n">
        <v>2</v>
      </c>
      <c r="I2756" s="7" t="n">
        <v>170</v>
      </c>
      <c r="J2756" s="7" t="n">
        <v>0</v>
      </c>
      <c r="K2756" s="7" t="s">
        <v>88</v>
      </c>
      <c r="L2756" s="7" t="s">
        <v>194</v>
      </c>
      <c r="M2756" s="7" t="n">
        <v>39</v>
      </c>
      <c r="N2756" s="7" t="n">
        <v>3</v>
      </c>
      <c r="O2756" s="7" t="str">
        <f aca="false">A2756&amp;"|"&amp;B2756&amp;"|"&amp;C2756&amp;"|"&amp;D2756&amp;"|"&amp;E2756&amp;"|"&amp;F2756&amp;"|"&amp;G2756&amp;"|"&amp;H2756&amp;"|"&amp;I2756&amp;"|"&amp;J2756&amp;"|"&amp;K2756&amp;"|"&amp;L2756&amp;"|"&amp;M2756&amp;"|"&amp;N2756</f>
        <v>ORD12488|08/11/2025|21:59|C0626|Burger Barn|Delhi|Burgers|2|170|0|UPI|Delivered|39|3</v>
      </c>
      <c r="P2756" s="7" t="str">
        <f aca="false">IF(COUNTIF($O$2:O2756,O2756)&gt;1,"DUP","OK")</f>
        <v>OK</v>
      </c>
      <c r="Q2756" s="7" t="n">
        <f aca="false">COUNTBLANK(A2756:N2756)</f>
        <v>0</v>
      </c>
      <c r="R2756" s="7" t="n">
        <f aca="false">IF(A2756="",0,COUNTIFS($A$2:$A$3058,A2756,$P$2:$P$3058,"OK"))</f>
        <v>1</v>
      </c>
      <c r="S2756" s="7" t="str">
        <f aca="false">IF(OR(A2756="",P2756="DUP",R2756&lt;2),"",IF(Q2756=_xlfn.MINIFS($Q$2:$Q$3058,$A$2:$A$3058,A2756,$P$2:$P$3058,"OK"),"KEEP","DROP"))</f>
        <v/>
      </c>
      <c r="T2756" s="9" t="n">
        <f aca="false">IF(A2756="",1,0)</f>
        <v>0</v>
      </c>
      <c r="U2756" s="9" t="n">
        <f aca="false">IF(D2756="",1,0)</f>
        <v>0</v>
      </c>
      <c r="V2756" s="9" t="n">
        <f aca="false">IF(E2756="",1,0)</f>
        <v>0</v>
      </c>
      <c r="W2756" s="9" t="n">
        <f aca="false">IF(OR(H2756&lt;1,H2756&gt;10),1,0)</f>
        <v>0</v>
      </c>
      <c r="X2756" s="9" t="n">
        <f aca="false">IF(OR(I2756&lt;=0,I2756&gt;1500),1,0)</f>
        <v>0</v>
      </c>
      <c r="Y2756" s="9" t="n">
        <f aca="false">IF(J2756&gt;H2756*I2756,1,0)</f>
        <v>0</v>
      </c>
      <c r="Z2756" s="9" t="n">
        <f aca="false">IF(AND(N2756&lt;&gt;"",OR(N2756&lt;1,N2756&gt;5)),1,0)</f>
        <v>0</v>
      </c>
      <c r="AA2756" s="9" t="n">
        <f aca="false">IF(AND(M2756&lt;&gt;"",OR(M2756&lt;5,M2756&gt;180)),1,0)</f>
        <v>0</v>
      </c>
      <c r="AB2756" s="7" t="str">
        <f aca="false">IF(P2756="DUP","Exact duplicate row",IF(T2756=1,"Missing Order ID",IF(S2756="DROP","Duplicate Order ID (less complete row)",IF(U2756=1,"Missing Customer ID",IF(V2756=1,"Missing Restaurant name",IF(W2756=1,"Invalid/outlier quantity",IF(X2756=1,"Invalid/outlier unit price",IF(Y2756=1,"Discount greater than order value",""))))))))</f>
        <v/>
      </c>
      <c r="AC2756" s="7" t="str">
        <f aca="false">IF(AB2756="","KEEP","DROP")</f>
        <v>KEEP</v>
      </c>
      <c r="AD2756" s="7" t="str">
        <f aca="false">IF(TRIM(F2756)="",IFERROR(INDEX(Map_Tables!$I$4:$I$37,MATCH(TRIM(E2756),Map_Tables!$G$4:$G$37,0)),""),IFERROR(INDEX(Map_Tables!$B$4:$B$18,MATCH(TRIM(F2756),Map_Tables!$A$4:$A$18,0)),"CHECK"))</f>
        <v>Delhi</v>
      </c>
      <c r="AE2756" s="7" t="str">
        <f aca="false">IF(TRIM(E2756)="","",IFERROR(INDEX(Map_Tables!$H$4:$H$37,MATCH(TRIM(E2756),Map_Tables!$G$4:$G$37,0)),"CHECK"))</f>
        <v>Burger Barn</v>
      </c>
      <c r="AF2756" s="7" t="str">
        <f aca="false">IF(TRIM(K2756)="","Unknown",IFERROR(INDEX(Map_Tables!$E$4:$E$15,MATCH(TRIM(K2756),Map_Tables!$D$4:$D$15,0)),"CHECK"))</f>
        <v>UPI</v>
      </c>
      <c r="AG2756" s="7" t="str">
        <f aca="false">IF(LEFT(LOWER(TRIM(L2756)),6)="cancel","Cancelled","Delivered")</f>
        <v>Delivered</v>
      </c>
      <c r="AH2756" s="10" t="n">
        <f aca="false">IF(ISNUMBER(SEARCH("/",B2756)),DATE(VALUE(RIGHT(B2756,4)),VALUE(MID(B2756,4,2)),VALUE(LEFT(B2756,2))),IF(MID(B2756,5,1)="-",DATE(VALUE(LEFT(B2756,4)),VALUE(MID(B2756,6,2)),VALUE(RIGHT(B2756,2))),DATE(VALUE(RIGHT(B2756,4)),MATCH(MID(B2756,4,3),{"Jan","Feb","Mar","Apr","May","Jun","Jul","Aug","Sep","Oct","Nov","Dec"},0),VALUE(LEFT(B2756,2)))))</f>
        <v>45969</v>
      </c>
    </row>
    <row r="2757" customFormat="false" ht="15" hidden="false" customHeight="false" outlineLevel="0" collapsed="false">
      <c r="A2757" s="7" t="s">
        <v>5797</v>
      </c>
      <c r="B2757" s="7" t="s">
        <v>1951</v>
      </c>
      <c r="C2757" s="7" t="s">
        <v>1340</v>
      </c>
      <c r="D2757" s="7" t="s">
        <v>5418</v>
      </c>
      <c r="E2757" s="7" t="s">
        <v>1608</v>
      </c>
      <c r="F2757" s="7" t="s">
        <v>110</v>
      </c>
      <c r="G2757" s="7" t="s">
        <v>105</v>
      </c>
      <c r="H2757" s="7" t="n">
        <v>3</v>
      </c>
      <c r="I2757" s="7" t="n">
        <v>150</v>
      </c>
      <c r="J2757" s="7" t="n">
        <v>0</v>
      </c>
      <c r="K2757" s="7" t="s">
        <v>88</v>
      </c>
      <c r="L2757" s="7" t="s">
        <v>194</v>
      </c>
      <c r="M2757" s="7" t="n">
        <v>28</v>
      </c>
      <c r="N2757" s="7" t="n">
        <v>5</v>
      </c>
      <c r="O2757" s="7" t="str">
        <f aca="false">A2757&amp;"|"&amp;B2757&amp;"|"&amp;C2757&amp;"|"&amp;D2757&amp;"|"&amp;E2757&amp;"|"&amp;F2757&amp;"|"&amp;G2757&amp;"|"&amp;H2757&amp;"|"&amp;I2757&amp;"|"&amp;J2757&amp;"|"&amp;K2757&amp;"|"&amp;L2757&amp;"|"&amp;M2757&amp;"|"&amp;N2757</f>
        <v>ORD11020|2025-05-09|20:34|C0419|Momo  Magic|Delhi|Chinese|3|150|0|UPI|Delivered|28|5</v>
      </c>
      <c r="P2757" s="7" t="str">
        <f aca="false">IF(COUNTIF($O$2:O2757,O2757)&gt;1,"DUP","OK")</f>
        <v>OK</v>
      </c>
      <c r="Q2757" s="7" t="n">
        <f aca="false">COUNTBLANK(A2757:N2757)</f>
        <v>0</v>
      </c>
      <c r="R2757" s="7" t="n">
        <f aca="false">IF(A2757="",0,COUNTIFS($A$2:$A$3058,A2757,$P$2:$P$3058,"OK"))</f>
        <v>1</v>
      </c>
      <c r="S2757" s="7" t="str">
        <f aca="false">IF(OR(A2757="",P2757="DUP",R2757&lt;2),"",IF(Q2757=_xlfn.MINIFS($Q$2:$Q$3058,$A$2:$A$3058,A2757,$P$2:$P$3058,"OK"),"KEEP","DROP"))</f>
        <v/>
      </c>
      <c r="T2757" s="9" t="n">
        <f aca="false">IF(A2757="",1,0)</f>
        <v>0</v>
      </c>
      <c r="U2757" s="9" t="n">
        <f aca="false">IF(D2757="",1,0)</f>
        <v>0</v>
      </c>
      <c r="V2757" s="9" t="n">
        <f aca="false">IF(E2757="",1,0)</f>
        <v>0</v>
      </c>
      <c r="W2757" s="9" t="n">
        <f aca="false">IF(OR(H2757&lt;1,H2757&gt;10),1,0)</f>
        <v>0</v>
      </c>
      <c r="X2757" s="9" t="n">
        <f aca="false">IF(OR(I2757&lt;=0,I2757&gt;1500),1,0)</f>
        <v>0</v>
      </c>
      <c r="Y2757" s="9" t="n">
        <f aca="false">IF(J2757&gt;H2757*I2757,1,0)</f>
        <v>0</v>
      </c>
      <c r="Z2757" s="9" t="n">
        <f aca="false">IF(AND(N2757&lt;&gt;"",OR(N2757&lt;1,N2757&gt;5)),1,0)</f>
        <v>0</v>
      </c>
      <c r="AA2757" s="9" t="n">
        <f aca="false">IF(AND(M2757&lt;&gt;"",OR(M2757&lt;5,M2757&gt;180)),1,0)</f>
        <v>0</v>
      </c>
      <c r="AB2757" s="7" t="str">
        <f aca="false">IF(P2757="DUP","Exact duplicate row",IF(T2757=1,"Missing Order ID",IF(S2757="DROP","Duplicate Order ID (less complete row)",IF(U2757=1,"Missing Customer ID",IF(V2757=1,"Missing Restaurant name",IF(W2757=1,"Invalid/outlier quantity",IF(X2757=1,"Invalid/outlier unit price",IF(Y2757=1,"Discount greater than order value",""))))))))</f>
        <v/>
      </c>
      <c r="AC2757" s="7" t="str">
        <f aca="false">IF(AB2757="","KEEP","DROP")</f>
        <v>KEEP</v>
      </c>
      <c r="AD2757" s="7" t="str">
        <f aca="false">IF(TRIM(F2757)="",IFERROR(INDEX(Map_Tables!$I$4:$I$37,MATCH(TRIM(E2757),Map_Tables!$G$4:$G$37,0)),""),IFERROR(INDEX(Map_Tables!$B$4:$B$18,MATCH(TRIM(F2757),Map_Tables!$A$4:$A$18,0)),"CHECK"))</f>
        <v>Delhi</v>
      </c>
      <c r="AE2757" s="7" t="str">
        <f aca="false">IF(TRIM(E2757)="","",IFERROR(INDEX(Map_Tables!$H$4:$H$37,MATCH(TRIM(E2757),Map_Tables!$G$4:$G$37,0)),"CHECK"))</f>
        <v>Momo Magic</v>
      </c>
      <c r="AF2757" s="7" t="str">
        <f aca="false">IF(TRIM(K2757)="","Unknown",IFERROR(INDEX(Map_Tables!$E$4:$E$15,MATCH(TRIM(K2757),Map_Tables!$D$4:$D$15,0)),"CHECK"))</f>
        <v>UPI</v>
      </c>
      <c r="AG2757" s="7" t="str">
        <f aca="false">IF(LEFT(LOWER(TRIM(L2757)),6)="cancel","Cancelled","Delivered")</f>
        <v>Delivered</v>
      </c>
      <c r="AH2757" s="10" t="n">
        <f aca="false">IF(ISNUMBER(SEARCH("/",B2757)),DATE(VALUE(RIGHT(B2757,4)),VALUE(MID(B2757,4,2)),VALUE(LEFT(B2757,2))),IF(MID(B2757,5,1)="-",DATE(VALUE(LEFT(B2757,4)),VALUE(MID(B2757,6,2)),VALUE(RIGHT(B2757,2))),DATE(VALUE(RIGHT(B2757,4)),MATCH(MID(B2757,4,3),{"Jan","Feb","Mar","Apr","May","Jun","Jul","Aug","Sep","Oct","Nov","Dec"},0),VALUE(LEFT(B2757,2)))))</f>
        <v>45786</v>
      </c>
    </row>
    <row r="2758" customFormat="false" ht="15" hidden="false" customHeight="false" outlineLevel="0" collapsed="false">
      <c r="A2758" s="7" t="s">
        <v>5798</v>
      </c>
      <c r="B2758" s="7" t="s">
        <v>436</v>
      </c>
      <c r="C2758" s="7" t="s">
        <v>2369</v>
      </c>
      <c r="D2758" s="7" t="s">
        <v>5799</v>
      </c>
      <c r="E2758" s="7" t="s">
        <v>161</v>
      </c>
      <c r="F2758" s="7" t="s">
        <v>141</v>
      </c>
      <c r="G2758" s="7" t="s">
        <v>117</v>
      </c>
      <c r="H2758" s="7" t="n">
        <v>4</v>
      </c>
      <c r="I2758" s="7" t="n">
        <v>165</v>
      </c>
      <c r="J2758" s="7" t="n">
        <v>0</v>
      </c>
      <c r="K2758" s="7" t="s">
        <v>229</v>
      </c>
      <c r="L2758" s="7" t="s">
        <v>194</v>
      </c>
      <c r="M2758" s="7" t="n">
        <v>44</v>
      </c>
      <c r="N2758" s="7" t="n">
        <v>4</v>
      </c>
      <c r="O2758" s="7" t="str">
        <f aca="false">A2758&amp;"|"&amp;B2758&amp;"|"&amp;C2758&amp;"|"&amp;D2758&amp;"|"&amp;E2758&amp;"|"&amp;F2758&amp;"|"&amp;G2758&amp;"|"&amp;H2758&amp;"|"&amp;I2758&amp;"|"&amp;J2758&amp;"|"&amp;K2758&amp;"|"&amp;L2758&amp;"|"&amp;M2758&amp;"|"&amp;N2758</f>
        <v>ORD10092|2025-01-12|21:38|C0199|Bengal Bites|Kolkata|Street Food|4|165|0|Upi|Delivered|44|4</v>
      </c>
      <c r="P2758" s="7" t="str">
        <f aca="false">IF(COUNTIF($O$2:O2758,O2758)&gt;1,"DUP","OK")</f>
        <v>OK</v>
      </c>
      <c r="Q2758" s="7" t="n">
        <f aca="false">COUNTBLANK(A2758:N2758)</f>
        <v>0</v>
      </c>
      <c r="R2758" s="7" t="n">
        <f aca="false">IF(A2758="",0,COUNTIFS($A$2:$A$3058,A2758,$P$2:$P$3058,"OK"))</f>
        <v>1</v>
      </c>
      <c r="S2758" s="7" t="str">
        <f aca="false">IF(OR(A2758="",P2758="DUP",R2758&lt;2),"",IF(Q2758=_xlfn.MINIFS($Q$2:$Q$3058,$A$2:$A$3058,A2758,$P$2:$P$3058,"OK"),"KEEP","DROP"))</f>
        <v/>
      </c>
      <c r="T2758" s="9" t="n">
        <f aca="false">IF(A2758="",1,0)</f>
        <v>0</v>
      </c>
      <c r="U2758" s="9" t="n">
        <f aca="false">IF(D2758="",1,0)</f>
        <v>0</v>
      </c>
      <c r="V2758" s="9" t="n">
        <f aca="false">IF(E2758="",1,0)</f>
        <v>0</v>
      </c>
      <c r="W2758" s="9" t="n">
        <f aca="false">IF(OR(H2758&lt;1,H2758&gt;10),1,0)</f>
        <v>0</v>
      </c>
      <c r="X2758" s="9" t="n">
        <f aca="false">IF(OR(I2758&lt;=0,I2758&gt;1500),1,0)</f>
        <v>0</v>
      </c>
      <c r="Y2758" s="9" t="n">
        <f aca="false">IF(J2758&gt;H2758*I2758,1,0)</f>
        <v>0</v>
      </c>
      <c r="Z2758" s="9" t="n">
        <f aca="false">IF(AND(N2758&lt;&gt;"",OR(N2758&lt;1,N2758&gt;5)),1,0)</f>
        <v>0</v>
      </c>
      <c r="AA2758" s="9" t="n">
        <f aca="false">IF(AND(M2758&lt;&gt;"",OR(M2758&lt;5,M2758&gt;180)),1,0)</f>
        <v>0</v>
      </c>
      <c r="AB2758" s="7" t="str">
        <f aca="false">IF(P2758="DUP","Exact duplicate row",IF(T2758=1,"Missing Order ID",IF(S2758="DROP","Duplicate Order ID (less complete row)",IF(U2758=1,"Missing Customer ID",IF(V2758=1,"Missing Restaurant name",IF(W2758=1,"Invalid/outlier quantity",IF(X2758=1,"Invalid/outlier unit price",IF(Y2758=1,"Discount greater than order value",""))))))))</f>
        <v/>
      </c>
      <c r="AC2758" s="7" t="str">
        <f aca="false">IF(AB2758="","KEEP","DROP")</f>
        <v>KEEP</v>
      </c>
      <c r="AD2758" s="7" t="str">
        <f aca="false">IF(TRIM(F2758)="",IFERROR(INDEX(Map_Tables!$I$4:$I$37,MATCH(TRIM(E2758),Map_Tables!$G$4:$G$37,0)),""),IFERROR(INDEX(Map_Tables!$B$4:$B$18,MATCH(TRIM(F2758),Map_Tables!$A$4:$A$18,0)),"CHECK"))</f>
        <v>Kolkata</v>
      </c>
      <c r="AE2758" s="7" t="str">
        <f aca="false">IF(TRIM(E2758)="","",IFERROR(INDEX(Map_Tables!$H$4:$H$37,MATCH(TRIM(E2758),Map_Tables!$G$4:$G$37,0)),"CHECK"))</f>
        <v>Bengal Bites</v>
      </c>
      <c r="AF2758" s="7" t="str">
        <f aca="false">IF(TRIM(K2758)="","Unknown",IFERROR(INDEX(Map_Tables!$E$4:$E$15,MATCH(TRIM(K2758),Map_Tables!$D$4:$D$15,0)),"CHECK"))</f>
        <v>UPI</v>
      </c>
      <c r="AG2758" s="7" t="str">
        <f aca="false">IF(LEFT(LOWER(TRIM(L2758)),6)="cancel","Cancelled","Delivered")</f>
        <v>Delivered</v>
      </c>
      <c r="AH2758" s="10" t="n">
        <f aca="false">IF(ISNUMBER(SEARCH("/",B2758)),DATE(VALUE(RIGHT(B2758,4)),VALUE(MID(B2758,4,2)),VALUE(LEFT(B2758,2))),IF(MID(B2758,5,1)="-",DATE(VALUE(LEFT(B2758,4)),VALUE(MID(B2758,6,2)),VALUE(RIGHT(B2758,2))),DATE(VALUE(RIGHT(B2758,4)),MATCH(MID(B2758,4,3),{"Jan","Feb","Mar","Apr","May","Jun","Jul","Aug","Sep","Oct","Nov","Dec"},0),VALUE(LEFT(B2758,2)))))</f>
        <v>45669</v>
      </c>
    </row>
    <row r="2759" customFormat="false" ht="15" hidden="false" customHeight="false" outlineLevel="0" collapsed="false">
      <c r="A2759" s="7" t="s">
        <v>5800</v>
      </c>
      <c r="B2759" s="7" t="s">
        <v>3231</v>
      </c>
      <c r="C2759" s="7" t="s">
        <v>2439</v>
      </c>
      <c r="D2759" s="7" t="s">
        <v>5624</v>
      </c>
      <c r="E2759" s="7" t="s">
        <v>98</v>
      </c>
      <c r="F2759" s="7" t="s">
        <v>86</v>
      </c>
      <c r="G2759" s="7" t="s">
        <v>99</v>
      </c>
      <c r="H2759" s="7" t="n">
        <v>1</v>
      </c>
      <c r="I2759" s="7" t="n">
        <v>260</v>
      </c>
      <c r="J2759" s="7" t="n">
        <v>0</v>
      </c>
      <c r="K2759" s="7" t="s">
        <v>88</v>
      </c>
      <c r="L2759" s="7" t="s">
        <v>194</v>
      </c>
      <c r="M2759" s="7" t="n">
        <v>40</v>
      </c>
      <c r="N2759" s="7" t="n">
        <v>5</v>
      </c>
      <c r="O2759" s="7" t="str">
        <f aca="false">A2759&amp;"|"&amp;B2759&amp;"|"&amp;C2759&amp;"|"&amp;D2759&amp;"|"&amp;E2759&amp;"|"&amp;F2759&amp;"|"&amp;G2759&amp;"|"&amp;H2759&amp;"|"&amp;I2759&amp;"|"&amp;J2759&amp;"|"&amp;K2759&amp;"|"&amp;L2759&amp;"|"&amp;M2759&amp;"|"&amp;N2759</f>
        <v>ORD11113|2025-05-21|19:39|C0403|Nawabi Biryani House|Bengaluru|Biryani|1|260|0|UPI|Delivered|40|5</v>
      </c>
      <c r="P2759" s="7" t="str">
        <f aca="false">IF(COUNTIF($O$2:O2759,O2759)&gt;1,"DUP","OK")</f>
        <v>OK</v>
      </c>
      <c r="Q2759" s="7" t="n">
        <f aca="false">COUNTBLANK(A2759:N2759)</f>
        <v>0</v>
      </c>
      <c r="R2759" s="7" t="n">
        <f aca="false">IF(A2759="",0,COUNTIFS($A$2:$A$3058,A2759,$P$2:$P$3058,"OK"))</f>
        <v>1</v>
      </c>
      <c r="S2759" s="7" t="str">
        <f aca="false">IF(OR(A2759="",P2759="DUP",R2759&lt;2),"",IF(Q2759=_xlfn.MINIFS($Q$2:$Q$3058,$A$2:$A$3058,A2759,$P$2:$P$3058,"OK"),"KEEP","DROP"))</f>
        <v/>
      </c>
      <c r="T2759" s="9" t="n">
        <f aca="false">IF(A2759="",1,0)</f>
        <v>0</v>
      </c>
      <c r="U2759" s="9" t="n">
        <f aca="false">IF(D2759="",1,0)</f>
        <v>0</v>
      </c>
      <c r="V2759" s="9" t="n">
        <f aca="false">IF(E2759="",1,0)</f>
        <v>0</v>
      </c>
      <c r="W2759" s="9" t="n">
        <f aca="false">IF(OR(H2759&lt;1,H2759&gt;10),1,0)</f>
        <v>0</v>
      </c>
      <c r="X2759" s="9" t="n">
        <f aca="false">IF(OR(I2759&lt;=0,I2759&gt;1500),1,0)</f>
        <v>0</v>
      </c>
      <c r="Y2759" s="9" t="n">
        <f aca="false">IF(J2759&gt;H2759*I2759,1,0)</f>
        <v>0</v>
      </c>
      <c r="Z2759" s="9" t="n">
        <f aca="false">IF(AND(N2759&lt;&gt;"",OR(N2759&lt;1,N2759&gt;5)),1,0)</f>
        <v>0</v>
      </c>
      <c r="AA2759" s="9" t="n">
        <f aca="false">IF(AND(M2759&lt;&gt;"",OR(M2759&lt;5,M2759&gt;180)),1,0)</f>
        <v>0</v>
      </c>
      <c r="AB2759" s="7" t="str">
        <f aca="false">IF(P2759="DUP","Exact duplicate row",IF(T2759=1,"Missing Order ID",IF(S2759="DROP","Duplicate Order ID (less complete row)",IF(U2759=1,"Missing Customer ID",IF(V2759=1,"Missing Restaurant name",IF(W2759=1,"Invalid/outlier quantity",IF(X2759=1,"Invalid/outlier unit price",IF(Y2759=1,"Discount greater than order value",""))))))))</f>
        <v/>
      </c>
      <c r="AC2759" s="7" t="str">
        <f aca="false">IF(AB2759="","KEEP","DROP")</f>
        <v>KEEP</v>
      </c>
      <c r="AD2759" s="7" t="str">
        <f aca="false">IF(TRIM(F2759)="",IFERROR(INDEX(Map_Tables!$I$4:$I$37,MATCH(TRIM(E2759),Map_Tables!$G$4:$G$37,0)),""),IFERROR(INDEX(Map_Tables!$B$4:$B$18,MATCH(TRIM(F2759),Map_Tables!$A$4:$A$18,0)),"CHECK"))</f>
        <v>Bengaluru</v>
      </c>
      <c r="AE2759" s="7" t="str">
        <f aca="false">IF(TRIM(E2759)="","",IFERROR(INDEX(Map_Tables!$H$4:$H$37,MATCH(TRIM(E2759),Map_Tables!$G$4:$G$37,0)),"CHECK"))</f>
        <v>Nawabi Biryani House</v>
      </c>
      <c r="AF2759" s="7" t="str">
        <f aca="false">IF(TRIM(K2759)="","Unknown",IFERROR(INDEX(Map_Tables!$E$4:$E$15,MATCH(TRIM(K2759),Map_Tables!$D$4:$D$15,0)),"CHECK"))</f>
        <v>UPI</v>
      </c>
      <c r="AG2759" s="7" t="str">
        <f aca="false">IF(LEFT(LOWER(TRIM(L2759)),6)="cancel","Cancelled","Delivered")</f>
        <v>Delivered</v>
      </c>
      <c r="AH2759" s="10" t="n">
        <f aca="false">IF(ISNUMBER(SEARCH("/",B2759)),DATE(VALUE(RIGHT(B2759,4)),VALUE(MID(B2759,4,2)),VALUE(LEFT(B2759,2))),IF(MID(B2759,5,1)="-",DATE(VALUE(LEFT(B2759,4)),VALUE(MID(B2759,6,2)),VALUE(RIGHT(B2759,2))),DATE(VALUE(RIGHT(B2759,4)),MATCH(MID(B2759,4,3),{"Jan","Feb","Mar","Apr","May","Jun","Jul","Aug","Sep","Oct","Nov","Dec"},0),VALUE(LEFT(B2759,2)))))</f>
        <v>45798</v>
      </c>
    </row>
    <row r="2760" customFormat="false" ht="15" hidden="false" customHeight="false" outlineLevel="0" collapsed="false">
      <c r="A2760" s="7" t="s">
        <v>5801</v>
      </c>
      <c r="B2760" s="7" t="s">
        <v>2912</v>
      </c>
      <c r="C2760" s="7" t="s">
        <v>3157</v>
      </c>
      <c r="D2760" s="7" t="s">
        <v>4237</v>
      </c>
      <c r="E2760" s="7" t="s">
        <v>130</v>
      </c>
      <c r="F2760" s="7" t="s">
        <v>110</v>
      </c>
      <c r="G2760" s="7" t="s">
        <v>90</v>
      </c>
      <c r="H2760" s="7" t="n">
        <v>1</v>
      </c>
      <c r="I2760" s="7" t="n">
        <v>215</v>
      </c>
      <c r="J2760" s="7" t="n">
        <v>0</v>
      </c>
      <c r="K2760" s="7" t="s">
        <v>115</v>
      </c>
      <c r="L2760" s="7" t="s">
        <v>194</v>
      </c>
      <c r="M2760" s="7" t="n">
        <v>39</v>
      </c>
      <c r="N2760" s="7" t="n">
        <v>4</v>
      </c>
      <c r="O2760" s="7" t="str">
        <f aca="false">A2760&amp;"|"&amp;B2760&amp;"|"&amp;C2760&amp;"|"&amp;D2760&amp;"|"&amp;E2760&amp;"|"&amp;F2760&amp;"|"&amp;G2760&amp;"|"&amp;H2760&amp;"|"&amp;I2760&amp;"|"&amp;J2760&amp;"|"&amp;K2760&amp;"|"&amp;L2760&amp;"|"&amp;M2760&amp;"|"&amp;N2760</f>
        <v>ORD10909|2025-04-24|14:23|C0683|Tandoor Tales|Delhi|North Indian|1|215|0|cash on delivery|Delivered|39|4</v>
      </c>
      <c r="P2760" s="7" t="str">
        <f aca="false">IF(COUNTIF($O$2:O2760,O2760)&gt;1,"DUP","OK")</f>
        <v>OK</v>
      </c>
      <c r="Q2760" s="7" t="n">
        <f aca="false">COUNTBLANK(A2760:N2760)</f>
        <v>0</v>
      </c>
      <c r="R2760" s="7" t="n">
        <f aca="false">IF(A2760="",0,COUNTIFS($A$2:$A$3058,A2760,$P$2:$P$3058,"OK"))</f>
        <v>1</v>
      </c>
      <c r="S2760" s="7" t="str">
        <f aca="false">IF(OR(A2760="",P2760="DUP",R2760&lt;2),"",IF(Q2760=_xlfn.MINIFS($Q$2:$Q$3058,$A$2:$A$3058,A2760,$P$2:$P$3058,"OK"),"KEEP","DROP"))</f>
        <v/>
      </c>
      <c r="T2760" s="9" t="n">
        <f aca="false">IF(A2760="",1,0)</f>
        <v>0</v>
      </c>
      <c r="U2760" s="9" t="n">
        <f aca="false">IF(D2760="",1,0)</f>
        <v>0</v>
      </c>
      <c r="V2760" s="9" t="n">
        <f aca="false">IF(E2760="",1,0)</f>
        <v>0</v>
      </c>
      <c r="W2760" s="9" t="n">
        <f aca="false">IF(OR(H2760&lt;1,H2760&gt;10),1,0)</f>
        <v>0</v>
      </c>
      <c r="X2760" s="9" t="n">
        <f aca="false">IF(OR(I2760&lt;=0,I2760&gt;1500),1,0)</f>
        <v>0</v>
      </c>
      <c r="Y2760" s="9" t="n">
        <f aca="false">IF(J2760&gt;H2760*I2760,1,0)</f>
        <v>0</v>
      </c>
      <c r="Z2760" s="9" t="n">
        <f aca="false">IF(AND(N2760&lt;&gt;"",OR(N2760&lt;1,N2760&gt;5)),1,0)</f>
        <v>0</v>
      </c>
      <c r="AA2760" s="9" t="n">
        <f aca="false">IF(AND(M2760&lt;&gt;"",OR(M2760&lt;5,M2760&gt;180)),1,0)</f>
        <v>0</v>
      </c>
      <c r="AB2760" s="7" t="str">
        <f aca="false">IF(P2760="DUP","Exact duplicate row",IF(T2760=1,"Missing Order ID",IF(S2760="DROP","Duplicate Order ID (less complete row)",IF(U2760=1,"Missing Customer ID",IF(V2760=1,"Missing Restaurant name",IF(W2760=1,"Invalid/outlier quantity",IF(X2760=1,"Invalid/outlier unit price",IF(Y2760=1,"Discount greater than order value",""))))))))</f>
        <v/>
      </c>
      <c r="AC2760" s="7" t="str">
        <f aca="false">IF(AB2760="","KEEP","DROP")</f>
        <v>KEEP</v>
      </c>
      <c r="AD2760" s="7" t="str">
        <f aca="false">IF(TRIM(F2760)="",IFERROR(INDEX(Map_Tables!$I$4:$I$37,MATCH(TRIM(E2760),Map_Tables!$G$4:$G$37,0)),""),IFERROR(INDEX(Map_Tables!$B$4:$B$18,MATCH(TRIM(F2760),Map_Tables!$A$4:$A$18,0)),"CHECK"))</f>
        <v>Delhi</v>
      </c>
      <c r="AE2760" s="7" t="str">
        <f aca="false">IF(TRIM(E2760)="","",IFERROR(INDEX(Map_Tables!$H$4:$H$37,MATCH(TRIM(E2760),Map_Tables!$G$4:$G$37,0)),"CHECK"))</f>
        <v>Tandoor Tales</v>
      </c>
      <c r="AF2760" s="7" t="str">
        <f aca="false">IF(TRIM(K2760)="","Unknown",IFERROR(INDEX(Map_Tables!$E$4:$E$15,MATCH(TRIM(K2760),Map_Tables!$D$4:$D$15,0)),"CHECK"))</f>
        <v>Cash on Delivery</v>
      </c>
      <c r="AG2760" s="7" t="str">
        <f aca="false">IF(LEFT(LOWER(TRIM(L2760)),6)="cancel","Cancelled","Delivered")</f>
        <v>Delivered</v>
      </c>
      <c r="AH2760" s="10" t="n">
        <f aca="false">IF(ISNUMBER(SEARCH("/",B2760)),DATE(VALUE(RIGHT(B2760,4)),VALUE(MID(B2760,4,2)),VALUE(LEFT(B2760,2))),IF(MID(B2760,5,1)="-",DATE(VALUE(LEFT(B2760,4)),VALUE(MID(B2760,6,2)),VALUE(RIGHT(B2760,2))),DATE(VALUE(RIGHT(B2760,4)),MATCH(MID(B2760,4,3),{"Jan","Feb","Mar","Apr","May","Jun","Jul","Aug","Sep","Oct","Nov","Dec"},0),VALUE(LEFT(B2760,2)))))</f>
        <v>45771</v>
      </c>
    </row>
    <row r="2761" customFormat="false" ht="15" hidden="false" customHeight="false" outlineLevel="0" collapsed="false">
      <c r="A2761" s="7" t="s">
        <v>5802</v>
      </c>
      <c r="B2761" s="7" t="s">
        <v>3156</v>
      </c>
      <c r="C2761" s="7" t="s">
        <v>2923</v>
      </c>
      <c r="D2761" s="7" t="s">
        <v>5803</v>
      </c>
      <c r="E2761" s="7" t="s">
        <v>89</v>
      </c>
      <c r="F2761" s="7" t="s">
        <v>86</v>
      </c>
      <c r="G2761" s="7" t="s">
        <v>90</v>
      </c>
      <c r="H2761" s="7" t="n">
        <v>1</v>
      </c>
      <c r="I2761" s="7" t="n">
        <v>230</v>
      </c>
      <c r="J2761" s="7" t="n">
        <v>0</v>
      </c>
      <c r="K2761" s="7" t="s">
        <v>93</v>
      </c>
      <c r="L2761" s="7" t="s">
        <v>194</v>
      </c>
      <c r="M2761" s="7" t="n">
        <v>35</v>
      </c>
      <c r="N2761" s="7" t="n">
        <v>3</v>
      </c>
      <c r="O2761" s="7" t="str">
        <f aca="false">A2761&amp;"|"&amp;B2761&amp;"|"&amp;C2761&amp;"|"&amp;D2761&amp;"|"&amp;E2761&amp;"|"&amp;F2761&amp;"|"&amp;G2761&amp;"|"&amp;H2761&amp;"|"&amp;I2761&amp;"|"&amp;J2761&amp;"|"&amp;K2761&amp;"|"&amp;L2761&amp;"|"&amp;M2761&amp;"|"&amp;N2761</f>
        <v>ORD11475|2025-07-11|13:11|C0425|Spice Junction|Bengaluru|North Indian|1|230|0|Credit Card|Delivered|35|3</v>
      </c>
      <c r="P2761" s="7" t="str">
        <f aca="false">IF(COUNTIF($O$2:O2761,O2761)&gt;1,"DUP","OK")</f>
        <v>OK</v>
      </c>
      <c r="Q2761" s="7" t="n">
        <f aca="false">COUNTBLANK(A2761:N2761)</f>
        <v>0</v>
      </c>
      <c r="R2761" s="7" t="n">
        <f aca="false">IF(A2761="",0,COUNTIFS($A$2:$A$3058,A2761,$P$2:$P$3058,"OK"))</f>
        <v>1</v>
      </c>
      <c r="S2761" s="7" t="str">
        <f aca="false">IF(OR(A2761="",P2761="DUP",R2761&lt;2),"",IF(Q2761=_xlfn.MINIFS($Q$2:$Q$3058,$A$2:$A$3058,A2761,$P$2:$P$3058,"OK"),"KEEP","DROP"))</f>
        <v/>
      </c>
      <c r="T2761" s="9" t="n">
        <f aca="false">IF(A2761="",1,0)</f>
        <v>0</v>
      </c>
      <c r="U2761" s="9" t="n">
        <f aca="false">IF(D2761="",1,0)</f>
        <v>0</v>
      </c>
      <c r="V2761" s="9" t="n">
        <f aca="false">IF(E2761="",1,0)</f>
        <v>0</v>
      </c>
      <c r="W2761" s="9" t="n">
        <f aca="false">IF(OR(H2761&lt;1,H2761&gt;10),1,0)</f>
        <v>0</v>
      </c>
      <c r="X2761" s="9" t="n">
        <f aca="false">IF(OR(I2761&lt;=0,I2761&gt;1500),1,0)</f>
        <v>0</v>
      </c>
      <c r="Y2761" s="9" t="n">
        <f aca="false">IF(J2761&gt;H2761*I2761,1,0)</f>
        <v>0</v>
      </c>
      <c r="Z2761" s="9" t="n">
        <f aca="false">IF(AND(N2761&lt;&gt;"",OR(N2761&lt;1,N2761&gt;5)),1,0)</f>
        <v>0</v>
      </c>
      <c r="AA2761" s="9" t="n">
        <f aca="false">IF(AND(M2761&lt;&gt;"",OR(M2761&lt;5,M2761&gt;180)),1,0)</f>
        <v>0</v>
      </c>
      <c r="AB2761" s="7" t="str">
        <f aca="false">IF(P2761="DUP","Exact duplicate row",IF(T2761=1,"Missing Order ID",IF(S2761="DROP","Duplicate Order ID (less complete row)",IF(U2761=1,"Missing Customer ID",IF(V2761=1,"Missing Restaurant name",IF(W2761=1,"Invalid/outlier quantity",IF(X2761=1,"Invalid/outlier unit price",IF(Y2761=1,"Discount greater than order value",""))))))))</f>
        <v/>
      </c>
      <c r="AC2761" s="7" t="str">
        <f aca="false">IF(AB2761="","KEEP","DROP")</f>
        <v>KEEP</v>
      </c>
      <c r="AD2761" s="7" t="str">
        <f aca="false">IF(TRIM(F2761)="",IFERROR(INDEX(Map_Tables!$I$4:$I$37,MATCH(TRIM(E2761),Map_Tables!$G$4:$G$37,0)),""),IFERROR(INDEX(Map_Tables!$B$4:$B$18,MATCH(TRIM(F2761),Map_Tables!$A$4:$A$18,0)),"CHECK"))</f>
        <v>Bengaluru</v>
      </c>
      <c r="AE2761" s="7" t="str">
        <f aca="false">IF(TRIM(E2761)="","",IFERROR(INDEX(Map_Tables!$H$4:$H$37,MATCH(TRIM(E2761),Map_Tables!$G$4:$G$37,0)),"CHECK"))</f>
        <v>Spice Junction</v>
      </c>
      <c r="AF2761" s="7" t="str">
        <f aca="false">IF(TRIM(K2761)="","Unknown",IFERROR(INDEX(Map_Tables!$E$4:$E$15,MATCH(TRIM(K2761),Map_Tables!$D$4:$D$15,0)),"CHECK"))</f>
        <v>Credit Card</v>
      </c>
      <c r="AG2761" s="7" t="str">
        <f aca="false">IF(LEFT(LOWER(TRIM(L2761)),6)="cancel","Cancelled","Delivered")</f>
        <v>Delivered</v>
      </c>
      <c r="AH2761" s="10" t="n">
        <f aca="false">IF(ISNUMBER(SEARCH("/",B2761)),DATE(VALUE(RIGHT(B2761,4)),VALUE(MID(B2761,4,2)),VALUE(LEFT(B2761,2))),IF(MID(B2761,5,1)="-",DATE(VALUE(LEFT(B2761,4)),VALUE(MID(B2761,6,2)),VALUE(RIGHT(B2761,2))),DATE(VALUE(RIGHT(B2761,4)),MATCH(MID(B2761,4,3),{"Jan","Feb","Mar","Apr","May","Jun","Jul","Aug","Sep","Oct","Nov","Dec"},0),VALUE(LEFT(B2761,2)))))</f>
        <v>45849</v>
      </c>
    </row>
    <row r="2762" customFormat="false" ht="15" hidden="false" customHeight="false" outlineLevel="0" collapsed="false">
      <c r="A2762" s="7" t="s">
        <v>5804</v>
      </c>
      <c r="B2762" s="7" t="s">
        <v>1854</v>
      </c>
      <c r="C2762" s="7" t="s">
        <v>1615</v>
      </c>
      <c r="D2762" s="7" t="s">
        <v>1000</v>
      </c>
      <c r="E2762" s="7" t="s">
        <v>126</v>
      </c>
      <c r="F2762" s="7" t="s">
        <v>101</v>
      </c>
      <c r="G2762" s="7" t="s">
        <v>105</v>
      </c>
      <c r="H2762" s="7" t="n">
        <v>3</v>
      </c>
      <c r="I2762" s="7" t="n">
        <v>225</v>
      </c>
      <c r="J2762" s="7" t="n">
        <v>20</v>
      </c>
      <c r="K2762" s="7" t="s">
        <v>112</v>
      </c>
      <c r="L2762" s="7" t="s">
        <v>194</v>
      </c>
      <c r="M2762" s="7" t="n">
        <v>42</v>
      </c>
      <c r="N2762" s="7" t="n">
        <v>3</v>
      </c>
      <c r="O2762" s="7" t="str">
        <f aca="false">A2762&amp;"|"&amp;B2762&amp;"|"&amp;C2762&amp;"|"&amp;D2762&amp;"|"&amp;E2762&amp;"|"&amp;F2762&amp;"|"&amp;G2762&amp;"|"&amp;H2762&amp;"|"&amp;I2762&amp;"|"&amp;J2762&amp;"|"&amp;K2762&amp;"|"&amp;L2762&amp;"|"&amp;M2762&amp;"|"&amp;N2762</f>
        <v>ORD11742|16/08/2025|13:07|C0776|Dragon Express|Mumbai|Chinese|3|225|20|Cash on Delivery|Delivered|42|3</v>
      </c>
      <c r="P2762" s="7" t="str">
        <f aca="false">IF(COUNTIF($O$2:O2762,O2762)&gt;1,"DUP","OK")</f>
        <v>OK</v>
      </c>
      <c r="Q2762" s="7" t="n">
        <f aca="false">COUNTBLANK(A2762:N2762)</f>
        <v>0</v>
      </c>
      <c r="R2762" s="7" t="n">
        <f aca="false">IF(A2762="",0,COUNTIFS($A$2:$A$3058,A2762,$P$2:$P$3058,"OK"))</f>
        <v>1</v>
      </c>
      <c r="S2762" s="7" t="str">
        <f aca="false">IF(OR(A2762="",P2762="DUP",R2762&lt;2),"",IF(Q2762=_xlfn.MINIFS($Q$2:$Q$3058,$A$2:$A$3058,A2762,$P$2:$P$3058,"OK"),"KEEP","DROP"))</f>
        <v/>
      </c>
      <c r="T2762" s="9" t="n">
        <f aca="false">IF(A2762="",1,0)</f>
        <v>0</v>
      </c>
      <c r="U2762" s="9" t="n">
        <f aca="false">IF(D2762="",1,0)</f>
        <v>0</v>
      </c>
      <c r="V2762" s="9" t="n">
        <f aca="false">IF(E2762="",1,0)</f>
        <v>0</v>
      </c>
      <c r="W2762" s="9" t="n">
        <f aca="false">IF(OR(H2762&lt;1,H2762&gt;10),1,0)</f>
        <v>0</v>
      </c>
      <c r="X2762" s="9" t="n">
        <f aca="false">IF(OR(I2762&lt;=0,I2762&gt;1500),1,0)</f>
        <v>0</v>
      </c>
      <c r="Y2762" s="9" t="n">
        <f aca="false">IF(J2762&gt;H2762*I2762,1,0)</f>
        <v>0</v>
      </c>
      <c r="Z2762" s="9" t="n">
        <f aca="false">IF(AND(N2762&lt;&gt;"",OR(N2762&lt;1,N2762&gt;5)),1,0)</f>
        <v>0</v>
      </c>
      <c r="AA2762" s="9" t="n">
        <f aca="false">IF(AND(M2762&lt;&gt;"",OR(M2762&lt;5,M2762&gt;180)),1,0)</f>
        <v>0</v>
      </c>
      <c r="AB2762" s="7" t="str">
        <f aca="false">IF(P2762="DUP","Exact duplicate row",IF(T2762=1,"Missing Order ID",IF(S2762="DROP","Duplicate Order ID (less complete row)",IF(U2762=1,"Missing Customer ID",IF(V2762=1,"Missing Restaurant name",IF(W2762=1,"Invalid/outlier quantity",IF(X2762=1,"Invalid/outlier unit price",IF(Y2762=1,"Discount greater than order value",""))))))))</f>
        <v/>
      </c>
      <c r="AC2762" s="7" t="str">
        <f aca="false">IF(AB2762="","KEEP","DROP")</f>
        <v>KEEP</v>
      </c>
      <c r="AD2762" s="7" t="str">
        <f aca="false">IF(TRIM(F2762)="",IFERROR(INDEX(Map_Tables!$I$4:$I$37,MATCH(TRIM(E2762),Map_Tables!$G$4:$G$37,0)),""),IFERROR(INDEX(Map_Tables!$B$4:$B$18,MATCH(TRIM(F2762),Map_Tables!$A$4:$A$18,0)),"CHECK"))</f>
        <v>Mumbai</v>
      </c>
      <c r="AE2762" s="7" t="str">
        <f aca="false">IF(TRIM(E2762)="","",IFERROR(INDEX(Map_Tables!$H$4:$H$37,MATCH(TRIM(E2762),Map_Tables!$G$4:$G$37,0)),"CHECK"))</f>
        <v>Dragon Express</v>
      </c>
      <c r="AF2762" s="7" t="str">
        <f aca="false">IF(TRIM(K2762)="","Unknown",IFERROR(INDEX(Map_Tables!$E$4:$E$15,MATCH(TRIM(K2762),Map_Tables!$D$4:$D$15,0)),"CHECK"))</f>
        <v>Cash on Delivery</v>
      </c>
      <c r="AG2762" s="7" t="str">
        <f aca="false">IF(LEFT(LOWER(TRIM(L2762)),6)="cancel","Cancelled","Delivered")</f>
        <v>Delivered</v>
      </c>
      <c r="AH2762" s="10" t="n">
        <f aca="false">IF(ISNUMBER(SEARCH("/",B2762)),DATE(VALUE(RIGHT(B2762,4)),VALUE(MID(B2762,4,2)),VALUE(LEFT(B2762,2))),IF(MID(B2762,5,1)="-",DATE(VALUE(LEFT(B2762,4)),VALUE(MID(B2762,6,2)),VALUE(RIGHT(B2762,2))),DATE(VALUE(RIGHT(B2762,4)),MATCH(MID(B2762,4,3),{"Jan","Feb","Mar","Apr","May","Jun","Jul","Aug","Sep","Oct","Nov","Dec"},0),VALUE(LEFT(B2762,2)))))</f>
        <v>45885</v>
      </c>
    </row>
    <row r="2763" customFormat="false" ht="15" hidden="false" customHeight="false" outlineLevel="0" collapsed="false">
      <c r="A2763" s="7" t="s">
        <v>5805</v>
      </c>
      <c r="B2763" s="7" t="s">
        <v>240</v>
      </c>
      <c r="C2763" s="7" t="s">
        <v>862</v>
      </c>
      <c r="D2763" s="7" t="s">
        <v>2429</v>
      </c>
      <c r="E2763" s="7" t="s">
        <v>94</v>
      </c>
      <c r="F2763" s="7" t="s">
        <v>86</v>
      </c>
      <c r="G2763" s="7" t="s">
        <v>95</v>
      </c>
      <c r="H2763" s="7" t="n">
        <v>1</v>
      </c>
      <c r="I2763" s="7" t="n">
        <v>120</v>
      </c>
      <c r="J2763" s="7" t="n">
        <v>0</v>
      </c>
      <c r="K2763" s="7" t="s">
        <v>121</v>
      </c>
      <c r="L2763" s="7" t="s">
        <v>194</v>
      </c>
      <c r="M2763" s="7" t="n">
        <v>38</v>
      </c>
      <c r="N2763" s="7" t="n">
        <v>5</v>
      </c>
      <c r="O2763" s="7" t="str">
        <f aca="false">A2763&amp;"|"&amp;B2763&amp;"|"&amp;C2763&amp;"|"&amp;D2763&amp;"|"&amp;E2763&amp;"|"&amp;F2763&amp;"|"&amp;G2763&amp;"|"&amp;H2763&amp;"|"&amp;I2763&amp;"|"&amp;J2763&amp;"|"&amp;K2763&amp;"|"&amp;L2763&amp;"|"&amp;M2763&amp;"|"&amp;N2763</f>
        <v>ORD12151|2025-10-02|19:00|C1033|Dosa Darbar|Bengaluru|South Indian|1|120|0|Wallet|Delivered|38|5</v>
      </c>
      <c r="P2763" s="7" t="str">
        <f aca="false">IF(COUNTIF($O$2:O2763,O2763)&gt;1,"DUP","OK")</f>
        <v>OK</v>
      </c>
      <c r="Q2763" s="7" t="n">
        <f aca="false">COUNTBLANK(A2763:N2763)</f>
        <v>0</v>
      </c>
      <c r="R2763" s="7" t="n">
        <f aca="false">IF(A2763="",0,COUNTIFS($A$2:$A$3058,A2763,$P$2:$P$3058,"OK"))</f>
        <v>1</v>
      </c>
      <c r="S2763" s="7" t="str">
        <f aca="false">IF(OR(A2763="",P2763="DUP",R2763&lt;2),"",IF(Q2763=_xlfn.MINIFS($Q$2:$Q$3058,$A$2:$A$3058,A2763,$P$2:$P$3058,"OK"),"KEEP","DROP"))</f>
        <v/>
      </c>
      <c r="T2763" s="9" t="n">
        <f aca="false">IF(A2763="",1,0)</f>
        <v>0</v>
      </c>
      <c r="U2763" s="9" t="n">
        <f aca="false">IF(D2763="",1,0)</f>
        <v>0</v>
      </c>
      <c r="V2763" s="9" t="n">
        <f aca="false">IF(E2763="",1,0)</f>
        <v>0</v>
      </c>
      <c r="W2763" s="9" t="n">
        <f aca="false">IF(OR(H2763&lt;1,H2763&gt;10),1,0)</f>
        <v>0</v>
      </c>
      <c r="X2763" s="9" t="n">
        <f aca="false">IF(OR(I2763&lt;=0,I2763&gt;1500),1,0)</f>
        <v>0</v>
      </c>
      <c r="Y2763" s="9" t="n">
        <f aca="false">IF(J2763&gt;H2763*I2763,1,0)</f>
        <v>0</v>
      </c>
      <c r="Z2763" s="9" t="n">
        <f aca="false">IF(AND(N2763&lt;&gt;"",OR(N2763&lt;1,N2763&gt;5)),1,0)</f>
        <v>0</v>
      </c>
      <c r="AA2763" s="9" t="n">
        <f aca="false">IF(AND(M2763&lt;&gt;"",OR(M2763&lt;5,M2763&gt;180)),1,0)</f>
        <v>0</v>
      </c>
      <c r="AB2763" s="7" t="str">
        <f aca="false">IF(P2763="DUP","Exact duplicate row",IF(T2763=1,"Missing Order ID",IF(S2763="DROP","Duplicate Order ID (less complete row)",IF(U2763=1,"Missing Customer ID",IF(V2763=1,"Missing Restaurant name",IF(W2763=1,"Invalid/outlier quantity",IF(X2763=1,"Invalid/outlier unit price",IF(Y2763=1,"Discount greater than order value",""))))))))</f>
        <v/>
      </c>
      <c r="AC2763" s="7" t="str">
        <f aca="false">IF(AB2763="","KEEP","DROP")</f>
        <v>KEEP</v>
      </c>
      <c r="AD2763" s="7" t="str">
        <f aca="false">IF(TRIM(F2763)="",IFERROR(INDEX(Map_Tables!$I$4:$I$37,MATCH(TRIM(E2763),Map_Tables!$G$4:$G$37,0)),""),IFERROR(INDEX(Map_Tables!$B$4:$B$18,MATCH(TRIM(F2763),Map_Tables!$A$4:$A$18,0)),"CHECK"))</f>
        <v>Bengaluru</v>
      </c>
      <c r="AE2763" s="7" t="str">
        <f aca="false">IF(TRIM(E2763)="","",IFERROR(INDEX(Map_Tables!$H$4:$H$37,MATCH(TRIM(E2763),Map_Tables!$G$4:$G$37,0)),"CHECK"))</f>
        <v>Dosa Darbar</v>
      </c>
      <c r="AF2763" s="7" t="str">
        <f aca="false">IF(TRIM(K2763)="","Unknown",IFERROR(INDEX(Map_Tables!$E$4:$E$15,MATCH(TRIM(K2763),Map_Tables!$D$4:$D$15,0)),"CHECK"))</f>
        <v>Wallet</v>
      </c>
      <c r="AG2763" s="7" t="str">
        <f aca="false">IF(LEFT(LOWER(TRIM(L2763)),6)="cancel","Cancelled","Delivered")</f>
        <v>Delivered</v>
      </c>
      <c r="AH2763" s="10" t="n">
        <f aca="false">IF(ISNUMBER(SEARCH("/",B2763)),DATE(VALUE(RIGHT(B2763,4)),VALUE(MID(B2763,4,2)),VALUE(LEFT(B2763,2))),IF(MID(B2763,5,1)="-",DATE(VALUE(LEFT(B2763,4)),VALUE(MID(B2763,6,2)),VALUE(RIGHT(B2763,2))),DATE(VALUE(RIGHT(B2763,4)),MATCH(MID(B2763,4,3),{"Jan","Feb","Mar","Apr","May","Jun","Jul","Aug","Sep","Oct","Nov","Dec"},0),VALUE(LEFT(B2763,2)))))</f>
        <v>45932</v>
      </c>
    </row>
    <row r="2764" customFormat="false" ht="15" hidden="false" customHeight="false" outlineLevel="0" collapsed="false">
      <c r="A2764" s="7" t="s">
        <v>5806</v>
      </c>
      <c r="B2764" s="7" t="s">
        <v>1760</v>
      </c>
      <c r="C2764" s="7" t="s">
        <v>481</v>
      </c>
      <c r="D2764" s="7" t="s">
        <v>316</v>
      </c>
      <c r="E2764" s="7" t="s">
        <v>126</v>
      </c>
      <c r="F2764" s="7" t="s">
        <v>101</v>
      </c>
      <c r="G2764" s="7" t="s">
        <v>105</v>
      </c>
      <c r="H2764" s="7" t="n">
        <v>2</v>
      </c>
      <c r="I2764" s="7" t="n">
        <v>245</v>
      </c>
      <c r="J2764" s="7" t="n">
        <v>0</v>
      </c>
      <c r="K2764" s="7" t="s">
        <v>115</v>
      </c>
      <c r="L2764" s="7" t="s">
        <v>194</v>
      </c>
      <c r="M2764" s="7" t="n">
        <v>35</v>
      </c>
      <c r="N2764" s="7" t="n">
        <v>5</v>
      </c>
      <c r="O2764" s="7" t="str">
        <f aca="false">A2764&amp;"|"&amp;B2764&amp;"|"&amp;C2764&amp;"|"&amp;D2764&amp;"|"&amp;E2764&amp;"|"&amp;F2764&amp;"|"&amp;G2764&amp;"|"&amp;H2764&amp;"|"&amp;I2764&amp;"|"&amp;J2764&amp;"|"&amp;K2764&amp;"|"&amp;L2764&amp;"|"&amp;M2764&amp;"|"&amp;N2764</f>
        <v>ORD10239|2025-02-01|16:53|C0468|Dragon Express|Mumbai|Chinese|2|245|0|cash on delivery|Delivered|35|5</v>
      </c>
      <c r="P2764" s="7" t="str">
        <f aca="false">IF(COUNTIF($O$2:O2764,O2764)&gt;1,"DUP","OK")</f>
        <v>OK</v>
      </c>
      <c r="Q2764" s="7" t="n">
        <f aca="false">COUNTBLANK(A2764:N2764)</f>
        <v>0</v>
      </c>
      <c r="R2764" s="7" t="n">
        <f aca="false">IF(A2764="",0,COUNTIFS($A$2:$A$3058,A2764,$P$2:$P$3058,"OK"))</f>
        <v>1</v>
      </c>
      <c r="S2764" s="7" t="str">
        <f aca="false">IF(OR(A2764="",P2764="DUP",R2764&lt;2),"",IF(Q2764=_xlfn.MINIFS($Q$2:$Q$3058,$A$2:$A$3058,A2764,$P$2:$P$3058,"OK"),"KEEP","DROP"))</f>
        <v/>
      </c>
      <c r="T2764" s="9" t="n">
        <f aca="false">IF(A2764="",1,0)</f>
        <v>0</v>
      </c>
      <c r="U2764" s="9" t="n">
        <f aca="false">IF(D2764="",1,0)</f>
        <v>0</v>
      </c>
      <c r="V2764" s="9" t="n">
        <f aca="false">IF(E2764="",1,0)</f>
        <v>0</v>
      </c>
      <c r="W2764" s="9" t="n">
        <f aca="false">IF(OR(H2764&lt;1,H2764&gt;10),1,0)</f>
        <v>0</v>
      </c>
      <c r="X2764" s="9" t="n">
        <f aca="false">IF(OR(I2764&lt;=0,I2764&gt;1500),1,0)</f>
        <v>0</v>
      </c>
      <c r="Y2764" s="9" t="n">
        <f aca="false">IF(J2764&gt;H2764*I2764,1,0)</f>
        <v>0</v>
      </c>
      <c r="Z2764" s="9" t="n">
        <f aca="false">IF(AND(N2764&lt;&gt;"",OR(N2764&lt;1,N2764&gt;5)),1,0)</f>
        <v>0</v>
      </c>
      <c r="AA2764" s="9" t="n">
        <f aca="false">IF(AND(M2764&lt;&gt;"",OR(M2764&lt;5,M2764&gt;180)),1,0)</f>
        <v>0</v>
      </c>
      <c r="AB2764" s="7" t="str">
        <f aca="false">IF(P2764="DUP","Exact duplicate row",IF(T2764=1,"Missing Order ID",IF(S2764="DROP","Duplicate Order ID (less complete row)",IF(U2764=1,"Missing Customer ID",IF(V2764=1,"Missing Restaurant name",IF(W2764=1,"Invalid/outlier quantity",IF(X2764=1,"Invalid/outlier unit price",IF(Y2764=1,"Discount greater than order value",""))))))))</f>
        <v/>
      </c>
      <c r="AC2764" s="7" t="str">
        <f aca="false">IF(AB2764="","KEEP","DROP")</f>
        <v>KEEP</v>
      </c>
      <c r="AD2764" s="7" t="str">
        <f aca="false">IF(TRIM(F2764)="",IFERROR(INDEX(Map_Tables!$I$4:$I$37,MATCH(TRIM(E2764),Map_Tables!$G$4:$G$37,0)),""),IFERROR(INDEX(Map_Tables!$B$4:$B$18,MATCH(TRIM(F2764),Map_Tables!$A$4:$A$18,0)),"CHECK"))</f>
        <v>Mumbai</v>
      </c>
      <c r="AE2764" s="7" t="str">
        <f aca="false">IF(TRIM(E2764)="","",IFERROR(INDEX(Map_Tables!$H$4:$H$37,MATCH(TRIM(E2764),Map_Tables!$G$4:$G$37,0)),"CHECK"))</f>
        <v>Dragon Express</v>
      </c>
      <c r="AF2764" s="7" t="str">
        <f aca="false">IF(TRIM(K2764)="","Unknown",IFERROR(INDEX(Map_Tables!$E$4:$E$15,MATCH(TRIM(K2764),Map_Tables!$D$4:$D$15,0)),"CHECK"))</f>
        <v>Cash on Delivery</v>
      </c>
      <c r="AG2764" s="7" t="str">
        <f aca="false">IF(LEFT(LOWER(TRIM(L2764)),6)="cancel","Cancelled","Delivered")</f>
        <v>Delivered</v>
      </c>
      <c r="AH2764" s="10" t="n">
        <f aca="false">IF(ISNUMBER(SEARCH("/",B2764)),DATE(VALUE(RIGHT(B2764,4)),VALUE(MID(B2764,4,2)),VALUE(LEFT(B2764,2))),IF(MID(B2764,5,1)="-",DATE(VALUE(LEFT(B2764,4)),VALUE(MID(B2764,6,2)),VALUE(RIGHT(B2764,2))),DATE(VALUE(RIGHT(B2764,4)),MATCH(MID(B2764,4,3),{"Jan","Feb","Mar","Apr","May","Jun","Jul","Aug","Sep","Oct","Nov","Dec"},0),VALUE(LEFT(B2764,2)))))</f>
        <v>45689</v>
      </c>
    </row>
    <row r="2765" customFormat="false" ht="15" hidden="false" customHeight="false" outlineLevel="0" collapsed="false">
      <c r="A2765" s="7" t="s">
        <v>5807</v>
      </c>
      <c r="B2765" s="7" t="s">
        <v>5808</v>
      </c>
      <c r="C2765" s="7" t="s">
        <v>5809</v>
      </c>
      <c r="D2765" s="7" t="s">
        <v>5810</v>
      </c>
      <c r="E2765" s="7" t="s">
        <v>113</v>
      </c>
      <c r="F2765" s="7" t="s">
        <v>101</v>
      </c>
      <c r="G2765" s="7" t="s">
        <v>90</v>
      </c>
      <c r="H2765" s="7" t="n">
        <v>2</v>
      </c>
      <c r="I2765" s="7" t="n">
        <v>275</v>
      </c>
      <c r="J2765" s="7" t="n">
        <v>0</v>
      </c>
      <c r="K2765" s="7" t="s">
        <v>88</v>
      </c>
      <c r="L2765" s="7" t="s">
        <v>194</v>
      </c>
      <c r="M2765" s="7" t="n">
        <v>36</v>
      </c>
      <c r="N2765" s="7" t="n">
        <v>3</v>
      </c>
      <c r="O2765" s="7" t="str">
        <f aca="false">A2765&amp;"|"&amp;B2765&amp;"|"&amp;C2765&amp;"|"&amp;D2765&amp;"|"&amp;E2765&amp;"|"&amp;F2765&amp;"|"&amp;G2765&amp;"|"&amp;H2765&amp;"|"&amp;I2765&amp;"|"&amp;J2765&amp;"|"&amp;K2765&amp;"|"&amp;L2765&amp;"|"&amp;M2765&amp;"|"&amp;N2765</f>
        <v>ORD10943|29/04/2025|17:06|C0998|Curry Leaf Kitchen|Mumbai|North Indian|2|275|0|UPI|Delivered|36|3</v>
      </c>
      <c r="P2765" s="7" t="str">
        <f aca="false">IF(COUNTIF($O$2:O2765,O2765)&gt;1,"DUP","OK")</f>
        <v>OK</v>
      </c>
      <c r="Q2765" s="7" t="n">
        <f aca="false">COUNTBLANK(A2765:N2765)</f>
        <v>0</v>
      </c>
      <c r="R2765" s="7" t="n">
        <f aca="false">IF(A2765="",0,COUNTIFS($A$2:$A$3058,A2765,$P$2:$P$3058,"OK"))</f>
        <v>1</v>
      </c>
      <c r="S2765" s="7" t="str">
        <f aca="false">IF(OR(A2765="",P2765="DUP",R2765&lt;2),"",IF(Q2765=_xlfn.MINIFS($Q$2:$Q$3058,$A$2:$A$3058,A2765,$P$2:$P$3058,"OK"),"KEEP","DROP"))</f>
        <v/>
      </c>
      <c r="T2765" s="9" t="n">
        <f aca="false">IF(A2765="",1,0)</f>
        <v>0</v>
      </c>
      <c r="U2765" s="9" t="n">
        <f aca="false">IF(D2765="",1,0)</f>
        <v>0</v>
      </c>
      <c r="V2765" s="9" t="n">
        <f aca="false">IF(E2765="",1,0)</f>
        <v>0</v>
      </c>
      <c r="W2765" s="9" t="n">
        <f aca="false">IF(OR(H2765&lt;1,H2765&gt;10),1,0)</f>
        <v>0</v>
      </c>
      <c r="X2765" s="9" t="n">
        <f aca="false">IF(OR(I2765&lt;=0,I2765&gt;1500),1,0)</f>
        <v>0</v>
      </c>
      <c r="Y2765" s="9" t="n">
        <f aca="false">IF(J2765&gt;H2765*I2765,1,0)</f>
        <v>0</v>
      </c>
      <c r="Z2765" s="9" t="n">
        <f aca="false">IF(AND(N2765&lt;&gt;"",OR(N2765&lt;1,N2765&gt;5)),1,0)</f>
        <v>0</v>
      </c>
      <c r="AA2765" s="9" t="n">
        <f aca="false">IF(AND(M2765&lt;&gt;"",OR(M2765&lt;5,M2765&gt;180)),1,0)</f>
        <v>0</v>
      </c>
      <c r="AB2765" s="7" t="str">
        <f aca="false">IF(P2765="DUP","Exact duplicate row",IF(T2765=1,"Missing Order ID",IF(S2765="DROP","Duplicate Order ID (less complete row)",IF(U2765=1,"Missing Customer ID",IF(V2765=1,"Missing Restaurant name",IF(W2765=1,"Invalid/outlier quantity",IF(X2765=1,"Invalid/outlier unit price",IF(Y2765=1,"Discount greater than order value",""))))))))</f>
        <v/>
      </c>
      <c r="AC2765" s="7" t="str">
        <f aca="false">IF(AB2765="","KEEP","DROP")</f>
        <v>KEEP</v>
      </c>
      <c r="AD2765" s="7" t="str">
        <f aca="false">IF(TRIM(F2765)="",IFERROR(INDEX(Map_Tables!$I$4:$I$37,MATCH(TRIM(E2765),Map_Tables!$G$4:$G$37,0)),""),IFERROR(INDEX(Map_Tables!$B$4:$B$18,MATCH(TRIM(F2765),Map_Tables!$A$4:$A$18,0)),"CHECK"))</f>
        <v>Mumbai</v>
      </c>
      <c r="AE2765" s="7" t="str">
        <f aca="false">IF(TRIM(E2765)="","",IFERROR(INDEX(Map_Tables!$H$4:$H$37,MATCH(TRIM(E2765),Map_Tables!$G$4:$G$37,0)),"CHECK"))</f>
        <v>Curry Leaf Kitchen</v>
      </c>
      <c r="AF2765" s="7" t="str">
        <f aca="false">IF(TRIM(K2765)="","Unknown",IFERROR(INDEX(Map_Tables!$E$4:$E$15,MATCH(TRIM(K2765),Map_Tables!$D$4:$D$15,0)),"CHECK"))</f>
        <v>UPI</v>
      </c>
      <c r="AG2765" s="7" t="str">
        <f aca="false">IF(LEFT(LOWER(TRIM(L2765)),6)="cancel","Cancelled","Delivered")</f>
        <v>Delivered</v>
      </c>
      <c r="AH2765" s="10" t="n">
        <f aca="false">IF(ISNUMBER(SEARCH("/",B2765)),DATE(VALUE(RIGHT(B2765,4)),VALUE(MID(B2765,4,2)),VALUE(LEFT(B2765,2))),IF(MID(B2765,5,1)="-",DATE(VALUE(LEFT(B2765,4)),VALUE(MID(B2765,6,2)),VALUE(RIGHT(B2765,2))),DATE(VALUE(RIGHT(B2765,4)),MATCH(MID(B2765,4,3),{"Jan","Feb","Mar","Apr","May","Jun","Jul","Aug","Sep","Oct","Nov","Dec"},0),VALUE(LEFT(B2765,2)))))</f>
        <v>45776</v>
      </c>
    </row>
    <row r="2766" customFormat="false" ht="15" hidden="false" customHeight="false" outlineLevel="0" collapsed="false">
      <c r="A2766" s="7" t="s">
        <v>5735</v>
      </c>
      <c r="B2766" s="7" t="s">
        <v>715</v>
      </c>
      <c r="C2766" s="7" t="s">
        <v>809</v>
      </c>
      <c r="D2766" s="7" t="s">
        <v>4690</v>
      </c>
      <c r="E2766" s="7" t="s">
        <v>134</v>
      </c>
      <c r="F2766" s="7" t="s">
        <v>110</v>
      </c>
      <c r="G2766" s="7" t="s">
        <v>117</v>
      </c>
      <c r="H2766" s="7" t="n">
        <v>3</v>
      </c>
      <c r="I2766" s="7" t="n">
        <v>85</v>
      </c>
      <c r="J2766" s="7" t="n">
        <v>50</v>
      </c>
      <c r="K2766" s="7" t="s">
        <v>112</v>
      </c>
      <c r="L2766" s="7" t="s">
        <v>194</v>
      </c>
      <c r="M2766" s="7" t="n">
        <v>43</v>
      </c>
      <c r="N2766" s="7"/>
      <c r="O2766" s="7" t="str">
        <f aca="false">A2766&amp;"|"&amp;B2766&amp;"|"&amp;C2766&amp;"|"&amp;D2766&amp;"|"&amp;E2766&amp;"|"&amp;F2766&amp;"|"&amp;G2766&amp;"|"&amp;H2766&amp;"|"&amp;I2766&amp;"|"&amp;J2766&amp;"|"&amp;K2766&amp;"|"&amp;L2766&amp;"|"&amp;M2766&amp;"|"&amp;N2766</f>
        <v>ORD11271|2025-06-11|19:49|C0205|Chaat Corner|Delhi|Street Food|3|85|50|Cash on Delivery|Delivered|43|</v>
      </c>
      <c r="P2766" s="7" t="str">
        <f aca="false">IF(COUNTIF($O$2:O2766,O2766)&gt;1,"DUP","OK")</f>
        <v>DUP</v>
      </c>
      <c r="Q2766" s="7" t="n">
        <f aca="false">COUNTBLANK(A2766:N2766)</f>
        <v>1</v>
      </c>
      <c r="R2766" s="7" t="n">
        <f aca="false">IF(A2766="",0,COUNTIFS($A$2:$A$3058,A2766,$P$2:$P$3058,"OK"))</f>
        <v>1</v>
      </c>
      <c r="S2766" s="7" t="str">
        <f aca="false">IF(OR(A2766="",P2766="DUP",R2766&lt;2),"",IF(Q2766=_xlfn.MINIFS($Q$2:$Q$3058,$A$2:$A$3058,A2766,$P$2:$P$3058,"OK"),"KEEP","DROP"))</f>
        <v/>
      </c>
      <c r="T2766" s="9" t="n">
        <f aca="false">IF(A2766="",1,0)</f>
        <v>0</v>
      </c>
      <c r="U2766" s="9" t="n">
        <f aca="false">IF(D2766="",1,0)</f>
        <v>0</v>
      </c>
      <c r="V2766" s="9" t="n">
        <f aca="false">IF(E2766="",1,0)</f>
        <v>0</v>
      </c>
      <c r="W2766" s="9" t="n">
        <f aca="false">IF(OR(H2766&lt;1,H2766&gt;10),1,0)</f>
        <v>0</v>
      </c>
      <c r="X2766" s="9" t="n">
        <f aca="false">IF(OR(I2766&lt;=0,I2766&gt;1500),1,0)</f>
        <v>0</v>
      </c>
      <c r="Y2766" s="9" t="n">
        <f aca="false">IF(J2766&gt;H2766*I2766,1,0)</f>
        <v>0</v>
      </c>
      <c r="Z2766" s="9" t="n">
        <f aca="false">IF(AND(N2766&lt;&gt;"",OR(N2766&lt;1,N2766&gt;5)),1,0)</f>
        <v>0</v>
      </c>
      <c r="AA2766" s="9" t="n">
        <f aca="false">IF(AND(M2766&lt;&gt;"",OR(M2766&lt;5,M2766&gt;180)),1,0)</f>
        <v>0</v>
      </c>
      <c r="AB2766" s="7" t="str">
        <f aca="false">IF(P2766="DUP","Exact duplicate row",IF(T2766=1,"Missing Order ID",IF(S2766="DROP","Duplicate Order ID (less complete row)",IF(U2766=1,"Missing Customer ID",IF(V2766=1,"Missing Restaurant name",IF(W2766=1,"Invalid/outlier quantity",IF(X2766=1,"Invalid/outlier unit price",IF(Y2766=1,"Discount greater than order value",""))))))))</f>
        <v>Exact duplicate row</v>
      </c>
      <c r="AC2766" s="7" t="str">
        <f aca="false">IF(AB2766="","KEEP","DROP")</f>
        <v>DROP</v>
      </c>
      <c r="AD2766" s="7" t="str">
        <f aca="false">IF(TRIM(F2766)="",IFERROR(INDEX(Map_Tables!$I$4:$I$37,MATCH(TRIM(E2766),Map_Tables!$G$4:$G$37,0)),""),IFERROR(INDEX(Map_Tables!$B$4:$B$18,MATCH(TRIM(F2766),Map_Tables!$A$4:$A$18,0)),"CHECK"))</f>
        <v>Delhi</v>
      </c>
      <c r="AE2766" s="7" t="str">
        <f aca="false">IF(TRIM(E2766)="","",IFERROR(INDEX(Map_Tables!$H$4:$H$37,MATCH(TRIM(E2766),Map_Tables!$G$4:$G$37,0)),"CHECK"))</f>
        <v>Chaat Corner</v>
      </c>
      <c r="AF2766" s="7" t="str">
        <f aca="false">IF(TRIM(K2766)="","Unknown",IFERROR(INDEX(Map_Tables!$E$4:$E$15,MATCH(TRIM(K2766),Map_Tables!$D$4:$D$15,0)),"CHECK"))</f>
        <v>Cash on Delivery</v>
      </c>
      <c r="AG2766" s="7" t="str">
        <f aca="false">IF(LEFT(LOWER(TRIM(L2766)),6)="cancel","Cancelled","Delivered")</f>
        <v>Delivered</v>
      </c>
      <c r="AH2766" s="10" t="n">
        <f aca="false">IF(ISNUMBER(SEARCH("/",B2766)),DATE(VALUE(RIGHT(B2766,4)),VALUE(MID(B2766,4,2)),VALUE(LEFT(B2766,2))),IF(MID(B2766,5,1)="-",DATE(VALUE(LEFT(B2766,4)),VALUE(MID(B2766,6,2)),VALUE(RIGHT(B2766,2))),DATE(VALUE(RIGHT(B2766,4)),MATCH(MID(B2766,4,3),{"Jan","Feb","Mar","Apr","May","Jun","Jul","Aug","Sep","Oct","Nov","Dec"},0),VALUE(LEFT(B2766,2)))))</f>
        <v>45819</v>
      </c>
    </row>
    <row r="2767" customFormat="false" ht="15" hidden="false" customHeight="false" outlineLevel="0" collapsed="false">
      <c r="A2767" s="7" t="s">
        <v>5811</v>
      </c>
      <c r="B2767" s="7" t="s">
        <v>960</v>
      </c>
      <c r="C2767" s="7" t="s">
        <v>585</v>
      </c>
      <c r="D2767" s="7" t="s">
        <v>3502</v>
      </c>
      <c r="E2767" s="7" t="s">
        <v>113</v>
      </c>
      <c r="F2767" s="7" t="s">
        <v>101</v>
      </c>
      <c r="G2767" s="7" t="s">
        <v>90</v>
      </c>
      <c r="H2767" s="7" t="n">
        <v>2</v>
      </c>
      <c r="I2767" s="7" t="n">
        <v>185</v>
      </c>
      <c r="J2767" s="7" t="n">
        <v>125</v>
      </c>
      <c r="K2767" s="7" t="s">
        <v>112</v>
      </c>
      <c r="L2767" s="7" t="s">
        <v>238</v>
      </c>
      <c r="M2767" s="7"/>
      <c r="N2767" s="7"/>
      <c r="O2767" s="7" t="str">
        <f aca="false">A2767&amp;"|"&amp;B2767&amp;"|"&amp;C2767&amp;"|"&amp;D2767&amp;"|"&amp;E2767&amp;"|"&amp;F2767&amp;"|"&amp;G2767&amp;"|"&amp;H2767&amp;"|"&amp;I2767&amp;"|"&amp;J2767&amp;"|"&amp;K2767&amp;"|"&amp;L2767&amp;"|"&amp;M2767&amp;"|"&amp;N2767</f>
        <v>ORD10939|2025-04-28|21:34|C0888|Curry Leaf Kitchen|Mumbai|North Indian|2|185|125|Cash on Delivery|Cancelled||</v>
      </c>
      <c r="P2767" s="7" t="str">
        <f aca="false">IF(COUNTIF($O$2:O2767,O2767)&gt;1,"DUP","OK")</f>
        <v>OK</v>
      </c>
      <c r="Q2767" s="7" t="n">
        <f aca="false">COUNTBLANK(A2767:N2767)</f>
        <v>2</v>
      </c>
      <c r="R2767" s="7" t="n">
        <f aca="false">IF(A2767="",0,COUNTIFS($A$2:$A$3058,A2767,$P$2:$P$3058,"OK"))</f>
        <v>1</v>
      </c>
      <c r="S2767" s="7" t="str">
        <f aca="false">IF(OR(A2767="",P2767="DUP",R2767&lt;2),"",IF(Q2767=_xlfn.MINIFS($Q$2:$Q$3058,$A$2:$A$3058,A2767,$P$2:$P$3058,"OK"),"KEEP","DROP"))</f>
        <v/>
      </c>
      <c r="T2767" s="9" t="n">
        <f aca="false">IF(A2767="",1,0)</f>
        <v>0</v>
      </c>
      <c r="U2767" s="9" t="n">
        <f aca="false">IF(D2767="",1,0)</f>
        <v>0</v>
      </c>
      <c r="V2767" s="9" t="n">
        <f aca="false">IF(E2767="",1,0)</f>
        <v>0</v>
      </c>
      <c r="W2767" s="9" t="n">
        <f aca="false">IF(OR(H2767&lt;1,H2767&gt;10),1,0)</f>
        <v>0</v>
      </c>
      <c r="X2767" s="9" t="n">
        <f aca="false">IF(OR(I2767&lt;=0,I2767&gt;1500),1,0)</f>
        <v>0</v>
      </c>
      <c r="Y2767" s="9" t="n">
        <f aca="false">IF(J2767&gt;H2767*I2767,1,0)</f>
        <v>0</v>
      </c>
      <c r="Z2767" s="9" t="n">
        <f aca="false">IF(AND(N2767&lt;&gt;"",OR(N2767&lt;1,N2767&gt;5)),1,0)</f>
        <v>0</v>
      </c>
      <c r="AA2767" s="9" t="n">
        <f aca="false">IF(AND(M2767&lt;&gt;"",OR(M2767&lt;5,M2767&gt;180)),1,0)</f>
        <v>0</v>
      </c>
      <c r="AB2767" s="7" t="str">
        <f aca="false">IF(P2767="DUP","Exact duplicate row",IF(T2767=1,"Missing Order ID",IF(S2767="DROP","Duplicate Order ID (less complete row)",IF(U2767=1,"Missing Customer ID",IF(V2767=1,"Missing Restaurant name",IF(W2767=1,"Invalid/outlier quantity",IF(X2767=1,"Invalid/outlier unit price",IF(Y2767=1,"Discount greater than order value",""))))))))</f>
        <v/>
      </c>
      <c r="AC2767" s="7" t="str">
        <f aca="false">IF(AB2767="","KEEP","DROP")</f>
        <v>KEEP</v>
      </c>
      <c r="AD2767" s="7" t="str">
        <f aca="false">IF(TRIM(F2767)="",IFERROR(INDEX(Map_Tables!$I$4:$I$37,MATCH(TRIM(E2767),Map_Tables!$G$4:$G$37,0)),""),IFERROR(INDEX(Map_Tables!$B$4:$B$18,MATCH(TRIM(F2767),Map_Tables!$A$4:$A$18,0)),"CHECK"))</f>
        <v>Mumbai</v>
      </c>
      <c r="AE2767" s="7" t="str">
        <f aca="false">IF(TRIM(E2767)="","",IFERROR(INDEX(Map_Tables!$H$4:$H$37,MATCH(TRIM(E2767),Map_Tables!$G$4:$G$37,0)),"CHECK"))</f>
        <v>Curry Leaf Kitchen</v>
      </c>
      <c r="AF2767" s="7" t="str">
        <f aca="false">IF(TRIM(K2767)="","Unknown",IFERROR(INDEX(Map_Tables!$E$4:$E$15,MATCH(TRIM(K2767),Map_Tables!$D$4:$D$15,0)),"CHECK"))</f>
        <v>Cash on Delivery</v>
      </c>
      <c r="AG2767" s="7" t="str">
        <f aca="false">IF(LEFT(LOWER(TRIM(L2767)),6)="cancel","Cancelled","Delivered")</f>
        <v>Cancelled</v>
      </c>
      <c r="AH2767" s="10" t="n">
        <f aca="false">IF(ISNUMBER(SEARCH("/",B2767)),DATE(VALUE(RIGHT(B2767,4)),VALUE(MID(B2767,4,2)),VALUE(LEFT(B2767,2))),IF(MID(B2767,5,1)="-",DATE(VALUE(LEFT(B2767,4)),VALUE(MID(B2767,6,2)),VALUE(RIGHT(B2767,2))),DATE(VALUE(RIGHT(B2767,4)),MATCH(MID(B2767,4,3),{"Jan","Feb","Mar","Apr","May","Jun","Jul","Aug","Sep","Oct","Nov","Dec"},0),VALUE(LEFT(B2767,2)))))</f>
        <v>45775</v>
      </c>
    </row>
    <row r="2768" customFormat="false" ht="15" hidden="false" customHeight="false" outlineLevel="0" collapsed="false">
      <c r="A2768" s="7" t="s">
        <v>5812</v>
      </c>
      <c r="B2768" s="7" t="s">
        <v>1351</v>
      </c>
      <c r="C2768" s="7" t="s">
        <v>2292</v>
      </c>
      <c r="D2768" s="7" t="s">
        <v>4223</v>
      </c>
      <c r="E2768" s="7" t="s">
        <v>148</v>
      </c>
      <c r="F2768" s="7" t="s">
        <v>119</v>
      </c>
      <c r="G2768" s="7" t="s">
        <v>123</v>
      </c>
      <c r="H2768" s="7" t="n">
        <v>1</v>
      </c>
      <c r="I2768" s="7" t="n">
        <v>300</v>
      </c>
      <c r="J2768" s="7" t="n">
        <v>30</v>
      </c>
      <c r="K2768" s="7" t="s">
        <v>88</v>
      </c>
      <c r="L2768" s="7" t="s">
        <v>194</v>
      </c>
      <c r="M2768" s="7" t="n">
        <v>40</v>
      </c>
      <c r="N2768" s="7" t="n">
        <v>4</v>
      </c>
      <c r="O2768" s="7" t="str">
        <f aca="false">A2768&amp;"|"&amp;B2768&amp;"|"&amp;C2768&amp;"|"&amp;D2768&amp;"|"&amp;E2768&amp;"|"&amp;F2768&amp;"|"&amp;G2768&amp;"|"&amp;H2768&amp;"|"&amp;I2768&amp;"|"&amp;J2768&amp;"|"&amp;K2768&amp;"|"&amp;L2768&amp;"|"&amp;M2768&amp;"|"&amp;N2768</f>
        <v>ORD11425|2025-07-04|20:11|C1182|Pizza Palace|Hyderabad|Pizza|1|300|30|UPI|Delivered|40|4</v>
      </c>
      <c r="P2768" s="7" t="str">
        <f aca="false">IF(COUNTIF($O$2:O2768,O2768)&gt;1,"DUP","OK")</f>
        <v>OK</v>
      </c>
      <c r="Q2768" s="7" t="n">
        <f aca="false">COUNTBLANK(A2768:N2768)</f>
        <v>0</v>
      </c>
      <c r="R2768" s="7" t="n">
        <f aca="false">IF(A2768="",0,COUNTIFS($A$2:$A$3058,A2768,$P$2:$P$3058,"OK"))</f>
        <v>1</v>
      </c>
      <c r="S2768" s="7" t="str">
        <f aca="false">IF(OR(A2768="",P2768="DUP",R2768&lt;2),"",IF(Q2768=_xlfn.MINIFS($Q$2:$Q$3058,$A$2:$A$3058,A2768,$P$2:$P$3058,"OK"),"KEEP","DROP"))</f>
        <v/>
      </c>
      <c r="T2768" s="9" t="n">
        <f aca="false">IF(A2768="",1,0)</f>
        <v>0</v>
      </c>
      <c r="U2768" s="9" t="n">
        <f aca="false">IF(D2768="",1,0)</f>
        <v>0</v>
      </c>
      <c r="V2768" s="9" t="n">
        <f aca="false">IF(E2768="",1,0)</f>
        <v>0</v>
      </c>
      <c r="W2768" s="9" t="n">
        <f aca="false">IF(OR(H2768&lt;1,H2768&gt;10),1,0)</f>
        <v>0</v>
      </c>
      <c r="X2768" s="9" t="n">
        <f aca="false">IF(OR(I2768&lt;=0,I2768&gt;1500),1,0)</f>
        <v>0</v>
      </c>
      <c r="Y2768" s="9" t="n">
        <f aca="false">IF(J2768&gt;H2768*I2768,1,0)</f>
        <v>0</v>
      </c>
      <c r="Z2768" s="9" t="n">
        <f aca="false">IF(AND(N2768&lt;&gt;"",OR(N2768&lt;1,N2768&gt;5)),1,0)</f>
        <v>0</v>
      </c>
      <c r="AA2768" s="9" t="n">
        <f aca="false">IF(AND(M2768&lt;&gt;"",OR(M2768&lt;5,M2768&gt;180)),1,0)</f>
        <v>0</v>
      </c>
      <c r="AB2768" s="7" t="str">
        <f aca="false">IF(P2768="DUP","Exact duplicate row",IF(T2768=1,"Missing Order ID",IF(S2768="DROP","Duplicate Order ID (less complete row)",IF(U2768=1,"Missing Customer ID",IF(V2768=1,"Missing Restaurant name",IF(W2768=1,"Invalid/outlier quantity",IF(X2768=1,"Invalid/outlier unit price",IF(Y2768=1,"Discount greater than order value",""))))))))</f>
        <v/>
      </c>
      <c r="AC2768" s="7" t="str">
        <f aca="false">IF(AB2768="","KEEP","DROP")</f>
        <v>KEEP</v>
      </c>
      <c r="AD2768" s="7" t="str">
        <f aca="false">IF(TRIM(F2768)="",IFERROR(INDEX(Map_Tables!$I$4:$I$37,MATCH(TRIM(E2768),Map_Tables!$G$4:$G$37,0)),""),IFERROR(INDEX(Map_Tables!$B$4:$B$18,MATCH(TRIM(F2768),Map_Tables!$A$4:$A$18,0)),"CHECK"))</f>
        <v>Hyderabad</v>
      </c>
      <c r="AE2768" s="7" t="str">
        <f aca="false">IF(TRIM(E2768)="","",IFERROR(INDEX(Map_Tables!$H$4:$H$37,MATCH(TRIM(E2768),Map_Tables!$G$4:$G$37,0)),"CHECK"))</f>
        <v>Pizza Palace</v>
      </c>
      <c r="AF2768" s="7" t="str">
        <f aca="false">IF(TRIM(K2768)="","Unknown",IFERROR(INDEX(Map_Tables!$E$4:$E$15,MATCH(TRIM(K2768),Map_Tables!$D$4:$D$15,0)),"CHECK"))</f>
        <v>UPI</v>
      </c>
      <c r="AG2768" s="7" t="str">
        <f aca="false">IF(LEFT(LOWER(TRIM(L2768)),6)="cancel","Cancelled","Delivered")</f>
        <v>Delivered</v>
      </c>
      <c r="AH2768" s="10" t="n">
        <f aca="false">IF(ISNUMBER(SEARCH("/",B2768)),DATE(VALUE(RIGHT(B2768,4)),VALUE(MID(B2768,4,2)),VALUE(LEFT(B2768,2))),IF(MID(B2768,5,1)="-",DATE(VALUE(LEFT(B2768,4)),VALUE(MID(B2768,6,2)),VALUE(RIGHT(B2768,2))),DATE(VALUE(RIGHT(B2768,4)),MATCH(MID(B2768,4,3),{"Jan","Feb","Mar","Apr","May","Jun","Jul","Aug","Sep","Oct","Nov","Dec"},0),VALUE(LEFT(B2768,2)))))</f>
        <v>45842</v>
      </c>
    </row>
    <row r="2769" customFormat="false" ht="15" hidden="false" customHeight="false" outlineLevel="0" collapsed="false">
      <c r="A2769" s="7" t="s">
        <v>5813</v>
      </c>
      <c r="B2769" s="7" t="s">
        <v>5814</v>
      </c>
      <c r="C2769" s="7" t="s">
        <v>3163</v>
      </c>
      <c r="D2769" s="7" t="s">
        <v>3148</v>
      </c>
      <c r="E2769" s="7" t="s">
        <v>126</v>
      </c>
      <c r="F2769" s="7" t="s">
        <v>101</v>
      </c>
      <c r="G2769" s="7" t="s">
        <v>105</v>
      </c>
      <c r="H2769" s="7" t="n">
        <v>2</v>
      </c>
      <c r="I2769" s="7" t="n">
        <v>235</v>
      </c>
      <c r="J2769" s="7" t="n">
        <v>100</v>
      </c>
      <c r="K2769" s="7" t="s">
        <v>88</v>
      </c>
      <c r="L2769" s="7" t="s">
        <v>194</v>
      </c>
      <c r="M2769" s="7" t="n">
        <v>47</v>
      </c>
      <c r="N2769" s="7" t="n">
        <v>5</v>
      </c>
      <c r="O2769" s="7" t="str">
        <f aca="false">A2769&amp;"|"&amp;B2769&amp;"|"&amp;C2769&amp;"|"&amp;D2769&amp;"|"&amp;E2769&amp;"|"&amp;F2769&amp;"|"&amp;G2769&amp;"|"&amp;H2769&amp;"|"&amp;I2769&amp;"|"&amp;J2769&amp;"|"&amp;K2769&amp;"|"&amp;L2769&amp;"|"&amp;M2769&amp;"|"&amp;N2769</f>
        <v>ORD11863|31/08/2025|19:28|C0310|Dragon Express|Mumbai|Chinese|2|235|100|UPI|Delivered|47|5</v>
      </c>
      <c r="P2769" s="7" t="str">
        <f aca="false">IF(COUNTIF($O$2:O2769,O2769)&gt;1,"DUP","OK")</f>
        <v>OK</v>
      </c>
      <c r="Q2769" s="7" t="n">
        <f aca="false">COUNTBLANK(A2769:N2769)</f>
        <v>0</v>
      </c>
      <c r="R2769" s="7" t="n">
        <f aca="false">IF(A2769="",0,COUNTIFS($A$2:$A$3058,A2769,$P$2:$P$3058,"OK"))</f>
        <v>1</v>
      </c>
      <c r="S2769" s="7" t="str">
        <f aca="false">IF(OR(A2769="",P2769="DUP",R2769&lt;2),"",IF(Q2769=_xlfn.MINIFS($Q$2:$Q$3058,$A$2:$A$3058,A2769,$P$2:$P$3058,"OK"),"KEEP","DROP"))</f>
        <v/>
      </c>
      <c r="T2769" s="9" t="n">
        <f aca="false">IF(A2769="",1,0)</f>
        <v>0</v>
      </c>
      <c r="U2769" s="9" t="n">
        <f aca="false">IF(D2769="",1,0)</f>
        <v>0</v>
      </c>
      <c r="V2769" s="9" t="n">
        <f aca="false">IF(E2769="",1,0)</f>
        <v>0</v>
      </c>
      <c r="W2769" s="9" t="n">
        <f aca="false">IF(OR(H2769&lt;1,H2769&gt;10),1,0)</f>
        <v>0</v>
      </c>
      <c r="X2769" s="9" t="n">
        <f aca="false">IF(OR(I2769&lt;=0,I2769&gt;1500),1,0)</f>
        <v>0</v>
      </c>
      <c r="Y2769" s="9" t="n">
        <f aca="false">IF(J2769&gt;H2769*I2769,1,0)</f>
        <v>0</v>
      </c>
      <c r="Z2769" s="9" t="n">
        <f aca="false">IF(AND(N2769&lt;&gt;"",OR(N2769&lt;1,N2769&gt;5)),1,0)</f>
        <v>0</v>
      </c>
      <c r="AA2769" s="9" t="n">
        <f aca="false">IF(AND(M2769&lt;&gt;"",OR(M2769&lt;5,M2769&gt;180)),1,0)</f>
        <v>0</v>
      </c>
      <c r="AB2769" s="7" t="str">
        <f aca="false">IF(P2769="DUP","Exact duplicate row",IF(T2769=1,"Missing Order ID",IF(S2769="DROP","Duplicate Order ID (less complete row)",IF(U2769=1,"Missing Customer ID",IF(V2769=1,"Missing Restaurant name",IF(W2769=1,"Invalid/outlier quantity",IF(X2769=1,"Invalid/outlier unit price",IF(Y2769=1,"Discount greater than order value",""))))))))</f>
        <v/>
      </c>
      <c r="AC2769" s="7" t="str">
        <f aca="false">IF(AB2769="","KEEP","DROP")</f>
        <v>KEEP</v>
      </c>
      <c r="AD2769" s="7" t="str">
        <f aca="false">IF(TRIM(F2769)="",IFERROR(INDEX(Map_Tables!$I$4:$I$37,MATCH(TRIM(E2769),Map_Tables!$G$4:$G$37,0)),""),IFERROR(INDEX(Map_Tables!$B$4:$B$18,MATCH(TRIM(F2769),Map_Tables!$A$4:$A$18,0)),"CHECK"))</f>
        <v>Mumbai</v>
      </c>
      <c r="AE2769" s="7" t="str">
        <f aca="false">IF(TRIM(E2769)="","",IFERROR(INDEX(Map_Tables!$H$4:$H$37,MATCH(TRIM(E2769),Map_Tables!$G$4:$G$37,0)),"CHECK"))</f>
        <v>Dragon Express</v>
      </c>
      <c r="AF2769" s="7" t="str">
        <f aca="false">IF(TRIM(K2769)="","Unknown",IFERROR(INDEX(Map_Tables!$E$4:$E$15,MATCH(TRIM(K2769),Map_Tables!$D$4:$D$15,0)),"CHECK"))</f>
        <v>UPI</v>
      </c>
      <c r="AG2769" s="7" t="str">
        <f aca="false">IF(LEFT(LOWER(TRIM(L2769)),6)="cancel","Cancelled","Delivered")</f>
        <v>Delivered</v>
      </c>
      <c r="AH2769" s="10" t="n">
        <f aca="false">IF(ISNUMBER(SEARCH("/",B2769)),DATE(VALUE(RIGHT(B2769,4)),VALUE(MID(B2769,4,2)),VALUE(LEFT(B2769,2))),IF(MID(B2769,5,1)="-",DATE(VALUE(LEFT(B2769,4)),VALUE(MID(B2769,6,2)),VALUE(RIGHT(B2769,2))),DATE(VALUE(RIGHT(B2769,4)),MATCH(MID(B2769,4,3),{"Jan","Feb","Mar","Apr","May","Jun","Jul","Aug","Sep","Oct","Nov","Dec"},0),VALUE(LEFT(B2769,2)))))</f>
        <v>45900</v>
      </c>
    </row>
    <row r="2770" customFormat="false" ht="15" hidden="false" customHeight="false" outlineLevel="0" collapsed="false">
      <c r="A2770" s="7" t="s">
        <v>5815</v>
      </c>
      <c r="B2770" s="7" t="s">
        <v>3504</v>
      </c>
      <c r="C2770" s="7" t="s">
        <v>2398</v>
      </c>
      <c r="D2770" s="7" t="s">
        <v>4248</v>
      </c>
      <c r="E2770" s="7" t="s">
        <v>149</v>
      </c>
      <c r="F2770" s="7" t="s">
        <v>119</v>
      </c>
      <c r="G2770" s="7" t="s">
        <v>3105</v>
      </c>
      <c r="H2770" s="7" t="n">
        <v>1</v>
      </c>
      <c r="I2770" s="7" t="n">
        <v>170</v>
      </c>
      <c r="J2770" s="7" t="n">
        <v>0</v>
      </c>
      <c r="K2770" s="7" t="s">
        <v>88</v>
      </c>
      <c r="L2770" s="7" t="s">
        <v>194</v>
      </c>
      <c r="M2770" s="7" t="n">
        <v>34</v>
      </c>
      <c r="N2770" s="7" t="n">
        <v>4</v>
      </c>
      <c r="O2770" s="7" t="str">
        <f aca="false">A2770&amp;"|"&amp;B2770&amp;"|"&amp;C2770&amp;"|"&amp;D2770&amp;"|"&amp;E2770&amp;"|"&amp;F2770&amp;"|"&amp;G2770&amp;"|"&amp;H2770&amp;"|"&amp;I2770&amp;"|"&amp;J2770&amp;"|"&amp;K2770&amp;"|"&amp;L2770&amp;"|"&amp;M2770&amp;"|"&amp;N2770</f>
        <v>ORD11670|2025-08-06|12:14|C0861|Sweet Tooth Studio|Hyderabad|desserts|1|170|0|UPI|Delivered|34|4</v>
      </c>
      <c r="P2770" s="7" t="str">
        <f aca="false">IF(COUNTIF($O$2:O2770,O2770)&gt;1,"DUP","OK")</f>
        <v>OK</v>
      </c>
      <c r="Q2770" s="7" t="n">
        <f aca="false">COUNTBLANK(A2770:N2770)</f>
        <v>0</v>
      </c>
      <c r="R2770" s="7" t="n">
        <f aca="false">IF(A2770="",0,COUNTIFS($A$2:$A$3058,A2770,$P$2:$P$3058,"OK"))</f>
        <v>1</v>
      </c>
      <c r="S2770" s="7" t="str">
        <f aca="false">IF(OR(A2770="",P2770="DUP",R2770&lt;2),"",IF(Q2770=_xlfn.MINIFS($Q$2:$Q$3058,$A$2:$A$3058,A2770,$P$2:$P$3058,"OK"),"KEEP","DROP"))</f>
        <v/>
      </c>
      <c r="T2770" s="9" t="n">
        <f aca="false">IF(A2770="",1,0)</f>
        <v>0</v>
      </c>
      <c r="U2770" s="9" t="n">
        <f aca="false">IF(D2770="",1,0)</f>
        <v>0</v>
      </c>
      <c r="V2770" s="9" t="n">
        <f aca="false">IF(E2770="",1,0)</f>
        <v>0</v>
      </c>
      <c r="W2770" s="9" t="n">
        <f aca="false">IF(OR(H2770&lt;1,H2770&gt;10),1,0)</f>
        <v>0</v>
      </c>
      <c r="X2770" s="9" t="n">
        <f aca="false">IF(OR(I2770&lt;=0,I2770&gt;1500),1,0)</f>
        <v>0</v>
      </c>
      <c r="Y2770" s="9" t="n">
        <f aca="false">IF(J2770&gt;H2770*I2770,1,0)</f>
        <v>0</v>
      </c>
      <c r="Z2770" s="9" t="n">
        <f aca="false">IF(AND(N2770&lt;&gt;"",OR(N2770&lt;1,N2770&gt;5)),1,0)</f>
        <v>0</v>
      </c>
      <c r="AA2770" s="9" t="n">
        <f aca="false">IF(AND(M2770&lt;&gt;"",OR(M2770&lt;5,M2770&gt;180)),1,0)</f>
        <v>0</v>
      </c>
      <c r="AB2770" s="7" t="str">
        <f aca="false">IF(P2770="DUP","Exact duplicate row",IF(T2770=1,"Missing Order ID",IF(S2770="DROP","Duplicate Order ID (less complete row)",IF(U2770=1,"Missing Customer ID",IF(V2770=1,"Missing Restaurant name",IF(W2770=1,"Invalid/outlier quantity",IF(X2770=1,"Invalid/outlier unit price",IF(Y2770=1,"Discount greater than order value",""))))))))</f>
        <v/>
      </c>
      <c r="AC2770" s="7" t="str">
        <f aca="false">IF(AB2770="","KEEP","DROP")</f>
        <v>KEEP</v>
      </c>
      <c r="AD2770" s="7" t="str">
        <f aca="false">IF(TRIM(F2770)="",IFERROR(INDEX(Map_Tables!$I$4:$I$37,MATCH(TRIM(E2770),Map_Tables!$G$4:$G$37,0)),""),IFERROR(INDEX(Map_Tables!$B$4:$B$18,MATCH(TRIM(F2770),Map_Tables!$A$4:$A$18,0)),"CHECK"))</f>
        <v>Hyderabad</v>
      </c>
      <c r="AE2770" s="7" t="str">
        <f aca="false">IF(TRIM(E2770)="","",IFERROR(INDEX(Map_Tables!$H$4:$H$37,MATCH(TRIM(E2770),Map_Tables!$G$4:$G$37,0)),"CHECK"))</f>
        <v>Sweet Tooth Studio</v>
      </c>
      <c r="AF2770" s="7" t="str">
        <f aca="false">IF(TRIM(K2770)="","Unknown",IFERROR(INDEX(Map_Tables!$E$4:$E$15,MATCH(TRIM(K2770),Map_Tables!$D$4:$D$15,0)),"CHECK"))</f>
        <v>UPI</v>
      </c>
      <c r="AG2770" s="7" t="str">
        <f aca="false">IF(LEFT(LOWER(TRIM(L2770)),6)="cancel","Cancelled","Delivered")</f>
        <v>Delivered</v>
      </c>
      <c r="AH2770" s="10" t="n">
        <f aca="false">IF(ISNUMBER(SEARCH("/",B2770)),DATE(VALUE(RIGHT(B2770,4)),VALUE(MID(B2770,4,2)),VALUE(LEFT(B2770,2))),IF(MID(B2770,5,1)="-",DATE(VALUE(LEFT(B2770,4)),VALUE(MID(B2770,6,2)),VALUE(RIGHT(B2770,2))),DATE(VALUE(RIGHT(B2770,4)),MATCH(MID(B2770,4,3),{"Jan","Feb","Mar","Apr","May","Jun","Jul","Aug","Sep","Oct","Nov","Dec"},0),VALUE(LEFT(B2770,2)))))</f>
        <v>45875</v>
      </c>
    </row>
    <row r="2771" customFormat="false" ht="15" hidden="false" customHeight="false" outlineLevel="0" collapsed="false">
      <c r="A2771" s="7" t="s">
        <v>5816</v>
      </c>
      <c r="B2771" s="7" t="s">
        <v>1218</v>
      </c>
      <c r="C2771" s="7" t="s">
        <v>1788</v>
      </c>
      <c r="D2771" s="7" t="s">
        <v>2111</v>
      </c>
      <c r="E2771" s="7" t="s">
        <v>4708</v>
      </c>
      <c r="F2771" s="7" t="s">
        <v>101</v>
      </c>
      <c r="G2771" s="7" t="s">
        <v>90</v>
      </c>
      <c r="H2771" s="7" t="n">
        <v>3</v>
      </c>
      <c r="I2771" s="7" t="n">
        <v>300</v>
      </c>
      <c r="J2771" s="7" t="n">
        <v>0</v>
      </c>
      <c r="K2771" s="7" t="s">
        <v>93</v>
      </c>
      <c r="L2771" s="7" t="s">
        <v>194</v>
      </c>
      <c r="M2771" s="7" t="n">
        <v>42</v>
      </c>
      <c r="N2771" s="7" t="n">
        <v>5</v>
      </c>
      <c r="O2771" s="7" t="str">
        <f aca="false">A2771&amp;"|"&amp;B2771&amp;"|"&amp;C2771&amp;"|"&amp;D2771&amp;"|"&amp;E2771&amp;"|"&amp;F2771&amp;"|"&amp;G2771&amp;"|"&amp;H2771&amp;"|"&amp;I2771&amp;"|"&amp;J2771&amp;"|"&amp;K2771&amp;"|"&amp;L2771&amp;"|"&amp;M2771&amp;"|"&amp;N2771</f>
        <v>ORD10006|2025-01-01|20:33|C0080| Curry Leaf Kitchen|Mumbai|North Indian|3|300|0|Credit Card|Delivered|42|5</v>
      </c>
      <c r="P2771" s="7" t="str">
        <f aca="false">IF(COUNTIF($O$2:O2771,O2771)&gt;1,"DUP","OK")</f>
        <v>OK</v>
      </c>
      <c r="Q2771" s="7" t="n">
        <f aca="false">COUNTBLANK(A2771:N2771)</f>
        <v>0</v>
      </c>
      <c r="R2771" s="7" t="n">
        <f aca="false">IF(A2771="",0,COUNTIFS($A$2:$A$3058,A2771,$P$2:$P$3058,"OK"))</f>
        <v>1</v>
      </c>
      <c r="S2771" s="7" t="str">
        <f aca="false">IF(OR(A2771="",P2771="DUP",R2771&lt;2),"",IF(Q2771=_xlfn.MINIFS($Q$2:$Q$3058,$A$2:$A$3058,A2771,$P$2:$P$3058,"OK"),"KEEP","DROP"))</f>
        <v/>
      </c>
      <c r="T2771" s="9" t="n">
        <f aca="false">IF(A2771="",1,0)</f>
        <v>0</v>
      </c>
      <c r="U2771" s="9" t="n">
        <f aca="false">IF(D2771="",1,0)</f>
        <v>0</v>
      </c>
      <c r="V2771" s="9" t="n">
        <f aca="false">IF(E2771="",1,0)</f>
        <v>0</v>
      </c>
      <c r="W2771" s="9" t="n">
        <f aca="false">IF(OR(H2771&lt;1,H2771&gt;10),1,0)</f>
        <v>0</v>
      </c>
      <c r="X2771" s="9" t="n">
        <f aca="false">IF(OR(I2771&lt;=0,I2771&gt;1500),1,0)</f>
        <v>0</v>
      </c>
      <c r="Y2771" s="9" t="n">
        <f aca="false">IF(J2771&gt;H2771*I2771,1,0)</f>
        <v>0</v>
      </c>
      <c r="Z2771" s="9" t="n">
        <f aca="false">IF(AND(N2771&lt;&gt;"",OR(N2771&lt;1,N2771&gt;5)),1,0)</f>
        <v>0</v>
      </c>
      <c r="AA2771" s="9" t="n">
        <f aca="false">IF(AND(M2771&lt;&gt;"",OR(M2771&lt;5,M2771&gt;180)),1,0)</f>
        <v>0</v>
      </c>
      <c r="AB2771" s="7" t="str">
        <f aca="false">IF(P2771="DUP","Exact duplicate row",IF(T2771=1,"Missing Order ID",IF(S2771="DROP","Duplicate Order ID (less complete row)",IF(U2771=1,"Missing Customer ID",IF(V2771=1,"Missing Restaurant name",IF(W2771=1,"Invalid/outlier quantity",IF(X2771=1,"Invalid/outlier unit price",IF(Y2771=1,"Discount greater than order value",""))))))))</f>
        <v/>
      </c>
      <c r="AC2771" s="7" t="str">
        <f aca="false">IF(AB2771="","KEEP","DROP")</f>
        <v>KEEP</v>
      </c>
      <c r="AD2771" s="7" t="str">
        <f aca="false">IF(TRIM(F2771)="",IFERROR(INDEX(Map_Tables!$I$4:$I$37,MATCH(TRIM(E2771),Map_Tables!$G$4:$G$37,0)),""),IFERROR(INDEX(Map_Tables!$B$4:$B$18,MATCH(TRIM(F2771),Map_Tables!$A$4:$A$18,0)),"CHECK"))</f>
        <v>Mumbai</v>
      </c>
      <c r="AE2771" s="7" t="str">
        <f aca="false">IF(TRIM(E2771)="","",IFERROR(INDEX(Map_Tables!$H$4:$H$37,MATCH(TRIM(E2771),Map_Tables!$G$4:$G$37,0)),"CHECK"))</f>
        <v>Curry Leaf Kitchen</v>
      </c>
      <c r="AF2771" s="7" t="str">
        <f aca="false">IF(TRIM(K2771)="","Unknown",IFERROR(INDEX(Map_Tables!$E$4:$E$15,MATCH(TRIM(K2771),Map_Tables!$D$4:$D$15,0)),"CHECK"))</f>
        <v>Credit Card</v>
      </c>
      <c r="AG2771" s="7" t="str">
        <f aca="false">IF(LEFT(LOWER(TRIM(L2771)),6)="cancel","Cancelled","Delivered")</f>
        <v>Delivered</v>
      </c>
      <c r="AH2771" s="10" t="n">
        <f aca="false">IF(ISNUMBER(SEARCH("/",B2771)),DATE(VALUE(RIGHT(B2771,4)),VALUE(MID(B2771,4,2)),VALUE(LEFT(B2771,2))),IF(MID(B2771,5,1)="-",DATE(VALUE(LEFT(B2771,4)),VALUE(MID(B2771,6,2)),VALUE(RIGHT(B2771,2))),DATE(VALUE(RIGHT(B2771,4)),MATCH(MID(B2771,4,3),{"Jan","Feb","Mar","Apr","May","Jun","Jul","Aug","Sep","Oct","Nov","Dec"},0),VALUE(LEFT(B2771,2)))))</f>
        <v>45658</v>
      </c>
    </row>
    <row r="2772" customFormat="false" ht="15" hidden="false" customHeight="false" outlineLevel="0" collapsed="false">
      <c r="A2772" s="7" t="s">
        <v>5817</v>
      </c>
      <c r="B2772" s="7" t="s">
        <v>1894</v>
      </c>
      <c r="C2772" s="7" t="s">
        <v>1795</v>
      </c>
      <c r="D2772" s="7" t="s">
        <v>4154</v>
      </c>
      <c r="E2772" s="7" t="s">
        <v>122</v>
      </c>
      <c r="F2772" s="7" t="s">
        <v>101</v>
      </c>
      <c r="G2772" s="7" t="s">
        <v>123</v>
      </c>
      <c r="H2772" s="7" t="n">
        <v>1</v>
      </c>
      <c r="I2772" s="7" t="n">
        <v>390</v>
      </c>
      <c r="J2772" s="7" t="n">
        <v>20</v>
      </c>
      <c r="K2772" s="7" t="s">
        <v>133</v>
      </c>
      <c r="L2772" s="7" t="s">
        <v>194</v>
      </c>
      <c r="M2772" s="7" t="n">
        <v>41</v>
      </c>
      <c r="N2772" s="7" t="n">
        <v>4</v>
      </c>
      <c r="O2772" s="7" t="str">
        <f aca="false">A2772&amp;"|"&amp;B2772&amp;"|"&amp;C2772&amp;"|"&amp;D2772&amp;"|"&amp;E2772&amp;"|"&amp;F2772&amp;"|"&amp;G2772&amp;"|"&amp;H2772&amp;"|"&amp;I2772&amp;"|"&amp;J2772&amp;"|"&amp;K2772&amp;"|"&amp;L2772&amp;"|"&amp;M2772&amp;"|"&amp;N2772</f>
        <v>ORD10248|2025-02-02|12:33|C0063|Mumbai Pizza Co|Mumbai|Pizza|1|390|20|Net Banking|Delivered|41|4</v>
      </c>
      <c r="P2772" s="7" t="str">
        <f aca="false">IF(COUNTIF($O$2:O2772,O2772)&gt;1,"DUP","OK")</f>
        <v>OK</v>
      </c>
      <c r="Q2772" s="7" t="n">
        <f aca="false">COUNTBLANK(A2772:N2772)</f>
        <v>0</v>
      </c>
      <c r="R2772" s="7" t="n">
        <f aca="false">IF(A2772="",0,COUNTIFS($A$2:$A$3058,A2772,$P$2:$P$3058,"OK"))</f>
        <v>1</v>
      </c>
      <c r="S2772" s="7" t="str">
        <f aca="false">IF(OR(A2772="",P2772="DUP",R2772&lt;2),"",IF(Q2772=_xlfn.MINIFS($Q$2:$Q$3058,$A$2:$A$3058,A2772,$P$2:$P$3058,"OK"),"KEEP","DROP"))</f>
        <v/>
      </c>
      <c r="T2772" s="9" t="n">
        <f aca="false">IF(A2772="",1,0)</f>
        <v>0</v>
      </c>
      <c r="U2772" s="9" t="n">
        <f aca="false">IF(D2772="",1,0)</f>
        <v>0</v>
      </c>
      <c r="V2772" s="9" t="n">
        <f aca="false">IF(E2772="",1,0)</f>
        <v>0</v>
      </c>
      <c r="W2772" s="9" t="n">
        <f aca="false">IF(OR(H2772&lt;1,H2772&gt;10),1,0)</f>
        <v>0</v>
      </c>
      <c r="X2772" s="9" t="n">
        <f aca="false">IF(OR(I2772&lt;=0,I2772&gt;1500),1,0)</f>
        <v>0</v>
      </c>
      <c r="Y2772" s="9" t="n">
        <f aca="false">IF(J2772&gt;H2772*I2772,1,0)</f>
        <v>0</v>
      </c>
      <c r="Z2772" s="9" t="n">
        <f aca="false">IF(AND(N2772&lt;&gt;"",OR(N2772&lt;1,N2772&gt;5)),1,0)</f>
        <v>0</v>
      </c>
      <c r="AA2772" s="9" t="n">
        <f aca="false">IF(AND(M2772&lt;&gt;"",OR(M2772&lt;5,M2772&gt;180)),1,0)</f>
        <v>0</v>
      </c>
      <c r="AB2772" s="7" t="str">
        <f aca="false">IF(P2772="DUP","Exact duplicate row",IF(T2772=1,"Missing Order ID",IF(S2772="DROP","Duplicate Order ID (less complete row)",IF(U2772=1,"Missing Customer ID",IF(V2772=1,"Missing Restaurant name",IF(W2772=1,"Invalid/outlier quantity",IF(X2772=1,"Invalid/outlier unit price",IF(Y2772=1,"Discount greater than order value",""))))))))</f>
        <v/>
      </c>
      <c r="AC2772" s="7" t="str">
        <f aca="false">IF(AB2772="","KEEP","DROP")</f>
        <v>KEEP</v>
      </c>
      <c r="AD2772" s="7" t="str">
        <f aca="false">IF(TRIM(F2772)="",IFERROR(INDEX(Map_Tables!$I$4:$I$37,MATCH(TRIM(E2772),Map_Tables!$G$4:$G$37,0)),""),IFERROR(INDEX(Map_Tables!$B$4:$B$18,MATCH(TRIM(F2772),Map_Tables!$A$4:$A$18,0)),"CHECK"))</f>
        <v>Mumbai</v>
      </c>
      <c r="AE2772" s="7" t="str">
        <f aca="false">IF(TRIM(E2772)="","",IFERROR(INDEX(Map_Tables!$H$4:$H$37,MATCH(TRIM(E2772),Map_Tables!$G$4:$G$37,0)),"CHECK"))</f>
        <v>Mumbai Pizza Co</v>
      </c>
      <c r="AF2772" s="7" t="str">
        <f aca="false">IF(TRIM(K2772)="","Unknown",IFERROR(INDEX(Map_Tables!$E$4:$E$15,MATCH(TRIM(K2772),Map_Tables!$D$4:$D$15,0)),"CHECK"))</f>
        <v>Net Banking</v>
      </c>
      <c r="AG2772" s="7" t="str">
        <f aca="false">IF(LEFT(LOWER(TRIM(L2772)),6)="cancel","Cancelled","Delivered")</f>
        <v>Delivered</v>
      </c>
      <c r="AH2772" s="10" t="n">
        <f aca="false">IF(ISNUMBER(SEARCH("/",B2772)),DATE(VALUE(RIGHT(B2772,4)),VALUE(MID(B2772,4,2)),VALUE(LEFT(B2772,2))),IF(MID(B2772,5,1)="-",DATE(VALUE(LEFT(B2772,4)),VALUE(MID(B2772,6,2)),VALUE(RIGHT(B2772,2))),DATE(VALUE(RIGHT(B2772,4)),MATCH(MID(B2772,4,3),{"Jan","Feb","Mar","Apr","May","Jun","Jul","Aug","Sep","Oct","Nov","Dec"},0),VALUE(LEFT(B2772,2)))))</f>
        <v>45690</v>
      </c>
    </row>
    <row r="2773" customFormat="false" ht="15" hidden="false" customHeight="false" outlineLevel="0" collapsed="false">
      <c r="A2773" s="7" t="s">
        <v>5818</v>
      </c>
      <c r="B2773" s="7" t="s">
        <v>2336</v>
      </c>
      <c r="C2773" s="7" t="s">
        <v>655</v>
      </c>
      <c r="D2773" s="7" t="s">
        <v>5819</v>
      </c>
      <c r="E2773" s="7" t="s">
        <v>116</v>
      </c>
      <c r="F2773" s="7" t="s">
        <v>101</v>
      </c>
      <c r="G2773" s="7" t="s">
        <v>117</v>
      </c>
      <c r="H2773" s="7" t="n">
        <v>3</v>
      </c>
      <c r="I2773" s="7" t="n">
        <v>150</v>
      </c>
      <c r="J2773" s="7" t="n">
        <v>50</v>
      </c>
      <c r="K2773" s="7" t="s">
        <v>121</v>
      </c>
      <c r="L2773" s="7" t="s">
        <v>194</v>
      </c>
      <c r="M2773" s="7" t="n">
        <v>45</v>
      </c>
      <c r="N2773" s="7" t="n">
        <v>3</v>
      </c>
      <c r="O2773" s="7" t="str">
        <f aca="false">A2773&amp;"|"&amp;B2773&amp;"|"&amp;C2773&amp;"|"&amp;D2773&amp;"|"&amp;E2773&amp;"|"&amp;F2773&amp;"|"&amp;G2773&amp;"|"&amp;H2773&amp;"|"&amp;I2773&amp;"|"&amp;J2773&amp;"|"&amp;K2773&amp;"|"&amp;L2773&amp;"|"&amp;M2773&amp;"|"&amp;N2773</f>
        <v>ORD10019|2025-01-03|19:22|C0302|Pav Bhaji Point|Mumbai|Street Food|3|150|50|Wallet|Delivered|45|3</v>
      </c>
      <c r="P2773" s="7" t="str">
        <f aca="false">IF(COUNTIF($O$2:O2773,O2773)&gt;1,"DUP","OK")</f>
        <v>OK</v>
      </c>
      <c r="Q2773" s="7" t="n">
        <f aca="false">COUNTBLANK(A2773:N2773)</f>
        <v>0</v>
      </c>
      <c r="R2773" s="7" t="n">
        <f aca="false">IF(A2773="",0,COUNTIFS($A$2:$A$3058,A2773,$P$2:$P$3058,"OK"))</f>
        <v>1</v>
      </c>
      <c r="S2773" s="7" t="str">
        <f aca="false">IF(OR(A2773="",P2773="DUP",R2773&lt;2),"",IF(Q2773=_xlfn.MINIFS($Q$2:$Q$3058,$A$2:$A$3058,A2773,$P$2:$P$3058,"OK"),"KEEP","DROP"))</f>
        <v/>
      </c>
      <c r="T2773" s="9" t="n">
        <f aca="false">IF(A2773="",1,0)</f>
        <v>0</v>
      </c>
      <c r="U2773" s="9" t="n">
        <f aca="false">IF(D2773="",1,0)</f>
        <v>0</v>
      </c>
      <c r="V2773" s="9" t="n">
        <f aca="false">IF(E2773="",1,0)</f>
        <v>0</v>
      </c>
      <c r="W2773" s="9" t="n">
        <f aca="false">IF(OR(H2773&lt;1,H2773&gt;10),1,0)</f>
        <v>0</v>
      </c>
      <c r="X2773" s="9" t="n">
        <f aca="false">IF(OR(I2773&lt;=0,I2773&gt;1500),1,0)</f>
        <v>0</v>
      </c>
      <c r="Y2773" s="9" t="n">
        <f aca="false">IF(J2773&gt;H2773*I2773,1,0)</f>
        <v>0</v>
      </c>
      <c r="Z2773" s="9" t="n">
        <f aca="false">IF(AND(N2773&lt;&gt;"",OR(N2773&lt;1,N2773&gt;5)),1,0)</f>
        <v>0</v>
      </c>
      <c r="AA2773" s="9" t="n">
        <f aca="false">IF(AND(M2773&lt;&gt;"",OR(M2773&lt;5,M2773&gt;180)),1,0)</f>
        <v>0</v>
      </c>
      <c r="AB2773" s="7" t="str">
        <f aca="false">IF(P2773="DUP","Exact duplicate row",IF(T2773=1,"Missing Order ID",IF(S2773="DROP","Duplicate Order ID (less complete row)",IF(U2773=1,"Missing Customer ID",IF(V2773=1,"Missing Restaurant name",IF(W2773=1,"Invalid/outlier quantity",IF(X2773=1,"Invalid/outlier unit price",IF(Y2773=1,"Discount greater than order value",""))))))))</f>
        <v/>
      </c>
      <c r="AC2773" s="7" t="str">
        <f aca="false">IF(AB2773="","KEEP","DROP")</f>
        <v>KEEP</v>
      </c>
      <c r="AD2773" s="7" t="str">
        <f aca="false">IF(TRIM(F2773)="",IFERROR(INDEX(Map_Tables!$I$4:$I$37,MATCH(TRIM(E2773),Map_Tables!$G$4:$G$37,0)),""),IFERROR(INDEX(Map_Tables!$B$4:$B$18,MATCH(TRIM(F2773),Map_Tables!$A$4:$A$18,0)),"CHECK"))</f>
        <v>Mumbai</v>
      </c>
      <c r="AE2773" s="7" t="str">
        <f aca="false">IF(TRIM(E2773)="","",IFERROR(INDEX(Map_Tables!$H$4:$H$37,MATCH(TRIM(E2773),Map_Tables!$G$4:$G$37,0)),"CHECK"))</f>
        <v>Pav Bhaji Point</v>
      </c>
      <c r="AF2773" s="7" t="str">
        <f aca="false">IF(TRIM(K2773)="","Unknown",IFERROR(INDEX(Map_Tables!$E$4:$E$15,MATCH(TRIM(K2773),Map_Tables!$D$4:$D$15,0)),"CHECK"))</f>
        <v>Wallet</v>
      </c>
      <c r="AG2773" s="7" t="str">
        <f aca="false">IF(LEFT(LOWER(TRIM(L2773)),6)="cancel","Cancelled","Delivered")</f>
        <v>Delivered</v>
      </c>
      <c r="AH2773" s="10" t="n">
        <f aca="false">IF(ISNUMBER(SEARCH("/",B2773)),DATE(VALUE(RIGHT(B2773,4)),VALUE(MID(B2773,4,2)),VALUE(LEFT(B2773,2))),IF(MID(B2773,5,1)="-",DATE(VALUE(LEFT(B2773,4)),VALUE(MID(B2773,6,2)),VALUE(RIGHT(B2773,2))),DATE(VALUE(RIGHT(B2773,4)),MATCH(MID(B2773,4,3),{"Jan","Feb","Mar","Apr","May","Jun","Jul","Aug","Sep","Oct","Nov","Dec"},0),VALUE(LEFT(B2773,2)))))</f>
        <v>45660</v>
      </c>
    </row>
    <row r="2774" customFormat="false" ht="15" hidden="false" customHeight="false" outlineLevel="0" collapsed="false">
      <c r="A2774" s="7" t="s">
        <v>5820</v>
      </c>
      <c r="B2774" s="7" t="s">
        <v>1171</v>
      </c>
      <c r="C2774" s="7" t="s">
        <v>386</v>
      </c>
      <c r="D2774" s="7" t="s">
        <v>4020</v>
      </c>
      <c r="E2774" s="7" t="s">
        <v>138</v>
      </c>
      <c r="F2774" s="7" t="s">
        <v>110</v>
      </c>
      <c r="G2774" s="7" t="s">
        <v>139</v>
      </c>
      <c r="H2774" s="7" t="n">
        <v>1</v>
      </c>
      <c r="I2774" s="7" t="n">
        <v>210</v>
      </c>
      <c r="J2774" s="7" t="n">
        <v>30</v>
      </c>
      <c r="K2774" s="7" t="s">
        <v>93</v>
      </c>
      <c r="L2774" s="7" t="s">
        <v>194</v>
      </c>
      <c r="M2774" s="7" t="n">
        <v>36</v>
      </c>
      <c r="N2774" s="7" t="n">
        <v>3</v>
      </c>
      <c r="O2774" s="7" t="str">
        <f aca="false">A2774&amp;"|"&amp;B2774&amp;"|"&amp;C2774&amp;"|"&amp;D2774&amp;"|"&amp;E2774&amp;"|"&amp;F2774&amp;"|"&amp;G2774&amp;"|"&amp;H2774&amp;"|"&amp;I2774&amp;"|"&amp;J2774&amp;"|"&amp;K2774&amp;"|"&amp;L2774&amp;"|"&amp;M2774&amp;"|"&amp;N2774</f>
        <v>ORD12170|2025-10-04|11:53|C0655|Burger Barn|Delhi|Burgers|1|210|30|Credit Card|Delivered|36|3</v>
      </c>
      <c r="P2774" s="7" t="str">
        <f aca="false">IF(COUNTIF($O$2:O2774,O2774)&gt;1,"DUP","OK")</f>
        <v>OK</v>
      </c>
      <c r="Q2774" s="7" t="n">
        <f aca="false">COUNTBLANK(A2774:N2774)</f>
        <v>0</v>
      </c>
      <c r="R2774" s="7" t="n">
        <f aca="false">IF(A2774="",0,COUNTIFS($A$2:$A$3058,A2774,$P$2:$P$3058,"OK"))</f>
        <v>1</v>
      </c>
      <c r="S2774" s="7" t="str">
        <f aca="false">IF(OR(A2774="",P2774="DUP",R2774&lt;2),"",IF(Q2774=_xlfn.MINIFS($Q$2:$Q$3058,$A$2:$A$3058,A2774,$P$2:$P$3058,"OK"),"KEEP","DROP"))</f>
        <v/>
      </c>
      <c r="T2774" s="9" t="n">
        <f aca="false">IF(A2774="",1,0)</f>
        <v>0</v>
      </c>
      <c r="U2774" s="9" t="n">
        <f aca="false">IF(D2774="",1,0)</f>
        <v>0</v>
      </c>
      <c r="V2774" s="9" t="n">
        <f aca="false">IF(E2774="",1,0)</f>
        <v>0</v>
      </c>
      <c r="W2774" s="9" t="n">
        <f aca="false">IF(OR(H2774&lt;1,H2774&gt;10),1,0)</f>
        <v>0</v>
      </c>
      <c r="X2774" s="9" t="n">
        <f aca="false">IF(OR(I2774&lt;=0,I2774&gt;1500),1,0)</f>
        <v>0</v>
      </c>
      <c r="Y2774" s="9" t="n">
        <f aca="false">IF(J2774&gt;H2774*I2774,1,0)</f>
        <v>0</v>
      </c>
      <c r="Z2774" s="9" t="n">
        <f aca="false">IF(AND(N2774&lt;&gt;"",OR(N2774&lt;1,N2774&gt;5)),1,0)</f>
        <v>0</v>
      </c>
      <c r="AA2774" s="9" t="n">
        <f aca="false">IF(AND(M2774&lt;&gt;"",OR(M2774&lt;5,M2774&gt;180)),1,0)</f>
        <v>0</v>
      </c>
      <c r="AB2774" s="7" t="str">
        <f aca="false">IF(P2774="DUP","Exact duplicate row",IF(T2774=1,"Missing Order ID",IF(S2774="DROP","Duplicate Order ID (less complete row)",IF(U2774=1,"Missing Customer ID",IF(V2774=1,"Missing Restaurant name",IF(W2774=1,"Invalid/outlier quantity",IF(X2774=1,"Invalid/outlier unit price",IF(Y2774=1,"Discount greater than order value",""))))))))</f>
        <v/>
      </c>
      <c r="AC2774" s="7" t="str">
        <f aca="false">IF(AB2774="","KEEP","DROP")</f>
        <v>KEEP</v>
      </c>
      <c r="AD2774" s="7" t="str">
        <f aca="false">IF(TRIM(F2774)="",IFERROR(INDEX(Map_Tables!$I$4:$I$37,MATCH(TRIM(E2774),Map_Tables!$G$4:$G$37,0)),""),IFERROR(INDEX(Map_Tables!$B$4:$B$18,MATCH(TRIM(F2774),Map_Tables!$A$4:$A$18,0)),"CHECK"))</f>
        <v>Delhi</v>
      </c>
      <c r="AE2774" s="7" t="str">
        <f aca="false">IF(TRIM(E2774)="","",IFERROR(INDEX(Map_Tables!$H$4:$H$37,MATCH(TRIM(E2774),Map_Tables!$G$4:$G$37,0)),"CHECK"))</f>
        <v>Burger Barn</v>
      </c>
      <c r="AF2774" s="7" t="str">
        <f aca="false">IF(TRIM(K2774)="","Unknown",IFERROR(INDEX(Map_Tables!$E$4:$E$15,MATCH(TRIM(K2774),Map_Tables!$D$4:$D$15,0)),"CHECK"))</f>
        <v>Credit Card</v>
      </c>
      <c r="AG2774" s="7" t="str">
        <f aca="false">IF(LEFT(LOWER(TRIM(L2774)),6)="cancel","Cancelled","Delivered")</f>
        <v>Delivered</v>
      </c>
      <c r="AH2774" s="10" t="n">
        <f aca="false">IF(ISNUMBER(SEARCH("/",B2774)),DATE(VALUE(RIGHT(B2774,4)),VALUE(MID(B2774,4,2)),VALUE(LEFT(B2774,2))),IF(MID(B2774,5,1)="-",DATE(VALUE(LEFT(B2774,4)),VALUE(MID(B2774,6,2)),VALUE(RIGHT(B2774,2))),DATE(VALUE(RIGHT(B2774,4)),MATCH(MID(B2774,4,3),{"Jan","Feb","Mar","Apr","May","Jun","Jul","Aug","Sep","Oct","Nov","Dec"},0),VALUE(LEFT(B2774,2)))))</f>
        <v>45934</v>
      </c>
    </row>
    <row r="2775" customFormat="false" ht="15" hidden="false" customHeight="false" outlineLevel="0" collapsed="false">
      <c r="A2775" s="7" t="s">
        <v>5821</v>
      </c>
      <c r="B2775" s="7" t="s">
        <v>803</v>
      </c>
      <c r="C2775" s="7" t="s">
        <v>1263</v>
      </c>
      <c r="D2775" s="7" t="s">
        <v>3034</v>
      </c>
      <c r="E2775" s="7" t="s">
        <v>161</v>
      </c>
      <c r="F2775" s="7" t="s">
        <v>141</v>
      </c>
      <c r="G2775" s="7" t="s">
        <v>117</v>
      </c>
      <c r="H2775" s="7" t="n">
        <v>1</v>
      </c>
      <c r="I2775" s="7" t="n">
        <v>160</v>
      </c>
      <c r="J2775" s="7" t="n">
        <v>0</v>
      </c>
      <c r="K2775" s="7" t="s">
        <v>112</v>
      </c>
      <c r="L2775" s="7" t="s">
        <v>194</v>
      </c>
      <c r="M2775" s="7" t="n">
        <v>32</v>
      </c>
      <c r="N2775" s="7" t="n">
        <v>4</v>
      </c>
      <c r="O2775" s="7" t="str">
        <f aca="false">A2775&amp;"|"&amp;B2775&amp;"|"&amp;C2775&amp;"|"&amp;D2775&amp;"|"&amp;E2775&amp;"|"&amp;F2775&amp;"|"&amp;G2775&amp;"|"&amp;H2775&amp;"|"&amp;I2775&amp;"|"&amp;J2775&amp;"|"&amp;K2775&amp;"|"&amp;L2775&amp;"|"&amp;M2775&amp;"|"&amp;N2775</f>
        <v>ORD11971|2025-09-12|19:19|C0257|Bengal Bites|Kolkata|Street Food|1|160|0|Cash on Delivery|Delivered|32|4</v>
      </c>
      <c r="P2775" s="7" t="str">
        <f aca="false">IF(COUNTIF($O$2:O2775,O2775)&gt;1,"DUP","OK")</f>
        <v>OK</v>
      </c>
      <c r="Q2775" s="7" t="n">
        <f aca="false">COUNTBLANK(A2775:N2775)</f>
        <v>0</v>
      </c>
      <c r="R2775" s="7" t="n">
        <f aca="false">IF(A2775="",0,COUNTIFS($A$2:$A$3058,A2775,$P$2:$P$3058,"OK"))</f>
        <v>1</v>
      </c>
      <c r="S2775" s="7" t="str">
        <f aca="false">IF(OR(A2775="",P2775="DUP",R2775&lt;2),"",IF(Q2775=_xlfn.MINIFS($Q$2:$Q$3058,$A$2:$A$3058,A2775,$P$2:$P$3058,"OK"),"KEEP","DROP"))</f>
        <v/>
      </c>
      <c r="T2775" s="9" t="n">
        <f aca="false">IF(A2775="",1,0)</f>
        <v>0</v>
      </c>
      <c r="U2775" s="9" t="n">
        <f aca="false">IF(D2775="",1,0)</f>
        <v>0</v>
      </c>
      <c r="V2775" s="9" t="n">
        <f aca="false">IF(E2775="",1,0)</f>
        <v>0</v>
      </c>
      <c r="W2775" s="9" t="n">
        <f aca="false">IF(OR(H2775&lt;1,H2775&gt;10),1,0)</f>
        <v>0</v>
      </c>
      <c r="X2775" s="9" t="n">
        <f aca="false">IF(OR(I2775&lt;=0,I2775&gt;1500),1,0)</f>
        <v>0</v>
      </c>
      <c r="Y2775" s="9" t="n">
        <f aca="false">IF(J2775&gt;H2775*I2775,1,0)</f>
        <v>0</v>
      </c>
      <c r="Z2775" s="9" t="n">
        <f aca="false">IF(AND(N2775&lt;&gt;"",OR(N2775&lt;1,N2775&gt;5)),1,0)</f>
        <v>0</v>
      </c>
      <c r="AA2775" s="9" t="n">
        <f aca="false">IF(AND(M2775&lt;&gt;"",OR(M2775&lt;5,M2775&gt;180)),1,0)</f>
        <v>0</v>
      </c>
      <c r="AB2775" s="7" t="str">
        <f aca="false">IF(P2775="DUP","Exact duplicate row",IF(T2775=1,"Missing Order ID",IF(S2775="DROP","Duplicate Order ID (less complete row)",IF(U2775=1,"Missing Customer ID",IF(V2775=1,"Missing Restaurant name",IF(W2775=1,"Invalid/outlier quantity",IF(X2775=1,"Invalid/outlier unit price",IF(Y2775=1,"Discount greater than order value",""))))))))</f>
        <v/>
      </c>
      <c r="AC2775" s="7" t="str">
        <f aca="false">IF(AB2775="","KEEP","DROP")</f>
        <v>KEEP</v>
      </c>
      <c r="AD2775" s="7" t="str">
        <f aca="false">IF(TRIM(F2775)="",IFERROR(INDEX(Map_Tables!$I$4:$I$37,MATCH(TRIM(E2775),Map_Tables!$G$4:$G$37,0)),""),IFERROR(INDEX(Map_Tables!$B$4:$B$18,MATCH(TRIM(F2775),Map_Tables!$A$4:$A$18,0)),"CHECK"))</f>
        <v>Kolkata</v>
      </c>
      <c r="AE2775" s="7" t="str">
        <f aca="false">IF(TRIM(E2775)="","",IFERROR(INDEX(Map_Tables!$H$4:$H$37,MATCH(TRIM(E2775),Map_Tables!$G$4:$G$37,0)),"CHECK"))</f>
        <v>Bengal Bites</v>
      </c>
      <c r="AF2775" s="7" t="str">
        <f aca="false">IF(TRIM(K2775)="","Unknown",IFERROR(INDEX(Map_Tables!$E$4:$E$15,MATCH(TRIM(K2775),Map_Tables!$D$4:$D$15,0)),"CHECK"))</f>
        <v>Cash on Delivery</v>
      </c>
      <c r="AG2775" s="7" t="str">
        <f aca="false">IF(LEFT(LOWER(TRIM(L2775)),6)="cancel","Cancelled","Delivered")</f>
        <v>Delivered</v>
      </c>
      <c r="AH2775" s="10" t="n">
        <f aca="false">IF(ISNUMBER(SEARCH("/",B2775)),DATE(VALUE(RIGHT(B2775,4)),VALUE(MID(B2775,4,2)),VALUE(LEFT(B2775,2))),IF(MID(B2775,5,1)="-",DATE(VALUE(LEFT(B2775,4)),VALUE(MID(B2775,6,2)),VALUE(RIGHT(B2775,2))),DATE(VALUE(RIGHT(B2775,4)),MATCH(MID(B2775,4,3),{"Jan","Feb","Mar","Apr","May","Jun","Jul","Aug","Sep","Oct","Nov","Dec"},0),VALUE(LEFT(B2775,2)))))</f>
        <v>45912</v>
      </c>
    </row>
    <row r="2776" customFormat="false" ht="15" hidden="false" customHeight="false" outlineLevel="0" collapsed="false">
      <c r="A2776" s="7" t="s">
        <v>5822</v>
      </c>
      <c r="B2776" s="7" t="s">
        <v>2798</v>
      </c>
      <c r="C2776" s="7" t="s">
        <v>1880</v>
      </c>
      <c r="D2776" s="7" t="s">
        <v>2306</v>
      </c>
      <c r="E2776" s="7" t="s">
        <v>1142</v>
      </c>
      <c r="F2776" s="7" t="s">
        <v>101</v>
      </c>
      <c r="G2776" s="7" t="s">
        <v>105</v>
      </c>
      <c r="H2776" s="7" t="n">
        <v>3</v>
      </c>
      <c r="I2776" s="7" t="n">
        <v>165</v>
      </c>
      <c r="J2776" s="7" t="n">
        <v>20</v>
      </c>
      <c r="K2776" s="7" t="s">
        <v>103</v>
      </c>
      <c r="L2776" s="7" t="s">
        <v>194</v>
      </c>
      <c r="M2776" s="7" t="n">
        <v>54</v>
      </c>
      <c r="N2776" s="7" t="n">
        <v>5</v>
      </c>
      <c r="O2776" s="7" t="str">
        <f aca="false">A2776&amp;"|"&amp;B2776&amp;"|"&amp;C2776&amp;"|"&amp;D2776&amp;"|"&amp;E2776&amp;"|"&amp;F2776&amp;"|"&amp;G2776&amp;"|"&amp;H2776&amp;"|"&amp;I2776&amp;"|"&amp;J2776&amp;"|"&amp;K2776&amp;"|"&amp;L2776&amp;"|"&amp;M2776&amp;"|"&amp;N2776</f>
        <v>ORD12710|2025-11-29|22:15|C0226|Dragon  Express|Mumbai|Chinese|3|165|20|Debit Card|Delivered|54|5</v>
      </c>
      <c r="P2776" s="7" t="str">
        <f aca="false">IF(COUNTIF($O$2:O2776,O2776)&gt;1,"DUP","OK")</f>
        <v>OK</v>
      </c>
      <c r="Q2776" s="7" t="n">
        <f aca="false">COUNTBLANK(A2776:N2776)</f>
        <v>0</v>
      </c>
      <c r="R2776" s="7" t="n">
        <f aca="false">IF(A2776="",0,COUNTIFS($A$2:$A$3058,A2776,$P$2:$P$3058,"OK"))</f>
        <v>1</v>
      </c>
      <c r="S2776" s="7" t="str">
        <f aca="false">IF(OR(A2776="",P2776="DUP",R2776&lt;2),"",IF(Q2776=_xlfn.MINIFS($Q$2:$Q$3058,$A$2:$A$3058,A2776,$P$2:$P$3058,"OK"),"KEEP","DROP"))</f>
        <v/>
      </c>
      <c r="T2776" s="9" t="n">
        <f aca="false">IF(A2776="",1,0)</f>
        <v>0</v>
      </c>
      <c r="U2776" s="9" t="n">
        <f aca="false">IF(D2776="",1,0)</f>
        <v>0</v>
      </c>
      <c r="V2776" s="9" t="n">
        <f aca="false">IF(E2776="",1,0)</f>
        <v>0</v>
      </c>
      <c r="W2776" s="9" t="n">
        <f aca="false">IF(OR(H2776&lt;1,H2776&gt;10),1,0)</f>
        <v>0</v>
      </c>
      <c r="X2776" s="9" t="n">
        <f aca="false">IF(OR(I2776&lt;=0,I2776&gt;1500),1,0)</f>
        <v>0</v>
      </c>
      <c r="Y2776" s="9" t="n">
        <f aca="false">IF(J2776&gt;H2776*I2776,1,0)</f>
        <v>0</v>
      </c>
      <c r="Z2776" s="9" t="n">
        <f aca="false">IF(AND(N2776&lt;&gt;"",OR(N2776&lt;1,N2776&gt;5)),1,0)</f>
        <v>0</v>
      </c>
      <c r="AA2776" s="9" t="n">
        <f aca="false">IF(AND(M2776&lt;&gt;"",OR(M2776&lt;5,M2776&gt;180)),1,0)</f>
        <v>0</v>
      </c>
      <c r="AB2776" s="7" t="str">
        <f aca="false">IF(P2776="DUP","Exact duplicate row",IF(T2776=1,"Missing Order ID",IF(S2776="DROP","Duplicate Order ID (less complete row)",IF(U2776=1,"Missing Customer ID",IF(V2776=1,"Missing Restaurant name",IF(W2776=1,"Invalid/outlier quantity",IF(X2776=1,"Invalid/outlier unit price",IF(Y2776=1,"Discount greater than order value",""))))))))</f>
        <v/>
      </c>
      <c r="AC2776" s="7" t="str">
        <f aca="false">IF(AB2776="","KEEP","DROP")</f>
        <v>KEEP</v>
      </c>
      <c r="AD2776" s="7" t="str">
        <f aca="false">IF(TRIM(F2776)="",IFERROR(INDEX(Map_Tables!$I$4:$I$37,MATCH(TRIM(E2776),Map_Tables!$G$4:$G$37,0)),""),IFERROR(INDEX(Map_Tables!$B$4:$B$18,MATCH(TRIM(F2776),Map_Tables!$A$4:$A$18,0)),"CHECK"))</f>
        <v>Mumbai</v>
      </c>
      <c r="AE2776" s="7" t="str">
        <f aca="false">IF(TRIM(E2776)="","",IFERROR(INDEX(Map_Tables!$H$4:$H$37,MATCH(TRIM(E2776),Map_Tables!$G$4:$G$37,0)),"CHECK"))</f>
        <v>Dragon Express</v>
      </c>
      <c r="AF2776" s="7" t="str">
        <f aca="false">IF(TRIM(K2776)="","Unknown",IFERROR(INDEX(Map_Tables!$E$4:$E$15,MATCH(TRIM(K2776),Map_Tables!$D$4:$D$15,0)),"CHECK"))</f>
        <v>Debit Card</v>
      </c>
      <c r="AG2776" s="7" t="str">
        <f aca="false">IF(LEFT(LOWER(TRIM(L2776)),6)="cancel","Cancelled","Delivered")</f>
        <v>Delivered</v>
      </c>
      <c r="AH2776" s="10" t="n">
        <f aca="false">IF(ISNUMBER(SEARCH("/",B2776)),DATE(VALUE(RIGHT(B2776,4)),VALUE(MID(B2776,4,2)),VALUE(LEFT(B2776,2))),IF(MID(B2776,5,1)="-",DATE(VALUE(LEFT(B2776,4)),VALUE(MID(B2776,6,2)),VALUE(RIGHT(B2776,2))),DATE(VALUE(RIGHT(B2776,4)),MATCH(MID(B2776,4,3),{"Jan","Feb","Mar","Apr","May","Jun","Jul","Aug","Sep","Oct","Nov","Dec"},0),VALUE(LEFT(B2776,2)))))</f>
        <v>45990</v>
      </c>
    </row>
    <row r="2777" customFormat="false" ht="15" hidden="false" customHeight="false" outlineLevel="0" collapsed="false">
      <c r="A2777" s="7" t="s">
        <v>5823</v>
      </c>
      <c r="B2777" s="7" t="s">
        <v>2846</v>
      </c>
      <c r="C2777" s="7" t="s">
        <v>534</v>
      </c>
      <c r="D2777" s="7" t="s">
        <v>2477</v>
      </c>
      <c r="E2777" s="7" t="s">
        <v>5824</v>
      </c>
      <c r="F2777" s="7" t="s">
        <v>146</v>
      </c>
      <c r="G2777" s="7" t="s">
        <v>90</v>
      </c>
      <c r="H2777" s="7" t="n">
        <v>1</v>
      </c>
      <c r="I2777" s="7" t="n">
        <v>180</v>
      </c>
      <c r="J2777" s="7" t="n">
        <v>72</v>
      </c>
      <c r="K2777" s="7" t="s">
        <v>112</v>
      </c>
      <c r="L2777" s="7" t="s">
        <v>194</v>
      </c>
      <c r="M2777" s="7" t="n">
        <v>31</v>
      </c>
      <c r="N2777" s="7"/>
      <c r="O2777" s="7" t="str">
        <f aca="false">A2777&amp;"|"&amp;B2777&amp;"|"&amp;C2777&amp;"|"&amp;D2777&amp;"|"&amp;E2777&amp;"|"&amp;F2777&amp;"|"&amp;G2777&amp;"|"&amp;H2777&amp;"|"&amp;I2777&amp;"|"&amp;J2777&amp;"|"&amp;K2777&amp;"|"&amp;L2777&amp;"|"&amp;M2777&amp;"|"&amp;N2777</f>
        <v>ORD12233|2025-10-11|11:02|C0825|GUJARATI THALI GHAR|Ahmedabad|North Indian|1|180|72|Cash on Delivery|Delivered|31|</v>
      </c>
      <c r="P2777" s="7" t="str">
        <f aca="false">IF(COUNTIF($O$2:O2777,O2777)&gt;1,"DUP","OK")</f>
        <v>OK</v>
      </c>
      <c r="Q2777" s="7" t="n">
        <f aca="false">COUNTBLANK(A2777:N2777)</f>
        <v>1</v>
      </c>
      <c r="R2777" s="7" t="n">
        <f aca="false">IF(A2777="",0,COUNTIFS($A$2:$A$3058,A2777,$P$2:$P$3058,"OK"))</f>
        <v>1</v>
      </c>
      <c r="S2777" s="7" t="str">
        <f aca="false">IF(OR(A2777="",P2777="DUP",R2777&lt;2),"",IF(Q2777=_xlfn.MINIFS($Q$2:$Q$3058,$A$2:$A$3058,A2777,$P$2:$P$3058,"OK"),"KEEP","DROP"))</f>
        <v/>
      </c>
      <c r="T2777" s="9" t="n">
        <f aca="false">IF(A2777="",1,0)</f>
        <v>0</v>
      </c>
      <c r="U2777" s="9" t="n">
        <f aca="false">IF(D2777="",1,0)</f>
        <v>0</v>
      </c>
      <c r="V2777" s="9" t="n">
        <f aca="false">IF(E2777="",1,0)</f>
        <v>0</v>
      </c>
      <c r="W2777" s="9" t="n">
        <f aca="false">IF(OR(H2777&lt;1,H2777&gt;10),1,0)</f>
        <v>0</v>
      </c>
      <c r="X2777" s="9" t="n">
        <f aca="false">IF(OR(I2777&lt;=0,I2777&gt;1500),1,0)</f>
        <v>0</v>
      </c>
      <c r="Y2777" s="9" t="n">
        <f aca="false">IF(J2777&gt;H2777*I2777,1,0)</f>
        <v>0</v>
      </c>
      <c r="Z2777" s="9" t="n">
        <f aca="false">IF(AND(N2777&lt;&gt;"",OR(N2777&lt;1,N2777&gt;5)),1,0)</f>
        <v>0</v>
      </c>
      <c r="AA2777" s="9" t="n">
        <f aca="false">IF(AND(M2777&lt;&gt;"",OR(M2777&lt;5,M2777&gt;180)),1,0)</f>
        <v>0</v>
      </c>
      <c r="AB2777" s="7" t="str">
        <f aca="false">IF(P2777="DUP","Exact duplicate row",IF(T2777=1,"Missing Order ID",IF(S2777="DROP","Duplicate Order ID (less complete row)",IF(U2777=1,"Missing Customer ID",IF(V2777=1,"Missing Restaurant name",IF(W2777=1,"Invalid/outlier quantity",IF(X2777=1,"Invalid/outlier unit price",IF(Y2777=1,"Discount greater than order value",""))))))))</f>
        <v/>
      </c>
      <c r="AC2777" s="7" t="str">
        <f aca="false">IF(AB2777="","KEEP","DROP")</f>
        <v>KEEP</v>
      </c>
      <c r="AD2777" s="7" t="str">
        <f aca="false">IF(TRIM(F2777)="",IFERROR(INDEX(Map_Tables!$I$4:$I$37,MATCH(TRIM(E2777),Map_Tables!$G$4:$G$37,0)),""),IFERROR(INDEX(Map_Tables!$B$4:$B$18,MATCH(TRIM(F2777),Map_Tables!$A$4:$A$18,0)),"CHECK"))</f>
        <v>Ahmedabad</v>
      </c>
      <c r="AE2777" s="7" t="str">
        <f aca="false">IF(TRIM(E2777)="","",IFERROR(INDEX(Map_Tables!$H$4:$H$37,MATCH(TRIM(E2777),Map_Tables!$G$4:$G$37,0)),"CHECK"))</f>
        <v>Gujarati Thali Ghar</v>
      </c>
      <c r="AF2777" s="7" t="str">
        <f aca="false">IF(TRIM(K2777)="","Unknown",IFERROR(INDEX(Map_Tables!$E$4:$E$15,MATCH(TRIM(K2777),Map_Tables!$D$4:$D$15,0)),"CHECK"))</f>
        <v>Cash on Delivery</v>
      </c>
      <c r="AG2777" s="7" t="str">
        <f aca="false">IF(LEFT(LOWER(TRIM(L2777)),6)="cancel","Cancelled","Delivered")</f>
        <v>Delivered</v>
      </c>
      <c r="AH2777" s="10" t="n">
        <f aca="false">IF(ISNUMBER(SEARCH("/",B2777)),DATE(VALUE(RIGHT(B2777,4)),VALUE(MID(B2777,4,2)),VALUE(LEFT(B2777,2))),IF(MID(B2777,5,1)="-",DATE(VALUE(LEFT(B2777,4)),VALUE(MID(B2777,6,2)),VALUE(RIGHT(B2777,2))),DATE(VALUE(RIGHT(B2777,4)),MATCH(MID(B2777,4,3),{"Jan","Feb","Mar","Apr","May","Jun","Jul","Aug","Sep","Oct","Nov","Dec"},0),VALUE(LEFT(B2777,2)))))</f>
        <v>45941</v>
      </c>
    </row>
    <row r="2778" customFormat="false" ht="15" hidden="false" customHeight="false" outlineLevel="0" collapsed="false">
      <c r="A2778" s="7" t="s">
        <v>5825</v>
      </c>
      <c r="B2778" s="7" t="s">
        <v>1592</v>
      </c>
      <c r="C2778" s="7" t="s">
        <v>3033</v>
      </c>
      <c r="D2778" s="7" t="s">
        <v>2077</v>
      </c>
      <c r="E2778" s="7" t="s">
        <v>138</v>
      </c>
      <c r="F2778" s="7" t="s">
        <v>110</v>
      </c>
      <c r="G2778" s="7" t="s">
        <v>139</v>
      </c>
      <c r="H2778" s="7" t="n">
        <v>1</v>
      </c>
      <c r="I2778" s="7" t="n">
        <v>185</v>
      </c>
      <c r="J2778" s="7" t="n">
        <v>0</v>
      </c>
      <c r="K2778" s="7" t="s">
        <v>93</v>
      </c>
      <c r="L2778" s="7" t="s">
        <v>194</v>
      </c>
      <c r="M2778" s="7" t="n">
        <v>52</v>
      </c>
      <c r="N2778" s="7" t="n">
        <v>3</v>
      </c>
      <c r="O2778" s="7" t="str">
        <f aca="false">A2778&amp;"|"&amp;B2778&amp;"|"&amp;C2778&amp;"|"&amp;D2778&amp;"|"&amp;E2778&amp;"|"&amp;F2778&amp;"|"&amp;G2778&amp;"|"&amp;H2778&amp;"|"&amp;I2778&amp;"|"&amp;J2778&amp;"|"&amp;K2778&amp;"|"&amp;L2778&amp;"|"&amp;M2778&amp;"|"&amp;N2778</f>
        <v>ORD12323|2025-10-20|14:17|C0006|Burger Barn|Delhi|Burgers|1|185|0|Credit Card|Delivered|52|3</v>
      </c>
      <c r="P2778" s="7" t="str">
        <f aca="false">IF(COUNTIF($O$2:O2778,O2778)&gt;1,"DUP","OK")</f>
        <v>OK</v>
      </c>
      <c r="Q2778" s="7" t="n">
        <f aca="false">COUNTBLANK(A2778:N2778)</f>
        <v>0</v>
      </c>
      <c r="R2778" s="7" t="n">
        <f aca="false">IF(A2778="",0,COUNTIFS($A$2:$A$3058,A2778,$P$2:$P$3058,"OK"))</f>
        <v>1</v>
      </c>
      <c r="S2778" s="7" t="str">
        <f aca="false">IF(OR(A2778="",P2778="DUP",R2778&lt;2),"",IF(Q2778=_xlfn.MINIFS($Q$2:$Q$3058,$A$2:$A$3058,A2778,$P$2:$P$3058,"OK"),"KEEP","DROP"))</f>
        <v/>
      </c>
      <c r="T2778" s="9" t="n">
        <f aca="false">IF(A2778="",1,0)</f>
        <v>0</v>
      </c>
      <c r="U2778" s="9" t="n">
        <f aca="false">IF(D2778="",1,0)</f>
        <v>0</v>
      </c>
      <c r="V2778" s="9" t="n">
        <f aca="false">IF(E2778="",1,0)</f>
        <v>0</v>
      </c>
      <c r="W2778" s="9" t="n">
        <f aca="false">IF(OR(H2778&lt;1,H2778&gt;10),1,0)</f>
        <v>0</v>
      </c>
      <c r="X2778" s="9" t="n">
        <f aca="false">IF(OR(I2778&lt;=0,I2778&gt;1500),1,0)</f>
        <v>0</v>
      </c>
      <c r="Y2778" s="9" t="n">
        <f aca="false">IF(J2778&gt;H2778*I2778,1,0)</f>
        <v>0</v>
      </c>
      <c r="Z2778" s="9" t="n">
        <f aca="false">IF(AND(N2778&lt;&gt;"",OR(N2778&lt;1,N2778&gt;5)),1,0)</f>
        <v>0</v>
      </c>
      <c r="AA2778" s="9" t="n">
        <f aca="false">IF(AND(M2778&lt;&gt;"",OR(M2778&lt;5,M2778&gt;180)),1,0)</f>
        <v>0</v>
      </c>
      <c r="AB2778" s="7" t="str">
        <f aca="false">IF(P2778="DUP","Exact duplicate row",IF(T2778=1,"Missing Order ID",IF(S2778="DROP","Duplicate Order ID (less complete row)",IF(U2778=1,"Missing Customer ID",IF(V2778=1,"Missing Restaurant name",IF(W2778=1,"Invalid/outlier quantity",IF(X2778=1,"Invalid/outlier unit price",IF(Y2778=1,"Discount greater than order value",""))))))))</f>
        <v/>
      </c>
      <c r="AC2778" s="7" t="str">
        <f aca="false">IF(AB2778="","KEEP","DROP")</f>
        <v>KEEP</v>
      </c>
      <c r="AD2778" s="7" t="str">
        <f aca="false">IF(TRIM(F2778)="",IFERROR(INDEX(Map_Tables!$I$4:$I$37,MATCH(TRIM(E2778),Map_Tables!$G$4:$G$37,0)),""),IFERROR(INDEX(Map_Tables!$B$4:$B$18,MATCH(TRIM(F2778),Map_Tables!$A$4:$A$18,0)),"CHECK"))</f>
        <v>Delhi</v>
      </c>
      <c r="AE2778" s="7" t="str">
        <f aca="false">IF(TRIM(E2778)="","",IFERROR(INDEX(Map_Tables!$H$4:$H$37,MATCH(TRIM(E2778),Map_Tables!$G$4:$G$37,0)),"CHECK"))</f>
        <v>Burger Barn</v>
      </c>
      <c r="AF2778" s="7" t="str">
        <f aca="false">IF(TRIM(K2778)="","Unknown",IFERROR(INDEX(Map_Tables!$E$4:$E$15,MATCH(TRIM(K2778),Map_Tables!$D$4:$D$15,0)),"CHECK"))</f>
        <v>Credit Card</v>
      </c>
      <c r="AG2778" s="7" t="str">
        <f aca="false">IF(LEFT(LOWER(TRIM(L2778)),6)="cancel","Cancelled","Delivered")</f>
        <v>Delivered</v>
      </c>
      <c r="AH2778" s="10" t="n">
        <f aca="false">IF(ISNUMBER(SEARCH("/",B2778)),DATE(VALUE(RIGHT(B2778,4)),VALUE(MID(B2778,4,2)),VALUE(LEFT(B2778,2))),IF(MID(B2778,5,1)="-",DATE(VALUE(LEFT(B2778,4)),VALUE(MID(B2778,6,2)),VALUE(RIGHT(B2778,2))),DATE(VALUE(RIGHT(B2778,4)),MATCH(MID(B2778,4,3),{"Jan","Feb","Mar","Apr","May","Jun","Jul","Aug","Sep","Oct","Nov","Dec"},0),VALUE(LEFT(B2778,2)))))</f>
        <v>45950</v>
      </c>
    </row>
    <row r="2779" customFormat="false" ht="15" hidden="false" customHeight="false" outlineLevel="0" collapsed="false">
      <c r="A2779" s="7" t="s">
        <v>5826</v>
      </c>
      <c r="B2779" s="7" t="s">
        <v>4373</v>
      </c>
      <c r="C2779" s="7" t="s">
        <v>930</v>
      </c>
      <c r="D2779" s="7" t="s">
        <v>2540</v>
      </c>
      <c r="E2779" s="7" t="s">
        <v>159</v>
      </c>
      <c r="F2779" s="7" t="s">
        <v>136</v>
      </c>
      <c r="G2779" s="7" t="s">
        <v>90</v>
      </c>
      <c r="H2779" s="7" t="n">
        <v>3</v>
      </c>
      <c r="I2779" s="7" t="n">
        <v>265</v>
      </c>
      <c r="J2779" s="7" t="n">
        <v>0</v>
      </c>
      <c r="K2779" s="7" t="s">
        <v>88</v>
      </c>
      <c r="L2779" s="7" t="s">
        <v>194</v>
      </c>
      <c r="M2779" s="7" t="n">
        <v>27</v>
      </c>
      <c r="N2779" s="7" t="n">
        <v>4</v>
      </c>
      <c r="O2779" s="7" t="str">
        <f aca="false">A2779&amp;"|"&amp;B2779&amp;"|"&amp;C2779&amp;"|"&amp;D2779&amp;"|"&amp;E2779&amp;"|"&amp;F2779&amp;"|"&amp;G2779&amp;"|"&amp;H2779&amp;"|"&amp;I2779&amp;"|"&amp;J2779&amp;"|"&amp;K2779&amp;"|"&amp;L2779&amp;"|"&amp;M2779&amp;"|"&amp;N2779</f>
        <v>ORD12482|2025-11-07|20:56|C0903|Maratha Thali House|Pune|North Indian|3|265|0|UPI|Delivered|27|4</v>
      </c>
      <c r="P2779" s="7" t="str">
        <f aca="false">IF(COUNTIF($O$2:O2779,O2779)&gt;1,"DUP","OK")</f>
        <v>OK</v>
      </c>
      <c r="Q2779" s="7" t="n">
        <f aca="false">COUNTBLANK(A2779:N2779)</f>
        <v>0</v>
      </c>
      <c r="R2779" s="7" t="n">
        <f aca="false">IF(A2779="",0,COUNTIFS($A$2:$A$3058,A2779,$P$2:$P$3058,"OK"))</f>
        <v>1</v>
      </c>
      <c r="S2779" s="7" t="str">
        <f aca="false">IF(OR(A2779="",P2779="DUP",R2779&lt;2),"",IF(Q2779=_xlfn.MINIFS($Q$2:$Q$3058,$A$2:$A$3058,A2779,$P$2:$P$3058,"OK"),"KEEP","DROP"))</f>
        <v/>
      </c>
      <c r="T2779" s="9" t="n">
        <f aca="false">IF(A2779="",1,0)</f>
        <v>0</v>
      </c>
      <c r="U2779" s="9" t="n">
        <f aca="false">IF(D2779="",1,0)</f>
        <v>0</v>
      </c>
      <c r="V2779" s="9" t="n">
        <f aca="false">IF(E2779="",1,0)</f>
        <v>0</v>
      </c>
      <c r="W2779" s="9" t="n">
        <f aca="false">IF(OR(H2779&lt;1,H2779&gt;10),1,0)</f>
        <v>0</v>
      </c>
      <c r="X2779" s="9" t="n">
        <f aca="false">IF(OR(I2779&lt;=0,I2779&gt;1500),1,0)</f>
        <v>0</v>
      </c>
      <c r="Y2779" s="9" t="n">
        <f aca="false">IF(J2779&gt;H2779*I2779,1,0)</f>
        <v>0</v>
      </c>
      <c r="Z2779" s="9" t="n">
        <f aca="false">IF(AND(N2779&lt;&gt;"",OR(N2779&lt;1,N2779&gt;5)),1,0)</f>
        <v>0</v>
      </c>
      <c r="AA2779" s="9" t="n">
        <f aca="false">IF(AND(M2779&lt;&gt;"",OR(M2779&lt;5,M2779&gt;180)),1,0)</f>
        <v>0</v>
      </c>
      <c r="AB2779" s="7" t="str">
        <f aca="false">IF(P2779="DUP","Exact duplicate row",IF(T2779=1,"Missing Order ID",IF(S2779="DROP","Duplicate Order ID (less complete row)",IF(U2779=1,"Missing Customer ID",IF(V2779=1,"Missing Restaurant name",IF(W2779=1,"Invalid/outlier quantity",IF(X2779=1,"Invalid/outlier unit price",IF(Y2779=1,"Discount greater than order value",""))))))))</f>
        <v/>
      </c>
      <c r="AC2779" s="7" t="str">
        <f aca="false">IF(AB2779="","KEEP","DROP")</f>
        <v>KEEP</v>
      </c>
      <c r="AD2779" s="7" t="str">
        <f aca="false">IF(TRIM(F2779)="",IFERROR(INDEX(Map_Tables!$I$4:$I$37,MATCH(TRIM(E2779),Map_Tables!$G$4:$G$37,0)),""),IFERROR(INDEX(Map_Tables!$B$4:$B$18,MATCH(TRIM(F2779),Map_Tables!$A$4:$A$18,0)),"CHECK"))</f>
        <v>Pune</v>
      </c>
      <c r="AE2779" s="7" t="str">
        <f aca="false">IF(TRIM(E2779)="","",IFERROR(INDEX(Map_Tables!$H$4:$H$37,MATCH(TRIM(E2779),Map_Tables!$G$4:$G$37,0)),"CHECK"))</f>
        <v>Maratha Thali House</v>
      </c>
      <c r="AF2779" s="7" t="str">
        <f aca="false">IF(TRIM(K2779)="","Unknown",IFERROR(INDEX(Map_Tables!$E$4:$E$15,MATCH(TRIM(K2779),Map_Tables!$D$4:$D$15,0)),"CHECK"))</f>
        <v>UPI</v>
      </c>
      <c r="AG2779" s="7" t="str">
        <f aca="false">IF(LEFT(LOWER(TRIM(L2779)),6)="cancel","Cancelled","Delivered")</f>
        <v>Delivered</v>
      </c>
      <c r="AH2779" s="10" t="n">
        <f aca="false">IF(ISNUMBER(SEARCH("/",B2779)),DATE(VALUE(RIGHT(B2779,4)),VALUE(MID(B2779,4,2)),VALUE(LEFT(B2779,2))),IF(MID(B2779,5,1)="-",DATE(VALUE(LEFT(B2779,4)),VALUE(MID(B2779,6,2)),VALUE(RIGHT(B2779,2))),DATE(VALUE(RIGHT(B2779,4)),MATCH(MID(B2779,4,3),{"Jan","Feb","Mar","Apr","May","Jun","Jul","Aug","Sep","Oct","Nov","Dec"},0),VALUE(LEFT(B2779,2)))))</f>
        <v>45968</v>
      </c>
    </row>
    <row r="2780" customFormat="false" ht="15" hidden="false" customHeight="false" outlineLevel="0" collapsed="false">
      <c r="A2780" s="7" t="s">
        <v>5827</v>
      </c>
      <c r="B2780" s="7" t="s">
        <v>3386</v>
      </c>
      <c r="C2780" s="7" t="s">
        <v>543</v>
      </c>
      <c r="D2780" s="7" t="s">
        <v>2457</v>
      </c>
      <c r="E2780" s="7" t="s">
        <v>159</v>
      </c>
      <c r="F2780" s="7" t="s">
        <v>136</v>
      </c>
      <c r="G2780" s="7" t="s">
        <v>90</v>
      </c>
      <c r="H2780" s="7" t="n">
        <v>1</v>
      </c>
      <c r="I2780" s="7" t="n">
        <v>210</v>
      </c>
      <c r="J2780" s="7" t="n">
        <v>20</v>
      </c>
      <c r="K2780" s="7"/>
      <c r="L2780" s="7" t="s">
        <v>194</v>
      </c>
      <c r="M2780" s="7" t="n">
        <v>46</v>
      </c>
      <c r="N2780" s="7" t="n">
        <v>3</v>
      </c>
      <c r="O2780" s="7" t="str">
        <f aca="false">A2780&amp;"|"&amp;B2780&amp;"|"&amp;C2780&amp;"|"&amp;D2780&amp;"|"&amp;E2780&amp;"|"&amp;F2780&amp;"|"&amp;G2780&amp;"|"&amp;H2780&amp;"|"&amp;I2780&amp;"|"&amp;J2780&amp;"|"&amp;K2780&amp;"|"&amp;L2780&amp;"|"&amp;M2780&amp;"|"&amp;N2780</f>
        <v>ORD10812|2025-04-13|19:40|C0853|Maratha Thali House|Pune|North Indian|1|210|20||Delivered|46|3</v>
      </c>
      <c r="P2780" s="7" t="str">
        <f aca="false">IF(COUNTIF($O$2:O2780,O2780)&gt;1,"DUP","OK")</f>
        <v>OK</v>
      </c>
      <c r="Q2780" s="7" t="n">
        <f aca="false">COUNTBLANK(A2780:N2780)</f>
        <v>1</v>
      </c>
      <c r="R2780" s="7" t="n">
        <f aca="false">IF(A2780="",0,COUNTIFS($A$2:$A$3058,A2780,$P$2:$P$3058,"OK"))</f>
        <v>1</v>
      </c>
      <c r="S2780" s="7" t="str">
        <f aca="false">IF(OR(A2780="",P2780="DUP",R2780&lt;2),"",IF(Q2780=_xlfn.MINIFS($Q$2:$Q$3058,$A$2:$A$3058,A2780,$P$2:$P$3058,"OK"),"KEEP","DROP"))</f>
        <v/>
      </c>
      <c r="T2780" s="9" t="n">
        <f aca="false">IF(A2780="",1,0)</f>
        <v>0</v>
      </c>
      <c r="U2780" s="9" t="n">
        <f aca="false">IF(D2780="",1,0)</f>
        <v>0</v>
      </c>
      <c r="V2780" s="9" t="n">
        <f aca="false">IF(E2780="",1,0)</f>
        <v>0</v>
      </c>
      <c r="W2780" s="9" t="n">
        <f aca="false">IF(OR(H2780&lt;1,H2780&gt;10),1,0)</f>
        <v>0</v>
      </c>
      <c r="X2780" s="9" t="n">
        <f aca="false">IF(OR(I2780&lt;=0,I2780&gt;1500),1,0)</f>
        <v>0</v>
      </c>
      <c r="Y2780" s="9" t="n">
        <f aca="false">IF(J2780&gt;H2780*I2780,1,0)</f>
        <v>0</v>
      </c>
      <c r="Z2780" s="9" t="n">
        <f aca="false">IF(AND(N2780&lt;&gt;"",OR(N2780&lt;1,N2780&gt;5)),1,0)</f>
        <v>0</v>
      </c>
      <c r="AA2780" s="9" t="n">
        <f aca="false">IF(AND(M2780&lt;&gt;"",OR(M2780&lt;5,M2780&gt;180)),1,0)</f>
        <v>0</v>
      </c>
      <c r="AB2780" s="7" t="str">
        <f aca="false">IF(P2780="DUP","Exact duplicate row",IF(T2780=1,"Missing Order ID",IF(S2780="DROP","Duplicate Order ID (less complete row)",IF(U2780=1,"Missing Customer ID",IF(V2780=1,"Missing Restaurant name",IF(W2780=1,"Invalid/outlier quantity",IF(X2780=1,"Invalid/outlier unit price",IF(Y2780=1,"Discount greater than order value",""))))))))</f>
        <v/>
      </c>
      <c r="AC2780" s="7" t="str">
        <f aca="false">IF(AB2780="","KEEP","DROP")</f>
        <v>KEEP</v>
      </c>
      <c r="AD2780" s="7" t="str">
        <f aca="false">IF(TRIM(F2780)="",IFERROR(INDEX(Map_Tables!$I$4:$I$37,MATCH(TRIM(E2780),Map_Tables!$G$4:$G$37,0)),""),IFERROR(INDEX(Map_Tables!$B$4:$B$18,MATCH(TRIM(F2780),Map_Tables!$A$4:$A$18,0)),"CHECK"))</f>
        <v>Pune</v>
      </c>
      <c r="AE2780" s="7" t="str">
        <f aca="false">IF(TRIM(E2780)="","",IFERROR(INDEX(Map_Tables!$H$4:$H$37,MATCH(TRIM(E2780),Map_Tables!$G$4:$G$37,0)),"CHECK"))</f>
        <v>Maratha Thali House</v>
      </c>
      <c r="AF2780" s="7" t="str">
        <f aca="false">IF(TRIM(K2780)="","Unknown",IFERROR(INDEX(Map_Tables!$E$4:$E$15,MATCH(TRIM(K2780),Map_Tables!$D$4:$D$15,0)),"CHECK"))</f>
        <v>Unknown</v>
      </c>
      <c r="AG2780" s="7" t="str">
        <f aca="false">IF(LEFT(LOWER(TRIM(L2780)),6)="cancel","Cancelled","Delivered")</f>
        <v>Delivered</v>
      </c>
      <c r="AH2780" s="10" t="n">
        <f aca="false">IF(ISNUMBER(SEARCH("/",B2780)),DATE(VALUE(RIGHT(B2780,4)),VALUE(MID(B2780,4,2)),VALUE(LEFT(B2780,2))),IF(MID(B2780,5,1)="-",DATE(VALUE(LEFT(B2780,4)),VALUE(MID(B2780,6,2)),VALUE(RIGHT(B2780,2))),DATE(VALUE(RIGHT(B2780,4)),MATCH(MID(B2780,4,3),{"Jan","Feb","Mar","Apr","May","Jun","Jul","Aug","Sep","Oct","Nov","Dec"},0),VALUE(LEFT(B2780,2)))))</f>
        <v>45760</v>
      </c>
    </row>
    <row r="2781" customFormat="false" ht="15" hidden="false" customHeight="false" outlineLevel="0" collapsed="false">
      <c r="A2781" s="7" t="s">
        <v>5828</v>
      </c>
      <c r="B2781" s="7" t="s">
        <v>1976</v>
      </c>
      <c r="C2781" s="7" t="s">
        <v>634</v>
      </c>
      <c r="D2781" s="7" t="s">
        <v>1042</v>
      </c>
      <c r="E2781" s="7" t="s">
        <v>159</v>
      </c>
      <c r="F2781" s="7" t="s">
        <v>136</v>
      </c>
      <c r="G2781" s="7" t="s">
        <v>1928</v>
      </c>
      <c r="H2781" s="7" t="n">
        <v>2</v>
      </c>
      <c r="I2781" s="7" t="n">
        <v>240</v>
      </c>
      <c r="J2781" s="7" t="n">
        <v>0</v>
      </c>
      <c r="K2781" s="7" t="s">
        <v>103</v>
      </c>
      <c r="L2781" s="7" t="s">
        <v>194</v>
      </c>
      <c r="M2781" s="7" t="n">
        <v>30</v>
      </c>
      <c r="N2781" s="7" t="n">
        <v>4</v>
      </c>
      <c r="O2781" s="7" t="str">
        <f aca="false">A2781&amp;"|"&amp;B2781&amp;"|"&amp;C2781&amp;"|"&amp;D2781&amp;"|"&amp;E2781&amp;"|"&amp;F2781&amp;"|"&amp;G2781&amp;"|"&amp;H2781&amp;"|"&amp;I2781&amp;"|"&amp;J2781&amp;"|"&amp;K2781&amp;"|"&amp;L2781&amp;"|"&amp;M2781&amp;"|"&amp;N2781</f>
        <v>ORD11301|2025-06-16|12:59|C0976|Maratha Thali House|Pune|north indian|2|240|0|Debit Card|Delivered|30|4</v>
      </c>
      <c r="P2781" s="7" t="str">
        <f aca="false">IF(COUNTIF($O$2:O2781,O2781)&gt;1,"DUP","OK")</f>
        <v>OK</v>
      </c>
      <c r="Q2781" s="7" t="n">
        <f aca="false">COUNTBLANK(A2781:N2781)</f>
        <v>0</v>
      </c>
      <c r="R2781" s="7" t="n">
        <f aca="false">IF(A2781="",0,COUNTIFS($A$2:$A$3058,A2781,$P$2:$P$3058,"OK"))</f>
        <v>1</v>
      </c>
      <c r="S2781" s="7" t="str">
        <f aca="false">IF(OR(A2781="",P2781="DUP",R2781&lt;2),"",IF(Q2781=_xlfn.MINIFS($Q$2:$Q$3058,$A$2:$A$3058,A2781,$P$2:$P$3058,"OK"),"KEEP","DROP"))</f>
        <v/>
      </c>
      <c r="T2781" s="9" t="n">
        <f aca="false">IF(A2781="",1,0)</f>
        <v>0</v>
      </c>
      <c r="U2781" s="9" t="n">
        <f aca="false">IF(D2781="",1,0)</f>
        <v>0</v>
      </c>
      <c r="V2781" s="9" t="n">
        <f aca="false">IF(E2781="",1,0)</f>
        <v>0</v>
      </c>
      <c r="W2781" s="9" t="n">
        <f aca="false">IF(OR(H2781&lt;1,H2781&gt;10),1,0)</f>
        <v>0</v>
      </c>
      <c r="X2781" s="9" t="n">
        <f aca="false">IF(OR(I2781&lt;=0,I2781&gt;1500),1,0)</f>
        <v>0</v>
      </c>
      <c r="Y2781" s="9" t="n">
        <f aca="false">IF(J2781&gt;H2781*I2781,1,0)</f>
        <v>0</v>
      </c>
      <c r="Z2781" s="9" t="n">
        <f aca="false">IF(AND(N2781&lt;&gt;"",OR(N2781&lt;1,N2781&gt;5)),1,0)</f>
        <v>0</v>
      </c>
      <c r="AA2781" s="9" t="n">
        <f aca="false">IF(AND(M2781&lt;&gt;"",OR(M2781&lt;5,M2781&gt;180)),1,0)</f>
        <v>0</v>
      </c>
      <c r="AB2781" s="7" t="str">
        <f aca="false">IF(P2781="DUP","Exact duplicate row",IF(T2781=1,"Missing Order ID",IF(S2781="DROP","Duplicate Order ID (less complete row)",IF(U2781=1,"Missing Customer ID",IF(V2781=1,"Missing Restaurant name",IF(W2781=1,"Invalid/outlier quantity",IF(X2781=1,"Invalid/outlier unit price",IF(Y2781=1,"Discount greater than order value",""))))))))</f>
        <v/>
      </c>
      <c r="AC2781" s="7" t="str">
        <f aca="false">IF(AB2781="","KEEP","DROP")</f>
        <v>KEEP</v>
      </c>
      <c r="AD2781" s="7" t="str">
        <f aca="false">IF(TRIM(F2781)="",IFERROR(INDEX(Map_Tables!$I$4:$I$37,MATCH(TRIM(E2781),Map_Tables!$G$4:$G$37,0)),""),IFERROR(INDEX(Map_Tables!$B$4:$B$18,MATCH(TRIM(F2781),Map_Tables!$A$4:$A$18,0)),"CHECK"))</f>
        <v>Pune</v>
      </c>
      <c r="AE2781" s="7" t="str">
        <f aca="false">IF(TRIM(E2781)="","",IFERROR(INDEX(Map_Tables!$H$4:$H$37,MATCH(TRIM(E2781),Map_Tables!$G$4:$G$37,0)),"CHECK"))</f>
        <v>Maratha Thali House</v>
      </c>
      <c r="AF2781" s="7" t="str">
        <f aca="false">IF(TRIM(K2781)="","Unknown",IFERROR(INDEX(Map_Tables!$E$4:$E$15,MATCH(TRIM(K2781),Map_Tables!$D$4:$D$15,0)),"CHECK"))</f>
        <v>Debit Card</v>
      </c>
      <c r="AG2781" s="7" t="str">
        <f aca="false">IF(LEFT(LOWER(TRIM(L2781)),6)="cancel","Cancelled","Delivered")</f>
        <v>Delivered</v>
      </c>
      <c r="AH2781" s="10" t="n">
        <f aca="false">IF(ISNUMBER(SEARCH("/",B2781)),DATE(VALUE(RIGHT(B2781,4)),VALUE(MID(B2781,4,2)),VALUE(LEFT(B2781,2))),IF(MID(B2781,5,1)="-",DATE(VALUE(LEFT(B2781,4)),VALUE(MID(B2781,6,2)),VALUE(RIGHT(B2781,2))),DATE(VALUE(RIGHT(B2781,4)),MATCH(MID(B2781,4,3),{"Jan","Feb","Mar","Apr","May","Jun","Jul","Aug","Sep","Oct","Nov","Dec"},0),VALUE(LEFT(B2781,2)))))</f>
        <v>45824</v>
      </c>
    </row>
    <row r="2782" customFormat="false" ht="15" hidden="false" customHeight="false" outlineLevel="0" collapsed="false">
      <c r="A2782" s="7" t="s">
        <v>5829</v>
      </c>
      <c r="B2782" s="7" t="s">
        <v>2527</v>
      </c>
      <c r="C2782" s="7" t="s">
        <v>2516</v>
      </c>
      <c r="D2782" s="7" t="s">
        <v>4974</v>
      </c>
      <c r="E2782" s="7" t="s">
        <v>166</v>
      </c>
      <c r="F2782" s="7" t="s">
        <v>146</v>
      </c>
      <c r="G2782" s="7" t="s">
        <v>117</v>
      </c>
      <c r="H2782" s="7" t="n">
        <v>1</v>
      </c>
      <c r="I2782" s="7" t="n">
        <v>95</v>
      </c>
      <c r="J2782" s="7" t="n">
        <v>0</v>
      </c>
      <c r="K2782" s="7" t="s">
        <v>88</v>
      </c>
      <c r="L2782" s="7" t="s">
        <v>238</v>
      </c>
      <c r="M2782" s="7"/>
      <c r="N2782" s="7"/>
      <c r="O2782" s="7" t="str">
        <f aca="false">A2782&amp;"|"&amp;B2782&amp;"|"&amp;C2782&amp;"|"&amp;D2782&amp;"|"&amp;E2782&amp;"|"&amp;F2782&amp;"|"&amp;G2782&amp;"|"&amp;H2782&amp;"|"&amp;I2782&amp;"|"&amp;J2782&amp;"|"&amp;K2782&amp;"|"&amp;L2782&amp;"|"&amp;M2782&amp;"|"&amp;N2782</f>
        <v>ORD11336|2025-06-21|22:00|C1238|Dhokla Delight|Ahmedabad|Street Food|1|95|0|UPI|Cancelled||</v>
      </c>
      <c r="P2782" s="7" t="str">
        <f aca="false">IF(COUNTIF($O$2:O2782,O2782)&gt;1,"DUP","OK")</f>
        <v>OK</v>
      </c>
      <c r="Q2782" s="7" t="n">
        <f aca="false">COUNTBLANK(A2782:N2782)</f>
        <v>2</v>
      </c>
      <c r="R2782" s="7" t="n">
        <f aca="false">IF(A2782="",0,COUNTIFS($A$2:$A$3058,A2782,$P$2:$P$3058,"OK"))</f>
        <v>1</v>
      </c>
      <c r="S2782" s="7" t="str">
        <f aca="false">IF(OR(A2782="",P2782="DUP",R2782&lt;2),"",IF(Q2782=_xlfn.MINIFS($Q$2:$Q$3058,$A$2:$A$3058,A2782,$P$2:$P$3058,"OK"),"KEEP","DROP"))</f>
        <v/>
      </c>
      <c r="T2782" s="9" t="n">
        <f aca="false">IF(A2782="",1,0)</f>
        <v>0</v>
      </c>
      <c r="U2782" s="9" t="n">
        <f aca="false">IF(D2782="",1,0)</f>
        <v>0</v>
      </c>
      <c r="V2782" s="9" t="n">
        <f aca="false">IF(E2782="",1,0)</f>
        <v>0</v>
      </c>
      <c r="W2782" s="9" t="n">
        <f aca="false">IF(OR(H2782&lt;1,H2782&gt;10),1,0)</f>
        <v>0</v>
      </c>
      <c r="X2782" s="9" t="n">
        <f aca="false">IF(OR(I2782&lt;=0,I2782&gt;1500),1,0)</f>
        <v>0</v>
      </c>
      <c r="Y2782" s="9" t="n">
        <f aca="false">IF(J2782&gt;H2782*I2782,1,0)</f>
        <v>0</v>
      </c>
      <c r="Z2782" s="9" t="n">
        <f aca="false">IF(AND(N2782&lt;&gt;"",OR(N2782&lt;1,N2782&gt;5)),1,0)</f>
        <v>0</v>
      </c>
      <c r="AA2782" s="9" t="n">
        <f aca="false">IF(AND(M2782&lt;&gt;"",OR(M2782&lt;5,M2782&gt;180)),1,0)</f>
        <v>0</v>
      </c>
      <c r="AB2782" s="7" t="str">
        <f aca="false">IF(P2782="DUP","Exact duplicate row",IF(T2782=1,"Missing Order ID",IF(S2782="DROP","Duplicate Order ID (less complete row)",IF(U2782=1,"Missing Customer ID",IF(V2782=1,"Missing Restaurant name",IF(W2782=1,"Invalid/outlier quantity",IF(X2782=1,"Invalid/outlier unit price",IF(Y2782=1,"Discount greater than order value",""))))))))</f>
        <v/>
      </c>
      <c r="AC2782" s="7" t="str">
        <f aca="false">IF(AB2782="","KEEP","DROP")</f>
        <v>KEEP</v>
      </c>
      <c r="AD2782" s="7" t="str">
        <f aca="false">IF(TRIM(F2782)="",IFERROR(INDEX(Map_Tables!$I$4:$I$37,MATCH(TRIM(E2782),Map_Tables!$G$4:$G$37,0)),""),IFERROR(INDEX(Map_Tables!$B$4:$B$18,MATCH(TRIM(F2782),Map_Tables!$A$4:$A$18,0)),"CHECK"))</f>
        <v>Ahmedabad</v>
      </c>
      <c r="AE2782" s="7" t="str">
        <f aca="false">IF(TRIM(E2782)="","",IFERROR(INDEX(Map_Tables!$H$4:$H$37,MATCH(TRIM(E2782),Map_Tables!$G$4:$G$37,0)),"CHECK"))</f>
        <v>Dhokla Delight</v>
      </c>
      <c r="AF2782" s="7" t="str">
        <f aca="false">IF(TRIM(K2782)="","Unknown",IFERROR(INDEX(Map_Tables!$E$4:$E$15,MATCH(TRIM(K2782),Map_Tables!$D$4:$D$15,0)),"CHECK"))</f>
        <v>UPI</v>
      </c>
      <c r="AG2782" s="7" t="str">
        <f aca="false">IF(LEFT(LOWER(TRIM(L2782)),6)="cancel","Cancelled","Delivered")</f>
        <v>Cancelled</v>
      </c>
      <c r="AH2782" s="10" t="n">
        <f aca="false">IF(ISNUMBER(SEARCH("/",B2782)),DATE(VALUE(RIGHT(B2782,4)),VALUE(MID(B2782,4,2)),VALUE(LEFT(B2782,2))),IF(MID(B2782,5,1)="-",DATE(VALUE(LEFT(B2782,4)),VALUE(MID(B2782,6,2)),VALUE(RIGHT(B2782,2))),DATE(VALUE(RIGHT(B2782,4)),MATCH(MID(B2782,4,3),{"Jan","Feb","Mar","Apr","May","Jun","Jul","Aug","Sep","Oct","Nov","Dec"},0),VALUE(LEFT(B2782,2)))))</f>
        <v>45829</v>
      </c>
    </row>
    <row r="2783" customFormat="false" ht="15" hidden="false" customHeight="false" outlineLevel="0" collapsed="false">
      <c r="A2783" s="7" t="s">
        <v>5830</v>
      </c>
      <c r="B2783" s="7" t="s">
        <v>1069</v>
      </c>
      <c r="C2783" s="7" t="s">
        <v>4783</v>
      </c>
      <c r="D2783" s="7" t="s">
        <v>3527</v>
      </c>
      <c r="E2783" s="7" t="s">
        <v>138</v>
      </c>
      <c r="F2783" s="7" t="s">
        <v>110</v>
      </c>
      <c r="G2783" s="7" t="s">
        <v>139</v>
      </c>
      <c r="H2783" s="7" t="n">
        <v>3</v>
      </c>
      <c r="I2783" s="7" t="n">
        <v>150</v>
      </c>
      <c r="J2783" s="7" t="n">
        <v>125</v>
      </c>
      <c r="K2783" s="7" t="s">
        <v>87</v>
      </c>
      <c r="L2783" s="7" t="s">
        <v>194</v>
      </c>
      <c r="M2783" s="7" t="n">
        <v>39</v>
      </c>
      <c r="N2783" s="7" t="n">
        <v>5</v>
      </c>
      <c r="O2783" s="7" t="str">
        <f aca="false">A2783&amp;"|"&amp;B2783&amp;"|"&amp;C2783&amp;"|"&amp;D2783&amp;"|"&amp;E2783&amp;"|"&amp;F2783&amp;"|"&amp;G2783&amp;"|"&amp;H2783&amp;"|"&amp;I2783&amp;"|"&amp;J2783&amp;"|"&amp;K2783&amp;"|"&amp;L2783&amp;"|"&amp;M2783&amp;"|"&amp;N2783</f>
        <v>ORD12940|2025-12-25|14:21|C0996|Burger Barn|Delhi|Burgers|3|150|125|upi|Delivered|39|5</v>
      </c>
      <c r="P2783" s="7" t="str">
        <f aca="false">IF(COUNTIF($O$2:O2783,O2783)&gt;1,"DUP","OK")</f>
        <v>OK</v>
      </c>
      <c r="Q2783" s="7" t="n">
        <f aca="false">COUNTBLANK(A2783:N2783)</f>
        <v>0</v>
      </c>
      <c r="R2783" s="7" t="n">
        <f aca="false">IF(A2783="",0,COUNTIFS($A$2:$A$3058,A2783,$P$2:$P$3058,"OK"))</f>
        <v>1</v>
      </c>
      <c r="S2783" s="7" t="str">
        <f aca="false">IF(OR(A2783="",P2783="DUP",R2783&lt;2),"",IF(Q2783=_xlfn.MINIFS($Q$2:$Q$3058,$A$2:$A$3058,A2783,$P$2:$P$3058,"OK"),"KEEP","DROP"))</f>
        <v/>
      </c>
      <c r="T2783" s="9" t="n">
        <f aca="false">IF(A2783="",1,0)</f>
        <v>0</v>
      </c>
      <c r="U2783" s="9" t="n">
        <f aca="false">IF(D2783="",1,0)</f>
        <v>0</v>
      </c>
      <c r="V2783" s="9" t="n">
        <f aca="false">IF(E2783="",1,0)</f>
        <v>0</v>
      </c>
      <c r="W2783" s="9" t="n">
        <f aca="false">IF(OR(H2783&lt;1,H2783&gt;10),1,0)</f>
        <v>0</v>
      </c>
      <c r="X2783" s="9" t="n">
        <f aca="false">IF(OR(I2783&lt;=0,I2783&gt;1500),1,0)</f>
        <v>0</v>
      </c>
      <c r="Y2783" s="9" t="n">
        <f aca="false">IF(J2783&gt;H2783*I2783,1,0)</f>
        <v>0</v>
      </c>
      <c r="Z2783" s="9" t="n">
        <f aca="false">IF(AND(N2783&lt;&gt;"",OR(N2783&lt;1,N2783&gt;5)),1,0)</f>
        <v>0</v>
      </c>
      <c r="AA2783" s="9" t="n">
        <f aca="false">IF(AND(M2783&lt;&gt;"",OR(M2783&lt;5,M2783&gt;180)),1,0)</f>
        <v>0</v>
      </c>
      <c r="AB2783" s="7" t="str">
        <f aca="false">IF(P2783="DUP","Exact duplicate row",IF(T2783=1,"Missing Order ID",IF(S2783="DROP","Duplicate Order ID (less complete row)",IF(U2783=1,"Missing Customer ID",IF(V2783=1,"Missing Restaurant name",IF(W2783=1,"Invalid/outlier quantity",IF(X2783=1,"Invalid/outlier unit price",IF(Y2783=1,"Discount greater than order value",""))))))))</f>
        <v/>
      </c>
      <c r="AC2783" s="7" t="str">
        <f aca="false">IF(AB2783="","KEEP","DROP")</f>
        <v>KEEP</v>
      </c>
      <c r="AD2783" s="7" t="str">
        <f aca="false">IF(TRIM(F2783)="",IFERROR(INDEX(Map_Tables!$I$4:$I$37,MATCH(TRIM(E2783),Map_Tables!$G$4:$G$37,0)),""),IFERROR(INDEX(Map_Tables!$B$4:$B$18,MATCH(TRIM(F2783),Map_Tables!$A$4:$A$18,0)),"CHECK"))</f>
        <v>Delhi</v>
      </c>
      <c r="AE2783" s="7" t="str">
        <f aca="false">IF(TRIM(E2783)="","",IFERROR(INDEX(Map_Tables!$H$4:$H$37,MATCH(TRIM(E2783),Map_Tables!$G$4:$G$37,0)),"CHECK"))</f>
        <v>Burger Barn</v>
      </c>
      <c r="AF2783" s="7" t="str">
        <f aca="false">IF(TRIM(K2783)="","Unknown",IFERROR(INDEX(Map_Tables!$E$4:$E$15,MATCH(TRIM(K2783),Map_Tables!$D$4:$D$15,0)),"CHECK"))</f>
        <v>UPI</v>
      </c>
      <c r="AG2783" s="7" t="str">
        <f aca="false">IF(LEFT(LOWER(TRIM(L2783)),6)="cancel","Cancelled","Delivered")</f>
        <v>Delivered</v>
      </c>
      <c r="AH2783" s="10" t="n">
        <f aca="false">IF(ISNUMBER(SEARCH("/",B2783)),DATE(VALUE(RIGHT(B2783,4)),VALUE(MID(B2783,4,2)),VALUE(LEFT(B2783,2))),IF(MID(B2783,5,1)="-",DATE(VALUE(LEFT(B2783,4)),VALUE(MID(B2783,6,2)),VALUE(RIGHT(B2783,2))),DATE(VALUE(RIGHT(B2783,4)),MATCH(MID(B2783,4,3),{"Jan","Feb","Mar","Apr","May","Jun","Jul","Aug","Sep","Oct","Nov","Dec"},0),VALUE(LEFT(B2783,2)))))</f>
        <v>46016</v>
      </c>
    </row>
    <row r="2784" customFormat="false" ht="15" hidden="false" customHeight="false" outlineLevel="0" collapsed="false">
      <c r="A2784" s="7" t="s">
        <v>5831</v>
      </c>
      <c r="B2784" s="7" t="s">
        <v>4490</v>
      </c>
      <c r="C2784" s="7" t="s">
        <v>759</v>
      </c>
      <c r="D2784" s="7" t="s">
        <v>5000</v>
      </c>
      <c r="E2784" s="7" t="s">
        <v>113</v>
      </c>
      <c r="F2784" s="7" t="s">
        <v>101</v>
      </c>
      <c r="G2784" s="7" t="s">
        <v>90</v>
      </c>
      <c r="H2784" s="7" t="n">
        <v>2</v>
      </c>
      <c r="I2784" s="7" t="n">
        <v>235</v>
      </c>
      <c r="J2784" s="7" t="n">
        <v>0</v>
      </c>
      <c r="K2784" s="7" t="s">
        <v>88</v>
      </c>
      <c r="L2784" s="7" t="s">
        <v>194</v>
      </c>
      <c r="M2784" s="7" t="n">
        <v>26</v>
      </c>
      <c r="N2784" s="7" t="n">
        <v>4</v>
      </c>
      <c r="O2784" s="7" t="str">
        <f aca="false">A2784&amp;"|"&amp;B2784&amp;"|"&amp;C2784&amp;"|"&amp;D2784&amp;"|"&amp;E2784&amp;"|"&amp;F2784&amp;"|"&amp;G2784&amp;"|"&amp;H2784&amp;"|"&amp;I2784&amp;"|"&amp;J2784&amp;"|"&amp;K2784&amp;"|"&amp;L2784&amp;"|"&amp;M2784&amp;"|"&amp;N2784</f>
        <v>ORD10261|04/02/2025|11:50|C1166|Curry Leaf Kitchen|Mumbai|North Indian|2|235|0|UPI|Delivered|26|4</v>
      </c>
      <c r="P2784" s="7" t="str">
        <f aca="false">IF(COUNTIF($O$2:O2784,O2784)&gt;1,"DUP","OK")</f>
        <v>OK</v>
      </c>
      <c r="Q2784" s="7" t="n">
        <f aca="false">COUNTBLANK(A2784:N2784)</f>
        <v>0</v>
      </c>
      <c r="R2784" s="7" t="n">
        <f aca="false">IF(A2784="",0,COUNTIFS($A$2:$A$3058,A2784,$P$2:$P$3058,"OK"))</f>
        <v>1</v>
      </c>
      <c r="S2784" s="7" t="str">
        <f aca="false">IF(OR(A2784="",P2784="DUP",R2784&lt;2),"",IF(Q2784=_xlfn.MINIFS($Q$2:$Q$3058,$A$2:$A$3058,A2784,$P$2:$P$3058,"OK"),"KEEP","DROP"))</f>
        <v/>
      </c>
      <c r="T2784" s="9" t="n">
        <f aca="false">IF(A2784="",1,0)</f>
        <v>0</v>
      </c>
      <c r="U2784" s="9" t="n">
        <f aca="false">IF(D2784="",1,0)</f>
        <v>0</v>
      </c>
      <c r="V2784" s="9" t="n">
        <f aca="false">IF(E2784="",1,0)</f>
        <v>0</v>
      </c>
      <c r="W2784" s="9" t="n">
        <f aca="false">IF(OR(H2784&lt;1,H2784&gt;10),1,0)</f>
        <v>0</v>
      </c>
      <c r="X2784" s="9" t="n">
        <f aca="false">IF(OR(I2784&lt;=0,I2784&gt;1500),1,0)</f>
        <v>0</v>
      </c>
      <c r="Y2784" s="9" t="n">
        <f aca="false">IF(J2784&gt;H2784*I2784,1,0)</f>
        <v>0</v>
      </c>
      <c r="Z2784" s="9" t="n">
        <f aca="false">IF(AND(N2784&lt;&gt;"",OR(N2784&lt;1,N2784&gt;5)),1,0)</f>
        <v>0</v>
      </c>
      <c r="AA2784" s="9" t="n">
        <f aca="false">IF(AND(M2784&lt;&gt;"",OR(M2784&lt;5,M2784&gt;180)),1,0)</f>
        <v>0</v>
      </c>
      <c r="AB2784" s="7" t="str">
        <f aca="false">IF(P2784="DUP","Exact duplicate row",IF(T2784=1,"Missing Order ID",IF(S2784="DROP","Duplicate Order ID (less complete row)",IF(U2784=1,"Missing Customer ID",IF(V2784=1,"Missing Restaurant name",IF(W2784=1,"Invalid/outlier quantity",IF(X2784=1,"Invalid/outlier unit price",IF(Y2784=1,"Discount greater than order value",""))))))))</f>
        <v/>
      </c>
      <c r="AC2784" s="7" t="str">
        <f aca="false">IF(AB2784="","KEEP","DROP")</f>
        <v>KEEP</v>
      </c>
      <c r="AD2784" s="7" t="str">
        <f aca="false">IF(TRIM(F2784)="",IFERROR(INDEX(Map_Tables!$I$4:$I$37,MATCH(TRIM(E2784),Map_Tables!$G$4:$G$37,0)),""),IFERROR(INDEX(Map_Tables!$B$4:$B$18,MATCH(TRIM(F2784),Map_Tables!$A$4:$A$18,0)),"CHECK"))</f>
        <v>Mumbai</v>
      </c>
      <c r="AE2784" s="7" t="str">
        <f aca="false">IF(TRIM(E2784)="","",IFERROR(INDEX(Map_Tables!$H$4:$H$37,MATCH(TRIM(E2784),Map_Tables!$G$4:$G$37,0)),"CHECK"))</f>
        <v>Curry Leaf Kitchen</v>
      </c>
      <c r="AF2784" s="7" t="str">
        <f aca="false">IF(TRIM(K2784)="","Unknown",IFERROR(INDEX(Map_Tables!$E$4:$E$15,MATCH(TRIM(K2784),Map_Tables!$D$4:$D$15,0)),"CHECK"))</f>
        <v>UPI</v>
      </c>
      <c r="AG2784" s="7" t="str">
        <f aca="false">IF(LEFT(LOWER(TRIM(L2784)),6)="cancel","Cancelled","Delivered")</f>
        <v>Delivered</v>
      </c>
      <c r="AH2784" s="10" t="n">
        <f aca="false">IF(ISNUMBER(SEARCH("/",B2784)),DATE(VALUE(RIGHT(B2784,4)),VALUE(MID(B2784,4,2)),VALUE(LEFT(B2784,2))),IF(MID(B2784,5,1)="-",DATE(VALUE(LEFT(B2784,4)),VALUE(MID(B2784,6,2)),VALUE(RIGHT(B2784,2))),DATE(VALUE(RIGHT(B2784,4)),MATCH(MID(B2784,4,3),{"Jan","Feb","Mar","Apr","May","Jun","Jul","Aug","Sep","Oct","Nov","Dec"},0),VALUE(LEFT(B2784,2)))))</f>
        <v>45692</v>
      </c>
    </row>
    <row r="2785" customFormat="false" ht="15" hidden="false" customHeight="false" outlineLevel="0" collapsed="false">
      <c r="A2785" s="7" t="s">
        <v>5832</v>
      </c>
      <c r="B2785" s="7" t="s">
        <v>5833</v>
      </c>
      <c r="C2785" s="7" t="s">
        <v>1635</v>
      </c>
      <c r="D2785" s="7" t="s">
        <v>4342</v>
      </c>
      <c r="E2785" s="7" t="s">
        <v>142</v>
      </c>
      <c r="F2785" s="7" t="s">
        <v>110</v>
      </c>
      <c r="G2785" s="7" t="s">
        <v>105</v>
      </c>
      <c r="H2785" s="7" t="n">
        <v>4</v>
      </c>
      <c r="I2785" s="7" t="n">
        <v>190</v>
      </c>
      <c r="J2785" s="7" t="n">
        <v>30</v>
      </c>
      <c r="K2785" s="7" t="s">
        <v>121</v>
      </c>
      <c r="L2785" s="7" t="s">
        <v>194</v>
      </c>
      <c r="M2785" s="7" t="n">
        <v>47</v>
      </c>
      <c r="N2785" s="7" t="n">
        <v>4</v>
      </c>
      <c r="O2785" s="7" t="str">
        <f aca="false">A2785&amp;"|"&amp;B2785&amp;"|"&amp;C2785&amp;"|"&amp;D2785&amp;"|"&amp;E2785&amp;"|"&amp;F2785&amp;"|"&amp;G2785&amp;"|"&amp;H2785&amp;"|"&amp;I2785&amp;"|"&amp;J2785&amp;"|"&amp;K2785&amp;"|"&amp;L2785&amp;"|"&amp;M2785&amp;"|"&amp;N2785</f>
        <v>ORD11805|23-Aug-2025|21:31|C0612|Momo Magic|Delhi|Chinese|4|190|30|Wallet|Delivered|47|4</v>
      </c>
      <c r="P2785" s="7" t="str">
        <f aca="false">IF(COUNTIF($O$2:O2785,O2785)&gt;1,"DUP","OK")</f>
        <v>OK</v>
      </c>
      <c r="Q2785" s="7" t="n">
        <f aca="false">COUNTBLANK(A2785:N2785)</f>
        <v>0</v>
      </c>
      <c r="R2785" s="7" t="n">
        <f aca="false">IF(A2785="",0,COUNTIFS($A$2:$A$3058,A2785,$P$2:$P$3058,"OK"))</f>
        <v>1</v>
      </c>
      <c r="S2785" s="7" t="str">
        <f aca="false">IF(OR(A2785="",P2785="DUP",R2785&lt;2),"",IF(Q2785=_xlfn.MINIFS($Q$2:$Q$3058,$A$2:$A$3058,A2785,$P$2:$P$3058,"OK"),"KEEP","DROP"))</f>
        <v/>
      </c>
      <c r="T2785" s="9" t="n">
        <f aca="false">IF(A2785="",1,0)</f>
        <v>0</v>
      </c>
      <c r="U2785" s="9" t="n">
        <f aca="false">IF(D2785="",1,0)</f>
        <v>0</v>
      </c>
      <c r="V2785" s="9" t="n">
        <f aca="false">IF(E2785="",1,0)</f>
        <v>0</v>
      </c>
      <c r="W2785" s="9" t="n">
        <f aca="false">IF(OR(H2785&lt;1,H2785&gt;10),1,0)</f>
        <v>0</v>
      </c>
      <c r="X2785" s="9" t="n">
        <f aca="false">IF(OR(I2785&lt;=0,I2785&gt;1500),1,0)</f>
        <v>0</v>
      </c>
      <c r="Y2785" s="9" t="n">
        <f aca="false">IF(J2785&gt;H2785*I2785,1,0)</f>
        <v>0</v>
      </c>
      <c r="Z2785" s="9" t="n">
        <f aca="false">IF(AND(N2785&lt;&gt;"",OR(N2785&lt;1,N2785&gt;5)),1,0)</f>
        <v>0</v>
      </c>
      <c r="AA2785" s="9" t="n">
        <f aca="false">IF(AND(M2785&lt;&gt;"",OR(M2785&lt;5,M2785&gt;180)),1,0)</f>
        <v>0</v>
      </c>
      <c r="AB2785" s="7" t="str">
        <f aca="false">IF(P2785="DUP","Exact duplicate row",IF(T2785=1,"Missing Order ID",IF(S2785="DROP","Duplicate Order ID (less complete row)",IF(U2785=1,"Missing Customer ID",IF(V2785=1,"Missing Restaurant name",IF(W2785=1,"Invalid/outlier quantity",IF(X2785=1,"Invalid/outlier unit price",IF(Y2785=1,"Discount greater than order value",""))))))))</f>
        <v/>
      </c>
      <c r="AC2785" s="7" t="str">
        <f aca="false">IF(AB2785="","KEEP","DROP")</f>
        <v>KEEP</v>
      </c>
      <c r="AD2785" s="7" t="str">
        <f aca="false">IF(TRIM(F2785)="",IFERROR(INDEX(Map_Tables!$I$4:$I$37,MATCH(TRIM(E2785),Map_Tables!$G$4:$G$37,0)),""),IFERROR(INDEX(Map_Tables!$B$4:$B$18,MATCH(TRIM(F2785),Map_Tables!$A$4:$A$18,0)),"CHECK"))</f>
        <v>Delhi</v>
      </c>
      <c r="AE2785" s="7" t="str">
        <f aca="false">IF(TRIM(E2785)="","",IFERROR(INDEX(Map_Tables!$H$4:$H$37,MATCH(TRIM(E2785),Map_Tables!$G$4:$G$37,0)),"CHECK"))</f>
        <v>Momo Magic</v>
      </c>
      <c r="AF2785" s="7" t="str">
        <f aca="false">IF(TRIM(K2785)="","Unknown",IFERROR(INDEX(Map_Tables!$E$4:$E$15,MATCH(TRIM(K2785),Map_Tables!$D$4:$D$15,0)),"CHECK"))</f>
        <v>Wallet</v>
      </c>
      <c r="AG2785" s="7" t="str">
        <f aca="false">IF(LEFT(LOWER(TRIM(L2785)),6)="cancel","Cancelled","Delivered")</f>
        <v>Delivered</v>
      </c>
      <c r="AH2785" s="10" t="n">
        <f aca="false">IF(ISNUMBER(SEARCH("/",B2785)),DATE(VALUE(RIGHT(B2785,4)),VALUE(MID(B2785,4,2)),VALUE(LEFT(B2785,2))),IF(MID(B2785,5,1)="-",DATE(VALUE(LEFT(B2785,4)),VALUE(MID(B2785,6,2)),VALUE(RIGHT(B2785,2))),DATE(VALUE(RIGHT(B2785,4)),MATCH(MID(B2785,4,3),{"Jan","Feb","Mar","Apr","May","Jun","Jul","Aug","Sep","Oct","Nov","Dec"},0),VALUE(LEFT(B2785,2)))))</f>
        <v>45892</v>
      </c>
    </row>
    <row r="2786" customFormat="false" ht="15" hidden="false" customHeight="false" outlineLevel="0" collapsed="false">
      <c r="A2786" s="7" t="s">
        <v>5834</v>
      </c>
      <c r="B2786" s="7" t="s">
        <v>1667</v>
      </c>
      <c r="C2786" s="7" t="s">
        <v>568</v>
      </c>
      <c r="D2786" s="7" t="s">
        <v>1459</v>
      </c>
      <c r="E2786" s="7" t="s">
        <v>161</v>
      </c>
      <c r="F2786" s="7" t="s">
        <v>1915</v>
      </c>
      <c r="G2786" s="7" t="s">
        <v>117</v>
      </c>
      <c r="H2786" s="7" t="n">
        <v>1</v>
      </c>
      <c r="I2786" s="7" t="n">
        <v>150</v>
      </c>
      <c r="J2786" s="7" t="n">
        <v>0</v>
      </c>
      <c r="K2786" s="7" t="s">
        <v>112</v>
      </c>
      <c r="L2786" s="7" t="s">
        <v>194</v>
      </c>
      <c r="M2786" s="7" t="n">
        <v>28</v>
      </c>
      <c r="N2786" s="7" t="n">
        <v>4</v>
      </c>
      <c r="O2786" s="7" t="str">
        <f aca="false">A2786&amp;"|"&amp;B2786&amp;"|"&amp;C2786&amp;"|"&amp;D2786&amp;"|"&amp;E2786&amp;"|"&amp;F2786&amp;"|"&amp;G2786&amp;"|"&amp;H2786&amp;"|"&amp;I2786&amp;"|"&amp;J2786&amp;"|"&amp;K2786&amp;"|"&amp;L2786&amp;"|"&amp;M2786&amp;"|"&amp;N2786</f>
        <v>ORD11571|2025-07-24|20:19|C1177|Bengal Bites|KOLKATA|Street Food|1|150|0|Cash on Delivery|Delivered|28|4</v>
      </c>
      <c r="P2786" s="7" t="str">
        <f aca="false">IF(COUNTIF($O$2:O2786,O2786)&gt;1,"DUP","OK")</f>
        <v>OK</v>
      </c>
      <c r="Q2786" s="7" t="n">
        <f aca="false">COUNTBLANK(A2786:N2786)</f>
        <v>0</v>
      </c>
      <c r="R2786" s="7" t="n">
        <f aca="false">IF(A2786="",0,COUNTIFS($A$2:$A$3058,A2786,$P$2:$P$3058,"OK"))</f>
        <v>1</v>
      </c>
      <c r="S2786" s="7" t="str">
        <f aca="false">IF(OR(A2786="",P2786="DUP",R2786&lt;2),"",IF(Q2786=_xlfn.MINIFS($Q$2:$Q$3058,$A$2:$A$3058,A2786,$P$2:$P$3058,"OK"),"KEEP","DROP"))</f>
        <v/>
      </c>
      <c r="T2786" s="9" t="n">
        <f aca="false">IF(A2786="",1,0)</f>
        <v>0</v>
      </c>
      <c r="U2786" s="9" t="n">
        <f aca="false">IF(D2786="",1,0)</f>
        <v>0</v>
      </c>
      <c r="V2786" s="9" t="n">
        <f aca="false">IF(E2786="",1,0)</f>
        <v>0</v>
      </c>
      <c r="W2786" s="9" t="n">
        <f aca="false">IF(OR(H2786&lt;1,H2786&gt;10),1,0)</f>
        <v>0</v>
      </c>
      <c r="X2786" s="9" t="n">
        <f aca="false">IF(OR(I2786&lt;=0,I2786&gt;1500),1,0)</f>
        <v>0</v>
      </c>
      <c r="Y2786" s="9" t="n">
        <f aca="false">IF(J2786&gt;H2786*I2786,1,0)</f>
        <v>0</v>
      </c>
      <c r="Z2786" s="9" t="n">
        <f aca="false">IF(AND(N2786&lt;&gt;"",OR(N2786&lt;1,N2786&gt;5)),1,0)</f>
        <v>0</v>
      </c>
      <c r="AA2786" s="9" t="n">
        <f aca="false">IF(AND(M2786&lt;&gt;"",OR(M2786&lt;5,M2786&gt;180)),1,0)</f>
        <v>0</v>
      </c>
      <c r="AB2786" s="7" t="str">
        <f aca="false">IF(P2786="DUP","Exact duplicate row",IF(T2786=1,"Missing Order ID",IF(S2786="DROP","Duplicate Order ID (less complete row)",IF(U2786=1,"Missing Customer ID",IF(V2786=1,"Missing Restaurant name",IF(W2786=1,"Invalid/outlier quantity",IF(X2786=1,"Invalid/outlier unit price",IF(Y2786=1,"Discount greater than order value",""))))))))</f>
        <v/>
      </c>
      <c r="AC2786" s="7" t="str">
        <f aca="false">IF(AB2786="","KEEP","DROP")</f>
        <v>KEEP</v>
      </c>
      <c r="AD2786" s="7" t="str">
        <f aca="false">IF(TRIM(F2786)="",IFERROR(INDEX(Map_Tables!$I$4:$I$37,MATCH(TRIM(E2786),Map_Tables!$G$4:$G$37,0)),""),IFERROR(INDEX(Map_Tables!$B$4:$B$18,MATCH(TRIM(F2786),Map_Tables!$A$4:$A$18,0)),"CHECK"))</f>
        <v>Kolkata</v>
      </c>
      <c r="AE2786" s="7" t="str">
        <f aca="false">IF(TRIM(E2786)="","",IFERROR(INDEX(Map_Tables!$H$4:$H$37,MATCH(TRIM(E2786),Map_Tables!$G$4:$G$37,0)),"CHECK"))</f>
        <v>Bengal Bites</v>
      </c>
      <c r="AF2786" s="7" t="str">
        <f aca="false">IF(TRIM(K2786)="","Unknown",IFERROR(INDEX(Map_Tables!$E$4:$E$15,MATCH(TRIM(K2786),Map_Tables!$D$4:$D$15,0)),"CHECK"))</f>
        <v>Cash on Delivery</v>
      </c>
      <c r="AG2786" s="7" t="str">
        <f aca="false">IF(LEFT(LOWER(TRIM(L2786)),6)="cancel","Cancelled","Delivered")</f>
        <v>Delivered</v>
      </c>
      <c r="AH2786" s="10" t="n">
        <f aca="false">IF(ISNUMBER(SEARCH("/",B2786)),DATE(VALUE(RIGHT(B2786,4)),VALUE(MID(B2786,4,2)),VALUE(LEFT(B2786,2))),IF(MID(B2786,5,1)="-",DATE(VALUE(LEFT(B2786,4)),VALUE(MID(B2786,6,2)),VALUE(RIGHT(B2786,2))),DATE(VALUE(RIGHT(B2786,4)),MATCH(MID(B2786,4,3),{"Jan","Feb","Mar","Apr","May","Jun","Jul","Aug","Sep","Oct","Nov","Dec"},0),VALUE(LEFT(B2786,2)))))</f>
        <v>45862</v>
      </c>
    </row>
    <row r="2787" customFormat="false" ht="15" hidden="false" customHeight="false" outlineLevel="0" collapsed="false">
      <c r="A2787" s="7" t="s">
        <v>5835</v>
      </c>
      <c r="B2787" s="7" t="s">
        <v>4247</v>
      </c>
      <c r="C2787" s="7" t="s">
        <v>2402</v>
      </c>
      <c r="D2787" s="7" t="s">
        <v>1579</v>
      </c>
      <c r="E2787" s="7" t="s">
        <v>165</v>
      </c>
      <c r="F2787" s="7" t="s">
        <v>145</v>
      </c>
      <c r="G2787" s="7" t="s">
        <v>90</v>
      </c>
      <c r="H2787" s="7" t="n">
        <v>2</v>
      </c>
      <c r="I2787" s="7" t="n">
        <v>185</v>
      </c>
      <c r="J2787" s="7" t="n">
        <v>0</v>
      </c>
      <c r="K2787" s="7" t="s">
        <v>88</v>
      </c>
      <c r="L2787" s="7" t="s">
        <v>194</v>
      </c>
      <c r="M2787" s="7" t="n">
        <v>24</v>
      </c>
      <c r="N2787" s="7"/>
      <c r="O2787" s="7" t="str">
        <f aca="false">A2787&amp;"|"&amp;B2787&amp;"|"&amp;C2787&amp;"|"&amp;D2787&amp;"|"&amp;E2787&amp;"|"&amp;F2787&amp;"|"&amp;G2787&amp;"|"&amp;H2787&amp;"|"&amp;I2787&amp;"|"&amp;J2787&amp;"|"&amp;K2787&amp;"|"&amp;L2787&amp;"|"&amp;M2787&amp;"|"&amp;N2787</f>
        <v>ORD12230|2025-10-10|19:55|C0319|Gujarati Thali Ghar|ahmedabad|North Indian|2|185|0|UPI|Delivered|24|</v>
      </c>
      <c r="P2787" s="7" t="str">
        <f aca="false">IF(COUNTIF($O$2:O2787,O2787)&gt;1,"DUP","OK")</f>
        <v>OK</v>
      </c>
      <c r="Q2787" s="7" t="n">
        <f aca="false">COUNTBLANK(A2787:N2787)</f>
        <v>1</v>
      </c>
      <c r="R2787" s="7" t="n">
        <f aca="false">IF(A2787="",0,COUNTIFS($A$2:$A$3058,A2787,$P$2:$P$3058,"OK"))</f>
        <v>1</v>
      </c>
      <c r="S2787" s="7" t="str">
        <f aca="false">IF(OR(A2787="",P2787="DUP",R2787&lt;2),"",IF(Q2787=_xlfn.MINIFS($Q$2:$Q$3058,$A$2:$A$3058,A2787,$P$2:$P$3058,"OK"),"KEEP","DROP"))</f>
        <v/>
      </c>
      <c r="T2787" s="9" t="n">
        <f aca="false">IF(A2787="",1,0)</f>
        <v>0</v>
      </c>
      <c r="U2787" s="9" t="n">
        <f aca="false">IF(D2787="",1,0)</f>
        <v>0</v>
      </c>
      <c r="V2787" s="9" t="n">
        <f aca="false">IF(E2787="",1,0)</f>
        <v>0</v>
      </c>
      <c r="W2787" s="9" t="n">
        <f aca="false">IF(OR(H2787&lt;1,H2787&gt;10),1,0)</f>
        <v>0</v>
      </c>
      <c r="X2787" s="9" t="n">
        <f aca="false">IF(OR(I2787&lt;=0,I2787&gt;1500),1,0)</f>
        <v>0</v>
      </c>
      <c r="Y2787" s="9" t="n">
        <f aca="false">IF(J2787&gt;H2787*I2787,1,0)</f>
        <v>0</v>
      </c>
      <c r="Z2787" s="9" t="n">
        <f aca="false">IF(AND(N2787&lt;&gt;"",OR(N2787&lt;1,N2787&gt;5)),1,0)</f>
        <v>0</v>
      </c>
      <c r="AA2787" s="9" t="n">
        <f aca="false">IF(AND(M2787&lt;&gt;"",OR(M2787&lt;5,M2787&gt;180)),1,0)</f>
        <v>0</v>
      </c>
      <c r="AB2787" s="7" t="str">
        <f aca="false">IF(P2787="DUP","Exact duplicate row",IF(T2787=1,"Missing Order ID",IF(S2787="DROP","Duplicate Order ID (less complete row)",IF(U2787=1,"Missing Customer ID",IF(V2787=1,"Missing Restaurant name",IF(W2787=1,"Invalid/outlier quantity",IF(X2787=1,"Invalid/outlier unit price",IF(Y2787=1,"Discount greater than order value",""))))))))</f>
        <v/>
      </c>
      <c r="AC2787" s="7" t="str">
        <f aca="false">IF(AB2787="","KEEP","DROP")</f>
        <v>KEEP</v>
      </c>
      <c r="AD2787" s="7" t="str">
        <f aca="false">IF(TRIM(F2787)="",IFERROR(INDEX(Map_Tables!$I$4:$I$37,MATCH(TRIM(E2787),Map_Tables!$G$4:$G$37,0)),""),IFERROR(INDEX(Map_Tables!$B$4:$B$18,MATCH(TRIM(F2787),Map_Tables!$A$4:$A$18,0)),"CHECK"))</f>
        <v>Ahmedabad</v>
      </c>
      <c r="AE2787" s="7" t="str">
        <f aca="false">IF(TRIM(E2787)="","",IFERROR(INDEX(Map_Tables!$H$4:$H$37,MATCH(TRIM(E2787),Map_Tables!$G$4:$G$37,0)),"CHECK"))</f>
        <v>Gujarati Thali Ghar</v>
      </c>
      <c r="AF2787" s="7" t="str">
        <f aca="false">IF(TRIM(K2787)="","Unknown",IFERROR(INDEX(Map_Tables!$E$4:$E$15,MATCH(TRIM(K2787),Map_Tables!$D$4:$D$15,0)),"CHECK"))</f>
        <v>UPI</v>
      </c>
      <c r="AG2787" s="7" t="str">
        <f aca="false">IF(LEFT(LOWER(TRIM(L2787)),6)="cancel","Cancelled","Delivered")</f>
        <v>Delivered</v>
      </c>
      <c r="AH2787" s="10" t="n">
        <f aca="false">IF(ISNUMBER(SEARCH("/",B2787)),DATE(VALUE(RIGHT(B2787,4)),VALUE(MID(B2787,4,2)),VALUE(LEFT(B2787,2))),IF(MID(B2787,5,1)="-",DATE(VALUE(LEFT(B2787,4)),VALUE(MID(B2787,6,2)),VALUE(RIGHT(B2787,2))),DATE(VALUE(RIGHT(B2787,4)),MATCH(MID(B2787,4,3),{"Jan","Feb","Mar","Apr","May","Jun","Jul","Aug","Sep","Oct","Nov","Dec"},0),VALUE(LEFT(B2787,2)))))</f>
        <v>45940</v>
      </c>
    </row>
    <row r="2788" customFormat="false" ht="15" hidden="false" customHeight="false" outlineLevel="0" collapsed="false">
      <c r="A2788" s="7"/>
      <c r="B2788" s="7" t="s">
        <v>3483</v>
      </c>
      <c r="C2788" s="7" t="s">
        <v>3979</v>
      </c>
      <c r="D2788" s="7" t="s">
        <v>2728</v>
      </c>
      <c r="E2788" s="7" t="s">
        <v>113</v>
      </c>
      <c r="F2788" s="7" t="s">
        <v>101</v>
      </c>
      <c r="G2788" s="7" t="s">
        <v>90</v>
      </c>
      <c r="H2788" s="7" t="n">
        <v>3</v>
      </c>
      <c r="I2788" s="7" t="n">
        <v>260</v>
      </c>
      <c r="J2788" s="7" t="n">
        <v>0</v>
      </c>
      <c r="K2788" s="7" t="s">
        <v>88</v>
      </c>
      <c r="L2788" s="7" t="s">
        <v>194</v>
      </c>
      <c r="M2788" s="7" t="n">
        <v>33</v>
      </c>
      <c r="N2788" s="7"/>
      <c r="O2788" s="7" t="str">
        <f aca="false">A2788&amp;"|"&amp;B2788&amp;"|"&amp;C2788&amp;"|"&amp;D2788&amp;"|"&amp;E2788&amp;"|"&amp;F2788&amp;"|"&amp;G2788&amp;"|"&amp;H2788&amp;"|"&amp;I2788&amp;"|"&amp;J2788&amp;"|"&amp;K2788&amp;"|"&amp;L2788&amp;"|"&amp;M2788&amp;"|"&amp;N2788</f>
        <v>|2025-01-25|10:49|C1500|Curry Leaf Kitchen|Mumbai|North Indian|3|260|0|UPI|Delivered|33|</v>
      </c>
      <c r="P2788" s="7" t="str">
        <f aca="false">IF(COUNTIF($O$2:O2788,O2788)&gt;1,"DUP","OK")</f>
        <v>OK</v>
      </c>
      <c r="Q2788" s="7" t="n">
        <f aca="false">COUNTBLANK(A2788:N2788)</f>
        <v>2</v>
      </c>
      <c r="R2788" s="7" t="n">
        <f aca="false">IF(A2788="",0,COUNTIFS($A$2:$A$3058,A2788,$P$2:$P$3058,"OK"))</f>
        <v>0</v>
      </c>
      <c r="S2788" s="7" t="str">
        <f aca="false">IF(OR(A2788="",P2788="DUP",R2788&lt;2),"",IF(Q2788=_xlfn.MINIFS($Q$2:$Q$3058,$A$2:$A$3058,A2788,$P$2:$P$3058,"OK"),"KEEP","DROP"))</f>
        <v/>
      </c>
      <c r="T2788" s="9" t="n">
        <f aca="false">IF(A2788="",1,0)</f>
        <v>1</v>
      </c>
      <c r="U2788" s="9" t="n">
        <f aca="false">IF(D2788="",1,0)</f>
        <v>0</v>
      </c>
      <c r="V2788" s="9" t="n">
        <f aca="false">IF(E2788="",1,0)</f>
        <v>0</v>
      </c>
      <c r="W2788" s="9" t="n">
        <f aca="false">IF(OR(H2788&lt;1,H2788&gt;10),1,0)</f>
        <v>0</v>
      </c>
      <c r="X2788" s="9" t="n">
        <f aca="false">IF(OR(I2788&lt;=0,I2788&gt;1500),1,0)</f>
        <v>0</v>
      </c>
      <c r="Y2788" s="9" t="n">
        <f aca="false">IF(J2788&gt;H2788*I2788,1,0)</f>
        <v>0</v>
      </c>
      <c r="Z2788" s="9" t="n">
        <f aca="false">IF(AND(N2788&lt;&gt;"",OR(N2788&lt;1,N2788&gt;5)),1,0)</f>
        <v>0</v>
      </c>
      <c r="AA2788" s="9" t="n">
        <f aca="false">IF(AND(M2788&lt;&gt;"",OR(M2788&lt;5,M2788&gt;180)),1,0)</f>
        <v>0</v>
      </c>
      <c r="AB2788" s="7" t="str">
        <f aca="false">IF(P2788="DUP","Exact duplicate row",IF(T2788=1,"Missing Order ID",IF(S2788="DROP","Duplicate Order ID (less complete row)",IF(U2788=1,"Missing Customer ID",IF(V2788=1,"Missing Restaurant name",IF(W2788=1,"Invalid/outlier quantity",IF(X2788=1,"Invalid/outlier unit price",IF(Y2788=1,"Discount greater than order value",""))))))))</f>
        <v>Missing Order ID</v>
      </c>
      <c r="AC2788" s="7" t="str">
        <f aca="false">IF(AB2788="","KEEP","DROP")</f>
        <v>DROP</v>
      </c>
      <c r="AD2788" s="7" t="str">
        <f aca="false">IF(TRIM(F2788)="",IFERROR(INDEX(Map_Tables!$I$4:$I$37,MATCH(TRIM(E2788),Map_Tables!$G$4:$G$37,0)),""),IFERROR(INDEX(Map_Tables!$B$4:$B$18,MATCH(TRIM(F2788),Map_Tables!$A$4:$A$18,0)),"CHECK"))</f>
        <v>Mumbai</v>
      </c>
      <c r="AE2788" s="7" t="str">
        <f aca="false">IF(TRIM(E2788)="","",IFERROR(INDEX(Map_Tables!$H$4:$H$37,MATCH(TRIM(E2788),Map_Tables!$G$4:$G$37,0)),"CHECK"))</f>
        <v>Curry Leaf Kitchen</v>
      </c>
      <c r="AF2788" s="7" t="str">
        <f aca="false">IF(TRIM(K2788)="","Unknown",IFERROR(INDEX(Map_Tables!$E$4:$E$15,MATCH(TRIM(K2788),Map_Tables!$D$4:$D$15,0)),"CHECK"))</f>
        <v>UPI</v>
      </c>
      <c r="AG2788" s="7" t="str">
        <f aca="false">IF(LEFT(LOWER(TRIM(L2788)),6)="cancel","Cancelled","Delivered")</f>
        <v>Delivered</v>
      </c>
      <c r="AH2788" s="10" t="n">
        <f aca="false">IF(ISNUMBER(SEARCH("/",B2788)),DATE(VALUE(RIGHT(B2788,4)),VALUE(MID(B2788,4,2)),VALUE(LEFT(B2788,2))),IF(MID(B2788,5,1)="-",DATE(VALUE(LEFT(B2788,4)),VALUE(MID(B2788,6,2)),VALUE(RIGHT(B2788,2))),DATE(VALUE(RIGHT(B2788,4)),MATCH(MID(B2788,4,3),{"Jan","Feb","Mar","Apr","May","Jun","Jul","Aug","Sep","Oct","Nov","Dec"},0),VALUE(LEFT(B2788,2)))))</f>
        <v>45682</v>
      </c>
    </row>
    <row r="2789" customFormat="false" ht="15" hidden="false" customHeight="false" outlineLevel="0" collapsed="false">
      <c r="A2789" s="7" t="s">
        <v>5836</v>
      </c>
      <c r="B2789" s="7" t="s">
        <v>1282</v>
      </c>
      <c r="C2789" s="7" t="s">
        <v>1985</v>
      </c>
      <c r="D2789" s="7" t="s">
        <v>1355</v>
      </c>
      <c r="E2789" s="7" t="s">
        <v>122</v>
      </c>
      <c r="F2789" s="7" t="s">
        <v>101</v>
      </c>
      <c r="G2789" s="7" t="s">
        <v>123</v>
      </c>
      <c r="H2789" s="7" t="n">
        <v>1</v>
      </c>
      <c r="I2789" s="7" t="n">
        <v>410</v>
      </c>
      <c r="J2789" s="7" t="n">
        <v>75</v>
      </c>
      <c r="K2789" s="7" t="s">
        <v>112</v>
      </c>
      <c r="L2789" s="7" t="s">
        <v>194</v>
      </c>
      <c r="M2789" s="7" t="n">
        <v>50</v>
      </c>
      <c r="N2789" s="7" t="n">
        <v>3</v>
      </c>
      <c r="O2789" s="7" t="str">
        <f aca="false">A2789&amp;"|"&amp;B2789&amp;"|"&amp;C2789&amp;"|"&amp;D2789&amp;"|"&amp;E2789&amp;"|"&amp;F2789&amp;"|"&amp;G2789&amp;"|"&amp;H2789&amp;"|"&amp;I2789&amp;"|"&amp;J2789&amp;"|"&amp;K2789&amp;"|"&amp;L2789&amp;"|"&amp;M2789&amp;"|"&amp;N2789</f>
        <v>ORD12455|2025-11-04|21:55|C0752|Mumbai Pizza Co|Mumbai|Pizza|1|410|75|Cash on Delivery|Delivered|50|3</v>
      </c>
      <c r="P2789" s="7" t="str">
        <f aca="false">IF(COUNTIF($O$2:O2789,O2789)&gt;1,"DUP","OK")</f>
        <v>OK</v>
      </c>
      <c r="Q2789" s="7" t="n">
        <f aca="false">COUNTBLANK(A2789:N2789)</f>
        <v>0</v>
      </c>
      <c r="R2789" s="7" t="n">
        <f aca="false">IF(A2789="",0,COUNTIFS($A$2:$A$3058,A2789,$P$2:$P$3058,"OK"))</f>
        <v>1</v>
      </c>
      <c r="S2789" s="7" t="str">
        <f aca="false">IF(OR(A2789="",P2789="DUP",R2789&lt;2),"",IF(Q2789=_xlfn.MINIFS($Q$2:$Q$3058,$A$2:$A$3058,A2789,$P$2:$P$3058,"OK"),"KEEP","DROP"))</f>
        <v/>
      </c>
      <c r="T2789" s="9" t="n">
        <f aca="false">IF(A2789="",1,0)</f>
        <v>0</v>
      </c>
      <c r="U2789" s="9" t="n">
        <f aca="false">IF(D2789="",1,0)</f>
        <v>0</v>
      </c>
      <c r="V2789" s="9" t="n">
        <f aca="false">IF(E2789="",1,0)</f>
        <v>0</v>
      </c>
      <c r="W2789" s="9" t="n">
        <f aca="false">IF(OR(H2789&lt;1,H2789&gt;10),1,0)</f>
        <v>0</v>
      </c>
      <c r="X2789" s="9" t="n">
        <f aca="false">IF(OR(I2789&lt;=0,I2789&gt;1500),1,0)</f>
        <v>0</v>
      </c>
      <c r="Y2789" s="9" t="n">
        <f aca="false">IF(J2789&gt;H2789*I2789,1,0)</f>
        <v>0</v>
      </c>
      <c r="Z2789" s="9" t="n">
        <f aca="false">IF(AND(N2789&lt;&gt;"",OR(N2789&lt;1,N2789&gt;5)),1,0)</f>
        <v>0</v>
      </c>
      <c r="AA2789" s="9" t="n">
        <f aca="false">IF(AND(M2789&lt;&gt;"",OR(M2789&lt;5,M2789&gt;180)),1,0)</f>
        <v>0</v>
      </c>
      <c r="AB2789" s="7" t="str">
        <f aca="false">IF(P2789="DUP","Exact duplicate row",IF(T2789=1,"Missing Order ID",IF(S2789="DROP","Duplicate Order ID (less complete row)",IF(U2789=1,"Missing Customer ID",IF(V2789=1,"Missing Restaurant name",IF(W2789=1,"Invalid/outlier quantity",IF(X2789=1,"Invalid/outlier unit price",IF(Y2789=1,"Discount greater than order value",""))))))))</f>
        <v/>
      </c>
      <c r="AC2789" s="7" t="str">
        <f aca="false">IF(AB2789="","KEEP","DROP")</f>
        <v>KEEP</v>
      </c>
      <c r="AD2789" s="7" t="str">
        <f aca="false">IF(TRIM(F2789)="",IFERROR(INDEX(Map_Tables!$I$4:$I$37,MATCH(TRIM(E2789),Map_Tables!$G$4:$G$37,0)),""),IFERROR(INDEX(Map_Tables!$B$4:$B$18,MATCH(TRIM(F2789),Map_Tables!$A$4:$A$18,0)),"CHECK"))</f>
        <v>Mumbai</v>
      </c>
      <c r="AE2789" s="7" t="str">
        <f aca="false">IF(TRIM(E2789)="","",IFERROR(INDEX(Map_Tables!$H$4:$H$37,MATCH(TRIM(E2789),Map_Tables!$G$4:$G$37,0)),"CHECK"))</f>
        <v>Mumbai Pizza Co</v>
      </c>
      <c r="AF2789" s="7" t="str">
        <f aca="false">IF(TRIM(K2789)="","Unknown",IFERROR(INDEX(Map_Tables!$E$4:$E$15,MATCH(TRIM(K2789),Map_Tables!$D$4:$D$15,0)),"CHECK"))</f>
        <v>Cash on Delivery</v>
      </c>
      <c r="AG2789" s="7" t="str">
        <f aca="false">IF(LEFT(LOWER(TRIM(L2789)),6)="cancel","Cancelled","Delivered")</f>
        <v>Delivered</v>
      </c>
      <c r="AH2789" s="10" t="n">
        <f aca="false">IF(ISNUMBER(SEARCH("/",B2789)),DATE(VALUE(RIGHT(B2789,4)),VALUE(MID(B2789,4,2)),VALUE(LEFT(B2789,2))),IF(MID(B2789,5,1)="-",DATE(VALUE(LEFT(B2789,4)),VALUE(MID(B2789,6,2)),VALUE(RIGHT(B2789,2))),DATE(VALUE(RIGHT(B2789,4)),MATCH(MID(B2789,4,3),{"Jan","Feb","Mar","Apr","May","Jun","Jul","Aug","Sep","Oct","Nov","Dec"},0),VALUE(LEFT(B2789,2)))))</f>
        <v>45965</v>
      </c>
    </row>
    <row r="2790" customFormat="false" ht="15" hidden="false" customHeight="false" outlineLevel="0" collapsed="false">
      <c r="A2790" s="7" t="s">
        <v>5837</v>
      </c>
      <c r="B2790" s="7" t="s">
        <v>625</v>
      </c>
      <c r="C2790" s="7" t="s">
        <v>1781</v>
      </c>
      <c r="D2790" s="7" t="s">
        <v>5838</v>
      </c>
      <c r="E2790" s="7" t="s">
        <v>94</v>
      </c>
      <c r="F2790" s="7" t="s">
        <v>86</v>
      </c>
      <c r="G2790" s="7" t="s">
        <v>95</v>
      </c>
      <c r="H2790" s="7" t="n">
        <v>1</v>
      </c>
      <c r="I2790" s="7" t="n">
        <v>130</v>
      </c>
      <c r="J2790" s="7" t="n">
        <v>0</v>
      </c>
      <c r="K2790" s="7" t="s">
        <v>112</v>
      </c>
      <c r="L2790" s="7" t="s">
        <v>194</v>
      </c>
      <c r="M2790" s="7" t="n">
        <v>46</v>
      </c>
      <c r="N2790" s="7" t="n">
        <v>4</v>
      </c>
      <c r="O2790" s="7" t="str">
        <f aca="false">A2790&amp;"|"&amp;B2790&amp;"|"&amp;C2790&amp;"|"&amp;D2790&amp;"|"&amp;E2790&amp;"|"&amp;F2790&amp;"|"&amp;G2790&amp;"|"&amp;H2790&amp;"|"&amp;I2790&amp;"|"&amp;J2790&amp;"|"&amp;K2790&amp;"|"&amp;L2790&amp;"|"&amp;M2790&amp;"|"&amp;N2790</f>
        <v>ORD11744|2025-08-16|21:16|C0875|Dosa Darbar|Bengaluru|South Indian|1|130|0|Cash on Delivery|Delivered|46|4</v>
      </c>
      <c r="P2790" s="7" t="str">
        <f aca="false">IF(COUNTIF($O$2:O2790,O2790)&gt;1,"DUP","OK")</f>
        <v>OK</v>
      </c>
      <c r="Q2790" s="7" t="n">
        <f aca="false">COUNTBLANK(A2790:N2790)</f>
        <v>0</v>
      </c>
      <c r="R2790" s="7" t="n">
        <f aca="false">IF(A2790="",0,COUNTIFS($A$2:$A$3058,A2790,$P$2:$P$3058,"OK"))</f>
        <v>1</v>
      </c>
      <c r="S2790" s="7" t="str">
        <f aca="false">IF(OR(A2790="",P2790="DUP",R2790&lt;2),"",IF(Q2790=_xlfn.MINIFS($Q$2:$Q$3058,$A$2:$A$3058,A2790,$P$2:$P$3058,"OK"),"KEEP","DROP"))</f>
        <v/>
      </c>
      <c r="T2790" s="9" t="n">
        <f aca="false">IF(A2790="",1,0)</f>
        <v>0</v>
      </c>
      <c r="U2790" s="9" t="n">
        <f aca="false">IF(D2790="",1,0)</f>
        <v>0</v>
      </c>
      <c r="V2790" s="9" t="n">
        <f aca="false">IF(E2790="",1,0)</f>
        <v>0</v>
      </c>
      <c r="W2790" s="9" t="n">
        <f aca="false">IF(OR(H2790&lt;1,H2790&gt;10),1,0)</f>
        <v>0</v>
      </c>
      <c r="X2790" s="9" t="n">
        <f aca="false">IF(OR(I2790&lt;=0,I2790&gt;1500),1,0)</f>
        <v>0</v>
      </c>
      <c r="Y2790" s="9" t="n">
        <f aca="false">IF(J2790&gt;H2790*I2790,1,0)</f>
        <v>0</v>
      </c>
      <c r="Z2790" s="9" t="n">
        <f aca="false">IF(AND(N2790&lt;&gt;"",OR(N2790&lt;1,N2790&gt;5)),1,0)</f>
        <v>0</v>
      </c>
      <c r="AA2790" s="9" t="n">
        <f aca="false">IF(AND(M2790&lt;&gt;"",OR(M2790&lt;5,M2790&gt;180)),1,0)</f>
        <v>0</v>
      </c>
      <c r="AB2790" s="7" t="str">
        <f aca="false">IF(P2790="DUP","Exact duplicate row",IF(T2790=1,"Missing Order ID",IF(S2790="DROP","Duplicate Order ID (less complete row)",IF(U2790=1,"Missing Customer ID",IF(V2790=1,"Missing Restaurant name",IF(W2790=1,"Invalid/outlier quantity",IF(X2790=1,"Invalid/outlier unit price",IF(Y2790=1,"Discount greater than order value",""))))))))</f>
        <v/>
      </c>
      <c r="AC2790" s="7" t="str">
        <f aca="false">IF(AB2790="","KEEP","DROP")</f>
        <v>KEEP</v>
      </c>
      <c r="AD2790" s="7" t="str">
        <f aca="false">IF(TRIM(F2790)="",IFERROR(INDEX(Map_Tables!$I$4:$I$37,MATCH(TRIM(E2790),Map_Tables!$G$4:$G$37,0)),""),IFERROR(INDEX(Map_Tables!$B$4:$B$18,MATCH(TRIM(F2790),Map_Tables!$A$4:$A$18,0)),"CHECK"))</f>
        <v>Bengaluru</v>
      </c>
      <c r="AE2790" s="7" t="str">
        <f aca="false">IF(TRIM(E2790)="","",IFERROR(INDEX(Map_Tables!$H$4:$H$37,MATCH(TRIM(E2790),Map_Tables!$G$4:$G$37,0)),"CHECK"))</f>
        <v>Dosa Darbar</v>
      </c>
      <c r="AF2790" s="7" t="str">
        <f aca="false">IF(TRIM(K2790)="","Unknown",IFERROR(INDEX(Map_Tables!$E$4:$E$15,MATCH(TRIM(K2790),Map_Tables!$D$4:$D$15,0)),"CHECK"))</f>
        <v>Cash on Delivery</v>
      </c>
      <c r="AG2790" s="7" t="str">
        <f aca="false">IF(LEFT(LOWER(TRIM(L2790)),6)="cancel","Cancelled","Delivered")</f>
        <v>Delivered</v>
      </c>
      <c r="AH2790" s="10" t="n">
        <f aca="false">IF(ISNUMBER(SEARCH("/",B2790)),DATE(VALUE(RIGHT(B2790,4)),VALUE(MID(B2790,4,2)),VALUE(LEFT(B2790,2))),IF(MID(B2790,5,1)="-",DATE(VALUE(LEFT(B2790,4)),VALUE(MID(B2790,6,2)),VALUE(RIGHT(B2790,2))),DATE(VALUE(RIGHT(B2790,4)),MATCH(MID(B2790,4,3),{"Jan","Feb","Mar","Apr","May","Jun","Jul","Aug","Sep","Oct","Nov","Dec"},0),VALUE(LEFT(B2790,2)))))</f>
        <v>45885</v>
      </c>
    </row>
    <row r="2791" customFormat="false" ht="15" hidden="false" customHeight="false" outlineLevel="0" collapsed="false">
      <c r="A2791" s="7" t="s">
        <v>5839</v>
      </c>
      <c r="B2791" s="7" t="s">
        <v>2428</v>
      </c>
      <c r="C2791" s="7" t="s">
        <v>3632</v>
      </c>
      <c r="D2791" s="7" t="s">
        <v>206</v>
      </c>
      <c r="E2791" s="7" t="s">
        <v>147</v>
      </c>
      <c r="F2791" s="7" t="s">
        <v>119</v>
      </c>
      <c r="G2791" s="7" t="s">
        <v>95</v>
      </c>
      <c r="H2791" s="7" t="n">
        <v>2</v>
      </c>
      <c r="I2791" s="7" t="n">
        <v>145</v>
      </c>
      <c r="J2791" s="7" t="n">
        <v>0</v>
      </c>
      <c r="K2791" s="7" t="s">
        <v>112</v>
      </c>
      <c r="L2791" s="7" t="s">
        <v>194</v>
      </c>
      <c r="M2791" s="7" t="n">
        <v>37</v>
      </c>
      <c r="N2791" s="7" t="n">
        <v>4</v>
      </c>
      <c r="O2791" s="7" t="str">
        <f aca="false">A2791&amp;"|"&amp;B2791&amp;"|"&amp;C2791&amp;"|"&amp;D2791&amp;"|"&amp;E2791&amp;"|"&amp;F2791&amp;"|"&amp;G2791&amp;"|"&amp;H2791&amp;"|"&amp;I2791&amp;"|"&amp;J2791&amp;"|"&amp;K2791&amp;"|"&amp;L2791&amp;"|"&amp;M2791&amp;"|"&amp;N2791</f>
        <v>ORD11631|2025-08-01|13:12|C0164|Andhra Meals Mess|Hyderabad|South Indian|2|145|0|Cash on Delivery|Delivered|37|4</v>
      </c>
      <c r="P2791" s="7" t="str">
        <f aca="false">IF(COUNTIF($O$2:O2791,O2791)&gt;1,"DUP","OK")</f>
        <v>OK</v>
      </c>
      <c r="Q2791" s="7" t="n">
        <f aca="false">COUNTBLANK(A2791:N2791)</f>
        <v>0</v>
      </c>
      <c r="R2791" s="7" t="n">
        <f aca="false">IF(A2791="",0,COUNTIFS($A$2:$A$3058,A2791,$P$2:$P$3058,"OK"))</f>
        <v>1</v>
      </c>
      <c r="S2791" s="7" t="str">
        <f aca="false">IF(OR(A2791="",P2791="DUP",R2791&lt;2),"",IF(Q2791=_xlfn.MINIFS($Q$2:$Q$3058,$A$2:$A$3058,A2791,$P$2:$P$3058,"OK"),"KEEP","DROP"))</f>
        <v/>
      </c>
      <c r="T2791" s="9" t="n">
        <f aca="false">IF(A2791="",1,0)</f>
        <v>0</v>
      </c>
      <c r="U2791" s="9" t="n">
        <f aca="false">IF(D2791="",1,0)</f>
        <v>0</v>
      </c>
      <c r="V2791" s="9" t="n">
        <f aca="false">IF(E2791="",1,0)</f>
        <v>0</v>
      </c>
      <c r="W2791" s="9" t="n">
        <f aca="false">IF(OR(H2791&lt;1,H2791&gt;10),1,0)</f>
        <v>0</v>
      </c>
      <c r="X2791" s="9" t="n">
        <f aca="false">IF(OR(I2791&lt;=0,I2791&gt;1500),1,0)</f>
        <v>0</v>
      </c>
      <c r="Y2791" s="9" t="n">
        <f aca="false">IF(J2791&gt;H2791*I2791,1,0)</f>
        <v>0</v>
      </c>
      <c r="Z2791" s="9" t="n">
        <f aca="false">IF(AND(N2791&lt;&gt;"",OR(N2791&lt;1,N2791&gt;5)),1,0)</f>
        <v>0</v>
      </c>
      <c r="AA2791" s="9" t="n">
        <f aca="false">IF(AND(M2791&lt;&gt;"",OR(M2791&lt;5,M2791&gt;180)),1,0)</f>
        <v>0</v>
      </c>
      <c r="AB2791" s="7" t="str">
        <f aca="false">IF(P2791="DUP","Exact duplicate row",IF(T2791=1,"Missing Order ID",IF(S2791="DROP","Duplicate Order ID (less complete row)",IF(U2791=1,"Missing Customer ID",IF(V2791=1,"Missing Restaurant name",IF(W2791=1,"Invalid/outlier quantity",IF(X2791=1,"Invalid/outlier unit price",IF(Y2791=1,"Discount greater than order value",""))))))))</f>
        <v/>
      </c>
      <c r="AC2791" s="7" t="str">
        <f aca="false">IF(AB2791="","KEEP","DROP")</f>
        <v>KEEP</v>
      </c>
      <c r="AD2791" s="7" t="str">
        <f aca="false">IF(TRIM(F2791)="",IFERROR(INDEX(Map_Tables!$I$4:$I$37,MATCH(TRIM(E2791),Map_Tables!$G$4:$G$37,0)),""),IFERROR(INDEX(Map_Tables!$B$4:$B$18,MATCH(TRIM(F2791),Map_Tables!$A$4:$A$18,0)),"CHECK"))</f>
        <v>Hyderabad</v>
      </c>
      <c r="AE2791" s="7" t="str">
        <f aca="false">IF(TRIM(E2791)="","",IFERROR(INDEX(Map_Tables!$H$4:$H$37,MATCH(TRIM(E2791),Map_Tables!$G$4:$G$37,0)),"CHECK"))</f>
        <v>Andhra Meals Mess</v>
      </c>
      <c r="AF2791" s="7" t="str">
        <f aca="false">IF(TRIM(K2791)="","Unknown",IFERROR(INDEX(Map_Tables!$E$4:$E$15,MATCH(TRIM(K2791),Map_Tables!$D$4:$D$15,0)),"CHECK"))</f>
        <v>Cash on Delivery</v>
      </c>
      <c r="AG2791" s="7" t="str">
        <f aca="false">IF(LEFT(LOWER(TRIM(L2791)),6)="cancel","Cancelled","Delivered")</f>
        <v>Delivered</v>
      </c>
      <c r="AH2791" s="10" t="n">
        <f aca="false">IF(ISNUMBER(SEARCH("/",B2791)),DATE(VALUE(RIGHT(B2791,4)),VALUE(MID(B2791,4,2)),VALUE(LEFT(B2791,2))),IF(MID(B2791,5,1)="-",DATE(VALUE(LEFT(B2791,4)),VALUE(MID(B2791,6,2)),VALUE(RIGHT(B2791,2))),DATE(VALUE(RIGHT(B2791,4)),MATCH(MID(B2791,4,3),{"Jan","Feb","Mar","Apr","May","Jun","Jul","Aug","Sep","Oct","Nov","Dec"},0),VALUE(LEFT(B2791,2)))))</f>
        <v>45870</v>
      </c>
    </row>
    <row r="2792" customFormat="false" ht="15" hidden="false" customHeight="false" outlineLevel="0" collapsed="false">
      <c r="A2792" s="7" t="s">
        <v>5840</v>
      </c>
      <c r="B2792" s="7" t="s">
        <v>1680</v>
      </c>
      <c r="C2792" s="7" t="s">
        <v>2756</v>
      </c>
      <c r="D2792" s="7" t="s">
        <v>1352</v>
      </c>
      <c r="E2792" s="7" t="s">
        <v>165</v>
      </c>
      <c r="F2792" s="7" t="s">
        <v>146</v>
      </c>
      <c r="G2792" s="7" t="s">
        <v>90</v>
      </c>
      <c r="H2792" s="7" t="n">
        <v>1</v>
      </c>
      <c r="I2792" s="7" t="n">
        <v>195</v>
      </c>
      <c r="J2792" s="7" t="n">
        <v>78</v>
      </c>
      <c r="K2792" s="7" t="s">
        <v>112</v>
      </c>
      <c r="L2792" s="7" t="s">
        <v>194</v>
      </c>
      <c r="M2792" s="7" t="n">
        <v>40</v>
      </c>
      <c r="N2792" s="7" t="n">
        <v>3</v>
      </c>
      <c r="O2792" s="7" t="str">
        <f aca="false">A2792&amp;"|"&amp;B2792&amp;"|"&amp;C2792&amp;"|"&amp;D2792&amp;"|"&amp;E2792&amp;"|"&amp;F2792&amp;"|"&amp;G2792&amp;"|"&amp;H2792&amp;"|"&amp;I2792&amp;"|"&amp;J2792&amp;"|"&amp;K2792&amp;"|"&amp;L2792&amp;"|"&amp;M2792&amp;"|"&amp;N2792</f>
        <v>ORD11717|2025-08-13|20:17|C0985|Gujarati Thali Ghar|Ahmedabad|North Indian|1|195|78|Cash on Delivery|Delivered|40|3</v>
      </c>
      <c r="P2792" s="7" t="str">
        <f aca="false">IF(COUNTIF($O$2:O2792,O2792)&gt;1,"DUP","OK")</f>
        <v>OK</v>
      </c>
      <c r="Q2792" s="7" t="n">
        <f aca="false">COUNTBLANK(A2792:N2792)</f>
        <v>0</v>
      </c>
      <c r="R2792" s="7" t="n">
        <f aca="false">IF(A2792="",0,COUNTIFS($A$2:$A$3058,A2792,$P$2:$P$3058,"OK"))</f>
        <v>1</v>
      </c>
      <c r="S2792" s="7" t="str">
        <f aca="false">IF(OR(A2792="",P2792="DUP",R2792&lt;2),"",IF(Q2792=_xlfn.MINIFS($Q$2:$Q$3058,$A$2:$A$3058,A2792,$P$2:$P$3058,"OK"),"KEEP","DROP"))</f>
        <v/>
      </c>
      <c r="T2792" s="9" t="n">
        <f aca="false">IF(A2792="",1,0)</f>
        <v>0</v>
      </c>
      <c r="U2792" s="9" t="n">
        <f aca="false">IF(D2792="",1,0)</f>
        <v>0</v>
      </c>
      <c r="V2792" s="9" t="n">
        <f aca="false">IF(E2792="",1,0)</f>
        <v>0</v>
      </c>
      <c r="W2792" s="9" t="n">
        <f aca="false">IF(OR(H2792&lt;1,H2792&gt;10),1,0)</f>
        <v>0</v>
      </c>
      <c r="X2792" s="9" t="n">
        <f aca="false">IF(OR(I2792&lt;=0,I2792&gt;1500),1,0)</f>
        <v>0</v>
      </c>
      <c r="Y2792" s="9" t="n">
        <f aca="false">IF(J2792&gt;H2792*I2792,1,0)</f>
        <v>0</v>
      </c>
      <c r="Z2792" s="9" t="n">
        <f aca="false">IF(AND(N2792&lt;&gt;"",OR(N2792&lt;1,N2792&gt;5)),1,0)</f>
        <v>0</v>
      </c>
      <c r="AA2792" s="9" t="n">
        <f aca="false">IF(AND(M2792&lt;&gt;"",OR(M2792&lt;5,M2792&gt;180)),1,0)</f>
        <v>0</v>
      </c>
      <c r="AB2792" s="7" t="str">
        <f aca="false">IF(P2792="DUP","Exact duplicate row",IF(T2792=1,"Missing Order ID",IF(S2792="DROP","Duplicate Order ID (less complete row)",IF(U2792=1,"Missing Customer ID",IF(V2792=1,"Missing Restaurant name",IF(W2792=1,"Invalid/outlier quantity",IF(X2792=1,"Invalid/outlier unit price",IF(Y2792=1,"Discount greater than order value",""))))))))</f>
        <v/>
      </c>
      <c r="AC2792" s="7" t="str">
        <f aca="false">IF(AB2792="","KEEP","DROP")</f>
        <v>KEEP</v>
      </c>
      <c r="AD2792" s="7" t="str">
        <f aca="false">IF(TRIM(F2792)="",IFERROR(INDEX(Map_Tables!$I$4:$I$37,MATCH(TRIM(E2792),Map_Tables!$G$4:$G$37,0)),""),IFERROR(INDEX(Map_Tables!$B$4:$B$18,MATCH(TRIM(F2792),Map_Tables!$A$4:$A$18,0)),"CHECK"))</f>
        <v>Ahmedabad</v>
      </c>
      <c r="AE2792" s="7" t="str">
        <f aca="false">IF(TRIM(E2792)="","",IFERROR(INDEX(Map_Tables!$H$4:$H$37,MATCH(TRIM(E2792),Map_Tables!$G$4:$G$37,0)),"CHECK"))</f>
        <v>Gujarati Thali Ghar</v>
      </c>
      <c r="AF2792" s="7" t="str">
        <f aca="false">IF(TRIM(K2792)="","Unknown",IFERROR(INDEX(Map_Tables!$E$4:$E$15,MATCH(TRIM(K2792),Map_Tables!$D$4:$D$15,0)),"CHECK"))</f>
        <v>Cash on Delivery</v>
      </c>
      <c r="AG2792" s="7" t="str">
        <f aca="false">IF(LEFT(LOWER(TRIM(L2792)),6)="cancel","Cancelled","Delivered")</f>
        <v>Delivered</v>
      </c>
      <c r="AH2792" s="10" t="n">
        <f aca="false">IF(ISNUMBER(SEARCH("/",B2792)),DATE(VALUE(RIGHT(B2792,4)),VALUE(MID(B2792,4,2)),VALUE(LEFT(B2792,2))),IF(MID(B2792,5,1)="-",DATE(VALUE(LEFT(B2792,4)),VALUE(MID(B2792,6,2)),VALUE(RIGHT(B2792,2))),DATE(VALUE(RIGHT(B2792,4)),MATCH(MID(B2792,4,3),{"Jan","Feb","Mar","Apr","May","Jun","Jul","Aug","Sep","Oct","Nov","Dec"},0),VALUE(LEFT(B2792,2)))))</f>
        <v>45882</v>
      </c>
    </row>
    <row r="2793" customFormat="false" ht="15" hidden="false" customHeight="false" outlineLevel="0" collapsed="false">
      <c r="A2793" s="7" t="s">
        <v>5841</v>
      </c>
      <c r="B2793" s="7" t="s">
        <v>446</v>
      </c>
      <c r="C2793" s="7" t="s">
        <v>2672</v>
      </c>
      <c r="D2793" s="7" t="s">
        <v>3473</v>
      </c>
      <c r="E2793" s="7" t="s">
        <v>144</v>
      </c>
      <c r="F2793" s="7" t="s">
        <v>2488</v>
      </c>
      <c r="G2793" s="7" t="s">
        <v>99</v>
      </c>
      <c r="H2793" s="7" t="n">
        <v>1</v>
      </c>
      <c r="I2793" s="7" t="n">
        <v>310</v>
      </c>
      <c r="J2793" s="7" t="n">
        <v>0</v>
      </c>
      <c r="K2793" s="7" t="s">
        <v>88</v>
      </c>
      <c r="L2793" s="7" t="s">
        <v>194</v>
      </c>
      <c r="M2793" s="7" t="n">
        <v>44</v>
      </c>
      <c r="N2793" s="7" t="n">
        <v>4</v>
      </c>
      <c r="O2793" s="7" t="str">
        <f aca="false">A2793&amp;"|"&amp;B2793&amp;"|"&amp;C2793&amp;"|"&amp;D2793&amp;"|"&amp;E2793&amp;"|"&amp;F2793&amp;"|"&amp;G2793&amp;"|"&amp;H2793&amp;"|"&amp;I2793&amp;"|"&amp;J2793&amp;"|"&amp;K2793&amp;"|"&amp;L2793&amp;"|"&amp;M2793&amp;"|"&amp;N2793</f>
        <v>ORD10521|2025-03-09|12:09|C0749|Hyderabad Dum Biryani|HYDERABAD|Biryani|1|310|0|UPI|Delivered|44|4</v>
      </c>
      <c r="P2793" s="7" t="str">
        <f aca="false">IF(COUNTIF($O$2:O2793,O2793)&gt;1,"DUP","OK")</f>
        <v>OK</v>
      </c>
      <c r="Q2793" s="7" t="n">
        <f aca="false">COUNTBLANK(A2793:N2793)</f>
        <v>0</v>
      </c>
      <c r="R2793" s="7" t="n">
        <f aca="false">IF(A2793="",0,COUNTIFS($A$2:$A$3058,A2793,$P$2:$P$3058,"OK"))</f>
        <v>1</v>
      </c>
      <c r="S2793" s="7" t="str">
        <f aca="false">IF(OR(A2793="",P2793="DUP",R2793&lt;2),"",IF(Q2793=_xlfn.MINIFS($Q$2:$Q$3058,$A$2:$A$3058,A2793,$P$2:$P$3058,"OK"),"KEEP","DROP"))</f>
        <v/>
      </c>
      <c r="T2793" s="9" t="n">
        <f aca="false">IF(A2793="",1,0)</f>
        <v>0</v>
      </c>
      <c r="U2793" s="9" t="n">
        <f aca="false">IF(D2793="",1,0)</f>
        <v>0</v>
      </c>
      <c r="V2793" s="9" t="n">
        <f aca="false">IF(E2793="",1,0)</f>
        <v>0</v>
      </c>
      <c r="W2793" s="9" t="n">
        <f aca="false">IF(OR(H2793&lt;1,H2793&gt;10),1,0)</f>
        <v>0</v>
      </c>
      <c r="X2793" s="9" t="n">
        <f aca="false">IF(OR(I2793&lt;=0,I2793&gt;1500),1,0)</f>
        <v>0</v>
      </c>
      <c r="Y2793" s="9" t="n">
        <f aca="false">IF(J2793&gt;H2793*I2793,1,0)</f>
        <v>0</v>
      </c>
      <c r="Z2793" s="9" t="n">
        <f aca="false">IF(AND(N2793&lt;&gt;"",OR(N2793&lt;1,N2793&gt;5)),1,0)</f>
        <v>0</v>
      </c>
      <c r="AA2793" s="9" t="n">
        <f aca="false">IF(AND(M2793&lt;&gt;"",OR(M2793&lt;5,M2793&gt;180)),1,0)</f>
        <v>0</v>
      </c>
      <c r="AB2793" s="7" t="str">
        <f aca="false">IF(P2793="DUP","Exact duplicate row",IF(T2793=1,"Missing Order ID",IF(S2793="DROP","Duplicate Order ID (less complete row)",IF(U2793=1,"Missing Customer ID",IF(V2793=1,"Missing Restaurant name",IF(W2793=1,"Invalid/outlier quantity",IF(X2793=1,"Invalid/outlier unit price",IF(Y2793=1,"Discount greater than order value",""))))))))</f>
        <v/>
      </c>
      <c r="AC2793" s="7" t="str">
        <f aca="false">IF(AB2793="","KEEP","DROP")</f>
        <v>KEEP</v>
      </c>
      <c r="AD2793" s="7" t="str">
        <f aca="false">IF(TRIM(F2793)="",IFERROR(INDEX(Map_Tables!$I$4:$I$37,MATCH(TRIM(E2793),Map_Tables!$G$4:$G$37,0)),""),IFERROR(INDEX(Map_Tables!$B$4:$B$18,MATCH(TRIM(F2793),Map_Tables!$A$4:$A$18,0)),"CHECK"))</f>
        <v>Hyderabad</v>
      </c>
      <c r="AE2793" s="7" t="str">
        <f aca="false">IF(TRIM(E2793)="","",IFERROR(INDEX(Map_Tables!$H$4:$H$37,MATCH(TRIM(E2793),Map_Tables!$G$4:$G$37,0)),"CHECK"))</f>
        <v>Hyderabad Dum Biryani</v>
      </c>
      <c r="AF2793" s="7" t="str">
        <f aca="false">IF(TRIM(K2793)="","Unknown",IFERROR(INDEX(Map_Tables!$E$4:$E$15,MATCH(TRIM(K2793),Map_Tables!$D$4:$D$15,0)),"CHECK"))</f>
        <v>UPI</v>
      </c>
      <c r="AG2793" s="7" t="str">
        <f aca="false">IF(LEFT(LOWER(TRIM(L2793)),6)="cancel","Cancelled","Delivered")</f>
        <v>Delivered</v>
      </c>
      <c r="AH2793" s="10" t="n">
        <f aca="false">IF(ISNUMBER(SEARCH("/",B2793)),DATE(VALUE(RIGHT(B2793,4)),VALUE(MID(B2793,4,2)),VALUE(LEFT(B2793,2))),IF(MID(B2793,5,1)="-",DATE(VALUE(LEFT(B2793,4)),VALUE(MID(B2793,6,2)),VALUE(RIGHT(B2793,2))),DATE(VALUE(RIGHT(B2793,4)),MATCH(MID(B2793,4,3),{"Jan","Feb","Mar","Apr","May","Jun","Jul","Aug","Sep","Oct","Nov","Dec"},0),VALUE(LEFT(B2793,2)))))</f>
        <v>45725</v>
      </c>
    </row>
    <row r="2794" customFormat="false" ht="15" hidden="false" customHeight="false" outlineLevel="0" collapsed="false">
      <c r="A2794" s="7" t="s">
        <v>5842</v>
      </c>
      <c r="B2794" s="7" t="s">
        <v>326</v>
      </c>
      <c r="C2794" s="7" t="s">
        <v>5843</v>
      </c>
      <c r="D2794" s="7" t="s">
        <v>2953</v>
      </c>
      <c r="E2794" s="7" t="s">
        <v>158</v>
      </c>
      <c r="F2794" s="7" t="s">
        <v>136</v>
      </c>
      <c r="G2794" s="7" t="s">
        <v>139</v>
      </c>
      <c r="H2794" s="7" t="n">
        <v>2</v>
      </c>
      <c r="I2794" s="7" t="n">
        <v>225</v>
      </c>
      <c r="J2794" s="7" t="n">
        <v>0</v>
      </c>
      <c r="K2794" s="7" t="s">
        <v>88</v>
      </c>
      <c r="L2794" s="7" t="s">
        <v>194</v>
      </c>
      <c r="M2794" s="7" t="n">
        <v>28</v>
      </c>
      <c r="N2794" s="7" t="n">
        <v>4</v>
      </c>
      <c r="O2794" s="7" t="str">
        <f aca="false">A2794&amp;"|"&amp;B2794&amp;"|"&amp;C2794&amp;"|"&amp;D2794&amp;"|"&amp;E2794&amp;"|"&amp;F2794&amp;"|"&amp;G2794&amp;"|"&amp;H2794&amp;"|"&amp;I2794&amp;"|"&amp;J2794&amp;"|"&amp;K2794&amp;"|"&amp;L2794&amp;"|"&amp;M2794&amp;"|"&amp;N2794</f>
        <v>ORD12429|2025-11-02|01:03|C0038|Pune Burger Hub|Pune|Burgers|2|225|0|UPI|Delivered|28|4</v>
      </c>
      <c r="P2794" s="7" t="str">
        <f aca="false">IF(COUNTIF($O$2:O2794,O2794)&gt;1,"DUP","OK")</f>
        <v>OK</v>
      </c>
      <c r="Q2794" s="7" t="n">
        <f aca="false">COUNTBLANK(A2794:N2794)</f>
        <v>0</v>
      </c>
      <c r="R2794" s="7" t="n">
        <f aca="false">IF(A2794="",0,COUNTIFS($A$2:$A$3058,A2794,$P$2:$P$3058,"OK"))</f>
        <v>1</v>
      </c>
      <c r="S2794" s="7" t="str">
        <f aca="false">IF(OR(A2794="",P2794="DUP",R2794&lt;2),"",IF(Q2794=_xlfn.MINIFS($Q$2:$Q$3058,$A$2:$A$3058,A2794,$P$2:$P$3058,"OK"),"KEEP","DROP"))</f>
        <v/>
      </c>
      <c r="T2794" s="9" t="n">
        <f aca="false">IF(A2794="",1,0)</f>
        <v>0</v>
      </c>
      <c r="U2794" s="9" t="n">
        <f aca="false">IF(D2794="",1,0)</f>
        <v>0</v>
      </c>
      <c r="V2794" s="9" t="n">
        <f aca="false">IF(E2794="",1,0)</f>
        <v>0</v>
      </c>
      <c r="W2794" s="9" t="n">
        <f aca="false">IF(OR(H2794&lt;1,H2794&gt;10),1,0)</f>
        <v>0</v>
      </c>
      <c r="X2794" s="9" t="n">
        <f aca="false">IF(OR(I2794&lt;=0,I2794&gt;1500),1,0)</f>
        <v>0</v>
      </c>
      <c r="Y2794" s="9" t="n">
        <f aca="false">IF(J2794&gt;H2794*I2794,1,0)</f>
        <v>0</v>
      </c>
      <c r="Z2794" s="9" t="n">
        <f aca="false">IF(AND(N2794&lt;&gt;"",OR(N2794&lt;1,N2794&gt;5)),1,0)</f>
        <v>0</v>
      </c>
      <c r="AA2794" s="9" t="n">
        <f aca="false">IF(AND(M2794&lt;&gt;"",OR(M2794&lt;5,M2794&gt;180)),1,0)</f>
        <v>0</v>
      </c>
      <c r="AB2794" s="7" t="str">
        <f aca="false">IF(P2794="DUP","Exact duplicate row",IF(T2794=1,"Missing Order ID",IF(S2794="DROP","Duplicate Order ID (less complete row)",IF(U2794=1,"Missing Customer ID",IF(V2794=1,"Missing Restaurant name",IF(W2794=1,"Invalid/outlier quantity",IF(X2794=1,"Invalid/outlier unit price",IF(Y2794=1,"Discount greater than order value",""))))))))</f>
        <v/>
      </c>
      <c r="AC2794" s="7" t="str">
        <f aca="false">IF(AB2794="","KEEP","DROP")</f>
        <v>KEEP</v>
      </c>
      <c r="AD2794" s="7" t="str">
        <f aca="false">IF(TRIM(F2794)="",IFERROR(INDEX(Map_Tables!$I$4:$I$37,MATCH(TRIM(E2794),Map_Tables!$G$4:$G$37,0)),""),IFERROR(INDEX(Map_Tables!$B$4:$B$18,MATCH(TRIM(F2794),Map_Tables!$A$4:$A$18,0)),"CHECK"))</f>
        <v>Pune</v>
      </c>
      <c r="AE2794" s="7" t="str">
        <f aca="false">IF(TRIM(E2794)="","",IFERROR(INDEX(Map_Tables!$H$4:$H$37,MATCH(TRIM(E2794),Map_Tables!$G$4:$G$37,0)),"CHECK"))</f>
        <v>Pune Burger Hub</v>
      </c>
      <c r="AF2794" s="7" t="str">
        <f aca="false">IF(TRIM(K2794)="","Unknown",IFERROR(INDEX(Map_Tables!$E$4:$E$15,MATCH(TRIM(K2794),Map_Tables!$D$4:$D$15,0)),"CHECK"))</f>
        <v>UPI</v>
      </c>
      <c r="AG2794" s="7" t="str">
        <f aca="false">IF(LEFT(LOWER(TRIM(L2794)),6)="cancel","Cancelled","Delivered")</f>
        <v>Delivered</v>
      </c>
      <c r="AH2794" s="10" t="n">
        <f aca="false">IF(ISNUMBER(SEARCH("/",B2794)),DATE(VALUE(RIGHT(B2794,4)),VALUE(MID(B2794,4,2)),VALUE(LEFT(B2794,2))),IF(MID(B2794,5,1)="-",DATE(VALUE(LEFT(B2794,4)),VALUE(MID(B2794,6,2)),VALUE(RIGHT(B2794,2))),DATE(VALUE(RIGHT(B2794,4)),MATCH(MID(B2794,4,3),{"Jan","Feb","Mar","Apr","May","Jun","Jul","Aug","Sep","Oct","Nov","Dec"},0),VALUE(LEFT(B2794,2)))))</f>
        <v>45963</v>
      </c>
    </row>
    <row r="2795" customFormat="false" ht="15" hidden="false" customHeight="false" outlineLevel="0" collapsed="false">
      <c r="A2795" s="7" t="s">
        <v>5844</v>
      </c>
      <c r="B2795" s="7" t="s">
        <v>1535</v>
      </c>
      <c r="C2795" s="7" t="s">
        <v>2337</v>
      </c>
      <c r="D2795" s="7" t="s">
        <v>2951</v>
      </c>
      <c r="E2795" s="7" t="s">
        <v>148</v>
      </c>
      <c r="F2795" s="7" t="s">
        <v>119</v>
      </c>
      <c r="G2795" s="7" t="s">
        <v>123</v>
      </c>
      <c r="H2795" s="7" t="n">
        <v>1</v>
      </c>
      <c r="I2795" s="7" t="n">
        <v>235</v>
      </c>
      <c r="J2795" s="7" t="n">
        <v>50</v>
      </c>
      <c r="K2795" s="7" t="s">
        <v>88</v>
      </c>
      <c r="L2795" s="7" t="s">
        <v>194</v>
      </c>
      <c r="M2795" s="7" t="n">
        <v>43</v>
      </c>
      <c r="N2795" s="7" t="n">
        <v>5</v>
      </c>
      <c r="O2795" s="7" t="str">
        <f aca="false">A2795&amp;"|"&amp;B2795&amp;"|"&amp;C2795&amp;"|"&amp;D2795&amp;"|"&amp;E2795&amp;"|"&amp;F2795&amp;"|"&amp;G2795&amp;"|"&amp;H2795&amp;"|"&amp;I2795&amp;"|"&amp;J2795&amp;"|"&amp;K2795&amp;"|"&amp;L2795&amp;"|"&amp;M2795&amp;"|"&amp;N2795</f>
        <v>ORD12017|2025-09-18|18:29|C0596|Pizza Palace|Hyderabad|Pizza|1|235|50|UPI|Delivered|43|5</v>
      </c>
      <c r="P2795" s="7" t="str">
        <f aca="false">IF(COUNTIF($O$2:O2795,O2795)&gt;1,"DUP","OK")</f>
        <v>OK</v>
      </c>
      <c r="Q2795" s="7" t="n">
        <f aca="false">COUNTBLANK(A2795:N2795)</f>
        <v>0</v>
      </c>
      <c r="R2795" s="7" t="n">
        <f aca="false">IF(A2795="",0,COUNTIFS($A$2:$A$3058,A2795,$P$2:$P$3058,"OK"))</f>
        <v>1</v>
      </c>
      <c r="S2795" s="7" t="str">
        <f aca="false">IF(OR(A2795="",P2795="DUP",R2795&lt;2),"",IF(Q2795=_xlfn.MINIFS($Q$2:$Q$3058,$A$2:$A$3058,A2795,$P$2:$P$3058,"OK"),"KEEP","DROP"))</f>
        <v/>
      </c>
      <c r="T2795" s="9" t="n">
        <f aca="false">IF(A2795="",1,0)</f>
        <v>0</v>
      </c>
      <c r="U2795" s="9" t="n">
        <f aca="false">IF(D2795="",1,0)</f>
        <v>0</v>
      </c>
      <c r="V2795" s="9" t="n">
        <f aca="false">IF(E2795="",1,0)</f>
        <v>0</v>
      </c>
      <c r="W2795" s="9" t="n">
        <f aca="false">IF(OR(H2795&lt;1,H2795&gt;10),1,0)</f>
        <v>0</v>
      </c>
      <c r="X2795" s="9" t="n">
        <f aca="false">IF(OR(I2795&lt;=0,I2795&gt;1500),1,0)</f>
        <v>0</v>
      </c>
      <c r="Y2795" s="9" t="n">
        <f aca="false">IF(J2795&gt;H2795*I2795,1,0)</f>
        <v>0</v>
      </c>
      <c r="Z2795" s="9" t="n">
        <f aca="false">IF(AND(N2795&lt;&gt;"",OR(N2795&lt;1,N2795&gt;5)),1,0)</f>
        <v>0</v>
      </c>
      <c r="AA2795" s="9" t="n">
        <f aca="false">IF(AND(M2795&lt;&gt;"",OR(M2795&lt;5,M2795&gt;180)),1,0)</f>
        <v>0</v>
      </c>
      <c r="AB2795" s="7" t="str">
        <f aca="false">IF(P2795="DUP","Exact duplicate row",IF(T2795=1,"Missing Order ID",IF(S2795="DROP","Duplicate Order ID (less complete row)",IF(U2795=1,"Missing Customer ID",IF(V2795=1,"Missing Restaurant name",IF(W2795=1,"Invalid/outlier quantity",IF(X2795=1,"Invalid/outlier unit price",IF(Y2795=1,"Discount greater than order value",""))))))))</f>
        <v/>
      </c>
      <c r="AC2795" s="7" t="str">
        <f aca="false">IF(AB2795="","KEEP","DROP")</f>
        <v>KEEP</v>
      </c>
      <c r="AD2795" s="7" t="str">
        <f aca="false">IF(TRIM(F2795)="",IFERROR(INDEX(Map_Tables!$I$4:$I$37,MATCH(TRIM(E2795),Map_Tables!$G$4:$G$37,0)),""),IFERROR(INDEX(Map_Tables!$B$4:$B$18,MATCH(TRIM(F2795),Map_Tables!$A$4:$A$18,0)),"CHECK"))</f>
        <v>Hyderabad</v>
      </c>
      <c r="AE2795" s="7" t="str">
        <f aca="false">IF(TRIM(E2795)="","",IFERROR(INDEX(Map_Tables!$H$4:$H$37,MATCH(TRIM(E2795),Map_Tables!$G$4:$G$37,0)),"CHECK"))</f>
        <v>Pizza Palace</v>
      </c>
      <c r="AF2795" s="7" t="str">
        <f aca="false">IF(TRIM(K2795)="","Unknown",IFERROR(INDEX(Map_Tables!$E$4:$E$15,MATCH(TRIM(K2795),Map_Tables!$D$4:$D$15,0)),"CHECK"))</f>
        <v>UPI</v>
      </c>
      <c r="AG2795" s="7" t="str">
        <f aca="false">IF(LEFT(LOWER(TRIM(L2795)),6)="cancel","Cancelled","Delivered")</f>
        <v>Delivered</v>
      </c>
      <c r="AH2795" s="10" t="n">
        <f aca="false">IF(ISNUMBER(SEARCH("/",B2795)),DATE(VALUE(RIGHT(B2795,4)),VALUE(MID(B2795,4,2)),VALUE(LEFT(B2795,2))),IF(MID(B2795,5,1)="-",DATE(VALUE(LEFT(B2795,4)),VALUE(MID(B2795,6,2)),VALUE(RIGHT(B2795,2))),DATE(VALUE(RIGHT(B2795,4)),MATCH(MID(B2795,4,3),{"Jan","Feb","Mar","Apr","May","Jun","Jul","Aug","Sep","Oct","Nov","Dec"},0),VALUE(LEFT(B2795,2)))))</f>
        <v>45918</v>
      </c>
    </row>
    <row r="2796" customFormat="false" ht="15" hidden="false" customHeight="false" outlineLevel="0" collapsed="false">
      <c r="A2796" s="7" t="s">
        <v>5845</v>
      </c>
      <c r="B2796" s="7" t="s">
        <v>1049</v>
      </c>
      <c r="C2796" s="7" t="s">
        <v>5846</v>
      </c>
      <c r="D2796" s="7" t="s">
        <v>890</v>
      </c>
      <c r="E2796" s="7" t="s">
        <v>149</v>
      </c>
      <c r="F2796" s="7" t="s">
        <v>119</v>
      </c>
      <c r="G2796" s="7" t="s">
        <v>150</v>
      </c>
      <c r="H2796" s="7" t="n">
        <v>2</v>
      </c>
      <c r="I2796" s="7" t="n">
        <v>165</v>
      </c>
      <c r="J2796" s="7" t="n">
        <v>0</v>
      </c>
      <c r="K2796" s="7" t="s">
        <v>121</v>
      </c>
      <c r="L2796" s="7" t="s">
        <v>194</v>
      </c>
      <c r="M2796" s="7" t="n">
        <v>31</v>
      </c>
      <c r="N2796" s="7" t="n">
        <v>3</v>
      </c>
      <c r="O2796" s="7" t="str">
        <f aca="false">A2796&amp;"|"&amp;B2796&amp;"|"&amp;C2796&amp;"|"&amp;D2796&amp;"|"&amp;E2796&amp;"|"&amp;F2796&amp;"|"&amp;G2796&amp;"|"&amp;H2796&amp;"|"&amp;I2796&amp;"|"&amp;J2796&amp;"|"&amp;K2796&amp;"|"&amp;L2796&amp;"|"&amp;M2796&amp;"|"&amp;N2796</f>
        <v>ORD11659|2025-08-05|01:41|C0704|Sweet Tooth Studio|Hyderabad|Desserts|2|165|0|Wallet|Delivered|31|3</v>
      </c>
      <c r="P2796" s="7" t="str">
        <f aca="false">IF(COUNTIF($O$2:O2796,O2796)&gt;1,"DUP","OK")</f>
        <v>OK</v>
      </c>
      <c r="Q2796" s="7" t="n">
        <f aca="false">COUNTBLANK(A2796:N2796)</f>
        <v>0</v>
      </c>
      <c r="R2796" s="7" t="n">
        <f aca="false">IF(A2796="",0,COUNTIFS($A$2:$A$3058,A2796,$P$2:$P$3058,"OK"))</f>
        <v>1</v>
      </c>
      <c r="S2796" s="7" t="str">
        <f aca="false">IF(OR(A2796="",P2796="DUP",R2796&lt;2),"",IF(Q2796=_xlfn.MINIFS($Q$2:$Q$3058,$A$2:$A$3058,A2796,$P$2:$P$3058,"OK"),"KEEP","DROP"))</f>
        <v/>
      </c>
      <c r="T2796" s="9" t="n">
        <f aca="false">IF(A2796="",1,0)</f>
        <v>0</v>
      </c>
      <c r="U2796" s="9" t="n">
        <f aca="false">IF(D2796="",1,0)</f>
        <v>0</v>
      </c>
      <c r="V2796" s="9" t="n">
        <f aca="false">IF(E2796="",1,0)</f>
        <v>0</v>
      </c>
      <c r="W2796" s="9" t="n">
        <f aca="false">IF(OR(H2796&lt;1,H2796&gt;10),1,0)</f>
        <v>0</v>
      </c>
      <c r="X2796" s="9" t="n">
        <f aca="false">IF(OR(I2796&lt;=0,I2796&gt;1500),1,0)</f>
        <v>0</v>
      </c>
      <c r="Y2796" s="9" t="n">
        <f aca="false">IF(J2796&gt;H2796*I2796,1,0)</f>
        <v>0</v>
      </c>
      <c r="Z2796" s="9" t="n">
        <f aca="false">IF(AND(N2796&lt;&gt;"",OR(N2796&lt;1,N2796&gt;5)),1,0)</f>
        <v>0</v>
      </c>
      <c r="AA2796" s="9" t="n">
        <f aca="false">IF(AND(M2796&lt;&gt;"",OR(M2796&lt;5,M2796&gt;180)),1,0)</f>
        <v>0</v>
      </c>
      <c r="AB2796" s="7" t="str">
        <f aca="false">IF(P2796="DUP","Exact duplicate row",IF(T2796=1,"Missing Order ID",IF(S2796="DROP","Duplicate Order ID (less complete row)",IF(U2796=1,"Missing Customer ID",IF(V2796=1,"Missing Restaurant name",IF(W2796=1,"Invalid/outlier quantity",IF(X2796=1,"Invalid/outlier unit price",IF(Y2796=1,"Discount greater than order value",""))))))))</f>
        <v/>
      </c>
      <c r="AC2796" s="7" t="str">
        <f aca="false">IF(AB2796="","KEEP","DROP")</f>
        <v>KEEP</v>
      </c>
      <c r="AD2796" s="7" t="str">
        <f aca="false">IF(TRIM(F2796)="",IFERROR(INDEX(Map_Tables!$I$4:$I$37,MATCH(TRIM(E2796),Map_Tables!$G$4:$G$37,0)),""),IFERROR(INDEX(Map_Tables!$B$4:$B$18,MATCH(TRIM(F2796),Map_Tables!$A$4:$A$18,0)),"CHECK"))</f>
        <v>Hyderabad</v>
      </c>
      <c r="AE2796" s="7" t="str">
        <f aca="false">IF(TRIM(E2796)="","",IFERROR(INDEX(Map_Tables!$H$4:$H$37,MATCH(TRIM(E2796),Map_Tables!$G$4:$G$37,0)),"CHECK"))</f>
        <v>Sweet Tooth Studio</v>
      </c>
      <c r="AF2796" s="7" t="str">
        <f aca="false">IF(TRIM(K2796)="","Unknown",IFERROR(INDEX(Map_Tables!$E$4:$E$15,MATCH(TRIM(K2796),Map_Tables!$D$4:$D$15,0)),"CHECK"))</f>
        <v>Wallet</v>
      </c>
      <c r="AG2796" s="7" t="str">
        <f aca="false">IF(LEFT(LOWER(TRIM(L2796)),6)="cancel","Cancelled","Delivered")</f>
        <v>Delivered</v>
      </c>
      <c r="AH2796" s="10" t="n">
        <f aca="false">IF(ISNUMBER(SEARCH("/",B2796)),DATE(VALUE(RIGHT(B2796,4)),VALUE(MID(B2796,4,2)),VALUE(LEFT(B2796,2))),IF(MID(B2796,5,1)="-",DATE(VALUE(LEFT(B2796,4)),VALUE(MID(B2796,6,2)),VALUE(RIGHT(B2796,2))),DATE(VALUE(RIGHT(B2796,4)),MATCH(MID(B2796,4,3),{"Jan","Feb","Mar","Apr","May","Jun","Jul","Aug","Sep","Oct","Nov","Dec"},0),VALUE(LEFT(B2796,2)))))</f>
        <v>45874</v>
      </c>
    </row>
    <row r="2797" customFormat="false" ht="15" hidden="false" customHeight="false" outlineLevel="0" collapsed="false">
      <c r="A2797" s="7" t="s">
        <v>5847</v>
      </c>
      <c r="B2797" s="7" t="s">
        <v>1249</v>
      </c>
      <c r="C2797" s="7" t="s">
        <v>5848</v>
      </c>
      <c r="D2797" s="7" t="s">
        <v>2286</v>
      </c>
      <c r="E2797" s="7" t="s">
        <v>113</v>
      </c>
      <c r="F2797" s="7" t="s">
        <v>101</v>
      </c>
      <c r="G2797" s="7" t="s">
        <v>1391</v>
      </c>
      <c r="H2797" s="7" t="n">
        <v>3</v>
      </c>
      <c r="I2797" s="7" t="n">
        <v>215</v>
      </c>
      <c r="J2797" s="7" t="n">
        <v>0</v>
      </c>
      <c r="K2797" s="7" t="s">
        <v>88</v>
      </c>
      <c r="L2797" s="7" t="s">
        <v>194</v>
      </c>
      <c r="M2797" s="7" t="n">
        <v>37</v>
      </c>
      <c r="N2797" s="7" t="n">
        <v>5</v>
      </c>
      <c r="O2797" s="7" t="str">
        <f aca="false">A2797&amp;"|"&amp;B2797&amp;"|"&amp;C2797&amp;"|"&amp;D2797&amp;"|"&amp;E2797&amp;"|"&amp;F2797&amp;"|"&amp;G2797&amp;"|"&amp;H2797&amp;"|"&amp;I2797&amp;"|"&amp;J2797&amp;"|"&amp;K2797&amp;"|"&amp;L2797&amp;"|"&amp;M2797&amp;"|"&amp;N2797</f>
        <v>ORD11613|2025-07-29|16:47|C1146|Curry Leaf Kitchen|Mumbai|NORTH INDIAN|3|215|0|UPI|Delivered|37|5</v>
      </c>
      <c r="P2797" s="7" t="str">
        <f aca="false">IF(COUNTIF($O$2:O2797,O2797)&gt;1,"DUP","OK")</f>
        <v>OK</v>
      </c>
      <c r="Q2797" s="7" t="n">
        <f aca="false">COUNTBLANK(A2797:N2797)</f>
        <v>0</v>
      </c>
      <c r="R2797" s="7" t="n">
        <f aca="false">IF(A2797="",0,COUNTIFS($A$2:$A$3058,A2797,$P$2:$P$3058,"OK"))</f>
        <v>1</v>
      </c>
      <c r="S2797" s="7" t="str">
        <f aca="false">IF(OR(A2797="",P2797="DUP",R2797&lt;2),"",IF(Q2797=_xlfn.MINIFS($Q$2:$Q$3058,$A$2:$A$3058,A2797,$P$2:$P$3058,"OK"),"KEEP","DROP"))</f>
        <v/>
      </c>
      <c r="T2797" s="9" t="n">
        <f aca="false">IF(A2797="",1,0)</f>
        <v>0</v>
      </c>
      <c r="U2797" s="9" t="n">
        <f aca="false">IF(D2797="",1,0)</f>
        <v>0</v>
      </c>
      <c r="V2797" s="9" t="n">
        <f aca="false">IF(E2797="",1,0)</f>
        <v>0</v>
      </c>
      <c r="W2797" s="9" t="n">
        <f aca="false">IF(OR(H2797&lt;1,H2797&gt;10),1,0)</f>
        <v>0</v>
      </c>
      <c r="X2797" s="9" t="n">
        <f aca="false">IF(OR(I2797&lt;=0,I2797&gt;1500),1,0)</f>
        <v>0</v>
      </c>
      <c r="Y2797" s="9" t="n">
        <f aca="false">IF(J2797&gt;H2797*I2797,1,0)</f>
        <v>0</v>
      </c>
      <c r="Z2797" s="9" t="n">
        <f aca="false">IF(AND(N2797&lt;&gt;"",OR(N2797&lt;1,N2797&gt;5)),1,0)</f>
        <v>0</v>
      </c>
      <c r="AA2797" s="9" t="n">
        <f aca="false">IF(AND(M2797&lt;&gt;"",OR(M2797&lt;5,M2797&gt;180)),1,0)</f>
        <v>0</v>
      </c>
      <c r="AB2797" s="7" t="str">
        <f aca="false">IF(P2797="DUP","Exact duplicate row",IF(T2797=1,"Missing Order ID",IF(S2797="DROP","Duplicate Order ID (less complete row)",IF(U2797=1,"Missing Customer ID",IF(V2797=1,"Missing Restaurant name",IF(W2797=1,"Invalid/outlier quantity",IF(X2797=1,"Invalid/outlier unit price",IF(Y2797=1,"Discount greater than order value",""))))))))</f>
        <v/>
      </c>
      <c r="AC2797" s="7" t="str">
        <f aca="false">IF(AB2797="","KEEP","DROP")</f>
        <v>KEEP</v>
      </c>
      <c r="AD2797" s="7" t="str">
        <f aca="false">IF(TRIM(F2797)="",IFERROR(INDEX(Map_Tables!$I$4:$I$37,MATCH(TRIM(E2797),Map_Tables!$G$4:$G$37,0)),""),IFERROR(INDEX(Map_Tables!$B$4:$B$18,MATCH(TRIM(F2797),Map_Tables!$A$4:$A$18,0)),"CHECK"))</f>
        <v>Mumbai</v>
      </c>
      <c r="AE2797" s="7" t="str">
        <f aca="false">IF(TRIM(E2797)="","",IFERROR(INDEX(Map_Tables!$H$4:$H$37,MATCH(TRIM(E2797),Map_Tables!$G$4:$G$37,0)),"CHECK"))</f>
        <v>Curry Leaf Kitchen</v>
      </c>
      <c r="AF2797" s="7" t="str">
        <f aca="false">IF(TRIM(K2797)="","Unknown",IFERROR(INDEX(Map_Tables!$E$4:$E$15,MATCH(TRIM(K2797),Map_Tables!$D$4:$D$15,0)),"CHECK"))</f>
        <v>UPI</v>
      </c>
      <c r="AG2797" s="7" t="str">
        <f aca="false">IF(LEFT(LOWER(TRIM(L2797)),6)="cancel","Cancelled","Delivered")</f>
        <v>Delivered</v>
      </c>
      <c r="AH2797" s="10" t="n">
        <f aca="false">IF(ISNUMBER(SEARCH("/",B2797)),DATE(VALUE(RIGHT(B2797,4)),VALUE(MID(B2797,4,2)),VALUE(LEFT(B2797,2))),IF(MID(B2797,5,1)="-",DATE(VALUE(LEFT(B2797,4)),VALUE(MID(B2797,6,2)),VALUE(RIGHT(B2797,2))),DATE(VALUE(RIGHT(B2797,4)),MATCH(MID(B2797,4,3),{"Jan","Feb","Mar","Apr","May","Jun","Jul","Aug","Sep","Oct","Nov","Dec"},0),VALUE(LEFT(B2797,2)))))</f>
        <v>45867</v>
      </c>
    </row>
    <row r="2798" customFormat="false" ht="15" hidden="false" customHeight="false" outlineLevel="0" collapsed="false">
      <c r="A2798" s="7" t="s">
        <v>5849</v>
      </c>
      <c r="B2798" s="7" t="s">
        <v>2107</v>
      </c>
      <c r="C2798" s="7" t="s">
        <v>675</v>
      </c>
      <c r="D2798" s="7" t="s">
        <v>1952</v>
      </c>
      <c r="E2798" s="7" t="s">
        <v>116</v>
      </c>
      <c r="F2798" s="7" t="s">
        <v>101</v>
      </c>
      <c r="G2798" s="7" t="s">
        <v>117</v>
      </c>
      <c r="H2798" s="7" t="n">
        <v>1</v>
      </c>
      <c r="I2798" s="7" t="n">
        <v>120</v>
      </c>
      <c r="J2798" s="7" t="n">
        <v>0</v>
      </c>
      <c r="K2798" s="7" t="s">
        <v>88</v>
      </c>
      <c r="L2798" s="7" t="s">
        <v>194</v>
      </c>
      <c r="M2798" s="7" t="n">
        <v>49</v>
      </c>
      <c r="N2798" s="7" t="n">
        <v>3</v>
      </c>
      <c r="O2798" s="7" t="str">
        <f aca="false">A2798&amp;"|"&amp;B2798&amp;"|"&amp;C2798&amp;"|"&amp;D2798&amp;"|"&amp;E2798&amp;"|"&amp;F2798&amp;"|"&amp;G2798&amp;"|"&amp;H2798&amp;"|"&amp;I2798&amp;"|"&amp;J2798&amp;"|"&amp;K2798&amp;"|"&amp;L2798&amp;"|"&amp;M2798&amp;"|"&amp;N2798</f>
        <v>ORD12476|07/11/2025|12:32|C0489|Pav Bhaji Point|Mumbai|Street Food|1|120|0|UPI|Delivered|49|3</v>
      </c>
      <c r="P2798" s="7" t="str">
        <f aca="false">IF(COUNTIF($O$2:O2798,O2798)&gt;1,"DUP","OK")</f>
        <v>OK</v>
      </c>
      <c r="Q2798" s="7" t="n">
        <f aca="false">COUNTBLANK(A2798:N2798)</f>
        <v>0</v>
      </c>
      <c r="R2798" s="7" t="n">
        <f aca="false">IF(A2798="",0,COUNTIFS($A$2:$A$3058,A2798,$P$2:$P$3058,"OK"))</f>
        <v>1</v>
      </c>
      <c r="S2798" s="7" t="str">
        <f aca="false">IF(OR(A2798="",P2798="DUP",R2798&lt;2),"",IF(Q2798=_xlfn.MINIFS($Q$2:$Q$3058,$A$2:$A$3058,A2798,$P$2:$P$3058,"OK"),"KEEP","DROP"))</f>
        <v/>
      </c>
      <c r="T2798" s="9" t="n">
        <f aca="false">IF(A2798="",1,0)</f>
        <v>0</v>
      </c>
      <c r="U2798" s="9" t="n">
        <f aca="false">IF(D2798="",1,0)</f>
        <v>0</v>
      </c>
      <c r="V2798" s="9" t="n">
        <f aca="false">IF(E2798="",1,0)</f>
        <v>0</v>
      </c>
      <c r="W2798" s="9" t="n">
        <f aca="false">IF(OR(H2798&lt;1,H2798&gt;10),1,0)</f>
        <v>0</v>
      </c>
      <c r="X2798" s="9" t="n">
        <f aca="false">IF(OR(I2798&lt;=0,I2798&gt;1500),1,0)</f>
        <v>0</v>
      </c>
      <c r="Y2798" s="9" t="n">
        <f aca="false">IF(J2798&gt;H2798*I2798,1,0)</f>
        <v>0</v>
      </c>
      <c r="Z2798" s="9" t="n">
        <f aca="false">IF(AND(N2798&lt;&gt;"",OR(N2798&lt;1,N2798&gt;5)),1,0)</f>
        <v>0</v>
      </c>
      <c r="AA2798" s="9" t="n">
        <f aca="false">IF(AND(M2798&lt;&gt;"",OR(M2798&lt;5,M2798&gt;180)),1,0)</f>
        <v>0</v>
      </c>
      <c r="AB2798" s="7" t="str">
        <f aca="false">IF(P2798="DUP","Exact duplicate row",IF(T2798=1,"Missing Order ID",IF(S2798="DROP","Duplicate Order ID (less complete row)",IF(U2798=1,"Missing Customer ID",IF(V2798=1,"Missing Restaurant name",IF(W2798=1,"Invalid/outlier quantity",IF(X2798=1,"Invalid/outlier unit price",IF(Y2798=1,"Discount greater than order value",""))))))))</f>
        <v/>
      </c>
      <c r="AC2798" s="7" t="str">
        <f aca="false">IF(AB2798="","KEEP","DROP")</f>
        <v>KEEP</v>
      </c>
      <c r="AD2798" s="7" t="str">
        <f aca="false">IF(TRIM(F2798)="",IFERROR(INDEX(Map_Tables!$I$4:$I$37,MATCH(TRIM(E2798),Map_Tables!$G$4:$G$37,0)),""),IFERROR(INDEX(Map_Tables!$B$4:$B$18,MATCH(TRIM(F2798),Map_Tables!$A$4:$A$18,0)),"CHECK"))</f>
        <v>Mumbai</v>
      </c>
      <c r="AE2798" s="7" t="str">
        <f aca="false">IF(TRIM(E2798)="","",IFERROR(INDEX(Map_Tables!$H$4:$H$37,MATCH(TRIM(E2798),Map_Tables!$G$4:$G$37,0)),"CHECK"))</f>
        <v>Pav Bhaji Point</v>
      </c>
      <c r="AF2798" s="7" t="str">
        <f aca="false">IF(TRIM(K2798)="","Unknown",IFERROR(INDEX(Map_Tables!$E$4:$E$15,MATCH(TRIM(K2798),Map_Tables!$D$4:$D$15,0)),"CHECK"))</f>
        <v>UPI</v>
      </c>
      <c r="AG2798" s="7" t="str">
        <f aca="false">IF(LEFT(LOWER(TRIM(L2798)),6)="cancel","Cancelled","Delivered")</f>
        <v>Delivered</v>
      </c>
      <c r="AH2798" s="10" t="n">
        <f aca="false">IF(ISNUMBER(SEARCH("/",B2798)),DATE(VALUE(RIGHT(B2798,4)),VALUE(MID(B2798,4,2)),VALUE(LEFT(B2798,2))),IF(MID(B2798,5,1)="-",DATE(VALUE(LEFT(B2798,4)),VALUE(MID(B2798,6,2)),VALUE(RIGHT(B2798,2))),DATE(VALUE(RIGHT(B2798,4)),MATCH(MID(B2798,4,3),{"Jan","Feb","Mar","Apr","May","Jun","Jul","Aug","Sep","Oct","Nov","Dec"},0),VALUE(LEFT(B2798,2)))))</f>
        <v>45968</v>
      </c>
    </row>
    <row r="2799" customFormat="false" ht="15" hidden="false" customHeight="false" outlineLevel="0" collapsed="false">
      <c r="A2799" s="7" t="s">
        <v>5850</v>
      </c>
      <c r="B2799" s="7" t="s">
        <v>1711</v>
      </c>
      <c r="C2799" s="7" t="s">
        <v>1008</v>
      </c>
      <c r="D2799" s="7" t="s">
        <v>425</v>
      </c>
      <c r="E2799" s="7" t="s">
        <v>113</v>
      </c>
      <c r="F2799" s="7" t="s">
        <v>101</v>
      </c>
      <c r="G2799" s="7" t="s">
        <v>90</v>
      </c>
      <c r="H2799" s="7" t="n">
        <v>3</v>
      </c>
      <c r="I2799" s="7" t="n">
        <v>220</v>
      </c>
      <c r="J2799" s="7" t="n">
        <v>40</v>
      </c>
      <c r="K2799" s="7" t="s">
        <v>112</v>
      </c>
      <c r="L2799" s="7" t="s">
        <v>194</v>
      </c>
      <c r="M2799" s="7" t="n">
        <v>28</v>
      </c>
      <c r="N2799" s="7" t="n">
        <v>4</v>
      </c>
      <c r="O2799" s="7" t="str">
        <f aca="false">A2799&amp;"|"&amp;B2799&amp;"|"&amp;C2799&amp;"|"&amp;D2799&amp;"|"&amp;E2799&amp;"|"&amp;F2799&amp;"|"&amp;G2799&amp;"|"&amp;H2799&amp;"|"&amp;I2799&amp;"|"&amp;J2799&amp;"|"&amp;K2799&amp;"|"&amp;L2799&amp;"|"&amp;M2799&amp;"|"&amp;N2799</f>
        <v>ORD12127|2025-09-30|17:54|C1386|Curry Leaf Kitchen|Mumbai|North Indian|3|220|40|Cash on Delivery|Delivered|28|4</v>
      </c>
      <c r="P2799" s="7" t="str">
        <f aca="false">IF(COUNTIF($O$2:O2799,O2799)&gt;1,"DUP","OK")</f>
        <v>OK</v>
      </c>
      <c r="Q2799" s="7" t="n">
        <f aca="false">COUNTBLANK(A2799:N2799)</f>
        <v>0</v>
      </c>
      <c r="R2799" s="7" t="n">
        <f aca="false">IF(A2799="",0,COUNTIFS($A$2:$A$3058,A2799,$P$2:$P$3058,"OK"))</f>
        <v>1</v>
      </c>
      <c r="S2799" s="7" t="str">
        <f aca="false">IF(OR(A2799="",P2799="DUP",R2799&lt;2),"",IF(Q2799=_xlfn.MINIFS($Q$2:$Q$3058,$A$2:$A$3058,A2799,$P$2:$P$3058,"OK"),"KEEP","DROP"))</f>
        <v/>
      </c>
      <c r="T2799" s="9" t="n">
        <f aca="false">IF(A2799="",1,0)</f>
        <v>0</v>
      </c>
      <c r="U2799" s="9" t="n">
        <f aca="false">IF(D2799="",1,0)</f>
        <v>0</v>
      </c>
      <c r="V2799" s="9" t="n">
        <f aca="false">IF(E2799="",1,0)</f>
        <v>0</v>
      </c>
      <c r="W2799" s="9" t="n">
        <f aca="false">IF(OR(H2799&lt;1,H2799&gt;10),1,0)</f>
        <v>0</v>
      </c>
      <c r="X2799" s="9" t="n">
        <f aca="false">IF(OR(I2799&lt;=0,I2799&gt;1500),1,0)</f>
        <v>0</v>
      </c>
      <c r="Y2799" s="9" t="n">
        <f aca="false">IF(J2799&gt;H2799*I2799,1,0)</f>
        <v>0</v>
      </c>
      <c r="Z2799" s="9" t="n">
        <f aca="false">IF(AND(N2799&lt;&gt;"",OR(N2799&lt;1,N2799&gt;5)),1,0)</f>
        <v>0</v>
      </c>
      <c r="AA2799" s="9" t="n">
        <f aca="false">IF(AND(M2799&lt;&gt;"",OR(M2799&lt;5,M2799&gt;180)),1,0)</f>
        <v>0</v>
      </c>
      <c r="AB2799" s="7" t="str">
        <f aca="false">IF(P2799="DUP","Exact duplicate row",IF(T2799=1,"Missing Order ID",IF(S2799="DROP","Duplicate Order ID (less complete row)",IF(U2799=1,"Missing Customer ID",IF(V2799=1,"Missing Restaurant name",IF(W2799=1,"Invalid/outlier quantity",IF(X2799=1,"Invalid/outlier unit price",IF(Y2799=1,"Discount greater than order value",""))))))))</f>
        <v/>
      </c>
      <c r="AC2799" s="7" t="str">
        <f aca="false">IF(AB2799="","KEEP","DROP")</f>
        <v>KEEP</v>
      </c>
      <c r="AD2799" s="7" t="str">
        <f aca="false">IF(TRIM(F2799)="",IFERROR(INDEX(Map_Tables!$I$4:$I$37,MATCH(TRIM(E2799),Map_Tables!$G$4:$G$37,0)),""),IFERROR(INDEX(Map_Tables!$B$4:$B$18,MATCH(TRIM(F2799),Map_Tables!$A$4:$A$18,0)),"CHECK"))</f>
        <v>Mumbai</v>
      </c>
      <c r="AE2799" s="7" t="str">
        <f aca="false">IF(TRIM(E2799)="","",IFERROR(INDEX(Map_Tables!$H$4:$H$37,MATCH(TRIM(E2799),Map_Tables!$G$4:$G$37,0)),"CHECK"))</f>
        <v>Curry Leaf Kitchen</v>
      </c>
      <c r="AF2799" s="7" t="str">
        <f aca="false">IF(TRIM(K2799)="","Unknown",IFERROR(INDEX(Map_Tables!$E$4:$E$15,MATCH(TRIM(K2799),Map_Tables!$D$4:$D$15,0)),"CHECK"))</f>
        <v>Cash on Delivery</v>
      </c>
      <c r="AG2799" s="7" t="str">
        <f aca="false">IF(LEFT(LOWER(TRIM(L2799)),6)="cancel","Cancelled","Delivered")</f>
        <v>Delivered</v>
      </c>
      <c r="AH2799" s="10" t="n">
        <f aca="false">IF(ISNUMBER(SEARCH("/",B2799)),DATE(VALUE(RIGHT(B2799,4)),VALUE(MID(B2799,4,2)),VALUE(LEFT(B2799,2))),IF(MID(B2799,5,1)="-",DATE(VALUE(LEFT(B2799,4)),VALUE(MID(B2799,6,2)),VALUE(RIGHT(B2799,2))),DATE(VALUE(RIGHT(B2799,4)),MATCH(MID(B2799,4,3),{"Jan","Feb","Mar","Apr","May","Jun","Jul","Aug","Sep","Oct","Nov","Dec"},0),VALUE(LEFT(B2799,2)))))</f>
        <v>45930</v>
      </c>
    </row>
    <row r="2800" customFormat="false" ht="15" hidden="false" customHeight="false" outlineLevel="0" collapsed="false">
      <c r="A2800" s="7" t="s">
        <v>5851</v>
      </c>
      <c r="B2800" s="7" t="s">
        <v>727</v>
      </c>
      <c r="C2800" s="7" t="s">
        <v>258</v>
      </c>
      <c r="D2800" s="7" t="s">
        <v>4826</v>
      </c>
      <c r="E2800" s="7" t="s">
        <v>157</v>
      </c>
      <c r="F2800" s="7" t="s">
        <v>136</v>
      </c>
      <c r="G2800" s="7" t="s">
        <v>117</v>
      </c>
      <c r="H2800" s="7" t="n">
        <v>2</v>
      </c>
      <c r="I2800" s="7" t="n">
        <v>110</v>
      </c>
      <c r="J2800" s="7" t="n">
        <v>0</v>
      </c>
      <c r="K2800" s="7" t="s">
        <v>115</v>
      </c>
      <c r="L2800" s="7" t="s">
        <v>194</v>
      </c>
      <c r="M2800" s="7" t="n">
        <v>29</v>
      </c>
      <c r="N2800" s="7" t="n">
        <v>5</v>
      </c>
      <c r="O2800" s="7" t="str">
        <f aca="false">A2800&amp;"|"&amp;B2800&amp;"|"&amp;C2800&amp;"|"&amp;D2800&amp;"|"&amp;E2800&amp;"|"&amp;F2800&amp;"|"&amp;G2800&amp;"|"&amp;H2800&amp;"|"&amp;I2800&amp;"|"&amp;J2800&amp;"|"&amp;K2800&amp;"|"&amp;L2800&amp;"|"&amp;M2800&amp;"|"&amp;N2800</f>
        <v>ORD10637|2025-03-21|20:24|C1373|Misal Mantra|Pune|Street Food|2|110|0|cash on delivery|Delivered|29|5</v>
      </c>
      <c r="P2800" s="7" t="str">
        <f aca="false">IF(COUNTIF($O$2:O2800,O2800)&gt;1,"DUP","OK")</f>
        <v>OK</v>
      </c>
      <c r="Q2800" s="7" t="n">
        <f aca="false">COUNTBLANK(A2800:N2800)</f>
        <v>0</v>
      </c>
      <c r="R2800" s="7" t="n">
        <f aca="false">IF(A2800="",0,COUNTIFS($A$2:$A$3058,A2800,$P$2:$P$3058,"OK"))</f>
        <v>1</v>
      </c>
      <c r="S2800" s="7" t="str">
        <f aca="false">IF(OR(A2800="",P2800="DUP",R2800&lt;2),"",IF(Q2800=_xlfn.MINIFS($Q$2:$Q$3058,$A$2:$A$3058,A2800,$P$2:$P$3058,"OK"),"KEEP","DROP"))</f>
        <v/>
      </c>
      <c r="T2800" s="9" t="n">
        <f aca="false">IF(A2800="",1,0)</f>
        <v>0</v>
      </c>
      <c r="U2800" s="9" t="n">
        <f aca="false">IF(D2800="",1,0)</f>
        <v>0</v>
      </c>
      <c r="V2800" s="9" t="n">
        <f aca="false">IF(E2800="",1,0)</f>
        <v>0</v>
      </c>
      <c r="W2800" s="9" t="n">
        <f aca="false">IF(OR(H2800&lt;1,H2800&gt;10),1,0)</f>
        <v>0</v>
      </c>
      <c r="X2800" s="9" t="n">
        <f aca="false">IF(OR(I2800&lt;=0,I2800&gt;1500),1,0)</f>
        <v>0</v>
      </c>
      <c r="Y2800" s="9" t="n">
        <f aca="false">IF(J2800&gt;H2800*I2800,1,0)</f>
        <v>0</v>
      </c>
      <c r="Z2800" s="9" t="n">
        <f aca="false">IF(AND(N2800&lt;&gt;"",OR(N2800&lt;1,N2800&gt;5)),1,0)</f>
        <v>0</v>
      </c>
      <c r="AA2800" s="9" t="n">
        <f aca="false">IF(AND(M2800&lt;&gt;"",OR(M2800&lt;5,M2800&gt;180)),1,0)</f>
        <v>0</v>
      </c>
      <c r="AB2800" s="7" t="str">
        <f aca="false">IF(P2800="DUP","Exact duplicate row",IF(T2800=1,"Missing Order ID",IF(S2800="DROP","Duplicate Order ID (less complete row)",IF(U2800=1,"Missing Customer ID",IF(V2800=1,"Missing Restaurant name",IF(W2800=1,"Invalid/outlier quantity",IF(X2800=1,"Invalid/outlier unit price",IF(Y2800=1,"Discount greater than order value",""))))))))</f>
        <v/>
      </c>
      <c r="AC2800" s="7" t="str">
        <f aca="false">IF(AB2800="","KEEP","DROP")</f>
        <v>KEEP</v>
      </c>
      <c r="AD2800" s="7" t="str">
        <f aca="false">IF(TRIM(F2800)="",IFERROR(INDEX(Map_Tables!$I$4:$I$37,MATCH(TRIM(E2800),Map_Tables!$G$4:$G$37,0)),""),IFERROR(INDEX(Map_Tables!$B$4:$B$18,MATCH(TRIM(F2800),Map_Tables!$A$4:$A$18,0)),"CHECK"))</f>
        <v>Pune</v>
      </c>
      <c r="AE2800" s="7" t="str">
        <f aca="false">IF(TRIM(E2800)="","",IFERROR(INDEX(Map_Tables!$H$4:$H$37,MATCH(TRIM(E2800),Map_Tables!$G$4:$G$37,0)),"CHECK"))</f>
        <v>Misal Mantra</v>
      </c>
      <c r="AF2800" s="7" t="str">
        <f aca="false">IF(TRIM(K2800)="","Unknown",IFERROR(INDEX(Map_Tables!$E$4:$E$15,MATCH(TRIM(K2800),Map_Tables!$D$4:$D$15,0)),"CHECK"))</f>
        <v>Cash on Delivery</v>
      </c>
      <c r="AG2800" s="7" t="str">
        <f aca="false">IF(LEFT(LOWER(TRIM(L2800)),6)="cancel","Cancelled","Delivered")</f>
        <v>Delivered</v>
      </c>
      <c r="AH2800" s="10" t="n">
        <f aca="false">IF(ISNUMBER(SEARCH("/",B2800)),DATE(VALUE(RIGHT(B2800,4)),VALUE(MID(B2800,4,2)),VALUE(LEFT(B2800,2))),IF(MID(B2800,5,1)="-",DATE(VALUE(LEFT(B2800,4)),VALUE(MID(B2800,6,2)),VALUE(RIGHT(B2800,2))),DATE(VALUE(RIGHT(B2800,4)),MATCH(MID(B2800,4,3),{"Jan","Feb","Mar","Apr","May","Jun","Jul","Aug","Sep","Oct","Nov","Dec"},0),VALUE(LEFT(B2800,2)))))</f>
        <v>45737</v>
      </c>
    </row>
    <row r="2801" customFormat="false" ht="15" hidden="false" customHeight="false" outlineLevel="0" collapsed="false">
      <c r="A2801" s="7" t="s">
        <v>5852</v>
      </c>
      <c r="B2801" s="7" t="s">
        <v>723</v>
      </c>
      <c r="C2801" s="7" t="s">
        <v>3400</v>
      </c>
      <c r="D2801" s="7" t="s">
        <v>2983</v>
      </c>
      <c r="E2801" s="7" t="s">
        <v>138</v>
      </c>
      <c r="F2801" s="7" t="s">
        <v>110</v>
      </c>
      <c r="G2801" s="7" t="s">
        <v>139</v>
      </c>
      <c r="H2801" s="7" t="n">
        <v>2</v>
      </c>
      <c r="I2801" s="7" t="n">
        <v>220</v>
      </c>
      <c r="J2801" s="7" t="n">
        <v>0</v>
      </c>
      <c r="K2801" s="7" t="s">
        <v>88</v>
      </c>
      <c r="L2801" s="7" t="s">
        <v>194</v>
      </c>
      <c r="M2801" s="7" t="n">
        <v>41</v>
      </c>
      <c r="N2801" s="7" t="n">
        <v>4</v>
      </c>
      <c r="O2801" s="7" t="str">
        <f aca="false">A2801&amp;"|"&amp;B2801&amp;"|"&amp;C2801&amp;"|"&amp;D2801&amp;"|"&amp;E2801&amp;"|"&amp;F2801&amp;"|"&amp;G2801&amp;"|"&amp;H2801&amp;"|"&amp;I2801&amp;"|"&amp;J2801&amp;"|"&amp;K2801&amp;"|"&amp;L2801&amp;"|"&amp;M2801&amp;"|"&amp;N2801</f>
        <v>ORD10608|2025-03-18|12:56|C1064|Burger Barn|Delhi|Burgers|2|220|0|UPI|Delivered|41|4</v>
      </c>
      <c r="P2801" s="7" t="str">
        <f aca="false">IF(COUNTIF($O$2:O2801,O2801)&gt;1,"DUP","OK")</f>
        <v>OK</v>
      </c>
      <c r="Q2801" s="7" t="n">
        <f aca="false">COUNTBLANK(A2801:N2801)</f>
        <v>0</v>
      </c>
      <c r="R2801" s="7" t="n">
        <f aca="false">IF(A2801="",0,COUNTIFS($A$2:$A$3058,A2801,$P$2:$P$3058,"OK"))</f>
        <v>1</v>
      </c>
      <c r="S2801" s="7" t="str">
        <f aca="false">IF(OR(A2801="",P2801="DUP",R2801&lt;2),"",IF(Q2801=_xlfn.MINIFS($Q$2:$Q$3058,$A$2:$A$3058,A2801,$P$2:$P$3058,"OK"),"KEEP","DROP"))</f>
        <v/>
      </c>
      <c r="T2801" s="9" t="n">
        <f aca="false">IF(A2801="",1,0)</f>
        <v>0</v>
      </c>
      <c r="U2801" s="9" t="n">
        <f aca="false">IF(D2801="",1,0)</f>
        <v>0</v>
      </c>
      <c r="V2801" s="9" t="n">
        <f aca="false">IF(E2801="",1,0)</f>
        <v>0</v>
      </c>
      <c r="W2801" s="9" t="n">
        <f aca="false">IF(OR(H2801&lt;1,H2801&gt;10),1,0)</f>
        <v>0</v>
      </c>
      <c r="X2801" s="9" t="n">
        <f aca="false">IF(OR(I2801&lt;=0,I2801&gt;1500),1,0)</f>
        <v>0</v>
      </c>
      <c r="Y2801" s="9" t="n">
        <f aca="false">IF(J2801&gt;H2801*I2801,1,0)</f>
        <v>0</v>
      </c>
      <c r="Z2801" s="9" t="n">
        <f aca="false">IF(AND(N2801&lt;&gt;"",OR(N2801&lt;1,N2801&gt;5)),1,0)</f>
        <v>0</v>
      </c>
      <c r="AA2801" s="9" t="n">
        <f aca="false">IF(AND(M2801&lt;&gt;"",OR(M2801&lt;5,M2801&gt;180)),1,0)</f>
        <v>0</v>
      </c>
      <c r="AB2801" s="7" t="str">
        <f aca="false">IF(P2801="DUP","Exact duplicate row",IF(T2801=1,"Missing Order ID",IF(S2801="DROP","Duplicate Order ID (less complete row)",IF(U2801=1,"Missing Customer ID",IF(V2801=1,"Missing Restaurant name",IF(W2801=1,"Invalid/outlier quantity",IF(X2801=1,"Invalid/outlier unit price",IF(Y2801=1,"Discount greater than order value",""))))))))</f>
        <v/>
      </c>
      <c r="AC2801" s="7" t="str">
        <f aca="false">IF(AB2801="","KEEP","DROP")</f>
        <v>KEEP</v>
      </c>
      <c r="AD2801" s="7" t="str">
        <f aca="false">IF(TRIM(F2801)="",IFERROR(INDEX(Map_Tables!$I$4:$I$37,MATCH(TRIM(E2801),Map_Tables!$G$4:$G$37,0)),""),IFERROR(INDEX(Map_Tables!$B$4:$B$18,MATCH(TRIM(F2801),Map_Tables!$A$4:$A$18,0)),"CHECK"))</f>
        <v>Delhi</v>
      </c>
      <c r="AE2801" s="7" t="str">
        <f aca="false">IF(TRIM(E2801)="","",IFERROR(INDEX(Map_Tables!$H$4:$H$37,MATCH(TRIM(E2801),Map_Tables!$G$4:$G$37,0)),"CHECK"))</f>
        <v>Burger Barn</v>
      </c>
      <c r="AF2801" s="7" t="str">
        <f aca="false">IF(TRIM(K2801)="","Unknown",IFERROR(INDEX(Map_Tables!$E$4:$E$15,MATCH(TRIM(K2801),Map_Tables!$D$4:$D$15,0)),"CHECK"))</f>
        <v>UPI</v>
      </c>
      <c r="AG2801" s="7" t="str">
        <f aca="false">IF(LEFT(LOWER(TRIM(L2801)),6)="cancel","Cancelled","Delivered")</f>
        <v>Delivered</v>
      </c>
      <c r="AH2801" s="10" t="n">
        <f aca="false">IF(ISNUMBER(SEARCH("/",B2801)),DATE(VALUE(RIGHT(B2801,4)),VALUE(MID(B2801,4,2)),VALUE(LEFT(B2801,2))),IF(MID(B2801,5,1)="-",DATE(VALUE(LEFT(B2801,4)),VALUE(MID(B2801,6,2)),VALUE(RIGHT(B2801,2))),DATE(VALUE(RIGHT(B2801,4)),MATCH(MID(B2801,4,3),{"Jan","Feb","Mar","Apr","May","Jun","Jul","Aug","Sep","Oct","Nov","Dec"},0),VALUE(LEFT(B2801,2)))))</f>
        <v>45734</v>
      </c>
    </row>
    <row r="2802" customFormat="false" ht="15" hidden="false" customHeight="false" outlineLevel="0" collapsed="false">
      <c r="A2802" s="7" t="s">
        <v>5853</v>
      </c>
      <c r="B2802" s="7" t="s">
        <v>1760</v>
      </c>
      <c r="C2802" s="7" t="s">
        <v>606</v>
      </c>
      <c r="D2802" s="7" t="s">
        <v>404</v>
      </c>
      <c r="E2802" s="7" t="s">
        <v>158</v>
      </c>
      <c r="F2802" s="7" t="s">
        <v>136</v>
      </c>
      <c r="G2802" s="7" t="s">
        <v>139</v>
      </c>
      <c r="H2802" s="7" t="n">
        <v>2</v>
      </c>
      <c r="I2802" s="7" t="n">
        <v>150</v>
      </c>
      <c r="J2802" s="7" t="n">
        <v>120</v>
      </c>
      <c r="K2802" s="7" t="s">
        <v>88</v>
      </c>
      <c r="L2802" s="7" t="s">
        <v>238</v>
      </c>
      <c r="M2802" s="7"/>
      <c r="N2802" s="7"/>
      <c r="O2802" s="7" t="str">
        <f aca="false">A2802&amp;"|"&amp;B2802&amp;"|"&amp;C2802&amp;"|"&amp;D2802&amp;"|"&amp;E2802&amp;"|"&amp;F2802&amp;"|"&amp;G2802&amp;"|"&amp;H2802&amp;"|"&amp;I2802&amp;"|"&amp;J2802&amp;"|"&amp;K2802&amp;"|"&amp;L2802&amp;"|"&amp;M2802&amp;"|"&amp;N2802</f>
        <v>ORD10231|2025-02-01|11:12|C0885|Pune Burger Hub|Pune|Burgers|2|150|120|UPI|Cancelled||</v>
      </c>
      <c r="P2802" s="7" t="str">
        <f aca="false">IF(COUNTIF($O$2:O2802,O2802)&gt;1,"DUP","OK")</f>
        <v>OK</v>
      </c>
      <c r="Q2802" s="7" t="n">
        <f aca="false">COUNTBLANK(A2802:N2802)</f>
        <v>2</v>
      </c>
      <c r="R2802" s="7" t="n">
        <f aca="false">IF(A2802="",0,COUNTIFS($A$2:$A$3058,A2802,$P$2:$P$3058,"OK"))</f>
        <v>1</v>
      </c>
      <c r="S2802" s="7" t="str">
        <f aca="false">IF(OR(A2802="",P2802="DUP",R2802&lt;2),"",IF(Q2802=_xlfn.MINIFS($Q$2:$Q$3058,$A$2:$A$3058,A2802,$P$2:$P$3058,"OK"),"KEEP","DROP"))</f>
        <v/>
      </c>
      <c r="T2802" s="9" t="n">
        <f aca="false">IF(A2802="",1,0)</f>
        <v>0</v>
      </c>
      <c r="U2802" s="9" t="n">
        <f aca="false">IF(D2802="",1,0)</f>
        <v>0</v>
      </c>
      <c r="V2802" s="9" t="n">
        <f aca="false">IF(E2802="",1,0)</f>
        <v>0</v>
      </c>
      <c r="W2802" s="9" t="n">
        <f aca="false">IF(OR(H2802&lt;1,H2802&gt;10),1,0)</f>
        <v>0</v>
      </c>
      <c r="X2802" s="9" t="n">
        <f aca="false">IF(OR(I2802&lt;=0,I2802&gt;1500),1,0)</f>
        <v>0</v>
      </c>
      <c r="Y2802" s="9" t="n">
        <f aca="false">IF(J2802&gt;H2802*I2802,1,0)</f>
        <v>0</v>
      </c>
      <c r="Z2802" s="9" t="n">
        <f aca="false">IF(AND(N2802&lt;&gt;"",OR(N2802&lt;1,N2802&gt;5)),1,0)</f>
        <v>0</v>
      </c>
      <c r="AA2802" s="9" t="n">
        <f aca="false">IF(AND(M2802&lt;&gt;"",OR(M2802&lt;5,M2802&gt;180)),1,0)</f>
        <v>0</v>
      </c>
      <c r="AB2802" s="7" t="str">
        <f aca="false">IF(P2802="DUP","Exact duplicate row",IF(T2802=1,"Missing Order ID",IF(S2802="DROP","Duplicate Order ID (less complete row)",IF(U2802=1,"Missing Customer ID",IF(V2802=1,"Missing Restaurant name",IF(W2802=1,"Invalid/outlier quantity",IF(X2802=1,"Invalid/outlier unit price",IF(Y2802=1,"Discount greater than order value",""))))))))</f>
        <v/>
      </c>
      <c r="AC2802" s="7" t="str">
        <f aca="false">IF(AB2802="","KEEP","DROP")</f>
        <v>KEEP</v>
      </c>
      <c r="AD2802" s="7" t="str">
        <f aca="false">IF(TRIM(F2802)="",IFERROR(INDEX(Map_Tables!$I$4:$I$37,MATCH(TRIM(E2802),Map_Tables!$G$4:$G$37,0)),""),IFERROR(INDEX(Map_Tables!$B$4:$B$18,MATCH(TRIM(F2802),Map_Tables!$A$4:$A$18,0)),"CHECK"))</f>
        <v>Pune</v>
      </c>
      <c r="AE2802" s="7" t="str">
        <f aca="false">IF(TRIM(E2802)="","",IFERROR(INDEX(Map_Tables!$H$4:$H$37,MATCH(TRIM(E2802),Map_Tables!$G$4:$G$37,0)),"CHECK"))</f>
        <v>Pune Burger Hub</v>
      </c>
      <c r="AF2802" s="7" t="str">
        <f aca="false">IF(TRIM(K2802)="","Unknown",IFERROR(INDEX(Map_Tables!$E$4:$E$15,MATCH(TRIM(K2802),Map_Tables!$D$4:$D$15,0)),"CHECK"))</f>
        <v>UPI</v>
      </c>
      <c r="AG2802" s="7" t="str">
        <f aca="false">IF(LEFT(LOWER(TRIM(L2802)),6)="cancel","Cancelled","Delivered")</f>
        <v>Cancelled</v>
      </c>
      <c r="AH2802" s="10" t="n">
        <f aca="false">IF(ISNUMBER(SEARCH("/",B2802)),DATE(VALUE(RIGHT(B2802,4)),VALUE(MID(B2802,4,2)),VALUE(LEFT(B2802,2))),IF(MID(B2802,5,1)="-",DATE(VALUE(LEFT(B2802,4)),VALUE(MID(B2802,6,2)),VALUE(RIGHT(B2802,2))),DATE(VALUE(RIGHT(B2802,4)),MATCH(MID(B2802,4,3),{"Jan","Feb","Mar","Apr","May","Jun","Jul","Aug","Sep","Oct","Nov","Dec"},0),VALUE(LEFT(B2802,2)))))</f>
        <v>45689</v>
      </c>
    </row>
    <row r="2803" customFormat="false" ht="15" hidden="false" customHeight="false" outlineLevel="0" collapsed="false">
      <c r="A2803" s="7" t="s">
        <v>5854</v>
      </c>
      <c r="B2803" s="7" t="s">
        <v>3277</v>
      </c>
      <c r="C2803" s="7" t="s">
        <v>2939</v>
      </c>
      <c r="D2803" s="7" t="s">
        <v>701</v>
      </c>
      <c r="E2803" s="7" t="s">
        <v>2752</v>
      </c>
      <c r="F2803" s="7" t="s">
        <v>110</v>
      </c>
      <c r="G2803" s="7" t="s">
        <v>90</v>
      </c>
      <c r="H2803" s="7" t="n">
        <v>2</v>
      </c>
      <c r="I2803" s="7" t="n">
        <v>285</v>
      </c>
      <c r="J2803" s="7" t="n">
        <v>0</v>
      </c>
      <c r="K2803" s="7" t="s">
        <v>112</v>
      </c>
      <c r="L2803" s="7" t="s">
        <v>194</v>
      </c>
      <c r="M2803" s="7" t="n">
        <v>38</v>
      </c>
      <c r="N2803" s="7" t="n">
        <v>4</v>
      </c>
      <c r="O2803" s="7" t="str">
        <f aca="false">A2803&amp;"|"&amp;B2803&amp;"|"&amp;C2803&amp;"|"&amp;D2803&amp;"|"&amp;E2803&amp;"|"&amp;F2803&amp;"|"&amp;G2803&amp;"|"&amp;H2803&amp;"|"&amp;I2803&amp;"|"&amp;J2803&amp;"|"&amp;K2803&amp;"|"&amp;L2803&amp;"|"&amp;M2803&amp;"|"&amp;N2803</f>
        <v>ORD10332|2025-02-13|17:33|C0431|Tandoor Tales |Delhi|North Indian|2|285|0|Cash on Delivery|Delivered|38|4</v>
      </c>
      <c r="P2803" s="7" t="str">
        <f aca="false">IF(COUNTIF($O$2:O2803,O2803)&gt;1,"DUP","OK")</f>
        <v>OK</v>
      </c>
      <c r="Q2803" s="7" t="n">
        <f aca="false">COUNTBLANK(A2803:N2803)</f>
        <v>0</v>
      </c>
      <c r="R2803" s="7" t="n">
        <f aca="false">IF(A2803="",0,COUNTIFS($A$2:$A$3058,A2803,$P$2:$P$3058,"OK"))</f>
        <v>1</v>
      </c>
      <c r="S2803" s="7" t="str">
        <f aca="false">IF(OR(A2803="",P2803="DUP",R2803&lt;2),"",IF(Q2803=_xlfn.MINIFS($Q$2:$Q$3058,$A$2:$A$3058,A2803,$P$2:$P$3058,"OK"),"KEEP","DROP"))</f>
        <v/>
      </c>
      <c r="T2803" s="9" t="n">
        <f aca="false">IF(A2803="",1,0)</f>
        <v>0</v>
      </c>
      <c r="U2803" s="9" t="n">
        <f aca="false">IF(D2803="",1,0)</f>
        <v>0</v>
      </c>
      <c r="V2803" s="9" t="n">
        <f aca="false">IF(E2803="",1,0)</f>
        <v>0</v>
      </c>
      <c r="W2803" s="9" t="n">
        <f aca="false">IF(OR(H2803&lt;1,H2803&gt;10),1,0)</f>
        <v>0</v>
      </c>
      <c r="X2803" s="9" t="n">
        <f aca="false">IF(OR(I2803&lt;=0,I2803&gt;1500),1,0)</f>
        <v>0</v>
      </c>
      <c r="Y2803" s="9" t="n">
        <f aca="false">IF(J2803&gt;H2803*I2803,1,0)</f>
        <v>0</v>
      </c>
      <c r="Z2803" s="9" t="n">
        <f aca="false">IF(AND(N2803&lt;&gt;"",OR(N2803&lt;1,N2803&gt;5)),1,0)</f>
        <v>0</v>
      </c>
      <c r="AA2803" s="9" t="n">
        <f aca="false">IF(AND(M2803&lt;&gt;"",OR(M2803&lt;5,M2803&gt;180)),1,0)</f>
        <v>0</v>
      </c>
      <c r="AB2803" s="7" t="str">
        <f aca="false">IF(P2803="DUP","Exact duplicate row",IF(T2803=1,"Missing Order ID",IF(S2803="DROP","Duplicate Order ID (less complete row)",IF(U2803=1,"Missing Customer ID",IF(V2803=1,"Missing Restaurant name",IF(W2803=1,"Invalid/outlier quantity",IF(X2803=1,"Invalid/outlier unit price",IF(Y2803=1,"Discount greater than order value",""))))))))</f>
        <v/>
      </c>
      <c r="AC2803" s="7" t="str">
        <f aca="false">IF(AB2803="","KEEP","DROP")</f>
        <v>KEEP</v>
      </c>
      <c r="AD2803" s="7" t="str">
        <f aca="false">IF(TRIM(F2803)="",IFERROR(INDEX(Map_Tables!$I$4:$I$37,MATCH(TRIM(E2803),Map_Tables!$G$4:$G$37,0)),""),IFERROR(INDEX(Map_Tables!$B$4:$B$18,MATCH(TRIM(F2803),Map_Tables!$A$4:$A$18,0)),"CHECK"))</f>
        <v>Delhi</v>
      </c>
      <c r="AE2803" s="7" t="str">
        <f aca="false">IF(TRIM(E2803)="","",IFERROR(INDEX(Map_Tables!$H$4:$H$37,MATCH(TRIM(E2803),Map_Tables!$G$4:$G$37,0)),"CHECK"))</f>
        <v>Tandoor Tales</v>
      </c>
      <c r="AF2803" s="7" t="str">
        <f aca="false">IF(TRIM(K2803)="","Unknown",IFERROR(INDEX(Map_Tables!$E$4:$E$15,MATCH(TRIM(K2803),Map_Tables!$D$4:$D$15,0)),"CHECK"))</f>
        <v>Cash on Delivery</v>
      </c>
      <c r="AG2803" s="7" t="str">
        <f aca="false">IF(LEFT(LOWER(TRIM(L2803)),6)="cancel","Cancelled","Delivered")</f>
        <v>Delivered</v>
      </c>
      <c r="AH2803" s="10" t="n">
        <f aca="false">IF(ISNUMBER(SEARCH("/",B2803)),DATE(VALUE(RIGHT(B2803,4)),VALUE(MID(B2803,4,2)),VALUE(LEFT(B2803,2))),IF(MID(B2803,5,1)="-",DATE(VALUE(LEFT(B2803,4)),VALUE(MID(B2803,6,2)),VALUE(RIGHT(B2803,2))),DATE(VALUE(RIGHT(B2803,4)),MATCH(MID(B2803,4,3),{"Jan","Feb","Mar","Apr","May","Jun","Jul","Aug","Sep","Oct","Nov","Dec"},0),VALUE(LEFT(B2803,2)))))</f>
        <v>45701</v>
      </c>
    </row>
    <row r="2804" customFormat="false" ht="15" hidden="false" customHeight="false" outlineLevel="0" collapsed="false">
      <c r="A2804" s="7" t="s">
        <v>5855</v>
      </c>
      <c r="B2804" s="7" t="s">
        <v>2582</v>
      </c>
      <c r="C2804" s="7" t="s">
        <v>3033</v>
      </c>
      <c r="D2804" s="7" t="s">
        <v>2532</v>
      </c>
      <c r="E2804" s="7" t="s">
        <v>165</v>
      </c>
      <c r="F2804" s="7" t="s">
        <v>146</v>
      </c>
      <c r="G2804" s="7" t="s">
        <v>90</v>
      </c>
      <c r="H2804" s="7" t="n">
        <v>1</v>
      </c>
      <c r="I2804" s="7" t="n">
        <v>240</v>
      </c>
      <c r="J2804" s="7" t="n">
        <v>30</v>
      </c>
      <c r="K2804" s="7" t="s">
        <v>103</v>
      </c>
      <c r="L2804" s="7" t="s">
        <v>194</v>
      </c>
      <c r="M2804" s="7" t="n">
        <v>29</v>
      </c>
      <c r="N2804" s="7" t="n">
        <v>4</v>
      </c>
      <c r="O2804" s="7" t="str">
        <f aca="false">A2804&amp;"|"&amp;B2804&amp;"|"&amp;C2804&amp;"|"&amp;D2804&amp;"|"&amp;E2804&amp;"|"&amp;F2804&amp;"|"&amp;G2804&amp;"|"&amp;H2804&amp;"|"&amp;I2804&amp;"|"&amp;J2804&amp;"|"&amp;K2804&amp;"|"&amp;L2804&amp;"|"&amp;M2804&amp;"|"&amp;N2804</f>
        <v>ORD11441|2025-07-06|14:17|C1383|Gujarati Thali Ghar|Ahmedabad|North Indian|1|240|30|Debit Card|Delivered|29|4</v>
      </c>
      <c r="P2804" s="7" t="str">
        <f aca="false">IF(COUNTIF($O$2:O2804,O2804)&gt;1,"DUP","OK")</f>
        <v>OK</v>
      </c>
      <c r="Q2804" s="7" t="n">
        <f aca="false">COUNTBLANK(A2804:N2804)</f>
        <v>0</v>
      </c>
      <c r="R2804" s="7" t="n">
        <f aca="false">IF(A2804="",0,COUNTIFS($A$2:$A$3058,A2804,$P$2:$P$3058,"OK"))</f>
        <v>1</v>
      </c>
      <c r="S2804" s="7" t="str">
        <f aca="false">IF(OR(A2804="",P2804="DUP",R2804&lt;2),"",IF(Q2804=_xlfn.MINIFS($Q$2:$Q$3058,$A$2:$A$3058,A2804,$P$2:$P$3058,"OK"),"KEEP","DROP"))</f>
        <v/>
      </c>
      <c r="T2804" s="9" t="n">
        <f aca="false">IF(A2804="",1,0)</f>
        <v>0</v>
      </c>
      <c r="U2804" s="9" t="n">
        <f aca="false">IF(D2804="",1,0)</f>
        <v>0</v>
      </c>
      <c r="V2804" s="9" t="n">
        <f aca="false">IF(E2804="",1,0)</f>
        <v>0</v>
      </c>
      <c r="W2804" s="9" t="n">
        <f aca="false">IF(OR(H2804&lt;1,H2804&gt;10),1,0)</f>
        <v>0</v>
      </c>
      <c r="X2804" s="9" t="n">
        <f aca="false">IF(OR(I2804&lt;=0,I2804&gt;1500),1,0)</f>
        <v>0</v>
      </c>
      <c r="Y2804" s="9" t="n">
        <f aca="false">IF(J2804&gt;H2804*I2804,1,0)</f>
        <v>0</v>
      </c>
      <c r="Z2804" s="9" t="n">
        <f aca="false">IF(AND(N2804&lt;&gt;"",OR(N2804&lt;1,N2804&gt;5)),1,0)</f>
        <v>0</v>
      </c>
      <c r="AA2804" s="9" t="n">
        <f aca="false">IF(AND(M2804&lt;&gt;"",OR(M2804&lt;5,M2804&gt;180)),1,0)</f>
        <v>0</v>
      </c>
      <c r="AB2804" s="7" t="str">
        <f aca="false">IF(P2804="DUP","Exact duplicate row",IF(T2804=1,"Missing Order ID",IF(S2804="DROP","Duplicate Order ID (less complete row)",IF(U2804=1,"Missing Customer ID",IF(V2804=1,"Missing Restaurant name",IF(W2804=1,"Invalid/outlier quantity",IF(X2804=1,"Invalid/outlier unit price",IF(Y2804=1,"Discount greater than order value",""))))))))</f>
        <v/>
      </c>
      <c r="AC2804" s="7" t="str">
        <f aca="false">IF(AB2804="","KEEP","DROP")</f>
        <v>KEEP</v>
      </c>
      <c r="AD2804" s="7" t="str">
        <f aca="false">IF(TRIM(F2804)="",IFERROR(INDEX(Map_Tables!$I$4:$I$37,MATCH(TRIM(E2804),Map_Tables!$G$4:$G$37,0)),""),IFERROR(INDEX(Map_Tables!$B$4:$B$18,MATCH(TRIM(F2804),Map_Tables!$A$4:$A$18,0)),"CHECK"))</f>
        <v>Ahmedabad</v>
      </c>
      <c r="AE2804" s="7" t="str">
        <f aca="false">IF(TRIM(E2804)="","",IFERROR(INDEX(Map_Tables!$H$4:$H$37,MATCH(TRIM(E2804),Map_Tables!$G$4:$G$37,0)),"CHECK"))</f>
        <v>Gujarati Thali Ghar</v>
      </c>
      <c r="AF2804" s="7" t="str">
        <f aca="false">IF(TRIM(K2804)="","Unknown",IFERROR(INDEX(Map_Tables!$E$4:$E$15,MATCH(TRIM(K2804),Map_Tables!$D$4:$D$15,0)),"CHECK"))</f>
        <v>Debit Card</v>
      </c>
      <c r="AG2804" s="7" t="str">
        <f aca="false">IF(LEFT(LOWER(TRIM(L2804)),6)="cancel","Cancelled","Delivered")</f>
        <v>Delivered</v>
      </c>
      <c r="AH2804" s="10" t="n">
        <f aca="false">IF(ISNUMBER(SEARCH("/",B2804)),DATE(VALUE(RIGHT(B2804,4)),VALUE(MID(B2804,4,2)),VALUE(LEFT(B2804,2))),IF(MID(B2804,5,1)="-",DATE(VALUE(LEFT(B2804,4)),VALUE(MID(B2804,6,2)),VALUE(RIGHT(B2804,2))),DATE(VALUE(RIGHT(B2804,4)),MATCH(MID(B2804,4,3),{"Jan","Feb","Mar","Apr","May","Jun","Jul","Aug","Sep","Oct","Nov","Dec"},0),VALUE(LEFT(B2804,2)))))</f>
        <v>45844</v>
      </c>
    </row>
    <row r="2805" customFormat="false" ht="15" hidden="false" customHeight="false" outlineLevel="0" collapsed="false">
      <c r="A2805" s="7" t="s">
        <v>5856</v>
      </c>
      <c r="B2805" s="7" t="s">
        <v>3294</v>
      </c>
      <c r="C2805" s="7" t="s">
        <v>5582</v>
      </c>
      <c r="D2805" s="7" t="s">
        <v>3710</v>
      </c>
      <c r="E2805" s="7" t="s">
        <v>144</v>
      </c>
      <c r="F2805" s="7" t="s">
        <v>119</v>
      </c>
      <c r="G2805" s="7" t="s">
        <v>99</v>
      </c>
      <c r="H2805" s="7" t="n">
        <v>2</v>
      </c>
      <c r="I2805" s="7" t="n">
        <v>295</v>
      </c>
      <c r="J2805" s="7" t="n">
        <v>150</v>
      </c>
      <c r="K2805" s="7" t="s">
        <v>93</v>
      </c>
      <c r="L2805" s="7" t="s">
        <v>194</v>
      </c>
      <c r="M2805" s="7" t="n">
        <v>26</v>
      </c>
      <c r="N2805" s="7" t="n">
        <v>4</v>
      </c>
      <c r="O2805" s="7" t="str">
        <f aca="false">A2805&amp;"|"&amp;B2805&amp;"|"&amp;C2805&amp;"|"&amp;D2805&amp;"|"&amp;E2805&amp;"|"&amp;F2805&amp;"|"&amp;G2805&amp;"|"&amp;H2805&amp;"|"&amp;I2805&amp;"|"&amp;J2805&amp;"|"&amp;K2805&amp;"|"&amp;L2805&amp;"|"&amp;M2805&amp;"|"&amp;N2805</f>
        <v>ORD11928|2025-09-07|17:32|C0003|Hyderabad Dum Biryani|Hyderabad|Biryani|2|295|150|Credit Card|Delivered|26|4</v>
      </c>
      <c r="P2805" s="7" t="str">
        <f aca="false">IF(COUNTIF($O$2:O2805,O2805)&gt;1,"DUP","OK")</f>
        <v>OK</v>
      </c>
      <c r="Q2805" s="7" t="n">
        <f aca="false">COUNTBLANK(A2805:N2805)</f>
        <v>0</v>
      </c>
      <c r="R2805" s="7" t="n">
        <f aca="false">IF(A2805="",0,COUNTIFS($A$2:$A$3058,A2805,$P$2:$P$3058,"OK"))</f>
        <v>1</v>
      </c>
      <c r="S2805" s="7" t="str">
        <f aca="false">IF(OR(A2805="",P2805="DUP",R2805&lt;2),"",IF(Q2805=_xlfn.MINIFS($Q$2:$Q$3058,$A$2:$A$3058,A2805,$P$2:$P$3058,"OK"),"KEEP","DROP"))</f>
        <v/>
      </c>
      <c r="T2805" s="9" t="n">
        <f aca="false">IF(A2805="",1,0)</f>
        <v>0</v>
      </c>
      <c r="U2805" s="9" t="n">
        <f aca="false">IF(D2805="",1,0)</f>
        <v>0</v>
      </c>
      <c r="V2805" s="9" t="n">
        <f aca="false">IF(E2805="",1,0)</f>
        <v>0</v>
      </c>
      <c r="W2805" s="9" t="n">
        <f aca="false">IF(OR(H2805&lt;1,H2805&gt;10),1,0)</f>
        <v>0</v>
      </c>
      <c r="X2805" s="9" t="n">
        <f aca="false">IF(OR(I2805&lt;=0,I2805&gt;1500),1,0)</f>
        <v>0</v>
      </c>
      <c r="Y2805" s="9" t="n">
        <f aca="false">IF(J2805&gt;H2805*I2805,1,0)</f>
        <v>0</v>
      </c>
      <c r="Z2805" s="9" t="n">
        <f aca="false">IF(AND(N2805&lt;&gt;"",OR(N2805&lt;1,N2805&gt;5)),1,0)</f>
        <v>0</v>
      </c>
      <c r="AA2805" s="9" t="n">
        <f aca="false">IF(AND(M2805&lt;&gt;"",OR(M2805&lt;5,M2805&gt;180)),1,0)</f>
        <v>0</v>
      </c>
      <c r="AB2805" s="7" t="str">
        <f aca="false">IF(P2805="DUP","Exact duplicate row",IF(T2805=1,"Missing Order ID",IF(S2805="DROP","Duplicate Order ID (less complete row)",IF(U2805=1,"Missing Customer ID",IF(V2805=1,"Missing Restaurant name",IF(W2805=1,"Invalid/outlier quantity",IF(X2805=1,"Invalid/outlier unit price",IF(Y2805=1,"Discount greater than order value",""))))))))</f>
        <v/>
      </c>
      <c r="AC2805" s="7" t="str">
        <f aca="false">IF(AB2805="","KEEP","DROP")</f>
        <v>KEEP</v>
      </c>
      <c r="AD2805" s="7" t="str">
        <f aca="false">IF(TRIM(F2805)="",IFERROR(INDEX(Map_Tables!$I$4:$I$37,MATCH(TRIM(E2805),Map_Tables!$G$4:$G$37,0)),""),IFERROR(INDEX(Map_Tables!$B$4:$B$18,MATCH(TRIM(F2805),Map_Tables!$A$4:$A$18,0)),"CHECK"))</f>
        <v>Hyderabad</v>
      </c>
      <c r="AE2805" s="7" t="str">
        <f aca="false">IF(TRIM(E2805)="","",IFERROR(INDEX(Map_Tables!$H$4:$H$37,MATCH(TRIM(E2805),Map_Tables!$G$4:$G$37,0)),"CHECK"))</f>
        <v>Hyderabad Dum Biryani</v>
      </c>
      <c r="AF2805" s="7" t="str">
        <f aca="false">IF(TRIM(K2805)="","Unknown",IFERROR(INDEX(Map_Tables!$E$4:$E$15,MATCH(TRIM(K2805),Map_Tables!$D$4:$D$15,0)),"CHECK"))</f>
        <v>Credit Card</v>
      </c>
      <c r="AG2805" s="7" t="str">
        <f aca="false">IF(LEFT(LOWER(TRIM(L2805)),6)="cancel","Cancelled","Delivered")</f>
        <v>Delivered</v>
      </c>
      <c r="AH2805" s="10" t="n">
        <f aca="false">IF(ISNUMBER(SEARCH("/",B2805)),DATE(VALUE(RIGHT(B2805,4)),VALUE(MID(B2805,4,2)),VALUE(LEFT(B2805,2))),IF(MID(B2805,5,1)="-",DATE(VALUE(LEFT(B2805,4)),VALUE(MID(B2805,6,2)),VALUE(RIGHT(B2805,2))),DATE(VALUE(RIGHT(B2805,4)),MATCH(MID(B2805,4,3),{"Jan","Feb","Mar","Apr","May","Jun","Jul","Aug","Sep","Oct","Nov","Dec"},0),VALUE(LEFT(B2805,2)))))</f>
        <v>45907</v>
      </c>
    </row>
    <row r="2806" customFormat="false" ht="15" hidden="false" customHeight="false" outlineLevel="0" collapsed="false">
      <c r="A2806" s="7" t="s">
        <v>5857</v>
      </c>
      <c r="B2806" s="7" t="s">
        <v>3117</v>
      </c>
      <c r="C2806" s="7" t="s">
        <v>2853</v>
      </c>
      <c r="D2806" s="7" t="s">
        <v>4476</v>
      </c>
      <c r="E2806" s="7" t="s">
        <v>167</v>
      </c>
      <c r="F2806" s="7" t="s">
        <v>145</v>
      </c>
      <c r="G2806" s="7" t="s">
        <v>156</v>
      </c>
      <c r="H2806" s="7" t="n">
        <v>2</v>
      </c>
      <c r="I2806" s="7" t="n">
        <v>295</v>
      </c>
      <c r="J2806" s="7" t="n">
        <v>20</v>
      </c>
      <c r="K2806" s="7" t="s">
        <v>93</v>
      </c>
      <c r="L2806" s="7" t="s">
        <v>194</v>
      </c>
      <c r="M2806" s="7" t="n">
        <v>29</v>
      </c>
      <c r="N2806" s="7" t="n">
        <v>5</v>
      </c>
      <c r="O2806" s="7" t="str">
        <f aca="false">A2806&amp;"|"&amp;B2806&amp;"|"&amp;C2806&amp;"|"&amp;D2806&amp;"|"&amp;E2806&amp;"|"&amp;F2806&amp;"|"&amp;G2806&amp;"|"&amp;H2806&amp;"|"&amp;I2806&amp;"|"&amp;J2806&amp;"|"&amp;K2806&amp;"|"&amp;L2806&amp;"|"&amp;M2806&amp;"|"&amp;N2806</f>
        <v>ORD11092|2025-05-18|20:14|C0224|Fit Fuel Kitchen|ahmedabad|Healthy Food|2|295|20|Credit Card|Delivered|29|5</v>
      </c>
      <c r="P2806" s="7" t="str">
        <f aca="false">IF(COUNTIF($O$2:O2806,O2806)&gt;1,"DUP","OK")</f>
        <v>OK</v>
      </c>
      <c r="Q2806" s="7" t="n">
        <f aca="false">COUNTBLANK(A2806:N2806)</f>
        <v>0</v>
      </c>
      <c r="R2806" s="7" t="n">
        <f aca="false">IF(A2806="",0,COUNTIFS($A$2:$A$3058,A2806,$P$2:$P$3058,"OK"))</f>
        <v>1</v>
      </c>
      <c r="S2806" s="7" t="str">
        <f aca="false">IF(OR(A2806="",P2806="DUP",R2806&lt;2),"",IF(Q2806=_xlfn.MINIFS($Q$2:$Q$3058,$A$2:$A$3058,A2806,$P$2:$P$3058,"OK"),"KEEP","DROP"))</f>
        <v/>
      </c>
      <c r="T2806" s="9" t="n">
        <f aca="false">IF(A2806="",1,0)</f>
        <v>0</v>
      </c>
      <c r="U2806" s="9" t="n">
        <f aca="false">IF(D2806="",1,0)</f>
        <v>0</v>
      </c>
      <c r="V2806" s="9" t="n">
        <f aca="false">IF(E2806="",1,0)</f>
        <v>0</v>
      </c>
      <c r="W2806" s="9" t="n">
        <f aca="false">IF(OR(H2806&lt;1,H2806&gt;10),1,0)</f>
        <v>0</v>
      </c>
      <c r="X2806" s="9" t="n">
        <f aca="false">IF(OR(I2806&lt;=0,I2806&gt;1500),1,0)</f>
        <v>0</v>
      </c>
      <c r="Y2806" s="9" t="n">
        <f aca="false">IF(J2806&gt;H2806*I2806,1,0)</f>
        <v>0</v>
      </c>
      <c r="Z2806" s="9" t="n">
        <f aca="false">IF(AND(N2806&lt;&gt;"",OR(N2806&lt;1,N2806&gt;5)),1,0)</f>
        <v>0</v>
      </c>
      <c r="AA2806" s="9" t="n">
        <f aca="false">IF(AND(M2806&lt;&gt;"",OR(M2806&lt;5,M2806&gt;180)),1,0)</f>
        <v>0</v>
      </c>
      <c r="AB2806" s="7" t="str">
        <f aca="false">IF(P2806="DUP","Exact duplicate row",IF(T2806=1,"Missing Order ID",IF(S2806="DROP","Duplicate Order ID (less complete row)",IF(U2806=1,"Missing Customer ID",IF(V2806=1,"Missing Restaurant name",IF(W2806=1,"Invalid/outlier quantity",IF(X2806=1,"Invalid/outlier unit price",IF(Y2806=1,"Discount greater than order value",""))))))))</f>
        <v/>
      </c>
      <c r="AC2806" s="7" t="str">
        <f aca="false">IF(AB2806="","KEEP","DROP")</f>
        <v>KEEP</v>
      </c>
      <c r="AD2806" s="7" t="str">
        <f aca="false">IF(TRIM(F2806)="",IFERROR(INDEX(Map_Tables!$I$4:$I$37,MATCH(TRIM(E2806),Map_Tables!$G$4:$G$37,0)),""),IFERROR(INDEX(Map_Tables!$B$4:$B$18,MATCH(TRIM(F2806),Map_Tables!$A$4:$A$18,0)),"CHECK"))</f>
        <v>Ahmedabad</v>
      </c>
      <c r="AE2806" s="7" t="str">
        <f aca="false">IF(TRIM(E2806)="","",IFERROR(INDEX(Map_Tables!$H$4:$H$37,MATCH(TRIM(E2806),Map_Tables!$G$4:$G$37,0)),"CHECK"))</f>
        <v>Fit Fuel Kitchen</v>
      </c>
      <c r="AF2806" s="7" t="str">
        <f aca="false">IF(TRIM(K2806)="","Unknown",IFERROR(INDEX(Map_Tables!$E$4:$E$15,MATCH(TRIM(K2806),Map_Tables!$D$4:$D$15,0)),"CHECK"))</f>
        <v>Credit Card</v>
      </c>
      <c r="AG2806" s="7" t="str">
        <f aca="false">IF(LEFT(LOWER(TRIM(L2806)),6)="cancel","Cancelled","Delivered")</f>
        <v>Delivered</v>
      </c>
      <c r="AH2806" s="10" t="n">
        <f aca="false">IF(ISNUMBER(SEARCH("/",B2806)),DATE(VALUE(RIGHT(B2806,4)),VALUE(MID(B2806,4,2)),VALUE(LEFT(B2806,2))),IF(MID(B2806,5,1)="-",DATE(VALUE(LEFT(B2806,4)),VALUE(MID(B2806,6,2)),VALUE(RIGHT(B2806,2))),DATE(VALUE(RIGHT(B2806,4)),MATCH(MID(B2806,4,3),{"Jan","Feb","Mar","Apr","May","Jun","Jul","Aug","Sep","Oct","Nov","Dec"},0),VALUE(LEFT(B2806,2)))))</f>
        <v>45795</v>
      </c>
    </row>
    <row r="2807" customFormat="false" ht="15" hidden="false" customHeight="false" outlineLevel="0" collapsed="false">
      <c r="A2807" s="7" t="s">
        <v>5858</v>
      </c>
      <c r="B2807" s="7" t="s">
        <v>1312</v>
      </c>
      <c r="C2807" s="7" t="s">
        <v>1211</v>
      </c>
      <c r="D2807" s="7" t="s">
        <v>5003</v>
      </c>
      <c r="E2807" s="7" t="s">
        <v>159</v>
      </c>
      <c r="F2807" s="7" t="s">
        <v>136</v>
      </c>
      <c r="G2807" s="7" t="s">
        <v>90</v>
      </c>
      <c r="H2807" s="7" t="n">
        <v>2</v>
      </c>
      <c r="I2807" s="7" t="n">
        <v>170</v>
      </c>
      <c r="J2807" s="7" t="n">
        <v>50</v>
      </c>
      <c r="K2807" s="7" t="s">
        <v>88</v>
      </c>
      <c r="L2807" s="7" t="s">
        <v>238</v>
      </c>
      <c r="M2807" s="7"/>
      <c r="N2807" s="7"/>
      <c r="O2807" s="7" t="str">
        <f aca="false">A2807&amp;"|"&amp;B2807&amp;"|"&amp;C2807&amp;"|"&amp;D2807&amp;"|"&amp;E2807&amp;"|"&amp;F2807&amp;"|"&amp;G2807&amp;"|"&amp;H2807&amp;"|"&amp;I2807&amp;"|"&amp;J2807&amp;"|"&amp;K2807&amp;"|"&amp;L2807&amp;"|"&amp;M2807&amp;"|"&amp;N2807</f>
        <v>ORD11102|2025-05-19|20:42|C1471|Maratha Thali House|Pune|North Indian|2|170|50|UPI|Cancelled||</v>
      </c>
      <c r="P2807" s="7" t="str">
        <f aca="false">IF(COUNTIF($O$2:O2807,O2807)&gt;1,"DUP","OK")</f>
        <v>OK</v>
      </c>
      <c r="Q2807" s="7" t="n">
        <f aca="false">COUNTBLANK(A2807:N2807)</f>
        <v>2</v>
      </c>
      <c r="R2807" s="7" t="n">
        <f aca="false">IF(A2807="",0,COUNTIFS($A$2:$A$3058,A2807,$P$2:$P$3058,"OK"))</f>
        <v>1</v>
      </c>
      <c r="S2807" s="7" t="str">
        <f aca="false">IF(OR(A2807="",P2807="DUP",R2807&lt;2),"",IF(Q2807=_xlfn.MINIFS($Q$2:$Q$3058,$A$2:$A$3058,A2807,$P$2:$P$3058,"OK"),"KEEP","DROP"))</f>
        <v/>
      </c>
      <c r="T2807" s="9" t="n">
        <f aca="false">IF(A2807="",1,0)</f>
        <v>0</v>
      </c>
      <c r="U2807" s="9" t="n">
        <f aca="false">IF(D2807="",1,0)</f>
        <v>0</v>
      </c>
      <c r="V2807" s="9" t="n">
        <f aca="false">IF(E2807="",1,0)</f>
        <v>0</v>
      </c>
      <c r="W2807" s="9" t="n">
        <f aca="false">IF(OR(H2807&lt;1,H2807&gt;10),1,0)</f>
        <v>0</v>
      </c>
      <c r="X2807" s="9" t="n">
        <f aca="false">IF(OR(I2807&lt;=0,I2807&gt;1500),1,0)</f>
        <v>0</v>
      </c>
      <c r="Y2807" s="9" t="n">
        <f aca="false">IF(J2807&gt;H2807*I2807,1,0)</f>
        <v>0</v>
      </c>
      <c r="Z2807" s="9" t="n">
        <f aca="false">IF(AND(N2807&lt;&gt;"",OR(N2807&lt;1,N2807&gt;5)),1,0)</f>
        <v>0</v>
      </c>
      <c r="AA2807" s="9" t="n">
        <f aca="false">IF(AND(M2807&lt;&gt;"",OR(M2807&lt;5,M2807&gt;180)),1,0)</f>
        <v>0</v>
      </c>
      <c r="AB2807" s="7" t="str">
        <f aca="false">IF(P2807="DUP","Exact duplicate row",IF(T2807=1,"Missing Order ID",IF(S2807="DROP","Duplicate Order ID (less complete row)",IF(U2807=1,"Missing Customer ID",IF(V2807=1,"Missing Restaurant name",IF(W2807=1,"Invalid/outlier quantity",IF(X2807=1,"Invalid/outlier unit price",IF(Y2807=1,"Discount greater than order value",""))))))))</f>
        <v/>
      </c>
      <c r="AC2807" s="7" t="str">
        <f aca="false">IF(AB2807="","KEEP","DROP")</f>
        <v>KEEP</v>
      </c>
      <c r="AD2807" s="7" t="str">
        <f aca="false">IF(TRIM(F2807)="",IFERROR(INDEX(Map_Tables!$I$4:$I$37,MATCH(TRIM(E2807),Map_Tables!$G$4:$G$37,0)),""),IFERROR(INDEX(Map_Tables!$B$4:$B$18,MATCH(TRIM(F2807),Map_Tables!$A$4:$A$18,0)),"CHECK"))</f>
        <v>Pune</v>
      </c>
      <c r="AE2807" s="7" t="str">
        <f aca="false">IF(TRIM(E2807)="","",IFERROR(INDEX(Map_Tables!$H$4:$H$37,MATCH(TRIM(E2807),Map_Tables!$G$4:$G$37,0)),"CHECK"))</f>
        <v>Maratha Thali House</v>
      </c>
      <c r="AF2807" s="7" t="str">
        <f aca="false">IF(TRIM(K2807)="","Unknown",IFERROR(INDEX(Map_Tables!$E$4:$E$15,MATCH(TRIM(K2807),Map_Tables!$D$4:$D$15,0)),"CHECK"))</f>
        <v>UPI</v>
      </c>
      <c r="AG2807" s="7" t="str">
        <f aca="false">IF(LEFT(LOWER(TRIM(L2807)),6)="cancel","Cancelled","Delivered")</f>
        <v>Cancelled</v>
      </c>
      <c r="AH2807" s="10" t="n">
        <f aca="false">IF(ISNUMBER(SEARCH("/",B2807)),DATE(VALUE(RIGHT(B2807,4)),VALUE(MID(B2807,4,2)),VALUE(LEFT(B2807,2))),IF(MID(B2807,5,1)="-",DATE(VALUE(LEFT(B2807,4)),VALUE(MID(B2807,6,2)),VALUE(RIGHT(B2807,2))),DATE(VALUE(RIGHT(B2807,4)),MATCH(MID(B2807,4,3),{"Jan","Feb","Mar","Apr","May","Jun","Jul","Aug","Sep","Oct","Nov","Dec"},0),VALUE(LEFT(B2807,2)))))</f>
        <v>45796</v>
      </c>
    </row>
    <row r="2808" customFormat="false" ht="15" hidden="false" customHeight="false" outlineLevel="0" collapsed="false">
      <c r="A2808" s="7" t="s">
        <v>5859</v>
      </c>
      <c r="B2808" s="7" t="s">
        <v>800</v>
      </c>
      <c r="C2808" s="7" t="s">
        <v>2600</v>
      </c>
      <c r="D2808" s="7" t="s">
        <v>2585</v>
      </c>
      <c r="E2808" s="7" t="s">
        <v>1130</v>
      </c>
      <c r="F2808" s="7" t="s">
        <v>119</v>
      </c>
      <c r="G2808" s="7" t="s">
        <v>150</v>
      </c>
      <c r="H2808" s="7" t="n">
        <v>2</v>
      </c>
      <c r="I2808" s="7" t="n">
        <v>155</v>
      </c>
      <c r="J2808" s="7" t="n">
        <v>0</v>
      </c>
      <c r="K2808" s="7" t="s">
        <v>88</v>
      </c>
      <c r="L2808" s="7" t="s">
        <v>194</v>
      </c>
      <c r="M2808" s="7" t="n">
        <v>43</v>
      </c>
      <c r="N2808" s="7" t="n">
        <v>5</v>
      </c>
      <c r="O2808" s="7" t="str">
        <f aca="false">A2808&amp;"|"&amp;B2808&amp;"|"&amp;C2808&amp;"|"&amp;D2808&amp;"|"&amp;E2808&amp;"|"&amp;F2808&amp;"|"&amp;G2808&amp;"|"&amp;H2808&amp;"|"&amp;I2808&amp;"|"&amp;J2808&amp;"|"&amp;K2808&amp;"|"&amp;L2808&amp;"|"&amp;M2808&amp;"|"&amp;N2808</f>
        <v>ORD11130|2025-05-24|12:27|C1248|sweet tooth studio|Hyderabad|Desserts|2|155|0|UPI|Delivered|43|5</v>
      </c>
      <c r="P2808" s="7" t="str">
        <f aca="false">IF(COUNTIF($O$2:O2808,O2808)&gt;1,"DUP","OK")</f>
        <v>OK</v>
      </c>
      <c r="Q2808" s="7" t="n">
        <f aca="false">COUNTBLANK(A2808:N2808)</f>
        <v>0</v>
      </c>
      <c r="R2808" s="7" t="n">
        <f aca="false">IF(A2808="",0,COUNTIFS($A$2:$A$3058,A2808,$P$2:$P$3058,"OK"))</f>
        <v>1</v>
      </c>
      <c r="S2808" s="7" t="str">
        <f aca="false">IF(OR(A2808="",P2808="DUP",R2808&lt;2),"",IF(Q2808=_xlfn.MINIFS($Q$2:$Q$3058,$A$2:$A$3058,A2808,$P$2:$P$3058,"OK"),"KEEP","DROP"))</f>
        <v/>
      </c>
      <c r="T2808" s="9" t="n">
        <f aca="false">IF(A2808="",1,0)</f>
        <v>0</v>
      </c>
      <c r="U2808" s="9" t="n">
        <f aca="false">IF(D2808="",1,0)</f>
        <v>0</v>
      </c>
      <c r="V2808" s="9" t="n">
        <f aca="false">IF(E2808="",1,0)</f>
        <v>0</v>
      </c>
      <c r="W2808" s="9" t="n">
        <f aca="false">IF(OR(H2808&lt;1,H2808&gt;10),1,0)</f>
        <v>0</v>
      </c>
      <c r="X2808" s="9" t="n">
        <f aca="false">IF(OR(I2808&lt;=0,I2808&gt;1500),1,0)</f>
        <v>0</v>
      </c>
      <c r="Y2808" s="9" t="n">
        <f aca="false">IF(J2808&gt;H2808*I2808,1,0)</f>
        <v>0</v>
      </c>
      <c r="Z2808" s="9" t="n">
        <f aca="false">IF(AND(N2808&lt;&gt;"",OR(N2808&lt;1,N2808&gt;5)),1,0)</f>
        <v>0</v>
      </c>
      <c r="AA2808" s="9" t="n">
        <f aca="false">IF(AND(M2808&lt;&gt;"",OR(M2808&lt;5,M2808&gt;180)),1,0)</f>
        <v>0</v>
      </c>
      <c r="AB2808" s="7" t="str">
        <f aca="false">IF(P2808="DUP","Exact duplicate row",IF(T2808=1,"Missing Order ID",IF(S2808="DROP","Duplicate Order ID (less complete row)",IF(U2808=1,"Missing Customer ID",IF(V2808=1,"Missing Restaurant name",IF(W2808=1,"Invalid/outlier quantity",IF(X2808=1,"Invalid/outlier unit price",IF(Y2808=1,"Discount greater than order value",""))))))))</f>
        <v/>
      </c>
      <c r="AC2808" s="7" t="str">
        <f aca="false">IF(AB2808="","KEEP","DROP")</f>
        <v>KEEP</v>
      </c>
      <c r="AD2808" s="7" t="str">
        <f aca="false">IF(TRIM(F2808)="",IFERROR(INDEX(Map_Tables!$I$4:$I$37,MATCH(TRIM(E2808),Map_Tables!$G$4:$G$37,0)),""),IFERROR(INDEX(Map_Tables!$B$4:$B$18,MATCH(TRIM(F2808),Map_Tables!$A$4:$A$18,0)),"CHECK"))</f>
        <v>Hyderabad</v>
      </c>
      <c r="AE2808" s="7" t="str">
        <f aca="false">IF(TRIM(E2808)="","",IFERROR(INDEX(Map_Tables!$H$4:$H$37,MATCH(TRIM(E2808),Map_Tables!$G$4:$G$37,0)),"CHECK"))</f>
        <v>Sweet Tooth Studio</v>
      </c>
      <c r="AF2808" s="7" t="str">
        <f aca="false">IF(TRIM(K2808)="","Unknown",IFERROR(INDEX(Map_Tables!$E$4:$E$15,MATCH(TRIM(K2808),Map_Tables!$D$4:$D$15,0)),"CHECK"))</f>
        <v>UPI</v>
      </c>
      <c r="AG2808" s="7" t="str">
        <f aca="false">IF(LEFT(LOWER(TRIM(L2808)),6)="cancel","Cancelled","Delivered")</f>
        <v>Delivered</v>
      </c>
      <c r="AH2808" s="10" t="n">
        <f aca="false">IF(ISNUMBER(SEARCH("/",B2808)),DATE(VALUE(RIGHT(B2808,4)),VALUE(MID(B2808,4,2)),VALUE(LEFT(B2808,2))),IF(MID(B2808,5,1)="-",DATE(VALUE(LEFT(B2808,4)),VALUE(MID(B2808,6,2)),VALUE(RIGHT(B2808,2))),DATE(VALUE(RIGHT(B2808,4)),MATCH(MID(B2808,4,3),{"Jan","Feb","Mar","Apr","May","Jun","Jul","Aug","Sep","Oct","Nov","Dec"},0),VALUE(LEFT(B2808,2)))))</f>
        <v>45801</v>
      </c>
    </row>
    <row r="2809" customFormat="false" ht="15" hidden="false" customHeight="false" outlineLevel="0" collapsed="false">
      <c r="A2809" s="7" t="s">
        <v>5860</v>
      </c>
      <c r="B2809" s="7" t="s">
        <v>1057</v>
      </c>
      <c r="C2809" s="7" t="s">
        <v>3349</v>
      </c>
      <c r="D2809" s="7" t="s">
        <v>2464</v>
      </c>
      <c r="E2809" s="7" t="s">
        <v>98</v>
      </c>
      <c r="F2809" s="7" t="s">
        <v>86</v>
      </c>
      <c r="G2809" s="7" t="s">
        <v>99</v>
      </c>
      <c r="H2809" s="7" t="n">
        <v>2</v>
      </c>
      <c r="I2809" s="7" t="n">
        <v>325</v>
      </c>
      <c r="J2809" s="7" t="n">
        <v>0</v>
      </c>
      <c r="K2809" s="7" t="s">
        <v>112</v>
      </c>
      <c r="L2809" s="7" t="s">
        <v>194</v>
      </c>
      <c r="M2809" s="7" t="n">
        <v>48</v>
      </c>
      <c r="N2809" s="7" t="n">
        <v>5</v>
      </c>
      <c r="O2809" s="7" t="str">
        <f aca="false">A2809&amp;"|"&amp;B2809&amp;"|"&amp;C2809&amp;"|"&amp;D2809&amp;"|"&amp;E2809&amp;"|"&amp;F2809&amp;"|"&amp;G2809&amp;"|"&amp;H2809&amp;"|"&amp;I2809&amp;"|"&amp;J2809&amp;"|"&amp;K2809&amp;"|"&amp;L2809&amp;"|"&amp;M2809&amp;"|"&amp;N2809</f>
        <v>ORD10462|2025-03-03|13:34|C0301|Nawabi Biryani House|Bengaluru|Biryani|2|325|0|Cash on Delivery|Delivered|48|5</v>
      </c>
      <c r="P2809" s="7" t="str">
        <f aca="false">IF(COUNTIF($O$2:O2809,O2809)&gt;1,"DUP","OK")</f>
        <v>OK</v>
      </c>
      <c r="Q2809" s="7" t="n">
        <f aca="false">COUNTBLANK(A2809:N2809)</f>
        <v>0</v>
      </c>
      <c r="R2809" s="7" t="n">
        <f aca="false">IF(A2809="",0,COUNTIFS($A$2:$A$3058,A2809,$P$2:$P$3058,"OK"))</f>
        <v>1</v>
      </c>
      <c r="S2809" s="7" t="str">
        <f aca="false">IF(OR(A2809="",P2809="DUP",R2809&lt;2),"",IF(Q2809=_xlfn.MINIFS($Q$2:$Q$3058,$A$2:$A$3058,A2809,$P$2:$P$3058,"OK"),"KEEP","DROP"))</f>
        <v/>
      </c>
      <c r="T2809" s="9" t="n">
        <f aca="false">IF(A2809="",1,0)</f>
        <v>0</v>
      </c>
      <c r="U2809" s="9" t="n">
        <f aca="false">IF(D2809="",1,0)</f>
        <v>0</v>
      </c>
      <c r="V2809" s="9" t="n">
        <f aca="false">IF(E2809="",1,0)</f>
        <v>0</v>
      </c>
      <c r="W2809" s="9" t="n">
        <f aca="false">IF(OR(H2809&lt;1,H2809&gt;10),1,0)</f>
        <v>0</v>
      </c>
      <c r="X2809" s="9" t="n">
        <f aca="false">IF(OR(I2809&lt;=0,I2809&gt;1500),1,0)</f>
        <v>0</v>
      </c>
      <c r="Y2809" s="9" t="n">
        <f aca="false">IF(J2809&gt;H2809*I2809,1,0)</f>
        <v>0</v>
      </c>
      <c r="Z2809" s="9" t="n">
        <f aca="false">IF(AND(N2809&lt;&gt;"",OR(N2809&lt;1,N2809&gt;5)),1,0)</f>
        <v>0</v>
      </c>
      <c r="AA2809" s="9" t="n">
        <f aca="false">IF(AND(M2809&lt;&gt;"",OR(M2809&lt;5,M2809&gt;180)),1,0)</f>
        <v>0</v>
      </c>
      <c r="AB2809" s="7" t="str">
        <f aca="false">IF(P2809="DUP","Exact duplicate row",IF(T2809=1,"Missing Order ID",IF(S2809="DROP","Duplicate Order ID (less complete row)",IF(U2809=1,"Missing Customer ID",IF(V2809=1,"Missing Restaurant name",IF(W2809=1,"Invalid/outlier quantity",IF(X2809=1,"Invalid/outlier unit price",IF(Y2809=1,"Discount greater than order value",""))))))))</f>
        <v/>
      </c>
      <c r="AC2809" s="7" t="str">
        <f aca="false">IF(AB2809="","KEEP","DROP")</f>
        <v>KEEP</v>
      </c>
      <c r="AD2809" s="7" t="str">
        <f aca="false">IF(TRIM(F2809)="",IFERROR(INDEX(Map_Tables!$I$4:$I$37,MATCH(TRIM(E2809),Map_Tables!$G$4:$G$37,0)),""),IFERROR(INDEX(Map_Tables!$B$4:$B$18,MATCH(TRIM(F2809),Map_Tables!$A$4:$A$18,0)),"CHECK"))</f>
        <v>Bengaluru</v>
      </c>
      <c r="AE2809" s="7" t="str">
        <f aca="false">IF(TRIM(E2809)="","",IFERROR(INDEX(Map_Tables!$H$4:$H$37,MATCH(TRIM(E2809),Map_Tables!$G$4:$G$37,0)),"CHECK"))</f>
        <v>Nawabi Biryani House</v>
      </c>
      <c r="AF2809" s="7" t="str">
        <f aca="false">IF(TRIM(K2809)="","Unknown",IFERROR(INDEX(Map_Tables!$E$4:$E$15,MATCH(TRIM(K2809),Map_Tables!$D$4:$D$15,0)),"CHECK"))</f>
        <v>Cash on Delivery</v>
      </c>
      <c r="AG2809" s="7" t="str">
        <f aca="false">IF(LEFT(LOWER(TRIM(L2809)),6)="cancel","Cancelled","Delivered")</f>
        <v>Delivered</v>
      </c>
      <c r="AH2809" s="10" t="n">
        <f aca="false">IF(ISNUMBER(SEARCH("/",B2809)),DATE(VALUE(RIGHT(B2809,4)),VALUE(MID(B2809,4,2)),VALUE(LEFT(B2809,2))),IF(MID(B2809,5,1)="-",DATE(VALUE(LEFT(B2809,4)),VALUE(MID(B2809,6,2)),VALUE(RIGHT(B2809,2))),DATE(VALUE(RIGHT(B2809,4)),MATCH(MID(B2809,4,3),{"Jan","Feb","Mar","Apr","May","Jun","Jul","Aug","Sep","Oct","Nov","Dec"},0),VALUE(LEFT(B2809,2)))))</f>
        <v>45719</v>
      </c>
    </row>
    <row r="2810" customFormat="false" ht="15" hidden="false" customHeight="false" outlineLevel="0" collapsed="false">
      <c r="A2810" s="7" t="s">
        <v>5861</v>
      </c>
      <c r="B2810" s="7" t="s">
        <v>2322</v>
      </c>
      <c r="C2810" s="7" t="s">
        <v>2508</v>
      </c>
      <c r="D2810" s="7" t="s">
        <v>733</v>
      </c>
      <c r="E2810" s="7" t="s">
        <v>1177</v>
      </c>
      <c r="F2810" s="7" t="s">
        <v>136</v>
      </c>
      <c r="G2810" s="7" t="s">
        <v>90</v>
      </c>
      <c r="H2810" s="7" t="n">
        <v>4</v>
      </c>
      <c r="I2810" s="7" t="n">
        <v>285</v>
      </c>
      <c r="J2810" s="7" t="n">
        <v>75</v>
      </c>
      <c r="K2810" s="7" t="s">
        <v>88</v>
      </c>
      <c r="L2810" s="7" t="s">
        <v>194</v>
      </c>
      <c r="M2810" s="7" t="n">
        <v>35</v>
      </c>
      <c r="N2810" s="7" t="n">
        <v>4</v>
      </c>
      <c r="O2810" s="7" t="str">
        <f aca="false">A2810&amp;"|"&amp;B2810&amp;"|"&amp;C2810&amp;"|"&amp;D2810&amp;"|"&amp;E2810&amp;"|"&amp;F2810&amp;"|"&amp;G2810&amp;"|"&amp;H2810&amp;"|"&amp;I2810&amp;"|"&amp;J2810&amp;"|"&amp;K2810&amp;"|"&amp;L2810&amp;"|"&amp;M2810&amp;"|"&amp;N2810</f>
        <v>ORD10959|2025-05-01|20:22|C0325|MARATHA THALI HOUSE|Pune|North Indian|4|285|75|UPI|Delivered|35|4</v>
      </c>
      <c r="P2810" s="7" t="str">
        <f aca="false">IF(COUNTIF($O$2:O2810,O2810)&gt;1,"DUP","OK")</f>
        <v>OK</v>
      </c>
      <c r="Q2810" s="7" t="n">
        <f aca="false">COUNTBLANK(A2810:N2810)</f>
        <v>0</v>
      </c>
      <c r="R2810" s="7" t="n">
        <f aca="false">IF(A2810="",0,COUNTIFS($A$2:$A$3058,A2810,$P$2:$P$3058,"OK"))</f>
        <v>1</v>
      </c>
      <c r="S2810" s="7" t="str">
        <f aca="false">IF(OR(A2810="",P2810="DUP",R2810&lt;2),"",IF(Q2810=_xlfn.MINIFS($Q$2:$Q$3058,$A$2:$A$3058,A2810,$P$2:$P$3058,"OK"),"KEEP","DROP"))</f>
        <v/>
      </c>
      <c r="T2810" s="9" t="n">
        <f aca="false">IF(A2810="",1,0)</f>
        <v>0</v>
      </c>
      <c r="U2810" s="9" t="n">
        <f aca="false">IF(D2810="",1,0)</f>
        <v>0</v>
      </c>
      <c r="V2810" s="9" t="n">
        <f aca="false">IF(E2810="",1,0)</f>
        <v>0</v>
      </c>
      <c r="W2810" s="9" t="n">
        <f aca="false">IF(OR(H2810&lt;1,H2810&gt;10),1,0)</f>
        <v>0</v>
      </c>
      <c r="X2810" s="9" t="n">
        <f aca="false">IF(OR(I2810&lt;=0,I2810&gt;1500),1,0)</f>
        <v>0</v>
      </c>
      <c r="Y2810" s="9" t="n">
        <f aca="false">IF(J2810&gt;H2810*I2810,1,0)</f>
        <v>0</v>
      </c>
      <c r="Z2810" s="9" t="n">
        <f aca="false">IF(AND(N2810&lt;&gt;"",OR(N2810&lt;1,N2810&gt;5)),1,0)</f>
        <v>0</v>
      </c>
      <c r="AA2810" s="9" t="n">
        <f aca="false">IF(AND(M2810&lt;&gt;"",OR(M2810&lt;5,M2810&gt;180)),1,0)</f>
        <v>0</v>
      </c>
      <c r="AB2810" s="7" t="str">
        <f aca="false">IF(P2810="DUP","Exact duplicate row",IF(T2810=1,"Missing Order ID",IF(S2810="DROP","Duplicate Order ID (less complete row)",IF(U2810=1,"Missing Customer ID",IF(V2810=1,"Missing Restaurant name",IF(W2810=1,"Invalid/outlier quantity",IF(X2810=1,"Invalid/outlier unit price",IF(Y2810=1,"Discount greater than order value",""))))))))</f>
        <v/>
      </c>
      <c r="AC2810" s="7" t="str">
        <f aca="false">IF(AB2810="","KEEP","DROP")</f>
        <v>KEEP</v>
      </c>
      <c r="AD2810" s="7" t="str">
        <f aca="false">IF(TRIM(F2810)="",IFERROR(INDEX(Map_Tables!$I$4:$I$37,MATCH(TRIM(E2810),Map_Tables!$G$4:$G$37,0)),""),IFERROR(INDEX(Map_Tables!$B$4:$B$18,MATCH(TRIM(F2810),Map_Tables!$A$4:$A$18,0)),"CHECK"))</f>
        <v>Pune</v>
      </c>
      <c r="AE2810" s="7" t="str">
        <f aca="false">IF(TRIM(E2810)="","",IFERROR(INDEX(Map_Tables!$H$4:$H$37,MATCH(TRIM(E2810),Map_Tables!$G$4:$G$37,0)),"CHECK"))</f>
        <v>Maratha Thali House</v>
      </c>
      <c r="AF2810" s="7" t="str">
        <f aca="false">IF(TRIM(K2810)="","Unknown",IFERROR(INDEX(Map_Tables!$E$4:$E$15,MATCH(TRIM(K2810),Map_Tables!$D$4:$D$15,0)),"CHECK"))</f>
        <v>UPI</v>
      </c>
      <c r="AG2810" s="7" t="str">
        <f aca="false">IF(LEFT(LOWER(TRIM(L2810)),6)="cancel","Cancelled","Delivered")</f>
        <v>Delivered</v>
      </c>
      <c r="AH2810" s="10" t="n">
        <f aca="false">IF(ISNUMBER(SEARCH("/",B2810)),DATE(VALUE(RIGHT(B2810,4)),VALUE(MID(B2810,4,2)),VALUE(LEFT(B2810,2))),IF(MID(B2810,5,1)="-",DATE(VALUE(LEFT(B2810,4)),VALUE(MID(B2810,6,2)),VALUE(RIGHT(B2810,2))),DATE(VALUE(RIGHT(B2810,4)),MATCH(MID(B2810,4,3),{"Jan","Feb","Mar","Apr","May","Jun","Jul","Aug","Sep","Oct","Nov","Dec"},0),VALUE(LEFT(B2810,2)))))</f>
        <v>45778</v>
      </c>
    </row>
    <row r="2811" customFormat="false" ht="15" hidden="false" customHeight="false" outlineLevel="0" collapsed="false">
      <c r="A2811" s="7" t="s">
        <v>5862</v>
      </c>
      <c r="B2811" s="7" t="s">
        <v>1049</v>
      </c>
      <c r="C2811" s="7" t="s">
        <v>3400</v>
      </c>
      <c r="D2811" s="7" t="s">
        <v>610</v>
      </c>
      <c r="E2811" s="7" t="s">
        <v>98</v>
      </c>
      <c r="F2811" s="7" t="s">
        <v>86</v>
      </c>
      <c r="G2811" s="7" t="s">
        <v>99</v>
      </c>
      <c r="H2811" s="7" t="n">
        <v>1</v>
      </c>
      <c r="I2811" s="7" t="n">
        <v>270</v>
      </c>
      <c r="J2811" s="7" t="n">
        <v>100</v>
      </c>
      <c r="K2811" s="7" t="s">
        <v>88</v>
      </c>
      <c r="L2811" s="7" t="s">
        <v>220</v>
      </c>
      <c r="M2811" s="7" t="n">
        <v>41</v>
      </c>
      <c r="N2811" s="7" t="n">
        <v>4</v>
      </c>
      <c r="O2811" s="7" t="str">
        <f aca="false">A2811&amp;"|"&amp;B2811&amp;"|"&amp;C2811&amp;"|"&amp;D2811&amp;"|"&amp;E2811&amp;"|"&amp;F2811&amp;"|"&amp;G2811&amp;"|"&amp;H2811&amp;"|"&amp;I2811&amp;"|"&amp;J2811&amp;"|"&amp;K2811&amp;"|"&amp;L2811&amp;"|"&amp;M2811&amp;"|"&amp;N2811</f>
        <v>ORD11663|2025-08-05|12:56|C0892|Nawabi Biryani House|Bengaluru|Biryani|1|270|100|UPI|DELIVERED|41|4</v>
      </c>
      <c r="P2811" s="7" t="str">
        <f aca="false">IF(COUNTIF($O$2:O2811,O2811)&gt;1,"DUP","OK")</f>
        <v>OK</v>
      </c>
      <c r="Q2811" s="7" t="n">
        <f aca="false">COUNTBLANK(A2811:N2811)</f>
        <v>0</v>
      </c>
      <c r="R2811" s="7" t="n">
        <f aca="false">IF(A2811="",0,COUNTIFS($A$2:$A$3058,A2811,$P$2:$P$3058,"OK"))</f>
        <v>1</v>
      </c>
      <c r="S2811" s="7" t="str">
        <f aca="false">IF(OR(A2811="",P2811="DUP",R2811&lt;2),"",IF(Q2811=_xlfn.MINIFS($Q$2:$Q$3058,$A$2:$A$3058,A2811,$P$2:$P$3058,"OK"),"KEEP","DROP"))</f>
        <v/>
      </c>
      <c r="T2811" s="9" t="n">
        <f aca="false">IF(A2811="",1,0)</f>
        <v>0</v>
      </c>
      <c r="U2811" s="9" t="n">
        <f aca="false">IF(D2811="",1,0)</f>
        <v>0</v>
      </c>
      <c r="V2811" s="9" t="n">
        <f aca="false">IF(E2811="",1,0)</f>
        <v>0</v>
      </c>
      <c r="W2811" s="9" t="n">
        <f aca="false">IF(OR(H2811&lt;1,H2811&gt;10),1,0)</f>
        <v>0</v>
      </c>
      <c r="X2811" s="9" t="n">
        <f aca="false">IF(OR(I2811&lt;=0,I2811&gt;1500),1,0)</f>
        <v>0</v>
      </c>
      <c r="Y2811" s="9" t="n">
        <f aca="false">IF(J2811&gt;H2811*I2811,1,0)</f>
        <v>0</v>
      </c>
      <c r="Z2811" s="9" t="n">
        <f aca="false">IF(AND(N2811&lt;&gt;"",OR(N2811&lt;1,N2811&gt;5)),1,0)</f>
        <v>0</v>
      </c>
      <c r="AA2811" s="9" t="n">
        <f aca="false">IF(AND(M2811&lt;&gt;"",OR(M2811&lt;5,M2811&gt;180)),1,0)</f>
        <v>0</v>
      </c>
      <c r="AB2811" s="7" t="str">
        <f aca="false">IF(P2811="DUP","Exact duplicate row",IF(T2811=1,"Missing Order ID",IF(S2811="DROP","Duplicate Order ID (less complete row)",IF(U2811=1,"Missing Customer ID",IF(V2811=1,"Missing Restaurant name",IF(W2811=1,"Invalid/outlier quantity",IF(X2811=1,"Invalid/outlier unit price",IF(Y2811=1,"Discount greater than order value",""))))))))</f>
        <v/>
      </c>
      <c r="AC2811" s="7" t="str">
        <f aca="false">IF(AB2811="","KEEP","DROP")</f>
        <v>KEEP</v>
      </c>
      <c r="AD2811" s="7" t="str">
        <f aca="false">IF(TRIM(F2811)="",IFERROR(INDEX(Map_Tables!$I$4:$I$37,MATCH(TRIM(E2811),Map_Tables!$G$4:$G$37,0)),""),IFERROR(INDEX(Map_Tables!$B$4:$B$18,MATCH(TRIM(F2811),Map_Tables!$A$4:$A$18,0)),"CHECK"))</f>
        <v>Bengaluru</v>
      </c>
      <c r="AE2811" s="7" t="str">
        <f aca="false">IF(TRIM(E2811)="","",IFERROR(INDEX(Map_Tables!$H$4:$H$37,MATCH(TRIM(E2811),Map_Tables!$G$4:$G$37,0)),"CHECK"))</f>
        <v>Nawabi Biryani House</v>
      </c>
      <c r="AF2811" s="7" t="str">
        <f aca="false">IF(TRIM(K2811)="","Unknown",IFERROR(INDEX(Map_Tables!$E$4:$E$15,MATCH(TRIM(K2811),Map_Tables!$D$4:$D$15,0)),"CHECK"))</f>
        <v>UPI</v>
      </c>
      <c r="AG2811" s="7" t="str">
        <f aca="false">IF(LEFT(LOWER(TRIM(L2811)),6)="cancel","Cancelled","Delivered")</f>
        <v>Delivered</v>
      </c>
      <c r="AH2811" s="10" t="n">
        <f aca="false">IF(ISNUMBER(SEARCH("/",B2811)),DATE(VALUE(RIGHT(B2811,4)),VALUE(MID(B2811,4,2)),VALUE(LEFT(B2811,2))),IF(MID(B2811,5,1)="-",DATE(VALUE(LEFT(B2811,4)),VALUE(MID(B2811,6,2)),VALUE(RIGHT(B2811,2))),DATE(VALUE(RIGHT(B2811,4)),MATCH(MID(B2811,4,3),{"Jan","Feb","Mar","Apr","May","Jun","Jul","Aug","Sep","Oct","Nov","Dec"},0),VALUE(LEFT(B2811,2)))))</f>
        <v>45874</v>
      </c>
    </row>
    <row r="2812" customFormat="false" ht="15" hidden="false" customHeight="false" outlineLevel="0" collapsed="false">
      <c r="A2812" s="7" t="s">
        <v>5863</v>
      </c>
      <c r="B2812" s="7" t="s">
        <v>3313</v>
      </c>
      <c r="C2812" s="7" t="s">
        <v>306</v>
      </c>
      <c r="D2812" s="7" t="s">
        <v>2983</v>
      </c>
      <c r="E2812" s="7" t="s">
        <v>2379</v>
      </c>
      <c r="F2812" s="7" t="s">
        <v>146</v>
      </c>
      <c r="G2812" s="7" t="s">
        <v>123</v>
      </c>
      <c r="H2812" s="7" t="n">
        <v>5</v>
      </c>
      <c r="I2812" s="7" t="n">
        <v>340</v>
      </c>
      <c r="J2812" s="7" t="n">
        <v>100</v>
      </c>
      <c r="K2812" s="7" t="s">
        <v>93</v>
      </c>
      <c r="L2812" s="7" t="s">
        <v>194</v>
      </c>
      <c r="M2812" s="7" t="n">
        <v>21</v>
      </c>
      <c r="N2812" s="7" t="n">
        <v>4</v>
      </c>
      <c r="O2812" s="7" t="str">
        <f aca="false">A2812&amp;"|"&amp;B2812&amp;"|"&amp;C2812&amp;"|"&amp;D2812&amp;"|"&amp;E2812&amp;"|"&amp;F2812&amp;"|"&amp;G2812&amp;"|"&amp;H2812&amp;"|"&amp;I2812&amp;"|"&amp;J2812&amp;"|"&amp;K2812&amp;"|"&amp;L2812&amp;"|"&amp;M2812&amp;"|"&amp;N2812</f>
        <v>ORD10560|2025-03-12|20:06|C1064|CHEESY SLICE|Ahmedabad|Pizza|5|340|100|Credit Card|Delivered|21|4</v>
      </c>
      <c r="P2812" s="7" t="str">
        <f aca="false">IF(COUNTIF($O$2:O2812,O2812)&gt;1,"DUP","OK")</f>
        <v>OK</v>
      </c>
      <c r="Q2812" s="7" t="n">
        <f aca="false">COUNTBLANK(A2812:N2812)</f>
        <v>0</v>
      </c>
      <c r="R2812" s="7" t="n">
        <f aca="false">IF(A2812="",0,COUNTIFS($A$2:$A$3058,A2812,$P$2:$P$3058,"OK"))</f>
        <v>1</v>
      </c>
      <c r="S2812" s="7" t="str">
        <f aca="false">IF(OR(A2812="",P2812="DUP",R2812&lt;2),"",IF(Q2812=_xlfn.MINIFS($Q$2:$Q$3058,$A$2:$A$3058,A2812,$P$2:$P$3058,"OK"),"KEEP","DROP"))</f>
        <v/>
      </c>
      <c r="T2812" s="9" t="n">
        <f aca="false">IF(A2812="",1,0)</f>
        <v>0</v>
      </c>
      <c r="U2812" s="9" t="n">
        <f aca="false">IF(D2812="",1,0)</f>
        <v>0</v>
      </c>
      <c r="V2812" s="9" t="n">
        <f aca="false">IF(E2812="",1,0)</f>
        <v>0</v>
      </c>
      <c r="W2812" s="9" t="n">
        <f aca="false">IF(OR(H2812&lt;1,H2812&gt;10),1,0)</f>
        <v>0</v>
      </c>
      <c r="X2812" s="9" t="n">
        <f aca="false">IF(OR(I2812&lt;=0,I2812&gt;1500),1,0)</f>
        <v>0</v>
      </c>
      <c r="Y2812" s="9" t="n">
        <f aca="false">IF(J2812&gt;H2812*I2812,1,0)</f>
        <v>0</v>
      </c>
      <c r="Z2812" s="9" t="n">
        <f aca="false">IF(AND(N2812&lt;&gt;"",OR(N2812&lt;1,N2812&gt;5)),1,0)</f>
        <v>0</v>
      </c>
      <c r="AA2812" s="9" t="n">
        <f aca="false">IF(AND(M2812&lt;&gt;"",OR(M2812&lt;5,M2812&gt;180)),1,0)</f>
        <v>0</v>
      </c>
      <c r="AB2812" s="7" t="str">
        <f aca="false">IF(P2812="DUP","Exact duplicate row",IF(T2812=1,"Missing Order ID",IF(S2812="DROP","Duplicate Order ID (less complete row)",IF(U2812=1,"Missing Customer ID",IF(V2812=1,"Missing Restaurant name",IF(W2812=1,"Invalid/outlier quantity",IF(X2812=1,"Invalid/outlier unit price",IF(Y2812=1,"Discount greater than order value",""))))))))</f>
        <v/>
      </c>
      <c r="AC2812" s="7" t="str">
        <f aca="false">IF(AB2812="","KEEP","DROP")</f>
        <v>KEEP</v>
      </c>
      <c r="AD2812" s="7" t="str">
        <f aca="false">IF(TRIM(F2812)="",IFERROR(INDEX(Map_Tables!$I$4:$I$37,MATCH(TRIM(E2812),Map_Tables!$G$4:$G$37,0)),""),IFERROR(INDEX(Map_Tables!$B$4:$B$18,MATCH(TRIM(F2812),Map_Tables!$A$4:$A$18,0)),"CHECK"))</f>
        <v>Ahmedabad</v>
      </c>
      <c r="AE2812" s="7" t="str">
        <f aca="false">IF(TRIM(E2812)="","",IFERROR(INDEX(Map_Tables!$H$4:$H$37,MATCH(TRIM(E2812),Map_Tables!$G$4:$G$37,0)),"CHECK"))</f>
        <v>Cheesy Slice</v>
      </c>
      <c r="AF2812" s="7" t="str">
        <f aca="false">IF(TRIM(K2812)="","Unknown",IFERROR(INDEX(Map_Tables!$E$4:$E$15,MATCH(TRIM(K2812),Map_Tables!$D$4:$D$15,0)),"CHECK"))</f>
        <v>Credit Card</v>
      </c>
      <c r="AG2812" s="7" t="str">
        <f aca="false">IF(LEFT(LOWER(TRIM(L2812)),6)="cancel","Cancelled","Delivered")</f>
        <v>Delivered</v>
      </c>
      <c r="AH2812" s="10" t="n">
        <f aca="false">IF(ISNUMBER(SEARCH("/",B2812)),DATE(VALUE(RIGHT(B2812,4)),VALUE(MID(B2812,4,2)),VALUE(LEFT(B2812,2))),IF(MID(B2812,5,1)="-",DATE(VALUE(LEFT(B2812,4)),VALUE(MID(B2812,6,2)),VALUE(RIGHT(B2812,2))),DATE(VALUE(RIGHT(B2812,4)),MATCH(MID(B2812,4,3),{"Jan","Feb","Mar","Apr","May","Jun","Jul","Aug","Sep","Oct","Nov","Dec"},0),VALUE(LEFT(B2812,2)))))</f>
        <v>45728</v>
      </c>
    </row>
    <row r="2813" customFormat="false" ht="15" hidden="false" customHeight="false" outlineLevel="0" collapsed="false">
      <c r="A2813" s="7" t="s">
        <v>5864</v>
      </c>
      <c r="B2813" s="7" t="s">
        <v>212</v>
      </c>
      <c r="C2813" s="7" t="s">
        <v>254</v>
      </c>
      <c r="D2813" s="7" t="s">
        <v>3692</v>
      </c>
      <c r="E2813" s="7" t="s">
        <v>130</v>
      </c>
      <c r="F2813" s="7" t="s">
        <v>110</v>
      </c>
      <c r="G2813" s="7" t="s">
        <v>90</v>
      </c>
      <c r="H2813" s="7" t="n">
        <v>4</v>
      </c>
      <c r="I2813" s="7" t="n">
        <v>255</v>
      </c>
      <c r="J2813" s="7" t="n">
        <v>20</v>
      </c>
      <c r="K2813" s="7" t="s">
        <v>88</v>
      </c>
      <c r="L2813" s="7" t="s">
        <v>194</v>
      </c>
      <c r="M2813" s="7" t="n">
        <v>48</v>
      </c>
      <c r="N2813" s="7" t="n">
        <v>5</v>
      </c>
      <c r="O2813" s="7" t="str">
        <f aca="false">A2813&amp;"|"&amp;B2813&amp;"|"&amp;C2813&amp;"|"&amp;D2813&amp;"|"&amp;E2813&amp;"|"&amp;F2813&amp;"|"&amp;G2813&amp;"|"&amp;H2813&amp;"|"&amp;I2813&amp;"|"&amp;J2813&amp;"|"&amp;K2813&amp;"|"&amp;L2813&amp;"|"&amp;M2813&amp;"|"&amp;N2813</f>
        <v>ORD12739|2025-12-01|20:58|C1200|Tandoor Tales|Delhi|North Indian|4|255|20|UPI|Delivered|48|5</v>
      </c>
      <c r="P2813" s="7" t="str">
        <f aca="false">IF(COUNTIF($O$2:O2813,O2813)&gt;1,"DUP","OK")</f>
        <v>OK</v>
      </c>
      <c r="Q2813" s="7" t="n">
        <f aca="false">COUNTBLANK(A2813:N2813)</f>
        <v>0</v>
      </c>
      <c r="R2813" s="7" t="n">
        <f aca="false">IF(A2813="",0,COUNTIFS($A$2:$A$3058,A2813,$P$2:$P$3058,"OK"))</f>
        <v>1</v>
      </c>
      <c r="S2813" s="7" t="str">
        <f aca="false">IF(OR(A2813="",P2813="DUP",R2813&lt;2),"",IF(Q2813=_xlfn.MINIFS($Q$2:$Q$3058,$A$2:$A$3058,A2813,$P$2:$P$3058,"OK"),"KEEP","DROP"))</f>
        <v/>
      </c>
      <c r="T2813" s="9" t="n">
        <f aca="false">IF(A2813="",1,0)</f>
        <v>0</v>
      </c>
      <c r="U2813" s="9" t="n">
        <f aca="false">IF(D2813="",1,0)</f>
        <v>0</v>
      </c>
      <c r="V2813" s="9" t="n">
        <f aca="false">IF(E2813="",1,0)</f>
        <v>0</v>
      </c>
      <c r="W2813" s="9" t="n">
        <f aca="false">IF(OR(H2813&lt;1,H2813&gt;10),1,0)</f>
        <v>0</v>
      </c>
      <c r="X2813" s="9" t="n">
        <f aca="false">IF(OR(I2813&lt;=0,I2813&gt;1500),1,0)</f>
        <v>0</v>
      </c>
      <c r="Y2813" s="9" t="n">
        <f aca="false">IF(J2813&gt;H2813*I2813,1,0)</f>
        <v>0</v>
      </c>
      <c r="Z2813" s="9" t="n">
        <f aca="false">IF(AND(N2813&lt;&gt;"",OR(N2813&lt;1,N2813&gt;5)),1,0)</f>
        <v>0</v>
      </c>
      <c r="AA2813" s="9" t="n">
        <f aca="false">IF(AND(M2813&lt;&gt;"",OR(M2813&lt;5,M2813&gt;180)),1,0)</f>
        <v>0</v>
      </c>
      <c r="AB2813" s="7" t="str">
        <f aca="false">IF(P2813="DUP","Exact duplicate row",IF(T2813=1,"Missing Order ID",IF(S2813="DROP","Duplicate Order ID (less complete row)",IF(U2813=1,"Missing Customer ID",IF(V2813=1,"Missing Restaurant name",IF(W2813=1,"Invalid/outlier quantity",IF(X2813=1,"Invalid/outlier unit price",IF(Y2813=1,"Discount greater than order value",""))))))))</f>
        <v/>
      </c>
      <c r="AC2813" s="7" t="str">
        <f aca="false">IF(AB2813="","KEEP","DROP")</f>
        <v>KEEP</v>
      </c>
      <c r="AD2813" s="7" t="str">
        <f aca="false">IF(TRIM(F2813)="",IFERROR(INDEX(Map_Tables!$I$4:$I$37,MATCH(TRIM(E2813),Map_Tables!$G$4:$G$37,0)),""),IFERROR(INDEX(Map_Tables!$B$4:$B$18,MATCH(TRIM(F2813),Map_Tables!$A$4:$A$18,0)),"CHECK"))</f>
        <v>Delhi</v>
      </c>
      <c r="AE2813" s="7" t="str">
        <f aca="false">IF(TRIM(E2813)="","",IFERROR(INDEX(Map_Tables!$H$4:$H$37,MATCH(TRIM(E2813),Map_Tables!$G$4:$G$37,0)),"CHECK"))</f>
        <v>Tandoor Tales</v>
      </c>
      <c r="AF2813" s="7" t="str">
        <f aca="false">IF(TRIM(K2813)="","Unknown",IFERROR(INDEX(Map_Tables!$E$4:$E$15,MATCH(TRIM(K2813),Map_Tables!$D$4:$D$15,0)),"CHECK"))</f>
        <v>UPI</v>
      </c>
      <c r="AG2813" s="7" t="str">
        <f aca="false">IF(LEFT(LOWER(TRIM(L2813)),6)="cancel","Cancelled","Delivered")</f>
        <v>Delivered</v>
      </c>
      <c r="AH2813" s="10" t="n">
        <f aca="false">IF(ISNUMBER(SEARCH("/",B2813)),DATE(VALUE(RIGHT(B2813,4)),VALUE(MID(B2813,4,2)),VALUE(LEFT(B2813,2))),IF(MID(B2813,5,1)="-",DATE(VALUE(LEFT(B2813,4)),VALUE(MID(B2813,6,2)),VALUE(RIGHT(B2813,2))),DATE(VALUE(RIGHT(B2813,4)),MATCH(MID(B2813,4,3),{"Jan","Feb","Mar","Apr","May","Jun","Jul","Aug","Sep","Oct","Nov","Dec"},0),VALUE(LEFT(B2813,2)))))</f>
        <v>45992</v>
      </c>
    </row>
    <row r="2814" customFormat="false" ht="15" hidden="false" customHeight="false" outlineLevel="0" collapsed="false">
      <c r="A2814" s="7" t="s">
        <v>5865</v>
      </c>
      <c r="B2814" s="7" t="s">
        <v>1885</v>
      </c>
      <c r="C2814" s="7" t="s">
        <v>5866</v>
      </c>
      <c r="D2814" s="7" t="s">
        <v>4173</v>
      </c>
      <c r="E2814" s="7" t="s">
        <v>116</v>
      </c>
      <c r="F2814" s="7" t="s">
        <v>215</v>
      </c>
      <c r="G2814" s="7" t="s">
        <v>117</v>
      </c>
      <c r="H2814" s="7" t="n">
        <v>2</v>
      </c>
      <c r="I2814" s="7" t="n">
        <v>130</v>
      </c>
      <c r="J2814" s="7" t="n">
        <v>0</v>
      </c>
      <c r="K2814" s="7" t="s">
        <v>88</v>
      </c>
      <c r="L2814" s="7" t="s">
        <v>194</v>
      </c>
      <c r="M2814" s="7" t="n">
        <v>43</v>
      </c>
      <c r="N2814" s="7"/>
      <c r="O2814" s="7" t="str">
        <f aca="false">A2814&amp;"|"&amp;B2814&amp;"|"&amp;C2814&amp;"|"&amp;D2814&amp;"|"&amp;E2814&amp;"|"&amp;F2814&amp;"|"&amp;G2814&amp;"|"&amp;H2814&amp;"|"&amp;I2814&amp;"|"&amp;J2814&amp;"|"&amp;K2814&amp;"|"&amp;L2814&amp;"|"&amp;M2814&amp;"|"&amp;N2814</f>
        <v>ORD12849|2025-12-15|00:35|C0567|Pav Bhaji Point|MUMBAI|Street Food|2|130|0|UPI|Delivered|43|</v>
      </c>
      <c r="P2814" s="7" t="str">
        <f aca="false">IF(COUNTIF($O$2:O2814,O2814)&gt;1,"DUP","OK")</f>
        <v>OK</v>
      </c>
      <c r="Q2814" s="7" t="n">
        <f aca="false">COUNTBLANK(A2814:N2814)</f>
        <v>1</v>
      </c>
      <c r="R2814" s="7" t="n">
        <f aca="false">IF(A2814="",0,COUNTIFS($A$2:$A$3058,A2814,$P$2:$P$3058,"OK"))</f>
        <v>1</v>
      </c>
      <c r="S2814" s="7" t="str">
        <f aca="false">IF(OR(A2814="",P2814="DUP",R2814&lt;2),"",IF(Q2814=_xlfn.MINIFS($Q$2:$Q$3058,$A$2:$A$3058,A2814,$P$2:$P$3058,"OK"),"KEEP","DROP"))</f>
        <v/>
      </c>
      <c r="T2814" s="9" t="n">
        <f aca="false">IF(A2814="",1,0)</f>
        <v>0</v>
      </c>
      <c r="U2814" s="9" t="n">
        <f aca="false">IF(D2814="",1,0)</f>
        <v>0</v>
      </c>
      <c r="V2814" s="9" t="n">
        <f aca="false">IF(E2814="",1,0)</f>
        <v>0</v>
      </c>
      <c r="W2814" s="9" t="n">
        <f aca="false">IF(OR(H2814&lt;1,H2814&gt;10),1,0)</f>
        <v>0</v>
      </c>
      <c r="X2814" s="9" t="n">
        <f aca="false">IF(OR(I2814&lt;=0,I2814&gt;1500),1,0)</f>
        <v>0</v>
      </c>
      <c r="Y2814" s="9" t="n">
        <f aca="false">IF(J2814&gt;H2814*I2814,1,0)</f>
        <v>0</v>
      </c>
      <c r="Z2814" s="9" t="n">
        <f aca="false">IF(AND(N2814&lt;&gt;"",OR(N2814&lt;1,N2814&gt;5)),1,0)</f>
        <v>0</v>
      </c>
      <c r="AA2814" s="9" t="n">
        <f aca="false">IF(AND(M2814&lt;&gt;"",OR(M2814&lt;5,M2814&gt;180)),1,0)</f>
        <v>0</v>
      </c>
      <c r="AB2814" s="7" t="str">
        <f aca="false">IF(P2814="DUP","Exact duplicate row",IF(T2814=1,"Missing Order ID",IF(S2814="DROP","Duplicate Order ID (less complete row)",IF(U2814=1,"Missing Customer ID",IF(V2814=1,"Missing Restaurant name",IF(W2814=1,"Invalid/outlier quantity",IF(X2814=1,"Invalid/outlier unit price",IF(Y2814=1,"Discount greater than order value",""))))))))</f>
        <v/>
      </c>
      <c r="AC2814" s="7" t="str">
        <f aca="false">IF(AB2814="","KEEP","DROP")</f>
        <v>KEEP</v>
      </c>
      <c r="AD2814" s="7" t="str">
        <f aca="false">IF(TRIM(F2814)="",IFERROR(INDEX(Map_Tables!$I$4:$I$37,MATCH(TRIM(E2814),Map_Tables!$G$4:$G$37,0)),""),IFERROR(INDEX(Map_Tables!$B$4:$B$18,MATCH(TRIM(F2814),Map_Tables!$A$4:$A$18,0)),"CHECK"))</f>
        <v>Mumbai</v>
      </c>
      <c r="AE2814" s="7" t="str">
        <f aca="false">IF(TRIM(E2814)="","",IFERROR(INDEX(Map_Tables!$H$4:$H$37,MATCH(TRIM(E2814),Map_Tables!$G$4:$G$37,0)),"CHECK"))</f>
        <v>Pav Bhaji Point</v>
      </c>
      <c r="AF2814" s="7" t="str">
        <f aca="false">IF(TRIM(K2814)="","Unknown",IFERROR(INDEX(Map_Tables!$E$4:$E$15,MATCH(TRIM(K2814),Map_Tables!$D$4:$D$15,0)),"CHECK"))</f>
        <v>UPI</v>
      </c>
      <c r="AG2814" s="7" t="str">
        <f aca="false">IF(LEFT(LOWER(TRIM(L2814)),6)="cancel","Cancelled","Delivered")</f>
        <v>Delivered</v>
      </c>
      <c r="AH2814" s="10" t="n">
        <f aca="false">IF(ISNUMBER(SEARCH("/",B2814)),DATE(VALUE(RIGHT(B2814,4)),VALUE(MID(B2814,4,2)),VALUE(LEFT(B2814,2))),IF(MID(B2814,5,1)="-",DATE(VALUE(LEFT(B2814,4)),VALUE(MID(B2814,6,2)),VALUE(RIGHT(B2814,2))),DATE(VALUE(RIGHT(B2814,4)),MATCH(MID(B2814,4,3),{"Jan","Feb","Mar","Apr","May","Jun","Jul","Aug","Sep","Oct","Nov","Dec"},0),VALUE(LEFT(B2814,2)))))</f>
        <v>46006</v>
      </c>
    </row>
    <row r="2815" customFormat="false" ht="15" hidden="false" customHeight="false" outlineLevel="0" collapsed="false">
      <c r="A2815" s="7" t="s">
        <v>5867</v>
      </c>
      <c r="B2815" s="7" t="s">
        <v>2006</v>
      </c>
      <c r="C2815" s="7" t="s">
        <v>2696</v>
      </c>
      <c r="D2815" s="7" t="s">
        <v>4864</v>
      </c>
      <c r="E2815" s="7" t="s">
        <v>113</v>
      </c>
      <c r="F2815" s="7" t="s">
        <v>498</v>
      </c>
      <c r="G2815" s="7" t="s">
        <v>90</v>
      </c>
      <c r="H2815" s="7" t="n">
        <v>1</v>
      </c>
      <c r="I2815" s="7" t="n">
        <v>255</v>
      </c>
      <c r="J2815" s="7" t="n">
        <v>100</v>
      </c>
      <c r="K2815" s="7" t="s">
        <v>88</v>
      </c>
      <c r="L2815" s="7" t="s">
        <v>194</v>
      </c>
      <c r="M2815" s="7" t="n">
        <v>44</v>
      </c>
      <c r="N2815" s="7" t="n">
        <v>5</v>
      </c>
      <c r="O2815" s="7" t="str">
        <f aca="false">A2815&amp;"|"&amp;B2815&amp;"|"&amp;C2815&amp;"|"&amp;D2815&amp;"|"&amp;E2815&amp;"|"&amp;F2815&amp;"|"&amp;G2815&amp;"|"&amp;H2815&amp;"|"&amp;I2815&amp;"|"&amp;J2815&amp;"|"&amp;K2815&amp;"|"&amp;L2815&amp;"|"&amp;M2815&amp;"|"&amp;N2815</f>
        <v>ORD11520|2025-07-16|19:05|C0065|Curry Leaf Kitchen|Bombay|North Indian|1|255|100|UPI|Delivered|44|5</v>
      </c>
      <c r="P2815" s="7" t="str">
        <f aca="false">IF(COUNTIF($O$2:O2815,O2815)&gt;1,"DUP","OK")</f>
        <v>OK</v>
      </c>
      <c r="Q2815" s="7" t="n">
        <f aca="false">COUNTBLANK(A2815:N2815)</f>
        <v>0</v>
      </c>
      <c r="R2815" s="7" t="n">
        <f aca="false">IF(A2815="",0,COUNTIFS($A$2:$A$3058,A2815,$P$2:$P$3058,"OK"))</f>
        <v>1</v>
      </c>
      <c r="S2815" s="7" t="str">
        <f aca="false">IF(OR(A2815="",P2815="DUP",R2815&lt;2),"",IF(Q2815=_xlfn.MINIFS($Q$2:$Q$3058,$A$2:$A$3058,A2815,$P$2:$P$3058,"OK"),"KEEP","DROP"))</f>
        <v/>
      </c>
      <c r="T2815" s="9" t="n">
        <f aca="false">IF(A2815="",1,0)</f>
        <v>0</v>
      </c>
      <c r="U2815" s="9" t="n">
        <f aca="false">IF(D2815="",1,0)</f>
        <v>0</v>
      </c>
      <c r="V2815" s="9" t="n">
        <f aca="false">IF(E2815="",1,0)</f>
        <v>0</v>
      </c>
      <c r="W2815" s="9" t="n">
        <f aca="false">IF(OR(H2815&lt;1,H2815&gt;10),1,0)</f>
        <v>0</v>
      </c>
      <c r="X2815" s="9" t="n">
        <f aca="false">IF(OR(I2815&lt;=0,I2815&gt;1500),1,0)</f>
        <v>0</v>
      </c>
      <c r="Y2815" s="9" t="n">
        <f aca="false">IF(J2815&gt;H2815*I2815,1,0)</f>
        <v>0</v>
      </c>
      <c r="Z2815" s="9" t="n">
        <f aca="false">IF(AND(N2815&lt;&gt;"",OR(N2815&lt;1,N2815&gt;5)),1,0)</f>
        <v>0</v>
      </c>
      <c r="AA2815" s="9" t="n">
        <f aca="false">IF(AND(M2815&lt;&gt;"",OR(M2815&lt;5,M2815&gt;180)),1,0)</f>
        <v>0</v>
      </c>
      <c r="AB2815" s="7" t="str">
        <f aca="false">IF(P2815="DUP","Exact duplicate row",IF(T2815=1,"Missing Order ID",IF(S2815="DROP","Duplicate Order ID (less complete row)",IF(U2815=1,"Missing Customer ID",IF(V2815=1,"Missing Restaurant name",IF(W2815=1,"Invalid/outlier quantity",IF(X2815=1,"Invalid/outlier unit price",IF(Y2815=1,"Discount greater than order value",""))))))))</f>
        <v/>
      </c>
      <c r="AC2815" s="7" t="str">
        <f aca="false">IF(AB2815="","KEEP","DROP")</f>
        <v>KEEP</v>
      </c>
      <c r="AD2815" s="7" t="str">
        <f aca="false">IF(TRIM(F2815)="",IFERROR(INDEX(Map_Tables!$I$4:$I$37,MATCH(TRIM(E2815),Map_Tables!$G$4:$G$37,0)),""),IFERROR(INDEX(Map_Tables!$B$4:$B$18,MATCH(TRIM(F2815),Map_Tables!$A$4:$A$18,0)),"CHECK"))</f>
        <v>Mumbai</v>
      </c>
      <c r="AE2815" s="7" t="str">
        <f aca="false">IF(TRIM(E2815)="","",IFERROR(INDEX(Map_Tables!$H$4:$H$37,MATCH(TRIM(E2815),Map_Tables!$G$4:$G$37,0)),"CHECK"))</f>
        <v>Curry Leaf Kitchen</v>
      </c>
      <c r="AF2815" s="7" t="str">
        <f aca="false">IF(TRIM(K2815)="","Unknown",IFERROR(INDEX(Map_Tables!$E$4:$E$15,MATCH(TRIM(K2815),Map_Tables!$D$4:$D$15,0)),"CHECK"))</f>
        <v>UPI</v>
      </c>
      <c r="AG2815" s="7" t="str">
        <f aca="false">IF(LEFT(LOWER(TRIM(L2815)),6)="cancel","Cancelled","Delivered")</f>
        <v>Delivered</v>
      </c>
      <c r="AH2815" s="10" t="n">
        <f aca="false">IF(ISNUMBER(SEARCH("/",B2815)),DATE(VALUE(RIGHT(B2815,4)),VALUE(MID(B2815,4,2)),VALUE(LEFT(B2815,2))),IF(MID(B2815,5,1)="-",DATE(VALUE(LEFT(B2815,4)),VALUE(MID(B2815,6,2)),VALUE(RIGHT(B2815,2))),DATE(VALUE(RIGHT(B2815,4)),MATCH(MID(B2815,4,3),{"Jan","Feb","Mar","Apr","May","Jun","Jul","Aug","Sep","Oct","Nov","Dec"},0),VALUE(LEFT(B2815,2)))))</f>
        <v>45854</v>
      </c>
    </row>
    <row r="2816" customFormat="false" ht="15" hidden="false" customHeight="false" outlineLevel="0" collapsed="false">
      <c r="A2816" s="7" t="s">
        <v>5868</v>
      </c>
      <c r="B2816" s="7" t="s">
        <v>1970</v>
      </c>
      <c r="C2816" s="7" t="s">
        <v>296</v>
      </c>
      <c r="D2816" s="7" t="s">
        <v>1962</v>
      </c>
      <c r="E2816" s="7" t="s">
        <v>138</v>
      </c>
      <c r="F2816" s="7" t="s">
        <v>110</v>
      </c>
      <c r="G2816" s="7" t="s">
        <v>139</v>
      </c>
      <c r="H2816" s="7" t="n">
        <v>3</v>
      </c>
      <c r="I2816" s="7" t="n">
        <v>165</v>
      </c>
      <c r="J2816" s="7" t="n">
        <v>0</v>
      </c>
      <c r="K2816" s="7" t="s">
        <v>88</v>
      </c>
      <c r="L2816" s="7" t="s">
        <v>457</v>
      </c>
      <c r="M2816" s="7" t="n">
        <v>47</v>
      </c>
      <c r="N2816" s="7" t="n">
        <v>1</v>
      </c>
      <c r="O2816" s="7" t="str">
        <f aca="false">A2816&amp;"|"&amp;B2816&amp;"|"&amp;C2816&amp;"|"&amp;D2816&amp;"|"&amp;E2816&amp;"|"&amp;F2816&amp;"|"&amp;G2816&amp;"|"&amp;H2816&amp;"|"&amp;I2816&amp;"|"&amp;J2816&amp;"|"&amp;K2816&amp;"|"&amp;L2816&amp;"|"&amp;M2816&amp;"|"&amp;N2816</f>
        <v>ORD12141|2025-10-01|21:06|C0762|Burger Barn|Delhi|Burgers|3|165|0|UPI|Delivered |47|1</v>
      </c>
      <c r="P2816" s="7" t="str">
        <f aca="false">IF(COUNTIF($O$2:O2816,O2816)&gt;1,"DUP","OK")</f>
        <v>OK</v>
      </c>
      <c r="Q2816" s="7" t="n">
        <f aca="false">COUNTBLANK(A2816:N2816)</f>
        <v>0</v>
      </c>
      <c r="R2816" s="7" t="n">
        <f aca="false">IF(A2816="",0,COUNTIFS($A$2:$A$3058,A2816,$P$2:$P$3058,"OK"))</f>
        <v>1</v>
      </c>
      <c r="S2816" s="7" t="str">
        <f aca="false">IF(OR(A2816="",P2816="DUP",R2816&lt;2),"",IF(Q2816=_xlfn.MINIFS($Q$2:$Q$3058,$A$2:$A$3058,A2816,$P$2:$P$3058,"OK"),"KEEP","DROP"))</f>
        <v/>
      </c>
      <c r="T2816" s="9" t="n">
        <f aca="false">IF(A2816="",1,0)</f>
        <v>0</v>
      </c>
      <c r="U2816" s="9" t="n">
        <f aca="false">IF(D2816="",1,0)</f>
        <v>0</v>
      </c>
      <c r="V2816" s="9" t="n">
        <f aca="false">IF(E2816="",1,0)</f>
        <v>0</v>
      </c>
      <c r="W2816" s="9" t="n">
        <f aca="false">IF(OR(H2816&lt;1,H2816&gt;10),1,0)</f>
        <v>0</v>
      </c>
      <c r="X2816" s="9" t="n">
        <f aca="false">IF(OR(I2816&lt;=0,I2816&gt;1500),1,0)</f>
        <v>0</v>
      </c>
      <c r="Y2816" s="9" t="n">
        <f aca="false">IF(J2816&gt;H2816*I2816,1,0)</f>
        <v>0</v>
      </c>
      <c r="Z2816" s="9" t="n">
        <f aca="false">IF(AND(N2816&lt;&gt;"",OR(N2816&lt;1,N2816&gt;5)),1,0)</f>
        <v>0</v>
      </c>
      <c r="AA2816" s="9" t="n">
        <f aca="false">IF(AND(M2816&lt;&gt;"",OR(M2816&lt;5,M2816&gt;180)),1,0)</f>
        <v>0</v>
      </c>
      <c r="AB2816" s="7" t="str">
        <f aca="false">IF(P2816="DUP","Exact duplicate row",IF(T2816=1,"Missing Order ID",IF(S2816="DROP","Duplicate Order ID (less complete row)",IF(U2816=1,"Missing Customer ID",IF(V2816=1,"Missing Restaurant name",IF(W2816=1,"Invalid/outlier quantity",IF(X2816=1,"Invalid/outlier unit price",IF(Y2816=1,"Discount greater than order value",""))))))))</f>
        <v/>
      </c>
      <c r="AC2816" s="7" t="str">
        <f aca="false">IF(AB2816="","KEEP","DROP")</f>
        <v>KEEP</v>
      </c>
      <c r="AD2816" s="7" t="str">
        <f aca="false">IF(TRIM(F2816)="",IFERROR(INDEX(Map_Tables!$I$4:$I$37,MATCH(TRIM(E2816),Map_Tables!$G$4:$G$37,0)),""),IFERROR(INDEX(Map_Tables!$B$4:$B$18,MATCH(TRIM(F2816),Map_Tables!$A$4:$A$18,0)),"CHECK"))</f>
        <v>Delhi</v>
      </c>
      <c r="AE2816" s="7" t="str">
        <f aca="false">IF(TRIM(E2816)="","",IFERROR(INDEX(Map_Tables!$H$4:$H$37,MATCH(TRIM(E2816),Map_Tables!$G$4:$G$37,0)),"CHECK"))</f>
        <v>Burger Barn</v>
      </c>
      <c r="AF2816" s="7" t="str">
        <f aca="false">IF(TRIM(K2816)="","Unknown",IFERROR(INDEX(Map_Tables!$E$4:$E$15,MATCH(TRIM(K2816),Map_Tables!$D$4:$D$15,0)),"CHECK"))</f>
        <v>UPI</v>
      </c>
      <c r="AG2816" s="7" t="str">
        <f aca="false">IF(LEFT(LOWER(TRIM(L2816)),6)="cancel","Cancelled","Delivered")</f>
        <v>Delivered</v>
      </c>
      <c r="AH2816" s="10" t="n">
        <f aca="false">IF(ISNUMBER(SEARCH("/",B2816)),DATE(VALUE(RIGHT(B2816,4)),VALUE(MID(B2816,4,2)),VALUE(LEFT(B2816,2))),IF(MID(B2816,5,1)="-",DATE(VALUE(LEFT(B2816,4)),VALUE(MID(B2816,6,2)),VALUE(RIGHT(B2816,2))),DATE(VALUE(RIGHT(B2816,4)),MATCH(MID(B2816,4,3),{"Jan","Feb","Mar","Apr","May","Jun","Jul","Aug","Sep","Oct","Nov","Dec"},0),VALUE(LEFT(B2816,2)))))</f>
        <v>45931</v>
      </c>
    </row>
    <row r="2817" customFormat="false" ht="15" hidden="false" customHeight="false" outlineLevel="0" collapsed="false">
      <c r="A2817" s="7" t="s">
        <v>5869</v>
      </c>
      <c r="B2817" s="7" t="s">
        <v>1069</v>
      </c>
      <c r="C2817" s="7" t="s">
        <v>883</v>
      </c>
      <c r="D2817" s="7" t="s">
        <v>4178</v>
      </c>
      <c r="E2817" s="7" t="s">
        <v>168</v>
      </c>
      <c r="F2817" s="7" t="s">
        <v>901</v>
      </c>
      <c r="G2817" s="7" t="s">
        <v>123</v>
      </c>
      <c r="H2817" s="7" t="n">
        <v>2</v>
      </c>
      <c r="I2817" s="7" t="n">
        <v>400</v>
      </c>
      <c r="J2817" s="7" t="n">
        <v>30</v>
      </c>
      <c r="K2817" s="7" t="s">
        <v>88</v>
      </c>
      <c r="L2817" s="7" t="s">
        <v>194</v>
      </c>
      <c r="M2817" s="7" t="n">
        <v>24</v>
      </c>
      <c r="N2817" s="7" t="n">
        <v>3</v>
      </c>
      <c r="O2817" s="7" t="str">
        <f aca="false">A2817&amp;"|"&amp;B2817&amp;"|"&amp;C2817&amp;"|"&amp;D2817&amp;"|"&amp;E2817&amp;"|"&amp;F2817&amp;"|"&amp;G2817&amp;"|"&amp;H2817&amp;"|"&amp;I2817&amp;"|"&amp;J2817&amp;"|"&amp;K2817&amp;"|"&amp;L2817&amp;"|"&amp;M2817&amp;"|"&amp;N2817</f>
        <v>ORD12939|2025-12-25|13:42|C0678|Cheesy Slice|AHMEDABAD|Pizza|2|400|30|UPI|Delivered|24|3</v>
      </c>
      <c r="P2817" s="7" t="str">
        <f aca="false">IF(COUNTIF($O$2:O2817,O2817)&gt;1,"DUP","OK")</f>
        <v>OK</v>
      </c>
      <c r="Q2817" s="7" t="n">
        <f aca="false">COUNTBLANK(A2817:N2817)</f>
        <v>0</v>
      </c>
      <c r="R2817" s="7" t="n">
        <f aca="false">IF(A2817="",0,COUNTIFS($A$2:$A$3058,A2817,$P$2:$P$3058,"OK"))</f>
        <v>1</v>
      </c>
      <c r="S2817" s="7" t="str">
        <f aca="false">IF(OR(A2817="",P2817="DUP",R2817&lt;2),"",IF(Q2817=_xlfn.MINIFS($Q$2:$Q$3058,$A$2:$A$3058,A2817,$P$2:$P$3058,"OK"),"KEEP","DROP"))</f>
        <v/>
      </c>
      <c r="T2817" s="9" t="n">
        <f aca="false">IF(A2817="",1,0)</f>
        <v>0</v>
      </c>
      <c r="U2817" s="9" t="n">
        <f aca="false">IF(D2817="",1,0)</f>
        <v>0</v>
      </c>
      <c r="V2817" s="9" t="n">
        <f aca="false">IF(E2817="",1,0)</f>
        <v>0</v>
      </c>
      <c r="W2817" s="9" t="n">
        <f aca="false">IF(OR(H2817&lt;1,H2817&gt;10),1,0)</f>
        <v>0</v>
      </c>
      <c r="X2817" s="9" t="n">
        <f aca="false">IF(OR(I2817&lt;=0,I2817&gt;1500),1,0)</f>
        <v>0</v>
      </c>
      <c r="Y2817" s="9" t="n">
        <f aca="false">IF(J2817&gt;H2817*I2817,1,0)</f>
        <v>0</v>
      </c>
      <c r="Z2817" s="9" t="n">
        <f aca="false">IF(AND(N2817&lt;&gt;"",OR(N2817&lt;1,N2817&gt;5)),1,0)</f>
        <v>0</v>
      </c>
      <c r="AA2817" s="9" t="n">
        <f aca="false">IF(AND(M2817&lt;&gt;"",OR(M2817&lt;5,M2817&gt;180)),1,0)</f>
        <v>0</v>
      </c>
      <c r="AB2817" s="7" t="str">
        <f aca="false">IF(P2817="DUP","Exact duplicate row",IF(T2817=1,"Missing Order ID",IF(S2817="DROP","Duplicate Order ID (less complete row)",IF(U2817=1,"Missing Customer ID",IF(V2817=1,"Missing Restaurant name",IF(W2817=1,"Invalid/outlier quantity",IF(X2817=1,"Invalid/outlier unit price",IF(Y2817=1,"Discount greater than order value",""))))))))</f>
        <v/>
      </c>
      <c r="AC2817" s="7" t="str">
        <f aca="false">IF(AB2817="","KEEP","DROP")</f>
        <v>KEEP</v>
      </c>
      <c r="AD2817" s="7" t="str">
        <f aca="false">IF(TRIM(F2817)="",IFERROR(INDEX(Map_Tables!$I$4:$I$37,MATCH(TRIM(E2817),Map_Tables!$G$4:$G$37,0)),""),IFERROR(INDEX(Map_Tables!$B$4:$B$18,MATCH(TRIM(F2817),Map_Tables!$A$4:$A$18,0)),"CHECK"))</f>
        <v>Ahmedabad</v>
      </c>
      <c r="AE2817" s="7" t="str">
        <f aca="false">IF(TRIM(E2817)="","",IFERROR(INDEX(Map_Tables!$H$4:$H$37,MATCH(TRIM(E2817),Map_Tables!$G$4:$G$37,0)),"CHECK"))</f>
        <v>Cheesy Slice</v>
      </c>
      <c r="AF2817" s="7" t="str">
        <f aca="false">IF(TRIM(K2817)="","Unknown",IFERROR(INDEX(Map_Tables!$E$4:$E$15,MATCH(TRIM(K2817),Map_Tables!$D$4:$D$15,0)),"CHECK"))</f>
        <v>UPI</v>
      </c>
      <c r="AG2817" s="7" t="str">
        <f aca="false">IF(LEFT(LOWER(TRIM(L2817)),6)="cancel","Cancelled","Delivered")</f>
        <v>Delivered</v>
      </c>
      <c r="AH2817" s="10" t="n">
        <f aca="false">IF(ISNUMBER(SEARCH("/",B2817)),DATE(VALUE(RIGHT(B2817,4)),VALUE(MID(B2817,4,2)),VALUE(LEFT(B2817,2))),IF(MID(B2817,5,1)="-",DATE(VALUE(LEFT(B2817,4)),VALUE(MID(B2817,6,2)),VALUE(RIGHT(B2817,2))),DATE(VALUE(RIGHT(B2817,4)),MATCH(MID(B2817,4,3),{"Jan","Feb","Mar","Apr","May","Jun","Jul","Aug","Sep","Oct","Nov","Dec"},0),VALUE(LEFT(B2817,2)))))</f>
        <v>46016</v>
      </c>
    </row>
    <row r="2818" customFormat="false" ht="15" hidden="false" customHeight="false" outlineLevel="0" collapsed="false">
      <c r="A2818" s="7" t="s">
        <v>5870</v>
      </c>
      <c r="B2818" s="7" t="s">
        <v>537</v>
      </c>
      <c r="C2818" s="7" t="s">
        <v>2800</v>
      </c>
      <c r="D2818" s="7" t="s">
        <v>4100</v>
      </c>
      <c r="E2818" s="7" t="s">
        <v>98</v>
      </c>
      <c r="F2818" s="7" t="s">
        <v>86</v>
      </c>
      <c r="G2818" s="7" t="s">
        <v>99</v>
      </c>
      <c r="H2818" s="7" t="n">
        <v>1</v>
      </c>
      <c r="I2818" s="7" t="n">
        <v>245</v>
      </c>
      <c r="J2818" s="7" t="n">
        <v>40</v>
      </c>
      <c r="K2818" s="7" t="s">
        <v>121</v>
      </c>
      <c r="L2818" s="7" t="s">
        <v>194</v>
      </c>
      <c r="M2818" s="7" t="n">
        <v>31</v>
      </c>
      <c r="N2818" s="7" t="n">
        <v>5</v>
      </c>
      <c r="O2818" s="7" t="str">
        <f aca="false">A2818&amp;"|"&amp;B2818&amp;"|"&amp;C2818&amp;"|"&amp;D2818&amp;"|"&amp;E2818&amp;"|"&amp;F2818&amp;"|"&amp;G2818&amp;"|"&amp;H2818&amp;"|"&amp;I2818&amp;"|"&amp;J2818&amp;"|"&amp;K2818&amp;"|"&amp;L2818&amp;"|"&amp;M2818&amp;"|"&amp;N2818</f>
        <v>ORD12033|2025-09-20|10:46|C0508|Nawabi Biryani House|Bengaluru|Biryani|1|245|40|Wallet|Delivered|31|5</v>
      </c>
      <c r="P2818" s="7" t="str">
        <f aca="false">IF(COUNTIF($O$2:O2818,O2818)&gt;1,"DUP","OK")</f>
        <v>OK</v>
      </c>
      <c r="Q2818" s="7" t="n">
        <f aca="false">COUNTBLANK(A2818:N2818)</f>
        <v>0</v>
      </c>
      <c r="R2818" s="7" t="n">
        <f aca="false">IF(A2818="",0,COUNTIFS($A$2:$A$3058,A2818,$P$2:$P$3058,"OK"))</f>
        <v>1</v>
      </c>
      <c r="S2818" s="7" t="str">
        <f aca="false">IF(OR(A2818="",P2818="DUP",R2818&lt;2),"",IF(Q2818=_xlfn.MINIFS($Q$2:$Q$3058,$A$2:$A$3058,A2818,$P$2:$P$3058,"OK"),"KEEP","DROP"))</f>
        <v/>
      </c>
      <c r="T2818" s="9" t="n">
        <f aca="false">IF(A2818="",1,0)</f>
        <v>0</v>
      </c>
      <c r="U2818" s="9" t="n">
        <f aca="false">IF(D2818="",1,0)</f>
        <v>0</v>
      </c>
      <c r="V2818" s="9" t="n">
        <f aca="false">IF(E2818="",1,0)</f>
        <v>0</v>
      </c>
      <c r="W2818" s="9" t="n">
        <f aca="false">IF(OR(H2818&lt;1,H2818&gt;10),1,0)</f>
        <v>0</v>
      </c>
      <c r="X2818" s="9" t="n">
        <f aca="false">IF(OR(I2818&lt;=0,I2818&gt;1500),1,0)</f>
        <v>0</v>
      </c>
      <c r="Y2818" s="9" t="n">
        <f aca="false">IF(J2818&gt;H2818*I2818,1,0)</f>
        <v>0</v>
      </c>
      <c r="Z2818" s="9" t="n">
        <f aca="false">IF(AND(N2818&lt;&gt;"",OR(N2818&lt;1,N2818&gt;5)),1,0)</f>
        <v>0</v>
      </c>
      <c r="AA2818" s="9" t="n">
        <f aca="false">IF(AND(M2818&lt;&gt;"",OR(M2818&lt;5,M2818&gt;180)),1,0)</f>
        <v>0</v>
      </c>
      <c r="AB2818" s="7" t="str">
        <f aca="false">IF(P2818="DUP","Exact duplicate row",IF(T2818=1,"Missing Order ID",IF(S2818="DROP","Duplicate Order ID (less complete row)",IF(U2818=1,"Missing Customer ID",IF(V2818=1,"Missing Restaurant name",IF(W2818=1,"Invalid/outlier quantity",IF(X2818=1,"Invalid/outlier unit price",IF(Y2818=1,"Discount greater than order value",""))))))))</f>
        <v/>
      </c>
      <c r="AC2818" s="7" t="str">
        <f aca="false">IF(AB2818="","KEEP","DROP")</f>
        <v>KEEP</v>
      </c>
      <c r="AD2818" s="7" t="str">
        <f aca="false">IF(TRIM(F2818)="",IFERROR(INDEX(Map_Tables!$I$4:$I$37,MATCH(TRIM(E2818),Map_Tables!$G$4:$G$37,0)),""),IFERROR(INDEX(Map_Tables!$B$4:$B$18,MATCH(TRIM(F2818),Map_Tables!$A$4:$A$18,0)),"CHECK"))</f>
        <v>Bengaluru</v>
      </c>
      <c r="AE2818" s="7" t="str">
        <f aca="false">IF(TRIM(E2818)="","",IFERROR(INDEX(Map_Tables!$H$4:$H$37,MATCH(TRIM(E2818),Map_Tables!$G$4:$G$37,0)),"CHECK"))</f>
        <v>Nawabi Biryani House</v>
      </c>
      <c r="AF2818" s="7" t="str">
        <f aca="false">IF(TRIM(K2818)="","Unknown",IFERROR(INDEX(Map_Tables!$E$4:$E$15,MATCH(TRIM(K2818),Map_Tables!$D$4:$D$15,0)),"CHECK"))</f>
        <v>Wallet</v>
      </c>
      <c r="AG2818" s="7" t="str">
        <f aca="false">IF(LEFT(LOWER(TRIM(L2818)),6)="cancel","Cancelled","Delivered")</f>
        <v>Delivered</v>
      </c>
      <c r="AH2818" s="10" t="n">
        <f aca="false">IF(ISNUMBER(SEARCH("/",B2818)),DATE(VALUE(RIGHT(B2818,4)),VALUE(MID(B2818,4,2)),VALUE(LEFT(B2818,2))),IF(MID(B2818,5,1)="-",DATE(VALUE(LEFT(B2818,4)),VALUE(MID(B2818,6,2)),VALUE(RIGHT(B2818,2))),DATE(VALUE(RIGHT(B2818,4)),MATCH(MID(B2818,4,3),{"Jan","Feb","Mar","Apr","May","Jun","Jul","Aug","Sep","Oct","Nov","Dec"},0),VALUE(LEFT(B2818,2)))))</f>
        <v>45920</v>
      </c>
    </row>
    <row r="2819" customFormat="false" ht="15" hidden="false" customHeight="false" outlineLevel="0" collapsed="false">
      <c r="A2819" s="7" t="s">
        <v>5871</v>
      </c>
      <c r="B2819" s="7" t="s">
        <v>466</v>
      </c>
      <c r="C2819" s="7" t="s">
        <v>241</v>
      </c>
      <c r="D2819" s="7" t="s">
        <v>4891</v>
      </c>
      <c r="E2819" s="7" t="s">
        <v>147</v>
      </c>
      <c r="F2819" s="7" t="s">
        <v>119</v>
      </c>
      <c r="G2819" s="7" t="s">
        <v>95</v>
      </c>
      <c r="H2819" s="7" t="n">
        <v>1</v>
      </c>
      <c r="I2819" s="7" t="n">
        <v>150</v>
      </c>
      <c r="J2819" s="7" t="n">
        <v>50</v>
      </c>
      <c r="K2819" s="7" t="s">
        <v>88</v>
      </c>
      <c r="L2819" s="7" t="s">
        <v>194</v>
      </c>
      <c r="M2819" s="7" t="n">
        <v>28</v>
      </c>
      <c r="N2819" s="7" t="n">
        <v>5</v>
      </c>
      <c r="O2819" s="7" t="str">
        <f aca="false">A2819&amp;"|"&amp;B2819&amp;"|"&amp;C2819&amp;"|"&amp;D2819&amp;"|"&amp;E2819&amp;"|"&amp;F2819&amp;"|"&amp;G2819&amp;"|"&amp;H2819&amp;"|"&amp;I2819&amp;"|"&amp;J2819&amp;"|"&amp;K2819&amp;"|"&amp;L2819&amp;"|"&amp;M2819&amp;"|"&amp;N2819</f>
        <v>ORD12485|2025-11-08|11:59|C0764|Andhra Meals Mess|Hyderabad|South Indian|1|150|50|UPI|Delivered|28|5</v>
      </c>
      <c r="P2819" s="7" t="str">
        <f aca="false">IF(COUNTIF($O$2:O2819,O2819)&gt;1,"DUP","OK")</f>
        <v>OK</v>
      </c>
      <c r="Q2819" s="7" t="n">
        <f aca="false">COUNTBLANK(A2819:N2819)</f>
        <v>0</v>
      </c>
      <c r="R2819" s="7" t="n">
        <f aca="false">IF(A2819="",0,COUNTIFS($A$2:$A$3058,A2819,$P$2:$P$3058,"OK"))</f>
        <v>1</v>
      </c>
      <c r="S2819" s="7" t="str">
        <f aca="false">IF(OR(A2819="",P2819="DUP",R2819&lt;2),"",IF(Q2819=_xlfn.MINIFS($Q$2:$Q$3058,$A$2:$A$3058,A2819,$P$2:$P$3058,"OK"),"KEEP","DROP"))</f>
        <v/>
      </c>
      <c r="T2819" s="9" t="n">
        <f aca="false">IF(A2819="",1,0)</f>
        <v>0</v>
      </c>
      <c r="U2819" s="9" t="n">
        <f aca="false">IF(D2819="",1,0)</f>
        <v>0</v>
      </c>
      <c r="V2819" s="9" t="n">
        <f aca="false">IF(E2819="",1,0)</f>
        <v>0</v>
      </c>
      <c r="W2819" s="9" t="n">
        <f aca="false">IF(OR(H2819&lt;1,H2819&gt;10),1,0)</f>
        <v>0</v>
      </c>
      <c r="X2819" s="9" t="n">
        <f aca="false">IF(OR(I2819&lt;=0,I2819&gt;1500),1,0)</f>
        <v>0</v>
      </c>
      <c r="Y2819" s="9" t="n">
        <f aca="false">IF(J2819&gt;H2819*I2819,1,0)</f>
        <v>0</v>
      </c>
      <c r="Z2819" s="9" t="n">
        <f aca="false">IF(AND(N2819&lt;&gt;"",OR(N2819&lt;1,N2819&gt;5)),1,0)</f>
        <v>0</v>
      </c>
      <c r="AA2819" s="9" t="n">
        <f aca="false">IF(AND(M2819&lt;&gt;"",OR(M2819&lt;5,M2819&gt;180)),1,0)</f>
        <v>0</v>
      </c>
      <c r="AB2819" s="7" t="str">
        <f aca="false">IF(P2819="DUP","Exact duplicate row",IF(T2819=1,"Missing Order ID",IF(S2819="DROP","Duplicate Order ID (less complete row)",IF(U2819=1,"Missing Customer ID",IF(V2819=1,"Missing Restaurant name",IF(W2819=1,"Invalid/outlier quantity",IF(X2819=1,"Invalid/outlier unit price",IF(Y2819=1,"Discount greater than order value",""))))))))</f>
        <v/>
      </c>
      <c r="AC2819" s="7" t="str">
        <f aca="false">IF(AB2819="","KEEP","DROP")</f>
        <v>KEEP</v>
      </c>
      <c r="AD2819" s="7" t="str">
        <f aca="false">IF(TRIM(F2819)="",IFERROR(INDEX(Map_Tables!$I$4:$I$37,MATCH(TRIM(E2819),Map_Tables!$G$4:$G$37,0)),""),IFERROR(INDEX(Map_Tables!$B$4:$B$18,MATCH(TRIM(F2819),Map_Tables!$A$4:$A$18,0)),"CHECK"))</f>
        <v>Hyderabad</v>
      </c>
      <c r="AE2819" s="7" t="str">
        <f aca="false">IF(TRIM(E2819)="","",IFERROR(INDEX(Map_Tables!$H$4:$H$37,MATCH(TRIM(E2819),Map_Tables!$G$4:$G$37,0)),"CHECK"))</f>
        <v>Andhra Meals Mess</v>
      </c>
      <c r="AF2819" s="7" t="str">
        <f aca="false">IF(TRIM(K2819)="","Unknown",IFERROR(INDEX(Map_Tables!$E$4:$E$15,MATCH(TRIM(K2819),Map_Tables!$D$4:$D$15,0)),"CHECK"))</f>
        <v>UPI</v>
      </c>
      <c r="AG2819" s="7" t="str">
        <f aca="false">IF(LEFT(LOWER(TRIM(L2819)),6)="cancel","Cancelled","Delivered")</f>
        <v>Delivered</v>
      </c>
      <c r="AH2819" s="10" t="n">
        <f aca="false">IF(ISNUMBER(SEARCH("/",B2819)),DATE(VALUE(RIGHT(B2819,4)),VALUE(MID(B2819,4,2)),VALUE(LEFT(B2819,2))),IF(MID(B2819,5,1)="-",DATE(VALUE(LEFT(B2819,4)),VALUE(MID(B2819,6,2)),VALUE(RIGHT(B2819,2))),DATE(VALUE(RIGHT(B2819,4)),MATCH(MID(B2819,4,3),{"Jan","Feb","Mar","Apr","May","Jun","Jul","Aug","Sep","Oct","Nov","Dec"},0),VALUE(LEFT(B2819,2)))))</f>
        <v>45969</v>
      </c>
    </row>
    <row r="2820" customFormat="false" ht="15" hidden="false" customHeight="false" outlineLevel="0" collapsed="false">
      <c r="A2820" s="7" t="s">
        <v>5872</v>
      </c>
      <c r="B2820" s="7" t="s">
        <v>828</v>
      </c>
      <c r="C2820" s="7" t="s">
        <v>2020</v>
      </c>
      <c r="D2820" s="7" t="s">
        <v>5873</v>
      </c>
      <c r="E2820" s="7" t="s">
        <v>126</v>
      </c>
      <c r="F2820" s="7" t="s">
        <v>101</v>
      </c>
      <c r="G2820" s="7" t="s">
        <v>105</v>
      </c>
      <c r="H2820" s="7" t="n">
        <v>4</v>
      </c>
      <c r="I2820" s="7" t="n">
        <v>235</v>
      </c>
      <c r="J2820" s="7" t="n">
        <v>0</v>
      </c>
      <c r="K2820" s="7" t="s">
        <v>88</v>
      </c>
      <c r="L2820" s="7" t="s">
        <v>194</v>
      </c>
      <c r="M2820" s="7" t="n">
        <v>33</v>
      </c>
      <c r="N2820" s="7" t="n">
        <v>4</v>
      </c>
      <c r="O2820" s="7" t="str">
        <f aca="false">A2820&amp;"|"&amp;B2820&amp;"|"&amp;C2820&amp;"|"&amp;D2820&amp;"|"&amp;E2820&amp;"|"&amp;F2820&amp;"|"&amp;G2820&amp;"|"&amp;H2820&amp;"|"&amp;I2820&amp;"|"&amp;J2820&amp;"|"&amp;K2820&amp;"|"&amp;L2820&amp;"|"&amp;M2820&amp;"|"&amp;N2820</f>
        <v>ORD12539|2025-11-13|15:06|C0389|Dragon Express|Mumbai|Chinese|4|235|0|UPI|Delivered|33|4</v>
      </c>
      <c r="P2820" s="7" t="str">
        <f aca="false">IF(COUNTIF($O$2:O2820,O2820)&gt;1,"DUP","OK")</f>
        <v>OK</v>
      </c>
      <c r="Q2820" s="7" t="n">
        <f aca="false">COUNTBLANK(A2820:N2820)</f>
        <v>0</v>
      </c>
      <c r="R2820" s="7" t="n">
        <f aca="false">IF(A2820="",0,COUNTIFS($A$2:$A$3058,A2820,$P$2:$P$3058,"OK"))</f>
        <v>1</v>
      </c>
      <c r="S2820" s="7" t="str">
        <f aca="false">IF(OR(A2820="",P2820="DUP",R2820&lt;2),"",IF(Q2820=_xlfn.MINIFS($Q$2:$Q$3058,$A$2:$A$3058,A2820,$P$2:$P$3058,"OK"),"KEEP","DROP"))</f>
        <v/>
      </c>
      <c r="T2820" s="9" t="n">
        <f aca="false">IF(A2820="",1,0)</f>
        <v>0</v>
      </c>
      <c r="U2820" s="9" t="n">
        <f aca="false">IF(D2820="",1,0)</f>
        <v>0</v>
      </c>
      <c r="V2820" s="9" t="n">
        <f aca="false">IF(E2820="",1,0)</f>
        <v>0</v>
      </c>
      <c r="W2820" s="9" t="n">
        <f aca="false">IF(OR(H2820&lt;1,H2820&gt;10),1,0)</f>
        <v>0</v>
      </c>
      <c r="X2820" s="9" t="n">
        <f aca="false">IF(OR(I2820&lt;=0,I2820&gt;1500),1,0)</f>
        <v>0</v>
      </c>
      <c r="Y2820" s="9" t="n">
        <f aca="false">IF(J2820&gt;H2820*I2820,1,0)</f>
        <v>0</v>
      </c>
      <c r="Z2820" s="9" t="n">
        <f aca="false">IF(AND(N2820&lt;&gt;"",OR(N2820&lt;1,N2820&gt;5)),1,0)</f>
        <v>0</v>
      </c>
      <c r="AA2820" s="9" t="n">
        <f aca="false">IF(AND(M2820&lt;&gt;"",OR(M2820&lt;5,M2820&gt;180)),1,0)</f>
        <v>0</v>
      </c>
      <c r="AB2820" s="7" t="str">
        <f aca="false">IF(P2820="DUP","Exact duplicate row",IF(T2820=1,"Missing Order ID",IF(S2820="DROP","Duplicate Order ID (less complete row)",IF(U2820=1,"Missing Customer ID",IF(V2820=1,"Missing Restaurant name",IF(W2820=1,"Invalid/outlier quantity",IF(X2820=1,"Invalid/outlier unit price",IF(Y2820=1,"Discount greater than order value",""))))))))</f>
        <v/>
      </c>
      <c r="AC2820" s="7" t="str">
        <f aca="false">IF(AB2820="","KEEP","DROP")</f>
        <v>KEEP</v>
      </c>
      <c r="AD2820" s="7" t="str">
        <f aca="false">IF(TRIM(F2820)="",IFERROR(INDEX(Map_Tables!$I$4:$I$37,MATCH(TRIM(E2820),Map_Tables!$G$4:$G$37,0)),""),IFERROR(INDEX(Map_Tables!$B$4:$B$18,MATCH(TRIM(F2820),Map_Tables!$A$4:$A$18,0)),"CHECK"))</f>
        <v>Mumbai</v>
      </c>
      <c r="AE2820" s="7" t="str">
        <f aca="false">IF(TRIM(E2820)="","",IFERROR(INDEX(Map_Tables!$H$4:$H$37,MATCH(TRIM(E2820),Map_Tables!$G$4:$G$37,0)),"CHECK"))</f>
        <v>Dragon Express</v>
      </c>
      <c r="AF2820" s="7" t="str">
        <f aca="false">IF(TRIM(K2820)="","Unknown",IFERROR(INDEX(Map_Tables!$E$4:$E$15,MATCH(TRIM(K2820),Map_Tables!$D$4:$D$15,0)),"CHECK"))</f>
        <v>UPI</v>
      </c>
      <c r="AG2820" s="7" t="str">
        <f aca="false">IF(LEFT(LOWER(TRIM(L2820)),6)="cancel","Cancelled","Delivered")</f>
        <v>Delivered</v>
      </c>
      <c r="AH2820" s="10" t="n">
        <f aca="false">IF(ISNUMBER(SEARCH("/",B2820)),DATE(VALUE(RIGHT(B2820,4)),VALUE(MID(B2820,4,2)),VALUE(LEFT(B2820,2))),IF(MID(B2820,5,1)="-",DATE(VALUE(LEFT(B2820,4)),VALUE(MID(B2820,6,2)),VALUE(RIGHT(B2820,2))),DATE(VALUE(RIGHT(B2820,4)),MATCH(MID(B2820,4,3),{"Jan","Feb","Mar","Apr","May","Jun","Jul","Aug","Sep","Oct","Nov","Dec"},0),VALUE(LEFT(B2820,2)))))</f>
        <v>45974</v>
      </c>
    </row>
    <row r="2821" customFormat="false" ht="15" hidden="false" customHeight="false" outlineLevel="0" collapsed="false">
      <c r="A2821" s="7" t="s">
        <v>3823</v>
      </c>
      <c r="B2821" s="7" t="s">
        <v>3824</v>
      </c>
      <c r="C2821" s="7" t="s">
        <v>3825</v>
      </c>
      <c r="D2821" s="7" t="s">
        <v>3826</v>
      </c>
      <c r="E2821" s="7" t="s">
        <v>138</v>
      </c>
      <c r="F2821" s="7" t="s">
        <v>110</v>
      </c>
      <c r="G2821" s="7" t="s">
        <v>139</v>
      </c>
      <c r="H2821" s="7" t="n">
        <v>3</v>
      </c>
      <c r="I2821" s="7" t="n">
        <v>210</v>
      </c>
      <c r="J2821" s="7" t="n">
        <v>50</v>
      </c>
      <c r="K2821" s="7" t="s">
        <v>88</v>
      </c>
      <c r="L2821" s="7" t="s">
        <v>194</v>
      </c>
      <c r="M2821" s="7" t="n">
        <v>34</v>
      </c>
      <c r="N2821" s="7" t="n">
        <v>5</v>
      </c>
      <c r="O2821" s="7" t="str">
        <f aca="false">A2821&amp;"|"&amp;B2821&amp;"|"&amp;C2821&amp;"|"&amp;D2821&amp;"|"&amp;E2821&amp;"|"&amp;F2821&amp;"|"&amp;G2821&amp;"|"&amp;H2821&amp;"|"&amp;I2821&amp;"|"&amp;J2821&amp;"|"&amp;K2821&amp;"|"&amp;L2821&amp;"|"&amp;M2821&amp;"|"&amp;N2821</f>
        <v>ORD11623|31/07/2025|09:18|C1105|Burger Barn|Delhi|Burgers|3|210|50|UPI|Delivered|34|5</v>
      </c>
      <c r="P2821" s="7" t="str">
        <f aca="false">IF(COUNTIF($O$2:O2821,O2821)&gt;1,"DUP","OK")</f>
        <v>OK</v>
      </c>
      <c r="Q2821" s="7" t="n">
        <f aca="false">COUNTBLANK(A2821:N2821)</f>
        <v>0</v>
      </c>
      <c r="R2821" s="7" t="n">
        <f aca="false">IF(A2821="",0,COUNTIFS($A$2:$A$3058,A2821,$P$2:$P$3058,"OK"))</f>
        <v>2</v>
      </c>
      <c r="S2821" s="7" t="str">
        <f aca="false">IF(OR(A2821="",P2821="DUP",R2821&lt;2),"",IF(Q2821=_xlfn.MINIFS($Q$2:$Q$3058,$A$2:$A$3058,A2821,$P$2:$P$3058,"OK"),"KEEP","DROP"))</f>
        <v>KEEP</v>
      </c>
      <c r="T2821" s="9" t="n">
        <f aca="false">IF(A2821="",1,0)</f>
        <v>0</v>
      </c>
      <c r="U2821" s="9" t="n">
        <f aca="false">IF(D2821="",1,0)</f>
        <v>0</v>
      </c>
      <c r="V2821" s="9" t="n">
        <f aca="false">IF(E2821="",1,0)</f>
        <v>0</v>
      </c>
      <c r="W2821" s="9" t="n">
        <f aca="false">IF(OR(H2821&lt;1,H2821&gt;10),1,0)</f>
        <v>0</v>
      </c>
      <c r="X2821" s="9" t="n">
        <f aca="false">IF(OR(I2821&lt;=0,I2821&gt;1500),1,0)</f>
        <v>0</v>
      </c>
      <c r="Y2821" s="9" t="n">
        <f aca="false">IF(J2821&gt;H2821*I2821,1,0)</f>
        <v>0</v>
      </c>
      <c r="Z2821" s="9" t="n">
        <f aca="false">IF(AND(N2821&lt;&gt;"",OR(N2821&lt;1,N2821&gt;5)),1,0)</f>
        <v>0</v>
      </c>
      <c r="AA2821" s="9" t="n">
        <f aca="false">IF(AND(M2821&lt;&gt;"",OR(M2821&lt;5,M2821&gt;180)),1,0)</f>
        <v>0</v>
      </c>
      <c r="AB2821" s="7" t="str">
        <f aca="false">IF(P2821="DUP","Exact duplicate row",IF(T2821=1,"Missing Order ID",IF(S2821="DROP","Duplicate Order ID (less complete row)",IF(U2821=1,"Missing Customer ID",IF(V2821=1,"Missing Restaurant name",IF(W2821=1,"Invalid/outlier quantity",IF(X2821=1,"Invalid/outlier unit price",IF(Y2821=1,"Discount greater than order value",""))))))))</f>
        <v/>
      </c>
      <c r="AC2821" s="7" t="str">
        <f aca="false">IF(AB2821="","KEEP","DROP")</f>
        <v>KEEP</v>
      </c>
      <c r="AD2821" s="7" t="str">
        <f aca="false">IF(TRIM(F2821)="",IFERROR(INDEX(Map_Tables!$I$4:$I$37,MATCH(TRIM(E2821),Map_Tables!$G$4:$G$37,0)),""),IFERROR(INDEX(Map_Tables!$B$4:$B$18,MATCH(TRIM(F2821),Map_Tables!$A$4:$A$18,0)),"CHECK"))</f>
        <v>Delhi</v>
      </c>
      <c r="AE2821" s="7" t="str">
        <f aca="false">IF(TRIM(E2821)="","",IFERROR(INDEX(Map_Tables!$H$4:$H$37,MATCH(TRIM(E2821),Map_Tables!$G$4:$G$37,0)),"CHECK"))</f>
        <v>Burger Barn</v>
      </c>
      <c r="AF2821" s="7" t="str">
        <f aca="false">IF(TRIM(K2821)="","Unknown",IFERROR(INDEX(Map_Tables!$E$4:$E$15,MATCH(TRIM(K2821),Map_Tables!$D$4:$D$15,0)),"CHECK"))</f>
        <v>UPI</v>
      </c>
      <c r="AG2821" s="7" t="str">
        <f aca="false">IF(LEFT(LOWER(TRIM(L2821)),6)="cancel","Cancelled","Delivered")</f>
        <v>Delivered</v>
      </c>
      <c r="AH2821" s="10" t="n">
        <f aca="false">IF(ISNUMBER(SEARCH("/",B2821)),DATE(VALUE(RIGHT(B2821,4)),VALUE(MID(B2821,4,2)),VALUE(LEFT(B2821,2))),IF(MID(B2821,5,1)="-",DATE(VALUE(LEFT(B2821,4)),VALUE(MID(B2821,6,2)),VALUE(RIGHT(B2821,2))),DATE(VALUE(RIGHT(B2821,4)),MATCH(MID(B2821,4,3),{"Jan","Feb","Mar","Apr","May","Jun","Jul","Aug","Sep","Oct","Nov","Dec"},0),VALUE(LEFT(B2821,2)))))</f>
        <v>45869</v>
      </c>
    </row>
    <row r="2822" customFormat="false" ht="15" hidden="false" customHeight="false" outlineLevel="0" collapsed="false">
      <c r="A2822" s="7" t="s">
        <v>5874</v>
      </c>
      <c r="B2822" s="7" t="s">
        <v>2141</v>
      </c>
      <c r="C2822" s="7" t="s">
        <v>5875</v>
      </c>
      <c r="D2822" s="7" t="s">
        <v>4390</v>
      </c>
      <c r="E2822" s="7" t="s">
        <v>104</v>
      </c>
      <c r="F2822" s="7" t="s">
        <v>86</v>
      </c>
      <c r="G2822" s="7" t="s">
        <v>105</v>
      </c>
      <c r="H2822" s="7" t="n">
        <v>3</v>
      </c>
      <c r="I2822" s="7" t="n">
        <v>210</v>
      </c>
      <c r="J2822" s="7" t="n">
        <v>0</v>
      </c>
      <c r="K2822" s="7" t="s">
        <v>133</v>
      </c>
      <c r="L2822" s="7" t="s">
        <v>194</v>
      </c>
      <c r="M2822" s="7" t="n">
        <v>32</v>
      </c>
      <c r="N2822" s="7"/>
      <c r="O2822" s="7" t="str">
        <f aca="false">A2822&amp;"|"&amp;B2822&amp;"|"&amp;C2822&amp;"|"&amp;D2822&amp;"|"&amp;E2822&amp;"|"&amp;F2822&amp;"|"&amp;G2822&amp;"|"&amp;H2822&amp;"|"&amp;I2822&amp;"|"&amp;J2822&amp;"|"&amp;K2822&amp;"|"&amp;L2822&amp;"|"&amp;M2822&amp;"|"&amp;N2822</f>
        <v>ORD12098|2025-09-27|15:12|C0369|Wok &amp; Roll|Bengaluru|Chinese|3|210|0|Net Banking|Delivered|32|</v>
      </c>
      <c r="P2822" s="7" t="str">
        <f aca="false">IF(COUNTIF($O$2:O2822,O2822)&gt;1,"DUP","OK")</f>
        <v>OK</v>
      </c>
      <c r="Q2822" s="7" t="n">
        <f aca="false">COUNTBLANK(A2822:N2822)</f>
        <v>1</v>
      </c>
      <c r="R2822" s="7" t="n">
        <f aca="false">IF(A2822="",0,COUNTIFS($A$2:$A$3058,A2822,$P$2:$P$3058,"OK"))</f>
        <v>1</v>
      </c>
      <c r="S2822" s="7" t="str">
        <f aca="false">IF(OR(A2822="",P2822="DUP",R2822&lt;2),"",IF(Q2822=_xlfn.MINIFS($Q$2:$Q$3058,$A$2:$A$3058,A2822,$P$2:$P$3058,"OK"),"KEEP","DROP"))</f>
        <v/>
      </c>
      <c r="T2822" s="9" t="n">
        <f aca="false">IF(A2822="",1,0)</f>
        <v>0</v>
      </c>
      <c r="U2822" s="9" t="n">
        <f aca="false">IF(D2822="",1,0)</f>
        <v>0</v>
      </c>
      <c r="V2822" s="9" t="n">
        <f aca="false">IF(E2822="",1,0)</f>
        <v>0</v>
      </c>
      <c r="W2822" s="9" t="n">
        <f aca="false">IF(OR(H2822&lt;1,H2822&gt;10),1,0)</f>
        <v>0</v>
      </c>
      <c r="X2822" s="9" t="n">
        <f aca="false">IF(OR(I2822&lt;=0,I2822&gt;1500),1,0)</f>
        <v>0</v>
      </c>
      <c r="Y2822" s="9" t="n">
        <f aca="false">IF(J2822&gt;H2822*I2822,1,0)</f>
        <v>0</v>
      </c>
      <c r="Z2822" s="9" t="n">
        <f aca="false">IF(AND(N2822&lt;&gt;"",OR(N2822&lt;1,N2822&gt;5)),1,0)</f>
        <v>0</v>
      </c>
      <c r="AA2822" s="9" t="n">
        <f aca="false">IF(AND(M2822&lt;&gt;"",OR(M2822&lt;5,M2822&gt;180)),1,0)</f>
        <v>0</v>
      </c>
      <c r="AB2822" s="7" t="str">
        <f aca="false">IF(P2822="DUP","Exact duplicate row",IF(T2822=1,"Missing Order ID",IF(S2822="DROP","Duplicate Order ID (less complete row)",IF(U2822=1,"Missing Customer ID",IF(V2822=1,"Missing Restaurant name",IF(W2822=1,"Invalid/outlier quantity",IF(X2822=1,"Invalid/outlier unit price",IF(Y2822=1,"Discount greater than order value",""))))))))</f>
        <v/>
      </c>
      <c r="AC2822" s="7" t="str">
        <f aca="false">IF(AB2822="","KEEP","DROP")</f>
        <v>KEEP</v>
      </c>
      <c r="AD2822" s="7" t="str">
        <f aca="false">IF(TRIM(F2822)="",IFERROR(INDEX(Map_Tables!$I$4:$I$37,MATCH(TRIM(E2822),Map_Tables!$G$4:$G$37,0)),""),IFERROR(INDEX(Map_Tables!$B$4:$B$18,MATCH(TRIM(F2822),Map_Tables!$A$4:$A$18,0)),"CHECK"))</f>
        <v>Bengaluru</v>
      </c>
      <c r="AE2822" s="7" t="str">
        <f aca="false">IF(TRIM(E2822)="","",IFERROR(INDEX(Map_Tables!$H$4:$H$37,MATCH(TRIM(E2822),Map_Tables!$G$4:$G$37,0)),"CHECK"))</f>
        <v>Wok &amp; Roll</v>
      </c>
      <c r="AF2822" s="7" t="str">
        <f aca="false">IF(TRIM(K2822)="","Unknown",IFERROR(INDEX(Map_Tables!$E$4:$E$15,MATCH(TRIM(K2822),Map_Tables!$D$4:$D$15,0)),"CHECK"))</f>
        <v>Net Banking</v>
      </c>
      <c r="AG2822" s="7" t="str">
        <f aca="false">IF(LEFT(LOWER(TRIM(L2822)),6)="cancel","Cancelled","Delivered")</f>
        <v>Delivered</v>
      </c>
      <c r="AH2822" s="10" t="n">
        <f aca="false">IF(ISNUMBER(SEARCH("/",B2822)),DATE(VALUE(RIGHT(B2822,4)),VALUE(MID(B2822,4,2)),VALUE(LEFT(B2822,2))),IF(MID(B2822,5,1)="-",DATE(VALUE(LEFT(B2822,4)),VALUE(MID(B2822,6,2)),VALUE(RIGHT(B2822,2))),DATE(VALUE(RIGHT(B2822,4)),MATCH(MID(B2822,4,3),{"Jan","Feb","Mar","Apr","May","Jun","Jul","Aug","Sep","Oct","Nov","Dec"},0),VALUE(LEFT(B2822,2)))))</f>
        <v>45927</v>
      </c>
    </row>
    <row r="2823" customFormat="false" ht="15" hidden="false" customHeight="false" outlineLevel="0" collapsed="false">
      <c r="A2823" s="7" t="s">
        <v>5876</v>
      </c>
      <c r="B2823" s="7" t="s">
        <v>3637</v>
      </c>
      <c r="C2823" s="7" t="s">
        <v>386</v>
      </c>
      <c r="D2823" s="7" t="s">
        <v>5877</v>
      </c>
      <c r="E2823" s="7" t="s">
        <v>130</v>
      </c>
      <c r="F2823" s="7" t="s">
        <v>110</v>
      </c>
      <c r="G2823" s="7" t="s">
        <v>90</v>
      </c>
      <c r="H2823" s="7" t="n">
        <v>4</v>
      </c>
      <c r="I2823" s="7" t="n">
        <v>-250</v>
      </c>
      <c r="J2823" s="7" t="n">
        <v>0</v>
      </c>
      <c r="K2823" s="7" t="s">
        <v>88</v>
      </c>
      <c r="L2823" s="7" t="s">
        <v>194</v>
      </c>
      <c r="M2823" s="7" t="n">
        <v>42</v>
      </c>
      <c r="N2823" s="7" t="n">
        <v>3</v>
      </c>
      <c r="O2823" s="7" t="str">
        <f aca="false">A2823&amp;"|"&amp;B2823&amp;"|"&amp;C2823&amp;"|"&amp;D2823&amp;"|"&amp;E2823&amp;"|"&amp;F2823&amp;"|"&amp;G2823&amp;"|"&amp;H2823&amp;"|"&amp;I2823&amp;"|"&amp;J2823&amp;"|"&amp;K2823&amp;"|"&amp;L2823&amp;"|"&amp;M2823&amp;"|"&amp;N2823</f>
        <v>ORD12880|2025-12-19|11:53|C0274|Tandoor Tales|Delhi|North Indian|4|-250|0|UPI|Delivered|42|3</v>
      </c>
      <c r="P2823" s="7" t="str">
        <f aca="false">IF(COUNTIF($O$2:O2823,O2823)&gt;1,"DUP","OK")</f>
        <v>OK</v>
      </c>
      <c r="Q2823" s="7" t="n">
        <f aca="false">COUNTBLANK(A2823:N2823)</f>
        <v>0</v>
      </c>
      <c r="R2823" s="7" t="n">
        <f aca="false">IF(A2823="",0,COUNTIFS($A$2:$A$3058,A2823,$P$2:$P$3058,"OK"))</f>
        <v>1</v>
      </c>
      <c r="S2823" s="7" t="str">
        <f aca="false">IF(OR(A2823="",P2823="DUP",R2823&lt;2),"",IF(Q2823=_xlfn.MINIFS($Q$2:$Q$3058,$A$2:$A$3058,A2823,$P$2:$P$3058,"OK"),"KEEP","DROP"))</f>
        <v/>
      </c>
      <c r="T2823" s="9" t="n">
        <f aca="false">IF(A2823="",1,0)</f>
        <v>0</v>
      </c>
      <c r="U2823" s="9" t="n">
        <f aca="false">IF(D2823="",1,0)</f>
        <v>0</v>
      </c>
      <c r="V2823" s="9" t="n">
        <f aca="false">IF(E2823="",1,0)</f>
        <v>0</v>
      </c>
      <c r="W2823" s="9" t="n">
        <f aca="false">IF(OR(H2823&lt;1,H2823&gt;10),1,0)</f>
        <v>0</v>
      </c>
      <c r="X2823" s="9" t="n">
        <f aca="false">IF(OR(I2823&lt;=0,I2823&gt;1500),1,0)</f>
        <v>1</v>
      </c>
      <c r="Y2823" s="9" t="n">
        <f aca="false">IF(J2823&gt;H2823*I2823,1,0)</f>
        <v>1</v>
      </c>
      <c r="Z2823" s="9" t="n">
        <f aca="false">IF(AND(N2823&lt;&gt;"",OR(N2823&lt;1,N2823&gt;5)),1,0)</f>
        <v>0</v>
      </c>
      <c r="AA2823" s="9" t="n">
        <f aca="false">IF(AND(M2823&lt;&gt;"",OR(M2823&lt;5,M2823&gt;180)),1,0)</f>
        <v>0</v>
      </c>
      <c r="AB2823" s="7" t="str">
        <f aca="false">IF(P2823="DUP","Exact duplicate row",IF(T2823=1,"Missing Order ID",IF(S2823="DROP","Duplicate Order ID (less complete row)",IF(U2823=1,"Missing Customer ID",IF(V2823=1,"Missing Restaurant name",IF(W2823=1,"Invalid/outlier quantity",IF(X2823=1,"Invalid/outlier unit price",IF(Y2823=1,"Discount greater than order value",""))))))))</f>
        <v>Invalid/outlier unit price</v>
      </c>
      <c r="AC2823" s="7" t="str">
        <f aca="false">IF(AB2823="","KEEP","DROP")</f>
        <v>DROP</v>
      </c>
      <c r="AD2823" s="7" t="str">
        <f aca="false">IF(TRIM(F2823)="",IFERROR(INDEX(Map_Tables!$I$4:$I$37,MATCH(TRIM(E2823),Map_Tables!$G$4:$G$37,0)),""),IFERROR(INDEX(Map_Tables!$B$4:$B$18,MATCH(TRIM(F2823),Map_Tables!$A$4:$A$18,0)),"CHECK"))</f>
        <v>Delhi</v>
      </c>
      <c r="AE2823" s="7" t="str">
        <f aca="false">IF(TRIM(E2823)="","",IFERROR(INDEX(Map_Tables!$H$4:$H$37,MATCH(TRIM(E2823),Map_Tables!$G$4:$G$37,0)),"CHECK"))</f>
        <v>Tandoor Tales</v>
      </c>
      <c r="AF2823" s="7" t="str">
        <f aca="false">IF(TRIM(K2823)="","Unknown",IFERROR(INDEX(Map_Tables!$E$4:$E$15,MATCH(TRIM(K2823),Map_Tables!$D$4:$D$15,0)),"CHECK"))</f>
        <v>UPI</v>
      </c>
      <c r="AG2823" s="7" t="str">
        <f aca="false">IF(LEFT(LOWER(TRIM(L2823)),6)="cancel","Cancelled","Delivered")</f>
        <v>Delivered</v>
      </c>
      <c r="AH2823" s="10" t="n">
        <f aca="false">IF(ISNUMBER(SEARCH("/",B2823)),DATE(VALUE(RIGHT(B2823,4)),VALUE(MID(B2823,4,2)),VALUE(LEFT(B2823,2))),IF(MID(B2823,5,1)="-",DATE(VALUE(LEFT(B2823,4)),VALUE(MID(B2823,6,2)),VALUE(RIGHT(B2823,2))),DATE(VALUE(RIGHT(B2823,4)),MATCH(MID(B2823,4,3),{"Jan","Feb","Mar","Apr","May","Jun","Jul","Aug","Sep","Oct","Nov","Dec"},0),VALUE(LEFT(B2823,2)))))</f>
        <v>46010</v>
      </c>
    </row>
    <row r="2824" customFormat="false" ht="15" hidden="false" customHeight="false" outlineLevel="0" collapsed="false">
      <c r="A2824" s="7" t="s">
        <v>5878</v>
      </c>
      <c r="B2824" s="7" t="s">
        <v>926</v>
      </c>
      <c r="C2824" s="7" t="s">
        <v>577</v>
      </c>
      <c r="D2824" s="7" t="s">
        <v>4086</v>
      </c>
      <c r="E2824" s="7" t="s">
        <v>157</v>
      </c>
      <c r="F2824" s="7" t="s">
        <v>135</v>
      </c>
      <c r="G2824" s="7" t="s">
        <v>117</v>
      </c>
      <c r="H2824" s="7" t="n">
        <v>2</v>
      </c>
      <c r="I2824" s="7" t="n">
        <v>90</v>
      </c>
      <c r="J2824" s="7" t="n">
        <v>72</v>
      </c>
      <c r="K2824" s="7" t="s">
        <v>88</v>
      </c>
      <c r="L2824" s="7" t="s">
        <v>194</v>
      </c>
      <c r="M2824" s="7" t="n">
        <v>37</v>
      </c>
      <c r="N2824" s="7" t="n">
        <v>3</v>
      </c>
      <c r="O2824" s="7" t="str">
        <f aca="false">A2824&amp;"|"&amp;B2824&amp;"|"&amp;C2824&amp;"|"&amp;D2824&amp;"|"&amp;E2824&amp;"|"&amp;F2824&amp;"|"&amp;G2824&amp;"|"&amp;H2824&amp;"|"&amp;I2824&amp;"|"&amp;J2824&amp;"|"&amp;K2824&amp;"|"&amp;L2824&amp;"|"&amp;M2824&amp;"|"&amp;N2824</f>
        <v>ORD10070|2025-01-10|12:20|C1378|Misal Mantra|pune|Street Food|2|90|72|UPI|Delivered|37|3</v>
      </c>
      <c r="P2824" s="7" t="str">
        <f aca="false">IF(COUNTIF($O$2:O2824,O2824)&gt;1,"DUP","OK")</f>
        <v>OK</v>
      </c>
      <c r="Q2824" s="7" t="n">
        <f aca="false">COUNTBLANK(A2824:N2824)</f>
        <v>0</v>
      </c>
      <c r="R2824" s="7" t="n">
        <f aca="false">IF(A2824="",0,COUNTIFS($A$2:$A$3058,A2824,$P$2:$P$3058,"OK"))</f>
        <v>1</v>
      </c>
      <c r="S2824" s="7" t="str">
        <f aca="false">IF(OR(A2824="",P2824="DUP",R2824&lt;2),"",IF(Q2824=_xlfn.MINIFS($Q$2:$Q$3058,$A$2:$A$3058,A2824,$P$2:$P$3058,"OK"),"KEEP","DROP"))</f>
        <v/>
      </c>
      <c r="T2824" s="9" t="n">
        <f aca="false">IF(A2824="",1,0)</f>
        <v>0</v>
      </c>
      <c r="U2824" s="9" t="n">
        <f aca="false">IF(D2824="",1,0)</f>
        <v>0</v>
      </c>
      <c r="V2824" s="9" t="n">
        <f aca="false">IF(E2824="",1,0)</f>
        <v>0</v>
      </c>
      <c r="W2824" s="9" t="n">
        <f aca="false">IF(OR(H2824&lt;1,H2824&gt;10),1,0)</f>
        <v>0</v>
      </c>
      <c r="X2824" s="9" t="n">
        <f aca="false">IF(OR(I2824&lt;=0,I2824&gt;1500),1,0)</f>
        <v>0</v>
      </c>
      <c r="Y2824" s="9" t="n">
        <f aca="false">IF(J2824&gt;H2824*I2824,1,0)</f>
        <v>0</v>
      </c>
      <c r="Z2824" s="9" t="n">
        <f aca="false">IF(AND(N2824&lt;&gt;"",OR(N2824&lt;1,N2824&gt;5)),1,0)</f>
        <v>0</v>
      </c>
      <c r="AA2824" s="9" t="n">
        <f aca="false">IF(AND(M2824&lt;&gt;"",OR(M2824&lt;5,M2824&gt;180)),1,0)</f>
        <v>0</v>
      </c>
      <c r="AB2824" s="7" t="str">
        <f aca="false">IF(P2824="DUP","Exact duplicate row",IF(T2824=1,"Missing Order ID",IF(S2824="DROP","Duplicate Order ID (less complete row)",IF(U2824=1,"Missing Customer ID",IF(V2824=1,"Missing Restaurant name",IF(W2824=1,"Invalid/outlier quantity",IF(X2824=1,"Invalid/outlier unit price",IF(Y2824=1,"Discount greater than order value",""))))))))</f>
        <v/>
      </c>
      <c r="AC2824" s="7" t="str">
        <f aca="false">IF(AB2824="","KEEP","DROP")</f>
        <v>KEEP</v>
      </c>
      <c r="AD2824" s="7" t="str">
        <f aca="false">IF(TRIM(F2824)="",IFERROR(INDEX(Map_Tables!$I$4:$I$37,MATCH(TRIM(E2824),Map_Tables!$G$4:$G$37,0)),""),IFERROR(INDEX(Map_Tables!$B$4:$B$18,MATCH(TRIM(F2824),Map_Tables!$A$4:$A$18,0)),"CHECK"))</f>
        <v>Pune</v>
      </c>
      <c r="AE2824" s="7" t="str">
        <f aca="false">IF(TRIM(E2824)="","",IFERROR(INDEX(Map_Tables!$H$4:$H$37,MATCH(TRIM(E2824),Map_Tables!$G$4:$G$37,0)),"CHECK"))</f>
        <v>Misal Mantra</v>
      </c>
      <c r="AF2824" s="7" t="str">
        <f aca="false">IF(TRIM(K2824)="","Unknown",IFERROR(INDEX(Map_Tables!$E$4:$E$15,MATCH(TRIM(K2824),Map_Tables!$D$4:$D$15,0)),"CHECK"))</f>
        <v>UPI</v>
      </c>
      <c r="AG2824" s="7" t="str">
        <f aca="false">IF(LEFT(LOWER(TRIM(L2824)),6)="cancel","Cancelled","Delivered")</f>
        <v>Delivered</v>
      </c>
      <c r="AH2824" s="10" t="n">
        <f aca="false">IF(ISNUMBER(SEARCH("/",B2824)),DATE(VALUE(RIGHT(B2824,4)),VALUE(MID(B2824,4,2)),VALUE(LEFT(B2824,2))),IF(MID(B2824,5,1)="-",DATE(VALUE(LEFT(B2824,4)),VALUE(MID(B2824,6,2)),VALUE(RIGHT(B2824,2))),DATE(VALUE(RIGHT(B2824,4)),MATCH(MID(B2824,4,3),{"Jan","Feb","Mar","Apr","May","Jun","Jul","Aug","Sep","Oct","Nov","Dec"},0),VALUE(LEFT(B2824,2)))))</f>
        <v>45667</v>
      </c>
    </row>
    <row r="2825" customFormat="false" ht="15" hidden="false" customHeight="false" outlineLevel="0" collapsed="false">
      <c r="A2825" s="7" t="s">
        <v>5879</v>
      </c>
      <c r="B2825" s="7" t="s">
        <v>5880</v>
      </c>
      <c r="C2825" s="7" t="s">
        <v>1788</v>
      </c>
      <c r="D2825" s="7" t="s">
        <v>544</v>
      </c>
      <c r="E2825" s="7" t="s">
        <v>130</v>
      </c>
      <c r="F2825" s="7" t="s">
        <v>110</v>
      </c>
      <c r="G2825" s="7" t="s">
        <v>90</v>
      </c>
      <c r="H2825" s="7" t="n">
        <v>2</v>
      </c>
      <c r="I2825" s="7" t="n">
        <v>225</v>
      </c>
      <c r="J2825" s="7" t="n">
        <v>30</v>
      </c>
      <c r="K2825" s="7" t="s">
        <v>88</v>
      </c>
      <c r="L2825" s="7" t="s">
        <v>194</v>
      </c>
      <c r="M2825" s="7" t="n">
        <v>29</v>
      </c>
      <c r="N2825" s="7" t="n">
        <v>3</v>
      </c>
      <c r="O2825" s="7" t="str">
        <f aca="false">A2825&amp;"|"&amp;B2825&amp;"|"&amp;C2825&amp;"|"&amp;D2825&amp;"|"&amp;E2825&amp;"|"&amp;F2825&amp;"|"&amp;G2825&amp;"|"&amp;H2825&amp;"|"&amp;I2825&amp;"|"&amp;J2825&amp;"|"&amp;K2825&amp;"|"&amp;L2825&amp;"|"&amp;M2825&amp;"|"&amp;N2825</f>
        <v>ORD11573|24/07/2025|20:33|C0530|Tandoor Tales|Delhi|North Indian|2|225|30|UPI|Delivered|29|3</v>
      </c>
      <c r="P2825" s="7" t="str">
        <f aca="false">IF(COUNTIF($O$2:O2825,O2825)&gt;1,"DUP","OK")</f>
        <v>OK</v>
      </c>
      <c r="Q2825" s="7" t="n">
        <f aca="false">COUNTBLANK(A2825:N2825)</f>
        <v>0</v>
      </c>
      <c r="R2825" s="7" t="n">
        <f aca="false">IF(A2825="",0,COUNTIFS($A$2:$A$3058,A2825,$P$2:$P$3058,"OK"))</f>
        <v>1</v>
      </c>
      <c r="S2825" s="7" t="str">
        <f aca="false">IF(OR(A2825="",P2825="DUP",R2825&lt;2),"",IF(Q2825=_xlfn.MINIFS($Q$2:$Q$3058,$A$2:$A$3058,A2825,$P$2:$P$3058,"OK"),"KEEP","DROP"))</f>
        <v/>
      </c>
      <c r="T2825" s="9" t="n">
        <f aca="false">IF(A2825="",1,0)</f>
        <v>0</v>
      </c>
      <c r="U2825" s="9" t="n">
        <f aca="false">IF(D2825="",1,0)</f>
        <v>0</v>
      </c>
      <c r="V2825" s="9" t="n">
        <f aca="false">IF(E2825="",1,0)</f>
        <v>0</v>
      </c>
      <c r="W2825" s="9" t="n">
        <f aca="false">IF(OR(H2825&lt;1,H2825&gt;10),1,0)</f>
        <v>0</v>
      </c>
      <c r="X2825" s="9" t="n">
        <f aca="false">IF(OR(I2825&lt;=0,I2825&gt;1500),1,0)</f>
        <v>0</v>
      </c>
      <c r="Y2825" s="9" t="n">
        <f aca="false">IF(J2825&gt;H2825*I2825,1,0)</f>
        <v>0</v>
      </c>
      <c r="Z2825" s="9" t="n">
        <f aca="false">IF(AND(N2825&lt;&gt;"",OR(N2825&lt;1,N2825&gt;5)),1,0)</f>
        <v>0</v>
      </c>
      <c r="AA2825" s="9" t="n">
        <f aca="false">IF(AND(M2825&lt;&gt;"",OR(M2825&lt;5,M2825&gt;180)),1,0)</f>
        <v>0</v>
      </c>
      <c r="AB2825" s="7" t="str">
        <f aca="false">IF(P2825="DUP","Exact duplicate row",IF(T2825=1,"Missing Order ID",IF(S2825="DROP","Duplicate Order ID (less complete row)",IF(U2825=1,"Missing Customer ID",IF(V2825=1,"Missing Restaurant name",IF(W2825=1,"Invalid/outlier quantity",IF(X2825=1,"Invalid/outlier unit price",IF(Y2825=1,"Discount greater than order value",""))))))))</f>
        <v/>
      </c>
      <c r="AC2825" s="7" t="str">
        <f aca="false">IF(AB2825="","KEEP","DROP")</f>
        <v>KEEP</v>
      </c>
      <c r="AD2825" s="7" t="str">
        <f aca="false">IF(TRIM(F2825)="",IFERROR(INDEX(Map_Tables!$I$4:$I$37,MATCH(TRIM(E2825),Map_Tables!$G$4:$G$37,0)),""),IFERROR(INDEX(Map_Tables!$B$4:$B$18,MATCH(TRIM(F2825),Map_Tables!$A$4:$A$18,0)),"CHECK"))</f>
        <v>Delhi</v>
      </c>
      <c r="AE2825" s="7" t="str">
        <f aca="false">IF(TRIM(E2825)="","",IFERROR(INDEX(Map_Tables!$H$4:$H$37,MATCH(TRIM(E2825),Map_Tables!$G$4:$G$37,0)),"CHECK"))</f>
        <v>Tandoor Tales</v>
      </c>
      <c r="AF2825" s="7" t="str">
        <f aca="false">IF(TRIM(K2825)="","Unknown",IFERROR(INDEX(Map_Tables!$E$4:$E$15,MATCH(TRIM(K2825),Map_Tables!$D$4:$D$15,0)),"CHECK"))</f>
        <v>UPI</v>
      </c>
      <c r="AG2825" s="7" t="str">
        <f aca="false">IF(LEFT(LOWER(TRIM(L2825)),6)="cancel","Cancelled","Delivered")</f>
        <v>Delivered</v>
      </c>
      <c r="AH2825" s="10" t="n">
        <f aca="false">IF(ISNUMBER(SEARCH("/",B2825)),DATE(VALUE(RIGHT(B2825,4)),VALUE(MID(B2825,4,2)),VALUE(LEFT(B2825,2))),IF(MID(B2825,5,1)="-",DATE(VALUE(LEFT(B2825,4)),VALUE(MID(B2825,6,2)),VALUE(RIGHT(B2825,2))),DATE(VALUE(RIGHT(B2825,4)),MATCH(MID(B2825,4,3),{"Jan","Feb","Mar","Apr","May","Jun","Jul","Aug","Sep","Oct","Nov","Dec"},0),VALUE(LEFT(B2825,2)))))</f>
        <v>45862</v>
      </c>
    </row>
    <row r="2826" customFormat="false" ht="15" hidden="false" customHeight="false" outlineLevel="0" collapsed="false">
      <c r="A2826" s="7" t="s">
        <v>5881</v>
      </c>
      <c r="B2826" s="7" t="s">
        <v>3386</v>
      </c>
      <c r="C2826" s="7" t="s">
        <v>5159</v>
      </c>
      <c r="D2826" s="7" t="s">
        <v>1658</v>
      </c>
      <c r="E2826" s="7" t="s">
        <v>681</v>
      </c>
      <c r="F2826" s="7" t="s">
        <v>110</v>
      </c>
      <c r="G2826" s="7" t="s">
        <v>117</v>
      </c>
      <c r="H2826" s="7" t="n">
        <v>4</v>
      </c>
      <c r="I2826" s="7" t="n">
        <v>100</v>
      </c>
      <c r="J2826" s="7" t="n">
        <v>75</v>
      </c>
      <c r="K2826" s="7" t="s">
        <v>88</v>
      </c>
      <c r="L2826" s="7" t="s">
        <v>194</v>
      </c>
      <c r="M2826" s="7" t="n">
        <v>43</v>
      </c>
      <c r="N2826" s="7" t="n">
        <v>5</v>
      </c>
      <c r="O2826" s="7" t="str">
        <f aca="false">A2826&amp;"|"&amp;B2826&amp;"|"&amp;C2826&amp;"|"&amp;D2826&amp;"|"&amp;E2826&amp;"|"&amp;F2826&amp;"|"&amp;G2826&amp;"|"&amp;H2826&amp;"|"&amp;I2826&amp;"|"&amp;J2826&amp;"|"&amp;K2826&amp;"|"&amp;L2826&amp;"|"&amp;M2826&amp;"|"&amp;N2826</f>
        <v>ORD10809|2025-04-13|13:44|C1233|chaat corner|Delhi|Street Food|4|100|75|UPI|Delivered|43|5</v>
      </c>
      <c r="P2826" s="7" t="str">
        <f aca="false">IF(COUNTIF($O$2:O2826,O2826)&gt;1,"DUP","OK")</f>
        <v>OK</v>
      </c>
      <c r="Q2826" s="7" t="n">
        <f aca="false">COUNTBLANK(A2826:N2826)</f>
        <v>0</v>
      </c>
      <c r="R2826" s="7" t="n">
        <f aca="false">IF(A2826="",0,COUNTIFS($A$2:$A$3058,A2826,$P$2:$P$3058,"OK"))</f>
        <v>1</v>
      </c>
      <c r="S2826" s="7" t="str">
        <f aca="false">IF(OR(A2826="",P2826="DUP",R2826&lt;2),"",IF(Q2826=_xlfn.MINIFS($Q$2:$Q$3058,$A$2:$A$3058,A2826,$P$2:$P$3058,"OK"),"KEEP","DROP"))</f>
        <v/>
      </c>
      <c r="T2826" s="9" t="n">
        <f aca="false">IF(A2826="",1,0)</f>
        <v>0</v>
      </c>
      <c r="U2826" s="9" t="n">
        <f aca="false">IF(D2826="",1,0)</f>
        <v>0</v>
      </c>
      <c r="V2826" s="9" t="n">
        <f aca="false">IF(E2826="",1,0)</f>
        <v>0</v>
      </c>
      <c r="W2826" s="9" t="n">
        <f aca="false">IF(OR(H2826&lt;1,H2826&gt;10),1,0)</f>
        <v>0</v>
      </c>
      <c r="X2826" s="9" t="n">
        <f aca="false">IF(OR(I2826&lt;=0,I2826&gt;1500),1,0)</f>
        <v>0</v>
      </c>
      <c r="Y2826" s="9" t="n">
        <f aca="false">IF(J2826&gt;H2826*I2826,1,0)</f>
        <v>0</v>
      </c>
      <c r="Z2826" s="9" t="n">
        <f aca="false">IF(AND(N2826&lt;&gt;"",OR(N2826&lt;1,N2826&gt;5)),1,0)</f>
        <v>0</v>
      </c>
      <c r="AA2826" s="9" t="n">
        <f aca="false">IF(AND(M2826&lt;&gt;"",OR(M2826&lt;5,M2826&gt;180)),1,0)</f>
        <v>0</v>
      </c>
      <c r="AB2826" s="7" t="str">
        <f aca="false">IF(P2826="DUP","Exact duplicate row",IF(T2826=1,"Missing Order ID",IF(S2826="DROP","Duplicate Order ID (less complete row)",IF(U2826=1,"Missing Customer ID",IF(V2826=1,"Missing Restaurant name",IF(W2826=1,"Invalid/outlier quantity",IF(X2826=1,"Invalid/outlier unit price",IF(Y2826=1,"Discount greater than order value",""))))))))</f>
        <v/>
      </c>
      <c r="AC2826" s="7" t="str">
        <f aca="false">IF(AB2826="","KEEP","DROP")</f>
        <v>KEEP</v>
      </c>
      <c r="AD2826" s="7" t="str">
        <f aca="false">IF(TRIM(F2826)="",IFERROR(INDEX(Map_Tables!$I$4:$I$37,MATCH(TRIM(E2826),Map_Tables!$G$4:$G$37,0)),""),IFERROR(INDEX(Map_Tables!$B$4:$B$18,MATCH(TRIM(F2826),Map_Tables!$A$4:$A$18,0)),"CHECK"))</f>
        <v>Delhi</v>
      </c>
      <c r="AE2826" s="7" t="str">
        <f aca="false">IF(TRIM(E2826)="","",IFERROR(INDEX(Map_Tables!$H$4:$H$37,MATCH(TRIM(E2826),Map_Tables!$G$4:$G$37,0)),"CHECK"))</f>
        <v>Chaat Corner</v>
      </c>
      <c r="AF2826" s="7" t="str">
        <f aca="false">IF(TRIM(K2826)="","Unknown",IFERROR(INDEX(Map_Tables!$E$4:$E$15,MATCH(TRIM(K2826),Map_Tables!$D$4:$D$15,0)),"CHECK"))</f>
        <v>UPI</v>
      </c>
      <c r="AG2826" s="7" t="str">
        <f aca="false">IF(LEFT(LOWER(TRIM(L2826)),6)="cancel","Cancelled","Delivered")</f>
        <v>Delivered</v>
      </c>
      <c r="AH2826" s="10" t="n">
        <f aca="false">IF(ISNUMBER(SEARCH("/",B2826)),DATE(VALUE(RIGHT(B2826,4)),VALUE(MID(B2826,4,2)),VALUE(LEFT(B2826,2))),IF(MID(B2826,5,1)="-",DATE(VALUE(LEFT(B2826,4)),VALUE(MID(B2826,6,2)),VALUE(RIGHT(B2826,2))),DATE(VALUE(RIGHT(B2826,4)),MATCH(MID(B2826,4,3),{"Jan","Feb","Mar","Apr","May","Jun","Jul","Aug","Sep","Oct","Nov","Dec"},0),VALUE(LEFT(B2826,2)))))</f>
        <v>45760</v>
      </c>
    </row>
    <row r="2827" customFormat="false" ht="15" hidden="false" customHeight="false" outlineLevel="0" collapsed="false">
      <c r="A2827" s="7" t="s">
        <v>5882</v>
      </c>
      <c r="B2827" s="7" t="s">
        <v>2632</v>
      </c>
      <c r="C2827" s="7" t="s">
        <v>809</v>
      </c>
      <c r="D2827" s="7" t="s">
        <v>400</v>
      </c>
      <c r="E2827" s="7" t="s">
        <v>130</v>
      </c>
      <c r="F2827" s="7" t="s">
        <v>110</v>
      </c>
      <c r="G2827" s="7" t="s">
        <v>90</v>
      </c>
      <c r="H2827" s="7" t="n">
        <v>1</v>
      </c>
      <c r="I2827" s="7" t="n">
        <v>255</v>
      </c>
      <c r="J2827" s="7" t="n">
        <v>30</v>
      </c>
      <c r="K2827" s="7" t="s">
        <v>88</v>
      </c>
      <c r="L2827" s="7" t="s">
        <v>457</v>
      </c>
      <c r="M2827" s="7" t="n">
        <v>46</v>
      </c>
      <c r="N2827" s="7"/>
      <c r="O2827" s="7" t="str">
        <f aca="false">A2827&amp;"|"&amp;B2827&amp;"|"&amp;C2827&amp;"|"&amp;D2827&amp;"|"&amp;E2827&amp;"|"&amp;F2827&amp;"|"&amp;G2827&amp;"|"&amp;H2827&amp;"|"&amp;I2827&amp;"|"&amp;J2827&amp;"|"&amp;K2827&amp;"|"&amp;L2827&amp;"|"&amp;M2827&amp;"|"&amp;N2827</f>
        <v>ORD10012|2025-01-02|19:49|C1305|Tandoor Tales|Delhi|North Indian|1|255|30|UPI|Delivered |46|</v>
      </c>
      <c r="P2827" s="7" t="str">
        <f aca="false">IF(COUNTIF($O$2:O2827,O2827)&gt;1,"DUP","OK")</f>
        <v>OK</v>
      </c>
      <c r="Q2827" s="7" t="n">
        <f aca="false">COUNTBLANK(A2827:N2827)</f>
        <v>1</v>
      </c>
      <c r="R2827" s="7" t="n">
        <f aca="false">IF(A2827="",0,COUNTIFS($A$2:$A$3058,A2827,$P$2:$P$3058,"OK"))</f>
        <v>1</v>
      </c>
      <c r="S2827" s="7" t="str">
        <f aca="false">IF(OR(A2827="",P2827="DUP",R2827&lt;2),"",IF(Q2827=_xlfn.MINIFS($Q$2:$Q$3058,$A$2:$A$3058,A2827,$P$2:$P$3058,"OK"),"KEEP","DROP"))</f>
        <v/>
      </c>
      <c r="T2827" s="9" t="n">
        <f aca="false">IF(A2827="",1,0)</f>
        <v>0</v>
      </c>
      <c r="U2827" s="9" t="n">
        <f aca="false">IF(D2827="",1,0)</f>
        <v>0</v>
      </c>
      <c r="V2827" s="9" t="n">
        <f aca="false">IF(E2827="",1,0)</f>
        <v>0</v>
      </c>
      <c r="W2827" s="9" t="n">
        <f aca="false">IF(OR(H2827&lt;1,H2827&gt;10),1,0)</f>
        <v>0</v>
      </c>
      <c r="X2827" s="9" t="n">
        <f aca="false">IF(OR(I2827&lt;=0,I2827&gt;1500),1,0)</f>
        <v>0</v>
      </c>
      <c r="Y2827" s="9" t="n">
        <f aca="false">IF(J2827&gt;H2827*I2827,1,0)</f>
        <v>0</v>
      </c>
      <c r="Z2827" s="9" t="n">
        <f aca="false">IF(AND(N2827&lt;&gt;"",OR(N2827&lt;1,N2827&gt;5)),1,0)</f>
        <v>0</v>
      </c>
      <c r="AA2827" s="9" t="n">
        <f aca="false">IF(AND(M2827&lt;&gt;"",OR(M2827&lt;5,M2827&gt;180)),1,0)</f>
        <v>0</v>
      </c>
      <c r="AB2827" s="7" t="str">
        <f aca="false">IF(P2827="DUP","Exact duplicate row",IF(T2827=1,"Missing Order ID",IF(S2827="DROP","Duplicate Order ID (less complete row)",IF(U2827=1,"Missing Customer ID",IF(V2827=1,"Missing Restaurant name",IF(W2827=1,"Invalid/outlier quantity",IF(X2827=1,"Invalid/outlier unit price",IF(Y2827=1,"Discount greater than order value",""))))))))</f>
        <v/>
      </c>
      <c r="AC2827" s="7" t="str">
        <f aca="false">IF(AB2827="","KEEP","DROP")</f>
        <v>KEEP</v>
      </c>
      <c r="AD2827" s="7" t="str">
        <f aca="false">IF(TRIM(F2827)="",IFERROR(INDEX(Map_Tables!$I$4:$I$37,MATCH(TRIM(E2827),Map_Tables!$G$4:$G$37,0)),""),IFERROR(INDEX(Map_Tables!$B$4:$B$18,MATCH(TRIM(F2827),Map_Tables!$A$4:$A$18,0)),"CHECK"))</f>
        <v>Delhi</v>
      </c>
      <c r="AE2827" s="7" t="str">
        <f aca="false">IF(TRIM(E2827)="","",IFERROR(INDEX(Map_Tables!$H$4:$H$37,MATCH(TRIM(E2827),Map_Tables!$G$4:$G$37,0)),"CHECK"))</f>
        <v>Tandoor Tales</v>
      </c>
      <c r="AF2827" s="7" t="str">
        <f aca="false">IF(TRIM(K2827)="","Unknown",IFERROR(INDEX(Map_Tables!$E$4:$E$15,MATCH(TRIM(K2827),Map_Tables!$D$4:$D$15,0)),"CHECK"))</f>
        <v>UPI</v>
      </c>
      <c r="AG2827" s="7" t="str">
        <f aca="false">IF(LEFT(LOWER(TRIM(L2827)),6)="cancel","Cancelled","Delivered")</f>
        <v>Delivered</v>
      </c>
      <c r="AH2827" s="10" t="n">
        <f aca="false">IF(ISNUMBER(SEARCH("/",B2827)),DATE(VALUE(RIGHT(B2827,4)),VALUE(MID(B2827,4,2)),VALUE(LEFT(B2827,2))),IF(MID(B2827,5,1)="-",DATE(VALUE(LEFT(B2827,4)),VALUE(MID(B2827,6,2)),VALUE(RIGHT(B2827,2))),DATE(VALUE(RIGHT(B2827,4)),MATCH(MID(B2827,4,3),{"Jan","Feb","Mar","Apr","May","Jun","Jul","Aug","Sep","Oct","Nov","Dec"},0),VALUE(LEFT(B2827,2)))))</f>
        <v>45659</v>
      </c>
    </row>
    <row r="2828" customFormat="false" ht="15" hidden="false" customHeight="false" outlineLevel="0" collapsed="false">
      <c r="A2828" s="7" t="s">
        <v>5883</v>
      </c>
      <c r="B2828" s="7" t="s">
        <v>1946</v>
      </c>
      <c r="C2828" s="7" t="s">
        <v>3725</v>
      </c>
      <c r="D2828" s="7" t="s">
        <v>1416</v>
      </c>
      <c r="E2828" s="7" t="s">
        <v>160</v>
      </c>
      <c r="F2828" s="7" t="s">
        <v>136</v>
      </c>
      <c r="G2828" s="7" t="s">
        <v>150</v>
      </c>
      <c r="H2828" s="7" t="n">
        <v>1</v>
      </c>
      <c r="I2828" s="7" t="n">
        <v>180</v>
      </c>
      <c r="J2828" s="7" t="n">
        <v>0</v>
      </c>
      <c r="K2828" s="7" t="s">
        <v>971</v>
      </c>
      <c r="L2828" s="7" t="s">
        <v>238</v>
      </c>
      <c r="M2828" s="7"/>
      <c r="N2828" s="7"/>
      <c r="O2828" s="7" t="str">
        <f aca="false">A2828&amp;"|"&amp;B2828&amp;"|"&amp;C2828&amp;"|"&amp;D2828&amp;"|"&amp;E2828&amp;"|"&amp;F2828&amp;"|"&amp;G2828&amp;"|"&amp;H2828&amp;"|"&amp;I2828&amp;"|"&amp;J2828&amp;"|"&amp;K2828&amp;"|"&amp;L2828&amp;"|"&amp;M2828&amp;"|"&amp;N2828</f>
        <v>ORD12026|2025-09-19|10:22|C1461|Cake Walk|Pune|Desserts|1|180|0|Paytm Wallet|Cancelled||</v>
      </c>
      <c r="P2828" s="7" t="str">
        <f aca="false">IF(COUNTIF($O$2:O2828,O2828)&gt;1,"DUP","OK")</f>
        <v>OK</v>
      </c>
      <c r="Q2828" s="7" t="n">
        <f aca="false">COUNTBLANK(A2828:N2828)</f>
        <v>2</v>
      </c>
      <c r="R2828" s="7" t="n">
        <f aca="false">IF(A2828="",0,COUNTIFS($A$2:$A$3058,A2828,$P$2:$P$3058,"OK"))</f>
        <v>1</v>
      </c>
      <c r="S2828" s="7" t="str">
        <f aca="false">IF(OR(A2828="",P2828="DUP",R2828&lt;2),"",IF(Q2828=_xlfn.MINIFS($Q$2:$Q$3058,$A$2:$A$3058,A2828,$P$2:$P$3058,"OK"),"KEEP","DROP"))</f>
        <v/>
      </c>
      <c r="T2828" s="9" t="n">
        <f aca="false">IF(A2828="",1,0)</f>
        <v>0</v>
      </c>
      <c r="U2828" s="9" t="n">
        <f aca="false">IF(D2828="",1,0)</f>
        <v>0</v>
      </c>
      <c r="V2828" s="9" t="n">
        <f aca="false">IF(E2828="",1,0)</f>
        <v>0</v>
      </c>
      <c r="W2828" s="9" t="n">
        <f aca="false">IF(OR(H2828&lt;1,H2828&gt;10),1,0)</f>
        <v>0</v>
      </c>
      <c r="X2828" s="9" t="n">
        <f aca="false">IF(OR(I2828&lt;=0,I2828&gt;1500),1,0)</f>
        <v>0</v>
      </c>
      <c r="Y2828" s="9" t="n">
        <f aca="false">IF(J2828&gt;H2828*I2828,1,0)</f>
        <v>0</v>
      </c>
      <c r="Z2828" s="9" t="n">
        <f aca="false">IF(AND(N2828&lt;&gt;"",OR(N2828&lt;1,N2828&gt;5)),1,0)</f>
        <v>0</v>
      </c>
      <c r="AA2828" s="9" t="n">
        <f aca="false">IF(AND(M2828&lt;&gt;"",OR(M2828&lt;5,M2828&gt;180)),1,0)</f>
        <v>0</v>
      </c>
      <c r="AB2828" s="7" t="str">
        <f aca="false">IF(P2828="DUP","Exact duplicate row",IF(T2828=1,"Missing Order ID",IF(S2828="DROP","Duplicate Order ID (less complete row)",IF(U2828=1,"Missing Customer ID",IF(V2828=1,"Missing Restaurant name",IF(W2828=1,"Invalid/outlier quantity",IF(X2828=1,"Invalid/outlier unit price",IF(Y2828=1,"Discount greater than order value",""))))))))</f>
        <v/>
      </c>
      <c r="AC2828" s="7" t="str">
        <f aca="false">IF(AB2828="","KEEP","DROP")</f>
        <v>KEEP</v>
      </c>
      <c r="AD2828" s="7" t="str">
        <f aca="false">IF(TRIM(F2828)="",IFERROR(INDEX(Map_Tables!$I$4:$I$37,MATCH(TRIM(E2828),Map_Tables!$G$4:$G$37,0)),""),IFERROR(INDEX(Map_Tables!$B$4:$B$18,MATCH(TRIM(F2828),Map_Tables!$A$4:$A$18,0)),"CHECK"))</f>
        <v>Pune</v>
      </c>
      <c r="AE2828" s="7" t="str">
        <f aca="false">IF(TRIM(E2828)="","",IFERROR(INDEX(Map_Tables!$H$4:$H$37,MATCH(TRIM(E2828),Map_Tables!$G$4:$G$37,0)),"CHECK"))</f>
        <v>Cake Walk</v>
      </c>
      <c r="AF2828" s="7" t="str">
        <f aca="false">IF(TRIM(K2828)="","Unknown",IFERROR(INDEX(Map_Tables!$E$4:$E$15,MATCH(TRIM(K2828),Map_Tables!$D$4:$D$15,0)),"CHECK"))</f>
        <v>Wallet</v>
      </c>
      <c r="AG2828" s="7" t="str">
        <f aca="false">IF(LEFT(LOWER(TRIM(L2828)),6)="cancel","Cancelled","Delivered")</f>
        <v>Cancelled</v>
      </c>
      <c r="AH2828" s="10" t="n">
        <f aca="false">IF(ISNUMBER(SEARCH("/",B2828)),DATE(VALUE(RIGHT(B2828,4)),VALUE(MID(B2828,4,2)),VALUE(LEFT(B2828,2))),IF(MID(B2828,5,1)="-",DATE(VALUE(LEFT(B2828,4)),VALUE(MID(B2828,6,2)),VALUE(RIGHT(B2828,2))),DATE(VALUE(RIGHT(B2828,4)),MATCH(MID(B2828,4,3),{"Jan","Feb","Mar","Apr","May","Jun","Jul","Aug","Sep","Oct","Nov","Dec"},0),VALUE(LEFT(B2828,2)))))</f>
        <v>45919</v>
      </c>
    </row>
    <row r="2829" customFormat="false" ht="15" hidden="false" customHeight="false" outlineLevel="0" collapsed="false">
      <c r="A2829" s="7" t="s">
        <v>5884</v>
      </c>
      <c r="B2829" s="7" t="s">
        <v>2324</v>
      </c>
      <c r="C2829" s="7" t="s">
        <v>1651</v>
      </c>
      <c r="D2829" s="7" t="s">
        <v>5436</v>
      </c>
      <c r="E2829" s="7" t="s">
        <v>89</v>
      </c>
      <c r="F2829" s="7" t="s">
        <v>86</v>
      </c>
      <c r="G2829" s="7" t="s">
        <v>90</v>
      </c>
      <c r="H2829" s="7" t="n">
        <v>4</v>
      </c>
      <c r="I2829" s="7" t="n">
        <v>230</v>
      </c>
      <c r="J2829" s="7" t="n">
        <v>0</v>
      </c>
      <c r="K2829" s="7" t="s">
        <v>112</v>
      </c>
      <c r="L2829" s="7" t="s">
        <v>194</v>
      </c>
      <c r="M2829" s="7" t="n">
        <v>49</v>
      </c>
      <c r="N2829" s="7" t="n">
        <v>3</v>
      </c>
      <c r="O2829" s="7" t="str">
        <f aca="false">A2829&amp;"|"&amp;B2829&amp;"|"&amp;C2829&amp;"|"&amp;D2829&amp;"|"&amp;E2829&amp;"|"&amp;F2829&amp;"|"&amp;G2829&amp;"|"&amp;H2829&amp;"|"&amp;I2829&amp;"|"&amp;J2829&amp;"|"&amp;K2829&amp;"|"&amp;L2829&amp;"|"&amp;M2829&amp;"|"&amp;N2829</f>
        <v>ORD12193|2025-10-06|17:40|C1090|Spice Junction|Bengaluru|North Indian|4|230|0|Cash on Delivery|Delivered|49|3</v>
      </c>
      <c r="P2829" s="7" t="str">
        <f aca="false">IF(COUNTIF($O$2:O2829,O2829)&gt;1,"DUP","OK")</f>
        <v>OK</v>
      </c>
      <c r="Q2829" s="7" t="n">
        <f aca="false">COUNTBLANK(A2829:N2829)</f>
        <v>0</v>
      </c>
      <c r="R2829" s="7" t="n">
        <f aca="false">IF(A2829="",0,COUNTIFS($A$2:$A$3058,A2829,$P$2:$P$3058,"OK"))</f>
        <v>1</v>
      </c>
      <c r="S2829" s="7" t="str">
        <f aca="false">IF(OR(A2829="",P2829="DUP",R2829&lt;2),"",IF(Q2829=_xlfn.MINIFS($Q$2:$Q$3058,$A$2:$A$3058,A2829,$P$2:$P$3058,"OK"),"KEEP","DROP"))</f>
        <v/>
      </c>
      <c r="T2829" s="9" t="n">
        <f aca="false">IF(A2829="",1,0)</f>
        <v>0</v>
      </c>
      <c r="U2829" s="9" t="n">
        <f aca="false">IF(D2829="",1,0)</f>
        <v>0</v>
      </c>
      <c r="V2829" s="9" t="n">
        <f aca="false">IF(E2829="",1,0)</f>
        <v>0</v>
      </c>
      <c r="W2829" s="9" t="n">
        <f aca="false">IF(OR(H2829&lt;1,H2829&gt;10),1,0)</f>
        <v>0</v>
      </c>
      <c r="X2829" s="9" t="n">
        <f aca="false">IF(OR(I2829&lt;=0,I2829&gt;1500),1,0)</f>
        <v>0</v>
      </c>
      <c r="Y2829" s="9" t="n">
        <f aca="false">IF(J2829&gt;H2829*I2829,1,0)</f>
        <v>0</v>
      </c>
      <c r="Z2829" s="9" t="n">
        <f aca="false">IF(AND(N2829&lt;&gt;"",OR(N2829&lt;1,N2829&gt;5)),1,0)</f>
        <v>0</v>
      </c>
      <c r="AA2829" s="9" t="n">
        <f aca="false">IF(AND(M2829&lt;&gt;"",OR(M2829&lt;5,M2829&gt;180)),1,0)</f>
        <v>0</v>
      </c>
      <c r="AB2829" s="7" t="str">
        <f aca="false">IF(P2829="DUP","Exact duplicate row",IF(T2829=1,"Missing Order ID",IF(S2829="DROP","Duplicate Order ID (less complete row)",IF(U2829=1,"Missing Customer ID",IF(V2829=1,"Missing Restaurant name",IF(W2829=1,"Invalid/outlier quantity",IF(X2829=1,"Invalid/outlier unit price",IF(Y2829=1,"Discount greater than order value",""))))))))</f>
        <v/>
      </c>
      <c r="AC2829" s="7" t="str">
        <f aca="false">IF(AB2829="","KEEP","DROP")</f>
        <v>KEEP</v>
      </c>
      <c r="AD2829" s="7" t="str">
        <f aca="false">IF(TRIM(F2829)="",IFERROR(INDEX(Map_Tables!$I$4:$I$37,MATCH(TRIM(E2829),Map_Tables!$G$4:$G$37,0)),""),IFERROR(INDEX(Map_Tables!$B$4:$B$18,MATCH(TRIM(F2829),Map_Tables!$A$4:$A$18,0)),"CHECK"))</f>
        <v>Bengaluru</v>
      </c>
      <c r="AE2829" s="7" t="str">
        <f aca="false">IF(TRIM(E2829)="","",IFERROR(INDEX(Map_Tables!$H$4:$H$37,MATCH(TRIM(E2829),Map_Tables!$G$4:$G$37,0)),"CHECK"))</f>
        <v>Spice Junction</v>
      </c>
      <c r="AF2829" s="7" t="str">
        <f aca="false">IF(TRIM(K2829)="","Unknown",IFERROR(INDEX(Map_Tables!$E$4:$E$15,MATCH(TRIM(K2829),Map_Tables!$D$4:$D$15,0)),"CHECK"))</f>
        <v>Cash on Delivery</v>
      </c>
      <c r="AG2829" s="7" t="str">
        <f aca="false">IF(LEFT(LOWER(TRIM(L2829)),6)="cancel","Cancelled","Delivered")</f>
        <v>Delivered</v>
      </c>
      <c r="AH2829" s="10" t="n">
        <f aca="false">IF(ISNUMBER(SEARCH("/",B2829)),DATE(VALUE(RIGHT(B2829,4)),VALUE(MID(B2829,4,2)),VALUE(LEFT(B2829,2))),IF(MID(B2829,5,1)="-",DATE(VALUE(LEFT(B2829,4)),VALUE(MID(B2829,6,2)),VALUE(RIGHT(B2829,2))),DATE(VALUE(RIGHT(B2829,4)),MATCH(MID(B2829,4,3),{"Jan","Feb","Mar","Apr","May","Jun","Jul","Aug","Sep","Oct","Nov","Dec"},0),VALUE(LEFT(B2829,2)))))</f>
        <v>45936</v>
      </c>
    </row>
    <row r="2830" customFormat="false" ht="15" hidden="false" customHeight="false" outlineLevel="0" collapsed="false">
      <c r="A2830" s="7" t="s">
        <v>5885</v>
      </c>
      <c r="B2830" s="7" t="s">
        <v>3417</v>
      </c>
      <c r="C2830" s="7" t="s">
        <v>1412</v>
      </c>
      <c r="D2830" s="7" t="s">
        <v>5483</v>
      </c>
      <c r="E2830" s="7" t="s">
        <v>138</v>
      </c>
      <c r="F2830" s="7" t="s">
        <v>110</v>
      </c>
      <c r="G2830" s="7" t="s">
        <v>139</v>
      </c>
      <c r="H2830" s="7" t="n">
        <v>1</v>
      </c>
      <c r="I2830" s="7" t="n">
        <v>195</v>
      </c>
      <c r="J2830" s="7" t="n">
        <v>0</v>
      </c>
      <c r="K2830" s="7" t="s">
        <v>87</v>
      </c>
      <c r="L2830" s="7" t="s">
        <v>194</v>
      </c>
      <c r="M2830" s="7" t="n">
        <v>42</v>
      </c>
      <c r="N2830" s="7" t="n">
        <v>3</v>
      </c>
      <c r="O2830" s="7" t="str">
        <f aca="false">A2830&amp;"|"&amp;B2830&amp;"|"&amp;C2830&amp;"|"&amp;D2830&amp;"|"&amp;E2830&amp;"|"&amp;F2830&amp;"|"&amp;G2830&amp;"|"&amp;H2830&amp;"|"&amp;I2830&amp;"|"&amp;J2830&amp;"|"&amp;K2830&amp;"|"&amp;L2830&amp;"|"&amp;M2830&amp;"|"&amp;N2830</f>
        <v>ORD10918|2025-04-25|22:25|C0085|Burger Barn|Delhi|Burgers|1|195|0|upi|Delivered|42|3</v>
      </c>
      <c r="P2830" s="7" t="str">
        <f aca="false">IF(COUNTIF($O$2:O2830,O2830)&gt;1,"DUP","OK")</f>
        <v>OK</v>
      </c>
      <c r="Q2830" s="7" t="n">
        <f aca="false">COUNTBLANK(A2830:N2830)</f>
        <v>0</v>
      </c>
      <c r="R2830" s="7" t="n">
        <f aca="false">IF(A2830="",0,COUNTIFS($A$2:$A$3058,A2830,$P$2:$P$3058,"OK"))</f>
        <v>1</v>
      </c>
      <c r="S2830" s="7" t="str">
        <f aca="false">IF(OR(A2830="",P2830="DUP",R2830&lt;2),"",IF(Q2830=_xlfn.MINIFS($Q$2:$Q$3058,$A$2:$A$3058,A2830,$P$2:$P$3058,"OK"),"KEEP","DROP"))</f>
        <v/>
      </c>
      <c r="T2830" s="9" t="n">
        <f aca="false">IF(A2830="",1,0)</f>
        <v>0</v>
      </c>
      <c r="U2830" s="9" t="n">
        <f aca="false">IF(D2830="",1,0)</f>
        <v>0</v>
      </c>
      <c r="V2830" s="9" t="n">
        <f aca="false">IF(E2830="",1,0)</f>
        <v>0</v>
      </c>
      <c r="W2830" s="9" t="n">
        <f aca="false">IF(OR(H2830&lt;1,H2830&gt;10),1,0)</f>
        <v>0</v>
      </c>
      <c r="X2830" s="9" t="n">
        <f aca="false">IF(OR(I2830&lt;=0,I2830&gt;1500),1,0)</f>
        <v>0</v>
      </c>
      <c r="Y2830" s="9" t="n">
        <f aca="false">IF(J2830&gt;H2830*I2830,1,0)</f>
        <v>0</v>
      </c>
      <c r="Z2830" s="9" t="n">
        <f aca="false">IF(AND(N2830&lt;&gt;"",OR(N2830&lt;1,N2830&gt;5)),1,0)</f>
        <v>0</v>
      </c>
      <c r="AA2830" s="9" t="n">
        <f aca="false">IF(AND(M2830&lt;&gt;"",OR(M2830&lt;5,M2830&gt;180)),1,0)</f>
        <v>0</v>
      </c>
      <c r="AB2830" s="7" t="str">
        <f aca="false">IF(P2830="DUP","Exact duplicate row",IF(T2830=1,"Missing Order ID",IF(S2830="DROP","Duplicate Order ID (less complete row)",IF(U2830=1,"Missing Customer ID",IF(V2830=1,"Missing Restaurant name",IF(W2830=1,"Invalid/outlier quantity",IF(X2830=1,"Invalid/outlier unit price",IF(Y2830=1,"Discount greater than order value",""))))))))</f>
        <v/>
      </c>
      <c r="AC2830" s="7" t="str">
        <f aca="false">IF(AB2830="","KEEP","DROP")</f>
        <v>KEEP</v>
      </c>
      <c r="AD2830" s="7" t="str">
        <f aca="false">IF(TRIM(F2830)="",IFERROR(INDEX(Map_Tables!$I$4:$I$37,MATCH(TRIM(E2830),Map_Tables!$G$4:$G$37,0)),""),IFERROR(INDEX(Map_Tables!$B$4:$B$18,MATCH(TRIM(F2830),Map_Tables!$A$4:$A$18,0)),"CHECK"))</f>
        <v>Delhi</v>
      </c>
      <c r="AE2830" s="7" t="str">
        <f aca="false">IF(TRIM(E2830)="","",IFERROR(INDEX(Map_Tables!$H$4:$H$37,MATCH(TRIM(E2830),Map_Tables!$G$4:$G$37,0)),"CHECK"))</f>
        <v>Burger Barn</v>
      </c>
      <c r="AF2830" s="7" t="str">
        <f aca="false">IF(TRIM(K2830)="","Unknown",IFERROR(INDEX(Map_Tables!$E$4:$E$15,MATCH(TRIM(K2830),Map_Tables!$D$4:$D$15,0)),"CHECK"))</f>
        <v>UPI</v>
      </c>
      <c r="AG2830" s="7" t="str">
        <f aca="false">IF(LEFT(LOWER(TRIM(L2830)),6)="cancel","Cancelled","Delivered")</f>
        <v>Delivered</v>
      </c>
      <c r="AH2830" s="10" t="n">
        <f aca="false">IF(ISNUMBER(SEARCH("/",B2830)),DATE(VALUE(RIGHT(B2830,4)),VALUE(MID(B2830,4,2)),VALUE(LEFT(B2830,2))),IF(MID(B2830,5,1)="-",DATE(VALUE(LEFT(B2830,4)),VALUE(MID(B2830,6,2)),VALUE(RIGHT(B2830,2))),DATE(VALUE(RIGHT(B2830,4)),MATCH(MID(B2830,4,3),{"Jan","Feb","Mar","Apr","May","Jun","Jul","Aug","Sep","Oct","Nov","Dec"},0),VALUE(LEFT(B2830,2)))))</f>
        <v>45772</v>
      </c>
    </row>
    <row r="2831" customFormat="false" ht="15" hidden="false" customHeight="false" outlineLevel="0" collapsed="false">
      <c r="A2831" s="7" t="s">
        <v>5886</v>
      </c>
      <c r="B2831" s="7" t="s">
        <v>1904</v>
      </c>
      <c r="C2831" s="7" t="s">
        <v>4856</v>
      </c>
      <c r="D2831" s="7" t="s">
        <v>4098</v>
      </c>
      <c r="E2831" s="7" t="s">
        <v>89</v>
      </c>
      <c r="F2831" s="7" t="s">
        <v>86</v>
      </c>
      <c r="G2831" s="7" t="s">
        <v>90</v>
      </c>
      <c r="H2831" s="7" t="n">
        <v>2</v>
      </c>
      <c r="I2831" s="7" t="n">
        <v>185</v>
      </c>
      <c r="J2831" s="7" t="n">
        <v>0</v>
      </c>
      <c r="K2831" s="7"/>
      <c r="L2831" s="7" t="s">
        <v>194</v>
      </c>
      <c r="M2831" s="7" t="n">
        <v>46</v>
      </c>
      <c r="N2831" s="7" t="n">
        <v>4</v>
      </c>
      <c r="O2831" s="7" t="str">
        <f aca="false">A2831&amp;"|"&amp;B2831&amp;"|"&amp;C2831&amp;"|"&amp;D2831&amp;"|"&amp;E2831&amp;"|"&amp;F2831&amp;"|"&amp;G2831&amp;"|"&amp;H2831&amp;"|"&amp;I2831&amp;"|"&amp;J2831&amp;"|"&amp;K2831&amp;"|"&amp;L2831&amp;"|"&amp;M2831&amp;"|"&amp;N2831</f>
        <v>ORD11452|2025-07-08|10:21|C0314|Spice Junction|Bengaluru|North Indian|2|185|0||Delivered|46|4</v>
      </c>
      <c r="P2831" s="7" t="str">
        <f aca="false">IF(COUNTIF($O$2:O2831,O2831)&gt;1,"DUP","OK")</f>
        <v>OK</v>
      </c>
      <c r="Q2831" s="7" t="n">
        <f aca="false">COUNTBLANK(A2831:N2831)</f>
        <v>1</v>
      </c>
      <c r="R2831" s="7" t="n">
        <f aca="false">IF(A2831="",0,COUNTIFS($A$2:$A$3058,A2831,$P$2:$P$3058,"OK"))</f>
        <v>1</v>
      </c>
      <c r="S2831" s="7" t="str">
        <f aca="false">IF(OR(A2831="",P2831="DUP",R2831&lt;2),"",IF(Q2831=_xlfn.MINIFS($Q$2:$Q$3058,$A$2:$A$3058,A2831,$P$2:$P$3058,"OK"),"KEEP","DROP"))</f>
        <v/>
      </c>
      <c r="T2831" s="9" t="n">
        <f aca="false">IF(A2831="",1,0)</f>
        <v>0</v>
      </c>
      <c r="U2831" s="9" t="n">
        <f aca="false">IF(D2831="",1,0)</f>
        <v>0</v>
      </c>
      <c r="V2831" s="9" t="n">
        <f aca="false">IF(E2831="",1,0)</f>
        <v>0</v>
      </c>
      <c r="W2831" s="9" t="n">
        <f aca="false">IF(OR(H2831&lt;1,H2831&gt;10),1,0)</f>
        <v>0</v>
      </c>
      <c r="X2831" s="9" t="n">
        <f aca="false">IF(OR(I2831&lt;=0,I2831&gt;1500),1,0)</f>
        <v>0</v>
      </c>
      <c r="Y2831" s="9" t="n">
        <f aca="false">IF(J2831&gt;H2831*I2831,1,0)</f>
        <v>0</v>
      </c>
      <c r="Z2831" s="9" t="n">
        <f aca="false">IF(AND(N2831&lt;&gt;"",OR(N2831&lt;1,N2831&gt;5)),1,0)</f>
        <v>0</v>
      </c>
      <c r="AA2831" s="9" t="n">
        <f aca="false">IF(AND(M2831&lt;&gt;"",OR(M2831&lt;5,M2831&gt;180)),1,0)</f>
        <v>0</v>
      </c>
      <c r="AB2831" s="7" t="str">
        <f aca="false">IF(P2831="DUP","Exact duplicate row",IF(T2831=1,"Missing Order ID",IF(S2831="DROP","Duplicate Order ID (less complete row)",IF(U2831=1,"Missing Customer ID",IF(V2831=1,"Missing Restaurant name",IF(W2831=1,"Invalid/outlier quantity",IF(X2831=1,"Invalid/outlier unit price",IF(Y2831=1,"Discount greater than order value",""))))))))</f>
        <v/>
      </c>
      <c r="AC2831" s="7" t="str">
        <f aca="false">IF(AB2831="","KEEP","DROP")</f>
        <v>KEEP</v>
      </c>
      <c r="AD2831" s="7" t="str">
        <f aca="false">IF(TRIM(F2831)="",IFERROR(INDEX(Map_Tables!$I$4:$I$37,MATCH(TRIM(E2831),Map_Tables!$G$4:$G$37,0)),""),IFERROR(INDEX(Map_Tables!$B$4:$B$18,MATCH(TRIM(F2831),Map_Tables!$A$4:$A$18,0)),"CHECK"))</f>
        <v>Bengaluru</v>
      </c>
      <c r="AE2831" s="7" t="str">
        <f aca="false">IF(TRIM(E2831)="","",IFERROR(INDEX(Map_Tables!$H$4:$H$37,MATCH(TRIM(E2831),Map_Tables!$G$4:$G$37,0)),"CHECK"))</f>
        <v>Spice Junction</v>
      </c>
      <c r="AF2831" s="7" t="str">
        <f aca="false">IF(TRIM(K2831)="","Unknown",IFERROR(INDEX(Map_Tables!$E$4:$E$15,MATCH(TRIM(K2831),Map_Tables!$D$4:$D$15,0)),"CHECK"))</f>
        <v>Unknown</v>
      </c>
      <c r="AG2831" s="7" t="str">
        <f aca="false">IF(LEFT(LOWER(TRIM(L2831)),6)="cancel","Cancelled","Delivered")</f>
        <v>Delivered</v>
      </c>
      <c r="AH2831" s="10" t="n">
        <f aca="false">IF(ISNUMBER(SEARCH("/",B2831)),DATE(VALUE(RIGHT(B2831,4)),VALUE(MID(B2831,4,2)),VALUE(LEFT(B2831,2))),IF(MID(B2831,5,1)="-",DATE(VALUE(LEFT(B2831,4)),VALUE(MID(B2831,6,2)),VALUE(RIGHT(B2831,2))),DATE(VALUE(RIGHT(B2831,4)),MATCH(MID(B2831,4,3),{"Jan","Feb","Mar","Apr","May","Jun","Jul","Aug","Sep","Oct","Nov","Dec"},0),VALUE(LEFT(B2831,2)))))</f>
        <v>45846</v>
      </c>
    </row>
    <row r="2832" customFormat="false" ht="15" hidden="false" customHeight="false" outlineLevel="0" collapsed="false">
      <c r="A2832" s="7" t="s">
        <v>5887</v>
      </c>
      <c r="B2832" s="7" t="s">
        <v>2617</v>
      </c>
      <c r="C2832" s="7" t="s">
        <v>3300</v>
      </c>
      <c r="D2832" s="7" t="s">
        <v>4980</v>
      </c>
      <c r="E2832" s="7" t="s">
        <v>122</v>
      </c>
      <c r="F2832" s="7" t="s">
        <v>101</v>
      </c>
      <c r="G2832" s="7" t="s">
        <v>123</v>
      </c>
      <c r="H2832" s="7" t="n">
        <v>2</v>
      </c>
      <c r="I2832" s="7" t="n">
        <v>295</v>
      </c>
      <c r="J2832" s="7" t="n">
        <v>0</v>
      </c>
      <c r="K2832" s="7" t="s">
        <v>93</v>
      </c>
      <c r="L2832" s="7" t="s">
        <v>194</v>
      </c>
      <c r="M2832" s="7" t="n">
        <v>42</v>
      </c>
      <c r="N2832" s="7" t="n">
        <v>4</v>
      </c>
      <c r="O2832" s="7" t="str">
        <f aca="false">A2832&amp;"|"&amp;B2832&amp;"|"&amp;C2832&amp;"|"&amp;D2832&amp;"|"&amp;E2832&amp;"|"&amp;F2832&amp;"|"&amp;G2832&amp;"|"&amp;H2832&amp;"|"&amp;I2832&amp;"|"&amp;J2832&amp;"|"&amp;K2832&amp;"|"&amp;L2832&amp;"|"&amp;M2832&amp;"|"&amp;N2832</f>
        <v>ORD12688|2025-11-27|18:25|C0483|Mumbai Pizza Co|Mumbai|Pizza|2|295|0|Credit Card|Delivered|42|4</v>
      </c>
      <c r="P2832" s="7" t="str">
        <f aca="false">IF(COUNTIF($O$2:O2832,O2832)&gt;1,"DUP","OK")</f>
        <v>OK</v>
      </c>
      <c r="Q2832" s="7" t="n">
        <f aca="false">COUNTBLANK(A2832:N2832)</f>
        <v>0</v>
      </c>
      <c r="R2832" s="7" t="n">
        <f aca="false">IF(A2832="",0,COUNTIFS($A$2:$A$3058,A2832,$P$2:$P$3058,"OK"))</f>
        <v>1</v>
      </c>
      <c r="S2832" s="7" t="str">
        <f aca="false">IF(OR(A2832="",P2832="DUP",R2832&lt;2),"",IF(Q2832=_xlfn.MINIFS($Q$2:$Q$3058,$A$2:$A$3058,A2832,$P$2:$P$3058,"OK"),"KEEP","DROP"))</f>
        <v/>
      </c>
      <c r="T2832" s="9" t="n">
        <f aca="false">IF(A2832="",1,0)</f>
        <v>0</v>
      </c>
      <c r="U2832" s="9" t="n">
        <f aca="false">IF(D2832="",1,0)</f>
        <v>0</v>
      </c>
      <c r="V2832" s="9" t="n">
        <f aca="false">IF(E2832="",1,0)</f>
        <v>0</v>
      </c>
      <c r="W2832" s="9" t="n">
        <f aca="false">IF(OR(H2832&lt;1,H2832&gt;10),1,0)</f>
        <v>0</v>
      </c>
      <c r="X2832" s="9" t="n">
        <f aca="false">IF(OR(I2832&lt;=0,I2832&gt;1500),1,0)</f>
        <v>0</v>
      </c>
      <c r="Y2832" s="9" t="n">
        <f aca="false">IF(J2832&gt;H2832*I2832,1,0)</f>
        <v>0</v>
      </c>
      <c r="Z2832" s="9" t="n">
        <f aca="false">IF(AND(N2832&lt;&gt;"",OR(N2832&lt;1,N2832&gt;5)),1,0)</f>
        <v>0</v>
      </c>
      <c r="AA2832" s="9" t="n">
        <f aca="false">IF(AND(M2832&lt;&gt;"",OR(M2832&lt;5,M2832&gt;180)),1,0)</f>
        <v>0</v>
      </c>
      <c r="AB2832" s="7" t="str">
        <f aca="false">IF(P2832="DUP","Exact duplicate row",IF(T2832=1,"Missing Order ID",IF(S2832="DROP","Duplicate Order ID (less complete row)",IF(U2832=1,"Missing Customer ID",IF(V2832=1,"Missing Restaurant name",IF(W2832=1,"Invalid/outlier quantity",IF(X2832=1,"Invalid/outlier unit price",IF(Y2832=1,"Discount greater than order value",""))))))))</f>
        <v/>
      </c>
      <c r="AC2832" s="7" t="str">
        <f aca="false">IF(AB2832="","KEEP","DROP")</f>
        <v>KEEP</v>
      </c>
      <c r="AD2832" s="7" t="str">
        <f aca="false">IF(TRIM(F2832)="",IFERROR(INDEX(Map_Tables!$I$4:$I$37,MATCH(TRIM(E2832),Map_Tables!$G$4:$G$37,0)),""),IFERROR(INDEX(Map_Tables!$B$4:$B$18,MATCH(TRIM(F2832),Map_Tables!$A$4:$A$18,0)),"CHECK"))</f>
        <v>Mumbai</v>
      </c>
      <c r="AE2832" s="7" t="str">
        <f aca="false">IF(TRIM(E2832)="","",IFERROR(INDEX(Map_Tables!$H$4:$H$37,MATCH(TRIM(E2832),Map_Tables!$G$4:$G$37,0)),"CHECK"))</f>
        <v>Mumbai Pizza Co</v>
      </c>
      <c r="AF2832" s="7" t="str">
        <f aca="false">IF(TRIM(K2832)="","Unknown",IFERROR(INDEX(Map_Tables!$E$4:$E$15,MATCH(TRIM(K2832),Map_Tables!$D$4:$D$15,0)),"CHECK"))</f>
        <v>Credit Card</v>
      </c>
      <c r="AG2832" s="7" t="str">
        <f aca="false">IF(LEFT(LOWER(TRIM(L2832)),6)="cancel","Cancelled","Delivered")</f>
        <v>Delivered</v>
      </c>
      <c r="AH2832" s="10" t="n">
        <f aca="false">IF(ISNUMBER(SEARCH("/",B2832)),DATE(VALUE(RIGHT(B2832,4)),VALUE(MID(B2832,4,2)),VALUE(LEFT(B2832,2))),IF(MID(B2832,5,1)="-",DATE(VALUE(LEFT(B2832,4)),VALUE(MID(B2832,6,2)),VALUE(RIGHT(B2832,2))),DATE(VALUE(RIGHT(B2832,4)),MATCH(MID(B2832,4,3),{"Jan","Feb","Mar","Apr","May","Jun","Jul","Aug","Sep","Oct","Nov","Dec"},0),VALUE(LEFT(B2832,2)))))</f>
        <v>45988</v>
      </c>
    </row>
    <row r="2833" customFormat="false" ht="15" hidden="false" customHeight="false" outlineLevel="0" collapsed="false">
      <c r="A2833" s="7" t="s">
        <v>5888</v>
      </c>
      <c r="B2833" s="7" t="s">
        <v>368</v>
      </c>
      <c r="C2833" s="7" t="s">
        <v>5889</v>
      </c>
      <c r="D2833" s="7" t="s">
        <v>5838</v>
      </c>
      <c r="E2833" s="7" t="s">
        <v>147</v>
      </c>
      <c r="F2833" s="7" t="s">
        <v>119</v>
      </c>
      <c r="G2833" s="7" t="s">
        <v>95</v>
      </c>
      <c r="H2833" s="7" t="n">
        <v>3</v>
      </c>
      <c r="I2833" s="7" t="n">
        <v>140</v>
      </c>
      <c r="J2833" s="7" t="n">
        <v>30</v>
      </c>
      <c r="K2833" s="7" t="s">
        <v>88</v>
      </c>
      <c r="L2833" s="7" t="s">
        <v>194</v>
      </c>
      <c r="M2833" s="7" t="n">
        <v>39</v>
      </c>
      <c r="N2833" s="7" t="n">
        <v>4</v>
      </c>
      <c r="O2833" s="7" t="str">
        <f aca="false">A2833&amp;"|"&amp;B2833&amp;"|"&amp;C2833&amp;"|"&amp;D2833&amp;"|"&amp;E2833&amp;"|"&amp;F2833&amp;"|"&amp;G2833&amp;"|"&amp;H2833&amp;"|"&amp;I2833&amp;"|"&amp;J2833&amp;"|"&amp;K2833&amp;"|"&amp;L2833&amp;"|"&amp;M2833&amp;"|"&amp;N2833</f>
        <v>ORD10177|2025-01-24|08:00|C0875|Andhra Meals Mess|Hyderabad|South Indian|3|140|30|UPI|Delivered|39|4</v>
      </c>
      <c r="P2833" s="7" t="str">
        <f aca="false">IF(COUNTIF($O$2:O2833,O2833)&gt;1,"DUP","OK")</f>
        <v>OK</v>
      </c>
      <c r="Q2833" s="7" t="n">
        <f aca="false">COUNTBLANK(A2833:N2833)</f>
        <v>0</v>
      </c>
      <c r="R2833" s="7" t="n">
        <f aca="false">IF(A2833="",0,COUNTIFS($A$2:$A$3058,A2833,$P$2:$P$3058,"OK"))</f>
        <v>1</v>
      </c>
      <c r="S2833" s="7" t="str">
        <f aca="false">IF(OR(A2833="",P2833="DUP",R2833&lt;2),"",IF(Q2833=_xlfn.MINIFS($Q$2:$Q$3058,$A$2:$A$3058,A2833,$P$2:$P$3058,"OK"),"KEEP","DROP"))</f>
        <v/>
      </c>
      <c r="T2833" s="9" t="n">
        <f aca="false">IF(A2833="",1,0)</f>
        <v>0</v>
      </c>
      <c r="U2833" s="9" t="n">
        <f aca="false">IF(D2833="",1,0)</f>
        <v>0</v>
      </c>
      <c r="V2833" s="9" t="n">
        <f aca="false">IF(E2833="",1,0)</f>
        <v>0</v>
      </c>
      <c r="W2833" s="9" t="n">
        <f aca="false">IF(OR(H2833&lt;1,H2833&gt;10),1,0)</f>
        <v>0</v>
      </c>
      <c r="X2833" s="9" t="n">
        <f aca="false">IF(OR(I2833&lt;=0,I2833&gt;1500),1,0)</f>
        <v>0</v>
      </c>
      <c r="Y2833" s="9" t="n">
        <f aca="false">IF(J2833&gt;H2833*I2833,1,0)</f>
        <v>0</v>
      </c>
      <c r="Z2833" s="9" t="n">
        <f aca="false">IF(AND(N2833&lt;&gt;"",OR(N2833&lt;1,N2833&gt;5)),1,0)</f>
        <v>0</v>
      </c>
      <c r="AA2833" s="9" t="n">
        <f aca="false">IF(AND(M2833&lt;&gt;"",OR(M2833&lt;5,M2833&gt;180)),1,0)</f>
        <v>0</v>
      </c>
      <c r="AB2833" s="7" t="str">
        <f aca="false">IF(P2833="DUP","Exact duplicate row",IF(T2833=1,"Missing Order ID",IF(S2833="DROP","Duplicate Order ID (less complete row)",IF(U2833=1,"Missing Customer ID",IF(V2833=1,"Missing Restaurant name",IF(W2833=1,"Invalid/outlier quantity",IF(X2833=1,"Invalid/outlier unit price",IF(Y2833=1,"Discount greater than order value",""))))))))</f>
        <v/>
      </c>
      <c r="AC2833" s="7" t="str">
        <f aca="false">IF(AB2833="","KEEP","DROP")</f>
        <v>KEEP</v>
      </c>
      <c r="AD2833" s="7" t="str">
        <f aca="false">IF(TRIM(F2833)="",IFERROR(INDEX(Map_Tables!$I$4:$I$37,MATCH(TRIM(E2833),Map_Tables!$G$4:$G$37,0)),""),IFERROR(INDEX(Map_Tables!$B$4:$B$18,MATCH(TRIM(F2833),Map_Tables!$A$4:$A$18,0)),"CHECK"))</f>
        <v>Hyderabad</v>
      </c>
      <c r="AE2833" s="7" t="str">
        <f aca="false">IF(TRIM(E2833)="","",IFERROR(INDEX(Map_Tables!$H$4:$H$37,MATCH(TRIM(E2833),Map_Tables!$G$4:$G$37,0)),"CHECK"))</f>
        <v>Andhra Meals Mess</v>
      </c>
      <c r="AF2833" s="7" t="str">
        <f aca="false">IF(TRIM(K2833)="","Unknown",IFERROR(INDEX(Map_Tables!$E$4:$E$15,MATCH(TRIM(K2833),Map_Tables!$D$4:$D$15,0)),"CHECK"))</f>
        <v>UPI</v>
      </c>
      <c r="AG2833" s="7" t="str">
        <f aca="false">IF(LEFT(LOWER(TRIM(L2833)),6)="cancel","Cancelled","Delivered")</f>
        <v>Delivered</v>
      </c>
      <c r="AH2833" s="10" t="n">
        <f aca="false">IF(ISNUMBER(SEARCH("/",B2833)),DATE(VALUE(RIGHT(B2833,4)),VALUE(MID(B2833,4,2)),VALUE(LEFT(B2833,2))),IF(MID(B2833,5,1)="-",DATE(VALUE(LEFT(B2833,4)),VALUE(MID(B2833,6,2)),VALUE(RIGHT(B2833,2))),DATE(VALUE(RIGHT(B2833,4)),MATCH(MID(B2833,4,3),{"Jan","Feb","Mar","Apr","May","Jun","Jul","Aug","Sep","Oct","Nov","Dec"},0),VALUE(LEFT(B2833,2)))))</f>
        <v>45681</v>
      </c>
    </row>
    <row r="2834" customFormat="false" ht="15" hidden="false" customHeight="false" outlineLevel="0" collapsed="false">
      <c r="A2834" s="7" t="s">
        <v>5890</v>
      </c>
      <c r="B2834" s="7" t="s">
        <v>964</v>
      </c>
      <c r="C2834" s="7" t="s">
        <v>1631</v>
      </c>
      <c r="D2834" s="7" t="s">
        <v>316</v>
      </c>
      <c r="E2834" s="7" t="s">
        <v>3518</v>
      </c>
      <c r="F2834" s="7" t="s">
        <v>136</v>
      </c>
      <c r="G2834" s="7" t="s">
        <v>90</v>
      </c>
      <c r="H2834" s="7" t="n">
        <v>1</v>
      </c>
      <c r="I2834" s="7" t="n">
        <v>290</v>
      </c>
      <c r="J2834" s="7" t="n">
        <v>0</v>
      </c>
      <c r="K2834" s="7" t="s">
        <v>112</v>
      </c>
      <c r="L2834" s="7" t="s">
        <v>194</v>
      </c>
      <c r="M2834" s="7" t="n">
        <v>45</v>
      </c>
      <c r="N2834" s="7" t="n">
        <v>3</v>
      </c>
      <c r="O2834" s="7" t="str">
        <f aca="false">A2834&amp;"|"&amp;B2834&amp;"|"&amp;C2834&amp;"|"&amp;D2834&amp;"|"&amp;E2834&amp;"|"&amp;F2834&amp;"|"&amp;G2834&amp;"|"&amp;H2834&amp;"|"&amp;I2834&amp;"|"&amp;J2834&amp;"|"&amp;K2834&amp;"|"&amp;L2834&amp;"|"&amp;M2834&amp;"|"&amp;N2834</f>
        <v>ORD10995|2025-05-06|19:53|C0468| Maratha Thali House|Pune|North Indian|1|290|0|Cash on Delivery|Delivered|45|3</v>
      </c>
      <c r="P2834" s="7" t="str">
        <f aca="false">IF(COUNTIF($O$2:O2834,O2834)&gt;1,"DUP","OK")</f>
        <v>OK</v>
      </c>
      <c r="Q2834" s="7" t="n">
        <f aca="false">COUNTBLANK(A2834:N2834)</f>
        <v>0</v>
      </c>
      <c r="R2834" s="7" t="n">
        <f aca="false">IF(A2834="",0,COUNTIFS($A$2:$A$3058,A2834,$P$2:$P$3058,"OK"))</f>
        <v>1</v>
      </c>
      <c r="S2834" s="7" t="str">
        <f aca="false">IF(OR(A2834="",P2834="DUP",R2834&lt;2),"",IF(Q2834=_xlfn.MINIFS($Q$2:$Q$3058,$A$2:$A$3058,A2834,$P$2:$P$3058,"OK"),"KEEP","DROP"))</f>
        <v/>
      </c>
      <c r="T2834" s="9" t="n">
        <f aca="false">IF(A2834="",1,0)</f>
        <v>0</v>
      </c>
      <c r="U2834" s="9" t="n">
        <f aca="false">IF(D2834="",1,0)</f>
        <v>0</v>
      </c>
      <c r="V2834" s="9" t="n">
        <f aca="false">IF(E2834="",1,0)</f>
        <v>0</v>
      </c>
      <c r="W2834" s="9" t="n">
        <f aca="false">IF(OR(H2834&lt;1,H2834&gt;10),1,0)</f>
        <v>0</v>
      </c>
      <c r="X2834" s="9" t="n">
        <f aca="false">IF(OR(I2834&lt;=0,I2834&gt;1500),1,0)</f>
        <v>0</v>
      </c>
      <c r="Y2834" s="9" t="n">
        <f aca="false">IF(J2834&gt;H2834*I2834,1,0)</f>
        <v>0</v>
      </c>
      <c r="Z2834" s="9" t="n">
        <f aca="false">IF(AND(N2834&lt;&gt;"",OR(N2834&lt;1,N2834&gt;5)),1,0)</f>
        <v>0</v>
      </c>
      <c r="AA2834" s="9" t="n">
        <f aca="false">IF(AND(M2834&lt;&gt;"",OR(M2834&lt;5,M2834&gt;180)),1,0)</f>
        <v>0</v>
      </c>
      <c r="AB2834" s="7" t="str">
        <f aca="false">IF(P2834="DUP","Exact duplicate row",IF(T2834=1,"Missing Order ID",IF(S2834="DROP","Duplicate Order ID (less complete row)",IF(U2834=1,"Missing Customer ID",IF(V2834=1,"Missing Restaurant name",IF(W2834=1,"Invalid/outlier quantity",IF(X2834=1,"Invalid/outlier unit price",IF(Y2834=1,"Discount greater than order value",""))))))))</f>
        <v/>
      </c>
      <c r="AC2834" s="7" t="str">
        <f aca="false">IF(AB2834="","KEEP","DROP")</f>
        <v>KEEP</v>
      </c>
      <c r="AD2834" s="7" t="str">
        <f aca="false">IF(TRIM(F2834)="",IFERROR(INDEX(Map_Tables!$I$4:$I$37,MATCH(TRIM(E2834),Map_Tables!$G$4:$G$37,0)),""),IFERROR(INDEX(Map_Tables!$B$4:$B$18,MATCH(TRIM(F2834),Map_Tables!$A$4:$A$18,0)),"CHECK"))</f>
        <v>Pune</v>
      </c>
      <c r="AE2834" s="7" t="str">
        <f aca="false">IF(TRIM(E2834)="","",IFERROR(INDEX(Map_Tables!$H$4:$H$37,MATCH(TRIM(E2834),Map_Tables!$G$4:$G$37,0)),"CHECK"))</f>
        <v>Maratha Thali House</v>
      </c>
      <c r="AF2834" s="7" t="str">
        <f aca="false">IF(TRIM(K2834)="","Unknown",IFERROR(INDEX(Map_Tables!$E$4:$E$15,MATCH(TRIM(K2834),Map_Tables!$D$4:$D$15,0)),"CHECK"))</f>
        <v>Cash on Delivery</v>
      </c>
      <c r="AG2834" s="7" t="str">
        <f aca="false">IF(LEFT(LOWER(TRIM(L2834)),6)="cancel","Cancelled","Delivered")</f>
        <v>Delivered</v>
      </c>
      <c r="AH2834" s="10" t="n">
        <f aca="false">IF(ISNUMBER(SEARCH("/",B2834)),DATE(VALUE(RIGHT(B2834,4)),VALUE(MID(B2834,4,2)),VALUE(LEFT(B2834,2))),IF(MID(B2834,5,1)="-",DATE(VALUE(LEFT(B2834,4)),VALUE(MID(B2834,6,2)),VALUE(RIGHT(B2834,2))),DATE(VALUE(RIGHT(B2834,4)),MATCH(MID(B2834,4,3),{"Jan","Feb","Mar","Apr","May","Jun","Jul","Aug","Sep","Oct","Nov","Dec"},0),VALUE(LEFT(B2834,2)))))</f>
        <v>45783</v>
      </c>
    </row>
    <row r="2835" customFormat="false" ht="15" hidden="false" customHeight="false" outlineLevel="0" collapsed="false">
      <c r="A2835" s="7" t="s">
        <v>5891</v>
      </c>
      <c r="B2835" s="7" t="s">
        <v>3122</v>
      </c>
      <c r="C2835" s="7" t="s">
        <v>3291</v>
      </c>
      <c r="D2835" s="7" t="s">
        <v>948</v>
      </c>
      <c r="E2835" s="7" t="s">
        <v>147</v>
      </c>
      <c r="F2835" s="7" t="s">
        <v>118</v>
      </c>
      <c r="G2835" s="7" t="s">
        <v>95</v>
      </c>
      <c r="H2835" s="7" t="n">
        <v>3</v>
      </c>
      <c r="I2835" s="7" t="n">
        <v>165</v>
      </c>
      <c r="J2835" s="7" t="n">
        <v>125</v>
      </c>
      <c r="K2835" s="7" t="s">
        <v>88</v>
      </c>
      <c r="L2835" s="7" t="s">
        <v>194</v>
      </c>
      <c r="M2835" s="7" t="n">
        <v>45</v>
      </c>
      <c r="N2835" s="7" t="n">
        <v>3</v>
      </c>
      <c r="O2835" s="7" t="str">
        <f aca="false">A2835&amp;"|"&amp;B2835&amp;"|"&amp;C2835&amp;"|"&amp;D2835&amp;"|"&amp;E2835&amp;"|"&amp;F2835&amp;"|"&amp;G2835&amp;"|"&amp;H2835&amp;"|"&amp;I2835&amp;"|"&amp;J2835&amp;"|"&amp;K2835&amp;"|"&amp;L2835&amp;"|"&amp;M2835&amp;"|"&amp;N2835</f>
        <v>ORD12489|2025-11-09|08:06|C0622|Andhra Meals Mess|hyderabad|South Indian|3|165|125|UPI|Delivered|45|3</v>
      </c>
      <c r="P2835" s="7" t="str">
        <f aca="false">IF(COUNTIF($O$2:O2835,O2835)&gt;1,"DUP","OK")</f>
        <v>OK</v>
      </c>
      <c r="Q2835" s="7" t="n">
        <f aca="false">COUNTBLANK(A2835:N2835)</f>
        <v>0</v>
      </c>
      <c r="R2835" s="7" t="n">
        <f aca="false">IF(A2835="",0,COUNTIFS($A$2:$A$3058,A2835,$P$2:$P$3058,"OK"))</f>
        <v>1</v>
      </c>
      <c r="S2835" s="7" t="str">
        <f aca="false">IF(OR(A2835="",P2835="DUP",R2835&lt;2),"",IF(Q2835=_xlfn.MINIFS($Q$2:$Q$3058,$A$2:$A$3058,A2835,$P$2:$P$3058,"OK"),"KEEP","DROP"))</f>
        <v/>
      </c>
      <c r="T2835" s="9" t="n">
        <f aca="false">IF(A2835="",1,0)</f>
        <v>0</v>
      </c>
      <c r="U2835" s="9" t="n">
        <f aca="false">IF(D2835="",1,0)</f>
        <v>0</v>
      </c>
      <c r="V2835" s="9" t="n">
        <f aca="false">IF(E2835="",1,0)</f>
        <v>0</v>
      </c>
      <c r="W2835" s="9" t="n">
        <f aca="false">IF(OR(H2835&lt;1,H2835&gt;10),1,0)</f>
        <v>0</v>
      </c>
      <c r="X2835" s="9" t="n">
        <f aca="false">IF(OR(I2835&lt;=0,I2835&gt;1500),1,0)</f>
        <v>0</v>
      </c>
      <c r="Y2835" s="9" t="n">
        <f aca="false">IF(J2835&gt;H2835*I2835,1,0)</f>
        <v>0</v>
      </c>
      <c r="Z2835" s="9" t="n">
        <f aca="false">IF(AND(N2835&lt;&gt;"",OR(N2835&lt;1,N2835&gt;5)),1,0)</f>
        <v>0</v>
      </c>
      <c r="AA2835" s="9" t="n">
        <f aca="false">IF(AND(M2835&lt;&gt;"",OR(M2835&lt;5,M2835&gt;180)),1,0)</f>
        <v>0</v>
      </c>
      <c r="AB2835" s="7" t="str">
        <f aca="false">IF(P2835="DUP","Exact duplicate row",IF(T2835=1,"Missing Order ID",IF(S2835="DROP","Duplicate Order ID (less complete row)",IF(U2835=1,"Missing Customer ID",IF(V2835=1,"Missing Restaurant name",IF(W2835=1,"Invalid/outlier quantity",IF(X2835=1,"Invalid/outlier unit price",IF(Y2835=1,"Discount greater than order value",""))))))))</f>
        <v/>
      </c>
      <c r="AC2835" s="7" t="str">
        <f aca="false">IF(AB2835="","KEEP","DROP")</f>
        <v>KEEP</v>
      </c>
      <c r="AD2835" s="7" t="str">
        <f aca="false">IF(TRIM(F2835)="",IFERROR(INDEX(Map_Tables!$I$4:$I$37,MATCH(TRIM(E2835),Map_Tables!$G$4:$G$37,0)),""),IFERROR(INDEX(Map_Tables!$B$4:$B$18,MATCH(TRIM(F2835),Map_Tables!$A$4:$A$18,0)),"CHECK"))</f>
        <v>Hyderabad</v>
      </c>
      <c r="AE2835" s="7" t="str">
        <f aca="false">IF(TRIM(E2835)="","",IFERROR(INDEX(Map_Tables!$H$4:$H$37,MATCH(TRIM(E2835),Map_Tables!$G$4:$G$37,0)),"CHECK"))</f>
        <v>Andhra Meals Mess</v>
      </c>
      <c r="AF2835" s="7" t="str">
        <f aca="false">IF(TRIM(K2835)="","Unknown",IFERROR(INDEX(Map_Tables!$E$4:$E$15,MATCH(TRIM(K2835),Map_Tables!$D$4:$D$15,0)),"CHECK"))</f>
        <v>UPI</v>
      </c>
      <c r="AG2835" s="7" t="str">
        <f aca="false">IF(LEFT(LOWER(TRIM(L2835)),6)="cancel","Cancelled","Delivered")</f>
        <v>Delivered</v>
      </c>
      <c r="AH2835" s="10" t="n">
        <f aca="false">IF(ISNUMBER(SEARCH("/",B2835)),DATE(VALUE(RIGHT(B2835,4)),VALUE(MID(B2835,4,2)),VALUE(LEFT(B2835,2))),IF(MID(B2835,5,1)="-",DATE(VALUE(LEFT(B2835,4)),VALUE(MID(B2835,6,2)),VALUE(RIGHT(B2835,2))),DATE(VALUE(RIGHT(B2835,4)),MATCH(MID(B2835,4,3),{"Jan","Feb","Mar","Apr","May","Jun","Jul","Aug","Sep","Oct","Nov","Dec"},0),VALUE(LEFT(B2835,2)))))</f>
        <v>45970</v>
      </c>
    </row>
    <row r="2836" customFormat="false" ht="15" hidden="false" customHeight="false" outlineLevel="0" collapsed="false">
      <c r="A2836" s="7" t="s">
        <v>5892</v>
      </c>
      <c r="B2836" s="7" t="s">
        <v>768</v>
      </c>
      <c r="C2836" s="7" t="s">
        <v>1791</v>
      </c>
      <c r="D2836" s="7" t="s">
        <v>4384</v>
      </c>
      <c r="E2836" s="7" t="s">
        <v>165</v>
      </c>
      <c r="F2836" s="7" t="s">
        <v>146</v>
      </c>
      <c r="G2836" s="7" t="s">
        <v>90</v>
      </c>
      <c r="H2836" s="7" t="n">
        <v>1</v>
      </c>
      <c r="I2836" s="7" t="n">
        <v>215</v>
      </c>
      <c r="J2836" s="7" t="n">
        <v>0</v>
      </c>
      <c r="K2836" s="7" t="s">
        <v>93</v>
      </c>
      <c r="L2836" s="7" t="s">
        <v>220</v>
      </c>
      <c r="M2836" s="7" t="n">
        <v>40</v>
      </c>
      <c r="N2836" s="7" t="n">
        <v>4</v>
      </c>
      <c r="O2836" s="7" t="str">
        <f aca="false">A2836&amp;"|"&amp;B2836&amp;"|"&amp;C2836&amp;"|"&amp;D2836&amp;"|"&amp;E2836&amp;"|"&amp;F2836&amp;"|"&amp;G2836&amp;"|"&amp;H2836&amp;"|"&amp;I2836&amp;"|"&amp;J2836&amp;"|"&amp;K2836&amp;"|"&amp;L2836&amp;"|"&amp;M2836&amp;"|"&amp;N2836</f>
        <v>ORD12570|2025-11-15|19:21|C0755|Gujarati Thali Ghar|Ahmedabad|North Indian|1|215|0|Credit Card|DELIVERED|40|4</v>
      </c>
      <c r="P2836" s="7" t="str">
        <f aca="false">IF(COUNTIF($O$2:O2836,O2836)&gt;1,"DUP","OK")</f>
        <v>OK</v>
      </c>
      <c r="Q2836" s="7" t="n">
        <f aca="false">COUNTBLANK(A2836:N2836)</f>
        <v>0</v>
      </c>
      <c r="R2836" s="7" t="n">
        <f aca="false">IF(A2836="",0,COUNTIFS($A$2:$A$3058,A2836,$P$2:$P$3058,"OK"))</f>
        <v>1</v>
      </c>
      <c r="S2836" s="7" t="str">
        <f aca="false">IF(OR(A2836="",P2836="DUP",R2836&lt;2),"",IF(Q2836=_xlfn.MINIFS($Q$2:$Q$3058,$A$2:$A$3058,A2836,$P$2:$P$3058,"OK"),"KEEP","DROP"))</f>
        <v/>
      </c>
      <c r="T2836" s="9" t="n">
        <f aca="false">IF(A2836="",1,0)</f>
        <v>0</v>
      </c>
      <c r="U2836" s="9" t="n">
        <f aca="false">IF(D2836="",1,0)</f>
        <v>0</v>
      </c>
      <c r="V2836" s="9" t="n">
        <f aca="false">IF(E2836="",1,0)</f>
        <v>0</v>
      </c>
      <c r="W2836" s="9" t="n">
        <f aca="false">IF(OR(H2836&lt;1,H2836&gt;10),1,0)</f>
        <v>0</v>
      </c>
      <c r="X2836" s="9" t="n">
        <f aca="false">IF(OR(I2836&lt;=0,I2836&gt;1500),1,0)</f>
        <v>0</v>
      </c>
      <c r="Y2836" s="9" t="n">
        <f aca="false">IF(J2836&gt;H2836*I2836,1,0)</f>
        <v>0</v>
      </c>
      <c r="Z2836" s="9" t="n">
        <f aca="false">IF(AND(N2836&lt;&gt;"",OR(N2836&lt;1,N2836&gt;5)),1,0)</f>
        <v>0</v>
      </c>
      <c r="AA2836" s="9" t="n">
        <f aca="false">IF(AND(M2836&lt;&gt;"",OR(M2836&lt;5,M2836&gt;180)),1,0)</f>
        <v>0</v>
      </c>
      <c r="AB2836" s="7" t="str">
        <f aca="false">IF(P2836="DUP","Exact duplicate row",IF(T2836=1,"Missing Order ID",IF(S2836="DROP","Duplicate Order ID (less complete row)",IF(U2836=1,"Missing Customer ID",IF(V2836=1,"Missing Restaurant name",IF(W2836=1,"Invalid/outlier quantity",IF(X2836=1,"Invalid/outlier unit price",IF(Y2836=1,"Discount greater than order value",""))))))))</f>
        <v/>
      </c>
      <c r="AC2836" s="7" t="str">
        <f aca="false">IF(AB2836="","KEEP","DROP")</f>
        <v>KEEP</v>
      </c>
      <c r="AD2836" s="7" t="str">
        <f aca="false">IF(TRIM(F2836)="",IFERROR(INDEX(Map_Tables!$I$4:$I$37,MATCH(TRIM(E2836),Map_Tables!$G$4:$G$37,0)),""),IFERROR(INDEX(Map_Tables!$B$4:$B$18,MATCH(TRIM(F2836),Map_Tables!$A$4:$A$18,0)),"CHECK"))</f>
        <v>Ahmedabad</v>
      </c>
      <c r="AE2836" s="7" t="str">
        <f aca="false">IF(TRIM(E2836)="","",IFERROR(INDEX(Map_Tables!$H$4:$H$37,MATCH(TRIM(E2836),Map_Tables!$G$4:$G$37,0)),"CHECK"))</f>
        <v>Gujarati Thali Ghar</v>
      </c>
      <c r="AF2836" s="7" t="str">
        <f aca="false">IF(TRIM(K2836)="","Unknown",IFERROR(INDEX(Map_Tables!$E$4:$E$15,MATCH(TRIM(K2836),Map_Tables!$D$4:$D$15,0)),"CHECK"))</f>
        <v>Credit Card</v>
      </c>
      <c r="AG2836" s="7" t="str">
        <f aca="false">IF(LEFT(LOWER(TRIM(L2836)),6)="cancel","Cancelled","Delivered")</f>
        <v>Delivered</v>
      </c>
      <c r="AH2836" s="10" t="n">
        <f aca="false">IF(ISNUMBER(SEARCH("/",B2836)),DATE(VALUE(RIGHT(B2836,4)),VALUE(MID(B2836,4,2)),VALUE(LEFT(B2836,2))),IF(MID(B2836,5,1)="-",DATE(VALUE(LEFT(B2836,4)),VALUE(MID(B2836,6,2)),VALUE(RIGHT(B2836,2))),DATE(VALUE(RIGHT(B2836,4)),MATCH(MID(B2836,4,3),{"Jan","Feb","Mar","Apr","May","Jun","Jul","Aug","Sep","Oct","Nov","Dec"},0),VALUE(LEFT(B2836,2)))))</f>
        <v>45976</v>
      </c>
    </row>
    <row r="2837" customFormat="false" ht="15" hidden="false" customHeight="false" outlineLevel="0" collapsed="false">
      <c r="A2837" s="7" t="s">
        <v>5893</v>
      </c>
      <c r="B2837" s="7" t="s">
        <v>5894</v>
      </c>
      <c r="C2837" s="7" t="s">
        <v>5708</v>
      </c>
      <c r="D2837" s="7" t="s">
        <v>5895</v>
      </c>
      <c r="E2837" s="7" t="s">
        <v>104</v>
      </c>
      <c r="F2837" s="7" t="s">
        <v>86</v>
      </c>
      <c r="G2837" s="7" t="s">
        <v>105</v>
      </c>
      <c r="H2837" s="7" t="n">
        <v>1</v>
      </c>
      <c r="I2837" s="7" t="n">
        <v>235</v>
      </c>
      <c r="J2837" s="7" t="n">
        <v>0</v>
      </c>
      <c r="K2837" s="7" t="s">
        <v>88</v>
      </c>
      <c r="L2837" s="7" t="s">
        <v>194</v>
      </c>
      <c r="M2837" s="7" t="n">
        <v>34</v>
      </c>
      <c r="N2837" s="7" t="n">
        <v>4</v>
      </c>
      <c r="O2837" s="7" t="str">
        <f aca="false">A2837&amp;"|"&amp;B2837&amp;"|"&amp;C2837&amp;"|"&amp;D2837&amp;"|"&amp;E2837&amp;"|"&amp;F2837&amp;"|"&amp;G2837&amp;"|"&amp;H2837&amp;"|"&amp;I2837&amp;"|"&amp;J2837&amp;"|"&amp;K2837&amp;"|"&amp;L2837&amp;"|"&amp;M2837&amp;"|"&amp;N2837</f>
        <v>ORD11256|09/06/2025|18:24|C0422|Wok &amp; Roll|Bengaluru|Chinese|1|235|0|UPI|Delivered|34|4</v>
      </c>
      <c r="P2837" s="7" t="str">
        <f aca="false">IF(COUNTIF($O$2:O2837,O2837)&gt;1,"DUP","OK")</f>
        <v>OK</v>
      </c>
      <c r="Q2837" s="7" t="n">
        <f aca="false">COUNTBLANK(A2837:N2837)</f>
        <v>0</v>
      </c>
      <c r="R2837" s="7" t="n">
        <f aca="false">IF(A2837="",0,COUNTIFS($A$2:$A$3058,A2837,$P$2:$P$3058,"OK"))</f>
        <v>1</v>
      </c>
      <c r="S2837" s="7" t="str">
        <f aca="false">IF(OR(A2837="",P2837="DUP",R2837&lt;2),"",IF(Q2837=_xlfn.MINIFS($Q$2:$Q$3058,$A$2:$A$3058,A2837,$P$2:$P$3058,"OK"),"KEEP","DROP"))</f>
        <v/>
      </c>
      <c r="T2837" s="9" t="n">
        <f aca="false">IF(A2837="",1,0)</f>
        <v>0</v>
      </c>
      <c r="U2837" s="9" t="n">
        <f aca="false">IF(D2837="",1,0)</f>
        <v>0</v>
      </c>
      <c r="V2837" s="9" t="n">
        <f aca="false">IF(E2837="",1,0)</f>
        <v>0</v>
      </c>
      <c r="W2837" s="9" t="n">
        <f aca="false">IF(OR(H2837&lt;1,H2837&gt;10),1,0)</f>
        <v>0</v>
      </c>
      <c r="X2837" s="9" t="n">
        <f aca="false">IF(OR(I2837&lt;=0,I2837&gt;1500),1,0)</f>
        <v>0</v>
      </c>
      <c r="Y2837" s="9" t="n">
        <f aca="false">IF(J2837&gt;H2837*I2837,1,0)</f>
        <v>0</v>
      </c>
      <c r="Z2837" s="9" t="n">
        <f aca="false">IF(AND(N2837&lt;&gt;"",OR(N2837&lt;1,N2837&gt;5)),1,0)</f>
        <v>0</v>
      </c>
      <c r="AA2837" s="9" t="n">
        <f aca="false">IF(AND(M2837&lt;&gt;"",OR(M2837&lt;5,M2837&gt;180)),1,0)</f>
        <v>0</v>
      </c>
      <c r="AB2837" s="7" t="str">
        <f aca="false">IF(P2837="DUP","Exact duplicate row",IF(T2837=1,"Missing Order ID",IF(S2837="DROP","Duplicate Order ID (less complete row)",IF(U2837=1,"Missing Customer ID",IF(V2837=1,"Missing Restaurant name",IF(W2837=1,"Invalid/outlier quantity",IF(X2837=1,"Invalid/outlier unit price",IF(Y2837=1,"Discount greater than order value",""))))))))</f>
        <v/>
      </c>
      <c r="AC2837" s="7" t="str">
        <f aca="false">IF(AB2837="","KEEP","DROP")</f>
        <v>KEEP</v>
      </c>
      <c r="AD2837" s="7" t="str">
        <f aca="false">IF(TRIM(F2837)="",IFERROR(INDEX(Map_Tables!$I$4:$I$37,MATCH(TRIM(E2837),Map_Tables!$G$4:$G$37,0)),""),IFERROR(INDEX(Map_Tables!$B$4:$B$18,MATCH(TRIM(F2837),Map_Tables!$A$4:$A$18,0)),"CHECK"))</f>
        <v>Bengaluru</v>
      </c>
      <c r="AE2837" s="7" t="str">
        <f aca="false">IF(TRIM(E2837)="","",IFERROR(INDEX(Map_Tables!$H$4:$H$37,MATCH(TRIM(E2837),Map_Tables!$G$4:$G$37,0)),"CHECK"))</f>
        <v>Wok &amp; Roll</v>
      </c>
      <c r="AF2837" s="7" t="str">
        <f aca="false">IF(TRIM(K2837)="","Unknown",IFERROR(INDEX(Map_Tables!$E$4:$E$15,MATCH(TRIM(K2837),Map_Tables!$D$4:$D$15,0)),"CHECK"))</f>
        <v>UPI</v>
      </c>
      <c r="AG2837" s="7" t="str">
        <f aca="false">IF(LEFT(LOWER(TRIM(L2837)),6)="cancel","Cancelled","Delivered")</f>
        <v>Delivered</v>
      </c>
      <c r="AH2837" s="10" t="n">
        <f aca="false">IF(ISNUMBER(SEARCH("/",B2837)),DATE(VALUE(RIGHT(B2837,4)),VALUE(MID(B2837,4,2)),VALUE(LEFT(B2837,2))),IF(MID(B2837,5,1)="-",DATE(VALUE(LEFT(B2837,4)),VALUE(MID(B2837,6,2)),VALUE(RIGHT(B2837,2))),DATE(VALUE(RIGHT(B2837,4)),MATCH(MID(B2837,4,3),{"Jan","Feb","Mar","Apr","May","Jun","Jul","Aug","Sep","Oct","Nov","Dec"},0),VALUE(LEFT(B2837,2)))))</f>
        <v>45817</v>
      </c>
    </row>
    <row r="2838" customFormat="false" ht="15" hidden="false" customHeight="false" outlineLevel="0" collapsed="false">
      <c r="A2838" s="7" t="s">
        <v>5896</v>
      </c>
      <c r="B2838" s="7" t="s">
        <v>1049</v>
      </c>
      <c r="C2838" s="7" t="s">
        <v>1145</v>
      </c>
      <c r="D2838" s="7" t="s">
        <v>2077</v>
      </c>
      <c r="E2838" s="7" t="s">
        <v>151</v>
      </c>
      <c r="F2838" s="7" t="s">
        <v>127</v>
      </c>
      <c r="G2838" s="7" t="s">
        <v>95</v>
      </c>
      <c r="H2838" s="7" t="n">
        <v>1</v>
      </c>
      <c r="I2838" s="7" t="n">
        <v>195</v>
      </c>
      <c r="J2838" s="7" t="n">
        <v>0</v>
      </c>
      <c r="K2838" s="7" t="s">
        <v>88</v>
      </c>
      <c r="L2838" s="7" t="s">
        <v>194</v>
      </c>
      <c r="M2838" s="7" t="n">
        <v>33</v>
      </c>
      <c r="N2838" s="7" t="n">
        <v>3</v>
      </c>
      <c r="O2838" s="7" t="str">
        <f aca="false">A2838&amp;"|"&amp;B2838&amp;"|"&amp;C2838&amp;"|"&amp;D2838&amp;"|"&amp;E2838&amp;"|"&amp;F2838&amp;"|"&amp;G2838&amp;"|"&amp;H2838&amp;"|"&amp;I2838&amp;"|"&amp;J2838&amp;"|"&amp;K2838&amp;"|"&amp;L2838&amp;"|"&amp;M2838&amp;"|"&amp;N2838</f>
        <v>ORD11665|2025-08-05|18:47|C0006|Chettinad House|chennai|South Indian|1|195|0|UPI|Delivered|33|3</v>
      </c>
      <c r="P2838" s="7" t="str">
        <f aca="false">IF(COUNTIF($O$2:O2838,O2838)&gt;1,"DUP","OK")</f>
        <v>OK</v>
      </c>
      <c r="Q2838" s="7" t="n">
        <f aca="false">COUNTBLANK(A2838:N2838)</f>
        <v>0</v>
      </c>
      <c r="R2838" s="7" t="n">
        <f aca="false">IF(A2838="",0,COUNTIFS($A$2:$A$3058,A2838,$P$2:$P$3058,"OK"))</f>
        <v>1</v>
      </c>
      <c r="S2838" s="7" t="str">
        <f aca="false">IF(OR(A2838="",P2838="DUP",R2838&lt;2),"",IF(Q2838=_xlfn.MINIFS($Q$2:$Q$3058,$A$2:$A$3058,A2838,$P$2:$P$3058,"OK"),"KEEP","DROP"))</f>
        <v/>
      </c>
      <c r="T2838" s="9" t="n">
        <f aca="false">IF(A2838="",1,0)</f>
        <v>0</v>
      </c>
      <c r="U2838" s="9" t="n">
        <f aca="false">IF(D2838="",1,0)</f>
        <v>0</v>
      </c>
      <c r="V2838" s="9" t="n">
        <f aca="false">IF(E2838="",1,0)</f>
        <v>0</v>
      </c>
      <c r="W2838" s="9" t="n">
        <f aca="false">IF(OR(H2838&lt;1,H2838&gt;10),1,0)</f>
        <v>0</v>
      </c>
      <c r="X2838" s="9" t="n">
        <f aca="false">IF(OR(I2838&lt;=0,I2838&gt;1500),1,0)</f>
        <v>0</v>
      </c>
      <c r="Y2838" s="9" t="n">
        <f aca="false">IF(J2838&gt;H2838*I2838,1,0)</f>
        <v>0</v>
      </c>
      <c r="Z2838" s="9" t="n">
        <f aca="false">IF(AND(N2838&lt;&gt;"",OR(N2838&lt;1,N2838&gt;5)),1,0)</f>
        <v>0</v>
      </c>
      <c r="AA2838" s="9" t="n">
        <f aca="false">IF(AND(M2838&lt;&gt;"",OR(M2838&lt;5,M2838&gt;180)),1,0)</f>
        <v>0</v>
      </c>
      <c r="AB2838" s="7" t="str">
        <f aca="false">IF(P2838="DUP","Exact duplicate row",IF(T2838=1,"Missing Order ID",IF(S2838="DROP","Duplicate Order ID (less complete row)",IF(U2838=1,"Missing Customer ID",IF(V2838=1,"Missing Restaurant name",IF(W2838=1,"Invalid/outlier quantity",IF(X2838=1,"Invalid/outlier unit price",IF(Y2838=1,"Discount greater than order value",""))))))))</f>
        <v/>
      </c>
      <c r="AC2838" s="7" t="str">
        <f aca="false">IF(AB2838="","KEEP","DROP")</f>
        <v>KEEP</v>
      </c>
      <c r="AD2838" s="7" t="str">
        <f aca="false">IF(TRIM(F2838)="",IFERROR(INDEX(Map_Tables!$I$4:$I$37,MATCH(TRIM(E2838),Map_Tables!$G$4:$G$37,0)),""),IFERROR(INDEX(Map_Tables!$B$4:$B$18,MATCH(TRIM(F2838),Map_Tables!$A$4:$A$18,0)),"CHECK"))</f>
        <v>Chennai</v>
      </c>
      <c r="AE2838" s="7" t="str">
        <f aca="false">IF(TRIM(E2838)="","",IFERROR(INDEX(Map_Tables!$H$4:$H$37,MATCH(TRIM(E2838),Map_Tables!$G$4:$G$37,0)),"CHECK"))</f>
        <v>Chettinad House</v>
      </c>
      <c r="AF2838" s="7" t="str">
        <f aca="false">IF(TRIM(K2838)="","Unknown",IFERROR(INDEX(Map_Tables!$E$4:$E$15,MATCH(TRIM(K2838),Map_Tables!$D$4:$D$15,0)),"CHECK"))</f>
        <v>UPI</v>
      </c>
      <c r="AG2838" s="7" t="str">
        <f aca="false">IF(LEFT(LOWER(TRIM(L2838)),6)="cancel","Cancelled","Delivered")</f>
        <v>Delivered</v>
      </c>
      <c r="AH2838" s="10" t="n">
        <f aca="false">IF(ISNUMBER(SEARCH("/",B2838)),DATE(VALUE(RIGHT(B2838,4)),VALUE(MID(B2838,4,2)),VALUE(LEFT(B2838,2))),IF(MID(B2838,5,1)="-",DATE(VALUE(LEFT(B2838,4)),VALUE(MID(B2838,6,2)),VALUE(RIGHT(B2838,2))),DATE(VALUE(RIGHT(B2838,4)),MATCH(MID(B2838,4,3),{"Jan","Feb","Mar","Apr","May","Jun","Jul","Aug","Sep","Oct","Nov","Dec"},0),VALUE(LEFT(B2838,2)))))</f>
        <v>45874</v>
      </c>
    </row>
    <row r="2839" customFormat="false" ht="15" hidden="false" customHeight="false" outlineLevel="0" collapsed="false">
      <c r="A2839" s="7" t="s">
        <v>5897</v>
      </c>
      <c r="B2839" s="7" t="s">
        <v>2324</v>
      </c>
      <c r="C2839" s="7" t="s">
        <v>5233</v>
      </c>
      <c r="D2839" s="7" t="s">
        <v>3871</v>
      </c>
      <c r="E2839" s="7" t="s">
        <v>122</v>
      </c>
      <c r="F2839" s="7" t="s">
        <v>101</v>
      </c>
      <c r="G2839" s="7" t="s">
        <v>123</v>
      </c>
      <c r="H2839" s="7" t="n">
        <v>3</v>
      </c>
      <c r="I2839" s="7" t="n">
        <v>300</v>
      </c>
      <c r="J2839" s="7" t="n">
        <v>20</v>
      </c>
      <c r="K2839" s="7" t="s">
        <v>93</v>
      </c>
      <c r="L2839" s="7" t="s">
        <v>194</v>
      </c>
      <c r="M2839" s="7" t="n">
        <v>35</v>
      </c>
      <c r="N2839" s="7" t="n">
        <v>3</v>
      </c>
      <c r="O2839" s="7" t="str">
        <f aca="false">A2839&amp;"|"&amp;B2839&amp;"|"&amp;C2839&amp;"|"&amp;D2839&amp;"|"&amp;E2839&amp;"|"&amp;F2839&amp;"|"&amp;G2839&amp;"|"&amp;H2839&amp;"|"&amp;I2839&amp;"|"&amp;J2839&amp;"|"&amp;K2839&amp;"|"&amp;L2839&amp;"|"&amp;M2839&amp;"|"&amp;N2839</f>
        <v>ORD12192|2025-10-06|17:23|C0550|Mumbai Pizza Co|Mumbai|Pizza|3|300|20|Credit Card|Delivered|35|3</v>
      </c>
      <c r="P2839" s="7" t="str">
        <f aca="false">IF(COUNTIF($O$2:O2839,O2839)&gt;1,"DUP","OK")</f>
        <v>OK</v>
      </c>
      <c r="Q2839" s="7" t="n">
        <f aca="false">COUNTBLANK(A2839:N2839)</f>
        <v>0</v>
      </c>
      <c r="R2839" s="7" t="n">
        <f aca="false">IF(A2839="",0,COUNTIFS($A$2:$A$3058,A2839,$P$2:$P$3058,"OK"))</f>
        <v>1</v>
      </c>
      <c r="S2839" s="7" t="str">
        <f aca="false">IF(OR(A2839="",P2839="DUP",R2839&lt;2),"",IF(Q2839=_xlfn.MINIFS($Q$2:$Q$3058,$A$2:$A$3058,A2839,$P$2:$P$3058,"OK"),"KEEP","DROP"))</f>
        <v/>
      </c>
      <c r="T2839" s="9" t="n">
        <f aca="false">IF(A2839="",1,0)</f>
        <v>0</v>
      </c>
      <c r="U2839" s="9" t="n">
        <f aca="false">IF(D2839="",1,0)</f>
        <v>0</v>
      </c>
      <c r="V2839" s="9" t="n">
        <f aca="false">IF(E2839="",1,0)</f>
        <v>0</v>
      </c>
      <c r="W2839" s="9" t="n">
        <f aca="false">IF(OR(H2839&lt;1,H2839&gt;10),1,0)</f>
        <v>0</v>
      </c>
      <c r="X2839" s="9" t="n">
        <f aca="false">IF(OR(I2839&lt;=0,I2839&gt;1500),1,0)</f>
        <v>0</v>
      </c>
      <c r="Y2839" s="9" t="n">
        <f aca="false">IF(J2839&gt;H2839*I2839,1,0)</f>
        <v>0</v>
      </c>
      <c r="Z2839" s="9" t="n">
        <f aca="false">IF(AND(N2839&lt;&gt;"",OR(N2839&lt;1,N2839&gt;5)),1,0)</f>
        <v>0</v>
      </c>
      <c r="AA2839" s="9" t="n">
        <f aca="false">IF(AND(M2839&lt;&gt;"",OR(M2839&lt;5,M2839&gt;180)),1,0)</f>
        <v>0</v>
      </c>
      <c r="AB2839" s="7" t="str">
        <f aca="false">IF(P2839="DUP","Exact duplicate row",IF(T2839=1,"Missing Order ID",IF(S2839="DROP","Duplicate Order ID (less complete row)",IF(U2839=1,"Missing Customer ID",IF(V2839=1,"Missing Restaurant name",IF(W2839=1,"Invalid/outlier quantity",IF(X2839=1,"Invalid/outlier unit price",IF(Y2839=1,"Discount greater than order value",""))))))))</f>
        <v/>
      </c>
      <c r="AC2839" s="7" t="str">
        <f aca="false">IF(AB2839="","KEEP","DROP")</f>
        <v>KEEP</v>
      </c>
      <c r="AD2839" s="7" t="str">
        <f aca="false">IF(TRIM(F2839)="",IFERROR(INDEX(Map_Tables!$I$4:$I$37,MATCH(TRIM(E2839),Map_Tables!$G$4:$G$37,0)),""),IFERROR(INDEX(Map_Tables!$B$4:$B$18,MATCH(TRIM(F2839),Map_Tables!$A$4:$A$18,0)),"CHECK"))</f>
        <v>Mumbai</v>
      </c>
      <c r="AE2839" s="7" t="str">
        <f aca="false">IF(TRIM(E2839)="","",IFERROR(INDEX(Map_Tables!$H$4:$H$37,MATCH(TRIM(E2839),Map_Tables!$G$4:$G$37,0)),"CHECK"))</f>
        <v>Mumbai Pizza Co</v>
      </c>
      <c r="AF2839" s="7" t="str">
        <f aca="false">IF(TRIM(K2839)="","Unknown",IFERROR(INDEX(Map_Tables!$E$4:$E$15,MATCH(TRIM(K2839),Map_Tables!$D$4:$D$15,0)),"CHECK"))</f>
        <v>Credit Card</v>
      </c>
      <c r="AG2839" s="7" t="str">
        <f aca="false">IF(LEFT(LOWER(TRIM(L2839)),6)="cancel","Cancelled","Delivered")</f>
        <v>Delivered</v>
      </c>
      <c r="AH2839" s="10" t="n">
        <f aca="false">IF(ISNUMBER(SEARCH("/",B2839)),DATE(VALUE(RIGHT(B2839,4)),VALUE(MID(B2839,4,2)),VALUE(LEFT(B2839,2))),IF(MID(B2839,5,1)="-",DATE(VALUE(LEFT(B2839,4)),VALUE(MID(B2839,6,2)),VALUE(RIGHT(B2839,2))),DATE(VALUE(RIGHT(B2839,4)),MATCH(MID(B2839,4,3),{"Jan","Feb","Mar","Apr","May","Jun","Jul","Aug","Sep","Oct","Nov","Dec"},0),VALUE(LEFT(B2839,2)))))</f>
        <v>45936</v>
      </c>
    </row>
    <row r="2840" customFormat="false" ht="15" hidden="false" customHeight="false" outlineLevel="0" collapsed="false">
      <c r="A2840" s="7" t="s">
        <v>5898</v>
      </c>
      <c r="B2840" s="7" t="s">
        <v>2032</v>
      </c>
      <c r="C2840" s="7" t="s">
        <v>2604</v>
      </c>
      <c r="D2840" s="7" t="s">
        <v>1908</v>
      </c>
      <c r="E2840" s="7" t="s">
        <v>138</v>
      </c>
      <c r="F2840" s="7" t="s">
        <v>110</v>
      </c>
      <c r="G2840" s="7" t="s">
        <v>139</v>
      </c>
      <c r="H2840" s="7" t="n">
        <v>3</v>
      </c>
      <c r="I2840" s="7" t="n">
        <v>225</v>
      </c>
      <c r="J2840" s="7" t="n">
        <v>75</v>
      </c>
      <c r="K2840" s="7" t="s">
        <v>88</v>
      </c>
      <c r="L2840" s="7" t="s">
        <v>220</v>
      </c>
      <c r="M2840" s="7" t="n">
        <v>41</v>
      </c>
      <c r="N2840" s="7" t="n">
        <v>3</v>
      </c>
      <c r="O2840" s="7" t="str">
        <f aca="false">A2840&amp;"|"&amp;B2840&amp;"|"&amp;C2840&amp;"|"&amp;D2840&amp;"|"&amp;E2840&amp;"|"&amp;F2840&amp;"|"&amp;G2840&amp;"|"&amp;H2840&amp;"|"&amp;I2840&amp;"|"&amp;J2840&amp;"|"&amp;K2840&amp;"|"&amp;L2840&amp;"|"&amp;M2840&amp;"|"&amp;N2840</f>
        <v>ORD12802|2025-12-08|23:15|C1151|Burger Barn|Delhi|Burgers|3|225|75|UPI|DELIVERED|41|3</v>
      </c>
      <c r="P2840" s="7" t="str">
        <f aca="false">IF(COUNTIF($O$2:O2840,O2840)&gt;1,"DUP","OK")</f>
        <v>OK</v>
      </c>
      <c r="Q2840" s="7" t="n">
        <f aca="false">COUNTBLANK(A2840:N2840)</f>
        <v>0</v>
      </c>
      <c r="R2840" s="7" t="n">
        <f aca="false">IF(A2840="",0,COUNTIFS($A$2:$A$3058,A2840,$P$2:$P$3058,"OK"))</f>
        <v>1</v>
      </c>
      <c r="S2840" s="7" t="str">
        <f aca="false">IF(OR(A2840="",P2840="DUP",R2840&lt;2),"",IF(Q2840=_xlfn.MINIFS($Q$2:$Q$3058,$A$2:$A$3058,A2840,$P$2:$P$3058,"OK"),"KEEP","DROP"))</f>
        <v/>
      </c>
      <c r="T2840" s="9" t="n">
        <f aca="false">IF(A2840="",1,0)</f>
        <v>0</v>
      </c>
      <c r="U2840" s="9" t="n">
        <f aca="false">IF(D2840="",1,0)</f>
        <v>0</v>
      </c>
      <c r="V2840" s="9" t="n">
        <f aca="false">IF(E2840="",1,0)</f>
        <v>0</v>
      </c>
      <c r="W2840" s="9" t="n">
        <f aca="false">IF(OR(H2840&lt;1,H2840&gt;10),1,0)</f>
        <v>0</v>
      </c>
      <c r="X2840" s="9" t="n">
        <f aca="false">IF(OR(I2840&lt;=0,I2840&gt;1500),1,0)</f>
        <v>0</v>
      </c>
      <c r="Y2840" s="9" t="n">
        <f aca="false">IF(J2840&gt;H2840*I2840,1,0)</f>
        <v>0</v>
      </c>
      <c r="Z2840" s="9" t="n">
        <f aca="false">IF(AND(N2840&lt;&gt;"",OR(N2840&lt;1,N2840&gt;5)),1,0)</f>
        <v>0</v>
      </c>
      <c r="AA2840" s="9" t="n">
        <f aca="false">IF(AND(M2840&lt;&gt;"",OR(M2840&lt;5,M2840&gt;180)),1,0)</f>
        <v>0</v>
      </c>
      <c r="AB2840" s="7" t="str">
        <f aca="false">IF(P2840="DUP","Exact duplicate row",IF(T2840=1,"Missing Order ID",IF(S2840="DROP","Duplicate Order ID (less complete row)",IF(U2840=1,"Missing Customer ID",IF(V2840=1,"Missing Restaurant name",IF(W2840=1,"Invalid/outlier quantity",IF(X2840=1,"Invalid/outlier unit price",IF(Y2840=1,"Discount greater than order value",""))))))))</f>
        <v/>
      </c>
      <c r="AC2840" s="7" t="str">
        <f aca="false">IF(AB2840="","KEEP","DROP")</f>
        <v>KEEP</v>
      </c>
      <c r="AD2840" s="7" t="str">
        <f aca="false">IF(TRIM(F2840)="",IFERROR(INDEX(Map_Tables!$I$4:$I$37,MATCH(TRIM(E2840),Map_Tables!$G$4:$G$37,0)),""),IFERROR(INDEX(Map_Tables!$B$4:$B$18,MATCH(TRIM(F2840),Map_Tables!$A$4:$A$18,0)),"CHECK"))</f>
        <v>Delhi</v>
      </c>
      <c r="AE2840" s="7" t="str">
        <f aca="false">IF(TRIM(E2840)="","",IFERROR(INDEX(Map_Tables!$H$4:$H$37,MATCH(TRIM(E2840),Map_Tables!$G$4:$G$37,0)),"CHECK"))</f>
        <v>Burger Barn</v>
      </c>
      <c r="AF2840" s="7" t="str">
        <f aca="false">IF(TRIM(K2840)="","Unknown",IFERROR(INDEX(Map_Tables!$E$4:$E$15,MATCH(TRIM(K2840),Map_Tables!$D$4:$D$15,0)),"CHECK"))</f>
        <v>UPI</v>
      </c>
      <c r="AG2840" s="7" t="str">
        <f aca="false">IF(LEFT(LOWER(TRIM(L2840)),6)="cancel","Cancelled","Delivered")</f>
        <v>Delivered</v>
      </c>
      <c r="AH2840" s="10" t="n">
        <f aca="false">IF(ISNUMBER(SEARCH("/",B2840)),DATE(VALUE(RIGHT(B2840,4)),VALUE(MID(B2840,4,2)),VALUE(LEFT(B2840,2))),IF(MID(B2840,5,1)="-",DATE(VALUE(LEFT(B2840,4)),VALUE(MID(B2840,6,2)),VALUE(RIGHT(B2840,2))),DATE(VALUE(RIGHT(B2840,4)),MATCH(MID(B2840,4,3),{"Jan","Feb","Mar","Apr","May","Jun","Jul","Aug","Sep","Oct","Nov","Dec"},0),VALUE(LEFT(B2840,2)))))</f>
        <v>45999</v>
      </c>
    </row>
    <row r="2841" customFormat="false" ht="15" hidden="false" customHeight="false" outlineLevel="0" collapsed="false">
      <c r="A2841" s="7" t="s">
        <v>5899</v>
      </c>
      <c r="B2841" s="7" t="s">
        <v>768</v>
      </c>
      <c r="C2841" s="7" t="s">
        <v>5058</v>
      </c>
      <c r="D2841" s="7" t="s">
        <v>1878</v>
      </c>
      <c r="E2841" s="7" t="s">
        <v>168</v>
      </c>
      <c r="F2841" s="7" t="s">
        <v>146</v>
      </c>
      <c r="G2841" s="7" t="s">
        <v>123</v>
      </c>
      <c r="H2841" s="7" t="n">
        <v>1</v>
      </c>
      <c r="I2841" s="7" t="n">
        <v>335</v>
      </c>
      <c r="J2841" s="7" t="n">
        <v>0</v>
      </c>
      <c r="K2841" s="7" t="s">
        <v>87</v>
      </c>
      <c r="L2841" s="7" t="s">
        <v>194</v>
      </c>
      <c r="M2841" s="7" t="n">
        <v>22</v>
      </c>
      <c r="N2841" s="7" t="n">
        <v>4</v>
      </c>
      <c r="O2841" s="7" t="str">
        <f aca="false">A2841&amp;"|"&amp;B2841&amp;"|"&amp;C2841&amp;"|"&amp;D2841&amp;"|"&amp;E2841&amp;"|"&amp;F2841&amp;"|"&amp;G2841&amp;"|"&amp;H2841&amp;"|"&amp;I2841&amp;"|"&amp;J2841&amp;"|"&amp;K2841&amp;"|"&amp;L2841&amp;"|"&amp;M2841&amp;"|"&amp;N2841</f>
        <v>ORD12568|2025-11-15|15:57|C0020|Cheesy Slice|Ahmedabad|Pizza|1|335|0|upi|Delivered|22|4</v>
      </c>
      <c r="P2841" s="7" t="str">
        <f aca="false">IF(COUNTIF($O$2:O2841,O2841)&gt;1,"DUP","OK")</f>
        <v>OK</v>
      </c>
      <c r="Q2841" s="7" t="n">
        <f aca="false">COUNTBLANK(A2841:N2841)</f>
        <v>0</v>
      </c>
      <c r="R2841" s="7" t="n">
        <f aca="false">IF(A2841="",0,COUNTIFS($A$2:$A$3058,A2841,$P$2:$P$3058,"OK"))</f>
        <v>1</v>
      </c>
      <c r="S2841" s="7" t="str">
        <f aca="false">IF(OR(A2841="",P2841="DUP",R2841&lt;2),"",IF(Q2841=_xlfn.MINIFS($Q$2:$Q$3058,$A$2:$A$3058,A2841,$P$2:$P$3058,"OK"),"KEEP","DROP"))</f>
        <v/>
      </c>
      <c r="T2841" s="9" t="n">
        <f aca="false">IF(A2841="",1,0)</f>
        <v>0</v>
      </c>
      <c r="U2841" s="9" t="n">
        <f aca="false">IF(D2841="",1,0)</f>
        <v>0</v>
      </c>
      <c r="V2841" s="9" t="n">
        <f aca="false">IF(E2841="",1,0)</f>
        <v>0</v>
      </c>
      <c r="W2841" s="9" t="n">
        <f aca="false">IF(OR(H2841&lt;1,H2841&gt;10),1,0)</f>
        <v>0</v>
      </c>
      <c r="X2841" s="9" t="n">
        <f aca="false">IF(OR(I2841&lt;=0,I2841&gt;1500),1,0)</f>
        <v>0</v>
      </c>
      <c r="Y2841" s="9" t="n">
        <f aca="false">IF(J2841&gt;H2841*I2841,1,0)</f>
        <v>0</v>
      </c>
      <c r="Z2841" s="9" t="n">
        <f aca="false">IF(AND(N2841&lt;&gt;"",OR(N2841&lt;1,N2841&gt;5)),1,0)</f>
        <v>0</v>
      </c>
      <c r="AA2841" s="9" t="n">
        <f aca="false">IF(AND(M2841&lt;&gt;"",OR(M2841&lt;5,M2841&gt;180)),1,0)</f>
        <v>0</v>
      </c>
      <c r="AB2841" s="7" t="str">
        <f aca="false">IF(P2841="DUP","Exact duplicate row",IF(T2841=1,"Missing Order ID",IF(S2841="DROP","Duplicate Order ID (less complete row)",IF(U2841=1,"Missing Customer ID",IF(V2841=1,"Missing Restaurant name",IF(W2841=1,"Invalid/outlier quantity",IF(X2841=1,"Invalid/outlier unit price",IF(Y2841=1,"Discount greater than order value",""))))))))</f>
        <v/>
      </c>
      <c r="AC2841" s="7" t="str">
        <f aca="false">IF(AB2841="","KEEP","DROP")</f>
        <v>KEEP</v>
      </c>
      <c r="AD2841" s="7" t="str">
        <f aca="false">IF(TRIM(F2841)="",IFERROR(INDEX(Map_Tables!$I$4:$I$37,MATCH(TRIM(E2841),Map_Tables!$G$4:$G$37,0)),""),IFERROR(INDEX(Map_Tables!$B$4:$B$18,MATCH(TRIM(F2841),Map_Tables!$A$4:$A$18,0)),"CHECK"))</f>
        <v>Ahmedabad</v>
      </c>
      <c r="AE2841" s="7" t="str">
        <f aca="false">IF(TRIM(E2841)="","",IFERROR(INDEX(Map_Tables!$H$4:$H$37,MATCH(TRIM(E2841),Map_Tables!$G$4:$G$37,0)),"CHECK"))</f>
        <v>Cheesy Slice</v>
      </c>
      <c r="AF2841" s="7" t="str">
        <f aca="false">IF(TRIM(K2841)="","Unknown",IFERROR(INDEX(Map_Tables!$E$4:$E$15,MATCH(TRIM(K2841),Map_Tables!$D$4:$D$15,0)),"CHECK"))</f>
        <v>UPI</v>
      </c>
      <c r="AG2841" s="7" t="str">
        <f aca="false">IF(LEFT(LOWER(TRIM(L2841)),6)="cancel","Cancelled","Delivered")</f>
        <v>Delivered</v>
      </c>
      <c r="AH2841" s="10" t="n">
        <f aca="false">IF(ISNUMBER(SEARCH("/",B2841)),DATE(VALUE(RIGHT(B2841,4)),VALUE(MID(B2841,4,2)),VALUE(LEFT(B2841,2))),IF(MID(B2841,5,1)="-",DATE(VALUE(LEFT(B2841,4)),VALUE(MID(B2841,6,2)),VALUE(RIGHT(B2841,2))),DATE(VALUE(RIGHT(B2841,4)),MATCH(MID(B2841,4,3),{"Jan","Feb","Mar","Apr","May","Jun","Jul","Aug","Sep","Oct","Nov","Dec"},0),VALUE(LEFT(B2841,2)))))</f>
        <v>45976</v>
      </c>
    </row>
    <row r="2842" customFormat="false" ht="15" hidden="false" customHeight="false" outlineLevel="0" collapsed="false">
      <c r="A2842" s="7" t="s">
        <v>2999</v>
      </c>
      <c r="B2842" s="7" t="s">
        <v>1773</v>
      </c>
      <c r="C2842" s="7" t="s">
        <v>3000</v>
      </c>
      <c r="D2842" s="7" t="s">
        <v>3001</v>
      </c>
      <c r="E2842" s="7" t="s">
        <v>126</v>
      </c>
      <c r="F2842" s="7" t="s">
        <v>101</v>
      </c>
      <c r="G2842" s="7" t="s">
        <v>105</v>
      </c>
      <c r="H2842" s="7" t="n">
        <v>1</v>
      </c>
      <c r="I2842" s="7" t="n">
        <v>265</v>
      </c>
      <c r="J2842" s="7" t="n">
        <v>30</v>
      </c>
      <c r="K2842" s="7" t="s">
        <v>88</v>
      </c>
      <c r="L2842" s="7" t="s">
        <v>194</v>
      </c>
      <c r="M2842" s="7" t="n">
        <v>38</v>
      </c>
      <c r="N2842" s="7" t="n">
        <v>5</v>
      </c>
      <c r="O2842" s="7" t="str">
        <f aca="false">A2842&amp;"|"&amp;B2842&amp;"|"&amp;C2842&amp;"|"&amp;D2842&amp;"|"&amp;E2842&amp;"|"&amp;F2842&amp;"|"&amp;G2842&amp;"|"&amp;H2842&amp;"|"&amp;I2842&amp;"|"&amp;J2842&amp;"|"&amp;K2842&amp;"|"&amp;L2842&amp;"|"&amp;M2842&amp;"|"&amp;N2842</f>
        <v>ORD10130|2025-01-17|15:00|C0497|Dragon Express|Mumbai|Chinese|1|265|30|UPI|Delivered|38|5</v>
      </c>
      <c r="P2842" s="7" t="str">
        <f aca="false">IF(COUNTIF($O$2:O2842,O2842)&gt;1,"DUP","OK")</f>
        <v>OK</v>
      </c>
      <c r="Q2842" s="7" t="n">
        <f aca="false">COUNTBLANK(A2842:N2842)</f>
        <v>0</v>
      </c>
      <c r="R2842" s="7" t="n">
        <f aca="false">IF(A2842="",0,COUNTIFS($A$2:$A$3058,A2842,$P$2:$P$3058,"OK"))</f>
        <v>2</v>
      </c>
      <c r="S2842" s="7" t="str">
        <f aca="false">IF(OR(A2842="",P2842="DUP",R2842&lt;2),"",IF(Q2842=_xlfn.MINIFS($Q$2:$Q$3058,$A$2:$A$3058,A2842,$P$2:$P$3058,"OK"),"KEEP","DROP"))</f>
        <v>KEEP</v>
      </c>
      <c r="T2842" s="9" t="n">
        <f aca="false">IF(A2842="",1,0)</f>
        <v>0</v>
      </c>
      <c r="U2842" s="9" t="n">
        <f aca="false">IF(D2842="",1,0)</f>
        <v>0</v>
      </c>
      <c r="V2842" s="9" t="n">
        <f aca="false">IF(E2842="",1,0)</f>
        <v>0</v>
      </c>
      <c r="W2842" s="9" t="n">
        <f aca="false">IF(OR(H2842&lt;1,H2842&gt;10),1,0)</f>
        <v>0</v>
      </c>
      <c r="X2842" s="9" t="n">
        <f aca="false">IF(OR(I2842&lt;=0,I2842&gt;1500),1,0)</f>
        <v>0</v>
      </c>
      <c r="Y2842" s="9" t="n">
        <f aca="false">IF(J2842&gt;H2842*I2842,1,0)</f>
        <v>0</v>
      </c>
      <c r="Z2842" s="9" t="n">
        <f aca="false">IF(AND(N2842&lt;&gt;"",OR(N2842&lt;1,N2842&gt;5)),1,0)</f>
        <v>0</v>
      </c>
      <c r="AA2842" s="9" t="n">
        <f aca="false">IF(AND(M2842&lt;&gt;"",OR(M2842&lt;5,M2842&gt;180)),1,0)</f>
        <v>0</v>
      </c>
      <c r="AB2842" s="7" t="str">
        <f aca="false">IF(P2842="DUP","Exact duplicate row",IF(T2842=1,"Missing Order ID",IF(S2842="DROP","Duplicate Order ID (less complete row)",IF(U2842=1,"Missing Customer ID",IF(V2842=1,"Missing Restaurant name",IF(W2842=1,"Invalid/outlier quantity",IF(X2842=1,"Invalid/outlier unit price",IF(Y2842=1,"Discount greater than order value",""))))))))</f>
        <v/>
      </c>
      <c r="AC2842" s="7" t="str">
        <f aca="false">IF(AB2842="","KEEP","DROP")</f>
        <v>KEEP</v>
      </c>
      <c r="AD2842" s="7" t="str">
        <f aca="false">IF(TRIM(F2842)="",IFERROR(INDEX(Map_Tables!$I$4:$I$37,MATCH(TRIM(E2842),Map_Tables!$G$4:$G$37,0)),""),IFERROR(INDEX(Map_Tables!$B$4:$B$18,MATCH(TRIM(F2842),Map_Tables!$A$4:$A$18,0)),"CHECK"))</f>
        <v>Mumbai</v>
      </c>
      <c r="AE2842" s="7" t="str">
        <f aca="false">IF(TRIM(E2842)="","",IFERROR(INDEX(Map_Tables!$H$4:$H$37,MATCH(TRIM(E2842),Map_Tables!$G$4:$G$37,0)),"CHECK"))</f>
        <v>Dragon Express</v>
      </c>
      <c r="AF2842" s="7" t="str">
        <f aca="false">IF(TRIM(K2842)="","Unknown",IFERROR(INDEX(Map_Tables!$E$4:$E$15,MATCH(TRIM(K2842),Map_Tables!$D$4:$D$15,0)),"CHECK"))</f>
        <v>UPI</v>
      </c>
      <c r="AG2842" s="7" t="str">
        <f aca="false">IF(LEFT(LOWER(TRIM(L2842)),6)="cancel","Cancelled","Delivered")</f>
        <v>Delivered</v>
      </c>
      <c r="AH2842" s="10" t="n">
        <f aca="false">IF(ISNUMBER(SEARCH("/",B2842)),DATE(VALUE(RIGHT(B2842,4)),VALUE(MID(B2842,4,2)),VALUE(LEFT(B2842,2))),IF(MID(B2842,5,1)="-",DATE(VALUE(LEFT(B2842,4)),VALUE(MID(B2842,6,2)),VALUE(RIGHT(B2842,2))),DATE(VALUE(RIGHT(B2842,4)),MATCH(MID(B2842,4,3),{"Jan","Feb","Mar","Apr","May","Jun","Jul","Aug","Sep","Oct","Nov","Dec"},0),VALUE(LEFT(B2842,2)))))</f>
        <v>45674</v>
      </c>
    </row>
    <row r="2843" customFormat="false" ht="15" hidden="false" customHeight="false" outlineLevel="0" collapsed="false">
      <c r="A2843" s="7" t="s">
        <v>5900</v>
      </c>
      <c r="B2843" s="7" t="s">
        <v>5901</v>
      </c>
      <c r="C2843" s="7" t="s">
        <v>1133</v>
      </c>
      <c r="D2843" s="7" t="s">
        <v>5902</v>
      </c>
      <c r="E2843" s="7" t="s">
        <v>164</v>
      </c>
      <c r="F2843" s="7" t="s">
        <v>141</v>
      </c>
      <c r="G2843" s="7" t="s">
        <v>150</v>
      </c>
      <c r="H2843" s="7" t="n">
        <v>2</v>
      </c>
      <c r="I2843" s="7" t="n">
        <v>145</v>
      </c>
      <c r="J2843" s="7" t="n">
        <v>100</v>
      </c>
      <c r="K2843" s="7" t="s">
        <v>112</v>
      </c>
      <c r="L2843" s="7" t="s">
        <v>194</v>
      </c>
      <c r="M2843" s="7" t="n">
        <v>34</v>
      </c>
      <c r="N2843" s="7" t="n">
        <v>4</v>
      </c>
      <c r="O2843" s="7" t="str">
        <f aca="false">A2843&amp;"|"&amp;B2843&amp;"|"&amp;C2843&amp;"|"&amp;D2843&amp;"|"&amp;E2843&amp;"|"&amp;F2843&amp;"|"&amp;G2843&amp;"|"&amp;H2843&amp;"|"&amp;I2843&amp;"|"&amp;J2843&amp;"|"&amp;K2843&amp;"|"&amp;L2843&amp;"|"&amp;M2843&amp;"|"&amp;N2843</f>
        <v>ORD11791|21/08/2025|20:44|C1208|Mishti Mandir|Kolkata|Desserts|2|145|100|Cash on Delivery|Delivered|34|4</v>
      </c>
      <c r="P2843" s="7" t="str">
        <f aca="false">IF(COUNTIF($O$2:O2843,O2843)&gt;1,"DUP","OK")</f>
        <v>OK</v>
      </c>
      <c r="Q2843" s="7" t="n">
        <f aca="false">COUNTBLANK(A2843:N2843)</f>
        <v>0</v>
      </c>
      <c r="R2843" s="7" t="n">
        <f aca="false">IF(A2843="",0,COUNTIFS($A$2:$A$3058,A2843,$P$2:$P$3058,"OK"))</f>
        <v>1</v>
      </c>
      <c r="S2843" s="7" t="str">
        <f aca="false">IF(OR(A2843="",P2843="DUP",R2843&lt;2),"",IF(Q2843=_xlfn.MINIFS($Q$2:$Q$3058,$A$2:$A$3058,A2843,$P$2:$P$3058,"OK"),"KEEP","DROP"))</f>
        <v/>
      </c>
      <c r="T2843" s="9" t="n">
        <f aca="false">IF(A2843="",1,0)</f>
        <v>0</v>
      </c>
      <c r="U2843" s="9" t="n">
        <f aca="false">IF(D2843="",1,0)</f>
        <v>0</v>
      </c>
      <c r="V2843" s="9" t="n">
        <f aca="false">IF(E2843="",1,0)</f>
        <v>0</v>
      </c>
      <c r="W2843" s="9" t="n">
        <f aca="false">IF(OR(H2843&lt;1,H2843&gt;10),1,0)</f>
        <v>0</v>
      </c>
      <c r="X2843" s="9" t="n">
        <f aca="false">IF(OR(I2843&lt;=0,I2843&gt;1500),1,0)</f>
        <v>0</v>
      </c>
      <c r="Y2843" s="9" t="n">
        <f aca="false">IF(J2843&gt;H2843*I2843,1,0)</f>
        <v>0</v>
      </c>
      <c r="Z2843" s="9" t="n">
        <f aca="false">IF(AND(N2843&lt;&gt;"",OR(N2843&lt;1,N2843&gt;5)),1,0)</f>
        <v>0</v>
      </c>
      <c r="AA2843" s="9" t="n">
        <f aca="false">IF(AND(M2843&lt;&gt;"",OR(M2843&lt;5,M2843&gt;180)),1,0)</f>
        <v>0</v>
      </c>
      <c r="AB2843" s="7" t="str">
        <f aca="false">IF(P2843="DUP","Exact duplicate row",IF(T2843=1,"Missing Order ID",IF(S2843="DROP","Duplicate Order ID (less complete row)",IF(U2843=1,"Missing Customer ID",IF(V2843=1,"Missing Restaurant name",IF(W2843=1,"Invalid/outlier quantity",IF(X2843=1,"Invalid/outlier unit price",IF(Y2843=1,"Discount greater than order value",""))))))))</f>
        <v/>
      </c>
      <c r="AC2843" s="7" t="str">
        <f aca="false">IF(AB2843="","KEEP","DROP")</f>
        <v>KEEP</v>
      </c>
      <c r="AD2843" s="7" t="str">
        <f aca="false">IF(TRIM(F2843)="",IFERROR(INDEX(Map_Tables!$I$4:$I$37,MATCH(TRIM(E2843),Map_Tables!$G$4:$G$37,0)),""),IFERROR(INDEX(Map_Tables!$B$4:$B$18,MATCH(TRIM(F2843),Map_Tables!$A$4:$A$18,0)),"CHECK"))</f>
        <v>Kolkata</v>
      </c>
      <c r="AE2843" s="7" t="str">
        <f aca="false">IF(TRIM(E2843)="","",IFERROR(INDEX(Map_Tables!$H$4:$H$37,MATCH(TRIM(E2843),Map_Tables!$G$4:$G$37,0)),"CHECK"))</f>
        <v>Mishti Mandir</v>
      </c>
      <c r="AF2843" s="7" t="str">
        <f aca="false">IF(TRIM(K2843)="","Unknown",IFERROR(INDEX(Map_Tables!$E$4:$E$15,MATCH(TRIM(K2843),Map_Tables!$D$4:$D$15,0)),"CHECK"))</f>
        <v>Cash on Delivery</v>
      </c>
      <c r="AG2843" s="7" t="str">
        <f aca="false">IF(LEFT(LOWER(TRIM(L2843)),6)="cancel","Cancelled","Delivered")</f>
        <v>Delivered</v>
      </c>
      <c r="AH2843" s="10" t="n">
        <f aca="false">IF(ISNUMBER(SEARCH("/",B2843)),DATE(VALUE(RIGHT(B2843,4)),VALUE(MID(B2843,4,2)),VALUE(LEFT(B2843,2))),IF(MID(B2843,5,1)="-",DATE(VALUE(LEFT(B2843,4)),VALUE(MID(B2843,6,2)),VALUE(RIGHT(B2843,2))),DATE(VALUE(RIGHT(B2843,4)),MATCH(MID(B2843,4,3),{"Jan","Feb","Mar","Apr","May","Jun","Jul","Aug","Sep","Oct","Nov","Dec"},0),VALUE(LEFT(B2843,2)))))</f>
        <v>45890</v>
      </c>
    </row>
    <row r="2844" customFormat="false" ht="15" hidden="false" customHeight="false" outlineLevel="0" collapsed="false">
      <c r="A2844" s="7" t="s">
        <v>5903</v>
      </c>
      <c r="B2844" s="7" t="s">
        <v>4373</v>
      </c>
      <c r="C2844" s="7" t="s">
        <v>2710</v>
      </c>
      <c r="D2844" s="7" t="s">
        <v>3643</v>
      </c>
      <c r="E2844" s="7" t="s">
        <v>158</v>
      </c>
      <c r="F2844" s="7" t="s">
        <v>136</v>
      </c>
      <c r="G2844" s="7" t="s">
        <v>139</v>
      </c>
      <c r="H2844" s="7" t="n">
        <v>3</v>
      </c>
      <c r="I2844" s="7" t="n">
        <v>220</v>
      </c>
      <c r="J2844" s="7" t="n">
        <v>0</v>
      </c>
      <c r="K2844" s="7" t="s">
        <v>93</v>
      </c>
      <c r="L2844" s="7" t="s">
        <v>194</v>
      </c>
      <c r="M2844" s="7" t="n">
        <v>20</v>
      </c>
      <c r="N2844" s="7" t="n">
        <v>5</v>
      </c>
      <c r="O2844" s="7" t="str">
        <f aca="false">A2844&amp;"|"&amp;B2844&amp;"|"&amp;C2844&amp;"|"&amp;D2844&amp;"|"&amp;E2844&amp;"|"&amp;F2844&amp;"|"&amp;G2844&amp;"|"&amp;H2844&amp;"|"&amp;I2844&amp;"|"&amp;J2844&amp;"|"&amp;K2844&amp;"|"&amp;L2844&amp;"|"&amp;M2844&amp;"|"&amp;N2844</f>
        <v>ORD12477|2025-11-07|13:59|C1055|Pune Burger Hub|Pune|Burgers|3|220|0|Credit Card|Delivered|20|5</v>
      </c>
      <c r="P2844" s="7" t="str">
        <f aca="false">IF(COUNTIF($O$2:O2844,O2844)&gt;1,"DUP","OK")</f>
        <v>OK</v>
      </c>
      <c r="Q2844" s="7" t="n">
        <f aca="false">COUNTBLANK(A2844:N2844)</f>
        <v>0</v>
      </c>
      <c r="R2844" s="7" t="n">
        <f aca="false">IF(A2844="",0,COUNTIFS($A$2:$A$3058,A2844,$P$2:$P$3058,"OK"))</f>
        <v>1</v>
      </c>
      <c r="S2844" s="7" t="str">
        <f aca="false">IF(OR(A2844="",P2844="DUP",R2844&lt;2),"",IF(Q2844=_xlfn.MINIFS($Q$2:$Q$3058,$A$2:$A$3058,A2844,$P$2:$P$3058,"OK"),"KEEP","DROP"))</f>
        <v/>
      </c>
      <c r="T2844" s="9" t="n">
        <f aca="false">IF(A2844="",1,0)</f>
        <v>0</v>
      </c>
      <c r="U2844" s="9" t="n">
        <f aca="false">IF(D2844="",1,0)</f>
        <v>0</v>
      </c>
      <c r="V2844" s="9" t="n">
        <f aca="false">IF(E2844="",1,0)</f>
        <v>0</v>
      </c>
      <c r="W2844" s="9" t="n">
        <f aca="false">IF(OR(H2844&lt;1,H2844&gt;10),1,0)</f>
        <v>0</v>
      </c>
      <c r="X2844" s="9" t="n">
        <f aca="false">IF(OR(I2844&lt;=0,I2844&gt;1500),1,0)</f>
        <v>0</v>
      </c>
      <c r="Y2844" s="9" t="n">
        <f aca="false">IF(J2844&gt;H2844*I2844,1,0)</f>
        <v>0</v>
      </c>
      <c r="Z2844" s="9" t="n">
        <f aca="false">IF(AND(N2844&lt;&gt;"",OR(N2844&lt;1,N2844&gt;5)),1,0)</f>
        <v>0</v>
      </c>
      <c r="AA2844" s="9" t="n">
        <f aca="false">IF(AND(M2844&lt;&gt;"",OR(M2844&lt;5,M2844&gt;180)),1,0)</f>
        <v>0</v>
      </c>
      <c r="AB2844" s="7" t="str">
        <f aca="false">IF(P2844="DUP","Exact duplicate row",IF(T2844=1,"Missing Order ID",IF(S2844="DROP","Duplicate Order ID (less complete row)",IF(U2844=1,"Missing Customer ID",IF(V2844=1,"Missing Restaurant name",IF(W2844=1,"Invalid/outlier quantity",IF(X2844=1,"Invalid/outlier unit price",IF(Y2844=1,"Discount greater than order value",""))))))))</f>
        <v/>
      </c>
      <c r="AC2844" s="7" t="str">
        <f aca="false">IF(AB2844="","KEEP","DROP")</f>
        <v>KEEP</v>
      </c>
      <c r="AD2844" s="7" t="str">
        <f aca="false">IF(TRIM(F2844)="",IFERROR(INDEX(Map_Tables!$I$4:$I$37,MATCH(TRIM(E2844),Map_Tables!$G$4:$G$37,0)),""),IFERROR(INDEX(Map_Tables!$B$4:$B$18,MATCH(TRIM(F2844),Map_Tables!$A$4:$A$18,0)),"CHECK"))</f>
        <v>Pune</v>
      </c>
      <c r="AE2844" s="7" t="str">
        <f aca="false">IF(TRIM(E2844)="","",IFERROR(INDEX(Map_Tables!$H$4:$H$37,MATCH(TRIM(E2844),Map_Tables!$G$4:$G$37,0)),"CHECK"))</f>
        <v>Pune Burger Hub</v>
      </c>
      <c r="AF2844" s="7" t="str">
        <f aca="false">IF(TRIM(K2844)="","Unknown",IFERROR(INDEX(Map_Tables!$E$4:$E$15,MATCH(TRIM(K2844),Map_Tables!$D$4:$D$15,0)),"CHECK"))</f>
        <v>Credit Card</v>
      </c>
      <c r="AG2844" s="7" t="str">
        <f aca="false">IF(LEFT(LOWER(TRIM(L2844)),6)="cancel","Cancelled","Delivered")</f>
        <v>Delivered</v>
      </c>
      <c r="AH2844" s="10" t="n">
        <f aca="false">IF(ISNUMBER(SEARCH("/",B2844)),DATE(VALUE(RIGHT(B2844,4)),VALUE(MID(B2844,4,2)),VALUE(LEFT(B2844,2))),IF(MID(B2844,5,1)="-",DATE(VALUE(LEFT(B2844,4)),VALUE(MID(B2844,6,2)),VALUE(RIGHT(B2844,2))),DATE(VALUE(RIGHT(B2844,4)),MATCH(MID(B2844,4,3),{"Jan","Feb","Mar","Apr","May","Jun","Jul","Aug","Sep","Oct","Nov","Dec"},0),VALUE(LEFT(B2844,2)))))</f>
        <v>45968</v>
      </c>
    </row>
    <row r="2845" customFormat="false" ht="15" hidden="false" customHeight="false" outlineLevel="0" collapsed="false">
      <c r="A2845" s="7" t="s">
        <v>5904</v>
      </c>
      <c r="B2845" s="7" t="s">
        <v>196</v>
      </c>
      <c r="C2845" s="7" t="s">
        <v>5905</v>
      </c>
      <c r="D2845" s="7" t="s">
        <v>2021</v>
      </c>
      <c r="E2845" s="7" t="s">
        <v>5906</v>
      </c>
      <c r="F2845" s="7" t="s">
        <v>86</v>
      </c>
      <c r="G2845" s="7" t="s">
        <v>90</v>
      </c>
      <c r="H2845" s="7" t="n">
        <v>5</v>
      </c>
      <c r="I2845" s="7" t="n">
        <v>215</v>
      </c>
      <c r="J2845" s="7" t="n">
        <v>0</v>
      </c>
      <c r="K2845" s="7" t="s">
        <v>88</v>
      </c>
      <c r="L2845" s="7" t="s">
        <v>194</v>
      </c>
      <c r="M2845" s="7" t="n">
        <v>45</v>
      </c>
      <c r="N2845" s="7" t="n">
        <v>3</v>
      </c>
      <c r="O2845" s="7" t="str">
        <f aca="false">A2845&amp;"|"&amp;B2845&amp;"|"&amp;C2845&amp;"|"&amp;D2845&amp;"|"&amp;E2845&amp;"|"&amp;F2845&amp;"|"&amp;G2845&amp;"|"&amp;H2845&amp;"|"&amp;I2845&amp;"|"&amp;J2845&amp;"|"&amp;K2845&amp;"|"&amp;L2845&amp;"|"&amp;M2845&amp;"|"&amp;N2845</f>
        <v>ORD12661|2025-11-24|15:28|C0828|spice junction|Bengaluru|North Indian|5|215|0|UPI|Delivered|45|3</v>
      </c>
      <c r="P2845" s="7" t="str">
        <f aca="false">IF(COUNTIF($O$2:O2845,O2845)&gt;1,"DUP","OK")</f>
        <v>OK</v>
      </c>
      <c r="Q2845" s="7" t="n">
        <f aca="false">COUNTBLANK(A2845:N2845)</f>
        <v>0</v>
      </c>
      <c r="R2845" s="7" t="n">
        <f aca="false">IF(A2845="",0,COUNTIFS($A$2:$A$3058,A2845,$P$2:$P$3058,"OK"))</f>
        <v>1</v>
      </c>
      <c r="S2845" s="7" t="str">
        <f aca="false">IF(OR(A2845="",P2845="DUP",R2845&lt;2),"",IF(Q2845=_xlfn.MINIFS($Q$2:$Q$3058,$A$2:$A$3058,A2845,$P$2:$P$3058,"OK"),"KEEP","DROP"))</f>
        <v/>
      </c>
      <c r="T2845" s="9" t="n">
        <f aca="false">IF(A2845="",1,0)</f>
        <v>0</v>
      </c>
      <c r="U2845" s="9" t="n">
        <f aca="false">IF(D2845="",1,0)</f>
        <v>0</v>
      </c>
      <c r="V2845" s="9" t="n">
        <f aca="false">IF(E2845="",1,0)</f>
        <v>0</v>
      </c>
      <c r="W2845" s="9" t="n">
        <f aca="false">IF(OR(H2845&lt;1,H2845&gt;10),1,0)</f>
        <v>0</v>
      </c>
      <c r="X2845" s="9" t="n">
        <f aca="false">IF(OR(I2845&lt;=0,I2845&gt;1500),1,0)</f>
        <v>0</v>
      </c>
      <c r="Y2845" s="9" t="n">
        <f aca="false">IF(J2845&gt;H2845*I2845,1,0)</f>
        <v>0</v>
      </c>
      <c r="Z2845" s="9" t="n">
        <f aca="false">IF(AND(N2845&lt;&gt;"",OR(N2845&lt;1,N2845&gt;5)),1,0)</f>
        <v>0</v>
      </c>
      <c r="AA2845" s="9" t="n">
        <f aca="false">IF(AND(M2845&lt;&gt;"",OR(M2845&lt;5,M2845&gt;180)),1,0)</f>
        <v>0</v>
      </c>
      <c r="AB2845" s="7" t="str">
        <f aca="false">IF(P2845="DUP","Exact duplicate row",IF(T2845=1,"Missing Order ID",IF(S2845="DROP","Duplicate Order ID (less complete row)",IF(U2845=1,"Missing Customer ID",IF(V2845=1,"Missing Restaurant name",IF(W2845=1,"Invalid/outlier quantity",IF(X2845=1,"Invalid/outlier unit price",IF(Y2845=1,"Discount greater than order value",""))))))))</f>
        <v/>
      </c>
      <c r="AC2845" s="7" t="str">
        <f aca="false">IF(AB2845="","KEEP","DROP")</f>
        <v>KEEP</v>
      </c>
      <c r="AD2845" s="7" t="str">
        <f aca="false">IF(TRIM(F2845)="",IFERROR(INDEX(Map_Tables!$I$4:$I$37,MATCH(TRIM(E2845),Map_Tables!$G$4:$G$37,0)),""),IFERROR(INDEX(Map_Tables!$B$4:$B$18,MATCH(TRIM(F2845),Map_Tables!$A$4:$A$18,0)),"CHECK"))</f>
        <v>Bengaluru</v>
      </c>
      <c r="AE2845" s="7" t="str">
        <f aca="false">IF(TRIM(E2845)="","",IFERROR(INDEX(Map_Tables!$H$4:$H$37,MATCH(TRIM(E2845),Map_Tables!$G$4:$G$37,0)),"CHECK"))</f>
        <v>Spice Junction</v>
      </c>
      <c r="AF2845" s="7" t="str">
        <f aca="false">IF(TRIM(K2845)="","Unknown",IFERROR(INDEX(Map_Tables!$E$4:$E$15,MATCH(TRIM(K2845),Map_Tables!$D$4:$D$15,0)),"CHECK"))</f>
        <v>UPI</v>
      </c>
      <c r="AG2845" s="7" t="str">
        <f aca="false">IF(LEFT(LOWER(TRIM(L2845)),6)="cancel","Cancelled","Delivered")</f>
        <v>Delivered</v>
      </c>
      <c r="AH2845" s="10" t="n">
        <f aca="false">IF(ISNUMBER(SEARCH("/",B2845)),DATE(VALUE(RIGHT(B2845,4)),VALUE(MID(B2845,4,2)),VALUE(LEFT(B2845,2))),IF(MID(B2845,5,1)="-",DATE(VALUE(LEFT(B2845,4)),VALUE(MID(B2845,6,2)),VALUE(RIGHT(B2845,2))),DATE(VALUE(RIGHT(B2845,4)),MATCH(MID(B2845,4,3),{"Jan","Feb","Mar","Apr","May","Jun","Jul","Aug","Sep","Oct","Nov","Dec"},0),VALUE(LEFT(B2845,2)))))</f>
        <v>45985</v>
      </c>
    </row>
    <row r="2846" customFormat="false" ht="15" hidden="false" customHeight="false" outlineLevel="0" collapsed="false">
      <c r="A2846" s="7" t="s">
        <v>5907</v>
      </c>
      <c r="B2846" s="7" t="s">
        <v>3200</v>
      </c>
      <c r="C2846" s="7" t="s">
        <v>5908</v>
      </c>
      <c r="D2846" s="7" t="s">
        <v>1202</v>
      </c>
      <c r="E2846" s="7" t="s">
        <v>134</v>
      </c>
      <c r="F2846" s="7" t="s">
        <v>294</v>
      </c>
      <c r="G2846" s="7" t="s">
        <v>117</v>
      </c>
      <c r="H2846" s="7" t="n">
        <v>1</v>
      </c>
      <c r="I2846" s="7" t="n">
        <v>130</v>
      </c>
      <c r="J2846" s="7" t="n">
        <v>0</v>
      </c>
      <c r="K2846" s="7" t="s">
        <v>112</v>
      </c>
      <c r="L2846" s="7" t="s">
        <v>194</v>
      </c>
      <c r="M2846" s="7" t="n">
        <v>37</v>
      </c>
      <c r="N2846" s="7" t="n">
        <v>4</v>
      </c>
      <c r="O2846" s="7" t="str">
        <f aca="false">A2846&amp;"|"&amp;B2846&amp;"|"&amp;C2846&amp;"|"&amp;D2846&amp;"|"&amp;E2846&amp;"|"&amp;F2846&amp;"|"&amp;G2846&amp;"|"&amp;H2846&amp;"|"&amp;I2846&amp;"|"&amp;J2846&amp;"|"&amp;K2846&amp;"|"&amp;L2846&amp;"|"&amp;M2846&amp;"|"&amp;N2846</f>
        <v>ORD10157|2025-01-21|09:26|C1423|Chaat Corner|New Delhi|Street Food|1|130|0|Cash on Delivery|Delivered|37|4</v>
      </c>
      <c r="P2846" s="7" t="str">
        <f aca="false">IF(COUNTIF($O$2:O2846,O2846)&gt;1,"DUP","OK")</f>
        <v>OK</v>
      </c>
      <c r="Q2846" s="7" t="n">
        <f aca="false">COUNTBLANK(A2846:N2846)</f>
        <v>0</v>
      </c>
      <c r="R2846" s="7" t="n">
        <f aca="false">IF(A2846="",0,COUNTIFS($A$2:$A$3058,A2846,$P$2:$P$3058,"OK"))</f>
        <v>1</v>
      </c>
      <c r="S2846" s="7" t="str">
        <f aca="false">IF(OR(A2846="",P2846="DUP",R2846&lt;2),"",IF(Q2846=_xlfn.MINIFS($Q$2:$Q$3058,$A$2:$A$3058,A2846,$P$2:$P$3058,"OK"),"KEEP","DROP"))</f>
        <v/>
      </c>
      <c r="T2846" s="9" t="n">
        <f aca="false">IF(A2846="",1,0)</f>
        <v>0</v>
      </c>
      <c r="U2846" s="9" t="n">
        <f aca="false">IF(D2846="",1,0)</f>
        <v>0</v>
      </c>
      <c r="V2846" s="9" t="n">
        <f aca="false">IF(E2846="",1,0)</f>
        <v>0</v>
      </c>
      <c r="W2846" s="9" t="n">
        <f aca="false">IF(OR(H2846&lt;1,H2846&gt;10),1,0)</f>
        <v>0</v>
      </c>
      <c r="X2846" s="9" t="n">
        <f aca="false">IF(OR(I2846&lt;=0,I2846&gt;1500),1,0)</f>
        <v>0</v>
      </c>
      <c r="Y2846" s="9" t="n">
        <f aca="false">IF(J2846&gt;H2846*I2846,1,0)</f>
        <v>0</v>
      </c>
      <c r="Z2846" s="9" t="n">
        <f aca="false">IF(AND(N2846&lt;&gt;"",OR(N2846&lt;1,N2846&gt;5)),1,0)</f>
        <v>0</v>
      </c>
      <c r="AA2846" s="9" t="n">
        <f aca="false">IF(AND(M2846&lt;&gt;"",OR(M2846&lt;5,M2846&gt;180)),1,0)</f>
        <v>0</v>
      </c>
      <c r="AB2846" s="7" t="str">
        <f aca="false">IF(P2846="DUP","Exact duplicate row",IF(T2846=1,"Missing Order ID",IF(S2846="DROP","Duplicate Order ID (less complete row)",IF(U2846=1,"Missing Customer ID",IF(V2846=1,"Missing Restaurant name",IF(W2846=1,"Invalid/outlier quantity",IF(X2846=1,"Invalid/outlier unit price",IF(Y2846=1,"Discount greater than order value",""))))))))</f>
        <v/>
      </c>
      <c r="AC2846" s="7" t="str">
        <f aca="false">IF(AB2846="","KEEP","DROP")</f>
        <v>KEEP</v>
      </c>
      <c r="AD2846" s="7" t="str">
        <f aca="false">IF(TRIM(F2846)="",IFERROR(INDEX(Map_Tables!$I$4:$I$37,MATCH(TRIM(E2846),Map_Tables!$G$4:$G$37,0)),""),IFERROR(INDEX(Map_Tables!$B$4:$B$18,MATCH(TRIM(F2846),Map_Tables!$A$4:$A$18,0)),"CHECK"))</f>
        <v>Delhi</v>
      </c>
      <c r="AE2846" s="7" t="str">
        <f aca="false">IF(TRIM(E2846)="","",IFERROR(INDEX(Map_Tables!$H$4:$H$37,MATCH(TRIM(E2846),Map_Tables!$G$4:$G$37,0)),"CHECK"))</f>
        <v>Chaat Corner</v>
      </c>
      <c r="AF2846" s="7" t="str">
        <f aca="false">IF(TRIM(K2846)="","Unknown",IFERROR(INDEX(Map_Tables!$E$4:$E$15,MATCH(TRIM(K2846),Map_Tables!$D$4:$D$15,0)),"CHECK"))</f>
        <v>Cash on Delivery</v>
      </c>
      <c r="AG2846" s="7" t="str">
        <f aca="false">IF(LEFT(LOWER(TRIM(L2846)),6)="cancel","Cancelled","Delivered")</f>
        <v>Delivered</v>
      </c>
      <c r="AH2846" s="10" t="n">
        <f aca="false">IF(ISNUMBER(SEARCH("/",B2846)),DATE(VALUE(RIGHT(B2846,4)),VALUE(MID(B2846,4,2)),VALUE(LEFT(B2846,2))),IF(MID(B2846,5,1)="-",DATE(VALUE(LEFT(B2846,4)),VALUE(MID(B2846,6,2)),VALUE(RIGHT(B2846,2))),DATE(VALUE(RIGHT(B2846,4)),MATCH(MID(B2846,4,3),{"Jan","Feb","Mar","Apr","May","Jun","Jul","Aug","Sep","Oct","Nov","Dec"},0),VALUE(LEFT(B2846,2)))))</f>
        <v>45678</v>
      </c>
    </row>
    <row r="2847" customFormat="false" ht="15" hidden="false" customHeight="false" outlineLevel="0" collapsed="false">
      <c r="A2847" s="7" t="s">
        <v>5909</v>
      </c>
      <c r="B2847" s="7" t="s">
        <v>808</v>
      </c>
      <c r="C2847" s="7" t="s">
        <v>1635</v>
      </c>
      <c r="D2847" s="7" t="s">
        <v>1771</v>
      </c>
      <c r="E2847" s="7" t="s">
        <v>142</v>
      </c>
      <c r="F2847" s="7" t="s">
        <v>110</v>
      </c>
      <c r="G2847" s="7" t="s">
        <v>105</v>
      </c>
      <c r="H2847" s="7" t="n">
        <v>1</v>
      </c>
      <c r="I2847" s="7" t="n">
        <v>150</v>
      </c>
      <c r="J2847" s="7" t="n">
        <v>0</v>
      </c>
      <c r="K2847" s="7" t="s">
        <v>93</v>
      </c>
      <c r="L2847" s="7" t="s">
        <v>194</v>
      </c>
      <c r="M2847" s="7" t="n">
        <v>37</v>
      </c>
      <c r="N2847" s="7" t="n">
        <v>5</v>
      </c>
      <c r="O2847" s="7" t="str">
        <f aca="false">A2847&amp;"|"&amp;B2847&amp;"|"&amp;C2847&amp;"|"&amp;D2847&amp;"|"&amp;E2847&amp;"|"&amp;F2847&amp;"|"&amp;G2847&amp;"|"&amp;H2847&amp;"|"&amp;I2847&amp;"|"&amp;J2847&amp;"|"&amp;K2847&amp;"|"&amp;L2847&amp;"|"&amp;M2847&amp;"|"&amp;N2847</f>
        <v>ORD12588|2025-11-16|21:31|C0958|Momo Magic|Delhi|Chinese|1|150|0|Credit Card|Delivered|37|5</v>
      </c>
      <c r="P2847" s="7" t="str">
        <f aca="false">IF(COUNTIF($O$2:O2847,O2847)&gt;1,"DUP","OK")</f>
        <v>OK</v>
      </c>
      <c r="Q2847" s="7" t="n">
        <f aca="false">COUNTBLANK(A2847:N2847)</f>
        <v>0</v>
      </c>
      <c r="R2847" s="7" t="n">
        <f aca="false">IF(A2847="",0,COUNTIFS($A$2:$A$3058,A2847,$P$2:$P$3058,"OK"))</f>
        <v>1</v>
      </c>
      <c r="S2847" s="7" t="str">
        <f aca="false">IF(OR(A2847="",P2847="DUP",R2847&lt;2),"",IF(Q2847=_xlfn.MINIFS($Q$2:$Q$3058,$A$2:$A$3058,A2847,$P$2:$P$3058,"OK"),"KEEP","DROP"))</f>
        <v/>
      </c>
      <c r="T2847" s="9" t="n">
        <f aca="false">IF(A2847="",1,0)</f>
        <v>0</v>
      </c>
      <c r="U2847" s="9" t="n">
        <f aca="false">IF(D2847="",1,0)</f>
        <v>0</v>
      </c>
      <c r="V2847" s="9" t="n">
        <f aca="false">IF(E2847="",1,0)</f>
        <v>0</v>
      </c>
      <c r="W2847" s="9" t="n">
        <f aca="false">IF(OR(H2847&lt;1,H2847&gt;10),1,0)</f>
        <v>0</v>
      </c>
      <c r="X2847" s="9" t="n">
        <f aca="false">IF(OR(I2847&lt;=0,I2847&gt;1500),1,0)</f>
        <v>0</v>
      </c>
      <c r="Y2847" s="9" t="n">
        <f aca="false">IF(J2847&gt;H2847*I2847,1,0)</f>
        <v>0</v>
      </c>
      <c r="Z2847" s="9" t="n">
        <f aca="false">IF(AND(N2847&lt;&gt;"",OR(N2847&lt;1,N2847&gt;5)),1,0)</f>
        <v>0</v>
      </c>
      <c r="AA2847" s="9" t="n">
        <f aca="false">IF(AND(M2847&lt;&gt;"",OR(M2847&lt;5,M2847&gt;180)),1,0)</f>
        <v>0</v>
      </c>
      <c r="AB2847" s="7" t="str">
        <f aca="false">IF(P2847="DUP","Exact duplicate row",IF(T2847=1,"Missing Order ID",IF(S2847="DROP","Duplicate Order ID (less complete row)",IF(U2847=1,"Missing Customer ID",IF(V2847=1,"Missing Restaurant name",IF(W2847=1,"Invalid/outlier quantity",IF(X2847=1,"Invalid/outlier unit price",IF(Y2847=1,"Discount greater than order value",""))))))))</f>
        <v/>
      </c>
      <c r="AC2847" s="7" t="str">
        <f aca="false">IF(AB2847="","KEEP","DROP")</f>
        <v>KEEP</v>
      </c>
      <c r="AD2847" s="7" t="str">
        <f aca="false">IF(TRIM(F2847)="",IFERROR(INDEX(Map_Tables!$I$4:$I$37,MATCH(TRIM(E2847),Map_Tables!$G$4:$G$37,0)),""),IFERROR(INDEX(Map_Tables!$B$4:$B$18,MATCH(TRIM(F2847),Map_Tables!$A$4:$A$18,0)),"CHECK"))</f>
        <v>Delhi</v>
      </c>
      <c r="AE2847" s="7" t="str">
        <f aca="false">IF(TRIM(E2847)="","",IFERROR(INDEX(Map_Tables!$H$4:$H$37,MATCH(TRIM(E2847),Map_Tables!$G$4:$G$37,0)),"CHECK"))</f>
        <v>Momo Magic</v>
      </c>
      <c r="AF2847" s="7" t="str">
        <f aca="false">IF(TRIM(K2847)="","Unknown",IFERROR(INDEX(Map_Tables!$E$4:$E$15,MATCH(TRIM(K2847),Map_Tables!$D$4:$D$15,0)),"CHECK"))</f>
        <v>Credit Card</v>
      </c>
      <c r="AG2847" s="7" t="str">
        <f aca="false">IF(LEFT(LOWER(TRIM(L2847)),6)="cancel","Cancelled","Delivered")</f>
        <v>Delivered</v>
      </c>
      <c r="AH2847" s="10" t="n">
        <f aca="false">IF(ISNUMBER(SEARCH("/",B2847)),DATE(VALUE(RIGHT(B2847,4)),VALUE(MID(B2847,4,2)),VALUE(LEFT(B2847,2))),IF(MID(B2847,5,1)="-",DATE(VALUE(LEFT(B2847,4)),VALUE(MID(B2847,6,2)),VALUE(RIGHT(B2847,2))),DATE(VALUE(RIGHT(B2847,4)),MATCH(MID(B2847,4,3),{"Jan","Feb","Mar","Apr","May","Jun","Jul","Aug","Sep","Oct","Nov","Dec"},0),VALUE(LEFT(B2847,2)))))</f>
        <v>45977</v>
      </c>
    </row>
    <row r="2848" customFormat="false" ht="15" hidden="false" customHeight="false" outlineLevel="0" collapsed="false">
      <c r="A2848" s="7" t="s">
        <v>5910</v>
      </c>
      <c r="B2848" s="7" t="s">
        <v>518</v>
      </c>
      <c r="C2848" s="7" t="s">
        <v>1211</v>
      </c>
      <c r="D2848" s="7" t="s">
        <v>948</v>
      </c>
      <c r="E2848" s="7" t="s">
        <v>144</v>
      </c>
      <c r="F2848" s="7" t="s">
        <v>119</v>
      </c>
      <c r="G2848" s="7" t="s">
        <v>99</v>
      </c>
      <c r="H2848" s="7" t="n">
        <v>2</v>
      </c>
      <c r="I2848" s="7" t="n">
        <v>370</v>
      </c>
      <c r="J2848" s="7" t="n">
        <v>40</v>
      </c>
      <c r="K2848" s="7" t="s">
        <v>121</v>
      </c>
      <c r="L2848" s="7" t="s">
        <v>194</v>
      </c>
      <c r="M2848" s="7" t="n">
        <v>39</v>
      </c>
      <c r="N2848" s="7" t="n">
        <v>5</v>
      </c>
      <c r="O2848" s="7" t="str">
        <f aca="false">A2848&amp;"|"&amp;B2848&amp;"|"&amp;C2848&amp;"|"&amp;D2848&amp;"|"&amp;E2848&amp;"|"&amp;F2848&amp;"|"&amp;G2848&amp;"|"&amp;H2848&amp;"|"&amp;I2848&amp;"|"&amp;J2848&amp;"|"&amp;K2848&amp;"|"&amp;L2848&amp;"|"&amp;M2848&amp;"|"&amp;N2848</f>
        <v>ORD11461|2025-07-09|20:42|C0622|Hyderabad Dum Biryani|Hyderabad|Biryani|2|370|40|Wallet|Delivered|39|5</v>
      </c>
      <c r="P2848" s="7" t="str">
        <f aca="false">IF(COUNTIF($O$2:O2848,O2848)&gt;1,"DUP","OK")</f>
        <v>OK</v>
      </c>
      <c r="Q2848" s="7" t="n">
        <f aca="false">COUNTBLANK(A2848:N2848)</f>
        <v>0</v>
      </c>
      <c r="R2848" s="7" t="n">
        <f aca="false">IF(A2848="",0,COUNTIFS($A$2:$A$3058,A2848,$P$2:$P$3058,"OK"))</f>
        <v>1</v>
      </c>
      <c r="S2848" s="7" t="str">
        <f aca="false">IF(OR(A2848="",P2848="DUP",R2848&lt;2),"",IF(Q2848=_xlfn.MINIFS($Q$2:$Q$3058,$A$2:$A$3058,A2848,$P$2:$P$3058,"OK"),"KEEP","DROP"))</f>
        <v/>
      </c>
      <c r="T2848" s="9" t="n">
        <f aca="false">IF(A2848="",1,0)</f>
        <v>0</v>
      </c>
      <c r="U2848" s="9" t="n">
        <f aca="false">IF(D2848="",1,0)</f>
        <v>0</v>
      </c>
      <c r="V2848" s="9" t="n">
        <f aca="false">IF(E2848="",1,0)</f>
        <v>0</v>
      </c>
      <c r="W2848" s="9" t="n">
        <f aca="false">IF(OR(H2848&lt;1,H2848&gt;10),1,0)</f>
        <v>0</v>
      </c>
      <c r="X2848" s="9" t="n">
        <f aca="false">IF(OR(I2848&lt;=0,I2848&gt;1500),1,0)</f>
        <v>0</v>
      </c>
      <c r="Y2848" s="9" t="n">
        <f aca="false">IF(J2848&gt;H2848*I2848,1,0)</f>
        <v>0</v>
      </c>
      <c r="Z2848" s="9" t="n">
        <f aca="false">IF(AND(N2848&lt;&gt;"",OR(N2848&lt;1,N2848&gt;5)),1,0)</f>
        <v>0</v>
      </c>
      <c r="AA2848" s="9" t="n">
        <f aca="false">IF(AND(M2848&lt;&gt;"",OR(M2848&lt;5,M2848&gt;180)),1,0)</f>
        <v>0</v>
      </c>
      <c r="AB2848" s="7" t="str">
        <f aca="false">IF(P2848="DUP","Exact duplicate row",IF(T2848=1,"Missing Order ID",IF(S2848="DROP","Duplicate Order ID (less complete row)",IF(U2848=1,"Missing Customer ID",IF(V2848=1,"Missing Restaurant name",IF(W2848=1,"Invalid/outlier quantity",IF(X2848=1,"Invalid/outlier unit price",IF(Y2848=1,"Discount greater than order value",""))))))))</f>
        <v/>
      </c>
      <c r="AC2848" s="7" t="str">
        <f aca="false">IF(AB2848="","KEEP","DROP")</f>
        <v>KEEP</v>
      </c>
      <c r="AD2848" s="7" t="str">
        <f aca="false">IF(TRIM(F2848)="",IFERROR(INDEX(Map_Tables!$I$4:$I$37,MATCH(TRIM(E2848),Map_Tables!$G$4:$G$37,0)),""),IFERROR(INDEX(Map_Tables!$B$4:$B$18,MATCH(TRIM(F2848),Map_Tables!$A$4:$A$18,0)),"CHECK"))</f>
        <v>Hyderabad</v>
      </c>
      <c r="AE2848" s="7" t="str">
        <f aca="false">IF(TRIM(E2848)="","",IFERROR(INDEX(Map_Tables!$H$4:$H$37,MATCH(TRIM(E2848),Map_Tables!$G$4:$G$37,0)),"CHECK"))</f>
        <v>Hyderabad Dum Biryani</v>
      </c>
      <c r="AF2848" s="7" t="str">
        <f aca="false">IF(TRIM(K2848)="","Unknown",IFERROR(INDEX(Map_Tables!$E$4:$E$15,MATCH(TRIM(K2848),Map_Tables!$D$4:$D$15,0)),"CHECK"))</f>
        <v>Wallet</v>
      </c>
      <c r="AG2848" s="7" t="str">
        <f aca="false">IF(LEFT(LOWER(TRIM(L2848)),6)="cancel","Cancelled","Delivered")</f>
        <v>Delivered</v>
      </c>
      <c r="AH2848" s="10" t="n">
        <f aca="false">IF(ISNUMBER(SEARCH("/",B2848)),DATE(VALUE(RIGHT(B2848,4)),VALUE(MID(B2848,4,2)),VALUE(LEFT(B2848,2))),IF(MID(B2848,5,1)="-",DATE(VALUE(LEFT(B2848,4)),VALUE(MID(B2848,6,2)),VALUE(RIGHT(B2848,2))),DATE(VALUE(RIGHT(B2848,4)),MATCH(MID(B2848,4,3),{"Jan","Feb","Mar","Apr","May","Jun","Jul","Aug","Sep","Oct","Nov","Dec"},0),VALUE(LEFT(B2848,2)))))</f>
        <v>45847</v>
      </c>
    </row>
    <row r="2849" customFormat="false" ht="15" hidden="false" customHeight="false" outlineLevel="0" collapsed="false">
      <c r="A2849" s="7" t="s">
        <v>5911</v>
      </c>
      <c r="B2849" s="7" t="s">
        <v>2795</v>
      </c>
      <c r="C2849" s="7" t="s">
        <v>5912</v>
      </c>
      <c r="D2849" s="7" t="s">
        <v>3828</v>
      </c>
      <c r="E2849" s="7" t="s">
        <v>134</v>
      </c>
      <c r="F2849" s="7" t="s">
        <v>110</v>
      </c>
      <c r="G2849" s="7" t="s">
        <v>117</v>
      </c>
      <c r="H2849" s="7" t="n">
        <v>1</v>
      </c>
      <c r="I2849" s="7" t="n">
        <v>105</v>
      </c>
      <c r="J2849" s="7" t="n">
        <v>0</v>
      </c>
      <c r="K2849" s="7" t="s">
        <v>88</v>
      </c>
      <c r="L2849" s="7" t="s">
        <v>194</v>
      </c>
      <c r="M2849" s="7" t="n">
        <v>30</v>
      </c>
      <c r="N2849" s="7"/>
      <c r="O2849" s="7" t="str">
        <f aca="false">A2849&amp;"|"&amp;B2849&amp;"|"&amp;C2849&amp;"|"&amp;D2849&amp;"|"&amp;E2849&amp;"|"&amp;F2849&amp;"|"&amp;G2849&amp;"|"&amp;H2849&amp;"|"&amp;I2849&amp;"|"&amp;J2849&amp;"|"&amp;K2849&amp;"|"&amp;L2849&amp;"|"&amp;M2849&amp;"|"&amp;N2849</f>
        <v>ORD12047|2025-09-22|09:56|C1489|Chaat Corner|Delhi|Street Food|1|105|0|UPI|Delivered|30|</v>
      </c>
      <c r="P2849" s="7" t="str">
        <f aca="false">IF(COUNTIF($O$2:O2849,O2849)&gt;1,"DUP","OK")</f>
        <v>OK</v>
      </c>
      <c r="Q2849" s="7" t="n">
        <f aca="false">COUNTBLANK(A2849:N2849)</f>
        <v>1</v>
      </c>
      <c r="R2849" s="7" t="n">
        <f aca="false">IF(A2849="",0,COUNTIFS($A$2:$A$3058,A2849,$P$2:$P$3058,"OK"))</f>
        <v>1</v>
      </c>
      <c r="S2849" s="7" t="str">
        <f aca="false">IF(OR(A2849="",P2849="DUP",R2849&lt;2),"",IF(Q2849=_xlfn.MINIFS($Q$2:$Q$3058,$A$2:$A$3058,A2849,$P$2:$P$3058,"OK"),"KEEP","DROP"))</f>
        <v/>
      </c>
      <c r="T2849" s="9" t="n">
        <f aca="false">IF(A2849="",1,0)</f>
        <v>0</v>
      </c>
      <c r="U2849" s="9" t="n">
        <f aca="false">IF(D2849="",1,0)</f>
        <v>0</v>
      </c>
      <c r="V2849" s="9" t="n">
        <f aca="false">IF(E2849="",1,0)</f>
        <v>0</v>
      </c>
      <c r="W2849" s="9" t="n">
        <f aca="false">IF(OR(H2849&lt;1,H2849&gt;10),1,0)</f>
        <v>0</v>
      </c>
      <c r="X2849" s="9" t="n">
        <f aca="false">IF(OR(I2849&lt;=0,I2849&gt;1500),1,0)</f>
        <v>0</v>
      </c>
      <c r="Y2849" s="9" t="n">
        <f aca="false">IF(J2849&gt;H2849*I2849,1,0)</f>
        <v>0</v>
      </c>
      <c r="Z2849" s="9" t="n">
        <f aca="false">IF(AND(N2849&lt;&gt;"",OR(N2849&lt;1,N2849&gt;5)),1,0)</f>
        <v>0</v>
      </c>
      <c r="AA2849" s="9" t="n">
        <f aca="false">IF(AND(M2849&lt;&gt;"",OR(M2849&lt;5,M2849&gt;180)),1,0)</f>
        <v>0</v>
      </c>
      <c r="AB2849" s="7" t="str">
        <f aca="false">IF(P2849="DUP","Exact duplicate row",IF(T2849=1,"Missing Order ID",IF(S2849="DROP","Duplicate Order ID (less complete row)",IF(U2849=1,"Missing Customer ID",IF(V2849=1,"Missing Restaurant name",IF(W2849=1,"Invalid/outlier quantity",IF(X2849=1,"Invalid/outlier unit price",IF(Y2849=1,"Discount greater than order value",""))))))))</f>
        <v/>
      </c>
      <c r="AC2849" s="7" t="str">
        <f aca="false">IF(AB2849="","KEEP","DROP")</f>
        <v>KEEP</v>
      </c>
      <c r="AD2849" s="7" t="str">
        <f aca="false">IF(TRIM(F2849)="",IFERROR(INDEX(Map_Tables!$I$4:$I$37,MATCH(TRIM(E2849),Map_Tables!$G$4:$G$37,0)),""),IFERROR(INDEX(Map_Tables!$B$4:$B$18,MATCH(TRIM(F2849),Map_Tables!$A$4:$A$18,0)),"CHECK"))</f>
        <v>Delhi</v>
      </c>
      <c r="AE2849" s="7" t="str">
        <f aca="false">IF(TRIM(E2849)="","",IFERROR(INDEX(Map_Tables!$H$4:$H$37,MATCH(TRIM(E2849),Map_Tables!$G$4:$G$37,0)),"CHECK"))</f>
        <v>Chaat Corner</v>
      </c>
      <c r="AF2849" s="7" t="str">
        <f aca="false">IF(TRIM(K2849)="","Unknown",IFERROR(INDEX(Map_Tables!$E$4:$E$15,MATCH(TRIM(K2849),Map_Tables!$D$4:$D$15,0)),"CHECK"))</f>
        <v>UPI</v>
      </c>
      <c r="AG2849" s="7" t="str">
        <f aca="false">IF(LEFT(LOWER(TRIM(L2849)),6)="cancel","Cancelled","Delivered")</f>
        <v>Delivered</v>
      </c>
      <c r="AH2849" s="10" t="n">
        <f aca="false">IF(ISNUMBER(SEARCH("/",B2849)),DATE(VALUE(RIGHT(B2849,4)),VALUE(MID(B2849,4,2)),VALUE(LEFT(B2849,2))),IF(MID(B2849,5,1)="-",DATE(VALUE(LEFT(B2849,4)),VALUE(MID(B2849,6,2)),VALUE(RIGHT(B2849,2))),DATE(VALUE(RIGHT(B2849,4)),MATCH(MID(B2849,4,3),{"Jan","Feb","Mar","Apr","May","Jun","Jul","Aug","Sep","Oct","Nov","Dec"},0),VALUE(LEFT(B2849,2)))))</f>
        <v>45922</v>
      </c>
    </row>
    <row r="2850" customFormat="false" ht="15" hidden="false" customHeight="false" outlineLevel="0" collapsed="false">
      <c r="A2850" s="7" t="s">
        <v>5913</v>
      </c>
      <c r="B2850" s="7" t="s">
        <v>3067</v>
      </c>
      <c r="C2850" s="7" t="s">
        <v>3383</v>
      </c>
      <c r="D2850" s="7" t="s">
        <v>4543</v>
      </c>
      <c r="E2850" s="7" t="s">
        <v>138</v>
      </c>
      <c r="F2850" s="7" t="s">
        <v>110</v>
      </c>
      <c r="G2850" s="7" t="s">
        <v>139</v>
      </c>
      <c r="H2850" s="7" t="n">
        <v>2</v>
      </c>
      <c r="I2850" s="7" t="n">
        <v>150</v>
      </c>
      <c r="J2850" s="7" t="n">
        <v>40</v>
      </c>
      <c r="K2850" s="7" t="s">
        <v>88</v>
      </c>
      <c r="L2850" s="7" t="s">
        <v>194</v>
      </c>
      <c r="M2850" s="7" t="n">
        <v>27</v>
      </c>
      <c r="N2850" s="7" t="n">
        <v>3</v>
      </c>
      <c r="O2850" s="7" t="str">
        <f aca="false">A2850&amp;"|"&amp;B2850&amp;"|"&amp;C2850&amp;"|"&amp;D2850&amp;"|"&amp;E2850&amp;"|"&amp;F2850&amp;"|"&amp;G2850&amp;"|"&amp;H2850&amp;"|"&amp;I2850&amp;"|"&amp;J2850&amp;"|"&amp;K2850&amp;"|"&amp;L2850&amp;"|"&amp;M2850&amp;"|"&amp;N2850</f>
        <v>ORD11851|2025-08-29|17:00|C1107|Burger Barn|Delhi|Burgers|2|150|40|UPI|Delivered|27|3</v>
      </c>
      <c r="P2850" s="7" t="str">
        <f aca="false">IF(COUNTIF($O$2:O2850,O2850)&gt;1,"DUP","OK")</f>
        <v>OK</v>
      </c>
      <c r="Q2850" s="7" t="n">
        <f aca="false">COUNTBLANK(A2850:N2850)</f>
        <v>0</v>
      </c>
      <c r="R2850" s="7" t="n">
        <f aca="false">IF(A2850="",0,COUNTIFS($A$2:$A$3058,A2850,$P$2:$P$3058,"OK"))</f>
        <v>1</v>
      </c>
      <c r="S2850" s="7" t="str">
        <f aca="false">IF(OR(A2850="",P2850="DUP",R2850&lt;2),"",IF(Q2850=_xlfn.MINIFS($Q$2:$Q$3058,$A$2:$A$3058,A2850,$P$2:$P$3058,"OK"),"KEEP","DROP"))</f>
        <v/>
      </c>
      <c r="T2850" s="9" t="n">
        <f aca="false">IF(A2850="",1,0)</f>
        <v>0</v>
      </c>
      <c r="U2850" s="9" t="n">
        <f aca="false">IF(D2850="",1,0)</f>
        <v>0</v>
      </c>
      <c r="V2850" s="9" t="n">
        <f aca="false">IF(E2850="",1,0)</f>
        <v>0</v>
      </c>
      <c r="W2850" s="9" t="n">
        <f aca="false">IF(OR(H2850&lt;1,H2850&gt;10),1,0)</f>
        <v>0</v>
      </c>
      <c r="X2850" s="9" t="n">
        <f aca="false">IF(OR(I2850&lt;=0,I2850&gt;1500),1,0)</f>
        <v>0</v>
      </c>
      <c r="Y2850" s="9" t="n">
        <f aca="false">IF(J2850&gt;H2850*I2850,1,0)</f>
        <v>0</v>
      </c>
      <c r="Z2850" s="9" t="n">
        <f aca="false">IF(AND(N2850&lt;&gt;"",OR(N2850&lt;1,N2850&gt;5)),1,0)</f>
        <v>0</v>
      </c>
      <c r="AA2850" s="9" t="n">
        <f aca="false">IF(AND(M2850&lt;&gt;"",OR(M2850&lt;5,M2850&gt;180)),1,0)</f>
        <v>0</v>
      </c>
      <c r="AB2850" s="7" t="str">
        <f aca="false">IF(P2850="DUP","Exact duplicate row",IF(T2850=1,"Missing Order ID",IF(S2850="DROP","Duplicate Order ID (less complete row)",IF(U2850=1,"Missing Customer ID",IF(V2850=1,"Missing Restaurant name",IF(W2850=1,"Invalid/outlier quantity",IF(X2850=1,"Invalid/outlier unit price",IF(Y2850=1,"Discount greater than order value",""))))))))</f>
        <v/>
      </c>
      <c r="AC2850" s="7" t="str">
        <f aca="false">IF(AB2850="","KEEP","DROP")</f>
        <v>KEEP</v>
      </c>
      <c r="AD2850" s="7" t="str">
        <f aca="false">IF(TRIM(F2850)="",IFERROR(INDEX(Map_Tables!$I$4:$I$37,MATCH(TRIM(E2850),Map_Tables!$G$4:$G$37,0)),""),IFERROR(INDEX(Map_Tables!$B$4:$B$18,MATCH(TRIM(F2850),Map_Tables!$A$4:$A$18,0)),"CHECK"))</f>
        <v>Delhi</v>
      </c>
      <c r="AE2850" s="7" t="str">
        <f aca="false">IF(TRIM(E2850)="","",IFERROR(INDEX(Map_Tables!$H$4:$H$37,MATCH(TRIM(E2850),Map_Tables!$G$4:$G$37,0)),"CHECK"))</f>
        <v>Burger Barn</v>
      </c>
      <c r="AF2850" s="7" t="str">
        <f aca="false">IF(TRIM(K2850)="","Unknown",IFERROR(INDEX(Map_Tables!$E$4:$E$15,MATCH(TRIM(K2850),Map_Tables!$D$4:$D$15,0)),"CHECK"))</f>
        <v>UPI</v>
      </c>
      <c r="AG2850" s="7" t="str">
        <f aca="false">IF(LEFT(LOWER(TRIM(L2850)),6)="cancel","Cancelled","Delivered")</f>
        <v>Delivered</v>
      </c>
      <c r="AH2850" s="10" t="n">
        <f aca="false">IF(ISNUMBER(SEARCH("/",B2850)),DATE(VALUE(RIGHT(B2850,4)),VALUE(MID(B2850,4,2)),VALUE(LEFT(B2850,2))),IF(MID(B2850,5,1)="-",DATE(VALUE(LEFT(B2850,4)),VALUE(MID(B2850,6,2)),VALUE(RIGHT(B2850,2))),DATE(VALUE(RIGHT(B2850,4)),MATCH(MID(B2850,4,3),{"Jan","Feb","Mar","Apr","May","Jun","Jul","Aug","Sep","Oct","Nov","Dec"},0),VALUE(LEFT(B2850,2)))))</f>
        <v>45898</v>
      </c>
    </row>
    <row r="2851" customFormat="false" ht="15" hidden="false" customHeight="false" outlineLevel="0" collapsed="false">
      <c r="A2851" s="7" t="s">
        <v>5914</v>
      </c>
      <c r="B2851" s="7" t="s">
        <v>791</v>
      </c>
      <c r="C2851" s="7" t="s">
        <v>4146</v>
      </c>
      <c r="D2851" s="7" t="s">
        <v>3592</v>
      </c>
      <c r="E2851" s="7" t="s">
        <v>5915</v>
      </c>
      <c r="F2851" s="7" t="s">
        <v>110</v>
      </c>
      <c r="G2851" s="7" t="s">
        <v>90</v>
      </c>
      <c r="H2851" s="7" t="n">
        <v>1</v>
      </c>
      <c r="I2851" s="7" t="n">
        <v>330</v>
      </c>
      <c r="J2851" s="7" t="n">
        <v>0</v>
      </c>
      <c r="K2851" s="7" t="s">
        <v>103</v>
      </c>
      <c r="L2851" s="7" t="s">
        <v>194</v>
      </c>
      <c r="M2851" s="7" t="n">
        <v>40</v>
      </c>
      <c r="N2851" s="7" t="n">
        <v>4</v>
      </c>
      <c r="O2851" s="7" t="str">
        <f aca="false">A2851&amp;"|"&amp;B2851&amp;"|"&amp;C2851&amp;"|"&amp;D2851&amp;"|"&amp;E2851&amp;"|"&amp;F2851&amp;"|"&amp;G2851&amp;"|"&amp;H2851&amp;"|"&amp;I2851&amp;"|"&amp;J2851&amp;"|"&amp;K2851&amp;"|"&amp;L2851&amp;"|"&amp;M2851&amp;"|"&amp;N2851</f>
        <v>ORD12510|2025-11-10|21:47|C1220|TANDOOR TALES|Delhi|North Indian|1|330|0|Debit Card|Delivered|40|4</v>
      </c>
      <c r="P2851" s="7" t="str">
        <f aca="false">IF(COUNTIF($O$2:O2851,O2851)&gt;1,"DUP","OK")</f>
        <v>OK</v>
      </c>
      <c r="Q2851" s="7" t="n">
        <f aca="false">COUNTBLANK(A2851:N2851)</f>
        <v>0</v>
      </c>
      <c r="R2851" s="7" t="n">
        <f aca="false">IF(A2851="",0,COUNTIFS($A$2:$A$3058,A2851,$P$2:$P$3058,"OK"))</f>
        <v>1</v>
      </c>
      <c r="S2851" s="7" t="str">
        <f aca="false">IF(OR(A2851="",P2851="DUP",R2851&lt;2),"",IF(Q2851=_xlfn.MINIFS($Q$2:$Q$3058,$A$2:$A$3058,A2851,$P$2:$P$3058,"OK"),"KEEP","DROP"))</f>
        <v/>
      </c>
      <c r="T2851" s="9" t="n">
        <f aca="false">IF(A2851="",1,0)</f>
        <v>0</v>
      </c>
      <c r="U2851" s="9" t="n">
        <f aca="false">IF(D2851="",1,0)</f>
        <v>0</v>
      </c>
      <c r="V2851" s="9" t="n">
        <f aca="false">IF(E2851="",1,0)</f>
        <v>0</v>
      </c>
      <c r="W2851" s="9" t="n">
        <f aca="false">IF(OR(H2851&lt;1,H2851&gt;10),1,0)</f>
        <v>0</v>
      </c>
      <c r="X2851" s="9" t="n">
        <f aca="false">IF(OR(I2851&lt;=0,I2851&gt;1500),1,0)</f>
        <v>0</v>
      </c>
      <c r="Y2851" s="9" t="n">
        <f aca="false">IF(J2851&gt;H2851*I2851,1,0)</f>
        <v>0</v>
      </c>
      <c r="Z2851" s="9" t="n">
        <f aca="false">IF(AND(N2851&lt;&gt;"",OR(N2851&lt;1,N2851&gt;5)),1,0)</f>
        <v>0</v>
      </c>
      <c r="AA2851" s="9" t="n">
        <f aca="false">IF(AND(M2851&lt;&gt;"",OR(M2851&lt;5,M2851&gt;180)),1,0)</f>
        <v>0</v>
      </c>
      <c r="AB2851" s="7" t="str">
        <f aca="false">IF(P2851="DUP","Exact duplicate row",IF(T2851=1,"Missing Order ID",IF(S2851="DROP","Duplicate Order ID (less complete row)",IF(U2851=1,"Missing Customer ID",IF(V2851=1,"Missing Restaurant name",IF(W2851=1,"Invalid/outlier quantity",IF(X2851=1,"Invalid/outlier unit price",IF(Y2851=1,"Discount greater than order value",""))))))))</f>
        <v/>
      </c>
      <c r="AC2851" s="7" t="str">
        <f aca="false">IF(AB2851="","KEEP","DROP")</f>
        <v>KEEP</v>
      </c>
      <c r="AD2851" s="7" t="str">
        <f aca="false">IF(TRIM(F2851)="",IFERROR(INDEX(Map_Tables!$I$4:$I$37,MATCH(TRIM(E2851),Map_Tables!$G$4:$G$37,0)),""),IFERROR(INDEX(Map_Tables!$B$4:$B$18,MATCH(TRIM(F2851),Map_Tables!$A$4:$A$18,0)),"CHECK"))</f>
        <v>Delhi</v>
      </c>
      <c r="AE2851" s="7" t="str">
        <f aca="false">IF(TRIM(E2851)="","",IFERROR(INDEX(Map_Tables!$H$4:$H$37,MATCH(TRIM(E2851),Map_Tables!$G$4:$G$37,0)),"CHECK"))</f>
        <v>Tandoor Tales</v>
      </c>
      <c r="AF2851" s="7" t="str">
        <f aca="false">IF(TRIM(K2851)="","Unknown",IFERROR(INDEX(Map_Tables!$E$4:$E$15,MATCH(TRIM(K2851),Map_Tables!$D$4:$D$15,0)),"CHECK"))</f>
        <v>Debit Card</v>
      </c>
      <c r="AG2851" s="7" t="str">
        <f aca="false">IF(LEFT(LOWER(TRIM(L2851)),6)="cancel","Cancelled","Delivered")</f>
        <v>Delivered</v>
      </c>
      <c r="AH2851" s="10" t="n">
        <f aca="false">IF(ISNUMBER(SEARCH("/",B2851)),DATE(VALUE(RIGHT(B2851,4)),VALUE(MID(B2851,4,2)),VALUE(LEFT(B2851,2))),IF(MID(B2851,5,1)="-",DATE(VALUE(LEFT(B2851,4)),VALUE(MID(B2851,6,2)),VALUE(RIGHT(B2851,2))),DATE(VALUE(RIGHT(B2851,4)),MATCH(MID(B2851,4,3),{"Jan","Feb","Mar","Apr","May","Jun","Jul","Aug","Sep","Oct","Nov","Dec"},0),VALUE(LEFT(B2851,2)))))</f>
        <v>45971</v>
      </c>
    </row>
    <row r="2852" customFormat="false" ht="15" hidden="false" customHeight="false" outlineLevel="0" collapsed="false">
      <c r="A2852" s="7" t="s">
        <v>5916</v>
      </c>
      <c r="B2852" s="7" t="s">
        <v>1201</v>
      </c>
      <c r="C2852" s="7" t="s">
        <v>4783</v>
      </c>
      <c r="D2852" s="7" t="s">
        <v>956</v>
      </c>
      <c r="E2852" s="7" t="s">
        <v>130</v>
      </c>
      <c r="F2852" s="7" t="s">
        <v>110</v>
      </c>
      <c r="G2852" s="7" t="s">
        <v>90</v>
      </c>
      <c r="H2852" s="7" t="n">
        <v>4</v>
      </c>
      <c r="I2852" s="7" t="n">
        <v>195</v>
      </c>
      <c r="J2852" s="7" t="n">
        <v>0</v>
      </c>
      <c r="K2852" s="7" t="s">
        <v>229</v>
      </c>
      <c r="L2852" s="7" t="s">
        <v>194</v>
      </c>
      <c r="M2852" s="7" t="n">
        <v>36</v>
      </c>
      <c r="N2852" s="7"/>
      <c r="O2852" s="7" t="str">
        <f aca="false">A2852&amp;"|"&amp;B2852&amp;"|"&amp;C2852&amp;"|"&amp;D2852&amp;"|"&amp;E2852&amp;"|"&amp;F2852&amp;"|"&amp;G2852&amp;"|"&amp;H2852&amp;"|"&amp;I2852&amp;"|"&amp;J2852&amp;"|"&amp;K2852&amp;"|"&amp;L2852&amp;"|"&amp;M2852&amp;"|"&amp;N2852</f>
        <v>ORD12625|2025-11-20|14:21|C1291|Tandoor Tales|Delhi|North Indian|4|195|0|Upi|Delivered|36|</v>
      </c>
      <c r="P2852" s="7" t="str">
        <f aca="false">IF(COUNTIF($O$2:O2852,O2852)&gt;1,"DUP","OK")</f>
        <v>OK</v>
      </c>
      <c r="Q2852" s="7" t="n">
        <f aca="false">COUNTBLANK(A2852:N2852)</f>
        <v>1</v>
      </c>
      <c r="R2852" s="7" t="n">
        <f aca="false">IF(A2852="",0,COUNTIFS($A$2:$A$3058,A2852,$P$2:$P$3058,"OK"))</f>
        <v>1</v>
      </c>
      <c r="S2852" s="7" t="str">
        <f aca="false">IF(OR(A2852="",P2852="DUP",R2852&lt;2),"",IF(Q2852=_xlfn.MINIFS($Q$2:$Q$3058,$A$2:$A$3058,A2852,$P$2:$P$3058,"OK"),"KEEP","DROP"))</f>
        <v/>
      </c>
      <c r="T2852" s="9" t="n">
        <f aca="false">IF(A2852="",1,0)</f>
        <v>0</v>
      </c>
      <c r="U2852" s="9" t="n">
        <f aca="false">IF(D2852="",1,0)</f>
        <v>0</v>
      </c>
      <c r="V2852" s="9" t="n">
        <f aca="false">IF(E2852="",1,0)</f>
        <v>0</v>
      </c>
      <c r="W2852" s="9" t="n">
        <f aca="false">IF(OR(H2852&lt;1,H2852&gt;10),1,0)</f>
        <v>0</v>
      </c>
      <c r="X2852" s="9" t="n">
        <f aca="false">IF(OR(I2852&lt;=0,I2852&gt;1500),1,0)</f>
        <v>0</v>
      </c>
      <c r="Y2852" s="9" t="n">
        <f aca="false">IF(J2852&gt;H2852*I2852,1,0)</f>
        <v>0</v>
      </c>
      <c r="Z2852" s="9" t="n">
        <f aca="false">IF(AND(N2852&lt;&gt;"",OR(N2852&lt;1,N2852&gt;5)),1,0)</f>
        <v>0</v>
      </c>
      <c r="AA2852" s="9" t="n">
        <f aca="false">IF(AND(M2852&lt;&gt;"",OR(M2852&lt;5,M2852&gt;180)),1,0)</f>
        <v>0</v>
      </c>
      <c r="AB2852" s="7" t="str">
        <f aca="false">IF(P2852="DUP","Exact duplicate row",IF(T2852=1,"Missing Order ID",IF(S2852="DROP","Duplicate Order ID (less complete row)",IF(U2852=1,"Missing Customer ID",IF(V2852=1,"Missing Restaurant name",IF(W2852=1,"Invalid/outlier quantity",IF(X2852=1,"Invalid/outlier unit price",IF(Y2852=1,"Discount greater than order value",""))))))))</f>
        <v/>
      </c>
      <c r="AC2852" s="7" t="str">
        <f aca="false">IF(AB2852="","KEEP","DROP")</f>
        <v>KEEP</v>
      </c>
      <c r="AD2852" s="7" t="str">
        <f aca="false">IF(TRIM(F2852)="",IFERROR(INDEX(Map_Tables!$I$4:$I$37,MATCH(TRIM(E2852),Map_Tables!$G$4:$G$37,0)),""),IFERROR(INDEX(Map_Tables!$B$4:$B$18,MATCH(TRIM(F2852),Map_Tables!$A$4:$A$18,0)),"CHECK"))</f>
        <v>Delhi</v>
      </c>
      <c r="AE2852" s="7" t="str">
        <f aca="false">IF(TRIM(E2852)="","",IFERROR(INDEX(Map_Tables!$H$4:$H$37,MATCH(TRIM(E2852),Map_Tables!$G$4:$G$37,0)),"CHECK"))</f>
        <v>Tandoor Tales</v>
      </c>
      <c r="AF2852" s="7" t="str">
        <f aca="false">IF(TRIM(K2852)="","Unknown",IFERROR(INDEX(Map_Tables!$E$4:$E$15,MATCH(TRIM(K2852),Map_Tables!$D$4:$D$15,0)),"CHECK"))</f>
        <v>UPI</v>
      </c>
      <c r="AG2852" s="7" t="str">
        <f aca="false">IF(LEFT(LOWER(TRIM(L2852)),6)="cancel","Cancelled","Delivered")</f>
        <v>Delivered</v>
      </c>
      <c r="AH2852" s="10" t="n">
        <f aca="false">IF(ISNUMBER(SEARCH("/",B2852)),DATE(VALUE(RIGHT(B2852,4)),VALUE(MID(B2852,4,2)),VALUE(LEFT(B2852,2))),IF(MID(B2852,5,1)="-",DATE(VALUE(LEFT(B2852,4)),VALUE(MID(B2852,6,2)),VALUE(RIGHT(B2852,2))),DATE(VALUE(RIGHT(B2852,4)),MATCH(MID(B2852,4,3),{"Jan","Feb","Mar","Apr","May","Jun","Jul","Aug","Sep","Oct","Nov","Dec"},0),VALUE(LEFT(B2852,2)))))</f>
        <v>45981</v>
      </c>
    </row>
    <row r="2853" customFormat="false" ht="15" hidden="false" customHeight="false" outlineLevel="0" collapsed="false">
      <c r="A2853" s="7" t="s">
        <v>5917</v>
      </c>
      <c r="B2853" s="7" t="s">
        <v>554</v>
      </c>
      <c r="C2853" s="7" t="s">
        <v>1271</v>
      </c>
      <c r="D2853" s="7" t="s">
        <v>214</v>
      </c>
      <c r="E2853" s="7" t="s">
        <v>89</v>
      </c>
      <c r="F2853" s="7" t="s">
        <v>86</v>
      </c>
      <c r="G2853" s="7" t="s">
        <v>90</v>
      </c>
      <c r="H2853" s="7" t="n">
        <v>2</v>
      </c>
      <c r="I2853" s="7" t="n">
        <v>205</v>
      </c>
      <c r="J2853" s="7" t="n">
        <v>50</v>
      </c>
      <c r="K2853" s="7" t="s">
        <v>88</v>
      </c>
      <c r="L2853" s="7" t="s">
        <v>194</v>
      </c>
      <c r="M2853" s="7" t="n">
        <v>33</v>
      </c>
      <c r="N2853" s="7" t="n">
        <v>4</v>
      </c>
      <c r="O2853" s="7" t="str">
        <f aca="false">A2853&amp;"|"&amp;B2853&amp;"|"&amp;C2853&amp;"|"&amp;D2853&amp;"|"&amp;E2853&amp;"|"&amp;F2853&amp;"|"&amp;G2853&amp;"|"&amp;H2853&amp;"|"&amp;I2853&amp;"|"&amp;J2853&amp;"|"&amp;K2853&amp;"|"&amp;L2853&amp;"|"&amp;M2853&amp;"|"&amp;N2853</f>
        <v>ORD12304|2025-10-18|14:30|C0481|Spice Junction|Bengaluru|North Indian|2|205|50|UPI|Delivered|33|4</v>
      </c>
      <c r="P2853" s="7" t="str">
        <f aca="false">IF(COUNTIF($O$2:O2853,O2853)&gt;1,"DUP","OK")</f>
        <v>OK</v>
      </c>
      <c r="Q2853" s="7" t="n">
        <f aca="false">COUNTBLANK(A2853:N2853)</f>
        <v>0</v>
      </c>
      <c r="R2853" s="7" t="n">
        <f aca="false">IF(A2853="",0,COUNTIFS($A$2:$A$3058,A2853,$P$2:$P$3058,"OK"))</f>
        <v>1</v>
      </c>
      <c r="S2853" s="7" t="str">
        <f aca="false">IF(OR(A2853="",P2853="DUP",R2853&lt;2),"",IF(Q2853=_xlfn.MINIFS($Q$2:$Q$3058,$A$2:$A$3058,A2853,$P$2:$P$3058,"OK"),"KEEP","DROP"))</f>
        <v/>
      </c>
      <c r="T2853" s="9" t="n">
        <f aca="false">IF(A2853="",1,0)</f>
        <v>0</v>
      </c>
      <c r="U2853" s="9" t="n">
        <f aca="false">IF(D2853="",1,0)</f>
        <v>0</v>
      </c>
      <c r="V2853" s="9" t="n">
        <f aca="false">IF(E2853="",1,0)</f>
        <v>0</v>
      </c>
      <c r="W2853" s="9" t="n">
        <f aca="false">IF(OR(H2853&lt;1,H2853&gt;10),1,0)</f>
        <v>0</v>
      </c>
      <c r="X2853" s="9" t="n">
        <f aca="false">IF(OR(I2853&lt;=0,I2853&gt;1500),1,0)</f>
        <v>0</v>
      </c>
      <c r="Y2853" s="9" t="n">
        <f aca="false">IF(J2853&gt;H2853*I2853,1,0)</f>
        <v>0</v>
      </c>
      <c r="Z2853" s="9" t="n">
        <f aca="false">IF(AND(N2853&lt;&gt;"",OR(N2853&lt;1,N2853&gt;5)),1,0)</f>
        <v>0</v>
      </c>
      <c r="AA2853" s="9" t="n">
        <f aca="false">IF(AND(M2853&lt;&gt;"",OR(M2853&lt;5,M2853&gt;180)),1,0)</f>
        <v>0</v>
      </c>
      <c r="AB2853" s="7" t="str">
        <f aca="false">IF(P2853="DUP","Exact duplicate row",IF(T2853=1,"Missing Order ID",IF(S2853="DROP","Duplicate Order ID (less complete row)",IF(U2853=1,"Missing Customer ID",IF(V2853=1,"Missing Restaurant name",IF(W2853=1,"Invalid/outlier quantity",IF(X2853=1,"Invalid/outlier unit price",IF(Y2853=1,"Discount greater than order value",""))))))))</f>
        <v/>
      </c>
      <c r="AC2853" s="7" t="str">
        <f aca="false">IF(AB2853="","KEEP","DROP")</f>
        <v>KEEP</v>
      </c>
      <c r="AD2853" s="7" t="str">
        <f aca="false">IF(TRIM(F2853)="",IFERROR(INDEX(Map_Tables!$I$4:$I$37,MATCH(TRIM(E2853),Map_Tables!$G$4:$G$37,0)),""),IFERROR(INDEX(Map_Tables!$B$4:$B$18,MATCH(TRIM(F2853),Map_Tables!$A$4:$A$18,0)),"CHECK"))</f>
        <v>Bengaluru</v>
      </c>
      <c r="AE2853" s="7" t="str">
        <f aca="false">IF(TRIM(E2853)="","",IFERROR(INDEX(Map_Tables!$H$4:$H$37,MATCH(TRIM(E2853),Map_Tables!$G$4:$G$37,0)),"CHECK"))</f>
        <v>Spice Junction</v>
      </c>
      <c r="AF2853" s="7" t="str">
        <f aca="false">IF(TRIM(K2853)="","Unknown",IFERROR(INDEX(Map_Tables!$E$4:$E$15,MATCH(TRIM(K2853),Map_Tables!$D$4:$D$15,0)),"CHECK"))</f>
        <v>UPI</v>
      </c>
      <c r="AG2853" s="7" t="str">
        <f aca="false">IF(LEFT(LOWER(TRIM(L2853)),6)="cancel","Cancelled","Delivered")</f>
        <v>Delivered</v>
      </c>
      <c r="AH2853" s="10" t="n">
        <f aca="false">IF(ISNUMBER(SEARCH("/",B2853)),DATE(VALUE(RIGHT(B2853,4)),VALUE(MID(B2853,4,2)),VALUE(LEFT(B2853,2))),IF(MID(B2853,5,1)="-",DATE(VALUE(LEFT(B2853,4)),VALUE(MID(B2853,6,2)),VALUE(RIGHT(B2853,2))),DATE(VALUE(RIGHT(B2853,4)),MATCH(MID(B2853,4,3),{"Jan","Feb","Mar","Apr","May","Jun","Jul","Aug","Sep","Oct","Nov","Dec"},0),VALUE(LEFT(B2853,2)))))</f>
        <v>45948</v>
      </c>
    </row>
    <row r="2854" customFormat="false" ht="15" hidden="false" customHeight="false" outlineLevel="0" collapsed="false">
      <c r="A2854" s="7" t="s">
        <v>5918</v>
      </c>
      <c r="B2854" s="7" t="s">
        <v>5919</v>
      </c>
      <c r="C2854" s="7" t="s">
        <v>490</v>
      </c>
      <c r="D2854" s="7" t="s">
        <v>5920</v>
      </c>
      <c r="E2854" s="7" t="s">
        <v>94</v>
      </c>
      <c r="F2854" s="7" t="s">
        <v>86</v>
      </c>
      <c r="G2854" s="7" t="s">
        <v>95</v>
      </c>
      <c r="H2854" s="7" t="n">
        <v>3</v>
      </c>
      <c r="I2854" s="7" t="n">
        <v>120</v>
      </c>
      <c r="J2854" s="7" t="n">
        <v>40</v>
      </c>
      <c r="K2854" s="7" t="s">
        <v>112</v>
      </c>
      <c r="L2854" s="7" t="s">
        <v>194</v>
      </c>
      <c r="M2854" s="7" t="n">
        <v>45</v>
      </c>
      <c r="N2854" s="7"/>
      <c r="O2854" s="7" t="str">
        <f aca="false">A2854&amp;"|"&amp;B2854&amp;"|"&amp;C2854&amp;"|"&amp;D2854&amp;"|"&amp;E2854&amp;"|"&amp;F2854&amp;"|"&amp;G2854&amp;"|"&amp;H2854&amp;"|"&amp;I2854&amp;"|"&amp;J2854&amp;"|"&amp;K2854&amp;"|"&amp;L2854&amp;"|"&amp;M2854&amp;"|"&amp;N2854</f>
        <v>ORD12006|17/09/2025|19:03|C1134|Dosa Darbar|Bengaluru|South Indian|3|120|40|Cash on Delivery|Delivered|45|</v>
      </c>
      <c r="P2854" s="7" t="str">
        <f aca="false">IF(COUNTIF($O$2:O2854,O2854)&gt;1,"DUP","OK")</f>
        <v>OK</v>
      </c>
      <c r="Q2854" s="7" t="n">
        <f aca="false">COUNTBLANK(A2854:N2854)</f>
        <v>1</v>
      </c>
      <c r="R2854" s="7" t="n">
        <f aca="false">IF(A2854="",0,COUNTIFS($A$2:$A$3058,A2854,$P$2:$P$3058,"OK"))</f>
        <v>1</v>
      </c>
      <c r="S2854" s="7" t="str">
        <f aca="false">IF(OR(A2854="",P2854="DUP",R2854&lt;2),"",IF(Q2854=_xlfn.MINIFS($Q$2:$Q$3058,$A$2:$A$3058,A2854,$P$2:$P$3058,"OK"),"KEEP","DROP"))</f>
        <v/>
      </c>
      <c r="T2854" s="9" t="n">
        <f aca="false">IF(A2854="",1,0)</f>
        <v>0</v>
      </c>
      <c r="U2854" s="9" t="n">
        <f aca="false">IF(D2854="",1,0)</f>
        <v>0</v>
      </c>
      <c r="V2854" s="9" t="n">
        <f aca="false">IF(E2854="",1,0)</f>
        <v>0</v>
      </c>
      <c r="W2854" s="9" t="n">
        <f aca="false">IF(OR(H2854&lt;1,H2854&gt;10),1,0)</f>
        <v>0</v>
      </c>
      <c r="X2854" s="9" t="n">
        <f aca="false">IF(OR(I2854&lt;=0,I2854&gt;1500),1,0)</f>
        <v>0</v>
      </c>
      <c r="Y2854" s="9" t="n">
        <f aca="false">IF(J2854&gt;H2854*I2854,1,0)</f>
        <v>0</v>
      </c>
      <c r="Z2854" s="9" t="n">
        <f aca="false">IF(AND(N2854&lt;&gt;"",OR(N2854&lt;1,N2854&gt;5)),1,0)</f>
        <v>0</v>
      </c>
      <c r="AA2854" s="9" t="n">
        <f aca="false">IF(AND(M2854&lt;&gt;"",OR(M2854&lt;5,M2854&gt;180)),1,0)</f>
        <v>0</v>
      </c>
      <c r="AB2854" s="7" t="str">
        <f aca="false">IF(P2854="DUP","Exact duplicate row",IF(T2854=1,"Missing Order ID",IF(S2854="DROP","Duplicate Order ID (less complete row)",IF(U2854=1,"Missing Customer ID",IF(V2854=1,"Missing Restaurant name",IF(W2854=1,"Invalid/outlier quantity",IF(X2854=1,"Invalid/outlier unit price",IF(Y2854=1,"Discount greater than order value",""))))))))</f>
        <v/>
      </c>
      <c r="AC2854" s="7" t="str">
        <f aca="false">IF(AB2854="","KEEP","DROP")</f>
        <v>KEEP</v>
      </c>
      <c r="AD2854" s="7" t="str">
        <f aca="false">IF(TRIM(F2854)="",IFERROR(INDEX(Map_Tables!$I$4:$I$37,MATCH(TRIM(E2854),Map_Tables!$G$4:$G$37,0)),""),IFERROR(INDEX(Map_Tables!$B$4:$B$18,MATCH(TRIM(F2854),Map_Tables!$A$4:$A$18,0)),"CHECK"))</f>
        <v>Bengaluru</v>
      </c>
      <c r="AE2854" s="7" t="str">
        <f aca="false">IF(TRIM(E2854)="","",IFERROR(INDEX(Map_Tables!$H$4:$H$37,MATCH(TRIM(E2854),Map_Tables!$G$4:$G$37,0)),"CHECK"))</f>
        <v>Dosa Darbar</v>
      </c>
      <c r="AF2854" s="7" t="str">
        <f aca="false">IF(TRIM(K2854)="","Unknown",IFERROR(INDEX(Map_Tables!$E$4:$E$15,MATCH(TRIM(K2854),Map_Tables!$D$4:$D$15,0)),"CHECK"))</f>
        <v>Cash on Delivery</v>
      </c>
      <c r="AG2854" s="7" t="str">
        <f aca="false">IF(LEFT(LOWER(TRIM(L2854)),6)="cancel","Cancelled","Delivered")</f>
        <v>Delivered</v>
      </c>
      <c r="AH2854" s="10" t="n">
        <f aca="false">IF(ISNUMBER(SEARCH("/",B2854)),DATE(VALUE(RIGHT(B2854,4)),VALUE(MID(B2854,4,2)),VALUE(LEFT(B2854,2))),IF(MID(B2854,5,1)="-",DATE(VALUE(LEFT(B2854,4)),VALUE(MID(B2854,6,2)),VALUE(RIGHT(B2854,2))),DATE(VALUE(RIGHT(B2854,4)),MATCH(MID(B2854,4,3),{"Jan","Feb","Mar","Apr","May","Jun","Jul","Aug","Sep","Oct","Nov","Dec"},0),VALUE(LEFT(B2854,2)))))</f>
        <v>45917</v>
      </c>
    </row>
    <row r="2855" customFormat="false" ht="15" hidden="false" customHeight="false" outlineLevel="0" collapsed="false">
      <c r="A2855" s="7" t="s">
        <v>5921</v>
      </c>
      <c r="B2855" s="7" t="s">
        <v>1121</v>
      </c>
      <c r="C2855" s="7" t="s">
        <v>4383</v>
      </c>
      <c r="D2855" s="7" t="s">
        <v>4423</v>
      </c>
      <c r="E2855" s="7" t="s">
        <v>138</v>
      </c>
      <c r="F2855" s="7" t="s">
        <v>110</v>
      </c>
      <c r="G2855" s="7" t="s">
        <v>139</v>
      </c>
      <c r="H2855" s="7" t="n">
        <v>1</v>
      </c>
      <c r="I2855" s="7" t="n">
        <v>220</v>
      </c>
      <c r="J2855" s="7" t="n">
        <v>88</v>
      </c>
      <c r="K2855" s="7" t="s">
        <v>88</v>
      </c>
      <c r="L2855" s="7" t="s">
        <v>194</v>
      </c>
      <c r="M2855" s="7" t="n">
        <v>30</v>
      </c>
      <c r="N2855" s="7" t="n">
        <v>3</v>
      </c>
      <c r="O2855" s="7" t="str">
        <f aca="false">A2855&amp;"|"&amp;B2855&amp;"|"&amp;C2855&amp;"|"&amp;D2855&amp;"|"&amp;E2855&amp;"|"&amp;F2855&amp;"|"&amp;G2855&amp;"|"&amp;H2855&amp;"|"&amp;I2855&amp;"|"&amp;J2855&amp;"|"&amp;K2855&amp;"|"&amp;L2855&amp;"|"&amp;M2855&amp;"|"&amp;N2855</f>
        <v>ORD11186|2025-05-31|13:53|C0466|Burger Barn|Delhi|Burgers|1|220|88|UPI|Delivered|30|3</v>
      </c>
      <c r="P2855" s="7" t="str">
        <f aca="false">IF(COUNTIF($O$2:O2855,O2855)&gt;1,"DUP","OK")</f>
        <v>OK</v>
      </c>
      <c r="Q2855" s="7" t="n">
        <f aca="false">COUNTBLANK(A2855:N2855)</f>
        <v>0</v>
      </c>
      <c r="R2855" s="7" t="n">
        <f aca="false">IF(A2855="",0,COUNTIFS($A$2:$A$3058,A2855,$P$2:$P$3058,"OK"))</f>
        <v>1</v>
      </c>
      <c r="S2855" s="7" t="str">
        <f aca="false">IF(OR(A2855="",P2855="DUP",R2855&lt;2),"",IF(Q2855=_xlfn.MINIFS($Q$2:$Q$3058,$A$2:$A$3058,A2855,$P$2:$P$3058,"OK"),"KEEP","DROP"))</f>
        <v/>
      </c>
      <c r="T2855" s="9" t="n">
        <f aca="false">IF(A2855="",1,0)</f>
        <v>0</v>
      </c>
      <c r="U2855" s="9" t="n">
        <f aca="false">IF(D2855="",1,0)</f>
        <v>0</v>
      </c>
      <c r="V2855" s="9" t="n">
        <f aca="false">IF(E2855="",1,0)</f>
        <v>0</v>
      </c>
      <c r="W2855" s="9" t="n">
        <f aca="false">IF(OR(H2855&lt;1,H2855&gt;10),1,0)</f>
        <v>0</v>
      </c>
      <c r="X2855" s="9" t="n">
        <f aca="false">IF(OR(I2855&lt;=0,I2855&gt;1500),1,0)</f>
        <v>0</v>
      </c>
      <c r="Y2855" s="9" t="n">
        <f aca="false">IF(J2855&gt;H2855*I2855,1,0)</f>
        <v>0</v>
      </c>
      <c r="Z2855" s="9" t="n">
        <f aca="false">IF(AND(N2855&lt;&gt;"",OR(N2855&lt;1,N2855&gt;5)),1,0)</f>
        <v>0</v>
      </c>
      <c r="AA2855" s="9" t="n">
        <f aca="false">IF(AND(M2855&lt;&gt;"",OR(M2855&lt;5,M2855&gt;180)),1,0)</f>
        <v>0</v>
      </c>
      <c r="AB2855" s="7" t="str">
        <f aca="false">IF(P2855="DUP","Exact duplicate row",IF(T2855=1,"Missing Order ID",IF(S2855="DROP","Duplicate Order ID (less complete row)",IF(U2855=1,"Missing Customer ID",IF(V2855=1,"Missing Restaurant name",IF(W2855=1,"Invalid/outlier quantity",IF(X2855=1,"Invalid/outlier unit price",IF(Y2855=1,"Discount greater than order value",""))))))))</f>
        <v/>
      </c>
      <c r="AC2855" s="7" t="str">
        <f aca="false">IF(AB2855="","KEEP","DROP")</f>
        <v>KEEP</v>
      </c>
      <c r="AD2855" s="7" t="str">
        <f aca="false">IF(TRIM(F2855)="",IFERROR(INDEX(Map_Tables!$I$4:$I$37,MATCH(TRIM(E2855),Map_Tables!$G$4:$G$37,0)),""),IFERROR(INDEX(Map_Tables!$B$4:$B$18,MATCH(TRIM(F2855),Map_Tables!$A$4:$A$18,0)),"CHECK"))</f>
        <v>Delhi</v>
      </c>
      <c r="AE2855" s="7" t="str">
        <f aca="false">IF(TRIM(E2855)="","",IFERROR(INDEX(Map_Tables!$H$4:$H$37,MATCH(TRIM(E2855),Map_Tables!$G$4:$G$37,0)),"CHECK"))</f>
        <v>Burger Barn</v>
      </c>
      <c r="AF2855" s="7" t="str">
        <f aca="false">IF(TRIM(K2855)="","Unknown",IFERROR(INDEX(Map_Tables!$E$4:$E$15,MATCH(TRIM(K2855),Map_Tables!$D$4:$D$15,0)),"CHECK"))</f>
        <v>UPI</v>
      </c>
      <c r="AG2855" s="7" t="str">
        <f aca="false">IF(LEFT(LOWER(TRIM(L2855)),6)="cancel","Cancelled","Delivered")</f>
        <v>Delivered</v>
      </c>
      <c r="AH2855" s="10" t="n">
        <f aca="false">IF(ISNUMBER(SEARCH("/",B2855)),DATE(VALUE(RIGHT(B2855,4)),VALUE(MID(B2855,4,2)),VALUE(LEFT(B2855,2))),IF(MID(B2855,5,1)="-",DATE(VALUE(LEFT(B2855,4)),VALUE(MID(B2855,6,2)),VALUE(RIGHT(B2855,2))),DATE(VALUE(RIGHT(B2855,4)),MATCH(MID(B2855,4,3),{"Jan","Feb","Mar","Apr","May","Jun","Jul","Aug","Sep","Oct","Nov","Dec"},0),VALUE(LEFT(B2855,2)))))</f>
        <v>45808</v>
      </c>
    </row>
    <row r="2856" customFormat="false" ht="15" hidden="false" customHeight="false" outlineLevel="0" collapsed="false">
      <c r="A2856" s="7" t="s">
        <v>5922</v>
      </c>
      <c r="B2856" s="7" t="s">
        <v>1376</v>
      </c>
      <c r="C2856" s="7" t="s">
        <v>2583</v>
      </c>
      <c r="D2856" s="7" t="s">
        <v>2326</v>
      </c>
      <c r="E2856" s="7" t="s">
        <v>1208</v>
      </c>
      <c r="F2856" s="7" t="s">
        <v>86</v>
      </c>
      <c r="G2856" s="7" t="s">
        <v>99</v>
      </c>
      <c r="H2856" s="7" t="n">
        <v>4</v>
      </c>
      <c r="I2856" s="7" t="n">
        <v>265</v>
      </c>
      <c r="J2856" s="7" t="n">
        <v>0</v>
      </c>
      <c r="K2856" s="7" t="s">
        <v>112</v>
      </c>
      <c r="L2856" s="7" t="s">
        <v>194</v>
      </c>
      <c r="M2856" s="7" t="n">
        <v>34</v>
      </c>
      <c r="N2856" s="7" t="n">
        <v>5</v>
      </c>
      <c r="O2856" s="7" t="str">
        <f aca="false">A2856&amp;"|"&amp;B2856&amp;"|"&amp;C2856&amp;"|"&amp;D2856&amp;"|"&amp;E2856&amp;"|"&amp;F2856&amp;"|"&amp;G2856&amp;"|"&amp;H2856&amp;"|"&amp;I2856&amp;"|"&amp;J2856&amp;"|"&amp;K2856&amp;"|"&amp;L2856&amp;"|"&amp;M2856&amp;"|"&amp;N2856</f>
        <v>ORD11007|2025-05-07|23:04|C0396| Nawabi Biryani House|Bengaluru|Biryani|4|265|0|Cash on Delivery|Delivered|34|5</v>
      </c>
      <c r="P2856" s="7" t="str">
        <f aca="false">IF(COUNTIF($O$2:O2856,O2856)&gt;1,"DUP","OK")</f>
        <v>OK</v>
      </c>
      <c r="Q2856" s="7" t="n">
        <f aca="false">COUNTBLANK(A2856:N2856)</f>
        <v>0</v>
      </c>
      <c r="R2856" s="7" t="n">
        <f aca="false">IF(A2856="",0,COUNTIFS($A$2:$A$3058,A2856,$P$2:$P$3058,"OK"))</f>
        <v>1</v>
      </c>
      <c r="S2856" s="7" t="str">
        <f aca="false">IF(OR(A2856="",P2856="DUP",R2856&lt;2),"",IF(Q2856=_xlfn.MINIFS($Q$2:$Q$3058,$A$2:$A$3058,A2856,$P$2:$P$3058,"OK"),"KEEP","DROP"))</f>
        <v/>
      </c>
      <c r="T2856" s="9" t="n">
        <f aca="false">IF(A2856="",1,0)</f>
        <v>0</v>
      </c>
      <c r="U2856" s="9" t="n">
        <f aca="false">IF(D2856="",1,0)</f>
        <v>0</v>
      </c>
      <c r="V2856" s="9" t="n">
        <f aca="false">IF(E2856="",1,0)</f>
        <v>0</v>
      </c>
      <c r="W2856" s="9" t="n">
        <f aca="false">IF(OR(H2856&lt;1,H2856&gt;10),1,0)</f>
        <v>0</v>
      </c>
      <c r="X2856" s="9" t="n">
        <f aca="false">IF(OR(I2856&lt;=0,I2856&gt;1500),1,0)</f>
        <v>0</v>
      </c>
      <c r="Y2856" s="9" t="n">
        <f aca="false">IF(J2856&gt;H2856*I2856,1,0)</f>
        <v>0</v>
      </c>
      <c r="Z2856" s="9" t="n">
        <f aca="false">IF(AND(N2856&lt;&gt;"",OR(N2856&lt;1,N2856&gt;5)),1,0)</f>
        <v>0</v>
      </c>
      <c r="AA2856" s="9" t="n">
        <f aca="false">IF(AND(M2856&lt;&gt;"",OR(M2856&lt;5,M2856&gt;180)),1,0)</f>
        <v>0</v>
      </c>
      <c r="AB2856" s="7" t="str">
        <f aca="false">IF(P2856="DUP","Exact duplicate row",IF(T2856=1,"Missing Order ID",IF(S2856="DROP","Duplicate Order ID (less complete row)",IF(U2856=1,"Missing Customer ID",IF(V2856=1,"Missing Restaurant name",IF(W2856=1,"Invalid/outlier quantity",IF(X2856=1,"Invalid/outlier unit price",IF(Y2856=1,"Discount greater than order value",""))))))))</f>
        <v/>
      </c>
      <c r="AC2856" s="7" t="str">
        <f aca="false">IF(AB2856="","KEEP","DROP")</f>
        <v>KEEP</v>
      </c>
      <c r="AD2856" s="7" t="str">
        <f aca="false">IF(TRIM(F2856)="",IFERROR(INDEX(Map_Tables!$I$4:$I$37,MATCH(TRIM(E2856),Map_Tables!$G$4:$G$37,0)),""),IFERROR(INDEX(Map_Tables!$B$4:$B$18,MATCH(TRIM(F2856),Map_Tables!$A$4:$A$18,0)),"CHECK"))</f>
        <v>Bengaluru</v>
      </c>
      <c r="AE2856" s="7" t="str">
        <f aca="false">IF(TRIM(E2856)="","",IFERROR(INDEX(Map_Tables!$H$4:$H$37,MATCH(TRIM(E2856),Map_Tables!$G$4:$G$37,0)),"CHECK"))</f>
        <v>Nawabi Biryani House</v>
      </c>
      <c r="AF2856" s="7" t="str">
        <f aca="false">IF(TRIM(K2856)="","Unknown",IFERROR(INDEX(Map_Tables!$E$4:$E$15,MATCH(TRIM(K2856),Map_Tables!$D$4:$D$15,0)),"CHECK"))</f>
        <v>Cash on Delivery</v>
      </c>
      <c r="AG2856" s="7" t="str">
        <f aca="false">IF(LEFT(LOWER(TRIM(L2856)),6)="cancel","Cancelled","Delivered")</f>
        <v>Delivered</v>
      </c>
      <c r="AH2856" s="10" t="n">
        <f aca="false">IF(ISNUMBER(SEARCH("/",B2856)),DATE(VALUE(RIGHT(B2856,4)),VALUE(MID(B2856,4,2)),VALUE(LEFT(B2856,2))),IF(MID(B2856,5,1)="-",DATE(VALUE(LEFT(B2856,4)),VALUE(MID(B2856,6,2)),VALUE(RIGHT(B2856,2))),DATE(VALUE(RIGHT(B2856,4)),MATCH(MID(B2856,4,3),{"Jan","Feb","Mar","Apr","May","Jun","Jul","Aug","Sep","Oct","Nov","Dec"},0),VALUE(LEFT(B2856,2)))))</f>
        <v>45784</v>
      </c>
    </row>
    <row r="2857" customFormat="false" ht="15" hidden="false" customHeight="false" outlineLevel="0" collapsed="false">
      <c r="A2857" s="7" t="s">
        <v>3481</v>
      </c>
      <c r="B2857" s="7" t="s">
        <v>3313</v>
      </c>
      <c r="C2857" s="7" t="s">
        <v>1317</v>
      </c>
      <c r="D2857" s="7" t="s">
        <v>2437</v>
      </c>
      <c r="E2857" s="7" t="s">
        <v>164</v>
      </c>
      <c r="F2857" s="7" t="s">
        <v>141</v>
      </c>
      <c r="G2857" s="7" t="s">
        <v>150</v>
      </c>
      <c r="H2857" s="7" t="n">
        <v>2</v>
      </c>
      <c r="I2857" s="7" t="n">
        <v>155</v>
      </c>
      <c r="J2857" s="7" t="n">
        <v>40</v>
      </c>
      <c r="K2857" s="7" t="s">
        <v>88</v>
      </c>
      <c r="L2857" s="7" t="s">
        <v>194</v>
      </c>
      <c r="M2857" s="7" t="n">
        <v>34</v>
      </c>
      <c r="N2857" s="7" t="n">
        <v>5</v>
      </c>
      <c r="O2857" s="7" t="str">
        <f aca="false">A2857&amp;"|"&amp;B2857&amp;"|"&amp;C2857&amp;"|"&amp;D2857&amp;"|"&amp;E2857&amp;"|"&amp;F2857&amp;"|"&amp;G2857&amp;"|"&amp;H2857&amp;"|"&amp;I2857&amp;"|"&amp;J2857&amp;"|"&amp;K2857&amp;"|"&amp;L2857&amp;"|"&amp;M2857&amp;"|"&amp;N2857</f>
        <v>ORD10561|2025-03-12|20:35|C0133|Mishti Mandir|Kolkata|Desserts|2|155|40|UPI|Delivered|34|5</v>
      </c>
      <c r="P2857" s="7" t="str">
        <f aca="false">IF(COUNTIF($O$2:O2857,O2857)&gt;1,"DUP","OK")</f>
        <v>DUP</v>
      </c>
      <c r="Q2857" s="7" t="n">
        <f aca="false">COUNTBLANK(A2857:N2857)</f>
        <v>0</v>
      </c>
      <c r="R2857" s="7" t="n">
        <f aca="false">IF(A2857="",0,COUNTIFS($A$2:$A$3058,A2857,$P$2:$P$3058,"OK"))</f>
        <v>1</v>
      </c>
      <c r="S2857" s="7" t="str">
        <f aca="false">IF(OR(A2857="",P2857="DUP",R2857&lt;2),"",IF(Q2857=_xlfn.MINIFS($Q$2:$Q$3058,$A$2:$A$3058,A2857,$P$2:$P$3058,"OK"),"KEEP","DROP"))</f>
        <v/>
      </c>
      <c r="T2857" s="9" t="n">
        <f aca="false">IF(A2857="",1,0)</f>
        <v>0</v>
      </c>
      <c r="U2857" s="9" t="n">
        <f aca="false">IF(D2857="",1,0)</f>
        <v>0</v>
      </c>
      <c r="V2857" s="9" t="n">
        <f aca="false">IF(E2857="",1,0)</f>
        <v>0</v>
      </c>
      <c r="W2857" s="9" t="n">
        <f aca="false">IF(OR(H2857&lt;1,H2857&gt;10),1,0)</f>
        <v>0</v>
      </c>
      <c r="X2857" s="9" t="n">
        <f aca="false">IF(OR(I2857&lt;=0,I2857&gt;1500),1,0)</f>
        <v>0</v>
      </c>
      <c r="Y2857" s="9" t="n">
        <f aca="false">IF(J2857&gt;H2857*I2857,1,0)</f>
        <v>0</v>
      </c>
      <c r="Z2857" s="9" t="n">
        <f aca="false">IF(AND(N2857&lt;&gt;"",OR(N2857&lt;1,N2857&gt;5)),1,0)</f>
        <v>0</v>
      </c>
      <c r="AA2857" s="9" t="n">
        <f aca="false">IF(AND(M2857&lt;&gt;"",OR(M2857&lt;5,M2857&gt;180)),1,0)</f>
        <v>0</v>
      </c>
      <c r="AB2857" s="7" t="str">
        <f aca="false">IF(P2857="DUP","Exact duplicate row",IF(T2857=1,"Missing Order ID",IF(S2857="DROP","Duplicate Order ID (less complete row)",IF(U2857=1,"Missing Customer ID",IF(V2857=1,"Missing Restaurant name",IF(W2857=1,"Invalid/outlier quantity",IF(X2857=1,"Invalid/outlier unit price",IF(Y2857=1,"Discount greater than order value",""))))))))</f>
        <v>Exact duplicate row</v>
      </c>
      <c r="AC2857" s="7" t="str">
        <f aca="false">IF(AB2857="","KEEP","DROP")</f>
        <v>DROP</v>
      </c>
      <c r="AD2857" s="7" t="str">
        <f aca="false">IF(TRIM(F2857)="",IFERROR(INDEX(Map_Tables!$I$4:$I$37,MATCH(TRIM(E2857),Map_Tables!$G$4:$G$37,0)),""),IFERROR(INDEX(Map_Tables!$B$4:$B$18,MATCH(TRIM(F2857),Map_Tables!$A$4:$A$18,0)),"CHECK"))</f>
        <v>Kolkata</v>
      </c>
      <c r="AE2857" s="7" t="str">
        <f aca="false">IF(TRIM(E2857)="","",IFERROR(INDEX(Map_Tables!$H$4:$H$37,MATCH(TRIM(E2857),Map_Tables!$G$4:$G$37,0)),"CHECK"))</f>
        <v>Mishti Mandir</v>
      </c>
      <c r="AF2857" s="7" t="str">
        <f aca="false">IF(TRIM(K2857)="","Unknown",IFERROR(INDEX(Map_Tables!$E$4:$E$15,MATCH(TRIM(K2857),Map_Tables!$D$4:$D$15,0)),"CHECK"))</f>
        <v>UPI</v>
      </c>
      <c r="AG2857" s="7" t="str">
        <f aca="false">IF(LEFT(LOWER(TRIM(L2857)),6)="cancel","Cancelled","Delivered")</f>
        <v>Delivered</v>
      </c>
      <c r="AH2857" s="10" t="n">
        <f aca="false">IF(ISNUMBER(SEARCH("/",B2857)),DATE(VALUE(RIGHT(B2857,4)),VALUE(MID(B2857,4,2)),VALUE(LEFT(B2857,2))),IF(MID(B2857,5,1)="-",DATE(VALUE(LEFT(B2857,4)),VALUE(MID(B2857,6,2)),VALUE(RIGHT(B2857,2))),DATE(VALUE(RIGHT(B2857,4)),MATCH(MID(B2857,4,3),{"Jan","Feb","Mar","Apr","May","Jun","Jul","Aug","Sep","Oct","Nov","Dec"},0),VALUE(LEFT(B2857,2)))))</f>
        <v>45728</v>
      </c>
    </row>
    <row r="2858" customFormat="false" ht="15" hidden="false" customHeight="false" outlineLevel="0" collapsed="false">
      <c r="A2858" s="7" t="s">
        <v>5923</v>
      </c>
      <c r="B2858" s="7" t="s">
        <v>1548</v>
      </c>
      <c r="C2858" s="7" t="s">
        <v>1820</v>
      </c>
      <c r="D2858" s="7" t="s">
        <v>3529</v>
      </c>
      <c r="E2858" s="7" t="s">
        <v>168</v>
      </c>
      <c r="F2858" s="7" t="s">
        <v>146</v>
      </c>
      <c r="G2858" s="7" t="s">
        <v>123</v>
      </c>
      <c r="H2858" s="7" t="n">
        <v>4</v>
      </c>
      <c r="I2858" s="7" t="n">
        <v>300</v>
      </c>
      <c r="J2858" s="7" t="n">
        <v>0</v>
      </c>
      <c r="K2858" s="7" t="s">
        <v>87</v>
      </c>
      <c r="L2858" s="7" t="s">
        <v>194</v>
      </c>
      <c r="M2858" s="7" t="n">
        <v>35</v>
      </c>
      <c r="N2858" s="7"/>
      <c r="O2858" s="7" t="str">
        <f aca="false">A2858&amp;"|"&amp;B2858&amp;"|"&amp;C2858&amp;"|"&amp;D2858&amp;"|"&amp;E2858&amp;"|"&amp;F2858&amp;"|"&amp;G2858&amp;"|"&amp;H2858&amp;"|"&amp;I2858&amp;"|"&amp;J2858&amp;"|"&amp;K2858&amp;"|"&amp;L2858&amp;"|"&amp;M2858&amp;"|"&amp;N2858</f>
        <v>ORD12257|2025-10-13|12:34|C0746|Cheesy Slice|Ahmedabad|Pizza|4|300|0|upi|Delivered|35|</v>
      </c>
      <c r="P2858" s="7" t="str">
        <f aca="false">IF(COUNTIF($O$2:O2858,O2858)&gt;1,"DUP","OK")</f>
        <v>OK</v>
      </c>
      <c r="Q2858" s="7" t="n">
        <f aca="false">COUNTBLANK(A2858:N2858)</f>
        <v>1</v>
      </c>
      <c r="R2858" s="7" t="n">
        <f aca="false">IF(A2858="",0,COUNTIFS($A$2:$A$3058,A2858,$P$2:$P$3058,"OK"))</f>
        <v>1</v>
      </c>
      <c r="S2858" s="7" t="str">
        <f aca="false">IF(OR(A2858="",P2858="DUP",R2858&lt;2),"",IF(Q2858=_xlfn.MINIFS($Q$2:$Q$3058,$A$2:$A$3058,A2858,$P$2:$P$3058,"OK"),"KEEP","DROP"))</f>
        <v/>
      </c>
      <c r="T2858" s="9" t="n">
        <f aca="false">IF(A2858="",1,0)</f>
        <v>0</v>
      </c>
      <c r="U2858" s="9" t="n">
        <f aca="false">IF(D2858="",1,0)</f>
        <v>0</v>
      </c>
      <c r="V2858" s="9" t="n">
        <f aca="false">IF(E2858="",1,0)</f>
        <v>0</v>
      </c>
      <c r="W2858" s="9" t="n">
        <f aca="false">IF(OR(H2858&lt;1,H2858&gt;10),1,0)</f>
        <v>0</v>
      </c>
      <c r="X2858" s="9" t="n">
        <f aca="false">IF(OR(I2858&lt;=0,I2858&gt;1500),1,0)</f>
        <v>0</v>
      </c>
      <c r="Y2858" s="9" t="n">
        <f aca="false">IF(J2858&gt;H2858*I2858,1,0)</f>
        <v>0</v>
      </c>
      <c r="Z2858" s="9" t="n">
        <f aca="false">IF(AND(N2858&lt;&gt;"",OR(N2858&lt;1,N2858&gt;5)),1,0)</f>
        <v>0</v>
      </c>
      <c r="AA2858" s="9" t="n">
        <f aca="false">IF(AND(M2858&lt;&gt;"",OR(M2858&lt;5,M2858&gt;180)),1,0)</f>
        <v>0</v>
      </c>
      <c r="AB2858" s="7" t="str">
        <f aca="false">IF(P2858="DUP","Exact duplicate row",IF(T2858=1,"Missing Order ID",IF(S2858="DROP","Duplicate Order ID (less complete row)",IF(U2858=1,"Missing Customer ID",IF(V2858=1,"Missing Restaurant name",IF(W2858=1,"Invalid/outlier quantity",IF(X2858=1,"Invalid/outlier unit price",IF(Y2858=1,"Discount greater than order value",""))))))))</f>
        <v/>
      </c>
      <c r="AC2858" s="7" t="str">
        <f aca="false">IF(AB2858="","KEEP","DROP")</f>
        <v>KEEP</v>
      </c>
      <c r="AD2858" s="7" t="str">
        <f aca="false">IF(TRIM(F2858)="",IFERROR(INDEX(Map_Tables!$I$4:$I$37,MATCH(TRIM(E2858),Map_Tables!$G$4:$G$37,0)),""),IFERROR(INDEX(Map_Tables!$B$4:$B$18,MATCH(TRIM(F2858),Map_Tables!$A$4:$A$18,0)),"CHECK"))</f>
        <v>Ahmedabad</v>
      </c>
      <c r="AE2858" s="7" t="str">
        <f aca="false">IF(TRIM(E2858)="","",IFERROR(INDEX(Map_Tables!$H$4:$H$37,MATCH(TRIM(E2858),Map_Tables!$G$4:$G$37,0)),"CHECK"))</f>
        <v>Cheesy Slice</v>
      </c>
      <c r="AF2858" s="7" t="str">
        <f aca="false">IF(TRIM(K2858)="","Unknown",IFERROR(INDEX(Map_Tables!$E$4:$E$15,MATCH(TRIM(K2858),Map_Tables!$D$4:$D$15,0)),"CHECK"))</f>
        <v>UPI</v>
      </c>
      <c r="AG2858" s="7" t="str">
        <f aca="false">IF(LEFT(LOWER(TRIM(L2858)),6)="cancel","Cancelled","Delivered")</f>
        <v>Delivered</v>
      </c>
      <c r="AH2858" s="10" t="n">
        <f aca="false">IF(ISNUMBER(SEARCH("/",B2858)),DATE(VALUE(RIGHT(B2858,4)),VALUE(MID(B2858,4,2)),VALUE(LEFT(B2858,2))),IF(MID(B2858,5,1)="-",DATE(VALUE(LEFT(B2858,4)),VALUE(MID(B2858,6,2)),VALUE(RIGHT(B2858,2))),DATE(VALUE(RIGHT(B2858,4)),MATCH(MID(B2858,4,3),{"Jan","Feb","Mar","Apr","May","Jun","Jul","Aug","Sep","Oct","Nov","Dec"},0),VALUE(LEFT(B2858,2)))))</f>
        <v>45943</v>
      </c>
    </row>
    <row r="2859" customFormat="false" ht="15" hidden="false" customHeight="false" outlineLevel="0" collapsed="false">
      <c r="A2859" s="7" t="s">
        <v>5924</v>
      </c>
      <c r="B2859" s="7" t="s">
        <v>5925</v>
      </c>
      <c r="C2859" s="7" t="s">
        <v>306</v>
      </c>
      <c r="D2859" s="7" t="s">
        <v>1521</v>
      </c>
      <c r="E2859" s="7" t="s">
        <v>160</v>
      </c>
      <c r="F2859" s="7" t="s">
        <v>136</v>
      </c>
      <c r="G2859" s="7" t="s">
        <v>150</v>
      </c>
      <c r="H2859" s="7" t="n">
        <v>1</v>
      </c>
      <c r="I2859" s="7" t="n">
        <v>170</v>
      </c>
      <c r="J2859" s="7" t="n">
        <v>30</v>
      </c>
      <c r="K2859" s="7" t="s">
        <v>88</v>
      </c>
      <c r="L2859" s="7" t="s">
        <v>194</v>
      </c>
      <c r="M2859" s="7" t="n">
        <v>31</v>
      </c>
      <c r="N2859" s="7" t="n">
        <v>4</v>
      </c>
      <c r="O2859" s="7" t="str">
        <f aca="false">A2859&amp;"|"&amp;B2859&amp;"|"&amp;C2859&amp;"|"&amp;D2859&amp;"|"&amp;E2859&amp;"|"&amp;F2859&amp;"|"&amp;G2859&amp;"|"&amp;H2859&amp;"|"&amp;I2859&amp;"|"&amp;J2859&amp;"|"&amp;K2859&amp;"|"&amp;L2859&amp;"|"&amp;M2859&amp;"|"&amp;N2859</f>
        <v>ORD10911|24/04/2025|20:06|C0475|Cake Walk|Pune|Desserts|1|170|30|UPI|Delivered|31|4</v>
      </c>
      <c r="P2859" s="7" t="str">
        <f aca="false">IF(COUNTIF($O$2:O2859,O2859)&gt;1,"DUP","OK")</f>
        <v>OK</v>
      </c>
      <c r="Q2859" s="7" t="n">
        <f aca="false">COUNTBLANK(A2859:N2859)</f>
        <v>0</v>
      </c>
      <c r="R2859" s="7" t="n">
        <f aca="false">IF(A2859="",0,COUNTIFS($A$2:$A$3058,A2859,$P$2:$P$3058,"OK"))</f>
        <v>1</v>
      </c>
      <c r="S2859" s="7" t="str">
        <f aca="false">IF(OR(A2859="",P2859="DUP",R2859&lt;2),"",IF(Q2859=_xlfn.MINIFS($Q$2:$Q$3058,$A$2:$A$3058,A2859,$P$2:$P$3058,"OK"),"KEEP","DROP"))</f>
        <v/>
      </c>
      <c r="T2859" s="9" t="n">
        <f aca="false">IF(A2859="",1,0)</f>
        <v>0</v>
      </c>
      <c r="U2859" s="9" t="n">
        <f aca="false">IF(D2859="",1,0)</f>
        <v>0</v>
      </c>
      <c r="V2859" s="9" t="n">
        <f aca="false">IF(E2859="",1,0)</f>
        <v>0</v>
      </c>
      <c r="W2859" s="9" t="n">
        <f aca="false">IF(OR(H2859&lt;1,H2859&gt;10),1,0)</f>
        <v>0</v>
      </c>
      <c r="X2859" s="9" t="n">
        <f aca="false">IF(OR(I2859&lt;=0,I2859&gt;1500),1,0)</f>
        <v>0</v>
      </c>
      <c r="Y2859" s="9" t="n">
        <f aca="false">IF(J2859&gt;H2859*I2859,1,0)</f>
        <v>0</v>
      </c>
      <c r="Z2859" s="9" t="n">
        <f aca="false">IF(AND(N2859&lt;&gt;"",OR(N2859&lt;1,N2859&gt;5)),1,0)</f>
        <v>0</v>
      </c>
      <c r="AA2859" s="9" t="n">
        <f aca="false">IF(AND(M2859&lt;&gt;"",OR(M2859&lt;5,M2859&gt;180)),1,0)</f>
        <v>0</v>
      </c>
      <c r="AB2859" s="7" t="str">
        <f aca="false">IF(P2859="DUP","Exact duplicate row",IF(T2859=1,"Missing Order ID",IF(S2859="DROP","Duplicate Order ID (less complete row)",IF(U2859=1,"Missing Customer ID",IF(V2859=1,"Missing Restaurant name",IF(W2859=1,"Invalid/outlier quantity",IF(X2859=1,"Invalid/outlier unit price",IF(Y2859=1,"Discount greater than order value",""))))))))</f>
        <v/>
      </c>
      <c r="AC2859" s="7" t="str">
        <f aca="false">IF(AB2859="","KEEP","DROP")</f>
        <v>KEEP</v>
      </c>
      <c r="AD2859" s="7" t="str">
        <f aca="false">IF(TRIM(F2859)="",IFERROR(INDEX(Map_Tables!$I$4:$I$37,MATCH(TRIM(E2859),Map_Tables!$G$4:$G$37,0)),""),IFERROR(INDEX(Map_Tables!$B$4:$B$18,MATCH(TRIM(F2859),Map_Tables!$A$4:$A$18,0)),"CHECK"))</f>
        <v>Pune</v>
      </c>
      <c r="AE2859" s="7" t="str">
        <f aca="false">IF(TRIM(E2859)="","",IFERROR(INDEX(Map_Tables!$H$4:$H$37,MATCH(TRIM(E2859),Map_Tables!$G$4:$G$37,0)),"CHECK"))</f>
        <v>Cake Walk</v>
      </c>
      <c r="AF2859" s="7" t="str">
        <f aca="false">IF(TRIM(K2859)="","Unknown",IFERROR(INDEX(Map_Tables!$E$4:$E$15,MATCH(TRIM(K2859),Map_Tables!$D$4:$D$15,0)),"CHECK"))</f>
        <v>UPI</v>
      </c>
      <c r="AG2859" s="7" t="str">
        <f aca="false">IF(LEFT(LOWER(TRIM(L2859)),6)="cancel","Cancelled","Delivered")</f>
        <v>Delivered</v>
      </c>
      <c r="AH2859" s="10" t="n">
        <f aca="false">IF(ISNUMBER(SEARCH("/",B2859)),DATE(VALUE(RIGHT(B2859,4)),VALUE(MID(B2859,4,2)),VALUE(LEFT(B2859,2))),IF(MID(B2859,5,1)="-",DATE(VALUE(LEFT(B2859,4)),VALUE(MID(B2859,6,2)),VALUE(RIGHT(B2859,2))),DATE(VALUE(RIGHT(B2859,4)),MATCH(MID(B2859,4,3),{"Jan","Feb","Mar","Apr","May","Jun","Jul","Aug","Sep","Oct","Nov","Dec"},0),VALUE(LEFT(B2859,2)))))</f>
        <v>45771</v>
      </c>
    </row>
    <row r="2860" customFormat="false" ht="15" hidden="false" customHeight="false" outlineLevel="0" collapsed="false">
      <c r="A2860" s="7" t="s">
        <v>5926</v>
      </c>
      <c r="B2860" s="7" t="s">
        <v>5927</v>
      </c>
      <c r="C2860" s="7" t="s">
        <v>2268</v>
      </c>
      <c r="D2860" s="7" t="s">
        <v>5928</v>
      </c>
      <c r="E2860" s="7" t="s">
        <v>147</v>
      </c>
      <c r="F2860" s="7" t="s">
        <v>119</v>
      </c>
      <c r="G2860" s="7" t="s">
        <v>95</v>
      </c>
      <c r="H2860" s="7" t="n">
        <v>2</v>
      </c>
      <c r="I2860" s="7" t="n">
        <v>160</v>
      </c>
      <c r="J2860" s="7" t="n">
        <v>0</v>
      </c>
      <c r="K2860" s="7" t="s">
        <v>88</v>
      </c>
      <c r="L2860" s="7" t="s">
        <v>238</v>
      </c>
      <c r="M2860" s="7"/>
      <c r="N2860" s="7"/>
      <c r="O2860" s="7" t="str">
        <f aca="false">A2860&amp;"|"&amp;B2860&amp;"|"&amp;C2860&amp;"|"&amp;D2860&amp;"|"&amp;E2860&amp;"|"&amp;F2860&amp;"|"&amp;G2860&amp;"|"&amp;H2860&amp;"|"&amp;I2860&amp;"|"&amp;J2860&amp;"|"&amp;K2860&amp;"|"&amp;L2860&amp;"|"&amp;M2860&amp;"|"&amp;N2860</f>
        <v>ORD11312|19-Jun-2025|12:18|C0158|Andhra Meals Mess|Hyderabad|South Indian|2|160|0|UPI|Cancelled||</v>
      </c>
      <c r="P2860" s="7" t="str">
        <f aca="false">IF(COUNTIF($O$2:O2860,O2860)&gt;1,"DUP","OK")</f>
        <v>OK</v>
      </c>
      <c r="Q2860" s="7" t="n">
        <f aca="false">COUNTBLANK(A2860:N2860)</f>
        <v>2</v>
      </c>
      <c r="R2860" s="7" t="n">
        <f aca="false">IF(A2860="",0,COUNTIFS($A$2:$A$3058,A2860,$P$2:$P$3058,"OK"))</f>
        <v>1</v>
      </c>
      <c r="S2860" s="7" t="str">
        <f aca="false">IF(OR(A2860="",P2860="DUP",R2860&lt;2),"",IF(Q2860=_xlfn.MINIFS($Q$2:$Q$3058,$A$2:$A$3058,A2860,$P$2:$P$3058,"OK"),"KEEP","DROP"))</f>
        <v/>
      </c>
      <c r="T2860" s="9" t="n">
        <f aca="false">IF(A2860="",1,0)</f>
        <v>0</v>
      </c>
      <c r="U2860" s="9" t="n">
        <f aca="false">IF(D2860="",1,0)</f>
        <v>0</v>
      </c>
      <c r="V2860" s="9" t="n">
        <f aca="false">IF(E2860="",1,0)</f>
        <v>0</v>
      </c>
      <c r="W2860" s="9" t="n">
        <f aca="false">IF(OR(H2860&lt;1,H2860&gt;10),1,0)</f>
        <v>0</v>
      </c>
      <c r="X2860" s="9" t="n">
        <f aca="false">IF(OR(I2860&lt;=0,I2860&gt;1500),1,0)</f>
        <v>0</v>
      </c>
      <c r="Y2860" s="9" t="n">
        <f aca="false">IF(J2860&gt;H2860*I2860,1,0)</f>
        <v>0</v>
      </c>
      <c r="Z2860" s="9" t="n">
        <f aca="false">IF(AND(N2860&lt;&gt;"",OR(N2860&lt;1,N2860&gt;5)),1,0)</f>
        <v>0</v>
      </c>
      <c r="AA2860" s="9" t="n">
        <f aca="false">IF(AND(M2860&lt;&gt;"",OR(M2860&lt;5,M2860&gt;180)),1,0)</f>
        <v>0</v>
      </c>
      <c r="AB2860" s="7" t="str">
        <f aca="false">IF(P2860="DUP","Exact duplicate row",IF(T2860=1,"Missing Order ID",IF(S2860="DROP","Duplicate Order ID (less complete row)",IF(U2860=1,"Missing Customer ID",IF(V2860=1,"Missing Restaurant name",IF(W2860=1,"Invalid/outlier quantity",IF(X2860=1,"Invalid/outlier unit price",IF(Y2860=1,"Discount greater than order value",""))))))))</f>
        <v/>
      </c>
      <c r="AC2860" s="7" t="str">
        <f aca="false">IF(AB2860="","KEEP","DROP")</f>
        <v>KEEP</v>
      </c>
      <c r="AD2860" s="7" t="str">
        <f aca="false">IF(TRIM(F2860)="",IFERROR(INDEX(Map_Tables!$I$4:$I$37,MATCH(TRIM(E2860),Map_Tables!$G$4:$G$37,0)),""),IFERROR(INDEX(Map_Tables!$B$4:$B$18,MATCH(TRIM(F2860),Map_Tables!$A$4:$A$18,0)),"CHECK"))</f>
        <v>Hyderabad</v>
      </c>
      <c r="AE2860" s="7" t="str">
        <f aca="false">IF(TRIM(E2860)="","",IFERROR(INDEX(Map_Tables!$H$4:$H$37,MATCH(TRIM(E2860),Map_Tables!$G$4:$G$37,0)),"CHECK"))</f>
        <v>Andhra Meals Mess</v>
      </c>
      <c r="AF2860" s="7" t="str">
        <f aca="false">IF(TRIM(K2860)="","Unknown",IFERROR(INDEX(Map_Tables!$E$4:$E$15,MATCH(TRIM(K2860),Map_Tables!$D$4:$D$15,0)),"CHECK"))</f>
        <v>UPI</v>
      </c>
      <c r="AG2860" s="7" t="str">
        <f aca="false">IF(LEFT(LOWER(TRIM(L2860)),6)="cancel","Cancelled","Delivered")</f>
        <v>Cancelled</v>
      </c>
      <c r="AH2860" s="10" t="n">
        <f aca="false">IF(ISNUMBER(SEARCH("/",B2860)),DATE(VALUE(RIGHT(B2860,4)),VALUE(MID(B2860,4,2)),VALUE(LEFT(B2860,2))),IF(MID(B2860,5,1)="-",DATE(VALUE(LEFT(B2860,4)),VALUE(MID(B2860,6,2)),VALUE(RIGHT(B2860,2))),DATE(VALUE(RIGHT(B2860,4)),MATCH(MID(B2860,4,3),{"Jan","Feb","Mar","Apr","May","Jun","Jul","Aug","Sep","Oct","Nov","Dec"},0),VALUE(LEFT(B2860,2)))))</f>
        <v>45827</v>
      </c>
    </row>
    <row r="2861" customFormat="false" ht="15" hidden="false" customHeight="false" outlineLevel="0" collapsed="false">
      <c r="A2861" s="7" t="s">
        <v>5929</v>
      </c>
      <c r="B2861" s="7" t="s">
        <v>2795</v>
      </c>
      <c r="C2861" s="7" t="s">
        <v>5930</v>
      </c>
      <c r="D2861" s="7" t="s">
        <v>1169</v>
      </c>
      <c r="E2861" s="7" t="s">
        <v>138</v>
      </c>
      <c r="F2861" s="7" t="s">
        <v>110</v>
      </c>
      <c r="G2861" s="7" t="s">
        <v>139</v>
      </c>
      <c r="H2861" s="7" t="n">
        <v>2</v>
      </c>
      <c r="I2861" s="7" t="n">
        <v>195</v>
      </c>
      <c r="J2861" s="7" t="n">
        <v>150</v>
      </c>
      <c r="K2861" s="7" t="s">
        <v>88</v>
      </c>
      <c r="L2861" s="7" t="s">
        <v>194</v>
      </c>
      <c r="M2861" s="7" t="n">
        <v>34</v>
      </c>
      <c r="N2861" s="7" t="n">
        <v>3</v>
      </c>
      <c r="O2861" s="7" t="str">
        <f aca="false">A2861&amp;"|"&amp;B2861&amp;"|"&amp;C2861&amp;"|"&amp;D2861&amp;"|"&amp;E2861&amp;"|"&amp;F2861&amp;"|"&amp;G2861&amp;"|"&amp;H2861&amp;"|"&amp;I2861&amp;"|"&amp;J2861&amp;"|"&amp;K2861&amp;"|"&amp;L2861&amp;"|"&amp;M2861&amp;"|"&amp;N2861</f>
        <v>ORD12050|2025-09-22|13:02|C1070|Burger Barn|Delhi|Burgers|2|195|150|UPI|Delivered|34|3</v>
      </c>
      <c r="P2861" s="7" t="str">
        <f aca="false">IF(COUNTIF($O$2:O2861,O2861)&gt;1,"DUP","OK")</f>
        <v>OK</v>
      </c>
      <c r="Q2861" s="7" t="n">
        <f aca="false">COUNTBLANK(A2861:N2861)</f>
        <v>0</v>
      </c>
      <c r="R2861" s="7" t="n">
        <f aca="false">IF(A2861="",0,COUNTIFS($A$2:$A$3058,A2861,$P$2:$P$3058,"OK"))</f>
        <v>1</v>
      </c>
      <c r="S2861" s="7" t="str">
        <f aca="false">IF(OR(A2861="",P2861="DUP",R2861&lt;2),"",IF(Q2861=_xlfn.MINIFS($Q$2:$Q$3058,$A$2:$A$3058,A2861,$P$2:$P$3058,"OK"),"KEEP","DROP"))</f>
        <v/>
      </c>
      <c r="T2861" s="9" t="n">
        <f aca="false">IF(A2861="",1,0)</f>
        <v>0</v>
      </c>
      <c r="U2861" s="9" t="n">
        <f aca="false">IF(D2861="",1,0)</f>
        <v>0</v>
      </c>
      <c r="V2861" s="9" t="n">
        <f aca="false">IF(E2861="",1,0)</f>
        <v>0</v>
      </c>
      <c r="W2861" s="9" t="n">
        <f aca="false">IF(OR(H2861&lt;1,H2861&gt;10),1,0)</f>
        <v>0</v>
      </c>
      <c r="X2861" s="9" t="n">
        <f aca="false">IF(OR(I2861&lt;=0,I2861&gt;1500),1,0)</f>
        <v>0</v>
      </c>
      <c r="Y2861" s="9" t="n">
        <f aca="false">IF(J2861&gt;H2861*I2861,1,0)</f>
        <v>0</v>
      </c>
      <c r="Z2861" s="9" t="n">
        <f aca="false">IF(AND(N2861&lt;&gt;"",OR(N2861&lt;1,N2861&gt;5)),1,0)</f>
        <v>0</v>
      </c>
      <c r="AA2861" s="9" t="n">
        <f aca="false">IF(AND(M2861&lt;&gt;"",OR(M2861&lt;5,M2861&gt;180)),1,0)</f>
        <v>0</v>
      </c>
      <c r="AB2861" s="7" t="str">
        <f aca="false">IF(P2861="DUP","Exact duplicate row",IF(T2861=1,"Missing Order ID",IF(S2861="DROP","Duplicate Order ID (less complete row)",IF(U2861=1,"Missing Customer ID",IF(V2861=1,"Missing Restaurant name",IF(W2861=1,"Invalid/outlier quantity",IF(X2861=1,"Invalid/outlier unit price",IF(Y2861=1,"Discount greater than order value",""))))))))</f>
        <v/>
      </c>
      <c r="AC2861" s="7" t="str">
        <f aca="false">IF(AB2861="","KEEP","DROP")</f>
        <v>KEEP</v>
      </c>
      <c r="AD2861" s="7" t="str">
        <f aca="false">IF(TRIM(F2861)="",IFERROR(INDEX(Map_Tables!$I$4:$I$37,MATCH(TRIM(E2861),Map_Tables!$G$4:$G$37,0)),""),IFERROR(INDEX(Map_Tables!$B$4:$B$18,MATCH(TRIM(F2861),Map_Tables!$A$4:$A$18,0)),"CHECK"))</f>
        <v>Delhi</v>
      </c>
      <c r="AE2861" s="7" t="str">
        <f aca="false">IF(TRIM(E2861)="","",IFERROR(INDEX(Map_Tables!$H$4:$H$37,MATCH(TRIM(E2861),Map_Tables!$G$4:$G$37,0)),"CHECK"))</f>
        <v>Burger Barn</v>
      </c>
      <c r="AF2861" s="7" t="str">
        <f aca="false">IF(TRIM(K2861)="","Unknown",IFERROR(INDEX(Map_Tables!$E$4:$E$15,MATCH(TRIM(K2861),Map_Tables!$D$4:$D$15,0)),"CHECK"))</f>
        <v>UPI</v>
      </c>
      <c r="AG2861" s="7" t="str">
        <f aca="false">IF(LEFT(LOWER(TRIM(L2861)),6)="cancel","Cancelled","Delivered")</f>
        <v>Delivered</v>
      </c>
      <c r="AH2861" s="10" t="n">
        <f aca="false">IF(ISNUMBER(SEARCH("/",B2861)),DATE(VALUE(RIGHT(B2861,4)),VALUE(MID(B2861,4,2)),VALUE(LEFT(B2861,2))),IF(MID(B2861,5,1)="-",DATE(VALUE(LEFT(B2861,4)),VALUE(MID(B2861,6,2)),VALUE(RIGHT(B2861,2))),DATE(VALUE(RIGHT(B2861,4)),MATCH(MID(B2861,4,3),{"Jan","Feb","Mar","Apr","May","Jun","Jul","Aug","Sep","Oct","Nov","Dec"},0),VALUE(LEFT(B2861,2)))))</f>
        <v>45922</v>
      </c>
    </row>
    <row r="2862" customFormat="false" ht="15" hidden="false" customHeight="false" outlineLevel="0" collapsed="false">
      <c r="A2862" s="7" t="s">
        <v>5931</v>
      </c>
      <c r="B2862" s="7" t="s">
        <v>1919</v>
      </c>
      <c r="C2862" s="7" t="s">
        <v>3456</v>
      </c>
      <c r="D2862" s="7" t="s">
        <v>3329</v>
      </c>
      <c r="E2862" s="7" t="s">
        <v>159</v>
      </c>
      <c r="F2862" s="7" t="s">
        <v>136</v>
      </c>
      <c r="G2862" s="7" t="s">
        <v>90</v>
      </c>
      <c r="H2862" s="7" t="n">
        <v>3</v>
      </c>
      <c r="I2862" s="7" t="n">
        <v>230</v>
      </c>
      <c r="J2862" s="7" t="n">
        <v>0</v>
      </c>
      <c r="K2862" s="7" t="s">
        <v>112</v>
      </c>
      <c r="L2862" s="7" t="s">
        <v>194</v>
      </c>
      <c r="M2862" s="7" t="n">
        <v>33</v>
      </c>
      <c r="N2862" s="7" t="n">
        <v>4</v>
      </c>
      <c r="O2862" s="7" t="str">
        <f aca="false">A2862&amp;"|"&amp;B2862&amp;"|"&amp;C2862&amp;"|"&amp;D2862&amp;"|"&amp;E2862&amp;"|"&amp;F2862&amp;"|"&amp;G2862&amp;"|"&amp;H2862&amp;"|"&amp;I2862&amp;"|"&amp;J2862&amp;"|"&amp;K2862&amp;"|"&amp;L2862&amp;"|"&amp;M2862&amp;"|"&amp;N2862</f>
        <v>ORD10270|2025-02-05|20:36|C0453|Maratha Thali House|Pune|North Indian|3|230|0|Cash on Delivery|Delivered|33|4</v>
      </c>
      <c r="P2862" s="7" t="str">
        <f aca="false">IF(COUNTIF($O$2:O2862,O2862)&gt;1,"DUP","OK")</f>
        <v>OK</v>
      </c>
      <c r="Q2862" s="7" t="n">
        <f aca="false">COUNTBLANK(A2862:N2862)</f>
        <v>0</v>
      </c>
      <c r="R2862" s="7" t="n">
        <f aca="false">IF(A2862="",0,COUNTIFS($A$2:$A$3058,A2862,$P$2:$P$3058,"OK"))</f>
        <v>1</v>
      </c>
      <c r="S2862" s="7" t="str">
        <f aca="false">IF(OR(A2862="",P2862="DUP",R2862&lt;2),"",IF(Q2862=_xlfn.MINIFS($Q$2:$Q$3058,$A$2:$A$3058,A2862,$P$2:$P$3058,"OK"),"KEEP","DROP"))</f>
        <v/>
      </c>
      <c r="T2862" s="9" t="n">
        <f aca="false">IF(A2862="",1,0)</f>
        <v>0</v>
      </c>
      <c r="U2862" s="9" t="n">
        <f aca="false">IF(D2862="",1,0)</f>
        <v>0</v>
      </c>
      <c r="V2862" s="9" t="n">
        <f aca="false">IF(E2862="",1,0)</f>
        <v>0</v>
      </c>
      <c r="W2862" s="9" t="n">
        <f aca="false">IF(OR(H2862&lt;1,H2862&gt;10),1,0)</f>
        <v>0</v>
      </c>
      <c r="X2862" s="9" t="n">
        <f aca="false">IF(OR(I2862&lt;=0,I2862&gt;1500),1,0)</f>
        <v>0</v>
      </c>
      <c r="Y2862" s="9" t="n">
        <f aca="false">IF(J2862&gt;H2862*I2862,1,0)</f>
        <v>0</v>
      </c>
      <c r="Z2862" s="9" t="n">
        <f aca="false">IF(AND(N2862&lt;&gt;"",OR(N2862&lt;1,N2862&gt;5)),1,0)</f>
        <v>0</v>
      </c>
      <c r="AA2862" s="9" t="n">
        <f aca="false">IF(AND(M2862&lt;&gt;"",OR(M2862&lt;5,M2862&gt;180)),1,0)</f>
        <v>0</v>
      </c>
      <c r="AB2862" s="7" t="str">
        <f aca="false">IF(P2862="DUP","Exact duplicate row",IF(T2862=1,"Missing Order ID",IF(S2862="DROP","Duplicate Order ID (less complete row)",IF(U2862=1,"Missing Customer ID",IF(V2862=1,"Missing Restaurant name",IF(W2862=1,"Invalid/outlier quantity",IF(X2862=1,"Invalid/outlier unit price",IF(Y2862=1,"Discount greater than order value",""))))))))</f>
        <v/>
      </c>
      <c r="AC2862" s="7" t="str">
        <f aca="false">IF(AB2862="","KEEP","DROP")</f>
        <v>KEEP</v>
      </c>
      <c r="AD2862" s="7" t="str">
        <f aca="false">IF(TRIM(F2862)="",IFERROR(INDEX(Map_Tables!$I$4:$I$37,MATCH(TRIM(E2862),Map_Tables!$G$4:$G$37,0)),""),IFERROR(INDEX(Map_Tables!$B$4:$B$18,MATCH(TRIM(F2862),Map_Tables!$A$4:$A$18,0)),"CHECK"))</f>
        <v>Pune</v>
      </c>
      <c r="AE2862" s="7" t="str">
        <f aca="false">IF(TRIM(E2862)="","",IFERROR(INDEX(Map_Tables!$H$4:$H$37,MATCH(TRIM(E2862),Map_Tables!$G$4:$G$37,0)),"CHECK"))</f>
        <v>Maratha Thali House</v>
      </c>
      <c r="AF2862" s="7" t="str">
        <f aca="false">IF(TRIM(K2862)="","Unknown",IFERROR(INDEX(Map_Tables!$E$4:$E$15,MATCH(TRIM(K2862),Map_Tables!$D$4:$D$15,0)),"CHECK"))</f>
        <v>Cash on Delivery</v>
      </c>
      <c r="AG2862" s="7" t="str">
        <f aca="false">IF(LEFT(LOWER(TRIM(L2862)),6)="cancel","Cancelled","Delivered")</f>
        <v>Delivered</v>
      </c>
      <c r="AH2862" s="10" t="n">
        <f aca="false">IF(ISNUMBER(SEARCH("/",B2862)),DATE(VALUE(RIGHT(B2862,4)),VALUE(MID(B2862,4,2)),VALUE(LEFT(B2862,2))),IF(MID(B2862,5,1)="-",DATE(VALUE(LEFT(B2862,4)),VALUE(MID(B2862,6,2)),VALUE(RIGHT(B2862,2))),DATE(VALUE(RIGHT(B2862,4)),MATCH(MID(B2862,4,3),{"Jan","Feb","Mar","Apr","May","Jun","Jul","Aug","Sep","Oct","Nov","Dec"},0),VALUE(LEFT(B2862,2)))))</f>
        <v>45693</v>
      </c>
    </row>
    <row r="2863" customFormat="false" ht="15" hidden="false" customHeight="false" outlineLevel="0" collapsed="false">
      <c r="A2863" s="7" t="s">
        <v>5932</v>
      </c>
      <c r="B2863" s="7" t="s">
        <v>1845</v>
      </c>
      <c r="C2863" s="7" t="s">
        <v>377</v>
      </c>
      <c r="D2863" s="7" t="s">
        <v>1289</v>
      </c>
      <c r="E2863" s="7" t="s">
        <v>144</v>
      </c>
      <c r="F2863" s="7" t="s">
        <v>119</v>
      </c>
      <c r="G2863" s="7" t="s">
        <v>99</v>
      </c>
      <c r="H2863" s="7" t="n">
        <v>2</v>
      </c>
      <c r="I2863" s="7" t="n">
        <v>315</v>
      </c>
      <c r="J2863" s="7" t="n">
        <v>20</v>
      </c>
      <c r="K2863" s="7" t="s">
        <v>121</v>
      </c>
      <c r="L2863" s="7" t="s">
        <v>194</v>
      </c>
      <c r="M2863" s="7" t="n">
        <v>46</v>
      </c>
      <c r="N2863" s="7" t="n">
        <v>4</v>
      </c>
      <c r="O2863" s="7" t="str">
        <f aca="false">A2863&amp;"|"&amp;B2863&amp;"|"&amp;C2863&amp;"|"&amp;D2863&amp;"|"&amp;E2863&amp;"|"&amp;F2863&amp;"|"&amp;G2863&amp;"|"&amp;H2863&amp;"|"&amp;I2863&amp;"|"&amp;J2863&amp;"|"&amp;K2863&amp;"|"&amp;L2863&amp;"|"&amp;M2863&amp;"|"&amp;N2863</f>
        <v>ORD11994|2025-09-15|12:00|C0766|Hyderabad Dum Biryani|Hyderabad|Biryani|2|315|20|Wallet|Delivered|46|4</v>
      </c>
      <c r="P2863" s="7" t="str">
        <f aca="false">IF(COUNTIF($O$2:O2863,O2863)&gt;1,"DUP","OK")</f>
        <v>OK</v>
      </c>
      <c r="Q2863" s="7" t="n">
        <f aca="false">COUNTBLANK(A2863:N2863)</f>
        <v>0</v>
      </c>
      <c r="R2863" s="7" t="n">
        <f aca="false">IF(A2863="",0,COUNTIFS($A$2:$A$3058,A2863,$P$2:$P$3058,"OK"))</f>
        <v>1</v>
      </c>
      <c r="S2863" s="7" t="str">
        <f aca="false">IF(OR(A2863="",P2863="DUP",R2863&lt;2),"",IF(Q2863=_xlfn.MINIFS($Q$2:$Q$3058,$A$2:$A$3058,A2863,$P$2:$P$3058,"OK"),"KEEP","DROP"))</f>
        <v/>
      </c>
      <c r="T2863" s="9" t="n">
        <f aca="false">IF(A2863="",1,0)</f>
        <v>0</v>
      </c>
      <c r="U2863" s="9" t="n">
        <f aca="false">IF(D2863="",1,0)</f>
        <v>0</v>
      </c>
      <c r="V2863" s="9" t="n">
        <f aca="false">IF(E2863="",1,0)</f>
        <v>0</v>
      </c>
      <c r="W2863" s="9" t="n">
        <f aca="false">IF(OR(H2863&lt;1,H2863&gt;10),1,0)</f>
        <v>0</v>
      </c>
      <c r="X2863" s="9" t="n">
        <f aca="false">IF(OR(I2863&lt;=0,I2863&gt;1500),1,0)</f>
        <v>0</v>
      </c>
      <c r="Y2863" s="9" t="n">
        <f aca="false">IF(J2863&gt;H2863*I2863,1,0)</f>
        <v>0</v>
      </c>
      <c r="Z2863" s="9" t="n">
        <f aca="false">IF(AND(N2863&lt;&gt;"",OR(N2863&lt;1,N2863&gt;5)),1,0)</f>
        <v>0</v>
      </c>
      <c r="AA2863" s="9" t="n">
        <f aca="false">IF(AND(M2863&lt;&gt;"",OR(M2863&lt;5,M2863&gt;180)),1,0)</f>
        <v>0</v>
      </c>
      <c r="AB2863" s="7" t="str">
        <f aca="false">IF(P2863="DUP","Exact duplicate row",IF(T2863=1,"Missing Order ID",IF(S2863="DROP","Duplicate Order ID (less complete row)",IF(U2863=1,"Missing Customer ID",IF(V2863=1,"Missing Restaurant name",IF(W2863=1,"Invalid/outlier quantity",IF(X2863=1,"Invalid/outlier unit price",IF(Y2863=1,"Discount greater than order value",""))))))))</f>
        <v/>
      </c>
      <c r="AC2863" s="7" t="str">
        <f aca="false">IF(AB2863="","KEEP","DROP")</f>
        <v>KEEP</v>
      </c>
      <c r="AD2863" s="7" t="str">
        <f aca="false">IF(TRIM(F2863)="",IFERROR(INDEX(Map_Tables!$I$4:$I$37,MATCH(TRIM(E2863),Map_Tables!$G$4:$G$37,0)),""),IFERROR(INDEX(Map_Tables!$B$4:$B$18,MATCH(TRIM(F2863),Map_Tables!$A$4:$A$18,0)),"CHECK"))</f>
        <v>Hyderabad</v>
      </c>
      <c r="AE2863" s="7" t="str">
        <f aca="false">IF(TRIM(E2863)="","",IFERROR(INDEX(Map_Tables!$H$4:$H$37,MATCH(TRIM(E2863),Map_Tables!$G$4:$G$37,0)),"CHECK"))</f>
        <v>Hyderabad Dum Biryani</v>
      </c>
      <c r="AF2863" s="7" t="str">
        <f aca="false">IF(TRIM(K2863)="","Unknown",IFERROR(INDEX(Map_Tables!$E$4:$E$15,MATCH(TRIM(K2863),Map_Tables!$D$4:$D$15,0)),"CHECK"))</f>
        <v>Wallet</v>
      </c>
      <c r="AG2863" s="7" t="str">
        <f aca="false">IF(LEFT(LOWER(TRIM(L2863)),6)="cancel","Cancelled","Delivered")</f>
        <v>Delivered</v>
      </c>
      <c r="AH2863" s="10" t="n">
        <f aca="false">IF(ISNUMBER(SEARCH("/",B2863)),DATE(VALUE(RIGHT(B2863,4)),VALUE(MID(B2863,4,2)),VALUE(LEFT(B2863,2))),IF(MID(B2863,5,1)="-",DATE(VALUE(LEFT(B2863,4)),VALUE(MID(B2863,6,2)),VALUE(RIGHT(B2863,2))),DATE(VALUE(RIGHT(B2863,4)),MATCH(MID(B2863,4,3),{"Jan","Feb","Mar","Apr","May","Jun","Jul","Aug","Sep","Oct","Nov","Dec"},0),VALUE(LEFT(B2863,2)))))</f>
        <v>45915</v>
      </c>
    </row>
    <row r="2864" customFormat="false" ht="15" hidden="false" customHeight="false" outlineLevel="0" collapsed="false">
      <c r="A2864" s="7" t="s">
        <v>5933</v>
      </c>
      <c r="B2864" s="7" t="s">
        <v>1919</v>
      </c>
      <c r="C2864" s="7" t="s">
        <v>886</v>
      </c>
      <c r="D2864" s="7" t="s">
        <v>1479</v>
      </c>
      <c r="E2864" s="7" t="s">
        <v>165</v>
      </c>
      <c r="F2864" s="7" t="s">
        <v>146</v>
      </c>
      <c r="G2864" s="7" t="s">
        <v>90</v>
      </c>
      <c r="H2864" s="7" t="n">
        <v>3</v>
      </c>
      <c r="I2864" s="7" t="n">
        <v>250</v>
      </c>
      <c r="J2864" s="7" t="n">
        <v>100</v>
      </c>
      <c r="K2864" s="7" t="s">
        <v>421</v>
      </c>
      <c r="L2864" s="7" t="s">
        <v>194</v>
      </c>
      <c r="M2864" s="7" t="n">
        <v>35</v>
      </c>
      <c r="N2864" s="7" t="n">
        <v>3</v>
      </c>
      <c r="O2864" s="7" t="str">
        <f aca="false">A2864&amp;"|"&amp;B2864&amp;"|"&amp;C2864&amp;"|"&amp;D2864&amp;"|"&amp;E2864&amp;"|"&amp;F2864&amp;"|"&amp;G2864&amp;"|"&amp;H2864&amp;"|"&amp;I2864&amp;"|"&amp;J2864&amp;"|"&amp;K2864&amp;"|"&amp;L2864&amp;"|"&amp;M2864&amp;"|"&amp;N2864</f>
        <v>ORD10266|2025-02-05|12:47|C0931|Gujarati Thali Ghar|Ahmedabad|North Indian|3|250|100|UPI |Delivered|35|3</v>
      </c>
      <c r="P2864" s="7" t="str">
        <f aca="false">IF(COUNTIF($O$2:O2864,O2864)&gt;1,"DUP","OK")</f>
        <v>OK</v>
      </c>
      <c r="Q2864" s="7" t="n">
        <f aca="false">COUNTBLANK(A2864:N2864)</f>
        <v>0</v>
      </c>
      <c r="R2864" s="7" t="n">
        <f aca="false">IF(A2864="",0,COUNTIFS($A$2:$A$3058,A2864,$P$2:$P$3058,"OK"))</f>
        <v>1</v>
      </c>
      <c r="S2864" s="7" t="str">
        <f aca="false">IF(OR(A2864="",P2864="DUP",R2864&lt;2),"",IF(Q2864=_xlfn.MINIFS($Q$2:$Q$3058,$A$2:$A$3058,A2864,$P$2:$P$3058,"OK"),"KEEP","DROP"))</f>
        <v/>
      </c>
      <c r="T2864" s="9" t="n">
        <f aca="false">IF(A2864="",1,0)</f>
        <v>0</v>
      </c>
      <c r="U2864" s="9" t="n">
        <f aca="false">IF(D2864="",1,0)</f>
        <v>0</v>
      </c>
      <c r="V2864" s="9" t="n">
        <f aca="false">IF(E2864="",1,0)</f>
        <v>0</v>
      </c>
      <c r="W2864" s="9" t="n">
        <f aca="false">IF(OR(H2864&lt;1,H2864&gt;10),1,0)</f>
        <v>0</v>
      </c>
      <c r="X2864" s="9" t="n">
        <f aca="false">IF(OR(I2864&lt;=0,I2864&gt;1500),1,0)</f>
        <v>0</v>
      </c>
      <c r="Y2864" s="9" t="n">
        <f aca="false">IF(J2864&gt;H2864*I2864,1,0)</f>
        <v>0</v>
      </c>
      <c r="Z2864" s="9" t="n">
        <f aca="false">IF(AND(N2864&lt;&gt;"",OR(N2864&lt;1,N2864&gt;5)),1,0)</f>
        <v>0</v>
      </c>
      <c r="AA2864" s="9" t="n">
        <f aca="false">IF(AND(M2864&lt;&gt;"",OR(M2864&lt;5,M2864&gt;180)),1,0)</f>
        <v>0</v>
      </c>
      <c r="AB2864" s="7" t="str">
        <f aca="false">IF(P2864="DUP","Exact duplicate row",IF(T2864=1,"Missing Order ID",IF(S2864="DROP","Duplicate Order ID (less complete row)",IF(U2864=1,"Missing Customer ID",IF(V2864=1,"Missing Restaurant name",IF(W2864=1,"Invalid/outlier quantity",IF(X2864=1,"Invalid/outlier unit price",IF(Y2864=1,"Discount greater than order value",""))))))))</f>
        <v/>
      </c>
      <c r="AC2864" s="7" t="str">
        <f aca="false">IF(AB2864="","KEEP","DROP")</f>
        <v>KEEP</v>
      </c>
      <c r="AD2864" s="7" t="str">
        <f aca="false">IF(TRIM(F2864)="",IFERROR(INDEX(Map_Tables!$I$4:$I$37,MATCH(TRIM(E2864),Map_Tables!$G$4:$G$37,0)),""),IFERROR(INDEX(Map_Tables!$B$4:$B$18,MATCH(TRIM(F2864),Map_Tables!$A$4:$A$18,0)),"CHECK"))</f>
        <v>Ahmedabad</v>
      </c>
      <c r="AE2864" s="7" t="str">
        <f aca="false">IF(TRIM(E2864)="","",IFERROR(INDEX(Map_Tables!$H$4:$H$37,MATCH(TRIM(E2864),Map_Tables!$G$4:$G$37,0)),"CHECK"))</f>
        <v>Gujarati Thali Ghar</v>
      </c>
      <c r="AF2864" s="7" t="str">
        <f aca="false">IF(TRIM(K2864)="","Unknown",IFERROR(INDEX(Map_Tables!$E$4:$E$15,MATCH(TRIM(K2864),Map_Tables!$D$4:$D$15,0)),"CHECK"))</f>
        <v>UPI</v>
      </c>
      <c r="AG2864" s="7" t="str">
        <f aca="false">IF(LEFT(LOWER(TRIM(L2864)),6)="cancel","Cancelled","Delivered")</f>
        <v>Delivered</v>
      </c>
      <c r="AH2864" s="10" t="n">
        <f aca="false">IF(ISNUMBER(SEARCH("/",B2864)),DATE(VALUE(RIGHT(B2864,4)),VALUE(MID(B2864,4,2)),VALUE(LEFT(B2864,2))),IF(MID(B2864,5,1)="-",DATE(VALUE(LEFT(B2864,4)),VALUE(MID(B2864,6,2)),VALUE(RIGHT(B2864,2))),DATE(VALUE(RIGHT(B2864,4)),MATCH(MID(B2864,4,3),{"Jan","Feb","Mar","Apr","May","Jun","Jul","Aug","Sep","Oct","Nov","Dec"},0),VALUE(LEFT(B2864,2)))))</f>
        <v>45693</v>
      </c>
    </row>
    <row r="2865" customFormat="false" ht="15" hidden="false" customHeight="false" outlineLevel="0" collapsed="false">
      <c r="A2865" s="7" t="s">
        <v>5934</v>
      </c>
      <c r="B2865" s="7" t="s">
        <v>5935</v>
      </c>
      <c r="C2865" s="7" t="s">
        <v>5675</v>
      </c>
      <c r="D2865" s="7" t="s">
        <v>2411</v>
      </c>
      <c r="E2865" s="7" t="s">
        <v>98</v>
      </c>
      <c r="F2865" s="7" t="s">
        <v>86</v>
      </c>
      <c r="G2865" s="7" t="s">
        <v>99</v>
      </c>
      <c r="H2865" s="7" t="n">
        <v>4</v>
      </c>
      <c r="I2865" s="7" t="n">
        <v>325</v>
      </c>
      <c r="J2865" s="7" t="n">
        <v>0</v>
      </c>
      <c r="K2865" s="7" t="s">
        <v>88</v>
      </c>
      <c r="L2865" s="7" t="s">
        <v>194</v>
      </c>
      <c r="M2865" s="7" t="n">
        <v>36</v>
      </c>
      <c r="N2865" s="7" t="n">
        <v>4</v>
      </c>
      <c r="O2865" s="7" t="str">
        <f aca="false">A2865&amp;"|"&amp;B2865&amp;"|"&amp;C2865&amp;"|"&amp;D2865&amp;"|"&amp;E2865&amp;"|"&amp;F2865&amp;"|"&amp;G2865&amp;"|"&amp;H2865&amp;"|"&amp;I2865&amp;"|"&amp;J2865&amp;"|"&amp;K2865&amp;"|"&amp;L2865&amp;"|"&amp;M2865&amp;"|"&amp;N2865</f>
        <v>ORD10915|25-Apr-2025|15:21|C0477|Nawabi Biryani House|Bengaluru|Biryani|4|325|0|UPI|Delivered|36|4</v>
      </c>
      <c r="P2865" s="7" t="str">
        <f aca="false">IF(COUNTIF($O$2:O2865,O2865)&gt;1,"DUP","OK")</f>
        <v>OK</v>
      </c>
      <c r="Q2865" s="7" t="n">
        <f aca="false">COUNTBLANK(A2865:N2865)</f>
        <v>0</v>
      </c>
      <c r="R2865" s="7" t="n">
        <f aca="false">IF(A2865="",0,COUNTIFS($A$2:$A$3058,A2865,$P$2:$P$3058,"OK"))</f>
        <v>1</v>
      </c>
      <c r="S2865" s="7" t="str">
        <f aca="false">IF(OR(A2865="",P2865="DUP",R2865&lt;2),"",IF(Q2865=_xlfn.MINIFS($Q$2:$Q$3058,$A$2:$A$3058,A2865,$P$2:$P$3058,"OK"),"KEEP","DROP"))</f>
        <v/>
      </c>
      <c r="T2865" s="9" t="n">
        <f aca="false">IF(A2865="",1,0)</f>
        <v>0</v>
      </c>
      <c r="U2865" s="9" t="n">
        <f aca="false">IF(D2865="",1,0)</f>
        <v>0</v>
      </c>
      <c r="V2865" s="9" t="n">
        <f aca="false">IF(E2865="",1,0)</f>
        <v>0</v>
      </c>
      <c r="W2865" s="9" t="n">
        <f aca="false">IF(OR(H2865&lt;1,H2865&gt;10),1,0)</f>
        <v>0</v>
      </c>
      <c r="X2865" s="9" t="n">
        <f aca="false">IF(OR(I2865&lt;=0,I2865&gt;1500),1,0)</f>
        <v>0</v>
      </c>
      <c r="Y2865" s="9" t="n">
        <f aca="false">IF(J2865&gt;H2865*I2865,1,0)</f>
        <v>0</v>
      </c>
      <c r="Z2865" s="9" t="n">
        <f aca="false">IF(AND(N2865&lt;&gt;"",OR(N2865&lt;1,N2865&gt;5)),1,0)</f>
        <v>0</v>
      </c>
      <c r="AA2865" s="9" t="n">
        <f aca="false">IF(AND(M2865&lt;&gt;"",OR(M2865&lt;5,M2865&gt;180)),1,0)</f>
        <v>0</v>
      </c>
      <c r="AB2865" s="7" t="str">
        <f aca="false">IF(P2865="DUP","Exact duplicate row",IF(T2865=1,"Missing Order ID",IF(S2865="DROP","Duplicate Order ID (less complete row)",IF(U2865=1,"Missing Customer ID",IF(V2865=1,"Missing Restaurant name",IF(W2865=1,"Invalid/outlier quantity",IF(X2865=1,"Invalid/outlier unit price",IF(Y2865=1,"Discount greater than order value",""))))))))</f>
        <v/>
      </c>
      <c r="AC2865" s="7" t="str">
        <f aca="false">IF(AB2865="","KEEP","DROP")</f>
        <v>KEEP</v>
      </c>
      <c r="AD2865" s="7" t="str">
        <f aca="false">IF(TRIM(F2865)="",IFERROR(INDEX(Map_Tables!$I$4:$I$37,MATCH(TRIM(E2865),Map_Tables!$G$4:$G$37,0)),""),IFERROR(INDEX(Map_Tables!$B$4:$B$18,MATCH(TRIM(F2865),Map_Tables!$A$4:$A$18,0)),"CHECK"))</f>
        <v>Bengaluru</v>
      </c>
      <c r="AE2865" s="7" t="str">
        <f aca="false">IF(TRIM(E2865)="","",IFERROR(INDEX(Map_Tables!$H$4:$H$37,MATCH(TRIM(E2865),Map_Tables!$G$4:$G$37,0)),"CHECK"))</f>
        <v>Nawabi Biryani House</v>
      </c>
      <c r="AF2865" s="7" t="str">
        <f aca="false">IF(TRIM(K2865)="","Unknown",IFERROR(INDEX(Map_Tables!$E$4:$E$15,MATCH(TRIM(K2865),Map_Tables!$D$4:$D$15,0)),"CHECK"))</f>
        <v>UPI</v>
      </c>
      <c r="AG2865" s="7" t="str">
        <f aca="false">IF(LEFT(LOWER(TRIM(L2865)),6)="cancel","Cancelled","Delivered")</f>
        <v>Delivered</v>
      </c>
      <c r="AH2865" s="10" t="n">
        <f aca="false">IF(ISNUMBER(SEARCH("/",B2865)),DATE(VALUE(RIGHT(B2865,4)),VALUE(MID(B2865,4,2)),VALUE(LEFT(B2865,2))),IF(MID(B2865,5,1)="-",DATE(VALUE(LEFT(B2865,4)),VALUE(MID(B2865,6,2)),VALUE(RIGHT(B2865,2))),DATE(VALUE(RIGHT(B2865,4)),MATCH(MID(B2865,4,3),{"Jan","Feb","Mar","Apr","May","Jun","Jul","Aug","Sep","Oct","Nov","Dec"},0),VALUE(LEFT(B2865,2)))))</f>
        <v>45772</v>
      </c>
    </row>
    <row r="2866" customFormat="false" ht="15" hidden="false" customHeight="false" outlineLevel="0" collapsed="false">
      <c r="A2866" s="7" t="s">
        <v>5936</v>
      </c>
      <c r="B2866" s="7" t="s">
        <v>576</v>
      </c>
      <c r="C2866" s="7" t="s">
        <v>2260</v>
      </c>
      <c r="D2866" s="7" t="s">
        <v>5937</v>
      </c>
      <c r="E2866" s="7" t="s">
        <v>163</v>
      </c>
      <c r="F2866" s="7" t="s">
        <v>140</v>
      </c>
      <c r="G2866" s="7" t="s">
        <v>99</v>
      </c>
      <c r="H2866" s="7" t="n">
        <v>5</v>
      </c>
      <c r="I2866" s="7" t="n">
        <v>275</v>
      </c>
      <c r="J2866" s="7" t="n">
        <v>125</v>
      </c>
      <c r="K2866" s="7" t="s">
        <v>88</v>
      </c>
      <c r="L2866" s="7" t="s">
        <v>194</v>
      </c>
      <c r="M2866" s="7" t="n">
        <v>21</v>
      </c>
      <c r="N2866" s="7" t="n">
        <v>3</v>
      </c>
      <c r="O2866" s="7" t="str">
        <f aca="false">A2866&amp;"|"&amp;B2866&amp;"|"&amp;C2866&amp;"|"&amp;D2866&amp;"|"&amp;E2866&amp;"|"&amp;F2866&amp;"|"&amp;G2866&amp;"|"&amp;H2866&amp;"|"&amp;I2866&amp;"|"&amp;J2866&amp;"|"&amp;K2866&amp;"|"&amp;L2866&amp;"|"&amp;M2866&amp;"|"&amp;N2866</f>
        <v>ORD12279|2025-10-15|20:30|C0042|Biryani Baadshah|kolkata|Biryani|5|275|125|UPI|Delivered|21|3</v>
      </c>
      <c r="P2866" s="7" t="str">
        <f aca="false">IF(COUNTIF($O$2:O2866,O2866)&gt;1,"DUP","OK")</f>
        <v>OK</v>
      </c>
      <c r="Q2866" s="7" t="n">
        <f aca="false">COUNTBLANK(A2866:N2866)</f>
        <v>0</v>
      </c>
      <c r="R2866" s="7" t="n">
        <f aca="false">IF(A2866="",0,COUNTIFS($A$2:$A$3058,A2866,$P$2:$P$3058,"OK"))</f>
        <v>1</v>
      </c>
      <c r="S2866" s="7" t="str">
        <f aca="false">IF(OR(A2866="",P2866="DUP",R2866&lt;2),"",IF(Q2866=_xlfn.MINIFS($Q$2:$Q$3058,$A$2:$A$3058,A2866,$P$2:$P$3058,"OK"),"KEEP","DROP"))</f>
        <v/>
      </c>
      <c r="T2866" s="9" t="n">
        <f aca="false">IF(A2866="",1,0)</f>
        <v>0</v>
      </c>
      <c r="U2866" s="9" t="n">
        <f aca="false">IF(D2866="",1,0)</f>
        <v>0</v>
      </c>
      <c r="V2866" s="9" t="n">
        <f aca="false">IF(E2866="",1,0)</f>
        <v>0</v>
      </c>
      <c r="W2866" s="9" t="n">
        <f aca="false">IF(OR(H2866&lt;1,H2866&gt;10),1,0)</f>
        <v>0</v>
      </c>
      <c r="X2866" s="9" t="n">
        <f aca="false">IF(OR(I2866&lt;=0,I2866&gt;1500),1,0)</f>
        <v>0</v>
      </c>
      <c r="Y2866" s="9" t="n">
        <f aca="false">IF(J2866&gt;H2866*I2866,1,0)</f>
        <v>0</v>
      </c>
      <c r="Z2866" s="9" t="n">
        <f aca="false">IF(AND(N2866&lt;&gt;"",OR(N2866&lt;1,N2866&gt;5)),1,0)</f>
        <v>0</v>
      </c>
      <c r="AA2866" s="9" t="n">
        <f aca="false">IF(AND(M2866&lt;&gt;"",OR(M2866&lt;5,M2866&gt;180)),1,0)</f>
        <v>0</v>
      </c>
      <c r="AB2866" s="7" t="str">
        <f aca="false">IF(P2866="DUP","Exact duplicate row",IF(T2866=1,"Missing Order ID",IF(S2866="DROP","Duplicate Order ID (less complete row)",IF(U2866=1,"Missing Customer ID",IF(V2866=1,"Missing Restaurant name",IF(W2866=1,"Invalid/outlier quantity",IF(X2866=1,"Invalid/outlier unit price",IF(Y2866=1,"Discount greater than order value",""))))))))</f>
        <v/>
      </c>
      <c r="AC2866" s="7" t="str">
        <f aca="false">IF(AB2866="","KEEP","DROP")</f>
        <v>KEEP</v>
      </c>
      <c r="AD2866" s="7" t="str">
        <f aca="false">IF(TRIM(F2866)="",IFERROR(INDEX(Map_Tables!$I$4:$I$37,MATCH(TRIM(E2866),Map_Tables!$G$4:$G$37,0)),""),IFERROR(INDEX(Map_Tables!$B$4:$B$18,MATCH(TRIM(F2866),Map_Tables!$A$4:$A$18,0)),"CHECK"))</f>
        <v>Kolkata</v>
      </c>
      <c r="AE2866" s="7" t="str">
        <f aca="false">IF(TRIM(E2866)="","",IFERROR(INDEX(Map_Tables!$H$4:$H$37,MATCH(TRIM(E2866),Map_Tables!$G$4:$G$37,0)),"CHECK"))</f>
        <v>Biryani Baadshah</v>
      </c>
      <c r="AF2866" s="7" t="str">
        <f aca="false">IF(TRIM(K2866)="","Unknown",IFERROR(INDEX(Map_Tables!$E$4:$E$15,MATCH(TRIM(K2866),Map_Tables!$D$4:$D$15,0)),"CHECK"))</f>
        <v>UPI</v>
      </c>
      <c r="AG2866" s="7" t="str">
        <f aca="false">IF(LEFT(LOWER(TRIM(L2866)),6)="cancel","Cancelled","Delivered")</f>
        <v>Delivered</v>
      </c>
      <c r="AH2866" s="10" t="n">
        <f aca="false">IF(ISNUMBER(SEARCH("/",B2866)),DATE(VALUE(RIGHT(B2866,4)),VALUE(MID(B2866,4,2)),VALUE(LEFT(B2866,2))),IF(MID(B2866,5,1)="-",DATE(VALUE(LEFT(B2866,4)),VALUE(MID(B2866,6,2)),VALUE(RIGHT(B2866,2))),DATE(VALUE(RIGHT(B2866,4)),MATCH(MID(B2866,4,3),{"Jan","Feb","Mar","Apr","May","Jun","Jul","Aug","Sep","Oct","Nov","Dec"},0),VALUE(LEFT(B2866,2)))))</f>
        <v>45945</v>
      </c>
    </row>
    <row r="2867" customFormat="false" ht="15" hidden="false" customHeight="false" outlineLevel="0" collapsed="false">
      <c r="A2867" s="7" t="s">
        <v>5938</v>
      </c>
      <c r="B2867" s="7" t="s">
        <v>2846</v>
      </c>
      <c r="C2867" s="7" t="s">
        <v>683</v>
      </c>
      <c r="D2867" s="7" t="s">
        <v>5939</v>
      </c>
      <c r="E2867" s="7" t="s">
        <v>122</v>
      </c>
      <c r="F2867" s="7" t="s">
        <v>1557</v>
      </c>
      <c r="G2867" s="7" t="s">
        <v>123</v>
      </c>
      <c r="H2867" s="7" t="n">
        <v>3</v>
      </c>
      <c r="I2867" s="7" t="n">
        <v>325</v>
      </c>
      <c r="J2867" s="7" t="n">
        <v>40</v>
      </c>
      <c r="K2867" s="7" t="s">
        <v>112</v>
      </c>
      <c r="L2867" s="7" t="s">
        <v>194</v>
      </c>
      <c r="M2867" s="7" t="n">
        <v>38</v>
      </c>
      <c r="N2867" s="7" t="n">
        <v>3</v>
      </c>
      <c r="O2867" s="7" t="str">
        <f aca="false">A2867&amp;"|"&amp;B2867&amp;"|"&amp;C2867&amp;"|"&amp;D2867&amp;"|"&amp;E2867&amp;"|"&amp;F2867&amp;"|"&amp;G2867&amp;"|"&amp;H2867&amp;"|"&amp;I2867&amp;"|"&amp;J2867&amp;"|"&amp;K2867&amp;"|"&amp;L2867&amp;"|"&amp;M2867&amp;"|"&amp;N2867</f>
        <v>ORD12232|2025-10-11|10:57|C0471|Mumbai Pizza Co|Mumbai |Pizza|3|325|40|Cash on Delivery|Delivered|38|3</v>
      </c>
      <c r="P2867" s="7" t="str">
        <f aca="false">IF(COUNTIF($O$2:O2867,O2867)&gt;1,"DUP","OK")</f>
        <v>OK</v>
      </c>
      <c r="Q2867" s="7" t="n">
        <f aca="false">COUNTBLANK(A2867:N2867)</f>
        <v>0</v>
      </c>
      <c r="R2867" s="7" t="n">
        <f aca="false">IF(A2867="",0,COUNTIFS($A$2:$A$3058,A2867,$P$2:$P$3058,"OK"))</f>
        <v>1</v>
      </c>
      <c r="S2867" s="7" t="str">
        <f aca="false">IF(OR(A2867="",P2867="DUP",R2867&lt;2),"",IF(Q2867=_xlfn.MINIFS($Q$2:$Q$3058,$A$2:$A$3058,A2867,$P$2:$P$3058,"OK"),"KEEP","DROP"))</f>
        <v/>
      </c>
      <c r="T2867" s="9" t="n">
        <f aca="false">IF(A2867="",1,0)</f>
        <v>0</v>
      </c>
      <c r="U2867" s="9" t="n">
        <f aca="false">IF(D2867="",1,0)</f>
        <v>0</v>
      </c>
      <c r="V2867" s="9" t="n">
        <f aca="false">IF(E2867="",1,0)</f>
        <v>0</v>
      </c>
      <c r="W2867" s="9" t="n">
        <f aca="false">IF(OR(H2867&lt;1,H2867&gt;10),1,0)</f>
        <v>0</v>
      </c>
      <c r="X2867" s="9" t="n">
        <f aca="false">IF(OR(I2867&lt;=0,I2867&gt;1500),1,0)</f>
        <v>0</v>
      </c>
      <c r="Y2867" s="9" t="n">
        <f aca="false">IF(J2867&gt;H2867*I2867,1,0)</f>
        <v>0</v>
      </c>
      <c r="Z2867" s="9" t="n">
        <f aca="false">IF(AND(N2867&lt;&gt;"",OR(N2867&lt;1,N2867&gt;5)),1,0)</f>
        <v>0</v>
      </c>
      <c r="AA2867" s="9" t="n">
        <f aca="false">IF(AND(M2867&lt;&gt;"",OR(M2867&lt;5,M2867&gt;180)),1,0)</f>
        <v>0</v>
      </c>
      <c r="AB2867" s="7" t="str">
        <f aca="false">IF(P2867="DUP","Exact duplicate row",IF(T2867=1,"Missing Order ID",IF(S2867="DROP","Duplicate Order ID (less complete row)",IF(U2867=1,"Missing Customer ID",IF(V2867=1,"Missing Restaurant name",IF(W2867=1,"Invalid/outlier quantity",IF(X2867=1,"Invalid/outlier unit price",IF(Y2867=1,"Discount greater than order value",""))))))))</f>
        <v/>
      </c>
      <c r="AC2867" s="7" t="str">
        <f aca="false">IF(AB2867="","KEEP","DROP")</f>
        <v>KEEP</v>
      </c>
      <c r="AD2867" s="7" t="str">
        <f aca="false">IF(TRIM(F2867)="",IFERROR(INDEX(Map_Tables!$I$4:$I$37,MATCH(TRIM(E2867),Map_Tables!$G$4:$G$37,0)),""),IFERROR(INDEX(Map_Tables!$B$4:$B$18,MATCH(TRIM(F2867),Map_Tables!$A$4:$A$18,0)),"CHECK"))</f>
        <v>Mumbai</v>
      </c>
      <c r="AE2867" s="7" t="str">
        <f aca="false">IF(TRIM(E2867)="","",IFERROR(INDEX(Map_Tables!$H$4:$H$37,MATCH(TRIM(E2867),Map_Tables!$G$4:$G$37,0)),"CHECK"))</f>
        <v>Mumbai Pizza Co</v>
      </c>
      <c r="AF2867" s="7" t="str">
        <f aca="false">IF(TRIM(K2867)="","Unknown",IFERROR(INDEX(Map_Tables!$E$4:$E$15,MATCH(TRIM(K2867),Map_Tables!$D$4:$D$15,0)),"CHECK"))</f>
        <v>Cash on Delivery</v>
      </c>
      <c r="AG2867" s="7" t="str">
        <f aca="false">IF(LEFT(LOWER(TRIM(L2867)),6)="cancel","Cancelled","Delivered")</f>
        <v>Delivered</v>
      </c>
      <c r="AH2867" s="10" t="n">
        <f aca="false">IF(ISNUMBER(SEARCH("/",B2867)),DATE(VALUE(RIGHT(B2867,4)),VALUE(MID(B2867,4,2)),VALUE(LEFT(B2867,2))),IF(MID(B2867,5,1)="-",DATE(VALUE(LEFT(B2867,4)),VALUE(MID(B2867,6,2)),VALUE(RIGHT(B2867,2))),DATE(VALUE(RIGHT(B2867,4)),MATCH(MID(B2867,4,3),{"Jan","Feb","Mar","Apr","May","Jun","Jul","Aug","Sep","Oct","Nov","Dec"},0),VALUE(LEFT(B2867,2)))))</f>
        <v>45941</v>
      </c>
    </row>
    <row r="2868" customFormat="false" ht="15" hidden="false" customHeight="false" outlineLevel="0" collapsed="false">
      <c r="A2868" s="7" t="s">
        <v>5940</v>
      </c>
      <c r="B2868" s="7" t="s">
        <v>1249</v>
      </c>
      <c r="C2868" s="7" t="s">
        <v>1684</v>
      </c>
      <c r="D2868" s="7" t="s">
        <v>192</v>
      </c>
      <c r="E2868" s="7" t="s">
        <v>122</v>
      </c>
      <c r="F2868" s="7" t="s">
        <v>101</v>
      </c>
      <c r="G2868" s="7" t="s">
        <v>123</v>
      </c>
      <c r="H2868" s="7" t="n">
        <v>1</v>
      </c>
      <c r="I2868" s="7" t="n">
        <v>385</v>
      </c>
      <c r="J2868" s="7" t="n">
        <v>40</v>
      </c>
      <c r="K2868" s="7" t="s">
        <v>93</v>
      </c>
      <c r="L2868" s="7" t="s">
        <v>194</v>
      </c>
      <c r="M2868" s="7" t="n">
        <v>39</v>
      </c>
      <c r="N2868" s="7" t="n">
        <v>1</v>
      </c>
      <c r="O2868" s="7" t="str">
        <f aca="false">A2868&amp;"|"&amp;B2868&amp;"|"&amp;C2868&amp;"|"&amp;D2868&amp;"|"&amp;E2868&amp;"|"&amp;F2868&amp;"|"&amp;G2868&amp;"|"&amp;H2868&amp;"|"&amp;I2868&amp;"|"&amp;J2868&amp;"|"&amp;K2868&amp;"|"&amp;L2868&amp;"|"&amp;M2868&amp;"|"&amp;N2868</f>
        <v>ORD11608|2025-07-29|11:30|C0623|Mumbai Pizza Co|Mumbai|Pizza|1|385|40|Credit Card|Delivered|39|1</v>
      </c>
      <c r="P2868" s="7" t="str">
        <f aca="false">IF(COUNTIF($O$2:O2868,O2868)&gt;1,"DUP","OK")</f>
        <v>OK</v>
      </c>
      <c r="Q2868" s="7" t="n">
        <f aca="false">COUNTBLANK(A2868:N2868)</f>
        <v>0</v>
      </c>
      <c r="R2868" s="7" t="n">
        <f aca="false">IF(A2868="",0,COUNTIFS($A$2:$A$3058,A2868,$P$2:$P$3058,"OK"))</f>
        <v>1</v>
      </c>
      <c r="S2868" s="7" t="str">
        <f aca="false">IF(OR(A2868="",P2868="DUP",R2868&lt;2),"",IF(Q2868=_xlfn.MINIFS($Q$2:$Q$3058,$A$2:$A$3058,A2868,$P$2:$P$3058,"OK"),"KEEP","DROP"))</f>
        <v/>
      </c>
      <c r="T2868" s="9" t="n">
        <f aca="false">IF(A2868="",1,0)</f>
        <v>0</v>
      </c>
      <c r="U2868" s="9" t="n">
        <f aca="false">IF(D2868="",1,0)</f>
        <v>0</v>
      </c>
      <c r="V2868" s="9" t="n">
        <f aca="false">IF(E2868="",1,0)</f>
        <v>0</v>
      </c>
      <c r="W2868" s="9" t="n">
        <f aca="false">IF(OR(H2868&lt;1,H2868&gt;10),1,0)</f>
        <v>0</v>
      </c>
      <c r="X2868" s="9" t="n">
        <f aca="false">IF(OR(I2868&lt;=0,I2868&gt;1500),1,0)</f>
        <v>0</v>
      </c>
      <c r="Y2868" s="9" t="n">
        <f aca="false">IF(J2868&gt;H2868*I2868,1,0)</f>
        <v>0</v>
      </c>
      <c r="Z2868" s="9" t="n">
        <f aca="false">IF(AND(N2868&lt;&gt;"",OR(N2868&lt;1,N2868&gt;5)),1,0)</f>
        <v>0</v>
      </c>
      <c r="AA2868" s="9" t="n">
        <f aca="false">IF(AND(M2868&lt;&gt;"",OR(M2868&lt;5,M2868&gt;180)),1,0)</f>
        <v>0</v>
      </c>
      <c r="AB2868" s="7" t="str">
        <f aca="false">IF(P2868="DUP","Exact duplicate row",IF(T2868=1,"Missing Order ID",IF(S2868="DROP","Duplicate Order ID (less complete row)",IF(U2868=1,"Missing Customer ID",IF(V2868=1,"Missing Restaurant name",IF(W2868=1,"Invalid/outlier quantity",IF(X2868=1,"Invalid/outlier unit price",IF(Y2868=1,"Discount greater than order value",""))))))))</f>
        <v/>
      </c>
      <c r="AC2868" s="7" t="str">
        <f aca="false">IF(AB2868="","KEEP","DROP")</f>
        <v>KEEP</v>
      </c>
      <c r="AD2868" s="7" t="str">
        <f aca="false">IF(TRIM(F2868)="",IFERROR(INDEX(Map_Tables!$I$4:$I$37,MATCH(TRIM(E2868),Map_Tables!$G$4:$G$37,0)),""),IFERROR(INDEX(Map_Tables!$B$4:$B$18,MATCH(TRIM(F2868),Map_Tables!$A$4:$A$18,0)),"CHECK"))</f>
        <v>Mumbai</v>
      </c>
      <c r="AE2868" s="7" t="str">
        <f aca="false">IF(TRIM(E2868)="","",IFERROR(INDEX(Map_Tables!$H$4:$H$37,MATCH(TRIM(E2868),Map_Tables!$G$4:$G$37,0)),"CHECK"))</f>
        <v>Mumbai Pizza Co</v>
      </c>
      <c r="AF2868" s="7" t="str">
        <f aca="false">IF(TRIM(K2868)="","Unknown",IFERROR(INDEX(Map_Tables!$E$4:$E$15,MATCH(TRIM(K2868),Map_Tables!$D$4:$D$15,0)),"CHECK"))</f>
        <v>Credit Card</v>
      </c>
      <c r="AG2868" s="7" t="str">
        <f aca="false">IF(LEFT(LOWER(TRIM(L2868)),6)="cancel","Cancelled","Delivered")</f>
        <v>Delivered</v>
      </c>
      <c r="AH2868" s="10" t="n">
        <f aca="false">IF(ISNUMBER(SEARCH("/",B2868)),DATE(VALUE(RIGHT(B2868,4)),VALUE(MID(B2868,4,2)),VALUE(LEFT(B2868,2))),IF(MID(B2868,5,1)="-",DATE(VALUE(LEFT(B2868,4)),VALUE(MID(B2868,6,2)),VALUE(RIGHT(B2868,2))),DATE(VALUE(RIGHT(B2868,4)),MATCH(MID(B2868,4,3),{"Jan","Feb","Mar","Apr","May","Jun","Jul","Aug","Sep","Oct","Nov","Dec"},0),VALUE(LEFT(B2868,2)))))</f>
        <v>45867</v>
      </c>
    </row>
    <row r="2869" customFormat="false" ht="15" hidden="false" customHeight="false" outlineLevel="0" collapsed="false">
      <c r="A2869" s="7" t="s">
        <v>5941</v>
      </c>
      <c r="B2869" s="7" t="s">
        <v>938</v>
      </c>
      <c r="C2869" s="7" t="s">
        <v>1211</v>
      </c>
      <c r="D2869" s="7" t="s">
        <v>1254</v>
      </c>
      <c r="E2869" s="7" t="s">
        <v>155</v>
      </c>
      <c r="F2869" s="7" t="s">
        <v>128</v>
      </c>
      <c r="G2869" s="7" t="s">
        <v>156</v>
      </c>
      <c r="H2869" s="7" t="n">
        <v>3</v>
      </c>
      <c r="I2869" s="7" t="n">
        <v>365</v>
      </c>
      <c r="J2869" s="7" t="n">
        <v>125</v>
      </c>
      <c r="K2869" s="7" t="s">
        <v>1173</v>
      </c>
      <c r="L2869" s="7" t="s">
        <v>194</v>
      </c>
      <c r="M2869" s="7" t="n">
        <v>38</v>
      </c>
      <c r="N2869" s="7" t="n">
        <v>4</v>
      </c>
      <c r="O2869" s="7" t="str">
        <f aca="false">A2869&amp;"|"&amp;B2869&amp;"|"&amp;C2869&amp;"|"&amp;D2869&amp;"|"&amp;E2869&amp;"|"&amp;F2869&amp;"|"&amp;G2869&amp;"|"&amp;H2869&amp;"|"&amp;I2869&amp;"|"&amp;J2869&amp;"|"&amp;K2869&amp;"|"&amp;L2869&amp;"|"&amp;M2869&amp;"|"&amp;N2869</f>
        <v>ORD10874|2025-04-20|20:42|C0514|Green Bowl Kitchen|Chennai|Healthy Food|3|365|125|E-Wallet|Delivered|38|4</v>
      </c>
      <c r="P2869" s="7" t="str">
        <f aca="false">IF(COUNTIF($O$2:O2869,O2869)&gt;1,"DUP","OK")</f>
        <v>OK</v>
      </c>
      <c r="Q2869" s="7" t="n">
        <f aca="false">COUNTBLANK(A2869:N2869)</f>
        <v>0</v>
      </c>
      <c r="R2869" s="7" t="n">
        <f aca="false">IF(A2869="",0,COUNTIFS($A$2:$A$3058,A2869,$P$2:$P$3058,"OK"))</f>
        <v>1</v>
      </c>
      <c r="S2869" s="7" t="str">
        <f aca="false">IF(OR(A2869="",P2869="DUP",R2869&lt;2),"",IF(Q2869=_xlfn.MINIFS($Q$2:$Q$3058,$A$2:$A$3058,A2869,$P$2:$P$3058,"OK"),"KEEP","DROP"))</f>
        <v/>
      </c>
      <c r="T2869" s="9" t="n">
        <f aca="false">IF(A2869="",1,0)</f>
        <v>0</v>
      </c>
      <c r="U2869" s="9" t="n">
        <f aca="false">IF(D2869="",1,0)</f>
        <v>0</v>
      </c>
      <c r="V2869" s="9" t="n">
        <f aca="false">IF(E2869="",1,0)</f>
        <v>0</v>
      </c>
      <c r="W2869" s="9" t="n">
        <f aca="false">IF(OR(H2869&lt;1,H2869&gt;10),1,0)</f>
        <v>0</v>
      </c>
      <c r="X2869" s="9" t="n">
        <f aca="false">IF(OR(I2869&lt;=0,I2869&gt;1500),1,0)</f>
        <v>0</v>
      </c>
      <c r="Y2869" s="9" t="n">
        <f aca="false">IF(J2869&gt;H2869*I2869,1,0)</f>
        <v>0</v>
      </c>
      <c r="Z2869" s="9" t="n">
        <f aca="false">IF(AND(N2869&lt;&gt;"",OR(N2869&lt;1,N2869&gt;5)),1,0)</f>
        <v>0</v>
      </c>
      <c r="AA2869" s="9" t="n">
        <f aca="false">IF(AND(M2869&lt;&gt;"",OR(M2869&lt;5,M2869&gt;180)),1,0)</f>
        <v>0</v>
      </c>
      <c r="AB2869" s="7" t="str">
        <f aca="false">IF(P2869="DUP","Exact duplicate row",IF(T2869=1,"Missing Order ID",IF(S2869="DROP","Duplicate Order ID (less complete row)",IF(U2869=1,"Missing Customer ID",IF(V2869=1,"Missing Restaurant name",IF(W2869=1,"Invalid/outlier quantity",IF(X2869=1,"Invalid/outlier unit price",IF(Y2869=1,"Discount greater than order value",""))))))))</f>
        <v/>
      </c>
      <c r="AC2869" s="7" t="str">
        <f aca="false">IF(AB2869="","KEEP","DROP")</f>
        <v>KEEP</v>
      </c>
      <c r="AD2869" s="7" t="str">
        <f aca="false">IF(TRIM(F2869)="",IFERROR(INDEX(Map_Tables!$I$4:$I$37,MATCH(TRIM(E2869),Map_Tables!$G$4:$G$37,0)),""),IFERROR(INDEX(Map_Tables!$B$4:$B$18,MATCH(TRIM(F2869),Map_Tables!$A$4:$A$18,0)),"CHECK"))</f>
        <v>Chennai</v>
      </c>
      <c r="AE2869" s="7" t="str">
        <f aca="false">IF(TRIM(E2869)="","",IFERROR(INDEX(Map_Tables!$H$4:$H$37,MATCH(TRIM(E2869),Map_Tables!$G$4:$G$37,0)),"CHECK"))</f>
        <v>Green Bowl Kitchen</v>
      </c>
      <c r="AF2869" s="7" t="str">
        <f aca="false">IF(TRIM(K2869)="","Unknown",IFERROR(INDEX(Map_Tables!$E$4:$E$15,MATCH(TRIM(K2869),Map_Tables!$D$4:$D$15,0)),"CHECK"))</f>
        <v>Wallet</v>
      </c>
      <c r="AG2869" s="7" t="str">
        <f aca="false">IF(LEFT(LOWER(TRIM(L2869)),6)="cancel","Cancelled","Delivered")</f>
        <v>Delivered</v>
      </c>
      <c r="AH2869" s="10" t="n">
        <f aca="false">IF(ISNUMBER(SEARCH("/",B2869)),DATE(VALUE(RIGHT(B2869,4)),VALUE(MID(B2869,4,2)),VALUE(LEFT(B2869,2))),IF(MID(B2869,5,1)="-",DATE(VALUE(LEFT(B2869,4)),VALUE(MID(B2869,6,2)),VALUE(RIGHT(B2869,2))),DATE(VALUE(RIGHT(B2869,4)),MATCH(MID(B2869,4,3),{"Jan","Feb","Mar","Apr","May","Jun","Jul","Aug","Sep","Oct","Nov","Dec"},0),VALUE(LEFT(B2869,2)))))</f>
        <v>45767</v>
      </c>
    </row>
    <row r="2870" customFormat="false" ht="15" hidden="false" customHeight="false" outlineLevel="0" collapsed="false">
      <c r="A2870" s="7" t="s">
        <v>5942</v>
      </c>
      <c r="B2870" s="7" t="s">
        <v>629</v>
      </c>
      <c r="C2870" s="7" t="s">
        <v>4092</v>
      </c>
      <c r="D2870" s="7" t="s">
        <v>2111</v>
      </c>
      <c r="E2870" s="7" t="s">
        <v>149</v>
      </c>
      <c r="F2870" s="7" t="s">
        <v>119</v>
      </c>
      <c r="G2870" s="7" t="s">
        <v>150</v>
      </c>
      <c r="H2870" s="7" t="n">
        <v>2</v>
      </c>
      <c r="I2870" s="7" t="n">
        <v>185</v>
      </c>
      <c r="J2870" s="7" t="n">
        <v>125</v>
      </c>
      <c r="K2870" s="7" t="s">
        <v>121</v>
      </c>
      <c r="L2870" s="7" t="s">
        <v>194</v>
      </c>
      <c r="M2870" s="7" t="n">
        <v>30</v>
      </c>
      <c r="N2870" s="7" t="n">
        <v>3</v>
      </c>
      <c r="O2870" s="7" t="str">
        <f aca="false">A2870&amp;"|"&amp;B2870&amp;"|"&amp;C2870&amp;"|"&amp;D2870&amp;"|"&amp;E2870&amp;"|"&amp;F2870&amp;"|"&amp;G2870&amp;"|"&amp;H2870&amp;"|"&amp;I2870&amp;"|"&amp;J2870&amp;"|"&amp;K2870&amp;"|"&amp;L2870&amp;"|"&amp;M2870&amp;"|"&amp;N2870</f>
        <v>ORD12094|2025-09-26|23:22|C0080|Sweet Tooth Studio|Hyderabad|Desserts|2|185|125|Wallet|Delivered|30|3</v>
      </c>
      <c r="P2870" s="7" t="str">
        <f aca="false">IF(COUNTIF($O$2:O2870,O2870)&gt;1,"DUP","OK")</f>
        <v>OK</v>
      </c>
      <c r="Q2870" s="7" t="n">
        <f aca="false">COUNTBLANK(A2870:N2870)</f>
        <v>0</v>
      </c>
      <c r="R2870" s="7" t="n">
        <f aca="false">IF(A2870="",0,COUNTIFS($A$2:$A$3058,A2870,$P$2:$P$3058,"OK"))</f>
        <v>1</v>
      </c>
      <c r="S2870" s="7" t="str">
        <f aca="false">IF(OR(A2870="",P2870="DUP",R2870&lt;2),"",IF(Q2870=_xlfn.MINIFS($Q$2:$Q$3058,$A$2:$A$3058,A2870,$P$2:$P$3058,"OK"),"KEEP","DROP"))</f>
        <v/>
      </c>
      <c r="T2870" s="9" t="n">
        <f aca="false">IF(A2870="",1,0)</f>
        <v>0</v>
      </c>
      <c r="U2870" s="9" t="n">
        <f aca="false">IF(D2870="",1,0)</f>
        <v>0</v>
      </c>
      <c r="V2870" s="9" t="n">
        <f aca="false">IF(E2870="",1,0)</f>
        <v>0</v>
      </c>
      <c r="W2870" s="9" t="n">
        <f aca="false">IF(OR(H2870&lt;1,H2870&gt;10),1,0)</f>
        <v>0</v>
      </c>
      <c r="X2870" s="9" t="n">
        <f aca="false">IF(OR(I2870&lt;=0,I2870&gt;1500),1,0)</f>
        <v>0</v>
      </c>
      <c r="Y2870" s="9" t="n">
        <f aca="false">IF(J2870&gt;H2870*I2870,1,0)</f>
        <v>0</v>
      </c>
      <c r="Z2870" s="9" t="n">
        <f aca="false">IF(AND(N2870&lt;&gt;"",OR(N2870&lt;1,N2870&gt;5)),1,0)</f>
        <v>0</v>
      </c>
      <c r="AA2870" s="9" t="n">
        <f aca="false">IF(AND(M2870&lt;&gt;"",OR(M2870&lt;5,M2870&gt;180)),1,0)</f>
        <v>0</v>
      </c>
      <c r="AB2870" s="7" t="str">
        <f aca="false">IF(P2870="DUP","Exact duplicate row",IF(T2870=1,"Missing Order ID",IF(S2870="DROP","Duplicate Order ID (less complete row)",IF(U2870=1,"Missing Customer ID",IF(V2870=1,"Missing Restaurant name",IF(W2870=1,"Invalid/outlier quantity",IF(X2870=1,"Invalid/outlier unit price",IF(Y2870=1,"Discount greater than order value",""))))))))</f>
        <v/>
      </c>
      <c r="AC2870" s="7" t="str">
        <f aca="false">IF(AB2870="","KEEP","DROP")</f>
        <v>KEEP</v>
      </c>
      <c r="AD2870" s="7" t="str">
        <f aca="false">IF(TRIM(F2870)="",IFERROR(INDEX(Map_Tables!$I$4:$I$37,MATCH(TRIM(E2870),Map_Tables!$G$4:$G$37,0)),""),IFERROR(INDEX(Map_Tables!$B$4:$B$18,MATCH(TRIM(F2870),Map_Tables!$A$4:$A$18,0)),"CHECK"))</f>
        <v>Hyderabad</v>
      </c>
      <c r="AE2870" s="7" t="str">
        <f aca="false">IF(TRIM(E2870)="","",IFERROR(INDEX(Map_Tables!$H$4:$H$37,MATCH(TRIM(E2870),Map_Tables!$G$4:$G$37,0)),"CHECK"))</f>
        <v>Sweet Tooth Studio</v>
      </c>
      <c r="AF2870" s="7" t="str">
        <f aca="false">IF(TRIM(K2870)="","Unknown",IFERROR(INDEX(Map_Tables!$E$4:$E$15,MATCH(TRIM(K2870),Map_Tables!$D$4:$D$15,0)),"CHECK"))</f>
        <v>Wallet</v>
      </c>
      <c r="AG2870" s="7" t="str">
        <f aca="false">IF(LEFT(LOWER(TRIM(L2870)),6)="cancel","Cancelled","Delivered")</f>
        <v>Delivered</v>
      </c>
      <c r="AH2870" s="10" t="n">
        <f aca="false">IF(ISNUMBER(SEARCH("/",B2870)),DATE(VALUE(RIGHT(B2870,4)),VALUE(MID(B2870,4,2)),VALUE(LEFT(B2870,2))),IF(MID(B2870,5,1)="-",DATE(VALUE(LEFT(B2870,4)),VALUE(MID(B2870,6,2)),VALUE(RIGHT(B2870,2))),DATE(VALUE(RIGHT(B2870,4)),MATCH(MID(B2870,4,3),{"Jan","Feb","Mar","Apr","May","Jun","Jul","Aug","Sep","Oct","Nov","Dec"},0),VALUE(LEFT(B2870,2)))))</f>
        <v>45926</v>
      </c>
    </row>
    <row r="2871" customFormat="false" ht="15" hidden="false" customHeight="false" outlineLevel="0" collapsed="false">
      <c r="A2871" s="7" t="s">
        <v>5943</v>
      </c>
      <c r="B2871" s="7" t="s">
        <v>283</v>
      </c>
      <c r="C2871" s="7" t="s">
        <v>4952</v>
      </c>
      <c r="D2871" s="7" t="s">
        <v>336</v>
      </c>
      <c r="E2871" s="7" t="s">
        <v>3229</v>
      </c>
      <c r="F2871" s="7" t="s">
        <v>101</v>
      </c>
      <c r="G2871" s="7" t="s">
        <v>123</v>
      </c>
      <c r="H2871" s="7" t="n">
        <v>4</v>
      </c>
      <c r="I2871" s="7" t="n">
        <v>310</v>
      </c>
      <c r="J2871" s="7" t="n">
        <v>0</v>
      </c>
      <c r="K2871" s="7" t="s">
        <v>88</v>
      </c>
      <c r="L2871" s="7" t="s">
        <v>194</v>
      </c>
      <c r="M2871" s="7" t="n">
        <v>29</v>
      </c>
      <c r="N2871" s="7"/>
      <c r="O2871" s="7" t="str">
        <f aca="false">A2871&amp;"|"&amp;B2871&amp;"|"&amp;C2871&amp;"|"&amp;D2871&amp;"|"&amp;E2871&amp;"|"&amp;F2871&amp;"|"&amp;G2871&amp;"|"&amp;H2871&amp;"|"&amp;I2871&amp;"|"&amp;J2871&amp;"|"&amp;K2871&amp;"|"&amp;L2871&amp;"|"&amp;M2871&amp;"|"&amp;N2871</f>
        <v>ORD12447|2025-11-03|23:59|C1223|Mumbai Pizza Co |Mumbai|Pizza|4|310|0|UPI|Delivered|29|</v>
      </c>
      <c r="P2871" s="7" t="str">
        <f aca="false">IF(COUNTIF($O$2:O2871,O2871)&gt;1,"DUP","OK")</f>
        <v>OK</v>
      </c>
      <c r="Q2871" s="7" t="n">
        <f aca="false">COUNTBLANK(A2871:N2871)</f>
        <v>1</v>
      </c>
      <c r="R2871" s="7" t="n">
        <f aca="false">IF(A2871="",0,COUNTIFS($A$2:$A$3058,A2871,$P$2:$P$3058,"OK"))</f>
        <v>1</v>
      </c>
      <c r="S2871" s="7" t="str">
        <f aca="false">IF(OR(A2871="",P2871="DUP",R2871&lt;2),"",IF(Q2871=_xlfn.MINIFS($Q$2:$Q$3058,$A$2:$A$3058,A2871,$P$2:$P$3058,"OK"),"KEEP","DROP"))</f>
        <v/>
      </c>
      <c r="T2871" s="9" t="n">
        <f aca="false">IF(A2871="",1,0)</f>
        <v>0</v>
      </c>
      <c r="U2871" s="9" t="n">
        <f aca="false">IF(D2871="",1,0)</f>
        <v>0</v>
      </c>
      <c r="V2871" s="9" t="n">
        <f aca="false">IF(E2871="",1,0)</f>
        <v>0</v>
      </c>
      <c r="W2871" s="9" t="n">
        <f aca="false">IF(OR(H2871&lt;1,H2871&gt;10),1,0)</f>
        <v>0</v>
      </c>
      <c r="X2871" s="9" t="n">
        <f aca="false">IF(OR(I2871&lt;=0,I2871&gt;1500),1,0)</f>
        <v>0</v>
      </c>
      <c r="Y2871" s="9" t="n">
        <f aca="false">IF(J2871&gt;H2871*I2871,1,0)</f>
        <v>0</v>
      </c>
      <c r="Z2871" s="9" t="n">
        <f aca="false">IF(AND(N2871&lt;&gt;"",OR(N2871&lt;1,N2871&gt;5)),1,0)</f>
        <v>0</v>
      </c>
      <c r="AA2871" s="9" t="n">
        <f aca="false">IF(AND(M2871&lt;&gt;"",OR(M2871&lt;5,M2871&gt;180)),1,0)</f>
        <v>0</v>
      </c>
      <c r="AB2871" s="7" t="str">
        <f aca="false">IF(P2871="DUP","Exact duplicate row",IF(T2871=1,"Missing Order ID",IF(S2871="DROP","Duplicate Order ID (less complete row)",IF(U2871=1,"Missing Customer ID",IF(V2871=1,"Missing Restaurant name",IF(W2871=1,"Invalid/outlier quantity",IF(X2871=1,"Invalid/outlier unit price",IF(Y2871=1,"Discount greater than order value",""))))))))</f>
        <v/>
      </c>
      <c r="AC2871" s="7" t="str">
        <f aca="false">IF(AB2871="","KEEP","DROP")</f>
        <v>KEEP</v>
      </c>
      <c r="AD2871" s="7" t="str">
        <f aca="false">IF(TRIM(F2871)="",IFERROR(INDEX(Map_Tables!$I$4:$I$37,MATCH(TRIM(E2871),Map_Tables!$G$4:$G$37,0)),""),IFERROR(INDEX(Map_Tables!$B$4:$B$18,MATCH(TRIM(F2871),Map_Tables!$A$4:$A$18,0)),"CHECK"))</f>
        <v>Mumbai</v>
      </c>
      <c r="AE2871" s="7" t="str">
        <f aca="false">IF(TRIM(E2871)="","",IFERROR(INDEX(Map_Tables!$H$4:$H$37,MATCH(TRIM(E2871),Map_Tables!$G$4:$G$37,0)),"CHECK"))</f>
        <v>Mumbai Pizza Co</v>
      </c>
      <c r="AF2871" s="7" t="str">
        <f aca="false">IF(TRIM(K2871)="","Unknown",IFERROR(INDEX(Map_Tables!$E$4:$E$15,MATCH(TRIM(K2871),Map_Tables!$D$4:$D$15,0)),"CHECK"))</f>
        <v>UPI</v>
      </c>
      <c r="AG2871" s="7" t="str">
        <f aca="false">IF(LEFT(LOWER(TRIM(L2871)),6)="cancel","Cancelled","Delivered")</f>
        <v>Delivered</v>
      </c>
      <c r="AH2871" s="10" t="n">
        <f aca="false">IF(ISNUMBER(SEARCH("/",B2871)),DATE(VALUE(RIGHT(B2871,4)),VALUE(MID(B2871,4,2)),VALUE(LEFT(B2871,2))),IF(MID(B2871,5,1)="-",DATE(VALUE(LEFT(B2871,4)),VALUE(MID(B2871,6,2)),VALUE(RIGHT(B2871,2))),DATE(VALUE(RIGHT(B2871,4)),MATCH(MID(B2871,4,3),{"Jan","Feb","Mar","Apr","May","Jun","Jul","Aug","Sep","Oct","Nov","Dec"},0),VALUE(LEFT(B2871,2)))))</f>
        <v>45964</v>
      </c>
    </row>
    <row r="2872" customFormat="false" ht="15" hidden="false" customHeight="false" outlineLevel="0" collapsed="false">
      <c r="A2872" s="7" t="s">
        <v>5944</v>
      </c>
      <c r="B2872" s="7" t="s">
        <v>1104</v>
      </c>
      <c r="C2872" s="7" t="s">
        <v>4807</v>
      </c>
      <c r="D2872" s="7" t="s">
        <v>3584</v>
      </c>
      <c r="E2872" s="7" t="s">
        <v>154</v>
      </c>
      <c r="F2872" s="7" t="s">
        <v>128</v>
      </c>
      <c r="G2872" s="7" t="s">
        <v>99</v>
      </c>
      <c r="H2872" s="7" t="n">
        <v>2</v>
      </c>
      <c r="I2872" s="7" t="n">
        <v>235</v>
      </c>
      <c r="J2872" s="7" t="n">
        <v>0</v>
      </c>
      <c r="K2872" s="7" t="s">
        <v>88</v>
      </c>
      <c r="L2872" s="7" t="s">
        <v>194</v>
      </c>
      <c r="M2872" s="7" t="n">
        <v>42</v>
      </c>
      <c r="N2872" s="7" t="n">
        <v>4</v>
      </c>
      <c r="O2872" s="7" t="str">
        <f aca="false">A2872&amp;"|"&amp;B2872&amp;"|"&amp;C2872&amp;"|"&amp;D2872&amp;"|"&amp;E2872&amp;"|"&amp;F2872&amp;"|"&amp;G2872&amp;"|"&amp;H2872&amp;"|"&amp;I2872&amp;"|"&amp;J2872&amp;"|"&amp;K2872&amp;"|"&amp;L2872&amp;"|"&amp;M2872&amp;"|"&amp;N2872</f>
        <v>ORD10476|2025-03-04|22:39|C1188|Madras Biryani Co|Chennai|Biryani|2|235|0|UPI|Delivered|42|4</v>
      </c>
      <c r="P2872" s="7" t="str">
        <f aca="false">IF(COUNTIF($O$2:O2872,O2872)&gt;1,"DUP","OK")</f>
        <v>OK</v>
      </c>
      <c r="Q2872" s="7" t="n">
        <f aca="false">COUNTBLANK(A2872:N2872)</f>
        <v>0</v>
      </c>
      <c r="R2872" s="7" t="n">
        <f aca="false">IF(A2872="",0,COUNTIFS($A$2:$A$3058,A2872,$P$2:$P$3058,"OK"))</f>
        <v>1</v>
      </c>
      <c r="S2872" s="7" t="str">
        <f aca="false">IF(OR(A2872="",P2872="DUP",R2872&lt;2),"",IF(Q2872=_xlfn.MINIFS($Q$2:$Q$3058,$A$2:$A$3058,A2872,$P$2:$P$3058,"OK"),"KEEP","DROP"))</f>
        <v/>
      </c>
      <c r="T2872" s="9" t="n">
        <f aca="false">IF(A2872="",1,0)</f>
        <v>0</v>
      </c>
      <c r="U2872" s="9" t="n">
        <f aca="false">IF(D2872="",1,0)</f>
        <v>0</v>
      </c>
      <c r="V2872" s="9" t="n">
        <f aca="false">IF(E2872="",1,0)</f>
        <v>0</v>
      </c>
      <c r="W2872" s="9" t="n">
        <f aca="false">IF(OR(H2872&lt;1,H2872&gt;10),1,0)</f>
        <v>0</v>
      </c>
      <c r="X2872" s="9" t="n">
        <f aca="false">IF(OR(I2872&lt;=0,I2872&gt;1500),1,0)</f>
        <v>0</v>
      </c>
      <c r="Y2872" s="9" t="n">
        <f aca="false">IF(J2872&gt;H2872*I2872,1,0)</f>
        <v>0</v>
      </c>
      <c r="Z2872" s="9" t="n">
        <f aca="false">IF(AND(N2872&lt;&gt;"",OR(N2872&lt;1,N2872&gt;5)),1,0)</f>
        <v>0</v>
      </c>
      <c r="AA2872" s="9" t="n">
        <f aca="false">IF(AND(M2872&lt;&gt;"",OR(M2872&lt;5,M2872&gt;180)),1,0)</f>
        <v>0</v>
      </c>
      <c r="AB2872" s="7" t="str">
        <f aca="false">IF(P2872="DUP","Exact duplicate row",IF(T2872=1,"Missing Order ID",IF(S2872="DROP","Duplicate Order ID (less complete row)",IF(U2872=1,"Missing Customer ID",IF(V2872=1,"Missing Restaurant name",IF(W2872=1,"Invalid/outlier quantity",IF(X2872=1,"Invalid/outlier unit price",IF(Y2872=1,"Discount greater than order value",""))))))))</f>
        <v/>
      </c>
      <c r="AC2872" s="7" t="str">
        <f aca="false">IF(AB2872="","KEEP","DROP")</f>
        <v>KEEP</v>
      </c>
      <c r="AD2872" s="7" t="str">
        <f aca="false">IF(TRIM(F2872)="",IFERROR(INDEX(Map_Tables!$I$4:$I$37,MATCH(TRIM(E2872),Map_Tables!$G$4:$G$37,0)),""),IFERROR(INDEX(Map_Tables!$B$4:$B$18,MATCH(TRIM(F2872),Map_Tables!$A$4:$A$18,0)),"CHECK"))</f>
        <v>Chennai</v>
      </c>
      <c r="AE2872" s="7" t="str">
        <f aca="false">IF(TRIM(E2872)="","",IFERROR(INDEX(Map_Tables!$H$4:$H$37,MATCH(TRIM(E2872),Map_Tables!$G$4:$G$37,0)),"CHECK"))</f>
        <v>Madras Biryani Co</v>
      </c>
      <c r="AF2872" s="7" t="str">
        <f aca="false">IF(TRIM(K2872)="","Unknown",IFERROR(INDEX(Map_Tables!$E$4:$E$15,MATCH(TRIM(K2872),Map_Tables!$D$4:$D$15,0)),"CHECK"))</f>
        <v>UPI</v>
      </c>
      <c r="AG2872" s="7" t="str">
        <f aca="false">IF(LEFT(LOWER(TRIM(L2872)),6)="cancel","Cancelled","Delivered")</f>
        <v>Delivered</v>
      </c>
      <c r="AH2872" s="10" t="n">
        <f aca="false">IF(ISNUMBER(SEARCH("/",B2872)),DATE(VALUE(RIGHT(B2872,4)),VALUE(MID(B2872,4,2)),VALUE(LEFT(B2872,2))),IF(MID(B2872,5,1)="-",DATE(VALUE(LEFT(B2872,4)),VALUE(MID(B2872,6,2)),VALUE(RIGHT(B2872,2))),DATE(VALUE(RIGHT(B2872,4)),MATCH(MID(B2872,4,3),{"Jan","Feb","Mar","Apr","May","Jun","Jul","Aug","Sep","Oct","Nov","Dec"},0),VALUE(LEFT(B2872,2)))))</f>
        <v>45720</v>
      </c>
    </row>
    <row r="2873" customFormat="false" ht="15" hidden="false" customHeight="false" outlineLevel="0" collapsed="false">
      <c r="A2873" s="7" t="s">
        <v>5945</v>
      </c>
      <c r="B2873" s="7" t="s">
        <v>1500</v>
      </c>
      <c r="C2873" s="7" t="s">
        <v>5946</v>
      </c>
      <c r="D2873" s="7" t="s">
        <v>5947</v>
      </c>
      <c r="E2873" s="7" t="s">
        <v>147</v>
      </c>
      <c r="F2873" s="7" t="s">
        <v>119</v>
      </c>
      <c r="G2873" s="7" t="s">
        <v>95</v>
      </c>
      <c r="H2873" s="7" t="n">
        <v>3</v>
      </c>
      <c r="I2873" s="7" t="n">
        <v>120</v>
      </c>
      <c r="J2873" s="7" t="n">
        <v>30</v>
      </c>
      <c r="K2873" s="7" t="s">
        <v>112</v>
      </c>
      <c r="L2873" s="7" t="s">
        <v>194</v>
      </c>
      <c r="M2873" s="7" t="n">
        <v>36</v>
      </c>
      <c r="N2873" s="7"/>
      <c r="O2873" s="7" t="str">
        <f aca="false">A2873&amp;"|"&amp;B2873&amp;"|"&amp;C2873&amp;"|"&amp;D2873&amp;"|"&amp;E2873&amp;"|"&amp;F2873&amp;"|"&amp;G2873&amp;"|"&amp;H2873&amp;"|"&amp;I2873&amp;"|"&amp;J2873&amp;"|"&amp;K2873&amp;"|"&amp;L2873&amp;"|"&amp;M2873&amp;"|"&amp;N2873</f>
        <v>ORD11653|2025-08-04|11:11|C1050|Andhra Meals Mess|Hyderabad|South Indian|3|120|30|Cash on Delivery|Delivered|36|</v>
      </c>
      <c r="P2873" s="7" t="str">
        <f aca="false">IF(COUNTIF($O$2:O2873,O2873)&gt;1,"DUP","OK")</f>
        <v>OK</v>
      </c>
      <c r="Q2873" s="7" t="n">
        <f aca="false">COUNTBLANK(A2873:N2873)</f>
        <v>1</v>
      </c>
      <c r="R2873" s="7" t="n">
        <f aca="false">IF(A2873="",0,COUNTIFS($A$2:$A$3058,A2873,$P$2:$P$3058,"OK"))</f>
        <v>1</v>
      </c>
      <c r="S2873" s="7" t="str">
        <f aca="false">IF(OR(A2873="",P2873="DUP",R2873&lt;2),"",IF(Q2873=_xlfn.MINIFS($Q$2:$Q$3058,$A$2:$A$3058,A2873,$P$2:$P$3058,"OK"),"KEEP","DROP"))</f>
        <v/>
      </c>
      <c r="T2873" s="9" t="n">
        <f aca="false">IF(A2873="",1,0)</f>
        <v>0</v>
      </c>
      <c r="U2873" s="9" t="n">
        <f aca="false">IF(D2873="",1,0)</f>
        <v>0</v>
      </c>
      <c r="V2873" s="9" t="n">
        <f aca="false">IF(E2873="",1,0)</f>
        <v>0</v>
      </c>
      <c r="W2873" s="9" t="n">
        <f aca="false">IF(OR(H2873&lt;1,H2873&gt;10),1,0)</f>
        <v>0</v>
      </c>
      <c r="X2873" s="9" t="n">
        <f aca="false">IF(OR(I2873&lt;=0,I2873&gt;1500),1,0)</f>
        <v>0</v>
      </c>
      <c r="Y2873" s="9" t="n">
        <f aca="false">IF(J2873&gt;H2873*I2873,1,0)</f>
        <v>0</v>
      </c>
      <c r="Z2873" s="9" t="n">
        <f aca="false">IF(AND(N2873&lt;&gt;"",OR(N2873&lt;1,N2873&gt;5)),1,0)</f>
        <v>0</v>
      </c>
      <c r="AA2873" s="9" t="n">
        <f aca="false">IF(AND(M2873&lt;&gt;"",OR(M2873&lt;5,M2873&gt;180)),1,0)</f>
        <v>0</v>
      </c>
      <c r="AB2873" s="7" t="str">
        <f aca="false">IF(P2873="DUP","Exact duplicate row",IF(T2873=1,"Missing Order ID",IF(S2873="DROP","Duplicate Order ID (less complete row)",IF(U2873=1,"Missing Customer ID",IF(V2873=1,"Missing Restaurant name",IF(W2873=1,"Invalid/outlier quantity",IF(X2873=1,"Invalid/outlier unit price",IF(Y2873=1,"Discount greater than order value",""))))))))</f>
        <v/>
      </c>
      <c r="AC2873" s="7" t="str">
        <f aca="false">IF(AB2873="","KEEP","DROP")</f>
        <v>KEEP</v>
      </c>
      <c r="AD2873" s="7" t="str">
        <f aca="false">IF(TRIM(F2873)="",IFERROR(INDEX(Map_Tables!$I$4:$I$37,MATCH(TRIM(E2873),Map_Tables!$G$4:$G$37,0)),""),IFERROR(INDEX(Map_Tables!$B$4:$B$18,MATCH(TRIM(F2873),Map_Tables!$A$4:$A$18,0)),"CHECK"))</f>
        <v>Hyderabad</v>
      </c>
      <c r="AE2873" s="7" t="str">
        <f aca="false">IF(TRIM(E2873)="","",IFERROR(INDEX(Map_Tables!$H$4:$H$37,MATCH(TRIM(E2873),Map_Tables!$G$4:$G$37,0)),"CHECK"))</f>
        <v>Andhra Meals Mess</v>
      </c>
      <c r="AF2873" s="7" t="str">
        <f aca="false">IF(TRIM(K2873)="","Unknown",IFERROR(INDEX(Map_Tables!$E$4:$E$15,MATCH(TRIM(K2873),Map_Tables!$D$4:$D$15,0)),"CHECK"))</f>
        <v>Cash on Delivery</v>
      </c>
      <c r="AG2873" s="7" t="str">
        <f aca="false">IF(LEFT(LOWER(TRIM(L2873)),6)="cancel","Cancelled","Delivered")</f>
        <v>Delivered</v>
      </c>
      <c r="AH2873" s="10" t="n">
        <f aca="false">IF(ISNUMBER(SEARCH("/",B2873)),DATE(VALUE(RIGHT(B2873,4)),VALUE(MID(B2873,4,2)),VALUE(LEFT(B2873,2))),IF(MID(B2873,5,1)="-",DATE(VALUE(LEFT(B2873,4)),VALUE(MID(B2873,6,2)),VALUE(RIGHT(B2873,2))),DATE(VALUE(RIGHT(B2873,4)),MATCH(MID(B2873,4,3),{"Jan","Feb","Mar","Apr","May","Jun","Jul","Aug","Sep","Oct","Nov","Dec"},0),VALUE(LEFT(B2873,2)))))</f>
        <v>45873</v>
      </c>
    </row>
    <row r="2874" customFormat="false" ht="15" hidden="false" customHeight="false" outlineLevel="0" collapsed="false">
      <c r="A2874" s="7" t="s">
        <v>5948</v>
      </c>
      <c r="B2874" s="7" t="s">
        <v>1187</v>
      </c>
      <c r="C2874" s="7" t="s">
        <v>2559</v>
      </c>
      <c r="D2874" s="7" t="s">
        <v>1366</v>
      </c>
      <c r="E2874" s="7" t="s">
        <v>154</v>
      </c>
      <c r="F2874" s="7" t="s">
        <v>702</v>
      </c>
      <c r="G2874" s="7" t="s">
        <v>99</v>
      </c>
      <c r="H2874" s="7" t="n">
        <v>3</v>
      </c>
      <c r="I2874" s="7" t="n">
        <v>325</v>
      </c>
      <c r="J2874" s="7" t="n">
        <v>40</v>
      </c>
      <c r="K2874" s="7" t="s">
        <v>112</v>
      </c>
      <c r="L2874" s="7" t="s">
        <v>238</v>
      </c>
      <c r="M2874" s="7"/>
      <c r="N2874" s="7"/>
      <c r="O2874" s="7" t="str">
        <f aca="false">A2874&amp;"|"&amp;B2874&amp;"|"&amp;C2874&amp;"|"&amp;D2874&amp;"|"&amp;E2874&amp;"|"&amp;F2874&amp;"|"&amp;G2874&amp;"|"&amp;H2874&amp;"|"&amp;I2874&amp;"|"&amp;J2874&amp;"|"&amp;K2874&amp;"|"&amp;L2874&amp;"|"&amp;M2874&amp;"|"&amp;N2874</f>
        <v>ORD11961|2025-09-11|18:20|C1112|Madras Biryani Co|CHENNAI |Biryani|3|325|40|Cash on Delivery|Cancelled||</v>
      </c>
      <c r="P2874" s="7" t="str">
        <f aca="false">IF(COUNTIF($O$2:O2874,O2874)&gt;1,"DUP","OK")</f>
        <v>OK</v>
      </c>
      <c r="Q2874" s="7" t="n">
        <f aca="false">COUNTBLANK(A2874:N2874)</f>
        <v>2</v>
      </c>
      <c r="R2874" s="7" t="n">
        <f aca="false">IF(A2874="",0,COUNTIFS($A$2:$A$3058,A2874,$P$2:$P$3058,"OK"))</f>
        <v>1</v>
      </c>
      <c r="S2874" s="7" t="str">
        <f aca="false">IF(OR(A2874="",P2874="DUP",R2874&lt;2),"",IF(Q2874=_xlfn.MINIFS($Q$2:$Q$3058,$A$2:$A$3058,A2874,$P$2:$P$3058,"OK"),"KEEP","DROP"))</f>
        <v/>
      </c>
      <c r="T2874" s="9" t="n">
        <f aca="false">IF(A2874="",1,0)</f>
        <v>0</v>
      </c>
      <c r="U2874" s="9" t="n">
        <f aca="false">IF(D2874="",1,0)</f>
        <v>0</v>
      </c>
      <c r="V2874" s="9" t="n">
        <f aca="false">IF(E2874="",1,0)</f>
        <v>0</v>
      </c>
      <c r="W2874" s="9" t="n">
        <f aca="false">IF(OR(H2874&lt;1,H2874&gt;10),1,0)</f>
        <v>0</v>
      </c>
      <c r="X2874" s="9" t="n">
        <f aca="false">IF(OR(I2874&lt;=0,I2874&gt;1500),1,0)</f>
        <v>0</v>
      </c>
      <c r="Y2874" s="9" t="n">
        <f aca="false">IF(J2874&gt;H2874*I2874,1,0)</f>
        <v>0</v>
      </c>
      <c r="Z2874" s="9" t="n">
        <f aca="false">IF(AND(N2874&lt;&gt;"",OR(N2874&lt;1,N2874&gt;5)),1,0)</f>
        <v>0</v>
      </c>
      <c r="AA2874" s="9" t="n">
        <f aca="false">IF(AND(M2874&lt;&gt;"",OR(M2874&lt;5,M2874&gt;180)),1,0)</f>
        <v>0</v>
      </c>
      <c r="AB2874" s="7" t="str">
        <f aca="false">IF(P2874="DUP","Exact duplicate row",IF(T2874=1,"Missing Order ID",IF(S2874="DROP","Duplicate Order ID (less complete row)",IF(U2874=1,"Missing Customer ID",IF(V2874=1,"Missing Restaurant name",IF(W2874=1,"Invalid/outlier quantity",IF(X2874=1,"Invalid/outlier unit price",IF(Y2874=1,"Discount greater than order value",""))))))))</f>
        <v/>
      </c>
      <c r="AC2874" s="7" t="str">
        <f aca="false">IF(AB2874="","KEEP","DROP")</f>
        <v>KEEP</v>
      </c>
      <c r="AD2874" s="7" t="str">
        <f aca="false">IF(TRIM(F2874)="",IFERROR(INDEX(Map_Tables!$I$4:$I$37,MATCH(TRIM(E2874),Map_Tables!$G$4:$G$37,0)),""),IFERROR(INDEX(Map_Tables!$B$4:$B$18,MATCH(TRIM(F2874),Map_Tables!$A$4:$A$18,0)),"CHECK"))</f>
        <v>Chennai</v>
      </c>
      <c r="AE2874" s="7" t="str">
        <f aca="false">IF(TRIM(E2874)="","",IFERROR(INDEX(Map_Tables!$H$4:$H$37,MATCH(TRIM(E2874),Map_Tables!$G$4:$G$37,0)),"CHECK"))</f>
        <v>Madras Biryani Co</v>
      </c>
      <c r="AF2874" s="7" t="str">
        <f aca="false">IF(TRIM(K2874)="","Unknown",IFERROR(INDEX(Map_Tables!$E$4:$E$15,MATCH(TRIM(K2874),Map_Tables!$D$4:$D$15,0)),"CHECK"))</f>
        <v>Cash on Delivery</v>
      </c>
      <c r="AG2874" s="7" t="str">
        <f aca="false">IF(LEFT(LOWER(TRIM(L2874)),6)="cancel","Cancelled","Delivered")</f>
        <v>Cancelled</v>
      </c>
      <c r="AH2874" s="10" t="n">
        <f aca="false">IF(ISNUMBER(SEARCH("/",B2874)),DATE(VALUE(RIGHT(B2874,4)),VALUE(MID(B2874,4,2)),VALUE(LEFT(B2874,2))),IF(MID(B2874,5,1)="-",DATE(VALUE(LEFT(B2874,4)),VALUE(MID(B2874,6,2)),VALUE(RIGHT(B2874,2))),DATE(VALUE(RIGHT(B2874,4)),MATCH(MID(B2874,4,3),{"Jan","Feb","Mar","Apr","May","Jun","Jul","Aug","Sep","Oct","Nov","Dec"},0),VALUE(LEFT(B2874,2)))))</f>
        <v>45911</v>
      </c>
    </row>
    <row r="2875" customFormat="false" ht="15" hidden="false" customHeight="false" outlineLevel="0" collapsed="false">
      <c r="A2875" s="7" t="s">
        <v>781</v>
      </c>
      <c r="B2875" s="7" t="s">
        <v>782</v>
      </c>
      <c r="C2875" s="7" t="s">
        <v>783</v>
      </c>
      <c r="D2875" s="7" t="s">
        <v>784</v>
      </c>
      <c r="E2875" s="7" t="s">
        <v>94</v>
      </c>
      <c r="F2875" s="7" t="s">
        <v>785</v>
      </c>
      <c r="G2875" s="7" t="s">
        <v>95</v>
      </c>
      <c r="H2875" s="7" t="n">
        <v>4</v>
      </c>
      <c r="I2875" s="7" t="n">
        <v>145</v>
      </c>
      <c r="J2875" s="7" t="n">
        <v>125</v>
      </c>
      <c r="K2875" s="7" t="s">
        <v>88</v>
      </c>
      <c r="L2875" s="7" t="s">
        <v>194</v>
      </c>
      <c r="M2875" s="7" t="n">
        <v>43</v>
      </c>
      <c r="N2875" s="7" t="n">
        <v>5</v>
      </c>
      <c r="O2875" s="7" t="str">
        <f aca="false">A2875&amp;"|"&amp;B2875&amp;"|"&amp;C2875&amp;"|"&amp;D2875&amp;"|"&amp;E2875&amp;"|"&amp;F2875&amp;"|"&amp;G2875&amp;"|"&amp;H2875&amp;"|"&amp;I2875&amp;"|"&amp;J2875&amp;"|"&amp;K2875&amp;"|"&amp;L2875&amp;"|"&amp;M2875&amp;"|"&amp;N2875</f>
        <v>ORD10046|2025-01-07|15:33|C0674|Dosa Darbar|Bengaluru |South Indian|4|145|125|UPI|Delivered|43|5</v>
      </c>
      <c r="P2875" s="7" t="str">
        <f aca="false">IF(COUNTIF($O$2:O2875,O2875)&gt;1,"DUP","OK")</f>
        <v>DUP</v>
      </c>
      <c r="Q2875" s="7" t="n">
        <f aca="false">COUNTBLANK(A2875:N2875)</f>
        <v>0</v>
      </c>
      <c r="R2875" s="7" t="n">
        <f aca="false">IF(A2875="",0,COUNTIFS($A$2:$A$3058,A2875,$P$2:$P$3058,"OK"))</f>
        <v>1</v>
      </c>
      <c r="S2875" s="7" t="str">
        <f aca="false">IF(OR(A2875="",P2875="DUP",R2875&lt;2),"",IF(Q2875=_xlfn.MINIFS($Q$2:$Q$3058,$A$2:$A$3058,A2875,$P$2:$P$3058,"OK"),"KEEP","DROP"))</f>
        <v/>
      </c>
      <c r="T2875" s="9" t="n">
        <f aca="false">IF(A2875="",1,0)</f>
        <v>0</v>
      </c>
      <c r="U2875" s="9" t="n">
        <f aca="false">IF(D2875="",1,0)</f>
        <v>0</v>
      </c>
      <c r="V2875" s="9" t="n">
        <f aca="false">IF(E2875="",1,0)</f>
        <v>0</v>
      </c>
      <c r="W2875" s="9" t="n">
        <f aca="false">IF(OR(H2875&lt;1,H2875&gt;10),1,0)</f>
        <v>0</v>
      </c>
      <c r="X2875" s="9" t="n">
        <f aca="false">IF(OR(I2875&lt;=0,I2875&gt;1500),1,0)</f>
        <v>0</v>
      </c>
      <c r="Y2875" s="9" t="n">
        <f aca="false">IF(J2875&gt;H2875*I2875,1,0)</f>
        <v>0</v>
      </c>
      <c r="Z2875" s="9" t="n">
        <f aca="false">IF(AND(N2875&lt;&gt;"",OR(N2875&lt;1,N2875&gt;5)),1,0)</f>
        <v>0</v>
      </c>
      <c r="AA2875" s="9" t="n">
        <f aca="false">IF(AND(M2875&lt;&gt;"",OR(M2875&lt;5,M2875&gt;180)),1,0)</f>
        <v>0</v>
      </c>
      <c r="AB2875" s="7" t="str">
        <f aca="false">IF(P2875="DUP","Exact duplicate row",IF(T2875=1,"Missing Order ID",IF(S2875="DROP","Duplicate Order ID (less complete row)",IF(U2875=1,"Missing Customer ID",IF(V2875=1,"Missing Restaurant name",IF(W2875=1,"Invalid/outlier quantity",IF(X2875=1,"Invalid/outlier unit price",IF(Y2875=1,"Discount greater than order value",""))))))))</f>
        <v>Exact duplicate row</v>
      </c>
      <c r="AC2875" s="7" t="str">
        <f aca="false">IF(AB2875="","KEEP","DROP")</f>
        <v>DROP</v>
      </c>
      <c r="AD2875" s="7" t="str">
        <f aca="false">IF(TRIM(F2875)="",IFERROR(INDEX(Map_Tables!$I$4:$I$37,MATCH(TRIM(E2875),Map_Tables!$G$4:$G$37,0)),""),IFERROR(INDEX(Map_Tables!$B$4:$B$18,MATCH(TRIM(F2875),Map_Tables!$A$4:$A$18,0)),"CHECK"))</f>
        <v>Bengaluru</v>
      </c>
      <c r="AE2875" s="7" t="str">
        <f aca="false">IF(TRIM(E2875)="","",IFERROR(INDEX(Map_Tables!$H$4:$H$37,MATCH(TRIM(E2875),Map_Tables!$G$4:$G$37,0)),"CHECK"))</f>
        <v>Dosa Darbar</v>
      </c>
      <c r="AF2875" s="7" t="str">
        <f aca="false">IF(TRIM(K2875)="","Unknown",IFERROR(INDEX(Map_Tables!$E$4:$E$15,MATCH(TRIM(K2875),Map_Tables!$D$4:$D$15,0)),"CHECK"))</f>
        <v>UPI</v>
      </c>
      <c r="AG2875" s="7" t="str">
        <f aca="false">IF(LEFT(LOWER(TRIM(L2875)),6)="cancel","Cancelled","Delivered")</f>
        <v>Delivered</v>
      </c>
      <c r="AH2875" s="10" t="n">
        <f aca="false">IF(ISNUMBER(SEARCH("/",B2875)),DATE(VALUE(RIGHT(B2875,4)),VALUE(MID(B2875,4,2)),VALUE(LEFT(B2875,2))),IF(MID(B2875,5,1)="-",DATE(VALUE(LEFT(B2875,4)),VALUE(MID(B2875,6,2)),VALUE(RIGHT(B2875,2))),DATE(VALUE(RIGHT(B2875,4)),MATCH(MID(B2875,4,3),{"Jan","Feb","Mar","Apr","May","Jun","Jul","Aug","Sep","Oct","Nov","Dec"},0),VALUE(LEFT(B2875,2)))))</f>
        <v>45664</v>
      </c>
    </row>
    <row r="2876" customFormat="false" ht="15" hidden="false" customHeight="false" outlineLevel="0" collapsed="false">
      <c r="A2876" s="7" t="s">
        <v>5949</v>
      </c>
      <c r="B2876" s="7" t="s">
        <v>3200</v>
      </c>
      <c r="C2876" s="7" t="s">
        <v>2260</v>
      </c>
      <c r="D2876" s="7" t="s">
        <v>1257</v>
      </c>
      <c r="E2876" s="7" t="s">
        <v>159</v>
      </c>
      <c r="F2876" s="7" t="s">
        <v>136</v>
      </c>
      <c r="G2876" s="7" t="s">
        <v>90</v>
      </c>
      <c r="H2876" s="7" t="n">
        <v>2</v>
      </c>
      <c r="I2876" s="7" t="n">
        <v>255</v>
      </c>
      <c r="J2876" s="7" t="n">
        <v>0</v>
      </c>
      <c r="K2876" s="7" t="s">
        <v>88</v>
      </c>
      <c r="L2876" s="7" t="s">
        <v>194</v>
      </c>
      <c r="M2876" s="7" t="n">
        <v>36</v>
      </c>
      <c r="N2876" s="7" t="n">
        <v>3</v>
      </c>
      <c r="O2876" s="7" t="str">
        <f aca="false">A2876&amp;"|"&amp;B2876&amp;"|"&amp;C2876&amp;"|"&amp;D2876&amp;"|"&amp;E2876&amp;"|"&amp;F2876&amp;"|"&amp;G2876&amp;"|"&amp;H2876&amp;"|"&amp;I2876&amp;"|"&amp;J2876&amp;"|"&amp;K2876&amp;"|"&amp;L2876&amp;"|"&amp;M2876&amp;"|"&amp;N2876</f>
        <v>ORD10162|2025-01-21|20:30|C0909|Maratha Thali House|Pune|North Indian|2|255|0|UPI|Delivered|36|3</v>
      </c>
      <c r="P2876" s="7" t="str">
        <f aca="false">IF(COUNTIF($O$2:O2876,O2876)&gt;1,"DUP","OK")</f>
        <v>OK</v>
      </c>
      <c r="Q2876" s="7" t="n">
        <f aca="false">COUNTBLANK(A2876:N2876)</f>
        <v>0</v>
      </c>
      <c r="R2876" s="7" t="n">
        <f aca="false">IF(A2876="",0,COUNTIFS($A$2:$A$3058,A2876,$P$2:$P$3058,"OK"))</f>
        <v>1</v>
      </c>
      <c r="S2876" s="7" t="str">
        <f aca="false">IF(OR(A2876="",P2876="DUP",R2876&lt;2),"",IF(Q2876=_xlfn.MINIFS($Q$2:$Q$3058,$A$2:$A$3058,A2876,$P$2:$P$3058,"OK"),"KEEP","DROP"))</f>
        <v/>
      </c>
      <c r="T2876" s="9" t="n">
        <f aca="false">IF(A2876="",1,0)</f>
        <v>0</v>
      </c>
      <c r="U2876" s="9" t="n">
        <f aca="false">IF(D2876="",1,0)</f>
        <v>0</v>
      </c>
      <c r="V2876" s="9" t="n">
        <f aca="false">IF(E2876="",1,0)</f>
        <v>0</v>
      </c>
      <c r="W2876" s="9" t="n">
        <f aca="false">IF(OR(H2876&lt;1,H2876&gt;10),1,0)</f>
        <v>0</v>
      </c>
      <c r="X2876" s="9" t="n">
        <f aca="false">IF(OR(I2876&lt;=0,I2876&gt;1500),1,0)</f>
        <v>0</v>
      </c>
      <c r="Y2876" s="9" t="n">
        <f aca="false">IF(J2876&gt;H2876*I2876,1,0)</f>
        <v>0</v>
      </c>
      <c r="Z2876" s="9" t="n">
        <f aca="false">IF(AND(N2876&lt;&gt;"",OR(N2876&lt;1,N2876&gt;5)),1,0)</f>
        <v>0</v>
      </c>
      <c r="AA2876" s="9" t="n">
        <f aca="false">IF(AND(M2876&lt;&gt;"",OR(M2876&lt;5,M2876&gt;180)),1,0)</f>
        <v>0</v>
      </c>
      <c r="AB2876" s="7" t="str">
        <f aca="false">IF(P2876="DUP","Exact duplicate row",IF(T2876=1,"Missing Order ID",IF(S2876="DROP","Duplicate Order ID (less complete row)",IF(U2876=1,"Missing Customer ID",IF(V2876=1,"Missing Restaurant name",IF(W2876=1,"Invalid/outlier quantity",IF(X2876=1,"Invalid/outlier unit price",IF(Y2876=1,"Discount greater than order value",""))))))))</f>
        <v/>
      </c>
      <c r="AC2876" s="7" t="str">
        <f aca="false">IF(AB2876="","KEEP","DROP")</f>
        <v>KEEP</v>
      </c>
      <c r="AD2876" s="7" t="str">
        <f aca="false">IF(TRIM(F2876)="",IFERROR(INDEX(Map_Tables!$I$4:$I$37,MATCH(TRIM(E2876),Map_Tables!$G$4:$G$37,0)),""),IFERROR(INDEX(Map_Tables!$B$4:$B$18,MATCH(TRIM(F2876),Map_Tables!$A$4:$A$18,0)),"CHECK"))</f>
        <v>Pune</v>
      </c>
      <c r="AE2876" s="7" t="str">
        <f aca="false">IF(TRIM(E2876)="","",IFERROR(INDEX(Map_Tables!$H$4:$H$37,MATCH(TRIM(E2876),Map_Tables!$G$4:$G$37,0)),"CHECK"))</f>
        <v>Maratha Thali House</v>
      </c>
      <c r="AF2876" s="7" t="str">
        <f aca="false">IF(TRIM(K2876)="","Unknown",IFERROR(INDEX(Map_Tables!$E$4:$E$15,MATCH(TRIM(K2876),Map_Tables!$D$4:$D$15,0)),"CHECK"))</f>
        <v>UPI</v>
      </c>
      <c r="AG2876" s="7" t="str">
        <f aca="false">IF(LEFT(LOWER(TRIM(L2876)),6)="cancel","Cancelled","Delivered")</f>
        <v>Delivered</v>
      </c>
      <c r="AH2876" s="10" t="n">
        <f aca="false">IF(ISNUMBER(SEARCH("/",B2876)),DATE(VALUE(RIGHT(B2876,4)),VALUE(MID(B2876,4,2)),VALUE(LEFT(B2876,2))),IF(MID(B2876,5,1)="-",DATE(VALUE(LEFT(B2876,4)),VALUE(MID(B2876,6,2)),VALUE(RIGHT(B2876,2))),DATE(VALUE(RIGHT(B2876,4)),MATCH(MID(B2876,4,3),{"Jan","Feb","Mar","Apr","May","Jun","Jul","Aug","Sep","Oct","Nov","Dec"},0),VALUE(LEFT(B2876,2)))))</f>
        <v>45678</v>
      </c>
    </row>
    <row r="2877" customFormat="false" ht="15" hidden="false" customHeight="false" outlineLevel="0" collapsed="false">
      <c r="A2877" s="7" t="s">
        <v>5950</v>
      </c>
      <c r="B2877" s="7" t="s">
        <v>824</v>
      </c>
      <c r="C2877" s="7" t="s">
        <v>1933</v>
      </c>
      <c r="D2877" s="7" t="s">
        <v>525</v>
      </c>
      <c r="E2877" s="7" t="s">
        <v>126</v>
      </c>
      <c r="F2877" s="7" t="s">
        <v>1557</v>
      </c>
      <c r="G2877" s="7" t="s">
        <v>105</v>
      </c>
      <c r="H2877" s="7" t="n">
        <v>2</v>
      </c>
      <c r="I2877" s="7" t="n">
        <v>215</v>
      </c>
      <c r="J2877" s="7" t="n">
        <v>0</v>
      </c>
      <c r="K2877" s="7" t="s">
        <v>88</v>
      </c>
      <c r="L2877" s="7" t="s">
        <v>194</v>
      </c>
      <c r="M2877" s="7" t="n">
        <v>48</v>
      </c>
      <c r="N2877" s="7" t="n">
        <v>3</v>
      </c>
      <c r="O2877" s="7" t="str">
        <f aca="false">A2877&amp;"|"&amp;B2877&amp;"|"&amp;C2877&amp;"|"&amp;D2877&amp;"|"&amp;E2877&amp;"|"&amp;F2877&amp;"|"&amp;G2877&amp;"|"&amp;H2877&amp;"|"&amp;I2877&amp;"|"&amp;J2877&amp;"|"&amp;K2877&amp;"|"&amp;L2877&amp;"|"&amp;M2877&amp;"|"&amp;N2877</f>
        <v>ORD12776|2025-12-05|21:02|C0747|Dragon Express|Mumbai |Chinese|2|215|0|UPI|Delivered|48|3</v>
      </c>
      <c r="P2877" s="7" t="str">
        <f aca="false">IF(COUNTIF($O$2:O2877,O2877)&gt;1,"DUP","OK")</f>
        <v>OK</v>
      </c>
      <c r="Q2877" s="7" t="n">
        <f aca="false">COUNTBLANK(A2877:N2877)</f>
        <v>0</v>
      </c>
      <c r="R2877" s="7" t="n">
        <f aca="false">IF(A2877="",0,COUNTIFS($A$2:$A$3058,A2877,$P$2:$P$3058,"OK"))</f>
        <v>1</v>
      </c>
      <c r="S2877" s="7" t="str">
        <f aca="false">IF(OR(A2877="",P2877="DUP",R2877&lt;2),"",IF(Q2877=_xlfn.MINIFS($Q$2:$Q$3058,$A$2:$A$3058,A2877,$P$2:$P$3058,"OK"),"KEEP","DROP"))</f>
        <v/>
      </c>
      <c r="T2877" s="9" t="n">
        <f aca="false">IF(A2877="",1,0)</f>
        <v>0</v>
      </c>
      <c r="U2877" s="9" t="n">
        <f aca="false">IF(D2877="",1,0)</f>
        <v>0</v>
      </c>
      <c r="V2877" s="9" t="n">
        <f aca="false">IF(E2877="",1,0)</f>
        <v>0</v>
      </c>
      <c r="W2877" s="9" t="n">
        <f aca="false">IF(OR(H2877&lt;1,H2877&gt;10),1,0)</f>
        <v>0</v>
      </c>
      <c r="X2877" s="9" t="n">
        <f aca="false">IF(OR(I2877&lt;=0,I2877&gt;1500),1,0)</f>
        <v>0</v>
      </c>
      <c r="Y2877" s="9" t="n">
        <f aca="false">IF(J2877&gt;H2877*I2877,1,0)</f>
        <v>0</v>
      </c>
      <c r="Z2877" s="9" t="n">
        <f aca="false">IF(AND(N2877&lt;&gt;"",OR(N2877&lt;1,N2877&gt;5)),1,0)</f>
        <v>0</v>
      </c>
      <c r="AA2877" s="9" t="n">
        <f aca="false">IF(AND(M2877&lt;&gt;"",OR(M2877&lt;5,M2877&gt;180)),1,0)</f>
        <v>0</v>
      </c>
      <c r="AB2877" s="7" t="str">
        <f aca="false">IF(P2877="DUP","Exact duplicate row",IF(T2877=1,"Missing Order ID",IF(S2877="DROP","Duplicate Order ID (less complete row)",IF(U2877=1,"Missing Customer ID",IF(V2877=1,"Missing Restaurant name",IF(W2877=1,"Invalid/outlier quantity",IF(X2877=1,"Invalid/outlier unit price",IF(Y2877=1,"Discount greater than order value",""))))))))</f>
        <v/>
      </c>
      <c r="AC2877" s="7" t="str">
        <f aca="false">IF(AB2877="","KEEP","DROP")</f>
        <v>KEEP</v>
      </c>
      <c r="AD2877" s="7" t="str">
        <f aca="false">IF(TRIM(F2877)="",IFERROR(INDEX(Map_Tables!$I$4:$I$37,MATCH(TRIM(E2877),Map_Tables!$G$4:$G$37,0)),""),IFERROR(INDEX(Map_Tables!$B$4:$B$18,MATCH(TRIM(F2877),Map_Tables!$A$4:$A$18,0)),"CHECK"))</f>
        <v>Mumbai</v>
      </c>
      <c r="AE2877" s="7" t="str">
        <f aca="false">IF(TRIM(E2877)="","",IFERROR(INDEX(Map_Tables!$H$4:$H$37,MATCH(TRIM(E2877),Map_Tables!$G$4:$G$37,0)),"CHECK"))</f>
        <v>Dragon Express</v>
      </c>
      <c r="AF2877" s="7" t="str">
        <f aca="false">IF(TRIM(K2877)="","Unknown",IFERROR(INDEX(Map_Tables!$E$4:$E$15,MATCH(TRIM(K2877),Map_Tables!$D$4:$D$15,0)),"CHECK"))</f>
        <v>UPI</v>
      </c>
      <c r="AG2877" s="7" t="str">
        <f aca="false">IF(LEFT(LOWER(TRIM(L2877)),6)="cancel","Cancelled","Delivered")</f>
        <v>Delivered</v>
      </c>
      <c r="AH2877" s="10" t="n">
        <f aca="false">IF(ISNUMBER(SEARCH("/",B2877)),DATE(VALUE(RIGHT(B2877,4)),VALUE(MID(B2877,4,2)),VALUE(LEFT(B2877,2))),IF(MID(B2877,5,1)="-",DATE(VALUE(LEFT(B2877,4)),VALUE(MID(B2877,6,2)),VALUE(RIGHT(B2877,2))),DATE(VALUE(RIGHT(B2877,4)),MATCH(MID(B2877,4,3),{"Jan","Feb","Mar","Apr","May","Jun","Jul","Aug","Sep","Oct","Nov","Dec"},0),VALUE(LEFT(B2877,2)))))</f>
        <v>45996</v>
      </c>
    </row>
    <row r="2878" customFormat="false" ht="15" hidden="false" customHeight="false" outlineLevel="0" collapsed="false">
      <c r="A2878" s="7" t="s">
        <v>5951</v>
      </c>
      <c r="B2878" s="7" t="s">
        <v>4130</v>
      </c>
      <c r="C2878" s="7" t="s">
        <v>3023</v>
      </c>
      <c r="D2878" s="7" t="s">
        <v>2148</v>
      </c>
      <c r="E2878" s="7" t="s">
        <v>116</v>
      </c>
      <c r="F2878" s="7" t="s">
        <v>100</v>
      </c>
      <c r="G2878" s="7" t="s">
        <v>117</v>
      </c>
      <c r="H2878" s="7" t="n">
        <v>2</v>
      </c>
      <c r="I2878" s="7" t="n">
        <v>125</v>
      </c>
      <c r="J2878" s="7" t="n">
        <v>100</v>
      </c>
      <c r="K2878" s="7" t="s">
        <v>133</v>
      </c>
      <c r="L2878" s="7" t="s">
        <v>194</v>
      </c>
      <c r="M2878" s="7" t="n">
        <v>41</v>
      </c>
      <c r="N2878" s="7" t="n">
        <v>3</v>
      </c>
      <c r="O2878" s="7" t="str">
        <f aca="false">A2878&amp;"|"&amp;B2878&amp;"|"&amp;C2878&amp;"|"&amp;D2878&amp;"|"&amp;E2878&amp;"|"&amp;F2878&amp;"|"&amp;G2878&amp;"|"&amp;H2878&amp;"|"&amp;I2878&amp;"|"&amp;J2878&amp;"|"&amp;K2878&amp;"|"&amp;L2878&amp;"|"&amp;M2878&amp;"|"&amp;N2878</f>
        <v>ORD12678|2025-11-25|21:54|C0948|Pav Bhaji Point|mumbai|Street Food|2|125|100|Net Banking|Delivered|41|3</v>
      </c>
      <c r="P2878" s="7" t="str">
        <f aca="false">IF(COUNTIF($O$2:O2878,O2878)&gt;1,"DUP","OK")</f>
        <v>OK</v>
      </c>
      <c r="Q2878" s="7" t="n">
        <f aca="false">COUNTBLANK(A2878:N2878)</f>
        <v>0</v>
      </c>
      <c r="R2878" s="7" t="n">
        <f aca="false">IF(A2878="",0,COUNTIFS($A$2:$A$3058,A2878,$P$2:$P$3058,"OK"))</f>
        <v>1</v>
      </c>
      <c r="S2878" s="7" t="str">
        <f aca="false">IF(OR(A2878="",P2878="DUP",R2878&lt;2),"",IF(Q2878=_xlfn.MINIFS($Q$2:$Q$3058,$A$2:$A$3058,A2878,$P$2:$P$3058,"OK"),"KEEP","DROP"))</f>
        <v/>
      </c>
      <c r="T2878" s="9" t="n">
        <f aca="false">IF(A2878="",1,0)</f>
        <v>0</v>
      </c>
      <c r="U2878" s="9" t="n">
        <f aca="false">IF(D2878="",1,0)</f>
        <v>0</v>
      </c>
      <c r="V2878" s="9" t="n">
        <f aca="false">IF(E2878="",1,0)</f>
        <v>0</v>
      </c>
      <c r="W2878" s="9" t="n">
        <f aca="false">IF(OR(H2878&lt;1,H2878&gt;10),1,0)</f>
        <v>0</v>
      </c>
      <c r="X2878" s="9" t="n">
        <f aca="false">IF(OR(I2878&lt;=0,I2878&gt;1500),1,0)</f>
        <v>0</v>
      </c>
      <c r="Y2878" s="9" t="n">
        <f aca="false">IF(J2878&gt;H2878*I2878,1,0)</f>
        <v>0</v>
      </c>
      <c r="Z2878" s="9" t="n">
        <f aca="false">IF(AND(N2878&lt;&gt;"",OR(N2878&lt;1,N2878&gt;5)),1,0)</f>
        <v>0</v>
      </c>
      <c r="AA2878" s="9" t="n">
        <f aca="false">IF(AND(M2878&lt;&gt;"",OR(M2878&lt;5,M2878&gt;180)),1,0)</f>
        <v>0</v>
      </c>
      <c r="AB2878" s="7" t="str">
        <f aca="false">IF(P2878="DUP","Exact duplicate row",IF(T2878=1,"Missing Order ID",IF(S2878="DROP","Duplicate Order ID (less complete row)",IF(U2878=1,"Missing Customer ID",IF(V2878=1,"Missing Restaurant name",IF(W2878=1,"Invalid/outlier quantity",IF(X2878=1,"Invalid/outlier unit price",IF(Y2878=1,"Discount greater than order value",""))))))))</f>
        <v/>
      </c>
      <c r="AC2878" s="7" t="str">
        <f aca="false">IF(AB2878="","KEEP","DROP")</f>
        <v>KEEP</v>
      </c>
      <c r="AD2878" s="7" t="str">
        <f aca="false">IF(TRIM(F2878)="",IFERROR(INDEX(Map_Tables!$I$4:$I$37,MATCH(TRIM(E2878),Map_Tables!$G$4:$G$37,0)),""),IFERROR(INDEX(Map_Tables!$B$4:$B$18,MATCH(TRIM(F2878),Map_Tables!$A$4:$A$18,0)),"CHECK"))</f>
        <v>Mumbai</v>
      </c>
      <c r="AE2878" s="7" t="str">
        <f aca="false">IF(TRIM(E2878)="","",IFERROR(INDEX(Map_Tables!$H$4:$H$37,MATCH(TRIM(E2878),Map_Tables!$G$4:$G$37,0)),"CHECK"))</f>
        <v>Pav Bhaji Point</v>
      </c>
      <c r="AF2878" s="7" t="str">
        <f aca="false">IF(TRIM(K2878)="","Unknown",IFERROR(INDEX(Map_Tables!$E$4:$E$15,MATCH(TRIM(K2878),Map_Tables!$D$4:$D$15,0)),"CHECK"))</f>
        <v>Net Banking</v>
      </c>
      <c r="AG2878" s="7" t="str">
        <f aca="false">IF(LEFT(LOWER(TRIM(L2878)),6)="cancel","Cancelled","Delivered")</f>
        <v>Delivered</v>
      </c>
      <c r="AH2878" s="10" t="n">
        <f aca="false">IF(ISNUMBER(SEARCH("/",B2878)),DATE(VALUE(RIGHT(B2878,4)),VALUE(MID(B2878,4,2)),VALUE(LEFT(B2878,2))),IF(MID(B2878,5,1)="-",DATE(VALUE(LEFT(B2878,4)),VALUE(MID(B2878,6,2)),VALUE(RIGHT(B2878,2))),DATE(VALUE(RIGHT(B2878,4)),MATCH(MID(B2878,4,3),{"Jan","Feb","Mar","Apr","May","Jun","Jul","Aug","Sep","Oct","Nov","Dec"},0),VALUE(LEFT(B2878,2)))))</f>
        <v>45986</v>
      </c>
    </row>
    <row r="2879" customFormat="false" ht="15" hidden="false" customHeight="false" outlineLevel="0" collapsed="false">
      <c r="A2879" s="7" t="s">
        <v>5952</v>
      </c>
      <c r="B2879" s="7" t="s">
        <v>5953</v>
      </c>
      <c r="C2879" s="7" t="s">
        <v>2699</v>
      </c>
      <c r="D2879" s="7" t="s">
        <v>5954</v>
      </c>
      <c r="E2879" s="7" t="s">
        <v>152</v>
      </c>
      <c r="F2879" s="7" t="s">
        <v>128</v>
      </c>
      <c r="G2879" s="7" t="s">
        <v>95</v>
      </c>
      <c r="H2879" s="7" t="n">
        <v>4</v>
      </c>
      <c r="I2879" s="7" t="n">
        <v>105</v>
      </c>
      <c r="J2879" s="7" t="n">
        <v>50</v>
      </c>
      <c r="K2879" s="7" t="s">
        <v>93</v>
      </c>
      <c r="L2879" s="7" t="s">
        <v>194</v>
      </c>
      <c r="M2879" s="7" t="n">
        <v>22</v>
      </c>
      <c r="N2879" s="7" t="n">
        <v>4</v>
      </c>
      <c r="O2879" s="7" t="str">
        <f aca="false">A2879&amp;"|"&amp;B2879&amp;"|"&amp;C2879&amp;"|"&amp;D2879&amp;"|"&amp;E2879&amp;"|"&amp;F2879&amp;"|"&amp;G2879&amp;"|"&amp;H2879&amp;"|"&amp;I2879&amp;"|"&amp;J2879&amp;"|"&amp;K2879&amp;"|"&amp;L2879&amp;"|"&amp;M2879&amp;"|"&amp;N2879</f>
        <v>ORD10289|08/02/2025|18:08|C0841|Filter Coffee &amp; Tiffin|Chennai|South Indian|4|105|50|Credit Card|Delivered|22|4</v>
      </c>
      <c r="P2879" s="7" t="str">
        <f aca="false">IF(COUNTIF($O$2:O2879,O2879)&gt;1,"DUP","OK")</f>
        <v>OK</v>
      </c>
      <c r="Q2879" s="7" t="n">
        <f aca="false">COUNTBLANK(A2879:N2879)</f>
        <v>0</v>
      </c>
      <c r="R2879" s="7" t="n">
        <f aca="false">IF(A2879="",0,COUNTIFS($A$2:$A$3058,A2879,$P$2:$P$3058,"OK"))</f>
        <v>1</v>
      </c>
      <c r="S2879" s="7" t="str">
        <f aca="false">IF(OR(A2879="",P2879="DUP",R2879&lt;2),"",IF(Q2879=_xlfn.MINIFS($Q$2:$Q$3058,$A$2:$A$3058,A2879,$P$2:$P$3058,"OK"),"KEEP","DROP"))</f>
        <v/>
      </c>
      <c r="T2879" s="9" t="n">
        <f aca="false">IF(A2879="",1,0)</f>
        <v>0</v>
      </c>
      <c r="U2879" s="9" t="n">
        <f aca="false">IF(D2879="",1,0)</f>
        <v>0</v>
      </c>
      <c r="V2879" s="9" t="n">
        <f aca="false">IF(E2879="",1,0)</f>
        <v>0</v>
      </c>
      <c r="W2879" s="9" t="n">
        <f aca="false">IF(OR(H2879&lt;1,H2879&gt;10),1,0)</f>
        <v>0</v>
      </c>
      <c r="X2879" s="9" t="n">
        <f aca="false">IF(OR(I2879&lt;=0,I2879&gt;1500),1,0)</f>
        <v>0</v>
      </c>
      <c r="Y2879" s="9" t="n">
        <f aca="false">IF(J2879&gt;H2879*I2879,1,0)</f>
        <v>0</v>
      </c>
      <c r="Z2879" s="9" t="n">
        <f aca="false">IF(AND(N2879&lt;&gt;"",OR(N2879&lt;1,N2879&gt;5)),1,0)</f>
        <v>0</v>
      </c>
      <c r="AA2879" s="9" t="n">
        <f aca="false">IF(AND(M2879&lt;&gt;"",OR(M2879&lt;5,M2879&gt;180)),1,0)</f>
        <v>0</v>
      </c>
      <c r="AB2879" s="7" t="str">
        <f aca="false">IF(P2879="DUP","Exact duplicate row",IF(T2879=1,"Missing Order ID",IF(S2879="DROP","Duplicate Order ID (less complete row)",IF(U2879=1,"Missing Customer ID",IF(V2879=1,"Missing Restaurant name",IF(W2879=1,"Invalid/outlier quantity",IF(X2879=1,"Invalid/outlier unit price",IF(Y2879=1,"Discount greater than order value",""))))))))</f>
        <v/>
      </c>
      <c r="AC2879" s="7" t="str">
        <f aca="false">IF(AB2879="","KEEP","DROP")</f>
        <v>KEEP</v>
      </c>
      <c r="AD2879" s="7" t="str">
        <f aca="false">IF(TRIM(F2879)="",IFERROR(INDEX(Map_Tables!$I$4:$I$37,MATCH(TRIM(E2879),Map_Tables!$G$4:$G$37,0)),""),IFERROR(INDEX(Map_Tables!$B$4:$B$18,MATCH(TRIM(F2879),Map_Tables!$A$4:$A$18,0)),"CHECK"))</f>
        <v>Chennai</v>
      </c>
      <c r="AE2879" s="7" t="str">
        <f aca="false">IF(TRIM(E2879)="","",IFERROR(INDEX(Map_Tables!$H$4:$H$37,MATCH(TRIM(E2879),Map_Tables!$G$4:$G$37,0)),"CHECK"))</f>
        <v>Filter Coffee &amp; Tiffin</v>
      </c>
      <c r="AF2879" s="7" t="str">
        <f aca="false">IF(TRIM(K2879)="","Unknown",IFERROR(INDEX(Map_Tables!$E$4:$E$15,MATCH(TRIM(K2879),Map_Tables!$D$4:$D$15,0)),"CHECK"))</f>
        <v>Credit Card</v>
      </c>
      <c r="AG2879" s="7" t="str">
        <f aca="false">IF(LEFT(LOWER(TRIM(L2879)),6)="cancel","Cancelled","Delivered")</f>
        <v>Delivered</v>
      </c>
      <c r="AH2879" s="10" t="n">
        <f aca="false">IF(ISNUMBER(SEARCH("/",B2879)),DATE(VALUE(RIGHT(B2879,4)),VALUE(MID(B2879,4,2)),VALUE(LEFT(B2879,2))),IF(MID(B2879,5,1)="-",DATE(VALUE(LEFT(B2879,4)),VALUE(MID(B2879,6,2)),VALUE(RIGHT(B2879,2))),DATE(VALUE(RIGHT(B2879,4)),MATCH(MID(B2879,4,3),{"Jan","Feb","Mar","Apr","May","Jun","Jul","Aug","Sep","Oct","Nov","Dec"},0),VALUE(LEFT(B2879,2)))))</f>
        <v>45696</v>
      </c>
    </row>
    <row r="2880" customFormat="false" ht="15" hidden="false" customHeight="false" outlineLevel="0" collapsed="false">
      <c r="A2880" s="7" t="s">
        <v>3914</v>
      </c>
      <c r="B2880" s="7" t="s">
        <v>696</v>
      </c>
      <c r="C2880" s="7" t="s">
        <v>2410</v>
      </c>
      <c r="D2880" s="7" t="s">
        <v>2885</v>
      </c>
      <c r="E2880" s="7" t="s">
        <v>160</v>
      </c>
      <c r="F2880" s="7" t="s">
        <v>136</v>
      </c>
      <c r="G2880" s="7" t="s">
        <v>150</v>
      </c>
      <c r="H2880" s="7" t="n">
        <v>3</v>
      </c>
      <c r="I2880" s="7" t="n">
        <v>210</v>
      </c>
      <c r="J2880" s="7" t="n">
        <v>0</v>
      </c>
      <c r="K2880" s="7" t="s">
        <v>112</v>
      </c>
      <c r="L2880" s="7" t="s">
        <v>194</v>
      </c>
      <c r="M2880" s="7" t="n">
        <v>36</v>
      </c>
      <c r="N2880" s="7" t="n">
        <v>5</v>
      </c>
      <c r="O2880" s="7" t="str">
        <f aca="false">A2880&amp;"|"&amp;B2880&amp;"|"&amp;C2880&amp;"|"&amp;D2880&amp;"|"&amp;E2880&amp;"|"&amp;F2880&amp;"|"&amp;G2880&amp;"|"&amp;H2880&amp;"|"&amp;I2880&amp;"|"&amp;J2880&amp;"|"&amp;K2880&amp;"|"&amp;L2880&amp;"|"&amp;M2880&amp;"|"&amp;N2880</f>
        <v>ORD11786|2025-08-21|12:50|C0367|Cake Walk|Pune|Desserts|3|210|0|Cash on Delivery|Delivered|36|5</v>
      </c>
      <c r="P2880" s="7" t="str">
        <f aca="false">IF(COUNTIF($O$2:O2880,O2880)&gt;1,"DUP","OK")</f>
        <v>DUP</v>
      </c>
      <c r="Q2880" s="7" t="n">
        <f aca="false">COUNTBLANK(A2880:N2880)</f>
        <v>0</v>
      </c>
      <c r="R2880" s="7" t="n">
        <f aca="false">IF(A2880="",0,COUNTIFS($A$2:$A$3058,A2880,$P$2:$P$3058,"OK"))</f>
        <v>1</v>
      </c>
      <c r="S2880" s="7" t="str">
        <f aca="false">IF(OR(A2880="",P2880="DUP",R2880&lt;2),"",IF(Q2880=_xlfn.MINIFS($Q$2:$Q$3058,$A$2:$A$3058,A2880,$P$2:$P$3058,"OK"),"KEEP","DROP"))</f>
        <v/>
      </c>
      <c r="T2880" s="9" t="n">
        <f aca="false">IF(A2880="",1,0)</f>
        <v>0</v>
      </c>
      <c r="U2880" s="9" t="n">
        <f aca="false">IF(D2880="",1,0)</f>
        <v>0</v>
      </c>
      <c r="V2880" s="9" t="n">
        <f aca="false">IF(E2880="",1,0)</f>
        <v>0</v>
      </c>
      <c r="W2880" s="9" t="n">
        <f aca="false">IF(OR(H2880&lt;1,H2880&gt;10),1,0)</f>
        <v>0</v>
      </c>
      <c r="X2880" s="9" t="n">
        <f aca="false">IF(OR(I2880&lt;=0,I2880&gt;1500),1,0)</f>
        <v>0</v>
      </c>
      <c r="Y2880" s="9" t="n">
        <f aca="false">IF(J2880&gt;H2880*I2880,1,0)</f>
        <v>0</v>
      </c>
      <c r="Z2880" s="9" t="n">
        <f aca="false">IF(AND(N2880&lt;&gt;"",OR(N2880&lt;1,N2880&gt;5)),1,0)</f>
        <v>0</v>
      </c>
      <c r="AA2880" s="9" t="n">
        <f aca="false">IF(AND(M2880&lt;&gt;"",OR(M2880&lt;5,M2880&gt;180)),1,0)</f>
        <v>0</v>
      </c>
      <c r="AB2880" s="7" t="str">
        <f aca="false">IF(P2880="DUP","Exact duplicate row",IF(T2880=1,"Missing Order ID",IF(S2880="DROP","Duplicate Order ID (less complete row)",IF(U2880=1,"Missing Customer ID",IF(V2880=1,"Missing Restaurant name",IF(W2880=1,"Invalid/outlier quantity",IF(X2880=1,"Invalid/outlier unit price",IF(Y2880=1,"Discount greater than order value",""))))))))</f>
        <v>Exact duplicate row</v>
      </c>
      <c r="AC2880" s="7" t="str">
        <f aca="false">IF(AB2880="","KEEP","DROP")</f>
        <v>DROP</v>
      </c>
      <c r="AD2880" s="7" t="str">
        <f aca="false">IF(TRIM(F2880)="",IFERROR(INDEX(Map_Tables!$I$4:$I$37,MATCH(TRIM(E2880),Map_Tables!$G$4:$G$37,0)),""),IFERROR(INDEX(Map_Tables!$B$4:$B$18,MATCH(TRIM(F2880),Map_Tables!$A$4:$A$18,0)),"CHECK"))</f>
        <v>Pune</v>
      </c>
      <c r="AE2880" s="7" t="str">
        <f aca="false">IF(TRIM(E2880)="","",IFERROR(INDEX(Map_Tables!$H$4:$H$37,MATCH(TRIM(E2880),Map_Tables!$G$4:$G$37,0)),"CHECK"))</f>
        <v>Cake Walk</v>
      </c>
      <c r="AF2880" s="7" t="str">
        <f aca="false">IF(TRIM(K2880)="","Unknown",IFERROR(INDEX(Map_Tables!$E$4:$E$15,MATCH(TRIM(K2880),Map_Tables!$D$4:$D$15,0)),"CHECK"))</f>
        <v>Cash on Delivery</v>
      </c>
      <c r="AG2880" s="7" t="str">
        <f aca="false">IF(LEFT(LOWER(TRIM(L2880)),6)="cancel","Cancelled","Delivered")</f>
        <v>Delivered</v>
      </c>
      <c r="AH2880" s="10" t="n">
        <f aca="false">IF(ISNUMBER(SEARCH("/",B2880)),DATE(VALUE(RIGHT(B2880,4)),VALUE(MID(B2880,4,2)),VALUE(LEFT(B2880,2))),IF(MID(B2880,5,1)="-",DATE(VALUE(LEFT(B2880,4)),VALUE(MID(B2880,6,2)),VALUE(RIGHT(B2880,2))),DATE(VALUE(RIGHT(B2880,4)),MATCH(MID(B2880,4,3),{"Jan","Feb","Mar","Apr","May","Jun","Jul","Aug","Sep","Oct","Nov","Dec"},0),VALUE(LEFT(B2880,2)))))</f>
        <v>45890</v>
      </c>
    </row>
    <row r="2881" customFormat="false" ht="15" hidden="false" customHeight="false" outlineLevel="0" collapsed="false">
      <c r="A2881" s="7" t="s">
        <v>5955</v>
      </c>
      <c r="B2881" s="7" t="s">
        <v>3695</v>
      </c>
      <c r="C2881" s="7" t="s">
        <v>3289</v>
      </c>
      <c r="D2881" s="7" t="s">
        <v>2279</v>
      </c>
      <c r="E2881" s="7" t="s">
        <v>160</v>
      </c>
      <c r="F2881" s="7" t="s">
        <v>136</v>
      </c>
      <c r="G2881" s="7" t="s">
        <v>150</v>
      </c>
      <c r="H2881" s="7" t="n">
        <v>1</v>
      </c>
      <c r="I2881" s="7" t="n">
        <v>175</v>
      </c>
      <c r="J2881" s="7" t="n">
        <v>50</v>
      </c>
      <c r="K2881" s="7" t="s">
        <v>566</v>
      </c>
      <c r="L2881" s="7" t="s">
        <v>238</v>
      </c>
      <c r="M2881" s="7"/>
      <c r="N2881" s="7"/>
      <c r="O2881" s="7" t="str">
        <f aca="false">A2881&amp;"|"&amp;B2881&amp;"|"&amp;C2881&amp;"|"&amp;D2881&amp;"|"&amp;E2881&amp;"|"&amp;F2881&amp;"|"&amp;G2881&amp;"|"&amp;H2881&amp;"|"&amp;I2881&amp;"|"&amp;J2881&amp;"|"&amp;K2881&amp;"|"&amp;L2881&amp;"|"&amp;M2881&amp;"|"&amp;N2881</f>
        <v>ORD11949|2025-09-10|16:04|C0126|Cake Walk|Pune|Desserts|1|175|50|NetBanking|Cancelled||</v>
      </c>
      <c r="P2881" s="7" t="str">
        <f aca="false">IF(COUNTIF($O$2:O2881,O2881)&gt;1,"DUP","OK")</f>
        <v>OK</v>
      </c>
      <c r="Q2881" s="7" t="n">
        <f aca="false">COUNTBLANK(A2881:N2881)</f>
        <v>2</v>
      </c>
      <c r="R2881" s="7" t="n">
        <f aca="false">IF(A2881="",0,COUNTIFS($A$2:$A$3058,A2881,$P$2:$P$3058,"OK"))</f>
        <v>1</v>
      </c>
      <c r="S2881" s="7" t="str">
        <f aca="false">IF(OR(A2881="",P2881="DUP",R2881&lt;2),"",IF(Q2881=_xlfn.MINIFS($Q$2:$Q$3058,$A$2:$A$3058,A2881,$P$2:$P$3058,"OK"),"KEEP","DROP"))</f>
        <v/>
      </c>
      <c r="T2881" s="9" t="n">
        <f aca="false">IF(A2881="",1,0)</f>
        <v>0</v>
      </c>
      <c r="U2881" s="9" t="n">
        <f aca="false">IF(D2881="",1,0)</f>
        <v>0</v>
      </c>
      <c r="V2881" s="9" t="n">
        <f aca="false">IF(E2881="",1,0)</f>
        <v>0</v>
      </c>
      <c r="W2881" s="9" t="n">
        <f aca="false">IF(OR(H2881&lt;1,H2881&gt;10),1,0)</f>
        <v>0</v>
      </c>
      <c r="X2881" s="9" t="n">
        <f aca="false">IF(OR(I2881&lt;=0,I2881&gt;1500),1,0)</f>
        <v>0</v>
      </c>
      <c r="Y2881" s="9" t="n">
        <f aca="false">IF(J2881&gt;H2881*I2881,1,0)</f>
        <v>0</v>
      </c>
      <c r="Z2881" s="9" t="n">
        <f aca="false">IF(AND(N2881&lt;&gt;"",OR(N2881&lt;1,N2881&gt;5)),1,0)</f>
        <v>0</v>
      </c>
      <c r="AA2881" s="9" t="n">
        <f aca="false">IF(AND(M2881&lt;&gt;"",OR(M2881&lt;5,M2881&gt;180)),1,0)</f>
        <v>0</v>
      </c>
      <c r="AB2881" s="7" t="str">
        <f aca="false">IF(P2881="DUP","Exact duplicate row",IF(T2881=1,"Missing Order ID",IF(S2881="DROP","Duplicate Order ID (less complete row)",IF(U2881=1,"Missing Customer ID",IF(V2881=1,"Missing Restaurant name",IF(W2881=1,"Invalid/outlier quantity",IF(X2881=1,"Invalid/outlier unit price",IF(Y2881=1,"Discount greater than order value",""))))))))</f>
        <v/>
      </c>
      <c r="AC2881" s="7" t="str">
        <f aca="false">IF(AB2881="","KEEP","DROP")</f>
        <v>KEEP</v>
      </c>
      <c r="AD2881" s="7" t="str">
        <f aca="false">IF(TRIM(F2881)="",IFERROR(INDEX(Map_Tables!$I$4:$I$37,MATCH(TRIM(E2881),Map_Tables!$G$4:$G$37,0)),""),IFERROR(INDEX(Map_Tables!$B$4:$B$18,MATCH(TRIM(F2881),Map_Tables!$A$4:$A$18,0)),"CHECK"))</f>
        <v>Pune</v>
      </c>
      <c r="AE2881" s="7" t="str">
        <f aca="false">IF(TRIM(E2881)="","",IFERROR(INDEX(Map_Tables!$H$4:$H$37,MATCH(TRIM(E2881),Map_Tables!$G$4:$G$37,0)),"CHECK"))</f>
        <v>Cake Walk</v>
      </c>
      <c r="AF2881" s="7" t="str">
        <f aca="false">IF(TRIM(K2881)="","Unknown",IFERROR(INDEX(Map_Tables!$E$4:$E$15,MATCH(TRIM(K2881),Map_Tables!$D$4:$D$15,0)),"CHECK"))</f>
        <v>Net Banking</v>
      </c>
      <c r="AG2881" s="7" t="str">
        <f aca="false">IF(LEFT(LOWER(TRIM(L2881)),6)="cancel","Cancelled","Delivered")</f>
        <v>Cancelled</v>
      </c>
      <c r="AH2881" s="10" t="n">
        <f aca="false">IF(ISNUMBER(SEARCH("/",B2881)),DATE(VALUE(RIGHT(B2881,4)),VALUE(MID(B2881,4,2)),VALUE(LEFT(B2881,2))),IF(MID(B2881,5,1)="-",DATE(VALUE(LEFT(B2881,4)),VALUE(MID(B2881,6,2)),VALUE(RIGHT(B2881,2))),DATE(VALUE(RIGHT(B2881,4)),MATCH(MID(B2881,4,3),{"Jan","Feb","Mar","Apr","May","Jun","Jul","Aug","Sep","Oct","Nov","Dec"},0),VALUE(LEFT(B2881,2)))))</f>
        <v>45910</v>
      </c>
    </row>
    <row r="2882" customFormat="false" ht="15" hidden="false" customHeight="false" outlineLevel="0" collapsed="false">
      <c r="A2882" s="7" t="s">
        <v>5956</v>
      </c>
      <c r="B2882" s="7" t="s">
        <v>271</v>
      </c>
      <c r="C2882" s="7" t="s">
        <v>1419</v>
      </c>
      <c r="D2882" s="7" t="s">
        <v>2054</v>
      </c>
      <c r="E2882" s="7" t="s">
        <v>130</v>
      </c>
      <c r="F2882" s="7" t="s">
        <v>110</v>
      </c>
      <c r="G2882" s="7" t="s">
        <v>90</v>
      </c>
      <c r="H2882" s="7" t="n">
        <v>1</v>
      </c>
      <c r="I2882" s="7" t="n">
        <v>220</v>
      </c>
      <c r="J2882" s="7" t="n">
        <v>50</v>
      </c>
      <c r="K2882" s="7" t="s">
        <v>88</v>
      </c>
      <c r="L2882" s="7" t="s">
        <v>238</v>
      </c>
      <c r="M2882" s="7"/>
      <c r="N2882" s="7"/>
      <c r="O2882" s="7" t="str">
        <f aca="false">A2882&amp;"|"&amp;B2882&amp;"|"&amp;C2882&amp;"|"&amp;D2882&amp;"|"&amp;E2882&amp;"|"&amp;F2882&amp;"|"&amp;G2882&amp;"|"&amp;H2882&amp;"|"&amp;I2882&amp;"|"&amp;J2882&amp;"|"&amp;K2882&amp;"|"&amp;L2882&amp;"|"&amp;M2882&amp;"|"&amp;N2882</f>
        <v>ORD10576|2025-03-15|11:21|C0837|Tandoor Tales|Delhi|North Indian|1|220|50|UPI|Cancelled||</v>
      </c>
      <c r="P2882" s="7" t="str">
        <f aca="false">IF(COUNTIF($O$2:O2882,O2882)&gt;1,"DUP","OK")</f>
        <v>OK</v>
      </c>
      <c r="Q2882" s="7" t="n">
        <f aca="false">COUNTBLANK(A2882:N2882)</f>
        <v>2</v>
      </c>
      <c r="R2882" s="7" t="n">
        <f aca="false">IF(A2882="",0,COUNTIFS($A$2:$A$3058,A2882,$P$2:$P$3058,"OK"))</f>
        <v>1</v>
      </c>
      <c r="S2882" s="7" t="str">
        <f aca="false">IF(OR(A2882="",P2882="DUP",R2882&lt;2),"",IF(Q2882=_xlfn.MINIFS($Q$2:$Q$3058,$A$2:$A$3058,A2882,$P$2:$P$3058,"OK"),"KEEP","DROP"))</f>
        <v/>
      </c>
      <c r="T2882" s="9" t="n">
        <f aca="false">IF(A2882="",1,0)</f>
        <v>0</v>
      </c>
      <c r="U2882" s="9" t="n">
        <f aca="false">IF(D2882="",1,0)</f>
        <v>0</v>
      </c>
      <c r="V2882" s="9" t="n">
        <f aca="false">IF(E2882="",1,0)</f>
        <v>0</v>
      </c>
      <c r="W2882" s="9" t="n">
        <f aca="false">IF(OR(H2882&lt;1,H2882&gt;10),1,0)</f>
        <v>0</v>
      </c>
      <c r="X2882" s="9" t="n">
        <f aca="false">IF(OR(I2882&lt;=0,I2882&gt;1500),1,0)</f>
        <v>0</v>
      </c>
      <c r="Y2882" s="9" t="n">
        <f aca="false">IF(J2882&gt;H2882*I2882,1,0)</f>
        <v>0</v>
      </c>
      <c r="Z2882" s="9" t="n">
        <f aca="false">IF(AND(N2882&lt;&gt;"",OR(N2882&lt;1,N2882&gt;5)),1,0)</f>
        <v>0</v>
      </c>
      <c r="AA2882" s="9" t="n">
        <f aca="false">IF(AND(M2882&lt;&gt;"",OR(M2882&lt;5,M2882&gt;180)),1,0)</f>
        <v>0</v>
      </c>
      <c r="AB2882" s="7" t="str">
        <f aca="false">IF(P2882="DUP","Exact duplicate row",IF(T2882=1,"Missing Order ID",IF(S2882="DROP","Duplicate Order ID (less complete row)",IF(U2882=1,"Missing Customer ID",IF(V2882=1,"Missing Restaurant name",IF(W2882=1,"Invalid/outlier quantity",IF(X2882=1,"Invalid/outlier unit price",IF(Y2882=1,"Discount greater than order value",""))))))))</f>
        <v/>
      </c>
      <c r="AC2882" s="7" t="str">
        <f aca="false">IF(AB2882="","KEEP","DROP")</f>
        <v>KEEP</v>
      </c>
      <c r="AD2882" s="7" t="str">
        <f aca="false">IF(TRIM(F2882)="",IFERROR(INDEX(Map_Tables!$I$4:$I$37,MATCH(TRIM(E2882),Map_Tables!$G$4:$G$37,0)),""),IFERROR(INDEX(Map_Tables!$B$4:$B$18,MATCH(TRIM(F2882),Map_Tables!$A$4:$A$18,0)),"CHECK"))</f>
        <v>Delhi</v>
      </c>
      <c r="AE2882" s="7" t="str">
        <f aca="false">IF(TRIM(E2882)="","",IFERROR(INDEX(Map_Tables!$H$4:$H$37,MATCH(TRIM(E2882),Map_Tables!$G$4:$G$37,0)),"CHECK"))</f>
        <v>Tandoor Tales</v>
      </c>
      <c r="AF2882" s="7" t="str">
        <f aca="false">IF(TRIM(K2882)="","Unknown",IFERROR(INDEX(Map_Tables!$E$4:$E$15,MATCH(TRIM(K2882),Map_Tables!$D$4:$D$15,0)),"CHECK"))</f>
        <v>UPI</v>
      </c>
      <c r="AG2882" s="7" t="str">
        <f aca="false">IF(LEFT(LOWER(TRIM(L2882)),6)="cancel","Cancelled","Delivered")</f>
        <v>Cancelled</v>
      </c>
      <c r="AH2882" s="10" t="n">
        <f aca="false">IF(ISNUMBER(SEARCH("/",B2882)),DATE(VALUE(RIGHT(B2882,4)),VALUE(MID(B2882,4,2)),VALUE(LEFT(B2882,2))),IF(MID(B2882,5,1)="-",DATE(VALUE(LEFT(B2882,4)),VALUE(MID(B2882,6,2)),VALUE(RIGHT(B2882,2))),DATE(VALUE(RIGHT(B2882,4)),MATCH(MID(B2882,4,3),{"Jan","Feb","Mar","Apr","May","Jun","Jul","Aug","Sep","Oct","Nov","Dec"},0),VALUE(LEFT(B2882,2)))))</f>
        <v>45731</v>
      </c>
    </row>
    <row r="2883" customFormat="false" ht="15" hidden="false" customHeight="false" outlineLevel="0" collapsed="false">
      <c r="A2883" s="7" t="s">
        <v>5957</v>
      </c>
      <c r="B2883" s="7" t="s">
        <v>217</v>
      </c>
      <c r="C2883" s="7" t="s">
        <v>3713</v>
      </c>
      <c r="D2883" s="7" t="s">
        <v>2779</v>
      </c>
      <c r="E2883" s="7" t="s">
        <v>122</v>
      </c>
      <c r="F2883" s="7" t="s">
        <v>101</v>
      </c>
      <c r="G2883" s="7" t="s">
        <v>123</v>
      </c>
      <c r="H2883" s="7" t="n">
        <v>2</v>
      </c>
      <c r="I2883" s="7" t="n">
        <v>235</v>
      </c>
      <c r="J2883" s="7" t="n">
        <v>0</v>
      </c>
      <c r="K2883" s="7" t="s">
        <v>115</v>
      </c>
      <c r="L2883" s="7" t="s">
        <v>194</v>
      </c>
      <c r="M2883" s="7" t="n">
        <v>39</v>
      </c>
      <c r="N2883" s="7" t="n">
        <v>3</v>
      </c>
      <c r="O2883" s="7" t="str">
        <f aca="false">A2883&amp;"|"&amp;B2883&amp;"|"&amp;C2883&amp;"|"&amp;D2883&amp;"|"&amp;E2883&amp;"|"&amp;F2883&amp;"|"&amp;G2883&amp;"|"&amp;H2883&amp;"|"&amp;I2883&amp;"|"&amp;J2883&amp;"|"&amp;K2883&amp;"|"&amp;L2883&amp;"|"&amp;M2883&amp;"|"&amp;N2883</f>
        <v>ORD10851|2025-04-18|11:39|C0553|Mumbai Pizza Co|Mumbai|Pizza|2|235|0|cash on delivery|Delivered|39|3</v>
      </c>
      <c r="P2883" s="7" t="str">
        <f aca="false">IF(COUNTIF($O$2:O2883,O2883)&gt;1,"DUP","OK")</f>
        <v>OK</v>
      </c>
      <c r="Q2883" s="7" t="n">
        <f aca="false">COUNTBLANK(A2883:N2883)</f>
        <v>0</v>
      </c>
      <c r="R2883" s="7" t="n">
        <f aca="false">IF(A2883="",0,COUNTIFS($A$2:$A$3058,A2883,$P$2:$P$3058,"OK"))</f>
        <v>1</v>
      </c>
      <c r="S2883" s="7" t="str">
        <f aca="false">IF(OR(A2883="",P2883="DUP",R2883&lt;2),"",IF(Q2883=_xlfn.MINIFS($Q$2:$Q$3058,$A$2:$A$3058,A2883,$P$2:$P$3058,"OK"),"KEEP","DROP"))</f>
        <v/>
      </c>
      <c r="T2883" s="9" t="n">
        <f aca="false">IF(A2883="",1,0)</f>
        <v>0</v>
      </c>
      <c r="U2883" s="9" t="n">
        <f aca="false">IF(D2883="",1,0)</f>
        <v>0</v>
      </c>
      <c r="V2883" s="9" t="n">
        <f aca="false">IF(E2883="",1,0)</f>
        <v>0</v>
      </c>
      <c r="W2883" s="9" t="n">
        <f aca="false">IF(OR(H2883&lt;1,H2883&gt;10),1,0)</f>
        <v>0</v>
      </c>
      <c r="X2883" s="9" t="n">
        <f aca="false">IF(OR(I2883&lt;=0,I2883&gt;1500),1,0)</f>
        <v>0</v>
      </c>
      <c r="Y2883" s="9" t="n">
        <f aca="false">IF(J2883&gt;H2883*I2883,1,0)</f>
        <v>0</v>
      </c>
      <c r="Z2883" s="9" t="n">
        <f aca="false">IF(AND(N2883&lt;&gt;"",OR(N2883&lt;1,N2883&gt;5)),1,0)</f>
        <v>0</v>
      </c>
      <c r="AA2883" s="9" t="n">
        <f aca="false">IF(AND(M2883&lt;&gt;"",OR(M2883&lt;5,M2883&gt;180)),1,0)</f>
        <v>0</v>
      </c>
      <c r="AB2883" s="7" t="str">
        <f aca="false">IF(P2883="DUP","Exact duplicate row",IF(T2883=1,"Missing Order ID",IF(S2883="DROP","Duplicate Order ID (less complete row)",IF(U2883=1,"Missing Customer ID",IF(V2883=1,"Missing Restaurant name",IF(W2883=1,"Invalid/outlier quantity",IF(X2883=1,"Invalid/outlier unit price",IF(Y2883=1,"Discount greater than order value",""))))))))</f>
        <v/>
      </c>
      <c r="AC2883" s="7" t="str">
        <f aca="false">IF(AB2883="","KEEP","DROP")</f>
        <v>KEEP</v>
      </c>
      <c r="AD2883" s="7" t="str">
        <f aca="false">IF(TRIM(F2883)="",IFERROR(INDEX(Map_Tables!$I$4:$I$37,MATCH(TRIM(E2883),Map_Tables!$G$4:$G$37,0)),""),IFERROR(INDEX(Map_Tables!$B$4:$B$18,MATCH(TRIM(F2883),Map_Tables!$A$4:$A$18,0)),"CHECK"))</f>
        <v>Mumbai</v>
      </c>
      <c r="AE2883" s="7" t="str">
        <f aca="false">IF(TRIM(E2883)="","",IFERROR(INDEX(Map_Tables!$H$4:$H$37,MATCH(TRIM(E2883),Map_Tables!$G$4:$G$37,0)),"CHECK"))</f>
        <v>Mumbai Pizza Co</v>
      </c>
      <c r="AF2883" s="7" t="str">
        <f aca="false">IF(TRIM(K2883)="","Unknown",IFERROR(INDEX(Map_Tables!$E$4:$E$15,MATCH(TRIM(K2883),Map_Tables!$D$4:$D$15,0)),"CHECK"))</f>
        <v>Cash on Delivery</v>
      </c>
      <c r="AG2883" s="7" t="str">
        <f aca="false">IF(LEFT(LOWER(TRIM(L2883)),6)="cancel","Cancelled","Delivered")</f>
        <v>Delivered</v>
      </c>
      <c r="AH2883" s="10" t="n">
        <f aca="false">IF(ISNUMBER(SEARCH("/",B2883)),DATE(VALUE(RIGHT(B2883,4)),VALUE(MID(B2883,4,2)),VALUE(LEFT(B2883,2))),IF(MID(B2883,5,1)="-",DATE(VALUE(LEFT(B2883,4)),VALUE(MID(B2883,6,2)),VALUE(RIGHT(B2883,2))),DATE(VALUE(RIGHT(B2883,4)),MATCH(MID(B2883,4,3),{"Jan","Feb","Mar","Apr","May","Jun","Jul","Aug","Sep","Oct","Nov","Dec"},0),VALUE(LEFT(B2883,2)))))</f>
        <v>45765</v>
      </c>
    </row>
    <row r="2884" customFormat="false" ht="15" hidden="false" customHeight="false" outlineLevel="0" collapsed="false">
      <c r="A2884" s="7" t="s">
        <v>5958</v>
      </c>
      <c r="B2884" s="7" t="s">
        <v>2912</v>
      </c>
      <c r="C2884" s="7" t="s">
        <v>1387</v>
      </c>
      <c r="D2884" s="7" t="s">
        <v>5248</v>
      </c>
      <c r="E2884" s="7" t="s">
        <v>134</v>
      </c>
      <c r="F2884" s="7" t="s">
        <v>756</v>
      </c>
      <c r="G2884" s="7" t="s">
        <v>117</v>
      </c>
      <c r="H2884" s="7" t="n">
        <v>3</v>
      </c>
      <c r="I2884" s="7" t="n">
        <v>100</v>
      </c>
      <c r="J2884" s="7" t="n">
        <v>0</v>
      </c>
      <c r="K2884" s="7" t="s">
        <v>112</v>
      </c>
      <c r="L2884" s="7" t="s">
        <v>194</v>
      </c>
      <c r="M2884" s="7" t="n">
        <v>33</v>
      </c>
      <c r="N2884" s="7" t="n">
        <v>4</v>
      </c>
      <c r="O2884" s="7" t="str">
        <f aca="false">A2884&amp;"|"&amp;B2884&amp;"|"&amp;C2884&amp;"|"&amp;D2884&amp;"|"&amp;E2884&amp;"|"&amp;F2884&amp;"|"&amp;G2884&amp;"|"&amp;H2884&amp;"|"&amp;I2884&amp;"|"&amp;J2884&amp;"|"&amp;K2884&amp;"|"&amp;L2884&amp;"|"&amp;M2884&amp;"|"&amp;N2884</f>
        <v>ORD10912|2025-04-24|20:59|C1142|Chaat Corner|Delhi |Street Food|3|100|0|Cash on Delivery|Delivered|33|4</v>
      </c>
      <c r="P2884" s="7" t="str">
        <f aca="false">IF(COUNTIF($O$2:O2884,O2884)&gt;1,"DUP","OK")</f>
        <v>OK</v>
      </c>
      <c r="Q2884" s="7" t="n">
        <f aca="false">COUNTBLANK(A2884:N2884)</f>
        <v>0</v>
      </c>
      <c r="R2884" s="7" t="n">
        <f aca="false">IF(A2884="",0,COUNTIFS($A$2:$A$3058,A2884,$P$2:$P$3058,"OK"))</f>
        <v>1</v>
      </c>
      <c r="S2884" s="7" t="str">
        <f aca="false">IF(OR(A2884="",P2884="DUP",R2884&lt;2),"",IF(Q2884=_xlfn.MINIFS($Q$2:$Q$3058,$A$2:$A$3058,A2884,$P$2:$P$3058,"OK"),"KEEP","DROP"))</f>
        <v/>
      </c>
      <c r="T2884" s="9" t="n">
        <f aca="false">IF(A2884="",1,0)</f>
        <v>0</v>
      </c>
      <c r="U2884" s="9" t="n">
        <f aca="false">IF(D2884="",1,0)</f>
        <v>0</v>
      </c>
      <c r="V2884" s="9" t="n">
        <f aca="false">IF(E2884="",1,0)</f>
        <v>0</v>
      </c>
      <c r="W2884" s="9" t="n">
        <f aca="false">IF(OR(H2884&lt;1,H2884&gt;10),1,0)</f>
        <v>0</v>
      </c>
      <c r="X2884" s="9" t="n">
        <f aca="false">IF(OR(I2884&lt;=0,I2884&gt;1500),1,0)</f>
        <v>0</v>
      </c>
      <c r="Y2884" s="9" t="n">
        <f aca="false">IF(J2884&gt;H2884*I2884,1,0)</f>
        <v>0</v>
      </c>
      <c r="Z2884" s="9" t="n">
        <f aca="false">IF(AND(N2884&lt;&gt;"",OR(N2884&lt;1,N2884&gt;5)),1,0)</f>
        <v>0</v>
      </c>
      <c r="AA2884" s="9" t="n">
        <f aca="false">IF(AND(M2884&lt;&gt;"",OR(M2884&lt;5,M2884&gt;180)),1,0)</f>
        <v>0</v>
      </c>
      <c r="AB2884" s="7" t="str">
        <f aca="false">IF(P2884="DUP","Exact duplicate row",IF(T2884=1,"Missing Order ID",IF(S2884="DROP","Duplicate Order ID (less complete row)",IF(U2884=1,"Missing Customer ID",IF(V2884=1,"Missing Restaurant name",IF(W2884=1,"Invalid/outlier quantity",IF(X2884=1,"Invalid/outlier unit price",IF(Y2884=1,"Discount greater than order value",""))))))))</f>
        <v/>
      </c>
      <c r="AC2884" s="7" t="str">
        <f aca="false">IF(AB2884="","KEEP","DROP")</f>
        <v>KEEP</v>
      </c>
      <c r="AD2884" s="7" t="str">
        <f aca="false">IF(TRIM(F2884)="",IFERROR(INDEX(Map_Tables!$I$4:$I$37,MATCH(TRIM(E2884),Map_Tables!$G$4:$G$37,0)),""),IFERROR(INDEX(Map_Tables!$B$4:$B$18,MATCH(TRIM(F2884),Map_Tables!$A$4:$A$18,0)),"CHECK"))</f>
        <v>Delhi</v>
      </c>
      <c r="AE2884" s="7" t="str">
        <f aca="false">IF(TRIM(E2884)="","",IFERROR(INDEX(Map_Tables!$H$4:$H$37,MATCH(TRIM(E2884),Map_Tables!$G$4:$G$37,0)),"CHECK"))</f>
        <v>Chaat Corner</v>
      </c>
      <c r="AF2884" s="7" t="str">
        <f aca="false">IF(TRIM(K2884)="","Unknown",IFERROR(INDEX(Map_Tables!$E$4:$E$15,MATCH(TRIM(K2884),Map_Tables!$D$4:$D$15,0)),"CHECK"))</f>
        <v>Cash on Delivery</v>
      </c>
      <c r="AG2884" s="7" t="str">
        <f aca="false">IF(LEFT(LOWER(TRIM(L2884)),6)="cancel","Cancelled","Delivered")</f>
        <v>Delivered</v>
      </c>
      <c r="AH2884" s="10" t="n">
        <f aca="false">IF(ISNUMBER(SEARCH("/",B2884)),DATE(VALUE(RIGHT(B2884,4)),VALUE(MID(B2884,4,2)),VALUE(LEFT(B2884,2))),IF(MID(B2884,5,1)="-",DATE(VALUE(LEFT(B2884,4)),VALUE(MID(B2884,6,2)),VALUE(RIGHT(B2884,2))),DATE(VALUE(RIGHT(B2884,4)),MATCH(MID(B2884,4,3),{"Jan","Feb","Mar","Apr","May","Jun","Jul","Aug","Sep","Oct","Nov","Dec"},0),VALUE(LEFT(B2884,2)))))</f>
        <v>45771</v>
      </c>
    </row>
    <row r="2885" customFormat="false" ht="15" hidden="false" customHeight="false" outlineLevel="0" collapsed="false">
      <c r="A2885" s="7" t="s">
        <v>5959</v>
      </c>
      <c r="B2885" s="7" t="s">
        <v>2840</v>
      </c>
      <c r="C2885" s="7" t="s">
        <v>5677</v>
      </c>
      <c r="D2885" s="7" t="s">
        <v>5960</v>
      </c>
      <c r="E2885" s="7" t="s">
        <v>160</v>
      </c>
      <c r="F2885" s="7" t="s">
        <v>136</v>
      </c>
      <c r="G2885" s="7" t="s">
        <v>150</v>
      </c>
      <c r="H2885" s="7" t="n">
        <v>1</v>
      </c>
      <c r="I2885" s="7" t="n">
        <v>170</v>
      </c>
      <c r="J2885" s="7" t="n">
        <v>0</v>
      </c>
      <c r="K2885" s="7" t="s">
        <v>88</v>
      </c>
      <c r="L2885" s="7" t="s">
        <v>194</v>
      </c>
      <c r="M2885" s="7" t="n">
        <v>32</v>
      </c>
      <c r="N2885" s="7" t="n">
        <v>5</v>
      </c>
      <c r="O2885" s="7" t="str">
        <f aca="false">A2885&amp;"|"&amp;B2885&amp;"|"&amp;C2885&amp;"|"&amp;D2885&amp;"|"&amp;E2885&amp;"|"&amp;F2885&amp;"|"&amp;G2885&amp;"|"&amp;H2885&amp;"|"&amp;I2885&amp;"|"&amp;J2885&amp;"|"&amp;K2885&amp;"|"&amp;L2885&amp;"|"&amp;M2885&amp;"|"&amp;N2885</f>
        <v>ORD11255|2025-06-09|17:37|C1099|Cake Walk|Pune|Desserts|1|170|0|UPI|Delivered|32|5</v>
      </c>
      <c r="P2885" s="7" t="str">
        <f aca="false">IF(COUNTIF($O$2:O2885,O2885)&gt;1,"DUP","OK")</f>
        <v>OK</v>
      </c>
      <c r="Q2885" s="7" t="n">
        <f aca="false">COUNTBLANK(A2885:N2885)</f>
        <v>0</v>
      </c>
      <c r="R2885" s="7" t="n">
        <f aca="false">IF(A2885="",0,COUNTIFS($A$2:$A$3058,A2885,$P$2:$P$3058,"OK"))</f>
        <v>1</v>
      </c>
      <c r="S2885" s="7" t="str">
        <f aca="false">IF(OR(A2885="",P2885="DUP",R2885&lt;2),"",IF(Q2885=_xlfn.MINIFS($Q$2:$Q$3058,$A$2:$A$3058,A2885,$P$2:$P$3058,"OK"),"KEEP","DROP"))</f>
        <v/>
      </c>
      <c r="T2885" s="9" t="n">
        <f aca="false">IF(A2885="",1,0)</f>
        <v>0</v>
      </c>
      <c r="U2885" s="9" t="n">
        <f aca="false">IF(D2885="",1,0)</f>
        <v>0</v>
      </c>
      <c r="V2885" s="9" t="n">
        <f aca="false">IF(E2885="",1,0)</f>
        <v>0</v>
      </c>
      <c r="W2885" s="9" t="n">
        <f aca="false">IF(OR(H2885&lt;1,H2885&gt;10),1,0)</f>
        <v>0</v>
      </c>
      <c r="X2885" s="9" t="n">
        <f aca="false">IF(OR(I2885&lt;=0,I2885&gt;1500),1,0)</f>
        <v>0</v>
      </c>
      <c r="Y2885" s="9" t="n">
        <f aca="false">IF(J2885&gt;H2885*I2885,1,0)</f>
        <v>0</v>
      </c>
      <c r="Z2885" s="9" t="n">
        <f aca="false">IF(AND(N2885&lt;&gt;"",OR(N2885&lt;1,N2885&gt;5)),1,0)</f>
        <v>0</v>
      </c>
      <c r="AA2885" s="9" t="n">
        <f aca="false">IF(AND(M2885&lt;&gt;"",OR(M2885&lt;5,M2885&gt;180)),1,0)</f>
        <v>0</v>
      </c>
      <c r="AB2885" s="7" t="str">
        <f aca="false">IF(P2885="DUP","Exact duplicate row",IF(T2885=1,"Missing Order ID",IF(S2885="DROP","Duplicate Order ID (less complete row)",IF(U2885=1,"Missing Customer ID",IF(V2885=1,"Missing Restaurant name",IF(W2885=1,"Invalid/outlier quantity",IF(X2885=1,"Invalid/outlier unit price",IF(Y2885=1,"Discount greater than order value",""))))))))</f>
        <v/>
      </c>
      <c r="AC2885" s="7" t="str">
        <f aca="false">IF(AB2885="","KEEP","DROP")</f>
        <v>KEEP</v>
      </c>
      <c r="AD2885" s="7" t="str">
        <f aca="false">IF(TRIM(F2885)="",IFERROR(INDEX(Map_Tables!$I$4:$I$37,MATCH(TRIM(E2885),Map_Tables!$G$4:$G$37,0)),""),IFERROR(INDEX(Map_Tables!$B$4:$B$18,MATCH(TRIM(F2885),Map_Tables!$A$4:$A$18,0)),"CHECK"))</f>
        <v>Pune</v>
      </c>
      <c r="AE2885" s="7" t="str">
        <f aca="false">IF(TRIM(E2885)="","",IFERROR(INDEX(Map_Tables!$H$4:$H$37,MATCH(TRIM(E2885),Map_Tables!$G$4:$G$37,0)),"CHECK"))</f>
        <v>Cake Walk</v>
      </c>
      <c r="AF2885" s="7" t="str">
        <f aca="false">IF(TRIM(K2885)="","Unknown",IFERROR(INDEX(Map_Tables!$E$4:$E$15,MATCH(TRIM(K2885),Map_Tables!$D$4:$D$15,0)),"CHECK"))</f>
        <v>UPI</v>
      </c>
      <c r="AG2885" s="7" t="str">
        <f aca="false">IF(LEFT(LOWER(TRIM(L2885)),6)="cancel","Cancelled","Delivered")</f>
        <v>Delivered</v>
      </c>
      <c r="AH2885" s="10" t="n">
        <f aca="false">IF(ISNUMBER(SEARCH("/",B2885)),DATE(VALUE(RIGHT(B2885,4)),VALUE(MID(B2885,4,2)),VALUE(LEFT(B2885,2))),IF(MID(B2885,5,1)="-",DATE(VALUE(LEFT(B2885,4)),VALUE(MID(B2885,6,2)),VALUE(RIGHT(B2885,2))),DATE(VALUE(RIGHT(B2885,4)),MATCH(MID(B2885,4,3),{"Jan","Feb","Mar","Apr","May","Jun","Jul","Aug","Sep","Oct","Nov","Dec"},0),VALUE(LEFT(B2885,2)))))</f>
        <v>45817</v>
      </c>
    </row>
    <row r="2886" customFormat="false" ht="15" hidden="false" customHeight="false" outlineLevel="0" collapsed="false">
      <c r="A2886" s="7" t="s">
        <v>5961</v>
      </c>
      <c r="B2886" s="7" t="s">
        <v>5962</v>
      </c>
      <c r="C2886" s="7" t="s">
        <v>862</v>
      </c>
      <c r="D2886" s="7" t="s">
        <v>5480</v>
      </c>
      <c r="E2886" s="7" t="s">
        <v>130</v>
      </c>
      <c r="F2886" s="7" t="s">
        <v>110</v>
      </c>
      <c r="G2886" s="7" t="s">
        <v>90</v>
      </c>
      <c r="H2886" s="7" t="n">
        <v>2</v>
      </c>
      <c r="I2886" s="7" t="n">
        <v>245</v>
      </c>
      <c r="J2886" s="7" t="n">
        <v>75</v>
      </c>
      <c r="K2886" s="7" t="s">
        <v>93</v>
      </c>
      <c r="L2886" s="7" t="s">
        <v>194</v>
      </c>
      <c r="M2886" s="7" t="n">
        <v>36</v>
      </c>
      <c r="N2886" s="7" t="n">
        <v>5</v>
      </c>
      <c r="O2886" s="7" t="str">
        <f aca="false">A2886&amp;"|"&amp;B2886&amp;"|"&amp;C2886&amp;"|"&amp;D2886&amp;"|"&amp;E2886&amp;"|"&amp;F2886&amp;"|"&amp;G2886&amp;"|"&amp;H2886&amp;"|"&amp;I2886&amp;"|"&amp;J2886&amp;"|"&amp;K2886&amp;"|"&amp;L2886&amp;"|"&amp;M2886&amp;"|"&amp;N2886</f>
        <v>ORD11834|27/08/2025|19:00|C0482|Tandoor Tales|Delhi|North Indian|2|245|75|Credit Card|Delivered|36|5</v>
      </c>
      <c r="P2886" s="7" t="str">
        <f aca="false">IF(COUNTIF($O$2:O2886,O2886)&gt;1,"DUP","OK")</f>
        <v>OK</v>
      </c>
      <c r="Q2886" s="7" t="n">
        <f aca="false">COUNTBLANK(A2886:N2886)</f>
        <v>0</v>
      </c>
      <c r="R2886" s="7" t="n">
        <f aca="false">IF(A2886="",0,COUNTIFS($A$2:$A$3058,A2886,$P$2:$P$3058,"OK"))</f>
        <v>1</v>
      </c>
      <c r="S2886" s="7" t="str">
        <f aca="false">IF(OR(A2886="",P2886="DUP",R2886&lt;2),"",IF(Q2886=_xlfn.MINIFS($Q$2:$Q$3058,$A$2:$A$3058,A2886,$P$2:$P$3058,"OK"),"KEEP","DROP"))</f>
        <v/>
      </c>
      <c r="T2886" s="9" t="n">
        <f aca="false">IF(A2886="",1,0)</f>
        <v>0</v>
      </c>
      <c r="U2886" s="9" t="n">
        <f aca="false">IF(D2886="",1,0)</f>
        <v>0</v>
      </c>
      <c r="V2886" s="9" t="n">
        <f aca="false">IF(E2886="",1,0)</f>
        <v>0</v>
      </c>
      <c r="W2886" s="9" t="n">
        <f aca="false">IF(OR(H2886&lt;1,H2886&gt;10),1,0)</f>
        <v>0</v>
      </c>
      <c r="X2886" s="9" t="n">
        <f aca="false">IF(OR(I2886&lt;=0,I2886&gt;1500),1,0)</f>
        <v>0</v>
      </c>
      <c r="Y2886" s="9" t="n">
        <f aca="false">IF(J2886&gt;H2886*I2886,1,0)</f>
        <v>0</v>
      </c>
      <c r="Z2886" s="9" t="n">
        <f aca="false">IF(AND(N2886&lt;&gt;"",OR(N2886&lt;1,N2886&gt;5)),1,0)</f>
        <v>0</v>
      </c>
      <c r="AA2886" s="9" t="n">
        <f aca="false">IF(AND(M2886&lt;&gt;"",OR(M2886&lt;5,M2886&gt;180)),1,0)</f>
        <v>0</v>
      </c>
      <c r="AB2886" s="7" t="str">
        <f aca="false">IF(P2886="DUP","Exact duplicate row",IF(T2886=1,"Missing Order ID",IF(S2886="DROP","Duplicate Order ID (less complete row)",IF(U2886=1,"Missing Customer ID",IF(V2886=1,"Missing Restaurant name",IF(W2886=1,"Invalid/outlier quantity",IF(X2886=1,"Invalid/outlier unit price",IF(Y2886=1,"Discount greater than order value",""))))))))</f>
        <v/>
      </c>
      <c r="AC2886" s="7" t="str">
        <f aca="false">IF(AB2886="","KEEP","DROP")</f>
        <v>KEEP</v>
      </c>
      <c r="AD2886" s="7" t="str">
        <f aca="false">IF(TRIM(F2886)="",IFERROR(INDEX(Map_Tables!$I$4:$I$37,MATCH(TRIM(E2886),Map_Tables!$G$4:$G$37,0)),""),IFERROR(INDEX(Map_Tables!$B$4:$B$18,MATCH(TRIM(F2886),Map_Tables!$A$4:$A$18,0)),"CHECK"))</f>
        <v>Delhi</v>
      </c>
      <c r="AE2886" s="7" t="str">
        <f aca="false">IF(TRIM(E2886)="","",IFERROR(INDEX(Map_Tables!$H$4:$H$37,MATCH(TRIM(E2886),Map_Tables!$G$4:$G$37,0)),"CHECK"))</f>
        <v>Tandoor Tales</v>
      </c>
      <c r="AF2886" s="7" t="str">
        <f aca="false">IF(TRIM(K2886)="","Unknown",IFERROR(INDEX(Map_Tables!$E$4:$E$15,MATCH(TRIM(K2886),Map_Tables!$D$4:$D$15,0)),"CHECK"))</f>
        <v>Credit Card</v>
      </c>
      <c r="AG2886" s="7" t="str">
        <f aca="false">IF(LEFT(LOWER(TRIM(L2886)),6)="cancel","Cancelled","Delivered")</f>
        <v>Delivered</v>
      </c>
      <c r="AH2886" s="10" t="n">
        <f aca="false">IF(ISNUMBER(SEARCH("/",B2886)),DATE(VALUE(RIGHT(B2886,4)),VALUE(MID(B2886,4,2)),VALUE(LEFT(B2886,2))),IF(MID(B2886,5,1)="-",DATE(VALUE(LEFT(B2886,4)),VALUE(MID(B2886,6,2)),VALUE(RIGHT(B2886,2))),DATE(VALUE(RIGHT(B2886,4)),MATCH(MID(B2886,4,3),{"Jan","Feb","Mar","Apr","May","Jun","Jul","Aug","Sep","Oct","Nov","Dec"},0),VALUE(LEFT(B2886,2)))))</f>
        <v>45896</v>
      </c>
    </row>
    <row r="2887" customFormat="false" ht="15" hidden="false" customHeight="false" outlineLevel="0" collapsed="false">
      <c r="A2887" s="7" t="s">
        <v>5963</v>
      </c>
      <c r="B2887" s="7" t="s">
        <v>1670</v>
      </c>
      <c r="C2887" s="7" t="s">
        <v>2696</v>
      </c>
      <c r="D2887" s="7" t="s">
        <v>4423</v>
      </c>
      <c r="E2887" s="7" t="s">
        <v>113</v>
      </c>
      <c r="F2887" s="7" t="s">
        <v>101</v>
      </c>
      <c r="G2887" s="7" t="s">
        <v>90</v>
      </c>
      <c r="H2887" s="7" t="n">
        <v>2</v>
      </c>
      <c r="I2887" s="7" t="n">
        <v>235</v>
      </c>
      <c r="J2887" s="7" t="n">
        <v>20</v>
      </c>
      <c r="K2887" s="7" t="s">
        <v>88</v>
      </c>
      <c r="L2887" s="7" t="s">
        <v>194</v>
      </c>
      <c r="M2887" s="7" t="n">
        <v>39</v>
      </c>
      <c r="N2887" s="7" t="n">
        <v>5</v>
      </c>
      <c r="O2887" s="7" t="str">
        <f aca="false">A2887&amp;"|"&amp;B2887&amp;"|"&amp;C2887&amp;"|"&amp;D2887&amp;"|"&amp;E2887&amp;"|"&amp;F2887&amp;"|"&amp;G2887&amp;"|"&amp;H2887&amp;"|"&amp;I2887&amp;"|"&amp;J2887&amp;"|"&amp;K2887&amp;"|"&amp;L2887&amp;"|"&amp;M2887&amp;"|"&amp;N2887</f>
        <v>ORD11723|2025-08-14|19:05|C0466|Curry Leaf Kitchen|Mumbai|North Indian|2|235|20|UPI|Delivered|39|5</v>
      </c>
      <c r="P2887" s="7" t="str">
        <f aca="false">IF(COUNTIF($O$2:O2887,O2887)&gt;1,"DUP","OK")</f>
        <v>OK</v>
      </c>
      <c r="Q2887" s="7" t="n">
        <f aca="false">COUNTBLANK(A2887:N2887)</f>
        <v>0</v>
      </c>
      <c r="R2887" s="7" t="n">
        <f aca="false">IF(A2887="",0,COUNTIFS($A$2:$A$3058,A2887,$P$2:$P$3058,"OK"))</f>
        <v>1</v>
      </c>
      <c r="S2887" s="7" t="str">
        <f aca="false">IF(OR(A2887="",P2887="DUP",R2887&lt;2),"",IF(Q2887=_xlfn.MINIFS($Q$2:$Q$3058,$A$2:$A$3058,A2887,$P$2:$P$3058,"OK"),"KEEP","DROP"))</f>
        <v/>
      </c>
      <c r="T2887" s="9" t="n">
        <f aca="false">IF(A2887="",1,0)</f>
        <v>0</v>
      </c>
      <c r="U2887" s="9" t="n">
        <f aca="false">IF(D2887="",1,0)</f>
        <v>0</v>
      </c>
      <c r="V2887" s="9" t="n">
        <f aca="false">IF(E2887="",1,0)</f>
        <v>0</v>
      </c>
      <c r="W2887" s="9" t="n">
        <f aca="false">IF(OR(H2887&lt;1,H2887&gt;10),1,0)</f>
        <v>0</v>
      </c>
      <c r="X2887" s="9" t="n">
        <f aca="false">IF(OR(I2887&lt;=0,I2887&gt;1500),1,0)</f>
        <v>0</v>
      </c>
      <c r="Y2887" s="9" t="n">
        <f aca="false">IF(J2887&gt;H2887*I2887,1,0)</f>
        <v>0</v>
      </c>
      <c r="Z2887" s="9" t="n">
        <f aca="false">IF(AND(N2887&lt;&gt;"",OR(N2887&lt;1,N2887&gt;5)),1,0)</f>
        <v>0</v>
      </c>
      <c r="AA2887" s="9" t="n">
        <f aca="false">IF(AND(M2887&lt;&gt;"",OR(M2887&lt;5,M2887&gt;180)),1,0)</f>
        <v>0</v>
      </c>
      <c r="AB2887" s="7" t="str">
        <f aca="false">IF(P2887="DUP","Exact duplicate row",IF(T2887=1,"Missing Order ID",IF(S2887="DROP","Duplicate Order ID (less complete row)",IF(U2887=1,"Missing Customer ID",IF(V2887=1,"Missing Restaurant name",IF(W2887=1,"Invalid/outlier quantity",IF(X2887=1,"Invalid/outlier unit price",IF(Y2887=1,"Discount greater than order value",""))))))))</f>
        <v/>
      </c>
      <c r="AC2887" s="7" t="str">
        <f aca="false">IF(AB2887="","KEEP","DROP")</f>
        <v>KEEP</v>
      </c>
      <c r="AD2887" s="7" t="str">
        <f aca="false">IF(TRIM(F2887)="",IFERROR(INDEX(Map_Tables!$I$4:$I$37,MATCH(TRIM(E2887),Map_Tables!$G$4:$G$37,0)),""),IFERROR(INDEX(Map_Tables!$B$4:$B$18,MATCH(TRIM(F2887),Map_Tables!$A$4:$A$18,0)),"CHECK"))</f>
        <v>Mumbai</v>
      </c>
      <c r="AE2887" s="7" t="str">
        <f aca="false">IF(TRIM(E2887)="","",IFERROR(INDEX(Map_Tables!$H$4:$H$37,MATCH(TRIM(E2887),Map_Tables!$G$4:$G$37,0)),"CHECK"))</f>
        <v>Curry Leaf Kitchen</v>
      </c>
      <c r="AF2887" s="7" t="str">
        <f aca="false">IF(TRIM(K2887)="","Unknown",IFERROR(INDEX(Map_Tables!$E$4:$E$15,MATCH(TRIM(K2887),Map_Tables!$D$4:$D$15,0)),"CHECK"))</f>
        <v>UPI</v>
      </c>
      <c r="AG2887" s="7" t="str">
        <f aca="false">IF(LEFT(LOWER(TRIM(L2887)),6)="cancel","Cancelled","Delivered")</f>
        <v>Delivered</v>
      </c>
      <c r="AH2887" s="10" t="n">
        <f aca="false">IF(ISNUMBER(SEARCH("/",B2887)),DATE(VALUE(RIGHT(B2887,4)),VALUE(MID(B2887,4,2)),VALUE(LEFT(B2887,2))),IF(MID(B2887,5,1)="-",DATE(VALUE(LEFT(B2887,4)),VALUE(MID(B2887,6,2)),VALUE(RIGHT(B2887,2))),DATE(VALUE(RIGHT(B2887,4)),MATCH(MID(B2887,4,3),{"Jan","Feb","Mar","Apr","May","Jun","Jul","Aug","Sep","Oct","Nov","Dec"},0),VALUE(LEFT(B2887,2)))))</f>
        <v>45883</v>
      </c>
    </row>
    <row r="2888" customFormat="false" ht="15" hidden="false" customHeight="false" outlineLevel="0" collapsed="false">
      <c r="A2888" s="7" t="s">
        <v>5964</v>
      </c>
      <c r="B2888" s="7" t="s">
        <v>1970</v>
      </c>
      <c r="C2888" s="7" t="s">
        <v>3217</v>
      </c>
      <c r="D2888" s="7" t="s">
        <v>3426</v>
      </c>
      <c r="E2888" s="7" t="s">
        <v>89</v>
      </c>
      <c r="F2888" s="7" t="s">
        <v>86</v>
      </c>
      <c r="G2888" s="7" t="s">
        <v>1928</v>
      </c>
      <c r="H2888" s="7" t="n">
        <v>1</v>
      </c>
      <c r="I2888" s="7" t="n">
        <v>220</v>
      </c>
      <c r="J2888" s="7" t="n">
        <v>75</v>
      </c>
      <c r="K2888" s="7" t="s">
        <v>88</v>
      </c>
      <c r="L2888" s="7" t="s">
        <v>194</v>
      </c>
      <c r="M2888" s="7" t="n">
        <v>43</v>
      </c>
      <c r="N2888" s="7" t="n">
        <v>5</v>
      </c>
      <c r="O2888" s="7" t="str">
        <f aca="false">A2888&amp;"|"&amp;B2888&amp;"|"&amp;C2888&amp;"|"&amp;D2888&amp;"|"&amp;E2888&amp;"|"&amp;F2888&amp;"|"&amp;G2888&amp;"|"&amp;H2888&amp;"|"&amp;I2888&amp;"|"&amp;J2888&amp;"|"&amp;K2888&amp;"|"&amp;L2888&amp;"|"&amp;M2888&amp;"|"&amp;N2888</f>
        <v>ORD12134|2025-10-01|12:17|C1065|Spice Junction|Bengaluru|north indian|1|220|75|UPI|Delivered|43|5</v>
      </c>
      <c r="P2888" s="7" t="str">
        <f aca="false">IF(COUNTIF($O$2:O2888,O2888)&gt;1,"DUP","OK")</f>
        <v>OK</v>
      </c>
      <c r="Q2888" s="7" t="n">
        <f aca="false">COUNTBLANK(A2888:N2888)</f>
        <v>0</v>
      </c>
      <c r="R2888" s="7" t="n">
        <f aca="false">IF(A2888="",0,COUNTIFS($A$2:$A$3058,A2888,$P$2:$P$3058,"OK"))</f>
        <v>1</v>
      </c>
      <c r="S2888" s="7" t="str">
        <f aca="false">IF(OR(A2888="",P2888="DUP",R2888&lt;2),"",IF(Q2888=_xlfn.MINIFS($Q$2:$Q$3058,$A$2:$A$3058,A2888,$P$2:$P$3058,"OK"),"KEEP","DROP"))</f>
        <v/>
      </c>
      <c r="T2888" s="9" t="n">
        <f aca="false">IF(A2888="",1,0)</f>
        <v>0</v>
      </c>
      <c r="U2888" s="9" t="n">
        <f aca="false">IF(D2888="",1,0)</f>
        <v>0</v>
      </c>
      <c r="V2888" s="9" t="n">
        <f aca="false">IF(E2888="",1,0)</f>
        <v>0</v>
      </c>
      <c r="W2888" s="9" t="n">
        <f aca="false">IF(OR(H2888&lt;1,H2888&gt;10),1,0)</f>
        <v>0</v>
      </c>
      <c r="X2888" s="9" t="n">
        <f aca="false">IF(OR(I2888&lt;=0,I2888&gt;1500),1,0)</f>
        <v>0</v>
      </c>
      <c r="Y2888" s="9" t="n">
        <f aca="false">IF(J2888&gt;H2888*I2888,1,0)</f>
        <v>0</v>
      </c>
      <c r="Z2888" s="9" t="n">
        <f aca="false">IF(AND(N2888&lt;&gt;"",OR(N2888&lt;1,N2888&gt;5)),1,0)</f>
        <v>0</v>
      </c>
      <c r="AA2888" s="9" t="n">
        <f aca="false">IF(AND(M2888&lt;&gt;"",OR(M2888&lt;5,M2888&gt;180)),1,0)</f>
        <v>0</v>
      </c>
      <c r="AB2888" s="7" t="str">
        <f aca="false">IF(P2888="DUP","Exact duplicate row",IF(T2888=1,"Missing Order ID",IF(S2888="DROP","Duplicate Order ID (less complete row)",IF(U2888=1,"Missing Customer ID",IF(V2888=1,"Missing Restaurant name",IF(W2888=1,"Invalid/outlier quantity",IF(X2888=1,"Invalid/outlier unit price",IF(Y2888=1,"Discount greater than order value",""))))))))</f>
        <v/>
      </c>
      <c r="AC2888" s="7" t="str">
        <f aca="false">IF(AB2888="","KEEP","DROP")</f>
        <v>KEEP</v>
      </c>
      <c r="AD2888" s="7" t="str">
        <f aca="false">IF(TRIM(F2888)="",IFERROR(INDEX(Map_Tables!$I$4:$I$37,MATCH(TRIM(E2888),Map_Tables!$G$4:$G$37,0)),""),IFERROR(INDEX(Map_Tables!$B$4:$B$18,MATCH(TRIM(F2888),Map_Tables!$A$4:$A$18,0)),"CHECK"))</f>
        <v>Bengaluru</v>
      </c>
      <c r="AE2888" s="7" t="str">
        <f aca="false">IF(TRIM(E2888)="","",IFERROR(INDEX(Map_Tables!$H$4:$H$37,MATCH(TRIM(E2888),Map_Tables!$G$4:$G$37,0)),"CHECK"))</f>
        <v>Spice Junction</v>
      </c>
      <c r="AF2888" s="7" t="str">
        <f aca="false">IF(TRIM(K2888)="","Unknown",IFERROR(INDEX(Map_Tables!$E$4:$E$15,MATCH(TRIM(K2888),Map_Tables!$D$4:$D$15,0)),"CHECK"))</f>
        <v>UPI</v>
      </c>
      <c r="AG2888" s="7" t="str">
        <f aca="false">IF(LEFT(LOWER(TRIM(L2888)),6)="cancel","Cancelled","Delivered")</f>
        <v>Delivered</v>
      </c>
      <c r="AH2888" s="10" t="n">
        <f aca="false">IF(ISNUMBER(SEARCH("/",B2888)),DATE(VALUE(RIGHT(B2888,4)),VALUE(MID(B2888,4,2)),VALUE(LEFT(B2888,2))),IF(MID(B2888,5,1)="-",DATE(VALUE(LEFT(B2888,4)),VALUE(MID(B2888,6,2)),VALUE(RIGHT(B2888,2))),DATE(VALUE(RIGHT(B2888,4)),MATCH(MID(B2888,4,3),{"Jan","Feb","Mar","Apr","May","Jun","Jul","Aug","Sep","Oct","Nov","Dec"},0),VALUE(LEFT(B2888,2)))))</f>
        <v>45931</v>
      </c>
    </row>
    <row r="2889" customFormat="false" ht="15" hidden="false" customHeight="false" outlineLevel="0" collapsed="false">
      <c r="A2889" s="7" t="s">
        <v>5965</v>
      </c>
      <c r="B2889" s="7" t="s">
        <v>625</v>
      </c>
      <c r="C2889" s="7" t="s">
        <v>5966</v>
      </c>
      <c r="D2889" s="7" t="s">
        <v>1232</v>
      </c>
      <c r="E2889" s="7" t="s">
        <v>130</v>
      </c>
      <c r="F2889" s="7" t="s">
        <v>110</v>
      </c>
      <c r="G2889" s="7" t="s">
        <v>90</v>
      </c>
      <c r="H2889" s="7" t="n">
        <v>2</v>
      </c>
      <c r="I2889" s="7" t="n">
        <v>300</v>
      </c>
      <c r="J2889" s="7" t="n">
        <v>125</v>
      </c>
      <c r="K2889" s="7" t="s">
        <v>88</v>
      </c>
      <c r="L2889" s="7" t="s">
        <v>194</v>
      </c>
      <c r="M2889" s="7" t="n">
        <v>35</v>
      </c>
      <c r="N2889" s="7" t="n">
        <v>4</v>
      </c>
      <c r="O2889" s="7" t="str">
        <f aca="false">A2889&amp;"|"&amp;B2889&amp;"|"&amp;C2889&amp;"|"&amp;D2889&amp;"|"&amp;E2889&amp;"|"&amp;F2889&amp;"|"&amp;G2889&amp;"|"&amp;H2889&amp;"|"&amp;I2889&amp;"|"&amp;J2889&amp;"|"&amp;K2889&amp;"|"&amp;L2889&amp;"|"&amp;M2889&amp;"|"&amp;N2889</f>
        <v>ORD11736|2025-08-16|09:59|C0512|Tandoor Tales|Delhi|North Indian|2|300|125|UPI|Delivered|35|4</v>
      </c>
      <c r="P2889" s="7" t="str">
        <f aca="false">IF(COUNTIF($O$2:O2889,O2889)&gt;1,"DUP","OK")</f>
        <v>OK</v>
      </c>
      <c r="Q2889" s="7" t="n">
        <f aca="false">COUNTBLANK(A2889:N2889)</f>
        <v>0</v>
      </c>
      <c r="R2889" s="7" t="n">
        <f aca="false">IF(A2889="",0,COUNTIFS($A$2:$A$3058,A2889,$P$2:$P$3058,"OK"))</f>
        <v>1</v>
      </c>
      <c r="S2889" s="7" t="str">
        <f aca="false">IF(OR(A2889="",P2889="DUP",R2889&lt;2),"",IF(Q2889=_xlfn.MINIFS($Q$2:$Q$3058,$A$2:$A$3058,A2889,$P$2:$P$3058,"OK"),"KEEP","DROP"))</f>
        <v/>
      </c>
      <c r="T2889" s="9" t="n">
        <f aca="false">IF(A2889="",1,0)</f>
        <v>0</v>
      </c>
      <c r="U2889" s="9" t="n">
        <f aca="false">IF(D2889="",1,0)</f>
        <v>0</v>
      </c>
      <c r="V2889" s="9" t="n">
        <f aca="false">IF(E2889="",1,0)</f>
        <v>0</v>
      </c>
      <c r="W2889" s="9" t="n">
        <f aca="false">IF(OR(H2889&lt;1,H2889&gt;10),1,0)</f>
        <v>0</v>
      </c>
      <c r="X2889" s="9" t="n">
        <f aca="false">IF(OR(I2889&lt;=0,I2889&gt;1500),1,0)</f>
        <v>0</v>
      </c>
      <c r="Y2889" s="9" t="n">
        <f aca="false">IF(J2889&gt;H2889*I2889,1,0)</f>
        <v>0</v>
      </c>
      <c r="Z2889" s="9" t="n">
        <f aca="false">IF(AND(N2889&lt;&gt;"",OR(N2889&lt;1,N2889&gt;5)),1,0)</f>
        <v>0</v>
      </c>
      <c r="AA2889" s="9" t="n">
        <f aca="false">IF(AND(M2889&lt;&gt;"",OR(M2889&lt;5,M2889&gt;180)),1,0)</f>
        <v>0</v>
      </c>
      <c r="AB2889" s="7" t="str">
        <f aca="false">IF(P2889="DUP","Exact duplicate row",IF(T2889=1,"Missing Order ID",IF(S2889="DROP","Duplicate Order ID (less complete row)",IF(U2889=1,"Missing Customer ID",IF(V2889=1,"Missing Restaurant name",IF(W2889=1,"Invalid/outlier quantity",IF(X2889=1,"Invalid/outlier unit price",IF(Y2889=1,"Discount greater than order value",""))))))))</f>
        <v/>
      </c>
      <c r="AC2889" s="7" t="str">
        <f aca="false">IF(AB2889="","KEEP","DROP")</f>
        <v>KEEP</v>
      </c>
      <c r="AD2889" s="7" t="str">
        <f aca="false">IF(TRIM(F2889)="",IFERROR(INDEX(Map_Tables!$I$4:$I$37,MATCH(TRIM(E2889),Map_Tables!$G$4:$G$37,0)),""),IFERROR(INDEX(Map_Tables!$B$4:$B$18,MATCH(TRIM(F2889),Map_Tables!$A$4:$A$18,0)),"CHECK"))</f>
        <v>Delhi</v>
      </c>
      <c r="AE2889" s="7" t="str">
        <f aca="false">IF(TRIM(E2889)="","",IFERROR(INDEX(Map_Tables!$H$4:$H$37,MATCH(TRIM(E2889),Map_Tables!$G$4:$G$37,0)),"CHECK"))</f>
        <v>Tandoor Tales</v>
      </c>
      <c r="AF2889" s="7" t="str">
        <f aca="false">IF(TRIM(K2889)="","Unknown",IFERROR(INDEX(Map_Tables!$E$4:$E$15,MATCH(TRIM(K2889),Map_Tables!$D$4:$D$15,0)),"CHECK"))</f>
        <v>UPI</v>
      </c>
      <c r="AG2889" s="7" t="str">
        <f aca="false">IF(LEFT(LOWER(TRIM(L2889)),6)="cancel","Cancelled","Delivered")</f>
        <v>Delivered</v>
      </c>
      <c r="AH2889" s="10" t="n">
        <f aca="false">IF(ISNUMBER(SEARCH("/",B2889)),DATE(VALUE(RIGHT(B2889,4)),VALUE(MID(B2889,4,2)),VALUE(LEFT(B2889,2))),IF(MID(B2889,5,1)="-",DATE(VALUE(LEFT(B2889,4)),VALUE(MID(B2889,6,2)),VALUE(RIGHT(B2889,2))),DATE(VALUE(RIGHT(B2889,4)),MATCH(MID(B2889,4,3),{"Jan","Feb","Mar","Apr","May","Jun","Jul","Aug","Sep","Oct","Nov","Dec"},0),VALUE(LEFT(B2889,2)))))</f>
        <v>45885</v>
      </c>
    </row>
    <row r="2890" customFormat="false" ht="15" hidden="false" customHeight="false" outlineLevel="0" collapsed="false">
      <c r="A2890" s="7" t="s">
        <v>3501</v>
      </c>
      <c r="B2890" s="7" t="s">
        <v>960</v>
      </c>
      <c r="C2890" s="7" t="s">
        <v>2061</v>
      </c>
      <c r="D2890" s="7" t="s">
        <v>3502</v>
      </c>
      <c r="E2890" s="7" t="s">
        <v>122</v>
      </c>
      <c r="F2890" s="7" t="s">
        <v>101</v>
      </c>
      <c r="G2890" s="7" t="s">
        <v>123</v>
      </c>
      <c r="H2890" s="7" t="n">
        <v>2</v>
      </c>
      <c r="I2890" s="7" t="n">
        <v>295</v>
      </c>
      <c r="J2890" s="7" t="n">
        <v>0</v>
      </c>
      <c r="K2890" s="7" t="s">
        <v>112</v>
      </c>
      <c r="L2890" s="7" t="s">
        <v>194</v>
      </c>
      <c r="M2890" s="7" t="n">
        <v>35</v>
      </c>
      <c r="N2890" s="7"/>
      <c r="O2890" s="7" t="str">
        <f aca="false">A2890&amp;"|"&amp;B2890&amp;"|"&amp;C2890&amp;"|"&amp;D2890&amp;"|"&amp;E2890&amp;"|"&amp;F2890&amp;"|"&amp;G2890&amp;"|"&amp;H2890&amp;"|"&amp;I2890&amp;"|"&amp;J2890&amp;"|"&amp;K2890&amp;"|"&amp;L2890&amp;"|"&amp;M2890&amp;"|"&amp;N2890</f>
        <v>ORD10933|2025-04-28|13:51|C0888|Mumbai Pizza Co|Mumbai|Pizza|2|295|0|Cash on Delivery|Delivered|35|</v>
      </c>
      <c r="P2890" s="7" t="str">
        <f aca="false">IF(COUNTIF($O$2:O2890,O2890)&gt;1,"DUP","OK")</f>
        <v>OK</v>
      </c>
      <c r="Q2890" s="7" t="n">
        <f aca="false">COUNTBLANK(A2890:N2890)</f>
        <v>1</v>
      </c>
      <c r="R2890" s="7" t="n">
        <f aca="false">IF(A2890="",0,COUNTIFS($A$2:$A$3058,A2890,$P$2:$P$3058,"OK"))</f>
        <v>2</v>
      </c>
      <c r="S2890" s="7" t="str">
        <f aca="false">IF(OR(A2890="",P2890="DUP",R2890&lt;2),"",IF(Q2890=_xlfn.MINIFS($Q$2:$Q$3058,$A$2:$A$3058,A2890,$P$2:$P$3058,"OK"),"KEEP","DROP"))</f>
        <v>DROP</v>
      </c>
      <c r="T2890" s="9" t="n">
        <f aca="false">IF(A2890="",1,0)</f>
        <v>0</v>
      </c>
      <c r="U2890" s="9" t="n">
        <f aca="false">IF(D2890="",1,0)</f>
        <v>0</v>
      </c>
      <c r="V2890" s="9" t="n">
        <f aca="false">IF(E2890="",1,0)</f>
        <v>0</v>
      </c>
      <c r="W2890" s="9" t="n">
        <f aca="false">IF(OR(H2890&lt;1,H2890&gt;10),1,0)</f>
        <v>0</v>
      </c>
      <c r="X2890" s="9" t="n">
        <f aca="false">IF(OR(I2890&lt;=0,I2890&gt;1500),1,0)</f>
        <v>0</v>
      </c>
      <c r="Y2890" s="9" t="n">
        <f aca="false">IF(J2890&gt;H2890*I2890,1,0)</f>
        <v>0</v>
      </c>
      <c r="Z2890" s="9" t="n">
        <f aca="false">IF(AND(N2890&lt;&gt;"",OR(N2890&lt;1,N2890&gt;5)),1,0)</f>
        <v>0</v>
      </c>
      <c r="AA2890" s="9" t="n">
        <f aca="false">IF(AND(M2890&lt;&gt;"",OR(M2890&lt;5,M2890&gt;180)),1,0)</f>
        <v>0</v>
      </c>
      <c r="AB2890" s="7" t="str">
        <f aca="false">IF(P2890="DUP","Exact duplicate row",IF(T2890=1,"Missing Order ID",IF(S2890="DROP","Duplicate Order ID (less complete row)",IF(U2890=1,"Missing Customer ID",IF(V2890=1,"Missing Restaurant name",IF(W2890=1,"Invalid/outlier quantity",IF(X2890=1,"Invalid/outlier unit price",IF(Y2890=1,"Discount greater than order value",""))))))))</f>
        <v>Duplicate Order ID (less complete row)</v>
      </c>
      <c r="AC2890" s="7" t="str">
        <f aca="false">IF(AB2890="","KEEP","DROP")</f>
        <v>DROP</v>
      </c>
      <c r="AD2890" s="7" t="str">
        <f aca="false">IF(TRIM(F2890)="",IFERROR(INDEX(Map_Tables!$I$4:$I$37,MATCH(TRIM(E2890),Map_Tables!$G$4:$G$37,0)),""),IFERROR(INDEX(Map_Tables!$B$4:$B$18,MATCH(TRIM(F2890),Map_Tables!$A$4:$A$18,0)),"CHECK"))</f>
        <v>Mumbai</v>
      </c>
      <c r="AE2890" s="7" t="str">
        <f aca="false">IF(TRIM(E2890)="","",IFERROR(INDEX(Map_Tables!$H$4:$H$37,MATCH(TRIM(E2890),Map_Tables!$G$4:$G$37,0)),"CHECK"))</f>
        <v>Mumbai Pizza Co</v>
      </c>
      <c r="AF2890" s="7" t="str">
        <f aca="false">IF(TRIM(K2890)="","Unknown",IFERROR(INDEX(Map_Tables!$E$4:$E$15,MATCH(TRIM(K2890),Map_Tables!$D$4:$D$15,0)),"CHECK"))</f>
        <v>Cash on Delivery</v>
      </c>
      <c r="AG2890" s="7" t="str">
        <f aca="false">IF(LEFT(LOWER(TRIM(L2890)),6)="cancel","Cancelled","Delivered")</f>
        <v>Delivered</v>
      </c>
      <c r="AH2890" s="10" t="n">
        <f aca="false">IF(ISNUMBER(SEARCH("/",B2890)),DATE(VALUE(RIGHT(B2890,4)),VALUE(MID(B2890,4,2)),VALUE(LEFT(B2890,2))),IF(MID(B2890,5,1)="-",DATE(VALUE(LEFT(B2890,4)),VALUE(MID(B2890,6,2)),VALUE(RIGHT(B2890,2))),DATE(VALUE(RIGHT(B2890,4)),MATCH(MID(B2890,4,3),{"Jan","Feb","Mar","Apr","May","Jun","Jul","Aug","Sep","Oct","Nov","Dec"},0),VALUE(LEFT(B2890,2)))))</f>
        <v>45775</v>
      </c>
    </row>
    <row r="2891" customFormat="false" ht="15" hidden="false" customHeight="false" outlineLevel="0" collapsed="false">
      <c r="A2891" s="7" t="s">
        <v>2933</v>
      </c>
      <c r="B2891" s="7" t="s">
        <v>1312</v>
      </c>
      <c r="C2891" s="7" t="s">
        <v>2644</v>
      </c>
      <c r="D2891" s="7" t="s">
        <v>2934</v>
      </c>
      <c r="E2891" s="7" t="s">
        <v>159</v>
      </c>
      <c r="F2891" s="7" t="s">
        <v>136</v>
      </c>
      <c r="G2891" s="7" t="s">
        <v>1391</v>
      </c>
      <c r="H2891" s="7" t="n">
        <v>1</v>
      </c>
      <c r="I2891" s="7" t="n">
        <v>260</v>
      </c>
      <c r="J2891" s="7" t="n">
        <v>104</v>
      </c>
      <c r="K2891" s="7" t="s">
        <v>93</v>
      </c>
      <c r="L2891" s="7" t="s">
        <v>194</v>
      </c>
      <c r="M2891" s="7" t="n">
        <v>42</v>
      </c>
      <c r="N2891" s="7"/>
      <c r="O2891" s="7" t="str">
        <f aca="false">A2891&amp;"|"&amp;B2891&amp;"|"&amp;C2891&amp;"|"&amp;D2891&amp;"|"&amp;E2891&amp;"|"&amp;F2891&amp;"|"&amp;G2891&amp;"|"&amp;H2891&amp;"|"&amp;I2891&amp;"|"&amp;J2891&amp;"|"&amp;K2891&amp;"|"&amp;L2891&amp;"|"&amp;M2891&amp;"|"&amp;N2891</f>
        <v>ORD11101|2025-05-19|19:41|C0098|Maratha Thali House|Pune|NORTH INDIAN|1|260|104|Credit Card|Delivered|42|</v>
      </c>
      <c r="P2891" s="7" t="str">
        <f aca="false">IF(COUNTIF($O$2:O2891,O2891)&gt;1,"DUP","OK")</f>
        <v>DUP</v>
      </c>
      <c r="Q2891" s="7" t="n">
        <f aca="false">COUNTBLANK(A2891:N2891)</f>
        <v>1</v>
      </c>
      <c r="R2891" s="7" t="n">
        <f aca="false">IF(A2891="",0,COUNTIFS($A$2:$A$3058,A2891,$P$2:$P$3058,"OK"))</f>
        <v>1</v>
      </c>
      <c r="S2891" s="7" t="str">
        <f aca="false">IF(OR(A2891="",P2891="DUP",R2891&lt;2),"",IF(Q2891=_xlfn.MINIFS($Q$2:$Q$3058,$A$2:$A$3058,A2891,$P$2:$P$3058,"OK"),"KEEP","DROP"))</f>
        <v/>
      </c>
      <c r="T2891" s="9" t="n">
        <f aca="false">IF(A2891="",1,0)</f>
        <v>0</v>
      </c>
      <c r="U2891" s="9" t="n">
        <f aca="false">IF(D2891="",1,0)</f>
        <v>0</v>
      </c>
      <c r="V2891" s="9" t="n">
        <f aca="false">IF(E2891="",1,0)</f>
        <v>0</v>
      </c>
      <c r="W2891" s="9" t="n">
        <f aca="false">IF(OR(H2891&lt;1,H2891&gt;10),1,0)</f>
        <v>0</v>
      </c>
      <c r="X2891" s="9" t="n">
        <f aca="false">IF(OR(I2891&lt;=0,I2891&gt;1500),1,0)</f>
        <v>0</v>
      </c>
      <c r="Y2891" s="9" t="n">
        <f aca="false">IF(J2891&gt;H2891*I2891,1,0)</f>
        <v>0</v>
      </c>
      <c r="Z2891" s="9" t="n">
        <f aca="false">IF(AND(N2891&lt;&gt;"",OR(N2891&lt;1,N2891&gt;5)),1,0)</f>
        <v>0</v>
      </c>
      <c r="AA2891" s="9" t="n">
        <f aca="false">IF(AND(M2891&lt;&gt;"",OR(M2891&lt;5,M2891&gt;180)),1,0)</f>
        <v>0</v>
      </c>
      <c r="AB2891" s="7" t="str">
        <f aca="false">IF(P2891="DUP","Exact duplicate row",IF(T2891=1,"Missing Order ID",IF(S2891="DROP","Duplicate Order ID (less complete row)",IF(U2891=1,"Missing Customer ID",IF(V2891=1,"Missing Restaurant name",IF(W2891=1,"Invalid/outlier quantity",IF(X2891=1,"Invalid/outlier unit price",IF(Y2891=1,"Discount greater than order value",""))))))))</f>
        <v>Exact duplicate row</v>
      </c>
      <c r="AC2891" s="7" t="str">
        <f aca="false">IF(AB2891="","KEEP","DROP")</f>
        <v>DROP</v>
      </c>
      <c r="AD2891" s="7" t="str">
        <f aca="false">IF(TRIM(F2891)="",IFERROR(INDEX(Map_Tables!$I$4:$I$37,MATCH(TRIM(E2891),Map_Tables!$G$4:$G$37,0)),""),IFERROR(INDEX(Map_Tables!$B$4:$B$18,MATCH(TRIM(F2891),Map_Tables!$A$4:$A$18,0)),"CHECK"))</f>
        <v>Pune</v>
      </c>
      <c r="AE2891" s="7" t="str">
        <f aca="false">IF(TRIM(E2891)="","",IFERROR(INDEX(Map_Tables!$H$4:$H$37,MATCH(TRIM(E2891),Map_Tables!$G$4:$G$37,0)),"CHECK"))</f>
        <v>Maratha Thali House</v>
      </c>
      <c r="AF2891" s="7" t="str">
        <f aca="false">IF(TRIM(K2891)="","Unknown",IFERROR(INDEX(Map_Tables!$E$4:$E$15,MATCH(TRIM(K2891),Map_Tables!$D$4:$D$15,0)),"CHECK"))</f>
        <v>Credit Card</v>
      </c>
      <c r="AG2891" s="7" t="str">
        <f aca="false">IF(LEFT(LOWER(TRIM(L2891)),6)="cancel","Cancelled","Delivered")</f>
        <v>Delivered</v>
      </c>
      <c r="AH2891" s="10" t="n">
        <f aca="false">IF(ISNUMBER(SEARCH("/",B2891)),DATE(VALUE(RIGHT(B2891,4)),VALUE(MID(B2891,4,2)),VALUE(LEFT(B2891,2))),IF(MID(B2891,5,1)="-",DATE(VALUE(LEFT(B2891,4)),VALUE(MID(B2891,6,2)),VALUE(RIGHT(B2891,2))),DATE(VALUE(RIGHT(B2891,4)),MATCH(MID(B2891,4,3),{"Jan","Feb","Mar","Apr","May","Jun","Jul","Aug","Sep","Oct","Nov","Dec"},0),VALUE(LEFT(B2891,2)))))</f>
        <v>45796</v>
      </c>
    </row>
    <row r="2892" customFormat="false" ht="15" hidden="false" customHeight="false" outlineLevel="0" collapsed="false">
      <c r="A2892" s="7" t="s">
        <v>5967</v>
      </c>
      <c r="B2892" s="7" t="s">
        <v>648</v>
      </c>
      <c r="C2892" s="7" t="s">
        <v>1805</v>
      </c>
      <c r="D2892" s="7" t="s">
        <v>3532</v>
      </c>
      <c r="E2892" s="7" t="s">
        <v>2131</v>
      </c>
      <c r="F2892" s="7" t="s">
        <v>101</v>
      </c>
      <c r="G2892" s="7" t="s">
        <v>123</v>
      </c>
      <c r="H2892" s="7" t="n">
        <v>1</v>
      </c>
      <c r="I2892" s="7" t="n">
        <v>390</v>
      </c>
      <c r="J2892" s="7" t="n">
        <v>30</v>
      </c>
      <c r="K2892" s="7" t="s">
        <v>88</v>
      </c>
      <c r="L2892" s="7" t="s">
        <v>238</v>
      </c>
      <c r="M2892" s="7"/>
      <c r="N2892" s="7"/>
      <c r="O2892" s="7" t="str">
        <f aca="false">A2892&amp;"|"&amp;B2892&amp;"|"&amp;C2892&amp;"|"&amp;D2892&amp;"|"&amp;E2892&amp;"|"&amp;F2892&amp;"|"&amp;G2892&amp;"|"&amp;H2892&amp;"|"&amp;I2892&amp;"|"&amp;J2892&amp;"|"&amp;K2892&amp;"|"&amp;L2892&amp;"|"&amp;M2892&amp;"|"&amp;N2892</f>
        <v>ORD11208|2025-06-02|19:30|C0899|Mumbai  Pizza Co|Mumbai|Pizza|1|390|30|UPI|Cancelled||</v>
      </c>
      <c r="P2892" s="7" t="str">
        <f aca="false">IF(COUNTIF($O$2:O2892,O2892)&gt;1,"DUP","OK")</f>
        <v>OK</v>
      </c>
      <c r="Q2892" s="7" t="n">
        <f aca="false">COUNTBLANK(A2892:N2892)</f>
        <v>2</v>
      </c>
      <c r="R2892" s="7" t="n">
        <f aca="false">IF(A2892="",0,COUNTIFS($A$2:$A$3058,A2892,$P$2:$P$3058,"OK"))</f>
        <v>1</v>
      </c>
      <c r="S2892" s="7" t="str">
        <f aca="false">IF(OR(A2892="",P2892="DUP",R2892&lt;2),"",IF(Q2892=_xlfn.MINIFS($Q$2:$Q$3058,$A$2:$A$3058,A2892,$P$2:$P$3058,"OK"),"KEEP","DROP"))</f>
        <v/>
      </c>
      <c r="T2892" s="9" t="n">
        <f aca="false">IF(A2892="",1,0)</f>
        <v>0</v>
      </c>
      <c r="U2892" s="9" t="n">
        <f aca="false">IF(D2892="",1,0)</f>
        <v>0</v>
      </c>
      <c r="V2892" s="9" t="n">
        <f aca="false">IF(E2892="",1,0)</f>
        <v>0</v>
      </c>
      <c r="W2892" s="9" t="n">
        <f aca="false">IF(OR(H2892&lt;1,H2892&gt;10),1,0)</f>
        <v>0</v>
      </c>
      <c r="X2892" s="9" t="n">
        <f aca="false">IF(OR(I2892&lt;=0,I2892&gt;1500),1,0)</f>
        <v>0</v>
      </c>
      <c r="Y2892" s="9" t="n">
        <f aca="false">IF(J2892&gt;H2892*I2892,1,0)</f>
        <v>0</v>
      </c>
      <c r="Z2892" s="9" t="n">
        <f aca="false">IF(AND(N2892&lt;&gt;"",OR(N2892&lt;1,N2892&gt;5)),1,0)</f>
        <v>0</v>
      </c>
      <c r="AA2892" s="9" t="n">
        <f aca="false">IF(AND(M2892&lt;&gt;"",OR(M2892&lt;5,M2892&gt;180)),1,0)</f>
        <v>0</v>
      </c>
      <c r="AB2892" s="7" t="str">
        <f aca="false">IF(P2892="DUP","Exact duplicate row",IF(T2892=1,"Missing Order ID",IF(S2892="DROP","Duplicate Order ID (less complete row)",IF(U2892=1,"Missing Customer ID",IF(V2892=1,"Missing Restaurant name",IF(W2892=1,"Invalid/outlier quantity",IF(X2892=1,"Invalid/outlier unit price",IF(Y2892=1,"Discount greater than order value",""))))))))</f>
        <v/>
      </c>
      <c r="AC2892" s="7" t="str">
        <f aca="false">IF(AB2892="","KEEP","DROP")</f>
        <v>KEEP</v>
      </c>
      <c r="AD2892" s="7" t="str">
        <f aca="false">IF(TRIM(F2892)="",IFERROR(INDEX(Map_Tables!$I$4:$I$37,MATCH(TRIM(E2892),Map_Tables!$G$4:$G$37,0)),""),IFERROR(INDEX(Map_Tables!$B$4:$B$18,MATCH(TRIM(F2892),Map_Tables!$A$4:$A$18,0)),"CHECK"))</f>
        <v>Mumbai</v>
      </c>
      <c r="AE2892" s="7" t="str">
        <f aca="false">IF(TRIM(E2892)="","",IFERROR(INDEX(Map_Tables!$H$4:$H$37,MATCH(TRIM(E2892),Map_Tables!$G$4:$G$37,0)),"CHECK"))</f>
        <v>Mumbai Pizza Co</v>
      </c>
      <c r="AF2892" s="7" t="str">
        <f aca="false">IF(TRIM(K2892)="","Unknown",IFERROR(INDEX(Map_Tables!$E$4:$E$15,MATCH(TRIM(K2892),Map_Tables!$D$4:$D$15,0)),"CHECK"))</f>
        <v>UPI</v>
      </c>
      <c r="AG2892" s="7" t="str">
        <f aca="false">IF(LEFT(LOWER(TRIM(L2892)),6)="cancel","Cancelled","Delivered")</f>
        <v>Cancelled</v>
      </c>
      <c r="AH2892" s="10" t="n">
        <f aca="false">IF(ISNUMBER(SEARCH("/",B2892)),DATE(VALUE(RIGHT(B2892,4)),VALUE(MID(B2892,4,2)),VALUE(LEFT(B2892,2))),IF(MID(B2892,5,1)="-",DATE(VALUE(LEFT(B2892,4)),VALUE(MID(B2892,6,2)),VALUE(RIGHT(B2892,2))),DATE(VALUE(RIGHT(B2892,4)),MATCH(MID(B2892,4,3),{"Jan","Feb","Mar","Apr","May","Jun","Jul","Aug","Sep","Oct","Nov","Dec"},0),VALUE(LEFT(B2892,2)))))</f>
        <v>45810</v>
      </c>
    </row>
    <row r="2893" customFormat="false" ht="15" hidden="false" customHeight="false" outlineLevel="0" collapsed="false">
      <c r="A2893" s="7" t="s">
        <v>5968</v>
      </c>
      <c r="B2893" s="7" t="s">
        <v>2303</v>
      </c>
      <c r="C2893" s="7" t="s">
        <v>411</v>
      </c>
      <c r="D2893" s="7" t="s">
        <v>1712</v>
      </c>
      <c r="E2893" s="7" t="s">
        <v>89</v>
      </c>
      <c r="F2893" s="7" t="s">
        <v>785</v>
      </c>
      <c r="G2893" s="7" t="s">
        <v>90</v>
      </c>
      <c r="H2893" s="7" t="n">
        <v>2</v>
      </c>
      <c r="I2893" s="7" t="n">
        <v>240</v>
      </c>
      <c r="J2893" s="7" t="n">
        <v>0</v>
      </c>
      <c r="K2893" s="7" t="s">
        <v>103</v>
      </c>
      <c r="L2893" s="7" t="s">
        <v>194</v>
      </c>
      <c r="M2893" s="7" t="n">
        <v>41</v>
      </c>
      <c r="N2893" s="7" t="n">
        <v>4</v>
      </c>
      <c r="O2893" s="7" t="str">
        <f aca="false">A2893&amp;"|"&amp;B2893&amp;"|"&amp;C2893&amp;"|"&amp;D2893&amp;"|"&amp;E2893&amp;"|"&amp;F2893&amp;"|"&amp;G2893&amp;"|"&amp;H2893&amp;"|"&amp;I2893&amp;"|"&amp;J2893&amp;"|"&amp;K2893&amp;"|"&amp;L2893&amp;"|"&amp;M2893&amp;"|"&amp;N2893</f>
        <v>ORD12296|2025-10-17|18:00|C1167|Spice Junction|Bengaluru |North Indian|2|240|0|Debit Card|Delivered|41|4</v>
      </c>
      <c r="P2893" s="7" t="str">
        <f aca="false">IF(COUNTIF($O$2:O2893,O2893)&gt;1,"DUP","OK")</f>
        <v>OK</v>
      </c>
      <c r="Q2893" s="7" t="n">
        <f aca="false">COUNTBLANK(A2893:N2893)</f>
        <v>0</v>
      </c>
      <c r="R2893" s="7" t="n">
        <f aca="false">IF(A2893="",0,COUNTIFS($A$2:$A$3058,A2893,$P$2:$P$3058,"OK"))</f>
        <v>1</v>
      </c>
      <c r="S2893" s="7" t="str">
        <f aca="false">IF(OR(A2893="",P2893="DUP",R2893&lt;2),"",IF(Q2893=_xlfn.MINIFS($Q$2:$Q$3058,$A$2:$A$3058,A2893,$P$2:$P$3058,"OK"),"KEEP","DROP"))</f>
        <v/>
      </c>
      <c r="T2893" s="9" t="n">
        <f aca="false">IF(A2893="",1,0)</f>
        <v>0</v>
      </c>
      <c r="U2893" s="9" t="n">
        <f aca="false">IF(D2893="",1,0)</f>
        <v>0</v>
      </c>
      <c r="V2893" s="9" t="n">
        <f aca="false">IF(E2893="",1,0)</f>
        <v>0</v>
      </c>
      <c r="W2893" s="9" t="n">
        <f aca="false">IF(OR(H2893&lt;1,H2893&gt;10),1,0)</f>
        <v>0</v>
      </c>
      <c r="X2893" s="9" t="n">
        <f aca="false">IF(OR(I2893&lt;=0,I2893&gt;1500),1,0)</f>
        <v>0</v>
      </c>
      <c r="Y2893" s="9" t="n">
        <f aca="false">IF(J2893&gt;H2893*I2893,1,0)</f>
        <v>0</v>
      </c>
      <c r="Z2893" s="9" t="n">
        <f aca="false">IF(AND(N2893&lt;&gt;"",OR(N2893&lt;1,N2893&gt;5)),1,0)</f>
        <v>0</v>
      </c>
      <c r="AA2893" s="9" t="n">
        <f aca="false">IF(AND(M2893&lt;&gt;"",OR(M2893&lt;5,M2893&gt;180)),1,0)</f>
        <v>0</v>
      </c>
      <c r="AB2893" s="7" t="str">
        <f aca="false">IF(P2893="DUP","Exact duplicate row",IF(T2893=1,"Missing Order ID",IF(S2893="DROP","Duplicate Order ID (less complete row)",IF(U2893=1,"Missing Customer ID",IF(V2893=1,"Missing Restaurant name",IF(W2893=1,"Invalid/outlier quantity",IF(X2893=1,"Invalid/outlier unit price",IF(Y2893=1,"Discount greater than order value",""))))))))</f>
        <v/>
      </c>
      <c r="AC2893" s="7" t="str">
        <f aca="false">IF(AB2893="","KEEP","DROP")</f>
        <v>KEEP</v>
      </c>
      <c r="AD2893" s="7" t="str">
        <f aca="false">IF(TRIM(F2893)="",IFERROR(INDEX(Map_Tables!$I$4:$I$37,MATCH(TRIM(E2893),Map_Tables!$G$4:$G$37,0)),""),IFERROR(INDEX(Map_Tables!$B$4:$B$18,MATCH(TRIM(F2893),Map_Tables!$A$4:$A$18,0)),"CHECK"))</f>
        <v>Bengaluru</v>
      </c>
      <c r="AE2893" s="7" t="str">
        <f aca="false">IF(TRIM(E2893)="","",IFERROR(INDEX(Map_Tables!$H$4:$H$37,MATCH(TRIM(E2893),Map_Tables!$G$4:$G$37,0)),"CHECK"))</f>
        <v>Spice Junction</v>
      </c>
      <c r="AF2893" s="7" t="str">
        <f aca="false">IF(TRIM(K2893)="","Unknown",IFERROR(INDEX(Map_Tables!$E$4:$E$15,MATCH(TRIM(K2893),Map_Tables!$D$4:$D$15,0)),"CHECK"))</f>
        <v>Debit Card</v>
      </c>
      <c r="AG2893" s="7" t="str">
        <f aca="false">IF(LEFT(LOWER(TRIM(L2893)),6)="cancel","Cancelled","Delivered")</f>
        <v>Delivered</v>
      </c>
      <c r="AH2893" s="10" t="n">
        <f aca="false">IF(ISNUMBER(SEARCH("/",B2893)),DATE(VALUE(RIGHT(B2893,4)),VALUE(MID(B2893,4,2)),VALUE(LEFT(B2893,2))),IF(MID(B2893,5,1)="-",DATE(VALUE(LEFT(B2893,4)),VALUE(MID(B2893,6,2)),VALUE(RIGHT(B2893,2))),DATE(VALUE(RIGHT(B2893,4)),MATCH(MID(B2893,4,3),{"Jan","Feb","Mar","Apr","May","Jun","Jul","Aug","Sep","Oct","Nov","Dec"},0),VALUE(LEFT(B2893,2)))))</f>
        <v>45947</v>
      </c>
    </row>
    <row r="2894" customFormat="false" ht="15" hidden="false" customHeight="false" outlineLevel="0" collapsed="false">
      <c r="A2894" s="7" t="s">
        <v>5969</v>
      </c>
      <c r="B2894" s="7" t="s">
        <v>1538</v>
      </c>
      <c r="C2894" s="7" t="s">
        <v>825</v>
      </c>
      <c r="D2894" s="7" t="s">
        <v>5970</v>
      </c>
      <c r="E2894" s="7" t="s">
        <v>167</v>
      </c>
      <c r="F2894" s="7" t="s">
        <v>145</v>
      </c>
      <c r="G2894" s="7" t="s">
        <v>156</v>
      </c>
      <c r="H2894" s="7" t="n">
        <v>3</v>
      </c>
      <c r="I2894" s="7" t="n">
        <v>295</v>
      </c>
      <c r="J2894" s="7" t="n">
        <v>50</v>
      </c>
      <c r="K2894" s="7" t="s">
        <v>88</v>
      </c>
      <c r="L2894" s="7" t="s">
        <v>194</v>
      </c>
      <c r="M2894" s="7" t="n">
        <v>36</v>
      </c>
      <c r="N2894" s="7" t="n">
        <v>4</v>
      </c>
      <c r="O2894" s="7" t="str">
        <f aca="false">A2894&amp;"|"&amp;B2894&amp;"|"&amp;C2894&amp;"|"&amp;D2894&amp;"|"&amp;E2894&amp;"|"&amp;F2894&amp;"|"&amp;G2894&amp;"|"&amp;H2894&amp;"|"&amp;I2894&amp;"|"&amp;J2894&amp;"|"&amp;K2894&amp;"|"&amp;L2894&amp;"|"&amp;M2894&amp;"|"&amp;N2894</f>
        <v>ORD11844|2025-08-28|15:36|C1469|Fit Fuel Kitchen|ahmedabad|Healthy Food|3|295|50|UPI|Delivered|36|4</v>
      </c>
      <c r="P2894" s="7" t="str">
        <f aca="false">IF(COUNTIF($O$2:O2894,O2894)&gt;1,"DUP","OK")</f>
        <v>OK</v>
      </c>
      <c r="Q2894" s="7" t="n">
        <f aca="false">COUNTBLANK(A2894:N2894)</f>
        <v>0</v>
      </c>
      <c r="R2894" s="7" t="n">
        <f aca="false">IF(A2894="",0,COUNTIFS($A$2:$A$3058,A2894,$P$2:$P$3058,"OK"))</f>
        <v>1</v>
      </c>
      <c r="S2894" s="7" t="str">
        <f aca="false">IF(OR(A2894="",P2894="DUP",R2894&lt;2),"",IF(Q2894=_xlfn.MINIFS($Q$2:$Q$3058,$A$2:$A$3058,A2894,$P$2:$P$3058,"OK"),"KEEP","DROP"))</f>
        <v/>
      </c>
      <c r="T2894" s="9" t="n">
        <f aca="false">IF(A2894="",1,0)</f>
        <v>0</v>
      </c>
      <c r="U2894" s="9" t="n">
        <f aca="false">IF(D2894="",1,0)</f>
        <v>0</v>
      </c>
      <c r="V2894" s="9" t="n">
        <f aca="false">IF(E2894="",1,0)</f>
        <v>0</v>
      </c>
      <c r="W2894" s="9" t="n">
        <f aca="false">IF(OR(H2894&lt;1,H2894&gt;10),1,0)</f>
        <v>0</v>
      </c>
      <c r="X2894" s="9" t="n">
        <f aca="false">IF(OR(I2894&lt;=0,I2894&gt;1500),1,0)</f>
        <v>0</v>
      </c>
      <c r="Y2894" s="9" t="n">
        <f aca="false">IF(J2894&gt;H2894*I2894,1,0)</f>
        <v>0</v>
      </c>
      <c r="Z2894" s="9" t="n">
        <f aca="false">IF(AND(N2894&lt;&gt;"",OR(N2894&lt;1,N2894&gt;5)),1,0)</f>
        <v>0</v>
      </c>
      <c r="AA2894" s="9" t="n">
        <f aca="false">IF(AND(M2894&lt;&gt;"",OR(M2894&lt;5,M2894&gt;180)),1,0)</f>
        <v>0</v>
      </c>
      <c r="AB2894" s="7" t="str">
        <f aca="false">IF(P2894="DUP","Exact duplicate row",IF(T2894=1,"Missing Order ID",IF(S2894="DROP","Duplicate Order ID (less complete row)",IF(U2894=1,"Missing Customer ID",IF(V2894=1,"Missing Restaurant name",IF(W2894=1,"Invalid/outlier quantity",IF(X2894=1,"Invalid/outlier unit price",IF(Y2894=1,"Discount greater than order value",""))))))))</f>
        <v/>
      </c>
      <c r="AC2894" s="7" t="str">
        <f aca="false">IF(AB2894="","KEEP","DROP")</f>
        <v>KEEP</v>
      </c>
      <c r="AD2894" s="7" t="str">
        <f aca="false">IF(TRIM(F2894)="",IFERROR(INDEX(Map_Tables!$I$4:$I$37,MATCH(TRIM(E2894),Map_Tables!$G$4:$G$37,0)),""),IFERROR(INDEX(Map_Tables!$B$4:$B$18,MATCH(TRIM(F2894),Map_Tables!$A$4:$A$18,0)),"CHECK"))</f>
        <v>Ahmedabad</v>
      </c>
      <c r="AE2894" s="7" t="str">
        <f aca="false">IF(TRIM(E2894)="","",IFERROR(INDEX(Map_Tables!$H$4:$H$37,MATCH(TRIM(E2894),Map_Tables!$G$4:$G$37,0)),"CHECK"))</f>
        <v>Fit Fuel Kitchen</v>
      </c>
      <c r="AF2894" s="7" t="str">
        <f aca="false">IF(TRIM(K2894)="","Unknown",IFERROR(INDEX(Map_Tables!$E$4:$E$15,MATCH(TRIM(K2894),Map_Tables!$D$4:$D$15,0)),"CHECK"))</f>
        <v>UPI</v>
      </c>
      <c r="AG2894" s="7" t="str">
        <f aca="false">IF(LEFT(LOWER(TRIM(L2894)),6)="cancel","Cancelled","Delivered")</f>
        <v>Delivered</v>
      </c>
      <c r="AH2894" s="10" t="n">
        <f aca="false">IF(ISNUMBER(SEARCH("/",B2894)),DATE(VALUE(RIGHT(B2894,4)),VALUE(MID(B2894,4,2)),VALUE(LEFT(B2894,2))),IF(MID(B2894,5,1)="-",DATE(VALUE(LEFT(B2894,4)),VALUE(MID(B2894,6,2)),VALUE(RIGHT(B2894,2))),DATE(VALUE(RIGHT(B2894,4)),MATCH(MID(B2894,4,3),{"Jan","Feb","Mar","Apr","May","Jun","Jul","Aug","Sep","Oct","Nov","Dec"},0),VALUE(LEFT(B2894,2)))))</f>
        <v>45897</v>
      </c>
    </row>
    <row r="2895" customFormat="false" ht="15" hidden="false" customHeight="false" outlineLevel="0" collapsed="false">
      <c r="A2895" s="7" t="s">
        <v>5971</v>
      </c>
      <c r="B2895" s="7" t="s">
        <v>3067</v>
      </c>
      <c r="C2895" s="7" t="s">
        <v>3041</v>
      </c>
      <c r="D2895" s="7" t="s">
        <v>4835</v>
      </c>
      <c r="E2895" s="7" t="s">
        <v>116</v>
      </c>
      <c r="F2895" s="7" t="s">
        <v>101</v>
      </c>
      <c r="G2895" s="7" t="s">
        <v>117</v>
      </c>
      <c r="H2895" s="7" t="n">
        <v>2</v>
      </c>
      <c r="I2895" s="7" t="n">
        <v>145</v>
      </c>
      <c r="J2895" s="7" t="n">
        <v>100</v>
      </c>
      <c r="K2895" s="7" t="s">
        <v>88</v>
      </c>
      <c r="L2895" s="7" t="s">
        <v>1265</v>
      </c>
      <c r="M2895" s="7" t="n">
        <v>38</v>
      </c>
      <c r="N2895" s="7" t="n">
        <v>4</v>
      </c>
      <c r="O2895" s="7" t="str">
        <f aca="false">A2895&amp;"|"&amp;B2895&amp;"|"&amp;C2895&amp;"|"&amp;D2895&amp;"|"&amp;E2895&amp;"|"&amp;F2895&amp;"|"&amp;G2895&amp;"|"&amp;H2895&amp;"|"&amp;I2895&amp;"|"&amp;J2895&amp;"|"&amp;K2895&amp;"|"&amp;L2895&amp;"|"&amp;M2895&amp;"|"&amp;N2895</f>
        <v>ORD11849|2025-08-29|08:48|C0048|Pav Bhaji Point|Mumbai|Street Food|2|145|100|UPI|delivered|38|4</v>
      </c>
      <c r="P2895" s="7" t="str">
        <f aca="false">IF(COUNTIF($O$2:O2895,O2895)&gt;1,"DUP","OK")</f>
        <v>OK</v>
      </c>
      <c r="Q2895" s="7" t="n">
        <f aca="false">COUNTBLANK(A2895:N2895)</f>
        <v>0</v>
      </c>
      <c r="R2895" s="7" t="n">
        <f aca="false">IF(A2895="",0,COUNTIFS($A$2:$A$3058,A2895,$P$2:$P$3058,"OK"))</f>
        <v>1</v>
      </c>
      <c r="S2895" s="7" t="str">
        <f aca="false">IF(OR(A2895="",P2895="DUP",R2895&lt;2),"",IF(Q2895=_xlfn.MINIFS($Q$2:$Q$3058,$A$2:$A$3058,A2895,$P$2:$P$3058,"OK"),"KEEP","DROP"))</f>
        <v/>
      </c>
      <c r="T2895" s="9" t="n">
        <f aca="false">IF(A2895="",1,0)</f>
        <v>0</v>
      </c>
      <c r="U2895" s="9" t="n">
        <f aca="false">IF(D2895="",1,0)</f>
        <v>0</v>
      </c>
      <c r="V2895" s="9" t="n">
        <f aca="false">IF(E2895="",1,0)</f>
        <v>0</v>
      </c>
      <c r="W2895" s="9" t="n">
        <f aca="false">IF(OR(H2895&lt;1,H2895&gt;10),1,0)</f>
        <v>0</v>
      </c>
      <c r="X2895" s="9" t="n">
        <f aca="false">IF(OR(I2895&lt;=0,I2895&gt;1500),1,0)</f>
        <v>0</v>
      </c>
      <c r="Y2895" s="9" t="n">
        <f aca="false">IF(J2895&gt;H2895*I2895,1,0)</f>
        <v>0</v>
      </c>
      <c r="Z2895" s="9" t="n">
        <f aca="false">IF(AND(N2895&lt;&gt;"",OR(N2895&lt;1,N2895&gt;5)),1,0)</f>
        <v>0</v>
      </c>
      <c r="AA2895" s="9" t="n">
        <f aca="false">IF(AND(M2895&lt;&gt;"",OR(M2895&lt;5,M2895&gt;180)),1,0)</f>
        <v>0</v>
      </c>
      <c r="AB2895" s="7" t="str">
        <f aca="false">IF(P2895="DUP","Exact duplicate row",IF(T2895=1,"Missing Order ID",IF(S2895="DROP","Duplicate Order ID (less complete row)",IF(U2895=1,"Missing Customer ID",IF(V2895=1,"Missing Restaurant name",IF(W2895=1,"Invalid/outlier quantity",IF(X2895=1,"Invalid/outlier unit price",IF(Y2895=1,"Discount greater than order value",""))))))))</f>
        <v/>
      </c>
      <c r="AC2895" s="7" t="str">
        <f aca="false">IF(AB2895="","KEEP","DROP")</f>
        <v>KEEP</v>
      </c>
      <c r="AD2895" s="7" t="str">
        <f aca="false">IF(TRIM(F2895)="",IFERROR(INDEX(Map_Tables!$I$4:$I$37,MATCH(TRIM(E2895),Map_Tables!$G$4:$G$37,0)),""),IFERROR(INDEX(Map_Tables!$B$4:$B$18,MATCH(TRIM(F2895),Map_Tables!$A$4:$A$18,0)),"CHECK"))</f>
        <v>Mumbai</v>
      </c>
      <c r="AE2895" s="7" t="str">
        <f aca="false">IF(TRIM(E2895)="","",IFERROR(INDEX(Map_Tables!$H$4:$H$37,MATCH(TRIM(E2895),Map_Tables!$G$4:$G$37,0)),"CHECK"))</f>
        <v>Pav Bhaji Point</v>
      </c>
      <c r="AF2895" s="7" t="str">
        <f aca="false">IF(TRIM(K2895)="","Unknown",IFERROR(INDEX(Map_Tables!$E$4:$E$15,MATCH(TRIM(K2895),Map_Tables!$D$4:$D$15,0)),"CHECK"))</f>
        <v>UPI</v>
      </c>
      <c r="AG2895" s="7" t="str">
        <f aca="false">IF(LEFT(LOWER(TRIM(L2895)),6)="cancel","Cancelled","Delivered")</f>
        <v>Delivered</v>
      </c>
      <c r="AH2895" s="10" t="n">
        <f aca="false">IF(ISNUMBER(SEARCH("/",B2895)),DATE(VALUE(RIGHT(B2895,4)),VALUE(MID(B2895,4,2)),VALUE(LEFT(B2895,2))),IF(MID(B2895,5,1)="-",DATE(VALUE(LEFT(B2895,4)),VALUE(MID(B2895,6,2)),VALUE(RIGHT(B2895,2))),DATE(VALUE(RIGHT(B2895,4)),MATCH(MID(B2895,4,3),{"Jan","Feb","Mar","Apr","May","Jun","Jul","Aug","Sep","Oct","Nov","Dec"},0),VALUE(LEFT(B2895,2)))))</f>
        <v>45898</v>
      </c>
    </row>
    <row r="2896" customFormat="false" ht="15" hidden="false" customHeight="false" outlineLevel="0" collapsed="false">
      <c r="A2896" s="7" t="s">
        <v>5972</v>
      </c>
      <c r="B2896" s="7" t="s">
        <v>892</v>
      </c>
      <c r="C2896" s="7" t="s">
        <v>2921</v>
      </c>
      <c r="D2896" s="7" t="s">
        <v>2642</v>
      </c>
      <c r="E2896" s="7" t="s">
        <v>126</v>
      </c>
      <c r="F2896" s="7" t="s">
        <v>101</v>
      </c>
      <c r="G2896" s="7" t="s">
        <v>105</v>
      </c>
      <c r="H2896" s="7" t="n">
        <v>3</v>
      </c>
      <c r="I2896" s="7" t="n">
        <v>225</v>
      </c>
      <c r="J2896" s="7" t="n">
        <v>0</v>
      </c>
      <c r="K2896" s="7" t="s">
        <v>88</v>
      </c>
      <c r="L2896" s="7" t="s">
        <v>194</v>
      </c>
      <c r="M2896" s="7" t="n">
        <v>45</v>
      </c>
      <c r="N2896" s="7" t="n">
        <v>5</v>
      </c>
      <c r="O2896" s="7" t="str">
        <f aca="false">A2896&amp;"|"&amp;B2896&amp;"|"&amp;C2896&amp;"|"&amp;D2896&amp;"|"&amp;E2896&amp;"|"&amp;F2896&amp;"|"&amp;G2896&amp;"|"&amp;H2896&amp;"|"&amp;I2896&amp;"|"&amp;J2896&amp;"|"&amp;K2896&amp;"|"&amp;L2896&amp;"|"&amp;M2896&amp;"|"&amp;N2896</f>
        <v>ORD12525|2025-11-12|12:44|C0983|Dragon Express|Mumbai|Chinese|3|225|0|UPI|Delivered|45|5</v>
      </c>
      <c r="P2896" s="7" t="str">
        <f aca="false">IF(COUNTIF($O$2:O2896,O2896)&gt;1,"DUP","OK")</f>
        <v>OK</v>
      </c>
      <c r="Q2896" s="7" t="n">
        <f aca="false">COUNTBLANK(A2896:N2896)</f>
        <v>0</v>
      </c>
      <c r="R2896" s="7" t="n">
        <f aca="false">IF(A2896="",0,COUNTIFS($A$2:$A$3058,A2896,$P$2:$P$3058,"OK"))</f>
        <v>1</v>
      </c>
      <c r="S2896" s="7" t="str">
        <f aca="false">IF(OR(A2896="",P2896="DUP",R2896&lt;2),"",IF(Q2896=_xlfn.MINIFS($Q$2:$Q$3058,$A$2:$A$3058,A2896,$P$2:$P$3058,"OK"),"KEEP","DROP"))</f>
        <v/>
      </c>
      <c r="T2896" s="9" t="n">
        <f aca="false">IF(A2896="",1,0)</f>
        <v>0</v>
      </c>
      <c r="U2896" s="9" t="n">
        <f aca="false">IF(D2896="",1,0)</f>
        <v>0</v>
      </c>
      <c r="V2896" s="9" t="n">
        <f aca="false">IF(E2896="",1,0)</f>
        <v>0</v>
      </c>
      <c r="W2896" s="9" t="n">
        <f aca="false">IF(OR(H2896&lt;1,H2896&gt;10),1,0)</f>
        <v>0</v>
      </c>
      <c r="X2896" s="9" t="n">
        <f aca="false">IF(OR(I2896&lt;=0,I2896&gt;1500),1,0)</f>
        <v>0</v>
      </c>
      <c r="Y2896" s="9" t="n">
        <f aca="false">IF(J2896&gt;H2896*I2896,1,0)</f>
        <v>0</v>
      </c>
      <c r="Z2896" s="9" t="n">
        <f aca="false">IF(AND(N2896&lt;&gt;"",OR(N2896&lt;1,N2896&gt;5)),1,0)</f>
        <v>0</v>
      </c>
      <c r="AA2896" s="9" t="n">
        <f aca="false">IF(AND(M2896&lt;&gt;"",OR(M2896&lt;5,M2896&gt;180)),1,0)</f>
        <v>0</v>
      </c>
      <c r="AB2896" s="7" t="str">
        <f aca="false">IF(P2896="DUP","Exact duplicate row",IF(T2896=1,"Missing Order ID",IF(S2896="DROP","Duplicate Order ID (less complete row)",IF(U2896=1,"Missing Customer ID",IF(V2896=1,"Missing Restaurant name",IF(W2896=1,"Invalid/outlier quantity",IF(X2896=1,"Invalid/outlier unit price",IF(Y2896=1,"Discount greater than order value",""))))))))</f>
        <v/>
      </c>
      <c r="AC2896" s="7" t="str">
        <f aca="false">IF(AB2896="","KEEP","DROP")</f>
        <v>KEEP</v>
      </c>
      <c r="AD2896" s="7" t="str">
        <f aca="false">IF(TRIM(F2896)="",IFERROR(INDEX(Map_Tables!$I$4:$I$37,MATCH(TRIM(E2896),Map_Tables!$G$4:$G$37,0)),""),IFERROR(INDEX(Map_Tables!$B$4:$B$18,MATCH(TRIM(F2896),Map_Tables!$A$4:$A$18,0)),"CHECK"))</f>
        <v>Mumbai</v>
      </c>
      <c r="AE2896" s="7" t="str">
        <f aca="false">IF(TRIM(E2896)="","",IFERROR(INDEX(Map_Tables!$H$4:$H$37,MATCH(TRIM(E2896),Map_Tables!$G$4:$G$37,0)),"CHECK"))</f>
        <v>Dragon Express</v>
      </c>
      <c r="AF2896" s="7" t="str">
        <f aca="false">IF(TRIM(K2896)="","Unknown",IFERROR(INDEX(Map_Tables!$E$4:$E$15,MATCH(TRIM(K2896),Map_Tables!$D$4:$D$15,0)),"CHECK"))</f>
        <v>UPI</v>
      </c>
      <c r="AG2896" s="7" t="str">
        <f aca="false">IF(LEFT(LOWER(TRIM(L2896)),6)="cancel","Cancelled","Delivered")</f>
        <v>Delivered</v>
      </c>
      <c r="AH2896" s="10" t="n">
        <f aca="false">IF(ISNUMBER(SEARCH("/",B2896)),DATE(VALUE(RIGHT(B2896,4)),VALUE(MID(B2896,4,2)),VALUE(LEFT(B2896,2))),IF(MID(B2896,5,1)="-",DATE(VALUE(LEFT(B2896,4)),VALUE(MID(B2896,6,2)),VALUE(RIGHT(B2896,2))),DATE(VALUE(RIGHT(B2896,4)),MATCH(MID(B2896,4,3),{"Jan","Feb","Mar","Apr","May","Jun","Jul","Aug","Sep","Oct","Nov","Dec"},0),VALUE(LEFT(B2896,2)))))</f>
        <v>45973</v>
      </c>
    </row>
    <row r="2897" customFormat="false" ht="15" hidden="false" customHeight="false" outlineLevel="0" collapsed="false">
      <c r="A2897" s="7" t="s">
        <v>5973</v>
      </c>
      <c r="B2897" s="7" t="s">
        <v>4162</v>
      </c>
      <c r="C2897" s="7" t="s">
        <v>2733</v>
      </c>
      <c r="D2897" s="7" t="s">
        <v>4263</v>
      </c>
      <c r="E2897" s="7" t="s">
        <v>126</v>
      </c>
      <c r="F2897" s="7" t="s">
        <v>101</v>
      </c>
      <c r="G2897" s="7" t="s">
        <v>105</v>
      </c>
      <c r="H2897" s="7" t="n">
        <v>2</v>
      </c>
      <c r="I2897" s="7" t="n">
        <v>260</v>
      </c>
      <c r="J2897" s="7" t="n">
        <v>20</v>
      </c>
      <c r="K2897" s="7" t="s">
        <v>88</v>
      </c>
      <c r="L2897" s="7" t="s">
        <v>194</v>
      </c>
      <c r="M2897" s="7" t="n">
        <v>47</v>
      </c>
      <c r="N2897" s="7" t="n">
        <v>4</v>
      </c>
      <c r="O2897" s="7" t="str">
        <f aca="false">A2897&amp;"|"&amp;B2897&amp;"|"&amp;C2897&amp;"|"&amp;D2897&amp;"|"&amp;E2897&amp;"|"&amp;F2897&amp;"|"&amp;G2897&amp;"|"&amp;H2897&amp;"|"&amp;I2897&amp;"|"&amp;J2897&amp;"|"&amp;K2897&amp;"|"&amp;L2897&amp;"|"&amp;M2897&amp;"|"&amp;N2897</f>
        <v>ORD11695|2025-08-10|14:52|C0131|Dragon Express|Mumbai|Chinese|2|260|20|UPI|Delivered|47|4</v>
      </c>
      <c r="P2897" s="7" t="str">
        <f aca="false">IF(COUNTIF($O$2:O2897,O2897)&gt;1,"DUP","OK")</f>
        <v>OK</v>
      </c>
      <c r="Q2897" s="7" t="n">
        <f aca="false">COUNTBLANK(A2897:N2897)</f>
        <v>0</v>
      </c>
      <c r="R2897" s="7" t="n">
        <f aca="false">IF(A2897="",0,COUNTIFS($A$2:$A$3058,A2897,$P$2:$P$3058,"OK"))</f>
        <v>1</v>
      </c>
      <c r="S2897" s="7" t="str">
        <f aca="false">IF(OR(A2897="",P2897="DUP",R2897&lt;2),"",IF(Q2897=_xlfn.MINIFS($Q$2:$Q$3058,$A$2:$A$3058,A2897,$P$2:$P$3058,"OK"),"KEEP","DROP"))</f>
        <v/>
      </c>
      <c r="T2897" s="9" t="n">
        <f aca="false">IF(A2897="",1,0)</f>
        <v>0</v>
      </c>
      <c r="U2897" s="9" t="n">
        <f aca="false">IF(D2897="",1,0)</f>
        <v>0</v>
      </c>
      <c r="V2897" s="9" t="n">
        <f aca="false">IF(E2897="",1,0)</f>
        <v>0</v>
      </c>
      <c r="W2897" s="9" t="n">
        <f aca="false">IF(OR(H2897&lt;1,H2897&gt;10),1,0)</f>
        <v>0</v>
      </c>
      <c r="X2897" s="9" t="n">
        <f aca="false">IF(OR(I2897&lt;=0,I2897&gt;1500),1,0)</f>
        <v>0</v>
      </c>
      <c r="Y2897" s="9" t="n">
        <f aca="false">IF(J2897&gt;H2897*I2897,1,0)</f>
        <v>0</v>
      </c>
      <c r="Z2897" s="9" t="n">
        <f aca="false">IF(AND(N2897&lt;&gt;"",OR(N2897&lt;1,N2897&gt;5)),1,0)</f>
        <v>0</v>
      </c>
      <c r="AA2897" s="9" t="n">
        <f aca="false">IF(AND(M2897&lt;&gt;"",OR(M2897&lt;5,M2897&gt;180)),1,0)</f>
        <v>0</v>
      </c>
      <c r="AB2897" s="7" t="str">
        <f aca="false">IF(P2897="DUP","Exact duplicate row",IF(T2897=1,"Missing Order ID",IF(S2897="DROP","Duplicate Order ID (less complete row)",IF(U2897=1,"Missing Customer ID",IF(V2897=1,"Missing Restaurant name",IF(W2897=1,"Invalid/outlier quantity",IF(X2897=1,"Invalid/outlier unit price",IF(Y2897=1,"Discount greater than order value",""))))))))</f>
        <v/>
      </c>
      <c r="AC2897" s="7" t="str">
        <f aca="false">IF(AB2897="","KEEP","DROP")</f>
        <v>KEEP</v>
      </c>
      <c r="AD2897" s="7" t="str">
        <f aca="false">IF(TRIM(F2897)="",IFERROR(INDEX(Map_Tables!$I$4:$I$37,MATCH(TRIM(E2897),Map_Tables!$G$4:$G$37,0)),""),IFERROR(INDEX(Map_Tables!$B$4:$B$18,MATCH(TRIM(F2897),Map_Tables!$A$4:$A$18,0)),"CHECK"))</f>
        <v>Mumbai</v>
      </c>
      <c r="AE2897" s="7" t="str">
        <f aca="false">IF(TRIM(E2897)="","",IFERROR(INDEX(Map_Tables!$H$4:$H$37,MATCH(TRIM(E2897),Map_Tables!$G$4:$G$37,0)),"CHECK"))</f>
        <v>Dragon Express</v>
      </c>
      <c r="AF2897" s="7" t="str">
        <f aca="false">IF(TRIM(K2897)="","Unknown",IFERROR(INDEX(Map_Tables!$E$4:$E$15,MATCH(TRIM(K2897),Map_Tables!$D$4:$D$15,0)),"CHECK"))</f>
        <v>UPI</v>
      </c>
      <c r="AG2897" s="7" t="str">
        <f aca="false">IF(LEFT(LOWER(TRIM(L2897)),6)="cancel","Cancelled","Delivered")</f>
        <v>Delivered</v>
      </c>
      <c r="AH2897" s="10" t="n">
        <f aca="false">IF(ISNUMBER(SEARCH("/",B2897)),DATE(VALUE(RIGHT(B2897,4)),VALUE(MID(B2897,4,2)),VALUE(LEFT(B2897,2))),IF(MID(B2897,5,1)="-",DATE(VALUE(LEFT(B2897,4)),VALUE(MID(B2897,6,2)),VALUE(RIGHT(B2897,2))),DATE(VALUE(RIGHT(B2897,4)),MATCH(MID(B2897,4,3),{"Jan","Feb","Mar","Apr","May","Jun","Jul","Aug","Sep","Oct","Nov","Dec"},0),VALUE(LEFT(B2897,2)))))</f>
        <v>45879</v>
      </c>
    </row>
    <row r="2898" customFormat="false" ht="15" hidden="false" customHeight="false" outlineLevel="0" collapsed="false">
      <c r="A2898" s="7" t="s">
        <v>5974</v>
      </c>
      <c r="B2898" s="7" t="s">
        <v>436</v>
      </c>
      <c r="C2898" s="7" t="s">
        <v>4383</v>
      </c>
      <c r="D2898" s="7" t="s">
        <v>5975</v>
      </c>
      <c r="E2898" s="7" t="s">
        <v>160</v>
      </c>
      <c r="F2898" s="7" t="s">
        <v>136</v>
      </c>
      <c r="G2898" s="7" t="s">
        <v>150</v>
      </c>
      <c r="H2898" s="7" t="n">
        <v>2</v>
      </c>
      <c r="I2898" s="7" t="n">
        <v>175</v>
      </c>
      <c r="J2898" s="7" t="n">
        <v>0</v>
      </c>
      <c r="K2898" s="7" t="s">
        <v>88</v>
      </c>
      <c r="L2898" s="7" t="s">
        <v>194</v>
      </c>
      <c r="M2898" s="7" t="n">
        <v>40</v>
      </c>
      <c r="N2898" s="7" t="n">
        <v>4</v>
      </c>
      <c r="O2898" s="7" t="str">
        <f aca="false">A2898&amp;"|"&amp;B2898&amp;"|"&amp;C2898&amp;"|"&amp;D2898&amp;"|"&amp;E2898&amp;"|"&amp;F2898&amp;"|"&amp;G2898&amp;"|"&amp;H2898&amp;"|"&amp;I2898&amp;"|"&amp;J2898&amp;"|"&amp;K2898&amp;"|"&amp;L2898&amp;"|"&amp;M2898&amp;"|"&amp;N2898</f>
        <v>ORD10086|2025-01-12|13:53|C0710|Cake Walk|Pune|Desserts|2|175|0|UPI|Delivered|40|4</v>
      </c>
      <c r="P2898" s="7" t="str">
        <f aca="false">IF(COUNTIF($O$2:O2898,O2898)&gt;1,"DUP","OK")</f>
        <v>OK</v>
      </c>
      <c r="Q2898" s="7" t="n">
        <f aca="false">COUNTBLANK(A2898:N2898)</f>
        <v>0</v>
      </c>
      <c r="R2898" s="7" t="n">
        <f aca="false">IF(A2898="",0,COUNTIFS($A$2:$A$3058,A2898,$P$2:$P$3058,"OK"))</f>
        <v>1</v>
      </c>
      <c r="S2898" s="7" t="str">
        <f aca="false">IF(OR(A2898="",P2898="DUP",R2898&lt;2),"",IF(Q2898=_xlfn.MINIFS($Q$2:$Q$3058,$A$2:$A$3058,A2898,$P$2:$P$3058,"OK"),"KEEP","DROP"))</f>
        <v/>
      </c>
      <c r="T2898" s="9" t="n">
        <f aca="false">IF(A2898="",1,0)</f>
        <v>0</v>
      </c>
      <c r="U2898" s="9" t="n">
        <f aca="false">IF(D2898="",1,0)</f>
        <v>0</v>
      </c>
      <c r="V2898" s="9" t="n">
        <f aca="false">IF(E2898="",1,0)</f>
        <v>0</v>
      </c>
      <c r="W2898" s="9" t="n">
        <f aca="false">IF(OR(H2898&lt;1,H2898&gt;10),1,0)</f>
        <v>0</v>
      </c>
      <c r="X2898" s="9" t="n">
        <f aca="false">IF(OR(I2898&lt;=0,I2898&gt;1500),1,0)</f>
        <v>0</v>
      </c>
      <c r="Y2898" s="9" t="n">
        <f aca="false">IF(J2898&gt;H2898*I2898,1,0)</f>
        <v>0</v>
      </c>
      <c r="Z2898" s="9" t="n">
        <f aca="false">IF(AND(N2898&lt;&gt;"",OR(N2898&lt;1,N2898&gt;5)),1,0)</f>
        <v>0</v>
      </c>
      <c r="AA2898" s="9" t="n">
        <f aca="false">IF(AND(M2898&lt;&gt;"",OR(M2898&lt;5,M2898&gt;180)),1,0)</f>
        <v>0</v>
      </c>
      <c r="AB2898" s="7" t="str">
        <f aca="false">IF(P2898="DUP","Exact duplicate row",IF(T2898=1,"Missing Order ID",IF(S2898="DROP","Duplicate Order ID (less complete row)",IF(U2898=1,"Missing Customer ID",IF(V2898=1,"Missing Restaurant name",IF(W2898=1,"Invalid/outlier quantity",IF(X2898=1,"Invalid/outlier unit price",IF(Y2898=1,"Discount greater than order value",""))))))))</f>
        <v/>
      </c>
      <c r="AC2898" s="7" t="str">
        <f aca="false">IF(AB2898="","KEEP","DROP")</f>
        <v>KEEP</v>
      </c>
      <c r="AD2898" s="7" t="str">
        <f aca="false">IF(TRIM(F2898)="",IFERROR(INDEX(Map_Tables!$I$4:$I$37,MATCH(TRIM(E2898),Map_Tables!$G$4:$G$37,0)),""),IFERROR(INDEX(Map_Tables!$B$4:$B$18,MATCH(TRIM(F2898),Map_Tables!$A$4:$A$18,0)),"CHECK"))</f>
        <v>Pune</v>
      </c>
      <c r="AE2898" s="7" t="str">
        <f aca="false">IF(TRIM(E2898)="","",IFERROR(INDEX(Map_Tables!$H$4:$H$37,MATCH(TRIM(E2898),Map_Tables!$G$4:$G$37,0)),"CHECK"))</f>
        <v>Cake Walk</v>
      </c>
      <c r="AF2898" s="7" t="str">
        <f aca="false">IF(TRIM(K2898)="","Unknown",IFERROR(INDEX(Map_Tables!$E$4:$E$15,MATCH(TRIM(K2898),Map_Tables!$D$4:$D$15,0)),"CHECK"))</f>
        <v>UPI</v>
      </c>
      <c r="AG2898" s="7" t="str">
        <f aca="false">IF(LEFT(LOWER(TRIM(L2898)),6)="cancel","Cancelled","Delivered")</f>
        <v>Delivered</v>
      </c>
      <c r="AH2898" s="10" t="n">
        <f aca="false">IF(ISNUMBER(SEARCH("/",B2898)),DATE(VALUE(RIGHT(B2898,4)),VALUE(MID(B2898,4,2)),VALUE(LEFT(B2898,2))),IF(MID(B2898,5,1)="-",DATE(VALUE(LEFT(B2898,4)),VALUE(MID(B2898,6,2)),VALUE(RIGHT(B2898,2))),DATE(VALUE(RIGHT(B2898,4)),MATCH(MID(B2898,4,3),{"Jan","Feb","Mar","Apr","May","Jun","Jul","Aug","Sep","Oct","Nov","Dec"},0),VALUE(LEFT(B2898,2)))))</f>
        <v>45669</v>
      </c>
    </row>
    <row r="2899" customFormat="false" ht="15" hidden="false" customHeight="false" outlineLevel="0" collapsed="false">
      <c r="A2899" s="7" t="s">
        <v>5976</v>
      </c>
      <c r="B2899" s="7" t="s">
        <v>1104</v>
      </c>
      <c r="C2899" s="7" t="s">
        <v>1128</v>
      </c>
      <c r="D2899" s="7" t="s">
        <v>2622</v>
      </c>
      <c r="E2899" s="7" t="s">
        <v>159</v>
      </c>
      <c r="F2899" s="7" t="s">
        <v>136</v>
      </c>
      <c r="G2899" s="7" t="s">
        <v>90</v>
      </c>
      <c r="H2899" s="7" t="n">
        <v>5</v>
      </c>
      <c r="I2899" s="7" t="n">
        <v>255</v>
      </c>
      <c r="J2899" s="7" t="n">
        <v>40</v>
      </c>
      <c r="K2899" s="7" t="s">
        <v>103</v>
      </c>
      <c r="L2899" s="7" t="s">
        <v>194</v>
      </c>
      <c r="M2899" s="7" t="n">
        <v>30</v>
      </c>
      <c r="N2899" s="7" t="n">
        <v>3</v>
      </c>
      <c r="O2899" s="7" t="str">
        <f aca="false">A2899&amp;"|"&amp;B2899&amp;"|"&amp;C2899&amp;"|"&amp;D2899&amp;"|"&amp;E2899&amp;"|"&amp;F2899&amp;"|"&amp;G2899&amp;"|"&amp;H2899&amp;"|"&amp;I2899&amp;"|"&amp;J2899&amp;"|"&amp;K2899&amp;"|"&amp;L2899&amp;"|"&amp;M2899&amp;"|"&amp;N2899</f>
        <v>ORD10470|2025-03-04|10:43|C0876|Maratha Thali House|Pune|North Indian|5|255|40|Debit Card|Delivered|30|3</v>
      </c>
      <c r="P2899" s="7" t="str">
        <f aca="false">IF(COUNTIF($O$2:O2899,O2899)&gt;1,"DUP","OK")</f>
        <v>OK</v>
      </c>
      <c r="Q2899" s="7" t="n">
        <f aca="false">COUNTBLANK(A2899:N2899)</f>
        <v>0</v>
      </c>
      <c r="R2899" s="7" t="n">
        <f aca="false">IF(A2899="",0,COUNTIFS($A$2:$A$3058,A2899,$P$2:$P$3058,"OK"))</f>
        <v>1</v>
      </c>
      <c r="S2899" s="7" t="str">
        <f aca="false">IF(OR(A2899="",P2899="DUP",R2899&lt;2),"",IF(Q2899=_xlfn.MINIFS($Q$2:$Q$3058,$A$2:$A$3058,A2899,$P$2:$P$3058,"OK"),"KEEP","DROP"))</f>
        <v/>
      </c>
      <c r="T2899" s="9" t="n">
        <f aca="false">IF(A2899="",1,0)</f>
        <v>0</v>
      </c>
      <c r="U2899" s="9" t="n">
        <f aca="false">IF(D2899="",1,0)</f>
        <v>0</v>
      </c>
      <c r="V2899" s="9" t="n">
        <f aca="false">IF(E2899="",1,0)</f>
        <v>0</v>
      </c>
      <c r="W2899" s="9" t="n">
        <f aca="false">IF(OR(H2899&lt;1,H2899&gt;10),1,0)</f>
        <v>0</v>
      </c>
      <c r="X2899" s="9" t="n">
        <f aca="false">IF(OR(I2899&lt;=0,I2899&gt;1500),1,0)</f>
        <v>0</v>
      </c>
      <c r="Y2899" s="9" t="n">
        <f aca="false">IF(J2899&gt;H2899*I2899,1,0)</f>
        <v>0</v>
      </c>
      <c r="Z2899" s="9" t="n">
        <f aca="false">IF(AND(N2899&lt;&gt;"",OR(N2899&lt;1,N2899&gt;5)),1,0)</f>
        <v>0</v>
      </c>
      <c r="AA2899" s="9" t="n">
        <f aca="false">IF(AND(M2899&lt;&gt;"",OR(M2899&lt;5,M2899&gt;180)),1,0)</f>
        <v>0</v>
      </c>
      <c r="AB2899" s="7" t="str">
        <f aca="false">IF(P2899="DUP","Exact duplicate row",IF(T2899=1,"Missing Order ID",IF(S2899="DROP","Duplicate Order ID (less complete row)",IF(U2899=1,"Missing Customer ID",IF(V2899=1,"Missing Restaurant name",IF(W2899=1,"Invalid/outlier quantity",IF(X2899=1,"Invalid/outlier unit price",IF(Y2899=1,"Discount greater than order value",""))))))))</f>
        <v/>
      </c>
      <c r="AC2899" s="7" t="str">
        <f aca="false">IF(AB2899="","KEEP","DROP")</f>
        <v>KEEP</v>
      </c>
      <c r="AD2899" s="7" t="str">
        <f aca="false">IF(TRIM(F2899)="",IFERROR(INDEX(Map_Tables!$I$4:$I$37,MATCH(TRIM(E2899),Map_Tables!$G$4:$G$37,0)),""),IFERROR(INDEX(Map_Tables!$B$4:$B$18,MATCH(TRIM(F2899),Map_Tables!$A$4:$A$18,0)),"CHECK"))</f>
        <v>Pune</v>
      </c>
      <c r="AE2899" s="7" t="str">
        <f aca="false">IF(TRIM(E2899)="","",IFERROR(INDEX(Map_Tables!$H$4:$H$37,MATCH(TRIM(E2899),Map_Tables!$G$4:$G$37,0)),"CHECK"))</f>
        <v>Maratha Thali House</v>
      </c>
      <c r="AF2899" s="7" t="str">
        <f aca="false">IF(TRIM(K2899)="","Unknown",IFERROR(INDEX(Map_Tables!$E$4:$E$15,MATCH(TRIM(K2899),Map_Tables!$D$4:$D$15,0)),"CHECK"))</f>
        <v>Debit Card</v>
      </c>
      <c r="AG2899" s="7" t="str">
        <f aca="false">IF(LEFT(LOWER(TRIM(L2899)),6)="cancel","Cancelled","Delivered")</f>
        <v>Delivered</v>
      </c>
      <c r="AH2899" s="10" t="n">
        <f aca="false">IF(ISNUMBER(SEARCH("/",B2899)),DATE(VALUE(RIGHT(B2899,4)),VALUE(MID(B2899,4,2)),VALUE(LEFT(B2899,2))),IF(MID(B2899,5,1)="-",DATE(VALUE(LEFT(B2899,4)),VALUE(MID(B2899,6,2)),VALUE(RIGHT(B2899,2))),DATE(VALUE(RIGHT(B2899,4)),MATCH(MID(B2899,4,3),{"Jan","Feb","Mar","Apr","May","Jun","Jul","Aug","Sep","Oct","Nov","Dec"},0),VALUE(LEFT(B2899,2)))))</f>
        <v>45720</v>
      </c>
    </row>
    <row r="2900" customFormat="false" ht="15" hidden="false" customHeight="false" outlineLevel="0" collapsed="false">
      <c r="A2900" s="7" t="s">
        <v>5977</v>
      </c>
      <c r="B2900" s="7" t="s">
        <v>576</v>
      </c>
      <c r="C2900" s="7" t="s">
        <v>3400</v>
      </c>
      <c r="D2900" s="7" t="s">
        <v>1641</v>
      </c>
      <c r="E2900" s="7" t="s">
        <v>98</v>
      </c>
      <c r="F2900" s="7" t="s">
        <v>86</v>
      </c>
      <c r="G2900" s="7" t="s">
        <v>99</v>
      </c>
      <c r="H2900" s="7" t="n">
        <v>2</v>
      </c>
      <c r="I2900" s="7" t="n">
        <v>320</v>
      </c>
      <c r="J2900" s="7" t="n">
        <v>0</v>
      </c>
      <c r="K2900" s="7" t="s">
        <v>379</v>
      </c>
      <c r="L2900" s="7" t="s">
        <v>194</v>
      </c>
      <c r="M2900" s="7" t="n">
        <v>53</v>
      </c>
      <c r="N2900" s="7" t="n">
        <v>4</v>
      </c>
      <c r="O2900" s="7" t="str">
        <f aca="false">A2900&amp;"|"&amp;B2900&amp;"|"&amp;C2900&amp;"|"&amp;D2900&amp;"|"&amp;E2900&amp;"|"&amp;F2900&amp;"|"&amp;G2900&amp;"|"&amp;H2900&amp;"|"&amp;I2900&amp;"|"&amp;J2900&amp;"|"&amp;K2900&amp;"|"&amp;L2900&amp;"|"&amp;M2900&amp;"|"&amp;N2900</f>
        <v>ORD12274|2025-10-15|12:56|C0879|Nawabi Biryani House|Bengaluru|Biryani|2|320|0|Credit card|Delivered|53|4</v>
      </c>
      <c r="P2900" s="7" t="str">
        <f aca="false">IF(COUNTIF($O$2:O2900,O2900)&gt;1,"DUP","OK")</f>
        <v>OK</v>
      </c>
      <c r="Q2900" s="7" t="n">
        <f aca="false">COUNTBLANK(A2900:N2900)</f>
        <v>0</v>
      </c>
      <c r="R2900" s="7" t="n">
        <f aca="false">IF(A2900="",0,COUNTIFS($A$2:$A$3058,A2900,$P$2:$P$3058,"OK"))</f>
        <v>1</v>
      </c>
      <c r="S2900" s="7" t="str">
        <f aca="false">IF(OR(A2900="",P2900="DUP",R2900&lt;2),"",IF(Q2900=_xlfn.MINIFS($Q$2:$Q$3058,$A$2:$A$3058,A2900,$P$2:$P$3058,"OK"),"KEEP","DROP"))</f>
        <v/>
      </c>
      <c r="T2900" s="9" t="n">
        <f aca="false">IF(A2900="",1,0)</f>
        <v>0</v>
      </c>
      <c r="U2900" s="9" t="n">
        <f aca="false">IF(D2900="",1,0)</f>
        <v>0</v>
      </c>
      <c r="V2900" s="9" t="n">
        <f aca="false">IF(E2900="",1,0)</f>
        <v>0</v>
      </c>
      <c r="W2900" s="9" t="n">
        <f aca="false">IF(OR(H2900&lt;1,H2900&gt;10),1,0)</f>
        <v>0</v>
      </c>
      <c r="X2900" s="9" t="n">
        <f aca="false">IF(OR(I2900&lt;=0,I2900&gt;1500),1,0)</f>
        <v>0</v>
      </c>
      <c r="Y2900" s="9" t="n">
        <f aca="false">IF(J2900&gt;H2900*I2900,1,0)</f>
        <v>0</v>
      </c>
      <c r="Z2900" s="9" t="n">
        <f aca="false">IF(AND(N2900&lt;&gt;"",OR(N2900&lt;1,N2900&gt;5)),1,0)</f>
        <v>0</v>
      </c>
      <c r="AA2900" s="9" t="n">
        <f aca="false">IF(AND(M2900&lt;&gt;"",OR(M2900&lt;5,M2900&gt;180)),1,0)</f>
        <v>0</v>
      </c>
      <c r="AB2900" s="7" t="str">
        <f aca="false">IF(P2900="DUP","Exact duplicate row",IF(T2900=1,"Missing Order ID",IF(S2900="DROP","Duplicate Order ID (less complete row)",IF(U2900=1,"Missing Customer ID",IF(V2900=1,"Missing Restaurant name",IF(W2900=1,"Invalid/outlier quantity",IF(X2900=1,"Invalid/outlier unit price",IF(Y2900=1,"Discount greater than order value",""))))))))</f>
        <v/>
      </c>
      <c r="AC2900" s="7" t="str">
        <f aca="false">IF(AB2900="","KEEP","DROP")</f>
        <v>KEEP</v>
      </c>
      <c r="AD2900" s="7" t="str">
        <f aca="false">IF(TRIM(F2900)="",IFERROR(INDEX(Map_Tables!$I$4:$I$37,MATCH(TRIM(E2900),Map_Tables!$G$4:$G$37,0)),""),IFERROR(INDEX(Map_Tables!$B$4:$B$18,MATCH(TRIM(F2900),Map_Tables!$A$4:$A$18,0)),"CHECK"))</f>
        <v>Bengaluru</v>
      </c>
      <c r="AE2900" s="7" t="str">
        <f aca="false">IF(TRIM(E2900)="","",IFERROR(INDEX(Map_Tables!$H$4:$H$37,MATCH(TRIM(E2900),Map_Tables!$G$4:$G$37,0)),"CHECK"))</f>
        <v>Nawabi Biryani House</v>
      </c>
      <c r="AF2900" s="7" t="str">
        <f aca="false">IF(TRIM(K2900)="","Unknown",IFERROR(INDEX(Map_Tables!$E$4:$E$15,MATCH(TRIM(K2900),Map_Tables!$D$4:$D$15,0)),"CHECK"))</f>
        <v>Credit Card</v>
      </c>
      <c r="AG2900" s="7" t="str">
        <f aca="false">IF(LEFT(LOWER(TRIM(L2900)),6)="cancel","Cancelled","Delivered")</f>
        <v>Delivered</v>
      </c>
      <c r="AH2900" s="10" t="n">
        <f aca="false">IF(ISNUMBER(SEARCH("/",B2900)),DATE(VALUE(RIGHT(B2900,4)),VALUE(MID(B2900,4,2)),VALUE(LEFT(B2900,2))),IF(MID(B2900,5,1)="-",DATE(VALUE(LEFT(B2900,4)),VALUE(MID(B2900,6,2)),VALUE(RIGHT(B2900,2))),DATE(VALUE(RIGHT(B2900,4)),MATCH(MID(B2900,4,3),{"Jan","Feb","Mar","Apr","May","Jun","Jul","Aug","Sep","Oct","Nov","Dec"},0),VALUE(LEFT(B2900,2)))))</f>
        <v>45945</v>
      </c>
    </row>
    <row r="2901" customFormat="false" ht="15" hidden="false" customHeight="false" outlineLevel="0" collapsed="false">
      <c r="A2901" s="7" t="s">
        <v>5978</v>
      </c>
      <c r="B2901" s="7" t="s">
        <v>309</v>
      </c>
      <c r="C2901" s="7" t="s">
        <v>1607</v>
      </c>
      <c r="D2901" s="7" t="s">
        <v>4142</v>
      </c>
      <c r="E2901" s="7" t="s">
        <v>144</v>
      </c>
      <c r="F2901" s="7" t="s">
        <v>119</v>
      </c>
      <c r="G2901" s="7" t="s">
        <v>99</v>
      </c>
      <c r="H2901" s="7" t="n">
        <v>1</v>
      </c>
      <c r="I2901" s="7" t="n">
        <v>350</v>
      </c>
      <c r="J2901" s="7" t="n">
        <v>0</v>
      </c>
      <c r="K2901" s="7" t="s">
        <v>229</v>
      </c>
      <c r="L2901" s="7" t="s">
        <v>194</v>
      </c>
      <c r="M2901" s="7" t="n">
        <v>36</v>
      </c>
      <c r="N2901" s="7" t="n">
        <v>3</v>
      </c>
      <c r="O2901" s="7" t="str">
        <f aca="false">A2901&amp;"|"&amp;B2901&amp;"|"&amp;C2901&amp;"|"&amp;D2901&amp;"|"&amp;E2901&amp;"|"&amp;F2901&amp;"|"&amp;G2901&amp;"|"&amp;H2901&amp;"|"&amp;I2901&amp;"|"&amp;J2901&amp;"|"&amp;K2901&amp;"|"&amp;L2901&amp;"|"&amp;M2901&amp;"|"&amp;N2901</f>
        <v>ORD12823|2025-12-11|20:26|C1025|Hyderabad Dum Biryani|Hyderabad|Biryani|1|350|0|Upi|Delivered|36|3</v>
      </c>
      <c r="P2901" s="7" t="str">
        <f aca="false">IF(COUNTIF($O$2:O2901,O2901)&gt;1,"DUP","OK")</f>
        <v>OK</v>
      </c>
      <c r="Q2901" s="7" t="n">
        <f aca="false">COUNTBLANK(A2901:N2901)</f>
        <v>0</v>
      </c>
      <c r="R2901" s="7" t="n">
        <f aca="false">IF(A2901="",0,COUNTIFS($A$2:$A$3058,A2901,$P$2:$P$3058,"OK"))</f>
        <v>1</v>
      </c>
      <c r="S2901" s="7" t="str">
        <f aca="false">IF(OR(A2901="",P2901="DUP",R2901&lt;2),"",IF(Q2901=_xlfn.MINIFS($Q$2:$Q$3058,$A$2:$A$3058,A2901,$P$2:$P$3058,"OK"),"KEEP","DROP"))</f>
        <v/>
      </c>
      <c r="T2901" s="9" t="n">
        <f aca="false">IF(A2901="",1,0)</f>
        <v>0</v>
      </c>
      <c r="U2901" s="9" t="n">
        <f aca="false">IF(D2901="",1,0)</f>
        <v>0</v>
      </c>
      <c r="V2901" s="9" t="n">
        <f aca="false">IF(E2901="",1,0)</f>
        <v>0</v>
      </c>
      <c r="W2901" s="9" t="n">
        <f aca="false">IF(OR(H2901&lt;1,H2901&gt;10),1,0)</f>
        <v>0</v>
      </c>
      <c r="X2901" s="9" t="n">
        <f aca="false">IF(OR(I2901&lt;=0,I2901&gt;1500),1,0)</f>
        <v>0</v>
      </c>
      <c r="Y2901" s="9" t="n">
        <f aca="false">IF(J2901&gt;H2901*I2901,1,0)</f>
        <v>0</v>
      </c>
      <c r="Z2901" s="9" t="n">
        <f aca="false">IF(AND(N2901&lt;&gt;"",OR(N2901&lt;1,N2901&gt;5)),1,0)</f>
        <v>0</v>
      </c>
      <c r="AA2901" s="9" t="n">
        <f aca="false">IF(AND(M2901&lt;&gt;"",OR(M2901&lt;5,M2901&gt;180)),1,0)</f>
        <v>0</v>
      </c>
      <c r="AB2901" s="7" t="str">
        <f aca="false">IF(P2901="DUP","Exact duplicate row",IF(T2901=1,"Missing Order ID",IF(S2901="DROP","Duplicate Order ID (less complete row)",IF(U2901=1,"Missing Customer ID",IF(V2901=1,"Missing Restaurant name",IF(W2901=1,"Invalid/outlier quantity",IF(X2901=1,"Invalid/outlier unit price",IF(Y2901=1,"Discount greater than order value",""))))))))</f>
        <v/>
      </c>
      <c r="AC2901" s="7" t="str">
        <f aca="false">IF(AB2901="","KEEP","DROP")</f>
        <v>KEEP</v>
      </c>
      <c r="AD2901" s="7" t="str">
        <f aca="false">IF(TRIM(F2901)="",IFERROR(INDEX(Map_Tables!$I$4:$I$37,MATCH(TRIM(E2901),Map_Tables!$G$4:$G$37,0)),""),IFERROR(INDEX(Map_Tables!$B$4:$B$18,MATCH(TRIM(F2901),Map_Tables!$A$4:$A$18,0)),"CHECK"))</f>
        <v>Hyderabad</v>
      </c>
      <c r="AE2901" s="7" t="str">
        <f aca="false">IF(TRIM(E2901)="","",IFERROR(INDEX(Map_Tables!$H$4:$H$37,MATCH(TRIM(E2901),Map_Tables!$G$4:$G$37,0)),"CHECK"))</f>
        <v>Hyderabad Dum Biryani</v>
      </c>
      <c r="AF2901" s="7" t="str">
        <f aca="false">IF(TRIM(K2901)="","Unknown",IFERROR(INDEX(Map_Tables!$E$4:$E$15,MATCH(TRIM(K2901),Map_Tables!$D$4:$D$15,0)),"CHECK"))</f>
        <v>UPI</v>
      </c>
      <c r="AG2901" s="7" t="str">
        <f aca="false">IF(LEFT(LOWER(TRIM(L2901)),6)="cancel","Cancelled","Delivered")</f>
        <v>Delivered</v>
      </c>
      <c r="AH2901" s="10" t="n">
        <f aca="false">IF(ISNUMBER(SEARCH("/",B2901)),DATE(VALUE(RIGHT(B2901,4)),VALUE(MID(B2901,4,2)),VALUE(LEFT(B2901,2))),IF(MID(B2901,5,1)="-",DATE(VALUE(LEFT(B2901,4)),VALUE(MID(B2901,6,2)),VALUE(RIGHT(B2901,2))),DATE(VALUE(RIGHT(B2901,4)),MATCH(MID(B2901,4,3),{"Jan","Feb","Mar","Apr","May","Jun","Jul","Aug","Sep","Oct","Nov","Dec"},0),VALUE(LEFT(B2901,2)))))</f>
        <v>46002</v>
      </c>
    </row>
    <row r="2902" customFormat="false" ht="15" hidden="false" customHeight="false" outlineLevel="0" collapsed="false">
      <c r="A2902" s="7" t="s">
        <v>5979</v>
      </c>
      <c r="B2902" s="7" t="s">
        <v>5980</v>
      </c>
      <c r="C2902" s="7" t="s">
        <v>1864</v>
      </c>
      <c r="D2902" s="7" t="s">
        <v>5779</v>
      </c>
      <c r="E2902" s="7" t="s">
        <v>134</v>
      </c>
      <c r="F2902" s="7" t="s">
        <v>110</v>
      </c>
      <c r="G2902" s="7" t="s">
        <v>117</v>
      </c>
      <c r="H2902" s="7" t="n">
        <v>3</v>
      </c>
      <c r="I2902" s="7" t="n">
        <v>120</v>
      </c>
      <c r="J2902" s="7" t="n">
        <v>50</v>
      </c>
      <c r="K2902" s="7" t="s">
        <v>88</v>
      </c>
      <c r="L2902" s="7" t="s">
        <v>194</v>
      </c>
      <c r="M2902" s="7" t="n">
        <v>29</v>
      </c>
      <c r="N2902" s="7" t="n">
        <v>4</v>
      </c>
      <c r="O2902" s="7" t="str">
        <f aca="false">A2902&amp;"|"&amp;B2902&amp;"|"&amp;C2902&amp;"|"&amp;D2902&amp;"|"&amp;E2902&amp;"|"&amp;F2902&amp;"|"&amp;G2902&amp;"|"&amp;H2902&amp;"|"&amp;I2902&amp;"|"&amp;J2902&amp;"|"&amp;K2902&amp;"|"&amp;L2902&amp;"|"&amp;M2902&amp;"|"&amp;N2902</f>
        <v>ORD12380|27-Oct-2025|18:49|C1036|Chaat Corner|Delhi|Street Food|3|120|50|UPI|Delivered|29|4</v>
      </c>
      <c r="P2902" s="7" t="str">
        <f aca="false">IF(COUNTIF($O$2:O2902,O2902)&gt;1,"DUP","OK")</f>
        <v>OK</v>
      </c>
      <c r="Q2902" s="7" t="n">
        <f aca="false">COUNTBLANK(A2902:N2902)</f>
        <v>0</v>
      </c>
      <c r="R2902" s="7" t="n">
        <f aca="false">IF(A2902="",0,COUNTIFS($A$2:$A$3058,A2902,$P$2:$P$3058,"OK"))</f>
        <v>1</v>
      </c>
      <c r="S2902" s="7" t="str">
        <f aca="false">IF(OR(A2902="",P2902="DUP",R2902&lt;2),"",IF(Q2902=_xlfn.MINIFS($Q$2:$Q$3058,$A$2:$A$3058,A2902,$P$2:$P$3058,"OK"),"KEEP","DROP"))</f>
        <v/>
      </c>
      <c r="T2902" s="9" t="n">
        <f aca="false">IF(A2902="",1,0)</f>
        <v>0</v>
      </c>
      <c r="U2902" s="9" t="n">
        <f aca="false">IF(D2902="",1,0)</f>
        <v>0</v>
      </c>
      <c r="V2902" s="9" t="n">
        <f aca="false">IF(E2902="",1,0)</f>
        <v>0</v>
      </c>
      <c r="W2902" s="9" t="n">
        <f aca="false">IF(OR(H2902&lt;1,H2902&gt;10),1,0)</f>
        <v>0</v>
      </c>
      <c r="X2902" s="9" t="n">
        <f aca="false">IF(OR(I2902&lt;=0,I2902&gt;1500),1,0)</f>
        <v>0</v>
      </c>
      <c r="Y2902" s="9" t="n">
        <f aca="false">IF(J2902&gt;H2902*I2902,1,0)</f>
        <v>0</v>
      </c>
      <c r="Z2902" s="9" t="n">
        <f aca="false">IF(AND(N2902&lt;&gt;"",OR(N2902&lt;1,N2902&gt;5)),1,0)</f>
        <v>0</v>
      </c>
      <c r="AA2902" s="9" t="n">
        <f aca="false">IF(AND(M2902&lt;&gt;"",OR(M2902&lt;5,M2902&gt;180)),1,0)</f>
        <v>0</v>
      </c>
      <c r="AB2902" s="7" t="str">
        <f aca="false">IF(P2902="DUP","Exact duplicate row",IF(T2902=1,"Missing Order ID",IF(S2902="DROP","Duplicate Order ID (less complete row)",IF(U2902=1,"Missing Customer ID",IF(V2902=1,"Missing Restaurant name",IF(W2902=1,"Invalid/outlier quantity",IF(X2902=1,"Invalid/outlier unit price",IF(Y2902=1,"Discount greater than order value",""))))))))</f>
        <v/>
      </c>
      <c r="AC2902" s="7" t="str">
        <f aca="false">IF(AB2902="","KEEP","DROP")</f>
        <v>KEEP</v>
      </c>
      <c r="AD2902" s="7" t="str">
        <f aca="false">IF(TRIM(F2902)="",IFERROR(INDEX(Map_Tables!$I$4:$I$37,MATCH(TRIM(E2902),Map_Tables!$G$4:$G$37,0)),""),IFERROR(INDEX(Map_Tables!$B$4:$B$18,MATCH(TRIM(F2902),Map_Tables!$A$4:$A$18,0)),"CHECK"))</f>
        <v>Delhi</v>
      </c>
      <c r="AE2902" s="7" t="str">
        <f aca="false">IF(TRIM(E2902)="","",IFERROR(INDEX(Map_Tables!$H$4:$H$37,MATCH(TRIM(E2902),Map_Tables!$G$4:$G$37,0)),"CHECK"))</f>
        <v>Chaat Corner</v>
      </c>
      <c r="AF2902" s="7" t="str">
        <f aca="false">IF(TRIM(K2902)="","Unknown",IFERROR(INDEX(Map_Tables!$E$4:$E$15,MATCH(TRIM(K2902),Map_Tables!$D$4:$D$15,0)),"CHECK"))</f>
        <v>UPI</v>
      </c>
      <c r="AG2902" s="7" t="str">
        <f aca="false">IF(LEFT(LOWER(TRIM(L2902)),6)="cancel","Cancelled","Delivered")</f>
        <v>Delivered</v>
      </c>
      <c r="AH2902" s="10" t="n">
        <f aca="false">IF(ISNUMBER(SEARCH("/",B2902)),DATE(VALUE(RIGHT(B2902,4)),VALUE(MID(B2902,4,2)),VALUE(LEFT(B2902,2))),IF(MID(B2902,5,1)="-",DATE(VALUE(LEFT(B2902,4)),VALUE(MID(B2902,6,2)),VALUE(RIGHT(B2902,2))),DATE(VALUE(RIGHT(B2902,4)),MATCH(MID(B2902,4,3),{"Jan","Feb","Mar","Apr","May","Jun","Jul","Aug","Sep","Oct","Nov","Dec"},0),VALUE(LEFT(B2902,2)))))</f>
        <v>45957</v>
      </c>
    </row>
    <row r="2903" customFormat="false" ht="15" hidden="false" customHeight="false" outlineLevel="0" collapsed="false">
      <c r="A2903" s="7" t="s">
        <v>5981</v>
      </c>
      <c r="B2903" s="7" t="s">
        <v>3373</v>
      </c>
      <c r="C2903" s="7" t="s">
        <v>2296</v>
      </c>
      <c r="D2903" s="7" t="s">
        <v>2411</v>
      </c>
      <c r="E2903" s="7" t="s">
        <v>113</v>
      </c>
      <c r="F2903" s="7" t="s">
        <v>101</v>
      </c>
      <c r="G2903" s="7" t="s">
        <v>90</v>
      </c>
      <c r="H2903" s="7" t="n">
        <v>1</v>
      </c>
      <c r="I2903" s="7" t="n">
        <v>200</v>
      </c>
      <c r="J2903" s="7" t="n">
        <v>0</v>
      </c>
      <c r="K2903" s="7" t="s">
        <v>88</v>
      </c>
      <c r="L2903" s="7" t="s">
        <v>194</v>
      </c>
      <c r="M2903" s="7" t="n">
        <v>57</v>
      </c>
      <c r="N2903" s="7" t="n">
        <v>3</v>
      </c>
      <c r="O2903" s="7" t="str">
        <f aca="false">A2903&amp;"|"&amp;B2903&amp;"|"&amp;C2903&amp;"|"&amp;D2903&amp;"|"&amp;E2903&amp;"|"&amp;F2903&amp;"|"&amp;G2903&amp;"|"&amp;H2903&amp;"|"&amp;I2903&amp;"|"&amp;J2903&amp;"|"&amp;K2903&amp;"|"&amp;L2903&amp;"|"&amp;M2903&amp;"|"&amp;N2903</f>
        <v>ORD10234|01/02/2025|13:01|C0477|Curry Leaf Kitchen|Mumbai|North Indian|1|200|0|UPI|Delivered|57|3</v>
      </c>
      <c r="P2903" s="7" t="str">
        <f aca="false">IF(COUNTIF($O$2:O2903,O2903)&gt;1,"DUP","OK")</f>
        <v>OK</v>
      </c>
      <c r="Q2903" s="7" t="n">
        <f aca="false">COUNTBLANK(A2903:N2903)</f>
        <v>0</v>
      </c>
      <c r="R2903" s="7" t="n">
        <f aca="false">IF(A2903="",0,COUNTIFS($A$2:$A$3058,A2903,$P$2:$P$3058,"OK"))</f>
        <v>1</v>
      </c>
      <c r="S2903" s="7" t="str">
        <f aca="false">IF(OR(A2903="",P2903="DUP",R2903&lt;2),"",IF(Q2903=_xlfn.MINIFS($Q$2:$Q$3058,$A$2:$A$3058,A2903,$P$2:$P$3058,"OK"),"KEEP","DROP"))</f>
        <v/>
      </c>
      <c r="T2903" s="9" t="n">
        <f aca="false">IF(A2903="",1,0)</f>
        <v>0</v>
      </c>
      <c r="U2903" s="9" t="n">
        <f aca="false">IF(D2903="",1,0)</f>
        <v>0</v>
      </c>
      <c r="V2903" s="9" t="n">
        <f aca="false">IF(E2903="",1,0)</f>
        <v>0</v>
      </c>
      <c r="W2903" s="9" t="n">
        <f aca="false">IF(OR(H2903&lt;1,H2903&gt;10),1,0)</f>
        <v>0</v>
      </c>
      <c r="X2903" s="9" t="n">
        <f aca="false">IF(OR(I2903&lt;=0,I2903&gt;1500),1,0)</f>
        <v>0</v>
      </c>
      <c r="Y2903" s="9" t="n">
        <f aca="false">IF(J2903&gt;H2903*I2903,1,0)</f>
        <v>0</v>
      </c>
      <c r="Z2903" s="9" t="n">
        <f aca="false">IF(AND(N2903&lt;&gt;"",OR(N2903&lt;1,N2903&gt;5)),1,0)</f>
        <v>0</v>
      </c>
      <c r="AA2903" s="9" t="n">
        <f aca="false">IF(AND(M2903&lt;&gt;"",OR(M2903&lt;5,M2903&gt;180)),1,0)</f>
        <v>0</v>
      </c>
      <c r="AB2903" s="7" t="str">
        <f aca="false">IF(P2903="DUP","Exact duplicate row",IF(T2903=1,"Missing Order ID",IF(S2903="DROP","Duplicate Order ID (less complete row)",IF(U2903=1,"Missing Customer ID",IF(V2903=1,"Missing Restaurant name",IF(W2903=1,"Invalid/outlier quantity",IF(X2903=1,"Invalid/outlier unit price",IF(Y2903=1,"Discount greater than order value",""))))))))</f>
        <v/>
      </c>
      <c r="AC2903" s="7" t="str">
        <f aca="false">IF(AB2903="","KEEP","DROP")</f>
        <v>KEEP</v>
      </c>
      <c r="AD2903" s="7" t="str">
        <f aca="false">IF(TRIM(F2903)="",IFERROR(INDEX(Map_Tables!$I$4:$I$37,MATCH(TRIM(E2903),Map_Tables!$G$4:$G$37,0)),""),IFERROR(INDEX(Map_Tables!$B$4:$B$18,MATCH(TRIM(F2903),Map_Tables!$A$4:$A$18,0)),"CHECK"))</f>
        <v>Mumbai</v>
      </c>
      <c r="AE2903" s="7" t="str">
        <f aca="false">IF(TRIM(E2903)="","",IFERROR(INDEX(Map_Tables!$H$4:$H$37,MATCH(TRIM(E2903),Map_Tables!$G$4:$G$37,0)),"CHECK"))</f>
        <v>Curry Leaf Kitchen</v>
      </c>
      <c r="AF2903" s="7" t="str">
        <f aca="false">IF(TRIM(K2903)="","Unknown",IFERROR(INDEX(Map_Tables!$E$4:$E$15,MATCH(TRIM(K2903),Map_Tables!$D$4:$D$15,0)),"CHECK"))</f>
        <v>UPI</v>
      </c>
      <c r="AG2903" s="7" t="str">
        <f aca="false">IF(LEFT(LOWER(TRIM(L2903)),6)="cancel","Cancelled","Delivered")</f>
        <v>Delivered</v>
      </c>
      <c r="AH2903" s="10" t="n">
        <f aca="false">IF(ISNUMBER(SEARCH("/",B2903)),DATE(VALUE(RIGHT(B2903,4)),VALUE(MID(B2903,4,2)),VALUE(LEFT(B2903,2))),IF(MID(B2903,5,1)="-",DATE(VALUE(LEFT(B2903,4)),VALUE(MID(B2903,6,2)),VALUE(RIGHT(B2903,2))),DATE(VALUE(RIGHT(B2903,4)),MATCH(MID(B2903,4,3),{"Jan","Feb","Mar","Apr","May","Jun","Jul","Aug","Sep","Oct","Nov","Dec"},0),VALUE(LEFT(B2903,2)))))</f>
        <v>45689</v>
      </c>
    </row>
    <row r="2904" customFormat="false" ht="15" hidden="false" customHeight="false" outlineLevel="0" collapsed="false">
      <c r="A2904" s="7" t="s">
        <v>5982</v>
      </c>
      <c r="B2904" s="7" t="s">
        <v>865</v>
      </c>
      <c r="C2904" s="7" t="s">
        <v>5277</v>
      </c>
      <c r="D2904" s="7" t="s">
        <v>5983</v>
      </c>
      <c r="E2904" s="7" t="s">
        <v>104</v>
      </c>
      <c r="F2904" s="7" t="s">
        <v>85</v>
      </c>
      <c r="G2904" s="7" t="s">
        <v>105</v>
      </c>
      <c r="H2904" s="7" t="n">
        <v>1</v>
      </c>
      <c r="I2904" s="7" t="n">
        <v>210</v>
      </c>
      <c r="J2904" s="7" t="n">
        <v>0</v>
      </c>
      <c r="K2904" s="7" t="s">
        <v>133</v>
      </c>
      <c r="L2904" s="7" t="s">
        <v>194</v>
      </c>
      <c r="M2904" s="7" t="n">
        <v>32</v>
      </c>
      <c r="N2904" s="7" t="n">
        <v>5</v>
      </c>
      <c r="O2904" s="7" t="str">
        <f aca="false">A2904&amp;"|"&amp;B2904&amp;"|"&amp;C2904&amp;"|"&amp;D2904&amp;"|"&amp;E2904&amp;"|"&amp;F2904&amp;"|"&amp;G2904&amp;"|"&amp;H2904&amp;"|"&amp;I2904&amp;"|"&amp;J2904&amp;"|"&amp;K2904&amp;"|"&amp;L2904&amp;"|"&amp;M2904&amp;"|"&amp;N2904</f>
        <v>ORD12637|2025-11-22|15:02|C1179|Wok &amp; Roll|bangalore|Chinese|1|210|0|Net Banking|Delivered|32|5</v>
      </c>
      <c r="P2904" s="7" t="str">
        <f aca="false">IF(COUNTIF($O$2:O2904,O2904)&gt;1,"DUP","OK")</f>
        <v>OK</v>
      </c>
      <c r="Q2904" s="7" t="n">
        <f aca="false">COUNTBLANK(A2904:N2904)</f>
        <v>0</v>
      </c>
      <c r="R2904" s="7" t="n">
        <f aca="false">IF(A2904="",0,COUNTIFS($A$2:$A$3058,A2904,$P$2:$P$3058,"OK"))</f>
        <v>1</v>
      </c>
      <c r="S2904" s="7" t="str">
        <f aca="false">IF(OR(A2904="",P2904="DUP",R2904&lt;2),"",IF(Q2904=_xlfn.MINIFS($Q$2:$Q$3058,$A$2:$A$3058,A2904,$P$2:$P$3058,"OK"),"KEEP","DROP"))</f>
        <v/>
      </c>
      <c r="T2904" s="9" t="n">
        <f aca="false">IF(A2904="",1,0)</f>
        <v>0</v>
      </c>
      <c r="U2904" s="9" t="n">
        <f aca="false">IF(D2904="",1,0)</f>
        <v>0</v>
      </c>
      <c r="V2904" s="9" t="n">
        <f aca="false">IF(E2904="",1,0)</f>
        <v>0</v>
      </c>
      <c r="W2904" s="9" t="n">
        <f aca="false">IF(OR(H2904&lt;1,H2904&gt;10),1,0)</f>
        <v>0</v>
      </c>
      <c r="X2904" s="9" t="n">
        <f aca="false">IF(OR(I2904&lt;=0,I2904&gt;1500),1,0)</f>
        <v>0</v>
      </c>
      <c r="Y2904" s="9" t="n">
        <f aca="false">IF(J2904&gt;H2904*I2904,1,0)</f>
        <v>0</v>
      </c>
      <c r="Z2904" s="9" t="n">
        <f aca="false">IF(AND(N2904&lt;&gt;"",OR(N2904&lt;1,N2904&gt;5)),1,0)</f>
        <v>0</v>
      </c>
      <c r="AA2904" s="9" t="n">
        <f aca="false">IF(AND(M2904&lt;&gt;"",OR(M2904&lt;5,M2904&gt;180)),1,0)</f>
        <v>0</v>
      </c>
      <c r="AB2904" s="7" t="str">
        <f aca="false">IF(P2904="DUP","Exact duplicate row",IF(T2904=1,"Missing Order ID",IF(S2904="DROP","Duplicate Order ID (less complete row)",IF(U2904=1,"Missing Customer ID",IF(V2904=1,"Missing Restaurant name",IF(W2904=1,"Invalid/outlier quantity",IF(X2904=1,"Invalid/outlier unit price",IF(Y2904=1,"Discount greater than order value",""))))))))</f>
        <v/>
      </c>
      <c r="AC2904" s="7" t="str">
        <f aca="false">IF(AB2904="","KEEP","DROP")</f>
        <v>KEEP</v>
      </c>
      <c r="AD2904" s="7" t="str">
        <f aca="false">IF(TRIM(F2904)="",IFERROR(INDEX(Map_Tables!$I$4:$I$37,MATCH(TRIM(E2904),Map_Tables!$G$4:$G$37,0)),""),IFERROR(INDEX(Map_Tables!$B$4:$B$18,MATCH(TRIM(F2904),Map_Tables!$A$4:$A$18,0)),"CHECK"))</f>
        <v>Bengaluru</v>
      </c>
      <c r="AE2904" s="7" t="str">
        <f aca="false">IF(TRIM(E2904)="","",IFERROR(INDEX(Map_Tables!$H$4:$H$37,MATCH(TRIM(E2904),Map_Tables!$G$4:$G$37,0)),"CHECK"))</f>
        <v>Wok &amp; Roll</v>
      </c>
      <c r="AF2904" s="7" t="str">
        <f aca="false">IF(TRIM(K2904)="","Unknown",IFERROR(INDEX(Map_Tables!$E$4:$E$15,MATCH(TRIM(K2904),Map_Tables!$D$4:$D$15,0)),"CHECK"))</f>
        <v>Net Banking</v>
      </c>
      <c r="AG2904" s="7" t="str">
        <f aca="false">IF(LEFT(LOWER(TRIM(L2904)),6)="cancel","Cancelled","Delivered")</f>
        <v>Delivered</v>
      </c>
      <c r="AH2904" s="10" t="n">
        <f aca="false">IF(ISNUMBER(SEARCH("/",B2904)),DATE(VALUE(RIGHT(B2904,4)),VALUE(MID(B2904,4,2)),VALUE(LEFT(B2904,2))),IF(MID(B2904,5,1)="-",DATE(VALUE(LEFT(B2904,4)),VALUE(MID(B2904,6,2)),VALUE(RIGHT(B2904,2))),DATE(VALUE(RIGHT(B2904,4)),MATCH(MID(B2904,4,3),{"Jan","Feb","Mar","Apr","May","Jun","Jul","Aug","Sep","Oct","Nov","Dec"},0),VALUE(LEFT(B2904,2)))))</f>
        <v>45983</v>
      </c>
    </row>
    <row r="2905" customFormat="false" ht="15" hidden="false" customHeight="false" outlineLevel="0" collapsed="false">
      <c r="A2905" s="7" t="s">
        <v>5984</v>
      </c>
      <c r="B2905" s="7" t="s">
        <v>892</v>
      </c>
      <c r="C2905" s="7" t="s">
        <v>588</v>
      </c>
      <c r="D2905" s="7" t="s">
        <v>3030</v>
      </c>
      <c r="E2905" s="7" t="s">
        <v>126</v>
      </c>
      <c r="F2905" s="7" t="s">
        <v>101</v>
      </c>
      <c r="G2905" s="7" t="s">
        <v>105</v>
      </c>
      <c r="H2905" s="7" t="n">
        <v>2</v>
      </c>
      <c r="I2905" s="7" t="n">
        <v>210</v>
      </c>
      <c r="J2905" s="7" t="n">
        <v>0</v>
      </c>
      <c r="K2905" s="7" t="s">
        <v>93</v>
      </c>
      <c r="L2905" s="7" t="s">
        <v>194</v>
      </c>
      <c r="M2905" s="7" t="n">
        <v>41</v>
      </c>
      <c r="N2905" s="7" t="n">
        <v>4</v>
      </c>
      <c r="O2905" s="7" t="str">
        <f aca="false">A2905&amp;"|"&amp;B2905&amp;"|"&amp;C2905&amp;"|"&amp;D2905&amp;"|"&amp;E2905&amp;"|"&amp;F2905&amp;"|"&amp;G2905&amp;"|"&amp;H2905&amp;"|"&amp;I2905&amp;"|"&amp;J2905&amp;"|"&amp;K2905&amp;"|"&amp;L2905&amp;"|"&amp;M2905&amp;"|"&amp;N2905</f>
        <v>ORD12524|2025-11-12|12:31|C1287|Dragon Express|Mumbai|Chinese|2|210|0|Credit Card|Delivered|41|4</v>
      </c>
      <c r="P2905" s="7" t="str">
        <f aca="false">IF(COUNTIF($O$2:O2905,O2905)&gt;1,"DUP","OK")</f>
        <v>OK</v>
      </c>
      <c r="Q2905" s="7" t="n">
        <f aca="false">COUNTBLANK(A2905:N2905)</f>
        <v>0</v>
      </c>
      <c r="R2905" s="7" t="n">
        <f aca="false">IF(A2905="",0,COUNTIFS($A$2:$A$3058,A2905,$P$2:$P$3058,"OK"))</f>
        <v>1</v>
      </c>
      <c r="S2905" s="7" t="str">
        <f aca="false">IF(OR(A2905="",P2905="DUP",R2905&lt;2),"",IF(Q2905=_xlfn.MINIFS($Q$2:$Q$3058,$A$2:$A$3058,A2905,$P$2:$P$3058,"OK"),"KEEP","DROP"))</f>
        <v/>
      </c>
      <c r="T2905" s="9" t="n">
        <f aca="false">IF(A2905="",1,0)</f>
        <v>0</v>
      </c>
      <c r="U2905" s="9" t="n">
        <f aca="false">IF(D2905="",1,0)</f>
        <v>0</v>
      </c>
      <c r="V2905" s="9" t="n">
        <f aca="false">IF(E2905="",1,0)</f>
        <v>0</v>
      </c>
      <c r="W2905" s="9" t="n">
        <f aca="false">IF(OR(H2905&lt;1,H2905&gt;10),1,0)</f>
        <v>0</v>
      </c>
      <c r="X2905" s="9" t="n">
        <f aca="false">IF(OR(I2905&lt;=0,I2905&gt;1500),1,0)</f>
        <v>0</v>
      </c>
      <c r="Y2905" s="9" t="n">
        <f aca="false">IF(J2905&gt;H2905*I2905,1,0)</f>
        <v>0</v>
      </c>
      <c r="Z2905" s="9" t="n">
        <f aca="false">IF(AND(N2905&lt;&gt;"",OR(N2905&lt;1,N2905&gt;5)),1,0)</f>
        <v>0</v>
      </c>
      <c r="AA2905" s="9" t="n">
        <f aca="false">IF(AND(M2905&lt;&gt;"",OR(M2905&lt;5,M2905&gt;180)),1,0)</f>
        <v>0</v>
      </c>
      <c r="AB2905" s="7" t="str">
        <f aca="false">IF(P2905="DUP","Exact duplicate row",IF(T2905=1,"Missing Order ID",IF(S2905="DROP","Duplicate Order ID (less complete row)",IF(U2905=1,"Missing Customer ID",IF(V2905=1,"Missing Restaurant name",IF(W2905=1,"Invalid/outlier quantity",IF(X2905=1,"Invalid/outlier unit price",IF(Y2905=1,"Discount greater than order value",""))))))))</f>
        <v/>
      </c>
      <c r="AC2905" s="7" t="str">
        <f aca="false">IF(AB2905="","KEEP","DROP")</f>
        <v>KEEP</v>
      </c>
      <c r="AD2905" s="7" t="str">
        <f aca="false">IF(TRIM(F2905)="",IFERROR(INDEX(Map_Tables!$I$4:$I$37,MATCH(TRIM(E2905),Map_Tables!$G$4:$G$37,0)),""),IFERROR(INDEX(Map_Tables!$B$4:$B$18,MATCH(TRIM(F2905),Map_Tables!$A$4:$A$18,0)),"CHECK"))</f>
        <v>Mumbai</v>
      </c>
      <c r="AE2905" s="7" t="str">
        <f aca="false">IF(TRIM(E2905)="","",IFERROR(INDEX(Map_Tables!$H$4:$H$37,MATCH(TRIM(E2905),Map_Tables!$G$4:$G$37,0)),"CHECK"))</f>
        <v>Dragon Express</v>
      </c>
      <c r="AF2905" s="7" t="str">
        <f aca="false">IF(TRIM(K2905)="","Unknown",IFERROR(INDEX(Map_Tables!$E$4:$E$15,MATCH(TRIM(K2905),Map_Tables!$D$4:$D$15,0)),"CHECK"))</f>
        <v>Credit Card</v>
      </c>
      <c r="AG2905" s="7" t="str">
        <f aca="false">IF(LEFT(LOWER(TRIM(L2905)),6)="cancel","Cancelled","Delivered")</f>
        <v>Delivered</v>
      </c>
      <c r="AH2905" s="10" t="n">
        <f aca="false">IF(ISNUMBER(SEARCH("/",B2905)),DATE(VALUE(RIGHT(B2905,4)),VALUE(MID(B2905,4,2)),VALUE(LEFT(B2905,2))),IF(MID(B2905,5,1)="-",DATE(VALUE(LEFT(B2905,4)),VALUE(MID(B2905,6,2)),VALUE(RIGHT(B2905,2))),DATE(VALUE(RIGHT(B2905,4)),MATCH(MID(B2905,4,3),{"Jan","Feb","Mar","Apr","May","Jun","Jul","Aug","Sep","Oct","Nov","Dec"},0),VALUE(LEFT(B2905,2)))))</f>
        <v>45973</v>
      </c>
    </row>
    <row r="2906" customFormat="false" ht="15" hidden="false" customHeight="false" outlineLevel="0" collapsed="false">
      <c r="A2906" s="7" t="s">
        <v>5985</v>
      </c>
      <c r="B2906" s="7" t="s">
        <v>2124</v>
      </c>
      <c r="C2906" s="7" t="s">
        <v>1852</v>
      </c>
      <c r="D2906" s="7" t="s">
        <v>1293</v>
      </c>
      <c r="E2906" s="7" t="s">
        <v>138</v>
      </c>
      <c r="F2906" s="7" t="s">
        <v>110</v>
      </c>
      <c r="G2906" s="7" t="s">
        <v>139</v>
      </c>
      <c r="H2906" s="7" t="n">
        <v>1</v>
      </c>
      <c r="I2906" s="7" t="n">
        <v>200</v>
      </c>
      <c r="J2906" s="7" t="n">
        <v>0</v>
      </c>
      <c r="K2906" s="7" t="s">
        <v>112</v>
      </c>
      <c r="L2906" s="7" t="s">
        <v>1233</v>
      </c>
      <c r="M2906" s="7"/>
      <c r="N2906" s="7"/>
      <c r="O2906" s="7" t="str">
        <f aca="false">A2906&amp;"|"&amp;B2906&amp;"|"&amp;C2906&amp;"|"&amp;D2906&amp;"|"&amp;E2906&amp;"|"&amp;F2906&amp;"|"&amp;G2906&amp;"|"&amp;H2906&amp;"|"&amp;I2906&amp;"|"&amp;J2906&amp;"|"&amp;K2906&amp;"|"&amp;L2906&amp;"|"&amp;M2906&amp;"|"&amp;N2906</f>
        <v>ORD12999|2025-12-31|19:54|C1412|Burger Barn|Delhi|Burgers|1|200|0|Cash on Delivery|CANCELLED||</v>
      </c>
      <c r="P2906" s="7" t="str">
        <f aca="false">IF(COUNTIF($O$2:O2906,O2906)&gt;1,"DUP","OK")</f>
        <v>OK</v>
      </c>
      <c r="Q2906" s="7" t="n">
        <f aca="false">COUNTBLANK(A2906:N2906)</f>
        <v>2</v>
      </c>
      <c r="R2906" s="7" t="n">
        <f aca="false">IF(A2906="",0,COUNTIFS($A$2:$A$3058,A2906,$P$2:$P$3058,"OK"))</f>
        <v>1</v>
      </c>
      <c r="S2906" s="7" t="str">
        <f aca="false">IF(OR(A2906="",P2906="DUP",R2906&lt;2),"",IF(Q2906=_xlfn.MINIFS($Q$2:$Q$3058,$A$2:$A$3058,A2906,$P$2:$P$3058,"OK"),"KEEP","DROP"))</f>
        <v/>
      </c>
      <c r="T2906" s="9" t="n">
        <f aca="false">IF(A2906="",1,0)</f>
        <v>0</v>
      </c>
      <c r="U2906" s="9" t="n">
        <f aca="false">IF(D2906="",1,0)</f>
        <v>0</v>
      </c>
      <c r="V2906" s="9" t="n">
        <f aca="false">IF(E2906="",1,0)</f>
        <v>0</v>
      </c>
      <c r="W2906" s="9" t="n">
        <f aca="false">IF(OR(H2906&lt;1,H2906&gt;10),1,0)</f>
        <v>0</v>
      </c>
      <c r="X2906" s="9" t="n">
        <f aca="false">IF(OR(I2906&lt;=0,I2906&gt;1500),1,0)</f>
        <v>0</v>
      </c>
      <c r="Y2906" s="9" t="n">
        <f aca="false">IF(J2906&gt;H2906*I2906,1,0)</f>
        <v>0</v>
      </c>
      <c r="Z2906" s="9" t="n">
        <f aca="false">IF(AND(N2906&lt;&gt;"",OR(N2906&lt;1,N2906&gt;5)),1,0)</f>
        <v>0</v>
      </c>
      <c r="AA2906" s="9" t="n">
        <f aca="false">IF(AND(M2906&lt;&gt;"",OR(M2906&lt;5,M2906&gt;180)),1,0)</f>
        <v>0</v>
      </c>
      <c r="AB2906" s="7" t="str">
        <f aca="false">IF(P2906="DUP","Exact duplicate row",IF(T2906=1,"Missing Order ID",IF(S2906="DROP","Duplicate Order ID (less complete row)",IF(U2906=1,"Missing Customer ID",IF(V2906=1,"Missing Restaurant name",IF(W2906=1,"Invalid/outlier quantity",IF(X2906=1,"Invalid/outlier unit price",IF(Y2906=1,"Discount greater than order value",""))))))))</f>
        <v/>
      </c>
      <c r="AC2906" s="7" t="str">
        <f aca="false">IF(AB2906="","KEEP","DROP")</f>
        <v>KEEP</v>
      </c>
      <c r="AD2906" s="7" t="str">
        <f aca="false">IF(TRIM(F2906)="",IFERROR(INDEX(Map_Tables!$I$4:$I$37,MATCH(TRIM(E2906),Map_Tables!$G$4:$G$37,0)),""),IFERROR(INDEX(Map_Tables!$B$4:$B$18,MATCH(TRIM(F2906),Map_Tables!$A$4:$A$18,0)),"CHECK"))</f>
        <v>Delhi</v>
      </c>
      <c r="AE2906" s="7" t="str">
        <f aca="false">IF(TRIM(E2906)="","",IFERROR(INDEX(Map_Tables!$H$4:$H$37,MATCH(TRIM(E2906),Map_Tables!$G$4:$G$37,0)),"CHECK"))</f>
        <v>Burger Barn</v>
      </c>
      <c r="AF2906" s="7" t="str">
        <f aca="false">IF(TRIM(K2906)="","Unknown",IFERROR(INDEX(Map_Tables!$E$4:$E$15,MATCH(TRIM(K2906),Map_Tables!$D$4:$D$15,0)),"CHECK"))</f>
        <v>Cash on Delivery</v>
      </c>
      <c r="AG2906" s="7" t="str">
        <f aca="false">IF(LEFT(LOWER(TRIM(L2906)),6)="cancel","Cancelled","Delivered")</f>
        <v>Cancelled</v>
      </c>
      <c r="AH2906" s="10" t="n">
        <f aca="false">IF(ISNUMBER(SEARCH("/",B2906)),DATE(VALUE(RIGHT(B2906,4)),VALUE(MID(B2906,4,2)),VALUE(LEFT(B2906,2))),IF(MID(B2906,5,1)="-",DATE(VALUE(LEFT(B2906,4)),VALUE(MID(B2906,6,2)),VALUE(RIGHT(B2906,2))),DATE(VALUE(RIGHT(B2906,4)),MATCH(MID(B2906,4,3),{"Jan","Feb","Mar","Apr","May","Jun","Jul","Aug","Sep","Oct","Nov","Dec"},0),VALUE(LEFT(B2906,2)))))</f>
        <v>46022</v>
      </c>
    </row>
    <row r="2907" customFormat="false" ht="15" hidden="false" customHeight="false" outlineLevel="0" collapsed="false">
      <c r="A2907" s="7" t="s">
        <v>5986</v>
      </c>
      <c r="B2907" s="7" t="s">
        <v>1972</v>
      </c>
      <c r="C2907" s="7" t="s">
        <v>2358</v>
      </c>
      <c r="D2907" s="7" t="s">
        <v>1954</v>
      </c>
      <c r="E2907" s="7" t="s">
        <v>130</v>
      </c>
      <c r="F2907" s="7" t="s">
        <v>110</v>
      </c>
      <c r="G2907" s="7" t="s">
        <v>90</v>
      </c>
      <c r="H2907" s="7" t="n">
        <v>2</v>
      </c>
      <c r="I2907" s="7" t="n">
        <v>220</v>
      </c>
      <c r="J2907" s="7" t="n">
        <v>20</v>
      </c>
      <c r="K2907" s="7" t="s">
        <v>112</v>
      </c>
      <c r="L2907" s="7" t="s">
        <v>194</v>
      </c>
      <c r="M2907" s="7" t="n">
        <v>47</v>
      </c>
      <c r="N2907" s="7" t="n">
        <v>4</v>
      </c>
      <c r="O2907" s="7" t="str">
        <f aca="false">A2907&amp;"|"&amp;B2907&amp;"|"&amp;C2907&amp;"|"&amp;D2907&amp;"|"&amp;E2907&amp;"|"&amp;F2907&amp;"|"&amp;G2907&amp;"|"&amp;H2907&amp;"|"&amp;I2907&amp;"|"&amp;J2907&amp;"|"&amp;K2907&amp;"|"&amp;L2907&amp;"|"&amp;M2907&amp;"|"&amp;N2907</f>
        <v>ORD12648|2025-11-23|13:47|C1044|Tandoor Tales|Delhi|North Indian|2|220|20|Cash on Delivery|Delivered|47|4</v>
      </c>
      <c r="P2907" s="7" t="str">
        <f aca="false">IF(COUNTIF($O$2:O2907,O2907)&gt;1,"DUP","OK")</f>
        <v>OK</v>
      </c>
      <c r="Q2907" s="7" t="n">
        <f aca="false">COUNTBLANK(A2907:N2907)</f>
        <v>0</v>
      </c>
      <c r="R2907" s="7" t="n">
        <f aca="false">IF(A2907="",0,COUNTIFS($A$2:$A$3058,A2907,$P$2:$P$3058,"OK"))</f>
        <v>1</v>
      </c>
      <c r="S2907" s="7" t="str">
        <f aca="false">IF(OR(A2907="",P2907="DUP",R2907&lt;2),"",IF(Q2907=_xlfn.MINIFS($Q$2:$Q$3058,$A$2:$A$3058,A2907,$P$2:$P$3058,"OK"),"KEEP","DROP"))</f>
        <v/>
      </c>
      <c r="T2907" s="9" t="n">
        <f aca="false">IF(A2907="",1,0)</f>
        <v>0</v>
      </c>
      <c r="U2907" s="9" t="n">
        <f aca="false">IF(D2907="",1,0)</f>
        <v>0</v>
      </c>
      <c r="V2907" s="9" t="n">
        <f aca="false">IF(E2907="",1,0)</f>
        <v>0</v>
      </c>
      <c r="W2907" s="9" t="n">
        <f aca="false">IF(OR(H2907&lt;1,H2907&gt;10),1,0)</f>
        <v>0</v>
      </c>
      <c r="X2907" s="9" t="n">
        <f aca="false">IF(OR(I2907&lt;=0,I2907&gt;1500),1,0)</f>
        <v>0</v>
      </c>
      <c r="Y2907" s="9" t="n">
        <f aca="false">IF(J2907&gt;H2907*I2907,1,0)</f>
        <v>0</v>
      </c>
      <c r="Z2907" s="9" t="n">
        <f aca="false">IF(AND(N2907&lt;&gt;"",OR(N2907&lt;1,N2907&gt;5)),1,0)</f>
        <v>0</v>
      </c>
      <c r="AA2907" s="9" t="n">
        <f aca="false">IF(AND(M2907&lt;&gt;"",OR(M2907&lt;5,M2907&gt;180)),1,0)</f>
        <v>0</v>
      </c>
      <c r="AB2907" s="7" t="str">
        <f aca="false">IF(P2907="DUP","Exact duplicate row",IF(T2907=1,"Missing Order ID",IF(S2907="DROP","Duplicate Order ID (less complete row)",IF(U2907=1,"Missing Customer ID",IF(V2907=1,"Missing Restaurant name",IF(W2907=1,"Invalid/outlier quantity",IF(X2907=1,"Invalid/outlier unit price",IF(Y2907=1,"Discount greater than order value",""))))))))</f>
        <v/>
      </c>
      <c r="AC2907" s="7" t="str">
        <f aca="false">IF(AB2907="","KEEP","DROP")</f>
        <v>KEEP</v>
      </c>
      <c r="AD2907" s="7" t="str">
        <f aca="false">IF(TRIM(F2907)="",IFERROR(INDEX(Map_Tables!$I$4:$I$37,MATCH(TRIM(E2907),Map_Tables!$G$4:$G$37,0)),""),IFERROR(INDEX(Map_Tables!$B$4:$B$18,MATCH(TRIM(F2907),Map_Tables!$A$4:$A$18,0)),"CHECK"))</f>
        <v>Delhi</v>
      </c>
      <c r="AE2907" s="7" t="str">
        <f aca="false">IF(TRIM(E2907)="","",IFERROR(INDEX(Map_Tables!$H$4:$H$37,MATCH(TRIM(E2907),Map_Tables!$G$4:$G$37,0)),"CHECK"))</f>
        <v>Tandoor Tales</v>
      </c>
      <c r="AF2907" s="7" t="str">
        <f aca="false">IF(TRIM(K2907)="","Unknown",IFERROR(INDEX(Map_Tables!$E$4:$E$15,MATCH(TRIM(K2907),Map_Tables!$D$4:$D$15,0)),"CHECK"))</f>
        <v>Cash on Delivery</v>
      </c>
      <c r="AG2907" s="7" t="str">
        <f aca="false">IF(LEFT(LOWER(TRIM(L2907)),6)="cancel","Cancelled","Delivered")</f>
        <v>Delivered</v>
      </c>
      <c r="AH2907" s="10" t="n">
        <f aca="false">IF(ISNUMBER(SEARCH("/",B2907)),DATE(VALUE(RIGHT(B2907,4)),VALUE(MID(B2907,4,2)),VALUE(LEFT(B2907,2))),IF(MID(B2907,5,1)="-",DATE(VALUE(LEFT(B2907,4)),VALUE(MID(B2907,6,2)),VALUE(RIGHT(B2907,2))),DATE(VALUE(RIGHT(B2907,4)),MATCH(MID(B2907,4,3),{"Jan","Feb","Mar","Apr","May","Jun","Jul","Aug","Sep","Oct","Nov","Dec"},0),VALUE(LEFT(B2907,2)))))</f>
        <v>45984</v>
      </c>
    </row>
    <row r="2908" customFormat="false" ht="15" hidden="false" customHeight="false" outlineLevel="0" collapsed="false">
      <c r="A2908" s="7" t="s">
        <v>5987</v>
      </c>
      <c r="B2908" s="7" t="s">
        <v>2479</v>
      </c>
      <c r="C2908" s="7" t="s">
        <v>1407</v>
      </c>
      <c r="D2908" s="7" t="s">
        <v>5988</v>
      </c>
      <c r="E2908" s="7" t="s">
        <v>159</v>
      </c>
      <c r="F2908" s="7" t="s">
        <v>135</v>
      </c>
      <c r="G2908" s="7" t="s">
        <v>90</v>
      </c>
      <c r="H2908" s="7" t="n">
        <v>2</v>
      </c>
      <c r="I2908" s="7" t="n">
        <v>225</v>
      </c>
      <c r="J2908" s="7" t="n">
        <v>0</v>
      </c>
      <c r="K2908" s="7" t="s">
        <v>88</v>
      </c>
      <c r="L2908" s="7" t="s">
        <v>194</v>
      </c>
      <c r="M2908" s="7" t="n">
        <v>42</v>
      </c>
      <c r="N2908" s="7" t="n">
        <v>4</v>
      </c>
      <c r="O2908" s="7" t="str">
        <f aca="false">A2908&amp;"|"&amp;B2908&amp;"|"&amp;C2908&amp;"|"&amp;D2908&amp;"|"&amp;E2908&amp;"|"&amp;F2908&amp;"|"&amp;G2908&amp;"|"&amp;H2908&amp;"|"&amp;I2908&amp;"|"&amp;J2908&amp;"|"&amp;K2908&amp;"|"&amp;L2908&amp;"|"&amp;M2908&amp;"|"&amp;N2908</f>
        <v>ORD12470|2025-11-06|18:21|C0271|Maratha Thali House|pune|North Indian|2|225|0|UPI|Delivered|42|4</v>
      </c>
      <c r="P2908" s="7" t="str">
        <f aca="false">IF(COUNTIF($O$2:O2908,O2908)&gt;1,"DUP","OK")</f>
        <v>OK</v>
      </c>
      <c r="Q2908" s="7" t="n">
        <f aca="false">COUNTBLANK(A2908:N2908)</f>
        <v>0</v>
      </c>
      <c r="R2908" s="7" t="n">
        <f aca="false">IF(A2908="",0,COUNTIFS($A$2:$A$3058,A2908,$P$2:$P$3058,"OK"))</f>
        <v>1</v>
      </c>
      <c r="S2908" s="7" t="str">
        <f aca="false">IF(OR(A2908="",P2908="DUP",R2908&lt;2),"",IF(Q2908=_xlfn.MINIFS($Q$2:$Q$3058,$A$2:$A$3058,A2908,$P$2:$P$3058,"OK"),"KEEP","DROP"))</f>
        <v/>
      </c>
      <c r="T2908" s="9" t="n">
        <f aca="false">IF(A2908="",1,0)</f>
        <v>0</v>
      </c>
      <c r="U2908" s="9" t="n">
        <f aca="false">IF(D2908="",1,0)</f>
        <v>0</v>
      </c>
      <c r="V2908" s="9" t="n">
        <f aca="false">IF(E2908="",1,0)</f>
        <v>0</v>
      </c>
      <c r="W2908" s="9" t="n">
        <f aca="false">IF(OR(H2908&lt;1,H2908&gt;10),1,0)</f>
        <v>0</v>
      </c>
      <c r="X2908" s="9" t="n">
        <f aca="false">IF(OR(I2908&lt;=0,I2908&gt;1500),1,0)</f>
        <v>0</v>
      </c>
      <c r="Y2908" s="9" t="n">
        <f aca="false">IF(J2908&gt;H2908*I2908,1,0)</f>
        <v>0</v>
      </c>
      <c r="Z2908" s="9" t="n">
        <f aca="false">IF(AND(N2908&lt;&gt;"",OR(N2908&lt;1,N2908&gt;5)),1,0)</f>
        <v>0</v>
      </c>
      <c r="AA2908" s="9" t="n">
        <f aca="false">IF(AND(M2908&lt;&gt;"",OR(M2908&lt;5,M2908&gt;180)),1,0)</f>
        <v>0</v>
      </c>
      <c r="AB2908" s="7" t="str">
        <f aca="false">IF(P2908="DUP","Exact duplicate row",IF(T2908=1,"Missing Order ID",IF(S2908="DROP","Duplicate Order ID (less complete row)",IF(U2908=1,"Missing Customer ID",IF(V2908=1,"Missing Restaurant name",IF(W2908=1,"Invalid/outlier quantity",IF(X2908=1,"Invalid/outlier unit price",IF(Y2908=1,"Discount greater than order value",""))))))))</f>
        <v/>
      </c>
      <c r="AC2908" s="7" t="str">
        <f aca="false">IF(AB2908="","KEEP","DROP")</f>
        <v>KEEP</v>
      </c>
      <c r="AD2908" s="7" t="str">
        <f aca="false">IF(TRIM(F2908)="",IFERROR(INDEX(Map_Tables!$I$4:$I$37,MATCH(TRIM(E2908),Map_Tables!$G$4:$G$37,0)),""),IFERROR(INDEX(Map_Tables!$B$4:$B$18,MATCH(TRIM(F2908),Map_Tables!$A$4:$A$18,0)),"CHECK"))</f>
        <v>Pune</v>
      </c>
      <c r="AE2908" s="7" t="str">
        <f aca="false">IF(TRIM(E2908)="","",IFERROR(INDEX(Map_Tables!$H$4:$H$37,MATCH(TRIM(E2908),Map_Tables!$G$4:$G$37,0)),"CHECK"))</f>
        <v>Maratha Thali House</v>
      </c>
      <c r="AF2908" s="7" t="str">
        <f aca="false">IF(TRIM(K2908)="","Unknown",IFERROR(INDEX(Map_Tables!$E$4:$E$15,MATCH(TRIM(K2908),Map_Tables!$D$4:$D$15,0)),"CHECK"))</f>
        <v>UPI</v>
      </c>
      <c r="AG2908" s="7" t="str">
        <f aca="false">IF(LEFT(LOWER(TRIM(L2908)),6)="cancel","Cancelled","Delivered")</f>
        <v>Delivered</v>
      </c>
      <c r="AH2908" s="10" t="n">
        <f aca="false">IF(ISNUMBER(SEARCH("/",B2908)),DATE(VALUE(RIGHT(B2908,4)),VALUE(MID(B2908,4,2)),VALUE(LEFT(B2908,2))),IF(MID(B2908,5,1)="-",DATE(VALUE(LEFT(B2908,4)),VALUE(MID(B2908,6,2)),VALUE(RIGHT(B2908,2))),DATE(VALUE(RIGHT(B2908,4)),MATCH(MID(B2908,4,3),{"Jan","Feb","Mar","Apr","May","Jun","Jul","Aug","Sep","Oct","Nov","Dec"},0),VALUE(LEFT(B2908,2)))))</f>
        <v>45967</v>
      </c>
    </row>
    <row r="2909" customFormat="false" ht="15" hidden="false" customHeight="false" outlineLevel="0" collapsed="false">
      <c r="A2909" s="7" t="s">
        <v>5989</v>
      </c>
      <c r="B2909" s="7" t="s">
        <v>1680</v>
      </c>
      <c r="C2909" s="7" t="s">
        <v>1374</v>
      </c>
      <c r="D2909" s="7" t="s">
        <v>1220</v>
      </c>
      <c r="E2909" s="7" t="s">
        <v>147</v>
      </c>
      <c r="F2909" s="7" t="s">
        <v>118</v>
      </c>
      <c r="G2909" s="7" t="s">
        <v>95</v>
      </c>
      <c r="H2909" s="7" t="n">
        <v>2</v>
      </c>
      <c r="I2909" s="7" t="n">
        <v>105</v>
      </c>
      <c r="J2909" s="7" t="n">
        <v>0</v>
      </c>
      <c r="K2909" s="7" t="s">
        <v>112</v>
      </c>
      <c r="L2909" s="7" t="s">
        <v>194</v>
      </c>
      <c r="M2909" s="7" t="n">
        <v>36</v>
      </c>
      <c r="N2909" s="7"/>
      <c r="O2909" s="7" t="str">
        <f aca="false">A2909&amp;"|"&amp;B2909&amp;"|"&amp;C2909&amp;"|"&amp;D2909&amp;"|"&amp;E2909&amp;"|"&amp;F2909&amp;"|"&amp;G2909&amp;"|"&amp;H2909&amp;"|"&amp;I2909&amp;"|"&amp;J2909&amp;"|"&amp;K2909&amp;"|"&amp;L2909&amp;"|"&amp;M2909&amp;"|"&amp;N2909</f>
        <v>ORD11712|2025-08-13|13:55|C1470|Andhra Meals Mess|hyderabad|South Indian|2|105|0|Cash on Delivery|Delivered|36|</v>
      </c>
      <c r="P2909" s="7" t="str">
        <f aca="false">IF(COUNTIF($O$2:O2909,O2909)&gt;1,"DUP","OK")</f>
        <v>OK</v>
      </c>
      <c r="Q2909" s="7" t="n">
        <f aca="false">COUNTBLANK(A2909:N2909)</f>
        <v>1</v>
      </c>
      <c r="R2909" s="7" t="n">
        <f aca="false">IF(A2909="",0,COUNTIFS($A$2:$A$3058,A2909,$P$2:$P$3058,"OK"))</f>
        <v>1</v>
      </c>
      <c r="S2909" s="7" t="str">
        <f aca="false">IF(OR(A2909="",P2909="DUP",R2909&lt;2),"",IF(Q2909=_xlfn.MINIFS($Q$2:$Q$3058,$A$2:$A$3058,A2909,$P$2:$P$3058,"OK"),"KEEP","DROP"))</f>
        <v/>
      </c>
      <c r="T2909" s="9" t="n">
        <f aca="false">IF(A2909="",1,0)</f>
        <v>0</v>
      </c>
      <c r="U2909" s="9" t="n">
        <f aca="false">IF(D2909="",1,0)</f>
        <v>0</v>
      </c>
      <c r="V2909" s="9" t="n">
        <f aca="false">IF(E2909="",1,0)</f>
        <v>0</v>
      </c>
      <c r="W2909" s="9" t="n">
        <f aca="false">IF(OR(H2909&lt;1,H2909&gt;10),1,0)</f>
        <v>0</v>
      </c>
      <c r="X2909" s="9" t="n">
        <f aca="false">IF(OR(I2909&lt;=0,I2909&gt;1500),1,0)</f>
        <v>0</v>
      </c>
      <c r="Y2909" s="9" t="n">
        <f aca="false">IF(J2909&gt;H2909*I2909,1,0)</f>
        <v>0</v>
      </c>
      <c r="Z2909" s="9" t="n">
        <f aca="false">IF(AND(N2909&lt;&gt;"",OR(N2909&lt;1,N2909&gt;5)),1,0)</f>
        <v>0</v>
      </c>
      <c r="AA2909" s="9" t="n">
        <f aca="false">IF(AND(M2909&lt;&gt;"",OR(M2909&lt;5,M2909&gt;180)),1,0)</f>
        <v>0</v>
      </c>
      <c r="AB2909" s="7" t="str">
        <f aca="false">IF(P2909="DUP","Exact duplicate row",IF(T2909=1,"Missing Order ID",IF(S2909="DROP","Duplicate Order ID (less complete row)",IF(U2909=1,"Missing Customer ID",IF(V2909=1,"Missing Restaurant name",IF(W2909=1,"Invalid/outlier quantity",IF(X2909=1,"Invalid/outlier unit price",IF(Y2909=1,"Discount greater than order value",""))))))))</f>
        <v/>
      </c>
      <c r="AC2909" s="7" t="str">
        <f aca="false">IF(AB2909="","KEEP","DROP")</f>
        <v>KEEP</v>
      </c>
      <c r="AD2909" s="7" t="str">
        <f aca="false">IF(TRIM(F2909)="",IFERROR(INDEX(Map_Tables!$I$4:$I$37,MATCH(TRIM(E2909),Map_Tables!$G$4:$G$37,0)),""),IFERROR(INDEX(Map_Tables!$B$4:$B$18,MATCH(TRIM(F2909),Map_Tables!$A$4:$A$18,0)),"CHECK"))</f>
        <v>Hyderabad</v>
      </c>
      <c r="AE2909" s="7" t="str">
        <f aca="false">IF(TRIM(E2909)="","",IFERROR(INDEX(Map_Tables!$H$4:$H$37,MATCH(TRIM(E2909),Map_Tables!$G$4:$G$37,0)),"CHECK"))</f>
        <v>Andhra Meals Mess</v>
      </c>
      <c r="AF2909" s="7" t="str">
        <f aca="false">IF(TRIM(K2909)="","Unknown",IFERROR(INDEX(Map_Tables!$E$4:$E$15,MATCH(TRIM(K2909),Map_Tables!$D$4:$D$15,0)),"CHECK"))</f>
        <v>Cash on Delivery</v>
      </c>
      <c r="AG2909" s="7" t="str">
        <f aca="false">IF(LEFT(LOWER(TRIM(L2909)),6)="cancel","Cancelled","Delivered")</f>
        <v>Delivered</v>
      </c>
      <c r="AH2909" s="10" t="n">
        <f aca="false">IF(ISNUMBER(SEARCH("/",B2909)),DATE(VALUE(RIGHT(B2909,4)),VALUE(MID(B2909,4,2)),VALUE(LEFT(B2909,2))),IF(MID(B2909,5,1)="-",DATE(VALUE(LEFT(B2909,4)),VALUE(MID(B2909,6,2)),VALUE(RIGHT(B2909,2))),DATE(VALUE(RIGHT(B2909,4)),MATCH(MID(B2909,4,3),{"Jan","Feb","Mar","Apr","May","Jun","Jul","Aug","Sep","Oct","Nov","Dec"},0),VALUE(LEFT(B2909,2)))))</f>
        <v>45882</v>
      </c>
    </row>
    <row r="2910" customFormat="false" ht="15" hidden="false" customHeight="false" outlineLevel="0" collapsed="false">
      <c r="A2910" s="7" t="s">
        <v>5990</v>
      </c>
      <c r="B2910" s="7" t="s">
        <v>368</v>
      </c>
      <c r="C2910" s="7" t="s">
        <v>3281</v>
      </c>
      <c r="D2910" s="7" t="s">
        <v>565</v>
      </c>
      <c r="E2910" s="7" t="s">
        <v>3518</v>
      </c>
      <c r="F2910" s="7" t="s">
        <v>136</v>
      </c>
      <c r="G2910" s="7" t="s">
        <v>90</v>
      </c>
      <c r="H2910" s="7" t="n">
        <v>1</v>
      </c>
      <c r="I2910" s="7" t="n">
        <v>235</v>
      </c>
      <c r="J2910" s="7" t="n">
        <v>0</v>
      </c>
      <c r="K2910" s="7" t="s">
        <v>112</v>
      </c>
      <c r="L2910" s="7" t="s">
        <v>194</v>
      </c>
      <c r="M2910" s="7" t="n">
        <v>26</v>
      </c>
      <c r="N2910" s="7"/>
      <c r="O2910" s="7" t="str">
        <f aca="false">A2910&amp;"|"&amp;B2910&amp;"|"&amp;C2910&amp;"|"&amp;D2910&amp;"|"&amp;E2910&amp;"|"&amp;F2910&amp;"|"&amp;G2910&amp;"|"&amp;H2910&amp;"|"&amp;I2910&amp;"|"&amp;J2910&amp;"|"&amp;K2910&amp;"|"&amp;L2910&amp;"|"&amp;M2910&amp;"|"&amp;N2910</f>
        <v>ORD10183|2025-01-24|22:55|C1051| Maratha Thali House|Pune|North Indian|1|235|0|Cash on Delivery|Delivered|26|</v>
      </c>
      <c r="P2910" s="7" t="str">
        <f aca="false">IF(COUNTIF($O$2:O2910,O2910)&gt;1,"DUP","OK")</f>
        <v>OK</v>
      </c>
      <c r="Q2910" s="7" t="n">
        <f aca="false">COUNTBLANK(A2910:N2910)</f>
        <v>1</v>
      </c>
      <c r="R2910" s="7" t="n">
        <f aca="false">IF(A2910="",0,COUNTIFS($A$2:$A$3058,A2910,$P$2:$P$3058,"OK"))</f>
        <v>1</v>
      </c>
      <c r="S2910" s="7" t="str">
        <f aca="false">IF(OR(A2910="",P2910="DUP",R2910&lt;2),"",IF(Q2910=_xlfn.MINIFS($Q$2:$Q$3058,$A$2:$A$3058,A2910,$P$2:$P$3058,"OK"),"KEEP","DROP"))</f>
        <v/>
      </c>
      <c r="T2910" s="9" t="n">
        <f aca="false">IF(A2910="",1,0)</f>
        <v>0</v>
      </c>
      <c r="U2910" s="9" t="n">
        <f aca="false">IF(D2910="",1,0)</f>
        <v>0</v>
      </c>
      <c r="V2910" s="9" t="n">
        <f aca="false">IF(E2910="",1,0)</f>
        <v>0</v>
      </c>
      <c r="W2910" s="9" t="n">
        <f aca="false">IF(OR(H2910&lt;1,H2910&gt;10),1,0)</f>
        <v>0</v>
      </c>
      <c r="X2910" s="9" t="n">
        <f aca="false">IF(OR(I2910&lt;=0,I2910&gt;1500),1,0)</f>
        <v>0</v>
      </c>
      <c r="Y2910" s="9" t="n">
        <f aca="false">IF(J2910&gt;H2910*I2910,1,0)</f>
        <v>0</v>
      </c>
      <c r="Z2910" s="9" t="n">
        <f aca="false">IF(AND(N2910&lt;&gt;"",OR(N2910&lt;1,N2910&gt;5)),1,0)</f>
        <v>0</v>
      </c>
      <c r="AA2910" s="9" t="n">
        <f aca="false">IF(AND(M2910&lt;&gt;"",OR(M2910&lt;5,M2910&gt;180)),1,0)</f>
        <v>0</v>
      </c>
      <c r="AB2910" s="7" t="str">
        <f aca="false">IF(P2910="DUP","Exact duplicate row",IF(T2910=1,"Missing Order ID",IF(S2910="DROP","Duplicate Order ID (less complete row)",IF(U2910=1,"Missing Customer ID",IF(V2910=1,"Missing Restaurant name",IF(W2910=1,"Invalid/outlier quantity",IF(X2910=1,"Invalid/outlier unit price",IF(Y2910=1,"Discount greater than order value",""))))))))</f>
        <v/>
      </c>
      <c r="AC2910" s="7" t="str">
        <f aca="false">IF(AB2910="","KEEP","DROP")</f>
        <v>KEEP</v>
      </c>
      <c r="AD2910" s="7" t="str">
        <f aca="false">IF(TRIM(F2910)="",IFERROR(INDEX(Map_Tables!$I$4:$I$37,MATCH(TRIM(E2910),Map_Tables!$G$4:$G$37,0)),""),IFERROR(INDEX(Map_Tables!$B$4:$B$18,MATCH(TRIM(F2910),Map_Tables!$A$4:$A$18,0)),"CHECK"))</f>
        <v>Pune</v>
      </c>
      <c r="AE2910" s="7" t="str">
        <f aca="false">IF(TRIM(E2910)="","",IFERROR(INDEX(Map_Tables!$H$4:$H$37,MATCH(TRIM(E2910),Map_Tables!$G$4:$G$37,0)),"CHECK"))</f>
        <v>Maratha Thali House</v>
      </c>
      <c r="AF2910" s="7" t="str">
        <f aca="false">IF(TRIM(K2910)="","Unknown",IFERROR(INDEX(Map_Tables!$E$4:$E$15,MATCH(TRIM(K2910),Map_Tables!$D$4:$D$15,0)),"CHECK"))</f>
        <v>Cash on Delivery</v>
      </c>
      <c r="AG2910" s="7" t="str">
        <f aca="false">IF(LEFT(LOWER(TRIM(L2910)),6)="cancel","Cancelled","Delivered")</f>
        <v>Delivered</v>
      </c>
      <c r="AH2910" s="10" t="n">
        <f aca="false">IF(ISNUMBER(SEARCH("/",B2910)),DATE(VALUE(RIGHT(B2910,4)),VALUE(MID(B2910,4,2)),VALUE(LEFT(B2910,2))),IF(MID(B2910,5,1)="-",DATE(VALUE(LEFT(B2910,4)),VALUE(MID(B2910,6,2)),VALUE(RIGHT(B2910,2))),DATE(VALUE(RIGHT(B2910,4)),MATCH(MID(B2910,4,3),{"Jan","Feb","Mar","Apr","May","Jun","Jul","Aug","Sep","Oct","Nov","Dec"},0),VALUE(LEFT(B2910,2)))))</f>
        <v>45681</v>
      </c>
    </row>
    <row r="2911" customFormat="false" ht="15" hidden="false" customHeight="false" outlineLevel="0" collapsed="false">
      <c r="A2911" s="7" t="s">
        <v>5991</v>
      </c>
      <c r="B2911" s="7" t="s">
        <v>2397</v>
      </c>
      <c r="C2911" s="7" t="s">
        <v>4305</v>
      </c>
      <c r="D2911" s="7" t="s">
        <v>4022</v>
      </c>
      <c r="E2911" s="7" t="s">
        <v>113</v>
      </c>
      <c r="F2911" s="7" t="s">
        <v>101</v>
      </c>
      <c r="G2911" s="7" t="s">
        <v>90</v>
      </c>
      <c r="H2911" s="7" t="n">
        <v>3</v>
      </c>
      <c r="I2911" s="7" t="n">
        <v>235</v>
      </c>
      <c r="J2911" s="7" t="n">
        <v>30</v>
      </c>
      <c r="K2911" s="7" t="s">
        <v>112</v>
      </c>
      <c r="L2911" s="7" t="s">
        <v>194</v>
      </c>
      <c r="M2911" s="7" t="n">
        <v>52</v>
      </c>
      <c r="N2911" s="7" t="n">
        <v>3</v>
      </c>
      <c r="O2911" s="7" t="str">
        <f aca="false">A2911&amp;"|"&amp;B2911&amp;"|"&amp;C2911&amp;"|"&amp;D2911&amp;"|"&amp;E2911&amp;"|"&amp;F2911&amp;"|"&amp;G2911&amp;"|"&amp;H2911&amp;"|"&amp;I2911&amp;"|"&amp;J2911&amp;"|"&amp;K2911&amp;"|"&amp;L2911&amp;"|"&amp;M2911&amp;"|"&amp;N2911</f>
        <v>ORD10989|2025-05-05|21:19|C0533|Curry Leaf Kitchen|Mumbai|North Indian|3|235|30|Cash on Delivery|Delivered|52|3</v>
      </c>
      <c r="P2911" s="7" t="str">
        <f aca="false">IF(COUNTIF($O$2:O2911,O2911)&gt;1,"DUP","OK")</f>
        <v>OK</v>
      </c>
      <c r="Q2911" s="7" t="n">
        <f aca="false">COUNTBLANK(A2911:N2911)</f>
        <v>0</v>
      </c>
      <c r="R2911" s="7" t="n">
        <f aca="false">IF(A2911="",0,COUNTIFS($A$2:$A$3058,A2911,$P$2:$P$3058,"OK"))</f>
        <v>1</v>
      </c>
      <c r="S2911" s="7" t="str">
        <f aca="false">IF(OR(A2911="",P2911="DUP",R2911&lt;2),"",IF(Q2911=_xlfn.MINIFS($Q$2:$Q$3058,$A$2:$A$3058,A2911,$P$2:$P$3058,"OK"),"KEEP","DROP"))</f>
        <v/>
      </c>
      <c r="T2911" s="9" t="n">
        <f aca="false">IF(A2911="",1,0)</f>
        <v>0</v>
      </c>
      <c r="U2911" s="9" t="n">
        <f aca="false">IF(D2911="",1,0)</f>
        <v>0</v>
      </c>
      <c r="V2911" s="9" t="n">
        <f aca="false">IF(E2911="",1,0)</f>
        <v>0</v>
      </c>
      <c r="W2911" s="9" t="n">
        <f aca="false">IF(OR(H2911&lt;1,H2911&gt;10),1,0)</f>
        <v>0</v>
      </c>
      <c r="X2911" s="9" t="n">
        <f aca="false">IF(OR(I2911&lt;=0,I2911&gt;1500),1,0)</f>
        <v>0</v>
      </c>
      <c r="Y2911" s="9" t="n">
        <f aca="false">IF(J2911&gt;H2911*I2911,1,0)</f>
        <v>0</v>
      </c>
      <c r="Z2911" s="9" t="n">
        <f aca="false">IF(AND(N2911&lt;&gt;"",OR(N2911&lt;1,N2911&gt;5)),1,0)</f>
        <v>0</v>
      </c>
      <c r="AA2911" s="9" t="n">
        <f aca="false">IF(AND(M2911&lt;&gt;"",OR(M2911&lt;5,M2911&gt;180)),1,0)</f>
        <v>0</v>
      </c>
      <c r="AB2911" s="7" t="str">
        <f aca="false">IF(P2911="DUP","Exact duplicate row",IF(T2911=1,"Missing Order ID",IF(S2911="DROP","Duplicate Order ID (less complete row)",IF(U2911=1,"Missing Customer ID",IF(V2911=1,"Missing Restaurant name",IF(W2911=1,"Invalid/outlier quantity",IF(X2911=1,"Invalid/outlier unit price",IF(Y2911=1,"Discount greater than order value",""))))))))</f>
        <v/>
      </c>
      <c r="AC2911" s="7" t="str">
        <f aca="false">IF(AB2911="","KEEP","DROP")</f>
        <v>KEEP</v>
      </c>
      <c r="AD2911" s="7" t="str">
        <f aca="false">IF(TRIM(F2911)="",IFERROR(INDEX(Map_Tables!$I$4:$I$37,MATCH(TRIM(E2911),Map_Tables!$G$4:$G$37,0)),""),IFERROR(INDEX(Map_Tables!$B$4:$B$18,MATCH(TRIM(F2911),Map_Tables!$A$4:$A$18,0)),"CHECK"))</f>
        <v>Mumbai</v>
      </c>
      <c r="AE2911" s="7" t="str">
        <f aca="false">IF(TRIM(E2911)="","",IFERROR(INDEX(Map_Tables!$H$4:$H$37,MATCH(TRIM(E2911),Map_Tables!$G$4:$G$37,0)),"CHECK"))</f>
        <v>Curry Leaf Kitchen</v>
      </c>
      <c r="AF2911" s="7" t="str">
        <f aca="false">IF(TRIM(K2911)="","Unknown",IFERROR(INDEX(Map_Tables!$E$4:$E$15,MATCH(TRIM(K2911),Map_Tables!$D$4:$D$15,0)),"CHECK"))</f>
        <v>Cash on Delivery</v>
      </c>
      <c r="AG2911" s="7" t="str">
        <f aca="false">IF(LEFT(LOWER(TRIM(L2911)),6)="cancel","Cancelled","Delivered")</f>
        <v>Delivered</v>
      </c>
      <c r="AH2911" s="10" t="n">
        <f aca="false">IF(ISNUMBER(SEARCH("/",B2911)),DATE(VALUE(RIGHT(B2911,4)),VALUE(MID(B2911,4,2)),VALUE(LEFT(B2911,2))),IF(MID(B2911,5,1)="-",DATE(VALUE(LEFT(B2911,4)),VALUE(MID(B2911,6,2)),VALUE(RIGHT(B2911,2))),DATE(VALUE(RIGHT(B2911,4)),MATCH(MID(B2911,4,3),{"Jan","Feb","Mar","Apr","May","Jun","Jul","Aug","Sep","Oct","Nov","Dec"},0),VALUE(LEFT(B2911,2)))))</f>
        <v>45782</v>
      </c>
    </row>
    <row r="2912" customFormat="false" ht="15" hidden="false" customHeight="false" outlineLevel="0" collapsed="false">
      <c r="A2912" s="7" t="s">
        <v>5992</v>
      </c>
      <c r="B2912" s="7" t="s">
        <v>1376</v>
      </c>
      <c r="C2912" s="7" t="s">
        <v>651</v>
      </c>
      <c r="D2912" s="7" t="s">
        <v>2220</v>
      </c>
      <c r="E2912" s="7" t="s">
        <v>134</v>
      </c>
      <c r="F2912" s="7" t="s">
        <v>110</v>
      </c>
      <c r="G2912" s="7" t="s">
        <v>117</v>
      </c>
      <c r="H2912" s="7" t="n">
        <v>3</v>
      </c>
      <c r="I2912" s="7" t="n">
        <v>110</v>
      </c>
      <c r="J2912" s="7" t="n">
        <v>0</v>
      </c>
      <c r="K2912" s="7" t="s">
        <v>103</v>
      </c>
      <c r="L2912" s="7" t="s">
        <v>194</v>
      </c>
      <c r="M2912" s="7" t="n">
        <v>36</v>
      </c>
      <c r="N2912" s="7" t="n">
        <v>4</v>
      </c>
      <c r="O2912" s="7" t="str">
        <f aca="false">A2912&amp;"|"&amp;B2912&amp;"|"&amp;C2912&amp;"|"&amp;D2912&amp;"|"&amp;E2912&amp;"|"&amp;F2912&amp;"|"&amp;G2912&amp;"|"&amp;H2912&amp;"|"&amp;I2912&amp;"|"&amp;J2912&amp;"|"&amp;K2912&amp;"|"&amp;L2912&amp;"|"&amp;M2912&amp;"|"&amp;N2912</f>
        <v>ORD11001|2025-05-07|12:53|C0878|Chaat Corner|Delhi|Street Food|3|110|0|Debit Card|Delivered|36|4</v>
      </c>
      <c r="P2912" s="7" t="str">
        <f aca="false">IF(COUNTIF($O$2:O2912,O2912)&gt;1,"DUP","OK")</f>
        <v>OK</v>
      </c>
      <c r="Q2912" s="7" t="n">
        <f aca="false">COUNTBLANK(A2912:N2912)</f>
        <v>0</v>
      </c>
      <c r="R2912" s="7" t="n">
        <f aca="false">IF(A2912="",0,COUNTIFS($A$2:$A$3058,A2912,$P$2:$P$3058,"OK"))</f>
        <v>1</v>
      </c>
      <c r="S2912" s="7" t="str">
        <f aca="false">IF(OR(A2912="",P2912="DUP",R2912&lt;2),"",IF(Q2912=_xlfn.MINIFS($Q$2:$Q$3058,$A$2:$A$3058,A2912,$P$2:$P$3058,"OK"),"KEEP","DROP"))</f>
        <v/>
      </c>
      <c r="T2912" s="9" t="n">
        <f aca="false">IF(A2912="",1,0)</f>
        <v>0</v>
      </c>
      <c r="U2912" s="9" t="n">
        <f aca="false">IF(D2912="",1,0)</f>
        <v>0</v>
      </c>
      <c r="V2912" s="9" t="n">
        <f aca="false">IF(E2912="",1,0)</f>
        <v>0</v>
      </c>
      <c r="W2912" s="9" t="n">
        <f aca="false">IF(OR(H2912&lt;1,H2912&gt;10),1,0)</f>
        <v>0</v>
      </c>
      <c r="X2912" s="9" t="n">
        <f aca="false">IF(OR(I2912&lt;=0,I2912&gt;1500),1,0)</f>
        <v>0</v>
      </c>
      <c r="Y2912" s="9" t="n">
        <f aca="false">IF(J2912&gt;H2912*I2912,1,0)</f>
        <v>0</v>
      </c>
      <c r="Z2912" s="9" t="n">
        <f aca="false">IF(AND(N2912&lt;&gt;"",OR(N2912&lt;1,N2912&gt;5)),1,0)</f>
        <v>0</v>
      </c>
      <c r="AA2912" s="9" t="n">
        <f aca="false">IF(AND(M2912&lt;&gt;"",OR(M2912&lt;5,M2912&gt;180)),1,0)</f>
        <v>0</v>
      </c>
      <c r="AB2912" s="7" t="str">
        <f aca="false">IF(P2912="DUP","Exact duplicate row",IF(T2912=1,"Missing Order ID",IF(S2912="DROP","Duplicate Order ID (less complete row)",IF(U2912=1,"Missing Customer ID",IF(V2912=1,"Missing Restaurant name",IF(W2912=1,"Invalid/outlier quantity",IF(X2912=1,"Invalid/outlier unit price",IF(Y2912=1,"Discount greater than order value",""))))))))</f>
        <v/>
      </c>
      <c r="AC2912" s="7" t="str">
        <f aca="false">IF(AB2912="","KEEP","DROP")</f>
        <v>KEEP</v>
      </c>
      <c r="AD2912" s="7" t="str">
        <f aca="false">IF(TRIM(F2912)="",IFERROR(INDEX(Map_Tables!$I$4:$I$37,MATCH(TRIM(E2912),Map_Tables!$G$4:$G$37,0)),""),IFERROR(INDEX(Map_Tables!$B$4:$B$18,MATCH(TRIM(F2912),Map_Tables!$A$4:$A$18,0)),"CHECK"))</f>
        <v>Delhi</v>
      </c>
      <c r="AE2912" s="7" t="str">
        <f aca="false">IF(TRIM(E2912)="","",IFERROR(INDEX(Map_Tables!$H$4:$H$37,MATCH(TRIM(E2912),Map_Tables!$G$4:$G$37,0)),"CHECK"))</f>
        <v>Chaat Corner</v>
      </c>
      <c r="AF2912" s="7" t="str">
        <f aca="false">IF(TRIM(K2912)="","Unknown",IFERROR(INDEX(Map_Tables!$E$4:$E$15,MATCH(TRIM(K2912),Map_Tables!$D$4:$D$15,0)),"CHECK"))</f>
        <v>Debit Card</v>
      </c>
      <c r="AG2912" s="7" t="str">
        <f aca="false">IF(LEFT(LOWER(TRIM(L2912)),6)="cancel","Cancelled","Delivered")</f>
        <v>Delivered</v>
      </c>
      <c r="AH2912" s="10" t="n">
        <f aca="false">IF(ISNUMBER(SEARCH("/",B2912)),DATE(VALUE(RIGHT(B2912,4)),VALUE(MID(B2912,4,2)),VALUE(LEFT(B2912,2))),IF(MID(B2912,5,1)="-",DATE(VALUE(LEFT(B2912,4)),VALUE(MID(B2912,6,2)),VALUE(RIGHT(B2912,2))),DATE(VALUE(RIGHT(B2912,4)),MATCH(MID(B2912,4,3),{"Jan","Feb","Mar","Apr","May","Jun","Jul","Aug","Sep","Oct","Nov","Dec"},0),VALUE(LEFT(B2912,2)))))</f>
        <v>45784</v>
      </c>
    </row>
    <row r="2913" customFormat="false" ht="15" hidden="false" customHeight="false" outlineLevel="0" collapsed="false">
      <c r="A2913" s="7" t="s">
        <v>5993</v>
      </c>
      <c r="B2913" s="7" t="s">
        <v>1437</v>
      </c>
      <c r="C2913" s="7" t="s">
        <v>5809</v>
      </c>
      <c r="D2913" s="7" t="s">
        <v>552</v>
      </c>
      <c r="E2913" s="7" t="s">
        <v>122</v>
      </c>
      <c r="F2913" s="7" t="s">
        <v>101</v>
      </c>
      <c r="G2913" s="7" t="s">
        <v>5994</v>
      </c>
      <c r="H2913" s="7" t="n">
        <v>2</v>
      </c>
      <c r="I2913" s="7" t="n">
        <v>270</v>
      </c>
      <c r="J2913" s="7" t="n">
        <v>0</v>
      </c>
      <c r="K2913" s="7" t="s">
        <v>93</v>
      </c>
      <c r="L2913" s="7" t="s">
        <v>194</v>
      </c>
      <c r="M2913" s="7" t="n">
        <v>48</v>
      </c>
      <c r="N2913" s="7" t="n">
        <v>2</v>
      </c>
      <c r="O2913" s="7" t="str">
        <f aca="false">A2913&amp;"|"&amp;B2913&amp;"|"&amp;C2913&amp;"|"&amp;D2913&amp;"|"&amp;E2913&amp;"|"&amp;F2913&amp;"|"&amp;G2913&amp;"|"&amp;H2913&amp;"|"&amp;I2913&amp;"|"&amp;J2913&amp;"|"&amp;K2913&amp;"|"&amp;L2913&amp;"|"&amp;M2913&amp;"|"&amp;N2913</f>
        <v>ORD11642|2025-08-02|17:06|C0631|Mumbai Pizza Co|Mumbai|PIZZA|2|270|0|Credit Card|Delivered|48|2</v>
      </c>
      <c r="P2913" s="7" t="str">
        <f aca="false">IF(COUNTIF($O$2:O2913,O2913)&gt;1,"DUP","OK")</f>
        <v>OK</v>
      </c>
      <c r="Q2913" s="7" t="n">
        <f aca="false">COUNTBLANK(A2913:N2913)</f>
        <v>0</v>
      </c>
      <c r="R2913" s="7" t="n">
        <f aca="false">IF(A2913="",0,COUNTIFS($A$2:$A$3058,A2913,$P$2:$P$3058,"OK"))</f>
        <v>1</v>
      </c>
      <c r="S2913" s="7" t="str">
        <f aca="false">IF(OR(A2913="",P2913="DUP",R2913&lt;2),"",IF(Q2913=_xlfn.MINIFS($Q$2:$Q$3058,$A$2:$A$3058,A2913,$P$2:$P$3058,"OK"),"KEEP","DROP"))</f>
        <v/>
      </c>
      <c r="T2913" s="9" t="n">
        <f aca="false">IF(A2913="",1,0)</f>
        <v>0</v>
      </c>
      <c r="U2913" s="9" t="n">
        <f aca="false">IF(D2913="",1,0)</f>
        <v>0</v>
      </c>
      <c r="V2913" s="9" t="n">
        <f aca="false">IF(E2913="",1,0)</f>
        <v>0</v>
      </c>
      <c r="W2913" s="9" t="n">
        <f aca="false">IF(OR(H2913&lt;1,H2913&gt;10),1,0)</f>
        <v>0</v>
      </c>
      <c r="X2913" s="9" t="n">
        <f aca="false">IF(OR(I2913&lt;=0,I2913&gt;1500),1,0)</f>
        <v>0</v>
      </c>
      <c r="Y2913" s="9" t="n">
        <f aca="false">IF(J2913&gt;H2913*I2913,1,0)</f>
        <v>0</v>
      </c>
      <c r="Z2913" s="9" t="n">
        <f aca="false">IF(AND(N2913&lt;&gt;"",OR(N2913&lt;1,N2913&gt;5)),1,0)</f>
        <v>0</v>
      </c>
      <c r="AA2913" s="9" t="n">
        <f aca="false">IF(AND(M2913&lt;&gt;"",OR(M2913&lt;5,M2913&gt;180)),1,0)</f>
        <v>0</v>
      </c>
      <c r="AB2913" s="7" t="str">
        <f aca="false">IF(P2913="DUP","Exact duplicate row",IF(T2913=1,"Missing Order ID",IF(S2913="DROP","Duplicate Order ID (less complete row)",IF(U2913=1,"Missing Customer ID",IF(V2913=1,"Missing Restaurant name",IF(W2913=1,"Invalid/outlier quantity",IF(X2913=1,"Invalid/outlier unit price",IF(Y2913=1,"Discount greater than order value",""))))))))</f>
        <v/>
      </c>
      <c r="AC2913" s="7" t="str">
        <f aca="false">IF(AB2913="","KEEP","DROP")</f>
        <v>KEEP</v>
      </c>
      <c r="AD2913" s="7" t="str">
        <f aca="false">IF(TRIM(F2913)="",IFERROR(INDEX(Map_Tables!$I$4:$I$37,MATCH(TRIM(E2913),Map_Tables!$G$4:$G$37,0)),""),IFERROR(INDEX(Map_Tables!$B$4:$B$18,MATCH(TRIM(F2913),Map_Tables!$A$4:$A$18,0)),"CHECK"))</f>
        <v>Mumbai</v>
      </c>
      <c r="AE2913" s="7" t="str">
        <f aca="false">IF(TRIM(E2913)="","",IFERROR(INDEX(Map_Tables!$H$4:$H$37,MATCH(TRIM(E2913),Map_Tables!$G$4:$G$37,0)),"CHECK"))</f>
        <v>Mumbai Pizza Co</v>
      </c>
      <c r="AF2913" s="7" t="str">
        <f aca="false">IF(TRIM(K2913)="","Unknown",IFERROR(INDEX(Map_Tables!$E$4:$E$15,MATCH(TRIM(K2913),Map_Tables!$D$4:$D$15,0)),"CHECK"))</f>
        <v>Credit Card</v>
      </c>
      <c r="AG2913" s="7" t="str">
        <f aca="false">IF(LEFT(LOWER(TRIM(L2913)),6)="cancel","Cancelled","Delivered")</f>
        <v>Delivered</v>
      </c>
      <c r="AH2913" s="10" t="n">
        <f aca="false">IF(ISNUMBER(SEARCH("/",B2913)),DATE(VALUE(RIGHT(B2913,4)),VALUE(MID(B2913,4,2)),VALUE(LEFT(B2913,2))),IF(MID(B2913,5,1)="-",DATE(VALUE(LEFT(B2913,4)),VALUE(MID(B2913,6,2)),VALUE(RIGHT(B2913,2))),DATE(VALUE(RIGHT(B2913,4)),MATCH(MID(B2913,4,3),{"Jan","Feb","Mar","Apr","May","Jun","Jul","Aug","Sep","Oct","Nov","Dec"},0),VALUE(LEFT(B2913,2)))))</f>
        <v>45871</v>
      </c>
    </row>
    <row r="2914" customFormat="false" ht="15" hidden="false" customHeight="false" outlineLevel="0" collapsed="false">
      <c r="A2914" s="7" t="s">
        <v>5995</v>
      </c>
      <c r="B2914" s="7" t="s">
        <v>500</v>
      </c>
      <c r="C2914" s="7" t="s">
        <v>5543</v>
      </c>
      <c r="D2914" s="7" t="s">
        <v>1661</v>
      </c>
      <c r="E2914" s="7" t="s">
        <v>126</v>
      </c>
      <c r="F2914" s="7" t="s">
        <v>101</v>
      </c>
      <c r="G2914" s="7" t="s">
        <v>105</v>
      </c>
      <c r="H2914" s="7" t="n">
        <v>3</v>
      </c>
      <c r="I2914" s="7" t="n">
        <v>225</v>
      </c>
      <c r="J2914" s="7" t="n">
        <v>20</v>
      </c>
      <c r="K2914" s="7" t="s">
        <v>88</v>
      </c>
      <c r="L2914" s="7" t="s">
        <v>194</v>
      </c>
      <c r="M2914" s="7" t="n">
        <v>56</v>
      </c>
      <c r="N2914" s="7" t="n">
        <v>3</v>
      </c>
      <c r="O2914" s="7" t="str">
        <f aca="false">A2914&amp;"|"&amp;B2914&amp;"|"&amp;C2914&amp;"|"&amp;D2914&amp;"|"&amp;E2914&amp;"|"&amp;F2914&amp;"|"&amp;G2914&amp;"|"&amp;H2914&amp;"|"&amp;I2914&amp;"|"&amp;J2914&amp;"|"&amp;K2914&amp;"|"&amp;L2914&amp;"|"&amp;M2914&amp;"|"&amp;N2914</f>
        <v>ORD11357|2025-06-24|13:52|C0848|Dragon Express|Mumbai|Chinese|3|225|20|UPI|Delivered|56|3</v>
      </c>
      <c r="P2914" s="7" t="str">
        <f aca="false">IF(COUNTIF($O$2:O2914,O2914)&gt;1,"DUP","OK")</f>
        <v>OK</v>
      </c>
      <c r="Q2914" s="7" t="n">
        <f aca="false">COUNTBLANK(A2914:N2914)</f>
        <v>0</v>
      </c>
      <c r="R2914" s="7" t="n">
        <f aca="false">IF(A2914="",0,COUNTIFS($A$2:$A$3058,A2914,$P$2:$P$3058,"OK"))</f>
        <v>1</v>
      </c>
      <c r="S2914" s="7" t="str">
        <f aca="false">IF(OR(A2914="",P2914="DUP",R2914&lt;2),"",IF(Q2914=_xlfn.MINIFS($Q$2:$Q$3058,$A$2:$A$3058,A2914,$P$2:$P$3058,"OK"),"KEEP","DROP"))</f>
        <v/>
      </c>
      <c r="T2914" s="9" t="n">
        <f aca="false">IF(A2914="",1,0)</f>
        <v>0</v>
      </c>
      <c r="U2914" s="9" t="n">
        <f aca="false">IF(D2914="",1,0)</f>
        <v>0</v>
      </c>
      <c r="V2914" s="9" t="n">
        <f aca="false">IF(E2914="",1,0)</f>
        <v>0</v>
      </c>
      <c r="W2914" s="9" t="n">
        <f aca="false">IF(OR(H2914&lt;1,H2914&gt;10),1,0)</f>
        <v>0</v>
      </c>
      <c r="X2914" s="9" t="n">
        <f aca="false">IF(OR(I2914&lt;=0,I2914&gt;1500),1,0)</f>
        <v>0</v>
      </c>
      <c r="Y2914" s="9" t="n">
        <f aca="false">IF(J2914&gt;H2914*I2914,1,0)</f>
        <v>0</v>
      </c>
      <c r="Z2914" s="9" t="n">
        <f aca="false">IF(AND(N2914&lt;&gt;"",OR(N2914&lt;1,N2914&gt;5)),1,0)</f>
        <v>0</v>
      </c>
      <c r="AA2914" s="9" t="n">
        <f aca="false">IF(AND(M2914&lt;&gt;"",OR(M2914&lt;5,M2914&gt;180)),1,0)</f>
        <v>0</v>
      </c>
      <c r="AB2914" s="7" t="str">
        <f aca="false">IF(P2914="DUP","Exact duplicate row",IF(T2914=1,"Missing Order ID",IF(S2914="DROP","Duplicate Order ID (less complete row)",IF(U2914=1,"Missing Customer ID",IF(V2914=1,"Missing Restaurant name",IF(W2914=1,"Invalid/outlier quantity",IF(X2914=1,"Invalid/outlier unit price",IF(Y2914=1,"Discount greater than order value",""))))))))</f>
        <v/>
      </c>
      <c r="AC2914" s="7" t="str">
        <f aca="false">IF(AB2914="","KEEP","DROP")</f>
        <v>KEEP</v>
      </c>
      <c r="AD2914" s="7" t="str">
        <f aca="false">IF(TRIM(F2914)="",IFERROR(INDEX(Map_Tables!$I$4:$I$37,MATCH(TRIM(E2914),Map_Tables!$G$4:$G$37,0)),""),IFERROR(INDEX(Map_Tables!$B$4:$B$18,MATCH(TRIM(F2914),Map_Tables!$A$4:$A$18,0)),"CHECK"))</f>
        <v>Mumbai</v>
      </c>
      <c r="AE2914" s="7" t="str">
        <f aca="false">IF(TRIM(E2914)="","",IFERROR(INDEX(Map_Tables!$H$4:$H$37,MATCH(TRIM(E2914),Map_Tables!$G$4:$G$37,0)),"CHECK"))</f>
        <v>Dragon Express</v>
      </c>
      <c r="AF2914" s="7" t="str">
        <f aca="false">IF(TRIM(K2914)="","Unknown",IFERROR(INDEX(Map_Tables!$E$4:$E$15,MATCH(TRIM(K2914),Map_Tables!$D$4:$D$15,0)),"CHECK"))</f>
        <v>UPI</v>
      </c>
      <c r="AG2914" s="7" t="str">
        <f aca="false">IF(LEFT(LOWER(TRIM(L2914)),6)="cancel","Cancelled","Delivered")</f>
        <v>Delivered</v>
      </c>
      <c r="AH2914" s="10" t="n">
        <f aca="false">IF(ISNUMBER(SEARCH("/",B2914)),DATE(VALUE(RIGHT(B2914,4)),VALUE(MID(B2914,4,2)),VALUE(LEFT(B2914,2))),IF(MID(B2914,5,1)="-",DATE(VALUE(LEFT(B2914,4)),VALUE(MID(B2914,6,2)),VALUE(RIGHT(B2914,2))),DATE(VALUE(RIGHT(B2914,4)),MATCH(MID(B2914,4,3),{"Jan","Feb","Mar","Apr","May","Jun","Jul","Aug","Sep","Oct","Nov","Dec"},0),VALUE(LEFT(B2914,2)))))</f>
        <v>45832</v>
      </c>
    </row>
    <row r="2915" customFormat="false" ht="15" hidden="false" customHeight="false" outlineLevel="0" collapsed="false">
      <c r="A2915" s="7" t="s">
        <v>5996</v>
      </c>
      <c r="B2915" s="7" t="s">
        <v>518</v>
      </c>
      <c r="C2915" s="7" t="s">
        <v>4591</v>
      </c>
      <c r="D2915" s="7" t="s">
        <v>2177</v>
      </c>
      <c r="E2915" s="7" t="s">
        <v>94</v>
      </c>
      <c r="F2915" s="7" t="s">
        <v>86</v>
      </c>
      <c r="G2915" s="7" t="s">
        <v>95</v>
      </c>
      <c r="H2915" s="7" t="n">
        <v>2</v>
      </c>
      <c r="I2915" s="7" t="n">
        <v>130</v>
      </c>
      <c r="J2915" s="7" t="n">
        <v>50</v>
      </c>
      <c r="K2915" s="7" t="s">
        <v>88</v>
      </c>
      <c r="L2915" s="7" t="s">
        <v>194</v>
      </c>
      <c r="M2915" s="7" t="n">
        <v>28</v>
      </c>
      <c r="N2915" s="7" t="n">
        <v>4</v>
      </c>
      <c r="O2915" s="7" t="str">
        <f aca="false">A2915&amp;"|"&amp;B2915&amp;"|"&amp;C2915&amp;"|"&amp;D2915&amp;"|"&amp;E2915&amp;"|"&amp;F2915&amp;"|"&amp;G2915&amp;"|"&amp;H2915&amp;"|"&amp;I2915&amp;"|"&amp;J2915&amp;"|"&amp;K2915&amp;"|"&amp;L2915&amp;"|"&amp;M2915&amp;"|"&amp;N2915</f>
        <v>ORD11463|2025-07-09|21:50|C0587|Dosa Darbar|Bengaluru|South Indian|2|130|50|UPI|Delivered|28|4</v>
      </c>
      <c r="P2915" s="7" t="str">
        <f aca="false">IF(COUNTIF($O$2:O2915,O2915)&gt;1,"DUP","OK")</f>
        <v>OK</v>
      </c>
      <c r="Q2915" s="7" t="n">
        <f aca="false">COUNTBLANK(A2915:N2915)</f>
        <v>0</v>
      </c>
      <c r="R2915" s="7" t="n">
        <f aca="false">IF(A2915="",0,COUNTIFS($A$2:$A$3058,A2915,$P$2:$P$3058,"OK"))</f>
        <v>1</v>
      </c>
      <c r="S2915" s="7" t="str">
        <f aca="false">IF(OR(A2915="",P2915="DUP",R2915&lt;2),"",IF(Q2915=_xlfn.MINIFS($Q$2:$Q$3058,$A$2:$A$3058,A2915,$P$2:$P$3058,"OK"),"KEEP","DROP"))</f>
        <v/>
      </c>
      <c r="T2915" s="9" t="n">
        <f aca="false">IF(A2915="",1,0)</f>
        <v>0</v>
      </c>
      <c r="U2915" s="9" t="n">
        <f aca="false">IF(D2915="",1,0)</f>
        <v>0</v>
      </c>
      <c r="V2915" s="9" t="n">
        <f aca="false">IF(E2915="",1,0)</f>
        <v>0</v>
      </c>
      <c r="W2915" s="9" t="n">
        <f aca="false">IF(OR(H2915&lt;1,H2915&gt;10),1,0)</f>
        <v>0</v>
      </c>
      <c r="X2915" s="9" t="n">
        <f aca="false">IF(OR(I2915&lt;=0,I2915&gt;1500),1,0)</f>
        <v>0</v>
      </c>
      <c r="Y2915" s="9" t="n">
        <f aca="false">IF(J2915&gt;H2915*I2915,1,0)</f>
        <v>0</v>
      </c>
      <c r="Z2915" s="9" t="n">
        <f aca="false">IF(AND(N2915&lt;&gt;"",OR(N2915&lt;1,N2915&gt;5)),1,0)</f>
        <v>0</v>
      </c>
      <c r="AA2915" s="9" t="n">
        <f aca="false">IF(AND(M2915&lt;&gt;"",OR(M2915&lt;5,M2915&gt;180)),1,0)</f>
        <v>0</v>
      </c>
      <c r="AB2915" s="7" t="str">
        <f aca="false">IF(P2915="DUP","Exact duplicate row",IF(T2915=1,"Missing Order ID",IF(S2915="DROP","Duplicate Order ID (less complete row)",IF(U2915=1,"Missing Customer ID",IF(V2915=1,"Missing Restaurant name",IF(W2915=1,"Invalid/outlier quantity",IF(X2915=1,"Invalid/outlier unit price",IF(Y2915=1,"Discount greater than order value",""))))))))</f>
        <v/>
      </c>
      <c r="AC2915" s="7" t="str">
        <f aca="false">IF(AB2915="","KEEP","DROP")</f>
        <v>KEEP</v>
      </c>
      <c r="AD2915" s="7" t="str">
        <f aca="false">IF(TRIM(F2915)="",IFERROR(INDEX(Map_Tables!$I$4:$I$37,MATCH(TRIM(E2915),Map_Tables!$G$4:$G$37,0)),""),IFERROR(INDEX(Map_Tables!$B$4:$B$18,MATCH(TRIM(F2915),Map_Tables!$A$4:$A$18,0)),"CHECK"))</f>
        <v>Bengaluru</v>
      </c>
      <c r="AE2915" s="7" t="str">
        <f aca="false">IF(TRIM(E2915)="","",IFERROR(INDEX(Map_Tables!$H$4:$H$37,MATCH(TRIM(E2915),Map_Tables!$G$4:$G$37,0)),"CHECK"))</f>
        <v>Dosa Darbar</v>
      </c>
      <c r="AF2915" s="7" t="str">
        <f aca="false">IF(TRIM(K2915)="","Unknown",IFERROR(INDEX(Map_Tables!$E$4:$E$15,MATCH(TRIM(K2915),Map_Tables!$D$4:$D$15,0)),"CHECK"))</f>
        <v>UPI</v>
      </c>
      <c r="AG2915" s="7" t="str">
        <f aca="false">IF(LEFT(LOWER(TRIM(L2915)),6)="cancel","Cancelled","Delivered")</f>
        <v>Delivered</v>
      </c>
      <c r="AH2915" s="10" t="n">
        <f aca="false">IF(ISNUMBER(SEARCH("/",B2915)),DATE(VALUE(RIGHT(B2915,4)),VALUE(MID(B2915,4,2)),VALUE(LEFT(B2915,2))),IF(MID(B2915,5,1)="-",DATE(VALUE(LEFT(B2915,4)),VALUE(MID(B2915,6,2)),VALUE(RIGHT(B2915,2))),DATE(VALUE(RIGHT(B2915,4)),MATCH(MID(B2915,4,3),{"Jan","Feb","Mar","Apr","May","Jun","Jul","Aug","Sep","Oct","Nov","Dec"},0),VALUE(LEFT(B2915,2)))))</f>
        <v>45847</v>
      </c>
    </row>
    <row r="2916" customFormat="false" ht="15" hidden="false" customHeight="false" outlineLevel="0" collapsed="false">
      <c r="A2916" s="7" t="s">
        <v>5997</v>
      </c>
      <c r="B2916" s="7" t="s">
        <v>2019</v>
      </c>
      <c r="C2916" s="7" t="s">
        <v>759</v>
      </c>
      <c r="D2916" s="7" t="s">
        <v>5998</v>
      </c>
      <c r="E2916" s="7" t="s">
        <v>167</v>
      </c>
      <c r="F2916" s="7" t="s">
        <v>146</v>
      </c>
      <c r="G2916" s="7" t="s">
        <v>156</v>
      </c>
      <c r="H2916" s="7" t="n">
        <v>2</v>
      </c>
      <c r="I2916" s="7" t="n">
        <v>270</v>
      </c>
      <c r="J2916" s="7" t="n">
        <v>0</v>
      </c>
      <c r="K2916" s="7" t="s">
        <v>88</v>
      </c>
      <c r="L2916" s="7" t="s">
        <v>194</v>
      </c>
      <c r="M2916" s="7" t="n">
        <v>33</v>
      </c>
      <c r="N2916" s="7"/>
      <c r="O2916" s="7" t="str">
        <f aca="false">A2916&amp;"|"&amp;B2916&amp;"|"&amp;C2916&amp;"|"&amp;D2916&amp;"|"&amp;E2916&amp;"|"&amp;F2916&amp;"|"&amp;G2916&amp;"|"&amp;H2916&amp;"|"&amp;I2916&amp;"|"&amp;J2916&amp;"|"&amp;K2916&amp;"|"&amp;L2916&amp;"|"&amp;M2916&amp;"|"&amp;N2916</f>
        <v>ORD10050|08/01/2025|11:50|C0244|Fit Fuel Kitchen|Ahmedabad|Healthy Food|2|270|0|UPI|Delivered|33|</v>
      </c>
      <c r="P2916" s="7" t="str">
        <f aca="false">IF(COUNTIF($O$2:O2916,O2916)&gt;1,"DUP","OK")</f>
        <v>OK</v>
      </c>
      <c r="Q2916" s="7" t="n">
        <f aca="false">COUNTBLANK(A2916:N2916)</f>
        <v>1</v>
      </c>
      <c r="R2916" s="7" t="n">
        <f aca="false">IF(A2916="",0,COUNTIFS($A$2:$A$3058,A2916,$P$2:$P$3058,"OK"))</f>
        <v>1</v>
      </c>
      <c r="S2916" s="7" t="str">
        <f aca="false">IF(OR(A2916="",P2916="DUP",R2916&lt;2),"",IF(Q2916=_xlfn.MINIFS($Q$2:$Q$3058,$A$2:$A$3058,A2916,$P$2:$P$3058,"OK"),"KEEP","DROP"))</f>
        <v/>
      </c>
      <c r="T2916" s="9" t="n">
        <f aca="false">IF(A2916="",1,0)</f>
        <v>0</v>
      </c>
      <c r="U2916" s="9" t="n">
        <f aca="false">IF(D2916="",1,0)</f>
        <v>0</v>
      </c>
      <c r="V2916" s="9" t="n">
        <f aca="false">IF(E2916="",1,0)</f>
        <v>0</v>
      </c>
      <c r="W2916" s="9" t="n">
        <f aca="false">IF(OR(H2916&lt;1,H2916&gt;10),1,0)</f>
        <v>0</v>
      </c>
      <c r="X2916" s="9" t="n">
        <f aca="false">IF(OR(I2916&lt;=0,I2916&gt;1500),1,0)</f>
        <v>0</v>
      </c>
      <c r="Y2916" s="9" t="n">
        <f aca="false">IF(J2916&gt;H2916*I2916,1,0)</f>
        <v>0</v>
      </c>
      <c r="Z2916" s="9" t="n">
        <f aca="false">IF(AND(N2916&lt;&gt;"",OR(N2916&lt;1,N2916&gt;5)),1,0)</f>
        <v>0</v>
      </c>
      <c r="AA2916" s="9" t="n">
        <f aca="false">IF(AND(M2916&lt;&gt;"",OR(M2916&lt;5,M2916&gt;180)),1,0)</f>
        <v>0</v>
      </c>
      <c r="AB2916" s="7" t="str">
        <f aca="false">IF(P2916="DUP","Exact duplicate row",IF(T2916=1,"Missing Order ID",IF(S2916="DROP","Duplicate Order ID (less complete row)",IF(U2916=1,"Missing Customer ID",IF(V2916=1,"Missing Restaurant name",IF(W2916=1,"Invalid/outlier quantity",IF(X2916=1,"Invalid/outlier unit price",IF(Y2916=1,"Discount greater than order value",""))))))))</f>
        <v/>
      </c>
      <c r="AC2916" s="7" t="str">
        <f aca="false">IF(AB2916="","KEEP","DROP")</f>
        <v>KEEP</v>
      </c>
      <c r="AD2916" s="7" t="str">
        <f aca="false">IF(TRIM(F2916)="",IFERROR(INDEX(Map_Tables!$I$4:$I$37,MATCH(TRIM(E2916),Map_Tables!$G$4:$G$37,0)),""),IFERROR(INDEX(Map_Tables!$B$4:$B$18,MATCH(TRIM(F2916),Map_Tables!$A$4:$A$18,0)),"CHECK"))</f>
        <v>Ahmedabad</v>
      </c>
      <c r="AE2916" s="7" t="str">
        <f aca="false">IF(TRIM(E2916)="","",IFERROR(INDEX(Map_Tables!$H$4:$H$37,MATCH(TRIM(E2916),Map_Tables!$G$4:$G$37,0)),"CHECK"))</f>
        <v>Fit Fuel Kitchen</v>
      </c>
      <c r="AF2916" s="7" t="str">
        <f aca="false">IF(TRIM(K2916)="","Unknown",IFERROR(INDEX(Map_Tables!$E$4:$E$15,MATCH(TRIM(K2916),Map_Tables!$D$4:$D$15,0)),"CHECK"))</f>
        <v>UPI</v>
      </c>
      <c r="AG2916" s="7" t="str">
        <f aca="false">IF(LEFT(LOWER(TRIM(L2916)),6)="cancel","Cancelled","Delivered")</f>
        <v>Delivered</v>
      </c>
      <c r="AH2916" s="10" t="n">
        <f aca="false">IF(ISNUMBER(SEARCH("/",B2916)),DATE(VALUE(RIGHT(B2916,4)),VALUE(MID(B2916,4,2)),VALUE(LEFT(B2916,2))),IF(MID(B2916,5,1)="-",DATE(VALUE(LEFT(B2916,4)),VALUE(MID(B2916,6,2)),VALUE(RIGHT(B2916,2))),DATE(VALUE(RIGHT(B2916,4)),MATCH(MID(B2916,4,3),{"Jan","Feb","Mar","Apr","May","Jun","Jul","Aug","Sep","Oct","Nov","Dec"},0),VALUE(LEFT(B2916,2)))))</f>
        <v>45665</v>
      </c>
    </row>
    <row r="2917" customFormat="false" ht="15" hidden="false" customHeight="false" outlineLevel="0" collapsed="false">
      <c r="A2917" s="7" t="s">
        <v>5999</v>
      </c>
      <c r="B2917" s="7" t="s">
        <v>1287</v>
      </c>
      <c r="C2917" s="7" t="s">
        <v>1438</v>
      </c>
      <c r="D2917" s="7" t="s">
        <v>3961</v>
      </c>
      <c r="E2917" s="7" t="s">
        <v>94</v>
      </c>
      <c r="F2917" s="7" t="s">
        <v>86</v>
      </c>
      <c r="G2917" s="7" t="s">
        <v>95</v>
      </c>
      <c r="H2917" s="7" t="n">
        <v>3</v>
      </c>
      <c r="I2917" s="7" t="n">
        <v>125</v>
      </c>
      <c r="J2917" s="7" t="n">
        <v>75</v>
      </c>
      <c r="K2917" s="7" t="s">
        <v>93</v>
      </c>
      <c r="L2917" s="7" t="s">
        <v>194</v>
      </c>
      <c r="M2917" s="7" t="n">
        <v>50</v>
      </c>
      <c r="N2917" s="7" t="n">
        <v>4</v>
      </c>
      <c r="O2917" s="7" t="str">
        <f aca="false">A2917&amp;"|"&amp;B2917&amp;"|"&amp;C2917&amp;"|"&amp;D2917&amp;"|"&amp;E2917&amp;"|"&amp;F2917&amp;"|"&amp;G2917&amp;"|"&amp;H2917&amp;"|"&amp;I2917&amp;"|"&amp;J2917&amp;"|"&amp;K2917&amp;"|"&amp;L2917&amp;"|"&amp;M2917&amp;"|"&amp;N2917</f>
        <v>ORD12945|2025-12-26|09:47|C1414|Dosa Darbar|Bengaluru|South Indian|3|125|75|Credit Card|Delivered|50|4</v>
      </c>
      <c r="P2917" s="7" t="str">
        <f aca="false">IF(COUNTIF($O$2:O2917,O2917)&gt;1,"DUP","OK")</f>
        <v>OK</v>
      </c>
      <c r="Q2917" s="7" t="n">
        <f aca="false">COUNTBLANK(A2917:N2917)</f>
        <v>0</v>
      </c>
      <c r="R2917" s="7" t="n">
        <f aca="false">IF(A2917="",0,COUNTIFS($A$2:$A$3058,A2917,$P$2:$P$3058,"OK"))</f>
        <v>1</v>
      </c>
      <c r="S2917" s="7" t="str">
        <f aca="false">IF(OR(A2917="",P2917="DUP",R2917&lt;2),"",IF(Q2917=_xlfn.MINIFS($Q$2:$Q$3058,$A$2:$A$3058,A2917,$P$2:$P$3058,"OK"),"KEEP","DROP"))</f>
        <v/>
      </c>
      <c r="T2917" s="9" t="n">
        <f aca="false">IF(A2917="",1,0)</f>
        <v>0</v>
      </c>
      <c r="U2917" s="9" t="n">
        <f aca="false">IF(D2917="",1,0)</f>
        <v>0</v>
      </c>
      <c r="V2917" s="9" t="n">
        <f aca="false">IF(E2917="",1,0)</f>
        <v>0</v>
      </c>
      <c r="W2917" s="9" t="n">
        <f aca="false">IF(OR(H2917&lt;1,H2917&gt;10),1,0)</f>
        <v>0</v>
      </c>
      <c r="X2917" s="9" t="n">
        <f aca="false">IF(OR(I2917&lt;=0,I2917&gt;1500),1,0)</f>
        <v>0</v>
      </c>
      <c r="Y2917" s="9" t="n">
        <f aca="false">IF(J2917&gt;H2917*I2917,1,0)</f>
        <v>0</v>
      </c>
      <c r="Z2917" s="9" t="n">
        <f aca="false">IF(AND(N2917&lt;&gt;"",OR(N2917&lt;1,N2917&gt;5)),1,0)</f>
        <v>0</v>
      </c>
      <c r="AA2917" s="9" t="n">
        <f aca="false">IF(AND(M2917&lt;&gt;"",OR(M2917&lt;5,M2917&gt;180)),1,0)</f>
        <v>0</v>
      </c>
      <c r="AB2917" s="7" t="str">
        <f aca="false">IF(P2917="DUP","Exact duplicate row",IF(T2917=1,"Missing Order ID",IF(S2917="DROP","Duplicate Order ID (less complete row)",IF(U2917=1,"Missing Customer ID",IF(V2917=1,"Missing Restaurant name",IF(W2917=1,"Invalid/outlier quantity",IF(X2917=1,"Invalid/outlier unit price",IF(Y2917=1,"Discount greater than order value",""))))))))</f>
        <v/>
      </c>
      <c r="AC2917" s="7" t="str">
        <f aca="false">IF(AB2917="","KEEP","DROP")</f>
        <v>KEEP</v>
      </c>
      <c r="AD2917" s="7" t="str">
        <f aca="false">IF(TRIM(F2917)="",IFERROR(INDEX(Map_Tables!$I$4:$I$37,MATCH(TRIM(E2917),Map_Tables!$G$4:$G$37,0)),""),IFERROR(INDEX(Map_Tables!$B$4:$B$18,MATCH(TRIM(F2917),Map_Tables!$A$4:$A$18,0)),"CHECK"))</f>
        <v>Bengaluru</v>
      </c>
      <c r="AE2917" s="7" t="str">
        <f aca="false">IF(TRIM(E2917)="","",IFERROR(INDEX(Map_Tables!$H$4:$H$37,MATCH(TRIM(E2917),Map_Tables!$G$4:$G$37,0)),"CHECK"))</f>
        <v>Dosa Darbar</v>
      </c>
      <c r="AF2917" s="7" t="str">
        <f aca="false">IF(TRIM(K2917)="","Unknown",IFERROR(INDEX(Map_Tables!$E$4:$E$15,MATCH(TRIM(K2917),Map_Tables!$D$4:$D$15,0)),"CHECK"))</f>
        <v>Credit Card</v>
      </c>
      <c r="AG2917" s="7" t="str">
        <f aca="false">IF(LEFT(LOWER(TRIM(L2917)),6)="cancel","Cancelled","Delivered")</f>
        <v>Delivered</v>
      </c>
      <c r="AH2917" s="10" t="n">
        <f aca="false">IF(ISNUMBER(SEARCH("/",B2917)),DATE(VALUE(RIGHT(B2917,4)),VALUE(MID(B2917,4,2)),VALUE(LEFT(B2917,2))),IF(MID(B2917,5,1)="-",DATE(VALUE(LEFT(B2917,4)),VALUE(MID(B2917,6,2)),VALUE(RIGHT(B2917,2))),DATE(VALUE(RIGHT(B2917,4)),MATCH(MID(B2917,4,3),{"Jan","Feb","Mar","Apr","May","Jun","Jul","Aug","Sep","Oct","Nov","Dec"},0),VALUE(LEFT(B2917,2)))))</f>
        <v>46017</v>
      </c>
    </row>
    <row r="2918" customFormat="false" ht="15" hidden="false" customHeight="false" outlineLevel="0" collapsed="false">
      <c r="A2918" s="7" t="s">
        <v>6000</v>
      </c>
      <c r="B2918" s="7" t="s">
        <v>768</v>
      </c>
      <c r="C2918" s="7" t="s">
        <v>5109</v>
      </c>
      <c r="D2918" s="7" t="s">
        <v>6001</v>
      </c>
      <c r="E2918" s="7" t="s">
        <v>122</v>
      </c>
      <c r="F2918" s="7" t="s">
        <v>101</v>
      </c>
      <c r="G2918" s="7" t="s">
        <v>123</v>
      </c>
      <c r="H2918" s="7" t="n">
        <v>4</v>
      </c>
      <c r="I2918" s="7" t="n">
        <v>375</v>
      </c>
      <c r="J2918" s="7" t="n">
        <v>40</v>
      </c>
      <c r="K2918" s="7" t="s">
        <v>112</v>
      </c>
      <c r="L2918" s="7" t="s">
        <v>238</v>
      </c>
      <c r="M2918" s="7"/>
      <c r="N2918" s="7"/>
      <c r="O2918" s="7" t="str">
        <f aca="false">A2918&amp;"|"&amp;B2918&amp;"|"&amp;C2918&amp;"|"&amp;D2918&amp;"|"&amp;E2918&amp;"|"&amp;F2918&amp;"|"&amp;G2918&amp;"|"&amp;H2918&amp;"|"&amp;I2918&amp;"|"&amp;J2918&amp;"|"&amp;K2918&amp;"|"&amp;L2918&amp;"|"&amp;M2918&amp;"|"&amp;N2918</f>
        <v>ORD12578|2025-11-15|22:26|C0855|Mumbai Pizza Co|Mumbai|Pizza|4|375|40|Cash on Delivery|Cancelled||</v>
      </c>
      <c r="P2918" s="7" t="str">
        <f aca="false">IF(COUNTIF($O$2:O2918,O2918)&gt;1,"DUP","OK")</f>
        <v>OK</v>
      </c>
      <c r="Q2918" s="7" t="n">
        <f aca="false">COUNTBLANK(A2918:N2918)</f>
        <v>2</v>
      </c>
      <c r="R2918" s="7" t="n">
        <f aca="false">IF(A2918="",0,COUNTIFS($A$2:$A$3058,A2918,$P$2:$P$3058,"OK"))</f>
        <v>1</v>
      </c>
      <c r="S2918" s="7" t="str">
        <f aca="false">IF(OR(A2918="",P2918="DUP",R2918&lt;2),"",IF(Q2918=_xlfn.MINIFS($Q$2:$Q$3058,$A$2:$A$3058,A2918,$P$2:$P$3058,"OK"),"KEEP","DROP"))</f>
        <v/>
      </c>
      <c r="T2918" s="9" t="n">
        <f aca="false">IF(A2918="",1,0)</f>
        <v>0</v>
      </c>
      <c r="U2918" s="9" t="n">
        <f aca="false">IF(D2918="",1,0)</f>
        <v>0</v>
      </c>
      <c r="V2918" s="9" t="n">
        <f aca="false">IF(E2918="",1,0)</f>
        <v>0</v>
      </c>
      <c r="W2918" s="9" t="n">
        <f aca="false">IF(OR(H2918&lt;1,H2918&gt;10),1,0)</f>
        <v>0</v>
      </c>
      <c r="X2918" s="9" t="n">
        <f aca="false">IF(OR(I2918&lt;=0,I2918&gt;1500),1,0)</f>
        <v>0</v>
      </c>
      <c r="Y2918" s="9" t="n">
        <f aca="false">IF(J2918&gt;H2918*I2918,1,0)</f>
        <v>0</v>
      </c>
      <c r="Z2918" s="9" t="n">
        <f aca="false">IF(AND(N2918&lt;&gt;"",OR(N2918&lt;1,N2918&gt;5)),1,0)</f>
        <v>0</v>
      </c>
      <c r="AA2918" s="9" t="n">
        <f aca="false">IF(AND(M2918&lt;&gt;"",OR(M2918&lt;5,M2918&gt;180)),1,0)</f>
        <v>0</v>
      </c>
      <c r="AB2918" s="7" t="str">
        <f aca="false">IF(P2918="DUP","Exact duplicate row",IF(T2918=1,"Missing Order ID",IF(S2918="DROP","Duplicate Order ID (less complete row)",IF(U2918=1,"Missing Customer ID",IF(V2918=1,"Missing Restaurant name",IF(W2918=1,"Invalid/outlier quantity",IF(X2918=1,"Invalid/outlier unit price",IF(Y2918=1,"Discount greater than order value",""))))))))</f>
        <v/>
      </c>
      <c r="AC2918" s="7" t="str">
        <f aca="false">IF(AB2918="","KEEP","DROP")</f>
        <v>KEEP</v>
      </c>
      <c r="AD2918" s="7" t="str">
        <f aca="false">IF(TRIM(F2918)="",IFERROR(INDEX(Map_Tables!$I$4:$I$37,MATCH(TRIM(E2918),Map_Tables!$G$4:$G$37,0)),""),IFERROR(INDEX(Map_Tables!$B$4:$B$18,MATCH(TRIM(F2918),Map_Tables!$A$4:$A$18,0)),"CHECK"))</f>
        <v>Mumbai</v>
      </c>
      <c r="AE2918" s="7" t="str">
        <f aca="false">IF(TRIM(E2918)="","",IFERROR(INDEX(Map_Tables!$H$4:$H$37,MATCH(TRIM(E2918),Map_Tables!$G$4:$G$37,0)),"CHECK"))</f>
        <v>Mumbai Pizza Co</v>
      </c>
      <c r="AF2918" s="7" t="str">
        <f aca="false">IF(TRIM(K2918)="","Unknown",IFERROR(INDEX(Map_Tables!$E$4:$E$15,MATCH(TRIM(K2918),Map_Tables!$D$4:$D$15,0)),"CHECK"))</f>
        <v>Cash on Delivery</v>
      </c>
      <c r="AG2918" s="7" t="str">
        <f aca="false">IF(LEFT(LOWER(TRIM(L2918)),6)="cancel","Cancelled","Delivered")</f>
        <v>Cancelled</v>
      </c>
      <c r="AH2918" s="10" t="n">
        <f aca="false">IF(ISNUMBER(SEARCH("/",B2918)),DATE(VALUE(RIGHT(B2918,4)),VALUE(MID(B2918,4,2)),VALUE(LEFT(B2918,2))),IF(MID(B2918,5,1)="-",DATE(VALUE(LEFT(B2918,4)),VALUE(MID(B2918,6,2)),VALUE(RIGHT(B2918,2))),DATE(VALUE(RIGHT(B2918,4)),MATCH(MID(B2918,4,3),{"Jan","Feb","Mar","Apr","May","Jun","Jul","Aug","Sep","Oct","Nov","Dec"},0),VALUE(LEFT(B2918,2)))))</f>
        <v>45976</v>
      </c>
    </row>
    <row r="2919" customFormat="false" ht="15" hidden="false" customHeight="false" outlineLevel="0" collapsed="false">
      <c r="A2919" s="7" t="s">
        <v>6002</v>
      </c>
      <c r="B2919" s="7" t="s">
        <v>2840</v>
      </c>
      <c r="C2919" s="7" t="s">
        <v>2408</v>
      </c>
      <c r="D2919" s="7" t="s">
        <v>2811</v>
      </c>
      <c r="E2919" s="7" t="s">
        <v>116</v>
      </c>
      <c r="F2919" s="7" t="s">
        <v>101</v>
      </c>
      <c r="G2919" s="7" t="s">
        <v>117</v>
      </c>
      <c r="H2919" s="7" t="n">
        <v>2</v>
      </c>
      <c r="I2919" s="7" t="n">
        <v>125</v>
      </c>
      <c r="J2919" s="7" t="n">
        <v>40</v>
      </c>
      <c r="K2919" s="7" t="s">
        <v>88</v>
      </c>
      <c r="L2919" s="7" t="s">
        <v>1265</v>
      </c>
      <c r="M2919" s="7" t="n">
        <v>34</v>
      </c>
      <c r="N2919" s="7" t="n">
        <v>3</v>
      </c>
      <c r="O2919" s="7" t="str">
        <f aca="false">A2919&amp;"|"&amp;B2919&amp;"|"&amp;C2919&amp;"|"&amp;D2919&amp;"|"&amp;E2919&amp;"|"&amp;F2919&amp;"|"&amp;G2919&amp;"|"&amp;H2919&amp;"|"&amp;I2919&amp;"|"&amp;J2919&amp;"|"&amp;K2919&amp;"|"&amp;L2919&amp;"|"&amp;M2919&amp;"|"&amp;N2919</f>
        <v>ORD11259|2025-06-09|22:35|C1185|Pav Bhaji Point|Mumbai|Street Food|2|125|40|UPI|delivered|34|3</v>
      </c>
      <c r="P2919" s="7" t="str">
        <f aca="false">IF(COUNTIF($O$2:O2919,O2919)&gt;1,"DUP","OK")</f>
        <v>OK</v>
      </c>
      <c r="Q2919" s="7" t="n">
        <f aca="false">COUNTBLANK(A2919:N2919)</f>
        <v>0</v>
      </c>
      <c r="R2919" s="7" t="n">
        <f aca="false">IF(A2919="",0,COUNTIFS($A$2:$A$3058,A2919,$P$2:$P$3058,"OK"))</f>
        <v>1</v>
      </c>
      <c r="S2919" s="7" t="str">
        <f aca="false">IF(OR(A2919="",P2919="DUP",R2919&lt;2),"",IF(Q2919=_xlfn.MINIFS($Q$2:$Q$3058,$A$2:$A$3058,A2919,$P$2:$P$3058,"OK"),"KEEP","DROP"))</f>
        <v/>
      </c>
      <c r="T2919" s="9" t="n">
        <f aca="false">IF(A2919="",1,0)</f>
        <v>0</v>
      </c>
      <c r="U2919" s="9" t="n">
        <f aca="false">IF(D2919="",1,0)</f>
        <v>0</v>
      </c>
      <c r="V2919" s="9" t="n">
        <f aca="false">IF(E2919="",1,0)</f>
        <v>0</v>
      </c>
      <c r="W2919" s="9" t="n">
        <f aca="false">IF(OR(H2919&lt;1,H2919&gt;10),1,0)</f>
        <v>0</v>
      </c>
      <c r="X2919" s="9" t="n">
        <f aca="false">IF(OR(I2919&lt;=0,I2919&gt;1500),1,0)</f>
        <v>0</v>
      </c>
      <c r="Y2919" s="9" t="n">
        <f aca="false">IF(J2919&gt;H2919*I2919,1,0)</f>
        <v>0</v>
      </c>
      <c r="Z2919" s="9" t="n">
        <f aca="false">IF(AND(N2919&lt;&gt;"",OR(N2919&lt;1,N2919&gt;5)),1,0)</f>
        <v>0</v>
      </c>
      <c r="AA2919" s="9" t="n">
        <f aca="false">IF(AND(M2919&lt;&gt;"",OR(M2919&lt;5,M2919&gt;180)),1,0)</f>
        <v>0</v>
      </c>
      <c r="AB2919" s="7" t="str">
        <f aca="false">IF(P2919="DUP","Exact duplicate row",IF(T2919=1,"Missing Order ID",IF(S2919="DROP","Duplicate Order ID (less complete row)",IF(U2919=1,"Missing Customer ID",IF(V2919=1,"Missing Restaurant name",IF(W2919=1,"Invalid/outlier quantity",IF(X2919=1,"Invalid/outlier unit price",IF(Y2919=1,"Discount greater than order value",""))))))))</f>
        <v/>
      </c>
      <c r="AC2919" s="7" t="str">
        <f aca="false">IF(AB2919="","KEEP","DROP")</f>
        <v>KEEP</v>
      </c>
      <c r="AD2919" s="7" t="str">
        <f aca="false">IF(TRIM(F2919)="",IFERROR(INDEX(Map_Tables!$I$4:$I$37,MATCH(TRIM(E2919),Map_Tables!$G$4:$G$37,0)),""),IFERROR(INDEX(Map_Tables!$B$4:$B$18,MATCH(TRIM(F2919),Map_Tables!$A$4:$A$18,0)),"CHECK"))</f>
        <v>Mumbai</v>
      </c>
      <c r="AE2919" s="7" t="str">
        <f aca="false">IF(TRIM(E2919)="","",IFERROR(INDEX(Map_Tables!$H$4:$H$37,MATCH(TRIM(E2919),Map_Tables!$G$4:$G$37,0)),"CHECK"))</f>
        <v>Pav Bhaji Point</v>
      </c>
      <c r="AF2919" s="7" t="str">
        <f aca="false">IF(TRIM(K2919)="","Unknown",IFERROR(INDEX(Map_Tables!$E$4:$E$15,MATCH(TRIM(K2919),Map_Tables!$D$4:$D$15,0)),"CHECK"))</f>
        <v>UPI</v>
      </c>
      <c r="AG2919" s="7" t="str">
        <f aca="false">IF(LEFT(LOWER(TRIM(L2919)),6)="cancel","Cancelled","Delivered")</f>
        <v>Delivered</v>
      </c>
      <c r="AH2919" s="10" t="n">
        <f aca="false">IF(ISNUMBER(SEARCH("/",B2919)),DATE(VALUE(RIGHT(B2919,4)),VALUE(MID(B2919,4,2)),VALUE(LEFT(B2919,2))),IF(MID(B2919,5,1)="-",DATE(VALUE(LEFT(B2919,4)),VALUE(MID(B2919,6,2)),VALUE(RIGHT(B2919,2))),DATE(VALUE(RIGHT(B2919,4)),MATCH(MID(B2919,4,3),{"Jan","Feb","Mar","Apr","May","Jun","Jul","Aug","Sep","Oct","Nov","Dec"},0),VALUE(LEFT(B2919,2)))))</f>
        <v>45817</v>
      </c>
    </row>
    <row r="2920" customFormat="false" ht="15" hidden="false" customHeight="false" outlineLevel="0" collapsed="false">
      <c r="A2920" s="7" t="s">
        <v>6003</v>
      </c>
      <c r="B2920" s="7" t="s">
        <v>1267</v>
      </c>
      <c r="C2920" s="7" t="s">
        <v>433</v>
      </c>
      <c r="D2920" s="7" t="s">
        <v>2537</v>
      </c>
      <c r="E2920" s="7" t="s">
        <v>167</v>
      </c>
      <c r="F2920" s="7" t="s">
        <v>146</v>
      </c>
      <c r="G2920" s="7" t="s">
        <v>1769</v>
      </c>
      <c r="H2920" s="7" t="n">
        <v>4</v>
      </c>
      <c r="I2920" s="7" t="n">
        <v>270</v>
      </c>
      <c r="J2920" s="7" t="n">
        <v>0</v>
      </c>
      <c r="K2920" s="7" t="s">
        <v>88</v>
      </c>
      <c r="L2920" s="7" t="s">
        <v>194</v>
      </c>
      <c r="M2920" s="7" t="n">
        <v>32</v>
      </c>
      <c r="N2920" s="7" t="n">
        <v>5</v>
      </c>
      <c r="O2920" s="7" t="str">
        <f aca="false">A2920&amp;"|"&amp;B2920&amp;"|"&amp;C2920&amp;"|"&amp;D2920&amp;"|"&amp;E2920&amp;"|"&amp;F2920&amp;"|"&amp;G2920&amp;"|"&amp;H2920&amp;"|"&amp;I2920&amp;"|"&amp;J2920&amp;"|"&amp;K2920&amp;"|"&amp;L2920&amp;"|"&amp;M2920&amp;"|"&amp;N2920</f>
        <v>ORD10487|2025-03-05|19:43|C0654|Fit Fuel Kitchen|Ahmedabad|healthy food|4|270|0|UPI|Delivered|32|5</v>
      </c>
      <c r="P2920" s="7" t="str">
        <f aca="false">IF(COUNTIF($O$2:O2920,O2920)&gt;1,"DUP","OK")</f>
        <v>OK</v>
      </c>
      <c r="Q2920" s="7" t="n">
        <f aca="false">COUNTBLANK(A2920:N2920)</f>
        <v>0</v>
      </c>
      <c r="R2920" s="7" t="n">
        <f aca="false">IF(A2920="",0,COUNTIFS($A$2:$A$3058,A2920,$P$2:$P$3058,"OK"))</f>
        <v>1</v>
      </c>
      <c r="S2920" s="7" t="str">
        <f aca="false">IF(OR(A2920="",P2920="DUP",R2920&lt;2),"",IF(Q2920=_xlfn.MINIFS($Q$2:$Q$3058,$A$2:$A$3058,A2920,$P$2:$P$3058,"OK"),"KEEP","DROP"))</f>
        <v/>
      </c>
      <c r="T2920" s="9" t="n">
        <f aca="false">IF(A2920="",1,0)</f>
        <v>0</v>
      </c>
      <c r="U2920" s="9" t="n">
        <f aca="false">IF(D2920="",1,0)</f>
        <v>0</v>
      </c>
      <c r="V2920" s="9" t="n">
        <f aca="false">IF(E2920="",1,0)</f>
        <v>0</v>
      </c>
      <c r="W2920" s="9" t="n">
        <f aca="false">IF(OR(H2920&lt;1,H2920&gt;10),1,0)</f>
        <v>0</v>
      </c>
      <c r="X2920" s="9" t="n">
        <f aca="false">IF(OR(I2920&lt;=0,I2920&gt;1500),1,0)</f>
        <v>0</v>
      </c>
      <c r="Y2920" s="9" t="n">
        <f aca="false">IF(J2920&gt;H2920*I2920,1,0)</f>
        <v>0</v>
      </c>
      <c r="Z2920" s="9" t="n">
        <f aca="false">IF(AND(N2920&lt;&gt;"",OR(N2920&lt;1,N2920&gt;5)),1,0)</f>
        <v>0</v>
      </c>
      <c r="AA2920" s="9" t="n">
        <f aca="false">IF(AND(M2920&lt;&gt;"",OR(M2920&lt;5,M2920&gt;180)),1,0)</f>
        <v>0</v>
      </c>
      <c r="AB2920" s="7" t="str">
        <f aca="false">IF(P2920="DUP","Exact duplicate row",IF(T2920=1,"Missing Order ID",IF(S2920="DROP","Duplicate Order ID (less complete row)",IF(U2920=1,"Missing Customer ID",IF(V2920=1,"Missing Restaurant name",IF(W2920=1,"Invalid/outlier quantity",IF(X2920=1,"Invalid/outlier unit price",IF(Y2920=1,"Discount greater than order value",""))))))))</f>
        <v/>
      </c>
      <c r="AC2920" s="7" t="str">
        <f aca="false">IF(AB2920="","KEEP","DROP")</f>
        <v>KEEP</v>
      </c>
      <c r="AD2920" s="7" t="str">
        <f aca="false">IF(TRIM(F2920)="",IFERROR(INDEX(Map_Tables!$I$4:$I$37,MATCH(TRIM(E2920),Map_Tables!$G$4:$G$37,0)),""),IFERROR(INDEX(Map_Tables!$B$4:$B$18,MATCH(TRIM(F2920),Map_Tables!$A$4:$A$18,0)),"CHECK"))</f>
        <v>Ahmedabad</v>
      </c>
      <c r="AE2920" s="7" t="str">
        <f aca="false">IF(TRIM(E2920)="","",IFERROR(INDEX(Map_Tables!$H$4:$H$37,MATCH(TRIM(E2920),Map_Tables!$G$4:$G$37,0)),"CHECK"))</f>
        <v>Fit Fuel Kitchen</v>
      </c>
      <c r="AF2920" s="7" t="str">
        <f aca="false">IF(TRIM(K2920)="","Unknown",IFERROR(INDEX(Map_Tables!$E$4:$E$15,MATCH(TRIM(K2920),Map_Tables!$D$4:$D$15,0)),"CHECK"))</f>
        <v>UPI</v>
      </c>
      <c r="AG2920" s="7" t="str">
        <f aca="false">IF(LEFT(LOWER(TRIM(L2920)),6)="cancel","Cancelled","Delivered")</f>
        <v>Delivered</v>
      </c>
      <c r="AH2920" s="10" t="n">
        <f aca="false">IF(ISNUMBER(SEARCH("/",B2920)),DATE(VALUE(RIGHT(B2920,4)),VALUE(MID(B2920,4,2)),VALUE(LEFT(B2920,2))),IF(MID(B2920,5,1)="-",DATE(VALUE(LEFT(B2920,4)),VALUE(MID(B2920,6,2)),VALUE(RIGHT(B2920,2))),DATE(VALUE(RIGHT(B2920,4)),MATCH(MID(B2920,4,3),{"Jan","Feb","Mar","Apr","May","Jun","Jul","Aug","Sep","Oct","Nov","Dec"},0),VALUE(LEFT(B2920,2)))))</f>
        <v>45721</v>
      </c>
    </row>
    <row r="2921" customFormat="false" ht="15" hidden="false" customHeight="false" outlineLevel="0" collapsed="false">
      <c r="A2921" s="7" t="s">
        <v>2647</v>
      </c>
      <c r="B2921" s="7" t="s">
        <v>2224</v>
      </c>
      <c r="C2921" s="7" t="s">
        <v>1749</v>
      </c>
      <c r="D2921" s="7" t="s">
        <v>2648</v>
      </c>
      <c r="E2921" s="7" t="s">
        <v>138</v>
      </c>
      <c r="F2921" s="7" t="s">
        <v>110</v>
      </c>
      <c r="G2921" s="7" t="s">
        <v>139</v>
      </c>
      <c r="H2921" s="7" t="n">
        <v>3</v>
      </c>
      <c r="I2921" s="7" t="n">
        <v>160</v>
      </c>
      <c r="J2921" s="7" t="n">
        <v>0</v>
      </c>
      <c r="K2921" s="7" t="s">
        <v>88</v>
      </c>
      <c r="L2921" s="7" t="s">
        <v>194</v>
      </c>
      <c r="M2921" s="7" t="n">
        <v>38</v>
      </c>
      <c r="N2921" s="7" t="n">
        <v>5</v>
      </c>
      <c r="O2921" s="7" t="str">
        <f aca="false">A2921&amp;"|"&amp;B2921&amp;"|"&amp;C2921&amp;"|"&amp;D2921&amp;"|"&amp;E2921&amp;"|"&amp;F2921&amp;"|"&amp;G2921&amp;"|"&amp;H2921&amp;"|"&amp;I2921&amp;"|"&amp;J2921&amp;"|"&amp;K2921&amp;"|"&amp;L2921&amp;"|"&amp;M2921&amp;"|"&amp;N2921</f>
        <v>ORD11226|05/06/2025|14:44|C0461|Burger Barn|Delhi|Burgers|3|160|0|UPI|Delivered|38|5</v>
      </c>
      <c r="P2921" s="7" t="str">
        <f aca="false">IF(COUNTIF($O$2:O2921,O2921)&gt;1,"DUP","OK")</f>
        <v>DUP</v>
      </c>
      <c r="Q2921" s="7" t="n">
        <f aca="false">COUNTBLANK(A2921:N2921)</f>
        <v>0</v>
      </c>
      <c r="R2921" s="7" t="n">
        <f aca="false">IF(A2921="",0,COUNTIFS($A$2:$A$3058,A2921,$P$2:$P$3058,"OK"))</f>
        <v>1</v>
      </c>
      <c r="S2921" s="7" t="str">
        <f aca="false">IF(OR(A2921="",P2921="DUP",R2921&lt;2),"",IF(Q2921=_xlfn.MINIFS($Q$2:$Q$3058,$A$2:$A$3058,A2921,$P$2:$P$3058,"OK"),"KEEP","DROP"))</f>
        <v/>
      </c>
      <c r="T2921" s="9" t="n">
        <f aca="false">IF(A2921="",1,0)</f>
        <v>0</v>
      </c>
      <c r="U2921" s="9" t="n">
        <f aca="false">IF(D2921="",1,0)</f>
        <v>0</v>
      </c>
      <c r="V2921" s="9" t="n">
        <f aca="false">IF(E2921="",1,0)</f>
        <v>0</v>
      </c>
      <c r="W2921" s="9" t="n">
        <f aca="false">IF(OR(H2921&lt;1,H2921&gt;10),1,0)</f>
        <v>0</v>
      </c>
      <c r="X2921" s="9" t="n">
        <f aca="false">IF(OR(I2921&lt;=0,I2921&gt;1500),1,0)</f>
        <v>0</v>
      </c>
      <c r="Y2921" s="9" t="n">
        <f aca="false">IF(J2921&gt;H2921*I2921,1,0)</f>
        <v>0</v>
      </c>
      <c r="Z2921" s="9" t="n">
        <f aca="false">IF(AND(N2921&lt;&gt;"",OR(N2921&lt;1,N2921&gt;5)),1,0)</f>
        <v>0</v>
      </c>
      <c r="AA2921" s="9" t="n">
        <f aca="false">IF(AND(M2921&lt;&gt;"",OR(M2921&lt;5,M2921&gt;180)),1,0)</f>
        <v>0</v>
      </c>
      <c r="AB2921" s="7" t="str">
        <f aca="false">IF(P2921="DUP","Exact duplicate row",IF(T2921=1,"Missing Order ID",IF(S2921="DROP","Duplicate Order ID (less complete row)",IF(U2921=1,"Missing Customer ID",IF(V2921=1,"Missing Restaurant name",IF(W2921=1,"Invalid/outlier quantity",IF(X2921=1,"Invalid/outlier unit price",IF(Y2921=1,"Discount greater than order value",""))))))))</f>
        <v>Exact duplicate row</v>
      </c>
      <c r="AC2921" s="7" t="str">
        <f aca="false">IF(AB2921="","KEEP","DROP")</f>
        <v>DROP</v>
      </c>
      <c r="AD2921" s="7" t="str">
        <f aca="false">IF(TRIM(F2921)="",IFERROR(INDEX(Map_Tables!$I$4:$I$37,MATCH(TRIM(E2921),Map_Tables!$G$4:$G$37,0)),""),IFERROR(INDEX(Map_Tables!$B$4:$B$18,MATCH(TRIM(F2921),Map_Tables!$A$4:$A$18,0)),"CHECK"))</f>
        <v>Delhi</v>
      </c>
      <c r="AE2921" s="7" t="str">
        <f aca="false">IF(TRIM(E2921)="","",IFERROR(INDEX(Map_Tables!$H$4:$H$37,MATCH(TRIM(E2921),Map_Tables!$G$4:$G$37,0)),"CHECK"))</f>
        <v>Burger Barn</v>
      </c>
      <c r="AF2921" s="7" t="str">
        <f aca="false">IF(TRIM(K2921)="","Unknown",IFERROR(INDEX(Map_Tables!$E$4:$E$15,MATCH(TRIM(K2921),Map_Tables!$D$4:$D$15,0)),"CHECK"))</f>
        <v>UPI</v>
      </c>
      <c r="AG2921" s="7" t="str">
        <f aca="false">IF(LEFT(LOWER(TRIM(L2921)),6)="cancel","Cancelled","Delivered")</f>
        <v>Delivered</v>
      </c>
      <c r="AH2921" s="10" t="n">
        <f aca="false">IF(ISNUMBER(SEARCH("/",B2921)),DATE(VALUE(RIGHT(B2921,4)),VALUE(MID(B2921,4,2)),VALUE(LEFT(B2921,2))),IF(MID(B2921,5,1)="-",DATE(VALUE(LEFT(B2921,4)),VALUE(MID(B2921,6,2)),VALUE(RIGHT(B2921,2))),DATE(VALUE(RIGHT(B2921,4)),MATCH(MID(B2921,4,3),{"Jan","Feb","Mar","Apr","May","Jun","Jul","Aug","Sep","Oct","Nov","Dec"},0),VALUE(LEFT(B2921,2)))))</f>
        <v>45813</v>
      </c>
    </row>
    <row r="2922" customFormat="false" ht="15" hidden="false" customHeight="false" outlineLevel="0" collapsed="false">
      <c r="A2922" s="7" t="s">
        <v>6004</v>
      </c>
      <c r="B2922" s="7" t="s">
        <v>828</v>
      </c>
      <c r="C2922" s="7" t="s">
        <v>443</v>
      </c>
      <c r="D2922" s="7" t="s">
        <v>6005</v>
      </c>
      <c r="E2922" s="7" t="s">
        <v>5317</v>
      </c>
      <c r="F2922" s="7" t="s">
        <v>119</v>
      </c>
      <c r="G2922" s="7" t="s">
        <v>95</v>
      </c>
      <c r="H2922" s="7" t="n">
        <v>3</v>
      </c>
      <c r="I2922" s="7" t="n">
        <v>150</v>
      </c>
      <c r="J2922" s="7" t="n">
        <v>0</v>
      </c>
      <c r="K2922" s="7" t="s">
        <v>88</v>
      </c>
      <c r="L2922" s="7" t="s">
        <v>194</v>
      </c>
      <c r="M2922" s="7" t="n">
        <v>29</v>
      </c>
      <c r="N2922" s="7" t="n">
        <v>5</v>
      </c>
      <c r="O2922" s="7" t="str">
        <f aca="false">A2922&amp;"|"&amp;B2922&amp;"|"&amp;C2922&amp;"|"&amp;D2922&amp;"|"&amp;E2922&amp;"|"&amp;F2922&amp;"|"&amp;G2922&amp;"|"&amp;H2922&amp;"|"&amp;I2922&amp;"|"&amp;J2922&amp;"|"&amp;K2922&amp;"|"&amp;L2922&amp;"|"&amp;M2922&amp;"|"&amp;N2922</f>
        <v>ORD12546|2025-11-13|22:51|C0554|ANDHRA MEALS MESS|Hyderabad|South Indian|3|150|0|UPI|Delivered|29|5</v>
      </c>
      <c r="P2922" s="7" t="str">
        <f aca="false">IF(COUNTIF($O$2:O2922,O2922)&gt;1,"DUP","OK")</f>
        <v>OK</v>
      </c>
      <c r="Q2922" s="7" t="n">
        <f aca="false">COUNTBLANK(A2922:N2922)</f>
        <v>0</v>
      </c>
      <c r="R2922" s="7" t="n">
        <f aca="false">IF(A2922="",0,COUNTIFS($A$2:$A$3058,A2922,$P$2:$P$3058,"OK"))</f>
        <v>1</v>
      </c>
      <c r="S2922" s="7" t="str">
        <f aca="false">IF(OR(A2922="",P2922="DUP",R2922&lt;2),"",IF(Q2922=_xlfn.MINIFS($Q$2:$Q$3058,$A$2:$A$3058,A2922,$P$2:$P$3058,"OK"),"KEEP","DROP"))</f>
        <v/>
      </c>
      <c r="T2922" s="9" t="n">
        <f aca="false">IF(A2922="",1,0)</f>
        <v>0</v>
      </c>
      <c r="U2922" s="9" t="n">
        <f aca="false">IF(D2922="",1,0)</f>
        <v>0</v>
      </c>
      <c r="V2922" s="9" t="n">
        <f aca="false">IF(E2922="",1,0)</f>
        <v>0</v>
      </c>
      <c r="W2922" s="9" t="n">
        <f aca="false">IF(OR(H2922&lt;1,H2922&gt;10),1,0)</f>
        <v>0</v>
      </c>
      <c r="X2922" s="9" t="n">
        <f aca="false">IF(OR(I2922&lt;=0,I2922&gt;1500),1,0)</f>
        <v>0</v>
      </c>
      <c r="Y2922" s="9" t="n">
        <f aca="false">IF(J2922&gt;H2922*I2922,1,0)</f>
        <v>0</v>
      </c>
      <c r="Z2922" s="9" t="n">
        <f aca="false">IF(AND(N2922&lt;&gt;"",OR(N2922&lt;1,N2922&gt;5)),1,0)</f>
        <v>0</v>
      </c>
      <c r="AA2922" s="9" t="n">
        <f aca="false">IF(AND(M2922&lt;&gt;"",OR(M2922&lt;5,M2922&gt;180)),1,0)</f>
        <v>0</v>
      </c>
      <c r="AB2922" s="7" t="str">
        <f aca="false">IF(P2922="DUP","Exact duplicate row",IF(T2922=1,"Missing Order ID",IF(S2922="DROP","Duplicate Order ID (less complete row)",IF(U2922=1,"Missing Customer ID",IF(V2922=1,"Missing Restaurant name",IF(W2922=1,"Invalid/outlier quantity",IF(X2922=1,"Invalid/outlier unit price",IF(Y2922=1,"Discount greater than order value",""))))))))</f>
        <v/>
      </c>
      <c r="AC2922" s="7" t="str">
        <f aca="false">IF(AB2922="","KEEP","DROP")</f>
        <v>KEEP</v>
      </c>
      <c r="AD2922" s="7" t="str">
        <f aca="false">IF(TRIM(F2922)="",IFERROR(INDEX(Map_Tables!$I$4:$I$37,MATCH(TRIM(E2922),Map_Tables!$G$4:$G$37,0)),""),IFERROR(INDEX(Map_Tables!$B$4:$B$18,MATCH(TRIM(F2922),Map_Tables!$A$4:$A$18,0)),"CHECK"))</f>
        <v>Hyderabad</v>
      </c>
      <c r="AE2922" s="7" t="str">
        <f aca="false">IF(TRIM(E2922)="","",IFERROR(INDEX(Map_Tables!$H$4:$H$37,MATCH(TRIM(E2922),Map_Tables!$G$4:$G$37,0)),"CHECK"))</f>
        <v>Andhra Meals Mess</v>
      </c>
      <c r="AF2922" s="7" t="str">
        <f aca="false">IF(TRIM(K2922)="","Unknown",IFERROR(INDEX(Map_Tables!$E$4:$E$15,MATCH(TRIM(K2922),Map_Tables!$D$4:$D$15,0)),"CHECK"))</f>
        <v>UPI</v>
      </c>
      <c r="AG2922" s="7" t="str">
        <f aca="false">IF(LEFT(LOWER(TRIM(L2922)),6)="cancel","Cancelled","Delivered")</f>
        <v>Delivered</v>
      </c>
      <c r="AH2922" s="10" t="n">
        <f aca="false">IF(ISNUMBER(SEARCH("/",B2922)),DATE(VALUE(RIGHT(B2922,4)),VALUE(MID(B2922,4,2)),VALUE(LEFT(B2922,2))),IF(MID(B2922,5,1)="-",DATE(VALUE(LEFT(B2922,4)),VALUE(MID(B2922,6,2)),VALUE(RIGHT(B2922,2))),DATE(VALUE(RIGHT(B2922,4)),MATCH(MID(B2922,4,3),{"Jan","Feb","Mar","Apr","May","Jun","Jul","Aug","Sep","Oct","Nov","Dec"},0),VALUE(LEFT(B2922,2)))))</f>
        <v>45974</v>
      </c>
    </row>
    <row r="2923" customFormat="false" ht="15" hidden="false" customHeight="false" outlineLevel="0" collapsed="false">
      <c r="A2923" s="7" t="s">
        <v>6006</v>
      </c>
      <c r="B2923" s="7" t="s">
        <v>2568</v>
      </c>
      <c r="C2923" s="7" t="s">
        <v>3605</v>
      </c>
      <c r="D2923" s="7" t="s">
        <v>5124</v>
      </c>
      <c r="E2923" s="7" t="s">
        <v>130</v>
      </c>
      <c r="F2923" s="7" t="s">
        <v>294</v>
      </c>
      <c r="G2923" s="7" t="s">
        <v>90</v>
      </c>
      <c r="H2923" s="7" t="n">
        <v>3</v>
      </c>
      <c r="I2923" s="7" t="n">
        <v>255</v>
      </c>
      <c r="J2923" s="7" t="n">
        <v>20</v>
      </c>
      <c r="K2923" s="7" t="s">
        <v>103</v>
      </c>
      <c r="L2923" s="7" t="s">
        <v>194</v>
      </c>
      <c r="M2923" s="7" t="n">
        <v>33</v>
      </c>
      <c r="N2923" s="7" t="n">
        <v>3</v>
      </c>
      <c r="O2923" s="7" t="str">
        <f aca="false">A2923&amp;"|"&amp;B2923&amp;"|"&amp;C2923&amp;"|"&amp;D2923&amp;"|"&amp;E2923&amp;"|"&amp;F2923&amp;"|"&amp;G2923&amp;"|"&amp;H2923&amp;"|"&amp;I2923&amp;"|"&amp;J2923&amp;"|"&amp;K2923&amp;"|"&amp;L2923&amp;"|"&amp;M2923&amp;"|"&amp;N2923</f>
        <v>ORD11909|2025-09-05|12:22|C0423|Tandoor Tales|New Delhi|North Indian|3|255|20|Debit Card|Delivered|33|3</v>
      </c>
      <c r="P2923" s="7" t="str">
        <f aca="false">IF(COUNTIF($O$2:O2923,O2923)&gt;1,"DUP","OK")</f>
        <v>OK</v>
      </c>
      <c r="Q2923" s="7" t="n">
        <f aca="false">COUNTBLANK(A2923:N2923)</f>
        <v>0</v>
      </c>
      <c r="R2923" s="7" t="n">
        <f aca="false">IF(A2923="",0,COUNTIFS($A$2:$A$3058,A2923,$P$2:$P$3058,"OK"))</f>
        <v>1</v>
      </c>
      <c r="S2923" s="7" t="str">
        <f aca="false">IF(OR(A2923="",P2923="DUP",R2923&lt;2),"",IF(Q2923=_xlfn.MINIFS($Q$2:$Q$3058,$A$2:$A$3058,A2923,$P$2:$P$3058,"OK"),"KEEP","DROP"))</f>
        <v/>
      </c>
      <c r="T2923" s="9" t="n">
        <f aca="false">IF(A2923="",1,0)</f>
        <v>0</v>
      </c>
      <c r="U2923" s="9" t="n">
        <f aca="false">IF(D2923="",1,0)</f>
        <v>0</v>
      </c>
      <c r="V2923" s="9" t="n">
        <f aca="false">IF(E2923="",1,0)</f>
        <v>0</v>
      </c>
      <c r="W2923" s="9" t="n">
        <f aca="false">IF(OR(H2923&lt;1,H2923&gt;10),1,0)</f>
        <v>0</v>
      </c>
      <c r="X2923" s="9" t="n">
        <f aca="false">IF(OR(I2923&lt;=0,I2923&gt;1500),1,0)</f>
        <v>0</v>
      </c>
      <c r="Y2923" s="9" t="n">
        <f aca="false">IF(J2923&gt;H2923*I2923,1,0)</f>
        <v>0</v>
      </c>
      <c r="Z2923" s="9" t="n">
        <f aca="false">IF(AND(N2923&lt;&gt;"",OR(N2923&lt;1,N2923&gt;5)),1,0)</f>
        <v>0</v>
      </c>
      <c r="AA2923" s="9" t="n">
        <f aca="false">IF(AND(M2923&lt;&gt;"",OR(M2923&lt;5,M2923&gt;180)),1,0)</f>
        <v>0</v>
      </c>
      <c r="AB2923" s="7" t="str">
        <f aca="false">IF(P2923="DUP","Exact duplicate row",IF(T2923=1,"Missing Order ID",IF(S2923="DROP","Duplicate Order ID (less complete row)",IF(U2923=1,"Missing Customer ID",IF(V2923=1,"Missing Restaurant name",IF(W2923=1,"Invalid/outlier quantity",IF(X2923=1,"Invalid/outlier unit price",IF(Y2923=1,"Discount greater than order value",""))))))))</f>
        <v/>
      </c>
      <c r="AC2923" s="7" t="str">
        <f aca="false">IF(AB2923="","KEEP","DROP")</f>
        <v>KEEP</v>
      </c>
      <c r="AD2923" s="7" t="str">
        <f aca="false">IF(TRIM(F2923)="",IFERROR(INDEX(Map_Tables!$I$4:$I$37,MATCH(TRIM(E2923),Map_Tables!$G$4:$G$37,0)),""),IFERROR(INDEX(Map_Tables!$B$4:$B$18,MATCH(TRIM(F2923),Map_Tables!$A$4:$A$18,0)),"CHECK"))</f>
        <v>Delhi</v>
      </c>
      <c r="AE2923" s="7" t="str">
        <f aca="false">IF(TRIM(E2923)="","",IFERROR(INDEX(Map_Tables!$H$4:$H$37,MATCH(TRIM(E2923),Map_Tables!$G$4:$G$37,0)),"CHECK"))</f>
        <v>Tandoor Tales</v>
      </c>
      <c r="AF2923" s="7" t="str">
        <f aca="false">IF(TRIM(K2923)="","Unknown",IFERROR(INDEX(Map_Tables!$E$4:$E$15,MATCH(TRIM(K2923),Map_Tables!$D$4:$D$15,0)),"CHECK"))</f>
        <v>Debit Card</v>
      </c>
      <c r="AG2923" s="7" t="str">
        <f aca="false">IF(LEFT(LOWER(TRIM(L2923)),6)="cancel","Cancelled","Delivered")</f>
        <v>Delivered</v>
      </c>
      <c r="AH2923" s="10" t="n">
        <f aca="false">IF(ISNUMBER(SEARCH("/",B2923)),DATE(VALUE(RIGHT(B2923,4)),VALUE(MID(B2923,4,2)),VALUE(LEFT(B2923,2))),IF(MID(B2923,5,1)="-",DATE(VALUE(LEFT(B2923,4)),VALUE(MID(B2923,6,2)),VALUE(RIGHT(B2923,2))),DATE(VALUE(RIGHT(B2923,4)),MATCH(MID(B2923,4,3),{"Jan","Feb","Mar","Apr","May","Jun","Jul","Aug","Sep","Oct","Nov","Dec"},0),VALUE(LEFT(B2923,2)))))</f>
        <v>45905</v>
      </c>
    </row>
    <row r="2924" customFormat="false" ht="15" hidden="false" customHeight="false" outlineLevel="0" collapsed="false">
      <c r="A2924" s="7" t="s">
        <v>6007</v>
      </c>
      <c r="B2924" s="7" t="s">
        <v>924</v>
      </c>
      <c r="C2924" s="7" t="s">
        <v>1423</v>
      </c>
      <c r="D2924" s="7" t="s">
        <v>970</v>
      </c>
      <c r="E2924" s="7" t="s">
        <v>142</v>
      </c>
      <c r="F2924" s="7" t="s">
        <v>110</v>
      </c>
      <c r="G2924" s="7" t="s">
        <v>105</v>
      </c>
      <c r="H2924" s="7" t="n">
        <v>3</v>
      </c>
      <c r="I2924" s="7" t="n">
        <v>160</v>
      </c>
      <c r="J2924" s="7" t="n">
        <v>0</v>
      </c>
      <c r="K2924" s="7" t="s">
        <v>88</v>
      </c>
      <c r="L2924" s="7" t="s">
        <v>194</v>
      </c>
      <c r="M2924" s="7" t="n">
        <v>26</v>
      </c>
      <c r="N2924" s="7"/>
      <c r="O2924" s="7" t="str">
        <f aca="false">A2924&amp;"|"&amp;B2924&amp;"|"&amp;C2924&amp;"|"&amp;D2924&amp;"|"&amp;E2924&amp;"|"&amp;F2924&amp;"|"&amp;G2924&amp;"|"&amp;H2924&amp;"|"&amp;I2924&amp;"|"&amp;J2924&amp;"|"&amp;K2924&amp;"|"&amp;L2924&amp;"|"&amp;M2924&amp;"|"&amp;N2924</f>
        <v>ORD10107|2025-01-14|18:57|C1236|Momo Magic|Delhi|Chinese|3|160|0|UPI|Delivered|26|</v>
      </c>
      <c r="P2924" s="7" t="str">
        <f aca="false">IF(COUNTIF($O$2:O2924,O2924)&gt;1,"DUP","OK")</f>
        <v>OK</v>
      </c>
      <c r="Q2924" s="7" t="n">
        <f aca="false">COUNTBLANK(A2924:N2924)</f>
        <v>1</v>
      </c>
      <c r="R2924" s="7" t="n">
        <f aca="false">IF(A2924="",0,COUNTIFS($A$2:$A$3058,A2924,$P$2:$P$3058,"OK"))</f>
        <v>1</v>
      </c>
      <c r="S2924" s="7" t="str">
        <f aca="false">IF(OR(A2924="",P2924="DUP",R2924&lt;2),"",IF(Q2924=_xlfn.MINIFS($Q$2:$Q$3058,$A$2:$A$3058,A2924,$P$2:$P$3058,"OK"),"KEEP","DROP"))</f>
        <v/>
      </c>
      <c r="T2924" s="9" t="n">
        <f aca="false">IF(A2924="",1,0)</f>
        <v>0</v>
      </c>
      <c r="U2924" s="9" t="n">
        <f aca="false">IF(D2924="",1,0)</f>
        <v>0</v>
      </c>
      <c r="V2924" s="9" t="n">
        <f aca="false">IF(E2924="",1,0)</f>
        <v>0</v>
      </c>
      <c r="W2924" s="9" t="n">
        <f aca="false">IF(OR(H2924&lt;1,H2924&gt;10),1,0)</f>
        <v>0</v>
      </c>
      <c r="X2924" s="9" t="n">
        <f aca="false">IF(OR(I2924&lt;=0,I2924&gt;1500),1,0)</f>
        <v>0</v>
      </c>
      <c r="Y2924" s="9" t="n">
        <f aca="false">IF(J2924&gt;H2924*I2924,1,0)</f>
        <v>0</v>
      </c>
      <c r="Z2924" s="9" t="n">
        <f aca="false">IF(AND(N2924&lt;&gt;"",OR(N2924&lt;1,N2924&gt;5)),1,0)</f>
        <v>0</v>
      </c>
      <c r="AA2924" s="9" t="n">
        <f aca="false">IF(AND(M2924&lt;&gt;"",OR(M2924&lt;5,M2924&gt;180)),1,0)</f>
        <v>0</v>
      </c>
      <c r="AB2924" s="7" t="str">
        <f aca="false">IF(P2924="DUP","Exact duplicate row",IF(T2924=1,"Missing Order ID",IF(S2924="DROP","Duplicate Order ID (less complete row)",IF(U2924=1,"Missing Customer ID",IF(V2924=1,"Missing Restaurant name",IF(W2924=1,"Invalid/outlier quantity",IF(X2924=1,"Invalid/outlier unit price",IF(Y2924=1,"Discount greater than order value",""))))))))</f>
        <v/>
      </c>
      <c r="AC2924" s="7" t="str">
        <f aca="false">IF(AB2924="","KEEP","DROP")</f>
        <v>KEEP</v>
      </c>
      <c r="AD2924" s="7" t="str">
        <f aca="false">IF(TRIM(F2924)="",IFERROR(INDEX(Map_Tables!$I$4:$I$37,MATCH(TRIM(E2924),Map_Tables!$G$4:$G$37,0)),""),IFERROR(INDEX(Map_Tables!$B$4:$B$18,MATCH(TRIM(F2924),Map_Tables!$A$4:$A$18,0)),"CHECK"))</f>
        <v>Delhi</v>
      </c>
      <c r="AE2924" s="7" t="str">
        <f aca="false">IF(TRIM(E2924)="","",IFERROR(INDEX(Map_Tables!$H$4:$H$37,MATCH(TRIM(E2924),Map_Tables!$G$4:$G$37,0)),"CHECK"))</f>
        <v>Momo Magic</v>
      </c>
      <c r="AF2924" s="7" t="str">
        <f aca="false">IF(TRIM(K2924)="","Unknown",IFERROR(INDEX(Map_Tables!$E$4:$E$15,MATCH(TRIM(K2924),Map_Tables!$D$4:$D$15,0)),"CHECK"))</f>
        <v>UPI</v>
      </c>
      <c r="AG2924" s="7" t="str">
        <f aca="false">IF(LEFT(LOWER(TRIM(L2924)),6)="cancel","Cancelled","Delivered")</f>
        <v>Delivered</v>
      </c>
      <c r="AH2924" s="10" t="n">
        <f aca="false">IF(ISNUMBER(SEARCH("/",B2924)),DATE(VALUE(RIGHT(B2924,4)),VALUE(MID(B2924,4,2)),VALUE(LEFT(B2924,2))),IF(MID(B2924,5,1)="-",DATE(VALUE(LEFT(B2924,4)),VALUE(MID(B2924,6,2)),VALUE(RIGHT(B2924,2))),DATE(VALUE(RIGHT(B2924,4)),MATCH(MID(B2924,4,3),{"Jan","Feb","Mar","Apr","May","Jun","Jul","Aug","Sep","Oct","Nov","Dec"},0),VALUE(LEFT(B2924,2)))))</f>
        <v>45671</v>
      </c>
    </row>
    <row r="2925" customFormat="false" ht="15" hidden="false" customHeight="false" outlineLevel="0" collapsed="false">
      <c r="A2925" s="7" t="s">
        <v>6008</v>
      </c>
      <c r="B2925" s="7" t="s">
        <v>1292</v>
      </c>
      <c r="C2925" s="7" t="s">
        <v>1084</v>
      </c>
      <c r="D2925" s="7" t="s">
        <v>1753</v>
      </c>
      <c r="E2925" s="7" t="s">
        <v>116</v>
      </c>
      <c r="F2925" s="7" t="s">
        <v>101</v>
      </c>
      <c r="G2925" s="7" t="s">
        <v>117</v>
      </c>
      <c r="H2925" s="7" t="n">
        <v>3</v>
      </c>
      <c r="I2925" s="7" t="n">
        <v>105</v>
      </c>
      <c r="J2925" s="7" t="n">
        <v>0</v>
      </c>
      <c r="K2925" s="7" t="s">
        <v>121</v>
      </c>
      <c r="L2925" s="7" t="s">
        <v>220</v>
      </c>
      <c r="M2925" s="7" t="n">
        <v>41</v>
      </c>
      <c r="N2925" s="7" t="n">
        <v>5</v>
      </c>
      <c r="O2925" s="7" t="str">
        <f aca="false">A2925&amp;"|"&amp;B2925&amp;"|"&amp;C2925&amp;"|"&amp;D2925&amp;"|"&amp;E2925&amp;"|"&amp;F2925&amp;"|"&amp;G2925&amp;"|"&amp;H2925&amp;"|"&amp;I2925&amp;"|"&amp;J2925&amp;"|"&amp;K2925&amp;"|"&amp;L2925&amp;"|"&amp;M2925&amp;"|"&amp;N2925</f>
        <v>ORD10444|2025-03-01|09:13|C1218|Pav Bhaji Point|Mumbai|Street Food|3|105|0|Wallet|DELIVERED|41|5</v>
      </c>
      <c r="P2925" s="7" t="str">
        <f aca="false">IF(COUNTIF($O$2:O2925,O2925)&gt;1,"DUP","OK")</f>
        <v>OK</v>
      </c>
      <c r="Q2925" s="7" t="n">
        <f aca="false">COUNTBLANK(A2925:N2925)</f>
        <v>0</v>
      </c>
      <c r="R2925" s="7" t="n">
        <f aca="false">IF(A2925="",0,COUNTIFS($A$2:$A$3058,A2925,$P$2:$P$3058,"OK"))</f>
        <v>1</v>
      </c>
      <c r="S2925" s="7" t="str">
        <f aca="false">IF(OR(A2925="",P2925="DUP",R2925&lt;2),"",IF(Q2925=_xlfn.MINIFS($Q$2:$Q$3058,$A$2:$A$3058,A2925,$P$2:$P$3058,"OK"),"KEEP","DROP"))</f>
        <v/>
      </c>
      <c r="T2925" s="9" t="n">
        <f aca="false">IF(A2925="",1,0)</f>
        <v>0</v>
      </c>
      <c r="U2925" s="9" t="n">
        <f aca="false">IF(D2925="",1,0)</f>
        <v>0</v>
      </c>
      <c r="V2925" s="9" t="n">
        <f aca="false">IF(E2925="",1,0)</f>
        <v>0</v>
      </c>
      <c r="W2925" s="9" t="n">
        <f aca="false">IF(OR(H2925&lt;1,H2925&gt;10),1,0)</f>
        <v>0</v>
      </c>
      <c r="X2925" s="9" t="n">
        <f aca="false">IF(OR(I2925&lt;=0,I2925&gt;1500),1,0)</f>
        <v>0</v>
      </c>
      <c r="Y2925" s="9" t="n">
        <f aca="false">IF(J2925&gt;H2925*I2925,1,0)</f>
        <v>0</v>
      </c>
      <c r="Z2925" s="9" t="n">
        <f aca="false">IF(AND(N2925&lt;&gt;"",OR(N2925&lt;1,N2925&gt;5)),1,0)</f>
        <v>0</v>
      </c>
      <c r="AA2925" s="9" t="n">
        <f aca="false">IF(AND(M2925&lt;&gt;"",OR(M2925&lt;5,M2925&gt;180)),1,0)</f>
        <v>0</v>
      </c>
      <c r="AB2925" s="7" t="str">
        <f aca="false">IF(P2925="DUP","Exact duplicate row",IF(T2925=1,"Missing Order ID",IF(S2925="DROP","Duplicate Order ID (less complete row)",IF(U2925=1,"Missing Customer ID",IF(V2925=1,"Missing Restaurant name",IF(W2925=1,"Invalid/outlier quantity",IF(X2925=1,"Invalid/outlier unit price",IF(Y2925=1,"Discount greater than order value",""))))))))</f>
        <v/>
      </c>
      <c r="AC2925" s="7" t="str">
        <f aca="false">IF(AB2925="","KEEP","DROP")</f>
        <v>KEEP</v>
      </c>
      <c r="AD2925" s="7" t="str">
        <f aca="false">IF(TRIM(F2925)="",IFERROR(INDEX(Map_Tables!$I$4:$I$37,MATCH(TRIM(E2925),Map_Tables!$G$4:$G$37,0)),""),IFERROR(INDEX(Map_Tables!$B$4:$B$18,MATCH(TRIM(F2925),Map_Tables!$A$4:$A$18,0)),"CHECK"))</f>
        <v>Mumbai</v>
      </c>
      <c r="AE2925" s="7" t="str">
        <f aca="false">IF(TRIM(E2925)="","",IFERROR(INDEX(Map_Tables!$H$4:$H$37,MATCH(TRIM(E2925),Map_Tables!$G$4:$G$37,0)),"CHECK"))</f>
        <v>Pav Bhaji Point</v>
      </c>
      <c r="AF2925" s="7" t="str">
        <f aca="false">IF(TRIM(K2925)="","Unknown",IFERROR(INDEX(Map_Tables!$E$4:$E$15,MATCH(TRIM(K2925),Map_Tables!$D$4:$D$15,0)),"CHECK"))</f>
        <v>Wallet</v>
      </c>
      <c r="AG2925" s="7" t="str">
        <f aca="false">IF(LEFT(LOWER(TRIM(L2925)),6)="cancel","Cancelled","Delivered")</f>
        <v>Delivered</v>
      </c>
      <c r="AH2925" s="10" t="n">
        <f aca="false">IF(ISNUMBER(SEARCH("/",B2925)),DATE(VALUE(RIGHT(B2925,4)),VALUE(MID(B2925,4,2)),VALUE(LEFT(B2925,2))),IF(MID(B2925,5,1)="-",DATE(VALUE(LEFT(B2925,4)),VALUE(MID(B2925,6,2)),VALUE(RIGHT(B2925,2))),DATE(VALUE(RIGHT(B2925,4)),MATCH(MID(B2925,4,3),{"Jan","Feb","Mar","Apr","May","Jun","Jul","Aug","Sep","Oct","Nov","Dec"},0),VALUE(LEFT(B2925,2)))))</f>
        <v>45717</v>
      </c>
    </row>
    <row r="2926" customFormat="false" ht="15" hidden="false" customHeight="false" outlineLevel="0" collapsed="false">
      <c r="A2926" s="7" t="s">
        <v>6009</v>
      </c>
      <c r="B2926" s="7" t="s">
        <v>1187</v>
      </c>
      <c r="C2926" s="7" t="s">
        <v>6010</v>
      </c>
      <c r="D2926" s="7" t="s">
        <v>4128</v>
      </c>
      <c r="E2926" s="7" t="s">
        <v>142</v>
      </c>
      <c r="F2926" s="7" t="s">
        <v>756</v>
      </c>
      <c r="G2926" s="7" t="s">
        <v>105</v>
      </c>
      <c r="H2926" s="7" t="n">
        <v>1</v>
      </c>
      <c r="I2926" s="7" t="n">
        <v>190</v>
      </c>
      <c r="J2926" s="7" t="n">
        <v>0</v>
      </c>
      <c r="K2926" s="7" t="s">
        <v>103</v>
      </c>
      <c r="L2926" s="7" t="s">
        <v>194</v>
      </c>
      <c r="M2926" s="7" t="n">
        <v>40</v>
      </c>
      <c r="N2926" s="7" t="n">
        <v>2</v>
      </c>
      <c r="O2926" s="7" t="str">
        <f aca="false">A2926&amp;"|"&amp;B2926&amp;"|"&amp;C2926&amp;"|"&amp;D2926&amp;"|"&amp;E2926&amp;"|"&amp;F2926&amp;"|"&amp;G2926&amp;"|"&amp;H2926&amp;"|"&amp;I2926&amp;"|"&amp;J2926&amp;"|"&amp;K2926&amp;"|"&amp;L2926&amp;"|"&amp;M2926&amp;"|"&amp;N2926</f>
        <v>ORD11955|2025-09-11|09:05|C0278|Momo Magic|Delhi |Chinese|1|190|0|Debit Card|Delivered|40|2</v>
      </c>
      <c r="P2926" s="7" t="str">
        <f aca="false">IF(COUNTIF($O$2:O2926,O2926)&gt;1,"DUP","OK")</f>
        <v>OK</v>
      </c>
      <c r="Q2926" s="7" t="n">
        <f aca="false">COUNTBLANK(A2926:N2926)</f>
        <v>0</v>
      </c>
      <c r="R2926" s="7" t="n">
        <f aca="false">IF(A2926="",0,COUNTIFS($A$2:$A$3058,A2926,$P$2:$P$3058,"OK"))</f>
        <v>1</v>
      </c>
      <c r="S2926" s="7" t="str">
        <f aca="false">IF(OR(A2926="",P2926="DUP",R2926&lt;2),"",IF(Q2926=_xlfn.MINIFS($Q$2:$Q$3058,$A$2:$A$3058,A2926,$P$2:$P$3058,"OK"),"KEEP","DROP"))</f>
        <v/>
      </c>
      <c r="T2926" s="9" t="n">
        <f aca="false">IF(A2926="",1,0)</f>
        <v>0</v>
      </c>
      <c r="U2926" s="9" t="n">
        <f aca="false">IF(D2926="",1,0)</f>
        <v>0</v>
      </c>
      <c r="V2926" s="9" t="n">
        <f aca="false">IF(E2926="",1,0)</f>
        <v>0</v>
      </c>
      <c r="W2926" s="9" t="n">
        <f aca="false">IF(OR(H2926&lt;1,H2926&gt;10),1,0)</f>
        <v>0</v>
      </c>
      <c r="X2926" s="9" t="n">
        <f aca="false">IF(OR(I2926&lt;=0,I2926&gt;1500),1,0)</f>
        <v>0</v>
      </c>
      <c r="Y2926" s="9" t="n">
        <f aca="false">IF(J2926&gt;H2926*I2926,1,0)</f>
        <v>0</v>
      </c>
      <c r="Z2926" s="9" t="n">
        <f aca="false">IF(AND(N2926&lt;&gt;"",OR(N2926&lt;1,N2926&gt;5)),1,0)</f>
        <v>0</v>
      </c>
      <c r="AA2926" s="9" t="n">
        <f aca="false">IF(AND(M2926&lt;&gt;"",OR(M2926&lt;5,M2926&gt;180)),1,0)</f>
        <v>0</v>
      </c>
      <c r="AB2926" s="7" t="str">
        <f aca="false">IF(P2926="DUP","Exact duplicate row",IF(T2926=1,"Missing Order ID",IF(S2926="DROP","Duplicate Order ID (less complete row)",IF(U2926=1,"Missing Customer ID",IF(V2926=1,"Missing Restaurant name",IF(W2926=1,"Invalid/outlier quantity",IF(X2926=1,"Invalid/outlier unit price",IF(Y2926=1,"Discount greater than order value",""))))))))</f>
        <v/>
      </c>
      <c r="AC2926" s="7" t="str">
        <f aca="false">IF(AB2926="","KEEP","DROP")</f>
        <v>KEEP</v>
      </c>
      <c r="AD2926" s="7" t="str">
        <f aca="false">IF(TRIM(F2926)="",IFERROR(INDEX(Map_Tables!$I$4:$I$37,MATCH(TRIM(E2926),Map_Tables!$G$4:$G$37,0)),""),IFERROR(INDEX(Map_Tables!$B$4:$B$18,MATCH(TRIM(F2926),Map_Tables!$A$4:$A$18,0)),"CHECK"))</f>
        <v>Delhi</v>
      </c>
      <c r="AE2926" s="7" t="str">
        <f aca="false">IF(TRIM(E2926)="","",IFERROR(INDEX(Map_Tables!$H$4:$H$37,MATCH(TRIM(E2926),Map_Tables!$G$4:$G$37,0)),"CHECK"))</f>
        <v>Momo Magic</v>
      </c>
      <c r="AF2926" s="7" t="str">
        <f aca="false">IF(TRIM(K2926)="","Unknown",IFERROR(INDEX(Map_Tables!$E$4:$E$15,MATCH(TRIM(K2926),Map_Tables!$D$4:$D$15,0)),"CHECK"))</f>
        <v>Debit Card</v>
      </c>
      <c r="AG2926" s="7" t="str">
        <f aca="false">IF(LEFT(LOWER(TRIM(L2926)),6)="cancel","Cancelled","Delivered")</f>
        <v>Delivered</v>
      </c>
      <c r="AH2926" s="10" t="n">
        <f aca="false">IF(ISNUMBER(SEARCH("/",B2926)),DATE(VALUE(RIGHT(B2926,4)),VALUE(MID(B2926,4,2)),VALUE(LEFT(B2926,2))),IF(MID(B2926,5,1)="-",DATE(VALUE(LEFT(B2926,4)),VALUE(MID(B2926,6,2)),VALUE(RIGHT(B2926,2))),DATE(VALUE(RIGHT(B2926,4)),MATCH(MID(B2926,4,3),{"Jan","Feb","Mar","Apr","May","Jun","Jul","Aug","Sep","Oct","Nov","Dec"},0),VALUE(LEFT(B2926,2)))))</f>
        <v>45911</v>
      </c>
    </row>
    <row r="2927" customFormat="false" ht="15" hidden="false" customHeight="false" outlineLevel="0" collapsed="false">
      <c r="A2927" s="7" t="s">
        <v>6011</v>
      </c>
      <c r="B2927" s="7" t="s">
        <v>6012</v>
      </c>
      <c r="C2927" s="7" t="s">
        <v>947</v>
      </c>
      <c r="D2927" s="7" t="s">
        <v>6013</v>
      </c>
      <c r="E2927" s="7" t="s">
        <v>142</v>
      </c>
      <c r="F2927" s="7" t="s">
        <v>110</v>
      </c>
      <c r="G2927" s="7" t="s">
        <v>105</v>
      </c>
      <c r="H2927" s="7" t="n">
        <v>2</v>
      </c>
      <c r="I2927" s="7" t="n">
        <v>140</v>
      </c>
      <c r="J2927" s="7" t="n">
        <v>40</v>
      </c>
      <c r="K2927" s="7" t="s">
        <v>88</v>
      </c>
      <c r="L2927" s="7" t="s">
        <v>194</v>
      </c>
      <c r="M2927" s="7" t="n">
        <v>35</v>
      </c>
      <c r="N2927" s="7" t="n">
        <v>4</v>
      </c>
      <c r="O2927" s="7" t="str">
        <f aca="false">A2927&amp;"|"&amp;B2927&amp;"|"&amp;C2927&amp;"|"&amp;D2927&amp;"|"&amp;E2927&amp;"|"&amp;F2927&amp;"|"&amp;G2927&amp;"|"&amp;H2927&amp;"|"&amp;I2927&amp;"|"&amp;J2927&amp;"|"&amp;K2927&amp;"|"&amp;L2927&amp;"|"&amp;M2927&amp;"|"&amp;N2927</f>
        <v>ORD10647|23-Mar-2025|17:59|C0014|Momo Magic|Delhi|Chinese|2|140|40|UPI|Delivered|35|4</v>
      </c>
      <c r="P2927" s="7" t="str">
        <f aca="false">IF(COUNTIF($O$2:O2927,O2927)&gt;1,"DUP","OK")</f>
        <v>OK</v>
      </c>
      <c r="Q2927" s="7" t="n">
        <f aca="false">COUNTBLANK(A2927:N2927)</f>
        <v>0</v>
      </c>
      <c r="R2927" s="7" t="n">
        <f aca="false">IF(A2927="",0,COUNTIFS($A$2:$A$3058,A2927,$P$2:$P$3058,"OK"))</f>
        <v>1</v>
      </c>
      <c r="S2927" s="7" t="str">
        <f aca="false">IF(OR(A2927="",P2927="DUP",R2927&lt;2),"",IF(Q2927=_xlfn.MINIFS($Q$2:$Q$3058,$A$2:$A$3058,A2927,$P$2:$P$3058,"OK"),"KEEP","DROP"))</f>
        <v/>
      </c>
      <c r="T2927" s="9" t="n">
        <f aca="false">IF(A2927="",1,0)</f>
        <v>0</v>
      </c>
      <c r="U2927" s="9" t="n">
        <f aca="false">IF(D2927="",1,0)</f>
        <v>0</v>
      </c>
      <c r="V2927" s="9" t="n">
        <f aca="false">IF(E2927="",1,0)</f>
        <v>0</v>
      </c>
      <c r="W2927" s="9" t="n">
        <f aca="false">IF(OR(H2927&lt;1,H2927&gt;10),1,0)</f>
        <v>0</v>
      </c>
      <c r="X2927" s="9" t="n">
        <f aca="false">IF(OR(I2927&lt;=0,I2927&gt;1500),1,0)</f>
        <v>0</v>
      </c>
      <c r="Y2927" s="9" t="n">
        <f aca="false">IF(J2927&gt;H2927*I2927,1,0)</f>
        <v>0</v>
      </c>
      <c r="Z2927" s="9" t="n">
        <f aca="false">IF(AND(N2927&lt;&gt;"",OR(N2927&lt;1,N2927&gt;5)),1,0)</f>
        <v>0</v>
      </c>
      <c r="AA2927" s="9" t="n">
        <f aca="false">IF(AND(M2927&lt;&gt;"",OR(M2927&lt;5,M2927&gt;180)),1,0)</f>
        <v>0</v>
      </c>
      <c r="AB2927" s="7" t="str">
        <f aca="false">IF(P2927="DUP","Exact duplicate row",IF(T2927=1,"Missing Order ID",IF(S2927="DROP","Duplicate Order ID (less complete row)",IF(U2927=1,"Missing Customer ID",IF(V2927=1,"Missing Restaurant name",IF(W2927=1,"Invalid/outlier quantity",IF(X2927=1,"Invalid/outlier unit price",IF(Y2927=1,"Discount greater than order value",""))))))))</f>
        <v/>
      </c>
      <c r="AC2927" s="7" t="str">
        <f aca="false">IF(AB2927="","KEEP","DROP")</f>
        <v>KEEP</v>
      </c>
      <c r="AD2927" s="7" t="str">
        <f aca="false">IF(TRIM(F2927)="",IFERROR(INDEX(Map_Tables!$I$4:$I$37,MATCH(TRIM(E2927),Map_Tables!$G$4:$G$37,0)),""),IFERROR(INDEX(Map_Tables!$B$4:$B$18,MATCH(TRIM(F2927),Map_Tables!$A$4:$A$18,0)),"CHECK"))</f>
        <v>Delhi</v>
      </c>
      <c r="AE2927" s="7" t="str">
        <f aca="false">IF(TRIM(E2927)="","",IFERROR(INDEX(Map_Tables!$H$4:$H$37,MATCH(TRIM(E2927),Map_Tables!$G$4:$G$37,0)),"CHECK"))</f>
        <v>Momo Magic</v>
      </c>
      <c r="AF2927" s="7" t="str">
        <f aca="false">IF(TRIM(K2927)="","Unknown",IFERROR(INDEX(Map_Tables!$E$4:$E$15,MATCH(TRIM(K2927),Map_Tables!$D$4:$D$15,0)),"CHECK"))</f>
        <v>UPI</v>
      </c>
      <c r="AG2927" s="7" t="str">
        <f aca="false">IF(LEFT(LOWER(TRIM(L2927)),6)="cancel","Cancelled","Delivered")</f>
        <v>Delivered</v>
      </c>
      <c r="AH2927" s="10" t="n">
        <f aca="false">IF(ISNUMBER(SEARCH("/",B2927)),DATE(VALUE(RIGHT(B2927,4)),VALUE(MID(B2927,4,2)),VALUE(LEFT(B2927,2))),IF(MID(B2927,5,1)="-",DATE(VALUE(LEFT(B2927,4)),VALUE(MID(B2927,6,2)),VALUE(RIGHT(B2927,2))),DATE(VALUE(RIGHT(B2927,4)),MATCH(MID(B2927,4,3),{"Jan","Feb","Mar","Apr","May","Jun","Jul","Aug","Sep","Oct","Nov","Dec"},0),VALUE(LEFT(B2927,2)))))</f>
        <v>45739</v>
      </c>
    </row>
    <row r="2928" customFormat="false" ht="15" hidden="false" customHeight="false" outlineLevel="0" collapsed="false">
      <c r="A2928" s="7" t="s">
        <v>6014</v>
      </c>
      <c r="B2928" s="7" t="s">
        <v>2150</v>
      </c>
      <c r="C2928" s="7" t="s">
        <v>5930</v>
      </c>
      <c r="D2928" s="7" t="s">
        <v>2077</v>
      </c>
      <c r="E2928" s="7" t="s">
        <v>138</v>
      </c>
      <c r="F2928" s="7" t="s">
        <v>110</v>
      </c>
      <c r="G2928" s="7" t="s">
        <v>1003</v>
      </c>
      <c r="H2928" s="7" t="n">
        <v>2</v>
      </c>
      <c r="I2928" s="7" t="n">
        <v>220</v>
      </c>
      <c r="J2928" s="7" t="n">
        <v>0</v>
      </c>
      <c r="K2928" s="7" t="s">
        <v>112</v>
      </c>
      <c r="L2928" s="7" t="s">
        <v>194</v>
      </c>
      <c r="M2928" s="7" t="n">
        <v>31</v>
      </c>
      <c r="N2928" s="7" t="n">
        <v>5</v>
      </c>
      <c r="O2928" s="7" t="str">
        <f aca="false">A2928&amp;"|"&amp;B2928&amp;"|"&amp;C2928&amp;"|"&amp;D2928&amp;"|"&amp;E2928&amp;"|"&amp;F2928&amp;"|"&amp;G2928&amp;"|"&amp;H2928&amp;"|"&amp;I2928&amp;"|"&amp;J2928&amp;"|"&amp;K2928&amp;"|"&amp;L2928&amp;"|"&amp;M2928&amp;"|"&amp;N2928</f>
        <v>ORD11763|2025-08-19|13:02|C0006|Burger Barn|Delhi|BURGERS|2|220|0|Cash on Delivery|Delivered|31|5</v>
      </c>
      <c r="P2928" s="7" t="str">
        <f aca="false">IF(COUNTIF($O$2:O2928,O2928)&gt;1,"DUP","OK")</f>
        <v>OK</v>
      </c>
      <c r="Q2928" s="7" t="n">
        <f aca="false">COUNTBLANK(A2928:N2928)</f>
        <v>0</v>
      </c>
      <c r="R2928" s="7" t="n">
        <f aca="false">IF(A2928="",0,COUNTIFS($A$2:$A$3058,A2928,$P$2:$P$3058,"OK"))</f>
        <v>1</v>
      </c>
      <c r="S2928" s="7" t="str">
        <f aca="false">IF(OR(A2928="",P2928="DUP",R2928&lt;2),"",IF(Q2928=_xlfn.MINIFS($Q$2:$Q$3058,$A$2:$A$3058,A2928,$P$2:$P$3058,"OK"),"KEEP","DROP"))</f>
        <v/>
      </c>
      <c r="T2928" s="9" t="n">
        <f aca="false">IF(A2928="",1,0)</f>
        <v>0</v>
      </c>
      <c r="U2928" s="9" t="n">
        <f aca="false">IF(D2928="",1,0)</f>
        <v>0</v>
      </c>
      <c r="V2928" s="9" t="n">
        <f aca="false">IF(E2928="",1,0)</f>
        <v>0</v>
      </c>
      <c r="W2928" s="9" t="n">
        <f aca="false">IF(OR(H2928&lt;1,H2928&gt;10),1,0)</f>
        <v>0</v>
      </c>
      <c r="X2928" s="9" t="n">
        <f aca="false">IF(OR(I2928&lt;=0,I2928&gt;1500),1,0)</f>
        <v>0</v>
      </c>
      <c r="Y2928" s="9" t="n">
        <f aca="false">IF(J2928&gt;H2928*I2928,1,0)</f>
        <v>0</v>
      </c>
      <c r="Z2928" s="9" t="n">
        <f aca="false">IF(AND(N2928&lt;&gt;"",OR(N2928&lt;1,N2928&gt;5)),1,0)</f>
        <v>0</v>
      </c>
      <c r="AA2928" s="9" t="n">
        <f aca="false">IF(AND(M2928&lt;&gt;"",OR(M2928&lt;5,M2928&gt;180)),1,0)</f>
        <v>0</v>
      </c>
      <c r="AB2928" s="7" t="str">
        <f aca="false">IF(P2928="DUP","Exact duplicate row",IF(T2928=1,"Missing Order ID",IF(S2928="DROP","Duplicate Order ID (less complete row)",IF(U2928=1,"Missing Customer ID",IF(V2928=1,"Missing Restaurant name",IF(W2928=1,"Invalid/outlier quantity",IF(X2928=1,"Invalid/outlier unit price",IF(Y2928=1,"Discount greater than order value",""))))))))</f>
        <v/>
      </c>
      <c r="AC2928" s="7" t="str">
        <f aca="false">IF(AB2928="","KEEP","DROP")</f>
        <v>KEEP</v>
      </c>
      <c r="AD2928" s="7" t="str">
        <f aca="false">IF(TRIM(F2928)="",IFERROR(INDEX(Map_Tables!$I$4:$I$37,MATCH(TRIM(E2928),Map_Tables!$G$4:$G$37,0)),""),IFERROR(INDEX(Map_Tables!$B$4:$B$18,MATCH(TRIM(F2928),Map_Tables!$A$4:$A$18,0)),"CHECK"))</f>
        <v>Delhi</v>
      </c>
      <c r="AE2928" s="7" t="str">
        <f aca="false">IF(TRIM(E2928)="","",IFERROR(INDEX(Map_Tables!$H$4:$H$37,MATCH(TRIM(E2928),Map_Tables!$G$4:$G$37,0)),"CHECK"))</f>
        <v>Burger Barn</v>
      </c>
      <c r="AF2928" s="7" t="str">
        <f aca="false">IF(TRIM(K2928)="","Unknown",IFERROR(INDEX(Map_Tables!$E$4:$E$15,MATCH(TRIM(K2928),Map_Tables!$D$4:$D$15,0)),"CHECK"))</f>
        <v>Cash on Delivery</v>
      </c>
      <c r="AG2928" s="7" t="str">
        <f aca="false">IF(LEFT(LOWER(TRIM(L2928)),6)="cancel","Cancelled","Delivered")</f>
        <v>Delivered</v>
      </c>
      <c r="AH2928" s="10" t="n">
        <f aca="false">IF(ISNUMBER(SEARCH("/",B2928)),DATE(VALUE(RIGHT(B2928,4)),VALUE(MID(B2928,4,2)),VALUE(LEFT(B2928,2))),IF(MID(B2928,5,1)="-",DATE(VALUE(LEFT(B2928,4)),VALUE(MID(B2928,6,2)),VALUE(RIGHT(B2928,2))),DATE(VALUE(RIGHT(B2928,4)),MATCH(MID(B2928,4,3),{"Jan","Feb","Mar","Apr","May","Jun","Jul","Aug","Sep","Oct","Nov","Dec"},0),VALUE(LEFT(B2928,2)))))</f>
        <v>45888</v>
      </c>
    </row>
    <row r="2929" customFormat="false" ht="15" hidden="false" customHeight="false" outlineLevel="0" collapsed="false">
      <c r="A2929" s="7" t="s">
        <v>6015</v>
      </c>
      <c r="B2929" s="7" t="s">
        <v>360</v>
      </c>
      <c r="C2929" s="7" t="s">
        <v>817</v>
      </c>
      <c r="D2929" s="7" t="s">
        <v>4498</v>
      </c>
      <c r="E2929" s="7" t="s">
        <v>2752</v>
      </c>
      <c r="F2929" s="7" t="s">
        <v>110</v>
      </c>
      <c r="G2929" s="7" t="s">
        <v>90</v>
      </c>
      <c r="H2929" s="7" t="n">
        <v>1</v>
      </c>
      <c r="I2929" s="7" t="n">
        <v>285</v>
      </c>
      <c r="J2929" s="7" t="n">
        <v>20</v>
      </c>
      <c r="K2929" s="7" t="s">
        <v>103</v>
      </c>
      <c r="L2929" s="7" t="s">
        <v>194</v>
      </c>
      <c r="M2929" s="7" t="n">
        <v>35</v>
      </c>
      <c r="N2929" s="7" t="n">
        <v>4</v>
      </c>
      <c r="O2929" s="7" t="str">
        <f aca="false">A2929&amp;"|"&amp;B2929&amp;"|"&amp;C2929&amp;"|"&amp;D2929&amp;"|"&amp;E2929&amp;"|"&amp;F2929&amp;"|"&amp;G2929&amp;"|"&amp;H2929&amp;"|"&amp;I2929&amp;"|"&amp;J2929&amp;"|"&amp;K2929&amp;"|"&amp;L2929&amp;"|"&amp;M2929&amp;"|"&amp;N2929</f>
        <v>ORD10727|2025-04-02|20:53|C1396|Tandoor Tales |Delhi|North Indian|1|285|20|Debit Card|Delivered|35|4</v>
      </c>
      <c r="P2929" s="7" t="str">
        <f aca="false">IF(COUNTIF($O$2:O2929,O2929)&gt;1,"DUP","OK")</f>
        <v>OK</v>
      </c>
      <c r="Q2929" s="7" t="n">
        <f aca="false">COUNTBLANK(A2929:N2929)</f>
        <v>0</v>
      </c>
      <c r="R2929" s="7" t="n">
        <f aca="false">IF(A2929="",0,COUNTIFS($A$2:$A$3058,A2929,$P$2:$P$3058,"OK"))</f>
        <v>1</v>
      </c>
      <c r="S2929" s="7" t="str">
        <f aca="false">IF(OR(A2929="",P2929="DUP",R2929&lt;2),"",IF(Q2929=_xlfn.MINIFS($Q$2:$Q$3058,$A$2:$A$3058,A2929,$P$2:$P$3058,"OK"),"KEEP","DROP"))</f>
        <v/>
      </c>
      <c r="T2929" s="9" t="n">
        <f aca="false">IF(A2929="",1,0)</f>
        <v>0</v>
      </c>
      <c r="U2929" s="9" t="n">
        <f aca="false">IF(D2929="",1,0)</f>
        <v>0</v>
      </c>
      <c r="V2929" s="9" t="n">
        <f aca="false">IF(E2929="",1,0)</f>
        <v>0</v>
      </c>
      <c r="W2929" s="9" t="n">
        <f aca="false">IF(OR(H2929&lt;1,H2929&gt;10),1,0)</f>
        <v>0</v>
      </c>
      <c r="X2929" s="9" t="n">
        <f aca="false">IF(OR(I2929&lt;=0,I2929&gt;1500),1,0)</f>
        <v>0</v>
      </c>
      <c r="Y2929" s="9" t="n">
        <f aca="false">IF(J2929&gt;H2929*I2929,1,0)</f>
        <v>0</v>
      </c>
      <c r="Z2929" s="9" t="n">
        <f aca="false">IF(AND(N2929&lt;&gt;"",OR(N2929&lt;1,N2929&gt;5)),1,0)</f>
        <v>0</v>
      </c>
      <c r="AA2929" s="9" t="n">
        <f aca="false">IF(AND(M2929&lt;&gt;"",OR(M2929&lt;5,M2929&gt;180)),1,0)</f>
        <v>0</v>
      </c>
      <c r="AB2929" s="7" t="str">
        <f aca="false">IF(P2929="DUP","Exact duplicate row",IF(T2929=1,"Missing Order ID",IF(S2929="DROP","Duplicate Order ID (less complete row)",IF(U2929=1,"Missing Customer ID",IF(V2929=1,"Missing Restaurant name",IF(W2929=1,"Invalid/outlier quantity",IF(X2929=1,"Invalid/outlier unit price",IF(Y2929=1,"Discount greater than order value",""))))))))</f>
        <v/>
      </c>
      <c r="AC2929" s="7" t="str">
        <f aca="false">IF(AB2929="","KEEP","DROP")</f>
        <v>KEEP</v>
      </c>
      <c r="AD2929" s="7" t="str">
        <f aca="false">IF(TRIM(F2929)="",IFERROR(INDEX(Map_Tables!$I$4:$I$37,MATCH(TRIM(E2929),Map_Tables!$G$4:$G$37,0)),""),IFERROR(INDEX(Map_Tables!$B$4:$B$18,MATCH(TRIM(F2929),Map_Tables!$A$4:$A$18,0)),"CHECK"))</f>
        <v>Delhi</v>
      </c>
      <c r="AE2929" s="7" t="str">
        <f aca="false">IF(TRIM(E2929)="","",IFERROR(INDEX(Map_Tables!$H$4:$H$37,MATCH(TRIM(E2929),Map_Tables!$G$4:$G$37,0)),"CHECK"))</f>
        <v>Tandoor Tales</v>
      </c>
      <c r="AF2929" s="7" t="str">
        <f aca="false">IF(TRIM(K2929)="","Unknown",IFERROR(INDEX(Map_Tables!$E$4:$E$15,MATCH(TRIM(K2929),Map_Tables!$D$4:$D$15,0)),"CHECK"))</f>
        <v>Debit Card</v>
      </c>
      <c r="AG2929" s="7" t="str">
        <f aca="false">IF(LEFT(LOWER(TRIM(L2929)),6)="cancel","Cancelled","Delivered")</f>
        <v>Delivered</v>
      </c>
      <c r="AH2929" s="10" t="n">
        <f aca="false">IF(ISNUMBER(SEARCH("/",B2929)),DATE(VALUE(RIGHT(B2929,4)),VALUE(MID(B2929,4,2)),VALUE(LEFT(B2929,2))),IF(MID(B2929,5,1)="-",DATE(VALUE(LEFT(B2929,4)),VALUE(MID(B2929,6,2)),VALUE(RIGHT(B2929,2))),DATE(VALUE(RIGHT(B2929,4)),MATCH(MID(B2929,4,3),{"Jan","Feb","Mar","Apr","May","Jun","Jul","Aug","Sep","Oct","Nov","Dec"},0),VALUE(LEFT(B2929,2)))))</f>
        <v>45749</v>
      </c>
    </row>
    <row r="2930" customFormat="false" ht="15" hidden="false" customHeight="false" outlineLevel="0" collapsed="false">
      <c r="A2930" s="7" t="s">
        <v>6016</v>
      </c>
      <c r="B2930" s="7" t="s">
        <v>2846</v>
      </c>
      <c r="C2930" s="7" t="s">
        <v>839</v>
      </c>
      <c r="D2930" s="7" t="s">
        <v>3922</v>
      </c>
      <c r="E2930" s="7" t="s">
        <v>130</v>
      </c>
      <c r="F2930" s="7" t="s">
        <v>110</v>
      </c>
      <c r="G2930" s="7" t="s">
        <v>90</v>
      </c>
      <c r="H2930" s="7" t="n">
        <v>2</v>
      </c>
      <c r="I2930" s="7" t="n">
        <v>295</v>
      </c>
      <c r="J2930" s="7" t="n">
        <v>30</v>
      </c>
      <c r="K2930" s="7" t="s">
        <v>93</v>
      </c>
      <c r="L2930" s="7" t="s">
        <v>194</v>
      </c>
      <c r="M2930" s="7" t="n">
        <v>35</v>
      </c>
      <c r="N2930" s="7"/>
      <c r="O2930" s="7" t="str">
        <f aca="false">A2930&amp;"|"&amp;B2930&amp;"|"&amp;C2930&amp;"|"&amp;D2930&amp;"|"&amp;E2930&amp;"|"&amp;F2930&amp;"|"&amp;G2930&amp;"|"&amp;H2930&amp;"|"&amp;I2930&amp;"|"&amp;J2930&amp;"|"&amp;K2930&amp;"|"&amp;L2930&amp;"|"&amp;M2930&amp;"|"&amp;N2930</f>
        <v>ORD12239|2025-10-11|19:46|C0485|Tandoor Tales|Delhi|North Indian|2|295|30|Credit Card|Delivered|35|</v>
      </c>
      <c r="P2930" s="7" t="str">
        <f aca="false">IF(COUNTIF($O$2:O2930,O2930)&gt;1,"DUP","OK")</f>
        <v>OK</v>
      </c>
      <c r="Q2930" s="7" t="n">
        <f aca="false">COUNTBLANK(A2930:N2930)</f>
        <v>1</v>
      </c>
      <c r="R2930" s="7" t="n">
        <f aca="false">IF(A2930="",0,COUNTIFS($A$2:$A$3058,A2930,$P$2:$P$3058,"OK"))</f>
        <v>1</v>
      </c>
      <c r="S2930" s="7" t="str">
        <f aca="false">IF(OR(A2930="",P2930="DUP",R2930&lt;2),"",IF(Q2930=_xlfn.MINIFS($Q$2:$Q$3058,$A$2:$A$3058,A2930,$P$2:$P$3058,"OK"),"KEEP","DROP"))</f>
        <v/>
      </c>
      <c r="T2930" s="9" t="n">
        <f aca="false">IF(A2930="",1,0)</f>
        <v>0</v>
      </c>
      <c r="U2930" s="9" t="n">
        <f aca="false">IF(D2930="",1,0)</f>
        <v>0</v>
      </c>
      <c r="V2930" s="9" t="n">
        <f aca="false">IF(E2930="",1,0)</f>
        <v>0</v>
      </c>
      <c r="W2930" s="9" t="n">
        <f aca="false">IF(OR(H2930&lt;1,H2930&gt;10),1,0)</f>
        <v>0</v>
      </c>
      <c r="X2930" s="9" t="n">
        <f aca="false">IF(OR(I2930&lt;=0,I2930&gt;1500),1,0)</f>
        <v>0</v>
      </c>
      <c r="Y2930" s="9" t="n">
        <f aca="false">IF(J2930&gt;H2930*I2930,1,0)</f>
        <v>0</v>
      </c>
      <c r="Z2930" s="9" t="n">
        <f aca="false">IF(AND(N2930&lt;&gt;"",OR(N2930&lt;1,N2930&gt;5)),1,0)</f>
        <v>0</v>
      </c>
      <c r="AA2930" s="9" t="n">
        <f aca="false">IF(AND(M2930&lt;&gt;"",OR(M2930&lt;5,M2930&gt;180)),1,0)</f>
        <v>0</v>
      </c>
      <c r="AB2930" s="7" t="str">
        <f aca="false">IF(P2930="DUP","Exact duplicate row",IF(T2930=1,"Missing Order ID",IF(S2930="DROP","Duplicate Order ID (less complete row)",IF(U2930=1,"Missing Customer ID",IF(V2930=1,"Missing Restaurant name",IF(W2930=1,"Invalid/outlier quantity",IF(X2930=1,"Invalid/outlier unit price",IF(Y2930=1,"Discount greater than order value",""))))))))</f>
        <v/>
      </c>
      <c r="AC2930" s="7" t="str">
        <f aca="false">IF(AB2930="","KEEP","DROP")</f>
        <v>KEEP</v>
      </c>
      <c r="AD2930" s="7" t="str">
        <f aca="false">IF(TRIM(F2930)="",IFERROR(INDEX(Map_Tables!$I$4:$I$37,MATCH(TRIM(E2930),Map_Tables!$G$4:$G$37,0)),""),IFERROR(INDEX(Map_Tables!$B$4:$B$18,MATCH(TRIM(F2930),Map_Tables!$A$4:$A$18,0)),"CHECK"))</f>
        <v>Delhi</v>
      </c>
      <c r="AE2930" s="7" t="str">
        <f aca="false">IF(TRIM(E2930)="","",IFERROR(INDEX(Map_Tables!$H$4:$H$37,MATCH(TRIM(E2930),Map_Tables!$G$4:$G$37,0)),"CHECK"))</f>
        <v>Tandoor Tales</v>
      </c>
      <c r="AF2930" s="7" t="str">
        <f aca="false">IF(TRIM(K2930)="","Unknown",IFERROR(INDEX(Map_Tables!$E$4:$E$15,MATCH(TRIM(K2930),Map_Tables!$D$4:$D$15,0)),"CHECK"))</f>
        <v>Credit Card</v>
      </c>
      <c r="AG2930" s="7" t="str">
        <f aca="false">IF(LEFT(LOWER(TRIM(L2930)),6)="cancel","Cancelled","Delivered")</f>
        <v>Delivered</v>
      </c>
      <c r="AH2930" s="10" t="n">
        <f aca="false">IF(ISNUMBER(SEARCH("/",B2930)),DATE(VALUE(RIGHT(B2930,4)),VALUE(MID(B2930,4,2)),VALUE(LEFT(B2930,2))),IF(MID(B2930,5,1)="-",DATE(VALUE(LEFT(B2930,4)),VALUE(MID(B2930,6,2)),VALUE(RIGHT(B2930,2))),DATE(VALUE(RIGHT(B2930,4)),MATCH(MID(B2930,4,3),{"Jan","Feb","Mar","Apr","May","Jun","Jul","Aug","Sep","Oct","Nov","Dec"},0),VALUE(LEFT(B2930,2)))))</f>
        <v>45941</v>
      </c>
    </row>
    <row r="2931" customFormat="false" ht="15" hidden="false" customHeight="false" outlineLevel="0" collapsed="false">
      <c r="A2931" s="7" t="s">
        <v>6017</v>
      </c>
      <c r="B2931" s="7" t="s">
        <v>4236</v>
      </c>
      <c r="C2931" s="7" t="s">
        <v>3564</v>
      </c>
      <c r="D2931" s="7" t="s">
        <v>843</v>
      </c>
      <c r="E2931" s="7" t="s">
        <v>4730</v>
      </c>
      <c r="F2931" s="7" t="s">
        <v>128</v>
      </c>
      <c r="G2931" s="7" t="s">
        <v>95</v>
      </c>
      <c r="H2931" s="7" t="n">
        <v>2</v>
      </c>
      <c r="I2931" s="7" t="n">
        <v>210</v>
      </c>
      <c r="J2931" s="7" t="n">
        <v>125</v>
      </c>
      <c r="K2931" s="7" t="s">
        <v>93</v>
      </c>
      <c r="L2931" s="7" t="s">
        <v>194</v>
      </c>
      <c r="M2931" s="7" t="n">
        <v>42</v>
      </c>
      <c r="N2931" s="7" t="n">
        <v>5</v>
      </c>
      <c r="O2931" s="7" t="str">
        <f aca="false">A2931&amp;"|"&amp;B2931&amp;"|"&amp;C2931&amp;"|"&amp;D2931&amp;"|"&amp;E2931&amp;"|"&amp;F2931&amp;"|"&amp;G2931&amp;"|"&amp;H2931&amp;"|"&amp;I2931&amp;"|"&amp;J2931&amp;"|"&amp;K2931&amp;"|"&amp;L2931&amp;"|"&amp;M2931&amp;"|"&amp;N2931</f>
        <v>ORD11857|2025-08-30|21:42|C0923| Chettinad House|Chennai|South Indian|2|210|125|Credit Card|Delivered|42|5</v>
      </c>
      <c r="P2931" s="7" t="str">
        <f aca="false">IF(COUNTIF($O$2:O2931,O2931)&gt;1,"DUP","OK")</f>
        <v>OK</v>
      </c>
      <c r="Q2931" s="7" t="n">
        <f aca="false">COUNTBLANK(A2931:N2931)</f>
        <v>0</v>
      </c>
      <c r="R2931" s="7" t="n">
        <f aca="false">IF(A2931="",0,COUNTIFS($A$2:$A$3058,A2931,$P$2:$P$3058,"OK"))</f>
        <v>1</v>
      </c>
      <c r="S2931" s="7" t="str">
        <f aca="false">IF(OR(A2931="",P2931="DUP",R2931&lt;2),"",IF(Q2931=_xlfn.MINIFS($Q$2:$Q$3058,$A$2:$A$3058,A2931,$P$2:$P$3058,"OK"),"KEEP","DROP"))</f>
        <v/>
      </c>
      <c r="T2931" s="9" t="n">
        <f aca="false">IF(A2931="",1,0)</f>
        <v>0</v>
      </c>
      <c r="U2931" s="9" t="n">
        <f aca="false">IF(D2931="",1,0)</f>
        <v>0</v>
      </c>
      <c r="V2931" s="9" t="n">
        <f aca="false">IF(E2931="",1,0)</f>
        <v>0</v>
      </c>
      <c r="W2931" s="9" t="n">
        <f aca="false">IF(OR(H2931&lt;1,H2931&gt;10),1,0)</f>
        <v>0</v>
      </c>
      <c r="X2931" s="9" t="n">
        <f aca="false">IF(OR(I2931&lt;=0,I2931&gt;1500),1,0)</f>
        <v>0</v>
      </c>
      <c r="Y2931" s="9" t="n">
        <f aca="false">IF(J2931&gt;H2931*I2931,1,0)</f>
        <v>0</v>
      </c>
      <c r="Z2931" s="9" t="n">
        <f aca="false">IF(AND(N2931&lt;&gt;"",OR(N2931&lt;1,N2931&gt;5)),1,0)</f>
        <v>0</v>
      </c>
      <c r="AA2931" s="9" t="n">
        <f aca="false">IF(AND(M2931&lt;&gt;"",OR(M2931&lt;5,M2931&gt;180)),1,0)</f>
        <v>0</v>
      </c>
      <c r="AB2931" s="7" t="str">
        <f aca="false">IF(P2931="DUP","Exact duplicate row",IF(T2931=1,"Missing Order ID",IF(S2931="DROP","Duplicate Order ID (less complete row)",IF(U2931=1,"Missing Customer ID",IF(V2931=1,"Missing Restaurant name",IF(W2931=1,"Invalid/outlier quantity",IF(X2931=1,"Invalid/outlier unit price",IF(Y2931=1,"Discount greater than order value",""))))))))</f>
        <v/>
      </c>
      <c r="AC2931" s="7" t="str">
        <f aca="false">IF(AB2931="","KEEP","DROP")</f>
        <v>KEEP</v>
      </c>
      <c r="AD2931" s="7" t="str">
        <f aca="false">IF(TRIM(F2931)="",IFERROR(INDEX(Map_Tables!$I$4:$I$37,MATCH(TRIM(E2931),Map_Tables!$G$4:$G$37,0)),""),IFERROR(INDEX(Map_Tables!$B$4:$B$18,MATCH(TRIM(F2931),Map_Tables!$A$4:$A$18,0)),"CHECK"))</f>
        <v>Chennai</v>
      </c>
      <c r="AE2931" s="7" t="str">
        <f aca="false">IF(TRIM(E2931)="","",IFERROR(INDEX(Map_Tables!$H$4:$H$37,MATCH(TRIM(E2931),Map_Tables!$G$4:$G$37,0)),"CHECK"))</f>
        <v>Chettinad House</v>
      </c>
      <c r="AF2931" s="7" t="str">
        <f aca="false">IF(TRIM(K2931)="","Unknown",IFERROR(INDEX(Map_Tables!$E$4:$E$15,MATCH(TRIM(K2931),Map_Tables!$D$4:$D$15,0)),"CHECK"))</f>
        <v>Credit Card</v>
      </c>
      <c r="AG2931" s="7" t="str">
        <f aca="false">IF(LEFT(LOWER(TRIM(L2931)),6)="cancel","Cancelled","Delivered")</f>
        <v>Delivered</v>
      </c>
      <c r="AH2931" s="10" t="n">
        <f aca="false">IF(ISNUMBER(SEARCH("/",B2931)),DATE(VALUE(RIGHT(B2931,4)),VALUE(MID(B2931,4,2)),VALUE(LEFT(B2931,2))),IF(MID(B2931,5,1)="-",DATE(VALUE(LEFT(B2931,4)),VALUE(MID(B2931,6,2)),VALUE(RIGHT(B2931,2))),DATE(VALUE(RIGHT(B2931,4)),MATCH(MID(B2931,4,3),{"Jan","Feb","Mar","Apr","May","Jun","Jul","Aug","Sep","Oct","Nov","Dec"},0),VALUE(LEFT(B2931,2)))))</f>
        <v>45899</v>
      </c>
    </row>
    <row r="2932" customFormat="false" ht="15" hidden="false" customHeight="false" outlineLevel="0" collapsed="false">
      <c r="A2932" s="7" t="s">
        <v>6018</v>
      </c>
      <c r="B2932" s="7" t="s">
        <v>542</v>
      </c>
      <c r="C2932" s="7" t="s">
        <v>935</v>
      </c>
      <c r="D2932" s="7" t="s">
        <v>6019</v>
      </c>
      <c r="E2932" s="7" t="s">
        <v>122</v>
      </c>
      <c r="F2932" s="7" t="s">
        <v>101</v>
      </c>
      <c r="G2932" s="7" t="s">
        <v>123</v>
      </c>
      <c r="H2932" s="7" t="n">
        <v>2</v>
      </c>
      <c r="I2932" s="7" t="n">
        <v>305</v>
      </c>
      <c r="J2932" s="7" t="n">
        <v>0</v>
      </c>
      <c r="K2932" s="7" t="s">
        <v>88</v>
      </c>
      <c r="L2932" s="7" t="s">
        <v>194</v>
      </c>
      <c r="M2932" s="7" t="n">
        <v>47</v>
      </c>
      <c r="N2932" s="7" t="n">
        <v>3</v>
      </c>
      <c r="O2932" s="7" t="str">
        <f aca="false">A2932&amp;"|"&amp;B2932&amp;"|"&amp;C2932&amp;"|"&amp;D2932&amp;"|"&amp;E2932&amp;"|"&amp;F2932&amp;"|"&amp;G2932&amp;"|"&amp;H2932&amp;"|"&amp;I2932&amp;"|"&amp;J2932&amp;"|"&amp;K2932&amp;"|"&amp;L2932&amp;"|"&amp;M2932&amp;"|"&amp;N2932</f>
        <v>ORD12331|2025-10-21|14:41|C0173|Mumbai Pizza Co|Mumbai|Pizza|2|305|0|UPI|Delivered|47|3</v>
      </c>
      <c r="P2932" s="7" t="str">
        <f aca="false">IF(COUNTIF($O$2:O2932,O2932)&gt;1,"DUP","OK")</f>
        <v>OK</v>
      </c>
      <c r="Q2932" s="7" t="n">
        <f aca="false">COUNTBLANK(A2932:N2932)</f>
        <v>0</v>
      </c>
      <c r="R2932" s="7" t="n">
        <f aca="false">IF(A2932="",0,COUNTIFS($A$2:$A$3058,A2932,$P$2:$P$3058,"OK"))</f>
        <v>1</v>
      </c>
      <c r="S2932" s="7" t="str">
        <f aca="false">IF(OR(A2932="",P2932="DUP",R2932&lt;2),"",IF(Q2932=_xlfn.MINIFS($Q$2:$Q$3058,$A$2:$A$3058,A2932,$P$2:$P$3058,"OK"),"KEEP","DROP"))</f>
        <v/>
      </c>
      <c r="T2932" s="9" t="n">
        <f aca="false">IF(A2932="",1,0)</f>
        <v>0</v>
      </c>
      <c r="U2932" s="9" t="n">
        <f aca="false">IF(D2932="",1,0)</f>
        <v>0</v>
      </c>
      <c r="V2932" s="9" t="n">
        <f aca="false">IF(E2932="",1,0)</f>
        <v>0</v>
      </c>
      <c r="W2932" s="9" t="n">
        <f aca="false">IF(OR(H2932&lt;1,H2932&gt;10),1,0)</f>
        <v>0</v>
      </c>
      <c r="X2932" s="9" t="n">
        <f aca="false">IF(OR(I2932&lt;=0,I2932&gt;1500),1,0)</f>
        <v>0</v>
      </c>
      <c r="Y2932" s="9" t="n">
        <f aca="false">IF(J2932&gt;H2932*I2932,1,0)</f>
        <v>0</v>
      </c>
      <c r="Z2932" s="9" t="n">
        <f aca="false">IF(AND(N2932&lt;&gt;"",OR(N2932&lt;1,N2932&gt;5)),1,0)</f>
        <v>0</v>
      </c>
      <c r="AA2932" s="9" t="n">
        <f aca="false">IF(AND(M2932&lt;&gt;"",OR(M2932&lt;5,M2932&gt;180)),1,0)</f>
        <v>0</v>
      </c>
      <c r="AB2932" s="7" t="str">
        <f aca="false">IF(P2932="DUP","Exact duplicate row",IF(T2932=1,"Missing Order ID",IF(S2932="DROP","Duplicate Order ID (less complete row)",IF(U2932=1,"Missing Customer ID",IF(V2932=1,"Missing Restaurant name",IF(W2932=1,"Invalid/outlier quantity",IF(X2932=1,"Invalid/outlier unit price",IF(Y2932=1,"Discount greater than order value",""))))))))</f>
        <v/>
      </c>
      <c r="AC2932" s="7" t="str">
        <f aca="false">IF(AB2932="","KEEP","DROP")</f>
        <v>KEEP</v>
      </c>
      <c r="AD2932" s="7" t="str">
        <f aca="false">IF(TRIM(F2932)="",IFERROR(INDEX(Map_Tables!$I$4:$I$37,MATCH(TRIM(E2932),Map_Tables!$G$4:$G$37,0)),""),IFERROR(INDEX(Map_Tables!$B$4:$B$18,MATCH(TRIM(F2932),Map_Tables!$A$4:$A$18,0)),"CHECK"))</f>
        <v>Mumbai</v>
      </c>
      <c r="AE2932" s="7" t="str">
        <f aca="false">IF(TRIM(E2932)="","",IFERROR(INDEX(Map_Tables!$H$4:$H$37,MATCH(TRIM(E2932),Map_Tables!$G$4:$G$37,0)),"CHECK"))</f>
        <v>Mumbai Pizza Co</v>
      </c>
      <c r="AF2932" s="7" t="str">
        <f aca="false">IF(TRIM(K2932)="","Unknown",IFERROR(INDEX(Map_Tables!$E$4:$E$15,MATCH(TRIM(K2932),Map_Tables!$D$4:$D$15,0)),"CHECK"))</f>
        <v>UPI</v>
      </c>
      <c r="AG2932" s="7" t="str">
        <f aca="false">IF(LEFT(LOWER(TRIM(L2932)),6)="cancel","Cancelled","Delivered")</f>
        <v>Delivered</v>
      </c>
      <c r="AH2932" s="10" t="n">
        <f aca="false">IF(ISNUMBER(SEARCH("/",B2932)),DATE(VALUE(RIGHT(B2932,4)),VALUE(MID(B2932,4,2)),VALUE(LEFT(B2932,2))),IF(MID(B2932,5,1)="-",DATE(VALUE(LEFT(B2932,4)),VALUE(MID(B2932,6,2)),VALUE(RIGHT(B2932,2))),DATE(VALUE(RIGHT(B2932,4)),MATCH(MID(B2932,4,3),{"Jan","Feb","Mar","Apr","May","Jun","Jul","Aug","Sep","Oct","Nov","Dec"},0),VALUE(LEFT(B2932,2)))))</f>
        <v>45951</v>
      </c>
    </row>
    <row r="2933" customFormat="false" ht="15" hidden="false" customHeight="false" outlineLevel="0" collapsed="false">
      <c r="A2933" s="7" t="s">
        <v>6020</v>
      </c>
      <c r="B2933" s="7" t="s">
        <v>1687</v>
      </c>
      <c r="C2933" s="7" t="s">
        <v>6021</v>
      </c>
      <c r="D2933" s="7" t="s">
        <v>1176</v>
      </c>
      <c r="E2933" s="7" t="s">
        <v>155</v>
      </c>
      <c r="F2933" s="7" t="s">
        <v>127</v>
      </c>
      <c r="G2933" s="7" t="s">
        <v>156</v>
      </c>
      <c r="H2933" s="7" t="n">
        <v>5</v>
      </c>
      <c r="I2933" s="7" t="n">
        <v>295</v>
      </c>
      <c r="J2933" s="7" t="n">
        <v>150</v>
      </c>
      <c r="K2933" s="7" t="s">
        <v>88</v>
      </c>
      <c r="L2933" s="7" t="s">
        <v>238</v>
      </c>
      <c r="M2933" s="7"/>
      <c r="N2933" s="7"/>
      <c r="O2933" s="7" t="str">
        <f aca="false">A2933&amp;"|"&amp;B2933&amp;"|"&amp;C2933&amp;"|"&amp;D2933&amp;"|"&amp;E2933&amp;"|"&amp;F2933&amp;"|"&amp;G2933&amp;"|"&amp;H2933&amp;"|"&amp;I2933&amp;"|"&amp;J2933&amp;"|"&amp;K2933&amp;"|"&amp;L2933&amp;"|"&amp;M2933&amp;"|"&amp;N2933</f>
        <v>ORD10030|2025-01-04|23:42|C1077|Green Bowl Kitchen|chennai|Healthy Food|5|295|150|UPI|Cancelled||</v>
      </c>
      <c r="P2933" s="7" t="str">
        <f aca="false">IF(COUNTIF($O$2:O2933,O2933)&gt;1,"DUP","OK")</f>
        <v>OK</v>
      </c>
      <c r="Q2933" s="7" t="n">
        <f aca="false">COUNTBLANK(A2933:N2933)</f>
        <v>2</v>
      </c>
      <c r="R2933" s="7" t="n">
        <f aca="false">IF(A2933="",0,COUNTIFS($A$2:$A$3058,A2933,$P$2:$P$3058,"OK"))</f>
        <v>1</v>
      </c>
      <c r="S2933" s="7" t="str">
        <f aca="false">IF(OR(A2933="",P2933="DUP",R2933&lt;2),"",IF(Q2933=_xlfn.MINIFS($Q$2:$Q$3058,$A$2:$A$3058,A2933,$P$2:$P$3058,"OK"),"KEEP","DROP"))</f>
        <v/>
      </c>
      <c r="T2933" s="9" t="n">
        <f aca="false">IF(A2933="",1,0)</f>
        <v>0</v>
      </c>
      <c r="U2933" s="9" t="n">
        <f aca="false">IF(D2933="",1,0)</f>
        <v>0</v>
      </c>
      <c r="V2933" s="9" t="n">
        <f aca="false">IF(E2933="",1,0)</f>
        <v>0</v>
      </c>
      <c r="W2933" s="9" t="n">
        <f aca="false">IF(OR(H2933&lt;1,H2933&gt;10),1,0)</f>
        <v>0</v>
      </c>
      <c r="X2933" s="9" t="n">
        <f aca="false">IF(OR(I2933&lt;=0,I2933&gt;1500),1,0)</f>
        <v>0</v>
      </c>
      <c r="Y2933" s="9" t="n">
        <f aca="false">IF(J2933&gt;H2933*I2933,1,0)</f>
        <v>0</v>
      </c>
      <c r="Z2933" s="9" t="n">
        <f aca="false">IF(AND(N2933&lt;&gt;"",OR(N2933&lt;1,N2933&gt;5)),1,0)</f>
        <v>0</v>
      </c>
      <c r="AA2933" s="9" t="n">
        <f aca="false">IF(AND(M2933&lt;&gt;"",OR(M2933&lt;5,M2933&gt;180)),1,0)</f>
        <v>0</v>
      </c>
      <c r="AB2933" s="7" t="str">
        <f aca="false">IF(P2933="DUP","Exact duplicate row",IF(T2933=1,"Missing Order ID",IF(S2933="DROP","Duplicate Order ID (less complete row)",IF(U2933=1,"Missing Customer ID",IF(V2933=1,"Missing Restaurant name",IF(W2933=1,"Invalid/outlier quantity",IF(X2933=1,"Invalid/outlier unit price",IF(Y2933=1,"Discount greater than order value",""))))))))</f>
        <v/>
      </c>
      <c r="AC2933" s="7" t="str">
        <f aca="false">IF(AB2933="","KEEP","DROP")</f>
        <v>KEEP</v>
      </c>
      <c r="AD2933" s="7" t="str">
        <f aca="false">IF(TRIM(F2933)="",IFERROR(INDEX(Map_Tables!$I$4:$I$37,MATCH(TRIM(E2933),Map_Tables!$G$4:$G$37,0)),""),IFERROR(INDEX(Map_Tables!$B$4:$B$18,MATCH(TRIM(F2933),Map_Tables!$A$4:$A$18,0)),"CHECK"))</f>
        <v>Chennai</v>
      </c>
      <c r="AE2933" s="7" t="str">
        <f aca="false">IF(TRIM(E2933)="","",IFERROR(INDEX(Map_Tables!$H$4:$H$37,MATCH(TRIM(E2933),Map_Tables!$G$4:$G$37,0)),"CHECK"))</f>
        <v>Green Bowl Kitchen</v>
      </c>
      <c r="AF2933" s="7" t="str">
        <f aca="false">IF(TRIM(K2933)="","Unknown",IFERROR(INDEX(Map_Tables!$E$4:$E$15,MATCH(TRIM(K2933),Map_Tables!$D$4:$D$15,0)),"CHECK"))</f>
        <v>UPI</v>
      </c>
      <c r="AG2933" s="7" t="str">
        <f aca="false">IF(LEFT(LOWER(TRIM(L2933)),6)="cancel","Cancelled","Delivered")</f>
        <v>Cancelled</v>
      </c>
      <c r="AH2933" s="10" t="n">
        <f aca="false">IF(ISNUMBER(SEARCH("/",B2933)),DATE(VALUE(RIGHT(B2933,4)),VALUE(MID(B2933,4,2)),VALUE(LEFT(B2933,2))),IF(MID(B2933,5,1)="-",DATE(VALUE(LEFT(B2933,4)),VALUE(MID(B2933,6,2)),VALUE(RIGHT(B2933,2))),DATE(VALUE(RIGHT(B2933,4)),MATCH(MID(B2933,4,3),{"Jan","Feb","Mar","Apr","May","Jun","Jul","Aug","Sep","Oct","Nov","Dec"},0),VALUE(LEFT(B2933,2)))))</f>
        <v>45661</v>
      </c>
    </row>
    <row r="2934" customFormat="false" ht="15" hidden="false" customHeight="false" outlineLevel="0" collapsed="false">
      <c r="A2934" s="7" t="s">
        <v>6022</v>
      </c>
      <c r="B2934" s="7" t="s">
        <v>912</v>
      </c>
      <c r="C2934" s="7" t="s">
        <v>1269</v>
      </c>
      <c r="D2934" s="7" t="s">
        <v>1172</v>
      </c>
      <c r="E2934" s="7" t="s">
        <v>163</v>
      </c>
      <c r="F2934" s="7" t="s">
        <v>141</v>
      </c>
      <c r="G2934" s="7" t="s">
        <v>99</v>
      </c>
      <c r="H2934" s="7" t="n">
        <v>2</v>
      </c>
      <c r="I2934" s="7" t="n">
        <v>275</v>
      </c>
      <c r="J2934" s="7" t="n">
        <v>40</v>
      </c>
      <c r="K2934" s="7" t="s">
        <v>88</v>
      </c>
      <c r="L2934" s="7" t="s">
        <v>194</v>
      </c>
      <c r="M2934" s="7" t="n">
        <v>45</v>
      </c>
      <c r="N2934" s="7" t="n">
        <v>5</v>
      </c>
      <c r="O2934" s="7" t="str">
        <f aca="false">A2934&amp;"|"&amp;B2934&amp;"|"&amp;C2934&amp;"|"&amp;D2934&amp;"|"&amp;E2934&amp;"|"&amp;F2934&amp;"|"&amp;G2934&amp;"|"&amp;H2934&amp;"|"&amp;I2934&amp;"|"&amp;J2934&amp;"|"&amp;K2934&amp;"|"&amp;L2934&amp;"|"&amp;M2934&amp;"|"&amp;N2934</f>
        <v>ORD10170|2025-01-23|10:42|C0443|Biryani Baadshah|Kolkata|Biryani|2|275|40|UPI|Delivered|45|5</v>
      </c>
      <c r="P2934" s="7" t="str">
        <f aca="false">IF(COUNTIF($O$2:O2934,O2934)&gt;1,"DUP","OK")</f>
        <v>OK</v>
      </c>
      <c r="Q2934" s="7" t="n">
        <f aca="false">COUNTBLANK(A2934:N2934)</f>
        <v>0</v>
      </c>
      <c r="R2934" s="7" t="n">
        <f aca="false">IF(A2934="",0,COUNTIFS($A$2:$A$3058,A2934,$P$2:$P$3058,"OK"))</f>
        <v>1</v>
      </c>
      <c r="S2934" s="7" t="str">
        <f aca="false">IF(OR(A2934="",P2934="DUP",R2934&lt;2),"",IF(Q2934=_xlfn.MINIFS($Q$2:$Q$3058,$A$2:$A$3058,A2934,$P$2:$P$3058,"OK"),"KEEP","DROP"))</f>
        <v/>
      </c>
      <c r="T2934" s="9" t="n">
        <f aca="false">IF(A2934="",1,0)</f>
        <v>0</v>
      </c>
      <c r="U2934" s="9" t="n">
        <f aca="false">IF(D2934="",1,0)</f>
        <v>0</v>
      </c>
      <c r="V2934" s="9" t="n">
        <f aca="false">IF(E2934="",1,0)</f>
        <v>0</v>
      </c>
      <c r="W2934" s="9" t="n">
        <f aca="false">IF(OR(H2934&lt;1,H2934&gt;10),1,0)</f>
        <v>0</v>
      </c>
      <c r="X2934" s="9" t="n">
        <f aca="false">IF(OR(I2934&lt;=0,I2934&gt;1500),1,0)</f>
        <v>0</v>
      </c>
      <c r="Y2934" s="9" t="n">
        <f aca="false">IF(J2934&gt;H2934*I2934,1,0)</f>
        <v>0</v>
      </c>
      <c r="Z2934" s="9" t="n">
        <f aca="false">IF(AND(N2934&lt;&gt;"",OR(N2934&lt;1,N2934&gt;5)),1,0)</f>
        <v>0</v>
      </c>
      <c r="AA2934" s="9" t="n">
        <f aca="false">IF(AND(M2934&lt;&gt;"",OR(M2934&lt;5,M2934&gt;180)),1,0)</f>
        <v>0</v>
      </c>
      <c r="AB2934" s="7" t="str">
        <f aca="false">IF(P2934="DUP","Exact duplicate row",IF(T2934=1,"Missing Order ID",IF(S2934="DROP","Duplicate Order ID (less complete row)",IF(U2934=1,"Missing Customer ID",IF(V2934=1,"Missing Restaurant name",IF(W2934=1,"Invalid/outlier quantity",IF(X2934=1,"Invalid/outlier unit price",IF(Y2934=1,"Discount greater than order value",""))))))))</f>
        <v/>
      </c>
      <c r="AC2934" s="7" t="str">
        <f aca="false">IF(AB2934="","KEEP","DROP")</f>
        <v>KEEP</v>
      </c>
      <c r="AD2934" s="7" t="str">
        <f aca="false">IF(TRIM(F2934)="",IFERROR(INDEX(Map_Tables!$I$4:$I$37,MATCH(TRIM(E2934),Map_Tables!$G$4:$G$37,0)),""),IFERROR(INDEX(Map_Tables!$B$4:$B$18,MATCH(TRIM(F2934),Map_Tables!$A$4:$A$18,0)),"CHECK"))</f>
        <v>Kolkata</v>
      </c>
      <c r="AE2934" s="7" t="str">
        <f aca="false">IF(TRIM(E2934)="","",IFERROR(INDEX(Map_Tables!$H$4:$H$37,MATCH(TRIM(E2934),Map_Tables!$G$4:$G$37,0)),"CHECK"))</f>
        <v>Biryani Baadshah</v>
      </c>
      <c r="AF2934" s="7" t="str">
        <f aca="false">IF(TRIM(K2934)="","Unknown",IFERROR(INDEX(Map_Tables!$E$4:$E$15,MATCH(TRIM(K2934),Map_Tables!$D$4:$D$15,0)),"CHECK"))</f>
        <v>UPI</v>
      </c>
      <c r="AG2934" s="7" t="str">
        <f aca="false">IF(LEFT(LOWER(TRIM(L2934)),6)="cancel","Cancelled","Delivered")</f>
        <v>Delivered</v>
      </c>
      <c r="AH2934" s="10" t="n">
        <f aca="false">IF(ISNUMBER(SEARCH("/",B2934)),DATE(VALUE(RIGHT(B2934,4)),VALUE(MID(B2934,4,2)),VALUE(LEFT(B2934,2))),IF(MID(B2934,5,1)="-",DATE(VALUE(LEFT(B2934,4)),VALUE(MID(B2934,6,2)),VALUE(RIGHT(B2934,2))),DATE(VALUE(RIGHT(B2934,4)),MATCH(MID(B2934,4,3),{"Jan","Feb","Mar","Apr","May","Jun","Jul","Aug","Sep","Oct","Nov","Dec"},0),VALUE(LEFT(B2934,2)))))</f>
        <v>45680</v>
      </c>
    </row>
    <row r="2935" customFormat="false" ht="15" hidden="false" customHeight="false" outlineLevel="0" collapsed="false">
      <c r="A2935" s="7" t="s">
        <v>6023</v>
      </c>
      <c r="B2935" s="7" t="s">
        <v>1376</v>
      </c>
      <c r="C2935" s="7" t="s">
        <v>776</v>
      </c>
      <c r="D2935" s="7" t="s">
        <v>915</v>
      </c>
      <c r="E2935" s="7" t="s">
        <v>149</v>
      </c>
      <c r="F2935" s="7" t="s">
        <v>2488</v>
      </c>
      <c r="G2935" s="7" t="s">
        <v>150</v>
      </c>
      <c r="H2935" s="7" t="n">
        <v>2</v>
      </c>
      <c r="I2935" s="7" t="n">
        <v>175</v>
      </c>
      <c r="J2935" s="7" t="n">
        <v>20</v>
      </c>
      <c r="K2935" s="7" t="s">
        <v>88</v>
      </c>
      <c r="L2935" s="7" t="s">
        <v>194</v>
      </c>
      <c r="M2935" s="7" t="n">
        <v>31</v>
      </c>
      <c r="N2935" s="7" t="n">
        <v>5</v>
      </c>
      <c r="O2935" s="7" t="str">
        <f aca="false">A2935&amp;"|"&amp;B2935&amp;"|"&amp;C2935&amp;"|"&amp;D2935&amp;"|"&amp;E2935&amp;"|"&amp;F2935&amp;"|"&amp;G2935&amp;"|"&amp;H2935&amp;"|"&amp;I2935&amp;"|"&amp;J2935&amp;"|"&amp;K2935&amp;"|"&amp;L2935&amp;"|"&amp;M2935&amp;"|"&amp;N2935</f>
        <v>ORD11002|2025-05-07|16:13|C0141|Sweet Tooth Studio|HYDERABAD|Desserts|2|175|20|UPI|Delivered|31|5</v>
      </c>
      <c r="P2935" s="7" t="str">
        <f aca="false">IF(COUNTIF($O$2:O2935,O2935)&gt;1,"DUP","OK")</f>
        <v>OK</v>
      </c>
      <c r="Q2935" s="7" t="n">
        <f aca="false">COUNTBLANK(A2935:N2935)</f>
        <v>0</v>
      </c>
      <c r="R2935" s="7" t="n">
        <f aca="false">IF(A2935="",0,COUNTIFS($A$2:$A$3058,A2935,$P$2:$P$3058,"OK"))</f>
        <v>1</v>
      </c>
      <c r="S2935" s="7" t="str">
        <f aca="false">IF(OR(A2935="",P2935="DUP",R2935&lt;2),"",IF(Q2935=_xlfn.MINIFS($Q$2:$Q$3058,$A$2:$A$3058,A2935,$P$2:$P$3058,"OK"),"KEEP","DROP"))</f>
        <v/>
      </c>
      <c r="T2935" s="9" t="n">
        <f aca="false">IF(A2935="",1,0)</f>
        <v>0</v>
      </c>
      <c r="U2935" s="9" t="n">
        <f aca="false">IF(D2935="",1,0)</f>
        <v>0</v>
      </c>
      <c r="V2935" s="9" t="n">
        <f aca="false">IF(E2935="",1,0)</f>
        <v>0</v>
      </c>
      <c r="W2935" s="9" t="n">
        <f aca="false">IF(OR(H2935&lt;1,H2935&gt;10),1,0)</f>
        <v>0</v>
      </c>
      <c r="X2935" s="9" t="n">
        <f aca="false">IF(OR(I2935&lt;=0,I2935&gt;1500),1,0)</f>
        <v>0</v>
      </c>
      <c r="Y2935" s="9" t="n">
        <f aca="false">IF(J2935&gt;H2935*I2935,1,0)</f>
        <v>0</v>
      </c>
      <c r="Z2935" s="9" t="n">
        <f aca="false">IF(AND(N2935&lt;&gt;"",OR(N2935&lt;1,N2935&gt;5)),1,0)</f>
        <v>0</v>
      </c>
      <c r="AA2935" s="9" t="n">
        <f aca="false">IF(AND(M2935&lt;&gt;"",OR(M2935&lt;5,M2935&gt;180)),1,0)</f>
        <v>0</v>
      </c>
      <c r="AB2935" s="7" t="str">
        <f aca="false">IF(P2935="DUP","Exact duplicate row",IF(T2935=1,"Missing Order ID",IF(S2935="DROP","Duplicate Order ID (less complete row)",IF(U2935=1,"Missing Customer ID",IF(V2935=1,"Missing Restaurant name",IF(W2935=1,"Invalid/outlier quantity",IF(X2935=1,"Invalid/outlier unit price",IF(Y2935=1,"Discount greater than order value",""))))))))</f>
        <v/>
      </c>
      <c r="AC2935" s="7" t="str">
        <f aca="false">IF(AB2935="","KEEP","DROP")</f>
        <v>KEEP</v>
      </c>
      <c r="AD2935" s="7" t="str">
        <f aca="false">IF(TRIM(F2935)="",IFERROR(INDEX(Map_Tables!$I$4:$I$37,MATCH(TRIM(E2935),Map_Tables!$G$4:$G$37,0)),""),IFERROR(INDEX(Map_Tables!$B$4:$B$18,MATCH(TRIM(F2935),Map_Tables!$A$4:$A$18,0)),"CHECK"))</f>
        <v>Hyderabad</v>
      </c>
      <c r="AE2935" s="7" t="str">
        <f aca="false">IF(TRIM(E2935)="","",IFERROR(INDEX(Map_Tables!$H$4:$H$37,MATCH(TRIM(E2935),Map_Tables!$G$4:$G$37,0)),"CHECK"))</f>
        <v>Sweet Tooth Studio</v>
      </c>
      <c r="AF2935" s="7" t="str">
        <f aca="false">IF(TRIM(K2935)="","Unknown",IFERROR(INDEX(Map_Tables!$E$4:$E$15,MATCH(TRIM(K2935),Map_Tables!$D$4:$D$15,0)),"CHECK"))</f>
        <v>UPI</v>
      </c>
      <c r="AG2935" s="7" t="str">
        <f aca="false">IF(LEFT(LOWER(TRIM(L2935)),6)="cancel","Cancelled","Delivered")</f>
        <v>Delivered</v>
      </c>
      <c r="AH2935" s="10" t="n">
        <f aca="false">IF(ISNUMBER(SEARCH("/",B2935)),DATE(VALUE(RIGHT(B2935,4)),VALUE(MID(B2935,4,2)),VALUE(LEFT(B2935,2))),IF(MID(B2935,5,1)="-",DATE(VALUE(LEFT(B2935,4)),VALUE(MID(B2935,6,2)),VALUE(RIGHT(B2935,2))),DATE(VALUE(RIGHT(B2935,4)),MATCH(MID(B2935,4,3),{"Jan","Feb","Mar","Apr","May","Jun","Jul","Aug","Sep","Oct","Nov","Dec"},0),VALUE(LEFT(B2935,2)))))</f>
        <v>45784</v>
      </c>
    </row>
    <row r="2936" customFormat="false" ht="15" hidden="false" customHeight="false" outlineLevel="0" collapsed="false">
      <c r="A2936" s="7" t="s">
        <v>6024</v>
      </c>
      <c r="B2936" s="7" t="s">
        <v>240</v>
      </c>
      <c r="C2936" s="7" t="s">
        <v>1452</v>
      </c>
      <c r="D2936" s="7" t="s">
        <v>2001</v>
      </c>
      <c r="E2936" s="7" t="s">
        <v>430</v>
      </c>
      <c r="F2936" s="7" t="s">
        <v>101</v>
      </c>
      <c r="G2936" s="7" t="s">
        <v>117</v>
      </c>
      <c r="H2936" s="7" t="n">
        <v>1</v>
      </c>
      <c r="I2936" s="7" t="n">
        <v>170</v>
      </c>
      <c r="J2936" s="7" t="n">
        <v>20</v>
      </c>
      <c r="K2936" s="7" t="s">
        <v>88</v>
      </c>
      <c r="L2936" s="7" t="s">
        <v>194</v>
      </c>
      <c r="M2936" s="7" t="n">
        <v>34</v>
      </c>
      <c r="N2936" s="7" t="n">
        <v>2</v>
      </c>
      <c r="O2936" s="7" t="str">
        <f aca="false">A2936&amp;"|"&amp;B2936&amp;"|"&amp;C2936&amp;"|"&amp;D2936&amp;"|"&amp;E2936&amp;"|"&amp;F2936&amp;"|"&amp;G2936&amp;"|"&amp;H2936&amp;"|"&amp;I2936&amp;"|"&amp;J2936&amp;"|"&amp;K2936&amp;"|"&amp;L2936&amp;"|"&amp;M2936&amp;"|"&amp;N2936</f>
        <v>ORD12149|2025-10-02|18:22|C1453| Pav Bhaji Point|Mumbai|Street Food|1|170|20|UPI|Delivered|34|2</v>
      </c>
      <c r="P2936" s="7" t="str">
        <f aca="false">IF(COUNTIF($O$2:O2936,O2936)&gt;1,"DUP","OK")</f>
        <v>OK</v>
      </c>
      <c r="Q2936" s="7" t="n">
        <f aca="false">COUNTBLANK(A2936:N2936)</f>
        <v>0</v>
      </c>
      <c r="R2936" s="7" t="n">
        <f aca="false">IF(A2936="",0,COUNTIFS($A$2:$A$3058,A2936,$P$2:$P$3058,"OK"))</f>
        <v>1</v>
      </c>
      <c r="S2936" s="7" t="str">
        <f aca="false">IF(OR(A2936="",P2936="DUP",R2936&lt;2),"",IF(Q2936=_xlfn.MINIFS($Q$2:$Q$3058,$A$2:$A$3058,A2936,$P$2:$P$3058,"OK"),"KEEP","DROP"))</f>
        <v/>
      </c>
      <c r="T2936" s="9" t="n">
        <f aca="false">IF(A2936="",1,0)</f>
        <v>0</v>
      </c>
      <c r="U2936" s="9" t="n">
        <f aca="false">IF(D2936="",1,0)</f>
        <v>0</v>
      </c>
      <c r="V2936" s="9" t="n">
        <f aca="false">IF(E2936="",1,0)</f>
        <v>0</v>
      </c>
      <c r="W2936" s="9" t="n">
        <f aca="false">IF(OR(H2936&lt;1,H2936&gt;10),1,0)</f>
        <v>0</v>
      </c>
      <c r="X2936" s="9" t="n">
        <f aca="false">IF(OR(I2936&lt;=0,I2936&gt;1500),1,0)</f>
        <v>0</v>
      </c>
      <c r="Y2936" s="9" t="n">
        <f aca="false">IF(J2936&gt;H2936*I2936,1,0)</f>
        <v>0</v>
      </c>
      <c r="Z2936" s="9" t="n">
        <f aca="false">IF(AND(N2936&lt;&gt;"",OR(N2936&lt;1,N2936&gt;5)),1,0)</f>
        <v>0</v>
      </c>
      <c r="AA2936" s="9" t="n">
        <f aca="false">IF(AND(M2936&lt;&gt;"",OR(M2936&lt;5,M2936&gt;180)),1,0)</f>
        <v>0</v>
      </c>
      <c r="AB2936" s="7" t="str">
        <f aca="false">IF(P2936="DUP","Exact duplicate row",IF(T2936=1,"Missing Order ID",IF(S2936="DROP","Duplicate Order ID (less complete row)",IF(U2936=1,"Missing Customer ID",IF(V2936=1,"Missing Restaurant name",IF(W2936=1,"Invalid/outlier quantity",IF(X2936=1,"Invalid/outlier unit price",IF(Y2936=1,"Discount greater than order value",""))))))))</f>
        <v/>
      </c>
      <c r="AC2936" s="7" t="str">
        <f aca="false">IF(AB2936="","KEEP","DROP")</f>
        <v>KEEP</v>
      </c>
      <c r="AD2936" s="7" t="str">
        <f aca="false">IF(TRIM(F2936)="",IFERROR(INDEX(Map_Tables!$I$4:$I$37,MATCH(TRIM(E2936),Map_Tables!$G$4:$G$37,0)),""),IFERROR(INDEX(Map_Tables!$B$4:$B$18,MATCH(TRIM(F2936),Map_Tables!$A$4:$A$18,0)),"CHECK"))</f>
        <v>Mumbai</v>
      </c>
      <c r="AE2936" s="7" t="str">
        <f aca="false">IF(TRIM(E2936)="","",IFERROR(INDEX(Map_Tables!$H$4:$H$37,MATCH(TRIM(E2936),Map_Tables!$G$4:$G$37,0)),"CHECK"))</f>
        <v>Pav Bhaji Point</v>
      </c>
      <c r="AF2936" s="7" t="str">
        <f aca="false">IF(TRIM(K2936)="","Unknown",IFERROR(INDEX(Map_Tables!$E$4:$E$15,MATCH(TRIM(K2936),Map_Tables!$D$4:$D$15,0)),"CHECK"))</f>
        <v>UPI</v>
      </c>
      <c r="AG2936" s="7" t="str">
        <f aca="false">IF(LEFT(LOWER(TRIM(L2936)),6)="cancel","Cancelled","Delivered")</f>
        <v>Delivered</v>
      </c>
      <c r="AH2936" s="10" t="n">
        <f aca="false">IF(ISNUMBER(SEARCH("/",B2936)),DATE(VALUE(RIGHT(B2936,4)),VALUE(MID(B2936,4,2)),VALUE(LEFT(B2936,2))),IF(MID(B2936,5,1)="-",DATE(VALUE(LEFT(B2936,4)),VALUE(MID(B2936,6,2)),VALUE(RIGHT(B2936,2))),DATE(VALUE(RIGHT(B2936,4)),MATCH(MID(B2936,4,3),{"Jan","Feb","Mar","Apr","May","Jun","Jul","Aug","Sep","Oct","Nov","Dec"},0),VALUE(LEFT(B2936,2)))))</f>
        <v>45932</v>
      </c>
    </row>
    <row r="2937" customFormat="false" ht="15" hidden="false" customHeight="false" outlineLevel="0" collapsed="false">
      <c r="A2937" s="7" t="s">
        <v>6025</v>
      </c>
      <c r="B2937" s="7" t="s">
        <v>1190</v>
      </c>
      <c r="C2937" s="7" t="s">
        <v>1817</v>
      </c>
      <c r="D2937" s="7" t="s">
        <v>4864</v>
      </c>
      <c r="E2937" s="7" t="s">
        <v>154</v>
      </c>
      <c r="F2937" s="7"/>
      <c r="G2937" s="7" t="s">
        <v>99</v>
      </c>
      <c r="H2937" s="7" t="n">
        <v>1</v>
      </c>
      <c r="I2937" s="7" t="n">
        <v>215</v>
      </c>
      <c r="J2937" s="7" t="n">
        <v>0</v>
      </c>
      <c r="K2937" s="7" t="s">
        <v>88</v>
      </c>
      <c r="L2937" s="7" t="s">
        <v>194</v>
      </c>
      <c r="M2937" s="7" t="n">
        <v>44</v>
      </c>
      <c r="N2937" s="7" t="n">
        <v>4</v>
      </c>
      <c r="O2937" s="7" t="str">
        <f aca="false">A2937&amp;"|"&amp;B2937&amp;"|"&amp;C2937&amp;"|"&amp;D2937&amp;"|"&amp;E2937&amp;"|"&amp;F2937&amp;"|"&amp;G2937&amp;"|"&amp;H2937&amp;"|"&amp;I2937&amp;"|"&amp;J2937&amp;"|"&amp;K2937&amp;"|"&amp;L2937&amp;"|"&amp;M2937&amp;"|"&amp;N2937</f>
        <v>ORD10198|2025-01-26|20:47|C0065|Madras Biryani Co||Biryani|1|215|0|UPI|Delivered|44|4</v>
      </c>
      <c r="P2937" s="7" t="str">
        <f aca="false">IF(COUNTIF($O$2:O2937,O2937)&gt;1,"DUP","OK")</f>
        <v>OK</v>
      </c>
      <c r="Q2937" s="7" t="n">
        <f aca="false">COUNTBLANK(A2937:N2937)</f>
        <v>1</v>
      </c>
      <c r="R2937" s="7" t="n">
        <f aca="false">IF(A2937="",0,COUNTIFS($A$2:$A$3058,A2937,$P$2:$P$3058,"OK"))</f>
        <v>1</v>
      </c>
      <c r="S2937" s="7" t="str">
        <f aca="false">IF(OR(A2937="",P2937="DUP",R2937&lt;2),"",IF(Q2937=_xlfn.MINIFS($Q$2:$Q$3058,$A$2:$A$3058,A2937,$P$2:$P$3058,"OK"),"KEEP","DROP"))</f>
        <v/>
      </c>
      <c r="T2937" s="9" t="n">
        <f aca="false">IF(A2937="",1,0)</f>
        <v>0</v>
      </c>
      <c r="U2937" s="9" t="n">
        <f aca="false">IF(D2937="",1,0)</f>
        <v>0</v>
      </c>
      <c r="V2937" s="9" t="n">
        <f aca="false">IF(E2937="",1,0)</f>
        <v>0</v>
      </c>
      <c r="W2937" s="9" t="n">
        <f aca="false">IF(OR(H2937&lt;1,H2937&gt;10),1,0)</f>
        <v>0</v>
      </c>
      <c r="X2937" s="9" t="n">
        <f aca="false">IF(OR(I2937&lt;=0,I2937&gt;1500),1,0)</f>
        <v>0</v>
      </c>
      <c r="Y2937" s="9" t="n">
        <f aca="false">IF(J2937&gt;H2937*I2937,1,0)</f>
        <v>0</v>
      </c>
      <c r="Z2937" s="9" t="n">
        <f aca="false">IF(AND(N2937&lt;&gt;"",OR(N2937&lt;1,N2937&gt;5)),1,0)</f>
        <v>0</v>
      </c>
      <c r="AA2937" s="9" t="n">
        <f aca="false">IF(AND(M2937&lt;&gt;"",OR(M2937&lt;5,M2937&gt;180)),1,0)</f>
        <v>0</v>
      </c>
      <c r="AB2937" s="7" t="str">
        <f aca="false">IF(P2937="DUP","Exact duplicate row",IF(T2937=1,"Missing Order ID",IF(S2937="DROP","Duplicate Order ID (less complete row)",IF(U2937=1,"Missing Customer ID",IF(V2937=1,"Missing Restaurant name",IF(W2937=1,"Invalid/outlier quantity",IF(X2937=1,"Invalid/outlier unit price",IF(Y2937=1,"Discount greater than order value",""))))))))</f>
        <v/>
      </c>
      <c r="AC2937" s="7" t="str">
        <f aca="false">IF(AB2937="","KEEP","DROP")</f>
        <v>KEEP</v>
      </c>
      <c r="AD2937" s="7" t="str">
        <f aca="false">IF(TRIM(F2937)="",IFERROR(INDEX(Map_Tables!$I$4:$I$37,MATCH(TRIM(E2937),Map_Tables!$G$4:$G$37,0)),""),IFERROR(INDEX(Map_Tables!$B$4:$B$18,MATCH(TRIM(F2937),Map_Tables!$A$4:$A$18,0)),"CHECK"))</f>
        <v>Chennai</v>
      </c>
      <c r="AE2937" s="7" t="str">
        <f aca="false">IF(TRIM(E2937)="","",IFERROR(INDEX(Map_Tables!$H$4:$H$37,MATCH(TRIM(E2937),Map_Tables!$G$4:$G$37,0)),"CHECK"))</f>
        <v>Madras Biryani Co</v>
      </c>
      <c r="AF2937" s="7" t="str">
        <f aca="false">IF(TRIM(K2937)="","Unknown",IFERROR(INDEX(Map_Tables!$E$4:$E$15,MATCH(TRIM(K2937),Map_Tables!$D$4:$D$15,0)),"CHECK"))</f>
        <v>UPI</v>
      </c>
      <c r="AG2937" s="7" t="str">
        <f aca="false">IF(LEFT(LOWER(TRIM(L2937)),6)="cancel","Cancelled","Delivered")</f>
        <v>Delivered</v>
      </c>
      <c r="AH2937" s="10" t="n">
        <f aca="false">IF(ISNUMBER(SEARCH("/",B2937)),DATE(VALUE(RIGHT(B2937,4)),VALUE(MID(B2937,4,2)),VALUE(LEFT(B2937,2))),IF(MID(B2937,5,1)="-",DATE(VALUE(LEFT(B2937,4)),VALUE(MID(B2937,6,2)),VALUE(RIGHT(B2937,2))),DATE(VALUE(RIGHT(B2937,4)),MATCH(MID(B2937,4,3),{"Jan","Feb","Mar","Apr","May","Jun","Jul","Aug","Sep","Oct","Nov","Dec"},0),VALUE(LEFT(B2937,2)))))</f>
        <v>45683</v>
      </c>
    </row>
    <row r="2938" customFormat="false" ht="15" hidden="false" customHeight="false" outlineLevel="0" collapsed="false">
      <c r="A2938" s="7" t="s">
        <v>6026</v>
      </c>
      <c r="B2938" s="7" t="s">
        <v>2598</v>
      </c>
      <c r="C2938" s="7" t="s">
        <v>342</v>
      </c>
      <c r="D2938" s="7" t="s">
        <v>3420</v>
      </c>
      <c r="E2938" s="7" t="s">
        <v>89</v>
      </c>
      <c r="F2938" s="7" t="s">
        <v>86</v>
      </c>
      <c r="G2938" s="7" t="s">
        <v>90</v>
      </c>
      <c r="H2938" s="7" t="n">
        <v>3</v>
      </c>
      <c r="I2938" s="7" t="n">
        <v>235</v>
      </c>
      <c r="J2938" s="7" t="n">
        <v>125</v>
      </c>
      <c r="K2938" s="7" t="s">
        <v>88</v>
      </c>
      <c r="L2938" s="7" t="s">
        <v>194</v>
      </c>
      <c r="M2938" s="7" t="n">
        <v>38</v>
      </c>
      <c r="N2938" s="7" t="n">
        <v>4</v>
      </c>
      <c r="O2938" s="7" t="str">
        <f aca="false">A2938&amp;"|"&amp;B2938&amp;"|"&amp;C2938&amp;"|"&amp;D2938&amp;"|"&amp;E2938&amp;"|"&amp;F2938&amp;"|"&amp;G2938&amp;"|"&amp;H2938&amp;"|"&amp;I2938&amp;"|"&amp;J2938&amp;"|"&amp;K2938&amp;"|"&amp;L2938&amp;"|"&amp;M2938&amp;"|"&amp;N2938</f>
        <v>ORD10496|2025-03-07|09:57|C0503|Spice Junction|Bengaluru|North Indian|3|235|125|UPI|Delivered|38|4</v>
      </c>
      <c r="P2938" s="7" t="str">
        <f aca="false">IF(COUNTIF($O$2:O2938,O2938)&gt;1,"DUP","OK")</f>
        <v>OK</v>
      </c>
      <c r="Q2938" s="7" t="n">
        <f aca="false">COUNTBLANK(A2938:N2938)</f>
        <v>0</v>
      </c>
      <c r="R2938" s="7" t="n">
        <f aca="false">IF(A2938="",0,COUNTIFS($A$2:$A$3058,A2938,$P$2:$P$3058,"OK"))</f>
        <v>1</v>
      </c>
      <c r="S2938" s="7" t="str">
        <f aca="false">IF(OR(A2938="",P2938="DUP",R2938&lt;2),"",IF(Q2938=_xlfn.MINIFS($Q$2:$Q$3058,$A$2:$A$3058,A2938,$P$2:$P$3058,"OK"),"KEEP","DROP"))</f>
        <v/>
      </c>
      <c r="T2938" s="9" t="n">
        <f aca="false">IF(A2938="",1,0)</f>
        <v>0</v>
      </c>
      <c r="U2938" s="9" t="n">
        <f aca="false">IF(D2938="",1,0)</f>
        <v>0</v>
      </c>
      <c r="V2938" s="9" t="n">
        <f aca="false">IF(E2938="",1,0)</f>
        <v>0</v>
      </c>
      <c r="W2938" s="9" t="n">
        <f aca="false">IF(OR(H2938&lt;1,H2938&gt;10),1,0)</f>
        <v>0</v>
      </c>
      <c r="X2938" s="9" t="n">
        <f aca="false">IF(OR(I2938&lt;=0,I2938&gt;1500),1,0)</f>
        <v>0</v>
      </c>
      <c r="Y2938" s="9" t="n">
        <f aca="false">IF(J2938&gt;H2938*I2938,1,0)</f>
        <v>0</v>
      </c>
      <c r="Z2938" s="9" t="n">
        <f aca="false">IF(AND(N2938&lt;&gt;"",OR(N2938&lt;1,N2938&gt;5)),1,0)</f>
        <v>0</v>
      </c>
      <c r="AA2938" s="9" t="n">
        <f aca="false">IF(AND(M2938&lt;&gt;"",OR(M2938&lt;5,M2938&gt;180)),1,0)</f>
        <v>0</v>
      </c>
      <c r="AB2938" s="7" t="str">
        <f aca="false">IF(P2938="DUP","Exact duplicate row",IF(T2938=1,"Missing Order ID",IF(S2938="DROP","Duplicate Order ID (less complete row)",IF(U2938=1,"Missing Customer ID",IF(V2938=1,"Missing Restaurant name",IF(W2938=1,"Invalid/outlier quantity",IF(X2938=1,"Invalid/outlier unit price",IF(Y2938=1,"Discount greater than order value",""))))))))</f>
        <v/>
      </c>
      <c r="AC2938" s="7" t="str">
        <f aca="false">IF(AB2938="","KEEP","DROP")</f>
        <v>KEEP</v>
      </c>
      <c r="AD2938" s="7" t="str">
        <f aca="false">IF(TRIM(F2938)="",IFERROR(INDEX(Map_Tables!$I$4:$I$37,MATCH(TRIM(E2938),Map_Tables!$G$4:$G$37,0)),""),IFERROR(INDEX(Map_Tables!$B$4:$B$18,MATCH(TRIM(F2938),Map_Tables!$A$4:$A$18,0)),"CHECK"))</f>
        <v>Bengaluru</v>
      </c>
      <c r="AE2938" s="7" t="str">
        <f aca="false">IF(TRIM(E2938)="","",IFERROR(INDEX(Map_Tables!$H$4:$H$37,MATCH(TRIM(E2938),Map_Tables!$G$4:$G$37,0)),"CHECK"))</f>
        <v>Spice Junction</v>
      </c>
      <c r="AF2938" s="7" t="str">
        <f aca="false">IF(TRIM(K2938)="","Unknown",IFERROR(INDEX(Map_Tables!$E$4:$E$15,MATCH(TRIM(K2938),Map_Tables!$D$4:$D$15,0)),"CHECK"))</f>
        <v>UPI</v>
      </c>
      <c r="AG2938" s="7" t="str">
        <f aca="false">IF(LEFT(LOWER(TRIM(L2938)),6)="cancel","Cancelled","Delivered")</f>
        <v>Delivered</v>
      </c>
      <c r="AH2938" s="10" t="n">
        <f aca="false">IF(ISNUMBER(SEARCH("/",B2938)),DATE(VALUE(RIGHT(B2938,4)),VALUE(MID(B2938,4,2)),VALUE(LEFT(B2938,2))),IF(MID(B2938,5,1)="-",DATE(VALUE(LEFT(B2938,4)),VALUE(MID(B2938,6,2)),VALUE(RIGHT(B2938,2))),DATE(VALUE(RIGHT(B2938,4)),MATCH(MID(B2938,4,3),{"Jan","Feb","Mar","Apr","May","Jun","Jul","Aug","Sep","Oct","Nov","Dec"},0),VALUE(LEFT(B2938,2)))))</f>
        <v>45723</v>
      </c>
    </row>
    <row r="2939" customFormat="false" ht="15" hidden="false" customHeight="false" outlineLevel="0" collapsed="false">
      <c r="A2939" s="7" t="s">
        <v>6027</v>
      </c>
      <c r="B2939" s="7" t="s">
        <v>1946</v>
      </c>
      <c r="C2939" s="7" t="s">
        <v>759</v>
      </c>
      <c r="D2939" s="7" t="s">
        <v>1337</v>
      </c>
      <c r="E2939" s="7" t="s">
        <v>138</v>
      </c>
      <c r="F2939" s="7" t="s">
        <v>110</v>
      </c>
      <c r="G2939" s="7" t="s">
        <v>139</v>
      </c>
      <c r="H2939" s="7" t="n">
        <v>3</v>
      </c>
      <c r="I2939" s="7" t="n">
        <v>200</v>
      </c>
      <c r="J2939" s="7" t="n">
        <v>50</v>
      </c>
      <c r="K2939" s="7" t="s">
        <v>88</v>
      </c>
      <c r="L2939" s="7" t="s">
        <v>194</v>
      </c>
      <c r="M2939" s="7" t="n">
        <v>56</v>
      </c>
      <c r="N2939" s="7" t="n">
        <v>4</v>
      </c>
      <c r="O2939" s="7" t="str">
        <f aca="false">A2939&amp;"|"&amp;B2939&amp;"|"&amp;C2939&amp;"|"&amp;D2939&amp;"|"&amp;E2939&amp;"|"&amp;F2939&amp;"|"&amp;G2939&amp;"|"&amp;H2939&amp;"|"&amp;I2939&amp;"|"&amp;J2939&amp;"|"&amp;K2939&amp;"|"&amp;L2939&amp;"|"&amp;M2939&amp;"|"&amp;N2939</f>
        <v>ORD12027|2025-09-19|11:50|C0268|Burger Barn|Delhi|Burgers|3|200|50|UPI|Delivered|56|4</v>
      </c>
      <c r="P2939" s="7" t="str">
        <f aca="false">IF(COUNTIF($O$2:O2939,O2939)&gt;1,"DUP","OK")</f>
        <v>OK</v>
      </c>
      <c r="Q2939" s="7" t="n">
        <f aca="false">COUNTBLANK(A2939:N2939)</f>
        <v>0</v>
      </c>
      <c r="R2939" s="7" t="n">
        <f aca="false">IF(A2939="",0,COUNTIFS($A$2:$A$3058,A2939,$P$2:$P$3058,"OK"))</f>
        <v>1</v>
      </c>
      <c r="S2939" s="7" t="str">
        <f aca="false">IF(OR(A2939="",P2939="DUP",R2939&lt;2),"",IF(Q2939=_xlfn.MINIFS($Q$2:$Q$3058,$A$2:$A$3058,A2939,$P$2:$P$3058,"OK"),"KEEP","DROP"))</f>
        <v/>
      </c>
      <c r="T2939" s="9" t="n">
        <f aca="false">IF(A2939="",1,0)</f>
        <v>0</v>
      </c>
      <c r="U2939" s="9" t="n">
        <f aca="false">IF(D2939="",1,0)</f>
        <v>0</v>
      </c>
      <c r="V2939" s="9" t="n">
        <f aca="false">IF(E2939="",1,0)</f>
        <v>0</v>
      </c>
      <c r="W2939" s="9" t="n">
        <f aca="false">IF(OR(H2939&lt;1,H2939&gt;10),1,0)</f>
        <v>0</v>
      </c>
      <c r="X2939" s="9" t="n">
        <f aca="false">IF(OR(I2939&lt;=0,I2939&gt;1500),1,0)</f>
        <v>0</v>
      </c>
      <c r="Y2939" s="9" t="n">
        <f aca="false">IF(J2939&gt;H2939*I2939,1,0)</f>
        <v>0</v>
      </c>
      <c r="Z2939" s="9" t="n">
        <f aca="false">IF(AND(N2939&lt;&gt;"",OR(N2939&lt;1,N2939&gt;5)),1,0)</f>
        <v>0</v>
      </c>
      <c r="AA2939" s="9" t="n">
        <f aca="false">IF(AND(M2939&lt;&gt;"",OR(M2939&lt;5,M2939&gt;180)),1,0)</f>
        <v>0</v>
      </c>
      <c r="AB2939" s="7" t="str">
        <f aca="false">IF(P2939="DUP","Exact duplicate row",IF(T2939=1,"Missing Order ID",IF(S2939="DROP","Duplicate Order ID (less complete row)",IF(U2939=1,"Missing Customer ID",IF(V2939=1,"Missing Restaurant name",IF(W2939=1,"Invalid/outlier quantity",IF(X2939=1,"Invalid/outlier unit price",IF(Y2939=1,"Discount greater than order value",""))))))))</f>
        <v/>
      </c>
      <c r="AC2939" s="7" t="str">
        <f aca="false">IF(AB2939="","KEEP","DROP")</f>
        <v>KEEP</v>
      </c>
      <c r="AD2939" s="7" t="str">
        <f aca="false">IF(TRIM(F2939)="",IFERROR(INDEX(Map_Tables!$I$4:$I$37,MATCH(TRIM(E2939),Map_Tables!$G$4:$G$37,0)),""),IFERROR(INDEX(Map_Tables!$B$4:$B$18,MATCH(TRIM(F2939),Map_Tables!$A$4:$A$18,0)),"CHECK"))</f>
        <v>Delhi</v>
      </c>
      <c r="AE2939" s="7" t="str">
        <f aca="false">IF(TRIM(E2939)="","",IFERROR(INDEX(Map_Tables!$H$4:$H$37,MATCH(TRIM(E2939),Map_Tables!$G$4:$G$37,0)),"CHECK"))</f>
        <v>Burger Barn</v>
      </c>
      <c r="AF2939" s="7" t="str">
        <f aca="false">IF(TRIM(K2939)="","Unknown",IFERROR(INDEX(Map_Tables!$E$4:$E$15,MATCH(TRIM(K2939),Map_Tables!$D$4:$D$15,0)),"CHECK"))</f>
        <v>UPI</v>
      </c>
      <c r="AG2939" s="7" t="str">
        <f aca="false">IF(LEFT(LOWER(TRIM(L2939)),6)="cancel","Cancelled","Delivered")</f>
        <v>Delivered</v>
      </c>
      <c r="AH2939" s="10" t="n">
        <f aca="false">IF(ISNUMBER(SEARCH("/",B2939)),DATE(VALUE(RIGHT(B2939,4)),VALUE(MID(B2939,4,2)),VALUE(LEFT(B2939,2))),IF(MID(B2939,5,1)="-",DATE(VALUE(LEFT(B2939,4)),VALUE(MID(B2939,6,2)),VALUE(RIGHT(B2939,2))),DATE(VALUE(RIGHT(B2939,4)),MATCH(MID(B2939,4,3),{"Jan","Feb","Mar","Apr","May","Jun","Jul","Aug","Sep","Oct","Nov","Dec"},0),VALUE(LEFT(B2939,2)))))</f>
        <v>45919</v>
      </c>
    </row>
    <row r="2940" customFormat="false" ht="15" hidden="false" customHeight="false" outlineLevel="0" collapsed="false">
      <c r="A2940" s="7" t="s">
        <v>6028</v>
      </c>
      <c r="B2940" s="7" t="s">
        <v>813</v>
      </c>
      <c r="C2940" s="7" t="s">
        <v>1791</v>
      </c>
      <c r="D2940" s="7" t="s">
        <v>2589</v>
      </c>
      <c r="E2940" s="7" t="s">
        <v>164</v>
      </c>
      <c r="F2940" s="7" t="s">
        <v>1793</v>
      </c>
      <c r="G2940" s="7" t="s">
        <v>150</v>
      </c>
      <c r="H2940" s="7" t="n">
        <v>1</v>
      </c>
      <c r="I2940" s="7" t="n">
        <v>125</v>
      </c>
      <c r="J2940" s="7" t="n">
        <v>50</v>
      </c>
      <c r="K2940" s="7" t="s">
        <v>88</v>
      </c>
      <c r="L2940" s="7" t="s">
        <v>194</v>
      </c>
      <c r="M2940" s="7" t="n">
        <v>44</v>
      </c>
      <c r="N2940" s="7" t="n">
        <v>3</v>
      </c>
      <c r="O2940" s="7" t="str">
        <f aca="false">A2940&amp;"|"&amp;B2940&amp;"|"&amp;C2940&amp;"|"&amp;D2940&amp;"|"&amp;E2940&amp;"|"&amp;F2940&amp;"|"&amp;G2940&amp;"|"&amp;H2940&amp;"|"&amp;I2940&amp;"|"&amp;J2940&amp;"|"&amp;K2940&amp;"|"&amp;L2940&amp;"|"&amp;M2940&amp;"|"&amp;N2940</f>
        <v>ORD10648|2025-03-23|19:21|C1119|Mishti Mandir|Calcutta|Desserts|1|125|50|UPI|Delivered|44|3</v>
      </c>
      <c r="P2940" s="7" t="str">
        <f aca="false">IF(COUNTIF($O$2:O2940,O2940)&gt;1,"DUP","OK")</f>
        <v>OK</v>
      </c>
      <c r="Q2940" s="7" t="n">
        <f aca="false">COUNTBLANK(A2940:N2940)</f>
        <v>0</v>
      </c>
      <c r="R2940" s="7" t="n">
        <f aca="false">IF(A2940="",0,COUNTIFS($A$2:$A$3058,A2940,$P$2:$P$3058,"OK"))</f>
        <v>1</v>
      </c>
      <c r="S2940" s="7" t="str">
        <f aca="false">IF(OR(A2940="",P2940="DUP",R2940&lt;2),"",IF(Q2940=_xlfn.MINIFS($Q$2:$Q$3058,$A$2:$A$3058,A2940,$P$2:$P$3058,"OK"),"KEEP","DROP"))</f>
        <v/>
      </c>
      <c r="T2940" s="9" t="n">
        <f aca="false">IF(A2940="",1,0)</f>
        <v>0</v>
      </c>
      <c r="U2940" s="9" t="n">
        <f aca="false">IF(D2940="",1,0)</f>
        <v>0</v>
      </c>
      <c r="V2940" s="9" t="n">
        <f aca="false">IF(E2940="",1,0)</f>
        <v>0</v>
      </c>
      <c r="W2940" s="9" t="n">
        <f aca="false">IF(OR(H2940&lt;1,H2940&gt;10),1,0)</f>
        <v>0</v>
      </c>
      <c r="X2940" s="9" t="n">
        <f aca="false">IF(OR(I2940&lt;=0,I2940&gt;1500),1,0)</f>
        <v>0</v>
      </c>
      <c r="Y2940" s="9" t="n">
        <f aca="false">IF(J2940&gt;H2940*I2940,1,0)</f>
        <v>0</v>
      </c>
      <c r="Z2940" s="9" t="n">
        <f aca="false">IF(AND(N2940&lt;&gt;"",OR(N2940&lt;1,N2940&gt;5)),1,0)</f>
        <v>0</v>
      </c>
      <c r="AA2940" s="9" t="n">
        <f aca="false">IF(AND(M2940&lt;&gt;"",OR(M2940&lt;5,M2940&gt;180)),1,0)</f>
        <v>0</v>
      </c>
      <c r="AB2940" s="7" t="str">
        <f aca="false">IF(P2940="DUP","Exact duplicate row",IF(T2940=1,"Missing Order ID",IF(S2940="DROP","Duplicate Order ID (less complete row)",IF(U2940=1,"Missing Customer ID",IF(V2940=1,"Missing Restaurant name",IF(W2940=1,"Invalid/outlier quantity",IF(X2940=1,"Invalid/outlier unit price",IF(Y2940=1,"Discount greater than order value",""))))))))</f>
        <v/>
      </c>
      <c r="AC2940" s="7" t="str">
        <f aca="false">IF(AB2940="","KEEP","DROP")</f>
        <v>KEEP</v>
      </c>
      <c r="AD2940" s="7" t="str">
        <f aca="false">IF(TRIM(F2940)="",IFERROR(INDEX(Map_Tables!$I$4:$I$37,MATCH(TRIM(E2940),Map_Tables!$G$4:$G$37,0)),""),IFERROR(INDEX(Map_Tables!$B$4:$B$18,MATCH(TRIM(F2940),Map_Tables!$A$4:$A$18,0)),"CHECK"))</f>
        <v>Kolkata</v>
      </c>
      <c r="AE2940" s="7" t="str">
        <f aca="false">IF(TRIM(E2940)="","",IFERROR(INDEX(Map_Tables!$H$4:$H$37,MATCH(TRIM(E2940),Map_Tables!$G$4:$G$37,0)),"CHECK"))</f>
        <v>Mishti Mandir</v>
      </c>
      <c r="AF2940" s="7" t="str">
        <f aca="false">IF(TRIM(K2940)="","Unknown",IFERROR(INDEX(Map_Tables!$E$4:$E$15,MATCH(TRIM(K2940),Map_Tables!$D$4:$D$15,0)),"CHECK"))</f>
        <v>UPI</v>
      </c>
      <c r="AG2940" s="7" t="str">
        <f aca="false">IF(LEFT(LOWER(TRIM(L2940)),6)="cancel","Cancelled","Delivered")</f>
        <v>Delivered</v>
      </c>
      <c r="AH2940" s="10" t="n">
        <f aca="false">IF(ISNUMBER(SEARCH("/",B2940)),DATE(VALUE(RIGHT(B2940,4)),VALUE(MID(B2940,4,2)),VALUE(LEFT(B2940,2))),IF(MID(B2940,5,1)="-",DATE(VALUE(LEFT(B2940,4)),VALUE(MID(B2940,6,2)),VALUE(RIGHT(B2940,2))),DATE(VALUE(RIGHT(B2940,4)),MATCH(MID(B2940,4,3),{"Jan","Feb","Mar","Apr","May","Jun","Jul","Aug","Sep","Oct","Nov","Dec"},0),VALUE(LEFT(B2940,2)))))</f>
        <v>45739</v>
      </c>
    </row>
    <row r="2941" customFormat="false" ht="15" hidden="false" customHeight="false" outlineLevel="0" collapsed="false">
      <c r="A2941" s="7" t="s">
        <v>6029</v>
      </c>
      <c r="B2941" s="7" t="s">
        <v>782</v>
      </c>
      <c r="C2941" s="7" t="s">
        <v>5675</v>
      </c>
      <c r="D2941" s="7" t="s">
        <v>336</v>
      </c>
      <c r="E2941" s="7" t="s">
        <v>158</v>
      </c>
      <c r="F2941" s="7" t="s">
        <v>136</v>
      </c>
      <c r="G2941" s="7" t="s">
        <v>139</v>
      </c>
      <c r="H2941" s="7" t="n">
        <v>1</v>
      </c>
      <c r="I2941" s="7" t="n">
        <v>190</v>
      </c>
      <c r="J2941" s="7" t="n">
        <v>40</v>
      </c>
      <c r="K2941" s="7" t="s">
        <v>93</v>
      </c>
      <c r="L2941" s="7" t="s">
        <v>194</v>
      </c>
      <c r="M2941" s="7" t="n">
        <v>30</v>
      </c>
      <c r="N2941" s="7" t="n">
        <v>4</v>
      </c>
      <c r="O2941" s="7" t="str">
        <f aca="false">A2941&amp;"|"&amp;B2941&amp;"|"&amp;C2941&amp;"|"&amp;D2941&amp;"|"&amp;E2941&amp;"|"&amp;F2941&amp;"|"&amp;G2941&amp;"|"&amp;H2941&amp;"|"&amp;I2941&amp;"|"&amp;J2941&amp;"|"&amp;K2941&amp;"|"&amp;L2941&amp;"|"&amp;M2941&amp;"|"&amp;N2941</f>
        <v>ORD10045|2025-01-07|15:21|C1223|Pune Burger Hub|Pune|Burgers|1|190|40|Credit Card|Delivered|30|4</v>
      </c>
      <c r="P2941" s="7" t="str">
        <f aca="false">IF(COUNTIF($O$2:O2941,O2941)&gt;1,"DUP","OK")</f>
        <v>OK</v>
      </c>
      <c r="Q2941" s="7" t="n">
        <f aca="false">COUNTBLANK(A2941:N2941)</f>
        <v>0</v>
      </c>
      <c r="R2941" s="7" t="n">
        <f aca="false">IF(A2941="",0,COUNTIFS($A$2:$A$3058,A2941,$P$2:$P$3058,"OK"))</f>
        <v>1</v>
      </c>
      <c r="S2941" s="7" t="str">
        <f aca="false">IF(OR(A2941="",P2941="DUP",R2941&lt;2),"",IF(Q2941=_xlfn.MINIFS($Q$2:$Q$3058,$A$2:$A$3058,A2941,$P$2:$P$3058,"OK"),"KEEP","DROP"))</f>
        <v/>
      </c>
      <c r="T2941" s="9" t="n">
        <f aca="false">IF(A2941="",1,0)</f>
        <v>0</v>
      </c>
      <c r="U2941" s="9" t="n">
        <f aca="false">IF(D2941="",1,0)</f>
        <v>0</v>
      </c>
      <c r="V2941" s="9" t="n">
        <f aca="false">IF(E2941="",1,0)</f>
        <v>0</v>
      </c>
      <c r="W2941" s="9" t="n">
        <f aca="false">IF(OR(H2941&lt;1,H2941&gt;10),1,0)</f>
        <v>0</v>
      </c>
      <c r="X2941" s="9" t="n">
        <f aca="false">IF(OR(I2941&lt;=0,I2941&gt;1500),1,0)</f>
        <v>0</v>
      </c>
      <c r="Y2941" s="9" t="n">
        <f aca="false">IF(J2941&gt;H2941*I2941,1,0)</f>
        <v>0</v>
      </c>
      <c r="Z2941" s="9" t="n">
        <f aca="false">IF(AND(N2941&lt;&gt;"",OR(N2941&lt;1,N2941&gt;5)),1,0)</f>
        <v>0</v>
      </c>
      <c r="AA2941" s="9" t="n">
        <f aca="false">IF(AND(M2941&lt;&gt;"",OR(M2941&lt;5,M2941&gt;180)),1,0)</f>
        <v>0</v>
      </c>
      <c r="AB2941" s="7" t="str">
        <f aca="false">IF(P2941="DUP","Exact duplicate row",IF(T2941=1,"Missing Order ID",IF(S2941="DROP","Duplicate Order ID (less complete row)",IF(U2941=1,"Missing Customer ID",IF(V2941=1,"Missing Restaurant name",IF(W2941=1,"Invalid/outlier quantity",IF(X2941=1,"Invalid/outlier unit price",IF(Y2941=1,"Discount greater than order value",""))))))))</f>
        <v/>
      </c>
      <c r="AC2941" s="7" t="str">
        <f aca="false">IF(AB2941="","KEEP","DROP")</f>
        <v>KEEP</v>
      </c>
      <c r="AD2941" s="7" t="str">
        <f aca="false">IF(TRIM(F2941)="",IFERROR(INDEX(Map_Tables!$I$4:$I$37,MATCH(TRIM(E2941),Map_Tables!$G$4:$G$37,0)),""),IFERROR(INDEX(Map_Tables!$B$4:$B$18,MATCH(TRIM(F2941),Map_Tables!$A$4:$A$18,0)),"CHECK"))</f>
        <v>Pune</v>
      </c>
      <c r="AE2941" s="7" t="str">
        <f aca="false">IF(TRIM(E2941)="","",IFERROR(INDEX(Map_Tables!$H$4:$H$37,MATCH(TRIM(E2941),Map_Tables!$G$4:$G$37,0)),"CHECK"))</f>
        <v>Pune Burger Hub</v>
      </c>
      <c r="AF2941" s="7" t="str">
        <f aca="false">IF(TRIM(K2941)="","Unknown",IFERROR(INDEX(Map_Tables!$E$4:$E$15,MATCH(TRIM(K2941),Map_Tables!$D$4:$D$15,0)),"CHECK"))</f>
        <v>Credit Card</v>
      </c>
      <c r="AG2941" s="7" t="str">
        <f aca="false">IF(LEFT(LOWER(TRIM(L2941)),6)="cancel","Cancelled","Delivered")</f>
        <v>Delivered</v>
      </c>
      <c r="AH2941" s="10" t="n">
        <f aca="false">IF(ISNUMBER(SEARCH("/",B2941)),DATE(VALUE(RIGHT(B2941,4)),VALUE(MID(B2941,4,2)),VALUE(LEFT(B2941,2))),IF(MID(B2941,5,1)="-",DATE(VALUE(LEFT(B2941,4)),VALUE(MID(B2941,6,2)),VALUE(RIGHT(B2941,2))),DATE(VALUE(RIGHT(B2941,4)),MATCH(MID(B2941,4,3),{"Jan","Feb","Mar","Apr","May","Jun","Jul","Aug","Sep","Oct","Nov","Dec"},0),VALUE(LEFT(B2941,2)))))</f>
        <v>45664</v>
      </c>
    </row>
    <row r="2942" customFormat="false" ht="15" hidden="false" customHeight="false" outlineLevel="0" collapsed="false">
      <c r="A2942" s="7" t="s">
        <v>6030</v>
      </c>
      <c r="B2942" s="7" t="s">
        <v>1127</v>
      </c>
      <c r="C2942" s="7" t="s">
        <v>2898</v>
      </c>
      <c r="D2942" s="7" t="s">
        <v>1658</v>
      </c>
      <c r="E2942" s="7" t="s">
        <v>122</v>
      </c>
      <c r="F2942" s="7" t="s">
        <v>101</v>
      </c>
      <c r="G2942" s="7" t="s">
        <v>123</v>
      </c>
      <c r="H2942" s="7" t="n">
        <v>1</v>
      </c>
      <c r="I2942" s="7" t="n">
        <v>330</v>
      </c>
      <c r="J2942" s="7" t="n">
        <v>30</v>
      </c>
      <c r="K2942" s="7" t="s">
        <v>88</v>
      </c>
      <c r="L2942" s="7" t="s">
        <v>194</v>
      </c>
      <c r="M2942" s="7" t="n">
        <v>48</v>
      </c>
      <c r="N2942" s="7" t="n">
        <v>2</v>
      </c>
      <c r="O2942" s="7" t="str">
        <f aca="false">A2942&amp;"|"&amp;B2942&amp;"|"&amp;C2942&amp;"|"&amp;D2942&amp;"|"&amp;E2942&amp;"|"&amp;F2942&amp;"|"&amp;G2942&amp;"|"&amp;H2942&amp;"|"&amp;I2942&amp;"|"&amp;J2942&amp;"|"&amp;K2942&amp;"|"&amp;L2942&amp;"|"&amp;M2942&amp;"|"&amp;N2942</f>
        <v>ORD12759|2025-12-03|13:54|C1233|Mumbai Pizza Co|Mumbai|Pizza|1|330|30|UPI|Delivered|48|2</v>
      </c>
      <c r="P2942" s="7" t="str">
        <f aca="false">IF(COUNTIF($O$2:O2942,O2942)&gt;1,"DUP","OK")</f>
        <v>OK</v>
      </c>
      <c r="Q2942" s="7" t="n">
        <f aca="false">COUNTBLANK(A2942:N2942)</f>
        <v>0</v>
      </c>
      <c r="R2942" s="7" t="n">
        <f aca="false">IF(A2942="",0,COUNTIFS($A$2:$A$3058,A2942,$P$2:$P$3058,"OK"))</f>
        <v>1</v>
      </c>
      <c r="S2942" s="7" t="str">
        <f aca="false">IF(OR(A2942="",P2942="DUP",R2942&lt;2),"",IF(Q2942=_xlfn.MINIFS($Q$2:$Q$3058,$A$2:$A$3058,A2942,$P$2:$P$3058,"OK"),"KEEP","DROP"))</f>
        <v/>
      </c>
      <c r="T2942" s="9" t="n">
        <f aca="false">IF(A2942="",1,0)</f>
        <v>0</v>
      </c>
      <c r="U2942" s="9" t="n">
        <f aca="false">IF(D2942="",1,0)</f>
        <v>0</v>
      </c>
      <c r="V2942" s="9" t="n">
        <f aca="false">IF(E2942="",1,0)</f>
        <v>0</v>
      </c>
      <c r="W2942" s="9" t="n">
        <f aca="false">IF(OR(H2942&lt;1,H2942&gt;10),1,0)</f>
        <v>0</v>
      </c>
      <c r="X2942" s="9" t="n">
        <f aca="false">IF(OR(I2942&lt;=0,I2942&gt;1500),1,0)</f>
        <v>0</v>
      </c>
      <c r="Y2942" s="9" t="n">
        <f aca="false">IF(J2942&gt;H2942*I2942,1,0)</f>
        <v>0</v>
      </c>
      <c r="Z2942" s="9" t="n">
        <f aca="false">IF(AND(N2942&lt;&gt;"",OR(N2942&lt;1,N2942&gt;5)),1,0)</f>
        <v>0</v>
      </c>
      <c r="AA2942" s="9" t="n">
        <f aca="false">IF(AND(M2942&lt;&gt;"",OR(M2942&lt;5,M2942&gt;180)),1,0)</f>
        <v>0</v>
      </c>
      <c r="AB2942" s="7" t="str">
        <f aca="false">IF(P2942="DUP","Exact duplicate row",IF(T2942=1,"Missing Order ID",IF(S2942="DROP","Duplicate Order ID (less complete row)",IF(U2942=1,"Missing Customer ID",IF(V2942=1,"Missing Restaurant name",IF(W2942=1,"Invalid/outlier quantity",IF(X2942=1,"Invalid/outlier unit price",IF(Y2942=1,"Discount greater than order value",""))))))))</f>
        <v/>
      </c>
      <c r="AC2942" s="7" t="str">
        <f aca="false">IF(AB2942="","KEEP","DROP")</f>
        <v>KEEP</v>
      </c>
      <c r="AD2942" s="7" t="str">
        <f aca="false">IF(TRIM(F2942)="",IFERROR(INDEX(Map_Tables!$I$4:$I$37,MATCH(TRIM(E2942),Map_Tables!$G$4:$G$37,0)),""),IFERROR(INDEX(Map_Tables!$B$4:$B$18,MATCH(TRIM(F2942),Map_Tables!$A$4:$A$18,0)),"CHECK"))</f>
        <v>Mumbai</v>
      </c>
      <c r="AE2942" s="7" t="str">
        <f aca="false">IF(TRIM(E2942)="","",IFERROR(INDEX(Map_Tables!$H$4:$H$37,MATCH(TRIM(E2942),Map_Tables!$G$4:$G$37,0)),"CHECK"))</f>
        <v>Mumbai Pizza Co</v>
      </c>
      <c r="AF2942" s="7" t="str">
        <f aca="false">IF(TRIM(K2942)="","Unknown",IFERROR(INDEX(Map_Tables!$E$4:$E$15,MATCH(TRIM(K2942),Map_Tables!$D$4:$D$15,0)),"CHECK"))</f>
        <v>UPI</v>
      </c>
      <c r="AG2942" s="7" t="str">
        <f aca="false">IF(LEFT(LOWER(TRIM(L2942)),6)="cancel","Cancelled","Delivered")</f>
        <v>Delivered</v>
      </c>
      <c r="AH2942" s="10" t="n">
        <f aca="false">IF(ISNUMBER(SEARCH("/",B2942)),DATE(VALUE(RIGHT(B2942,4)),VALUE(MID(B2942,4,2)),VALUE(LEFT(B2942,2))),IF(MID(B2942,5,1)="-",DATE(VALUE(LEFT(B2942,4)),VALUE(MID(B2942,6,2)),VALUE(RIGHT(B2942,2))),DATE(VALUE(RIGHT(B2942,4)),MATCH(MID(B2942,4,3),{"Jan","Feb","Mar","Apr","May","Jun","Jul","Aug","Sep","Oct","Nov","Dec"},0),VALUE(LEFT(B2942,2)))))</f>
        <v>45994</v>
      </c>
    </row>
    <row r="2943" customFormat="false" ht="15" hidden="false" customHeight="false" outlineLevel="0" collapsed="false">
      <c r="A2943" s="7" t="s">
        <v>6031</v>
      </c>
      <c r="B2943" s="7" t="s">
        <v>200</v>
      </c>
      <c r="C2943" s="7" t="s">
        <v>241</v>
      </c>
      <c r="D2943" s="7" t="s">
        <v>6032</v>
      </c>
      <c r="E2943" s="7" t="s">
        <v>138</v>
      </c>
      <c r="F2943" s="7" t="s">
        <v>109</v>
      </c>
      <c r="G2943" s="7" t="s">
        <v>139</v>
      </c>
      <c r="H2943" s="7" t="n">
        <v>2</v>
      </c>
      <c r="I2943" s="7" t="n">
        <v>175</v>
      </c>
      <c r="J2943" s="7" t="n">
        <v>0</v>
      </c>
      <c r="K2943" s="7" t="s">
        <v>88</v>
      </c>
      <c r="L2943" s="7" t="s">
        <v>194</v>
      </c>
      <c r="M2943" s="7" t="n">
        <v>28</v>
      </c>
      <c r="N2943" s="7" t="n">
        <v>5</v>
      </c>
      <c r="O2943" s="7" t="str">
        <f aca="false">A2943&amp;"|"&amp;B2943&amp;"|"&amp;C2943&amp;"|"&amp;D2943&amp;"|"&amp;E2943&amp;"|"&amp;F2943&amp;"|"&amp;G2943&amp;"|"&amp;H2943&amp;"|"&amp;I2943&amp;"|"&amp;J2943&amp;"|"&amp;K2943&amp;"|"&amp;L2943&amp;"|"&amp;M2943&amp;"|"&amp;N2943</f>
        <v>ORD10374|2025-02-19|11:59|C1341|Burger Barn|delhi|Burgers|2|175|0|UPI|Delivered|28|5</v>
      </c>
      <c r="P2943" s="7" t="str">
        <f aca="false">IF(COUNTIF($O$2:O2943,O2943)&gt;1,"DUP","OK")</f>
        <v>OK</v>
      </c>
      <c r="Q2943" s="7" t="n">
        <f aca="false">COUNTBLANK(A2943:N2943)</f>
        <v>0</v>
      </c>
      <c r="R2943" s="7" t="n">
        <f aca="false">IF(A2943="",0,COUNTIFS($A$2:$A$3058,A2943,$P$2:$P$3058,"OK"))</f>
        <v>1</v>
      </c>
      <c r="S2943" s="7" t="str">
        <f aca="false">IF(OR(A2943="",P2943="DUP",R2943&lt;2),"",IF(Q2943=_xlfn.MINIFS($Q$2:$Q$3058,$A$2:$A$3058,A2943,$P$2:$P$3058,"OK"),"KEEP","DROP"))</f>
        <v/>
      </c>
      <c r="T2943" s="9" t="n">
        <f aca="false">IF(A2943="",1,0)</f>
        <v>0</v>
      </c>
      <c r="U2943" s="9" t="n">
        <f aca="false">IF(D2943="",1,0)</f>
        <v>0</v>
      </c>
      <c r="V2943" s="9" t="n">
        <f aca="false">IF(E2943="",1,0)</f>
        <v>0</v>
      </c>
      <c r="W2943" s="9" t="n">
        <f aca="false">IF(OR(H2943&lt;1,H2943&gt;10),1,0)</f>
        <v>0</v>
      </c>
      <c r="X2943" s="9" t="n">
        <f aca="false">IF(OR(I2943&lt;=0,I2943&gt;1500),1,0)</f>
        <v>0</v>
      </c>
      <c r="Y2943" s="9" t="n">
        <f aca="false">IF(J2943&gt;H2943*I2943,1,0)</f>
        <v>0</v>
      </c>
      <c r="Z2943" s="9" t="n">
        <f aca="false">IF(AND(N2943&lt;&gt;"",OR(N2943&lt;1,N2943&gt;5)),1,0)</f>
        <v>0</v>
      </c>
      <c r="AA2943" s="9" t="n">
        <f aca="false">IF(AND(M2943&lt;&gt;"",OR(M2943&lt;5,M2943&gt;180)),1,0)</f>
        <v>0</v>
      </c>
      <c r="AB2943" s="7" t="str">
        <f aca="false">IF(P2943="DUP","Exact duplicate row",IF(T2943=1,"Missing Order ID",IF(S2943="DROP","Duplicate Order ID (less complete row)",IF(U2943=1,"Missing Customer ID",IF(V2943=1,"Missing Restaurant name",IF(W2943=1,"Invalid/outlier quantity",IF(X2943=1,"Invalid/outlier unit price",IF(Y2943=1,"Discount greater than order value",""))))))))</f>
        <v/>
      </c>
      <c r="AC2943" s="7" t="str">
        <f aca="false">IF(AB2943="","KEEP","DROP")</f>
        <v>KEEP</v>
      </c>
      <c r="AD2943" s="7" t="str">
        <f aca="false">IF(TRIM(F2943)="",IFERROR(INDEX(Map_Tables!$I$4:$I$37,MATCH(TRIM(E2943),Map_Tables!$G$4:$G$37,0)),""),IFERROR(INDEX(Map_Tables!$B$4:$B$18,MATCH(TRIM(F2943),Map_Tables!$A$4:$A$18,0)),"CHECK"))</f>
        <v>Delhi</v>
      </c>
      <c r="AE2943" s="7" t="str">
        <f aca="false">IF(TRIM(E2943)="","",IFERROR(INDEX(Map_Tables!$H$4:$H$37,MATCH(TRIM(E2943),Map_Tables!$G$4:$G$37,0)),"CHECK"))</f>
        <v>Burger Barn</v>
      </c>
      <c r="AF2943" s="7" t="str">
        <f aca="false">IF(TRIM(K2943)="","Unknown",IFERROR(INDEX(Map_Tables!$E$4:$E$15,MATCH(TRIM(K2943),Map_Tables!$D$4:$D$15,0)),"CHECK"))</f>
        <v>UPI</v>
      </c>
      <c r="AG2943" s="7" t="str">
        <f aca="false">IF(LEFT(LOWER(TRIM(L2943)),6)="cancel","Cancelled","Delivered")</f>
        <v>Delivered</v>
      </c>
      <c r="AH2943" s="10" t="n">
        <f aca="false">IF(ISNUMBER(SEARCH("/",B2943)),DATE(VALUE(RIGHT(B2943,4)),VALUE(MID(B2943,4,2)),VALUE(LEFT(B2943,2))),IF(MID(B2943,5,1)="-",DATE(VALUE(LEFT(B2943,4)),VALUE(MID(B2943,6,2)),VALUE(RIGHT(B2943,2))),DATE(VALUE(RIGHT(B2943,4)),MATCH(MID(B2943,4,3),{"Jan","Feb","Mar","Apr","May","Jun","Jul","Aug","Sep","Oct","Nov","Dec"},0),VALUE(LEFT(B2943,2)))))</f>
        <v>45707</v>
      </c>
    </row>
    <row r="2944" customFormat="false" ht="15" hidden="false" customHeight="false" outlineLevel="0" collapsed="false">
      <c r="A2944" s="7" t="s">
        <v>3589</v>
      </c>
      <c r="B2944" s="7" t="s">
        <v>190</v>
      </c>
      <c r="C2944" s="7" t="s">
        <v>1635</v>
      </c>
      <c r="D2944" s="7" t="s">
        <v>2077</v>
      </c>
      <c r="E2944" s="7" t="s">
        <v>122</v>
      </c>
      <c r="F2944" s="7" t="s">
        <v>498</v>
      </c>
      <c r="G2944" s="7" t="s">
        <v>123</v>
      </c>
      <c r="H2944" s="7" t="n">
        <v>1</v>
      </c>
      <c r="I2944" s="7" t="n">
        <v>375</v>
      </c>
      <c r="J2944" s="7" t="n">
        <v>0</v>
      </c>
      <c r="K2944" s="7" t="s">
        <v>88</v>
      </c>
      <c r="L2944" s="7" t="s">
        <v>194</v>
      </c>
      <c r="M2944" s="7" t="n">
        <v>33</v>
      </c>
      <c r="N2944" s="7" t="n">
        <v>4</v>
      </c>
      <c r="O2944" s="7" t="str">
        <f aca="false">A2944&amp;"|"&amp;B2944&amp;"|"&amp;C2944&amp;"|"&amp;D2944&amp;"|"&amp;E2944&amp;"|"&amp;F2944&amp;"|"&amp;G2944&amp;"|"&amp;H2944&amp;"|"&amp;I2944&amp;"|"&amp;J2944&amp;"|"&amp;K2944&amp;"|"&amp;L2944&amp;"|"&amp;M2944&amp;"|"&amp;N2944</f>
        <v>ORD10679|2025-03-27|21:31|C0006|Mumbai Pizza Co|Bombay|Pizza|1|375|0|UPI|Delivered|33|4</v>
      </c>
      <c r="P2944" s="7" t="str">
        <f aca="false">IF(COUNTIF($O$2:O2944,O2944)&gt;1,"DUP","OK")</f>
        <v>DUP</v>
      </c>
      <c r="Q2944" s="7" t="n">
        <f aca="false">COUNTBLANK(A2944:N2944)</f>
        <v>0</v>
      </c>
      <c r="R2944" s="7" t="n">
        <f aca="false">IF(A2944="",0,COUNTIFS($A$2:$A$3058,A2944,$P$2:$P$3058,"OK"))</f>
        <v>1</v>
      </c>
      <c r="S2944" s="7" t="str">
        <f aca="false">IF(OR(A2944="",P2944="DUP",R2944&lt;2),"",IF(Q2944=_xlfn.MINIFS($Q$2:$Q$3058,$A$2:$A$3058,A2944,$P$2:$P$3058,"OK"),"KEEP","DROP"))</f>
        <v/>
      </c>
      <c r="T2944" s="9" t="n">
        <f aca="false">IF(A2944="",1,0)</f>
        <v>0</v>
      </c>
      <c r="U2944" s="9" t="n">
        <f aca="false">IF(D2944="",1,0)</f>
        <v>0</v>
      </c>
      <c r="V2944" s="9" t="n">
        <f aca="false">IF(E2944="",1,0)</f>
        <v>0</v>
      </c>
      <c r="W2944" s="9" t="n">
        <f aca="false">IF(OR(H2944&lt;1,H2944&gt;10),1,0)</f>
        <v>0</v>
      </c>
      <c r="X2944" s="9" t="n">
        <f aca="false">IF(OR(I2944&lt;=0,I2944&gt;1500),1,0)</f>
        <v>0</v>
      </c>
      <c r="Y2944" s="9" t="n">
        <f aca="false">IF(J2944&gt;H2944*I2944,1,0)</f>
        <v>0</v>
      </c>
      <c r="Z2944" s="9" t="n">
        <f aca="false">IF(AND(N2944&lt;&gt;"",OR(N2944&lt;1,N2944&gt;5)),1,0)</f>
        <v>0</v>
      </c>
      <c r="AA2944" s="9" t="n">
        <f aca="false">IF(AND(M2944&lt;&gt;"",OR(M2944&lt;5,M2944&gt;180)),1,0)</f>
        <v>0</v>
      </c>
      <c r="AB2944" s="7" t="str">
        <f aca="false">IF(P2944="DUP","Exact duplicate row",IF(T2944=1,"Missing Order ID",IF(S2944="DROP","Duplicate Order ID (less complete row)",IF(U2944=1,"Missing Customer ID",IF(V2944=1,"Missing Restaurant name",IF(W2944=1,"Invalid/outlier quantity",IF(X2944=1,"Invalid/outlier unit price",IF(Y2944=1,"Discount greater than order value",""))))))))</f>
        <v>Exact duplicate row</v>
      </c>
      <c r="AC2944" s="7" t="str">
        <f aca="false">IF(AB2944="","KEEP","DROP")</f>
        <v>DROP</v>
      </c>
      <c r="AD2944" s="7" t="str">
        <f aca="false">IF(TRIM(F2944)="",IFERROR(INDEX(Map_Tables!$I$4:$I$37,MATCH(TRIM(E2944),Map_Tables!$G$4:$G$37,0)),""),IFERROR(INDEX(Map_Tables!$B$4:$B$18,MATCH(TRIM(F2944),Map_Tables!$A$4:$A$18,0)),"CHECK"))</f>
        <v>Mumbai</v>
      </c>
      <c r="AE2944" s="7" t="str">
        <f aca="false">IF(TRIM(E2944)="","",IFERROR(INDEX(Map_Tables!$H$4:$H$37,MATCH(TRIM(E2944),Map_Tables!$G$4:$G$37,0)),"CHECK"))</f>
        <v>Mumbai Pizza Co</v>
      </c>
      <c r="AF2944" s="7" t="str">
        <f aca="false">IF(TRIM(K2944)="","Unknown",IFERROR(INDEX(Map_Tables!$E$4:$E$15,MATCH(TRIM(K2944),Map_Tables!$D$4:$D$15,0)),"CHECK"))</f>
        <v>UPI</v>
      </c>
      <c r="AG2944" s="7" t="str">
        <f aca="false">IF(LEFT(LOWER(TRIM(L2944)),6)="cancel","Cancelled","Delivered")</f>
        <v>Delivered</v>
      </c>
      <c r="AH2944" s="10" t="n">
        <f aca="false">IF(ISNUMBER(SEARCH("/",B2944)),DATE(VALUE(RIGHT(B2944,4)),VALUE(MID(B2944,4,2)),VALUE(LEFT(B2944,2))),IF(MID(B2944,5,1)="-",DATE(VALUE(LEFT(B2944,4)),VALUE(MID(B2944,6,2)),VALUE(RIGHT(B2944,2))),DATE(VALUE(RIGHT(B2944,4)),MATCH(MID(B2944,4,3),{"Jan","Feb","Mar","Apr","May","Jun","Jul","Aug","Sep","Oct","Nov","Dec"},0),VALUE(LEFT(B2944,2)))))</f>
        <v>45743</v>
      </c>
    </row>
    <row r="2945" customFormat="false" ht="15" hidden="false" customHeight="false" outlineLevel="0" collapsed="false">
      <c r="A2945" s="7" t="s">
        <v>6033</v>
      </c>
      <c r="B2945" s="7" t="s">
        <v>1446</v>
      </c>
      <c r="C2945" s="7" t="s">
        <v>1631</v>
      </c>
      <c r="D2945" s="7" t="s">
        <v>1521</v>
      </c>
      <c r="E2945" s="7" t="s">
        <v>159</v>
      </c>
      <c r="F2945" s="7" t="s">
        <v>136</v>
      </c>
      <c r="G2945" s="7" t="s">
        <v>90</v>
      </c>
      <c r="H2945" s="7" t="n">
        <v>2</v>
      </c>
      <c r="I2945" s="7" t="n">
        <v>240</v>
      </c>
      <c r="J2945" s="7" t="n">
        <v>125</v>
      </c>
      <c r="K2945" s="7" t="s">
        <v>88</v>
      </c>
      <c r="L2945" s="7" t="s">
        <v>194</v>
      </c>
      <c r="M2945" s="7" t="n">
        <v>37</v>
      </c>
      <c r="N2945" s="7" t="n">
        <v>3</v>
      </c>
      <c r="O2945" s="7" t="str">
        <f aca="false">A2945&amp;"|"&amp;B2945&amp;"|"&amp;C2945&amp;"|"&amp;D2945&amp;"|"&amp;E2945&amp;"|"&amp;F2945&amp;"|"&amp;G2945&amp;"|"&amp;H2945&amp;"|"&amp;I2945&amp;"|"&amp;J2945&amp;"|"&amp;K2945&amp;"|"&amp;L2945&amp;"|"&amp;M2945&amp;"|"&amp;N2945</f>
        <v>ORD10567|2025-03-13|19:53|C0475|Maratha Thali House|Pune|North Indian|2|240|125|UPI|Delivered|37|3</v>
      </c>
      <c r="P2945" s="7" t="str">
        <f aca="false">IF(COUNTIF($O$2:O2945,O2945)&gt;1,"DUP","OK")</f>
        <v>OK</v>
      </c>
      <c r="Q2945" s="7" t="n">
        <f aca="false">COUNTBLANK(A2945:N2945)</f>
        <v>0</v>
      </c>
      <c r="R2945" s="7" t="n">
        <f aca="false">IF(A2945="",0,COUNTIFS($A$2:$A$3058,A2945,$P$2:$P$3058,"OK"))</f>
        <v>1</v>
      </c>
      <c r="S2945" s="7" t="str">
        <f aca="false">IF(OR(A2945="",P2945="DUP",R2945&lt;2),"",IF(Q2945=_xlfn.MINIFS($Q$2:$Q$3058,$A$2:$A$3058,A2945,$P$2:$P$3058,"OK"),"KEEP","DROP"))</f>
        <v/>
      </c>
      <c r="T2945" s="9" t="n">
        <f aca="false">IF(A2945="",1,0)</f>
        <v>0</v>
      </c>
      <c r="U2945" s="9" t="n">
        <f aca="false">IF(D2945="",1,0)</f>
        <v>0</v>
      </c>
      <c r="V2945" s="9" t="n">
        <f aca="false">IF(E2945="",1,0)</f>
        <v>0</v>
      </c>
      <c r="W2945" s="9" t="n">
        <f aca="false">IF(OR(H2945&lt;1,H2945&gt;10),1,0)</f>
        <v>0</v>
      </c>
      <c r="X2945" s="9" t="n">
        <f aca="false">IF(OR(I2945&lt;=0,I2945&gt;1500),1,0)</f>
        <v>0</v>
      </c>
      <c r="Y2945" s="9" t="n">
        <f aca="false">IF(J2945&gt;H2945*I2945,1,0)</f>
        <v>0</v>
      </c>
      <c r="Z2945" s="9" t="n">
        <f aca="false">IF(AND(N2945&lt;&gt;"",OR(N2945&lt;1,N2945&gt;5)),1,0)</f>
        <v>0</v>
      </c>
      <c r="AA2945" s="9" t="n">
        <f aca="false">IF(AND(M2945&lt;&gt;"",OR(M2945&lt;5,M2945&gt;180)),1,0)</f>
        <v>0</v>
      </c>
      <c r="AB2945" s="7" t="str">
        <f aca="false">IF(P2945="DUP","Exact duplicate row",IF(T2945=1,"Missing Order ID",IF(S2945="DROP","Duplicate Order ID (less complete row)",IF(U2945=1,"Missing Customer ID",IF(V2945=1,"Missing Restaurant name",IF(W2945=1,"Invalid/outlier quantity",IF(X2945=1,"Invalid/outlier unit price",IF(Y2945=1,"Discount greater than order value",""))))))))</f>
        <v/>
      </c>
      <c r="AC2945" s="7" t="str">
        <f aca="false">IF(AB2945="","KEEP","DROP")</f>
        <v>KEEP</v>
      </c>
      <c r="AD2945" s="7" t="str">
        <f aca="false">IF(TRIM(F2945)="",IFERROR(INDEX(Map_Tables!$I$4:$I$37,MATCH(TRIM(E2945),Map_Tables!$G$4:$G$37,0)),""),IFERROR(INDEX(Map_Tables!$B$4:$B$18,MATCH(TRIM(F2945),Map_Tables!$A$4:$A$18,0)),"CHECK"))</f>
        <v>Pune</v>
      </c>
      <c r="AE2945" s="7" t="str">
        <f aca="false">IF(TRIM(E2945)="","",IFERROR(INDEX(Map_Tables!$H$4:$H$37,MATCH(TRIM(E2945),Map_Tables!$G$4:$G$37,0)),"CHECK"))</f>
        <v>Maratha Thali House</v>
      </c>
      <c r="AF2945" s="7" t="str">
        <f aca="false">IF(TRIM(K2945)="","Unknown",IFERROR(INDEX(Map_Tables!$E$4:$E$15,MATCH(TRIM(K2945),Map_Tables!$D$4:$D$15,0)),"CHECK"))</f>
        <v>UPI</v>
      </c>
      <c r="AG2945" s="7" t="str">
        <f aca="false">IF(LEFT(LOWER(TRIM(L2945)),6)="cancel","Cancelled","Delivered")</f>
        <v>Delivered</v>
      </c>
      <c r="AH2945" s="10" t="n">
        <f aca="false">IF(ISNUMBER(SEARCH("/",B2945)),DATE(VALUE(RIGHT(B2945,4)),VALUE(MID(B2945,4,2)),VALUE(LEFT(B2945,2))),IF(MID(B2945,5,1)="-",DATE(VALUE(LEFT(B2945,4)),VALUE(MID(B2945,6,2)),VALUE(RIGHT(B2945,2))),DATE(VALUE(RIGHT(B2945,4)),MATCH(MID(B2945,4,3),{"Jan","Feb","Mar","Apr","May","Jun","Jul","Aug","Sep","Oct","Nov","Dec"},0),VALUE(LEFT(B2945,2)))))</f>
        <v>45729</v>
      </c>
    </row>
    <row r="2946" customFormat="false" ht="15" hidden="false" customHeight="false" outlineLevel="0" collapsed="false">
      <c r="A2946" s="7" t="s">
        <v>6034</v>
      </c>
      <c r="B2946" s="7" t="s">
        <v>1429</v>
      </c>
      <c r="C2946" s="7" t="s">
        <v>2705</v>
      </c>
      <c r="D2946" s="7" t="s">
        <v>2130</v>
      </c>
      <c r="E2946" s="7" t="s">
        <v>147</v>
      </c>
      <c r="F2946" s="7" t="s">
        <v>119</v>
      </c>
      <c r="G2946" s="7" t="s">
        <v>95</v>
      </c>
      <c r="H2946" s="7" t="n">
        <v>2</v>
      </c>
      <c r="I2946" s="7" t="n">
        <v>155</v>
      </c>
      <c r="J2946" s="7" t="n">
        <v>0</v>
      </c>
      <c r="K2946" s="7" t="s">
        <v>93</v>
      </c>
      <c r="L2946" s="7" t="s">
        <v>194</v>
      </c>
      <c r="M2946" s="7" t="n">
        <v>33</v>
      </c>
      <c r="N2946" s="7" t="n">
        <v>5</v>
      </c>
      <c r="O2946" s="7" t="str">
        <f aca="false">A2946&amp;"|"&amp;B2946&amp;"|"&amp;C2946&amp;"|"&amp;D2946&amp;"|"&amp;E2946&amp;"|"&amp;F2946&amp;"|"&amp;G2946&amp;"|"&amp;H2946&amp;"|"&amp;I2946&amp;"|"&amp;J2946&amp;"|"&amp;K2946&amp;"|"&amp;L2946&amp;"|"&amp;M2946&amp;"|"&amp;N2946</f>
        <v>ORD12896|2025-12-20|21:53|C0937|Andhra Meals Mess|Hyderabad|South Indian|2|155|0|Credit Card|Delivered|33|5</v>
      </c>
      <c r="P2946" s="7" t="str">
        <f aca="false">IF(COUNTIF($O$2:O2946,O2946)&gt;1,"DUP","OK")</f>
        <v>OK</v>
      </c>
      <c r="Q2946" s="7" t="n">
        <f aca="false">COUNTBLANK(A2946:N2946)</f>
        <v>0</v>
      </c>
      <c r="R2946" s="7" t="n">
        <f aca="false">IF(A2946="",0,COUNTIFS($A$2:$A$3058,A2946,$P$2:$P$3058,"OK"))</f>
        <v>1</v>
      </c>
      <c r="S2946" s="7" t="str">
        <f aca="false">IF(OR(A2946="",P2946="DUP",R2946&lt;2),"",IF(Q2946=_xlfn.MINIFS($Q$2:$Q$3058,$A$2:$A$3058,A2946,$P$2:$P$3058,"OK"),"KEEP","DROP"))</f>
        <v/>
      </c>
      <c r="T2946" s="9" t="n">
        <f aca="false">IF(A2946="",1,0)</f>
        <v>0</v>
      </c>
      <c r="U2946" s="9" t="n">
        <f aca="false">IF(D2946="",1,0)</f>
        <v>0</v>
      </c>
      <c r="V2946" s="9" t="n">
        <f aca="false">IF(E2946="",1,0)</f>
        <v>0</v>
      </c>
      <c r="W2946" s="9" t="n">
        <f aca="false">IF(OR(H2946&lt;1,H2946&gt;10),1,0)</f>
        <v>0</v>
      </c>
      <c r="X2946" s="9" t="n">
        <f aca="false">IF(OR(I2946&lt;=0,I2946&gt;1500),1,0)</f>
        <v>0</v>
      </c>
      <c r="Y2946" s="9" t="n">
        <f aca="false">IF(J2946&gt;H2946*I2946,1,0)</f>
        <v>0</v>
      </c>
      <c r="Z2946" s="9" t="n">
        <f aca="false">IF(AND(N2946&lt;&gt;"",OR(N2946&lt;1,N2946&gt;5)),1,0)</f>
        <v>0</v>
      </c>
      <c r="AA2946" s="9" t="n">
        <f aca="false">IF(AND(M2946&lt;&gt;"",OR(M2946&lt;5,M2946&gt;180)),1,0)</f>
        <v>0</v>
      </c>
      <c r="AB2946" s="7" t="str">
        <f aca="false">IF(P2946="DUP","Exact duplicate row",IF(T2946=1,"Missing Order ID",IF(S2946="DROP","Duplicate Order ID (less complete row)",IF(U2946=1,"Missing Customer ID",IF(V2946=1,"Missing Restaurant name",IF(W2946=1,"Invalid/outlier quantity",IF(X2946=1,"Invalid/outlier unit price",IF(Y2946=1,"Discount greater than order value",""))))))))</f>
        <v/>
      </c>
      <c r="AC2946" s="7" t="str">
        <f aca="false">IF(AB2946="","KEEP","DROP")</f>
        <v>KEEP</v>
      </c>
      <c r="AD2946" s="7" t="str">
        <f aca="false">IF(TRIM(F2946)="",IFERROR(INDEX(Map_Tables!$I$4:$I$37,MATCH(TRIM(E2946),Map_Tables!$G$4:$G$37,0)),""),IFERROR(INDEX(Map_Tables!$B$4:$B$18,MATCH(TRIM(F2946),Map_Tables!$A$4:$A$18,0)),"CHECK"))</f>
        <v>Hyderabad</v>
      </c>
      <c r="AE2946" s="7" t="str">
        <f aca="false">IF(TRIM(E2946)="","",IFERROR(INDEX(Map_Tables!$H$4:$H$37,MATCH(TRIM(E2946),Map_Tables!$G$4:$G$37,0)),"CHECK"))</f>
        <v>Andhra Meals Mess</v>
      </c>
      <c r="AF2946" s="7" t="str">
        <f aca="false">IF(TRIM(K2946)="","Unknown",IFERROR(INDEX(Map_Tables!$E$4:$E$15,MATCH(TRIM(K2946),Map_Tables!$D$4:$D$15,0)),"CHECK"))</f>
        <v>Credit Card</v>
      </c>
      <c r="AG2946" s="7" t="str">
        <f aca="false">IF(LEFT(LOWER(TRIM(L2946)),6)="cancel","Cancelled","Delivered")</f>
        <v>Delivered</v>
      </c>
      <c r="AH2946" s="10" t="n">
        <f aca="false">IF(ISNUMBER(SEARCH("/",B2946)),DATE(VALUE(RIGHT(B2946,4)),VALUE(MID(B2946,4,2)),VALUE(LEFT(B2946,2))),IF(MID(B2946,5,1)="-",DATE(VALUE(LEFT(B2946,4)),VALUE(MID(B2946,6,2)),VALUE(RIGHT(B2946,2))),DATE(VALUE(RIGHT(B2946,4)),MATCH(MID(B2946,4,3),{"Jan","Feb","Mar","Apr","May","Jun","Jul","Aug","Sep","Oct","Nov","Dec"},0),VALUE(LEFT(B2946,2)))))</f>
        <v>46011</v>
      </c>
    </row>
    <row r="2947" customFormat="false" ht="15" hidden="false" customHeight="false" outlineLevel="0" collapsed="false">
      <c r="A2947" s="7" t="s">
        <v>6035</v>
      </c>
      <c r="B2947" s="7" t="s">
        <v>1057</v>
      </c>
      <c r="C2947" s="7" t="s">
        <v>1684</v>
      </c>
      <c r="D2947" s="7" t="s">
        <v>3191</v>
      </c>
      <c r="E2947" s="7" t="s">
        <v>113</v>
      </c>
      <c r="F2947" s="7" t="s">
        <v>101</v>
      </c>
      <c r="G2947" s="7" t="s">
        <v>90</v>
      </c>
      <c r="H2947" s="7" t="n">
        <v>2</v>
      </c>
      <c r="I2947" s="7" t="n">
        <v>240</v>
      </c>
      <c r="J2947" s="7" t="n">
        <v>75</v>
      </c>
      <c r="K2947" s="7" t="s">
        <v>298</v>
      </c>
      <c r="L2947" s="7" t="s">
        <v>194</v>
      </c>
      <c r="M2947" s="7" t="n">
        <v>41</v>
      </c>
      <c r="N2947" s="7" t="n">
        <v>3</v>
      </c>
      <c r="O2947" s="7" t="str">
        <f aca="false">A2947&amp;"|"&amp;B2947&amp;"|"&amp;C2947&amp;"|"&amp;D2947&amp;"|"&amp;E2947&amp;"|"&amp;F2947&amp;"|"&amp;G2947&amp;"|"&amp;H2947&amp;"|"&amp;I2947&amp;"|"&amp;J2947&amp;"|"&amp;K2947&amp;"|"&amp;L2947&amp;"|"&amp;M2947&amp;"|"&amp;N2947</f>
        <v>ORD10461|2025-03-03|11:30|C0649|Curry Leaf Kitchen|Mumbai|North Indian|2|240|75|Cash On Delivery|Delivered|41|3</v>
      </c>
      <c r="P2947" s="7" t="str">
        <f aca="false">IF(COUNTIF($O$2:O2947,O2947)&gt;1,"DUP","OK")</f>
        <v>OK</v>
      </c>
      <c r="Q2947" s="7" t="n">
        <f aca="false">COUNTBLANK(A2947:N2947)</f>
        <v>0</v>
      </c>
      <c r="R2947" s="7" t="n">
        <f aca="false">IF(A2947="",0,COUNTIFS($A$2:$A$3058,A2947,$P$2:$P$3058,"OK"))</f>
        <v>1</v>
      </c>
      <c r="S2947" s="7" t="str">
        <f aca="false">IF(OR(A2947="",P2947="DUP",R2947&lt;2),"",IF(Q2947=_xlfn.MINIFS($Q$2:$Q$3058,$A$2:$A$3058,A2947,$P$2:$P$3058,"OK"),"KEEP","DROP"))</f>
        <v/>
      </c>
      <c r="T2947" s="9" t="n">
        <f aca="false">IF(A2947="",1,0)</f>
        <v>0</v>
      </c>
      <c r="U2947" s="9" t="n">
        <f aca="false">IF(D2947="",1,0)</f>
        <v>0</v>
      </c>
      <c r="V2947" s="9" t="n">
        <f aca="false">IF(E2947="",1,0)</f>
        <v>0</v>
      </c>
      <c r="W2947" s="9" t="n">
        <f aca="false">IF(OR(H2947&lt;1,H2947&gt;10),1,0)</f>
        <v>0</v>
      </c>
      <c r="X2947" s="9" t="n">
        <f aca="false">IF(OR(I2947&lt;=0,I2947&gt;1500),1,0)</f>
        <v>0</v>
      </c>
      <c r="Y2947" s="9" t="n">
        <f aca="false">IF(J2947&gt;H2947*I2947,1,0)</f>
        <v>0</v>
      </c>
      <c r="Z2947" s="9" t="n">
        <f aca="false">IF(AND(N2947&lt;&gt;"",OR(N2947&lt;1,N2947&gt;5)),1,0)</f>
        <v>0</v>
      </c>
      <c r="AA2947" s="9" t="n">
        <f aca="false">IF(AND(M2947&lt;&gt;"",OR(M2947&lt;5,M2947&gt;180)),1,0)</f>
        <v>0</v>
      </c>
      <c r="AB2947" s="7" t="str">
        <f aca="false">IF(P2947="DUP","Exact duplicate row",IF(T2947=1,"Missing Order ID",IF(S2947="DROP","Duplicate Order ID (less complete row)",IF(U2947=1,"Missing Customer ID",IF(V2947=1,"Missing Restaurant name",IF(W2947=1,"Invalid/outlier quantity",IF(X2947=1,"Invalid/outlier unit price",IF(Y2947=1,"Discount greater than order value",""))))))))</f>
        <v/>
      </c>
      <c r="AC2947" s="7" t="str">
        <f aca="false">IF(AB2947="","KEEP","DROP")</f>
        <v>KEEP</v>
      </c>
      <c r="AD2947" s="7" t="str">
        <f aca="false">IF(TRIM(F2947)="",IFERROR(INDEX(Map_Tables!$I$4:$I$37,MATCH(TRIM(E2947),Map_Tables!$G$4:$G$37,0)),""),IFERROR(INDEX(Map_Tables!$B$4:$B$18,MATCH(TRIM(F2947),Map_Tables!$A$4:$A$18,0)),"CHECK"))</f>
        <v>Mumbai</v>
      </c>
      <c r="AE2947" s="7" t="str">
        <f aca="false">IF(TRIM(E2947)="","",IFERROR(INDEX(Map_Tables!$H$4:$H$37,MATCH(TRIM(E2947),Map_Tables!$G$4:$G$37,0)),"CHECK"))</f>
        <v>Curry Leaf Kitchen</v>
      </c>
      <c r="AF2947" s="7" t="str">
        <f aca="false">IF(TRIM(K2947)="","Unknown",IFERROR(INDEX(Map_Tables!$E$4:$E$15,MATCH(TRIM(K2947),Map_Tables!$D$4:$D$15,0)),"CHECK"))</f>
        <v>Cash on Delivery</v>
      </c>
      <c r="AG2947" s="7" t="str">
        <f aca="false">IF(LEFT(LOWER(TRIM(L2947)),6)="cancel","Cancelled","Delivered")</f>
        <v>Delivered</v>
      </c>
      <c r="AH2947" s="10" t="n">
        <f aca="false">IF(ISNUMBER(SEARCH("/",B2947)),DATE(VALUE(RIGHT(B2947,4)),VALUE(MID(B2947,4,2)),VALUE(LEFT(B2947,2))),IF(MID(B2947,5,1)="-",DATE(VALUE(LEFT(B2947,4)),VALUE(MID(B2947,6,2)),VALUE(RIGHT(B2947,2))),DATE(VALUE(RIGHT(B2947,4)),MATCH(MID(B2947,4,3),{"Jan","Feb","Mar","Apr","May","Jun","Jul","Aug","Sep","Oct","Nov","Dec"},0),VALUE(LEFT(B2947,2)))))</f>
        <v>45719</v>
      </c>
    </row>
    <row r="2948" customFormat="false" ht="15" hidden="false" customHeight="false" outlineLevel="0" collapsed="false">
      <c r="A2948" s="7" t="s">
        <v>6036</v>
      </c>
      <c r="B2948" s="7" t="s">
        <v>879</v>
      </c>
      <c r="C2948" s="7" t="s">
        <v>1643</v>
      </c>
      <c r="D2948" s="7" t="s">
        <v>3104</v>
      </c>
      <c r="E2948" s="7" t="s">
        <v>155</v>
      </c>
      <c r="F2948" s="7" t="s">
        <v>128</v>
      </c>
      <c r="G2948" s="7" t="s">
        <v>156</v>
      </c>
      <c r="H2948" s="7" t="n">
        <v>1</v>
      </c>
      <c r="I2948" s="7" t="n">
        <v>340</v>
      </c>
      <c r="J2948" s="7" t="n">
        <v>0</v>
      </c>
      <c r="K2948" s="7" t="s">
        <v>103</v>
      </c>
      <c r="L2948" s="7" t="s">
        <v>194</v>
      </c>
      <c r="M2948" s="7" t="n">
        <v>32</v>
      </c>
      <c r="N2948" s="7" t="n">
        <v>4</v>
      </c>
      <c r="O2948" s="7" t="str">
        <f aca="false">A2948&amp;"|"&amp;B2948&amp;"|"&amp;C2948&amp;"|"&amp;D2948&amp;"|"&amp;E2948&amp;"|"&amp;F2948&amp;"|"&amp;G2948&amp;"|"&amp;H2948&amp;"|"&amp;I2948&amp;"|"&amp;J2948&amp;"|"&amp;K2948&amp;"|"&amp;L2948&amp;"|"&amp;M2948&amp;"|"&amp;N2948</f>
        <v>ORD11933|2025-09-08|18:31|C0075|Green Bowl Kitchen|Chennai|Healthy Food|1|340|0|Debit Card|Delivered|32|4</v>
      </c>
      <c r="P2948" s="7" t="str">
        <f aca="false">IF(COUNTIF($O$2:O2948,O2948)&gt;1,"DUP","OK")</f>
        <v>OK</v>
      </c>
      <c r="Q2948" s="7" t="n">
        <f aca="false">COUNTBLANK(A2948:N2948)</f>
        <v>0</v>
      </c>
      <c r="R2948" s="7" t="n">
        <f aca="false">IF(A2948="",0,COUNTIFS($A$2:$A$3058,A2948,$P$2:$P$3058,"OK"))</f>
        <v>1</v>
      </c>
      <c r="S2948" s="7" t="str">
        <f aca="false">IF(OR(A2948="",P2948="DUP",R2948&lt;2),"",IF(Q2948=_xlfn.MINIFS($Q$2:$Q$3058,$A$2:$A$3058,A2948,$P$2:$P$3058,"OK"),"KEEP","DROP"))</f>
        <v/>
      </c>
      <c r="T2948" s="9" t="n">
        <f aca="false">IF(A2948="",1,0)</f>
        <v>0</v>
      </c>
      <c r="U2948" s="9" t="n">
        <f aca="false">IF(D2948="",1,0)</f>
        <v>0</v>
      </c>
      <c r="V2948" s="9" t="n">
        <f aca="false">IF(E2948="",1,0)</f>
        <v>0</v>
      </c>
      <c r="W2948" s="9" t="n">
        <f aca="false">IF(OR(H2948&lt;1,H2948&gt;10),1,0)</f>
        <v>0</v>
      </c>
      <c r="X2948" s="9" t="n">
        <f aca="false">IF(OR(I2948&lt;=0,I2948&gt;1500),1,0)</f>
        <v>0</v>
      </c>
      <c r="Y2948" s="9" t="n">
        <f aca="false">IF(J2948&gt;H2948*I2948,1,0)</f>
        <v>0</v>
      </c>
      <c r="Z2948" s="9" t="n">
        <f aca="false">IF(AND(N2948&lt;&gt;"",OR(N2948&lt;1,N2948&gt;5)),1,0)</f>
        <v>0</v>
      </c>
      <c r="AA2948" s="9" t="n">
        <f aca="false">IF(AND(M2948&lt;&gt;"",OR(M2948&lt;5,M2948&gt;180)),1,0)</f>
        <v>0</v>
      </c>
      <c r="AB2948" s="7" t="str">
        <f aca="false">IF(P2948="DUP","Exact duplicate row",IF(T2948=1,"Missing Order ID",IF(S2948="DROP","Duplicate Order ID (less complete row)",IF(U2948=1,"Missing Customer ID",IF(V2948=1,"Missing Restaurant name",IF(W2948=1,"Invalid/outlier quantity",IF(X2948=1,"Invalid/outlier unit price",IF(Y2948=1,"Discount greater than order value",""))))))))</f>
        <v/>
      </c>
      <c r="AC2948" s="7" t="str">
        <f aca="false">IF(AB2948="","KEEP","DROP")</f>
        <v>KEEP</v>
      </c>
      <c r="AD2948" s="7" t="str">
        <f aca="false">IF(TRIM(F2948)="",IFERROR(INDEX(Map_Tables!$I$4:$I$37,MATCH(TRIM(E2948),Map_Tables!$G$4:$G$37,0)),""),IFERROR(INDEX(Map_Tables!$B$4:$B$18,MATCH(TRIM(F2948),Map_Tables!$A$4:$A$18,0)),"CHECK"))</f>
        <v>Chennai</v>
      </c>
      <c r="AE2948" s="7" t="str">
        <f aca="false">IF(TRIM(E2948)="","",IFERROR(INDEX(Map_Tables!$H$4:$H$37,MATCH(TRIM(E2948),Map_Tables!$G$4:$G$37,0)),"CHECK"))</f>
        <v>Green Bowl Kitchen</v>
      </c>
      <c r="AF2948" s="7" t="str">
        <f aca="false">IF(TRIM(K2948)="","Unknown",IFERROR(INDEX(Map_Tables!$E$4:$E$15,MATCH(TRIM(K2948),Map_Tables!$D$4:$D$15,0)),"CHECK"))</f>
        <v>Debit Card</v>
      </c>
      <c r="AG2948" s="7" t="str">
        <f aca="false">IF(LEFT(LOWER(TRIM(L2948)),6)="cancel","Cancelled","Delivered")</f>
        <v>Delivered</v>
      </c>
      <c r="AH2948" s="10" t="n">
        <f aca="false">IF(ISNUMBER(SEARCH("/",B2948)),DATE(VALUE(RIGHT(B2948,4)),VALUE(MID(B2948,4,2)),VALUE(LEFT(B2948,2))),IF(MID(B2948,5,1)="-",DATE(VALUE(LEFT(B2948,4)),VALUE(MID(B2948,6,2)),VALUE(RIGHT(B2948,2))),DATE(VALUE(RIGHT(B2948,4)),MATCH(MID(B2948,4,3),{"Jan","Feb","Mar","Apr","May","Jun","Jul","Aug","Sep","Oct","Nov","Dec"},0),VALUE(LEFT(B2948,2)))))</f>
        <v>45908</v>
      </c>
    </row>
    <row r="2949" customFormat="false" ht="15" hidden="false" customHeight="false" outlineLevel="0" collapsed="false">
      <c r="A2949" s="7" t="s">
        <v>6037</v>
      </c>
      <c r="B2949" s="7" t="s">
        <v>3887</v>
      </c>
      <c r="C2949" s="7" t="s">
        <v>201</v>
      </c>
      <c r="D2949" s="7" t="s">
        <v>5838</v>
      </c>
      <c r="E2949" s="7" t="s">
        <v>147</v>
      </c>
      <c r="F2949" s="7" t="s">
        <v>119</v>
      </c>
      <c r="G2949" s="7" t="s">
        <v>95</v>
      </c>
      <c r="H2949" s="7" t="n">
        <v>2</v>
      </c>
      <c r="I2949" s="7" t="n">
        <v>155</v>
      </c>
      <c r="J2949" s="7" t="n">
        <v>124</v>
      </c>
      <c r="K2949" s="7" t="s">
        <v>88</v>
      </c>
      <c r="L2949" s="7" t="s">
        <v>194</v>
      </c>
      <c r="M2949" s="7" t="n">
        <v>27</v>
      </c>
      <c r="N2949" s="7" t="n">
        <v>3</v>
      </c>
      <c r="O2949" s="7" t="str">
        <f aca="false">A2949&amp;"|"&amp;B2949&amp;"|"&amp;C2949&amp;"|"&amp;D2949&amp;"|"&amp;E2949&amp;"|"&amp;F2949&amp;"|"&amp;G2949&amp;"|"&amp;H2949&amp;"|"&amp;I2949&amp;"|"&amp;J2949&amp;"|"&amp;K2949&amp;"|"&amp;L2949&amp;"|"&amp;M2949&amp;"|"&amp;N2949</f>
        <v>ORD11156|27/05/2025|20:46|C0875|Andhra Meals Mess|Hyderabad|South Indian|2|155|124|UPI|Delivered|27|3</v>
      </c>
      <c r="P2949" s="7" t="str">
        <f aca="false">IF(COUNTIF($O$2:O2949,O2949)&gt;1,"DUP","OK")</f>
        <v>OK</v>
      </c>
      <c r="Q2949" s="7" t="n">
        <f aca="false">COUNTBLANK(A2949:N2949)</f>
        <v>0</v>
      </c>
      <c r="R2949" s="7" t="n">
        <f aca="false">IF(A2949="",0,COUNTIFS($A$2:$A$3058,A2949,$P$2:$P$3058,"OK"))</f>
        <v>1</v>
      </c>
      <c r="S2949" s="7" t="str">
        <f aca="false">IF(OR(A2949="",P2949="DUP",R2949&lt;2),"",IF(Q2949=_xlfn.MINIFS($Q$2:$Q$3058,$A$2:$A$3058,A2949,$P$2:$P$3058,"OK"),"KEEP","DROP"))</f>
        <v/>
      </c>
      <c r="T2949" s="9" t="n">
        <f aca="false">IF(A2949="",1,0)</f>
        <v>0</v>
      </c>
      <c r="U2949" s="9" t="n">
        <f aca="false">IF(D2949="",1,0)</f>
        <v>0</v>
      </c>
      <c r="V2949" s="9" t="n">
        <f aca="false">IF(E2949="",1,0)</f>
        <v>0</v>
      </c>
      <c r="W2949" s="9" t="n">
        <f aca="false">IF(OR(H2949&lt;1,H2949&gt;10),1,0)</f>
        <v>0</v>
      </c>
      <c r="X2949" s="9" t="n">
        <f aca="false">IF(OR(I2949&lt;=0,I2949&gt;1500),1,0)</f>
        <v>0</v>
      </c>
      <c r="Y2949" s="9" t="n">
        <f aca="false">IF(J2949&gt;H2949*I2949,1,0)</f>
        <v>0</v>
      </c>
      <c r="Z2949" s="9" t="n">
        <f aca="false">IF(AND(N2949&lt;&gt;"",OR(N2949&lt;1,N2949&gt;5)),1,0)</f>
        <v>0</v>
      </c>
      <c r="AA2949" s="9" t="n">
        <f aca="false">IF(AND(M2949&lt;&gt;"",OR(M2949&lt;5,M2949&gt;180)),1,0)</f>
        <v>0</v>
      </c>
      <c r="AB2949" s="7" t="str">
        <f aca="false">IF(P2949="DUP","Exact duplicate row",IF(T2949=1,"Missing Order ID",IF(S2949="DROP","Duplicate Order ID (less complete row)",IF(U2949=1,"Missing Customer ID",IF(V2949=1,"Missing Restaurant name",IF(W2949=1,"Invalid/outlier quantity",IF(X2949=1,"Invalid/outlier unit price",IF(Y2949=1,"Discount greater than order value",""))))))))</f>
        <v/>
      </c>
      <c r="AC2949" s="7" t="str">
        <f aca="false">IF(AB2949="","KEEP","DROP")</f>
        <v>KEEP</v>
      </c>
      <c r="AD2949" s="7" t="str">
        <f aca="false">IF(TRIM(F2949)="",IFERROR(INDEX(Map_Tables!$I$4:$I$37,MATCH(TRIM(E2949),Map_Tables!$G$4:$G$37,0)),""),IFERROR(INDEX(Map_Tables!$B$4:$B$18,MATCH(TRIM(F2949),Map_Tables!$A$4:$A$18,0)),"CHECK"))</f>
        <v>Hyderabad</v>
      </c>
      <c r="AE2949" s="7" t="str">
        <f aca="false">IF(TRIM(E2949)="","",IFERROR(INDEX(Map_Tables!$H$4:$H$37,MATCH(TRIM(E2949),Map_Tables!$G$4:$G$37,0)),"CHECK"))</f>
        <v>Andhra Meals Mess</v>
      </c>
      <c r="AF2949" s="7" t="str">
        <f aca="false">IF(TRIM(K2949)="","Unknown",IFERROR(INDEX(Map_Tables!$E$4:$E$15,MATCH(TRIM(K2949),Map_Tables!$D$4:$D$15,0)),"CHECK"))</f>
        <v>UPI</v>
      </c>
      <c r="AG2949" s="7" t="str">
        <f aca="false">IF(LEFT(LOWER(TRIM(L2949)),6)="cancel","Cancelled","Delivered")</f>
        <v>Delivered</v>
      </c>
      <c r="AH2949" s="10" t="n">
        <f aca="false">IF(ISNUMBER(SEARCH("/",B2949)),DATE(VALUE(RIGHT(B2949,4)),VALUE(MID(B2949,4,2)),VALUE(LEFT(B2949,2))),IF(MID(B2949,5,1)="-",DATE(VALUE(LEFT(B2949,4)),VALUE(MID(B2949,6,2)),VALUE(RIGHT(B2949,2))),DATE(VALUE(RIGHT(B2949,4)),MATCH(MID(B2949,4,3),{"Jan","Feb","Mar","Apr","May","Jun","Jul","Aug","Sep","Oct","Nov","Dec"},0),VALUE(LEFT(B2949,2)))))</f>
        <v>45804</v>
      </c>
    </row>
    <row r="2950" customFormat="false" ht="15" hidden="false" customHeight="false" outlineLevel="0" collapsed="false">
      <c r="A2950" s="7" t="s">
        <v>6038</v>
      </c>
      <c r="B2950" s="7" t="s">
        <v>4987</v>
      </c>
      <c r="C2950" s="7" t="s">
        <v>747</v>
      </c>
      <c r="D2950" s="7" t="s">
        <v>6001</v>
      </c>
      <c r="E2950" s="7" t="s">
        <v>147</v>
      </c>
      <c r="F2950" s="7" t="s">
        <v>119</v>
      </c>
      <c r="G2950" s="7" t="s">
        <v>95</v>
      </c>
      <c r="H2950" s="7" t="n">
        <v>1</v>
      </c>
      <c r="I2950" s="7" t="n">
        <v>175</v>
      </c>
      <c r="J2950" s="7" t="n">
        <v>30</v>
      </c>
      <c r="K2950" s="7" t="s">
        <v>88</v>
      </c>
      <c r="L2950" s="7" t="s">
        <v>194</v>
      </c>
      <c r="M2950" s="7" t="n">
        <v>27</v>
      </c>
      <c r="N2950" s="7" t="n">
        <v>5</v>
      </c>
      <c r="O2950" s="7" t="str">
        <f aca="false">A2950&amp;"|"&amp;B2950&amp;"|"&amp;C2950&amp;"|"&amp;D2950&amp;"|"&amp;E2950&amp;"|"&amp;F2950&amp;"|"&amp;G2950&amp;"|"&amp;H2950&amp;"|"&amp;I2950&amp;"|"&amp;J2950&amp;"|"&amp;K2950&amp;"|"&amp;L2950&amp;"|"&amp;M2950&amp;"|"&amp;N2950</f>
        <v>ORD10040|2025-01-06|22:03|C0855|Andhra Meals Mess|Hyderabad|South Indian|1|175|30|UPI|Delivered|27|5</v>
      </c>
      <c r="P2950" s="7" t="str">
        <f aca="false">IF(COUNTIF($O$2:O2950,O2950)&gt;1,"DUP","OK")</f>
        <v>OK</v>
      </c>
      <c r="Q2950" s="7" t="n">
        <f aca="false">COUNTBLANK(A2950:N2950)</f>
        <v>0</v>
      </c>
      <c r="R2950" s="7" t="n">
        <f aca="false">IF(A2950="",0,COUNTIFS($A$2:$A$3058,A2950,$P$2:$P$3058,"OK"))</f>
        <v>1</v>
      </c>
      <c r="S2950" s="7" t="str">
        <f aca="false">IF(OR(A2950="",P2950="DUP",R2950&lt;2),"",IF(Q2950=_xlfn.MINIFS($Q$2:$Q$3058,$A$2:$A$3058,A2950,$P$2:$P$3058,"OK"),"KEEP","DROP"))</f>
        <v/>
      </c>
      <c r="T2950" s="9" t="n">
        <f aca="false">IF(A2950="",1,0)</f>
        <v>0</v>
      </c>
      <c r="U2950" s="9" t="n">
        <f aca="false">IF(D2950="",1,0)</f>
        <v>0</v>
      </c>
      <c r="V2950" s="9" t="n">
        <f aca="false">IF(E2950="",1,0)</f>
        <v>0</v>
      </c>
      <c r="W2950" s="9" t="n">
        <f aca="false">IF(OR(H2950&lt;1,H2950&gt;10),1,0)</f>
        <v>0</v>
      </c>
      <c r="X2950" s="9" t="n">
        <f aca="false">IF(OR(I2950&lt;=0,I2950&gt;1500),1,0)</f>
        <v>0</v>
      </c>
      <c r="Y2950" s="9" t="n">
        <f aca="false">IF(J2950&gt;H2950*I2950,1,0)</f>
        <v>0</v>
      </c>
      <c r="Z2950" s="9" t="n">
        <f aca="false">IF(AND(N2950&lt;&gt;"",OR(N2950&lt;1,N2950&gt;5)),1,0)</f>
        <v>0</v>
      </c>
      <c r="AA2950" s="9" t="n">
        <f aca="false">IF(AND(M2950&lt;&gt;"",OR(M2950&lt;5,M2950&gt;180)),1,0)</f>
        <v>0</v>
      </c>
      <c r="AB2950" s="7" t="str">
        <f aca="false">IF(P2950="DUP","Exact duplicate row",IF(T2950=1,"Missing Order ID",IF(S2950="DROP","Duplicate Order ID (less complete row)",IF(U2950=1,"Missing Customer ID",IF(V2950=1,"Missing Restaurant name",IF(W2950=1,"Invalid/outlier quantity",IF(X2950=1,"Invalid/outlier unit price",IF(Y2950=1,"Discount greater than order value",""))))))))</f>
        <v/>
      </c>
      <c r="AC2950" s="7" t="str">
        <f aca="false">IF(AB2950="","KEEP","DROP")</f>
        <v>KEEP</v>
      </c>
      <c r="AD2950" s="7" t="str">
        <f aca="false">IF(TRIM(F2950)="",IFERROR(INDEX(Map_Tables!$I$4:$I$37,MATCH(TRIM(E2950),Map_Tables!$G$4:$G$37,0)),""),IFERROR(INDEX(Map_Tables!$B$4:$B$18,MATCH(TRIM(F2950),Map_Tables!$A$4:$A$18,0)),"CHECK"))</f>
        <v>Hyderabad</v>
      </c>
      <c r="AE2950" s="7" t="str">
        <f aca="false">IF(TRIM(E2950)="","",IFERROR(INDEX(Map_Tables!$H$4:$H$37,MATCH(TRIM(E2950),Map_Tables!$G$4:$G$37,0)),"CHECK"))</f>
        <v>Andhra Meals Mess</v>
      </c>
      <c r="AF2950" s="7" t="str">
        <f aca="false">IF(TRIM(K2950)="","Unknown",IFERROR(INDEX(Map_Tables!$E$4:$E$15,MATCH(TRIM(K2950),Map_Tables!$D$4:$D$15,0)),"CHECK"))</f>
        <v>UPI</v>
      </c>
      <c r="AG2950" s="7" t="str">
        <f aca="false">IF(LEFT(LOWER(TRIM(L2950)),6)="cancel","Cancelled","Delivered")</f>
        <v>Delivered</v>
      </c>
      <c r="AH2950" s="10" t="n">
        <f aca="false">IF(ISNUMBER(SEARCH("/",B2950)),DATE(VALUE(RIGHT(B2950,4)),VALUE(MID(B2950,4,2)),VALUE(LEFT(B2950,2))),IF(MID(B2950,5,1)="-",DATE(VALUE(LEFT(B2950,4)),VALUE(MID(B2950,6,2)),VALUE(RIGHT(B2950,2))),DATE(VALUE(RIGHT(B2950,4)),MATCH(MID(B2950,4,3),{"Jan","Feb","Mar","Apr","May","Jun","Jul","Aug","Sep","Oct","Nov","Dec"},0),VALUE(LEFT(B2950,2)))))</f>
        <v>45663</v>
      </c>
    </row>
    <row r="2951" customFormat="false" ht="15" hidden="false" customHeight="false" outlineLevel="0" collapsed="false">
      <c r="A2951" s="7" t="s">
        <v>6039</v>
      </c>
      <c r="B2951" s="7" t="s">
        <v>4373</v>
      </c>
      <c r="C2951" s="7" t="s">
        <v>4741</v>
      </c>
      <c r="D2951" s="7" t="s">
        <v>6040</v>
      </c>
      <c r="E2951" s="7" t="s">
        <v>159</v>
      </c>
      <c r="F2951" s="7" t="s">
        <v>136</v>
      </c>
      <c r="G2951" s="7" t="s">
        <v>90</v>
      </c>
      <c r="H2951" s="7" t="n">
        <v>2</v>
      </c>
      <c r="I2951" s="7" t="n">
        <v>255</v>
      </c>
      <c r="J2951" s="7" t="n">
        <v>50</v>
      </c>
      <c r="K2951" s="7" t="s">
        <v>93</v>
      </c>
      <c r="L2951" s="7" t="s">
        <v>194</v>
      </c>
      <c r="M2951" s="7" t="n">
        <v>33</v>
      </c>
      <c r="N2951" s="7" t="n">
        <v>4</v>
      </c>
      <c r="O2951" s="7" t="str">
        <f aca="false">A2951&amp;"|"&amp;B2951&amp;"|"&amp;C2951&amp;"|"&amp;D2951&amp;"|"&amp;E2951&amp;"|"&amp;F2951&amp;"|"&amp;G2951&amp;"|"&amp;H2951&amp;"|"&amp;I2951&amp;"|"&amp;J2951&amp;"|"&amp;K2951&amp;"|"&amp;L2951&amp;"|"&amp;M2951&amp;"|"&amp;N2951</f>
        <v>ORD12483|2025-11-07|21:08|C1135|Maratha Thali House|Pune|North Indian|2|255|50|Credit Card|Delivered|33|4</v>
      </c>
      <c r="P2951" s="7" t="str">
        <f aca="false">IF(COUNTIF($O$2:O2951,O2951)&gt;1,"DUP","OK")</f>
        <v>OK</v>
      </c>
      <c r="Q2951" s="7" t="n">
        <f aca="false">COUNTBLANK(A2951:N2951)</f>
        <v>0</v>
      </c>
      <c r="R2951" s="7" t="n">
        <f aca="false">IF(A2951="",0,COUNTIFS($A$2:$A$3058,A2951,$P$2:$P$3058,"OK"))</f>
        <v>1</v>
      </c>
      <c r="S2951" s="7" t="str">
        <f aca="false">IF(OR(A2951="",P2951="DUP",R2951&lt;2),"",IF(Q2951=_xlfn.MINIFS($Q$2:$Q$3058,$A$2:$A$3058,A2951,$P$2:$P$3058,"OK"),"KEEP","DROP"))</f>
        <v/>
      </c>
      <c r="T2951" s="9" t="n">
        <f aca="false">IF(A2951="",1,0)</f>
        <v>0</v>
      </c>
      <c r="U2951" s="9" t="n">
        <f aca="false">IF(D2951="",1,0)</f>
        <v>0</v>
      </c>
      <c r="V2951" s="9" t="n">
        <f aca="false">IF(E2951="",1,0)</f>
        <v>0</v>
      </c>
      <c r="W2951" s="9" t="n">
        <f aca="false">IF(OR(H2951&lt;1,H2951&gt;10),1,0)</f>
        <v>0</v>
      </c>
      <c r="X2951" s="9" t="n">
        <f aca="false">IF(OR(I2951&lt;=0,I2951&gt;1500),1,0)</f>
        <v>0</v>
      </c>
      <c r="Y2951" s="9" t="n">
        <f aca="false">IF(J2951&gt;H2951*I2951,1,0)</f>
        <v>0</v>
      </c>
      <c r="Z2951" s="9" t="n">
        <f aca="false">IF(AND(N2951&lt;&gt;"",OR(N2951&lt;1,N2951&gt;5)),1,0)</f>
        <v>0</v>
      </c>
      <c r="AA2951" s="9" t="n">
        <f aca="false">IF(AND(M2951&lt;&gt;"",OR(M2951&lt;5,M2951&gt;180)),1,0)</f>
        <v>0</v>
      </c>
      <c r="AB2951" s="7" t="str">
        <f aca="false">IF(P2951="DUP","Exact duplicate row",IF(T2951=1,"Missing Order ID",IF(S2951="DROP","Duplicate Order ID (less complete row)",IF(U2951=1,"Missing Customer ID",IF(V2951=1,"Missing Restaurant name",IF(W2951=1,"Invalid/outlier quantity",IF(X2951=1,"Invalid/outlier unit price",IF(Y2951=1,"Discount greater than order value",""))))))))</f>
        <v/>
      </c>
      <c r="AC2951" s="7" t="str">
        <f aca="false">IF(AB2951="","KEEP","DROP")</f>
        <v>KEEP</v>
      </c>
      <c r="AD2951" s="7" t="str">
        <f aca="false">IF(TRIM(F2951)="",IFERROR(INDEX(Map_Tables!$I$4:$I$37,MATCH(TRIM(E2951),Map_Tables!$G$4:$G$37,0)),""),IFERROR(INDEX(Map_Tables!$B$4:$B$18,MATCH(TRIM(F2951),Map_Tables!$A$4:$A$18,0)),"CHECK"))</f>
        <v>Pune</v>
      </c>
      <c r="AE2951" s="7" t="str">
        <f aca="false">IF(TRIM(E2951)="","",IFERROR(INDEX(Map_Tables!$H$4:$H$37,MATCH(TRIM(E2951),Map_Tables!$G$4:$G$37,0)),"CHECK"))</f>
        <v>Maratha Thali House</v>
      </c>
      <c r="AF2951" s="7" t="str">
        <f aca="false">IF(TRIM(K2951)="","Unknown",IFERROR(INDEX(Map_Tables!$E$4:$E$15,MATCH(TRIM(K2951),Map_Tables!$D$4:$D$15,0)),"CHECK"))</f>
        <v>Credit Card</v>
      </c>
      <c r="AG2951" s="7" t="str">
        <f aca="false">IF(LEFT(LOWER(TRIM(L2951)),6)="cancel","Cancelled","Delivered")</f>
        <v>Delivered</v>
      </c>
      <c r="AH2951" s="10" t="n">
        <f aca="false">IF(ISNUMBER(SEARCH("/",B2951)),DATE(VALUE(RIGHT(B2951,4)),VALUE(MID(B2951,4,2)),VALUE(LEFT(B2951,2))),IF(MID(B2951,5,1)="-",DATE(VALUE(LEFT(B2951,4)),VALUE(MID(B2951,6,2)),VALUE(RIGHT(B2951,2))),DATE(VALUE(RIGHT(B2951,4)),MATCH(MID(B2951,4,3),{"Jan","Feb","Mar","Apr","May","Jun","Jul","Aug","Sep","Oct","Nov","Dec"},0),VALUE(LEFT(B2951,2)))))</f>
        <v>45968</v>
      </c>
    </row>
    <row r="2952" customFormat="false" ht="15" hidden="false" customHeight="false" outlineLevel="0" collapsed="false">
      <c r="A2952" s="7" t="s">
        <v>6041</v>
      </c>
      <c r="B2952" s="7" t="s">
        <v>2095</v>
      </c>
      <c r="C2952" s="7" t="s">
        <v>588</v>
      </c>
      <c r="D2952" s="7" t="s">
        <v>690</v>
      </c>
      <c r="E2952" s="7" t="s">
        <v>126</v>
      </c>
      <c r="F2952" s="7" t="s">
        <v>101</v>
      </c>
      <c r="G2952" s="7" t="s">
        <v>105</v>
      </c>
      <c r="H2952" s="7" t="n">
        <v>2</v>
      </c>
      <c r="I2952" s="7" t="n">
        <v>260</v>
      </c>
      <c r="J2952" s="7" t="n">
        <v>50</v>
      </c>
      <c r="K2952" s="7" t="s">
        <v>88</v>
      </c>
      <c r="L2952" s="7" t="s">
        <v>194</v>
      </c>
      <c r="M2952" s="7" t="n">
        <v>47</v>
      </c>
      <c r="N2952" s="7"/>
      <c r="O2952" s="7" t="str">
        <f aca="false">A2952&amp;"|"&amp;B2952&amp;"|"&amp;C2952&amp;"|"&amp;D2952&amp;"|"&amp;E2952&amp;"|"&amp;F2952&amp;"|"&amp;G2952&amp;"|"&amp;H2952&amp;"|"&amp;I2952&amp;"|"&amp;J2952&amp;"|"&amp;K2952&amp;"|"&amp;L2952&amp;"|"&amp;M2952&amp;"|"&amp;N2952</f>
        <v>ORD10974|2025-05-03|12:31|C0311|Dragon Express|Mumbai|Chinese|2|260|50|UPI|Delivered|47|</v>
      </c>
      <c r="P2952" s="7" t="str">
        <f aca="false">IF(COUNTIF($O$2:O2952,O2952)&gt;1,"DUP","OK")</f>
        <v>OK</v>
      </c>
      <c r="Q2952" s="7" t="n">
        <f aca="false">COUNTBLANK(A2952:N2952)</f>
        <v>1</v>
      </c>
      <c r="R2952" s="7" t="n">
        <f aca="false">IF(A2952="",0,COUNTIFS($A$2:$A$3058,A2952,$P$2:$P$3058,"OK"))</f>
        <v>1</v>
      </c>
      <c r="S2952" s="7" t="str">
        <f aca="false">IF(OR(A2952="",P2952="DUP",R2952&lt;2),"",IF(Q2952=_xlfn.MINIFS($Q$2:$Q$3058,$A$2:$A$3058,A2952,$P$2:$P$3058,"OK"),"KEEP","DROP"))</f>
        <v/>
      </c>
      <c r="T2952" s="9" t="n">
        <f aca="false">IF(A2952="",1,0)</f>
        <v>0</v>
      </c>
      <c r="U2952" s="9" t="n">
        <f aca="false">IF(D2952="",1,0)</f>
        <v>0</v>
      </c>
      <c r="V2952" s="9" t="n">
        <f aca="false">IF(E2952="",1,0)</f>
        <v>0</v>
      </c>
      <c r="W2952" s="9" t="n">
        <f aca="false">IF(OR(H2952&lt;1,H2952&gt;10),1,0)</f>
        <v>0</v>
      </c>
      <c r="X2952" s="9" t="n">
        <f aca="false">IF(OR(I2952&lt;=0,I2952&gt;1500),1,0)</f>
        <v>0</v>
      </c>
      <c r="Y2952" s="9" t="n">
        <f aca="false">IF(J2952&gt;H2952*I2952,1,0)</f>
        <v>0</v>
      </c>
      <c r="Z2952" s="9" t="n">
        <f aca="false">IF(AND(N2952&lt;&gt;"",OR(N2952&lt;1,N2952&gt;5)),1,0)</f>
        <v>0</v>
      </c>
      <c r="AA2952" s="9" t="n">
        <f aca="false">IF(AND(M2952&lt;&gt;"",OR(M2952&lt;5,M2952&gt;180)),1,0)</f>
        <v>0</v>
      </c>
      <c r="AB2952" s="7" t="str">
        <f aca="false">IF(P2952="DUP","Exact duplicate row",IF(T2952=1,"Missing Order ID",IF(S2952="DROP","Duplicate Order ID (less complete row)",IF(U2952=1,"Missing Customer ID",IF(V2952=1,"Missing Restaurant name",IF(W2952=1,"Invalid/outlier quantity",IF(X2952=1,"Invalid/outlier unit price",IF(Y2952=1,"Discount greater than order value",""))))))))</f>
        <v/>
      </c>
      <c r="AC2952" s="7" t="str">
        <f aca="false">IF(AB2952="","KEEP","DROP")</f>
        <v>KEEP</v>
      </c>
      <c r="AD2952" s="7" t="str">
        <f aca="false">IF(TRIM(F2952)="",IFERROR(INDEX(Map_Tables!$I$4:$I$37,MATCH(TRIM(E2952),Map_Tables!$G$4:$G$37,0)),""),IFERROR(INDEX(Map_Tables!$B$4:$B$18,MATCH(TRIM(F2952),Map_Tables!$A$4:$A$18,0)),"CHECK"))</f>
        <v>Mumbai</v>
      </c>
      <c r="AE2952" s="7" t="str">
        <f aca="false">IF(TRIM(E2952)="","",IFERROR(INDEX(Map_Tables!$H$4:$H$37,MATCH(TRIM(E2952),Map_Tables!$G$4:$G$37,0)),"CHECK"))</f>
        <v>Dragon Express</v>
      </c>
      <c r="AF2952" s="7" t="str">
        <f aca="false">IF(TRIM(K2952)="","Unknown",IFERROR(INDEX(Map_Tables!$E$4:$E$15,MATCH(TRIM(K2952),Map_Tables!$D$4:$D$15,0)),"CHECK"))</f>
        <v>UPI</v>
      </c>
      <c r="AG2952" s="7" t="str">
        <f aca="false">IF(LEFT(LOWER(TRIM(L2952)),6)="cancel","Cancelled","Delivered")</f>
        <v>Delivered</v>
      </c>
      <c r="AH2952" s="10" t="n">
        <f aca="false">IF(ISNUMBER(SEARCH("/",B2952)),DATE(VALUE(RIGHT(B2952,4)),VALUE(MID(B2952,4,2)),VALUE(LEFT(B2952,2))),IF(MID(B2952,5,1)="-",DATE(VALUE(LEFT(B2952,4)),VALUE(MID(B2952,6,2)),VALUE(RIGHT(B2952,2))),DATE(VALUE(RIGHT(B2952,4)),MATCH(MID(B2952,4,3),{"Jan","Feb","Mar","Apr","May","Jun","Jul","Aug","Sep","Oct","Nov","Dec"},0),VALUE(LEFT(B2952,2)))))</f>
        <v>45780</v>
      </c>
    </row>
    <row r="2953" customFormat="false" ht="15" hidden="false" customHeight="false" outlineLevel="0" collapsed="false">
      <c r="A2953" s="7" t="s">
        <v>6042</v>
      </c>
      <c r="B2953" s="7" t="s">
        <v>696</v>
      </c>
      <c r="C2953" s="7" t="s">
        <v>555</v>
      </c>
      <c r="D2953" s="7" t="s">
        <v>6043</v>
      </c>
      <c r="E2953" s="7" t="s">
        <v>707</v>
      </c>
      <c r="F2953" s="7" t="s">
        <v>110</v>
      </c>
      <c r="G2953" s="7" t="s">
        <v>105</v>
      </c>
      <c r="H2953" s="7" t="n">
        <v>3</v>
      </c>
      <c r="I2953" s="7" t="n">
        <v>160</v>
      </c>
      <c r="J2953" s="7" t="n">
        <v>150</v>
      </c>
      <c r="K2953" s="7" t="s">
        <v>88</v>
      </c>
      <c r="L2953" s="7" t="s">
        <v>194</v>
      </c>
      <c r="M2953" s="7" t="n">
        <v>44</v>
      </c>
      <c r="N2953" s="7" t="n">
        <v>2</v>
      </c>
      <c r="O2953" s="7" t="str">
        <f aca="false">A2953&amp;"|"&amp;B2953&amp;"|"&amp;C2953&amp;"|"&amp;D2953&amp;"|"&amp;E2953&amp;"|"&amp;F2953&amp;"|"&amp;G2953&amp;"|"&amp;H2953&amp;"|"&amp;I2953&amp;"|"&amp;J2953&amp;"|"&amp;K2953&amp;"|"&amp;L2953&amp;"|"&amp;M2953&amp;"|"&amp;N2953</f>
        <v>ORD11787|2025-08-21|18:12|C0635|Momo Magic |Delhi|Chinese|3|160|150|UPI|Delivered|44|2</v>
      </c>
      <c r="P2953" s="7" t="str">
        <f aca="false">IF(COUNTIF($O$2:O2953,O2953)&gt;1,"DUP","OK")</f>
        <v>OK</v>
      </c>
      <c r="Q2953" s="7" t="n">
        <f aca="false">COUNTBLANK(A2953:N2953)</f>
        <v>0</v>
      </c>
      <c r="R2953" s="7" t="n">
        <f aca="false">IF(A2953="",0,COUNTIFS($A$2:$A$3058,A2953,$P$2:$P$3058,"OK"))</f>
        <v>1</v>
      </c>
      <c r="S2953" s="7" t="str">
        <f aca="false">IF(OR(A2953="",P2953="DUP",R2953&lt;2),"",IF(Q2953=_xlfn.MINIFS($Q$2:$Q$3058,$A$2:$A$3058,A2953,$P$2:$P$3058,"OK"),"KEEP","DROP"))</f>
        <v/>
      </c>
      <c r="T2953" s="9" t="n">
        <f aca="false">IF(A2953="",1,0)</f>
        <v>0</v>
      </c>
      <c r="U2953" s="9" t="n">
        <f aca="false">IF(D2953="",1,0)</f>
        <v>0</v>
      </c>
      <c r="V2953" s="9" t="n">
        <f aca="false">IF(E2953="",1,0)</f>
        <v>0</v>
      </c>
      <c r="W2953" s="9" t="n">
        <f aca="false">IF(OR(H2953&lt;1,H2953&gt;10),1,0)</f>
        <v>0</v>
      </c>
      <c r="X2953" s="9" t="n">
        <f aca="false">IF(OR(I2953&lt;=0,I2953&gt;1500),1,0)</f>
        <v>0</v>
      </c>
      <c r="Y2953" s="9" t="n">
        <f aca="false">IF(J2953&gt;H2953*I2953,1,0)</f>
        <v>0</v>
      </c>
      <c r="Z2953" s="9" t="n">
        <f aca="false">IF(AND(N2953&lt;&gt;"",OR(N2953&lt;1,N2953&gt;5)),1,0)</f>
        <v>0</v>
      </c>
      <c r="AA2953" s="9" t="n">
        <f aca="false">IF(AND(M2953&lt;&gt;"",OR(M2953&lt;5,M2953&gt;180)),1,0)</f>
        <v>0</v>
      </c>
      <c r="AB2953" s="7" t="str">
        <f aca="false">IF(P2953="DUP","Exact duplicate row",IF(T2953=1,"Missing Order ID",IF(S2953="DROP","Duplicate Order ID (less complete row)",IF(U2953=1,"Missing Customer ID",IF(V2953=1,"Missing Restaurant name",IF(W2953=1,"Invalid/outlier quantity",IF(X2953=1,"Invalid/outlier unit price",IF(Y2953=1,"Discount greater than order value",""))))))))</f>
        <v/>
      </c>
      <c r="AC2953" s="7" t="str">
        <f aca="false">IF(AB2953="","KEEP","DROP")</f>
        <v>KEEP</v>
      </c>
      <c r="AD2953" s="7" t="str">
        <f aca="false">IF(TRIM(F2953)="",IFERROR(INDEX(Map_Tables!$I$4:$I$37,MATCH(TRIM(E2953),Map_Tables!$G$4:$G$37,0)),""),IFERROR(INDEX(Map_Tables!$B$4:$B$18,MATCH(TRIM(F2953),Map_Tables!$A$4:$A$18,0)),"CHECK"))</f>
        <v>Delhi</v>
      </c>
      <c r="AE2953" s="7" t="str">
        <f aca="false">IF(TRIM(E2953)="","",IFERROR(INDEX(Map_Tables!$H$4:$H$37,MATCH(TRIM(E2953),Map_Tables!$G$4:$G$37,0)),"CHECK"))</f>
        <v>Momo Magic</v>
      </c>
      <c r="AF2953" s="7" t="str">
        <f aca="false">IF(TRIM(K2953)="","Unknown",IFERROR(INDEX(Map_Tables!$E$4:$E$15,MATCH(TRIM(K2953),Map_Tables!$D$4:$D$15,0)),"CHECK"))</f>
        <v>UPI</v>
      </c>
      <c r="AG2953" s="7" t="str">
        <f aca="false">IF(LEFT(LOWER(TRIM(L2953)),6)="cancel","Cancelled","Delivered")</f>
        <v>Delivered</v>
      </c>
      <c r="AH2953" s="10" t="n">
        <f aca="false">IF(ISNUMBER(SEARCH("/",B2953)),DATE(VALUE(RIGHT(B2953,4)),VALUE(MID(B2953,4,2)),VALUE(LEFT(B2953,2))),IF(MID(B2953,5,1)="-",DATE(VALUE(LEFT(B2953,4)),VALUE(MID(B2953,6,2)),VALUE(RIGHT(B2953,2))),DATE(VALUE(RIGHT(B2953,4)),MATCH(MID(B2953,4,3),{"Jan","Feb","Mar","Apr","May","Jun","Jul","Aug","Sep","Oct","Nov","Dec"},0),VALUE(LEFT(B2953,2)))))</f>
        <v>45890</v>
      </c>
    </row>
    <row r="2954" customFormat="false" ht="15" hidden="false" customHeight="false" outlineLevel="0" collapsed="false">
      <c r="A2954" s="7" t="s">
        <v>6044</v>
      </c>
      <c r="B2954" s="7" t="s">
        <v>4652</v>
      </c>
      <c r="C2954" s="7" t="s">
        <v>2676</v>
      </c>
      <c r="D2954" s="7" t="s">
        <v>4457</v>
      </c>
      <c r="E2954" s="7" t="s">
        <v>113</v>
      </c>
      <c r="F2954" s="7" t="s">
        <v>101</v>
      </c>
      <c r="G2954" s="7" t="s">
        <v>90</v>
      </c>
      <c r="H2954" s="7" t="n">
        <v>2</v>
      </c>
      <c r="I2954" s="7" t="n">
        <v>275</v>
      </c>
      <c r="J2954" s="7" t="n">
        <v>20</v>
      </c>
      <c r="K2954" s="7" t="s">
        <v>88</v>
      </c>
      <c r="L2954" s="7" t="s">
        <v>194</v>
      </c>
      <c r="M2954" s="7" t="n">
        <v>37</v>
      </c>
      <c r="N2954" s="7" t="n">
        <v>4</v>
      </c>
      <c r="O2954" s="7" t="str">
        <f aca="false">A2954&amp;"|"&amp;B2954&amp;"|"&amp;C2954&amp;"|"&amp;D2954&amp;"|"&amp;E2954&amp;"|"&amp;F2954&amp;"|"&amp;G2954&amp;"|"&amp;H2954&amp;"|"&amp;I2954&amp;"|"&amp;J2954&amp;"|"&amp;K2954&amp;"|"&amp;L2954&amp;"|"&amp;M2954&amp;"|"&amp;N2954</f>
        <v>ORD11499|14/07/2025|12:36|C1086|Curry Leaf Kitchen|Mumbai|North Indian|2|275|20|UPI|Delivered|37|4</v>
      </c>
      <c r="P2954" s="7" t="str">
        <f aca="false">IF(COUNTIF($O$2:O2954,O2954)&gt;1,"DUP","OK")</f>
        <v>OK</v>
      </c>
      <c r="Q2954" s="7" t="n">
        <f aca="false">COUNTBLANK(A2954:N2954)</f>
        <v>0</v>
      </c>
      <c r="R2954" s="7" t="n">
        <f aca="false">IF(A2954="",0,COUNTIFS($A$2:$A$3058,A2954,$P$2:$P$3058,"OK"))</f>
        <v>1</v>
      </c>
      <c r="S2954" s="7" t="str">
        <f aca="false">IF(OR(A2954="",P2954="DUP",R2954&lt;2),"",IF(Q2954=_xlfn.MINIFS($Q$2:$Q$3058,$A$2:$A$3058,A2954,$P$2:$P$3058,"OK"),"KEEP","DROP"))</f>
        <v/>
      </c>
      <c r="T2954" s="9" t="n">
        <f aca="false">IF(A2954="",1,0)</f>
        <v>0</v>
      </c>
      <c r="U2954" s="9" t="n">
        <f aca="false">IF(D2954="",1,0)</f>
        <v>0</v>
      </c>
      <c r="V2954" s="9" t="n">
        <f aca="false">IF(E2954="",1,0)</f>
        <v>0</v>
      </c>
      <c r="W2954" s="9" t="n">
        <f aca="false">IF(OR(H2954&lt;1,H2954&gt;10),1,0)</f>
        <v>0</v>
      </c>
      <c r="X2954" s="9" t="n">
        <f aca="false">IF(OR(I2954&lt;=0,I2954&gt;1500),1,0)</f>
        <v>0</v>
      </c>
      <c r="Y2954" s="9" t="n">
        <f aca="false">IF(J2954&gt;H2954*I2954,1,0)</f>
        <v>0</v>
      </c>
      <c r="Z2954" s="9" t="n">
        <f aca="false">IF(AND(N2954&lt;&gt;"",OR(N2954&lt;1,N2954&gt;5)),1,0)</f>
        <v>0</v>
      </c>
      <c r="AA2954" s="9" t="n">
        <f aca="false">IF(AND(M2954&lt;&gt;"",OR(M2954&lt;5,M2954&gt;180)),1,0)</f>
        <v>0</v>
      </c>
      <c r="AB2954" s="7" t="str">
        <f aca="false">IF(P2954="DUP","Exact duplicate row",IF(T2954=1,"Missing Order ID",IF(S2954="DROP","Duplicate Order ID (less complete row)",IF(U2954=1,"Missing Customer ID",IF(V2954=1,"Missing Restaurant name",IF(W2954=1,"Invalid/outlier quantity",IF(X2954=1,"Invalid/outlier unit price",IF(Y2954=1,"Discount greater than order value",""))))))))</f>
        <v/>
      </c>
      <c r="AC2954" s="7" t="str">
        <f aca="false">IF(AB2954="","KEEP","DROP")</f>
        <v>KEEP</v>
      </c>
      <c r="AD2954" s="7" t="str">
        <f aca="false">IF(TRIM(F2954)="",IFERROR(INDEX(Map_Tables!$I$4:$I$37,MATCH(TRIM(E2954),Map_Tables!$G$4:$G$37,0)),""),IFERROR(INDEX(Map_Tables!$B$4:$B$18,MATCH(TRIM(F2954),Map_Tables!$A$4:$A$18,0)),"CHECK"))</f>
        <v>Mumbai</v>
      </c>
      <c r="AE2954" s="7" t="str">
        <f aca="false">IF(TRIM(E2954)="","",IFERROR(INDEX(Map_Tables!$H$4:$H$37,MATCH(TRIM(E2954),Map_Tables!$G$4:$G$37,0)),"CHECK"))</f>
        <v>Curry Leaf Kitchen</v>
      </c>
      <c r="AF2954" s="7" t="str">
        <f aca="false">IF(TRIM(K2954)="","Unknown",IFERROR(INDEX(Map_Tables!$E$4:$E$15,MATCH(TRIM(K2954),Map_Tables!$D$4:$D$15,0)),"CHECK"))</f>
        <v>UPI</v>
      </c>
      <c r="AG2954" s="7" t="str">
        <f aca="false">IF(LEFT(LOWER(TRIM(L2954)),6)="cancel","Cancelled","Delivered")</f>
        <v>Delivered</v>
      </c>
      <c r="AH2954" s="10" t="n">
        <f aca="false">IF(ISNUMBER(SEARCH("/",B2954)),DATE(VALUE(RIGHT(B2954,4)),VALUE(MID(B2954,4,2)),VALUE(LEFT(B2954,2))),IF(MID(B2954,5,1)="-",DATE(VALUE(LEFT(B2954,4)),VALUE(MID(B2954,6,2)),VALUE(RIGHT(B2954,2))),DATE(VALUE(RIGHT(B2954,4)),MATCH(MID(B2954,4,3),{"Jan","Feb","Mar","Apr","May","Jun","Jul","Aug","Sep","Oct","Nov","Dec"},0),VALUE(LEFT(B2954,2)))))</f>
        <v>45852</v>
      </c>
    </row>
    <row r="2955" customFormat="false" ht="15" hidden="false" customHeight="false" outlineLevel="0" collapsed="false">
      <c r="A2955" s="7" t="s">
        <v>6045</v>
      </c>
      <c r="B2955" s="7" t="s">
        <v>791</v>
      </c>
      <c r="C2955" s="7" t="s">
        <v>292</v>
      </c>
      <c r="D2955" s="7" t="s">
        <v>5388</v>
      </c>
      <c r="E2955" s="7" t="s">
        <v>98</v>
      </c>
      <c r="F2955" s="7" t="s">
        <v>86</v>
      </c>
      <c r="G2955" s="7" t="s">
        <v>99</v>
      </c>
      <c r="H2955" s="7" t="n">
        <v>1</v>
      </c>
      <c r="I2955" s="7" t="n">
        <v>205</v>
      </c>
      <c r="J2955" s="7" t="n">
        <v>0</v>
      </c>
      <c r="K2955" s="7" t="s">
        <v>88</v>
      </c>
      <c r="L2955" s="7" t="s">
        <v>194</v>
      </c>
      <c r="M2955" s="7" t="n">
        <v>46</v>
      </c>
      <c r="N2955" s="7" t="n">
        <v>5</v>
      </c>
      <c r="O2955" s="7" t="str">
        <f aca="false">A2955&amp;"|"&amp;B2955&amp;"|"&amp;C2955&amp;"|"&amp;D2955&amp;"|"&amp;E2955&amp;"|"&amp;F2955&amp;"|"&amp;G2955&amp;"|"&amp;H2955&amp;"|"&amp;I2955&amp;"|"&amp;J2955&amp;"|"&amp;K2955&amp;"|"&amp;L2955&amp;"|"&amp;M2955&amp;"|"&amp;N2955</f>
        <v>ORD12505|2025-11-10|18:02|C0500|Nawabi Biryani House|Bengaluru|Biryani|1|205|0|UPI|Delivered|46|5</v>
      </c>
      <c r="P2955" s="7" t="str">
        <f aca="false">IF(COUNTIF($O$2:O2955,O2955)&gt;1,"DUP","OK")</f>
        <v>OK</v>
      </c>
      <c r="Q2955" s="7" t="n">
        <f aca="false">COUNTBLANK(A2955:N2955)</f>
        <v>0</v>
      </c>
      <c r="R2955" s="7" t="n">
        <f aca="false">IF(A2955="",0,COUNTIFS($A$2:$A$3058,A2955,$P$2:$P$3058,"OK"))</f>
        <v>1</v>
      </c>
      <c r="S2955" s="7" t="str">
        <f aca="false">IF(OR(A2955="",P2955="DUP",R2955&lt;2),"",IF(Q2955=_xlfn.MINIFS($Q$2:$Q$3058,$A$2:$A$3058,A2955,$P$2:$P$3058,"OK"),"KEEP","DROP"))</f>
        <v/>
      </c>
      <c r="T2955" s="9" t="n">
        <f aca="false">IF(A2955="",1,0)</f>
        <v>0</v>
      </c>
      <c r="U2955" s="9" t="n">
        <f aca="false">IF(D2955="",1,0)</f>
        <v>0</v>
      </c>
      <c r="V2955" s="9" t="n">
        <f aca="false">IF(E2955="",1,0)</f>
        <v>0</v>
      </c>
      <c r="W2955" s="9" t="n">
        <f aca="false">IF(OR(H2955&lt;1,H2955&gt;10),1,0)</f>
        <v>0</v>
      </c>
      <c r="X2955" s="9" t="n">
        <f aca="false">IF(OR(I2955&lt;=0,I2955&gt;1500),1,0)</f>
        <v>0</v>
      </c>
      <c r="Y2955" s="9" t="n">
        <f aca="false">IF(J2955&gt;H2955*I2955,1,0)</f>
        <v>0</v>
      </c>
      <c r="Z2955" s="9" t="n">
        <f aca="false">IF(AND(N2955&lt;&gt;"",OR(N2955&lt;1,N2955&gt;5)),1,0)</f>
        <v>0</v>
      </c>
      <c r="AA2955" s="9" t="n">
        <f aca="false">IF(AND(M2955&lt;&gt;"",OR(M2955&lt;5,M2955&gt;180)),1,0)</f>
        <v>0</v>
      </c>
      <c r="AB2955" s="7" t="str">
        <f aca="false">IF(P2955="DUP","Exact duplicate row",IF(T2955=1,"Missing Order ID",IF(S2955="DROP","Duplicate Order ID (less complete row)",IF(U2955=1,"Missing Customer ID",IF(V2955=1,"Missing Restaurant name",IF(W2955=1,"Invalid/outlier quantity",IF(X2955=1,"Invalid/outlier unit price",IF(Y2955=1,"Discount greater than order value",""))))))))</f>
        <v/>
      </c>
      <c r="AC2955" s="7" t="str">
        <f aca="false">IF(AB2955="","KEEP","DROP")</f>
        <v>KEEP</v>
      </c>
      <c r="AD2955" s="7" t="str">
        <f aca="false">IF(TRIM(F2955)="",IFERROR(INDEX(Map_Tables!$I$4:$I$37,MATCH(TRIM(E2955),Map_Tables!$G$4:$G$37,0)),""),IFERROR(INDEX(Map_Tables!$B$4:$B$18,MATCH(TRIM(F2955),Map_Tables!$A$4:$A$18,0)),"CHECK"))</f>
        <v>Bengaluru</v>
      </c>
      <c r="AE2955" s="7" t="str">
        <f aca="false">IF(TRIM(E2955)="","",IFERROR(INDEX(Map_Tables!$H$4:$H$37,MATCH(TRIM(E2955),Map_Tables!$G$4:$G$37,0)),"CHECK"))</f>
        <v>Nawabi Biryani House</v>
      </c>
      <c r="AF2955" s="7" t="str">
        <f aca="false">IF(TRIM(K2955)="","Unknown",IFERROR(INDEX(Map_Tables!$E$4:$E$15,MATCH(TRIM(K2955),Map_Tables!$D$4:$D$15,0)),"CHECK"))</f>
        <v>UPI</v>
      </c>
      <c r="AG2955" s="7" t="str">
        <f aca="false">IF(LEFT(LOWER(TRIM(L2955)),6)="cancel","Cancelled","Delivered")</f>
        <v>Delivered</v>
      </c>
      <c r="AH2955" s="10" t="n">
        <f aca="false">IF(ISNUMBER(SEARCH("/",B2955)),DATE(VALUE(RIGHT(B2955,4)),VALUE(MID(B2955,4,2)),VALUE(LEFT(B2955,2))),IF(MID(B2955,5,1)="-",DATE(VALUE(LEFT(B2955,4)),VALUE(MID(B2955,6,2)),VALUE(RIGHT(B2955,2))),DATE(VALUE(RIGHT(B2955,4)),MATCH(MID(B2955,4,3),{"Jan","Feb","Mar","Apr","May","Jun","Jul","Aug","Sep","Oct","Nov","Dec"},0),VALUE(LEFT(B2955,2)))))</f>
        <v>45971</v>
      </c>
    </row>
    <row r="2956" customFormat="false" ht="15" hidden="false" customHeight="false" outlineLevel="0" collapsed="false">
      <c r="A2956" s="7" t="s">
        <v>6046</v>
      </c>
      <c r="B2956" s="7" t="s">
        <v>523</v>
      </c>
      <c r="C2956" s="7" t="s">
        <v>213</v>
      </c>
      <c r="D2956" s="7" t="s">
        <v>4998</v>
      </c>
      <c r="E2956" s="7" t="s">
        <v>89</v>
      </c>
      <c r="F2956" s="7" t="s">
        <v>729</v>
      </c>
      <c r="G2956" s="7" t="s">
        <v>90</v>
      </c>
      <c r="H2956" s="7" t="n">
        <v>1</v>
      </c>
      <c r="I2956" s="7" t="n">
        <v>195</v>
      </c>
      <c r="J2956" s="7" t="n">
        <v>75</v>
      </c>
      <c r="K2956" s="7" t="s">
        <v>88</v>
      </c>
      <c r="L2956" s="7" t="s">
        <v>194</v>
      </c>
      <c r="M2956" s="7" t="n">
        <v>42</v>
      </c>
      <c r="N2956" s="7" t="n">
        <v>4</v>
      </c>
      <c r="O2956" s="7" t="str">
        <f aca="false">A2956&amp;"|"&amp;B2956&amp;"|"&amp;C2956&amp;"|"&amp;D2956&amp;"|"&amp;E2956&amp;"|"&amp;F2956&amp;"|"&amp;G2956&amp;"|"&amp;H2956&amp;"|"&amp;I2956&amp;"|"&amp;J2956&amp;"|"&amp;K2956&amp;"|"&amp;L2956&amp;"|"&amp;M2956&amp;"|"&amp;N2956</f>
        <v>ORD11836|2025-08-27|20:37|C0716|Spice Junction|BENGALURU|North Indian|1|195|75|UPI|Delivered|42|4</v>
      </c>
      <c r="P2956" s="7" t="str">
        <f aca="false">IF(COUNTIF($O$2:O2956,O2956)&gt;1,"DUP","OK")</f>
        <v>OK</v>
      </c>
      <c r="Q2956" s="7" t="n">
        <f aca="false">COUNTBLANK(A2956:N2956)</f>
        <v>0</v>
      </c>
      <c r="R2956" s="7" t="n">
        <f aca="false">IF(A2956="",0,COUNTIFS($A$2:$A$3058,A2956,$P$2:$P$3058,"OK"))</f>
        <v>1</v>
      </c>
      <c r="S2956" s="7" t="str">
        <f aca="false">IF(OR(A2956="",P2956="DUP",R2956&lt;2),"",IF(Q2956=_xlfn.MINIFS($Q$2:$Q$3058,$A$2:$A$3058,A2956,$P$2:$P$3058,"OK"),"KEEP","DROP"))</f>
        <v/>
      </c>
      <c r="T2956" s="9" t="n">
        <f aca="false">IF(A2956="",1,0)</f>
        <v>0</v>
      </c>
      <c r="U2956" s="9" t="n">
        <f aca="false">IF(D2956="",1,0)</f>
        <v>0</v>
      </c>
      <c r="V2956" s="9" t="n">
        <f aca="false">IF(E2956="",1,0)</f>
        <v>0</v>
      </c>
      <c r="W2956" s="9" t="n">
        <f aca="false">IF(OR(H2956&lt;1,H2956&gt;10),1,0)</f>
        <v>0</v>
      </c>
      <c r="X2956" s="9" t="n">
        <f aca="false">IF(OR(I2956&lt;=0,I2956&gt;1500),1,0)</f>
        <v>0</v>
      </c>
      <c r="Y2956" s="9" t="n">
        <f aca="false">IF(J2956&gt;H2956*I2956,1,0)</f>
        <v>0</v>
      </c>
      <c r="Z2956" s="9" t="n">
        <f aca="false">IF(AND(N2956&lt;&gt;"",OR(N2956&lt;1,N2956&gt;5)),1,0)</f>
        <v>0</v>
      </c>
      <c r="AA2956" s="9" t="n">
        <f aca="false">IF(AND(M2956&lt;&gt;"",OR(M2956&lt;5,M2956&gt;180)),1,0)</f>
        <v>0</v>
      </c>
      <c r="AB2956" s="7" t="str">
        <f aca="false">IF(P2956="DUP","Exact duplicate row",IF(T2956=1,"Missing Order ID",IF(S2956="DROP","Duplicate Order ID (less complete row)",IF(U2956=1,"Missing Customer ID",IF(V2956=1,"Missing Restaurant name",IF(W2956=1,"Invalid/outlier quantity",IF(X2956=1,"Invalid/outlier unit price",IF(Y2956=1,"Discount greater than order value",""))))))))</f>
        <v/>
      </c>
      <c r="AC2956" s="7" t="str">
        <f aca="false">IF(AB2956="","KEEP","DROP")</f>
        <v>KEEP</v>
      </c>
      <c r="AD2956" s="7" t="str">
        <f aca="false">IF(TRIM(F2956)="",IFERROR(INDEX(Map_Tables!$I$4:$I$37,MATCH(TRIM(E2956),Map_Tables!$G$4:$G$37,0)),""),IFERROR(INDEX(Map_Tables!$B$4:$B$18,MATCH(TRIM(F2956),Map_Tables!$A$4:$A$18,0)),"CHECK"))</f>
        <v>Bengaluru</v>
      </c>
      <c r="AE2956" s="7" t="str">
        <f aca="false">IF(TRIM(E2956)="","",IFERROR(INDEX(Map_Tables!$H$4:$H$37,MATCH(TRIM(E2956),Map_Tables!$G$4:$G$37,0)),"CHECK"))</f>
        <v>Spice Junction</v>
      </c>
      <c r="AF2956" s="7" t="str">
        <f aca="false">IF(TRIM(K2956)="","Unknown",IFERROR(INDEX(Map_Tables!$E$4:$E$15,MATCH(TRIM(K2956),Map_Tables!$D$4:$D$15,0)),"CHECK"))</f>
        <v>UPI</v>
      </c>
      <c r="AG2956" s="7" t="str">
        <f aca="false">IF(LEFT(LOWER(TRIM(L2956)),6)="cancel","Cancelled","Delivered")</f>
        <v>Delivered</v>
      </c>
      <c r="AH2956" s="10" t="n">
        <f aca="false">IF(ISNUMBER(SEARCH("/",B2956)),DATE(VALUE(RIGHT(B2956,4)),VALUE(MID(B2956,4,2)),VALUE(LEFT(B2956,2))),IF(MID(B2956,5,1)="-",DATE(VALUE(LEFT(B2956,4)),VALUE(MID(B2956,6,2)),VALUE(RIGHT(B2956,2))),DATE(VALUE(RIGHT(B2956,4)),MATCH(MID(B2956,4,3),{"Jan","Feb","Mar","Apr","May","Jun","Jul","Aug","Sep","Oct","Nov","Dec"},0),VALUE(LEFT(B2956,2)))))</f>
        <v>45896</v>
      </c>
    </row>
    <row r="2957" customFormat="false" ht="15" hidden="false" customHeight="false" outlineLevel="0" collapsed="false">
      <c r="A2957" s="7" t="s">
        <v>6047</v>
      </c>
      <c r="B2957" s="7" t="s">
        <v>554</v>
      </c>
      <c r="C2957" s="7" t="s">
        <v>201</v>
      </c>
      <c r="D2957" s="7" t="s">
        <v>6048</v>
      </c>
      <c r="E2957" s="7" t="s">
        <v>142</v>
      </c>
      <c r="F2957" s="7" t="s">
        <v>109</v>
      </c>
      <c r="G2957" s="7" t="s">
        <v>105</v>
      </c>
      <c r="H2957" s="7" t="n">
        <v>2</v>
      </c>
      <c r="I2957" s="7" t="n">
        <v>110</v>
      </c>
      <c r="J2957" s="7" t="n">
        <v>0</v>
      </c>
      <c r="K2957" s="7" t="s">
        <v>93</v>
      </c>
      <c r="L2957" s="7" t="s">
        <v>194</v>
      </c>
      <c r="M2957" s="7" t="n">
        <v>47</v>
      </c>
      <c r="N2957" s="7" t="n">
        <v>2</v>
      </c>
      <c r="O2957" s="7" t="str">
        <f aca="false">A2957&amp;"|"&amp;B2957&amp;"|"&amp;C2957&amp;"|"&amp;D2957&amp;"|"&amp;E2957&amp;"|"&amp;F2957&amp;"|"&amp;G2957&amp;"|"&amp;H2957&amp;"|"&amp;I2957&amp;"|"&amp;J2957&amp;"|"&amp;K2957&amp;"|"&amp;L2957&amp;"|"&amp;M2957&amp;"|"&amp;N2957</f>
        <v>ORD12309|2025-10-18|20:46|C0427|Momo Magic|delhi|Chinese|2|110|0|Credit Card|Delivered|47|2</v>
      </c>
      <c r="P2957" s="7" t="str">
        <f aca="false">IF(COUNTIF($O$2:O2957,O2957)&gt;1,"DUP","OK")</f>
        <v>OK</v>
      </c>
      <c r="Q2957" s="7" t="n">
        <f aca="false">COUNTBLANK(A2957:N2957)</f>
        <v>0</v>
      </c>
      <c r="R2957" s="7" t="n">
        <f aca="false">IF(A2957="",0,COUNTIFS($A$2:$A$3058,A2957,$P$2:$P$3058,"OK"))</f>
        <v>1</v>
      </c>
      <c r="S2957" s="7" t="str">
        <f aca="false">IF(OR(A2957="",P2957="DUP",R2957&lt;2),"",IF(Q2957=_xlfn.MINIFS($Q$2:$Q$3058,$A$2:$A$3058,A2957,$P$2:$P$3058,"OK"),"KEEP","DROP"))</f>
        <v/>
      </c>
      <c r="T2957" s="9" t="n">
        <f aca="false">IF(A2957="",1,0)</f>
        <v>0</v>
      </c>
      <c r="U2957" s="9" t="n">
        <f aca="false">IF(D2957="",1,0)</f>
        <v>0</v>
      </c>
      <c r="V2957" s="9" t="n">
        <f aca="false">IF(E2957="",1,0)</f>
        <v>0</v>
      </c>
      <c r="W2957" s="9" t="n">
        <f aca="false">IF(OR(H2957&lt;1,H2957&gt;10),1,0)</f>
        <v>0</v>
      </c>
      <c r="X2957" s="9" t="n">
        <f aca="false">IF(OR(I2957&lt;=0,I2957&gt;1500),1,0)</f>
        <v>0</v>
      </c>
      <c r="Y2957" s="9" t="n">
        <f aca="false">IF(J2957&gt;H2957*I2957,1,0)</f>
        <v>0</v>
      </c>
      <c r="Z2957" s="9" t="n">
        <f aca="false">IF(AND(N2957&lt;&gt;"",OR(N2957&lt;1,N2957&gt;5)),1,0)</f>
        <v>0</v>
      </c>
      <c r="AA2957" s="9" t="n">
        <f aca="false">IF(AND(M2957&lt;&gt;"",OR(M2957&lt;5,M2957&gt;180)),1,0)</f>
        <v>0</v>
      </c>
      <c r="AB2957" s="7" t="str">
        <f aca="false">IF(P2957="DUP","Exact duplicate row",IF(T2957=1,"Missing Order ID",IF(S2957="DROP","Duplicate Order ID (less complete row)",IF(U2957=1,"Missing Customer ID",IF(V2957=1,"Missing Restaurant name",IF(W2957=1,"Invalid/outlier quantity",IF(X2957=1,"Invalid/outlier unit price",IF(Y2957=1,"Discount greater than order value",""))))))))</f>
        <v/>
      </c>
      <c r="AC2957" s="7" t="str">
        <f aca="false">IF(AB2957="","KEEP","DROP")</f>
        <v>KEEP</v>
      </c>
      <c r="AD2957" s="7" t="str">
        <f aca="false">IF(TRIM(F2957)="",IFERROR(INDEX(Map_Tables!$I$4:$I$37,MATCH(TRIM(E2957),Map_Tables!$G$4:$G$37,0)),""),IFERROR(INDEX(Map_Tables!$B$4:$B$18,MATCH(TRIM(F2957),Map_Tables!$A$4:$A$18,0)),"CHECK"))</f>
        <v>Delhi</v>
      </c>
      <c r="AE2957" s="7" t="str">
        <f aca="false">IF(TRIM(E2957)="","",IFERROR(INDEX(Map_Tables!$H$4:$H$37,MATCH(TRIM(E2957),Map_Tables!$G$4:$G$37,0)),"CHECK"))</f>
        <v>Momo Magic</v>
      </c>
      <c r="AF2957" s="7" t="str">
        <f aca="false">IF(TRIM(K2957)="","Unknown",IFERROR(INDEX(Map_Tables!$E$4:$E$15,MATCH(TRIM(K2957),Map_Tables!$D$4:$D$15,0)),"CHECK"))</f>
        <v>Credit Card</v>
      </c>
      <c r="AG2957" s="7" t="str">
        <f aca="false">IF(LEFT(LOWER(TRIM(L2957)),6)="cancel","Cancelled","Delivered")</f>
        <v>Delivered</v>
      </c>
      <c r="AH2957" s="10" t="n">
        <f aca="false">IF(ISNUMBER(SEARCH("/",B2957)),DATE(VALUE(RIGHT(B2957,4)),VALUE(MID(B2957,4,2)),VALUE(LEFT(B2957,2))),IF(MID(B2957,5,1)="-",DATE(VALUE(LEFT(B2957,4)),VALUE(MID(B2957,6,2)),VALUE(RIGHT(B2957,2))),DATE(VALUE(RIGHT(B2957,4)),MATCH(MID(B2957,4,3),{"Jan","Feb","Mar","Apr","May","Jun","Jul","Aug","Sep","Oct","Nov","Dec"},0),VALUE(LEFT(B2957,2)))))</f>
        <v>45948</v>
      </c>
    </row>
    <row r="2958" customFormat="false" ht="15" hidden="false" customHeight="false" outlineLevel="0" collapsed="false">
      <c r="A2958" s="7" t="s">
        <v>6049</v>
      </c>
      <c r="B2958" s="7" t="s">
        <v>1538</v>
      </c>
      <c r="C2958" s="7" t="s">
        <v>1118</v>
      </c>
      <c r="D2958" s="7" t="s">
        <v>6050</v>
      </c>
      <c r="E2958" s="7" t="s">
        <v>157</v>
      </c>
      <c r="F2958" s="7" t="s">
        <v>136</v>
      </c>
      <c r="G2958" s="7" t="s">
        <v>117</v>
      </c>
      <c r="H2958" s="7" t="n">
        <v>1</v>
      </c>
      <c r="I2958" s="7" t="n">
        <v>135</v>
      </c>
      <c r="J2958" s="7" t="n">
        <v>40</v>
      </c>
      <c r="K2958" s="7" t="s">
        <v>102</v>
      </c>
      <c r="L2958" s="7" t="s">
        <v>194</v>
      </c>
      <c r="M2958" s="7" t="n">
        <v>18</v>
      </c>
      <c r="N2958" s="7" t="n">
        <v>3</v>
      </c>
      <c r="O2958" s="7" t="str">
        <f aca="false">A2958&amp;"|"&amp;B2958&amp;"|"&amp;C2958&amp;"|"&amp;D2958&amp;"|"&amp;E2958&amp;"|"&amp;F2958&amp;"|"&amp;G2958&amp;"|"&amp;H2958&amp;"|"&amp;I2958&amp;"|"&amp;J2958&amp;"|"&amp;K2958&amp;"|"&amp;L2958&amp;"|"&amp;M2958&amp;"|"&amp;N2958</f>
        <v>ORD11841|2025-08-28|12:13|C1406|Misal Mantra|Pune|Street Food|1|135|40|debit card|Delivered|18|3</v>
      </c>
      <c r="P2958" s="7" t="str">
        <f aca="false">IF(COUNTIF($O$2:O2958,O2958)&gt;1,"DUP","OK")</f>
        <v>OK</v>
      </c>
      <c r="Q2958" s="7" t="n">
        <f aca="false">COUNTBLANK(A2958:N2958)</f>
        <v>0</v>
      </c>
      <c r="R2958" s="7" t="n">
        <f aca="false">IF(A2958="",0,COUNTIFS($A$2:$A$3058,A2958,$P$2:$P$3058,"OK"))</f>
        <v>1</v>
      </c>
      <c r="S2958" s="7" t="str">
        <f aca="false">IF(OR(A2958="",P2958="DUP",R2958&lt;2),"",IF(Q2958=_xlfn.MINIFS($Q$2:$Q$3058,$A$2:$A$3058,A2958,$P$2:$P$3058,"OK"),"KEEP","DROP"))</f>
        <v/>
      </c>
      <c r="T2958" s="9" t="n">
        <f aca="false">IF(A2958="",1,0)</f>
        <v>0</v>
      </c>
      <c r="U2958" s="9" t="n">
        <f aca="false">IF(D2958="",1,0)</f>
        <v>0</v>
      </c>
      <c r="V2958" s="9" t="n">
        <f aca="false">IF(E2958="",1,0)</f>
        <v>0</v>
      </c>
      <c r="W2958" s="9" t="n">
        <f aca="false">IF(OR(H2958&lt;1,H2958&gt;10),1,0)</f>
        <v>0</v>
      </c>
      <c r="X2958" s="9" t="n">
        <f aca="false">IF(OR(I2958&lt;=0,I2958&gt;1500),1,0)</f>
        <v>0</v>
      </c>
      <c r="Y2958" s="9" t="n">
        <f aca="false">IF(J2958&gt;H2958*I2958,1,0)</f>
        <v>0</v>
      </c>
      <c r="Z2958" s="9" t="n">
        <f aca="false">IF(AND(N2958&lt;&gt;"",OR(N2958&lt;1,N2958&gt;5)),1,0)</f>
        <v>0</v>
      </c>
      <c r="AA2958" s="9" t="n">
        <f aca="false">IF(AND(M2958&lt;&gt;"",OR(M2958&lt;5,M2958&gt;180)),1,0)</f>
        <v>0</v>
      </c>
      <c r="AB2958" s="7" t="str">
        <f aca="false">IF(P2958="DUP","Exact duplicate row",IF(T2958=1,"Missing Order ID",IF(S2958="DROP","Duplicate Order ID (less complete row)",IF(U2958=1,"Missing Customer ID",IF(V2958=1,"Missing Restaurant name",IF(W2958=1,"Invalid/outlier quantity",IF(X2958=1,"Invalid/outlier unit price",IF(Y2958=1,"Discount greater than order value",""))))))))</f>
        <v/>
      </c>
      <c r="AC2958" s="7" t="str">
        <f aca="false">IF(AB2958="","KEEP","DROP")</f>
        <v>KEEP</v>
      </c>
      <c r="AD2958" s="7" t="str">
        <f aca="false">IF(TRIM(F2958)="",IFERROR(INDEX(Map_Tables!$I$4:$I$37,MATCH(TRIM(E2958),Map_Tables!$G$4:$G$37,0)),""),IFERROR(INDEX(Map_Tables!$B$4:$B$18,MATCH(TRIM(F2958),Map_Tables!$A$4:$A$18,0)),"CHECK"))</f>
        <v>Pune</v>
      </c>
      <c r="AE2958" s="7" t="str">
        <f aca="false">IF(TRIM(E2958)="","",IFERROR(INDEX(Map_Tables!$H$4:$H$37,MATCH(TRIM(E2958),Map_Tables!$G$4:$G$37,0)),"CHECK"))</f>
        <v>Misal Mantra</v>
      </c>
      <c r="AF2958" s="7" t="str">
        <f aca="false">IF(TRIM(K2958)="","Unknown",IFERROR(INDEX(Map_Tables!$E$4:$E$15,MATCH(TRIM(K2958),Map_Tables!$D$4:$D$15,0)),"CHECK"))</f>
        <v>Debit Card</v>
      </c>
      <c r="AG2958" s="7" t="str">
        <f aca="false">IF(LEFT(LOWER(TRIM(L2958)),6)="cancel","Cancelled","Delivered")</f>
        <v>Delivered</v>
      </c>
      <c r="AH2958" s="10" t="n">
        <f aca="false">IF(ISNUMBER(SEARCH("/",B2958)),DATE(VALUE(RIGHT(B2958,4)),VALUE(MID(B2958,4,2)),VALUE(LEFT(B2958,2))),IF(MID(B2958,5,1)="-",DATE(VALUE(LEFT(B2958,4)),VALUE(MID(B2958,6,2)),VALUE(RIGHT(B2958,2))),DATE(VALUE(RIGHT(B2958,4)),MATCH(MID(B2958,4,3),{"Jan","Feb","Mar","Apr","May","Jun","Jul","Aug","Sep","Oct","Nov","Dec"},0),VALUE(LEFT(B2958,2)))))</f>
        <v>45897</v>
      </c>
    </row>
    <row r="2959" customFormat="false" ht="15" hidden="false" customHeight="false" outlineLevel="0" collapsed="false">
      <c r="A2959" s="7" t="s">
        <v>6051</v>
      </c>
      <c r="B2959" s="7" t="s">
        <v>2315</v>
      </c>
      <c r="C2959" s="7" t="s">
        <v>2007</v>
      </c>
      <c r="D2959" s="7" t="s">
        <v>1283</v>
      </c>
      <c r="E2959" s="7" t="s">
        <v>144</v>
      </c>
      <c r="F2959" s="7" t="s">
        <v>119</v>
      </c>
      <c r="G2959" s="7" t="s">
        <v>99</v>
      </c>
      <c r="H2959" s="7" t="n">
        <v>1</v>
      </c>
      <c r="I2959" s="7" t="n">
        <v>290</v>
      </c>
      <c r="J2959" s="7" t="n">
        <v>116</v>
      </c>
      <c r="K2959" s="7" t="s">
        <v>103</v>
      </c>
      <c r="L2959" s="7" t="s">
        <v>194</v>
      </c>
      <c r="M2959" s="7" t="n">
        <v>34</v>
      </c>
      <c r="N2959" s="7" t="n">
        <v>3</v>
      </c>
      <c r="O2959" s="7" t="str">
        <f aca="false">A2959&amp;"|"&amp;B2959&amp;"|"&amp;C2959&amp;"|"&amp;D2959&amp;"|"&amp;E2959&amp;"|"&amp;F2959&amp;"|"&amp;G2959&amp;"|"&amp;H2959&amp;"|"&amp;I2959&amp;"|"&amp;J2959&amp;"|"&amp;K2959&amp;"|"&amp;L2959&amp;"|"&amp;M2959&amp;"|"&amp;N2959</f>
        <v>ORD12084|25/09/2025|22:22|C1215|Hyderabad Dum Biryani|Hyderabad|Biryani|1|290|116|Debit Card|Delivered|34|3</v>
      </c>
      <c r="P2959" s="7" t="str">
        <f aca="false">IF(COUNTIF($O$2:O2959,O2959)&gt;1,"DUP","OK")</f>
        <v>OK</v>
      </c>
      <c r="Q2959" s="7" t="n">
        <f aca="false">COUNTBLANK(A2959:N2959)</f>
        <v>0</v>
      </c>
      <c r="R2959" s="7" t="n">
        <f aca="false">IF(A2959="",0,COUNTIFS($A$2:$A$3058,A2959,$P$2:$P$3058,"OK"))</f>
        <v>1</v>
      </c>
      <c r="S2959" s="7" t="str">
        <f aca="false">IF(OR(A2959="",P2959="DUP",R2959&lt;2),"",IF(Q2959=_xlfn.MINIFS($Q$2:$Q$3058,$A$2:$A$3058,A2959,$P$2:$P$3058,"OK"),"KEEP","DROP"))</f>
        <v/>
      </c>
      <c r="T2959" s="9" t="n">
        <f aca="false">IF(A2959="",1,0)</f>
        <v>0</v>
      </c>
      <c r="U2959" s="9" t="n">
        <f aca="false">IF(D2959="",1,0)</f>
        <v>0</v>
      </c>
      <c r="V2959" s="9" t="n">
        <f aca="false">IF(E2959="",1,0)</f>
        <v>0</v>
      </c>
      <c r="W2959" s="9" t="n">
        <f aca="false">IF(OR(H2959&lt;1,H2959&gt;10),1,0)</f>
        <v>0</v>
      </c>
      <c r="X2959" s="9" t="n">
        <f aca="false">IF(OR(I2959&lt;=0,I2959&gt;1500),1,0)</f>
        <v>0</v>
      </c>
      <c r="Y2959" s="9" t="n">
        <f aca="false">IF(J2959&gt;H2959*I2959,1,0)</f>
        <v>0</v>
      </c>
      <c r="Z2959" s="9" t="n">
        <f aca="false">IF(AND(N2959&lt;&gt;"",OR(N2959&lt;1,N2959&gt;5)),1,0)</f>
        <v>0</v>
      </c>
      <c r="AA2959" s="9" t="n">
        <f aca="false">IF(AND(M2959&lt;&gt;"",OR(M2959&lt;5,M2959&gt;180)),1,0)</f>
        <v>0</v>
      </c>
      <c r="AB2959" s="7" t="str">
        <f aca="false">IF(P2959="DUP","Exact duplicate row",IF(T2959=1,"Missing Order ID",IF(S2959="DROP","Duplicate Order ID (less complete row)",IF(U2959=1,"Missing Customer ID",IF(V2959=1,"Missing Restaurant name",IF(W2959=1,"Invalid/outlier quantity",IF(X2959=1,"Invalid/outlier unit price",IF(Y2959=1,"Discount greater than order value",""))))))))</f>
        <v/>
      </c>
      <c r="AC2959" s="7" t="str">
        <f aca="false">IF(AB2959="","KEEP","DROP")</f>
        <v>KEEP</v>
      </c>
      <c r="AD2959" s="7" t="str">
        <f aca="false">IF(TRIM(F2959)="",IFERROR(INDEX(Map_Tables!$I$4:$I$37,MATCH(TRIM(E2959),Map_Tables!$G$4:$G$37,0)),""),IFERROR(INDEX(Map_Tables!$B$4:$B$18,MATCH(TRIM(F2959),Map_Tables!$A$4:$A$18,0)),"CHECK"))</f>
        <v>Hyderabad</v>
      </c>
      <c r="AE2959" s="7" t="str">
        <f aca="false">IF(TRIM(E2959)="","",IFERROR(INDEX(Map_Tables!$H$4:$H$37,MATCH(TRIM(E2959),Map_Tables!$G$4:$G$37,0)),"CHECK"))</f>
        <v>Hyderabad Dum Biryani</v>
      </c>
      <c r="AF2959" s="7" t="str">
        <f aca="false">IF(TRIM(K2959)="","Unknown",IFERROR(INDEX(Map_Tables!$E$4:$E$15,MATCH(TRIM(K2959),Map_Tables!$D$4:$D$15,0)),"CHECK"))</f>
        <v>Debit Card</v>
      </c>
      <c r="AG2959" s="7" t="str">
        <f aca="false">IF(LEFT(LOWER(TRIM(L2959)),6)="cancel","Cancelled","Delivered")</f>
        <v>Delivered</v>
      </c>
      <c r="AH2959" s="10" t="n">
        <f aca="false">IF(ISNUMBER(SEARCH("/",B2959)),DATE(VALUE(RIGHT(B2959,4)),VALUE(MID(B2959,4,2)),VALUE(LEFT(B2959,2))),IF(MID(B2959,5,1)="-",DATE(VALUE(LEFT(B2959,4)),VALUE(MID(B2959,6,2)),VALUE(RIGHT(B2959,2))),DATE(VALUE(RIGHT(B2959,4)),MATCH(MID(B2959,4,3),{"Jan","Feb","Mar","Apr","May","Jun","Jul","Aug","Sep","Oct","Nov","Dec"},0),VALUE(LEFT(B2959,2)))))</f>
        <v>45925</v>
      </c>
    </row>
    <row r="2960" customFormat="false" ht="15" hidden="false" customHeight="false" outlineLevel="0" collapsed="false">
      <c r="A2960" s="7" t="s">
        <v>6052</v>
      </c>
      <c r="B2960" s="7" t="s">
        <v>6053</v>
      </c>
      <c r="C2960" s="7" t="s">
        <v>5543</v>
      </c>
      <c r="D2960" s="7" t="s">
        <v>3974</v>
      </c>
      <c r="E2960" s="7" t="s">
        <v>147</v>
      </c>
      <c r="F2960" s="7" t="s">
        <v>119</v>
      </c>
      <c r="G2960" s="7" t="s">
        <v>95</v>
      </c>
      <c r="H2960" s="7" t="n">
        <v>4</v>
      </c>
      <c r="I2960" s="7" t="n">
        <v>175</v>
      </c>
      <c r="J2960" s="7" t="n">
        <v>0</v>
      </c>
      <c r="K2960" s="7" t="s">
        <v>93</v>
      </c>
      <c r="L2960" s="7" t="s">
        <v>194</v>
      </c>
      <c r="M2960" s="7" t="n">
        <v>45</v>
      </c>
      <c r="N2960" s="7" t="n">
        <v>3</v>
      </c>
      <c r="O2960" s="7" t="str">
        <f aca="false">A2960&amp;"|"&amp;B2960&amp;"|"&amp;C2960&amp;"|"&amp;D2960&amp;"|"&amp;E2960&amp;"|"&amp;F2960&amp;"|"&amp;G2960&amp;"|"&amp;H2960&amp;"|"&amp;I2960&amp;"|"&amp;J2960&amp;"|"&amp;K2960&amp;"|"&amp;L2960&amp;"|"&amp;M2960&amp;"|"&amp;N2960</f>
        <v>ORD10828|15-Apr-2025|13:52|C1038|Andhra Meals Mess|Hyderabad|South Indian|4|175|0|Credit Card|Delivered|45|3</v>
      </c>
      <c r="P2960" s="7" t="str">
        <f aca="false">IF(COUNTIF($O$2:O2960,O2960)&gt;1,"DUP","OK")</f>
        <v>OK</v>
      </c>
      <c r="Q2960" s="7" t="n">
        <f aca="false">COUNTBLANK(A2960:N2960)</f>
        <v>0</v>
      </c>
      <c r="R2960" s="7" t="n">
        <f aca="false">IF(A2960="",0,COUNTIFS($A$2:$A$3058,A2960,$P$2:$P$3058,"OK"))</f>
        <v>1</v>
      </c>
      <c r="S2960" s="7" t="str">
        <f aca="false">IF(OR(A2960="",P2960="DUP",R2960&lt;2),"",IF(Q2960=_xlfn.MINIFS($Q$2:$Q$3058,$A$2:$A$3058,A2960,$P$2:$P$3058,"OK"),"KEEP","DROP"))</f>
        <v/>
      </c>
      <c r="T2960" s="9" t="n">
        <f aca="false">IF(A2960="",1,0)</f>
        <v>0</v>
      </c>
      <c r="U2960" s="9" t="n">
        <f aca="false">IF(D2960="",1,0)</f>
        <v>0</v>
      </c>
      <c r="V2960" s="9" t="n">
        <f aca="false">IF(E2960="",1,0)</f>
        <v>0</v>
      </c>
      <c r="W2960" s="9" t="n">
        <f aca="false">IF(OR(H2960&lt;1,H2960&gt;10),1,0)</f>
        <v>0</v>
      </c>
      <c r="X2960" s="9" t="n">
        <f aca="false">IF(OR(I2960&lt;=0,I2960&gt;1500),1,0)</f>
        <v>0</v>
      </c>
      <c r="Y2960" s="9" t="n">
        <f aca="false">IF(J2960&gt;H2960*I2960,1,0)</f>
        <v>0</v>
      </c>
      <c r="Z2960" s="9" t="n">
        <f aca="false">IF(AND(N2960&lt;&gt;"",OR(N2960&lt;1,N2960&gt;5)),1,0)</f>
        <v>0</v>
      </c>
      <c r="AA2960" s="9" t="n">
        <f aca="false">IF(AND(M2960&lt;&gt;"",OR(M2960&lt;5,M2960&gt;180)),1,0)</f>
        <v>0</v>
      </c>
      <c r="AB2960" s="7" t="str">
        <f aca="false">IF(P2960="DUP","Exact duplicate row",IF(T2960=1,"Missing Order ID",IF(S2960="DROP","Duplicate Order ID (less complete row)",IF(U2960=1,"Missing Customer ID",IF(V2960=1,"Missing Restaurant name",IF(W2960=1,"Invalid/outlier quantity",IF(X2960=1,"Invalid/outlier unit price",IF(Y2960=1,"Discount greater than order value",""))))))))</f>
        <v/>
      </c>
      <c r="AC2960" s="7" t="str">
        <f aca="false">IF(AB2960="","KEEP","DROP")</f>
        <v>KEEP</v>
      </c>
      <c r="AD2960" s="7" t="str">
        <f aca="false">IF(TRIM(F2960)="",IFERROR(INDEX(Map_Tables!$I$4:$I$37,MATCH(TRIM(E2960),Map_Tables!$G$4:$G$37,0)),""),IFERROR(INDEX(Map_Tables!$B$4:$B$18,MATCH(TRIM(F2960),Map_Tables!$A$4:$A$18,0)),"CHECK"))</f>
        <v>Hyderabad</v>
      </c>
      <c r="AE2960" s="7" t="str">
        <f aca="false">IF(TRIM(E2960)="","",IFERROR(INDEX(Map_Tables!$H$4:$H$37,MATCH(TRIM(E2960),Map_Tables!$G$4:$G$37,0)),"CHECK"))</f>
        <v>Andhra Meals Mess</v>
      </c>
      <c r="AF2960" s="7" t="str">
        <f aca="false">IF(TRIM(K2960)="","Unknown",IFERROR(INDEX(Map_Tables!$E$4:$E$15,MATCH(TRIM(K2960),Map_Tables!$D$4:$D$15,0)),"CHECK"))</f>
        <v>Credit Card</v>
      </c>
      <c r="AG2960" s="7" t="str">
        <f aca="false">IF(LEFT(LOWER(TRIM(L2960)),6)="cancel","Cancelled","Delivered")</f>
        <v>Delivered</v>
      </c>
      <c r="AH2960" s="10" t="n">
        <f aca="false">IF(ISNUMBER(SEARCH("/",B2960)),DATE(VALUE(RIGHT(B2960,4)),VALUE(MID(B2960,4,2)),VALUE(LEFT(B2960,2))),IF(MID(B2960,5,1)="-",DATE(VALUE(LEFT(B2960,4)),VALUE(MID(B2960,6,2)),VALUE(RIGHT(B2960,2))),DATE(VALUE(RIGHT(B2960,4)),MATCH(MID(B2960,4,3),{"Jan","Feb","Mar","Apr","May","Jun","Jul","Aug","Sep","Oct","Nov","Dec"},0),VALUE(LEFT(B2960,2)))))</f>
        <v>45762</v>
      </c>
    </row>
    <row r="2961" customFormat="false" ht="15" hidden="false" customHeight="false" outlineLevel="0" collapsed="false">
      <c r="A2961" s="7" t="s">
        <v>6054</v>
      </c>
      <c r="B2961" s="7" t="s">
        <v>2104</v>
      </c>
      <c r="C2961" s="7" t="s">
        <v>4080</v>
      </c>
      <c r="D2961" s="7" t="s">
        <v>4683</v>
      </c>
      <c r="E2961" s="7" t="s">
        <v>142</v>
      </c>
      <c r="F2961" s="7" t="s">
        <v>110</v>
      </c>
      <c r="G2961" s="7" t="s">
        <v>105</v>
      </c>
      <c r="H2961" s="7" t="n">
        <v>1</v>
      </c>
      <c r="I2961" s="7" t="n">
        <v>205</v>
      </c>
      <c r="J2961" s="7" t="n">
        <v>0</v>
      </c>
      <c r="K2961" s="7" t="s">
        <v>93</v>
      </c>
      <c r="L2961" s="7" t="s">
        <v>194</v>
      </c>
      <c r="M2961" s="7" t="n">
        <v>43</v>
      </c>
      <c r="N2961" s="7" t="n">
        <v>3</v>
      </c>
      <c r="O2961" s="7" t="str">
        <f aca="false">A2961&amp;"|"&amp;B2961&amp;"|"&amp;C2961&amp;"|"&amp;D2961&amp;"|"&amp;E2961&amp;"|"&amp;F2961&amp;"|"&amp;G2961&amp;"|"&amp;H2961&amp;"|"&amp;I2961&amp;"|"&amp;J2961&amp;"|"&amp;K2961&amp;"|"&amp;L2961&amp;"|"&amp;M2961&amp;"|"&amp;N2961</f>
        <v>ORD11936|2025-09-09|10:44|C1088|Momo Magic|Delhi|Chinese|1|205|0|Credit Card|Delivered|43|3</v>
      </c>
      <c r="P2961" s="7" t="str">
        <f aca="false">IF(COUNTIF($O$2:O2961,O2961)&gt;1,"DUP","OK")</f>
        <v>OK</v>
      </c>
      <c r="Q2961" s="7" t="n">
        <f aca="false">COUNTBLANK(A2961:N2961)</f>
        <v>0</v>
      </c>
      <c r="R2961" s="7" t="n">
        <f aca="false">IF(A2961="",0,COUNTIFS($A$2:$A$3058,A2961,$P$2:$P$3058,"OK"))</f>
        <v>1</v>
      </c>
      <c r="S2961" s="7" t="str">
        <f aca="false">IF(OR(A2961="",P2961="DUP",R2961&lt;2),"",IF(Q2961=_xlfn.MINIFS($Q$2:$Q$3058,$A$2:$A$3058,A2961,$P$2:$P$3058,"OK"),"KEEP","DROP"))</f>
        <v/>
      </c>
      <c r="T2961" s="9" t="n">
        <f aca="false">IF(A2961="",1,0)</f>
        <v>0</v>
      </c>
      <c r="U2961" s="9" t="n">
        <f aca="false">IF(D2961="",1,0)</f>
        <v>0</v>
      </c>
      <c r="V2961" s="9" t="n">
        <f aca="false">IF(E2961="",1,0)</f>
        <v>0</v>
      </c>
      <c r="W2961" s="9" t="n">
        <f aca="false">IF(OR(H2961&lt;1,H2961&gt;10),1,0)</f>
        <v>0</v>
      </c>
      <c r="X2961" s="9" t="n">
        <f aca="false">IF(OR(I2961&lt;=0,I2961&gt;1500),1,0)</f>
        <v>0</v>
      </c>
      <c r="Y2961" s="9" t="n">
        <f aca="false">IF(J2961&gt;H2961*I2961,1,0)</f>
        <v>0</v>
      </c>
      <c r="Z2961" s="9" t="n">
        <f aca="false">IF(AND(N2961&lt;&gt;"",OR(N2961&lt;1,N2961&gt;5)),1,0)</f>
        <v>0</v>
      </c>
      <c r="AA2961" s="9" t="n">
        <f aca="false">IF(AND(M2961&lt;&gt;"",OR(M2961&lt;5,M2961&gt;180)),1,0)</f>
        <v>0</v>
      </c>
      <c r="AB2961" s="7" t="str">
        <f aca="false">IF(P2961="DUP","Exact duplicate row",IF(T2961=1,"Missing Order ID",IF(S2961="DROP","Duplicate Order ID (less complete row)",IF(U2961=1,"Missing Customer ID",IF(V2961=1,"Missing Restaurant name",IF(W2961=1,"Invalid/outlier quantity",IF(X2961=1,"Invalid/outlier unit price",IF(Y2961=1,"Discount greater than order value",""))))))))</f>
        <v/>
      </c>
      <c r="AC2961" s="7" t="str">
        <f aca="false">IF(AB2961="","KEEP","DROP")</f>
        <v>KEEP</v>
      </c>
      <c r="AD2961" s="7" t="str">
        <f aca="false">IF(TRIM(F2961)="",IFERROR(INDEX(Map_Tables!$I$4:$I$37,MATCH(TRIM(E2961),Map_Tables!$G$4:$G$37,0)),""),IFERROR(INDEX(Map_Tables!$B$4:$B$18,MATCH(TRIM(F2961),Map_Tables!$A$4:$A$18,0)),"CHECK"))</f>
        <v>Delhi</v>
      </c>
      <c r="AE2961" s="7" t="str">
        <f aca="false">IF(TRIM(E2961)="","",IFERROR(INDEX(Map_Tables!$H$4:$H$37,MATCH(TRIM(E2961),Map_Tables!$G$4:$G$37,0)),"CHECK"))</f>
        <v>Momo Magic</v>
      </c>
      <c r="AF2961" s="7" t="str">
        <f aca="false">IF(TRIM(K2961)="","Unknown",IFERROR(INDEX(Map_Tables!$E$4:$E$15,MATCH(TRIM(K2961),Map_Tables!$D$4:$D$15,0)),"CHECK"))</f>
        <v>Credit Card</v>
      </c>
      <c r="AG2961" s="7" t="str">
        <f aca="false">IF(LEFT(LOWER(TRIM(L2961)),6)="cancel","Cancelled","Delivered")</f>
        <v>Delivered</v>
      </c>
      <c r="AH2961" s="10" t="n">
        <f aca="false">IF(ISNUMBER(SEARCH("/",B2961)),DATE(VALUE(RIGHT(B2961,4)),VALUE(MID(B2961,4,2)),VALUE(LEFT(B2961,2))),IF(MID(B2961,5,1)="-",DATE(VALUE(LEFT(B2961,4)),VALUE(MID(B2961,6,2)),VALUE(RIGHT(B2961,2))),DATE(VALUE(RIGHT(B2961,4)),MATCH(MID(B2961,4,3),{"Jan","Feb","Mar","Apr","May","Jun","Jul","Aug","Sep","Oct","Nov","Dec"},0),VALUE(LEFT(B2961,2)))))</f>
        <v>45909</v>
      </c>
    </row>
    <row r="2962" customFormat="false" ht="15" hidden="false" customHeight="false" outlineLevel="0" collapsed="false">
      <c r="A2962" s="7" t="s">
        <v>6055</v>
      </c>
      <c r="B2962" s="7" t="s">
        <v>1357</v>
      </c>
      <c r="C2962" s="7" t="s">
        <v>395</v>
      </c>
      <c r="D2962" s="7" t="s">
        <v>3111</v>
      </c>
      <c r="E2962" s="7" t="s">
        <v>113</v>
      </c>
      <c r="F2962" s="7" t="s">
        <v>101</v>
      </c>
      <c r="G2962" s="7" t="s">
        <v>90</v>
      </c>
      <c r="H2962" s="7" t="n">
        <v>1</v>
      </c>
      <c r="I2962" s="7" t="n">
        <v>255</v>
      </c>
      <c r="J2962" s="7" t="n">
        <v>0</v>
      </c>
      <c r="K2962" s="7" t="s">
        <v>88</v>
      </c>
      <c r="L2962" s="7" t="s">
        <v>194</v>
      </c>
      <c r="M2962" s="7" t="n">
        <v>46</v>
      </c>
      <c r="N2962" s="7"/>
      <c r="O2962" s="7" t="str">
        <f aca="false">A2962&amp;"|"&amp;B2962&amp;"|"&amp;C2962&amp;"|"&amp;D2962&amp;"|"&amp;E2962&amp;"|"&amp;F2962&amp;"|"&amp;G2962&amp;"|"&amp;H2962&amp;"|"&amp;I2962&amp;"|"&amp;J2962&amp;"|"&amp;K2962&amp;"|"&amp;L2962&amp;"|"&amp;M2962&amp;"|"&amp;N2962</f>
        <v>ORD12045|2025-09-21|22:13|C1225|Curry Leaf Kitchen|Mumbai|North Indian|1|255|0|UPI|Delivered|46|</v>
      </c>
      <c r="P2962" s="7" t="str">
        <f aca="false">IF(COUNTIF($O$2:O2962,O2962)&gt;1,"DUP","OK")</f>
        <v>OK</v>
      </c>
      <c r="Q2962" s="7" t="n">
        <f aca="false">COUNTBLANK(A2962:N2962)</f>
        <v>1</v>
      </c>
      <c r="R2962" s="7" t="n">
        <f aca="false">IF(A2962="",0,COUNTIFS($A$2:$A$3058,A2962,$P$2:$P$3058,"OK"))</f>
        <v>1</v>
      </c>
      <c r="S2962" s="7" t="str">
        <f aca="false">IF(OR(A2962="",P2962="DUP",R2962&lt;2),"",IF(Q2962=_xlfn.MINIFS($Q$2:$Q$3058,$A$2:$A$3058,A2962,$P$2:$P$3058,"OK"),"KEEP","DROP"))</f>
        <v/>
      </c>
      <c r="T2962" s="9" t="n">
        <f aca="false">IF(A2962="",1,0)</f>
        <v>0</v>
      </c>
      <c r="U2962" s="9" t="n">
        <f aca="false">IF(D2962="",1,0)</f>
        <v>0</v>
      </c>
      <c r="V2962" s="9" t="n">
        <f aca="false">IF(E2962="",1,0)</f>
        <v>0</v>
      </c>
      <c r="W2962" s="9" t="n">
        <f aca="false">IF(OR(H2962&lt;1,H2962&gt;10),1,0)</f>
        <v>0</v>
      </c>
      <c r="X2962" s="9" t="n">
        <f aca="false">IF(OR(I2962&lt;=0,I2962&gt;1500),1,0)</f>
        <v>0</v>
      </c>
      <c r="Y2962" s="9" t="n">
        <f aca="false">IF(J2962&gt;H2962*I2962,1,0)</f>
        <v>0</v>
      </c>
      <c r="Z2962" s="9" t="n">
        <f aca="false">IF(AND(N2962&lt;&gt;"",OR(N2962&lt;1,N2962&gt;5)),1,0)</f>
        <v>0</v>
      </c>
      <c r="AA2962" s="9" t="n">
        <f aca="false">IF(AND(M2962&lt;&gt;"",OR(M2962&lt;5,M2962&gt;180)),1,0)</f>
        <v>0</v>
      </c>
      <c r="AB2962" s="7" t="str">
        <f aca="false">IF(P2962="DUP","Exact duplicate row",IF(T2962=1,"Missing Order ID",IF(S2962="DROP","Duplicate Order ID (less complete row)",IF(U2962=1,"Missing Customer ID",IF(V2962=1,"Missing Restaurant name",IF(W2962=1,"Invalid/outlier quantity",IF(X2962=1,"Invalid/outlier unit price",IF(Y2962=1,"Discount greater than order value",""))))))))</f>
        <v/>
      </c>
      <c r="AC2962" s="7" t="str">
        <f aca="false">IF(AB2962="","KEEP","DROP")</f>
        <v>KEEP</v>
      </c>
      <c r="AD2962" s="7" t="str">
        <f aca="false">IF(TRIM(F2962)="",IFERROR(INDEX(Map_Tables!$I$4:$I$37,MATCH(TRIM(E2962),Map_Tables!$G$4:$G$37,0)),""),IFERROR(INDEX(Map_Tables!$B$4:$B$18,MATCH(TRIM(F2962),Map_Tables!$A$4:$A$18,0)),"CHECK"))</f>
        <v>Mumbai</v>
      </c>
      <c r="AE2962" s="7" t="str">
        <f aca="false">IF(TRIM(E2962)="","",IFERROR(INDEX(Map_Tables!$H$4:$H$37,MATCH(TRIM(E2962),Map_Tables!$G$4:$G$37,0)),"CHECK"))</f>
        <v>Curry Leaf Kitchen</v>
      </c>
      <c r="AF2962" s="7" t="str">
        <f aca="false">IF(TRIM(K2962)="","Unknown",IFERROR(INDEX(Map_Tables!$E$4:$E$15,MATCH(TRIM(K2962),Map_Tables!$D$4:$D$15,0)),"CHECK"))</f>
        <v>UPI</v>
      </c>
      <c r="AG2962" s="7" t="str">
        <f aca="false">IF(LEFT(LOWER(TRIM(L2962)),6)="cancel","Cancelled","Delivered")</f>
        <v>Delivered</v>
      </c>
      <c r="AH2962" s="10" t="n">
        <f aca="false">IF(ISNUMBER(SEARCH("/",B2962)),DATE(VALUE(RIGHT(B2962,4)),VALUE(MID(B2962,4,2)),VALUE(LEFT(B2962,2))),IF(MID(B2962,5,1)="-",DATE(VALUE(LEFT(B2962,4)),VALUE(MID(B2962,6,2)),VALUE(RIGHT(B2962,2))),DATE(VALUE(RIGHT(B2962,4)),MATCH(MID(B2962,4,3),{"Jan","Feb","Mar","Apr","May","Jun","Jul","Aug","Sep","Oct","Nov","Dec"},0),VALUE(LEFT(B2962,2)))))</f>
        <v>45921</v>
      </c>
    </row>
    <row r="2963" customFormat="false" ht="15" hidden="false" customHeight="false" outlineLevel="0" collapsed="false">
      <c r="A2963" s="7" t="s">
        <v>6056</v>
      </c>
      <c r="B2963" s="7" t="s">
        <v>6057</v>
      </c>
      <c r="C2963" s="7" t="s">
        <v>5177</v>
      </c>
      <c r="D2963" s="7" t="s">
        <v>219</v>
      </c>
      <c r="E2963" s="7" t="s">
        <v>159</v>
      </c>
      <c r="F2963" s="7" t="s">
        <v>136</v>
      </c>
      <c r="G2963" s="7" t="s">
        <v>90</v>
      </c>
      <c r="H2963" s="7" t="n">
        <v>3</v>
      </c>
      <c r="I2963" s="7" t="n">
        <v>255</v>
      </c>
      <c r="J2963" s="7" t="n">
        <v>125</v>
      </c>
      <c r="K2963" s="7" t="s">
        <v>88</v>
      </c>
      <c r="L2963" s="7" t="s">
        <v>194</v>
      </c>
      <c r="M2963" s="7" t="n">
        <v>48</v>
      </c>
      <c r="N2963" s="7" t="n">
        <v>4</v>
      </c>
      <c r="O2963" s="7" t="str">
        <f aca="false">A2963&amp;"|"&amp;B2963&amp;"|"&amp;C2963&amp;"|"&amp;D2963&amp;"|"&amp;E2963&amp;"|"&amp;F2963&amp;"|"&amp;G2963&amp;"|"&amp;H2963&amp;"|"&amp;I2963&amp;"|"&amp;J2963&amp;"|"&amp;K2963&amp;"|"&amp;L2963&amp;"|"&amp;M2963&amp;"|"&amp;N2963</f>
        <v>ORD10310|11-Feb-2025|14:46|C1006|Maratha Thali House|Pune|North Indian|3|255|125|UPI|Delivered|48|4</v>
      </c>
      <c r="P2963" s="7" t="str">
        <f aca="false">IF(COUNTIF($O$2:O2963,O2963)&gt;1,"DUP","OK")</f>
        <v>OK</v>
      </c>
      <c r="Q2963" s="7" t="n">
        <f aca="false">COUNTBLANK(A2963:N2963)</f>
        <v>0</v>
      </c>
      <c r="R2963" s="7" t="n">
        <f aca="false">IF(A2963="",0,COUNTIFS($A$2:$A$3058,A2963,$P$2:$P$3058,"OK"))</f>
        <v>1</v>
      </c>
      <c r="S2963" s="7" t="str">
        <f aca="false">IF(OR(A2963="",P2963="DUP",R2963&lt;2),"",IF(Q2963=_xlfn.MINIFS($Q$2:$Q$3058,$A$2:$A$3058,A2963,$P$2:$P$3058,"OK"),"KEEP","DROP"))</f>
        <v/>
      </c>
      <c r="T2963" s="9" t="n">
        <f aca="false">IF(A2963="",1,0)</f>
        <v>0</v>
      </c>
      <c r="U2963" s="9" t="n">
        <f aca="false">IF(D2963="",1,0)</f>
        <v>0</v>
      </c>
      <c r="V2963" s="9" t="n">
        <f aca="false">IF(E2963="",1,0)</f>
        <v>0</v>
      </c>
      <c r="W2963" s="9" t="n">
        <f aca="false">IF(OR(H2963&lt;1,H2963&gt;10),1,0)</f>
        <v>0</v>
      </c>
      <c r="X2963" s="9" t="n">
        <f aca="false">IF(OR(I2963&lt;=0,I2963&gt;1500),1,0)</f>
        <v>0</v>
      </c>
      <c r="Y2963" s="9" t="n">
        <f aca="false">IF(J2963&gt;H2963*I2963,1,0)</f>
        <v>0</v>
      </c>
      <c r="Z2963" s="9" t="n">
        <f aca="false">IF(AND(N2963&lt;&gt;"",OR(N2963&lt;1,N2963&gt;5)),1,0)</f>
        <v>0</v>
      </c>
      <c r="AA2963" s="9" t="n">
        <f aca="false">IF(AND(M2963&lt;&gt;"",OR(M2963&lt;5,M2963&gt;180)),1,0)</f>
        <v>0</v>
      </c>
      <c r="AB2963" s="7" t="str">
        <f aca="false">IF(P2963="DUP","Exact duplicate row",IF(T2963=1,"Missing Order ID",IF(S2963="DROP","Duplicate Order ID (less complete row)",IF(U2963=1,"Missing Customer ID",IF(V2963=1,"Missing Restaurant name",IF(W2963=1,"Invalid/outlier quantity",IF(X2963=1,"Invalid/outlier unit price",IF(Y2963=1,"Discount greater than order value",""))))))))</f>
        <v/>
      </c>
      <c r="AC2963" s="7" t="str">
        <f aca="false">IF(AB2963="","KEEP","DROP")</f>
        <v>KEEP</v>
      </c>
      <c r="AD2963" s="7" t="str">
        <f aca="false">IF(TRIM(F2963)="",IFERROR(INDEX(Map_Tables!$I$4:$I$37,MATCH(TRIM(E2963),Map_Tables!$G$4:$G$37,0)),""),IFERROR(INDEX(Map_Tables!$B$4:$B$18,MATCH(TRIM(F2963),Map_Tables!$A$4:$A$18,0)),"CHECK"))</f>
        <v>Pune</v>
      </c>
      <c r="AE2963" s="7" t="str">
        <f aca="false">IF(TRIM(E2963)="","",IFERROR(INDEX(Map_Tables!$H$4:$H$37,MATCH(TRIM(E2963),Map_Tables!$G$4:$G$37,0)),"CHECK"))</f>
        <v>Maratha Thali House</v>
      </c>
      <c r="AF2963" s="7" t="str">
        <f aca="false">IF(TRIM(K2963)="","Unknown",IFERROR(INDEX(Map_Tables!$E$4:$E$15,MATCH(TRIM(K2963),Map_Tables!$D$4:$D$15,0)),"CHECK"))</f>
        <v>UPI</v>
      </c>
      <c r="AG2963" s="7" t="str">
        <f aca="false">IF(LEFT(LOWER(TRIM(L2963)),6)="cancel","Cancelled","Delivered")</f>
        <v>Delivered</v>
      </c>
      <c r="AH2963" s="10" t="n">
        <f aca="false">IF(ISNUMBER(SEARCH("/",B2963)),DATE(VALUE(RIGHT(B2963,4)),VALUE(MID(B2963,4,2)),VALUE(LEFT(B2963,2))),IF(MID(B2963,5,1)="-",DATE(VALUE(LEFT(B2963,4)),VALUE(MID(B2963,6,2)),VALUE(RIGHT(B2963,2))),DATE(VALUE(RIGHT(B2963,4)),MATCH(MID(B2963,4,3),{"Jan","Feb","Mar","Apr","May","Jun","Jul","Aug","Sep","Oct","Nov","Dec"},0),VALUE(LEFT(B2963,2)))))</f>
        <v>45699</v>
      </c>
    </row>
    <row r="2964" customFormat="false" ht="15" hidden="false" customHeight="false" outlineLevel="0" collapsed="false">
      <c r="A2964" s="7" t="s">
        <v>6058</v>
      </c>
      <c r="B2964" s="7" t="s">
        <v>410</v>
      </c>
      <c r="C2964" s="7" t="s">
        <v>2076</v>
      </c>
      <c r="D2964" s="7" t="s">
        <v>3492</v>
      </c>
      <c r="E2964" s="7" t="s">
        <v>94</v>
      </c>
      <c r="F2964" s="7" t="s">
        <v>86</v>
      </c>
      <c r="G2964" s="7" t="s">
        <v>95</v>
      </c>
      <c r="H2964" s="7" t="n">
        <v>1</v>
      </c>
      <c r="I2964" s="7" t="n">
        <v>115</v>
      </c>
      <c r="J2964" s="7" t="n">
        <v>46</v>
      </c>
      <c r="K2964" s="7" t="s">
        <v>87</v>
      </c>
      <c r="L2964" s="7" t="s">
        <v>194</v>
      </c>
      <c r="M2964" s="7" t="n">
        <v>41</v>
      </c>
      <c r="N2964" s="7" t="n">
        <v>3</v>
      </c>
      <c r="O2964" s="7" t="str">
        <f aca="false">A2964&amp;"|"&amp;B2964&amp;"|"&amp;C2964&amp;"|"&amp;D2964&amp;"|"&amp;E2964&amp;"|"&amp;F2964&amp;"|"&amp;G2964&amp;"|"&amp;H2964&amp;"|"&amp;I2964&amp;"|"&amp;J2964&amp;"|"&amp;K2964&amp;"|"&amp;L2964&amp;"|"&amp;M2964&amp;"|"&amp;N2964</f>
        <v>ORD10277|2025-02-07|19:11|C0180|Dosa Darbar|Bengaluru|South Indian|1|115|46|upi|Delivered|41|3</v>
      </c>
      <c r="P2964" s="7" t="str">
        <f aca="false">IF(COUNTIF($O$2:O2964,O2964)&gt;1,"DUP","OK")</f>
        <v>OK</v>
      </c>
      <c r="Q2964" s="7" t="n">
        <f aca="false">COUNTBLANK(A2964:N2964)</f>
        <v>0</v>
      </c>
      <c r="R2964" s="7" t="n">
        <f aca="false">IF(A2964="",0,COUNTIFS($A$2:$A$3058,A2964,$P$2:$P$3058,"OK"))</f>
        <v>1</v>
      </c>
      <c r="S2964" s="7" t="str">
        <f aca="false">IF(OR(A2964="",P2964="DUP",R2964&lt;2),"",IF(Q2964=_xlfn.MINIFS($Q$2:$Q$3058,$A$2:$A$3058,A2964,$P$2:$P$3058,"OK"),"KEEP","DROP"))</f>
        <v/>
      </c>
      <c r="T2964" s="9" t="n">
        <f aca="false">IF(A2964="",1,0)</f>
        <v>0</v>
      </c>
      <c r="U2964" s="9" t="n">
        <f aca="false">IF(D2964="",1,0)</f>
        <v>0</v>
      </c>
      <c r="V2964" s="9" t="n">
        <f aca="false">IF(E2964="",1,0)</f>
        <v>0</v>
      </c>
      <c r="W2964" s="9" t="n">
        <f aca="false">IF(OR(H2964&lt;1,H2964&gt;10),1,0)</f>
        <v>0</v>
      </c>
      <c r="X2964" s="9" t="n">
        <f aca="false">IF(OR(I2964&lt;=0,I2964&gt;1500),1,0)</f>
        <v>0</v>
      </c>
      <c r="Y2964" s="9" t="n">
        <f aca="false">IF(J2964&gt;H2964*I2964,1,0)</f>
        <v>0</v>
      </c>
      <c r="Z2964" s="9" t="n">
        <f aca="false">IF(AND(N2964&lt;&gt;"",OR(N2964&lt;1,N2964&gt;5)),1,0)</f>
        <v>0</v>
      </c>
      <c r="AA2964" s="9" t="n">
        <f aca="false">IF(AND(M2964&lt;&gt;"",OR(M2964&lt;5,M2964&gt;180)),1,0)</f>
        <v>0</v>
      </c>
      <c r="AB2964" s="7" t="str">
        <f aca="false">IF(P2964="DUP","Exact duplicate row",IF(T2964=1,"Missing Order ID",IF(S2964="DROP","Duplicate Order ID (less complete row)",IF(U2964=1,"Missing Customer ID",IF(V2964=1,"Missing Restaurant name",IF(W2964=1,"Invalid/outlier quantity",IF(X2964=1,"Invalid/outlier unit price",IF(Y2964=1,"Discount greater than order value",""))))))))</f>
        <v/>
      </c>
      <c r="AC2964" s="7" t="str">
        <f aca="false">IF(AB2964="","KEEP","DROP")</f>
        <v>KEEP</v>
      </c>
      <c r="AD2964" s="7" t="str">
        <f aca="false">IF(TRIM(F2964)="",IFERROR(INDEX(Map_Tables!$I$4:$I$37,MATCH(TRIM(E2964),Map_Tables!$G$4:$G$37,0)),""),IFERROR(INDEX(Map_Tables!$B$4:$B$18,MATCH(TRIM(F2964),Map_Tables!$A$4:$A$18,0)),"CHECK"))</f>
        <v>Bengaluru</v>
      </c>
      <c r="AE2964" s="7" t="str">
        <f aca="false">IF(TRIM(E2964)="","",IFERROR(INDEX(Map_Tables!$H$4:$H$37,MATCH(TRIM(E2964),Map_Tables!$G$4:$G$37,0)),"CHECK"))</f>
        <v>Dosa Darbar</v>
      </c>
      <c r="AF2964" s="7" t="str">
        <f aca="false">IF(TRIM(K2964)="","Unknown",IFERROR(INDEX(Map_Tables!$E$4:$E$15,MATCH(TRIM(K2964),Map_Tables!$D$4:$D$15,0)),"CHECK"))</f>
        <v>UPI</v>
      </c>
      <c r="AG2964" s="7" t="str">
        <f aca="false">IF(LEFT(LOWER(TRIM(L2964)),6)="cancel","Cancelled","Delivered")</f>
        <v>Delivered</v>
      </c>
      <c r="AH2964" s="10" t="n">
        <f aca="false">IF(ISNUMBER(SEARCH("/",B2964)),DATE(VALUE(RIGHT(B2964,4)),VALUE(MID(B2964,4,2)),VALUE(LEFT(B2964,2))),IF(MID(B2964,5,1)="-",DATE(VALUE(LEFT(B2964,4)),VALUE(MID(B2964,6,2)),VALUE(RIGHT(B2964,2))),DATE(VALUE(RIGHT(B2964,4)),MATCH(MID(B2964,4,3),{"Jan","Feb","Mar","Apr","May","Jun","Jul","Aug","Sep","Oct","Nov","Dec"},0),VALUE(LEFT(B2964,2)))))</f>
        <v>45695</v>
      </c>
    </row>
    <row r="2965" customFormat="false" ht="15" hidden="false" customHeight="false" outlineLevel="0" collapsed="false">
      <c r="A2965" s="7" t="s">
        <v>5851</v>
      </c>
      <c r="B2965" s="7" t="s">
        <v>727</v>
      </c>
      <c r="C2965" s="7" t="s">
        <v>258</v>
      </c>
      <c r="D2965" s="7" t="s">
        <v>4826</v>
      </c>
      <c r="E2965" s="7" t="s">
        <v>157</v>
      </c>
      <c r="F2965" s="7" t="s">
        <v>136</v>
      </c>
      <c r="G2965" s="7" t="s">
        <v>117</v>
      </c>
      <c r="H2965" s="7" t="n">
        <v>2</v>
      </c>
      <c r="I2965" s="7" t="n">
        <v>110</v>
      </c>
      <c r="J2965" s="7" t="n">
        <v>0</v>
      </c>
      <c r="K2965" s="7" t="s">
        <v>115</v>
      </c>
      <c r="L2965" s="7" t="s">
        <v>194</v>
      </c>
      <c r="M2965" s="7" t="n">
        <v>29</v>
      </c>
      <c r="N2965" s="7" t="n">
        <v>5</v>
      </c>
      <c r="O2965" s="7" t="str">
        <f aca="false">A2965&amp;"|"&amp;B2965&amp;"|"&amp;C2965&amp;"|"&amp;D2965&amp;"|"&amp;E2965&amp;"|"&amp;F2965&amp;"|"&amp;G2965&amp;"|"&amp;H2965&amp;"|"&amp;I2965&amp;"|"&amp;J2965&amp;"|"&amp;K2965&amp;"|"&amp;L2965&amp;"|"&amp;M2965&amp;"|"&amp;N2965</f>
        <v>ORD10637|2025-03-21|20:24|C1373|Misal Mantra|Pune|Street Food|2|110|0|cash on delivery|Delivered|29|5</v>
      </c>
      <c r="P2965" s="7" t="str">
        <f aca="false">IF(COUNTIF($O$2:O2965,O2965)&gt;1,"DUP","OK")</f>
        <v>DUP</v>
      </c>
      <c r="Q2965" s="7" t="n">
        <f aca="false">COUNTBLANK(A2965:N2965)</f>
        <v>0</v>
      </c>
      <c r="R2965" s="7" t="n">
        <f aca="false">IF(A2965="",0,COUNTIFS($A$2:$A$3058,A2965,$P$2:$P$3058,"OK"))</f>
        <v>1</v>
      </c>
      <c r="S2965" s="7" t="str">
        <f aca="false">IF(OR(A2965="",P2965="DUP",R2965&lt;2),"",IF(Q2965=_xlfn.MINIFS($Q$2:$Q$3058,$A$2:$A$3058,A2965,$P$2:$P$3058,"OK"),"KEEP","DROP"))</f>
        <v/>
      </c>
      <c r="T2965" s="9" t="n">
        <f aca="false">IF(A2965="",1,0)</f>
        <v>0</v>
      </c>
      <c r="U2965" s="9" t="n">
        <f aca="false">IF(D2965="",1,0)</f>
        <v>0</v>
      </c>
      <c r="V2965" s="9" t="n">
        <f aca="false">IF(E2965="",1,0)</f>
        <v>0</v>
      </c>
      <c r="W2965" s="9" t="n">
        <f aca="false">IF(OR(H2965&lt;1,H2965&gt;10),1,0)</f>
        <v>0</v>
      </c>
      <c r="X2965" s="9" t="n">
        <f aca="false">IF(OR(I2965&lt;=0,I2965&gt;1500),1,0)</f>
        <v>0</v>
      </c>
      <c r="Y2965" s="9" t="n">
        <f aca="false">IF(J2965&gt;H2965*I2965,1,0)</f>
        <v>0</v>
      </c>
      <c r="Z2965" s="9" t="n">
        <f aca="false">IF(AND(N2965&lt;&gt;"",OR(N2965&lt;1,N2965&gt;5)),1,0)</f>
        <v>0</v>
      </c>
      <c r="AA2965" s="9" t="n">
        <f aca="false">IF(AND(M2965&lt;&gt;"",OR(M2965&lt;5,M2965&gt;180)),1,0)</f>
        <v>0</v>
      </c>
      <c r="AB2965" s="7" t="str">
        <f aca="false">IF(P2965="DUP","Exact duplicate row",IF(T2965=1,"Missing Order ID",IF(S2965="DROP","Duplicate Order ID (less complete row)",IF(U2965=1,"Missing Customer ID",IF(V2965=1,"Missing Restaurant name",IF(W2965=1,"Invalid/outlier quantity",IF(X2965=1,"Invalid/outlier unit price",IF(Y2965=1,"Discount greater than order value",""))))))))</f>
        <v>Exact duplicate row</v>
      </c>
      <c r="AC2965" s="7" t="str">
        <f aca="false">IF(AB2965="","KEEP","DROP")</f>
        <v>DROP</v>
      </c>
      <c r="AD2965" s="7" t="str">
        <f aca="false">IF(TRIM(F2965)="",IFERROR(INDEX(Map_Tables!$I$4:$I$37,MATCH(TRIM(E2965),Map_Tables!$G$4:$G$37,0)),""),IFERROR(INDEX(Map_Tables!$B$4:$B$18,MATCH(TRIM(F2965),Map_Tables!$A$4:$A$18,0)),"CHECK"))</f>
        <v>Pune</v>
      </c>
      <c r="AE2965" s="7" t="str">
        <f aca="false">IF(TRIM(E2965)="","",IFERROR(INDEX(Map_Tables!$H$4:$H$37,MATCH(TRIM(E2965),Map_Tables!$G$4:$G$37,0)),"CHECK"))</f>
        <v>Misal Mantra</v>
      </c>
      <c r="AF2965" s="7" t="str">
        <f aca="false">IF(TRIM(K2965)="","Unknown",IFERROR(INDEX(Map_Tables!$E$4:$E$15,MATCH(TRIM(K2965),Map_Tables!$D$4:$D$15,0)),"CHECK"))</f>
        <v>Cash on Delivery</v>
      </c>
      <c r="AG2965" s="7" t="str">
        <f aca="false">IF(LEFT(LOWER(TRIM(L2965)),6)="cancel","Cancelled","Delivered")</f>
        <v>Delivered</v>
      </c>
      <c r="AH2965" s="10" t="n">
        <f aca="false">IF(ISNUMBER(SEARCH("/",B2965)),DATE(VALUE(RIGHT(B2965,4)),VALUE(MID(B2965,4,2)),VALUE(LEFT(B2965,2))),IF(MID(B2965,5,1)="-",DATE(VALUE(LEFT(B2965,4)),VALUE(MID(B2965,6,2)),VALUE(RIGHT(B2965,2))),DATE(VALUE(RIGHT(B2965,4)),MATCH(MID(B2965,4,3),{"Jan","Feb","Mar","Apr","May","Jun","Jul","Aug","Sep","Oct","Nov","Dec"},0),VALUE(LEFT(B2965,2)))))</f>
        <v>45737</v>
      </c>
    </row>
    <row r="2966" customFormat="false" ht="15" hidden="false" customHeight="false" outlineLevel="0" collapsed="false">
      <c r="A2966" s="7" t="s">
        <v>6059</v>
      </c>
      <c r="B2966" s="7" t="s">
        <v>1938</v>
      </c>
      <c r="C2966" s="7" t="s">
        <v>1118</v>
      </c>
      <c r="D2966" s="7" t="s">
        <v>4163</v>
      </c>
      <c r="E2966" s="7" t="s">
        <v>94</v>
      </c>
      <c r="F2966" s="7" t="s">
        <v>85</v>
      </c>
      <c r="G2966" s="7" t="s">
        <v>95</v>
      </c>
      <c r="H2966" s="7" t="n">
        <v>1</v>
      </c>
      <c r="I2966" s="7" t="n">
        <v>120</v>
      </c>
      <c r="J2966" s="7" t="n">
        <v>0</v>
      </c>
      <c r="K2966" s="7" t="s">
        <v>103</v>
      </c>
      <c r="L2966" s="7" t="s">
        <v>194</v>
      </c>
      <c r="M2966" s="7" t="n">
        <v>40</v>
      </c>
      <c r="N2966" s="7" t="n">
        <v>5</v>
      </c>
      <c r="O2966" s="7" t="str">
        <f aca="false">A2966&amp;"|"&amp;B2966&amp;"|"&amp;C2966&amp;"|"&amp;D2966&amp;"|"&amp;E2966&amp;"|"&amp;F2966&amp;"|"&amp;G2966&amp;"|"&amp;H2966&amp;"|"&amp;I2966&amp;"|"&amp;J2966&amp;"|"&amp;K2966&amp;"|"&amp;L2966&amp;"|"&amp;M2966&amp;"|"&amp;N2966</f>
        <v>ORD10655|2025-03-24|12:13|C0372|Dosa Darbar|bangalore|South Indian|1|120|0|Debit Card|Delivered|40|5</v>
      </c>
      <c r="P2966" s="7" t="str">
        <f aca="false">IF(COUNTIF($O$2:O2966,O2966)&gt;1,"DUP","OK")</f>
        <v>OK</v>
      </c>
      <c r="Q2966" s="7" t="n">
        <f aca="false">COUNTBLANK(A2966:N2966)</f>
        <v>0</v>
      </c>
      <c r="R2966" s="7" t="n">
        <f aca="false">IF(A2966="",0,COUNTIFS($A$2:$A$3058,A2966,$P$2:$P$3058,"OK"))</f>
        <v>1</v>
      </c>
      <c r="S2966" s="7" t="str">
        <f aca="false">IF(OR(A2966="",P2966="DUP",R2966&lt;2),"",IF(Q2966=_xlfn.MINIFS($Q$2:$Q$3058,$A$2:$A$3058,A2966,$P$2:$P$3058,"OK"),"KEEP","DROP"))</f>
        <v/>
      </c>
      <c r="T2966" s="9" t="n">
        <f aca="false">IF(A2966="",1,0)</f>
        <v>0</v>
      </c>
      <c r="U2966" s="9" t="n">
        <f aca="false">IF(D2966="",1,0)</f>
        <v>0</v>
      </c>
      <c r="V2966" s="9" t="n">
        <f aca="false">IF(E2966="",1,0)</f>
        <v>0</v>
      </c>
      <c r="W2966" s="9" t="n">
        <f aca="false">IF(OR(H2966&lt;1,H2966&gt;10),1,0)</f>
        <v>0</v>
      </c>
      <c r="X2966" s="9" t="n">
        <f aca="false">IF(OR(I2966&lt;=0,I2966&gt;1500),1,0)</f>
        <v>0</v>
      </c>
      <c r="Y2966" s="9" t="n">
        <f aca="false">IF(J2966&gt;H2966*I2966,1,0)</f>
        <v>0</v>
      </c>
      <c r="Z2966" s="9" t="n">
        <f aca="false">IF(AND(N2966&lt;&gt;"",OR(N2966&lt;1,N2966&gt;5)),1,0)</f>
        <v>0</v>
      </c>
      <c r="AA2966" s="9" t="n">
        <f aca="false">IF(AND(M2966&lt;&gt;"",OR(M2966&lt;5,M2966&gt;180)),1,0)</f>
        <v>0</v>
      </c>
      <c r="AB2966" s="7" t="str">
        <f aca="false">IF(P2966="DUP","Exact duplicate row",IF(T2966=1,"Missing Order ID",IF(S2966="DROP","Duplicate Order ID (less complete row)",IF(U2966=1,"Missing Customer ID",IF(V2966=1,"Missing Restaurant name",IF(W2966=1,"Invalid/outlier quantity",IF(X2966=1,"Invalid/outlier unit price",IF(Y2966=1,"Discount greater than order value",""))))))))</f>
        <v/>
      </c>
      <c r="AC2966" s="7" t="str">
        <f aca="false">IF(AB2966="","KEEP","DROP")</f>
        <v>KEEP</v>
      </c>
      <c r="AD2966" s="7" t="str">
        <f aca="false">IF(TRIM(F2966)="",IFERROR(INDEX(Map_Tables!$I$4:$I$37,MATCH(TRIM(E2966),Map_Tables!$G$4:$G$37,0)),""),IFERROR(INDEX(Map_Tables!$B$4:$B$18,MATCH(TRIM(F2966),Map_Tables!$A$4:$A$18,0)),"CHECK"))</f>
        <v>Bengaluru</v>
      </c>
      <c r="AE2966" s="7" t="str">
        <f aca="false">IF(TRIM(E2966)="","",IFERROR(INDEX(Map_Tables!$H$4:$H$37,MATCH(TRIM(E2966),Map_Tables!$G$4:$G$37,0)),"CHECK"))</f>
        <v>Dosa Darbar</v>
      </c>
      <c r="AF2966" s="7" t="str">
        <f aca="false">IF(TRIM(K2966)="","Unknown",IFERROR(INDEX(Map_Tables!$E$4:$E$15,MATCH(TRIM(K2966),Map_Tables!$D$4:$D$15,0)),"CHECK"))</f>
        <v>Debit Card</v>
      </c>
      <c r="AG2966" s="7" t="str">
        <f aca="false">IF(LEFT(LOWER(TRIM(L2966)),6)="cancel","Cancelled","Delivered")</f>
        <v>Delivered</v>
      </c>
      <c r="AH2966" s="10" t="n">
        <f aca="false">IF(ISNUMBER(SEARCH("/",B2966)),DATE(VALUE(RIGHT(B2966,4)),VALUE(MID(B2966,4,2)),VALUE(LEFT(B2966,2))),IF(MID(B2966,5,1)="-",DATE(VALUE(LEFT(B2966,4)),VALUE(MID(B2966,6,2)),VALUE(RIGHT(B2966,2))),DATE(VALUE(RIGHT(B2966,4)),MATCH(MID(B2966,4,3),{"Jan","Feb","Mar","Apr","May","Jun","Jul","Aug","Sep","Oct","Nov","Dec"},0),VALUE(LEFT(B2966,2)))))</f>
        <v>45740</v>
      </c>
    </row>
    <row r="2967" customFormat="false" ht="15" hidden="false" customHeight="false" outlineLevel="0" collapsed="false">
      <c r="A2967" s="7" t="s">
        <v>6060</v>
      </c>
      <c r="B2967" s="7" t="s">
        <v>3399</v>
      </c>
      <c r="C2967" s="7" t="s">
        <v>4461</v>
      </c>
      <c r="D2967" s="7" t="s">
        <v>4380</v>
      </c>
      <c r="E2967" s="7" t="s">
        <v>149</v>
      </c>
      <c r="F2967" s="7" t="s">
        <v>119</v>
      </c>
      <c r="G2967" s="7" t="s">
        <v>150</v>
      </c>
      <c r="H2967" s="7" t="n">
        <v>4</v>
      </c>
      <c r="I2967" s="7" t="n">
        <v>190</v>
      </c>
      <c r="J2967" s="7" t="n">
        <v>30</v>
      </c>
      <c r="K2967" s="7" t="s">
        <v>88</v>
      </c>
      <c r="L2967" s="7" t="s">
        <v>238</v>
      </c>
      <c r="M2967" s="7"/>
      <c r="N2967" s="7"/>
      <c r="O2967" s="7" t="str">
        <f aca="false">A2967&amp;"|"&amp;B2967&amp;"|"&amp;C2967&amp;"|"&amp;D2967&amp;"|"&amp;E2967&amp;"|"&amp;F2967&amp;"|"&amp;G2967&amp;"|"&amp;H2967&amp;"|"&amp;I2967&amp;"|"&amp;J2967&amp;"|"&amp;K2967&amp;"|"&amp;L2967&amp;"|"&amp;M2967&amp;"|"&amp;N2967</f>
        <v>ORD10623|2025-03-20|14:29|C0925|Sweet Tooth Studio|Hyderabad|Desserts|4|190|30|UPI|Cancelled||</v>
      </c>
      <c r="P2967" s="7" t="str">
        <f aca="false">IF(COUNTIF($O$2:O2967,O2967)&gt;1,"DUP","OK")</f>
        <v>OK</v>
      </c>
      <c r="Q2967" s="7" t="n">
        <f aca="false">COUNTBLANK(A2967:N2967)</f>
        <v>2</v>
      </c>
      <c r="R2967" s="7" t="n">
        <f aca="false">IF(A2967="",0,COUNTIFS($A$2:$A$3058,A2967,$P$2:$P$3058,"OK"))</f>
        <v>1</v>
      </c>
      <c r="S2967" s="7" t="str">
        <f aca="false">IF(OR(A2967="",P2967="DUP",R2967&lt;2),"",IF(Q2967=_xlfn.MINIFS($Q$2:$Q$3058,$A$2:$A$3058,A2967,$P$2:$P$3058,"OK"),"KEEP","DROP"))</f>
        <v/>
      </c>
      <c r="T2967" s="9" t="n">
        <f aca="false">IF(A2967="",1,0)</f>
        <v>0</v>
      </c>
      <c r="U2967" s="9" t="n">
        <f aca="false">IF(D2967="",1,0)</f>
        <v>0</v>
      </c>
      <c r="V2967" s="9" t="n">
        <f aca="false">IF(E2967="",1,0)</f>
        <v>0</v>
      </c>
      <c r="W2967" s="9" t="n">
        <f aca="false">IF(OR(H2967&lt;1,H2967&gt;10),1,0)</f>
        <v>0</v>
      </c>
      <c r="X2967" s="9" t="n">
        <f aca="false">IF(OR(I2967&lt;=0,I2967&gt;1500),1,0)</f>
        <v>0</v>
      </c>
      <c r="Y2967" s="9" t="n">
        <f aca="false">IF(J2967&gt;H2967*I2967,1,0)</f>
        <v>0</v>
      </c>
      <c r="Z2967" s="9" t="n">
        <f aca="false">IF(AND(N2967&lt;&gt;"",OR(N2967&lt;1,N2967&gt;5)),1,0)</f>
        <v>0</v>
      </c>
      <c r="AA2967" s="9" t="n">
        <f aca="false">IF(AND(M2967&lt;&gt;"",OR(M2967&lt;5,M2967&gt;180)),1,0)</f>
        <v>0</v>
      </c>
      <c r="AB2967" s="7" t="str">
        <f aca="false">IF(P2967="DUP","Exact duplicate row",IF(T2967=1,"Missing Order ID",IF(S2967="DROP","Duplicate Order ID (less complete row)",IF(U2967=1,"Missing Customer ID",IF(V2967=1,"Missing Restaurant name",IF(W2967=1,"Invalid/outlier quantity",IF(X2967=1,"Invalid/outlier unit price",IF(Y2967=1,"Discount greater than order value",""))))))))</f>
        <v/>
      </c>
      <c r="AC2967" s="7" t="str">
        <f aca="false">IF(AB2967="","KEEP","DROP")</f>
        <v>KEEP</v>
      </c>
      <c r="AD2967" s="7" t="str">
        <f aca="false">IF(TRIM(F2967)="",IFERROR(INDEX(Map_Tables!$I$4:$I$37,MATCH(TRIM(E2967),Map_Tables!$G$4:$G$37,0)),""),IFERROR(INDEX(Map_Tables!$B$4:$B$18,MATCH(TRIM(F2967),Map_Tables!$A$4:$A$18,0)),"CHECK"))</f>
        <v>Hyderabad</v>
      </c>
      <c r="AE2967" s="7" t="str">
        <f aca="false">IF(TRIM(E2967)="","",IFERROR(INDEX(Map_Tables!$H$4:$H$37,MATCH(TRIM(E2967),Map_Tables!$G$4:$G$37,0)),"CHECK"))</f>
        <v>Sweet Tooth Studio</v>
      </c>
      <c r="AF2967" s="7" t="str">
        <f aca="false">IF(TRIM(K2967)="","Unknown",IFERROR(INDEX(Map_Tables!$E$4:$E$15,MATCH(TRIM(K2967),Map_Tables!$D$4:$D$15,0)),"CHECK"))</f>
        <v>UPI</v>
      </c>
      <c r="AG2967" s="7" t="str">
        <f aca="false">IF(LEFT(LOWER(TRIM(L2967)),6)="cancel","Cancelled","Delivered")</f>
        <v>Cancelled</v>
      </c>
      <c r="AH2967" s="10" t="n">
        <f aca="false">IF(ISNUMBER(SEARCH("/",B2967)),DATE(VALUE(RIGHT(B2967,4)),VALUE(MID(B2967,4,2)),VALUE(LEFT(B2967,2))),IF(MID(B2967,5,1)="-",DATE(VALUE(LEFT(B2967,4)),VALUE(MID(B2967,6,2)),VALUE(RIGHT(B2967,2))),DATE(VALUE(RIGHT(B2967,4)),MATCH(MID(B2967,4,3),{"Jan","Feb","Mar","Apr","May","Jun","Jul","Aug","Sep","Oct","Nov","Dec"},0),VALUE(LEFT(B2967,2)))))</f>
        <v>45736</v>
      </c>
    </row>
    <row r="2968" customFormat="false" ht="15" hidden="false" customHeight="false" outlineLevel="0" collapsed="false">
      <c r="A2968" s="7" t="s">
        <v>6061</v>
      </c>
      <c r="B2968" s="7" t="s">
        <v>1657</v>
      </c>
      <c r="C2968" s="7" t="s">
        <v>2358</v>
      </c>
      <c r="D2968" s="7" t="s">
        <v>2792</v>
      </c>
      <c r="E2968" s="7" t="s">
        <v>104</v>
      </c>
      <c r="F2968" s="7" t="s">
        <v>86</v>
      </c>
      <c r="G2968" s="7" t="s">
        <v>105</v>
      </c>
      <c r="H2968" s="7" t="n">
        <v>5</v>
      </c>
      <c r="I2968" s="7" t="n">
        <v>230</v>
      </c>
      <c r="J2968" s="7" t="n">
        <v>30</v>
      </c>
      <c r="K2968" s="7" t="s">
        <v>112</v>
      </c>
      <c r="L2968" s="7" t="s">
        <v>194</v>
      </c>
      <c r="M2968" s="7" t="n">
        <v>40</v>
      </c>
      <c r="N2968" s="7" t="n">
        <v>4</v>
      </c>
      <c r="O2968" s="7" t="str">
        <f aca="false">A2968&amp;"|"&amp;B2968&amp;"|"&amp;C2968&amp;"|"&amp;D2968&amp;"|"&amp;E2968&amp;"|"&amp;F2968&amp;"|"&amp;G2968&amp;"|"&amp;H2968&amp;"|"&amp;I2968&amp;"|"&amp;J2968&amp;"|"&amp;K2968&amp;"|"&amp;L2968&amp;"|"&amp;M2968&amp;"|"&amp;N2968</f>
        <v>ORD11860|2025-08-31|13:47|C0833|Wok &amp; Roll|Bengaluru|Chinese|5|230|30|Cash on Delivery|Delivered|40|4</v>
      </c>
      <c r="P2968" s="7" t="str">
        <f aca="false">IF(COUNTIF($O$2:O2968,O2968)&gt;1,"DUP","OK")</f>
        <v>OK</v>
      </c>
      <c r="Q2968" s="7" t="n">
        <f aca="false">COUNTBLANK(A2968:N2968)</f>
        <v>0</v>
      </c>
      <c r="R2968" s="7" t="n">
        <f aca="false">IF(A2968="",0,COUNTIFS($A$2:$A$3058,A2968,$P$2:$P$3058,"OK"))</f>
        <v>1</v>
      </c>
      <c r="S2968" s="7" t="str">
        <f aca="false">IF(OR(A2968="",P2968="DUP",R2968&lt;2),"",IF(Q2968=_xlfn.MINIFS($Q$2:$Q$3058,$A$2:$A$3058,A2968,$P$2:$P$3058,"OK"),"KEEP","DROP"))</f>
        <v/>
      </c>
      <c r="T2968" s="9" t="n">
        <f aca="false">IF(A2968="",1,0)</f>
        <v>0</v>
      </c>
      <c r="U2968" s="9" t="n">
        <f aca="false">IF(D2968="",1,0)</f>
        <v>0</v>
      </c>
      <c r="V2968" s="9" t="n">
        <f aca="false">IF(E2968="",1,0)</f>
        <v>0</v>
      </c>
      <c r="W2968" s="9" t="n">
        <f aca="false">IF(OR(H2968&lt;1,H2968&gt;10),1,0)</f>
        <v>0</v>
      </c>
      <c r="X2968" s="9" t="n">
        <f aca="false">IF(OR(I2968&lt;=0,I2968&gt;1500),1,0)</f>
        <v>0</v>
      </c>
      <c r="Y2968" s="9" t="n">
        <f aca="false">IF(J2968&gt;H2968*I2968,1,0)</f>
        <v>0</v>
      </c>
      <c r="Z2968" s="9" t="n">
        <f aca="false">IF(AND(N2968&lt;&gt;"",OR(N2968&lt;1,N2968&gt;5)),1,0)</f>
        <v>0</v>
      </c>
      <c r="AA2968" s="9" t="n">
        <f aca="false">IF(AND(M2968&lt;&gt;"",OR(M2968&lt;5,M2968&gt;180)),1,0)</f>
        <v>0</v>
      </c>
      <c r="AB2968" s="7" t="str">
        <f aca="false">IF(P2968="DUP","Exact duplicate row",IF(T2968=1,"Missing Order ID",IF(S2968="DROP","Duplicate Order ID (less complete row)",IF(U2968=1,"Missing Customer ID",IF(V2968=1,"Missing Restaurant name",IF(W2968=1,"Invalid/outlier quantity",IF(X2968=1,"Invalid/outlier unit price",IF(Y2968=1,"Discount greater than order value",""))))))))</f>
        <v/>
      </c>
      <c r="AC2968" s="7" t="str">
        <f aca="false">IF(AB2968="","KEEP","DROP")</f>
        <v>KEEP</v>
      </c>
      <c r="AD2968" s="7" t="str">
        <f aca="false">IF(TRIM(F2968)="",IFERROR(INDEX(Map_Tables!$I$4:$I$37,MATCH(TRIM(E2968),Map_Tables!$G$4:$G$37,0)),""),IFERROR(INDEX(Map_Tables!$B$4:$B$18,MATCH(TRIM(F2968),Map_Tables!$A$4:$A$18,0)),"CHECK"))</f>
        <v>Bengaluru</v>
      </c>
      <c r="AE2968" s="7" t="str">
        <f aca="false">IF(TRIM(E2968)="","",IFERROR(INDEX(Map_Tables!$H$4:$H$37,MATCH(TRIM(E2968),Map_Tables!$G$4:$G$37,0)),"CHECK"))</f>
        <v>Wok &amp; Roll</v>
      </c>
      <c r="AF2968" s="7" t="str">
        <f aca="false">IF(TRIM(K2968)="","Unknown",IFERROR(INDEX(Map_Tables!$E$4:$E$15,MATCH(TRIM(K2968),Map_Tables!$D$4:$D$15,0)),"CHECK"))</f>
        <v>Cash on Delivery</v>
      </c>
      <c r="AG2968" s="7" t="str">
        <f aca="false">IF(LEFT(LOWER(TRIM(L2968)),6)="cancel","Cancelled","Delivered")</f>
        <v>Delivered</v>
      </c>
      <c r="AH2968" s="10" t="n">
        <f aca="false">IF(ISNUMBER(SEARCH("/",B2968)),DATE(VALUE(RIGHT(B2968,4)),VALUE(MID(B2968,4,2)),VALUE(LEFT(B2968,2))),IF(MID(B2968,5,1)="-",DATE(VALUE(LEFT(B2968,4)),VALUE(MID(B2968,6,2)),VALUE(RIGHT(B2968,2))),DATE(VALUE(RIGHT(B2968,4)),MATCH(MID(B2968,4,3),{"Jan","Feb","Mar","Apr","May","Jun","Jul","Aug","Sep","Oct","Nov","Dec"},0),VALUE(LEFT(B2968,2)))))</f>
        <v>45900</v>
      </c>
    </row>
    <row r="2969" customFormat="false" ht="15" hidden="false" customHeight="false" outlineLevel="0" collapsed="false">
      <c r="A2969" s="7" t="s">
        <v>6062</v>
      </c>
      <c r="B2969" s="7" t="s">
        <v>6063</v>
      </c>
      <c r="C2969" s="7" t="s">
        <v>1529</v>
      </c>
      <c r="D2969" s="7" t="s">
        <v>2512</v>
      </c>
      <c r="E2969" s="7" t="s">
        <v>113</v>
      </c>
      <c r="F2969" s="7" t="s">
        <v>101</v>
      </c>
      <c r="G2969" s="7" t="s">
        <v>90</v>
      </c>
      <c r="H2969" s="7" t="n">
        <v>1</v>
      </c>
      <c r="I2969" s="7" t="n">
        <v>210</v>
      </c>
      <c r="J2969" s="7" t="n">
        <v>20</v>
      </c>
      <c r="K2969" s="7" t="s">
        <v>112</v>
      </c>
      <c r="L2969" s="7" t="s">
        <v>194</v>
      </c>
      <c r="M2969" s="7" t="n">
        <v>45</v>
      </c>
      <c r="N2969" s="7"/>
      <c r="O2969" s="7" t="str">
        <f aca="false">A2969&amp;"|"&amp;B2969&amp;"|"&amp;C2969&amp;"|"&amp;D2969&amp;"|"&amp;E2969&amp;"|"&amp;F2969&amp;"|"&amp;G2969&amp;"|"&amp;H2969&amp;"|"&amp;I2969&amp;"|"&amp;J2969&amp;"|"&amp;K2969&amp;"|"&amp;L2969&amp;"|"&amp;M2969&amp;"|"&amp;N2969</f>
        <v>ORD10845|17-Apr-2025|12:45|C0933|Curry Leaf Kitchen|Mumbai|North Indian|1|210|20|Cash on Delivery|Delivered|45|</v>
      </c>
      <c r="P2969" s="7" t="str">
        <f aca="false">IF(COUNTIF($O$2:O2969,O2969)&gt;1,"DUP","OK")</f>
        <v>OK</v>
      </c>
      <c r="Q2969" s="7" t="n">
        <f aca="false">COUNTBLANK(A2969:N2969)</f>
        <v>1</v>
      </c>
      <c r="R2969" s="7" t="n">
        <f aca="false">IF(A2969="",0,COUNTIFS($A$2:$A$3058,A2969,$P$2:$P$3058,"OK"))</f>
        <v>1</v>
      </c>
      <c r="S2969" s="7" t="str">
        <f aca="false">IF(OR(A2969="",P2969="DUP",R2969&lt;2),"",IF(Q2969=_xlfn.MINIFS($Q$2:$Q$3058,$A$2:$A$3058,A2969,$P$2:$P$3058,"OK"),"KEEP","DROP"))</f>
        <v/>
      </c>
      <c r="T2969" s="9" t="n">
        <f aca="false">IF(A2969="",1,0)</f>
        <v>0</v>
      </c>
      <c r="U2969" s="9" t="n">
        <f aca="false">IF(D2969="",1,0)</f>
        <v>0</v>
      </c>
      <c r="V2969" s="9" t="n">
        <f aca="false">IF(E2969="",1,0)</f>
        <v>0</v>
      </c>
      <c r="W2969" s="9" t="n">
        <f aca="false">IF(OR(H2969&lt;1,H2969&gt;10),1,0)</f>
        <v>0</v>
      </c>
      <c r="X2969" s="9" t="n">
        <f aca="false">IF(OR(I2969&lt;=0,I2969&gt;1500),1,0)</f>
        <v>0</v>
      </c>
      <c r="Y2969" s="9" t="n">
        <f aca="false">IF(J2969&gt;H2969*I2969,1,0)</f>
        <v>0</v>
      </c>
      <c r="Z2969" s="9" t="n">
        <f aca="false">IF(AND(N2969&lt;&gt;"",OR(N2969&lt;1,N2969&gt;5)),1,0)</f>
        <v>0</v>
      </c>
      <c r="AA2969" s="9" t="n">
        <f aca="false">IF(AND(M2969&lt;&gt;"",OR(M2969&lt;5,M2969&gt;180)),1,0)</f>
        <v>0</v>
      </c>
      <c r="AB2969" s="7" t="str">
        <f aca="false">IF(P2969="DUP","Exact duplicate row",IF(T2969=1,"Missing Order ID",IF(S2969="DROP","Duplicate Order ID (less complete row)",IF(U2969=1,"Missing Customer ID",IF(V2969=1,"Missing Restaurant name",IF(W2969=1,"Invalid/outlier quantity",IF(X2969=1,"Invalid/outlier unit price",IF(Y2969=1,"Discount greater than order value",""))))))))</f>
        <v/>
      </c>
      <c r="AC2969" s="7" t="str">
        <f aca="false">IF(AB2969="","KEEP","DROP")</f>
        <v>KEEP</v>
      </c>
      <c r="AD2969" s="7" t="str">
        <f aca="false">IF(TRIM(F2969)="",IFERROR(INDEX(Map_Tables!$I$4:$I$37,MATCH(TRIM(E2969),Map_Tables!$G$4:$G$37,0)),""),IFERROR(INDEX(Map_Tables!$B$4:$B$18,MATCH(TRIM(F2969),Map_Tables!$A$4:$A$18,0)),"CHECK"))</f>
        <v>Mumbai</v>
      </c>
      <c r="AE2969" s="7" t="str">
        <f aca="false">IF(TRIM(E2969)="","",IFERROR(INDEX(Map_Tables!$H$4:$H$37,MATCH(TRIM(E2969),Map_Tables!$G$4:$G$37,0)),"CHECK"))</f>
        <v>Curry Leaf Kitchen</v>
      </c>
      <c r="AF2969" s="7" t="str">
        <f aca="false">IF(TRIM(K2969)="","Unknown",IFERROR(INDEX(Map_Tables!$E$4:$E$15,MATCH(TRIM(K2969),Map_Tables!$D$4:$D$15,0)),"CHECK"))</f>
        <v>Cash on Delivery</v>
      </c>
      <c r="AG2969" s="7" t="str">
        <f aca="false">IF(LEFT(LOWER(TRIM(L2969)),6)="cancel","Cancelled","Delivered")</f>
        <v>Delivered</v>
      </c>
      <c r="AH2969" s="10" t="n">
        <f aca="false">IF(ISNUMBER(SEARCH("/",B2969)),DATE(VALUE(RIGHT(B2969,4)),VALUE(MID(B2969,4,2)),VALUE(LEFT(B2969,2))),IF(MID(B2969,5,1)="-",DATE(VALUE(LEFT(B2969,4)),VALUE(MID(B2969,6,2)),VALUE(RIGHT(B2969,2))),DATE(VALUE(RIGHT(B2969,4)),MATCH(MID(B2969,4,3),{"Jan","Feb","Mar","Apr","May","Jun","Jul","Aug","Sep","Oct","Nov","Dec"},0),VALUE(LEFT(B2969,2)))))</f>
        <v>45764</v>
      </c>
    </row>
    <row r="2970" customFormat="false" ht="15" hidden="false" customHeight="false" outlineLevel="0" collapsed="false">
      <c r="A2970" s="7" t="s">
        <v>5386</v>
      </c>
      <c r="B2970" s="7" t="s">
        <v>1639</v>
      </c>
      <c r="C2970" s="7" t="s">
        <v>5387</v>
      </c>
      <c r="D2970" s="7" t="s">
        <v>5388</v>
      </c>
      <c r="E2970" s="7" t="s">
        <v>158</v>
      </c>
      <c r="F2970" s="7" t="s">
        <v>136</v>
      </c>
      <c r="G2970" s="7" t="s">
        <v>139</v>
      </c>
      <c r="H2970" s="7" t="n">
        <v>2</v>
      </c>
      <c r="I2970" s="7" t="n">
        <v>200</v>
      </c>
      <c r="J2970" s="7" t="n">
        <v>0</v>
      </c>
      <c r="K2970" s="7" t="s">
        <v>115</v>
      </c>
      <c r="L2970" s="7" t="s">
        <v>194</v>
      </c>
      <c r="M2970" s="7" t="n">
        <v>32</v>
      </c>
      <c r="N2970" s="7"/>
      <c r="O2970" s="7" t="str">
        <f aca="false">A2970&amp;"|"&amp;B2970&amp;"|"&amp;C2970&amp;"|"&amp;D2970&amp;"|"&amp;E2970&amp;"|"&amp;F2970&amp;"|"&amp;G2970&amp;"|"&amp;H2970&amp;"|"&amp;I2970&amp;"|"&amp;J2970&amp;"|"&amp;K2970&amp;"|"&amp;L2970&amp;"|"&amp;M2970&amp;"|"&amp;N2970</f>
        <v>ORD10394|2025-02-22|08:58|C0500|Pune Burger Hub|Pune|Burgers|2|200|0|cash on delivery|Delivered|32|</v>
      </c>
      <c r="P2970" s="7" t="str">
        <f aca="false">IF(COUNTIF($O$2:O2970,O2970)&gt;1,"DUP","OK")</f>
        <v>DUP</v>
      </c>
      <c r="Q2970" s="7" t="n">
        <f aca="false">COUNTBLANK(A2970:N2970)</f>
        <v>1</v>
      </c>
      <c r="R2970" s="7" t="n">
        <f aca="false">IF(A2970="",0,COUNTIFS($A$2:$A$3058,A2970,$P$2:$P$3058,"OK"))</f>
        <v>1</v>
      </c>
      <c r="S2970" s="7" t="str">
        <f aca="false">IF(OR(A2970="",P2970="DUP",R2970&lt;2),"",IF(Q2970=_xlfn.MINIFS($Q$2:$Q$3058,$A$2:$A$3058,A2970,$P$2:$P$3058,"OK"),"KEEP","DROP"))</f>
        <v/>
      </c>
      <c r="T2970" s="9" t="n">
        <f aca="false">IF(A2970="",1,0)</f>
        <v>0</v>
      </c>
      <c r="U2970" s="9" t="n">
        <f aca="false">IF(D2970="",1,0)</f>
        <v>0</v>
      </c>
      <c r="V2970" s="9" t="n">
        <f aca="false">IF(E2970="",1,0)</f>
        <v>0</v>
      </c>
      <c r="W2970" s="9" t="n">
        <f aca="false">IF(OR(H2970&lt;1,H2970&gt;10),1,0)</f>
        <v>0</v>
      </c>
      <c r="X2970" s="9" t="n">
        <f aca="false">IF(OR(I2970&lt;=0,I2970&gt;1500),1,0)</f>
        <v>0</v>
      </c>
      <c r="Y2970" s="9" t="n">
        <f aca="false">IF(J2970&gt;H2970*I2970,1,0)</f>
        <v>0</v>
      </c>
      <c r="Z2970" s="9" t="n">
        <f aca="false">IF(AND(N2970&lt;&gt;"",OR(N2970&lt;1,N2970&gt;5)),1,0)</f>
        <v>0</v>
      </c>
      <c r="AA2970" s="9" t="n">
        <f aca="false">IF(AND(M2970&lt;&gt;"",OR(M2970&lt;5,M2970&gt;180)),1,0)</f>
        <v>0</v>
      </c>
      <c r="AB2970" s="7" t="str">
        <f aca="false">IF(P2970="DUP","Exact duplicate row",IF(T2970=1,"Missing Order ID",IF(S2970="DROP","Duplicate Order ID (less complete row)",IF(U2970=1,"Missing Customer ID",IF(V2970=1,"Missing Restaurant name",IF(W2970=1,"Invalid/outlier quantity",IF(X2970=1,"Invalid/outlier unit price",IF(Y2970=1,"Discount greater than order value",""))))))))</f>
        <v>Exact duplicate row</v>
      </c>
      <c r="AC2970" s="7" t="str">
        <f aca="false">IF(AB2970="","KEEP","DROP")</f>
        <v>DROP</v>
      </c>
      <c r="AD2970" s="7" t="str">
        <f aca="false">IF(TRIM(F2970)="",IFERROR(INDEX(Map_Tables!$I$4:$I$37,MATCH(TRIM(E2970),Map_Tables!$G$4:$G$37,0)),""),IFERROR(INDEX(Map_Tables!$B$4:$B$18,MATCH(TRIM(F2970),Map_Tables!$A$4:$A$18,0)),"CHECK"))</f>
        <v>Pune</v>
      </c>
      <c r="AE2970" s="7" t="str">
        <f aca="false">IF(TRIM(E2970)="","",IFERROR(INDEX(Map_Tables!$H$4:$H$37,MATCH(TRIM(E2970),Map_Tables!$G$4:$G$37,0)),"CHECK"))</f>
        <v>Pune Burger Hub</v>
      </c>
      <c r="AF2970" s="7" t="str">
        <f aca="false">IF(TRIM(K2970)="","Unknown",IFERROR(INDEX(Map_Tables!$E$4:$E$15,MATCH(TRIM(K2970),Map_Tables!$D$4:$D$15,0)),"CHECK"))</f>
        <v>Cash on Delivery</v>
      </c>
      <c r="AG2970" s="7" t="str">
        <f aca="false">IF(LEFT(LOWER(TRIM(L2970)),6)="cancel","Cancelled","Delivered")</f>
        <v>Delivered</v>
      </c>
      <c r="AH2970" s="10" t="n">
        <f aca="false">IF(ISNUMBER(SEARCH("/",B2970)),DATE(VALUE(RIGHT(B2970,4)),VALUE(MID(B2970,4,2)),VALUE(LEFT(B2970,2))),IF(MID(B2970,5,1)="-",DATE(VALUE(LEFT(B2970,4)),VALUE(MID(B2970,6,2)),VALUE(RIGHT(B2970,2))),DATE(VALUE(RIGHT(B2970,4)),MATCH(MID(B2970,4,3),{"Jan","Feb","Mar","Apr","May","Jun","Jul","Aug","Sep","Oct","Nov","Dec"},0),VALUE(LEFT(B2970,2)))))</f>
        <v>45710</v>
      </c>
    </row>
    <row r="2971" customFormat="false" ht="15" hidden="false" customHeight="false" outlineLevel="0" collapsed="false">
      <c r="A2971" s="7" t="s">
        <v>6064</v>
      </c>
      <c r="B2971" s="7" t="s">
        <v>921</v>
      </c>
      <c r="C2971" s="7" t="s">
        <v>2800</v>
      </c>
      <c r="D2971" s="7" t="s">
        <v>3857</v>
      </c>
      <c r="E2971" s="7" t="s">
        <v>142</v>
      </c>
      <c r="F2971" s="7" t="s">
        <v>110</v>
      </c>
      <c r="G2971" s="7" t="s">
        <v>105</v>
      </c>
      <c r="H2971" s="7" t="n">
        <v>3</v>
      </c>
      <c r="I2971" s="7" t="n">
        <v>145</v>
      </c>
      <c r="J2971" s="7" t="n">
        <v>0</v>
      </c>
      <c r="K2971" s="7" t="s">
        <v>112</v>
      </c>
      <c r="L2971" s="7" t="s">
        <v>238</v>
      </c>
      <c r="M2971" s="7"/>
      <c r="N2971" s="7"/>
      <c r="O2971" s="7" t="str">
        <f aca="false">A2971&amp;"|"&amp;B2971&amp;"|"&amp;C2971&amp;"|"&amp;D2971&amp;"|"&amp;E2971&amp;"|"&amp;F2971&amp;"|"&amp;G2971&amp;"|"&amp;H2971&amp;"|"&amp;I2971&amp;"|"&amp;J2971&amp;"|"&amp;K2971&amp;"|"&amp;L2971&amp;"|"&amp;M2971&amp;"|"&amp;N2971</f>
        <v>ORD12156|2025-10-03|10:46|C0974|Momo Magic|Delhi|Chinese|3|145|0|Cash on Delivery|Cancelled||</v>
      </c>
      <c r="P2971" s="7" t="str">
        <f aca="false">IF(COUNTIF($O$2:O2971,O2971)&gt;1,"DUP","OK")</f>
        <v>OK</v>
      </c>
      <c r="Q2971" s="7" t="n">
        <f aca="false">COUNTBLANK(A2971:N2971)</f>
        <v>2</v>
      </c>
      <c r="R2971" s="7" t="n">
        <f aca="false">IF(A2971="",0,COUNTIFS($A$2:$A$3058,A2971,$P$2:$P$3058,"OK"))</f>
        <v>1</v>
      </c>
      <c r="S2971" s="7" t="str">
        <f aca="false">IF(OR(A2971="",P2971="DUP",R2971&lt;2),"",IF(Q2971=_xlfn.MINIFS($Q$2:$Q$3058,$A$2:$A$3058,A2971,$P$2:$P$3058,"OK"),"KEEP","DROP"))</f>
        <v/>
      </c>
      <c r="T2971" s="9" t="n">
        <f aca="false">IF(A2971="",1,0)</f>
        <v>0</v>
      </c>
      <c r="U2971" s="9" t="n">
        <f aca="false">IF(D2971="",1,0)</f>
        <v>0</v>
      </c>
      <c r="V2971" s="9" t="n">
        <f aca="false">IF(E2971="",1,0)</f>
        <v>0</v>
      </c>
      <c r="W2971" s="9" t="n">
        <f aca="false">IF(OR(H2971&lt;1,H2971&gt;10),1,0)</f>
        <v>0</v>
      </c>
      <c r="X2971" s="9" t="n">
        <f aca="false">IF(OR(I2971&lt;=0,I2971&gt;1500),1,0)</f>
        <v>0</v>
      </c>
      <c r="Y2971" s="9" t="n">
        <f aca="false">IF(J2971&gt;H2971*I2971,1,0)</f>
        <v>0</v>
      </c>
      <c r="Z2971" s="9" t="n">
        <f aca="false">IF(AND(N2971&lt;&gt;"",OR(N2971&lt;1,N2971&gt;5)),1,0)</f>
        <v>0</v>
      </c>
      <c r="AA2971" s="9" t="n">
        <f aca="false">IF(AND(M2971&lt;&gt;"",OR(M2971&lt;5,M2971&gt;180)),1,0)</f>
        <v>0</v>
      </c>
      <c r="AB2971" s="7" t="str">
        <f aca="false">IF(P2971="DUP","Exact duplicate row",IF(T2971=1,"Missing Order ID",IF(S2971="DROP","Duplicate Order ID (less complete row)",IF(U2971=1,"Missing Customer ID",IF(V2971=1,"Missing Restaurant name",IF(W2971=1,"Invalid/outlier quantity",IF(X2971=1,"Invalid/outlier unit price",IF(Y2971=1,"Discount greater than order value",""))))))))</f>
        <v/>
      </c>
      <c r="AC2971" s="7" t="str">
        <f aca="false">IF(AB2971="","KEEP","DROP")</f>
        <v>KEEP</v>
      </c>
      <c r="AD2971" s="7" t="str">
        <f aca="false">IF(TRIM(F2971)="",IFERROR(INDEX(Map_Tables!$I$4:$I$37,MATCH(TRIM(E2971),Map_Tables!$G$4:$G$37,0)),""),IFERROR(INDEX(Map_Tables!$B$4:$B$18,MATCH(TRIM(F2971),Map_Tables!$A$4:$A$18,0)),"CHECK"))</f>
        <v>Delhi</v>
      </c>
      <c r="AE2971" s="7" t="str">
        <f aca="false">IF(TRIM(E2971)="","",IFERROR(INDEX(Map_Tables!$H$4:$H$37,MATCH(TRIM(E2971),Map_Tables!$G$4:$G$37,0)),"CHECK"))</f>
        <v>Momo Magic</v>
      </c>
      <c r="AF2971" s="7" t="str">
        <f aca="false">IF(TRIM(K2971)="","Unknown",IFERROR(INDEX(Map_Tables!$E$4:$E$15,MATCH(TRIM(K2971),Map_Tables!$D$4:$D$15,0)),"CHECK"))</f>
        <v>Cash on Delivery</v>
      </c>
      <c r="AG2971" s="7" t="str">
        <f aca="false">IF(LEFT(LOWER(TRIM(L2971)),6)="cancel","Cancelled","Delivered")</f>
        <v>Cancelled</v>
      </c>
      <c r="AH2971" s="10" t="n">
        <f aca="false">IF(ISNUMBER(SEARCH("/",B2971)),DATE(VALUE(RIGHT(B2971,4)),VALUE(MID(B2971,4,2)),VALUE(LEFT(B2971,2))),IF(MID(B2971,5,1)="-",DATE(VALUE(LEFT(B2971,4)),VALUE(MID(B2971,6,2)),VALUE(RIGHT(B2971,2))),DATE(VALUE(RIGHT(B2971,4)),MATCH(MID(B2971,4,3),{"Jan","Feb","Mar","Apr","May","Jun","Jul","Aug","Sep","Oct","Nov","Dec"},0),VALUE(LEFT(B2971,2)))))</f>
        <v>45933</v>
      </c>
    </row>
    <row r="2972" customFormat="false" ht="15" hidden="false" customHeight="false" outlineLevel="0" collapsed="false">
      <c r="A2972" s="7" t="s">
        <v>6065</v>
      </c>
      <c r="B2972" s="7" t="s">
        <v>995</v>
      </c>
      <c r="C2972" s="7" t="s">
        <v>870</v>
      </c>
      <c r="D2972" s="7" t="s">
        <v>1818</v>
      </c>
      <c r="E2972" s="7" t="s">
        <v>147</v>
      </c>
      <c r="F2972" s="7" t="s">
        <v>119</v>
      </c>
      <c r="G2972" s="7" t="s">
        <v>95</v>
      </c>
      <c r="H2972" s="7" t="n">
        <v>2</v>
      </c>
      <c r="I2972" s="7" t="n">
        <v>185</v>
      </c>
      <c r="J2972" s="7" t="n">
        <v>0</v>
      </c>
      <c r="K2972" s="7" t="s">
        <v>88</v>
      </c>
      <c r="L2972" s="7" t="s">
        <v>194</v>
      </c>
      <c r="M2972" s="7" t="n">
        <v>28</v>
      </c>
      <c r="N2972" s="7" t="n">
        <v>5</v>
      </c>
      <c r="O2972" s="7" t="str">
        <f aca="false">A2972&amp;"|"&amp;B2972&amp;"|"&amp;C2972&amp;"|"&amp;D2972&amp;"|"&amp;E2972&amp;"|"&amp;F2972&amp;"|"&amp;G2972&amp;"|"&amp;H2972&amp;"|"&amp;I2972&amp;"|"&amp;J2972&amp;"|"&amp;K2972&amp;"|"&amp;L2972&amp;"|"&amp;M2972&amp;"|"&amp;N2972</f>
        <v>ORD10350|2025-02-15|22:14|C0078|Andhra Meals Mess|Hyderabad|South Indian|2|185|0|UPI|Delivered|28|5</v>
      </c>
      <c r="P2972" s="7" t="str">
        <f aca="false">IF(COUNTIF($O$2:O2972,O2972)&gt;1,"DUP","OK")</f>
        <v>OK</v>
      </c>
      <c r="Q2972" s="7" t="n">
        <f aca="false">COUNTBLANK(A2972:N2972)</f>
        <v>0</v>
      </c>
      <c r="R2972" s="7" t="n">
        <f aca="false">IF(A2972="",0,COUNTIFS($A$2:$A$3058,A2972,$P$2:$P$3058,"OK"))</f>
        <v>1</v>
      </c>
      <c r="S2972" s="7" t="str">
        <f aca="false">IF(OR(A2972="",P2972="DUP",R2972&lt;2),"",IF(Q2972=_xlfn.MINIFS($Q$2:$Q$3058,$A$2:$A$3058,A2972,$P$2:$P$3058,"OK"),"KEEP","DROP"))</f>
        <v/>
      </c>
      <c r="T2972" s="9" t="n">
        <f aca="false">IF(A2972="",1,0)</f>
        <v>0</v>
      </c>
      <c r="U2972" s="9" t="n">
        <f aca="false">IF(D2972="",1,0)</f>
        <v>0</v>
      </c>
      <c r="V2972" s="9" t="n">
        <f aca="false">IF(E2972="",1,0)</f>
        <v>0</v>
      </c>
      <c r="W2972" s="9" t="n">
        <f aca="false">IF(OR(H2972&lt;1,H2972&gt;10),1,0)</f>
        <v>0</v>
      </c>
      <c r="X2972" s="9" t="n">
        <f aca="false">IF(OR(I2972&lt;=0,I2972&gt;1500),1,0)</f>
        <v>0</v>
      </c>
      <c r="Y2972" s="9" t="n">
        <f aca="false">IF(J2972&gt;H2972*I2972,1,0)</f>
        <v>0</v>
      </c>
      <c r="Z2972" s="9" t="n">
        <f aca="false">IF(AND(N2972&lt;&gt;"",OR(N2972&lt;1,N2972&gt;5)),1,0)</f>
        <v>0</v>
      </c>
      <c r="AA2972" s="9" t="n">
        <f aca="false">IF(AND(M2972&lt;&gt;"",OR(M2972&lt;5,M2972&gt;180)),1,0)</f>
        <v>0</v>
      </c>
      <c r="AB2972" s="7" t="str">
        <f aca="false">IF(P2972="DUP","Exact duplicate row",IF(T2972=1,"Missing Order ID",IF(S2972="DROP","Duplicate Order ID (less complete row)",IF(U2972=1,"Missing Customer ID",IF(V2972=1,"Missing Restaurant name",IF(W2972=1,"Invalid/outlier quantity",IF(X2972=1,"Invalid/outlier unit price",IF(Y2972=1,"Discount greater than order value",""))))))))</f>
        <v/>
      </c>
      <c r="AC2972" s="7" t="str">
        <f aca="false">IF(AB2972="","KEEP","DROP")</f>
        <v>KEEP</v>
      </c>
      <c r="AD2972" s="7" t="str">
        <f aca="false">IF(TRIM(F2972)="",IFERROR(INDEX(Map_Tables!$I$4:$I$37,MATCH(TRIM(E2972),Map_Tables!$G$4:$G$37,0)),""),IFERROR(INDEX(Map_Tables!$B$4:$B$18,MATCH(TRIM(F2972),Map_Tables!$A$4:$A$18,0)),"CHECK"))</f>
        <v>Hyderabad</v>
      </c>
      <c r="AE2972" s="7" t="str">
        <f aca="false">IF(TRIM(E2972)="","",IFERROR(INDEX(Map_Tables!$H$4:$H$37,MATCH(TRIM(E2972),Map_Tables!$G$4:$G$37,0)),"CHECK"))</f>
        <v>Andhra Meals Mess</v>
      </c>
      <c r="AF2972" s="7" t="str">
        <f aca="false">IF(TRIM(K2972)="","Unknown",IFERROR(INDEX(Map_Tables!$E$4:$E$15,MATCH(TRIM(K2972),Map_Tables!$D$4:$D$15,0)),"CHECK"))</f>
        <v>UPI</v>
      </c>
      <c r="AG2972" s="7" t="str">
        <f aca="false">IF(LEFT(LOWER(TRIM(L2972)),6)="cancel","Cancelled","Delivered")</f>
        <v>Delivered</v>
      </c>
      <c r="AH2972" s="10" t="n">
        <f aca="false">IF(ISNUMBER(SEARCH("/",B2972)),DATE(VALUE(RIGHT(B2972,4)),VALUE(MID(B2972,4,2)),VALUE(LEFT(B2972,2))),IF(MID(B2972,5,1)="-",DATE(VALUE(LEFT(B2972,4)),VALUE(MID(B2972,6,2)),VALUE(RIGHT(B2972,2))),DATE(VALUE(RIGHT(B2972,4)),MATCH(MID(B2972,4,3),{"Jan","Feb","Mar","Apr","May","Jun","Jul","Aug","Sep","Oct","Nov","Dec"},0),VALUE(LEFT(B2972,2)))))</f>
        <v>45703</v>
      </c>
    </row>
    <row r="2973" customFormat="false" ht="15" hidden="false" customHeight="false" outlineLevel="0" collapsed="false">
      <c r="A2973" s="7" t="s">
        <v>6066</v>
      </c>
      <c r="B2973" s="7" t="s">
        <v>768</v>
      </c>
      <c r="C2973" s="7" t="s">
        <v>2402</v>
      </c>
      <c r="D2973" s="7" t="s">
        <v>509</v>
      </c>
      <c r="E2973" s="7" t="s">
        <v>162</v>
      </c>
      <c r="F2973" s="7" t="s">
        <v>141</v>
      </c>
      <c r="G2973" s="7" t="s">
        <v>117</v>
      </c>
      <c r="H2973" s="7" t="n">
        <v>4</v>
      </c>
      <c r="I2973" s="7" t="n">
        <v>125</v>
      </c>
      <c r="J2973" s="7" t="n">
        <v>50</v>
      </c>
      <c r="K2973" s="7" t="s">
        <v>112</v>
      </c>
      <c r="L2973" s="7" t="s">
        <v>194</v>
      </c>
      <c r="M2973" s="7" t="n">
        <v>35</v>
      </c>
      <c r="N2973" s="7" t="n">
        <v>5</v>
      </c>
      <c r="O2973" s="7" t="str">
        <f aca="false">A2973&amp;"|"&amp;B2973&amp;"|"&amp;C2973&amp;"|"&amp;D2973&amp;"|"&amp;E2973&amp;"|"&amp;F2973&amp;"|"&amp;G2973&amp;"|"&amp;H2973&amp;"|"&amp;I2973&amp;"|"&amp;J2973&amp;"|"&amp;K2973&amp;"|"&amp;L2973&amp;"|"&amp;M2973&amp;"|"&amp;N2973</f>
        <v>ORD12573|2025-11-15|19:55|C0087|Kolkata Roll Centre|Kolkata|Street Food|4|125|50|Cash on Delivery|Delivered|35|5</v>
      </c>
      <c r="P2973" s="7" t="str">
        <f aca="false">IF(COUNTIF($O$2:O2973,O2973)&gt;1,"DUP","OK")</f>
        <v>OK</v>
      </c>
      <c r="Q2973" s="7" t="n">
        <f aca="false">COUNTBLANK(A2973:N2973)</f>
        <v>0</v>
      </c>
      <c r="R2973" s="7" t="n">
        <f aca="false">IF(A2973="",0,COUNTIFS($A$2:$A$3058,A2973,$P$2:$P$3058,"OK"))</f>
        <v>1</v>
      </c>
      <c r="S2973" s="7" t="str">
        <f aca="false">IF(OR(A2973="",P2973="DUP",R2973&lt;2),"",IF(Q2973=_xlfn.MINIFS($Q$2:$Q$3058,$A$2:$A$3058,A2973,$P$2:$P$3058,"OK"),"KEEP","DROP"))</f>
        <v/>
      </c>
      <c r="T2973" s="9" t="n">
        <f aca="false">IF(A2973="",1,0)</f>
        <v>0</v>
      </c>
      <c r="U2973" s="9" t="n">
        <f aca="false">IF(D2973="",1,0)</f>
        <v>0</v>
      </c>
      <c r="V2973" s="9" t="n">
        <f aca="false">IF(E2973="",1,0)</f>
        <v>0</v>
      </c>
      <c r="W2973" s="9" t="n">
        <f aca="false">IF(OR(H2973&lt;1,H2973&gt;10),1,0)</f>
        <v>0</v>
      </c>
      <c r="X2973" s="9" t="n">
        <f aca="false">IF(OR(I2973&lt;=0,I2973&gt;1500),1,0)</f>
        <v>0</v>
      </c>
      <c r="Y2973" s="9" t="n">
        <f aca="false">IF(J2973&gt;H2973*I2973,1,0)</f>
        <v>0</v>
      </c>
      <c r="Z2973" s="9" t="n">
        <f aca="false">IF(AND(N2973&lt;&gt;"",OR(N2973&lt;1,N2973&gt;5)),1,0)</f>
        <v>0</v>
      </c>
      <c r="AA2973" s="9" t="n">
        <f aca="false">IF(AND(M2973&lt;&gt;"",OR(M2973&lt;5,M2973&gt;180)),1,0)</f>
        <v>0</v>
      </c>
      <c r="AB2973" s="7" t="str">
        <f aca="false">IF(P2973="DUP","Exact duplicate row",IF(T2973=1,"Missing Order ID",IF(S2973="DROP","Duplicate Order ID (less complete row)",IF(U2973=1,"Missing Customer ID",IF(V2973=1,"Missing Restaurant name",IF(W2973=1,"Invalid/outlier quantity",IF(X2973=1,"Invalid/outlier unit price",IF(Y2973=1,"Discount greater than order value",""))))))))</f>
        <v/>
      </c>
      <c r="AC2973" s="7" t="str">
        <f aca="false">IF(AB2973="","KEEP","DROP")</f>
        <v>KEEP</v>
      </c>
      <c r="AD2973" s="7" t="str">
        <f aca="false">IF(TRIM(F2973)="",IFERROR(INDEX(Map_Tables!$I$4:$I$37,MATCH(TRIM(E2973),Map_Tables!$G$4:$G$37,0)),""),IFERROR(INDEX(Map_Tables!$B$4:$B$18,MATCH(TRIM(F2973),Map_Tables!$A$4:$A$18,0)),"CHECK"))</f>
        <v>Kolkata</v>
      </c>
      <c r="AE2973" s="7" t="str">
        <f aca="false">IF(TRIM(E2973)="","",IFERROR(INDEX(Map_Tables!$H$4:$H$37,MATCH(TRIM(E2973),Map_Tables!$G$4:$G$37,0)),"CHECK"))</f>
        <v>Kolkata Roll Centre</v>
      </c>
      <c r="AF2973" s="7" t="str">
        <f aca="false">IF(TRIM(K2973)="","Unknown",IFERROR(INDEX(Map_Tables!$E$4:$E$15,MATCH(TRIM(K2973),Map_Tables!$D$4:$D$15,0)),"CHECK"))</f>
        <v>Cash on Delivery</v>
      </c>
      <c r="AG2973" s="7" t="str">
        <f aca="false">IF(LEFT(LOWER(TRIM(L2973)),6)="cancel","Cancelled","Delivered")</f>
        <v>Delivered</v>
      </c>
      <c r="AH2973" s="10" t="n">
        <f aca="false">IF(ISNUMBER(SEARCH("/",B2973)),DATE(VALUE(RIGHT(B2973,4)),VALUE(MID(B2973,4,2)),VALUE(LEFT(B2973,2))),IF(MID(B2973,5,1)="-",DATE(VALUE(LEFT(B2973,4)),VALUE(MID(B2973,6,2)),VALUE(RIGHT(B2973,2))),DATE(VALUE(RIGHT(B2973,4)),MATCH(MID(B2973,4,3),{"Jan","Feb","Mar","Apr","May","Jun","Jul","Aug","Sep","Oct","Nov","Dec"},0),VALUE(LEFT(B2973,2)))))</f>
        <v>45976</v>
      </c>
    </row>
    <row r="2974" customFormat="false" ht="15" hidden="false" customHeight="false" outlineLevel="0" collapsed="false">
      <c r="A2974" s="7" t="s">
        <v>6067</v>
      </c>
      <c r="B2974" s="7" t="s">
        <v>2685</v>
      </c>
      <c r="C2974" s="7" t="s">
        <v>944</v>
      </c>
      <c r="D2974" s="7" t="s">
        <v>2630</v>
      </c>
      <c r="E2974" s="7" t="s">
        <v>149</v>
      </c>
      <c r="F2974" s="7" t="s">
        <v>119</v>
      </c>
      <c r="G2974" s="7" t="s">
        <v>150</v>
      </c>
      <c r="H2974" s="7" t="n">
        <v>2</v>
      </c>
      <c r="I2974" s="7" t="n">
        <v>150</v>
      </c>
      <c r="J2974" s="7" t="n">
        <v>30</v>
      </c>
      <c r="K2974" s="7" t="s">
        <v>88</v>
      </c>
      <c r="L2974" s="7" t="s">
        <v>194</v>
      </c>
      <c r="M2974" s="7" t="n">
        <v>46</v>
      </c>
      <c r="N2974" s="7" t="n">
        <v>4</v>
      </c>
      <c r="O2974" s="7" t="str">
        <f aca="false">A2974&amp;"|"&amp;B2974&amp;"|"&amp;C2974&amp;"|"&amp;D2974&amp;"|"&amp;E2974&amp;"|"&amp;F2974&amp;"|"&amp;G2974&amp;"|"&amp;H2974&amp;"|"&amp;I2974&amp;"|"&amp;J2974&amp;"|"&amp;K2974&amp;"|"&amp;L2974&amp;"|"&amp;M2974&amp;"|"&amp;N2974</f>
        <v>ORD10785|2025-04-09|21:57|C1164|Sweet Tooth Studio|Hyderabad|Desserts|2|150|30|UPI|Delivered|46|4</v>
      </c>
      <c r="P2974" s="7" t="str">
        <f aca="false">IF(COUNTIF($O$2:O2974,O2974)&gt;1,"DUP","OK")</f>
        <v>OK</v>
      </c>
      <c r="Q2974" s="7" t="n">
        <f aca="false">COUNTBLANK(A2974:N2974)</f>
        <v>0</v>
      </c>
      <c r="R2974" s="7" t="n">
        <f aca="false">IF(A2974="",0,COUNTIFS($A$2:$A$3058,A2974,$P$2:$P$3058,"OK"))</f>
        <v>1</v>
      </c>
      <c r="S2974" s="7" t="str">
        <f aca="false">IF(OR(A2974="",P2974="DUP",R2974&lt;2),"",IF(Q2974=_xlfn.MINIFS($Q$2:$Q$3058,$A$2:$A$3058,A2974,$P$2:$P$3058,"OK"),"KEEP","DROP"))</f>
        <v/>
      </c>
      <c r="T2974" s="9" t="n">
        <f aca="false">IF(A2974="",1,0)</f>
        <v>0</v>
      </c>
      <c r="U2974" s="9" t="n">
        <f aca="false">IF(D2974="",1,0)</f>
        <v>0</v>
      </c>
      <c r="V2974" s="9" t="n">
        <f aca="false">IF(E2974="",1,0)</f>
        <v>0</v>
      </c>
      <c r="W2974" s="9" t="n">
        <f aca="false">IF(OR(H2974&lt;1,H2974&gt;10),1,0)</f>
        <v>0</v>
      </c>
      <c r="X2974" s="9" t="n">
        <f aca="false">IF(OR(I2974&lt;=0,I2974&gt;1500),1,0)</f>
        <v>0</v>
      </c>
      <c r="Y2974" s="9" t="n">
        <f aca="false">IF(J2974&gt;H2974*I2974,1,0)</f>
        <v>0</v>
      </c>
      <c r="Z2974" s="9" t="n">
        <f aca="false">IF(AND(N2974&lt;&gt;"",OR(N2974&lt;1,N2974&gt;5)),1,0)</f>
        <v>0</v>
      </c>
      <c r="AA2974" s="9" t="n">
        <f aca="false">IF(AND(M2974&lt;&gt;"",OR(M2974&lt;5,M2974&gt;180)),1,0)</f>
        <v>0</v>
      </c>
      <c r="AB2974" s="7" t="str">
        <f aca="false">IF(P2974="DUP","Exact duplicate row",IF(T2974=1,"Missing Order ID",IF(S2974="DROP","Duplicate Order ID (less complete row)",IF(U2974=1,"Missing Customer ID",IF(V2974=1,"Missing Restaurant name",IF(W2974=1,"Invalid/outlier quantity",IF(X2974=1,"Invalid/outlier unit price",IF(Y2974=1,"Discount greater than order value",""))))))))</f>
        <v/>
      </c>
      <c r="AC2974" s="7" t="str">
        <f aca="false">IF(AB2974="","KEEP","DROP")</f>
        <v>KEEP</v>
      </c>
      <c r="AD2974" s="7" t="str">
        <f aca="false">IF(TRIM(F2974)="",IFERROR(INDEX(Map_Tables!$I$4:$I$37,MATCH(TRIM(E2974),Map_Tables!$G$4:$G$37,0)),""),IFERROR(INDEX(Map_Tables!$B$4:$B$18,MATCH(TRIM(F2974),Map_Tables!$A$4:$A$18,0)),"CHECK"))</f>
        <v>Hyderabad</v>
      </c>
      <c r="AE2974" s="7" t="str">
        <f aca="false">IF(TRIM(E2974)="","",IFERROR(INDEX(Map_Tables!$H$4:$H$37,MATCH(TRIM(E2974),Map_Tables!$G$4:$G$37,0)),"CHECK"))</f>
        <v>Sweet Tooth Studio</v>
      </c>
      <c r="AF2974" s="7" t="str">
        <f aca="false">IF(TRIM(K2974)="","Unknown",IFERROR(INDEX(Map_Tables!$E$4:$E$15,MATCH(TRIM(K2974),Map_Tables!$D$4:$D$15,0)),"CHECK"))</f>
        <v>UPI</v>
      </c>
      <c r="AG2974" s="7" t="str">
        <f aca="false">IF(LEFT(LOWER(TRIM(L2974)),6)="cancel","Cancelled","Delivered")</f>
        <v>Delivered</v>
      </c>
      <c r="AH2974" s="10" t="n">
        <f aca="false">IF(ISNUMBER(SEARCH("/",B2974)),DATE(VALUE(RIGHT(B2974,4)),VALUE(MID(B2974,4,2)),VALUE(LEFT(B2974,2))),IF(MID(B2974,5,1)="-",DATE(VALUE(LEFT(B2974,4)),VALUE(MID(B2974,6,2)),VALUE(RIGHT(B2974,2))),DATE(VALUE(RIGHT(B2974,4)),MATCH(MID(B2974,4,3),{"Jan","Feb","Mar","Apr","May","Jun","Jul","Aug","Sep","Oct","Nov","Dec"},0),VALUE(LEFT(B2974,2)))))</f>
        <v>45756</v>
      </c>
    </row>
    <row r="2975" customFormat="false" ht="15" hidden="false" customHeight="false" outlineLevel="0" collapsed="false">
      <c r="A2975" s="7" t="s">
        <v>6068</v>
      </c>
      <c r="B2975" s="7" t="s">
        <v>782</v>
      </c>
      <c r="C2975" s="7" t="s">
        <v>452</v>
      </c>
      <c r="D2975" s="7" t="s">
        <v>6069</v>
      </c>
      <c r="E2975" s="7" t="s">
        <v>122</v>
      </c>
      <c r="F2975" s="7" t="s">
        <v>101</v>
      </c>
      <c r="G2975" s="7" t="s">
        <v>123</v>
      </c>
      <c r="H2975" s="7" t="n">
        <v>4</v>
      </c>
      <c r="I2975" s="7" t="n">
        <v>320</v>
      </c>
      <c r="J2975" s="7" t="n">
        <v>20</v>
      </c>
      <c r="K2975" s="7" t="s">
        <v>112</v>
      </c>
      <c r="L2975" s="7" t="s">
        <v>194</v>
      </c>
      <c r="M2975" s="7"/>
      <c r="N2975" s="7" t="n">
        <v>2</v>
      </c>
      <c r="O2975" s="7" t="str">
        <f aca="false">A2975&amp;"|"&amp;B2975&amp;"|"&amp;C2975&amp;"|"&amp;D2975&amp;"|"&amp;E2975&amp;"|"&amp;F2975&amp;"|"&amp;G2975&amp;"|"&amp;H2975&amp;"|"&amp;I2975&amp;"|"&amp;J2975&amp;"|"&amp;K2975&amp;"|"&amp;L2975&amp;"|"&amp;M2975&amp;"|"&amp;N2975</f>
        <v>ORD10048|2025-01-07|19:34|C0415|Mumbai Pizza Co|Mumbai|Pizza|4|320|20|Cash on Delivery|Delivered||2</v>
      </c>
      <c r="P2975" s="7" t="str">
        <f aca="false">IF(COUNTIF($O$2:O2975,O2975)&gt;1,"DUP","OK")</f>
        <v>OK</v>
      </c>
      <c r="Q2975" s="7" t="n">
        <f aca="false">COUNTBLANK(A2975:N2975)</f>
        <v>1</v>
      </c>
      <c r="R2975" s="7" t="n">
        <f aca="false">IF(A2975="",0,COUNTIFS($A$2:$A$3058,A2975,$P$2:$P$3058,"OK"))</f>
        <v>1</v>
      </c>
      <c r="S2975" s="7" t="str">
        <f aca="false">IF(OR(A2975="",P2975="DUP",R2975&lt;2),"",IF(Q2975=_xlfn.MINIFS($Q$2:$Q$3058,$A$2:$A$3058,A2975,$P$2:$P$3058,"OK"),"KEEP","DROP"))</f>
        <v/>
      </c>
      <c r="T2975" s="9" t="n">
        <f aca="false">IF(A2975="",1,0)</f>
        <v>0</v>
      </c>
      <c r="U2975" s="9" t="n">
        <f aca="false">IF(D2975="",1,0)</f>
        <v>0</v>
      </c>
      <c r="V2975" s="9" t="n">
        <f aca="false">IF(E2975="",1,0)</f>
        <v>0</v>
      </c>
      <c r="W2975" s="9" t="n">
        <f aca="false">IF(OR(H2975&lt;1,H2975&gt;10),1,0)</f>
        <v>0</v>
      </c>
      <c r="X2975" s="9" t="n">
        <f aca="false">IF(OR(I2975&lt;=0,I2975&gt;1500),1,0)</f>
        <v>0</v>
      </c>
      <c r="Y2975" s="9" t="n">
        <f aca="false">IF(J2975&gt;H2975*I2975,1,0)</f>
        <v>0</v>
      </c>
      <c r="Z2975" s="9" t="n">
        <f aca="false">IF(AND(N2975&lt;&gt;"",OR(N2975&lt;1,N2975&gt;5)),1,0)</f>
        <v>0</v>
      </c>
      <c r="AA2975" s="9" t="n">
        <f aca="false">IF(AND(M2975&lt;&gt;"",OR(M2975&lt;5,M2975&gt;180)),1,0)</f>
        <v>0</v>
      </c>
      <c r="AB2975" s="7" t="str">
        <f aca="false">IF(P2975="DUP","Exact duplicate row",IF(T2975=1,"Missing Order ID",IF(S2975="DROP","Duplicate Order ID (less complete row)",IF(U2975=1,"Missing Customer ID",IF(V2975=1,"Missing Restaurant name",IF(W2975=1,"Invalid/outlier quantity",IF(X2975=1,"Invalid/outlier unit price",IF(Y2975=1,"Discount greater than order value",""))))))))</f>
        <v/>
      </c>
      <c r="AC2975" s="7" t="str">
        <f aca="false">IF(AB2975="","KEEP","DROP")</f>
        <v>KEEP</v>
      </c>
      <c r="AD2975" s="7" t="str">
        <f aca="false">IF(TRIM(F2975)="",IFERROR(INDEX(Map_Tables!$I$4:$I$37,MATCH(TRIM(E2975),Map_Tables!$G$4:$G$37,0)),""),IFERROR(INDEX(Map_Tables!$B$4:$B$18,MATCH(TRIM(F2975),Map_Tables!$A$4:$A$18,0)),"CHECK"))</f>
        <v>Mumbai</v>
      </c>
      <c r="AE2975" s="7" t="str">
        <f aca="false">IF(TRIM(E2975)="","",IFERROR(INDEX(Map_Tables!$H$4:$H$37,MATCH(TRIM(E2975),Map_Tables!$G$4:$G$37,0)),"CHECK"))</f>
        <v>Mumbai Pizza Co</v>
      </c>
      <c r="AF2975" s="7" t="str">
        <f aca="false">IF(TRIM(K2975)="","Unknown",IFERROR(INDEX(Map_Tables!$E$4:$E$15,MATCH(TRIM(K2975),Map_Tables!$D$4:$D$15,0)),"CHECK"))</f>
        <v>Cash on Delivery</v>
      </c>
      <c r="AG2975" s="7" t="str">
        <f aca="false">IF(LEFT(LOWER(TRIM(L2975)),6)="cancel","Cancelled","Delivered")</f>
        <v>Delivered</v>
      </c>
      <c r="AH2975" s="10" t="n">
        <f aca="false">IF(ISNUMBER(SEARCH("/",B2975)),DATE(VALUE(RIGHT(B2975,4)),VALUE(MID(B2975,4,2)),VALUE(LEFT(B2975,2))),IF(MID(B2975,5,1)="-",DATE(VALUE(LEFT(B2975,4)),VALUE(MID(B2975,6,2)),VALUE(RIGHT(B2975,2))),DATE(VALUE(RIGHT(B2975,4)),MATCH(MID(B2975,4,3),{"Jan","Feb","Mar","Apr","May","Jun","Jul","Aug","Sep","Oct","Nov","Dec"},0),VALUE(LEFT(B2975,2)))))</f>
        <v>45664</v>
      </c>
    </row>
    <row r="2976" customFormat="false" ht="15" hidden="false" customHeight="false" outlineLevel="0" collapsed="false">
      <c r="A2976" s="7"/>
      <c r="B2976" s="7" t="s">
        <v>1136</v>
      </c>
      <c r="C2976" s="7" t="s">
        <v>839</v>
      </c>
      <c r="D2976" s="7" t="s">
        <v>3089</v>
      </c>
      <c r="E2976" s="7" t="s">
        <v>89</v>
      </c>
      <c r="F2976" s="7" t="s">
        <v>86</v>
      </c>
      <c r="G2976" s="7" t="s">
        <v>90</v>
      </c>
      <c r="H2976" s="7" t="n">
        <v>2</v>
      </c>
      <c r="I2976" s="7" t="n">
        <v>215</v>
      </c>
      <c r="J2976" s="7" t="n">
        <v>0</v>
      </c>
      <c r="K2976" s="7" t="s">
        <v>88</v>
      </c>
      <c r="L2976" s="7" t="s">
        <v>194</v>
      </c>
      <c r="M2976" s="7" t="n">
        <v>52</v>
      </c>
      <c r="N2976" s="7" t="n">
        <v>4</v>
      </c>
      <c r="O2976" s="7" t="str">
        <f aca="false">A2976&amp;"|"&amp;B2976&amp;"|"&amp;C2976&amp;"|"&amp;D2976&amp;"|"&amp;E2976&amp;"|"&amp;F2976&amp;"|"&amp;G2976&amp;"|"&amp;H2976&amp;"|"&amp;I2976&amp;"|"&amp;J2976&amp;"|"&amp;K2976&amp;"|"&amp;L2976&amp;"|"&amp;M2976&amp;"|"&amp;N2976</f>
        <v>|2025-09-13|19:46|C0011|Spice Junction|Bengaluru|North Indian|2|215|0|UPI|Delivered|52|4</v>
      </c>
      <c r="P2976" s="7" t="str">
        <f aca="false">IF(COUNTIF($O$2:O2976,O2976)&gt;1,"DUP","OK")</f>
        <v>OK</v>
      </c>
      <c r="Q2976" s="7" t="n">
        <f aca="false">COUNTBLANK(A2976:N2976)</f>
        <v>1</v>
      </c>
      <c r="R2976" s="7" t="n">
        <f aca="false">IF(A2976="",0,COUNTIFS($A$2:$A$3058,A2976,$P$2:$P$3058,"OK"))</f>
        <v>0</v>
      </c>
      <c r="S2976" s="7" t="str">
        <f aca="false">IF(OR(A2976="",P2976="DUP",R2976&lt;2),"",IF(Q2976=_xlfn.MINIFS($Q$2:$Q$3058,$A$2:$A$3058,A2976,$P$2:$P$3058,"OK"),"KEEP","DROP"))</f>
        <v/>
      </c>
      <c r="T2976" s="9" t="n">
        <f aca="false">IF(A2976="",1,0)</f>
        <v>1</v>
      </c>
      <c r="U2976" s="9" t="n">
        <f aca="false">IF(D2976="",1,0)</f>
        <v>0</v>
      </c>
      <c r="V2976" s="9" t="n">
        <f aca="false">IF(E2976="",1,0)</f>
        <v>0</v>
      </c>
      <c r="W2976" s="9" t="n">
        <f aca="false">IF(OR(H2976&lt;1,H2976&gt;10),1,0)</f>
        <v>0</v>
      </c>
      <c r="X2976" s="9" t="n">
        <f aca="false">IF(OR(I2976&lt;=0,I2976&gt;1500),1,0)</f>
        <v>0</v>
      </c>
      <c r="Y2976" s="9" t="n">
        <f aca="false">IF(J2976&gt;H2976*I2976,1,0)</f>
        <v>0</v>
      </c>
      <c r="Z2976" s="9" t="n">
        <f aca="false">IF(AND(N2976&lt;&gt;"",OR(N2976&lt;1,N2976&gt;5)),1,0)</f>
        <v>0</v>
      </c>
      <c r="AA2976" s="9" t="n">
        <f aca="false">IF(AND(M2976&lt;&gt;"",OR(M2976&lt;5,M2976&gt;180)),1,0)</f>
        <v>0</v>
      </c>
      <c r="AB2976" s="7" t="str">
        <f aca="false">IF(P2976="DUP","Exact duplicate row",IF(T2976=1,"Missing Order ID",IF(S2976="DROP","Duplicate Order ID (less complete row)",IF(U2976=1,"Missing Customer ID",IF(V2976=1,"Missing Restaurant name",IF(W2976=1,"Invalid/outlier quantity",IF(X2976=1,"Invalid/outlier unit price",IF(Y2976=1,"Discount greater than order value",""))))))))</f>
        <v>Missing Order ID</v>
      </c>
      <c r="AC2976" s="7" t="str">
        <f aca="false">IF(AB2976="","KEEP","DROP")</f>
        <v>DROP</v>
      </c>
      <c r="AD2976" s="7" t="str">
        <f aca="false">IF(TRIM(F2976)="",IFERROR(INDEX(Map_Tables!$I$4:$I$37,MATCH(TRIM(E2976),Map_Tables!$G$4:$G$37,0)),""),IFERROR(INDEX(Map_Tables!$B$4:$B$18,MATCH(TRIM(F2976),Map_Tables!$A$4:$A$18,0)),"CHECK"))</f>
        <v>Bengaluru</v>
      </c>
      <c r="AE2976" s="7" t="str">
        <f aca="false">IF(TRIM(E2976)="","",IFERROR(INDEX(Map_Tables!$H$4:$H$37,MATCH(TRIM(E2976),Map_Tables!$G$4:$G$37,0)),"CHECK"))</f>
        <v>Spice Junction</v>
      </c>
      <c r="AF2976" s="7" t="str">
        <f aca="false">IF(TRIM(K2976)="","Unknown",IFERROR(INDEX(Map_Tables!$E$4:$E$15,MATCH(TRIM(K2976),Map_Tables!$D$4:$D$15,0)),"CHECK"))</f>
        <v>UPI</v>
      </c>
      <c r="AG2976" s="7" t="str">
        <f aca="false">IF(LEFT(LOWER(TRIM(L2976)),6)="cancel","Cancelled","Delivered")</f>
        <v>Delivered</v>
      </c>
      <c r="AH2976" s="10" t="n">
        <f aca="false">IF(ISNUMBER(SEARCH("/",B2976)),DATE(VALUE(RIGHT(B2976,4)),VALUE(MID(B2976,4,2)),VALUE(LEFT(B2976,2))),IF(MID(B2976,5,1)="-",DATE(VALUE(LEFT(B2976,4)),VALUE(MID(B2976,6,2)),VALUE(RIGHT(B2976,2))),DATE(VALUE(RIGHT(B2976,4)),MATCH(MID(B2976,4,3),{"Jan","Feb","Mar","Apr","May","Jun","Jul","Aug","Sep","Oct","Nov","Dec"},0),VALUE(LEFT(B2976,2)))))</f>
        <v>45913</v>
      </c>
    </row>
    <row r="2977" customFormat="false" ht="15" hidden="false" customHeight="false" outlineLevel="0" collapsed="false">
      <c r="A2977" s="7" t="s">
        <v>6070</v>
      </c>
      <c r="B2977" s="7" t="s">
        <v>2501</v>
      </c>
      <c r="C2977" s="7" t="s">
        <v>649</v>
      </c>
      <c r="D2977" s="7" t="s">
        <v>6071</v>
      </c>
      <c r="E2977" s="7" t="s">
        <v>147</v>
      </c>
      <c r="F2977" s="7" t="s">
        <v>119</v>
      </c>
      <c r="G2977" s="7" t="s">
        <v>95</v>
      </c>
      <c r="H2977" s="7" t="n">
        <v>1</v>
      </c>
      <c r="I2977" s="7" t="n">
        <v>140</v>
      </c>
      <c r="J2977" s="7" t="n">
        <v>20</v>
      </c>
      <c r="K2977" s="7" t="s">
        <v>112</v>
      </c>
      <c r="L2977" s="7" t="s">
        <v>194</v>
      </c>
      <c r="M2977" s="7" t="n">
        <v>32</v>
      </c>
      <c r="N2977" s="7" t="n">
        <v>4</v>
      </c>
      <c r="O2977" s="7" t="str">
        <f aca="false">A2977&amp;"|"&amp;B2977&amp;"|"&amp;C2977&amp;"|"&amp;D2977&amp;"|"&amp;E2977&amp;"|"&amp;F2977&amp;"|"&amp;G2977&amp;"|"&amp;H2977&amp;"|"&amp;I2977&amp;"|"&amp;J2977&amp;"|"&amp;K2977&amp;"|"&amp;L2977&amp;"|"&amp;M2977&amp;"|"&amp;N2977</f>
        <v>ORD12252|2025-10-12|21:56|C0680|Andhra Meals Mess|Hyderabad|South Indian|1|140|20|Cash on Delivery|Delivered|32|4</v>
      </c>
      <c r="P2977" s="7" t="str">
        <f aca="false">IF(COUNTIF($O$2:O2977,O2977)&gt;1,"DUP","OK")</f>
        <v>OK</v>
      </c>
      <c r="Q2977" s="7" t="n">
        <f aca="false">COUNTBLANK(A2977:N2977)</f>
        <v>0</v>
      </c>
      <c r="R2977" s="7" t="n">
        <f aca="false">IF(A2977="",0,COUNTIFS($A$2:$A$3058,A2977,$P$2:$P$3058,"OK"))</f>
        <v>1</v>
      </c>
      <c r="S2977" s="7" t="str">
        <f aca="false">IF(OR(A2977="",P2977="DUP",R2977&lt;2),"",IF(Q2977=_xlfn.MINIFS($Q$2:$Q$3058,$A$2:$A$3058,A2977,$P$2:$P$3058,"OK"),"KEEP","DROP"))</f>
        <v/>
      </c>
      <c r="T2977" s="9" t="n">
        <f aca="false">IF(A2977="",1,0)</f>
        <v>0</v>
      </c>
      <c r="U2977" s="9" t="n">
        <f aca="false">IF(D2977="",1,0)</f>
        <v>0</v>
      </c>
      <c r="V2977" s="9" t="n">
        <f aca="false">IF(E2977="",1,0)</f>
        <v>0</v>
      </c>
      <c r="W2977" s="9" t="n">
        <f aca="false">IF(OR(H2977&lt;1,H2977&gt;10),1,0)</f>
        <v>0</v>
      </c>
      <c r="X2977" s="9" t="n">
        <f aca="false">IF(OR(I2977&lt;=0,I2977&gt;1500),1,0)</f>
        <v>0</v>
      </c>
      <c r="Y2977" s="9" t="n">
        <f aca="false">IF(J2977&gt;H2977*I2977,1,0)</f>
        <v>0</v>
      </c>
      <c r="Z2977" s="9" t="n">
        <f aca="false">IF(AND(N2977&lt;&gt;"",OR(N2977&lt;1,N2977&gt;5)),1,0)</f>
        <v>0</v>
      </c>
      <c r="AA2977" s="9" t="n">
        <f aca="false">IF(AND(M2977&lt;&gt;"",OR(M2977&lt;5,M2977&gt;180)),1,0)</f>
        <v>0</v>
      </c>
      <c r="AB2977" s="7" t="str">
        <f aca="false">IF(P2977="DUP","Exact duplicate row",IF(T2977=1,"Missing Order ID",IF(S2977="DROP","Duplicate Order ID (less complete row)",IF(U2977=1,"Missing Customer ID",IF(V2977=1,"Missing Restaurant name",IF(W2977=1,"Invalid/outlier quantity",IF(X2977=1,"Invalid/outlier unit price",IF(Y2977=1,"Discount greater than order value",""))))))))</f>
        <v/>
      </c>
      <c r="AC2977" s="7" t="str">
        <f aca="false">IF(AB2977="","KEEP","DROP")</f>
        <v>KEEP</v>
      </c>
      <c r="AD2977" s="7" t="str">
        <f aca="false">IF(TRIM(F2977)="",IFERROR(INDEX(Map_Tables!$I$4:$I$37,MATCH(TRIM(E2977),Map_Tables!$G$4:$G$37,0)),""),IFERROR(INDEX(Map_Tables!$B$4:$B$18,MATCH(TRIM(F2977),Map_Tables!$A$4:$A$18,0)),"CHECK"))</f>
        <v>Hyderabad</v>
      </c>
      <c r="AE2977" s="7" t="str">
        <f aca="false">IF(TRIM(E2977)="","",IFERROR(INDEX(Map_Tables!$H$4:$H$37,MATCH(TRIM(E2977),Map_Tables!$G$4:$G$37,0)),"CHECK"))</f>
        <v>Andhra Meals Mess</v>
      </c>
      <c r="AF2977" s="7" t="str">
        <f aca="false">IF(TRIM(K2977)="","Unknown",IFERROR(INDEX(Map_Tables!$E$4:$E$15,MATCH(TRIM(K2977),Map_Tables!$D$4:$D$15,0)),"CHECK"))</f>
        <v>Cash on Delivery</v>
      </c>
      <c r="AG2977" s="7" t="str">
        <f aca="false">IF(LEFT(LOWER(TRIM(L2977)),6)="cancel","Cancelled","Delivered")</f>
        <v>Delivered</v>
      </c>
      <c r="AH2977" s="10" t="n">
        <f aca="false">IF(ISNUMBER(SEARCH("/",B2977)),DATE(VALUE(RIGHT(B2977,4)),VALUE(MID(B2977,4,2)),VALUE(LEFT(B2977,2))),IF(MID(B2977,5,1)="-",DATE(VALUE(LEFT(B2977,4)),VALUE(MID(B2977,6,2)),VALUE(RIGHT(B2977,2))),DATE(VALUE(RIGHT(B2977,4)),MATCH(MID(B2977,4,3),{"Jan","Feb","Mar","Apr","May","Jun","Jul","Aug","Sep","Oct","Nov","Dec"},0),VALUE(LEFT(B2977,2)))))</f>
        <v>45942</v>
      </c>
    </row>
    <row r="2978" customFormat="false" ht="15" hidden="false" customHeight="false" outlineLevel="0" collapsed="false">
      <c r="A2978" s="7" t="s">
        <v>6072</v>
      </c>
      <c r="B2978" s="7" t="s">
        <v>1500</v>
      </c>
      <c r="C2978" s="7" t="s">
        <v>2033</v>
      </c>
      <c r="D2978" s="7" t="s">
        <v>1093</v>
      </c>
      <c r="E2978" s="7" t="s">
        <v>144</v>
      </c>
      <c r="F2978" s="7" t="s">
        <v>119</v>
      </c>
      <c r="G2978" s="7" t="s">
        <v>99</v>
      </c>
      <c r="H2978" s="7" t="n">
        <v>3</v>
      </c>
      <c r="I2978" s="7" t="n">
        <v>275</v>
      </c>
      <c r="J2978" s="7" t="n">
        <v>150</v>
      </c>
      <c r="K2978" s="7" t="s">
        <v>229</v>
      </c>
      <c r="L2978" s="7" t="s">
        <v>194</v>
      </c>
      <c r="M2978" s="7" t="n">
        <v>35</v>
      </c>
      <c r="N2978" s="7" t="n">
        <v>3</v>
      </c>
      <c r="O2978" s="7" t="str">
        <f aca="false">A2978&amp;"|"&amp;B2978&amp;"|"&amp;C2978&amp;"|"&amp;D2978&amp;"|"&amp;E2978&amp;"|"&amp;F2978&amp;"|"&amp;G2978&amp;"|"&amp;H2978&amp;"|"&amp;I2978&amp;"|"&amp;J2978&amp;"|"&amp;K2978&amp;"|"&amp;L2978&amp;"|"&amp;M2978&amp;"|"&amp;N2978</f>
        <v>ORD11656|2025-08-04|19:02|C0057|Hyderabad Dum Biryani|Hyderabad|Biryani|3|275|150|Upi|Delivered|35|3</v>
      </c>
      <c r="P2978" s="7" t="str">
        <f aca="false">IF(COUNTIF($O$2:O2978,O2978)&gt;1,"DUP","OK")</f>
        <v>OK</v>
      </c>
      <c r="Q2978" s="7" t="n">
        <f aca="false">COUNTBLANK(A2978:N2978)</f>
        <v>0</v>
      </c>
      <c r="R2978" s="7" t="n">
        <f aca="false">IF(A2978="",0,COUNTIFS($A$2:$A$3058,A2978,$P$2:$P$3058,"OK"))</f>
        <v>1</v>
      </c>
      <c r="S2978" s="7" t="str">
        <f aca="false">IF(OR(A2978="",P2978="DUP",R2978&lt;2),"",IF(Q2978=_xlfn.MINIFS($Q$2:$Q$3058,$A$2:$A$3058,A2978,$P$2:$P$3058,"OK"),"KEEP","DROP"))</f>
        <v/>
      </c>
      <c r="T2978" s="9" t="n">
        <f aca="false">IF(A2978="",1,0)</f>
        <v>0</v>
      </c>
      <c r="U2978" s="9" t="n">
        <f aca="false">IF(D2978="",1,0)</f>
        <v>0</v>
      </c>
      <c r="V2978" s="9" t="n">
        <f aca="false">IF(E2978="",1,0)</f>
        <v>0</v>
      </c>
      <c r="W2978" s="9" t="n">
        <f aca="false">IF(OR(H2978&lt;1,H2978&gt;10),1,0)</f>
        <v>0</v>
      </c>
      <c r="X2978" s="9" t="n">
        <f aca="false">IF(OR(I2978&lt;=0,I2978&gt;1500),1,0)</f>
        <v>0</v>
      </c>
      <c r="Y2978" s="9" t="n">
        <f aca="false">IF(J2978&gt;H2978*I2978,1,0)</f>
        <v>0</v>
      </c>
      <c r="Z2978" s="9" t="n">
        <f aca="false">IF(AND(N2978&lt;&gt;"",OR(N2978&lt;1,N2978&gt;5)),1,0)</f>
        <v>0</v>
      </c>
      <c r="AA2978" s="9" t="n">
        <f aca="false">IF(AND(M2978&lt;&gt;"",OR(M2978&lt;5,M2978&gt;180)),1,0)</f>
        <v>0</v>
      </c>
      <c r="AB2978" s="7" t="str">
        <f aca="false">IF(P2978="DUP","Exact duplicate row",IF(T2978=1,"Missing Order ID",IF(S2978="DROP","Duplicate Order ID (less complete row)",IF(U2978=1,"Missing Customer ID",IF(V2978=1,"Missing Restaurant name",IF(W2978=1,"Invalid/outlier quantity",IF(X2978=1,"Invalid/outlier unit price",IF(Y2978=1,"Discount greater than order value",""))))))))</f>
        <v/>
      </c>
      <c r="AC2978" s="7" t="str">
        <f aca="false">IF(AB2978="","KEEP","DROP")</f>
        <v>KEEP</v>
      </c>
      <c r="AD2978" s="7" t="str">
        <f aca="false">IF(TRIM(F2978)="",IFERROR(INDEX(Map_Tables!$I$4:$I$37,MATCH(TRIM(E2978),Map_Tables!$G$4:$G$37,0)),""),IFERROR(INDEX(Map_Tables!$B$4:$B$18,MATCH(TRIM(F2978),Map_Tables!$A$4:$A$18,0)),"CHECK"))</f>
        <v>Hyderabad</v>
      </c>
      <c r="AE2978" s="7" t="str">
        <f aca="false">IF(TRIM(E2978)="","",IFERROR(INDEX(Map_Tables!$H$4:$H$37,MATCH(TRIM(E2978),Map_Tables!$G$4:$G$37,0)),"CHECK"))</f>
        <v>Hyderabad Dum Biryani</v>
      </c>
      <c r="AF2978" s="7" t="str">
        <f aca="false">IF(TRIM(K2978)="","Unknown",IFERROR(INDEX(Map_Tables!$E$4:$E$15,MATCH(TRIM(K2978),Map_Tables!$D$4:$D$15,0)),"CHECK"))</f>
        <v>UPI</v>
      </c>
      <c r="AG2978" s="7" t="str">
        <f aca="false">IF(LEFT(LOWER(TRIM(L2978)),6)="cancel","Cancelled","Delivered")</f>
        <v>Delivered</v>
      </c>
      <c r="AH2978" s="10" t="n">
        <f aca="false">IF(ISNUMBER(SEARCH("/",B2978)),DATE(VALUE(RIGHT(B2978,4)),VALUE(MID(B2978,4,2)),VALUE(LEFT(B2978,2))),IF(MID(B2978,5,1)="-",DATE(VALUE(LEFT(B2978,4)),VALUE(MID(B2978,6,2)),VALUE(RIGHT(B2978,2))),DATE(VALUE(RIGHT(B2978,4)),MATCH(MID(B2978,4,3),{"Jan","Feb","Mar","Apr","May","Jun","Jul","Aug","Sep","Oct","Nov","Dec"},0),VALUE(LEFT(B2978,2)))))</f>
        <v>45873</v>
      </c>
    </row>
    <row r="2979" customFormat="false" ht="15" hidden="false" customHeight="false" outlineLevel="0" collapsed="false">
      <c r="A2979" s="7" t="s">
        <v>6073</v>
      </c>
      <c r="B2979" s="7" t="s">
        <v>2045</v>
      </c>
      <c r="C2979" s="7" t="s">
        <v>1824</v>
      </c>
      <c r="D2979" s="7" t="s">
        <v>3428</v>
      </c>
      <c r="E2979" s="7" t="s">
        <v>98</v>
      </c>
      <c r="F2979" s="7" t="s">
        <v>86</v>
      </c>
      <c r="G2979" s="7" t="s">
        <v>99</v>
      </c>
      <c r="H2979" s="7" t="n">
        <v>1</v>
      </c>
      <c r="I2979" s="7" t="n">
        <v>290</v>
      </c>
      <c r="J2979" s="7" t="n">
        <v>0</v>
      </c>
      <c r="K2979" s="7" t="s">
        <v>88</v>
      </c>
      <c r="L2979" s="7" t="s">
        <v>194</v>
      </c>
      <c r="M2979" s="7" t="n">
        <v>41</v>
      </c>
      <c r="N2979" s="7" t="n">
        <v>4</v>
      </c>
      <c r="O2979" s="7" t="str">
        <f aca="false">A2979&amp;"|"&amp;B2979&amp;"|"&amp;C2979&amp;"|"&amp;D2979&amp;"|"&amp;E2979&amp;"|"&amp;F2979&amp;"|"&amp;G2979&amp;"|"&amp;H2979&amp;"|"&amp;I2979&amp;"|"&amp;J2979&amp;"|"&amp;K2979&amp;"|"&amp;L2979&amp;"|"&amp;M2979&amp;"|"&amp;N2979</f>
        <v>ORD12070|2025-09-24|13:40|C1156|Nawabi Biryani House|Bengaluru|Biryani|1|290|0|UPI|Delivered|41|4</v>
      </c>
      <c r="P2979" s="7" t="str">
        <f aca="false">IF(COUNTIF($O$2:O2979,O2979)&gt;1,"DUP","OK")</f>
        <v>OK</v>
      </c>
      <c r="Q2979" s="7" t="n">
        <f aca="false">COUNTBLANK(A2979:N2979)</f>
        <v>0</v>
      </c>
      <c r="R2979" s="7" t="n">
        <f aca="false">IF(A2979="",0,COUNTIFS($A$2:$A$3058,A2979,$P$2:$P$3058,"OK"))</f>
        <v>1</v>
      </c>
      <c r="S2979" s="7" t="str">
        <f aca="false">IF(OR(A2979="",P2979="DUP",R2979&lt;2),"",IF(Q2979=_xlfn.MINIFS($Q$2:$Q$3058,$A$2:$A$3058,A2979,$P$2:$P$3058,"OK"),"KEEP","DROP"))</f>
        <v/>
      </c>
      <c r="T2979" s="9" t="n">
        <f aca="false">IF(A2979="",1,0)</f>
        <v>0</v>
      </c>
      <c r="U2979" s="9" t="n">
        <f aca="false">IF(D2979="",1,0)</f>
        <v>0</v>
      </c>
      <c r="V2979" s="9" t="n">
        <f aca="false">IF(E2979="",1,0)</f>
        <v>0</v>
      </c>
      <c r="W2979" s="9" t="n">
        <f aca="false">IF(OR(H2979&lt;1,H2979&gt;10),1,0)</f>
        <v>0</v>
      </c>
      <c r="X2979" s="9" t="n">
        <f aca="false">IF(OR(I2979&lt;=0,I2979&gt;1500),1,0)</f>
        <v>0</v>
      </c>
      <c r="Y2979" s="9" t="n">
        <f aca="false">IF(J2979&gt;H2979*I2979,1,0)</f>
        <v>0</v>
      </c>
      <c r="Z2979" s="9" t="n">
        <f aca="false">IF(AND(N2979&lt;&gt;"",OR(N2979&lt;1,N2979&gt;5)),1,0)</f>
        <v>0</v>
      </c>
      <c r="AA2979" s="9" t="n">
        <f aca="false">IF(AND(M2979&lt;&gt;"",OR(M2979&lt;5,M2979&gt;180)),1,0)</f>
        <v>0</v>
      </c>
      <c r="AB2979" s="7" t="str">
        <f aca="false">IF(P2979="DUP","Exact duplicate row",IF(T2979=1,"Missing Order ID",IF(S2979="DROP","Duplicate Order ID (less complete row)",IF(U2979=1,"Missing Customer ID",IF(V2979=1,"Missing Restaurant name",IF(W2979=1,"Invalid/outlier quantity",IF(X2979=1,"Invalid/outlier unit price",IF(Y2979=1,"Discount greater than order value",""))))))))</f>
        <v/>
      </c>
      <c r="AC2979" s="7" t="str">
        <f aca="false">IF(AB2979="","KEEP","DROP")</f>
        <v>KEEP</v>
      </c>
      <c r="AD2979" s="7" t="str">
        <f aca="false">IF(TRIM(F2979)="",IFERROR(INDEX(Map_Tables!$I$4:$I$37,MATCH(TRIM(E2979),Map_Tables!$G$4:$G$37,0)),""),IFERROR(INDEX(Map_Tables!$B$4:$B$18,MATCH(TRIM(F2979),Map_Tables!$A$4:$A$18,0)),"CHECK"))</f>
        <v>Bengaluru</v>
      </c>
      <c r="AE2979" s="7" t="str">
        <f aca="false">IF(TRIM(E2979)="","",IFERROR(INDEX(Map_Tables!$H$4:$H$37,MATCH(TRIM(E2979),Map_Tables!$G$4:$G$37,0)),"CHECK"))</f>
        <v>Nawabi Biryani House</v>
      </c>
      <c r="AF2979" s="7" t="str">
        <f aca="false">IF(TRIM(K2979)="","Unknown",IFERROR(INDEX(Map_Tables!$E$4:$E$15,MATCH(TRIM(K2979),Map_Tables!$D$4:$D$15,0)),"CHECK"))</f>
        <v>UPI</v>
      </c>
      <c r="AG2979" s="7" t="str">
        <f aca="false">IF(LEFT(LOWER(TRIM(L2979)),6)="cancel","Cancelled","Delivered")</f>
        <v>Delivered</v>
      </c>
      <c r="AH2979" s="10" t="n">
        <f aca="false">IF(ISNUMBER(SEARCH("/",B2979)),DATE(VALUE(RIGHT(B2979,4)),VALUE(MID(B2979,4,2)),VALUE(LEFT(B2979,2))),IF(MID(B2979,5,1)="-",DATE(VALUE(LEFT(B2979,4)),VALUE(MID(B2979,6,2)),VALUE(RIGHT(B2979,2))),DATE(VALUE(RIGHT(B2979,4)),MATCH(MID(B2979,4,3),{"Jan","Feb","Mar","Apr","May","Jun","Jul","Aug","Sep","Oct","Nov","Dec"},0),VALUE(LEFT(B2979,2)))))</f>
        <v>45924</v>
      </c>
    </row>
    <row r="2980" customFormat="false" ht="15" hidden="false" customHeight="false" outlineLevel="0" collapsed="false">
      <c r="A2980" s="7" t="s">
        <v>6074</v>
      </c>
      <c r="B2980" s="7" t="s">
        <v>4352</v>
      </c>
      <c r="C2980" s="7" t="s">
        <v>3217</v>
      </c>
      <c r="D2980" s="7" t="s">
        <v>2738</v>
      </c>
      <c r="E2980" s="7" t="s">
        <v>126</v>
      </c>
      <c r="F2980" s="7" t="s">
        <v>101</v>
      </c>
      <c r="G2980" s="7" t="s">
        <v>105</v>
      </c>
      <c r="H2980" s="7" t="n">
        <v>2</v>
      </c>
      <c r="I2980" s="7" t="n">
        <v>185</v>
      </c>
      <c r="J2980" s="7" t="n">
        <v>148</v>
      </c>
      <c r="K2980" s="7" t="s">
        <v>133</v>
      </c>
      <c r="L2980" s="7" t="s">
        <v>194</v>
      </c>
      <c r="M2980" s="7" t="n">
        <v>44</v>
      </c>
      <c r="N2980" s="7" t="n">
        <v>5</v>
      </c>
      <c r="O2980" s="7" t="str">
        <f aca="false">A2980&amp;"|"&amp;B2980&amp;"|"&amp;C2980&amp;"|"&amp;D2980&amp;"|"&amp;E2980&amp;"|"&amp;F2980&amp;"|"&amp;G2980&amp;"|"&amp;H2980&amp;"|"&amp;I2980&amp;"|"&amp;J2980&amp;"|"&amp;K2980&amp;"|"&amp;L2980&amp;"|"&amp;M2980&amp;"|"&amp;N2980</f>
        <v>ORD10403|2025-02-23|12:17|C0152|Dragon Express|Mumbai|Chinese|2|185|148|Net Banking|Delivered|44|5</v>
      </c>
      <c r="P2980" s="7" t="str">
        <f aca="false">IF(COUNTIF($O$2:O2980,O2980)&gt;1,"DUP","OK")</f>
        <v>OK</v>
      </c>
      <c r="Q2980" s="7" t="n">
        <f aca="false">COUNTBLANK(A2980:N2980)</f>
        <v>0</v>
      </c>
      <c r="R2980" s="7" t="n">
        <f aca="false">IF(A2980="",0,COUNTIFS($A$2:$A$3058,A2980,$P$2:$P$3058,"OK"))</f>
        <v>1</v>
      </c>
      <c r="S2980" s="7" t="str">
        <f aca="false">IF(OR(A2980="",P2980="DUP",R2980&lt;2),"",IF(Q2980=_xlfn.MINIFS($Q$2:$Q$3058,$A$2:$A$3058,A2980,$P$2:$P$3058,"OK"),"KEEP","DROP"))</f>
        <v/>
      </c>
      <c r="T2980" s="9" t="n">
        <f aca="false">IF(A2980="",1,0)</f>
        <v>0</v>
      </c>
      <c r="U2980" s="9" t="n">
        <f aca="false">IF(D2980="",1,0)</f>
        <v>0</v>
      </c>
      <c r="V2980" s="9" t="n">
        <f aca="false">IF(E2980="",1,0)</f>
        <v>0</v>
      </c>
      <c r="W2980" s="9" t="n">
        <f aca="false">IF(OR(H2980&lt;1,H2980&gt;10),1,0)</f>
        <v>0</v>
      </c>
      <c r="X2980" s="9" t="n">
        <f aca="false">IF(OR(I2980&lt;=0,I2980&gt;1500),1,0)</f>
        <v>0</v>
      </c>
      <c r="Y2980" s="9" t="n">
        <f aca="false">IF(J2980&gt;H2980*I2980,1,0)</f>
        <v>0</v>
      </c>
      <c r="Z2980" s="9" t="n">
        <f aca="false">IF(AND(N2980&lt;&gt;"",OR(N2980&lt;1,N2980&gt;5)),1,0)</f>
        <v>0</v>
      </c>
      <c r="AA2980" s="9" t="n">
        <f aca="false">IF(AND(M2980&lt;&gt;"",OR(M2980&lt;5,M2980&gt;180)),1,0)</f>
        <v>0</v>
      </c>
      <c r="AB2980" s="7" t="str">
        <f aca="false">IF(P2980="DUP","Exact duplicate row",IF(T2980=1,"Missing Order ID",IF(S2980="DROP","Duplicate Order ID (less complete row)",IF(U2980=1,"Missing Customer ID",IF(V2980=1,"Missing Restaurant name",IF(W2980=1,"Invalid/outlier quantity",IF(X2980=1,"Invalid/outlier unit price",IF(Y2980=1,"Discount greater than order value",""))))))))</f>
        <v/>
      </c>
      <c r="AC2980" s="7" t="str">
        <f aca="false">IF(AB2980="","KEEP","DROP")</f>
        <v>KEEP</v>
      </c>
      <c r="AD2980" s="7" t="str">
        <f aca="false">IF(TRIM(F2980)="",IFERROR(INDEX(Map_Tables!$I$4:$I$37,MATCH(TRIM(E2980),Map_Tables!$G$4:$G$37,0)),""),IFERROR(INDEX(Map_Tables!$B$4:$B$18,MATCH(TRIM(F2980),Map_Tables!$A$4:$A$18,0)),"CHECK"))</f>
        <v>Mumbai</v>
      </c>
      <c r="AE2980" s="7" t="str">
        <f aca="false">IF(TRIM(E2980)="","",IFERROR(INDEX(Map_Tables!$H$4:$H$37,MATCH(TRIM(E2980),Map_Tables!$G$4:$G$37,0)),"CHECK"))</f>
        <v>Dragon Express</v>
      </c>
      <c r="AF2980" s="7" t="str">
        <f aca="false">IF(TRIM(K2980)="","Unknown",IFERROR(INDEX(Map_Tables!$E$4:$E$15,MATCH(TRIM(K2980),Map_Tables!$D$4:$D$15,0)),"CHECK"))</f>
        <v>Net Banking</v>
      </c>
      <c r="AG2980" s="7" t="str">
        <f aca="false">IF(LEFT(LOWER(TRIM(L2980)),6)="cancel","Cancelled","Delivered")</f>
        <v>Delivered</v>
      </c>
      <c r="AH2980" s="10" t="n">
        <f aca="false">IF(ISNUMBER(SEARCH("/",B2980)),DATE(VALUE(RIGHT(B2980,4)),VALUE(MID(B2980,4,2)),VALUE(LEFT(B2980,2))),IF(MID(B2980,5,1)="-",DATE(VALUE(LEFT(B2980,4)),VALUE(MID(B2980,6,2)),VALUE(RIGHT(B2980,2))),DATE(VALUE(RIGHT(B2980,4)),MATCH(MID(B2980,4,3),{"Jan","Feb","Mar","Apr","May","Jun","Jul","Aug","Sep","Oct","Nov","Dec"},0),VALUE(LEFT(B2980,2)))))</f>
        <v>45711</v>
      </c>
    </row>
    <row r="2981" customFormat="false" ht="15" hidden="false" customHeight="false" outlineLevel="0" collapsed="false">
      <c r="A2981" s="7" t="s">
        <v>6075</v>
      </c>
      <c r="B2981" s="7" t="s">
        <v>2916</v>
      </c>
      <c r="C2981" s="7" t="s">
        <v>1336</v>
      </c>
      <c r="D2981" s="7" t="s">
        <v>631</v>
      </c>
      <c r="E2981" s="7" t="s">
        <v>561</v>
      </c>
      <c r="F2981" s="7" t="s">
        <v>101</v>
      </c>
      <c r="G2981" s="7" t="s">
        <v>123</v>
      </c>
      <c r="H2981" s="7" t="n">
        <v>1</v>
      </c>
      <c r="I2981" s="7" t="n">
        <v>385</v>
      </c>
      <c r="J2981" s="7" t="n">
        <v>0</v>
      </c>
      <c r="K2981" s="7" t="s">
        <v>93</v>
      </c>
      <c r="L2981" s="7" t="s">
        <v>238</v>
      </c>
      <c r="M2981" s="7"/>
      <c r="N2981" s="7"/>
      <c r="O2981" s="7" t="str">
        <f aca="false">A2981&amp;"|"&amp;B2981&amp;"|"&amp;C2981&amp;"|"&amp;D2981&amp;"|"&amp;E2981&amp;"|"&amp;F2981&amp;"|"&amp;G2981&amp;"|"&amp;H2981&amp;"|"&amp;I2981&amp;"|"&amp;J2981&amp;"|"&amp;K2981&amp;"|"&amp;L2981&amp;"|"&amp;M2981&amp;"|"&amp;N2981</f>
        <v>ORD11108|2025-05-20|19:17|C1189|mumbai pizza co|Mumbai|Pizza|1|385|0|Credit Card|Cancelled||</v>
      </c>
      <c r="P2981" s="7" t="str">
        <f aca="false">IF(COUNTIF($O$2:O2981,O2981)&gt;1,"DUP","OK")</f>
        <v>OK</v>
      </c>
      <c r="Q2981" s="7" t="n">
        <f aca="false">COUNTBLANK(A2981:N2981)</f>
        <v>2</v>
      </c>
      <c r="R2981" s="7" t="n">
        <f aca="false">IF(A2981="",0,COUNTIFS($A$2:$A$3058,A2981,$P$2:$P$3058,"OK"))</f>
        <v>1</v>
      </c>
      <c r="S2981" s="7" t="str">
        <f aca="false">IF(OR(A2981="",P2981="DUP",R2981&lt;2),"",IF(Q2981=_xlfn.MINIFS($Q$2:$Q$3058,$A$2:$A$3058,A2981,$P$2:$P$3058,"OK"),"KEEP","DROP"))</f>
        <v/>
      </c>
      <c r="T2981" s="9" t="n">
        <f aca="false">IF(A2981="",1,0)</f>
        <v>0</v>
      </c>
      <c r="U2981" s="9" t="n">
        <f aca="false">IF(D2981="",1,0)</f>
        <v>0</v>
      </c>
      <c r="V2981" s="9" t="n">
        <f aca="false">IF(E2981="",1,0)</f>
        <v>0</v>
      </c>
      <c r="W2981" s="9" t="n">
        <f aca="false">IF(OR(H2981&lt;1,H2981&gt;10),1,0)</f>
        <v>0</v>
      </c>
      <c r="X2981" s="9" t="n">
        <f aca="false">IF(OR(I2981&lt;=0,I2981&gt;1500),1,0)</f>
        <v>0</v>
      </c>
      <c r="Y2981" s="9" t="n">
        <f aca="false">IF(J2981&gt;H2981*I2981,1,0)</f>
        <v>0</v>
      </c>
      <c r="Z2981" s="9" t="n">
        <f aca="false">IF(AND(N2981&lt;&gt;"",OR(N2981&lt;1,N2981&gt;5)),1,0)</f>
        <v>0</v>
      </c>
      <c r="AA2981" s="9" t="n">
        <f aca="false">IF(AND(M2981&lt;&gt;"",OR(M2981&lt;5,M2981&gt;180)),1,0)</f>
        <v>0</v>
      </c>
      <c r="AB2981" s="7" t="str">
        <f aca="false">IF(P2981="DUP","Exact duplicate row",IF(T2981=1,"Missing Order ID",IF(S2981="DROP","Duplicate Order ID (less complete row)",IF(U2981=1,"Missing Customer ID",IF(V2981=1,"Missing Restaurant name",IF(W2981=1,"Invalid/outlier quantity",IF(X2981=1,"Invalid/outlier unit price",IF(Y2981=1,"Discount greater than order value",""))))))))</f>
        <v/>
      </c>
      <c r="AC2981" s="7" t="str">
        <f aca="false">IF(AB2981="","KEEP","DROP")</f>
        <v>KEEP</v>
      </c>
      <c r="AD2981" s="7" t="str">
        <f aca="false">IF(TRIM(F2981)="",IFERROR(INDEX(Map_Tables!$I$4:$I$37,MATCH(TRIM(E2981),Map_Tables!$G$4:$G$37,0)),""),IFERROR(INDEX(Map_Tables!$B$4:$B$18,MATCH(TRIM(F2981),Map_Tables!$A$4:$A$18,0)),"CHECK"))</f>
        <v>Mumbai</v>
      </c>
      <c r="AE2981" s="7" t="str">
        <f aca="false">IF(TRIM(E2981)="","",IFERROR(INDEX(Map_Tables!$H$4:$H$37,MATCH(TRIM(E2981),Map_Tables!$G$4:$G$37,0)),"CHECK"))</f>
        <v>Mumbai Pizza Co</v>
      </c>
      <c r="AF2981" s="7" t="str">
        <f aca="false">IF(TRIM(K2981)="","Unknown",IFERROR(INDEX(Map_Tables!$E$4:$E$15,MATCH(TRIM(K2981),Map_Tables!$D$4:$D$15,0)),"CHECK"))</f>
        <v>Credit Card</v>
      </c>
      <c r="AG2981" s="7" t="str">
        <f aca="false">IF(LEFT(LOWER(TRIM(L2981)),6)="cancel","Cancelled","Delivered")</f>
        <v>Cancelled</v>
      </c>
      <c r="AH2981" s="10" t="n">
        <f aca="false">IF(ISNUMBER(SEARCH("/",B2981)),DATE(VALUE(RIGHT(B2981,4)),VALUE(MID(B2981,4,2)),VALUE(LEFT(B2981,2))),IF(MID(B2981,5,1)="-",DATE(VALUE(LEFT(B2981,4)),VALUE(MID(B2981,6,2)),VALUE(RIGHT(B2981,2))),DATE(VALUE(RIGHT(B2981,4)),MATCH(MID(B2981,4,3),{"Jan","Feb","Mar","Apr","May","Jun","Jul","Aug","Sep","Oct","Nov","Dec"},0),VALUE(LEFT(B2981,2)))))</f>
        <v>45797</v>
      </c>
    </row>
    <row r="2982" customFormat="false" ht="15" hidden="false" customHeight="false" outlineLevel="0" collapsed="false">
      <c r="A2982" s="7" t="s">
        <v>6076</v>
      </c>
      <c r="B2982" s="7" t="s">
        <v>355</v>
      </c>
      <c r="C2982" s="7" t="s">
        <v>2508</v>
      </c>
      <c r="D2982" s="7" t="s">
        <v>1212</v>
      </c>
      <c r="E2982" s="7" t="s">
        <v>159</v>
      </c>
      <c r="F2982" s="7" t="s">
        <v>136</v>
      </c>
      <c r="G2982" s="7" t="s">
        <v>90</v>
      </c>
      <c r="H2982" s="7" t="n">
        <v>3</v>
      </c>
      <c r="I2982" s="7" t="n">
        <v>260</v>
      </c>
      <c r="J2982" s="7" t="n">
        <v>0</v>
      </c>
      <c r="K2982" s="7" t="s">
        <v>88</v>
      </c>
      <c r="L2982" s="7" t="s">
        <v>194</v>
      </c>
      <c r="M2982" s="7" t="n">
        <v>21</v>
      </c>
      <c r="N2982" s="7" t="n">
        <v>4</v>
      </c>
      <c r="O2982" s="7" t="str">
        <f aca="false">A2982&amp;"|"&amp;B2982&amp;"|"&amp;C2982&amp;"|"&amp;D2982&amp;"|"&amp;E2982&amp;"|"&amp;F2982&amp;"|"&amp;G2982&amp;"|"&amp;H2982&amp;"|"&amp;I2982&amp;"|"&amp;J2982&amp;"|"&amp;K2982&amp;"|"&amp;L2982&amp;"|"&amp;M2982&amp;"|"&amp;N2982</f>
        <v>ORD11155|2025-05-27|20:22|C1123|Maratha Thali House|Pune|North Indian|3|260|0|UPI|Delivered|21|4</v>
      </c>
      <c r="P2982" s="7" t="str">
        <f aca="false">IF(COUNTIF($O$2:O2982,O2982)&gt;1,"DUP","OK")</f>
        <v>OK</v>
      </c>
      <c r="Q2982" s="7" t="n">
        <f aca="false">COUNTBLANK(A2982:N2982)</f>
        <v>0</v>
      </c>
      <c r="R2982" s="7" t="n">
        <f aca="false">IF(A2982="",0,COUNTIFS($A$2:$A$3058,A2982,$P$2:$P$3058,"OK"))</f>
        <v>1</v>
      </c>
      <c r="S2982" s="7" t="str">
        <f aca="false">IF(OR(A2982="",P2982="DUP",R2982&lt;2),"",IF(Q2982=_xlfn.MINIFS($Q$2:$Q$3058,$A$2:$A$3058,A2982,$P$2:$P$3058,"OK"),"KEEP","DROP"))</f>
        <v/>
      </c>
      <c r="T2982" s="9" t="n">
        <f aca="false">IF(A2982="",1,0)</f>
        <v>0</v>
      </c>
      <c r="U2982" s="9" t="n">
        <f aca="false">IF(D2982="",1,0)</f>
        <v>0</v>
      </c>
      <c r="V2982" s="9" t="n">
        <f aca="false">IF(E2982="",1,0)</f>
        <v>0</v>
      </c>
      <c r="W2982" s="9" t="n">
        <f aca="false">IF(OR(H2982&lt;1,H2982&gt;10),1,0)</f>
        <v>0</v>
      </c>
      <c r="X2982" s="9" t="n">
        <f aca="false">IF(OR(I2982&lt;=0,I2982&gt;1500),1,0)</f>
        <v>0</v>
      </c>
      <c r="Y2982" s="9" t="n">
        <f aca="false">IF(J2982&gt;H2982*I2982,1,0)</f>
        <v>0</v>
      </c>
      <c r="Z2982" s="9" t="n">
        <f aca="false">IF(AND(N2982&lt;&gt;"",OR(N2982&lt;1,N2982&gt;5)),1,0)</f>
        <v>0</v>
      </c>
      <c r="AA2982" s="9" t="n">
        <f aca="false">IF(AND(M2982&lt;&gt;"",OR(M2982&lt;5,M2982&gt;180)),1,0)</f>
        <v>0</v>
      </c>
      <c r="AB2982" s="7" t="str">
        <f aca="false">IF(P2982="DUP","Exact duplicate row",IF(T2982=1,"Missing Order ID",IF(S2982="DROP","Duplicate Order ID (less complete row)",IF(U2982=1,"Missing Customer ID",IF(V2982=1,"Missing Restaurant name",IF(W2982=1,"Invalid/outlier quantity",IF(X2982=1,"Invalid/outlier unit price",IF(Y2982=1,"Discount greater than order value",""))))))))</f>
        <v/>
      </c>
      <c r="AC2982" s="7" t="str">
        <f aca="false">IF(AB2982="","KEEP","DROP")</f>
        <v>KEEP</v>
      </c>
      <c r="AD2982" s="7" t="str">
        <f aca="false">IF(TRIM(F2982)="",IFERROR(INDEX(Map_Tables!$I$4:$I$37,MATCH(TRIM(E2982),Map_Tables!$G$4:$G$37,0)),""),IFERROR(INDEX(Map_Tables!$B$4:$B$18,MATCH(TRIM(F2982),Map_Tables!$A$4:$A$18,0)),"CHECK"))</f>
        <v>Pune</v>
      </c>
      <c r="AE2982" s="7" t="str">
        <f aca="false">IF(TRIM(E2982)="","",IFERROR(INDEX(Map_Tables!$H$4:$H$37,MATCH(TRIM(E2982),Map_Tables!$G$4:$G$37,0)),"CHECK"))</f>
        <v>Maratha Thali House</v>
      </c>
      <c r="AF2982" s="7" t="str">
        <f aca="false">IF(TRIM(K2982)="","Unknown",IFERROR(INDEX(Map_Tables!$E$4:$E$15,MATCH(TRIM(K2982),Map_Tables!$D$4:$D$15,0)),"CHECK"))</f>
        <v>UPI</v>
      </c>
      <c r="AG2982" s="7" t="str">
        <f aca="false">IF(LEFT(LOWER(TRIM(L2982)),6)="cancel","Cancelled","Delivered")</f>
        <v>Delivered</v>
      </c>
      <c r="AH2982" s="10" t="n">
        <f aca="false">IF(ISNUMBER(SEARCH("/",B2982)),DATE(VALUE(RIGHT(B2982,4)),VALUE(MID(B2982,4,2)),VALUE(LEFT(B2982,2))),IF(MID(B2982,5,1)="-",DATE(VALUE(LEFT(B2982,4)),VALUE(MID(B2982,6,2)),VALUE(RIGHT(B2982,2))),DATE(VALUE(RIGHT(B2982,4)),MATCH(MID(B2982,4,3),{"Jan","Feb","Mar","Apr","May","Jun","Jul","Aug","Sep","Oct","Nov","Dec"},0),VALUE(LEFT(B2982,2)))))</f>
        <v>45804</v>
      </c>
    </row>
    <row r="2983" customFormat="false" ht="15" hidden="false" customHeight="false" outlineLevel="0" collapsed="false">
      <c r="A2983" s="7" t="s">
        <v>6077</v>
      </c>
      <c r="B2983" s="7" t="s">
        <v>2582</v>
      </c>
      <c r="C2983" s="7" t="s">
        <v>634</v>
      </c>
      <c r="D2983" s="7" t="s">
        <v>1000</v>
      </c>
      <c r="E2983" s="7" t="s">
        <v>104</v>
      </c>
      <c r="F2983" s="7" t="s">
        <v>86</v>
      </c>
      <c r="G2983" s="7" t="s">
        <v>105</v>
      </c>
      <c r="H2983" s="7" t="n">
        <v>2</v>
      </c>
      <c r="I2983" s="7" t="n">
        <v>160</v>
      </c>
      <c r="J2983" s="7" t="n">
        <v>0</v>
      </c>
      <c r="K2983" s="7" t="s">
        <v>93</v>
      </c>
      <c r="L2983" s="7" t="s">
        <v>194</v>
      </c>
      <c r="M2983" s="7" t="n">
        <v>38</v>
      </c>
      <c r="N2983" s="7" t="n">
        <v>3</v>
      </c>
      <c r="O2983" s="7" t="str">
        <f aca="false">A2983&amp;"|"&amp;B2983&amp;"|"&amp;C2983&amp;"|"&amp;D2983&amp;"|"&amp;E2983&amp;"|"&amp;F2983&amp;"|"&amp;G2983&amp;"|"&amp;H2983&amp;"|"&amp;I2983&amp;"|"&amp;J2983&amp;"|"&amp;K2983&amp;"|"&amp;L2983&amp;"|"&amp;M2983&amp;"|"&amp;N2983</f>
        <v>ORD11440|2025-07-06|12:59|C0776|Wok &amp; Roll|Bengaluru|Chinese|2|160|0|Credit Card|Delivered|38|3</v>
      </c>
      <c r="P2983" s="7" t="str">
        <f aca="false">IF(COUNTIF($O$2:O2983,O2983)&gt;1,"DUP","OK")</f>
        <v>OK</v>
      </c>
      <c r="Q2983" s="7" t="n">
        <f aca="false">COUNTBLANK(A2983:N2983)</f>
        <v>0</v>
      </c>
      <c r="R2983" s="7" t="n">
        <f aca="false">IF(A2983="",0,COUNTIFS($A$2:$A$3058,A2983,$P$2:$P$3058,"OK"))</f>
        <v>1</v>
      </c>
      <c r="S2983" s="7" t="str">
        <f aca="false">IF(OR(A2983="",P2983="DUP",R2983&lt;2),"",IF(Q2983=_xlfn.MINIFS($Q$2:$Q$3058,$A$2:$A$3058,A2983,$P$2:$P$3058,"OK"),"KEEP","DROP"))</f>
        <v/>
      </c>
      <c r="T2983" s="9" t="n">
        <f aca="false">IF(A2983="",1,0)</f>
        <v>0</v>
      </c>
      <c r="U2983" s="9" t="n">
        <f aca="false">IF(D2983="",1,0)</f>
        <v>0</v>
      </c>
      <c r="V2983" s="9" t="n">
        <f aca="false">IF(E2983="",1,0)</f>
        <v>0</v>
      </c>
      <c r="W2983" s="9" t="n">
        <f aca="false">IF(OR(H2983&lt;1,H2983&gt;10),1,0)</f>
        <v>0</v>
      </c>
      <c r="X2983" s="9" t="n">
        <f aca="false">IF(OR(I2983&lt;=0,I2983&gt;1500),1,0)</f>
        <v>0</v>
      </c>
      <c r="Y2983" s="9" t="n">
        <f aca="false">IF(J2983&gt;H2983*I2983,1,0)</f>
        <v>0</v>
      </c>
      <c r="Z2983" s="9" t="n">
        <f aca="false">IF(AND(N2983&lt;&gt;"",OR(N2983&lt;1,N2983&gt;5)),1,0)</f>
        <v>0</v>
      </c>
      <c r="AA2983" s="9" t="n">
        <f aca="false">IF(AND(M2983&lt;&gt;"",OR(M2983&lt;5,M2983&gt;180)),1,0)</f>
        <v>0</v>
      </c>
      <c r="AB2983" s="7" t="str">
        <f aca="false">IF(P2983="DUP","Exact duplicate row",IF(T2983=1,"Missing Order ID",IF(S2983="DROP","Duplicate Order ID (less complete row)",IF(U2983=1,"Missing Customer ID",IF(V2983=1,"Missing Restaurant name",IF(W2983=1,"Invalid/outlier quantity",IF(X2983=1,"Invalid/outlier unit price",IF(Y2983=1,"Discount greater than order value",""))))))))</f>
        <v/>
      </c>
      <c r="AC2983" s="7" t="str">
        <f aca="false">IF(AB2983="","KEEP","DROP")</f>
        <v>KEEP</v>
      </c>
      <c r="AD2983" s="7" t="str">
        <f aca="false">IF(TRIM(F2983)="",IFERROR(INDEX(Map_Tables!$I$4:$I$37,MATCH(TRIM(E2983),Map_Tables!$G$4:$G$37,0)),""),IFERROR(INDEX(Map_Tables!$B$4:$B$18,MATCH(TRIM(F2983),Map_Tables!$A$4:$A$18,0)),"CHECK"))</f>
        <v>Bengaluru</v>
      </c>
      <c r="AE2983" s="7" t="str">
        <f aca="false">IF(TRIM(E2983)="","",IFERROR(INDEX(Map_Tables!$H$4:$H$37,MATCH(TRIM(E2983),Map_Tables!$G$4:$G$37,0)),"CHECK"))</f>
        <v>Wok &amp; Roll</v>
      </c>
      <c r="AF2983" s="7" t="str">
        <f aca="false">IF(TRIM(K2983)="","Unknown",IFERROR(INDEX(Map_Tables!$E$4:$E$15,MATCH(TRIM(K2983),Map_Tables!$D$4:$D$15,0)),"CHECK"))</f>
        <v>Credit Card</v>
      </c>
      <c r="AG2983" s="7" t="str">
        <f aca="false">IF(LEFT(LOWER(TRIM(L2983)),6)="cancel","Cancelled","Delivered")</f>
        <v>Delivered</v>
      </c>
      <c r="AH2983" s="10" t="n">
        <f aca="false">IF(ISNUMBER(SEARCH("/",B2983)),DATE(VALUE(RIGHT(B2983,4)),VALUE(MID(B2983,4,2)),VALUE(LEFT(B2983,2))),IF(MID(B2983,5,1)="-",DATE(VALUE(LEFT(B2983,4)),VALUE(MID(B2983,6,2)),VALUE(RIGHT(B2983,2))),DATE(VALUE(RIGHT(B2983,4)),MATCH(MID(B2983,4,3),{"Jan","Feb","Mar","Apr","May","Jun","Jul","Aug","Sep","Oct","Nov","Dec"},0),VALUE(LEFT(B2983,2)))))</f>
        <v>45844</v>
      </c>
    </row>
    <row r="2984" customFormat="false" ht="15" hidden="false" customHeight="false" outlineLevel="0" collapsed="false">
      <c r="A2984" s="7" t="s">
        <v>2254</v>
      </c>
      <c r="B2984" s="7" t="s">
        <v>1167</v>
      </c>
      <c r="C2984" s="7" t="s">
        <v>2255</v>
      </c>
      <c r="D2984" s="7" t="s">
        <v>2256</v>
      </c>
      <c r="E2984" s="7" t="s">
        <v>138</v>
      </c>
      <c r="F2984" s="7" t="s">
        <v>110</v>
      </c>
      <c r="G2984" s="7" t="s">
        <v>139</v>
      </c>
      <c r="H2984" s="7" t="n">
        <v>3</v>
      </c>
      <c r="I2984" s="7" t="n">
        <v>195</v>
      </c>
      <c r="J2984" s="7" t="n">
        <v>0</v>
      </c>
      <c r="K2984" s="7" t="s">
        <v>102</v>
      </c>
      <c r="L2984" s="7" t="s">
        <v>194</v>
      </c>
      <c r="M2984" s="7" t="n">
        <v>31</v>
      </c>
      <c r="N2984" s="7" t="n">
        <v>3</v>
      </c>
      <c r="O2984" s="7" t="str">
        <f aca="false">A2984&amp;"|"&amp;B2984&amp;"|"&amp;C2984&amp;"|"&amp;D2984&amp;"|"&amp;E2984&amp;"|"&amp;F2984&amp;"|"&amp;G2984&amp;"|"&amp;H2984&amp;"|"&amp;I2984&amp;"|"&amp;J2984&amp;"|"&amp;K2984&amp;"|"&amp;L2984&amp;"|"&amp;M2984&amp;"|"&amp;N2984</f>
        <v>ORD12354|2025-10-23|18:55|C1066|Burger Barn|Delhi|Burgers|3|195|0|debit card|Delivered|31|3</v>
      </c>
      <c r="P2984" s="7" t="str">
        <f aca="false">IF(COUNTIF($O$2:O2984,O2984)&gt;1,"DUP","OK")</f>
        <v>DUP</v>
      </c>
      <c r="Q2984" s="7" t="n">
        <f aca="false">COUNTBLANK(A2984:N2984)</f>
        <v>0</v>
      </c>
      <c r="R2984" s="7" t="n">
        <f aca="false">IF(A2984="",0,COUNTIFS($A$2:$A$3058,A2984,$P$2:$P$3058,"OK"))</f>
        <v>1</v>
      </c>
      <c r="S2984" s="7" t="str">
        <f aca="false">IF(OR(A2984="",P2984="DUP",R2984&lt;2),"",IF(Q2984=_xlfn.MINIFS($Q$2:$Q$3058,$A$2:$A$3058,A2984,$P$2:$P$3058,"OK"),"KEEP","DROP"))</f>
        <v/>
      </c>
      <c r="T2984" s="9" t="n">
        <f aca="false">IF(A2984="",1,0)</f>
        <v>0</v>
      </c>
      <c r="U2984" s="9" t="n">
        <f aca="false">IF(D2984="",1,0)</f>
        <v>0</v>
      </c>
      <c r="V2984" s="9" t="n">
        <f aca="false">IF(E2984="",1,0)</f>
        <v>0</v>
      </c>
      <c r="W2984" s="9" t="n">
        <f aca="false">IF(OR(H2984&lt;1,H2984&gt;10),1,0)</f>
        <v>0</v>
      </c>
      <c r="X2984" s="9" t="n">
        <f aca="false">IF(OR(I2984&lt;=0,I2984&gt;1500),1,0)</f>
        <v>0</v>
      </c>
      <c r="Y2984" s="9" t="n">
        <f aca="false">IF(J2984&gt;H2984*I2984,1,0)</f>
        <v>0</v>
      </c>
      <c r="Z2984" s="9" t="n">
        <f aca="false">IF(AND(N2984&lt;&gt;"",OR(N2984&lt;1,N2984&gt;5)),1,0)</f>
        <v>0</v>
      </c>
      <c r="AA2984" s="9" t="n">
        <f aca="false">IF(AND(M2984&lt;&gt;"",OR(M2984&lt;5,M2984&gt;180)),1,0)</f>
        <v>0</v>
      </c>
      <c r="AB2984" s="7" t="str">
        <f aca="false">IF(P2984="DUP","Exact duplicate row",IF(T2984=1,"Missing Order ID",IF(S2984="DROP","Duplicate Order ID (less complete row)",IF(U2984=1,"Missing Customer ID",IF(V2984=1,"Missing Restaurant name",IF(W2984=1,"Invalid/outlier quantity",IF(X2984=1,"Invalid/outlier unit price",IF(Y2984=1,"Discount greater than order value",""))))))))</f>
        <v>Exact duplicate row</v>
      </c>
      <c r="AC2984" s="7" t="str">
        <f aca="false">IF(AB2984="","KEEP","DROP")</f>
        <v>DROP</v>
      </c>
      <c r="AD2984" s="7" t="str">
        <f aca="false">IF(TRIM(F2984)="",IFERROR(INDEX(Map_Tables!$I$4:$I$37,MATCH(TRIM(E2984),Map_Tables!$G$4:$G$37,0)),""),IFERROR(INDEX(Map_Tables!$B$4:$B$18,MATCH(TRIM(F2984),Map_Tables!$A$4:$A$18,0)),"CHECK"))</f>
        <v>Delhi</v>
      </c>
      <c r="AE2984" s="7" t="str">
        <f aca="false">IF(TRIM(E2984)="","",IFERROR(INDEX(Map_Tables!$H$4:$H$37,MATCH(TRIM(E2984),Map_Tables!$G$4:$G$37,0)),"CHECK"))</f>
        <v>Burger Barn</v>
      </c>
      <c r="AF2984" s="7" t="str">
        <f aca="false">IF(TRIM(K2984)="","Unknown",IFERROR(INDEX(Map_Tables!$E$4:$E$15,MATCH(TRIM(K2984),Map_Tables!$D$4:$D$15,0)),"CHECK"))</f>
        <v>Debit Card</v>
      </c>
      <c r="AG2984" s="7" t="str">
        <f aca="false">IF(LEFT(LOWER(TRIM(L2984)),6)="cancel","Cancelled","Delivered")</f>
        <v>Delivered</v>
      </c>
      <c r="AH2984" s="10" t="n">
        <f aca="false">IF(ISNUMBER(SEARCH("/",B2984)),DATE(VALUE(RIGHT(B2984,4)),VALUE(MID(B2984,4,2)),VALUE(LEFT(B2984,2))),IF(MID(B2984,5,1)="-",DATE(VALUE(LEFT(B2984,4)),VALUE(MID(B2984,6,2)),VALUE(RIGHT(B2984,2))),DATE(VALUE(RIGHT(B2984,4)),MATCH(MID(B2984,4,3),{"Jan","Feb","Mar","Apr","May","Jun","Jul","Aug","Sep","Oct","Nov","Dec"},0),VALUE(LEFT(B2984,2)))))</f>
        <v>45953</v>
      </c>
    </row>
    <row r="2985" customFormat="false" ht="15" hidden="false" customHeight="false" outlineLevel="0" collapsed="false">
      <c r="A2985" s="7" t="s">
        <v>6078</v>
      </c>
      <c r="B2985" s="7" t="s">
        <v>226</v>
      </c>
      <c r="C2985" s="7" t="s">
        <v>4215</v>
      </c>
      <c r="D2985" s="7" t="s">
        <v>2043</v>
      </c>
      <c r="E2985" s="7" t="s">
        <v>130</v>
      </c>
      <c r="F2985" s="7" t="s">
        <v>110</v>
      </c>
      <c r="G2985" s="7" t="s">
        <v>90</v>
      </c>
      <c r="H2985" s="7" t="n">
        <v>3</v>
      </c>
      <c r="I2985" s="7" t="n">
        <v>265</v>
      </c>
      <c r="J2985" s="7" t="n">
        <v>40</v>
      </c>
      <c r="K2985" s="7" t="s">
        <v>112</v>
      </c>
      <c r="L2985" s="7" t="s">
        <v>194</v>
      </c>
      <c r="M2985" s="7" t="n">
        <v>42</v>
      </c>
      <c r="N2985" s="7" t="n">
        <v>4</v>
      </c>
      <c r="O2985" s="7" t="str">
        <f aca="false">A2985&amp;"|"&amp;B2985&amp;"|"&amp;C2985&amp;"|"&amp;D2985&amp;"|"&amp;E2985&amp;"|"&amp;F2985&amp;"|"&amp;G2985&amp;"|"&amp;H2985&amp;"|"&amp;I2985&amp;"|"&amp;J2985&amp;"|"&amp;K2985&amp;"|"&amp;L2985&amp;"|"&amp;M2985&amp;"|"&amp;N2985</f>
        <v>ORD12002|2025-09-16|23:45|C0605|Tandoor Tales|Delhi|North Indian|3|265|40|Cash on Delivery|Delivered|42|4</v>
      </c>
      <c r="P2985" s="7" t="str">
        <f aca="false">IF(COUNTIF($O$2:O2985,O2985)&gt;1,"DUP","OK")</f>
        <v>OK</v>
      </c>
      <c r="Q2985" s="7" t="n">
        <f aca="false">COUNTBLANK(A2985:N2985)</f>
        <v>0</v>
      </c>
      <c r="R2985" s="7" t="n">
        <f aca="false">IF(A2985="",0,COUNTIFS($A$2:$A$3058,A2985,$P$2:$P$3058,"OK"))</f>
        <v>1</v>
      </c>
      <c r="S2985" s="7" t="str">
        <f aca="false">IF(OR(A2985="",P2985="DUP",R2985&lt;2),"",IF(Q2985=_xlfn.MINIFS($Q$2:$Q$3058,$A$2:$A$3058,A2985,$P$2:$P$3058,"OK"),"KEEP","DROP"))</f>
        <v/>
      </c>
      <c r="T2985" s="9" t="n">
        <f aca="false">IF(A2985="",1,0)</f>
        <v>0</v>
      </c>
      <c r="U2985" s="9" t="n">
        <f aca="false">IF(D2985="",1,0)</f>
        <v>0</v>
      </c>
      <c r="V2985" s="9" t="n">
        <f aca="false">IF(E2985="",1,0)</f>
        <v>0</v>
      </c>
      <c r="W2985" s="9" t="n">
        <f aca="false">IF(OR(H2985&lt;1,H2985&gt;10),1,0)</f>
        <v>0</v>
      </c>
      <c r="X2985" s="9" t="n">
        <f aca="false">IF(OR(I2985&lt;=0,I2985&gt;1500),1,0)</f>
        <v>0</v>
      </c>
      <c r="Y2985" s="9" t="n">
        <f aca="false">IF(J2985&gt;H2985*I2985,1,0)</f>
        <v>0</v>
      </c>
      <c r="Z2985" s="9" t="n">
        <f aca="false">IF(AND(N2985&lt;&gt;"",OR(N2985&lt;1,N2985&gt;5)),1,0)</f>
        <v>0</v>
      </c>
      <c r="AA2985" s="9" t="n">
        <f aca="false">IF(AND(M2985&lt;&gt;"",OR(M2985&lt;5,M2985&gt;180)),1,0)</f>
        <v>0</v>
      </c>
      <c r="AB2985" s="7" t="str">
        <f aca="false">IF(P2985="DUP","Exact duplicate row",IF(T2985=1,"Missing Order ID",IF(S2985="DROP","Duplicate Order ID (less complete row)",IF(U2985=1,"Missing Customer ID",IF(V2985=1,"Missing Restaurant name",IF(W2985=1,"Invalid/outlier quantity",IF(X2985=1,"Invalid/outlier unit price",IF(Y2985=1,"Discount greater than order value",""))))))))</f>
        <v/>
      </c>
      <c r="AC2985" s="7" t="str">
        <f aca="false">IF(AB2985="","KEEP","DROP")</f>
        <v>KEEP</v>
      </c>
      <c r="AD2985" s="7" t="str">
        <f aca="false">IF(TRIM(F2985)="",IFERROR(INDEX(Map_Tables!$I$4:$I$37,MATCH(TRIM(E2985),Map_Tables!$G$4:$G$37,0)),""),IFERROR(INDEX(Map_Tables!$B$4:$B$18,MATCH(TRIM(F2985),Map_Tables!$A$4:$A$18,0)),"CHECK"))</f>
        <v>Delhi</v>
      </c>
      <c r="AE2985" s="7" t="str">
        <f aca="false">IF(TRIM(E2985)="","",IFERROR(INDEX(Map_Tables!$H$4:$H$37,MATCH(TRIM(E2985),Map_Tables!$G$4:$G$37,0)),"CHECK"))</f>
        <v>Tandoor Tales</v>
      </c>
      <c r="AF2985" s="7" t="str">
        <f aca="false">IF(TRIM(K2985)="","Unknown",IFERROR(INDEX(Map_Tables!$E$4:$E$15,MATCH(TRIM(K2985),Map_Tables!$D$4:$D$15,0)),"CHECK"))</f>
        <v>Cash on Delivery</v>
      </c>
      <c r="AG2985" s="7" t="str">
        <f aca="false">IF(LEFT(LOWER(TRIM(L2985)),6)="cancel","Cancelled","Delivered")</f>
        <v>Delivered</v>
      </c>
      <c r="AH2985" s="10" t="n">
        <f aca="false">IF(ISNUMBER(SEARCH("/",B2985)),DATE(VALUE(RIGHT(B2985,4)),VALUE(MID(B2985,4,2)),VALUE(LEFT(B2985,2))),IF(MID(B2985,5,1)="-",DATE(VALUE(LEFT(B2985,4)),VALUE(MID(B2985,6,2)),VALUE(RIGHT(B2985,2))),DATE(VALUE(RIGHT(B2985,4)),MATCH(MID(B2985,4,3),{"Jan","Feb","Mar","Apr","May","Jun","Jul","Aug","Sep","Oct","Nov","Dec"},0),VALUE(LEFT(B2985,2)))))</f>
        <v>45916</v>
      </c>
    </row>
    <row r="2986" customFormat="false" ht="15" hidden="false" customHeight="false" outlineLevel="0" collapsed="false">
      <c r="A2986" s="7" t="s">
        <v>6079</v>
      </c>
      <c r="B2986" s="7" t="s">
        <v>6080</v>
      </c>
      <c r="C2986" s="7" t="s">
        <v>2266</v>
      </c>
      <c r="D2986" s="7" t="s">
        <v>5361</v>
      </c>
      <c r="E2986" s="7" t="s">
        <v>98</v>
      </c>
      <c r="F2986" s="7" t="s">
        <v>86</v>
      </c>
      <c r="G2986" s="7" t="s">
        <v>99</v>
      </c>
      <c r="H2986" s="7" t="n">
        <v>3</v>
      </c>
      <c r="I2986" s="7" t="n">
        <v>280</v>
      </c>
      <c r="J2986" s="7" t="n">
        <v>0</v>
      </c>
      <c r="K2986" s="7" t="s">
        <v>88</v>
      </c>
      <c r="L2986" s="7" t="s">
        <v>194</v>
      </c>
      <c r="M2986" s="7" t="n">
        <v>29</v>
      </c>
      <c r="N2986" s="7" t="n">
        <v>4</v>
      </c>
      <c r="O2986" s="7" t="str">
        <f aca="false">A2986&amp;"|"&amp;B2986&amp;"|"&amp;C2986&amp;"|"&amp;D2986&amp;"|"&amp;E2986&amp;"|"&amp;F2986&amp;"|"&amp;G2986&amp;"|"&amp;H2986&amp;"|"&amp;I2986&amp;"|"&amp;J2986&amp;"|"&amp;K2986&amp;"|"&amp;L2986&amp;"|"&amp;M2986&amp;"|"&amp;N2986</f>
        <v>ORD10990|06/05/2025|11:45|C0896|Nawabi Biryani House|Bengaluru|Biryani|3|280|0|UPI|Delivered|29|4</v>
      </c>
      <c r="P2986" s="7" t="str">
        <f aca="false">IF(COUNTIF($O$2:O2986,O2986)&gt;1,"DUP","OK")</f>
        <v>OK</v>
      </c>
      <c r="Q2986" s="7" t="n">
        <f aca="false">COUNTBLANK(A2986:N2986)</f>
        <v>0</v>
      </c>
      <c r="R2986" s="7" t="n">
        <f aca="false">IF(A2986="",0,COUNTIFS($A$2:$A$3058,A2986,$P$2:$P$3058,"OK"))</f>
        <v>1</v>
      </c>
      <c r="S2986" s="7" t="str">
        <f aca="false">IF(OR(A2986="",P2986="DUP",R2986&lt;2),"",IF(Q2986=_xlfn.MINIFS($Q$2:$Q$3058,$A$2:$A$3058,A2986,$P$2:$P$3058,"OK"),"KEEP","DROP"))</f>
        <v/>
      </c>
      <c r="T2986" s="9" t="n">
        <f aca="false">IF(A2986="",1,0)</f>
        <v>0</v>
      </c>
      <c r="U2986" s="9" t="n">
        <f aca="false">IF(D2986="",1,0)</f>
        <v>0</v>
      </c>
      <c r="V2986" s="9" t="n">
        <f aca="false">IF(E2986="",1,0)</f>
        <v>0</v>
      </c>
      <c r="W2986" s="9" t="n">
        <f aca="false">IF(OR(H2986&lt;1,H2986&gt;10),1,0)</f>
        <v>0</v>
      </c>
      <c r="X2986" s="9" t="n">
        <f aca="false">IF(OR(I2986&lt;=0,I2986&gt;1500),1,0)</f>
        <v>0</v>
      </c>
      <c r="Y2986" s="9" t="n">
        <f aca="false">IF(J2986&gt;H2986*I2986,1,0)</f>
        <v>0</v>
      </c>
      <c r="Z2986" s="9" t="n">
        <f aca="false">IF(AND(N2986&lt;&gt;"",OR(N2986&lt;1,N2986&gt;5)),1,0)</f>
        <v>0</v>
      </c>
      <c r="AA2986" s="9" t="n">
        <f aca="false">IF(AND(M2986&lt;&gt;"",OR(M2986&lt;5,M2986&gt;180)),1,0)</f>
        <v>0</v>
      </c>
      <c r="AB2986" s="7" t="str">
        <f aca="false">IF(P2986="DUP","Exact duplicate row",IF(T2986=1,"Missing Order ID",IF(S2986="DROP","Duplicate Order ID (less complete row)",IF(U2986=1,"Missing Customer ID",IF(V2986=1,"Missing Restaurant name",IF(W2986=1,"Invalid/outlier quantity",IF(X2986=1,"Invalid/outlier unit price",IF(Y2986=1,"Discount greater than order value",""))))))))</f>
        <v/>
      </c>
      <c r="AC2986" s="7" t="str">
        <f aca="false">IF(AB2986="","KEEP","DROP")</f>
        <v>KEEP</v>
      </c>
      <c r="AD2986" s="7" t="str">
        <f aca="false">IF(TRIM(F2986)="",IFERROR(INDEX(Map_Tables!$I$4:$I$37,MATCH(TRIM(E2986),Map_Tables!$G$4:$G$37,0)),""),IFERROR(INDEX(Map_Tables!$B$4:$B$18,MATCH(TRIM(F2986),Map_Tables!$A$4:$A$18,0)),"CHECK"))</f>
        <v>Bengaluru</v>
      </c>
      <c r="AE2986" s="7" t="str">
        <f aca="false">IF(TRIM(E2986)="","",IFERROR(INDEX(Map_Tables!$H$4:$H$37,MATCH(TRIM(E2986),Map_Tables!$G$4:$G$37,0)),"CHECK"))</f>
        <v>Nawabi Biryani House</v>
      </c>
      <c r="AF2986" s="7" t="str">
        <f aca="false">IF(TRIM(K2986)="","Unknown",IFERROR(INDEX(Map_Tables!$E$4:$E$15,MATCH(TRIM(K2986),Map_Tables!$D$4:$D$15,0)),"CHECK"))</f>
        <v>UPI</v>
      </c>
      <c r="AG2986" s="7" t="str">
        <f aca="false">IF(LEFT(LOWER(TRIM(L2986)),6)="cancel","Cancelled","Delivered")</f>
        <v>Delivered</v>
      </c>
      <c r="AH2986" s="10" t="n">
        <f aca="false">IF(ISNUMBER(SEARCH("/",B2986)),DATE(VALUE(RIGHT(B2986,4)),VALUE(MID(B2986,4,2)),VALUE(LEFT(B2986,2))),IF(MID(B2986,5,1)="-",DATE(VALUE(LEFT(B2986,4)),VALUE(MID(B2986,6,2)),VALUE(RIGHT(B2986,2))),DATE(VALUE(RIGHT(B2986,4)),MATCH(MID(B2986,4,3),{"Jan","Feb","Mar","Apr","May","Jun","Jul","Aug","Sep","Oct","Nov","Dec"},0),VALUE(LEFT(B2986,2)))))</f>
        <v>45783</v>
      </c>
    </row>
    <row r="2987" customFormat="false" ht="15" hidden="false" customHeight="false" outlineLevel="0" collapsed="false">
      <c r="A2987" s="7" t="s">
        <v>6081</v>
      </c>
      <c r="B2987" s="7" t="s">
        <v>1657</v>
      </c>
      <c r="C2987" s="7" t="s">
        <v>2853</v>
      </c>
      <c r="D2987" s="7" t="s">
        <v>6082</v>
      </c>
      <c r="E2987" s="7" t="s">
        <v>113</v>
      </c>
      <c r="F2987" s="7" t="s">
        <v>101</v>
      </c>
      <c r="G2987" s="7" t="s">
        <v>90</v>
      </c>
      <c r="H2987" s="7" t="n">
        <v>2</v>
      </c>
      <c r="I2987" s="7" t="n">
        <v>240</v>
      </c>
      <c r="J2987" s="7" t="n">
        <v>40</v>
      </c>
      <c r="K2987" s="7" t="s">
        <v>88</v>
      </c>
      <c r="L2987" s="7" t="s">
        <v>194</v>
      </c>
      <c r="M2987" s="7" t="n">
        <v>51</v>
      </c>
      <c r="N2987" s="7" t="n">
        <v>4</v>
      </c>
      <c r="O2987" s="7" t="str">
        <f aca="false">A2987&amp;"|"&amp;B2987&amp;"|"&amp;C2987&amp;"|"&amp;D2987&amp;"|"&amp;E2987&amp;"|"&amp;F2987&amp;"|"&amp;G2987&amp;"|"&amp;H2987&amp;"|"&amp;I2987&amp;"|"&amp;J2987&amp;"|"&amp;K2987&amp;"|"&amp;L2987&amp;"|"&amp;M2987&amp;"|"&amp;N2987</f>
        <v>ORD11866|2025-08-31|20:14|C0871|Curry Leaf Kitchen|Mumbai|North Indian|2|240|40|UPI|Delivered|51|4</v>
      </c>
      <c r="P2987" s="7" t="str">
        <f aca="false">IF(COUNTIF($O$2:O2987,O2987)&gt;1,"DUP","OK")</f>
        <v>OK</v>
      </c>
      <c r="Q2987" s="7" t="n">
        <f aca="false">COUNTBLANK(A2987:N2987)</f>
        <v>0</v>
      </c>
      <c r="R2987" s="7" t="n">
        <f aca="false">IF(A2987="",0,COUNTIFS($A$2:$A$3058,A2987,$P$2:$P$3058,"OK"))</f>
        <v>1</v>
      </c>
      <c r="S2987" s="7" t="str">
        <f aca="false">IF(OR(A2987="",P2987="DUP",R2987&lt;2),"",IF(Q2987=_xlfn.MINIFS($Q$2:$Q$3058,$A$2:$A$3058,A2987,$P$2:$P$3058,"OK"),"KEEP","DROP"))</f>
        <v/>
      </c>
      <c r="T2987" s="9" t="n">
        <f aca="false">IF(A2987="",1,0)</f>
        <v>0</v>
      </c>
      <c r="U2987" s="9" t="n">
        <f aca="false">IF(D2987="",1,0)</f>
        <v>0</v>
      </c>
      <c r="V2987" s="9" t="n">
        <f aca="false">IF(E2987="",1,0)</f>
        <v>0</v>
      </c>
      <c r="W2987" s="9" t="n">
        <f aca="false">IF(OR(H2987&lt;1,H2987&gt;10),1,0)</f>
        <v>0</v>
      </c>
      <c r="X2987" s="9" t="n">
        <f aca="false">IF(OR(I2987&lt;=0,I2987&gt;1500),1,0)</f>
        <v>0</v>
      </c>
      <c r="Y2987" s="9" t="n">
        <f aca="false">IF(J2987&gt;H2987*I2987,1,0)</f>
        <v>0</v>
      </c>
      <c r="Z2987" s="9" t="n">
        <f aca="false">IF(AND(N2987&lt;&gt;"",OR(N2987&lt;1,N2987&gt;5)),1,0)</f>
        <v>0</v>
      </c>
      <c r="AA2987" s="9" t="n">
        <f aca="false">IF(AND(M2987&lt;&gt;"",OR(M2987&lt;5,M2987&gt;180)),1,0)</f>
        <v>0</v>
      </c>
      <c r="AB2987" s="7" t="str">
        <f aca="false">IF(P2987="DUP","Exact duplicate row",IF(T2987=1,"Missing Order ID",IF(S2987="DROP","Duplicate Order ID (less complete row)",IF(U2987=1,"Missing Customer ID",IF(V2987=1,"Missing Restaurant name",IF(W2987=1,"Invalid/outlier quantity",IF(X2987=1,"Invalid/outlier unit price",IF(Y2987=1,"Discount greater than order value",""))))))))</f>
        <v/>
      </c>
      <c r="AC2987" s="7" t="str">
        <f aca="false">IF(AB2987="","KEEP","DROP")</f>
        <v>KEEP</v>
      </c>
      <c r="AD2987" s="7" t="str">
        <f aca="false">IF(TRIM(F2987)="",IFERROR(INDEX(Map_Tables!$I$4:$I$37,MATCH(TRIM(E2987),Map_Tables!$G$4:$G$37,0)),""),IFERROR(INDEX(Map_Tables!$B$4:$B$18,MATCH(TRIM(F2987),Map_Tables!$A$4:$A$18,0)),"CHECK"))</f>
        <v>Mumbai</v>
      </c>
      <c r="AE2987" s="7" t="str">
        <f aca="false">IF(TRIM(E2987)="","",IFERROR(INDEX(Map_Tables!$H$4:$H$37,MATCH(TRIM(E2987),Map_Tables!$G$4:$G$37,0)),"CHECK"))</f>
        <v>Curry Leaf Kitchen</v>
      </c>
      <c r="AF2987" s="7" t="str">
        <f aca="false">IF(TRIM(K2987)="","Unknown",IFERROR(INDEX(Map_Tables!$E$4:$E$15,MATCH(TRIM(K2987),Map_Tables!$D$4:$D$15,0)),"CHECK"))</f>
        <v>UPI</v>
      </c>
      <c r="AG2987" s="7" t="str">
        <f aca="false">IF(LEFT(LOWER(TRIM(L2987)),6)="cancel","Cancelled","Delivered")</f>
        <v>Delivered</v>
      </c>
      <c r="AH2987" s="10" t="n">
        <f aca="false">IF(ISNUMBER(SEARCH("/",B2987)),DATE(VALUE(RIGHT(B2987,4)),VALUE(MID(B2987,4,2)),VALUE(LEFT(B2987,2))),IF(MID(B2987,5,1)="-",DATE(VALUE(LEFT(B2987,4)),VALUE(MID(B2987,6,2)),VALUE(RIGHT(B2987,2))),DATE(VALUE(RIGHT(B2987,4)),MATCH(MID(B2987,4,3),{"Jan","Feb","Mar","Apr","May","Jun","Jul","Aug","Sep","Oct","Nov","Dec"},0),VALUE(LEFT(B2987,2)))))</f>
        <v>45900</v>
      </c>
    </row>
    <row r="2988" customFormat="false" ht="15" hidden="false" customHeight="false" outlineLevel="0" collapsed="false">
      <c r="A2988" s="7" t="s">
        <v>6083</v>
      </c>
      <c r="B2988" s="7" t="s">
        <v>222</v>
      </c>
      <c r="C2988" s="7" t="s">
        <v>6084</v>
      </c>
      <c r="D2988" s="7" t="s">
        <v>2206</v>
      </c>
      <c r="E2988" s="7" t="s">
        <v>104</v>
      </c>
      <c r="F2988" s="7" t="s">
        <v>85</v>
      </c>
      <c r="G2988" s="7" t="s">
        <v>105</v>
      </c>
      <c r="H2988" s="7" t="n">
        <v>2</v>
      </c>
      <c r="I2988" s="7" t="n">
        <v>250</v>
      </c>
      <c r="J2988" s="7" t="n">
        <v>0</v>
      </c>
      <c r="K2988" s="7" t="s">
        <v>88</v>
      </c>
      <c r="L2988" s="7" t="s">
        <v>194</v>
      </c>
      <c r="M2988" s="7" t="n">
        <v>29</v>
      </c>
      <c r="N2988" s="7" t="n">
        <v>5</v>
      </c>
      <c r="O2988" s="7" t="str">
        <f aca="false">A2988&amp;"|"&amp;B2988&amp;"|"&amp;C2988&amp;"|"&amp;D2988&amp;"|"&amp;E2988&amp;"|"&amp;F2988&amp;"|"&amp;G2988&amp;"|"&amp;H2988&amp;"|"&amp;I2988&amp;"|"&amp;J2988&amp;"|"&amp;K2988&amp;"|"&amp;L2988&amp;"|"&amp;M2988&amp;"|"&amp;N2988</f>
        <v>ORD12790|2025-12-07|15:27|C0960|Wok &amp; Roll|bangalore|Chinese|2|250|0|UPI|Delivered|29|5</v>
      </c>
      <c r="P2988" s="7" t="str">
        <f aca="false">IF(COUNTIF($O$2:O2988,O2988)&gt;1,"DUP","OK")</f>
        <v>OK</v>
      </c>
      <c r="Q2988" s="7" t="n">
        <f aca="false">COUNTBLANK(A2988:N2988)</f>
        <v>0</v>
      </c>
      <c r="R2988" s="7" t="n">
        <f aca="false">IF(A2988="",0,COUNTIFS($A$2:$A$3058,A2988,$P$2:$P$3058,"OK"))</f>
        <v>1</v>
      </c>
      <c r="S2988" s="7" t="str">
        <f aca="false">IF(OR(A2988="",P2988="DUP",R2988&lt;2),"",IF(Q2988=_xlfn.MINIFS($Q$2:$Q$3058,$A$2:$A$3058,A2988,$P$2:$P$3058,"OK"),"KEEP","DROP"))</f>
        <v/>
      </c>
      <c r="T2988" s="9" t="n">
        <f aca="false">IF(A2988="",1,0)</f>
        <v>0</v>
      </c>
      <c r="U2988" s="9" t="n">
        <f aca="false">IF(D2988="",1,0)</f>
        <v>0</v>
      </c>
      <c r="V2988" s="9" t="n">
        <f aca="false">IF(E2988="",1,0)</f>
        <v>0</v>
      </c>
      <c r="W2988" s="9" t="n">
        <f aca="false">IF(OR(H2988&lt;1,H2988&gt;10),1,0)</f>
        <v>0</v>
      </c>
      <c r="X2988" s="9" t="n">
        <f aca="false">IF(OR(I2988&lt;=0,I2988&gt;1500),1,0)</f>
        <v>0</v>
      </c>
      <c r="Y2988" s="9" t="n">
        <f aca="false">IF(J2988&gt;H2988*I2988,1,0)</f>
        <v>0</v>
      </c>
      <c r="Z2988" s="9" t="n">
        <f aca="false">IF(AND(N2988&lt;&gt;"",OR(N2988&lt;1,N2988&gt;5)),1,0)</f>
        <v>0</v>
      </c>
      <c r="AA2988" s="9" t="n">
        <f aca="false">IF(AND(M2988&lt;&gt;"",OR(M2988&lt;5,M2988&gt;180)),1,0)</f>
        <v>0</v>
      </c>
      <c r="AB2988" s="7" t="str">
        <f aca="false">IF(P2988="DUP","Exact duplicate row",IF(T2988=1,"Missing Order ID",IF(S2988="DROP","Duplicate Order ID (less complete row)",IF(U2988=1,"Missing Customer ID",IF(V2988=1,"Missing Restaurant name",IF(W2988=1,"Invalid/outlier quantity",IF(X2988=1,"Invalid/outlier unit price",IF(Y2988=1,"Discount greater than order value",""))))))))</f>
        <v/>
      </c>
      <c r="AC2988" s="7" t="str">
        <f aca="false">IF(AB2988="","KEEP","DROP")</f>
        <v>KEEP</v>
      </c>
      <c r="AD2988" s="7" t="str">
        <f aca="false">IF(TRIM(F2988)="",IFERROR(INDEX(Map_Tables!$I$4:$I$37,MATCH(TRIM(E2988),Map_Tables!$G$4:$G$37,0)),""),IFERROR(INDEX(Map_Tables!$B$4:$B$18,MATCH(TRIM(F2988),Map_Tables!$A$4:$A$18,0)),"CHECK"))</f>
        <v>Bengaluru</v>
      </c>
      <c r="AE2988" s="7" t="str">
        <f aca="false">IF(TRIM(E2988)="","",IFERROR(INDEX(Map_Tables!$H$4:$H$37,MATCH(TRIM(E2988),Map_Tables!$G$4:$G$37,0)),"CHECK"))</f>
        <v>Wok &amp; Roll</v>
      </c>
      <c r="AF2988" s="7" t="str">
        <f aca="false">IF(TRIM(K2988)="","Unknown",IFERROR(INDEX(Map_Tables!$E$4:$E$15,MATCH(TRIM(K2988),Map_Tables!$D$4:$D$15,0)),"CHECK"))</f>
        <v>UPI</v>
      </c>
      <c r="AG2988" s="7" t="str">
        <f aca="false">IF(LEFT(LOWER(TRIM(L2988)),6)="cancel","Cancelled","Delivered")</f>
        <v>Delivered</v>
      </c>
      <c r="AH2988" s="10" t="n">
        <f aca="false">IF(ISNUMBER(SEARCH("/",B2988)),DATE(VALUE(RIGHT(B2988,4)),VALUE(MID(B2988,4,2)),VALUE(LEFT(B2988,2))),IF(MID(B2988,5,1)="-",DATE(VALUE(LEFT(B2988,4)),VALUE(MID(B2988,6,2)),VALUE(RIGHT(B2988,2))),DATE(VALUE(RIGHT(B2988,4)),MATCH(MID(B2988,4,3),{"Jan","Feb","Mar","Apr","May","Jun","Jul","Aug","Sep","Oct","Nov","Dec"},0),VALUE(LEFT(B2988,2)))))</f>
        <v>45998</v>
      </c>
    </row>
    <row r="2989" customFormat="false" ht="15" hidden="false" customHeight="false" outlineLevel="0" collapsed="false">
      <c r="A2989" s="7" t="s">
        <v>6085</v>
      </c>
      <c r="B2989" s="7" t="s">
        <v>314</v>
      </c>
      <c r="C2989" s="7" t="s">
        <v>534</v>
      </c>
      <c r="D2989" s="7" t="s">
        <v>4339</v>
      </c>
      <c r="E2989" s="7" t="s">
        <v>151</v>
      </c>
      <c r="F2989" s="7" t="s">
        <v>128</v>
      </c>
      <c r="G2989" s="7" t="s">
        <v>95</v>
      </c>
      <c r="H2989" s="7" t="n">
        <v>2</v>
      </c>
      <c r="I2989" s="7" t="n">
        <v>175</v>
      </c>
      <c r="J2989" s="7" t="n">
        <v>0</v>
      </c>
      <c r="K2989" s="7" t="s">
        <v>103</v>
      </c>
      <c r="L2989" s="7" t="s">
        <v>194</v>
      </c>
      <c r="M2989" s="7" t="n">
        <v>32</v>
      </c>
      <c r="N2989" s="7" t="n">
        <v>3</v>
      </c>
      <c r="O2989" s="7" t="str">
        <f aca="false">A2989&amp;"|"&amp;B2989&amp;"|"&amp;C2989&amp;"|"&amp;D2989&amp;"|"&amp;E2989&amp;"|"&amp;F2989&amp;"|"&amp;G2989&amp;"|"&amp;H2989&amp;"|"&amp;I2989&amp;"|"&amp;J2989&amp;"|"&amp;K2989&amp;"|"&amp;L2989&amp;"|"&amp;M2989&amp;"|"&amp;N2989</f>
        <v>ORD11311|19/06/2025|11:02|C1468|Chettinad House|Chennai|South Indian|2|175|0|Debit Card|Delivered|32|3</v>
      </c>
      <c r="P2989" s="7" t="str">
        <f aca="false">IF(COUNTIF($O$2:O2989,O2989)&gt;1,"DUP","OK")</f>
        <v>OK</v>
      </c>
      <c r="Q2989" s="7" t="n">
        <f aca="false">COUNTBLANK(A2989:N2989)</f>
        <v>0</v>
      </c>
      <c r="R2989" s="7" t="n">
        <f aca="false">IF(A2989="",0,COUNTIFS($A$2:$A$3058,A2989,$P$2:$P$3058,"OK"))</f>
        <v>1</v>
      </c>
      <c r="S2989" s="7" t="str">
        <f aca="false">IF(OR(A2989="",P2989="DUP",R2989&lt;2),"",IF(Q2989=_xlfn.MINIFS($Q$2:$Q$3058,$A$2:$A$3058,A2989,$P$2:$P$3058,"OK"),"KEEP","DROP"))</f>
        <v/>
      </c>
      <c r="T2989" s="9" t="n">
        <f aca="false">IF(A2989="",1,0)</f>
        <v>0</v>
      </c>
      <c r="U2989" s="9" t="n">
        <f aca="false">IF(D2989="",1,0)</f>
        <v>0</v>
      </c>
      <c r="V2989" s="9" t="n">
        <f aca="false">IF(E2989="",1,0)</f>
        <v>0</v>
      </c>
      <c r="W2989" s="9" t="n">
        <f aca="false">IF(OR(H2989&lt;1,H2989&gt;10),1,0)</f>
        <v>0</v>
      </c>
      <c r="X2989" s="9" t="n">
        <f aca="false">IF(OR(I2989&lt;=0,I2989&gt;1500),1,0)</f>
        <v>0</v>
      </c>
      <c r="Y2989" s="9" t="n">
        <f aca="false">IF(J2989&gt;H2989*I2989,1,0)</f>
        <v>0</v>
      </c>
      <c r="Z2989" s="9" t="n">
        <f aca="false">IF(AND(N2989&lt;&gt;"",OR(N2989&lt;1,N2989&gt;5)),1,0)</f>
        <v>0</v>
      </c>
      <c r="AA2989" s="9" t="n">
        <f aca="false">IF(AND(M2989&lt;&gt;"",OR(M2989&lt;5,M2989&gt;180)),1,0)</f>
        <v>0</v>
      </c>
      <c r="AB2989" s="7" t="str">
        <f aca="false">IF(P2989="DUP","Exact duplicate row",IF(T2989=1,"Missing Order ID",IF(S2989="DROP","Duplicate Order ID (less complete row)",IF(U2989=1,"Missing Customer ID",IF(V2989=1,"Missing Restaurant name",IF(W2989=1,"Invalid/outlier quantity",IF(X2989=1,"Invalid/outlier unit price",IF(Y2989=1,"Discount greater than order value",""))))))))</f>
        <v/>
      </c>
      <c r="AC2989" s="7" t="str">
        <f aca="false">IF(AB2989="","KEEP","DROP")</f>
        <v>KEEP</v>
      </c>
      <c r="AD2989" s="7" t="str">
        <f aca="false">IF(TRIM(F2989)="",IFERROR(INDEX(Map_Tables!$I$4:$I$37,MATCH(TRIM(E2989),Map_Tables!$G$4:$G$37,0)),""),IFERROR(INDEX(Map_Tables!$B$4:$B$18,MATCH(TRIM(F2989),Map_Tables!$A$4:$A$18,0)),"CHECK"))</f>
        <v>Chennai</v>
      </c>
      <c r="AE2989" s="7" t="str">
        <f aca="false">IF(TRIM(E2989)="","",IFERROR(INDEX(Map_Tables!$H$4:$H$37,MATCH(TRIM(E2989),Map_Tables!$G$4:$G$37,0)),"CHECK"))</f>
        <v>Chettinad House</v>
      </c>
      <c r="AF2989" s="7" t="str">
        <f aca="false">IF(TRIM(K2989)="","Unknown",IFERROR(INDEX(Map_Tables!$E$4:$E$15,MATCH(TRIM(K2989),Map_Tables!$D$4:$D$15,0)),"CHECK"))</f>
        <v>Debit Card</v>
      </c>
      <c r="AG2989" s="7" t="str">
        <f aca="false">IF(LEFT(LOWER(TRIM(L2989)),6)="cancel","Cancelled","Delivered")</f>
        <v>Delivered</v>
      </c>
      <c r="AH2989" s="10" t="n">
        <f aca="false">IF(ISNUMBER(SEARCH("/",B2989)),DATE(VALUE(RIGHT(B2989,4)),VALUE(MID(B2989,4,2)),VALUE(LEFT(B2989,2))),IF(MID(B2989,5,1)="-",DATE(VALUE(LEFT(B2989,4)),VALUE(MID(B2989,6,2)),VALUE(RIGHT(B2989,2))),DATE(VALUE(RIGHT(B2989,4)),MATCH(MID(B2989,4,3),{"Jan","Feb","Mar","Apr","May","Jun","Jul","Aug","Sep","Oct","Nov","Dec"},0),VALUE(LEFT(B2989,2)))))</f>
        <v>45827</v>
      </c>
    </row>
    <row r="2990" customFormat="false" ht="15" hidden="false" customHeight="false" outlineLevel="0" collapsed="false">
      <c r="A2990" s="7" t="s">
        <v>6086</v>
      </c>
      <c r="B2990" s="7" t="s">
        <v>958</v>
      </c>
      <c r="C2990" s="7" t="s">
        <v>1168</v>
      </c>
      <c r="D2990" s="7" t="s">
        <v>1272</v>
      </c>
      <c r="E2990" s="7" t="s">
        <v>138</v>
      </c>
      <c r="F2990" s="7" t="s">
        <v>110</v>
      </c>
      <c r="G2990" s="7" t="s">
        <v>139</v>
      </c>
      <c r="H2990" s="7" t="n">
        <v>2</v>
      </c>
      <c r="I2990" s="7" t="n">
        <v>195</v>
      </c>
      <c r="J2990" s="7" t="n">
        <v>30</v>
      </c>
      <c r="K2990" s="7" t="s">
        <v>92</v>
      </c>
      <c r="L2990" s="7" t="s">
        <v>194</v>
      </c>
      <c r="M2990" s="7" t="n">
        <v>55</v>
      </c>
      <c r="N2990" s="7" t="n">
        <v>2</v>
      </c>
      <c r="O2990" s="7" t="str">
        <f aca="false">A2990&amp;"|"&amp;B2990&amp;"|"&amp;C2990&amp;"|"&amp;D2990&amp;"|"&amp;E2990&amp;"|"&amp;F2990&amp;"|"&amp;G2990&amp;"|"&amp;H2990&amp;"|"&amp;I2990&amp;"|"&amp;J2990&amp;"|"&amp;K2990&amp;"|"&amp;L2990&amp;"|"&amp;M2990&amp;"|"&amp;N2990</f>
        <v>ORD10034|2025-01-05|18:56|C0717|Burger Barn|Delhi|Burgers|2|195|30|credit card|Delivered|55|2</v>
      </c>
      <c r="P2990" s="7" t="str">
        <f aca="false">IF(COUNTIF($O$2:O2990,O2990)&gt;1,"DUP","OK")</f>
        <v>OK</v>
      </c>
      <c r="Q2990" s="7" t="n">
        <f aca="false">COUNTBLANK(A2990:N2990)</f>
        <v>0</v>
      </c>
      <c r="R2990" s="7" t="n">
        <f aca="false">IF(A2990="",0,COUNTIFS($A$2:$A$3058,A2990,$P$2:$P$3058,"OK"))</f>
        <v>1</v>
      </c>
      <c r="S2990" s="7" t="str">
        <f aca="false">IF(OR(A2990="",P2990="DUP",R2990&lt;2),"",IF(Q2990=_xlfn.MINIFS($Q$2:$Q$3058,$A$2:$A$3058,A2990,$P$2:$P$3058,"OK"),"KEEP","DROP"))</f>
        <v/>
      </c>
      <c r="T2990" s="9" t="n">
        <f aca="false">IF(A2990="",1,0)</f>
        <v>0</v>
      </c>
      <c r="U2990" s="9" t="n">
        <f aca="false">IF(D2990="",1,0)</f>
        <v>0</v>
      </c>
      <c r="V2990" s="9" t="n">
        <f aca="false">IF(E2990="",1,0)</f>
        <v>0</v>
      </c>
      <c r="W2990" s="9" t="n">
        <f aca="false">IF(OR(H2990&lt;1,H2990&gt;10),1,0)</f>
        <v>0</v>
      </c>
      <c r="X2990" s="9" t="n">
        <f aca="false">IF(OR(I2990&lt;=0,I2990&gt;1500),1,0)</f>
        <v>0</v>
      </c>
      <c r="Y2990" s="9" t="n">
        <f aca="false">IF(J2990&gt;H2990*I2990,1,0)</f>
        <v>0</v>
      </c>
      <c r="Z2990" s="9" t="n">
        <f aca="false">IF(AND(N2990&lt;&gt;"",OR(N2990&lt;1,N2990&gt;5)),1,0)</f>
        <v>0</v>
      </c>
      <c r="AA2990" s="9" t="n">
        <f aca="false">IF(AND(M2990&lt;&gt;"",OR(M2990&lt;5,M2990&gt;180)),1,0)</f>
        <v>0</v>
      </c>
      <c r="AB2990" s="7" t="str">
        <f aca="false">IF(P2990="DUP","Exact duplicate row",IF(T2990=1,"Missing Order ID",IF(S2990="DROP","Duplicate Order ID (less complete row)",IF(U2990=1,"Missing Customer ID",IF(V2990=1,"Missing Restaurant name",IF(W2990=1,"Invalid/outlier quantity",IF(X2990=1,"Invalid/outlier unit price",IF(Y2990=1,"Discount greater than order value",""))))))))</f>
        <v/>
      </c>
      <c r="AC2990" s="7" t="str">
        <f aca="false">IF(AB2990="","KEEP","DROP")</f>
        <v>KEEP</v>
      </c>
      <c r="AD2990" s="7" t="str">
        <f aca="false">IF(TRIM(F2990)="",IFERROR(INDEX(Map_Tables!$I$4:$I$37,MATCH(TRIM(E2990),Map_Tables!$G$4:$G$37,0)),""),IFERROR(INDEX(Map_Tables!$B$4:$B$18,MATCH(TRIM(F2990),Map_Tables!$A$4:$A$18,0)),"CHECK"))</f>
        <v>Delhi</v>
      </c>
      <c r="AE2990" s="7" t="str">
        <f aca="false">IF(TRIM(E2990)="","",IFERROR(INDEX(Map_Tables!$H$4:$H$37,MATCH(TRIM(E2990),Map_Tables!$G$4:$G$37,0)),"CHECK"))</f>
        <v>Burger Barn</v>
      </c>
      <c r="AF2990" s="7" t="str">
        <f aca="false">IF(TRIM(K2990)="","Unknown",IFERROR(INDEX(Map_Tables!$E$4:$E$15,MATCH(TRIM(K2990),Map_Tables!$D$4:$D$15,0)),"CHECK"))</f>
        <v>Credit Card</v>
      </c>
      <c r="AG2990" s="7" t="str">
        <f aca="false">IF(LEFT(LOWER(TRIM(L2990)),6)="cancel","Cancelled","Delivered")</f>
        <v>Delivered</v>
      </c>
      <c r="AH2990" s="10" t="n">
        <f aca="false">IF(ISNUMBER(SEARCH("/",B2990)),DATE(VALUE(RIGHT(B2990,4)),VALUE(MID(B2990,4,2)),VALUE(LEFT(B2990,2))),IF(MID(B2990,5,1)="-",DATE(VALUE(LEFT(B2990,4)),VALUE(MID(B2990,6,2)),VALUE(RIGHT(B2990,2))),DATE(VALUE(RIGHT(B2990,4)),MATCH(MID(B2990,4,3),{"Jan","Feb","Mar","Apr","May","Jun","Jul","Aug","Sep","Oct","Nov","Dec"},0),VALUE(LEFT(B2990,2)))))</f>
        <v>45662</v>
      </c>
    </row>
    <row r="2991" customFormat="false" ht="15" hidden="false" customHeight="false" outlineLevel="0" collapsed="false">
      <c r="A2991" s="7" t="s">
        <v>6087</v>
      </c>
      <c r="B2991" s="7" t="s">
        <v>2727</v>
      </c>
      <c r="C2991" s="7" t="s">
        <v>2155</v>
      </c>
      <c r="D2991" s="7" t="s">
        <v>4899</v>
      </c>
      <c r="E2991" s="7" t="s">
        <v>161</v>
      </c>
      <c r="F2991" s="7" t="s">
        <v>141</v>
      </c>
      <c r="G2991" s="7" t="s">
        <v>117</v>
      </c>
      <c r="H2991" s="7" t="n">
        <v>2</v>
      </c>
      <c r="I2991" s="7" t="n">
        <v>150</v>
      </c>
      <c r="J2991" s="7" t="n">
        <v>75</v>
      </c>
      <c r="K2991" s="7" t="s">
        <v>93</v>
      </c>
      <c r="L2991" s="7" t="s">
        <v>238</v>
      </c>
      <c r="M2991" s="7"/>
      <c r="N2991" s="7"/>
      <c r="O2991" s="7" t="str">
        <f aca="false">A2991&amp;"|"&amp;B2991&amp;"|"&amp;C2991&amp;"|"&amp;D2991&amp;"|"&amp;E2991&amp;"|"&amp;F2991&amp;"|"&amp;G2991&amp;"|"&amp;H2991&amp;"|"&amp;I2991&amp;"|"&amp;J2991&amp;"|"&amp;K2991&amp;"|"&amp;L2991&amp;"|"&amp;M2991&amp;"|"&amp;N2991</f>
        <v>ORD10788|2025-04-10|12:10|C0058|Bengal Bites|Kolkata|Street Food|2|150|75|Credit Card|Cancelled||</v>
      </c>
      <c r="P2991" s="7" t="str">
        <f aca="false">IF(COUNTIF($O$2:O2991,O2991)&gt;1,"DUP","OK")</f>
        <v>OK</v>
      </c>
      <c r="Q2991" s="7" t="n">
        <f aca="false">COUNTBLANK(A2991:N2991)</f>
        <v>2</v>
      </c>
      <c r="R2991" s="7" t="n">
        <f aca="false">IF(A2991="",0,COUNTIFS($A$2:$A$3058,A2991,$P$2:$P$3058,"OK"))</f>
        <v>1</v>
      </c>
      <c r="S2991" s="7" t="str">
        <f aca="false">IF(OR(A2991="",P2991="DUP",R2991&lt;2),"",IF(Q2991=_xlfn.MINIFS($Q$2:$Q$3058,$A$2:$A$3058,A2991,$P$2:$P$3058,"OK"),"KEEP","DROP"))</f>
        <v/>
      </c>
      <c r="T2991" s="9" t="n">
        <f aca="false">IF(A2991="",1,0)</f>
        <v>0</v>
      </c>
      <c r="U2991" s="9" t="n">
        <f aca="false">IF(D2991="",1,0)</f>
        <v>0</v>
      </c>
      <c r="V2991" s="9" t="n">
        <f aca="false">IF(E2991="",1,0)</f>
        <v>0</v>
      </c>
      <c r="W2991" s="9" t="n">
        <f aca="false">IF(OR(H2991&lt;1,H2991&gt;10),1,0)</f>
        <v>0</v>
      </c>
      <c r="X2991" s="9" t="n">
        <f aca="false">IF(OR(I2991&lt;=0,I2991&gt;1500),1,0)</f>
        <v>0</v>
      </c>
      <c r="Y2991" s="9" t="n">
        <f aca="false">IF(J2991&gt;H2991*I2991,1,0)</f>
        <v>0</v>
      </c>
      <c r="Z2991" s="9" t="n">
        <f aca="false">IF(AND(N2991&lt;&gt;"",OR(N2991&lt;1,N2991&gt;5)),1,0)</f>
        <v>0</v>
      </c>
      <c r="AA2991" s="9" t="n">
        <f aca="false">IF(AND(M2991&lt;&gt;"",OR(M2991&lt;5,M2991&gt;180)),1,0)</f>
        <v>0</v>
      </c>
      <c r="AB2991" s="7" t="str">
        <f aca="false">IF(P2991="DUP","Exact duplicate row",IF(T2991=1,"Missing Order ID",IF(S2991="DROP","Duplicate Order ID (less complete row)",IF(U2991=1,"Missing Customer ID",IF(V2991=1,"Missing Restaurant name",IF(W2991=1,"Invalid/outlier quantity",IF(X2991=1,"Invalid/outlier unit price",IF(Y2991=1,"Discount greater than order value",""))))))))</f>
        <v/>
      </c>
      <c r="AC2991" s="7" t="str">
        <f aca="false">IF(AB2991="","KEEP","DROP")</f>
        <v>KEEP</v>
      </c>
      <c r="AD2991" s="7" t="str">
        <f aca="false">IF(TRIM(F2991)="",IFERROR(INDEX(Map_Tables!$I$4:$I$37,MATCH(TRIM(E2991),Map_Tables!$G$4:$G$37,0)),""),IFERROR(INDEX(Map_Tables!$B$4:$B$18,MATCH(TRIM(F2991),Map_Tables!$A$4:$A$18,0)),"CHECK"))</f>
        <v>Kolkata</v>
      </c>
      <c r="AE2991" s="7" t="str">
        <f aca="false">IF(TRIM(E2991)="","",IFERROR(INDEX(Map_Tables!$H$4:$H$37,MATCH(TRIM(E2991),Map_Tables!$G$4:$G$37,0)),"CHECK"))</f>
        <v>Bengal Bites</v>
      </c>
      <c r="AF2991" s="7" t="str">
        <f aca="false">IF(TRIM(K2991)="","Unknown",IFERROR(INDEX(Map_Tables!$E$4:$E$15,MATCH(TRIM(K2991),Map_Tables!$D$4:$D$15,0)),"CHECK"))</f>
        <v>Credit Card</v>
      </c>
      <c r="AG2991" s="7" t="str">
        <f aca="false">IF(LEFT(LOWER(TRIM(L2991)),6)="cancel","Cancelled","Delivered")</f>
        <v>Cancelled</v>
      </c>
      <c r="AH2991" s="10" t="n">
        <f aca="false">IF(ISNUMBER(SEARCH("/",B2991)),DATE(VALUE(RIGHT(B2991,4)),VALUE(MID(B2991,4,2)),VALUE(LEFT(B2991,2))),IF(MID(B2991,5,1)="-",DATE(VALUE(LEFT(B2991,4)),VALUE(MID(B2991,6,2)),VALUE(RIGHT(B2991,2))),DATE(VALUE(RIGHT(B2991,4)),MATCH(MID(B2991,4,3),{"Jan","Feb","Mar","Apr","May","Jun","Jul","Aug","Sep","Oct","Nov","Dec"},0),VALUE(LEFT(B2991,2)))))</f>
        <v>45757</v>
      </c>
    </row>
    <row r="2992" customFormat="false" ht="15" hidden="false" customHeight="false" outlineLevel="0" collapsed="false">
      <c r="A2992" s="7" t="s">
        <v>6088</v>
      </c>
      <c r="B2992" s="7" t="s">
        <v>835</v>
      </c>
      <c r="C2992" s="7" t="s">
        <v>2634</v>
      </c>
      <c r="D2992" s="7" t="s">
        <v>3974</v>
      </c>
      <c r="E2992" s="7" t="s">
        <v>94</v>
      </c>
      <c r="F2992" s="7" t="s">
        <v>86</v>
      </c>
      <c r="G2992" s="7" t="s">
        <v>95</v>
      </c>
      <c r="H2992" s="7" t="n">
        <v>4</v>
      </c>
      <c r="I2992" s="7" t="n">
        <v>130</v>
      </c>
      <c r="J2992" s="7" t="n">
        <v>50</v>
      </c>
      <c r="K2992" s="7" t="s">
        <v>112</v>
      </c>
      <c r="L2992" s="7" t="s">
        <v>194</v>
      </c>
      <c r="M2992" s="7" t="n">
        <v>33</v>
      </c>
      <c r="N2992" s="7" t="n">
        <v>4</v>
      </c>
      <c r="O2992" s="7" t="str">
        <f aca="false">A2992&amp;"|"&amp;B2992&amp;"|"&amp;C2992&amp;"|"&amp;D2992&amp;"|"&amp;E2992&amp;"|"&amp;F2992&amp;"|"&amp;G2992&amp;"|"&amp;H2992&amp;"|"&amp;I2992&amp;"|"&amp;J2992&amp;"|"&amp;K2992&amp;"|"&amp;L2992&amp;"|"&amp;M2992&amp;"|"&amp;N2992</f>
        <v>ORD12972|2025-12-28|23:02|C1038|Dosa Darbar|Bengaluru|South Indian|4|130|50|Cash on Delivery|Delivered|33|4</v>
      </c>
      <c r="P2992" s="7" t="str">
        <f aca="false">IF(COUNTIF($O$2:O2992,O2992)&gt;1,"DUP","OK")</f>
        <v>OK</v>
      </c>
      <c r="Q2992" s="7" t="n">
        <f aca="false">COUNTBLANK(A2992:N2992)</f>
        <v>0</v>
      </c>
      <c r="R2992" s="7" t="n">
        <f aca="false">IF(A2992="",0,COUNTIFS($A$2:$A$3058,A2992,$P$2:$P$3058,"OK"))</f>
        <v>1</v>
      </c>
      <c r="S2992" s="7" t="str">
        <f aca="false">IF(OR(A2992="",P2992="DUP",R2992&lt;2),"",IF(Q2992=_xlfn.MINIFS($Q$2:$Q$3058,$A$2:$A$3058,A2992,$P$2:$P$3058,"OK"),"KEEP","DROP"))</f>
        <v/>
      </c>
      <c r="T2992" s="9" t="n">
        <f aca="false">IF(A2992="",1,0)</f>
        <v>0</v>
      </c>
      <c r="U2992" s="9" t="n">
        <f aca="false">IF(D2992="",1,0)</f>
        <v>0</v>
      </c>
      <c r="V2992" s="9" t="n">
        <f aca="false">IF(E2992="",1,0)</f>
        <v>0</v>
      </c>
      <c r="W2992" s="9" t="n">
        <f aca="false">IF(OR(H2992&lt;1,H2992&gt;10),1,0)</f>
        <v>0</v>
      </c>
      <c r="X2992" s="9" t="n">
        <f aca="false">IF(OR(I2992&lt;=0,I2992&gt;1500),1,0)</f>
        <v>0</v>
      </c>
      <c r="Y2992" s="9" t="n">
        <f aca="false">IF(J2992&gt;H2992*I2992,1,0)</f>
        <v>0</v>
      </c>
      <c r="Z2992" s="9" t="n">
        <f aca="false">IF(AND(N2992&lt;&gt;"",OR(N2992&lt;1,N2992&gt;5)),1,0)</f>
        <v>0</v>
      </c>
      <c r="AA2992" s="9" t="n">
        <f aca="false">IF(AND(M2992&lt;&gt;"",OR(M2992&lt;5,M2992&gt;180)),1,0)</f>
        <v>0</v>
      </c>
      <c r="AB2992" s="7" t="str">
        <f aca="false">IF(P2992="DUP","Exact duplicate row",IF(T2992=1,"Missing Order ID",IF(S2992="DROP","Duplicate Order ID (less complete row)",IF(U2992=1,"Missing Customer ID",IF(V2992=1,"Missing Restaurant name",IF(W2992=1,"Invalid/outlier quantity",IF(X2992=1,"Invalid/outlier unit price",IF(Y2992=1,"Discount greater than order value",""))))))))</f>
        <v/>
      </c>
      <c r="AC2992" s="7" t="str">
        <f aca="false">IF(AB2992="","KEEP","DROP")</f>
        <v>KEEP</v>
      </c>
      <c r="AD2992" s="7" t="str">
        <f aca="false">IF(TRIM(F2992)="",IFERROR(INDEX(Map_Tables!$I$4:$I$37,MATCH(TRIM(E2992),Map_Tables!$G$4:$G$37,0)),""),IFERROR(INDEX(Map_Tables!$B$4:$B$18,MATCH(TRIM(F2992),Map_Tables!$A$4:$A$18,0)),"CHECK"))</f>
        <v>Bengaluru</v>
      </c>
      <c r="AE2992" s="7" t="str">
        <f aca="false">IF(TRIM(E2992)="","",IFERROR(INDEX(Map_Tables!$H$4:$H$37,MATCH(TRIM(E2992),Map_Tables!$G$4:$G$37,0)),"CHECK"))</f>
        <v>Dosa Darbar</v>
      </c>
      <c r="AF2992" s="7" t="str">
        <f aca="false">IF(TRIM(K2992)="","Unknown",IFERROR(INDEX(Map_Tables!$E$4:$E$15,MATCH(TRIM(K2992),Map_Tables!$D$4:$D$15,0)),"CHECK"))</f>
        <v>Cash on Delivery</v>
      </c>
      <c r="AG2992" s="7" t="str">
        <f aca="false">IF(LEFT(LOWER(TRIM(L2992)),6)="cancel","Cancelled","Delivered")</f>
        <v>Delivered</v>
      </c>
      <c r="AH2992" s="10" t="n">
        <f aca="false">IF(ISNUMBER(SEARCH("/",B2992)),DATE(VALUE(RIGHT(B2992,4)),VALUE(MID(B2992,4,2)),VALUE(LEFT(B2992,2))),IF(MID(B2992,5,1)="-",DATE(VALUE(LEFT(B2992,4)),VALUE(MID(B2992,6,2)),VALUE(RIGHT(B2992,2))),DATE(VALUE(RIGHT(B2992,4)),MATCH(MID(B2992,4,3),{"Jan","Feb","Mar","Apr","May","Jun","Jul","Aug","Sep","Oct","Nov","Dec"},0),VALUE(LEFT(B2992,2)))))</f>
        <v>46019</v>
      </c>
    </row>
    <row r="2993" customFormat="false" ht="15" hidden="false" customHeight="false" outlineLevel="0" collapsed="false">
      <c r="A2993" s="7" t="s">
        <v>6089</v>
      </c>
      <c r="B2993" s="7" t="s">
        <v>3233</v>
      </c>
      <c r="C2993" s="7" t="s">
        <v>755</v>
      </c>
      <c r="D2993" s="7" t="s">
        <v>3030</v>
      </c>
      <c r="E2993" s="7" t="s">
        <v>89</v>
      </c>
      <c r="F2993" s="7" t="s">
        <v>86</v>
      </c>
      <c r="G2993" s="7" t="s">
        <v>90</v>
      </c>
      <c r="H2993" s="7" t="n">
        <v>2</v>
      </c>
      <c r="I2993" s="7" t="n">
        <v>230</v>
      </c>
      <c r="J2993" s="7" t="n">
        <v>150</v>
      </c>
      <c r="K2993" s="7" t="s">
        <v>112</v>
      </c>
      <c r="L2993" s="7" t="s">
        <v>194</v>
      </c>
      <c r="M2993" s="7" t="n">
        <v>45</v>
      </c>
      <c r="N2993" s="7" t="n">
        <v>3</v>
      </c>
      <c r="O2993" s="7" t="str">
        <f aca="false">A2993&amp;"|"&amp;B2993&amp;"|"&amp;C2993&amp;"|"&amp;D2993&amp;"|"&amp;E2993&amp;"|"&amp;F2993&amp;"|"&amp;G2993&amp;"|"&amp;H2993&amp;"|"&amp;I2993&amp;"|"&amp;J2993&amp;"|"&amp;K2993&amp;"|"&amp;L2993&amp;"|"&amp;M2993&amp;"|"&amp;N2993</f>
        <v>ORD11044|2025-05-12|11:24|C1287|Spice Junction|Bengaluru|North Indian|2|230|150|Cash on Delivery|Delivered|45|3</v>
      </c>
      <c r="P2993" s="7" t="str">
        <f aca="false">IF(COUNTIF($O$2:O2993,O2993)&gt;1,"DUP","OK")</f>
        <v>OK</v>
      </c>
      <c r="Q2993" s="7" t="n">
        <f aca="false">COUNTBLANK(A2993:N2993)</f>
        <v>0</v>
      </c>
      <c r="R2993" s="7" t="n">
        <f aca="false">IF(A2993="",0,COUNTIFS($A$2:$A$3058,A2993,$P$2:$P$3058,"OK"))</f>
        <v>1</v>
      </c>
      <c r="S2993" s="7" t="str">
        <f aca="false">IF(OR(A2993="",P2993="DUP",R2993&lt;2),"",IF(Q2993=_xlfn.MINIFS($Q$2:$Q$3058,$A$2:$A$3058,A2993,$P$2:$P$3058,"OK"),"KEEP","DROP"))</f>
        <v/>
      </c>
      <c r="T2993" s="9" t="n">
        <f aca="false">IF(A2993="",1,0)</f>
        <v>0</v>
      </c>
      <c r="U2993" s="9" t="n">
        <f aca="false">IF(D2993="",1,0)</f>
        <v>0</v>
      </c>
      <c r="V2993" s="9" t="n">
        <f aca="false">IF(E2993="",1,0)</f>
        <v>0</v>
      </c>
      <c r="W2993" s="9" t="n">
        <f aca="false">IF(OR(H2993&lt;1,H2993&gt;10),1,0)</f>
        <v>0</v>
      </c>
      <c r="X2993" s="9" t="n">
        <f aca="false">IF(OR(I2993&lt;=0,I2993&gt;1500),1,0)</f>
        <v>0</v>
      </c>
      <c r="Y2993" s="9" t="n">
        <f aca="false">IF(J2993&gt;H2993*I2993,1,0)</f>
        <v>0</v>
      </c>
      <c r="Z2993" s="9" t="n">
        <f aca="false">IF(AND(N2993&lt;&gt;"",OR(N2993&lt;1,N2993&gt;5)),1,0)</f>
        <v>0</v>
      </c>
      <c r="AA2993" s="9" t="n">
        <f aca="false">IF(AND(M2993&lt;&gt;"",OR(M2993&lt;5,M2993&gt;180)),1,0)</f>
        <v>0</v>
      </c>
      <c r="AB2993" s="7" t="str">
        <f aca="false">IF(P2993="DUP","Exact duplicate row",IF(T2993=1,"Missing Order ID",IF(S2993="DROP","Duplicate Order ID (less complete row)",IF(U2993=1,"Missing Customer ID",IF(V2993=1,"Missing Restaurant name",IF(W2993=1,"Invalid/outlier quantity",IF(X2993=1,"Invalid/outlier unit price",IF(Y2993=1,"Discount greater than order value",""))))))))</f>
        <v/>
      </c>
      <c r="AC2993" s="7" t="str">
        <f aca="false">IF(AB2993="","KEEP","DROP")</f>
        <v>KEEP</v>
      </c>
      <c r="AD2993" s="7" t="str">
        <f aca="false">IF(TRIM(F2993)="",IFERROR(INDEX(Map_Tables!$I$4:$I$37,MATCH(TRIM(E2993),Map_Tables!$G$4:$G$37,0)),""),IFERROR(INDEX(Map_Tables!$B$4:$B$18,MATCH(TRIM(F2993),Map_Tables!$A$4:$A$18,0)),"CHECK"))</f>
        <v>Bengaluru</v>
      </c>
      <c r="AE2993" s="7" t="str">
        <f aca="false">IF(TRIM(E2993)="","",IFERROR(INDEX(Map_Tables!$H$4:$H$37,MATCH(TRIM(E2993),Map_Tables!$G$4:$G$37,0)),"CHECK"))</f>
        <v>Spice Junction</v>
      </c>
      <c r="AF2993" s="7" t="str">
        <f aca="false">IF(TRIM(K2993)="","Unknown",IFERROR(INDEX(Map_Tables!$E$4:$E$15,MATCH(TRIM(K2993),Map_Tables!$D$4:$D$15,0)),"CHECK"))</f>
        <v>Cash on Delivery</v>
      </c>
      <c r="AG2993" s="7" t="str">
        <f aca="false">IF(LEFT(LOWER(TRIM(L2993)),6)="cancel","Cancelled","Delivered")</f>
        <v>Delivered</v>
      </c>
      <c r="AH2993" s="10" t="n">
        <f aca="false">IF(ISNUMBER(SEARCH("/",B2993)),DATE(VALUE(RIGHT(B2993,4)),VALUE(MID(B2993,4,2)),VALUE(LEFT(B2993,2))),IF(MID(B2993,5,1)="-",DATE(VALUE(LEFT(B2993,4)),VALUE(MID(B2993,6,2)),VALUE(RIGHT(B2993,2))),DATE(VALUE(RIGHT(B2993,4)),MATCH(MID(B2993,4,3),{"Jan","Feb","Mar","Apr","May","Jun","Jul","Aug","Sep","Oct","Nov","Dec"},0),VALUE(LEFT(B2993,2)))))</f>
        <v>45789</v>
      </c>
    </row>
    <row r="2994" customFormat="false" ht="15" hidden="false" customHeight="false" outlineLevel="0" collapsed="false">
      <c r="A2994" s="7" t="s">
        <v>6090</v>
      </c>
      <c r="B2994" s="7" t="s">
        <v>1267</v>
      </c>
      <c r="C2994" s="7" t="s">
        <v>595</v>
      </c>
      <c r="D2994" s="7" t="s">
        <v>4826</v>
      </c>
      <c r="E2994" s="7" t="s">
        <v>94</v>
      </c>
      <c r="F2994" s="7" t="s">
        <v>86</v>
      </c>
      <c r="G2994" s="7" t="s">
        <v>6091</v>
      </c>
      <c r="H2994" s="7" t="n">
        <v>1</v>
      </c>
      <c r="I2994" s="7" t="n">
        <v>110</v>
      </c>
      <c r="J2994" s="7" t="n">
        <v>44</v>
      </c>
      <c r="K2994" s="7" t="s">
        <v>103</v>
      </c>
      <c r="L2994" s="7" t="s">
        <v>194</v>
      </c>
      <c r="M2994" s="7" t="n">
        <v>49</v>
      </c>
      <c r="N2994" s="7" t="n">
        <v>3</v>
      </c>
      <c r="O2994" s="7" t="str">
        <f aca="false">A2994&amp;"|"&amp;B2994&amp;"|"&amp;C2994&amp;"|"&amp;D2994&amp;"|"&amp;E2994&amp;"|"&amp;F2994&amp;"|"&amp;G2994&amp;"|"&amp;H2994&amp;"|"&amp;I2994&amp;"|"&amp;J2994&amp;"|"&amp;K2994&amp;"|"&amp;L2994&amp;"|"&amp;M2994&amp;"|"&amp;N2994</f>
        <v>ORD10482|2025-03-05|12:30|C1373|Dosa Darbar|Bengaluru|SOUTH INDIAN|1|110|44|Debit Card|Delivered|49|3</v>
      </c>
      <c r="P2994" s="7" t="str">
        <f aca="false">IF(COUNTIF($O$2:O2994,O2994)&gt;1,"DUP","OK")</f>
        <v>OK</v>
      </c>
      <c r="Q2994" s="7" t="n">
        <f aca="false">COUNTBLANK(A2994:N2994)</f>
        <v>0</v>
      </c>
      <c r="R2994" s="7" t="n">
        <f aca="false">IF(A2994="",0,COUNTIFS($A$2:$A$3058,A2994,$P$2:$P$3058,"OK"))</f>
        <v>1</v>
      </c>
      <c r="S2994" s="7" t="str">
        <f aca="false">IF(OR(A2994="",P2994="DUP",R2994&lt;2),"",IF(Q2994=_xlfn.MINIFS($Q$2:$Q$3058,$A$2:$A$3058,A2994,$P$2:$P$3058,"OK"),"KEEP","DROP"))</f>
        <v/>
      </c>
      <c r="T2994" s="9" t="n">
        <f aca="false">IF(A2994="",1,0)</f>
        <v>0</v>
      </c>
      <c r="U2994" s="9" t="n">
        <f aca="false">IF(D2994="",1,0)</f>
        <v>0</v>
      </c>
      <c r="V2994" s="9" t="n">
        <f aca="false">IF(E2994="",1,0)</f>
        <v>0</v>
      </c>
      <c r="W2994" s="9" t="n">
        <f aca="false">IF(OR(H2994&lt;1,H2994&gt;10),1,0)</f>
        <v>0</v>
      </c>
      <c r="X2994" s="9" t="n">
        <f aca="false">IF(OR(I2994&lt;=0,I2994&gt;1500),1,0)</f>
        <v>0</v>
      </c>
      <c r="Y2994" s="9" t="n">
        <f aca="false">IF(J2994&gt;H2994*I2994,1,0)</f>
        <v>0</v>
      </c>
      <c r="Z2994" s="9" t="n">
        <f aca="false">IF(AND(N2994&lt;&gt;"",OR(N2994&lt;1,N2994&gt;5)),1,0)</f>
        <v>0</v>
      </c>
      <c r="AA2994" s="9" t="n">
        <f aca="false">IF(AND(M2994&lt;&gt;"",OR(M2994&lt;5,M2994&gt;180)),1,0)</f>
        <v>0</v>
      </c>
      <c r="AB2994" s="7" t="str">
        <f aca="false">IF(P2994="DUP","Exact duplicate row",IF(T2994=1,"Missing Order ID",IF(S2994="DROP","Duplicate Order ID (less complete row)",IF(U2994=1,"Missing Customer ID",IF(V2994=1,"Missing Restaurant name",IF(W2994=1,"Invalid/outlier quantity",IF(X2994=1,"Invalid/outlier unit price",IF(Y2994=1,"Discount greater than order value",""))))))))</f>
        <v/>
      </c>
      <c r="AC2994" s="7" t="str">
        <f aca="false">IF(AB2994="","KEEP","DROP")</f>
        <v>KEEP</v>
      </c>
      <c r="AD2994" s="7" t="str">
        <f aca="false">IF(TRIM(F2994)="",IFERROR(INDEX(Map_Tables!$I$4:$I$37,MATCH(TRIM(E2994),Map_Tables!$G$4:$G$37,0)),""),IFERROR(INDEX(Map_Tables!$B$4:$B$18,MATCH(TRIM(F2994),Map_Tables!$A$4:$A$18,0)),"CHECK"))</f>
        <v>Bengaluru</v>
      </c>
      <c r="AE2994" s="7" t="str">
        <f aca="false">IF(TRIM(E2994)="","",IFERROR(INDEX(Map_Tables!$H$4:$H$37,MATCH(TRIM(E2994),Map_Tables!$G$4:$G$37,0)),"CHECK"))</f>
        <v>Dosa Darbar</v>
      </c>
      <c r="AF2994" s="7" t="str">
        <f aca="false">IF(TRIM(K2994)="","Unknown",IFERROR(INDEX(Map_Tables!$E$4:$E$15,MATCH(TRIM(K2994),Map_Tables!$D$4:$D$15,0)),"CHECK"))</f>
        <v>Debit Card</v>
      </c>
      <c r="AG2994" s="7" t="str">
        <f aca="false">IF(LEFT(LOWER(TRIM(L2994)),6)="cancel","Cancelled","Delivered")</f>
        <v>Delivered</v>
      </c>
      <c r="AH2994" s="10" t="n">
        <f aca="false">IF(ISNUMBER(SEARCH("/",B2994)),DATE(VALUE(RIGHT(B2994,4)),VALUE(MID(B2994,4,2)),VALUE(LEFT(B2994,2))),IF(MID(B2994,5,1)="-",DATE(VALUE(LEFT(B2994,4)),VALUE(MID(B2994,6,2)),VALUE(RIGHT(B2994,2))),DATE(VALUE(RIGHT(B2994,4)),MATCH(MID(B2994,4,3),{"Jan","Feb","Mar","Apr","May","Jun","Jul","Aug","Sep","Oct","Nov","Dec"},0),VALUE(LEFT(B2994,2)))))</f>
        <v>45721</v>
      </c>
    </row>
    <row r="2995" customFormat="false" ht="15" hidden="false" customHeight="false" outlineLevel="0" collapsed="false">
      <c r="A2995" s="7" t="s">
        <v>6092</v>
      </c>
      <c r="B2995" s="7" t="s">
        <v>5035</v>
      </c>
      <c r="C2995" s="7" t="s">
        <v>1899</v>
      </c>
      <c r="D2995" s="7" t="s">
        <v>2399</v>
      </c>
      <c r="E2995" s="7" t="s">
        <v>98</v>
      </c>
      <c r="F2995" s="7" t="s">
        <v>86</v>
      </c>
      <c r="G2995" s="7" t="s">
        <v>99</v>
      </c>
      <c r="H2995" s="7" t="n">
        <v>1</v>
      </c>
      <c r="I2995" s="7" t="n">
        <v>295</v>
      </c>
      <c r="J2995" s="7" t="n">
        <v>20</v>
      </c>
      <c r="K2995" s="7" t="s">
        <v>88</v>
      </c>
      <c r="L2995" s="7" t="s">
        <v>194</v>
      </c>
      <c r="M2995" s="7" t="n">
        <v>25</v>
      </c>
      <c r="N2995" s="7" t="n">
        <v>5</v>
      </c>
      <c r="O2995" s="7" t="str">
        <f aca="false">A2995&amp;"|"&amp;B2995&amp;"|"&amp;C2995&amp;"|"&amp;D2995&amp;"|"&amp;E2995&amp;"|"&amp;F2995&amp;"|"&amp;G2995&amp;"|"&amp;H2995&amp;"|"&amp;I2995&amp;"|"&amp;J2995&amp;"|"&amp;K2995&amp;"|"&amp;L2995&amp;"|"&amp;M2995&amp;"|"&amp;N2995</f>
        <v>ORD11244|08/06/2025|11:19|C1244|Nawabi Biryani House|Bengaluru|Biryani|1|295|20|UPI|Delivered|25|5</v>
      </c>
      <c r="P2995" s="7" t="str">
        <f aca="false">IF(COUNTIF($O$2:O2995,O2995)&gt;1,"DUP","OK")</f>
        <v>OK</v>
      </c>
      <c r="Q2995" s="7" t="n">
        <f aca="false">COUNTBLANK(A2995:N2995)</f>
        <v>0</v>
      </c>
      <c r="R2995" s="7" t="n">
        <f aca="false">IF(A2995="",0,COUNTIFS($A$2:$A$3058,A2995,$P$2:$P$3058,"OK"))</f>
        <v>1</v>
      </c>
      <c r="S2995" s="7" t="str">
        <f aca="false">IF(OR(A2995="",P2995="DUP",R2995&lt;2),"",IF(Q2995=_xlfn.MINIFS($Q$2:$Q$3058,$A$2:$A$3058,A2995,$P$2:$P$3058,"OK"),"KEEP","DROP"))</f>
        <v/>
      </c>
      <c r="T2995" s="9" t="n">
        <f aca="false">IF(A2995="",1,0)</f>
        <v>0</v>
      </c>
      <c r="U2995" s="9" t="n">
        <f aca="false">IF(D2995="",1,0)</f>
        <v>0</v>
      </c>
      <c r="V2995" s="9" t="n">
        <f aca="false">IF(E2995="",1,0)</f>
        <v>0</v>
      </c>
      <c r="W2995" s="9" t="n">
        <f aca="false">IF(OR(H2995&lt;1,H2995&gt;10),1,0)</f>
        <v>0</v>
      </c>
      <c r="X2995" s="9" t="n">
        <f aca="false">IF(OR(I2995&lt;=0,I2995&gt;1500),1,0)</f>
        <v>0</v>
      </c>
      <c r="Y2995" s="9" t="n">
        <f aca="false">IF(J2995&gt;H2995*I2995,1,0)</f>
        <v>0</v>
      </c>
      <c r="Z2995" s="9" t="n">
        <f aca="false">IF(AND(N2995&lt;&gt;"",OR(N2995&lt;1,N2995&gt;5)),1,0)</f>
        <v>0</v>
      </c>
      <c r="AA2995" s="9" t="n">
        <f aca="false">IF(AND(M2995&lt;&gt;"",OR(M2995&lt;5,M2995&gt;180)),1,0)</f>
        <v>0</v>
      </c>
      <c r="AB2995" s="7" t="str">
        <f aca="false">IF(P2995="DUP","Exact duplicate row",IF(T2995=1,"Missing Order ID",IF(S2995="DROP","Duplicate Order ID (less complete row)",IF(U2995=1,"Missing Customer ID",IF(V2995=1,"Missing Restaurant name",IF(W2995=1,"Invalid/outlier quantity",IF(X2995=1,"Invalid/outlier unit price",IF(Y2995=1,"Discount greater than order value",""))))))))</f>
        <v/>
      </c>
      <c r="AC2995" s="7" t="str">
        <f aca="false">IF(AB2995="","KEEP","DROP")</f>
        <v>KEEP</v>
      </c>
      <c r="AD2995" s="7" t="str">
        <f aca="false">IF(TRIM(F2995)="",IFERROR(INDEX(Map_Tables!$I$4:$I$37,MATCH(TRIM(E2995),Map_Tables!$G$4:$G$37,0)),""),IFERROR(INDEX(Map_Tables!$B$4:$B$18,MATCH(TRIM(F2995),Map_Tables!$A$4:$A$18,0)),"CHECK"))</f>
        <v>Bengaluru</v>
      </c>
      <c r="AE2995" s="7" t="str">
        <f aca="false">IF(TRIM(E2995)="","",IFERROR(INDEX(Map_Tables!$H$4:$H$37,MATCH(TRIM(E2995),Map_Tables!$G$4:$G$37,0)),"CHECK"))</f>
        <v>Nawabi Biryani House</v>
      </c>
      <c r="AF2995" s="7" t="str">
        <f aca="false">IF(TRIM(K2995)="","Unknown",IFERROR(INDEX(Map_Tables!$E$4:$E$15,MATCH(TRIM(K2995),Map_Tables!$D$4:$D$15,0)),"CHECK"))</f>
        <v>UPI</v>
      </c>
      <c r="AG2995" s="7" t="str">
        <f aca="false">IF(LEFT(LOWER(TRIM(L2995)),6)="cancel","Cancelled","Delivered")</f>
        <v>Delivered</v>
      </c>
      <c r="AH2995" s="10" t="n">
        <f aca="false">IF(ISNUMBER(SEARCH("/",B2995)),DATE(VALUE(RIGHT(B2995,4)),VALUE(MID(B2995,4,2)),VALUE(LEFT(B2995,2))),IF(MID(B2995,5,1)="-",DATE(VALUE(LEFT(B2995,4)),VALUE(MID(B2995,6,2)),VALUE(RIGHT(B2995,2))),DATE(VALUE(RIGHT(B2995,4)),MATCH(MID(B2995,4,3),{"Jan","Feb","Mar","Apr","May","Jun","Jul","Aug","Sep","Oct","Nov","Dec"},0),VALUE(LEFT(B2995,2)))))</f>
        <v>45816</v>
      </c>
    </row>
    <row r="2996" customFormat="false" ht="15" hidden="false" customHeight="false" outlineLevel="0" collapsed="false">
      <c r="A2996" s="7" t="s">
        <v>6093</v>
      </c>
      <c r="B2996" s="7" t="s">
        <v>1201</v>
      </c>
      <c r="C2996" s="7" t="s">
        <v>3023</v>
      </c>
      <c r="D2996" s="7" t="s">
        <v>5007</v>
      </c>
      <c r="E2996" s="7"/>
      <c r="F2996" s="7" t="s">
        <v>119</v>
      </c>
      <c r="G2996" s="7" t="s">
        <v>123</v>
      </c>
      <c r="H2996" s="7" t="n">
        <v>5</v>
      </c>
      <c r="I2996" s="7" t="n">
        <v>360</v>
      </c>
      <c r="J2996" s="7" t="n">
        <v>75</v>
      </c>
      <c r="K2996" s="7" t="s">
        <v>133</v>
      </c>
      <c r="L2996" s="7" t="s">
        <v>194</v>
      </c>
      <c r="M2996" s="7" t="n">
        <v>35</v>
      </c>
      <c r="N2996" s="7" t="n">
        <v>4</v>
      </c>
      <c r="O2996" s="7" t="str">
        <f aca="false">A2996&amp;"|"&amp;B2996&amp;"|"&amp;C2996&amp;"|"&amp;D2996&amp;"|"&amp;E2996&amp;"|"&amp;F2996&amp;"|"&amp;G2996&amp;"|"&amp;H2996&amp;"|"&amp;I2996&amp;"|"&amp;J2996&amp;"|"&amp;K2996&amp;"|"&amp;L2996&amp;"|"&amp;M2996&amp;"|"&amp;N2996</f>
        <v>ORD12628|2025-11-20|21:54|C0144||Hyderabad|Pizza|5|360|75|Net Banking|Delivered|35|4</v>
      </c>
      <c r="P2996" s="7" t="str">
        <f aca="false">IF(COUNTIF($O$2:O2996,O2996)&gt;1,"DUP","OK")</f>
        <v>OK</v>
      </c>
      <c r="Q2996" s="7" t="n">
        <f aca="false">COUNTBLANK(A2996:N2996)</f>
        <v>1</v>
      </c>
      <c r="R2996" s="7" t="n">
        <f aca="false">IF(A2996="",0,COUNTIFS($A$2:$A$3058,A2996,$P$2:$P$3058,"OK"))</f>
        <v>1</v>
      </c>
      <c r="S2996" s="7" t="str">
        <f aca="false">IF(OR(A2996="",P2996="DUP",R2996&lt;2),"",IF(Q2996=_xlfn.MINIFS($Q$2:$Q$3058,$A$2:$A$3058,A2996,$P$2:$P$3058,"OK"),"KEEP","DROP"))</f>
        <v/>
      </c>
      <c r="T2996" s="9" t="n">
        <f aca="false">IF(A2996="",1,0)</f>
        <v>0</v>
      </c>
      <c r="U2996" s="9" t="n">
        <f aca="false">IF(D2996="",1,0)</f>
        <v>0</v>
      </c>
      <c r="V2996" s="9" t="n">
        <f aca="false">IF(E2996="",1,0)</f>
        <v>1</v>
      </c>
      <c r="W2996" s="9" t="n">
        <f aca="false">IF(OR(H2996&lt;1,H2996&gt;10),1,0)</f>
        <v>0</v>
      </c>
      <c r="X2996" s="9" t="n">
        <f aca="false">IF(OR(I2996&lt;=0,I2996&gt;1500),1,0)</f>
        <v>0</v>
      </c>
      <c r="Y2996" s="9" t="n">
        <f aca="false">IF(J2996&gt;H2996*I2996,1,0)</f>
        <v>0</v>
      </c>
      <c r="Z2996" s="9" t="n">
        <f aca="false">IF(AND(N2996&lt;&gt;"",OR(N2996&lt;1,N2996&gt;5)),1,0)</f>
        <v>0</v>
      </c>
      <c r="AA2996" s="9" t="n">
        <f aca="false">IF(AND(M2996&lt;&gt;"",OR(M2996&lt;5,M2996&gt;180)),1,0)</f>
        <v>0</v>
      </c>
      <c r="AB2996" s="7" t="str">
        <f aca="false">IF(P2996="DUP","Exact duplicate row",IF(T2996=1,"Missing Order ID",IF(S2996="DROP","Duplicate Order ID (less complete row)",IF(U2996=1,"Missing Customer ID",IF(V2996=1,"Missing Restaurant name",IF(W2996=1,"Invalid/outlier quantity",IF(X2996=1,"Invalid/outlier unit price",IF(Y2996=1,"Discount greater than order value",""))))))))</f>
        <v>Missing Restaurant name</v>
      </c>
      <c r="AC2996" s="7" t="str">
        <f aca="false">IF(AB2996="","KEEP","DROP")</f>
        <v>DROP</v>
      </c>
      <c r="AD2996" s="7" t="str">
        <f aca="false">IF(TRIM(F2996)="",IFERROR(INDEX(Map_Tables!$I$4:$I$37,MATCH(TRIM(E2996),Map_Tables!$G$4:$G$37,0)),""),IFERROR(INDEX(Map_Tables!$B$4:$B$18,MATCH(TRIM(F2996),Map_Tables!$A$4:$A$18,0)),"CHECK"))</f>
        <v>Hyderabad</v>
      </c>
      <c r="AE2996" s="7" t="str">
        <f aca="false">IF(TRIM(E2996)="","",IFERROR(INDEX(Map_Tables!$H$4:$H$37,MATCH(TRIM(E2996),Map_Tables!$G$4:$G$37,0)),"CHECK"))</f>
        <v/>
      </c>
      <c r="AF2996" s="7" t="str">
        <f aca="false">IF(TRIM(K2996)="","Unknown",IFERROR(INDEX(Map_Tables!$E$4:$E$15,MATCH(TRIM(K2996),Map_Tables!$D$4:$D$15,0)),"CHECK"))</f>
        <v>Net Banking</v>
      </c>
      <c r="AG2996" s="7" t="str">
        <f aca="false">IF(LEFT(LOWER(TRIM(L2996)),6)="cancel","Cancelled","Delivered")</f>
        <v>Delivered</v>
      </c>
      <c r="AH2996" s="10" t="n">
        <f aca="false">IF(ISNUMBER(SEARCH("/",B2996)),DATE(VALUE(RIGHT(B2996,4)),VALUE(MID(B2996,4,2)),VALUE(LEFT(B2996,2))),IF(MID(B2996,5,1)="-",DATE(VALUE(LEFT(B2996,4)),VALUE(MID(B2996,6,2)),VALUE(RIGHT(B2996,2))),DATE(VALUE(RIGHT(B2996,4)),MATCH(MID(B2996,4,3),{"Jan","Feb","Mar","Apr","May","Jun","Jul","Aug","Sep","Oct","Nov","Dec"},0),VALUE(LEFT(B2996,2)))))</f>
        <v>45981</v>
      </c>
    </row>
    <row r="2997" customFormat="false" ht="15" hidden="false" customHeight="false" outlineLevel="0" collapsed="false">
      <c r="A2997" s="7" t="s">
        <v>6094</v>
      </c>
      <c r="B2997" s="7" t="s">
        <v>892</v>
      </c>
      <c r="C2997" s="7" t="s">
        <v>373</v>
      </c>
      <c r="D2997" s="7" t="s">
        <v>3237</v>
      </c>
      <c r="E2997" s="7" t="s">
        <v>561</v>
      </c>
      <c r="F2997" s="7" t="s">
        <v>101</v>
      </c>
      <c r="G2997" s="7" t="s">
        <v>123</v>
      </c>
      <c r="H2997" s="7" t="n">
        <v>4</v>
      </c>
      <c r="I2997" s="7" t="n">
        <v>360</v>
      </c>
      <c r="J2997" s="7" t="n">
        <v>0</v>
      </c>
      <c r="K2997" s="7" t="s">
        <v>112</v>
      </c>
      <c r="L2997" s="7" t="s">
        <v>194</v>
      </c>
      <c r="M2997" s="7" t="n">
        <v>42</v>
      </c>
      <c r="N2997" s="7" t="n">
        <v>5</v>
      </c>
      <c r="O2997" s="7" t="str">
        <f aca="false">A2997&amp;"|"&amp;B2997&amp;"|"&amp;C2997&amp;"|"&amp;D2997&amp;"|"&amp;E2997&amp;"|"&amp;F2997&amp;"|"&amp;G2997&amp;"|"&amp;H2997&amp;"|"&amp;I2997&amp;"|"&amp;J2997&amp;"|"&amp;K2997&amp;"|"&amp;L2997&amp;"|"&amp;M2997&amp;"|"&amp;N2997</f>
        <v>ORD12530|2025-11-12|17:46|C1067|mumbai pizza co|Mumbai|Pizza|4|360|0|Cash on Delivery|Delivered|42|5</v>
      </c>
      <c r="P2997" s="7" t="str">
        <f aca="false">IF(COUNTIF($O$2:O2997,O2997)&gt;1,"DUP","OK")</f>
        <v>OK</v>
      </c>
      <c r="Q2997" s="7" t="n">
        <f aca="false">COUNTBLANK(A2997:N2997)</f>
        <v>0</v>
      </c>
      <c r="R2997" s="7" t="n">
        <f aca="false">IF(A2997="",0,COUNTIFS($A$2:$A$3058,A2997,$P$2:$P$3058,"OK"))</f>
        <v>1</v>
      </c>
      <c r="S2997" s="7" t="str">
        <f aca="false">IF(OR(A2997="",P2997="DUP",R2997&lt;2),"",IF(Q2997=_xlfn.MINIFS($Q$2:$Q$3058,$A$2:$A$3058,A2997,$P$2:$P$3058,"OK"),"KEEP","DROP"))</f>
        <v/>
      </c>
      <c r="T2997" s="9" t="n">
        <f aca="false">IF(A2997="",1,0)</f>
        <v>0</v>
      </c>
      <c r="U2997" s="9" t="n">
        <f aca="false">IF(D2997="",1,0)</f>
        <v>0</v>
      </c>
      <c r="V2997" s="9" t="n">
        <f aca="false">IF(E2997="",1,0)</f>
        <v>0</v>
      </c>
      <c r="W2997" s="9" t="n">
        <f aca="false">IF(OR(H2997&lt;1,H2997&gt;10),1,0)</f>
        <v>0</v>
      </c>
      <c r="X2997" s="9" t="n">
        <f aca="false">IF(OR(I2997&lt;=0,I2997&gt;1500),1,0)</f>
        <v>0</v>
      </c>
      <c r="Y2997" s="9" t="n">
        <f aca="false">IF(J2997&gt;H2997*I2997,1,0)</f>
        <v>0</v>
      </c>
      <c r="Z2997" s="9" t="n">
        <f aca="false">IF(AND(N2997&lt;&gt;"",OR(N2997&lt;1,N2997&gt;5)),1,0)</f>
        <v>0</v>
      </c>
      <c r="AA2997" s="9" t="n">
        <f aca="false">IF(AND(M2997&lt;&gt;"",OR(M2997&lt;5,M2997&gt;180)),1,0)</f>
        <v>0</v>
      </c>
      <c r="AB2997" s="7" t="str">
        <f aca="false">IF(P2997="DUP","Exact duplicate row",IF(T2997=1,"Missing Order ID",IF(S2997="DROP","Duplicate Order ID (less complete row)",IF(U2997=1,"Missing Customer ID",IF(V2997=1,"Missing Restaurant name",IF(W2997=1,"Invalid/outlier quantity",IF(X2997=1,"Invalid/outlier unit price",IF(Y2997=1,"Discount greater than order value",""))))))))</f>
        <v/>
      </c>
      <c r="AC2997" s="7" t="str">
        <f aca="false">IF(AB2997="","KEEP","DROP")</f>
        <v>KEEP</v>
      </c>
      <c r="AD2997" s="7" t="str">
        <f aca="false">IF(TRIM(F2997)="",IFERROR(INDEX(Map_Tables!$I$4:$I$37,MATCH(TRIM(E2997),Map_Tables!$G$4:$G$37,0)),""),IFERROR(INDEX(Map_Tables!$B$4:$B$18,MATCH(TRIM(F2997),Map_Tables!$A$4:$A$18,0)),"CHECK"))</f>
        <v>Mumbai</v>
      </c>
      <c r="AE2997" s="7" t="str">
        <f aca="false">IF(TRIM(E2997)="","",IFERROR(INDEX(Map_Tables!$H$4:$H$37,MATCH(TRIM(E2997),Map_Tables!$G$4:$G$37,0)),"CHECK"))</f>
        <v>Mumbai Pizza Co</v>
      </c>
      <c r="AF2997" s="7" t="str">
        <f aca="false">IF(TRIM(K2997)="","Unknown",IFERROR(INDEX(Map_Tables!$E$4:$E$15,MATCH(TRIM(K2997),Map_Tables!$D$4:$D$15,0)),"CHECK"))</f>
        <v>Cash on Delivery</v>
      </c>
      <c r="AG2997" s="7" t="str">
        <f aca="false">IF(LEFT(LOWER(TRIM(L2997)),6)="cancel","Cancelled","Delivered")</f>
        <v>Delivered</v>
      </c>
      <c r="AH2997" s="10" t="n">
        <f aca="false">IF(ISNUMBER(SEARCH("/",B2997)),DATE(VALUE(RIGHT(B2997,4)),VALUE(MID(B2997,4,2)),VALUE(LEFT(B2997,2))),IF(MID(B2997,5,1)="-",DATE(VALUE(LEFT(B2997,4)),VALUE(MID(B2997,6,2)),VALUE(RIGHT(B2997,2))),DATE(VALUE(RIGHT(B2997,4)),MATCH(MID(B2997,4,3),{"Jan","Feb","Mar","Apr","May","Jun","Jul","Aug","Sep","Oct","Nov","Dec"},0),VALUE(LEFT(B2997,2)))))</f>
        <v>45973</v>
      </c>
    </row>
    <row r="2998" customFormat="false" ht="15" hidden="false" customHeight="false" outlineLevel="0" collapsed="false">
      <c r="A2998" s="7" t="s">
        <v>6095</v>
      </c>
      <c r="B2998" s="7" t="s">
        <v>960</v>
      </c>
      <c r="C2998" s="7" t="s">
        <v>1054</v>
      </c>
      <c r="D2998" s="7" t="s">
        <v>6096</v>
      </c>
      <c r="E2998" s="7" t="s">
        <v>151</v>
      </c>
      <c r="F2998" s="7" t="s">
        <v>128</v>
      </c>
      <c r="G2998" s="7" t="s">
        <v>95</v>
      </c>
      <c r="H2998" s="7" t="n">
        <v>3</v>
      </c>
      <c r="I2998" s="7" t="n">
        <v>195</v>
      </c>
      <c r="J2998" s="7" t="n">
        <v>150</v>
      </c>
      <c r="K2998" s="7" t="s">
        <v>88</v>
      </c>
      <c r="L2998" s="7" t="s">
        <v>194</v>
      </c>
      <c r="M2998" s="7" t="n">
        <v>37</v>
      </c>
      <c r="N2998" s="7" t="n">
        <v>2</v>
      </c>
      <c r="O2998" s="7" t="str">
        <f aca="false">A2998&amp;"|"&amp;B2998&amp;"|"&amp;C2998&amp;"|"&amp;D2998&amp;"|"&amp;E2998&amp;"|"&amp;F2998&amp;"|"&amp;G2998&amp;"|"&amp;H2998&amp;"|"&amp;I2998&amp;"|"&amp;J2998&amp;"|"&amp;K2998&amp;"|"&amp;L2998&amp;"|"&amp;M2998&amp;"|"&amp;N2998</f>
        <v>ORD10932|2025-04-28|13:36|C0506|Chettinad House|Chennai|South Indian|3|195|150|UPI|Delivered|37|2</v>
      </c>
      <c r="P2998" s="7" t="str">
        <f aca="false">IF(COUNTIF($O$2:O2998,O2998)&gt;1,"DUP","OK")</f>
        <v>OK</v>
      </c>
      <c r="Q2998" s="7" t="n">
        <f aca="false">COUNTBLANK(A2998:N2998)</f>
        <v>0</v>
      </c>
      <c r="R2998" s="7" t="n">
        <f aca="false">IF(A2998="",0,COUNTIFS($A$2:$A$3058,A2998,$P$2:$P$3058,"OK"))</f>
        <v>1</v>
      </c>
      <c r="S2998" s="7" t="str">
        <f aca="false">IF(OR(A2998="",P2998="DUP",R2998&lt;2),"",IF(Q2998=_xlfn.MINIFS($Q$2:$Q$3058,$A$2:$A$3058,A2998,$P$2:$P$3058,"OK"),"KEEP","DROP"))</f>
        <v/>
      </c>
      <c r="T2998" s="9" t="n">
        <f aca="false">IF(A2998="",1,0)</f>
        <v>0</v>
      </c>
      <c r="U2998" s="9" t="n">
        <f aca="false">IF(D2998="",1,0)</f>
        <v>0</v>
      </c>
      <c r="V2998" s="9" t="n">
        <f aca="false">IF(E2998="",1,0)</f>
        <v>0</v>
      </c>
      <c r="W2998" s="9" t="n">
        <f aca="false">IF(OR(H2998&lt;1,H2998&gt;10),1,0)</f>
        <v>0</v>
      </c>
      <c r="X2998" s="9" t="n">
        <f aca="false">IF(OR(I2998&lt;=0,I2998&gt;1500),1,0)</f>
        <v>0</v>
      </c>
      <c r="Y2998" s="9" t="n">
        <f aca="false">IF(J2998&gt;H2998*I2998,1,0)</f>
        <v>0</v>
      </c>
      <c r="Z2998" s="9" t="n">
        <f aca="false">IF(AND(N2998&lt;&gt;"",OR(N2998&lt;1,N2998&gt;5)),1,0)</f>
        <v>0</v>
      </c>
      <c r="AA2998" s="9" t="n">
        <f aca="false">IF(AND(M2998&lt;&gt;"",OR(M2998&lt;5,M2998&gt;180)),1,0)</f>
        <v>0</v>
      </c>
      <c r="AB2998" s="7" t="str">
        <f aca="false">IF(P2998="DUP","Exact duplicate row",IF(T2998=1,"Missing Order ID",IF(S2998="DROP","Duplicate Order ID (less complete row)",IF(U2998=1,"Missing Customer ID",IF(V2998=1,"Missing Restaurant name",IF(W2998=1,"Invalid/outlier quantity",IF(X2998=1,"Invalid/outlier unit price",IF(Y2998=1,"Discount greater than order value",""))))))))</f>
        <v/>
      </c>
      <c r="AC2998" s="7" t="str">
        <f aca="false">IF(AB2998="","KEEP","DROP")</f>
        <v>KEEP</v>
      </c>
      <c r="AD2998" s="7" t="str">
        <f aca="false">IF(TRIM(F2998)="",IFERROR(INDEX(Map_Tables!$I$4:$I$37,MATCH(TRIM(E2998),Map_Tables!$G$4:$G$37,0)),""),IFERROR(INDEX(Map_Tables!$B$4:$B$18,MATCH(TRIM(F2998),Map_Tables!$A$4:$A$18,0)),"CHECK"))</f>
        <v>Chennai</v>
      </c>
      <c r="AE2998" s="7" t="str">
        <f aca="false">IF(TRIM(E2998)="","",IFERROR(INDEX(Map_Tables!$H$4:$H$37,MATCH(TRIM(E2998),Map_Tables!$G$4:$G$37,0)),"CHECK"))</f>
        <v>Chettinad House</v>
      </c>
      <c r="AF2998" s="7" t="str">
        <f aca="false">IF(TRIM(K2998)="","Unknown",IFERROR(INDEX(Map_Tables!$E$4:$E$15,MATCH(TRIM(K2998),Map_Tables!$D$4:$D$15,0)),"CHECK"))</f>
        <v>UPI</v>
      </c>
      <c r="AG2998" s="7" t="str">
        <f aca="false">IF(LEFT(LOWER(TRIM(L2998)),6)="cancel","Cancelled","Delivered")</f>
        <v>Delivered</v>
      </c>
      <c r="AH2998" s="10" t="n">
        <f aca="false">IF(ISNUMBER(SEARCH("/",B2998)),DATE(VALUE(RIGHT(B2998,4)),VALUE(MID(B2998,4,2)),VALUE(LEFT(B2998,2))),IF(MID(B2998,5,1)="-",DATE(VALUE(LEFT(B2998,4)),VALUE(MID(B2998,6,2)),VALUE(RIGHT(B2998,2))),DATE(VALUE(RIGHT(B2998,4)),MATCH(MID(B2998,4,3),{"Jan","Feb","Mar","Apr","May","Jun","Jul","Aug","Sep","Oct","Nov","Dec"},0),VALUE(LEFT(B2998,2)))))</f>
        <v>45775</v>
      </c>
    </row>
    <row r="2999" customFormat="false" ht="15" hidden="false" customHeight="false" outlineLevel="0" collapsed="false">
      <c r="A2999" s="7" t="s">
        <v>6097</v>
      </c>
      <c r="B2999" s="7" t="s">
        <v>903</v>
      </c>
      <c r="C2999" s="7" t="s">
        <v>1836</v>
      </c>
      <c r="D2999" s="7" t="s">
        <v>6098</v>
      </c>
      <c r="E2999" s="7" t="s">
        <v>147</v>
      </c>
      <c r="F2999" s="7" t="s">
        <v>119</v>
      </c>
      <c r="G2999" s="7" t="s">
        <v>95</v>
      </c>
      <c r="H2999" s="7" t="n">
        <v>3</v>
      </c>
      <c r="I2999" s="7" t="n">
        <v>190</v>
      </c>
      <c r="J2999" s="7" t="n">
        <v>0</v>
      </c>
      <c r="K2999" s="7" t="s">
        <v>93</v>
      </c>
      <c r="L2999" s="7" t="s">
        <v>194</v>
      </c>
      <c r="M2999" s="7" t="n">
        <v>36</v>
      </c>
      <c r="N2999" s="7" t="n">
        <v>4</v>
      </c>
      <c r="O2999" s="7" t="str">
        <f aca="false">A2999&amp;"|"&amp;B2999&amp;"|"&amp;C2999&amp;"|"&amp;D2999&amp;"|"&amp;E2999&amp;"|"&amp;F2999&amp;"|"&amp;G2999&amp;"|"&amp;H2999&amp;"|"&amp;I2999&amp;"|"&amp;J2999&amp;"|"&amp;K2999&amp;"|"&amp;L2999&amp;"|"&amp;M2999&amp;"|"&amp;N2999</f>
        <v>ORD12405|2025-10-30|23:39|C1357|Andhra Meals Mess|Hyderabad|South Indian|3|190|0|Credit Card|Delivered|36|4</v>
      </c>
      <c r="P2999" s="7" t="str">
        <f aca="false">IF(COUNTIF($O$2:O2999,O2999)&gt;1,"DUP","OK")</f>
        <v>OK</v>
      </c>
      <c r="Q2999" s="7" t="n">
        <f aca="false">COUNTBLANK(A2999:N2999)</f>
        <v>0</v>
      </c>
      <c r="R2999" s="7" t="n">
        <f aca="false">IF(A2999="",0,COUNTIFS($A$2:$A$3058,A2999,$P$2:$P$3058,"OK"))</f>
        <v>1</v>
      </c>
      <c r="S2999" s="7" t="str">
        <f aca="false">IF(OR(A2999="",P2999="DUP",R2999&lt;2),"",IF(Q2999=_xlfn.MINIFS($Q$2:$Q$3058,$A$2:$A$3058,A2999,$P$2:$P$3058,"OK"),"KEEP","DROP"))</f>
        <v/>
      </c>
      <c r="T2999" s="9" t="n">
        <f aca="false">IF(A2999="",1,0)</f>
        <v>0</v>
      </c>
      <c r="U2999" s="9" t="n">
        <f aca="false">IF(D2999="",1,0)</f>
        <v>0</v>
      </c>
      <c r="V2999" s="9" t="n">
        <f aca="false">IF(E2999="",1,0)</f>
        <v>0</v>
      </c>
      <c r="W2999" s="9" t="n">
        <f aca="false">IF(OR(H2999&lt;1,H2999&gt;10),1,0)</f>
        <v>0</v>
      </c>
      <c r="X2999" s="9" t="n">
        <f aca="false">IF(OR(I2999&lt;=0,I2999&gt;1500),1,0)</f>
        <v>0</v>
      </c>
      <c r="Y2999" s="9" t="n">
        <f aca="false">IF(J2999&gt;H2999*I2999,1,0)</f>
        <v>0</v>
      </c>
      <c r="Z2999" s="9" t="n">
        <f aca="false">IF(AND(N2999&lt;&gt;"",OR(N2999&lt;1,N2999&gt;5)),1,0)</f>
        <v>0</v>
      </c>
      <c r="AA2999" s="9" t="n">
        <f aca="false">IF(AND(M2999&lt;&gt;"",OR(M2999&lt;5,M2999&gt;180)),1,0)</f>
        <v>0</v>
      </c>
      <c r="AB2999" s="7" t="str">
        <f aca="false">IF(P2999="DUP","Exact duplicate row",IF(T2999=1,"Missing Order ID",IF(S2999="DROP","Duplicate Order ID (less complete row)",IF(U2999=1,"Missing Customer ID",IF(V2999=1,"Missing Restaurant name",IF(W2999=1,"Invalid/outlier quantity",IF(X2999=1,"Invalid/outlier unit price",IF(Y2999=1,"Discount greater than order value",""))))))))</f>
        <v/>
      </c>
      <c r="AC2999" s="7" t="str">
        <f aca="false">IF(AB2999="","KEEP","DROP")</f>
        <v>KEEP</v>
      </c>
      <c r="AD2999" s="7" t="str">
        <f aca="false">IF(TRIM(F2999)="",IFERROR(INDEX(Map_Tables!$I$4:$I$37,MATCH(TRIM(E2999),Map_Tables!$G$4:$G$37,0)),""),IFERROR(INDEX(Map_Tables!$B$4:$B$18,MATCH(TRIM(F2999),Map_Tables!$A$4:$A$18,0)),"CHECK"))</f>
        <v>Hyderabad</v>
      </c>
      <c r="AE2999" s="7" t="str">
        <f aca="false">IF(TRIM(E2999)="","",IFERROR(INDEX(Map_Tables!$H$4:$H$37,MATCH(TRIM(E2999),Map_Tables!$G$4:$G$37,0)),"CHECK"))</f>
        <v>Andhra Meals Mess</v>
      </c>
      <c r="AF2999" s="7" t="str">
        <f aca="false">IF(TRIM(K2999)="","Unknown",IFERROR(INDEX(Map_Tables!$E$4:$E$15,MATCH(TRIM(K2999),Map_Tables!$D$4:$D$15,0)),"CHECK"))</f>
        <v>Credit Card</v>
      </c>
      <c r="AG2999" s="7" t="str">
        <f aca="false">IF(LEFT(LOWER(TRIM(L2999)),6)="cancel","Cancelled","Delivered")</f>
        <v>Delivered</v>
      </c>
      <c r="AH2999" s="10" t="n">
        <f aca="false">IF(ISNUMBER(SEARCH("/",B2999)),DATE(VALUE(RIGHT(B2999,4)),VALUE(MID(B2999,4,2)),VALUE(LEFT(B2999,2))),IF(MID(B2999,5,1)="-",DATE(VALUE(LEFT(B2999,4)),VALUE(MID(B2999,6,2)),VALUE(RIGHT(B2999,2))),DATE(VALUE(RIGHT(B2999,4)),MATCH(MID(B2999,4,3),{"Jan","Feb","Mar","Apr","May","Jun","Jul","Aug","Sep","Oct","Nov","Dec"},0),VALUE(LEFT(B2999,2)))))</f>
        <v>45960</v>
      </c>
    </row>
    <row r="3000" customFormat="false" ht="15" hidden="false" customHeight="false" outlineLevel="0" collapsed="false">
      <c r="A3000" s="7" t="s">
        <v>6099</v>
      </c>
      <c r="B3000" s="7" t="s">
        <v>1276</v>
      </c>
      <c r="C3000" s="7" t="s">
        <v>755</v>
      </c>
      <c r="D3000" s="7" t="s">
        <v>4996</v>
      </c>
      <c r="E3000" s="7" t="s">
        <v>164</v>
      </c>
      <c r="F3000" s="7" t="s">
        <v>141</v>
      </c>
      <c r="G3000" s="7" t="s">
        <v>150</v>
      </c>
      <c r="H3000" s="7" t="n">
        <v>4</v>
      </c>
      <c r="I3000" s="7" t="n">
        <v>115</v>
      </c>
      <c r="J3000" s="7" t="n">
        <v>30</v>
      </c>
      <c r="K3000" s="7" t="s">
        <v>93</v>
      </c>
      <c r="L3000" s="7" t="s">
        <v>194</v>
      </c>
      <c r="M3000" s="7" t="n">
        <v>41</v>
      </c>
      <c r="N3000" s="7" t="n">
        <v>3</v>
      </c>
      <c r="O3000" s="7" t="str">
        <f aca="false">A3000&amp;"|"&amp;B3000&amp;"|"&amp;C3000&amp;"|"&amp;D3000&amp;"|"&amp;E3000&amp;"|"&amp;F3000&amp;"|"&amp;G3000&amp;"|"&amp;H3000&amp;"|"&amp;I3000&amp;"|"&amp;J3000&amp;"|"&amp;K3000&amp;"|"&amp;L3000&amp;"|"&amp;M3000&amp;"|"&amp;N3000</f>
        <v>ORD11686|2025-08-09|11:24|C0541|Mishti Mandir|Kolkata|Desserts|4|115|30|Credit Card|Delivered|41|3</v>
      </c>
      <c r="P3000" s="7" t="str">
        <f aca="false">IF(COUNTIF($O$2:O3000,O3000)&gt;1,"DUP","OK")</f>
        <v>OK</v>
      </c>
      <c r="Q3000" s="7" t="n">
        <f aca="false">COUNTBLANK(A3000:N3000)</f>
        <v>0</v>
      </c>
      <c r="R3000" s="7" t="n">
        <f aca="false">IF(A3000="",0,COUNTIFS($A$2:$A$3058,A3000,$P$2:$P$3058,"OK"))</f>
        <v>1</v>
      </c>
      <c r="S3000" s="7" t="str">
        <f aca="false">IF(OR(A3000="",P3000="DUP",R3000&lt;2),"",IF(Q3000=_xlfn.MINIFS($Q$2:$Q$3058,$A$2:$A$3058,A3000,$P$2:$P$3058,"OK"),"KEEP","DROP"))</f>
        <v/>
      </c>
      <c r="T3000" s="9" t="n">
        <f aca="false">IF(A3000="",1,0)</f>
        <v>0</v>
      </c>
      <c r="U3000" s="9" t="n">
        <f aca="false">IF(D3000="",1,0)</f>
        <v>0</v>
      </c>
      <c r="V3000" s="9" t="n">
        <f aca="false">IF(E3000="",1,0)</f>
        <v>0</v>
      </c>
      <c r="W3000" s="9" t="n">
        <f aca="false">IF(OR(H3000&lt;1,H3000&gt;10),1,0)</f>
        <v>0</v>
      </c>
      <c r="X3000" s="9" t="n">
        <f aca="false">IF(OR(I3000&lt;=0,I3000&gt;1500),1,0)</f>
        <v>0</v>
      </c>
      <c r="Y3000" s="9" t="n">
        <f aca="false">IF(J3000&gt;H3000*I3000,1,0)</f>
        <v>0</v>
      </c>
      <c r="Z3000" s="9" t="n">
        <f aca="false">IF(AND(N3000&lt;&gt;"",OR(N3000&lt;1,N3000&gt;5)),1,0)</f>
        <v>0</v>
      </c>
      <c r="AA3000" s="9" t="n">
        <f aca="false">IF(AND(M3000&lt;&gt;"",OR(M3000&lt;5,M3000&gt;180)),1,0)</f>
        <v>0</v>
      </c>
      <c r="AB3000" s="7" t="str">
        <f aca="false">IF(P3000="DUP","Exact duplicate row",IF(T3000=1,"Missing Order ID",IF(S3000="DROP","Duplicate Order ID (less complete row)",IF(U3000=1,"Missing Customer ID",IF(V3000=1,"Missing Restaurant name",IF(W3000=1,"Invalid/outlier quantity",IF(X3000=1,"Invalid/outlier unit price",IF(Y3000=1,"Discount greater than order value",""))))))))</f>
        <v/>
      </c>
      <c r="AC3000" s="7" t="str">
        <f aca="false">IF(AB3000="","KEEP","DROP")</f>
        <v>KEEP</v>
      </c>
      <c r="AD3000" s="7" t="str">
        <f aca="false">IF(TRIM(F3000)="",IFERROR(INDEX(Map_Tables!$I$4:$I$37,MATCH(TRIM(E3000),Map_Tables!$G$4:$G$37,0)),""),IFERROR(INDEX(Map_Tables!$B$4:$B$18,MATCH(TRIM(F3000),Map_Tables!$A$4:$A$18,0)),"CHECK"))</f>
        <v>Kolkata</v>
      </c>
      <c r="AE3000" s="7" t="str">
        <f aca="false">IF(TRIM(E3000)="","",IFERROR(INDEX(Map_Tables!$H$4:$H$37,MATCH(TRIM(E3000),Map_Tables!$G$4:$G$37,0)),"CHECK"))</f>
        <v>Mishti Mandir</v>
      </c>
      <c r="AF3000" s="7" t="str">
        <f aca="false">IF(TRIM(K3000)="","Unknown",IFERROR(INDEX(Map_Tables!$E$4:$E$15,MATCH(TRIM(K3000),Map_Tables!$D$4:$D$15,0)),"CHECK"))</f>
        <v>Credit Card</v>
      </c>
      <c r="AG3000" s="7" t="str">
        <f aca="false">IF(LEFT(LOWER(TRIM(L3000)),6)="cancel","Cancelled","Delivered")</f>
        <v>Delivered</v>
      </c>
      <c r="AH3000" s="10" t="n">
        <f aca="false">IF(ISNUMBER(SEARCH("/",B3000)),DATE(VALUE(RIGHT(B3000,4)),VALUE(MID(B3000,4,2)),VALUE(LEFT(B3000,2))),IF(MID(B3000,5,1)="-",DATE(VALUE(LEFT(B3000,4)),VALUE(MID(B3000,6,2)),VALUE(RIGHT(B3000,2))),DATE(VALUE(RIGHT(B3000,4)),MATCH(MID(B3000,4,3),{"Jan","Feb","Mar","Apr","May","Jun","Jul","Aug","Sep","Oct","Nov","Dec"},0),VALUE(LEFT(B3000,2)))))</f>
        <v>45878</v>
      </c>
    </row>
    <row r="3001" customFormat="false" ht="15" hidden="false" customHeight="false" outlineLevel="0" collapsed="false">
      <c r="A3001" s="7" t="s">
        <v>6100</v>
      </c>
      <c r="B3001" s="7" t="s">
        <v>2492</v>
      </c>
      <c r="C3001" s="7" t="s">
        <v>5017</v>
      </c>
      <c r="D3001" s="7" t="s">
        <v>3792</v>
      </c>
      <c r="E3001" s="7" t="s">
        <v>1130</v>
      </c>
      <c r="F3001" s="7" t="s">
        <v>119</v>
      </c>
      <c r="G3001" s="7" t="s">
        <v>150</v>
      </c>
      <c r="H3001" s="7" t="n">
        <v>2</v>
      </c>
      <c r="I3001" s="7" t="n">
        <v>165</v>
      </c>
      <c r="J3001" s="7" t="n">
        <v>0</v>
      </c>
      <c r="K3001" s="7" t="s">
        <v>112</v>
      </c>
      <c r="L3001" s="7" t="s">
        <v>194</v>
      </c>
      <c r="M3001" s="7" t="n">
        <v>32</v>
      </c>
      <c r="N3001" s="7" t="n">
        <v>5</v>
      </c>
      <c r="O3001" s="7" t="str">
        <f aca="false">A3001&amp;"|"&amp;B3001&amp;"|"&amp;C3001&amp;"|"&amp;D3001&amp;"|"&amp;E3001&amp;"|"&amp;F3001&amp;"|"&amp;G3001&amp;"|"&amp;H3001&amp;"|"&amp;I3001&amp;"|"&amp;J3001&amp;"|"&amp;K3001&amp;"|"&amp;L3001&amp;"|"&amp;M3001&amp;"|"&amp;N3001</f>
        <v>ORD11249|2025-06-08|19:38|C0783|sweet tooth studio|Hyderabad|Desserts|2|165|0|Cash on Delivery|Delivered|32|5</v>
      </c>
      <c r="P3001" s="7" t="str">
        <f aca="false">IF(COUNTIF($O$2:O3001,O3001)&gt;1,"DUP","OK")</f>
        <v>OK</v>
      </c>
      <c r="Q3001" s="7" t="n">
        <f aca="false">COUNTBLANK(A3001:N3001)</f>
        <v>0</v>
      </c>
      <c r="R3001" s="7" t="n">
        <f aca="false">IF(A3001="",0,COUNTIFS($A$2:$A$3058,A3001,$P$2:$P$3058,"OK"))</f>
        <v>1</v>
      </c>
      <c r="S3001" s="7" t="str">
        <f aca="false">IF(OR(A3001="",P3001="DUP",R3001&lt;2),"",IF(Q3001=_xlfn.MINIFS($Q$2:$Q$3058,$A$2:$A$3058,A3001,$P$2:$P$3058,"OK"),"KEEP","DROP"))</f>
        <v/>
      </c>
      <c r="T3001" s="9" t="n">
        <f aca="false">IF(A3001="",1,0)</f>
        <v>0</v>
      </c>
      <c r="U3001" s="9" t="n">
        <f aca="false">IF(D3001="",1,0)</f>
        <v>0</v>
      </c>
      <c r="V3001" s="9" t="n">
        <f aca="false">IF(E3001="",1,0)</f>
        <v>0</v>
      </c>
      <c r="W3001" s="9" t="n">
        <f aca="false">IF(OR(H3001&lt;1,H3001&gt;10),1,0)</f>
        <v>0</v>
      </c>
      <c r="X3001" s="9" t="n">
        <f aca="false">IF(OR(I3001&lt;=0,I3001&gt;1500),1,0)</f>
        <v>0</v>
      </c>
      <c r="Y3001" s="9" t="n">
        <f aca="false">IF(J3001&gt;H3001*I3001,1,0)</f>
        <v>0</v>
      </c>
      <c r="Z3001" s="9" t="n">
        <f aca="false">IF(AND(N3001&lt;&gt;"",OR(N3001&lt;1,N3001&gt;5)),1,0)</f>
        <v>0</v>
      </c>
      <c r="AA3001" s="9" t="n">
        <f aca="false">IF(AND(M3001&lt;&gt;"",OR(M3001&lt;5,M3001&gt;180)),1,0)</f>
        <v>0</v>
      </c>
      <c r="AB3001" s="7" t="str">
        <f aca="false">IF(P3001="DUP","Exact duplicate row",IF(T3001=1,"Missing Order ID",IF(S3001="DROP","Duplicate Order ID (less complete row)",IF(U3001=1,"Missing Customer ID",IF(V3001=1,"Missing Restaurant name",IF(W3001=1,"Invalid/outlier quantity",IF(X3001=1,"Invalid/outlier unit price",IF(Y3001=1,"Discount greater than order value",""))))))))</f>
        <v/>
      </c>
      <c r="AC3001" s="7" t="str">
        <f aca="false">IF(AB3001="","KEEP","DROP")</f>
        <v>KEEP</v>
      </c>
      <c r="AD3001" s="7" t="str">
        <f aca="false">IF(TRIM(F3001)="",IFERROR(INDEX(Map_Tables!$I$4:$I$37,MATCH(TRIM(E3001),Map_Tables!$G$4:$G$37,0)),""),IFERROR(INDEX(Map_Tables!$B$4:$B$18,MATCH(TRIM(F3001),Map_Tables!$A$4:$A$18,0)),"CHECK"))</f>
        <v>Hyderabad</v>
      </c>
      <c r="AE3001" s="7" t="str">
        <f aca="false">IF(TRIM(E3001)="","",IFERROR(INDEX(Map_Tables!$H$4:$H$37,MATCH(TRIM(E3001),Map_Tables!$G$4:$G$37,0)),"CHECK"))</f>
        <v>Sweet Tooth Studio</v>
      </c>
      <c r="AF3001" s="7" t="str">
        <f aca="false">IF(TRIM(K3001)="","Unknown",IFERROR(INDEX(Map_Tables!$E$4:$E$15,MATCH(TRIM(K3001),Map_Tables!$D$4:$D$15,0)),"CHECK"))</f>
        <v>Cash on Delivery</v>
      </c>
      <c r="AG3001" s="7" t="str">
        <f aca="false">IF(LEFT(LOWER(TRIM(L3001)),6)="cancel","Cancelled","Delivered")</f>
        <v>Delivered</v>
      </c>
      <c r="AH3001" s="10" t="n">
        <f aca="false">IF(ISNUMBER(SEARCH("/",B3001)),DATE(VALUE(RIGHT(B3001,4)),VALUE(MID(B3001,4,2)),VALUE(LEFT(B3001,2))),IF(MID(B3001,5,1)="-",DATE(VALUE(LEFT(B3001,4)),VALUE(MID(B3001,6,2)),VALUE(RIGHT(B3001,2))),DATE(VALUE(RIGHT(B3001,4)),MATCH(MID(B3001,4,3),{"Jan","Feb","Mar","Apr","May","Jun","Jul","Aug","Sep","Oct","Nov","Dec"},0),VALUE(LEFT(B3001,2)))))</f>
        <v>45816</v>
      </c>
    </row>
    <row r="3002" customFormat="false" ht="15" hidden="false" customHeight="false" outlineLevel="0" collapsed="false">
      <c r="A3002" s="7" t="s">
        <v>6101</v>
      </c>
      <c r="B3002" s="7" t="s">
        <v>1086</v>
      </c>
      <c r="C3002" s="7" t="s">
        <v>2083</v>
      </c>
      <c r="D3002" s="7" t="s">
        <v>1322</v>
      </c>
      <c r="E3002" s="7" t="s">
        <v>113</v>
      </c>
      <c r="F3002" s="7" t="s">
        <v>101</v>
      </c>
      <c r="G3002" s="7" t="s">
        <v>90</v>
      </c>
      <c r="H3002" s="7" t="n">
        <v>4</v>
      </c>
      <c r="I3002" s="7" t="n">
        <v>235</v>
      </c>
      <c r="J3002" s="7" t="n">
        <v>0</v>
      </c>
      <c r="K3002" s="7" t="s">
        <v>1173</v>
      </c>
      <c r="L3002" s="7" t="s">
        <v>238</v>
      </c>
      <c r="M3002" s="7"/>
      <c r="N3002" s="7"/>
      <c r="O3002" s="7" t="str">
        <f aca="false">A3002&amp;"|"&amp;B3002&amp;"|"&amp;C3002&amp;"|"&amp;D3002&amp;"|"&amp;E3002&amp;"|"&amp;F3002&amp;"|"&amp;G3002&amp;"|"&amp;H3002&amp;"|"&amp;I3002&amp;"|"&amp;J3002&amp;"|"&amp;K3002&amp;"|"&amp;L3002&amp;"|"&amp;M3002&amp;"|"&amp;N3002</f>
        <v>ORD10760|2025-04-06|21:13|C1310|Curry Leaf Kitchen|Mumbai|North Indian|4|235|0|E-Wallet|Cancelled||</v>
      </c>
      <c r="P3002" s="7" t="str">
        <f aca="false">IF(COUNTIF($O$2:O3002,O3002)&gt;1,"DUP","OK")</f>
        <v>OK</v>
      </c>
      <c r="Q3002" s="7" t="n">
        <f aca="false">COUNTBLANK(A3002:N3002)</f>
        <v>2</v>
      </c>
      <c r="R3002" s="7" t="n">
        <f aca="false">IF(A3002="",0,COUNTIFS($A$2:$A$3058,A3002,$P$2:$P$3058,"OK"))</f>
        <v>1</v>
      </c>
      <c r="S3002" s="7" t="str">
        <f aca="false">IF(OR(A3002="",P3002="DUP",R3002&lt;2),"",IF(Q3002=_xlfn.MINIFS($Q$2:$Q$3058,$A$2:$A$3058,A3002,$P$2:$P$3058,"OK"),"KEEP","DROP"))</f>
        <v/>
      </c>
      <c r="T3002" s="9" t="n">
        <f aca="false">IF(A3002="",1,0)</f>
        <v>0</v>
      </c>
      <c r="U3002" s="9" t="n">
        <f aca="false">IF(D3002="",1,0)</f>
        <v>0</v>
      </c>
      <c r="V3002" s="9" t="n">
        <f aca="false">IF(E3002="",1,0)</f>
        <v>0</v>
      </c>
      <c r="W3002" s="9" t="n">
        <f aca="false">IF(OR(H3002&lt;1,H3002&gt;10),1,0)</f>
        <v>0</v>
      </c>
      <c r="X3002" s="9" t="n">
        <f aca="false">IF(OR(I3002&lt;=0,I3002&gt;1500),1,0)</f>
        <v>0</v>
      </c>
      <c r="Y3002" s="9" t="n">
        <f aca="false">IF(J3002&gt;H3002*I3002,1,0)</f>
        <v>0</v>
      </c>
      <c r="Z3002" s="9" t="n">
        <f aca="false">IF(AND(N3002&lt;&gt;"",OR(N3002&lt;1,N3002&gt;5)),1,0)</f>
        <v>0</v>
      </c>
      <c r="AA3002" s="9" t="n">
        <f aca="false">IF(AND(M3002&lt;&gt;"",OR(M3002&lt;5,M3002&gt;180)),1,0)</f>
        <v>0</v>
      </c>
      <c r="AB3002" s="7" t="str">
        <f aca="false">IF(P3002="DUP","Exact duplicate row",IF(T3002=1,"Missing Order ID",IF(S3002="DROP","Duplicate Order ID (less complete row)",IF(U3002=1,"Missing Customer ID",IF(V3002=1,"Missing Restaurant name",IF(W3002=1,"Invalid/outlier quantity",IF(X3002=1,"Invalid/outlier unit price",IF(Y3002=1,"Discount greater than order value",""))))))))</f>
        <v/>
      </c>
      <c r="AC3002" s="7" t="str">
        <f aca="false">IF(AB3002="","KEEP","DROP")</f>
        <v>KEEP</v>
      </c>
      <c r="AD3002" s="7" t="str">
        <f aca="false">IF(TRIM(F3002)="",IFERROR(INDEX(Map_Tables!$I$4:$I$37,MATCH(TRIM(E3002),Map_Tables!$G$4:$G$37,0)),""),IFERROR(INDEX(Map_Tables!$B$4:$B$18,MATCH(TRIM(F3002),Map_Tables!$A$4:$A$18,0)),"CHECK"))</f>
        <v>Mumbai</v>
      </c>
      <c r="AE3002" s="7" t="str">
        <f aca="false">IF(TRIM(E3002)="","",IFERROR(INDEX(Map_Tables!$H$4:$H$37,MATCH(TRIM(E3002),Map_Tables!$G$4:$G$37,0)),"CHECK"))</f>
        <v>Curry Leaf Kitchen</v>
      </c>
      <c r="AF3002" s="7" t="str">
        <f aca="false">IF(TRIM(K3002)="","Unknown",IFERROR(INDEX(Map_Tables!$E$4:$E$15,MATCH(TRIM(K3002),Map_Tables!$D$4:$D$15,0)),"CHECK"))</f>
        <v>Wallet</v>
      </c>
      <c r="AG3002" s="7" t="str">
        <f aca="false">IF(LEFT(LOWER(TRIM(L3002)),6)="cancel","Cancelled","Delivered")</f>
        <v>Cancelled</v>
      </c>
      <c r="AH3002" s="10" t="n">
        <f aca="false">IF(ISNUMBER(SEARCH("/",B3002)),DATE(VALUE(RIGHT(B3002,4)),VALUE(MID(B3002,4,2)),VALUE(LEFT(B3002,2))),IF(MID(B3002,5,1)="-",DATE(VALUE(LEFT(B3002,4)),VALUE(MID(B3002,6,2)),VALUE(RIGHT(B3002,2))),DATE(VALUE(RIGHT(B3002,4)),MATCH(MID(B3002,4,3),{"Jan","Feb","Mar","Apr","May","Jun","Jul","Aug","Sep","Oct","Nov","Dec"},0),VALUE(LEFT(B3002,2)))))</f>
        <v>45753</v>
      </c>
    </row>
    <row r="3003" customFormat="false" ht="15" hidden="false" customHeight="false" outlineLevel="0" collapsed="false">
      <c r="A3003" s="7" t="s">
        <v>6102</v>
      </c>
      <c r="B3003" s="7" t="s">
        <v>6103</v>
      </c>
      <c r="C3003" s="7" t="s">
        <v>944</v>
      </c>
      <c r="D3003" s="7" t="s">
        <v>2967</v>
      </c>
      <c r="E3003" s="7" t="s">
        <v>154</v>
      </c>
      <c r="F3003" s="7" t="s">
        <v>128</v>
      </c>
      <c r="G3003" s="7" t="s">
        <v>99</v>
      </c>
      <c r="H3003" s="7" t="n">
        <v>1</v>
      </c>
      <c r="I3003" s="7" t="n">
        <v>325</v>
      </c>
      <c r="J3003" s="7" t="n">
        <v>20</v>
      </c>
      <c r="K3003" s="7" t="s">
        <v>121</v>
      </c>
      <c r="L3003" s="7" t="s">
        <v>194</v>
      </c>
      <c r="M3003" s="7" t="n">
        <v>30</v>
      </c>
      <c r="N3003" s="7"/>
      <c r="O3003" s="7" t="str">
        <f aca="false">A3003&amp;"|"&amp;B3003&amp;"|"&amp;C3003&amp;"|"&amp;D3003&amp;"|"&amp;E3003&amp;"|"&amp;F3003&amp;"|"&amp;G3003&amp;"|"&amp;H3003&amp;"|"&amp;I3003&amp;"|"&amp;J3003&amp;"|"&amp;K3003&amp;"|"&amp;L3003&amp;"|"&amp;M3003&amp;"|"&amp;N3003</f>
        <v>ORD10093|12-Jan-2025|21:57|C0574|Madras Biryani Co|Chennai|Biryani|1|325|20|Wallet|Delivered|30|</v>
      </c>
      <c r="P3003" s="7" t="str">
        <f aca="false">IF(COUNTIF($O$2:O3003,O3003)&gt;1,"DUP","OK")</f>
        <v>OK</v>
      </c>
      <c r="Q3003" s="7" t="n">
        <f aca="false">COUNTBLANK(A3003:N3003)</f>
        <v>1</v>
      </c>
      <c r="R3003" s="7" t="n">
        <f aca="false">IF(A3003="",0,COUNTIFS($A$2:$A$3058,A3003,$P$2:$P$3058,"OK"))</f>
        <v>1</v>
      </c>
      <c r="S3003" s="7" t="str">
        <f aca="false">IF(OR(A3003="",P3003="DUP",R3003&lt;2),"",IF(Q3003=_xlfn.MINIFS($Q$2:$Q$3058,$A$2:$A$3058,A3003,$P$2:$P$3058,"OK"),"KEEP","DROP"))</f>
        <v/>
      </c>
      <c r="T3003" s="9" t="n">
        <f aca="false">IF(A3003="",1,0)</f>
        <v>0</v>
      </c>
      <c r="U3003" s="9" t="n">
        <f aca="false">IF(D3003="",1,0)</f>
        <v>0</v>
      </c>
      <c r="V3003" s="9" t="n">
        <f aca="false">IF(E3003="",1,0)</f>
        <v>0</v>
      </c>
      <c r="W3003" s="9" t="n">
        <f aca="false">IF(OR(H3003&lt;1,H3003&gt;10),1,0)</f>
        <v>0</v>
      </c>
      <c r="X3003" s="9" t="n">
        <f aca="false">IF(OR(I3003&lt;=0,I3003&gt;1500),1,0)</f>
        <v>0</v>
      </c>
      <c r="Y3003" s="9" t="n">
        <f aca="false">IF(J3003&gt;H3003*I3003,1,0)</f>
        <v>0</v>
      </c>
      <c r="Z3003" s="9" t="n">
        <f aca="false">IF(AND(N3003&lt;&gt;"",OR(N3003&lt;1,N3003&gt;5)),1,0)</f>
        <v>0</v>
      </c>
      <c r="AA3003" s="9" t="n">
        <f aca="false">IF(AND(M3003&lt;&gt;"",OR(M3003&lt;5,M3003&gt;180)),1,0)</f>
        <v>0</v>
      </c>
      <c r="AB3003" s="7" t="str">
        <f aca="false">IF(P3003="DUP","Exact duplicate row",IF(T3003=1,"Missing Order ID",IF(S3003="DROP","Duplicate Order ID (less complete row)",IF(U3003=1,"Missing Customer ID",IF(V3003=1,"Missing Restaurant name",IF(W3003=1,"Invalid/outlier quantity",IF(X3003=1,"Invalid/outlier unit price",IF(Y3003=1,"Discount greater than order value",""))))))))</f>
        <v/>
      </c>
      <c r="AC3003" s="7" t="str">
        <f aca="false">IF(AB3003="","KEEP","DROP")</f>
        <v>KEEP</v>
      </c>
      <c r="AD3003" s="7" t="str">
        <f aca="false">IF(TRIM(F3003)="",IFERROR(INDEX(Map_Tables!$I$4:$I$37,MATCH(TRIM(E3003),Map_Tables!$G$4:$G$37,0)),""),IFERROR(INDEX(Map_Tables!$B$4:$B$18,MATCH(TRIM(F3003),Map_Tables!$A$4:$A$18,0)),"CHECK"))</f>
        <v>Chennai</v>
      </c>
      <c r="AE3003" s="7" t="str">
        <f aca="false">IF(TRIM(E3003)="","",IFERROR(INDEX(Map_Tables!$H$4:$H$37,MATCH(TRIM(E3003),Map_Tables!$G$4:$G$37,0)),"CHECK"))</f>
        <v>Madras Biryani Co</v>
      </c>
      <c r="AF3003" s="7" t="str">
        <f aca="false">IF(TRIM(K3003)="","Unknown",IFERROR(INDEX(Map_Tables!$E$4:$E$15,MATCH(TRIM(K3003),Map_Tables!$D$4:$D$15,0)),"CHECK"))</f>
        <v>Wallet</v>
      </c>
      <c r="AG3003" s="7" t="str">
        <f aca="false">IF(LEFT(LOWER(TRIM(L3003)),6)="cancel","Cancelled","Delivered")</f>
        <v>Delivered</v>
      </c>
      <c r="AH3003" s="10" t="n">
        <f aca="false">IF(ISNUMBER(SEARCH("/",B3003)),DATE(VALUE(RIGHT(B3003,4)),VALUE(MID(B3003,4,2)),VALUE(LEFT(B3003,2))),IF(MID(B3003,5,1)="-",DATE(VALUE(LEFT(B3003,4)),VALUE(MID(B3003,6,2)),VALUE(RIGHT(B3003,2))),DATE(VALUE(RIGHT(B3003,4)),MATCH(MID(B3003,4,3),{"Jan","Feb","Mar","Apr","May","Jun","Jul","Aug","Sep","Oct","Nov","Dec"},0),VALUE(LEFT(B3003,2)))))</f>
        <v>45669</v>
      </c>
    </row>
    <row r="3004" customFormat="false" ht="15" hidden="false" customHeight="false" outlineLevel="0" collapsed="false">
      <c r="A3004" s="7" t="s">
        <v>6104</v>
      </c>
      <c r="B3004" s="7" t="s">
        <v>2333</v>
      </c>
      <c r="C3004" s="7" t="s">
        <v>2856</v>
      </c>
      <c r="D3004" s="7" t="s">
        <v>4646</v>
      </c>
      <c r="E3004" s="7" t="s">
        <v>164</v>
      </c>
      <c r="F3004" s="7" t="s">
        <v>1793</v>
      </c>
      <c r="G3004" s="7" t="s">
        <v>150</v>
      </c>
      <c r="H3004" s="7" t="n">
        <v>1</v>
      </c>
      <c r="I3004" s="7" t="n">
        <v>80</v>
      </c>
      <c r="J3004" s="7" t="n">
        <v>0</v>
      </c>
      <c r="K3004" s="7" t="s">
        <v>88</v>
      </c>
      <c r="L3004" s="7" t="s">
        <v>194</v>
      </c>
      <c r="M3004" s="7" t="n">
        <v>38</v>
      </c>
      <c r="N3004" s="7" t="n">
        <v>4</v>
      </c>
      <c r="O3004" s="7" t="str">
        <f aca="false">A3004&amp;"|"&amp;B3004&amp;"|"&amp;C3004&amp;"|"&amp;D3004&amp;"|"&amp;E3004&amp;"|"&amp;F3004&amp;"|"&amp;G3004&amp;"|"&amp;H3004&amp;"|"&amp;I3004&amp;"|"&amp;J3004&amp;"|"&amp;K3004&amp;"|"&amp;L3004&amp;"|"&amp;M3004&amp;"|"&amp;N3004</f>
        <v>ORD11176|2025-05-29|21:48|C1334|Mishti Mandir|Calcutta|Desserts|1|80|0|UPI|Delivered|38|4</v>
      </c>
      <c r="P3004" s="7" t="str">
        <f aca="false">IF(COUNTIF($O$2:O3004,O3004)&gt;1,"DUP","OK")</f>
        <v>OK</v>
      </c>
      <c r="Q3004" s="7" t="n">
        <f aca="false">COUNTBLANK(A3004:N3004)</f>
        <v>0</v>
      </c>
      <c r="R3004" s="7" t="n">
        <f aca="false">IF(A3004="",0,COUNTIFS($A$2:$A$3058,A3004,$P$2:$P$3058,"OK"))</f>
        <v>1</v>
      </c>
      <c r="S3004" s="7" t="str">
        <f aca="false">IF(OR(A3004="",P3004="DUP",R3004&lt;2),"",IF(Q3004=_xlfn.MINIFS($Q$2:$Q$3058,$A$2:$A$3058,A3004,$P$2:$P$3058,"OK"),"KEEP","DROP"))</f>
        <v/>
      </c>
      <c r="T3004" s="9" t="n">
        <f aca="false">IF(A3004="",1,0)</f>
        <v>0</v>
      </c>
      <c r="U3004" s="9" t="n">
        <f aca="false">IF(D3004="",1,0)</f>
        <v>0</v>
      </c>
      <c r="V3004" s="9" t="n">
        <f aca="false">IF(E3004="",1,0)</f>
        <v>0</v>
      </c>
      <c r="W3004" s="9" t="n">
        <f aca="false">IF(OR(H3004&lt;1,H3004&gt;10),1,0)</f>
        <v>0</v>
      </c>
      <c r="X3004" s="9" t="n">
        <f aca="false">IF(OR(I3004&lt;=0,I3004&gt;1500),1,0)</f>
        <v>0</v>
      </c>
      <c r="Y3004" s="9" t="n">
        <f aca="false">IF(J3004&gt;H3004*I3004,1,0)</f>
        <v>0</v>
      </c>
      <c r="Z3004" s="9" t="n">
        <f aca="false">IF(AND(N3004&lt;&gt;"",OR(N3004&lt;1,N3004&gt;5)),1,0)</f>
        <v>0</v>
      </c>
      <c r="AA3004" s="9" t="n">
        <f aca="false">IF(AND(M3004&lt;&gt;"",OR(M3004&lt;5,M3004&gt;180)),1,0)</f>
        <v>0</v>
      </c>
      <c r="AB3004" s="7" t="str">
        <f aca="false">IF(P3004="DUP","Exact duplicate row",IF(T3004=1,"Missing Order ID",IF(S3004="DROP","Duplicate Order ID (less complete row)",IF(U3004=1,"Missing Customer ID",IF(V3004=1,"Missing Restaurant name",IF(W3004=1,"Invalid/outlier quantity",IF(X3004=1,"Invalid/outlier unit price",IF(Y3004=1,"Discount greater than order value",""))))))))</f>
        <v/>
      </c>
      <c r="AC3004" s="7" t="str">
        <f aca="false">IF(AB3004="","KEEP","DROP")</f>
        <v>KEEP</v>
      </c>
      <c r="AD3004" s="7" t="str">
        <f aca="false">IF(TRIM(F3004)="",IFERROR(INDEX(Map_Tables!$I$4:$I$37,MATCH(TRIM(E3004),Map_Tables!$G$4:$G$37,0)),""),IFERROR(INDEX(Map_Tables!$B$4:$B$18,MATCH(TRIM(F3004),Map_Tables!$A$4:$A$18,0)),"CHECK"))</f>
        <v>Kolkata</v>
      </c>
      <c r="AE3004" s="7" t="str">
        <f aca="false">IF(TRIM(E3004)="","",IFERROR(INDEX(Map_Tables!$H$4:$H$37,MATCH(TRIM(E3004),Map_Tables!$G$4:$G$37,0)),"CHECK"))</f>
        <v>Mishti Mandir</v>
      </c>
      <c r="AF3004" s="7" t="str">
        <f aca="false">IF(TRIM(K3004)="","Unknown",IFERROR(INDEX(Map_Tables!$E$4:$E$15,MATCH(TRIM(K3004),Map_Tables!$D$4:$D$15,0)),"CHECK"))</f>
        <v>UPI</v>
      </c>
      <c r="AG3004" s="7" t="str">
        <f aca="false">IF(LEFT(LOWER(TRIM(L3004)),6)="cancel","Cancelled","Delivered")</f>
        <v>Delivered</v>
      </c>
      <c r="AH3004" s="10" t="n">
        <f aca="false">IF(ISNUMBER(SEARCH("/",B3004)),DATE(VALUE(RIGHT(B3004,4)),VALUE(MID(B3004,4,2)),VALUE(LEFT(B3004,2))),IF(MID(B3004,5,1)="-",DATE(VALUE(LEFT(B3004,4)),VALUE(MID(B3004,6,2)),VALUE(RIGHT(B3004,2))),DATE(VALUE(RIGHT(B3004,4)),MATCH(MID(B3004,4,3),{"Jan","Feb","Mar","Apr","May","Jun","Jul","Aug","Sep","Oct","Nov","Dec"},0),VALUE(LEFT(B3004,2)))))</f>
        <v>45806</v>
      </c>
    </row>
    <row r="3005" customFormat="false" ht="15" hidden="false" customHeight="false" outlineLevel="0" collapsed="false">
      <c r="A3005" s="7" t="s">
        <v>6105</v>
      </c>
      <c r="B3005" s="7" t="s">
        <v>364</v>
      </c>
      <c r="C3005" s="7" t="s">
        <v>1761</v>
      </c>
      <c r="D3005" s="7" t="s">
        <v>1333</v>
      </c>
      <c r="E3005" s="7" t="s">
        <v>6106</v>
      </c>
      <c r="F3005" s="7" t="s">
        <v>101</v>
      </c>
      <c r="G3005" s="7" t="s">
        <v>105</v>
      </c>
      <c r="H3005" s="7" t="n">
        <v>1</v>
      </c>
      <c r="I3005" s="7" t="n">
        <v>210</v>
      </c>
      <c r="J3005" s="7" t="n">
        <v>75</v>
      </c>
      <c r="K3005" s="7" t="s">
        <v>88</v>
      </c>
      <c r="L3005" s="7" t="s">
        <v>238</v>
      </c>
      <c r="M3005" s="7"/>
      <c r="N3005" s="7"/>
      <c r="O3005" s="7" t="str">
        <f aca="false">A3005&amp;"|"&amp;B3005&amp;"|"&amp;C3005&amp;"|"&amp;D3005&amp;"|"&amp;E3005&amp;"|"&amp;F3005&amp;"|"&amp;G3005&amp;"|"&amp;H3005&amp;"|"&amp;I3005&amp;"|"&amp;J3005&amp;"|"&amp;K3005&amp;"|"&amp;L3005&amp;"|"&amp;M3005&amp;"|"&amp;N3005</f>
        <v>ORD11416|2025-07-03|20:21|C0411|dragon express|Mumbai|Chinese|1|210|75|UPI|Cancelled||</v>
      </c>
      <c r="P3005" s="7" t="str">
        <f aca="false">IF(COUNTIF($O$2:O3005,O3005)&gt;1,"DUP","OK")</f>
        <v>OK</v>
      </c>
      <c r="Q3005" s="7" t="n">
        <f aca="false">COUNTBLANK(A3005:N3005)</f>
        <v>2</v>
      </c>
      <c r="R3005" s="7" t="n">
        <f aca="false">IF(A3005="",0,COUNTIFS($A$2:$A$3058,A3005,$P$2:$P$3058,"OK"))</f>
        <v>1</v>
      </c>
      <c r="S3005" s="7" t="str">
        <f aca="false">IF(OR(A3005="",P3005="DUP",R3005&lt;2),"",IF(Q3005=_xlfn.MINIFS($Q$2:$Q$3058,$A$2:$A$3058,A3005,$P$2:$P$3058,"OK"),"KEEP","DROP"))</f>
        <v/>
      </c>
      <c r="T3005" s="9" t="n">
        <f aca="false">IF(A3005="",1,0)</f>
        <v>0</v>
      </c>
      <c r="U3005" s="9" t="n">
        <f aca="false">IF(D3005="",1,0)</f>
        <v>0</v>
      </c>
      <c r="V3005" s="9" t="n">
        <f aca="false">IF(E3005="",1,0)</f>
        <v>0</v>
      </c>
      <c r="W3005" s="9" t="n">
        <f aca="false">IF(OR(H3005&lt;1,H3005&gt;10),1,0)</f>
        <v>0</v>
      </c>
      <c r="X3005" s="9" t="n">
        <f aca="false">IF(OR(I3005&lt;=0,I3005&gt;1500),1,0)</f>
        <v>0</v>
      </c>
      <c r="Y3005" s="9" t="n">
        <f aca="false">IF(J3005&gt;H3005*I3005,1,0)</f>
        <v>0</v>
      </c>
      <c r="Z3005" s="9" t="n">
        <f aca="false">IF(AND(N3005&lt;&gt;"",OR(N3005&lt;1,N3005&gt;5)),1,0)</f>
        <v>0</v>
      </c>
      <c r="AA3005" s="9" t="n">
        <f aca="false">IF(AND(M3005&lt;&gt;"",OR(M3005&lt;5,M3005&gt;180)),1,0)</f>
        <v>0</v>
      </c>
      <c r="AB3005" s="7" t="str">
        <f aca="false">IF(P3005="DUP","Exact duplicate row",IF(T3005=1,"Missing Order ID",IF(S3005="DROP","Duplicate Order ID (less complete row)",IF(U3005=1,"Missing Customer ID",IF(V3005=1,"Missing Restaurant name",IF(W3005=1,"Invalid/outlier quantity",IF(X3005=1,"Invalid/outlier unit price",IF(Y3005=1,"Discount greater than order value",""))))))))</f>
        <v/>
      </c>
      <c r="AC3005" s="7" t="str">
        <f aca="false">IF(AB3005="","KEEP","DROP")</f>
        <v>KEEP</v>
      </c>
      <c r="AD3005" s="7" t="str">
        <f aca="false">IF(TRIM(F3005)="",IFERROR(INDEX(Map_Tables!$I$4:$I$37,MATCH(TRIM(E3005),Map_Tables!$G$4:$G$37,0)),""),IFERROR(INDEX(Map_Tables!$B$4:$B$18,MATCH(TRIM(F3005),Map_Tables!$A$4:$A$18,0)),"CHECK"))</f>
        <v>Mumbai</v>
      </c>
      <c r="AE3005" s="7" t="str">
        <f aca="false">IF(TRIM(E3005)="","",IFERROR(INDEX(Map_Tables!$H$4:$H$37,MATCH(TRIM(E3005),Map_Tables!$G$4:$G$37,0)),"CHECK"))</f>
        <v>Dragon Express</v>
      </c>
      <c r="AF3005" s="7" t="str">
        <f aca="false">IF(TRIM(K3005)="","Unknown",IFERROR(INDEX(Map_Tables!$E$4:$E$15,MATCH(TRIM(K3005),Map_Tables!$D$4:$D$15,0)),"CHECK"))</f>
        <v>UPI</v>
      </c>
      <c r="AG3005" s="7" t="str">
        <f aca="false">IF(LEFT(LOWER(TRIM(L3005)),6)="cancel","Cancelled","Delivered")</f>
        <v>Cancelled</v>
      </c>
      <c r="AH3005" s="10" t="n">
        <f aca="false">IF(ISNUMBER(SEARCH("/",B3005)),DATE(VALUE(RIGHT(B3005,4)),VALUE(MID(B3005,4,2)),VALUE(LEFT(B3005,2))),IF(MID(B3005,5,1)="-",DATE(VALUE(LEFT(B3005,4)),VALUE(MID(B3005,6,2)),VALUE(RIGHT(B3005,2))),DATE(VALUE(RIGHT(B3005,4)),MATCH(MID(B3005,4,3),{"Jan","Feb","Mar","Apr","May","Jun","Jul","Aug","Sep","Oct","Nov","Dec"},0),VALUE(LEFT(B3005,2)))))</f>
        <v>45841</v>
      </c>
    </row>
    <row r="3006" customFormat="false" ht="15" hidden="false" customHeight="false" outlineLevel="0" collapsed="false">
      <c r="A3006" s="7" t="s">
        <v>6107</v>
      </c>
      <c r="B3006" s="7" t="s">
        <v>262</v>
      </c>
      <c r="C3006" s="7" t="s">
        <v>2405</v>
      </c>
      <c r="D3006" s="7" t="s">
        <v>1459</v>
      </c>
      <c r="E3006" s="7" t="s">
        <v>138</v>
      </c>
      <c r="F3006" s="7" t="s">
        <v>521</v>
      </c>
      <c r="G3006" s="7" t="s">
        <v>139</v>
      </c>
      <c r="H3006" s="7" t="n">
        <v>3</v>
      </c>
      <c r="I3006" s="7" t="n">
        <v>190</v>
      </c>
      <c r="J3006" s="7" t="n">
        <v>0</v>
      </c>
      <c r="K3006" s="7" t="s">
        <v>88</v>
      </c>
      <c r="L3006" s="7" t="s">
        <v>194</v>
      </c>
      <c r="M3006" s="7" t="n">
        <v>43</v>
      </c>
      <c r="N3006" s="7" t="n">
        <v>3</v>
      </c>
      <c r="O3006" s="7" t="str">
        <f aca="false">A3006&amp;"|"&amp;B3006&amp;"|"&amp;C3006&amp;"|"&amp;D3006&amp;"|"&amp;E3006&amp;"|"&amp;F3006&amp;"|"&amp;G3006&amp;"|"&amp;H3006&amp;"|"&amp;I3006&amp;"|"&amp;J3006&amp;"|"&amp;K3006&amp;"|"&amp;L3006&amp;"|"&amp;M3006&amp;"|"&amp;N3006</f>
        <v>ORD11342|2025-06-22|13:48|C1177|Burger Barn|DELHI|Burgers|3|190|0|UPI|Delivered|43|3</v>
      </c>
      <c r="P3006" s="7" t="str">
        <f aca="false">IF(COUNTIF($O$2:O3006,O3006)&gt;1,"DUP","OK")</f>
        <v>OK</v>
      </c>
      <c r="Q3006" s="7" t="n">
        <f aca="false">COUNTBLANK(A3006:N3006)</f>
        <v>0</v>
      </c>
      <c r="R3006" s="7" t="n">
        <f aca="false">IF(A3006="",0,COUNTIFS($A$2:$A$3058,A3006,$P$2:$P$3058,"OK"))</f>
        <v>1</v>
      </c>
      <c r="S3006" s="7" t="str">
        <f aca="false">IF(OR(A3006="",P3006="DUP",R3006&lt;2),"",IF(Q3006=_xlfn.MINIFS($Q$2:$Q$3058,$A$2:$A$3058,A3006,$P$2:$P$3058,"OK"),"KEEP","DROP"))</f>
        <v/>
      </c>
      <c r="T3006" s="9" t="n">
        <f aca="false">IF(A3006="",1,0)</f>
        <v>0</v>
      </c>
      <c r="U3006" s="9" t="n">
        <f aca="false">IF(D3006="",1,0)</f>
        <v>0</v>
      </c>
      <c r="V3006" s="9" t="n">
        <f aca="false">IF(E3006="",1,0)</f>
        <v>0</v>
      </c>
      <c r="W3006" s="9" t="n">
        <f aca="false">IF(OR(H3006&lt;1,H3006&gt;10),1,0)</f>
        <v>0</v>
      </c>
      <c r="X3006" s="9" t="n">
        <f aca="false">IF(OR(I3006&lt;=0,I3006&gt;1500),1,0)</f>
        <v>0</v>
      </c>
      <c r="Y3006" s="9" t="n">
        <f aca="false">IF(J3006&gt;H3006*I3006,1,0)</f>
        <v>0</v>
      </c>
      <c r="Z3006" s="9" t="n">
        <f aca="false">IF(AND(N3006&lt;&gt;"",OR(N3006&lt;1,N3006&gt;5)),1,0)</f>
        <v>0</v>
      </c>
      <c r="AA3006" s="9" t="n">
        <f aca="false">IF(AND(M3006&lt;&gt;"",OR(M3006&lt;5,M3006&gt;180)),1,0)</f>
        <v>0</v>
      </c>
      <c r="AB3006" s="7" t="str">
        <f aca="false">IF(P3006="DUP","Exact duplicate row",IF(T3006=1,"Missing Order ID",IF(S3006="DROP","Duplicate Order ID (less complete row)",IF(U3006=1,"Missing Customer ID",IF(V3006=1,"Missing Restaurant name",IF(W3006=1,"Invalid/outlier quantity",IF(X3006=1,"Invalid/outlier unit price",IF(Y3006=1,"Discount greater than order value",""))))))))</f>
        <v/>
      </c>
      <c r="AC3006" s="7" t="str">
        <f aca="false">IF(AB3006="","KEEP","DROP")</f>
        <v>KEEP</v>
      </c>
      <c r="AD3006" s="7" t="str">
        <f aca="false">IF(TRIM(F3006)="",IFERROR(INDEX(Map_Tables!$I$4:$I$37,MATCH(TRIM(E3006),Map_Tables!$G$4:$G$37,0)),""),IFERROR(INDEX(Map_Tables!$B$4:$B$18,MATCH(TRIM(F3006),Map_Tables!$A$4:$A$18,0)),"CHECK"))</f>
        <v>Delhi</v>
      </c>
      <c r="AE3006" s="7" t="str">
        <f aca="false">IF(TRIM(E3006)="","",IFERROR(INDEX(Map_Tables!$H$4:$H$37,MATCH(TRIM(E3006),Map_Tables!$G$4:$G$37,0)),"CHECK"))</f>
        <v>Burger Barn</v>
      </c>
      <c r="AF3006" s="7" t="str">
        <f aca="false">IF(TRIM(K3006)="","Unknown",IFERROR(INDEX(Map_Tables!$E$4:$E$15,MATCH(TRIM(K3006),Map_Tables!$D$4:$D$15,0)),"CHECK"))</f>
        <v>UPI</v>
      </c>
      <c r="AG3006" s="7" t="str">
        <f aca="false">IF(LEFT(LOWER(TRIM(L3006)),6)="cancel","Cancelled","Delivered")</f>
        <v>Delivered</v>
      </c>
      <c r="AH3006" s="10" t="n">
        <f aca="false">IF(ISNUMBER(SEARCH("/",B3006)),DATE(VALUE(RIGHT(B3006,4)),VALUE(MID(B3006,4,2)),VALUE(LEFT(B3006,2))),IF(MID(B3006,5,1)="-",DATE(VALUE(LEFT(B3006,4)),VALUE(MID(B3006,6,2)),VALUE(RIGHT(B3006,2))),DATE(VALUE(RIGHT(B3006,4)),MATCH(MID(B3006,4,3),{"Jan","Feb","Mar","Apr","May","Jun","Jul","Aug","Sep","Oct","Nov","Dec"},0),VALUE(LEFT(B3006,2)))))</f>
        <v>45830</v>
      </c>
    </row>
    <row r="3007" customFormat="false" ht="15" hidden="false" customHeight="false" outlineLevel="0" collapsed="false">
      <c r="A3007" s="7" t="s">
        <v>6108</v>
      </c>
      <c r="B3007" s="7" t="s">
        <v>3156</v>
      </c>
      <c r="C3007" s="7" t="s">
        <v>3183</v>
      </c>
      <c r="D3007" s="7" t="s">
        <v>2796</v>
      </c>
      <c r="E3007" s="7" t="s">
        <v>134</v>
      </c>
      <c r="F3007" s="7" t="s">
        <v>110</v>
      </c>
      <c r="G3007" s="7" t="s">
        <v>117</v>
      </c>
      <c r="H3007" s="7" t="n">
        <v>2</v>
      </c>
      <c r="I3007" s="7" t="n">
        <v>120</v>
      </c>
      <c r="J3007" s="7" t="n">
        <v>0</v>
      </c>
      <c r="K3007" s="7" t="s">
        <v>566</v>
      </c>
      <c r="L3007" s="7" t="s">
        <v>194</v>
      </c>
      <c r="M3007" s="7" t="n">
        <v>47</v>
      </c>
      <c r="N3007" s="7" t="n">
        <v>5</v>
      </c>
      <c r="O3007" s="7" t="str">
        <f aca="false">A3007&amp;"|"&amp;B3007&amp;"|"&amp;C3007&amp;"|"&amp;D3007&amp;"|"&amp;E3007&amp;"|"&amp;F3007&amp;"|"&amp;G3007&amp;"|"&amp;H3007&amp;"|"&amp;I3007&amp;"|"&amp;J3007&amp;"|"&amp;K3007&amp;"|"&amp;L3007&amp;"|"&amp;M3007&amp;"|"&amp;N3007</f>
        <v>ORD11473|2025-07-11|12:05|C0321|Chaat Corner|Delhi|Street Food|2|120|0|NetBanking|Delivered|47|5</v>
      </c>
      <c r="P3007" s="7" t="str">
        <f aca="false">IF(COUNTIF($O$2:O3007,O3007)&gt;1,"DUP","OK")</f>
        <v>OK</v>
      </c>
      <c r="Q3007" s="7" t="n">
        <f aca="false">COUNTBLANK(A3007:N3007)</f>
        <v>0</v>
      </c>
      <c r="R3007" s="7" t="n">
        <f aca="false">IF(A3007="",0,COUNTIFS($A$2:$A$3058,A3007,$P$2:$P$3058,"OK"))</f>
        <v>1</v>
      </c>
      <c r="S3007" s="7" t="str">
        <f aca="false">IF(OR(A3007="",P3007="DUP",R3007&lt;2),"",IF(Q3007=_xlfn.MINIFS($Q$2:$Q$3058,$A$2:$A$3058,A3007,$P$2:$P$3058,"OK"),"KEEP","DROP"))</f>
        <v/>
      </c>
      <c r="T3007" s="9" t="n">
        <f aca="false">IF(A3007="",1,0)</f>
        <v>0</v>
      </c>
      <c r="U3007" s="9" t="n">
        <f aca="false">IF(D3007="",1,0)</f>
        <v>0</v>
      </c>
      <c r="V3007" s="9" t="n">
        <f aca="false">IF(E3007="",1,0)</f>
        <v>0</v>
      </c>
      <c r="W3007" s="9" t="n">
        <f aca="false">IF(OR(H3007&lt;1,H3007&gt;10),1,0)</f>
        <v>0</v>
      </c>
      <c r="X3007" s="9" t="n">
        <f aca="false">IF(OR(I3007&lt;=0,I3007&gt;1500),1,0)</f>
        <v>0</v>
      </c>
      <c r="Y3007" s="9" t="n">
        <f aca="false">IF(J3007&gt;H3007*I3007,1,0)</f>
        <v>0</v>
      </c>
      <c r="Z3007" s="9" t="n">
        <f aca="false">IF(AND(N3007&lt;&gt;"",OR(N3007&lt;1,N3007&gt;5)),1,0)</f>
        <v>0</v>
      </c>
      <c r="AA3007" s="9" t="n">
        <f aca="false">IF(AND(M3007&lt;&gt;"",OR(M3007&lt;5,M3007&gt;180)),1,0)</f>
        <v>0</v>
      </c>
      <c r="AB3007" s="7" t="str">
        <f aca="false">IF(P3007="DUP","Exact duplicate row",IF(T3007=1,"Missing Order ID",IF(S3007="DROP","Duplicate Order ID (less complete row)",IF(U3007=1,"Missing Customer ID",IF(V3007=1,"Missing Restaurant name",IF(W3007=1,"Invalid/outlier quantity",IF(X3007=1,"Invalid/outlier unit price",IF(Y3007=1,"Discount greater than order value",""))))))))</f>
        <v/>
      </c>
      <c r="AC3007" s="7" t="str">
        <f aca="false">IF(AB3007="","KEEP","DROP")</f>
        <v>KEEP</v>
      </c>
      <c r="AD3007" s="7" t="str">
        <f aca="false">IF(TRIM(F3007)="",IFERROR(INDEX(Map_Tables!$I$4:$I$37,MATCH(TRIM(E3007),Map_Tables!$G$4:$G$37,0)),""),IFERROR(INDEX(Map_Tables!$B$4:$B$18,MATCH(TRIM(F3007),Map_Tables!$A$4:$A$18,0)),"CHECK"))</f>
        <v>Delhi</v>
      </c>
      <c r="AE3007" s="7" t="str">
        <f aca="false">IF(TRIM(E3007)="","",IFERROR(INDEX(Map_Tables!$H$4:$H$37,MATCH(TRIM(E3007),Map_Tables!$G$4:$G$37,0)),"CHECK"))</f>
        <v>Chaat Corner</v>
      </c>
      <c r="AF3007" s="7" t="str">
        <f aca="false">IF(TRIM(K3007)="","Unknown",IFERROR(INDEX(Map_Tables!$E$4:$E$15,MATCH(TRIM(K3007),Map_Tables!$D$4:$D$15,0)),"CHECK"))</f>
        <v>Net Banking</v>
      </c>
      <c r="AG3007" s="7" t="str">
        <f aca="false">IF(LEFT(LOWER(TRIM(L3007)),6)="cancel","Cancelled","Delivered")</f>
        <v>Delivered</v>
      </c>
      <c r="AH3007" s="10" t="n">
        <f aca="false">IF(ISNUMBER(SEARCH("/",B3007)),DATE(VALUE(RIGHT(B3007,4)),VALUE(MID(B3007,4,2)),VALUE(LEFT(B3007,2))),IF(MID(B3007,5,1)="-",DATE(VALUE(LEFT(B3007,4)),VALUE(MID(B3007,6,2)),VALUE(RIGHT(B3007,2))),DATE(VALUE(RIGHT(B3007,4)),MATCH(MID(B3007,4,3),{"Jan","Feb","Mar","Apr","May","Jun","Jul","Aug","Sep","Oct","Nov","Dec"},0),VALUE(LEFT(B3007,2)))))</f>
        <v>45849</v>
      </c>
    </row>
    <row r="3008" customFormat="false" ht="15" hidden="false" customHeight="false" outlineLevel="0" collapsed="false">
      <c r="A3008" s="7" t="s">
        <v>6109</v>
      </c>
      <c r="B3008" s="7" t="s">
        <v>1885</v>
      </c>
      <c r="C3008" s="7" t="s">
        <v>2061</v>
      </c>
      <c r="D3008" s="7" t="s">
        <v>5384</v>
      </c>
      <c r="E3008" s="7" t="s">
        <v>130</v>
      </c>
      <c r="F3008" s="7" t="s">
        <v>110</v>
      </c>
      <c r="G3008" s="7" t="s">
        <v>90</v>
      </c>
      <c r="H3008" s="7" t="n">
        <v>1</v>
      </c>
      <c r="I3008" s="7" t="n">
        <v>230</v>
      </c>
      <c r="J3008" s="7" t="n">
        <v>0</v>
      </c>
      <c r="K3008" s="7" t="s">
        <v>93</v>
      </c>
      <c r="L3008" s="7" t="s">
        <v>194</v>
      </c>
      <c r="M3008" s="7" t="n">
        <v>43</v>
      </c>
      <c r="N3008" s="7" t="n">
        <v>3</v>
      </c>
      <c r="O3008" s="7" t="str">
        <f aca="false">A3008&amp;"|"&amp;B3008&amp;"|"&amp;C3008&amp;"|"&amp;D3008&amp;"|"&amp;E3008&amp;"|"&amp;F3008&amp;"|"&amp;G3008&amp;"|"&amp;H3008&amp;"|"&amp;I3008&amp;"|"&amp;J3008&amp;"|"&amp;K3008&amp;"|"&amp;L3008&amp;"|"&amp;M3008&amp;"|"&amp;N3008</f>
        <v>ORD12852|2025-12-15|13:51|C0826|Tandoor Tales|Delhi|North Indian|1|230|0|Credit Card|Delivered|43|3</v>
      </c>
      <c r="P3008" s="7" t="str">
        <f aca="false">IF(COUNTIF($O$2:O3008,O3008)&gt;1,"DUP","OK")</f>
        <v>OK</v>
      </c>
      <c r="Q3008" s="7" t="n">
        <f aca="false">COUNTBLANK(A3008:N3008)</f>
        <v>0</v>
      </c>
      <c r="R3008" s="7" t="n">
        <f aca="false">IF(A3008="",0,COUNTIFS($A$2:$A$3058,A3008,$P$2:$P$3058,"OK"))</f>
        <v>1</v>
      </c>
      <c r="S3008" s="7" t="str">
        <f aca="false">IF(OR(A3008="",P3008="DUP",R3008&lt;2),"",IF(Q3008=_xlfn.MINIFS($Q$2:$Q$3058,$A$2:$A$3058,A3008,$P$2:$P$3058,"OK"),"KEEP","DROP"))</f>
        <v/>
      </c>
      <c r="T3008" s="9" t="n">
        <f aca="false">IF(A3008="",1,0)</f>
        <v>0</v>
      </c>
      <c r="U3008" s="9" t="n">
        <f aca="false">IF(D3008="",1,0)</f>
        <v>0</v>
      </c>
      <c r="V3008" s="9" t="n">
        <f aca="false">IF(E3008="",1,0)</f>
        <v>0</v>
      </c>
      <c r="W3008" s="9" t="n">
        <f aca="false">IF(OR(H3008&lt;1,H3008&gt;10),1,0)</f>
        <v>0</v>
      </c>
      <c r="X3008" s="9" t="n">
        <f aca="false">IF(OR(I3008&lt;=0,I3008&gt;1500),1,0)</f>
        <v>0</v>
      </c>
      <c r="Y3008" s="9" t="n">
        <f aca="false">IF(J3008&gt;H3008*I3008,1,0)</f>
        <v>0</v>
      </c>
      <c r="Z3008" s="9" t="n">
        <f aca="false">IF(AND(N3008&lt;&gt;"",OR(N3008&lt;1,N3008&gt;5)),1,0)</f>
        <v>0</v>
      </c>
      <c r="AA3008" s="9" t="n">
        <f aca="false">IF(AND(M3008&lt;&gt;"",OR(M3008&lt;5,M3008&gt;180)),1,0)</f>
        <v>0</v>
      </c>
      <c r="AB3008" s="7" t="str">
        <f aca="false">IF(P3008="DUP","Exact duplicate row",IF(T3008=1,"Missing Order ID",IF(S3008="DROP","Duplicate Order ID (less complete row)",IF(U3008=1,"Missing Customer ID",IF(V3008=1,"Missing Restaurant name",IF(W3008=1,"Invalid/outlier quantity",IF(X3008=1,"Invalid/outlier unit price",IF(Y3008=1,"Discount greater than order value",""))))))))</f>
        <v/>
      </c>
      <c r="AC3008" s="7" t="str">
        <f aca="false">IF(AB3008="","KEEP","DROP")</f>
        <v>KEEP</v>
      </c>
      <c r="AD3008" s="7" t="str">
        <f aca="false">IF(TRIM(F3008)="",IFERROR(INDEX(Map_Tables!$I$4:$I$37,MATCH(TRIM(E3008),Map_Tables!$G$4:$G$37,0)),""),IFERROR(INDEX(Map_Tables!$B$4:$B$18,MATCH(TRIM(F3008),Map_Tables!$A$4:$A$18,0)),"CHECK"))</f>
        <v>Delhi</v>
      </c>
      <c r="AE3008" s="7" t="str">
        <f aca="false">IF(TRIM(E3008)="","",IFERROR(INDEX(Map_Tables!$H$4:$H$37,MATCH(TRIM(E3008),Map_Tables!$G$4:$G$37,0)),"CHECK"))</f>
        <v>Tandoor Tales</v>
      </c>
      <c r="AF3008" s="7" t="str">
        <f aca="false">IF(TRIM(K3008)="","Unknown",IFERROR(INDEX(Map_Tables!$E$4:$E$15,MATCH(TRIM(K3008),Map_Tables!$D$4:$D$15,0)),"CHECK"))</f>
        <v>Credit Card</v>
      </c>
      <c r="AG3008" s="7" t="str">
        <f aca="false">IF(LEFT(LOWER(TRIM(L3008)),6)="cancel","Cancelled","Delivered")</f>
        <v>Delivered</v>
      </c>
      <c r="AH3008" s="10" t="n">
        <f aca="false">IF(ISNUMBER(SEARCH("/",B3008)),DATE(VALUE(RIGHT(B3008,4)),VALUE(MID(B3008,4,2)),VALUE(LEFT(B3008,2))),IF(MID(B3008,5,1)="-",DATE(VALUE(LEFT(B3008,4)),VALUE(MID(B3008,6,2)),VALUE(RIGHT(B3008,2))),DATE(VALUE(RIGHT(B3008,4)),MATCH(MID(B3008,4,3),{"Jan","Feb","Mar","Apr","May","Jun","Jul","Aug","Sep","Oct","Nov","Dec"},0),VALUE(LEFT(B3008,2)))))</f>
        <v>46006</v>
      </c>
    </row>
    <row r="3009" customFormat="false" ht="15" hidden="false" customHeight="false" outlineLevel="0" collapsed="false">
      <c r="A3009" s="7" t="s">
        <v>6110</v>
      </c>
      <c r="B3009" s="7" t="s">
        <v>222</v>
      </c>
      <c r="C3009" s="7" t="s">
        <v>478</v>
      </c>
      <c r="D3009" s="7" t="s">
        <v>3184</v>
      </c>
      <c r="E3009" s="7" t="s">
        <v>89</v>
      </c>
      <c r="F3009" s="7" t="s">
        <v>86</v>
      </c>
      <c r="G3009" s="7" t="s">
        <v>90</v>
      </c>
      <c r="H3009" s="7" t="n">
        <v>2</v>
      </c>
      <c r="I3009" s="7" t="n">
        <v>215</v>
      </c>
      <c r="J3009" s="7" t="n">
        <v>0</v>
      </c>
      <c r="K3009" s="7" t="s">
        <v>112</v>
      </c>
      <c r="L3009" s="7" t="s">
        <v>194</v>
      </c>
      <c r="M3009" s="7" t="n">
        <v>32</v>
      </c>
      <c r="N3009" s="7" t="n">
        <v>4</v>
      </c>
      <c r="O3009" s="7" t="str">
        <f aca="false">A3009&amp;"|"&amp;B3009&amp;"|"&amp;C3009&amp;"|"&amp;D3009&amp;"|"&amp;E3009&amp;"|"&amp;F3009&amp;"|"&amp;G3009&amp;"|"&amp;H3009&amp;"|"&amp;I3009&amp;"|"&amp;J3009&amp;"|"&amp;K3009&amp;"|"&amp;L3009&amp;"|"&amp;M3009&amp;"|"&amp;N3009</f>
        <v>ORD12794|2025-12-07|20:03|C1265|Spice Junction|Bengaluru|North Indian|2|215|0|Cash on Delivery|Delivered|32|4</v>
      </c>
      <c r="P3009" s="7" t="str">
        <f aca="false">IF(COUNTIF($O$2:O3009,O3009)&gt;1,"DUP","OK")</f>
        <v>OK</v>
      </c>
      <c r="Q3009" s="7" t="n">
        <f aca="false">COUNTBLANK(A3009:N3009)</f>
        <v>0</v>
      </c>
      <c r="R3009" s="7" t="n">
        <f aca="false">IF(A3009="",0,COUNTIFS($A$2:$A$3058,A3009,$P$2:$P$3058,"OK"))</f>
        <v>1</v>
      </c>
      <c r="S3009" s="7" t="str">
        <f aca="false">IF(OR(A3009="",P3009="DUP",R3009&lt;2),"",IF(Q3009=_xlfn.MINIFS($Q$2:$Q$3058,$A$2:$A$3058,A3009,$P$2:$P$3058,"OK"),"KEEP","DROP"))</f>
        <v/>
      </c>
      <c r="T3009" s="9" t="n">
        <f aca="false">IF(A3009="",1,0)</f>
        <v>0</v>
      </c>
      <c r="U3009" s="9" t="n">
        <f aca="false">IF(D3009="",1,0)</f>
        <v>0</v>
      </c>
      <c r="V3009" s="9" t="n">
        <f aca="false">IF(E3009="",1,0)</f>
        <v>0</v>
      </c>
      <c r="W3009" s="9" t="n">
        <f aca="false">IF(OR(H3009&lt;1,H3009&gt;10),1,0)</f>
        <v>0</v>
      </c>
      <c r="X3009" s="9" t="n">
        <f aca="false">IF(OR(I3009&lt;=0,I3009&gt;1500),1,0)</f>
        <v>0</v>
      </c>
      <c r="Y3009" s="9" t="n">
        <f aca="false">IF(J3009&gt;H3009*I3009,1,0)</f>
        <v>0</v>
      </c>
      <c r="Z3009" s="9" t="n">
        <f aca="false">IF(AND(N3009&lt;&gt;"",OR(N3009&lt;1,N3009&gt;5)),1,0)</f>
        <v>0</v>
      </c>
      <c r="AA3009" s="9" t="n">
        <f aca="false">IF(AND(M3009&lt;&gt;"",OR(M3009&lt;5,M3009&gt;180)),1,0)</f>
        <v>0</v>
      </c>
      <c r="AB3009" s="7" t="str">
        <f aca="false">IF(P3009="DUP","Exact duplicate row",IF(T3009=1,"Missing Order ID",IF(S3009="DROP","Duplicate Order ID (less complete row)",IF(U3009=1,"Missing Customer ID",IF(V3009=1,"Missing Restaurant name",IF(W3009=1,"Invalid/outlier quantity",IF(X3009=1,"Invalid/outlier unit price",IF(Y3009=1,"Discount greater than order value",""))))))))</f>
        <v/>
      </c>
      <c r="AC3009" s="7" t="str">
        <f aca="false">IF(AB3009="","KEEP","DROP")</f>
        <v>KEEP</v>
      </c>
      <c r="AD3009" s="7" t="str">
        <f aca="false">IF(TRIM(F3009)="",IFERROR(INDEX(Map_Tables!$I$4:$I$37,MATCH(TRIM(E3009),Map_Tables!$G$4:$G$37,0)),""),IFERROR(INDEX(Map_Tables!$B$4:$B$18,MATCH(TRIM(F3009),Map_Tables!$A$4:$A$18,0)),"CHECK"))</f>
        <v>Bengaluru</v>
      </c>
      <c r="AE3009" s="7" t="str">
        <f aca="false">IF(TRIM(E3009)="","",IFERROR(INDEX(Map_Tables!$H$4:$H$37,MATCH(TRIM(E3009),Map_Tables!$G$4:$G$37,0)),"CHECK"))</f>
        <v>Spice Junction</v>
      </c>
      <c r="AF3009" s="7" t="str">
        <f aca="false">IF(TRIM(K3009)="","Unknown",IFERROR(INDEX(Map_Tables!$E$4:$E$15,MATCH(TRIM(K3009),Map_Tables!$D$4:$D$15,0)),"CHECK"))</f>
        <v>Cash on Delivery</v>
      </c>
      <c r="AG3009" s="7" t="str">
        <f aca="false">IF(LEFT(LOWER(TRIM(L3009)),6)="cancel","Cancelled","Delivered")</f>
        <v>Delivered</v>
      </c>
      <c r="AH3009" s="10" t="n">
        <f aca="false">IF(ISNUMBER(SEARCH("/",B3009)),DATE(VALUE(RIGHT(B3009,4)),VALUE(MID(B3009,4,2)),VALUE(LEFT(B3009,2))),IF(MID(B3009,5,1)="-",DATE(VALUE(LEFT(B3009,4)),VALUE(MID(B3009,6,2)),VALUE(RIGHT(B3009,2))),DATE(VALUE(RIGHT(B3009,4)),MATCH(MID(B3009,4,3),{"Jan","Feb","Mar","Apr","May","Jun","Jul","Aug","Sep","Oct","Nov","Dec"},0),VALUE(LEFT(B3009,2)))))</f>
        <v>45998</v>
      </c>
    </row>
    <row r="3010" customFormat="false" ht="15" hidden="false" customHeight="false" outlineLevel="0" collapsed="false">
      <c r="A3010" s="7" t="s">
        <v>6111</v>
      </c>
      <c r="B3010" s="7" t="s">
        <v>542</v>
      </c>
      <c r="C3010" s="7" t="s">
        <v>6112</v>
      </c>
      <c r="D3010" s="7" t="s">
        <v>2887</v>
      </c>
      <c r="E3010" s="7" t="s">
        <v>358</v>
      </c>
      <c r="F3010" s="7" t="s">
        <v>136</v>
      </c>
      <c r="G3010" s="7" t="s">
        <v>90</v>
      </c>
      <c r="H3010" s="7" t="n">
        <v>5</v>
      </c>
      <c r="I3010" s="7" t="n">
        <v>200</v>
      </c>
      <c r="J3010" s="7" t="n">
        <v>50</v>
      </c>
      <c r="K3010" s="7" t="s">
        <v>88</v>
      </c>
      <c r="L3010" s="7" t="s">
        <v>194</v>
      </c>
      <c r="M3010" s="7" t="n">
        <v>33</v>
      </c>
      <c r="N3010" s="7" t="n">
        <v>5</v>
      </c>
      <c r="O3010" s="7" t="str">
        <f aca="false">A3010&amp;"|"&amp;B3010&amp;"|"&amp;C3010&amp;"|"&amp;D3010&amp;"|"&amp;E3010&amp;"|"&amp;F3010&amp;"|"&amp;G3010&amp;"|"&amp;H3010&amp;"|"&amp;I3010&amp;"|"&amp;J3010&amp;"|"&amp;K3010&amp;"|"&amp;L3010&amp;"|"&amp;M3010&amp;"|"&amp;N3010</f>
        <v>ORD12328|2025-10-21|08:12|C1210|maratha thali house|Pune|North Indian|5|200|50|UPI|Delivered|33|5</v>
      </c>
      <c r="P3010" s="7" t="str">
        <f aca="false">IF(COUNTIF($O$2:O3010,O3010)&gt;1,"DUP","OK")</f>
        <v>OK</v>
      </c>
      <c r="Q3010" s="7" t="n">
        <f aca="false">COUNTBLANK(A3010:N3010)</f>
        <v>0</v>
      </c>
      <c r="R3010" s="7" t="n">
        <f aca="false">IF(A3010="",0,COUNTIFS($A$2:$A$3058,A3010,$P$2:$P$3058,"OK"))</f>
        <v>1</v>
      </c>
      <c r="S3010" s="7" t="str">
        <f aca="false">IF(OR(A3010="",P3010="DUP",R3010&lt;2),"",IF(Q3010=_xlfn.MINIFS($Q$2:$Q$3058,$A$2:$A$3058,A3010,$P$2:$P$3058,"OK"),"KEEP","DROP"))</f>
        <v/>
      </c>
      <c r="T3010" s="9" t="n">
        <f aca="false">IF(A3010="",1,0)</f>
        <v>0</v>
      </c>
      <c r="U3010" s="9" t="n">
        <f aca="false">IF(D3010="",1,0)</f>
        <v>0</v>
      </c>
      <c r="V3010" s="9" t="n">
        <f aca="false">IF(E3010="",1,0)</f>
        <v>0</v>
      </c>
      <c r="W3010" s="9" t="n">
        <f aca="false">IF(OR(H3010&lt;1,H3010&gt;10),1,0)</f>
        <v>0</v>
      </c>
      <c r="X3010" s="9" t="n">
        <f aca="false">IF(OR(I3010&lt;=0,I3010&gt;1500),1,0)</f>
        <v>0</v>
      </c>
      <c r="Y3010" s="9" t="n">
        <f aca="false">IF(J3010&gt;H3010*I3010,1,0)</f>
        <v>0</v>
      </c>
      <c r="Z3010" s="9" t="n">
        <f aca="false">IF(AND(N3010&lt;&gt;"",OR(N3010&lt;1,N3010&gt;5)),1,0)</f>
        <v>0</v>
      </c>
      <c r="AA3010" s="9" t="n">
        <f aca="false">IF(AND(M3010&lt;&gt;"",OR(M3010&lt;5,M3010&gt;180)),1,0)</f>
        <v>0</v>
      </c>
      <c r="AB3010" s="7" t="str">
        <f aca="false">IF(P3010="DUP","Exact duplicate row",IF(T3010=1,"Missing Order ID",IF(S3010="DROP","Duplicate Order ID (less complete row)",IF(U3010=1,"Missing Customer ID",IF(V3010=1,"Missing Restaurant name",IF(W3010=1,"Invalid/outlier quantity",IF(X3010=1,"Invalid/outlier unit price",IF(Y3010=1,"Discount greater than order value",""))))))))</f>
        <v/>
      </c>
      <c r="AC3010" s="7" t="str">
        <f aca="false">IF(AB3010="","KEEP","DROP")</f>
        <v>KEEP</v>
      </c>
      <c r="AD3010" s="7" t="str">
        <f aca="false">IF(TRIM(F3010)="",IFERROR(INDEX(Map_Tables!$I$4:$I$37,MATCH(TRIM(E3010),Map_Tables!$G$4:$G$37,0)),""),IFERROR(INDEX(Map_Tables!$B$4:$B$18,MATCH(TRIM(F3010),Map_Tables!$A$4:$A$18,0)),"CHECK"))</f>
        <v>Pune</v>
      </c>
      <c r="AE3010" s="7" t="str">
        <f aca="false">IF(TRIM(E3010)="","",IFERROR(INDEX(Map_Tables!$H$4:$H$37,MATCH(TRIM(E3010),Map_Tables!$G$4:$G$37,0)),"CHECK"))</f>
        <v>Maratha Thali House</v>
      </c>
      <c r="AF3010" s="7" t="str">
        <f aca="false">IF(TRIM(K3010)="","Unknown",IFERROR(INDEX(Map_Tables!$E$4:$E$15,MATCH(TRIM(K3010),Map_Tables!$D$4:$D$15,0)),"CHECK"))</f>
        <v>UPI</v>
      </c>
      <c r="AG3010" s="7" t="str">
        <f aca="false">IF(LEFT(LOWER(TRIM(L3010)),6)="cancel","Cancelled","Delivered")</f>
        <v>Delivered</v>
      </c>
      <c r="AH3010" s="10" t="n">
        <f aca="false">IF(ISNUMBER(SEARCH("/",B3010)),DATE(VALUE(RIGHT(B3010,4)),VALUE(MID(B3010,4,2)),VALUE(LEFT(B3010,2))),IF(MID(B3010,5,1)="-",DATE(VALUE(LEFT(B3010,4)),VALUE(MID(B3010,6,2)),VALUE(RIGHT(B3010,2))),DATE(VALUE(RIGHT(B3010,4)),MATCH(MID(B3010,4,3),{"Jan","Feb","Mar","Apr","May","Jun","Jul","Aug","Sep","Oct","Nov","Dec"},0),VALUE(LEFT(B3010,2)))))</f>
        <v>45951</v>
      </c>
    </row>
    <row r="3011" customFormat="false" ht="15" hidden="false" customHeight="false" outlineLevel="0" collapsed="false">
      <c r="A3011" s="7" t="s">
        <v>5940</v>
      </c>
      <c r="B3011" s="7" t="s">
        <v>1249</v>
      </c>
      <c r="C3011" s="7" t="s">
        <v>1684</v>
      </c>
      <c r="D3011" s="7" t="s">
        <v>192</v>
      </c>
      <c r="E3011" s="7" t="s">
        <v>122</v>
      </c>
      <c r="F3011" s="7" t="s">
        <v>101</v>
      </c>
      <c r="G3011" s="7" t="s">
        <v>123</v>
      </c>
      <c r="H3011" s="7" t="n">
        <v>1</v>
      </c>
      <c r="I3011" s="7" t="n">
        <v>385</v>
      </c>
      <c r="J3011" s="7" t="n">
        <v>40</v>
      </c>
      <c r="K3011" s="7" t="s">
        <v>93</v>
      </c>
      <c r="L3011" s="7" t="s">
        <v>194</v>
      </c>
      <c r="M3011" s="7" t="n">
        <v>39</v>
      </c>
      <c r="N3011" s="7" t="n">
        <v>1</v>
      </c>
      <c r="O3011" s="7" t="str">
        <f aca="false">A3011&amp;"|"&amp;B3011&amp;"|"&amp;C3011&amp;"|"&amp;D3011&amp;"|"&amp;E3011&amp;"|"&amp;F3011&amp;"|"&amp;G3011&amp;"|"&amp;H3011&amp;"|"&amp;I3011&amp;"|"&amp;J3011&amp;"|"&amp;K3011&amp;"|"&amp;L3011&amp;"|"&amp;M3011&amp;"|"&amp;N3011</f>
        <v>ORD11608|2025-07-29|11:30|C0623|Mumbai Pizza Co|Mumbai|Pizza|1|385|40|Credit Card|Delivered|39|1</v>
      </c>
      <c r="P3011" s="7" t="str">
        <f aca="false">IF(COUNTIF($O$2:O3011,O3011)&gt;1,"DUP","OK")</f>
        <v>DUP</v>
      </c>
      <c r="Q3011" s="7" t="n">
        <f aca="false">COUNTBLANK(A3011:N3011)</f>
        <v>0</v>
      </c>
      <c r="R3011" s="7" t="n">
        <f aca="false">IF(A3011="",0,COUNTIFS($A$2:$A$3058,A3011,$P$2:$P$3058,"OK"))</f>
        <v>1</v>
      </c>
      <c r="S3011" s="7" t="str">
        <f aca="false">IF(OR(A3011="",P3011="DUP",R3011&lt;2),"",IF(Q3011=_xlfn.MINIFS($Q$2:$Q$3058,$A$2:$A$3058,A3011,$P$2:$P$3058,"OK"),"KEEP","DROP"))</f>
        <v/>
      </c>
      <c r="T3011" s="9" t="n">
        <f aca="false">IF(A3011="",1,0)</f>
        <v>0</v>
      </c>
      <c r="U3011" s="9" t="n">
        <f aca="false">IF(D3011="",1,0)</f>
        <v>0</v>
      </c>
      <c r="V3011" s="9" t="n">
        <f aca="false">IF(E3011="",1,0)</f>
        <v>0</v>
      </c>
      <c r="W3011" s="9" t="n">
        <f aca="false">IF(OR(H3011&lt;1,H3011&gt;10),1,0)</f>
        <v>0</v>
      </c>
      <c r="X3011" s="9" t="n">
        <f aca="false">IF(OR(I3011&lt;=0,I3011&gt;1500),1,0)</f>
        <v>0</v>
      </c>
      <c r="Y3011" s="9" t="n">
        <f aca="false">IF(J3011&gt;H3011*I3011,1,0)</f>
        <v>0</v>
      </c>
      <c r="Z3011" s="9" t="n">
        <f aca="false">IF(AND(N3011&lt;&gt;"",OR(N3011&lt;1,N3011&gt;5)),1,0)</f>
        <v>0</v>
      </c>
      <c r="AA3011" s="9" t="n">
        <f aca="false">IF(AND(M3011&lt;&gt;"",OR(M3011&lt;5,M3011&gt;180)),1,0)</f>
        <v>0</v>
      </c>
      <c r="AB3011" s="7" t="str">
        <f aca="false">IF(P3011="DUP","Exact duplicate row",IF(T3011=1,"Missing Order ID",IF(S3011="DROP","Duplicate Order ID (less complete row)",IF(U3011=1,"Missing Customer ID",IF(V3011=1,"Missing Restaurant name",IF(W3011=1,"Invalid/outlier quantity",IF(X3011=1,"Invalid/outlier unit price",IF(Y3011=1,"Discount greater than order value",""))))))))</f>
        <v>Exact duplicate row</v>
      </c>
      <c r="AC3011" s="7" t="str">
        <f aca="false">IF(AB3011="","KEEP","DROP")</f>
        <v>DROP</v>
      </c>
      <c r="AD3011" s="7" t="str">
        <f aca="false">IF(TRIM(F3011)="",IFERROR(INDEX(Map_Tables!$I$4:$I$37,MATCH(TRIM(E3011),Map_Tables!$G$4:$G$37,0)),""),IFERROR(INDEX(Map_Tables!$B$4:$B$18,MATCH(TRIM(F3011),Map_Tables!$A$4:$A$18,0)),"CHECK"))</f>
        <v>Mumbai</v>
      </c>
      <c r="AE3011" s="7" t="str">
        <f aca="false">IF(TRIM(E3011)="","",IFERROR(INDEX(Map_Tables!$H$4:$H$37,MATCH(TRIM(E3011),Map_Tables!$G$4:$G$37,0)),"CHECK"))</f>
        <v>Mumbai Pizza Co</v>
      </c>
      <c r="AF3011" s="7" t="str">
        <f aca="false">IF(TRIM(K3011)="","Unknown",IFERROR(INDEX(Map_Tables!$E$4:$E$15,MATCH(TRIM(K3011),Map_Tables!$D$4:$D$15,0)),"CHECK"))</f>
        <v>Credit Card</v>
      </c>
      <c r="AG3011" s="7" t="str">
        <f aca="false">IF(LEFT(LOWER(TRIM(L3011)),6)="cancel","Cancelled","Delivered")</f>
        <v>Delivered</v>
      </c>
      <c r="AH3011" s="10" t="n">
        <f aca="false">IF(ISNUMBER(SEARCH("/",B3011)),DATE(VALUE(RIGHT(B3011,4)),VALUE(MID(B3011,4,2)),VALUE(LEFT(B3011,2))),IF(MID(B3011,5,1)="-",DATE(VALUE(LEFT(B3011,4)),VALUE(MID(B3011,6,2)),VALUE(RIGHT(B3011,2))),DATE(VALUE(RIGHT(B3011,4)),MATCH(MID(B3011,4,3),{"Jan","Feb","Mar","Apr","May","Jun","Jul","Aug","Sep","Oct","Nov","Dec"},0),VALUE(LEFT(B3011,2)))))</f>
        <v>45867</v>
      </c>
    </row>
    <row r="3012" customFormat="false" ht="15" hidden="false" customHeight="false" outlineLevel="0" collapsed="false">
      <c r="A3012" s="7" t="s">
        <v>6113</v>
      </c>
      <c r="B3012" s="7" t="s">
        <v>700</v>
      </c>
      <c r="C3012" s="7" t="s">
        <v>4383</v>
      </c>
      <c r="D3012" s="7" t="s">
        <v>2370</v>
      </c>
      <c r="E3012" s="7" t="s">
        <v>130</v>
      </c>
      <c r="F3012" s="7" t="s">
        <v>110</v>
      </c>
      <c r="G3012" s="7" t="s">
        <v>90</v>
      </c>
      <c r="H3012" s="7" t="n">
        <v>2</v>
      </c>
      <c r="I3012" s="7" t="n">
        <v>240</v>
      </c>
      <c r="J3012" s="7" t="n">
        <v>0</v>
      </c>
      <c r="K3012" s="7" t="s">
        <v>133</v>
      </c>
      <c r="L3012" s="7" t="s">
        <v>1265</v>
      </c>
      <c r="M3012" s="7" t="n">
        <v>52</v>
      </c>
      <c r="N3012" s="7"/>
      <c r="O3012" s="7" t="str">
        <f aca="false">A3012&amp;"|"&amp;B3012&amp;"|"&amp;C3012&amp;"|"&amp;D3012&amp;"|"&amp;E3012&amp;"|"&amp;F3012&amp;"|"&amp;G3012&amp;"|"&amp;H3012&amp;"|"&amp;I3012&amp;"|"&amp;J3012&amp;"|"&amp;K3012&amp;"|"&amp;L3012&amp;"|"&amp;M3012&amp;"|"&amp;N3012</f>
        <v>ORD10765|2025-04-07|13:53|C0375|Tandoor Tales|Delhi|North Indian|2|240|0|Net Banking|delivered|52|</v>
      </c>
      <c r="P3012" s="7" t="str">
        <f aca="false">IF(COUNTIF($O$2:O3012,O3012)&gt;1,"DUP","OK")</f>
        <v>OK</v>
      </c>
      <c r="Q3012" s="7" t="n">
        <f aca="false">COUNTBLANK(A3012:N3012)</f>
        <v>1</v>
      </c>
      <c r="R3012" s="7" t="n">
        <f aca="false">IF(A3012="",0,COUNTIFS($A$2:$A$3058,A3012,$P$2:$P$3058,"OK"))</f>
        <v>1</v>
      </c>
      <c r="S3012" s="7" t="str">
        <f aca="false">IF(OR(A3012="",P3012="DUP",R3012&lt;2),"",IF(Q3012=_xlfn.MINIFS($Q$2:$Q$3058,$A$2:$A$3058,A3012,$P$2:$P$3058,"OK"),"KEEP","DROP"))</f>
        <v/>
      </c>
      <c r="T3012" s="9" t="n">
        <f aca="false">IF(A3012="",1,0)</f>
        <v>0</v>
      </c>
      <c r="U3012" s="9" t="n">
        <f aca="false">IF(D3012="",1,0)</f>
        <v>0</v>
      </c>
      <c r="V3012" s="9" t="n">
        <f aca="false">IF(E3012="",1,0)</f>
        <v>0</v>
      </c>
      <c r="W3012" s="9" t="n">
        <f aca="false">IF(OR(H3012&lt;1,H3012&gt;10),1,0)</f>
        <v>0</v>
      </c>
      <c r="X3012" s="9" t="n">
        <f aca="false">IF(OR(I3012&lt;=0,I3012&gt;1500),1,0)</f>
        <v>0</v>
      </c>
      <c r="Y3012" s="9" t="n">
        <f aca="false">IF(J3012&gt;H3012*I3012,1,0)</f>
        <v>0</v>
      </c>
      <c r="Z3012" s="9" t="n">
        <f aca="false">IF(AND(N3012&lt;&gt;"",OR(N3012&lt;1,N3012&gt;5)),1,0)</f>
        <v>0</v>
      </c>
      <c r="AA3012" s="9" t="n">
        <f aca="false">IF(AND(M3012&lt;&gt;"",OR(M3012&lt;5,M3012&gt;180)),1,0)</f>
        <v>0</v>
      </c>
      <c r="AB3012" s="7" t="str">
        <f aca="false">IF(P3012="DUP","Exact duplicate row",IF(T3012=1,"Missing Order ID",IF(S3012="DROP","Duplicate Order ID (less complete row)",IF(U3012=1,"Missing Customer ID",IF(V3012=1,"Missing Restaurant name",IF(W3012=1,"Invalid/outlier quantity",IF(X3012=1,"Invalid/outlier unit price",IF(Y3012=1,"Discount greater than order value",""))))))))</f>
        <v/>
      </c>
      <c r="AC3012" s="7" t="str">
        <f aca="false">IF(AB3012="","KEEP","DROP")</f>
        <v>KEEP</v>
      </c>
      <c r="AD3012" s="7" t="str">
        <f aca="false">IF(TRIM(F3012)="",IFERROR(INDEX(Map_Tables!$I$4:$I$37,MATCH(TRIM(E3012),Map_Tables!$G$4:$G$37,0)),""),IFERROR(INDEX(Map_Tables!$B$4:$B$18,MATCH(TRIM(F3012),Map_Tables!$A$4:$A$18,0)),"CHECK"))</f>
        <v>Delhi</v>
      </c>
      <c r="AE3012" s="7" t="str">
        <f aca="false">IF(TRIM(E3012)="","",IFERROR(INDEX(Map_Tables!$H$4:$H$37,MATCH(TRIM(E3012),Map_Tables!$G$4:$G$37,0)),"CHECK"))</f>
        <v>Tandoor Tales</v>
      </c>
      <c r="AF3012" s="7" t="str">
        <f aca="false">IF(TRIM(K3012)="","Unknown",IFERROR(INDEX(Map_Tables!$E$4:$E$15,MATCH(TRIM(K3012),Map_Tables!$D$4:$D$15,0)),"CHECK"))</f>
        <v>Net Banking</v>
      </c>
      <c r="AG3012" s="7" t="str">
        <f aca="false">IF(LEFT(LOWER(TRIM(L3012)),6)="cancel","Cancelled","Delivered")</f>
        <v>Delivered</v>
      </c>
      <c r="AH3012" s="10" t="n">
        <f aca="false">IF(ISNUMBER(SEARCH("/",B3012)),DATE(VALUE(RIGHT(B3012,4)),VALUE(MID(B3012,4,2)),VALUE(LEFT(B3012,2))),IF(MID(B3012,5,1)="-",DATE(VALUE(LEFT(B3012,4)),VALUE(MID(B3012,6,2)),VALUE(RIGHT(B3012,2))),DATE(VALUE(RIGHT(B3012,4)),MATCH(MID(B3012,4,3),{"Jan","Feb","Mar","Apr","May","Jun","Jul","Aug","Sep","Oct","Nov","Dec"},0),VALUE(LEFT(B3012,2)))))</f>
        <v>45754</v>
      </c>
    </row>
    <row r="3013" customFormat="false" ht="15" hidden="false" customHeight="false" outlineLevel="0" collapsed="false">
      <c r="A3013" s="7" t="s">
        <v>6114</v>
      </c>
      <c r="B3013" s="7" t="s">
        <v>1972</v>
      </c>
      <c r="C3013" s="7" t="s">
        <v>258</v>
      </c>
      <c r="D3013" s="7" t="s">
        <v>264</v>
      </c>
      <c r="E3013" s="7" t="s">
        <v>98</v>
      </c>
      <c r="F3013" s="7" t="s">
        <v>729</v>
      </c>
      <c r="G3013" s="7" t="s">
        <v>99</v>
      </c>
      <c r="H3013" s="7" t="n">
        <v>2</v>
      </c>
      <c r="I3013" s="7" t="n">
        <v>270</v>
      </c>
      <c r="J3013" s="7" t="n">
        <v>0</v>
      </c>
      <c r="K3013" s="7" t="s">
        <v>103</v>
      </c>
      <c r="L3013" s="7" t="s">
        <v>194</v>
      </c>
      <c r="M3013" s="7" t="n">
        <v>43</v>
      </c>
      <c r="N3013" s="7" t="n">
        <v>4</v>
      </c>
      <c r="O3013" s="7" t="str">
        <f aca="false">A3013&amp;"|"&amp;B3013&amp;"|"&amp;C3013&amp;"|"&amp;D3013&amp;"|"&amp;E3013&amp;"|"&amp;F3013&amp;"|"&amp;G3013&amp;"|"&amp;H3013&amp;"|"&amp;I3013&amp;"|"&amp;J3013&amp;"|"&amp;K3013&amp;"|"&amp;L3013&amp;"|"&amp;M3013&amp;"|"&amp;N3013</f>
        <v>ORD12653|2025-11-23|20:24|C1445|Nawabi Biryani House|BENGALURU|Biryani|2|270|0|Debit Card|Delivered|43|4</v>
      </c>
      <c r="P3013" s="7" t="str">
        <f aca="false">IF(COUNTIF($O$2:O3013,O3013)&gt;1,"DUP","OK")</f>
        <v>OK</v>
      </c>
      <c r="Q3013" s="7" t="n">
        <f aca="false">COUNTBLANK(A3013:N3013)</f>
        <v>0</v>
      </c>
      <c r="R3013" s="7" t="n">
        <f aca="false">IF(A3013="",0,COUNTIFS($A$2:$A$3058,A3013,$P$2:$P$3058,"OK"))</f>
        <v>1</v>
      </c>
      <c r="S3013" s="7" t="str">
        <f aca="false">IF(OR(A3013="",P3013="DUP",R3013&lt;2),"",IF(Q3013=_xlfn.MINIFS($Q$2:$Q$3058,$A$2:$A$3058,A3013,$P$2:$P$3058,"OK"),"KEEP","DROP"))</f>
        <v/>
      </c>
      <c r="T3013" s="9" t="n">
        <f aca="false">IF(A3013="",1,0)</f>
        <v>0</v>
      </c>
      <c r="U3013" s="9" t="n">
        <f aca="false">IF(D3013="",1,0)</f>
        <v>0</v>
      </c>
      <c r="V3013" s="9" t="n">
        <f aca="false">IF(E3013="",1,0)</f>
        <v>0</v>
      </c>
      <c r="W3013" s="9" t="n">
        <f aca="false">IF(OR(H3013&lt;1,H3013&gt;10),1,0)</f>
        <v>0</v>
      </c>
      <c r="X3013" s="9" t="n">
        <f aca="false">IF(OR(I3013&lt;=0,I3013&gt;1500),1,0)</f>
        <v>0</v>
      </c>
      <c r="Y3013" s="9" t="n">
        <f aca="false">IF(J3013&gt;H3013*I3013,1,0)</f>
        <v>0</v>
      </c>
      <c r="Z3013" s="9" t="n">
        <f aca="false">IF(AND(N3013&lt;&gt;"",OR(N3013&lt;1,N3013&gt;5)),1,0)</f>
        <v>0</v>
      </c>
      <c r="AA3013" s="9" t="n">
        <f aca="false">IF(AND(M3013&lt;&gt;"",OR(M3013&lt;5,M3013&gt;180)),1,0)</f>
        <v>0</v>
      </c>
      <c r="AB3013" s="7" t="str">
        <f aca="false">IF(P3013="DUP","Exact duplicate row",IF(T3013=1,"Missing Order ID",IF(S3013="DROP","Duplicate Order ID (less complete row)",IF(U3013=1,"Missing Customer ID",IF(V3013=1,"Missing Restaurant name",IF(W3013=1,"Invalid/outlier quantity",IF(X3013=1,"Invalid/outlier unit price",IF(Y3013=1,"Discount greater than order value",""))))))))</f>
        <v/>
      </c>
      <c r="AC3013" s="7" t="str">
        <f aca="false">IF(AB3013="","KEEP","DROP")</f>
        <v>KEEP</v>
      </c>
      <c r="AD3013" s="7" t="str">
        <f aca="false">IF(TRIM(F3013)="",IFERROR(INDEX(Map_Tables!$I$4:$I$37,MATCH(TRIM(E3013),Map_Tables!$G$4:$G$37,0)),""),IFERROR(INDEX(Map_Tables!$B$4:$B$18,MATCH(TRIM(F3013),Map_Tables!$A$4:$A$18,0)),"CHECK"))</f>
        <v>Bengaluru</v>
      </c>
      <c r="AE3013" s="7" t="str">
        <f aca="false">IF(TRIM(E3013)="","",IFERROR(INDEX(Map_Tables!$H$4:$H$37,MATCH(TRIM(E3013),Map_Tables!$G$4:$G$37,0)),"CHECK"))</f>
        <v>Nawabi Biryani House</v>
      </c>
      <c r="AF3013" s="7" t="str">
        <f aca="false">IF(TRIM(K3013)="","Unknown",IFERROR(INDEX(Map_Tables!$E$4:$E$15,MATCH(TRIM(K3013),Map_Tables!$D$4:$D$15,0)),"CHECK"))</f>
        <v>Debit Card</v>
      </c>
      <c r="AG3013" s="7" t="str">
        <f aca="false">IF(LEFT(LOWER(TRIM(L3013)),6)="cancel","Cancelled","Delivered")</f>
        <v>Delivered</v>
      </c>
      <c r="AH3013" s="10" t="n">
        <f aca="false">IF(ISNUMBER(SEARCH("/",B3013)),DATE(VALUE(RIGHT(B3013,4)),VALUE(MID(B3013,4,2)),VALUE(LEFT(B3013,2))),IF(MID(B3013,5,1)="-",DATE(VALUE(LEFT(B3013,4)),VALUE(MID(B3013,6,2)),VALUE(RIGHT(B3013,2))),DATE(VALUE(RIGHT(B3013,4)),MATCH(MID(B3013,4,3),{"Jan","Feb","Mar","Apr","May","Jun","Jul","Aug","Sep","Oct","Nov","Dec"},0),VALUE(LEFT(B3013,2)))))</f>
        <v>45984</v>
      </c>
    </row>
    <row r="3014" customFormat="false" ht="15" hidden="false" customHeight="false" outlineLevel="0" collapsed="false">
      <c r="A3014" s="7" t="s">
        <v>4428</v>
      </c>
      <c r="B3014" s="7" t="s">
        <v>1316</v>
      </c>
      <c r="C3014" s="7" t="s">
        <v>4429</v>
      </c>
      <c r="D3014" s="7" t="s">
        <v>273</v>
      </c>
      <c r="E3014" s="7" t="s">
        <v>154</v>
      </c>
      <c r="F3014" s="7" t="s">
        <v>128</v>
      </c>
      <c r="G3014" s="7" t="s">
        <v>99</v>
      </c>
      <c r="H3014" s="7" t="n">
        <v>4</v>
      </c>
      <c r="I3014" s="7" t="n">
        <v>260</v>
      </c>
      <c r="J3014" s="7" t="n">
        <v>100</v>
      </c>
      <c r="K3014" s="7" t="s">
        <v>526</v>
      </c>
      <c r="L3014" s="7" t="s">
        <v>194</v>
      </c>
      <c r="M3014" s="7" t="n">
        <v>32</v>
      </c>
      <c r="N3014" s="7" t="n">
        <v>3</v>
      </c>
      <c r="O3014" s="7" t="str">
        <f aca="false">A3014&amp;"|"&amp;B3014&amp;"|"&amp;C3014&amp;"|"&amp;D3014&amp;"|"&amp;E3014&amp;"|"&amp;F3014&amp;"|"&amp;G3014&amp;"|"&amp;H3014&amp;"|"&amp;I3014&amp;"|"&amp;J3014&amp;"|"&amp;K3014&amp;"|"&amp;L3014&amp;"|"&amp;M3014&amp;"|"&amp;N3014</f>
        <v>ORD11509|2025-07-15|11:28|C1344|Madras Biryani Co|Chennai|Biryani|4|260|100|DC|Delivered|32|3</v>
      </c>
      <c r="P3014" s="7" t="str">
        <f aca="false">IF(COUNTIF($O$2:O3014,O3014)&gt;1,"DUP","OK")</f>
        <v>DUP</v>
      </c>
      <c r="Q3014" s="7" t="n">
        <f aca="false">COUNTBLANK(A3014:N3014)</f>
        <v>0</v>
      </c>
      <c r="R3014" s="7" t="n">
        <f aca="false">IF(A3014="",0,COUNTIFS($A$2:$A$3058,A3014,$P$2:$P$3058,"OK"))</f>
        <v>1</v>
      </c>
      <c r="S3014" s="7" t="str">
        <f aca="false">IF(OR(A3014="",P3014="DUP",R3014&lt;2),"",IF(Q3014=_xlfn.MINIFS($Q$2:$Q$3058,$A$2:$A$3058,A3014,$P$2:$P$3058,"OK"),"KEEP","DROP"))</f>
        <v/>
      </c>
      <c r="T3014" s="9" t="n">
        <f aca="false">IF(A3014="",1,0)</f>
        <v>0</v>
      </c>
      <c r="U3014" s="9" t="n">
        <f aca="false">IF(D3014="",1,0)</f>
        <v>0</v>
      </c>
      <c r="V3014" s="9" t="n">
        <f aca="false">IF(E3014="",1,0)</f>
        <v>0</v>
      </c>
      <c r="W3014" s="9" t="n">
        <f aca="false">IF(OR(H3014&lt;1,H3014&gt;10),1,0)</f>
        <v>0</v>
      </c>
      <c r="X3014" s="9" t="n">
        <f aca="false">IF(OR(I3014&lt;=0,I3014&gt;1500),1,0)</f>
        <v>0</v>
      </c>
      <c r="Y3014" s="9" t="n">
        <f aca="false">IF(J3014&gt;H3014*I3014,1,0)</f>
        <v>0</v>
      </c>
      <c r="Z3014" s="9" t="n">
        <f aca="false">IF(AND(N3014&lt;&gt;"",OR(N3014&lt;1,N3014&gt;5)),1,0)</f>
        <v>0</v>
      </c>
      <c r="AA3014" s="9" t="n">
        <f aca="false">IF(AND(M3014&lt;&gt;"",OR(M3014&lt;5,M3014&gt;180)),1,0)</f>
        <v>0</v>
      </c>
      <c r="AB3014" s="7" t="str">
        <f aca="false">IF(P3014="DUP","Exact duplicate row",IF(T3014=1,"Missing Order ID",IF(S3014="DROP","Duplicate Order ID (less complete row)",IF(U3014=1,"Missing Customer ID",IF(V3014=1,"Missing Restaurant name",IF(W3014=1,"Invalid/outlier quantity",IF(X3014=1,"Invalid/outlier unit price",IF(Y3014=1,"Discount greater than order value",""))))))))</f>
        <v>Exact duplicate row</v>
      </c>
      <c r="AC3014" s="7" t="str">
        <f aca="false">IF(AB3014="","KEEP","DROP")</f>
        <v>DROP</v>
      </c>
      <c r="AD3014" s="7" t="str">
        <f aca="false">IF(TRIM(F3014)="",IFERROR(INDEX(Map_Tables!$I$4:$I$37,MATCH(TRIM(E3014),Map_Tables!$G$4:$G$37,0)),""),IFERROR(INDEX(Map_Tables!$B$4:$B$18,MATCH(TRIM(F3014),Map_Tables!$A$4:$A$18,0)),"CHECK"))</f>
        <v>Chennai</v>
      </c>
      <c r="AE3014" s="7" t="str">
        <f aca="false">IF(TRIM(E3014)="","",IFERROR(INDEX(Map_Tables!$H$4:$H$37,MATCH(TRIM(E3014),Map_Tables!$G$4:$G$37,0)),"CHECK"))</f>
        <v>Madras Biryani Co</v>
      </c>
      <c r="AF3014" s="7" t="str">
        <f aca="false">IF(TRIM(K3014)="","Unknown",IFERROR(INDEX(Map_Tables!$E$4:$E$15,MATCH(TRIM(K3014),Map_Tables!$D$4:$D$15,0)),"CHECK"))</f>
        <v>Debit Card</v>
      </c>
      <c r="AG3014" s="7" t="str">
        <f aca="false">IF(LEFT(LOWER(TRIM(L3014)),6)="cancel","Cancelled","Delivered")</f>
        <v>Delivered</v>
      </c>
      <c r="AH3014" s="10" t="n">
        <f aca="false">IF(ISNUMBER(SEARCH("/",B3014)),DATE(VALUE(RIGHT(B3014,4)),VALUE(MID(B3014,4,2)),VALUE(LEFT(B3014,2))),IF(MID(B3014,5,1)="-",DATE(VALUE(LEFT(B3014,4)),VALUE(MID(B3014,6,2)),VALUE(RIGHT(B3014,2))),DATE(VALUE(RIGHT(B3014,4)),MATCH(MID(B3014,4,3),{"Jan","Feb","Mar","Apr","May","Jun","Jul","Aug","Sep","Oct","Nov","Dec"},0),VALUE(LEFT(B3014,2)))))</f>
        <v>45853</v>
      </c>
    </row>
    <row r="3015" customFormat="false" ht="15" hidden="false" customHeight="false" outlineLevel="0" collapsed="false">
      <c r="A3015" s="7" t="s">
        <v>6115</v>
      </c>
      <c r="B3015" s="7" t="s">
        <v>1214</v>
      </c>
      <c r="C3015" s="7" t="s">
        <v>254</v>
      </c>
      <c r="D3015" s="7" t="s">
        <v>2614</v>
      </c>
      <c r="E3015" s="7" t="s">
        <v>122</v>
      </c>
      <c r="F3015" s="7" t="s">
        <v>101</v>
      </c>
      <c r="G3015" s="7" t="s">
        <v>123</v>
      </c>
      <c r="H3015" s="7" t="n">
        <v>1</v>
      </c>
      <c r="I3015" s="7" t="n">
        <v>230</v>
      </c>
      <c r="J3015" s="7" t="n">
        <v>0</v>
      </c>
      <c r="K3015" s="7" t="s">
        <v>121</v>
      </c>
      <c r="L3015" s="7" t="s">
        <v>238</v>
      </c>
      <c r="M3015" s="7"/>
      <c r="N3015" s="7"/>
      <c r="O3015" s="7" t="str">
        <f aca="false">A3015&amp;"|"&amp;B3015&amp;"|"&amp;C3015&amp;"|"&amp;D3015&amp;"|"&amp;E3015&amp;"|"&amp;F3015&amp;"|"&amp;G3015&amp;"|"&amp;H3015&amp;"|"&amp;I3015&amp;"|"&amp;J3015&amp;"|"&amp;K3015&amp;"|"&amp;L3015&amp;"|"&amp;M3015&amp;"|"&amp;N3015</f>
        <v>ORD11374|2025-06-26|20:58|C1313|Mumbai Pizza Co|Mumbai|Pizza|1|230|0|Wallet|Cancelled||</v>
      </c>
      <c r="P3015" s="7" t="str">
        <f aca="false">IF(COUNTIF($O$2:O3015,O3015)&gt;1,"DUP","OK")</f>
        <v>OK</v>
      </c>
      <c r="Q3015" s="7" t="n">
        <f aca="false">COUNTBLANK(A3015:N3015)</f>
        <v>2</v>
      </c>
      <c r="R3015" s="7" t="n">
        <f aca="false">IF(A3015="",0,COUNTIFS($A$2:$A$3058,A3015,$P$2:$P$3058,"OK"))</f>
        <v>1</v>
      </c>
      <c r="S3015" s="7" t="str">
        <f aca="false">IF(OR(A3015="",P3015="DUP",R3015&lt;2),"",IF(Q3015=_xlfn.MINIFS($Q$2:$Q$3058,$A$2:$A$3058,A3015,$P$2:$P$3058,"OK"),"KEEP","DROP"))</f>
        <v/>
      </c>
      <c r="T3015" s="9" t="n">
        <f aca="false">IF(A3015="",1,0)</f>
        <v>0</v>
      </c>
      <c r="U3015" s="9" t="n">
        <f aca="false">IF(D3015="",1,0)</f>
        <v>0</v>
      </c>
      <c r="V3015" s="9" t="n">
        <f aca="false">IF(E3015="",1,0)</f>
        <v>0</v>
      </c>
      <c r="W3015" s="9" t="n">
        <f aca="false">IF(OR(H3015&lt;1,H3015&gt;10),1,0)</f>
        <v>0</v>
      </c>
      <c r="X3015" s="9" t="n">
        <f aca="false">IF(OR(I3015&lt;=0,I3015&gt;1500),1,0)</f>
        <v>0</v>
      </c>
      <c r="Y3015" s="9" t="n">
        <f aca="false">IF(J3015&gt;H3015*I3015,1,0)</f>
        <v>0</v>
      </c>
      <c r="Z3015" s="9" t="n">
        <f aca="false">IF(AND(N3015&lt;&gt;"",OR(N3015&lt;1,N3015&gt;5)),1,0)</f>
        <v>0</v>
      </c>
      <c r="AA3015" s="9" t="n">
        <f aca="false">IF(AND(M3015&lt;&gt;"",OR(M3015&lt;5,M3015&gt;180)),1,0)</f>
        <v>0</v>
      </c>
      <c r="AB3015" s="7" t="str">
        <f aca="false">IF(P3015="DUP","Exact duplicate row",IF(T3015=1,"Missing Order ID",IF(S3015="DROP","Duplicate Order ID (less complete row)",IF(U3015=1,"Missing Customer ID",IF(V3015=1,"Missing Restaurant name",IF(W3015=1,"Invalid/outlier quantity",IF(X3015=1,"Invalid/outlier unit price",IF(Y3015=1,"Discount greater than order value",""))))))))</f>
        <v/>
      </c>
      <c r="AC3015" s="7" t="str">
        <f aca="false">IF(AB3015="","KEEP","DROP")</f>
        <v>KEEP</v>
      </c>
      <c r="AD3015" s="7" t="str">
        <f aca="false">IF(TRIM(F3015)="",IFERROR(INDEX(Map_Tables!$I$4:$I$37,MATCH(TRIM(E3015),Map_Tables!$G$4:$G$37,0)),""),IFERROR(INDEX(Map_Tables!$B$4:$B$18,MATCH(TRIM(F3015),Map_Tables!$A$4:$A$18,0)),"CHECK"))</f>
        <v>Mumbai</v>
      </c>
      <c r="AE3015" s="7" t="str">
        <f aca="false">IF(TRIM(E3015)="","",IFERROR(INDEX(Map_Tables!$H$4:$H$37,MATCH(TRIM(E3015),Map_Tables!$G$4:$G$37,0)),"CHECK"))</f>
        <v>Mumbai Pizza Co</v>
      </c>
      <c r="AF3015" s="7" t="str">
        <f aca="false">IF(TRIM(K3015)="","Unknown",IFERROR(INDEX(Map_Tables!$E$4:$E$15,MATCH(TRIM(K3015),Map_Tables!$D$4:$D$15,0)),"CHECK"))</f>
        <v>Wallet</v>
      </c>
      <c r="AG3015" s="7" t="str">
        <f aca="false">IF(LEFT(LOWER(TRIM(L3015)),6)="cancel","Cancelled","Delivered")</f>
        <v>Cancelled</v>
      </c>
      <c r="AH3015" s="10" t="n">
        <f aca="false">IF(ISNUMBER(SEARCH("/",B3015)),DATE(VALUE(RIGHT(B3015,4)),VALUE(MID(B3015,4,2)),VALUE(LEFT(B3015,2))),IF(MID(B3015,5,1)="-",DATE(VALUE(LEFT(B3015,4)),VALUE(MID(B3015,6,2)),VALUE(RIGHT(B3015,2))),DATE(VALUE(RIGHT(B3015,4)),MATCH(MID(B3015,4,3),{"Jan","Feb","Mar","Apr","May","Jun","Jul","Aug","Sep","Oct","Nov","Dec"},0),VALUE(LEFT(B3015,2)))))</f>
        <v>45834</v>
      </c>
    </row>
    <row r="3016" customFormat="false" ht="15" hidden="false" customHeight="false" outlineLevel="0" collapsed="false">
      <c r="A3016" s="7" t="s">
        <v>6116</v>
      </c>
      <c r="B3016" s="7" t="s">
        <v>3695</v>
      </c>
      <c r="C3016" s="7" t="s">
        <v>1704</v>
      </c>
      <c r="D3016" s="7" t="s">
        <v>5000</v>
      </c>
      <c r="E3016" s="7" t="s">
        <v>98</v>
      </c>
      <c r="F3016" s="7" t="s">
        <v>785</v>
      </c>
      <c r="G3016" s="7" t="s">
        <v>99</v>
      </c>
      <c r="H3016" s="7" t="n">
        <v>2</v>
      </c>
      <c r="I3016" s="7" t="n">
        <v>235</v>
      </c>
      <c r="J3016" s="7" t="n">
        <v>150</v>
      </c>
      <c r="K3016" s="7" t="s">
        <v>103</v>
      </c>
      <c r="L3016" s="7" t="s">
        <v>238</v>
      </c>
      <c r="M3016" s="7"/>
      <c r="N3016" s="7"/>
      <c r="O3016" s="7" t="str">
        <f aca="false">A3016&amp;"|"&amp;B3016&amp;"|"&amp;C3016&amp;"|"&amp;D3016&amp;"|"&amp;E3016&amp;"|"&amp;F3016&amp;"|"&amp;G3016&amp;"|"&amp;H3016&amp;"|"&amp;I3016&amp;"|"&amp;J3016&amp;"|"&amp;K3016&amp;"|"&amp;L3016&amp;"|"&amp;M3016&amp;"|"&amp;N3016</f>
        <v>ORD11952|2025-09-10|20:01|C1166|Nawabi Biryani House|Bengaluru |Biryani|2|235|150|Debit Card|Cancelled||</v>
      </c>
      <c r="P3016" s="7" t="str">
        <f aca="false">IF(COUNTIF($O$2:O3016,O3016)&gt;1,"DUP","OK")</f>
        <v>OK</v>
      </c>
      <c r="Q3016" s="7" t="n">
        <f aca="false">COUNTBLANK(A3016:N3016)</f>
        <v>2</v>
      </c>
      <c r="R3016" s="7" t="n">
        <f aca="false">IF(A3016="",0,COUNTIFS($A$2:$A$3058,A3016,$P$2:$P$3058,"OK"))</f>
        <v>1</v>
      </c>
      <c r="S3016" s="7" t="str">
        <f aca="false">IF(OR(A3016="",P3016="DUP",R3016&lt;2),"",IF(Q3016=_xlfn.MINIFS($Q$2:$Q$3058,$A$2:$A$3058,A3016,$P$2:$P$3058,"OK"),"KEEP","DROP"))</f>
        <v/>
      </c>
      <c r="T3016" s="9" t="n">
        <f aca="false">IF(A3016="",1,0)</f>
        <v>0</v>
      </c>
      <c r="U3016" s="9" t="n">
        <f aca="false">IF(D3016="",1,0)</f>
        <v>0</v>
      </c>
      <c r="V3016" s="9" t="n">
        <f aca="false">IF(E3016="",1,0)</f>
        <v>0</v>
      </c>
      <c r="W3016" s="9" t="n">
        <f aca="false">IF(OR(H3016&lt;1,H3016&gt;10),1,0)</f>
        <v>0</v>
      </c>
      <c r="X3016" s="9" t="n">
        <f aca="false">IF(OR(I3016&lt;=0,I3016&gt;1500),1,0)</f>
        <v>0</v>
      </c>
      <c r="Y3016" s="9" t="n">
        <f aca="false">IF(J3016&gt;H3016*I3016,1,0)</f>
        <v>0</v>
      </c>
      <c r="Z3016" s="9" t="n">
        <f aca="false">IF(AND(N3016&lt;&gt;"",OR(N3016&lt;1,N3016&gt;5)),1,0)</f>
        <v>0</v>
      </c>
      <c r="AA3016" s="9" t="n">
        <f aca="false">IF(AND(M3016&lt;&gt;"",OR(M3016&lt;5,M3016&gt;180)),1,0)</f>
        <v>0</v>
      </c>
      <c r="AB3016" s="7" t="str">
        <f aca="false">IF(P3016="DUP","Exact duplicate row",IF(T3016=1,"Missing Order ID",IF(S3016="DROP","Duplicate Order ID (less complete row)",IF(U3016=1,"Missing Customer ID",IF(V3016=1,"Missing Restaurant name",IF(W3016=1,"Invalid/outlier quantity",IF(X3016=1,"Invalid/outlier unit price",IF(Y3016=1,"Discount greater than order value",""))))))))</f>
        <v/>
      </c>
      <c r="AC3016" s="7" t="str">
        <f aca="false">IF(AB3016="","KEEP","DROP")</f>
        <v>KEEP</v>
      </c>
      <c r="AD3016" s="7" t="str">
        <f aca="false">IF(TRIM(F3016)="",IFERROR(INDEX(Map_Tables!$I$4:$I$37,MATCH(TRIM(E3016),Map_Tables!$G$4:$G$37,0)),""),IFERROR(INDEX(Map_Tables!$B$4:$B$18,MATCH(TRIM(F3016),Map_Tables!$A$4:$A$18,0)),"CHECK"))</f>
        <v>Bengaluru</v>
      </c>
      <c r="AE3016" s="7" t="str">
        <f aca="false">IF(TRIM(E3016)="","",IFERROR(INDEX(Map_Tables!$H$4:$H$37,MATCH(TRIM(E3016),Map_Tables!$G$4:$G$37,0)),"CHECK"))</f>
        <v>Nawabi Biryani House</v>
      </c>
      <c r="AF3016" s="7" t="str">
        <f aca="false">IF(TRIM(K3016)="","Unknown",IFERROR(INDEX(Map_Tables!$E$4:$E$15,MATCH(TRIM(K3016),Map_Tables!$D$4:$D$15,0)),"CHECK"))</f>
        <v>Debit Card</v>
      </c>
      <c r="AG3016" s="7" t="str">
        <f aca="false">IF(LEFT(LOWER(TRIM(L3016)),6)="cancel","Cancelled","Delivered")</f>
        <v>Cancelled</v>
      </c>
      <c r="AH3016" s="10" t="n">
        <f aca="false">IF(ISNUMBER(SEARCH("/",B3016)),DATE(VALUE(RIGHT(B3016,4)),VALUE(MID(B3016,4,2)),VALUE(LEFT(B3016,2))),IF(MID(B3016,5,1)="-",DATE(VALUE(LEFT(B3016,4)),VALUE(MID(B3016,6,2)),VALUE(RIGHT(B3016,2))),DATE(VALUE(RIGHT(B3016,4)),MATCH(MID(B3016,4,3),{"Jan","Feb","Mar","Apr","May","Jun","Jul","Aug","Sep","Oct","Nov","Dec"},0),VALUE(LEFT(B3016,2)))))</f>
        <v>45910</v>
      </c>
    </row>
    <row r="3017" customFormat="false" ht="15" hidden="false" customHeight="false" outlineLevel="0" collapsed="false">
      <c r="A3017" s="7" t="s">
        <v>6117</v>
      </c>
      <c r="B3017" s="7" t="s">
        <v>1282</v>
      </c>
      <c r="C3017" s="7" t="s">
        <v>1526</v>
      </c>
      <c r="D3017" s="7" t="s">
        <v>3278</v>
      </c>
      <c r="E3017" s="7" t="s">
        <v>159</v>
      </c>
      <c r="F3017" s="7" t="s">
        <v>136</v>
      </c>
      <c r="G3017" s="7" t="s">
        <v>90</v>
      </c>
      <c r="H3017" s="7" t="n">
        <v>2</v>
      </c>
      <c r="I3017" s="7" t="n">
        <v>265</v>
      </c>
      <c r="J3017" s="7" t="n">
        <v>50</v>
      </c>
      <c r="K3017" s="7" t="s">
        <v>229</v>
      </c>
      <c r="L3017" s="7" t="s">
        <v>194</v>
      </c>
      <c r="M3017" s="7" t="n">
        <v>36</v>
      </c>
      <c r="N3017" s="7" t="n">
        <v>4</v>
      </c>
      <c r="O3017" s="7" t="str">
        <f aca="false">A3017&amp;"|"&amp;B3017&amp;"|"&amp;C3017&amp;"|"&amp;D3017&amp;"|"&amp;E3017&amp;"|"&amp;F3017&amp;"|"&amp;G3017&amp;"|"&amp;H3017&amp;"|"&amp;I3017&amp;"|"&amp;J3017&amp;"|"&amp;K3017&amp;"|"&amp;L3017&amp;"|"&amp;M3017&amp;"|"&amp;N3017</f>
        <v>ORD12449|2025-11-04|13:26|C1154|Maratha Thali House|Pune|North Indian|2|265|50|Upi|Delivered|36|4</v>
      </c>
      <c r="P3017" s="7" t="str">
        <f aca="false">IF(COUNTIF($O$2:O3017,O3017)&gt;1,"DUP","OK")</f>
        <v>OK</v>
      </c>
      <c r="Q3017" s="7" t="n">
        <f aca="false">COUNTBLANK(A3017:N3017)</f>
        <v>0</v>
      </c>
      <c r="R3017" s="7" t="n">
        <f aca="false">IF(A3017="",0,COUNTIFS($A$2:$A$3058,A3017,$P$2:$P$3058,"OK"))</f>
        <v>1</v>
      </c>
      <c r="S3017" s="7" t="str">
        <f aca="false">IF(OR(A3017="",P3017="DUP",R3017&lt;2),"",IF(Q3017=_xlfn.MINIFS($Q$2:$Q$3058,$A$2:$A$3058,A3017,$P$2:$P$3058,"OK"),"KEEP","DROP"))</f>
        <v/>
      </c>
      <c r="T3017" s="9" t="n">
        <f aca="false">IF(A3017="",1,0)</f>
        <v>0</v>
      </c>
      <c r="U3017" s="9" t="n">
        <f aca="false">IF(D3017="",1,0)</f>
        <v>0</v>
      </c>
      <c r="V3017" s="9" t="n">
        <f aca="false">IF(E3017="",1,0)</f>
        <v>0</v>
      </c>
      <c r="W3017" s="9" t="n">
        <f aca="false">IF(OR(H3017&lt;1,H3017&gt;10),1,0)</f>
        <v>0</v>
      </c>
      <c r="X3017" s="9" t="n">
        <f aca="false">IF(OR(I3017&lt;=0,I3017&gt;1500),1,0)</f>
        <v>0</v>
      </c>
      <c r="Y3017" s="9" t="n">
        <f aca="false">IF(J3017&gt;H3017*I3017,1,0)</f>
        <v>0</v>
      </c>
      <c r="Z3017" s="9" t="n">
        <f aca="false">IF(AND(N3017&lt;&gt;"",OR(N3017&lt;1,N3017&gt;5)),1,0)</f>
        <v>0</v>
      </c>
      <c r="AA3017" s="9" t="n">
        <f aca="false">IF(AND(M3017&lt;&gt;"",OR(M3017&lt;5,M3017&gt;180)),1,0)</f>
        <v>0</v>
      </c>
      <c r="AB3017" s="7" t="str">
        <f aca="false">IF(P3017="DUP","Exact duplicate row",IF(T3017=1,"Missing Order ID",IF(S3017="DROP","Duplicate Order ID (less complete row)",IF(U3017=1,"Missing Customer ID",IF(V3017=1,"Missing Restaurant name",IF(W3017=1,"Invalid/outlier quantity",IF(X3017=1,"Invalid/outlier unit price",IF(Y3017=1,"Discount greater than order value",""))))))))</f>
        <v/>
      </c>
      <c r="AC3017" s="7" t="str">
        <f aca="false">IF(AB3017="","KEEP","DROP")</f>
        <v>KEEP</v>
      </c>
      <c r="AD3017" s="7" t="str">
        <f aca="false">IF(TRIM(F3017)="",IFERROR(INDEX(Map_Tables!$I$4:$I$37,MATCH(TRIM(E3017),Map_Tables!$G$4:$G$37,0)),""),IFERROR(INDEX(Map_Tables!$B$4:$B$18,MATCH(TRIM(F3017),Map_Tables!$A$4:$A$18,0)),"CHECK"))</f>
        <v>Pune</v>
      </c>
      <c r="AE3017" s="7" t="str">
        <f aca="false">IF(TRIM(E3017)="","",IFERROR(INDEX(Map_Tables!$H$4:$H$37,MATCH(TRIM(E3017),Map_Tables!$G$4:$G$37,0)),"CHECK"))</f>
        <v>Maratha Thali House</v>
      </c>
      <c r="AF3017" s="7" t="str">
        <f aca="false">IF(TRIM(K3017)="","Unknown",IFERROR(INDEX(Map_Tables!$E$4:$E$15,MATCH(TRIM(K3017),Map_Tables!$D$4:$D$15,0)),"CHECK"))</f>
        <v>UPI</v>
      </c>
      <c r="AG3017" s="7" t="str">
        <f aca="false">IF(LEFT(LOWER(TRIM(L3017)),6)="cancel","Cancelled","Delivered")</f>
        <v>Delivered</v>
      </c>
      <c r="AH3017" s="10" t="n">
        <f aca="false">IF(ISNUMBER(SEARCH("/",B3017)),DATE(VALUE(RIGHT(B3017,4)),VALUE(MID(B3017,4,2)),VALUE(LEFT(B3017,2))),IF(MID(B3017,5,1)="-",DATE(VALUE(LEFT(B3017,4)),VALUE(MID(B3017,6,2)),VALUE(RIGHT(B3017,2))),DATE(VALUE(RIGHT(B3017,4)),MATCH(MID(B3017,4,3),{"Jan","Feb","Mar","Apr","May","Jun","Jul","Aug","Sep","Oct","Nov","Dec"},0),VALUE(LEFT(B3017,2)))))</f>
        <v>45965</v>
      </c>
    </row>
    <row r="3018" customFormat="false" ht="15" hidden="false" customHeight="false" outlineLevel="0" collapsed="false">
      <c r="A3018" s="7" t="s">
        <v>6118</v>
      </c>
      <c r="B3018" s="7" t="s">
        <v>1561</v>
      </c>
      <c r="C3018" s="7" t="s">
        <v>1384</v>
      </c>
      <c r="D3018" s="7" t="s">
        <v>6119</v>
      </c>
      <c r="E3018" s="7" t="s">
        <v>113</v>
      </c>
      <c r="F3018" s="7" t="s">
        <v>101</v>
      </c>
      <c r="G3018" s="7" t="s">
        <v>90</v>
      </c>
      <c r="H3018" s="7" t="n">
        <v>2</v>
      </c>
      <c r="I3018" s="7" t="n">
        <v>340</v>
      </c>
      <c r="J3018" s="7" t="n">
        <v>40</v>
      </c>
      <c r="K3018" s="7" t="s">
        <v>88</v>
      </c>
      <c r="L3018" s="7" t="s">
        <v>194</v>
      </c>
      <c r="M3018" s="7" t="n">
        <v>50</v>
      </c>
      <c r="N3018" s="7" t="n">
        <v>4</v>
      </c>
      <c r="O3018" s="7" t="str">
        <f aca="false">A3018&amp;"|"&amp;B3018&amp;"|"&amp;C3018&amp;"|"&amp;D3018&amp;"|"&amp;E3018&amp;"|"&amp;F3018&amp;"|"&amp;G3018&amp;"|"&amp;H3018&amp;"|"&amp;I3018&amp;"|"&amp;J3018&amp;"|"&amp;K3018&amp;"|"&amp;L3018&amp;"|"&amp;M3018&amp;"|"&amp;N3018</f>
        <v>ORD11729|2025-08-15|12:24|C1212|Curry Leaf Kitchen|Mumbai|North Indian|2|340|40|UPI|Delivered|50|4</v>
      </c>
      <c r="P3018" s="7" t="str">
        <f aca="false">IF(COUNTIF($O$2:O3018,O3018)&gt;1,"DUP","OK")</f>
        <v>OK</v>
      </c>
      <c r="Q3018" s="7" t="n">
        <f aca="false">COUNTBLANK(A3018:N3018)</f>
        <v>0</v>
      </c>
      <c r="R3018" s="7" t="n">
        <f aca="false">IF(A3018="",0,COUNTIFS($A$2:$A$3058,A3018,$P$2:$P$3058,"OK"))</f>
        <v>1</v>
      </c>
      <c r="S3018" s="7" t="str">
        <f aca="false">IF(OR(A3018="",P3018="DUP",R3018&lt;2),"",IF(Q3018=_xlfn.MINIFS($Q$2:$Q$3058,$A$2:$A$3058,A3018,$P$2:$P$3058,"OK"),"KEEP","DROP"))</f>
        <v/>
      </c>
      <c r="T3018" s="9" t="n">
        <f aca="false">IF(A3018="",1,0)</f>
        <v>0</v>
      </c>
      <c r="U3018" s="9" t="n">
        <f aca="false">IF(D3018="",1,0)</f>
        <v>0</v>
      </c>
      <c r="V3018" s="9" t="n">
        <f aca="false">IF(E3018="",1,0)</f>
        <v>0</v>
      </c>
      <c r="W3018" s="9" t="n">
        <f aca="false">IF(OR(H3018&lt;1,H3018&gt;10),1,0)</f>
        <v>0</v>
      </c>
      <c r="X3018" s="9" t="n">
        <f aca="false">IF(OR(I3018&lt;=0,I3018&gt;1500),1,0)</f>
        <v>0</v>
      </c>
      <c r="Y3018" s="9" t="n">
        <f aca="false">IF(J3018&gt;H3018*I3018,1,0)</f>
        <v>0</v>
      </c>
      <c r="Z3018" s="9" t="n">
        <f aca="false">IF(AND(N3018&lt;&gt;"",OR(N3018&lt;1,N3018&gt;5)),1,0)</f>
        <v>0</v>
      </c>
      <c r="AA3018" s="9" t="n">
        <f aca="false">IF(AND(M3018&lt;&gt;"",OR(M3018&lt;5,M3018&gt;180)),1,0)</f>
        <v>0</v>
      </c>
      <c r="AB3018" s="7" t="str">
        <f aca="false">IF(P3018="DUP","Exact duplicate row",IF(T3018=1,"Missing Order ID",IF(S3018="DROP","Duplicate Order ID (less complete row)",IF(U3018=1,"Missing Customer ID",IF(V3018=1,"Missing Restaurant name",IF(W3018=1,"Invalid/outlier quantity",IF(X3018=1,"Invalid/outlier unit price",IF(Y3018=1,"Discount greater than order value",""))))))))</f>
        <v/>
      </c>
      <c r="AC3018" s="7" t="str">
        <f aca="false">IF(AB3018="","KEEP","DROP")</f>
        <v>KEEP</v>
      </c>
      <c r="AD3018" s="7" t="str">
        <f aca="false">IF(TRIM(F3018)="",IFERROR(INDEX(Map_Tables!$I$4:$I$37,MATCH(TRIM(E3018),Map_Tables!$G$4:$G$37,0)),""),IFERROR(INDEX(Map_Tables!$B$4:$B$18,MATCH(TRIM(F3018),Map_Tables!$A$4:$A$18,0)),"CHECK"))</f>
        <v>Mumbai</v>
      </c>
      <c r="AE3018" s="7" t="str">
        <f aca="false">IF(TRIM(E3018)="","",IFERROR(INDEX(Map_Tables!$H$4:$H$37,MATCH(TRIM(E3018),Map_Tables!$G$4:$G$37,0)),"CHECK"))</f>
        <v>Curry Leaf Kitchen</v>
      </c>
      <c r="AF3018" s="7" t="str">
        <f aca="false">IF(TRIM(K3018)="","Unknown",IFERROR(INDEX(Map_Tables!$E$4:$E$15,MATCH(TRIM(K3018),Map_Tables!$D$4:$D$15,0)),"CHECK"))</f>
        <v>UPI</v>
      </c>
      <c r="AG3018" s="7" t="str">
        <f aca="false">IF(LEFT(LOWER(TRIM(L3018)),6)="cancel","Cancelled","Delivered")</f>
        <v>Delivered</v>
      </c>
      <c r="AH3018" s="10" t="n">
        <f aca="false">IF(ISNUMBER(SEARCH("/",B3018)),DATE(VALUE(RIGHT(B3018,4)),VALUE(MID(B3018,4,2)),VALUE(LEFT(B3018,2))),IF(MID(B3018,5,1)="-",DATE(VALUE(LEFT(B3018,4)),VALUE(MID(B3018,6,2)),VALUE(RIGHT(B3018,2))),DATE(VALUE(RIGHT(B3018,4)),MATCH(MID(B3018,4,3),{"Jan","Feb","Mar","Apr","May","Jun","Jul","Aug","Sep","Oct","Nov","Dec"},0),VALUE(LEFT(B3018,2)))))</f>
        <v>45884</v>
      </c>
    </row>
    <row r="3019" customFormat="false" ht="15" hidden="false" customHeight="false" outlineLevel="0" collapsed="false">
      <c r="A3019" s="7" t="s">
        <v>6120</v>
      </c>
      <c r="B3019" s="7" t="s">
        <v>515</v>
      </c>
      <c r="C3019" s="7" t="s">
        <v>6121</v>
      </c>
      <c r="D3019" s="7" t="s">
        <v>1031</v>
      </c>
      <c r="E3019" s="7" t="s">
        <v>164</v>
      </c>
      <c r="F3019" s="7" t="s">
        <v>141</v>
      </c>
      <c r="G3019" s="7" t="s">
        <v>150</v>
      </c>
      <c r="H3019" s="7" t="n">
        <v>2</v>
      </c>
      <c r="I3019" s="7" t="n">
        <v>150</v>
      </c>
      <c r="J3019" s="7" t="n">
        <v>0</v>
      </c>
      <c r="K3019" s="7" t="s">
        <v>87</v>
      </c>
      <c r="L3019" s="7" t="s">
        <v>194</v>
      </c>
      <c r="M3019" s="7" t="n">
        <v>34</v>
      </c>
      <c r="N3019" s="7" t="n">
        <v>5</v>
      </c>
      <c r="O3019" s="7" t="str">
        <f aca="false">A3019&amp;"|"&amp;B3019&amp;"|"&amp;C3019&amp;"|"&amp;D3019&amp;"|"&amp;E3019&amp;"|"&amp;F3019&amp;"|"&amp;G3019&amp;"|"&amp;H3019&amp;"|"&amp;I3019&amp;"|"&amp;J3019&amp;"|"&amp;K3019&amp;"|"&amp;L3019&amp;"|"&amp;M3019&amp;"|"&amp;N3019</f>
        <v>ORD10258|2025-02-04|01:40|C0002|Mishti Mandir|Kolkata|Desserts|2|150|0|upi|Delivered|34|5</v>
      </c>
      <c r="P3019" s="7" t="str">
        <f aca="false">IF(COUNTIF($O$2:O3019,O3019)&gt;1,"DUP","OK")</f>
        <v>OK</v>
      </c>
      <c r="Q3019" s="7" t="n">
        <f aca="false">COUNTBLANK(A3019:N3019)</f>
        <v>0</v>
      </c>
      <c r="R3019" s="7" t="n">
        <f aca="false">IF(A3019="",0,COUNTIFS($A$2:$A$3058,A3019,$P$2:$P$3058,"OK"))</f>
        <v>1</v>
      </c>
      <c r="S3019" s="7" t="str">
        <f aca="false">IF(OR(A3019="",P3019="DUP",R3019&lt;2),"",IF(Q3019=_xlfn.MINIFS($Q$2:$Q$3058,$A$2:$A$3058,A3019,$P$2:$P$3058,"OK"),"KEEP","DROP"))</f>
        <v/>
      </c>
      <c r="T3019" s="9" t="n">
        <f aca="false">IF(A3019="",1,0)</f>
        <v>0</v>
      </c>
      <c r="U3019" s="9" t="n">
        <f aca="false">IF(D3019="",1,0)</f>
        <v>0</v>
      </c>
      <c r="V3019" s="9" t="n">
        <f aca="false">IF(E3019="",1,0)</f>
        <v>0</v>
      </c>
      <c r="W3019" s="9" t="n">
        <f aca="false">IF(OR(H3019&lt;1,H3019&gt;10),1,0)</f>
        <v>0</v>
      </c>
      <c r="X3019" s="9" t="n">
        <f aca="false">IF(OR(I3019&lt;=0,I3019&gt;1500),1,0)</f>
        <v>0</v>
      </c>
      <c r="Y3019" s="9" t="n">
        <f aca="false">IF(J3019&gt;H3019*I3019,1,0)</f>
        <v>0</v>
      </c>
      <c r="Z3019" s="9" t="n">
        <f aca="false">IF(AND(N3019&lt;&gt;"",OR(N3019&lt;1,N3019&gt;5)),1,0)</f>
        <v>0</v>
      </c>
      <c r="AA3019" s="9" t="n">
        <f aca="false">IF(AND(M3019&lt;&gt;"",OR(M3019&lt;5,M3019&gt;180)),1,0)</f>
        <v>0</v>
      </c>
      <c r="AB3019" s="7" t="str">
        <f aca="false">IF(P3019="DUP","Exact duplicate row",IF(T3019=1,"Missing Order ID",IF(S3019="DROP","Duplicate Order ID (less complete row)",IF(U3019=1,"Missing Customer ID",IF(V3019=1,"Missing Restaurant name",IF(W3019=1,"Invalid/outlier quantity",IF(X3019=1,"Invalid/outlier unit price",IF(Y3019=1,"Discount greater than order value",""))))))))</f>
        <v/>
      </c>
      <c r="AC3019" s="7" t="str">
        <f aca="false">IF(AB3019="","KEEP","DROP")</f>
        <v>KEEP</v>
      </c>
      <c r="AD3019" s="7" t="str">
        <f aca="false">IF(TRIM(F3019)="",IFERROR(INDEX(Map_Tables!$I$4:$I$37,MATCH(TRIM(E3019),Map_Tables!$G$4:$G$37,0)),""),IFERROR(INDEX(Map_Tables!$B$4:$B$18,MATCH(TRIM(F3019),Map_Tables!$A$4:$A$18,0)),"CHECK"))</f>
        <v>Kolkata</v>
      </c>
      <c r="AE3019" s="7" t="str">
        <f aca="false">IF(TRIM(E3019)="","",IFERROR(INDEX(Map_Tables!$H$4:$H$37,MATCH(TRIM(E3019),Map_Tables!$G$4:$G$37,0)),"CHECK"))</f>
        <v>Mishti Mandir</v>
      </c>
      <c r="AF3019" s="7" t="str">
        <f aca="false">IF(TRIM(K3019)="","Unknown",IFERROR(INDEX(Map_Tables!$E$4:$E$15,MATCH(TRIM(K3019),Map_Tables!$D$4:$D$15,0)),"CHECK"))</f>
        <v>UPI</v>
      </c>
      <c r="AG3019" s="7" t="str">
        <f aca="false">IF(LEFT(LOWER(TRIM(L3019)),6)="cancel","Cancelled","Delivered")</f>
        <v>Delivered</v>
      </c>
      <c r="AH3019" s="10" t="n">
        <f aca="false">IF(ISNUMBER(SEARCH("/",B3019)),DATE(VALUE(RIGHT(B3019,4)),VALUE(MID(B3019,4,2)),VALUE(LEFT(B3019,2))),IF(MID(B3019,5,1)="-",DATE(VALUE(LEFT(B3019,4)),VALUE(MID(B3019,6,2)),VALUE(RIGHT(B3019,2))),DATE(VALUE(RIGHT(B3019,4)),MATCH(MID(B3019,4,3),{"Jan","Feb","Mar","Apr","May","Jun","Jul","Aug","Sep","Oct","Nov","Dec"},0),VALUE(LEFT(B3019,2)))))</f>
        <v>45692</v>
      </c>
    </row>
    <row r="3020" customFormat="false" ht="15" hidden="false" customHeight="false" outlineLevel="0" collapsed="false">
      <c r="A3020" s="7" t="s">
        <v>6122</v>
      </c>
      <c r="B3020" s="7" t="s">
        <v>855</v>
      </c>
      <c r="C3020" s="7" t="s">
        <v>1387</v>
      </c>
      <c r="D3020" s="7" t="s">
        <v>1067</v>
      </c>
      <c r="E3020" s="7" t="s">
        <v>104</v>
      </c>
      <c r="F3020" s="7" t="s">
        <v>86</v>
      </c>
      <c r="G3020" s="7" t="s">
        <v>105</v>
      </c>
      <c r="H3020" s="7" t="n">
        <v>1</v>
      </c>
      <c r="I3020" s="7" t="n">
        <v>235</v>
      </c>
      <c r="J3020" s="7" t="n">
        <v>20</v>
      </c>
      <c r="K3020" s="7" t="s">
        <v>421</v>
      </c>
      <c r="L3020" s="7" t="s">
        <v>194</v>
      </c>
      <c r="M3020" s="7" t="n">
        <v>50</v>
      </c>
      <c r="N3020" s="7"/>
      <c r="O3020" s="7" t="str">
        <f aca="false">A3020&amp;"|"&amp;B3020&amp;"|"&amp;C3020&amp;"|"&amp;D3020&amp;"|"&amp;E3020&amp;"|"&amp;F3020&amp;"|"&amp;G3020&amp;"|"&amp;H3020&amp;"|"&amp;I3020&amp;"|"&amp;J3020&amp;"|"&amp;K3020&amp;"|"&amp;L3020&amp;"|"&amp;M3020&amp;"|"&amp;N3020</f>
        <v>ORD10945|2025-04-29|20:59|C0662|Wok &amp; Roll|Bengaluru|Chinese|1|235|20|UPI |Delivered|50|</v>
      </c>
      <c r="P3020" s="7" t="str">
        <f aca="false">IF(COUNTIF($O$2:O3020,O3020)&gt;1,"DUP","OK")</f>
        <v>OK</v>
      </c>
      <c r="Q3020" s="7" t="n">
        <f aca="false">COUNTBLANK(A3020:N3020)</f>
        <v>1</v>
      </c>
      <c r="R3020" s="7" t="n">
        <f aca="false">IF(A3020="",0,COUNTIFS($A$2:$A$3058,A3020,$P$2:$P$3058,"OK"))</f>
        <v>1</v>
      </c>
      <c r="S3020" s="7" t="str">
        <f aca="false">IF(OR(A3020="",P3020="DUP",R3020&lt;2),"",IF(Q3020=_xlfn.MINIFS($Q$2:$Q$3058,$A$2:$A$3058,A3020,$P$2:$P$3058,"OK"),"KEEP","DROP"))</f>
        <v/>
      </c>
      <c r="T3020" s="9" t="n">
        <f aca="false">IF(A3020="",1,0)</f>
        <v>0</v>
      </c>
      <c r="U3020" s="9" t="n">
        <f aca="false">IF(D3020="",1,0)</f>
        <v>0</v>
      </c>
      <c r="V3020" s="9" t="n">
        <f aca="false">IF(E3020="",1,0)</f>
        <v>0</v>
      </c>
      <c r="W3020" s="9" t="n">
        <f aca="false">IF(OR(H3020&lt;1,H3020&gt;10),1,0)</f>
        <v>0</v>
      </c>
      <c r="X3020" s="9" t="n">
        <f aca="false">IF(OR(I3020&lt;=0,I3020&gt;1500),1,0)</f>
        <v>0</v>
      </c>
      <c r="Y3020" s="9" t="n">
        <f aca="false">IF(J3020&gt;H3020*I3020,1,0)</f>
        <v>0</v>
      </c>
      <c r="Z3020" s="9" t="n">
        <f aca="false">IF(AND(N3020&lt;&gt;"",OR(N3020&lt;1,N3020&gt;5)),1,0)</f>
        <v>0</v>
      </c>
      <c r="AA3020" s="9" t="n">
        <f aca="false">IF(AND(M3020&lt;&gt;"",OR(M3020&lt;5,M3020&gt;180)),1,0)</f>
        <v>0</v>
      </c>
      <c r="AB3020" s="7" t="str">
        <f aca="false">IF(P3020="DUP","Exact duplicate row",IF(T3020=1,"Missing Order ID",IF(S3020="DROP","Duplicate Order ID (less complete row)",IF(U3020=1,"Missing Customer ID",IF(V3020=1,"Missing Restaurant name",IF(W3020=1,"Invalid/outlier quantity",IF(X3020=1,"Invalid/outlier unit price",IF(Y3020=1,"Discount greater than order value",""))))))))</f>
        <v/>
      </c>
      <c r="AC3020" s="7" t="str">
        <f aca="false">IF(AB3020="","KEEP","DROP")</f>
        <v>KEEP</v>
      </c>
      <c r="AD3020" s="7" t="str">
        <f aca="false">IF(TRIM(F3020)="",IFERROR(INDEX(Map_Tables!$I$4:$I$37,MATCH(TRIM(E3020),Map_Tables!$G$4:$G$37,0)),""),IFERROR(INDEX(Map_Tables!$B$4:$B$18,MATCH(TRIM(F3020),Map_Tables!$A$4:$A$18,0)),"CHECK"))</f>
        <v>Bengaluru</v>
      </c>
      <c r="AE3020" s="7" t="str">
        <f aca="false">IF(TRIM(E3020)="","",IFERROR(INDEX(Map_Tables!$H$4:$H$37,MATCH(TRIM(E3020),Map_Tables!$G$4:$G$37,0)),"CHECK"))</f>
        <v>Wok &amp; Roll</v>
      </c>
      <c r="AF3020" s="7" t="str">
        <f aca="false">IF(TRIM(K3020)="","Unknown",IFERROR(INDEX(Map_Tables!$E$4:$E$15,MATCH(TRIM(K3020),Map_Tables!$D$4:$D$15,0)),"CHECK"))</f>
        <v>UPI</v>
      </c>
      <c r="AG3020" s="7" t="str">
        <f aca="false">IF(LEFT(LOWER(TRIM(L3020)),6)="cancel","Cancelled","Delivered")</f>
        <v>Delivered</v>
      </c>
      <c r="AH3020" s="10" t="n">
        <f aca="false">IF(ISNUMBER(SEARCH("/",B3020)),DATE(VALUE(RIGHT(B3020,4)),VALUE(MID(B3020,4,2)),VALUE(LEFT(B3020,2))),IF(MID(B3020,5,1)="-",DATE(VALUE(LEFT(B3020,4)),VALUE(MID(B3020,6,2)),VALUE(RIGHT(B3020,2))),DATE(VALUE(RIGHT(B3020,4)),MATCH(MID(B3020,4,3),{"Jan","Feb","Mar","Apr","May","Jun","Jul","Aug","Sep","Oct","Nov","Dec"},0),VALUE(LEFT(B3020,2)))))</f>
        <v>45776</v>
      </c>
    </row>
    <row r="3021" customFormat="false" ht="15" hidden="false" customHeight="false" outlineLevel="0" collapsed="false">
      <c r="A3021" s="7" t="s">
        <v>6123</v>
      </c>
      <c r="B3021" s="7" t="s">
        <v>5591</v>
      </c>
      <c r="C3021" s="7" t="s">
        <v>6124</v>
      </c>
      <c r="D3021" s="7" t="s">
        <v>3706</v>
      </c>
      <c r="E3021" s="7" t="s">
        <v>89</v>
      </c>
      <c r="F3021" s="7" t="s">
        <v>86</v>
      </c>
      <c r="G3021" s="7" t="s">
        <v>90</v>
      </c>
      <c r="H3021" s="7" t="n">
        <v>2</v>
      </c>
      <c r="I3021" s="7" t="n">
        <v>285</v>
      </c>
      <c r="J3021" s="7" t="n">
        <v>150</v>
      </c>
      <c r="K3021" s="7" t="s">
        <v>103</v>
      </c>
      <c r="L3021" s="7" t="s">
        <v>194</v>
      </c>
      <c r="M3021" s="7" t="n">
        <v>27</v>
      </c>
      <c r="N3021" s="7" t="n">
        <v>4</v>
      </c>
      <c r="O3021" s="7" t="str">
        <f aca="false">A3021&amp;"|"&amp;B3021&amp;"|"&amp;C3021&amp;"|"&amp;D3021&amp;"|"&amp;E3021&amp;"|"&amp;F3021&amp;"|"&amp;G3021&amp;"|"&amp;H3021&amp;"|"&amp;I3021&amp;"|"&amp;J3021&amp;"|"&amp;K3021&amp;"|"&amp;L3021&amp;"|"&amp;M3021&amp;"|"&amp;N3021</f>
        <v>ORD11220|03-Jun-2025|23:46|C0386|Spice Junction|Bengaluru|North Indian|2|285|150|Debit Card|Delivered|27|4</v>
      </c>
      <c r="P3021" s="7" t="str">
        <f aca="false">IF(COUNTIF($O$2:O3021,O3021)&gt;1,"DUP","OK")</f>
        <v>OK</v>
      </c>
      <c r="Q3021" s="7" t="n">
        <f aca="false">COUNTBLANK(A3021:N3021)</f>
        <v>0</v>
      </c>
      <c r="R3021" s="7" t="n">
        <f aca="false">IF(A3021="",0,COUNTIFS($A$2:$A$3058,A3021,$P$2:$P$3058,"OK"))</f>
        <v>1</v>
      </c>
      <c r="S3021" s="7" t="str">
        <f aca="false">IF(OR(A3021="",P3021="DUP",R3021&lt;2),"",IF(Q3021=_xlfn.MINIFS($Q$2:$Q$3058,$A$2:$A$3058,A3021,$P$2:$P$3058,"OK"),"KEEP","DROP"))</f>
        <v/>
      </c>
      <c r="T3021" s="9" t="n">
        <f aca="false">IF(A3021="",1,0)</f>
        <v>0</v>
      </c>
      <c r="U3021" s="9" t="n">
        <f aca="false">IF(D3021="",1,0)</f>
        <v>0</v>
      </c>
      <c r="V3021" s="9" t="n">
        <f aca="false">IF(E3021="",1,0)</f>
        <v>0</v>
      </c>
      <c r="W3021" s="9" t="n">
        <f aca="false">IF(OR(H3021&lt;1,H3021&gt;10),1,0)</f>
        <v>0</v>
      </c>
      <c r="X3021" s="9" t="n">
        <f aca="false">IF(OR(I3021&lt;=0,I3021&gt;1500),1,0)</f>
        <v>0</v>
      </c>
      <c r="Y3021" s="9" t="n">
        <f aca="false">IF(J3021&gt;H3021*I3021,1,0)</f>
        <v>0</v>
      </c>
      <c r="Z3021" s="9" t="n">
        <f aca="false">IF(AND(N3021&lt;&gt;"",OR(N3021&lt;1,N3021&gt;5)),1,0)</f>
        <v>0</v>
      </c>
      <c r="AA3021" s="9" t="n">
        <f aca="false">IF(AND(M3021&lt;&gt;"",OR(M3021&lt;5,M3021&gt;180)),1,0)</f>
        <v>0</v>
      </c>
      <c r="AB3021" s="7" t="str">
        <f aca="false">IF(P3021="DUP","Exact duplicate row",IF(T3021=1,"Missing Order ID",IF(S3021="DROP","Duplicate Order ID (less complete row)",IF(U3021=1,"Missing Customer ID",IF(V3021=1,"Missing Restaurant name",IF(W3021=1,"Invalid/outlier quantity",IF(X3021=1,"Invalid/outlier unit price",IF(Y3021=1,"Discount greater than order value",""))))))))</f>
        <v/>
      </c>
      <c r="AC3021" s="7" t="str">
        <f aca="false">IF(AB3021="","KEEP","DROP")</f>
        <v>KEEP</v>
      </c>
      <c r="AD3021" s="7" t="str">
        <f aca="false">IF(TRIM(F3021)="",IFERROR(INDEX(Map_Tables!$I$4:$I$37,MATCH(TRIM(E3021),Map_Tables!$G$4:$G$37,0)),""),IFERROR(INDEX(Map_Tables!$B$4:$B$18,MATCH(TRIM(F3021),Map_Tables!$A$4:$A$18,0)),"CHECK"))</f>
        <v>Bengaluru</v>
      </c>
      <c r="AE3021" s="7" t="str">
        <f aca="false">IF(TRIM(E3021)="","",IFERROR(INDEX(Map_Tables!$H$4:$H$37,MATCH(TRIM(E3021),Map_Tables!$G$4:$G$37,0)),"CHECK"))</f>
        <v>Spice Junction</v>
      </c>
      <c r="AF3021" s="7" t="str">
        <f aca="false">IF(TRIM(K3021)="","Unknown",IFERROR(INDEX(Map_Tables!$E$4:$E$15,MATCH(TRIM(K3021),Map_Tables!$D$4:$D$15,0)),"CHECK"))</f>
        <v>Debit Card</v>
      </c>
      <c r="AG3021" s="7" t="str">
        <f aca="false">IF(LEFT(LOWER(TRIM(L3021)),6)="cancel","Cancelled","Delivered")</f>
        <v>Delivered</v>
      </c>
      <c r="AH3021" s="10" t="n">
        <f aca="false">IF(ISNUMBER(SEARCH("/",B3021)),DATE(VALUE(RIGHT(B3021,4)),VALUE(MID(B3021,4,2)),VALUE(LEFT(B3021,2))),IF(MID(B3021,5,1)="-",DATE(VALUE(LEFT(B3021,4)),VALUE(MID(B3021,6,2)),VALUE(RIGHT(B3021,2))),DATE(VALUE(RIGHT(B3021,4)),MATCH(MID(B3021,4,3),{"Jan","Feb","Mar","Apr","May","Jun","Jul","Aug","Sep","Oct","Nov","Dec"},0),VALUE(LEFT(B3021,2)))))</f>
        <v>45811</v>
      </c>
    </row>
    <row r="3022" customFormat="false" ht="15" hidden="false" customHeight="false" outlineLevel="0" collapsed="false">
      <c r="A3022" s="7" t="s">
        <v>6125</v>
      </c>
      <c r="B3022" s="7" t="s">
        <v>1223</v>
      </c>
      <c r="C3022" s="7" t="s">
        <v>886</v>
      </c>
      <c r="D3022" s="7" t="s">
        <v>6126</v>
      </c>
      <c r="E3022" s="7" t="s">
        <v>104</v>
      </c>
      <c r="F3022" s="7" t="s">
        <v>86</v>
      </c>
      <c r="G3022" s="7" t="s">
        <v>105</v>
      </c>
      <c r="H3022" s="7" t="n">
        <v>3</v>
      </c>
      <c r="I3022" s="7" t="n">
        <v>200</v>
      </c>
      <c r="J3022" s="7" t="n">
        <v>75</v>
      </c>
      <c r="K3022" s="7" t="s">
        <v>103</v>
      </c>
      <c r="L3022" s="7" t="s">
        <v>194</v>
      </c>
      <c r="M3022" s="7" t="n">
        <v>42</v>
      </c>
      <c r="N3022" s="7" t="n">
        <v>3</v>
      </c>
      <c r="O3022" s="7" t="str">
        <f aca="false">A3022&amp;"|"&amp;B3022&amp;"|"&amp;C3022&amp;"|"&amp;D3022&amp;"|"&amp;E3022&amp;"|"&amp;F3022&amp;"|"&amp;G3022&amp;"|"&amp;H3022&amp;"|"&amp;I3022&amp;"|"&amp;J3022&amp;"|"&amp;K3022&amp;"|"&amp;L3022&amp;"|"&amp;M3022&amp;"|"&amp;N3022</f>
        <v>ORD11162|2025-05-28|12:47|C0498|Wok &amp; Roll|Bengaluru|Chinese|3|200|75|Debit Card|Delivered|42|3</v>
      </c>
      <c r="P3022" s="7" t="str">
        <f aca="false">IF(COUNTIF($O$2:O3022,O3022)&gt;1,"DUP","OK")</f>
        <v>OK</v>
      </c>
      <c r="Q3022" s="7" t="n">
        <f aca="false">COUNTBLANK(A3022:N3022)</f>
        <v>0</v>
      </c>
      <c r="R3022" s="7" t="n">
        <f aca="false">IF(A3022="",0,COUNTIFS($A$2:$A$3058,A3022,$P$2:$P$3058,"OK"))</f>
        <v>1</v>
      </c>
      <c r="S3022" s="7" t="str">
        <f aca="false">IF(OR(A3022="",P3022="DUP",R3022&lt;2),"",IF(Q3022=_xlfn.MINIFS($Q$2:$Q$3058,$A$2:$A$3058,A3022,$P$2:$P$3058,"OK"),"KEEP","DROP"))</f>
        <v/>
      </c>
      <c r="T3022" s="9" t="n">
        <f aca="false">IF(A3022="",1,0)</f>
        <v>0</v>
      </c>
      <c r="U3022" s="9" t="n">
        <f aca="false">IF(D3022="",1,0)</f>
        <v>0</v>
      </c>
      <c r="V3022" s="9" t="n">
        <f aca="false">IF(E3022="",1,0)</f>
        <v>0</v>
      </c>
      <c r="W3022" s="9" t="n">
        <f aca="false">IF(OR(H3022&lt;1,H3022&gt;10),1,0)</f>
        <v>0</v>
      </c>
      <c r="X3022" s="9" t="n">
        <f aca="false">IF(OR(I3022&lt;=0,I3022&gt;1500),1,0)</f>
        <v>0</v>
      </c>
      <c r="Y3022" s="9" t="n">
        <f aca="false">IF(J3022&gt;H3022*I3022,1,0)</f>
        <v>0</v>
      </c>
      <c r="Z3022" s="9" t="n">
        <f aca="false">IF(AND(N3022&lt;&gt;"",OR(N3022&lt;1,N3022&gt;5)),1,0)</f>
        <v>0</v>
      </c>
      <c r="AA3022" s="9" t="n">
        <f aca="false">IF(AND(M3022&lt;&gt;"",OR(M3022&lt;5,M3022&gt;180)),1,0)</f>
        <v>0</v>
      </c>
      <c r="AB3022" s="7" t="str">
        <f aca="false">IF(P3022="DUP","Exact duplicate row",IF(T3022=1,"Missing Order ID",IF(S3022="DROP","Duplicate Order ID (less complete row)",IF(U3022=1,"Missing Customer ID",IF(V3022=1,"Missing Restaurant name",IF(W3022=1,"Invalid/outlier quantity",IF(X3022=1,"Invalid/outlier unit price",IF(Y3022=1,"Discount greater than order value",""))))))))</f>
        <v/>
      </c>
      <c r="AC3022" s="7" t="str">
        <f aca="false">IF(AB3022="","KEEP","DROP")</f>
        <v>KEEP</v>
      </c>
      <c r="AD3022" s="7" t="str">
        <f aca="false">IF(TRIM(F3022)="",IFERROR(INDEX(Map_Tables!$I$4:$I$37,MATCH(TRIM(E3022),Map_Tables!$G$4:$G$37,0)),""),IFERROR(INDEX(Map_Tables!$B$4:$B$18,MATCH(TRIM(F3022),Map_Tables!$A$4:$A$18,0)),"CHECK"))</f>
        <v>Bengaluru</v>
      </c>
      <c r="AE3022" s="7" t="str">
        <f aca="false">IF(TRIM(E3022)="","",IFERROR(INDEX(Map_Tables!$H$4:$H$37,MATCH(TRIM(E3022),Map_Tables!$G$4:$G$37,0)),"CHECK"))</f>
        <v>Wok &amp; Roll</v>
      </c>
      <c r="AF3022" s="7" t="str">
        <f aca="false">IF(TRIM(K3022)="","Unknown",IFERROR(INDEX(Map_Tables!$E$4:$E$15,MATCH(TRIM(K3022),Map_Tables!$D$4:$D$15,0)),"CHECK"))</f>
        <v>Debit Card</v>
      </c>
      <c r="AG3022" s="7" t="str">
        <f aca="false">IF(LEFT(LOWER(TRIM(L3022)),6)="cancel","Cancelled","Delivered")</f>
        <v>Delivered</v>
      </c>
      <c r="AH3022" s="10" t="n">
        <f aca="false">IF(ISNUMBER(SEARCH("/",B3022)),DATE(VALUE(RIGHT(B3022,4)),VALUE(MID(B3022,4,2)),VALUE(LEFT(B3022,2))),IF(MID(B3022,5,1)="-",DATE(VALUE(LEFT(B3022,4)),VALUE(MID(B3022,6,2)),VALUE(RIGHT(B3022,2))),DATE(VALUE(RIGHT(B3022,4)),MATCH(MID(B3022,4,3),{"Jan","Feb","Mar","Apr","May","Jun","Jul","Aug","Sep","Oct","Nov","Dec"},0),VALUE(LEFT(B3022,2)))))</f>
        <v>45805</v>
      </c>
    </row>
    <row r="3023" customFormat="false" ht="15" hidden="false" customHeight="false" outlineLevel="0" collapsed="false">
      <c r="A3023" s="7" t="s">
        <v>6127</v>
      </c>
      <c r="B3023" s="7" t="s">
        <v>4431</v>
      </c>
      <c r="C3023" s="7" t="s">
        <v>3487</v>
      </c>
      <c r="D3023" s="7" t="s">
        <v>867</v>
      </c>
      <c r="E3023" s="7" t="s">
        <v>151</v>
      </c>
      <c r="F3023" s="7" t="s">
        <v>128</v>
      </c>
      <c r="G3023" s="7" t="s">
        <v>95</v>
      </c>
      <c r="H3023" s="7" t="n">
        <v>3</v>
      </c>
      <c r="I3023" s="7" t="n">
        <v>205</v>
      </c>
      <c r="J3023" s="7" t="n">
        <v>0</v>
      </c>
      <c r="K3023" s="7" t="s">
        <v>93</v>
      </c>
      <c r="L3023" s="7" t="s">
        <v>194</v>
      </c>
      <c r="M3023" s="7" t="n">
        <v>34</v>
      </c>
      <c r="N3023" s="7" t="n">
        <v>3</v>
      </c>
      <c r="O3023" s="7" t="str">
        <f aca="false">A3023&amp;"|"&amp;B3023&amp;"|"&amp;C3023&amp;"|"&amp;D3023&amp;"|"&amp;E3023&amp;"|"&amp;F3023&amp;"|"&amp;G3023&amp;"|"&amp;H3023&amp;"|"&amp;I3023&amp;"|"&amp;J3023&amp;"|"&amp;K3023&amp;"|"&amp;L3023&amp;"|"&amp;M3023&amp;"|"&amp;N3023</f>
        <v>ORD12543|13/11/2025|20:57|C1014|Chettinad House|Chennai|South Indian|3|205|0|Credit Card|Delivered|34|3</v>
      </c>
      <c r="P3023" s="7" t="str">
        <f aca="false">IF(COUNTIF($O$2:O3023,O3023)&gt;1,"DUP","OK")</f>
        <v>OK</v>
      </c>
      <c r="Q3023" s="7" t="n">
        <f aca="false">COUNTBLANK(A3023:N3023)</f>
        <v>0</v>
      </c>
      <c r="R3023" s="7" t="n">
        <f aca="false">IF(A3023="",0,COUNTIFS($A$2:$A$3058,A3023,$P$2:$P$3058,"OK"))</f>
        <v>1</v>
      </c>
      <c r="S3023" s="7" t="str">
        <f aca="false">IF(OR(A3023="",P3023="DUP",R3023&lt;2),"",IF(Q3023=_xlfn.MINIFS($Q$2:$Q$3058,$A$2:$A$3058,A3023,$P$2:$P$3058,"OK"),"KEEP","DROP"))</f>
        <v/>
      </c>
      <c r="T3023" s="9" t="n">
        <f aca="false">IF(A3023="",1,0)</f>
        <v>0</v>
      </c>
      <c r="U3023" s="9" t="n">
        <f aca="false">IF(D3023="",1,0)</f>
        <v>0</v>
      </c>
      <c r="V3023" s="9" t="n">
        <f aca="false">IF(E3023="",1,0)</f>
        <v>0</v>
      </c>
      <c r="W3023" s="9" t="n">
        <f aca="false">IF(OR(H3023&lt;1,H3023&gt;10),1,0)</f>
        <v>0</v>
      </c>
      <c r="X3023" s="9" t="n">
        <f aca="false">IF(OR(I3023&lt;=0,I3023&gt;1500),1,0)</f>
        <v>0</v>
      </c>
      <c r="Y3023" s="9" t="n">
        <f aca="false">IF(J3023&gt;H3023*I3023,1,0)</f>
        <v>0</v>
      </c>
      <c r="Z3023" s="9" t="n">
        <f aca="false">IF(AND(N3023&lt;&gt;"",OR(N3023&lt;1,N3023&gt;5)),1,0)</f>
        <v>0</v>
      </c>
      <c r="AA3023" s="9" t="n">
        <f aca="false">IF(AND(M3023&lt;&gt;"",OR(M3023&lt;5,M3023&gt;180)),1,0)</f>
        <v>0</v>
      </c>
      <c r="AB3023" s="7" t="str">
        <f aca="false">IF(P3023="DUP","Exact duplicate row",IF(T3023=1,"Missing Order ID",IF(S3023="DROP","Duplicate Order ID (less complete row)",IF(U3023=1,"Missing Customer ID",IF(V3023=1,"Missing Restaurant name",IF(W3023=1,"Invalid/outlier quantity",IF(X3023=1,"Invalid/outlier unit price",IF(Y3023=1,"Discount greater than order value",""))))))))</f>
        <v/>
      </c>
      <c r="AC3023" s="7" t="str">
        <f aca="false">IF(AB3023="","KEEP","DROP")</f>
        <v>KEEP</v>
      </c>
      <c r="AD3023" s="7" t="str">
        <f aca="false">IF(TRIM(F3023)="",IFERROR(INDEX(Map_Tables!$I$4:$I$37,MATCH(TRIM(E3023),Map_Tables!$G$4:$G$37,0)),""),IFERROR(INDEX(Map_Tables!$B$4:$B$18,MATCH(TRIM(F3023),Map_Tables!$A$4:$A$18,0)),"CHECK"))</f>
        <v>Chennai</v>
      </c>
      <c r="AE3023" s="7" t="str">
        <f aca="false">IF(TRIM(E3023)="","",IFERROR(INDEX(Map_Tables!$H$4:$H$37,MATCH(TRIM(E3023),Map_Tables!$G$4:$G$37,0)),"CHECK"))</f>
        <v>Chettinad House</v>
      </c>
      <c r="AF3023" s="7" t="str">
        <f aca="false">IF(TRIM(K3023)="","Unknown",IFERROR(INDEX(Map_Tables!$E$4:$E$15,MATCH(TRIM(K3023),Map_Tables!$D$4:$D$15,0)),"CHECK"))</f>
        <v>Credit Card</v>
      </c>
      <c r="AG3023" s="7" t="str">
        <f aca="false">IF(LEFT(LOWER(TRIM(L3023)),6)="cancel","Cancelled","Delivered")</f>
        <v>Delivered</v>
      </c>
      <c r="AH3023" s="10" t="n">
        <f aca="false">IF(ISNUMBER(SEARCH("/",B3023)),DATE(VALUE(RIGHT(B3023,4)),VALUE(MID(B3023,4,2)),VALUE(LEFT(B3023,2))),IF(MID(B3023,5,1)="-",DATE(VALUE(LEFT(B3023,4)),VALUE(MID(B3023,6,2)),VALUE(RIGHT(B3023,2))),DATE(VALUE(RIGHT(B3023,4)),MATCH(MID(B3023,4,3),{"Jan","Feb","Mar","Apr","May","Jun","Jul","Aug","Sep","Oct","Nov","Dec"},0),VALUE(LEFT(B3023,2)))))</f>
        <v>45974</v>
      </c>
    </row>
    <row r="3024" customFormat="false" ht="15" hidden="false" customHeight="false" outlineLevel="0" collapsed="false">
      <c r="A3024" s="7" t="s">
        <v>6128</v>
      </c>
      <c r="B3024" s="7" t="s">
        <v>1324</v>
      </c>
      <c r="C3024" s="7" t="s">
        <v>4353</v>
      </c>
      <c r="D3024" s="7" t="s">
        <v>2421</v>
      </c>
      <c r="E3024" s="7" t="s">
        <v>430</v>
      </c>
      <c r="F3024" s="7" t="s">
        <v>101</v>
      </c>
      <c r="G3024" s="7" t="s">
        <v>117</v>
      </c>
      <c r="H3024" s="7" t="n">
        <v>1</v>
      </c>
      <c r="I3024" s="7" t="n">
        <v>120</v>
      </c>
      <c r="J3024" s="7" t="n">
        <v>0</v>
      </c>
      <c r="K3024" s="7" t="s">
        <v>112</v>
      </c>
      <c r="L3024" s="7" t="s">
        <v>194</v>
      </c>
      <c r="M3024" s="7" t="n">
        <v>50</v>
      </c>
      <c r="N3024" s="7" t="n">
        <v>4</v>
      </c>
      <c r="O3024" s="7" t="str">
        <f aca="false">A3024&amp;"|"&amp;B3024&amp;"|"&amp;C3024&amp;"|"&amp;D3024&amp;"|"&amp;E3024&amp;"|"&amp;F3024&amp;"|"&amp;G3024&amp;"|"&amp;H3024&amp;"|"&amp;I3024&amp;"|"&amp;J3024&amp;"|"&amp;K3024&amp;"|"&amp;L3024&amp;"|"&amp;M3024&amp;"|"&amp;N3024</f>
        <v>ORD10773|2025-04-08|14:24|C0316| Pav Bhaji Point|Mumbai|Street Food|1|120|0|Cash on Delivery|Delivered|50|4</v>
      </c>
      <c r="P3024" s="7" t="str">
        <f aca="false">IF(COUNTIF($O$2:O3024,O3024)&gt;1,"DUP","OK")</f>
        <v>OK</v>
      </c>
      <c r="Q3024" s="7" t="n">
        <f aca="false">COUNTBLANK(A3024:N3024)</f>
        <v>0</v>
      </c>
      <c r="R3024" s="7" t="n">
        <f aca="false">IF(A3024="",0,COUNTIFS($A$2:$A$3058,A3024,$P$2:$P$3058,"OK"))</f>
        <v>1</v>
      </c>
      <c r="S3024" s="7" t="str">
        <f aca="false">IF(OR(A3024="",P3024="DUP",R3024&lt;2),"",IF(Q3024=_xlfn.MINIFS($Q$2:$Q$3058,$A$2:$A$3058,A3024,$P$2:$P$3058,"OK"),"KEEP","DROP"))</f>
        <v/>
      </c>
      <c r="T3024" s="9" t="n">
        <f aca="false">IF(A3024="",1,0)</f>
        <v>0</v>
      </c>
      <c r="U3024" s="9" t="n">
        <f aca="false">IF(D3024="",1,0)</f>
        <v>0</v>
      </c>
      <c r="V3024" s="9" t="n">
        <f aca="false">IF(E3024="",1,0)</f>
        <v>0</v>
      </c>
      <c r="W3024" s="9" t="n">
        <f aca="false">IF(OR(H3024&lt;1,H3024&gt;10),1,0)</f>
        <v>0</v>
      </c>
      <c r="X3024" s="9" t="n">
        <f aca="false">IF(OR(I3024&lt;=0,I3024&gt;1500),1,0)</f>
        <v>0</v>
      </c>
      <c r="Y3024" s="9" t="n">
        <f aca="false">IF(J3024&gt;H3024*I3024,1,0)</f>
        <v>0</v>
      </c>
      <c r="Z3024" s="9" t="n">
        <f aca="false">IF(AND(N3024&lt;&gt;"",OR(N3024&lt;1,N3024&gt;5)),1,0)</f>
        <v>0</v>
      </c>
      <c r="AA3024" s="9" t="n">
        <f aca="false">IF(AND(M3024&lt;&gt;"",OR(M3024&lt;5,M3024&gt;180)),1,0)</f>
        <v>0</v>
      </c>
      <c r="AB3024" s="7" t="str">
        <f aca="false">IF(P3024="DUP","Exact duplicate row",IF(T3024=1,"Missing Order ID",IF(S3024="DROP","Duplicate Order ID (less complete row)",IF(U3024=1,"Missing Customer ID",IF(V3024=1,"Missing Restaurant name",IF(W3024=1,"Invalid/outlier quantity",IF(X3024=1,"Invalid/outlier unit price",IF(Y3024=1,"Discount greater than order value",""))))))))</f>
        <v/>
      </c>
      <c r="AC3024" s="7" t="str">
        <f aca="false">IF(AB3024="","KEEP","DROP")</f>
        <v>KEEP</v>
      </c>
      <c r="AD3024" s="7" t="str">
        <f aca="false">IF(TRIM(F3024)="",IFERROR(INDEX(Map_Tables!$I$4:$I$37,MATCH(TRIM(E3024),Map_Tables!$G$4:$G$37,0)),""),IFERROR(INDEX(Map_Tables!$B$4:$B$18,MATCH(TRIM(F3024),Map_Tables!$A$4:$A$18,0)),"CHECK"))</f>
        <v>Mumbai</v>
      </c>
      <c r="AE3024" s="7" t="str">
        <f aca="false">IF(TRIM(E3024)="","",IFERROR(INDEX(Map_Tables!$H$4:$H$37,MATCH(TRIM(E3024),Map_Tables!$G$4:$G$37,0)),"CHECK"))</f>
        <v>Pav Bhaji Point</v>
      </c>
      <c r="AF3024" s="7" t="str">
        <f aca="false">IF(TRIM(K3024)="","Unknown",IFERROR(INDEX(Map_Tables!$E$4:$E$15,MATCH(TRIM(K3024),Map_Tables!$D$4:$D$15,0)),"CHECK"))</f>
        <v>Cash on Delivery</v>
      </c>
      <c r="AG3024" s="7" t="str">
        <f aca="false">IF(LEFT(LOWER(TRIM(L3024)),6)="cancel","Cancelled","Delivered")</f>
        <v>Delivered</v>
      </c>
      <c r="AH3024" s="10" t="n">
        <f aca="false">IF(ISNUMBER(SEARCH("/",B3024)),DATE(VALUE(RIGHT(B3024,4)),VALUE(MID(B3024,4,2)),VALUE(LEFT(B3024,2))),IF(MID(B3024,5,1)="-",DATE(VALUE(LEFT(B3024,4)),VALUE(MID(B3024,6,2)),VALUE(RIGHT(B3024,2))),DATE(VALUE(RIGHT(B3024,4)),MATCH(MID(B3024,4,3),{"Jan","Feb","Mar","Apr","May","Jun","Jul","Aug","Sep","Oct","Nov","Dec"},0),VALUE(LEFT(B3024,2)))))</f>
        <v>45755</v>
      </c>
    </row>
    <row r="3025" customFormat="false" ht="15" hidden="false" customHeight="false" outlineLevel="0" collapsed="false">
      <c r="A3025" s="7" t="s">
        <v>6129</v>
      </c>
      <c r="B3025" s="7" t="s">
        <v>546</v>
      </c>
      <c r="C3025" s="7" t="s">
        <v>693</v>
      </c>
      <c r="D3025" s="7" t="s">
        <v>4818</v>
      </c>
      <c r="E3025" s="7" t="s">
        <v>149</v>
      </c>
      <c r="F3025" s="7" t="s">
        <v>119</v>
      </c>
      <c r="G3025" s="7" t="s">
        <v>150</v>
      </c>
      <c r="H3025" s="7" t="n">
        <v>1</v>
      </c>
      <c r="I3025" s="7" t="n">
        <v>170</v>
      </c>
      <c r="J3025" s="7" t="n">
        <v>68</v>
      </c>
      <c r="K3025" s="7" t="s">
        <v>88</v>
      </c>
      <c r="L3025" s="7" t="s">
        <v>194</v>
      </c>
      <c r="M3025" s="7" t="n">
        <v>35</v>
      </c>
      <c r="N3025" s="7" t="n">
        <v>6</v>
      </c>
      <c r="O3025" s="7" t="str">
        <f aca="false">A3025&amp;"|"&amp;B3025&amp;"|"&amp;C3025&amp;"|"&amp;D3025&amp;"|"&amp;E3025&amp;"|"&amp;F3025&amp;"|"&amp;G3025&amp;"|"&amp;H3025&amp;"|"&amp;I3025&amp;"|"&amp;J3025&amp;"|"&amp;K3025&amp;"|"&amp;L3025&amp;"|"&amp;M3025&amp;"|"&amp;N3025</f>
        <v>ORD12599|2025-11-18|11:10|C0029|Sweet Tooth Studio|Hyderabad|Desserts|1|170|68|UPI|Delivered|35|6</v>
      </c>
      <c r="P3025" s="7" t="str">
        <f aca="false">IF(COUNTIF($O$2:O3025,O3025)&gt;1,"DUP","OK")</f>
        <v>OK</v>
      </c>
      <c r="Q3025" s="7" t="n">
        <f aca="false">COUNTBLANK(A3025:N3025)</f>
        <v>0</v>
      </c>
      <c r="R3025" s="7" t="n">
        <f aca="false">IF(A3025="",0,COUNTIFS($A$2:$A$3058,A3025,$P$2:$P$3058,"OK"))</f>
        <v>1</v>
      </c>
      <c r="S3025" s="7" t="str">
        <f aca="false">IF(OR(A3025="",P3025="DUP",R3025&lt;2),"",IF(Q3025=_xlfn.MINIFS($Q$2:$Q$3058,$A$2:$A$3058,A3025,$P$2:$P$3058,"OK"),"KEEP","DROP"))</f>
        <v/>
      </c>
      <c r="T3025" s="9" t="n">
        <f aca="false">IF(A3025="",1,0)</f>
        <v>0</v>
      </c>
      <c r="U3025" s="9" t="n">
        <f aca="false">IF(D3025="",1,0)</f>
        <v>0</v>
      </c>
      <c r="V3025" s="9" t="n">
        <f aca="false">IF(E3025="",1,0)</f>
        <v>0</v>
      </c>
      <c r="W3025" s="9" t="n">
        <f aca="false">IF(OR(H3025&lt;1,H3025&gt;10),1,0)</f>
        <v>0</v>
      </c>
      <c r="X3025" s="9" t="n">
        <f aca="false">IF(OR(I3025&lt;=0,I3025&gt;1500),1,0)</f>
        <v>0</v>
      </c>
      <c r="Y3025" s="9" t="n">
        <f aca="false">IF(J3025&gt;H3025*I3025,1,0)</f>
        <v>0</v>
      </c>
      <c r="Z3025" s="9" t="n">
        <f aca="false">IF(AND(N3025&lt;&gt;"",OR(N3025&lt;1,N3025&gt;5)),1,0)</f>
        <v>1</v>
      </c>
      <c r="AA3025" s="9" t="n">
        <f aca="false">IF(AND(M3025&lt;&gt;"",OR(M3025&lt;5,M3025&gt;180)),1,0)</f>
        <v>0</v>
      </c>
      <c r="AB3025" s="7" t="str">
        <f aca="false">IF(P3025="DUP","Exact duplicate row",IF(T3025=1,"Missing Order ID",IF(S3025="DROP","Duplicate Order ID (less complete row)",IF(U3025=1,"Missing Customer ID",IF(V3025=1,"Missing Restaurant name",IF(W3025=1,"Invalid/outlier quantity",IF(X3025=1,"Invalid/outlier unit price",IF(Y3025=1,"Discount greater than order value",""))))))))</f>
        <v/>
      </c>
      <c r="AC3025" s="7" t="str">
        <f aca="false">IF(AB3025="","KEEP","DROP")</f>
        <v>KEEP</v>
      </c>
      <c r="AD3025" s="7" t="str">
        <f aca="false">IF(TRIM(F3025)="",IFERROR(INDEX(Map_Tables!$I$4:$I$37,MATCH(TRIM(E3025),Map_Tables!$G$4:$G$37,0)),""),IFERROR(INDEX(Map_Tables!$B$4:$B$18,MATCH(TRIM(F3025),Map_Tables!$A$4:$A$18,0)),"CHECK"))</f>
        <v>Hyderabad</v>
      </c>
      <c r="AE3025" s="7" t="str">
        <f aca="false">IF(TRIM(E3025)="","",IFERROR(INDEX(Map_Tables!$H$4:$H$37,MATCH(TRIM(E3025),Map_Tables!$G$4:$G$37,0)),"CHECK"))</f>
        <v>Sweet Tooth Studio</v>
      </c>
      <c r="AF3025" s="7" t="str">
        <f aca="false">IF(TRIM(K3025)="","Unknown",IFERROR(INDEX(Map_Tables!$E$4:$E$15,MATCH(TRIM(K3025),Map_Tables!$D$4:$D$15,0)),"CHECK"))</f>
        <v>UPI</v>
      </c>
      <c r="AG3025" s="7" t="str">
        <f aca="false">IF(LEFT(LOWER(TRIM(L3025)),6)="cancel","Cancelled","Delivered")</f>
        <v>Delivered</v>
      </c>
      <c r="AH3025" s="10" t="n">
        <f aca="false">IF(ISNUMBER(SEARCH("/",B3025)),DATE(VALUE(RIGHT(B3025,4)),VALUE(MID(B3025,4,2)),VALUE(LEFT(B3025,2))),IF(MID(B3025,5,1)="-",DATE(VALUE(LEFT(B3025,4)),VALUE(MID(B3025,6,2)),VALUE(RIGHT(B3025,2))),DATE(VALUE(RIGHT(B3025,4)),MATCH(MID(B3025,4,3),{"Jan","Feb","Mar","Apr","May","Jun","Jul","Aug","Sep","Oct","Nov","Dec"},0),VALUE(LEFT(B3025,2)))))</f>
        <v>45979</v>
      </c>
    </row>
    <row r="3026" customFormat="false" ht="15" hidden="false" customHeight="false" outlineLevel="0" collapsed="false">
      <c r="A3026" s="7" t="s">
        <v>6130</v>
      </c>
      <c r="B3026" s="7" t="s">
        <v>6131</v>
      </c>
      <c r="C3026" s="7" t="s">
        <v>2696</v>
      </c>
      <c r="D3026" s="7" t="s">
        <v>6132</v>
      </c>
      <c r="E3026" s="7" t="s">
        <v>138</v>
      </c>
      <c r="F3026" s="7" t="s">
        <v>110</v>
      </c>
      <c r="G3026" s="7" t="s">
        <v>139</v>
      </c>
      <c r="H3026" s="7" t="n">
        <v>3</v>
      </c>
      <c r="I3026" s="7" t="n">
        <v>130</v>
      </c>
      <c r="J3026" s="7" t="n">
        <v>0</v>
      </c>
      <c r="K3026" s="7" t="s">
        <v>88</v>
      </c>
      <c r="L3026" s="7" t="s">
        <v>194</v>
      </c>
      <c r="M3026" s="7" t="n">
        <v>39</v>
      </c>
      <c r="N3026" s="7" t="n">
        <v>4</v>
      </c>
      <c r="O3026" s="7" t="str">
        <f aca="false">A3026&amp;"|"&amp;B3026&amp;"|"&amp;C3026&amp;"|"&amp;D3026&amp;"|"&amp;E3026&amp;"|"&amp;F3026&amp;"|"&amp;G3026&amp;"|"&amp;H3026&amp;"|"&amp;I3026&amp;"|"&amp;J3026&amp;"|"&amp;K3026&amp;"|"&amp;L3026&amp;"|"&amp;M3026&amp;"|"&amp;N3026</f>
        <v>ORD11487|12-Jul-2025|19:05|C0691|Burger Barn|Delhi|Burgers|3|130|0|UPI|Delivered|39|4</v>
      </c>
      <c r="P3026" s="7" t="str">
        <f aca="false">IF(COUNTIF($O$2:O3026,O3026)&gt;1,"DUP","OK")</f>
        <v>OK</v>
      </c>
      <c r="Q3026" s="7" t="n">
        <f aca="false">COUNTBLANK(A3026:N3026)</f>
        <v>0</v>
      </c>
      <c r="R3026" s="7" t="n">
        <f aca="false">IF(A3026="",0,COUNTIFS($A$2:$A$3058,A3026,$P$2:$P$3058,"OK"))</f>
        <v>1</v>
      </c>
      <c r="S3026" s="7" t="str">
        <f aca="false">IF(OR(A3026="",P3026="DUP",R3026&lt;2),"",IF(Q3026=_xlfn.MINIFS($Q$2:$Q$3058,$A$2:$A$3058,A3026,$P$2:$P$3058,"OK"),"KEEP","DROP"))</f>
        <v/>
      </c>
      <c r="T3026" s="9" t="n">
        <f aca="false">IF(A3026="",1,0)</f>
        <v>0</v>
      </c>
      <c r="U3026" s="9" t="n">
        <f aca="false">IF(D3026="",1,0)</f>
        <v>0</v>
      </c>
      <c r="V3026" s="9" t="n">
        <f aca="false">IF(E3026="",1,0)</f>
        <v>0</v>
      </c>
      <c r="W3026" s="9" t="n">
        <f aca="false">IF(OR(H3026&lt;1,H3026&gt;10),1,0)</f>
        <v>0</v>
      </c>
      <c r="X3026" s="9" t="n">
        <f aca="false">IF(OR(I3026&lt;=0,I3026&gt;1500),1,0)</f>
        <v>0</v>
      </c>
      <c r="Y3026" s="9" t="n">
        <f aca="false">IF(J3026&gt;H3026*I3026,1,0)</f>
        <v>0</v>
      </c>
      <c r="Z3026" s="9" t="n">
        <f aca="false">IF(AND(N3026&lt;&gt;"",OR(N3026&lt;1,N3026&gt;5)),1,0)</f>
        <v>0</v>
      </c>
      <c r="AA3026" s="9" t="n">
        <f aca="false">IF(AND(M3026&lt;&gt;"",OR(M3026&lt;5,M3026&gt;180)),1,0)</f>
        <v>0</v>
      </c>
      <c r="AB3026" s="7" t="str">
        <f aca="false">IF(P3026="DUP","Exact duplicate row",IF(T3026=1,"Missing Order ID",IF(S3026="DROP","Duplicate Order ID (less complete row)",IF(U3026=1,"Missing Customer ID",IF(V3026=1,"Missing Restaurant name",IF(W3026=1,"Invalid/outlier quantity",IF(X3026=1,"Invalid/outlier unit price",IF(Y3026=1,"Discount greater than order value",""))))))))</f>
        <v/>
      </c>
      <c r="AC3026" s="7" t="str">
        <f aca="false">IF(AB3026="","KEEP","DROP")</f>
        <v>KEEP</v>
      </c>
      <c r="AD3026" s="7" t="str">
        <f aca="false">IF(TRIM(F3026)="",IFERROR(INDEX(Map_Tables!$I$4:$I$37,MATCH(TRIM(E3026),Map_Tables!$G$4:$G$37,0)),""),IFERROR(INDEX(Map_Tables!$B$4:$B$18,MATCH(TRIM(F3026),Map_Tables!$A$4:$A$18,0)),"CHECK"))</f>
        <v>Delhi</v>
      </c>
      <c r="AE3026" s="7" t="str">
        <f aca="false">IF(TRIM(E3026)="","",IFERROR(INDEX(Map_Tables!$H$4:$H$37,MATCH(TRIM(E3026),Map_Tables!$G$4:$G$37,0)),"CHECK"))</f>
        <v>Burger Barn</v>
      </c>
      <c r="AF3026" s="7" t="str">
        <f aca="false">IF(TRIM(K3026)="","Unknown",IFERROR(INDEX(Map_Tables!$E$4:$E$15,MATCH(TRIM(K3026),Map_Tables!$D$4:$D$15,0)),"CHECK"))</f>
        <v>UPI</v>
      </c>
      <c r="AG3026" s="7" t="str">
        <f aca="false">IF(LEFT(LOWER(TRIM(L3026)),6)="cancel","Cancelled","Delivered")</f>
        <v>Delivered</v>
      </c>
      <c r="AH3026" s="10" t="n">
        <f aca="false">IF(ISNUMBER(SEARCH("/",B3026)),DATE(VALUE(RIGHT(B3026,4)),VALUE(MID(B3026,4,2)),VALUE(LEFT(B3026,2))),IF(MID(B3026,5,1)="-",DATE(VALUE(LEFT(B3026,4)),VALUE(MID(B3026,6,2)),VALUE(RIGHT(B3026,2))),DATE(VALUE(RIGHT(B3026,4)),MATCH(MID(B3026,4,3),{"Jan","Feb","Mar","Apr","May","Jun","Jul","Aug","Sep","Oct","Nov","Dec"},0),VALUE(LEFT(B3026,2)))))</f>
        <v>45850</v>
      </c>
    </row>
    <row r="3027" customFormat="false" ht="15" hidden="false" customHeight="false" outlineLevel="0" collapsed="false">
      <c r="A3027" s="7" t="s">
        <v>6133</v>
      </c>
      <c r="B3027" s="7" t="s">
        <v>2501</v>
      </c>
      <c r="C3027" s="7" t="s">
        <v>638</v>
      </c>
      <c r="D3027" s="7" t="s">
        <v>6134</v>
      </c>
      <c r="E3027" s="7" t="s">
        <v>646</v>
      </c>
      <c r="F3027" s="7" t="s">
        <v>119</v>
      </c>
      <c r="G3027" s="7" t="s">
        <v>150</v>
      </c>
      <c r="H3027" s="7" t="n">
        <v>2</v>
      </c>
      <c r="I3027" s="7" t="n">
        <v>160</v>
      </c>
      <c r="J3027" s="7" t="n">
        <v>0</v>
      </c>
      <c r="K3027" s="7" t="s">
        <v>103</v>
      </c>
      <c r="L3027" s="7" t="s">
        <v>194</v>
      </c>
      <c r="M3027" s="7" t="n">
        <v>33</v>
      </c>
      <c r="N3027" s="7" t="n">
        <v>4</v>
      </c>
      <c r="O3027" s="7" t="str">
        <f aca="false">A3027&amp;"|"&amp;B3027&amp;"|"&amp;C3027&amp;"|"&amp;D3027&amp;"|"&amp;E3027&amp;"|"&amp;F3027&amp;"|"&amp;G3027&amp;"|"&amp;H3027&amp;"|"&amp;I3027&amp;"|"&amp;J3027&amp;"|"&amp;K3027&amp;"|"&amp;L3027&amp;"|"&amp;M3027&amp;"|"&amp;N3027</f>
        <v>ORD12250|2025-10-12|20:38|C1206| Sweet Tooth Studio|Hyderabad|Desserts|2|160|0|Debit Card|Delivered|33|4</v>
      </c>
      <c r="P3027" s="7" t="str">
        <f aca="false">IF(COUNTIF($O$2:O3027,O3027)&gt;1,"DUP","OK")</f>
        <v>OK</v>
      </c>
      <c r="Q3027" s="7" t="n">
        <f aca="false">COUNTBLANK(A3027:N3027)</f>
        <v>0</v>
      </c>
      <c r="R3027" s="7" t="n">
        <f aca="false">IF(A3027="",0,COUNTIFS($A$2:$A$3058,A3027,$P$2:$P$3058,"OK"))</f>
        <v>1</v>
      </c>
      <c r="S3027" s="7" t="str">
        <f aca="false">IF(OR(A3027="",P3027="DUP",R3027&lt;2),"",IF(Q3027=_xlfn.MINIFS($Q$2:$Q$3058,$A$2:$A$3058,A3027,$P$2:$P$3058,"OK"),"KEEP","DROP"))</f>
        <v/>
      </c>
      <c r="T3027" s="9" t="n">
        <f aca="false">IF(A3027="",1,0)</f>
        <v>0</v>
      </c>
      <c r="U3027" s="9" t="n">
        <f aca="false">IF(D3027="",1,0)</f>
        <v>0</v>
      </c>
      <c r="V3027" s="9" t="n">
        <f aca="false">IF(E3027="",1,0)</f>
        <v>0</v>
      </c>
      <c r="W3027" s="9" t="n">
        <f aca="false">IF(OR(H3027&lt;1,H3027&gt;10),1,0)</f>
        <v>0</v>
      </c>
      <c r="X3027" s="9" t="n">
        <f aca="false">IF(OR(I3027&lt;=0,I3027&gt;1500),1,0)</f>
        <v>0</v>
      </c>
      <c r="Y3027" s="9" t="n">
        <f aca="false">IF(J3027&gt;H3027*I3027,1,0)</f>
        <v>0</v>
      </c>
      <c r="Z3027" s="9" t="n">
        <f aca="false">IF(AND(N3027&lt;&gt;"",OR(N3027&lt;1,N3027&gt;5)),1,0)</f>
        <v>0</v>
      </c>
      <c r="AA3027" s="9" t="n">
        <f aca="false">IF(AND(M3027&lt;&gt;"",OR(M3027&lt;5,M3027&gt;180)),1,0)</f>
        <v>0</v>
      </c>
      <c r="AB3027" s="7" t="str">
        <f aca="false">IF(P3027="DUP","Exact duplicate row",IF(T3027=1,"Missing Order ID",IF(S3027="DROP","Duplicate Order ID (less complete row)",IF(U3027=1,"Missing Customer ID",IF(V3027=1,"Missing Restaurant name",IF(W3027=1,"Invalid/outlier quantity",IF(X3027=1,"Invalid/outlier unit price",IF(Y3027=1,"Discount greater than order value",""))))))))</f>
        <v/>
      </c>
      <c r="AC3027" s="7" t="str">
        <f aca="false">IF(AB3027="","KEEP","DROP")</f>
        <v>KEEP</v>
      </c>
      <c r="AD3027" s="7" t="str">
        <f aca="false">IF(TRIM(F3027)="",IFERROR(INDEX(Map_Tables!$I$4:$I$37,MATCH(TRIM(E3027),Map_Tables!$G$4:$G$37,0)),""),IFERROR(INDEX(Map_Tables!$B$4:$B$18,MATCH(TRIM(F3027),Map_Tables!$A$4:$A$18,0)),"CHECK"))</f>
        <v>Hyderabad</v>
      </c>
      <c r="AE3027" s="7" t="str">
        <f aca="false">IF(TRIM(E3027)="","",IFERROR(INDEX(Map_Tables!$H$4:$H$37,MATCH(TRIM(E3027),Map_Tables!$G$4:$G$37,0)),"CHECK"))</f>
        <v>Sweet Tooth Studio</v>
      </c>
      <c r="AF3027" s="7" t="str">
        <f aca="false">IF(TRIM(K3027)="","Unknown",IFERROR(INDEX(Map_Tables!$E$4:$E$15,MATCH(TRIM(K3027),Map_Tables!$D$4:$D$15,0)),"CHECK"))</f>
        <v>Debit Card</v>
      </c>
      <c r="AG3027" s="7" t="str">
        <f aca="false">IF(LEFT(LOWER(TRIM(L3027)),6)="cancel","Cancelled","Delivered")</f>
        <v>Delivered</v>
      </c>
      <c r="AH3027" s="10" t="n">
        <f aca="false">IF(ISNUMBER(SEARCH("/",B3027)),DATE(VALUE(RIGHT(B3027,4)),VALUE(MID(B3027,4,2)),VALUE(LEFT(B3027,2))),IF(MID(B3027,5,1)="-",DATE(VALUE(LEFT(B3027,4)),VALUE(MID(B3027,6,2)),VALUE(RIGHT(B3027,2))),DATE(VALUE(RIGHT(B3027,4)),MATCH(MID(B3027,4,3),{"Jan","Feb","Mar","Apr","May","Jun","Jul","Aug","Sep","Oct","Nov","Dec"},0),VALUE(LEFT(B3027,2)))))</f>
        <v>45942</v>
      </c>
    </row>
    <row r="3028" customFormat="false" ht="15" hidden="false" customHeight="false" outlineLevel="0" collapsed="false">
      <c r="A3028" s="7" t="s">
        <v>6135</v>
      </c>
      <c r="B3028" s="7" t="s">
        <v>4165</v>
      </c>
      <c r="C3028" s="7" t="s">
        <v>213</v>
      </c>
      <c r="D3028" s="7" t="s">
        <v>5970</v>
      </c>
      <c r="E3028" s="7" t="s">
        <v>130</v>
      </c>
      <c r="F3028" s="7" t="s">
        <v>110</v>
      </c>
      <c r="G3028" s="7" t="s">
        <v>90</v>
      </c>
      <c r="H3028" s="7" t="n">
        <v>1</v>
      </c>
      <c r="I3028" s="7" t="n">
        <v>215</v>
      </c>
      <c r="J3028" s="7" t="n">
        <v>0</v>
      </c>
      <c r="K3028" s="7" t="s">
        <v>93</v>
      </c>
      <c r="L3028" s="7" t="s">
        <v>194</v>
      </c>
      <c r="M3028" s="7" t="n">
        <v>47</v>
      </c>
      <c r="N3028" s="7" t="n">
        <v>4</v>
      </c>
      <c r="O3028" s="7" t="str">
        <f aca="false">A3028&amp;"|"&amp;B3028&amp;"|"&amp;C3028&amp;"|"&amp;D3028&amp;"|"&amp;E3028&amp;"|"&amp;F3028&amp;"|"&amp;G3028&amp;"|"&amp;H3028&amp;"|"&amp;I3028&amp;"|"&amp;J3028&amp;"|"&amp;K3028&amp;"|"&amp;L3028&amp;"|"&amp;M3028&amp;"|"&amp;N3028</f>
        <v>ORD10313|11/02/2025|20:37|C1469|Tandoor Tales|Delhi|North Indian|1|215|0|Credit Card|Delivered|47|4</v>
      </c>
      <c r="P3028" s="7" t="str">
        <f aca="false">IF(COUNTIF($O$2:O3028,O3028)&gt;1,"DUP","OK")</f>
        <v>OK</v>
      </c>
      <c r="Q3028" s="7" t="n">
        <f aca="false">COUNTBLANK(A3028:N3028)</f>
        <v>0</v>
      </c>
      <c r="R3028" s="7" t="n">
        <f aca="false">IF(A3028="",0,COUNTIFS($A$2:$A$3058,A3028,$P$2:$P$3058,"OK"))</f>
        <v>1</v>
      </c>
      <c r="S3028" s="7" t="str">
        <f aca="false">IF(OR(A3028="",P3028="DUP",R3028&lt;2),"",IF(Q3028=_xlfn.MINIFS($Q$2:$Q$3058,$A$2:$A$3058,A3028,$P$2:$P$3058,"OK"),"KEEP","DROP"))</f>
        <v/>
      </c>
      <c r="T3028" s="9" t="n">
        <f aca="false">IF(A3028="",1,0)</f>
        <v>0</v>
      </c>
      <c r="U3028" s="9" t="n">
        <f aca="false">IF(D3028="",1,0)</f>
        <v>0</v>
      </c>
      <c r="V3028" s="9" t="n">
        <f aca="false">IF(E3028="",1,0)</f>
        <v>0</v>
      </c>
      <c r="W3028" s="9" t="n">
        <f aca="false">IF(OR(H3028&lt;1,H3028&gt;10),1,0)</f>
        <v>0</v>
      </c>
      <c r="X3028" s="9" t="n">
        <f aca="false">IF(OR(I3028&lt;=0,I3028&gt;1500),1,0)</f>
        <v>0</v>
      </c>
      <c r="Y3028" s="9" t="n">
        <f aca="false">IF(J3028&gt;H3028*I3028,1,0)</f>
        <v>0</v>
      </c>
      <c r="Z3028" s="9" t="n">
        <f aca="false">IF(AND(N3028&lt;&gt;"",OR(N3028&lt;1,N3028&gt;5)),1,0)</f>
        <v>0</v>
      </c>
      <c r="AA3028" s="9" t="n">
        <f aca="false">IF(AND(M3028&lt;&gt;"",OR(M3028&lt;5,M3028&gt;180)),1,0)</f>
        <v>0</v>
      </c>
      <c r="AB3028" s="7" t="str">
        <f aca="false">IF(P3028="DUP","Exact duplicate row",IF(T3028=1,"Missing Order ID",IF(S3028="DROP","Duplicate Order ID (less complete row)",IF(U3028=1,"Missing Customer ID",IF(V3028=1,"Missing Restaurant name",IF(W3028=1,"Invalid/outlier quantity",IF(X3028=1,"Invalid/outlier unit price",IF(Y3028=1,"Discount greater than order value",""))))))))</f>
        <v/>
      </c>
      <c r="AC3028" s="7" t="str">
        <f aca="false">IF(AB3028="","KEEP","DROP")</f>
        <v>KEEP</v>
      </c>
      <c r="AD3028" s="7" t="str">
        <f aca="false">IF(TRIM(F3028)="",IFERROR(INDEX(Map_Tables!$I$4:$I$37,MATCH(TRIM(E3028),Map_Tables!$G$4:$G$37,0)),""),IFERROR(INDEX(Map_Tables!$B$4:$B$18,MATCH(TRIM(F3028),Map_Tables!$A$4:$A$18,0)),"CHECK"))</f>
        <v>Delhi</v>
      </c>
      <c r="AE3028" s="7" t="str">
        <f aca="false">IF(TRIM(E3028)="","",IFERROR(INDEX(Map_Tables!$H$4:$H$37,MATCH(TRIM(E3028),Map_Tables!$G$4:$G$37,0)),"CHECK"))</f>
        <v>Tandoor Tales</v>
      </c>
      <c r="AF3028" s="7" t="str">
        <f aca="false">IF(TRIM(K3028)="","Unknown",IFERROR(INDEX(Map_Tables!$E$4:$E$15,MATCH(TRIM(K3028),Map_Tables!$D$4:$D$15,0)),"CHECK"))</f>
        <v>Credit Card</v>
      </c>
      <c r="AG3028" s="7" t="str">
        <f aca="false">IF(LEFT(LOWER(TRIM(L3028)),6)="cancel","Cancelled","Delivered")</f>
        <v>Delivered</v>
      </c>
      <c r="AH3028" s="10" t="n">
        <f aca="false">IF(ISNUMBER(SEARCH("/",B3028)),DATE(VALUE(RIGHT(B3028,4)),VALUE(MID(B3028,4,2)),VALUE(LEFT(B3028,2))),IF(MID(B3028,5,1)="-",DATE(VALUE(LEFT(B3028,4)),VALUE(MID(B3028,6,2)),VALUE(RIGHT(B3028,2))),DATE(VALUE(RIGHT(B3028,4)),MATCH(MID(B3028,4,3),{"Jan","Feb","Mar","Apr","May","Jun","Jul","Aug","Sep","Oct","Nov","Dec"},0),VALUE(LEFT(B3028,2)))))</f>
        <v>45699</v>
      </c>
    </row>
    <row r="3029" customFormat="false" ht="15" hidden="false" customHeight="false" outlineLevel="0" collapsed="false">
      <c r="A3029" s="7" t="s">
        <v>6136</v>
      </c>
      <c r="B3029" s="7" t="s">
        <v>704</v>
      </c>
      <c r="C3029" s="7" t="s">
        <v>1153</v>
      </c>
      <c r="D3029" s="7" t="s">
        <v>4100</v>
      </c>
      <c r="E3029" s="7" t="s">
        <v>104</v>
      </c>
      <c r="F3029" s="7" t="s">
        <v>86</v>
      </c>
      <c r="G3029" s="7" t="s">
        <v>105</v>
      </c>
      <c r="H3029" s="7" t="n">
        <v>1</v>
      </c>
      <c r="I3029" s="7" t="n">
        <v>175</v>
      </c>
      <c r="J3029" s="7" t="n">
        <v>0</v>
      </c>
      <c r="K3029" s="7" t="s">
        <v>132</v>
      </c>
      <c r="L3029" s="7" t="s">
        <v>194</v>
      </c>
      <c r="M3029" s="7" t="n">
        <v>37</v>
      </c>
      <c r="N3029" s="7" t="n">
        <v>3</v>
      </c>
      <c r="O3029" s="7" t="str">
        <f aca="false">A3029&amp;"|"&amp;B3029&amp;"|"&amp;C3029&amp;"|"&amp;D3029&amp;"|"&amp;E3029&amp;"|"&amp;F3029&amp;"|"&amp;G3029&amp;"|"&amp;H3029&amp;"|"&amp;I3029&amp;"|"&amp;J3029&amp;"|"&amp;K3029&amp;"|"&amp;L3029&amp;"|"&amp;M3029&amp;"|"&amp;N3029</f>
        <v>ORD10291|2025-02-08|20:45|C0508|Wok &amp; Roll|Bengaluru|Chinese|1|175|0|net banking|Delivered|37|3</v>
      </c>
      <c r="P3029" s="7" t="str">
        <f aca="false">IF(COUNTIF($O$2:O3029,O3029)&gt;1,"DUP","OK")</f>
        <v>OK</v>
      </c>
      <c r="Q3029" s="7" t="n">
        <f aca="false">COUNTBLANK(A3029:N3029)</f>
        <v>0</v>
      </c>
      <c r="R3029" s="7" t="n">
        <f aca="false">IF(A3029="",0,COUNTIFS($A$2:$A$3058,A3029,$P$2:$P$3058,"OK"))</f>
        <v>1</v>
      </c>
      <c r="S3029" s="7" t="str">
        <f aca="false">IF(OR(A3029="",P3029="DUP",R3029&lt;2),"",IF(Q3029=_xlfn.MINIFS($Q$2:$Q$3058,$A$2:$A$3058,A3029,$P$2:$P$3058,"OK"),"KEEP","DROP"))</f>
        <v/>
      </c>
      <c r="T3029" s="9" t="n">
        <f aca="false">IF(A3029="",1,0)</f>
        <v>0</v>
      </c>
      <c r="U3029" s="9" t="n">
        <f aca="false">IF(D3029="",1,0)</f>
        <v>0</v>
      </c>
      <c r="V3029" s="9" t="n">
        <f aca="false">IF(E3029="",1,0)</f>
        <v>0</v>
      </c>
      <c r="W3029" s="9" t="n">
        <f aca="false">IF(OR(H3029&lt;1,H3029&gt;10),1,0)</f>
        <v>0</v>
      </c>
      <c r="X3029" s="9" t="n">
        <f aca="false">IF(OR(I3029&lt;=0,I3029&gt;1500),1,0)</f>
        <v>0</v>
      </c>
      <c r="Y3029" s="9" t="n">
        <f aca="false">IF(J3029&gt;H3029*I3029,1,0)</f>
        <v>0</v>
      </c>
      <c r="Z3029" s="9" t="n">
        <f aca="false">IF(AND(N3029&lt;&gt;"",OR(N3029&lt;1,N3029&gt;5)),1,0)</f>
        <v>0</v>
      </c>
      <c r="AA3029" s="9" t="n">
        <f aca="false">IF(AND(M3029&lt;&gt;"",OR(M3029&lt;5,M3029&gt;180)),1,0)</f>
        <v>0</v>
      </c>
      <c r="AB3029" s="7" t="str">
        <f aca="false">IF(P3029="DUP","Exact duplicate row",IF(T3029=1,"Missing Order ID",IF(S3029="DROP","Duplicate Order ID (less complete row)",IF(U3029=1,"Missing Customer ID",IF(V3029=1,"Missing Restaurant name",IF(W3029=1,"Invalid/outlier quantity",IF(X3029=1,"Invalid/outlier unit price",IF(Y3029=1,"Discount greater than order value",""))))))))</f>
        <v/>
      </c>
      <c r="AC3029" s="7" t="str">
        <f aca="false">IF(AB3029="","KEEP","DROP")</f>
        <v>KEEP</v>
      </c>
      <c r="AD3029" s="7" t="str">
        <f aca="false">IF(TRIM(F3029)="",IFERROR(INDEX(Map_Tables!$I$4:$I$37,MATCH(TRIM(E3029),Map_Tables!$G$4:$G$37,0)),""),IFERROR(INDEX(Map_Tables!$B$4:$B$18,MATCH(TRIM(F3029),Map_Tables!$A$4:$A$18,0)),"CHECK"))</f>
        <v>Bengaluru</v>
      </c>
      <c r="AE3029" s="7" t="str">
        <f aca="false">IF(TRIM(E3029)="","",IFERROR(INDEX(Map_Tables!$H$4:$H$37,MATCH(TRIM(E3029),Map_Tables!$G$4:$G$37,0)),"CHECK"))</f>
        <v>Wok &amp; Roll</v>
      </c>
      <c r="AF3029" s="7" t="str">
        <f aca="false">IF(TRIM(K3029)="","Unknown",IFERROR(INDEX(Map_Tables!$E$4:$E$15,MATCH(TRIM(K3029),Map_Tables!$D$4:$D$15,0)),"CHECK"))</f>
        <v>Net Banking</v>
      </c>
      <c r="AG3029" s="7" t="str">
        <f aca="false">IF(LEFT(LOWER(TRIM(L3029)),6)="cancel","Cancelled","Delivered")</f>
        <v>Delivered</v>
      </c>
      <c r="AH3029" s="10" t="n">
        <f aca="false">IF(ISNUMBER(SEARCH("/",B3029)),DATE(VALUE(RIGHT(B3029,4)),VALUE(MID(B3029,4,2)),VALUE(LEFT(B3029,2))),IF(MID(B3029,5,1)="-",DATE(VALUE(LEFT(B3029,4)),VALUE(MID(B3029,6,2)),VALUE(RIGHT(B3029,2))),DATE(VALUE(RIGHT(B3029,4)),MATCH(MID(B3029,4,3),{"Jan","Feb","Mar","Apr","May","Jun","Jul","Aug","Sep","Oct","Nov","Dec"},0),VALUE(LEFT(B3029,2)))))</f>
        <v>45696</v>
      </c>
    </row>
    <row r="3030" customFormat="false" ht="15" hidden="false" customHeight="false" outlineLevel="0" collapsed="false">
      <c r="A3030" s="7" t="s">
        <v>6137</v>
      </c>
      <c r="B3030" s="7" t="s">
        <v>700</v>
      </c>
      <c r="C3030" s="7" t="s">
        <v>1615</v>
      </c>
      <c r="D3030" s="7" t="s">
        <v>2238</v>
      </c>
      <c r="E3030" s="7" t="s">
        <v>6138</v>
      </c>
      <c r="F3030" s="7" t="s">
        <v>101</v>
      </c>
      <c r="G3030" s="7" t="s">
        <v>105</v>
      </c>
      <c r="H3030" s="7" t="n">
        <v>5</v>
      </c>
      <c r="I3030" s="7" t="n">
        <v>265</v>
      </c>
      <c r="J3030" s="7" t="n">
        <v>0</v>
      </c>
      <c r="K3030" s="7" t="s">
        <v>93</v>
      </c>
      <c r="L3030" s="7" t="s">
        <v>194</v>
      </c>
      <c r="M3030" s="7" t="n">
        <v>40</v>
      </c>
      <c r="N3030" s="7" t="n">
        <v>5</v>
      </c>
      <c r="O3030" s="7" t="str">
        <f aca="false">A3030&amp;"|"&amp;B3030&amp;"|"&amp;C3030&amp;"|"&amp;D3030&amp;"|"&amp;E3030&amp;"|"&amp;F3030&amp;"|"&amp;G3030&amp;"|"&amp;H3030&amp;"|"&amp;I3030&amp;"|"&amp;J3030&amp;"|"&amp;K3030&amp;"|"&amp;L3030&amp;"|"&amp;M3030&amp;"|"&amp;N3030</f>
        <v>ORD10764|2025-04-07|13:07|C1012|DRAGON EXPRESS|Mumbai|Chinese|5|265|0|Credit Card|Delivered|40|5</v>
      </c>
      <c r="P3030" s="7" t="str">
        <f aca="false">IF(COUNTIF($O$2:O3030,O3030)&gt;1,"DUP","OK")</f>
        <v>OK</v>
      </c>
      <c r="Q3030" s="7" t="n">
        <f aca="false">COUNTBLANK(A3030:N3030)</f>
        <v>0</v>
      </c>
      <c r="R3030" s="7" t="n">
        <f aca="false">IF(A3030="",0,COUNTIFS($A$2:$A$3058,A3030,$P$2:$P$3058,"OK"))</f>
        <v>1</v>
      </c>
      <c r="S3030" s="7" t="str">
        <f aca="false">IF(OR(A3030="",P3030="DUP",R3030&lt;2),"",IF(Q3030=_xlfn.MINIFS($Q$2:$Q$3058,$A$2:$A$3058,A3030,$P$2:$P$3058,"OK"),"KEEP","DROP"))</f>
        <v/>
      </c>
      <c r="T3030" s="9" t="n">
        <f aca="false">IF(A3030="",1,0)</f>
        <v>0</v>
      </c>
      <c r="U3030" s="9" t="n">
        <f aca="false">IF(D3030="",1,0)</f>
        <v>0</v>
      </c>
      <c r="V3030" s="9" t="n">
        <f aca="false">IF(E3030="",1,0)</f>
        <v>0</v>
      </c>
      <c r="W3030" s="9" t="n">
        <f aca="false">IF(OR(H3030&lt;1,H3030&gt;10),1,0)</f>
        <v>0</v>
      </c>
      <c r="X3030" s="9" t="n">
        <f aca="false">IF(OR(I3030&lt;=0,I3030&gt;1500),1,0)</f>
        <v>0</v>
      </c>
      <c r="Y3030" s="9" t="n">
        <f aca="false">IF(J3030&gt;H3030*I3030,1,0)</f>
        <v>0</v>
      </c>
      <c r="Z3030" s="9" t="n">
        <f aca="false">IF(AND(N3030&lt;&gt;"",OR(N3030&lt;1,N3030&gt;5)),1,0)</f>
        <v>0</v>
      </c>
      <c r="AA3030" s="9" t="n">
        <f aca="false">IF(AND(M3030&lt;&gt;"",OR(M3030&lt;5,M3030&gt;180)),1,0)</f>
        <v>0</v>
      </c>
      <c r="AB3030" s="7" t="str">
        <f aca="false">IF(P3030="DUP","Exact duplicate row",IF(T3030=1,"Missing Order ID",IF(S3030="DROP","Duplicate Order ID (less complete row)",IF(U3030=1,"Missing Customer ID",IF(V3030=1,"Missing Restaurant name",IF(W3030=1,"Invalid/outlier quantity",IF(X3030=1,"Invalid/outlier unit price",IF(Y3030=1,"Discount greater than order value",""))))))))</f>
        <v/>
      </c>
      <c r="AC3030" s="7" t="str">
        <f aca="false">IF(AB3030="","KEEP","DROP")</f>
        <v>KEEP</v>
      </c>
      <c r="AD3030" s="7" t="str">
        <f aca="false">IF(TRIM(F3030)="",IFERROR(INDEX(Map_Tables!$I$4:$I$37,MATCH(TRIM(E3030),Map_Tables!$G$4:$G$37,0)),""),IFERROR(INDEX(Map_Tables!$B$4:$B$18,MATCH(TRIM(F3030),Map_Tables!$A$4:$A$18,0)),"CHECK"))</f>
        <v>Mumbai</v>
      </c>
      <c r="AE3030" s="7" t="str">
        <f aca="false">IF(TRIM(E3030)="","",IFERROR(INDEX(Map_Tables!$H$4:$H$37,MATCH(TRIM(E3030),Map_Tables!$G$4:$G$37,0)),"CHECK"))</f>
        <v>Dragon Express</v>
      </c>
      <c r="AF3030" s="7" t="str">
        <f aca="false">IF(TRIM(K3030)="","Unknown",IFERROR(INDEX(Map_Tables!$E$4:$E$15,MATCH(TRIM(K3030),Map_Tables!$D$4:$D$15,0)),"CHECK"))</f>
        <v>Credit Card</v>
      </c>
      <c r="AG3030" s="7" t="str">
        <f aca="false">IF(LEFT(LOWER(TRIM(L3030)),6)="cancel","Cancelled","Delivered")</f>
        <v>Delivered</v>
      </c>
      <c r="AH3030" s="10" t="n">
        <f aca="false">IF(ISNUMBER(SEARCH("/",B3030)),DATE(VALUE(RIGHT(B3030,4)),VALUE(MID(B3030,4,2)),VALUE(LEFT(B3030,2))),IF(MID(B3030,5,1)="-",DATE(VALUE(LEFT(B3030,4)),VALUE(MID(B3030,6,2)),VALUE(RIGHT(B3030,2))),DATE(VALUE(RIGHT(B3030,4)),MATCH(MID(B3030,4,3),{"Jan","Feb","Mar","Apr","May","Jun","Jul","Aug","Sep","Oct","Nov","Dec"},0),VALUE(LEFT(B3030,2)))))</f>
        <v>45754</v>
      </c>
    </row>
    <row r="3031" customFormat="false" ht="15" hidden="false" customHeight="false" outlineLevel="0" collapsed="false">
      <c r="A3031" s="7" t="s">
        <v>6139</v>
      </c>
      <c r="B3031" s="7" t="s">
        <v>2124</v>
      </c>
      <c r="C3031" s="7" t="s">
        <v>1452</v>
      </c>
      <c r="D3031" s="7" t="s">
        <v>1349</v>
      </c>
      <c r="E3031" s="7" t="s">
        <v>160</v>
      </c>
      <c r="F3031" s="7" t="s">
        <v>136</v>
      </c>
      <c r="G3031" s="7" t="s">
        <v>150</v>
      </c>
      <c r="H3031" s="7" t="n">
        <v>1</v>
      </c>
      <c r="I3031" s="7" t="n">
        <v>195</v>
      </c>
      <c r="J3031" s="7" t="n">
        <v>78</v>
      </c>
      <c r="K3031" s="7" t="s">
        <v>88</v>
      </c>
      <c r="L3031" s="7" t="s">
        <v>194</v>
      </c>
      <c r="M3031" s="7"/>
      <c r="N3031" s="7" t="n">
        <v>5</v>
      </c>
      <c r="O3031" s="7" t="str">
        <f aca="false">A3031&amp;"|"&amp;B3031&amp;"|"&amp;C3031&amp;"|"&amp;D3031&amp;"|"&amp;E3031&amp;"|"&amp;F3031&amp;"|"&amp;G3031&amp;"|"&amp;H3031&amp;"|"&amp;I3031&amp;"|"&amp;J3031&amp;"|"&amp;K3031&amp;"|"&amp;L3031&amp;"|"&amp;M3031&amp;"|"&amp;N3031</f>
        <v>ORD12998|2025-12-31|18:22|C1314|Cake Walk|Pune|Desserts|1|195|78|UPI|Delivered||5</v>
      </c>
      <c r="P3031" s="7" t="str">
        <f aca="false">IF(COUNTIF($O$2:O3031,O3031)&gt;1,"DUP","OK")</f>
        <v>OK</v>
      </c>
      <c r="Q3031" s="7" t="n">
        <f aca="false">COUNTBLANK(A3031:N3031)</f>
        <v>1</v>
      </c>
      <c r="R3031" s="7" t="n">
        <f aca="false">IF(A3031="",0,COUNTIFS($A$2:$A$3058,A3031,$P$2:$P$3058,"OK"))</f>
        <v>1</v>
      </c>
      <c r="S3031" s="7" t="str">
        <f aca="false">IF(OR(A3031="",P3031="DUP",R3031&lt;2),"",IF(Q3031=_xlfn.MINIFS($Q$2:$Q$3058,$A$2:$A$3058,A3031,$P$2:$P$3058,"OK"),"KEEP","DROP"))</f>
        <v/>
      </c>
      <c r="T3031" s="9" t="n">
        <f aca="false">IF(A3031="",1,0)</f>
        <v>0</v>
      </c>
      <c r="U3031" s="9" t="n">
        <f aca="false">IF(D3031="",1,0)</f>
        <v>0</v>
      </c>
      <c r="V3031" s="9" t="n">
        <f aca="false">IF(E3031="",1,0)</f>
        <v>0</v>
      </c>
      <c r="W3031" s="9" t="n">
        <f aca="false">IF(OR(H3031&lt;1,H3031&gt;10),1,0)</f>
        <v>0</v>
      </c>
      <c r="X3031" s="9" t="n">
        <f aca="false">IF(OR(I3031&lt;=0,I3031&gt;1500),1,0)</f>
        <v>0</v>
      </c>
      <c r="Y3031" s="9" t="n">
        <f aca="false">IF(J3031&gt;H3031*I3031,1,0)</f>
        <v>0</v>
      </c>
      <c r="Z3031" s="9" t="n">
        <f aca="false">IF(AND(N3031&lt;&gt;"",OR(N3031&lt;1,N3031&gt;5)),1,0)</f>
        <v>0</v>
      </c>
      <c r="AA3031" s="9" t="n">
        <f aca="false">IF(AND(M3031&lt;&gt;"",OR(M3031&lt;5,M3031&gt;180)),1,0)</f>
        <v>0</v>
      </c>
      <c r="AB3031" s="7" t="str">
        <f aca="false">IF(P3031="DUP","Exact duplicate row",IF(T3031=1,"Missing Order ID",IF(S3031="DROP","Duplicate Order ID (less complete row)",IF(U3031=1,"Missing Customer ID",IF(V3031=1,"Missing Restaurant name",IF(W3031=1,"Invalid/outlier quantity",IF(X3031=1,"Invalid/outlier unit price",IF(Y3031=1,"Discount greater than order value",""))))))))</f>
        <v/>
      </c>
      <c r="AC3031" s="7" t="str">
        <f aca="false">IF(AB3031="","KEEP","DROP")</f>
        <v>KEEP</v>
      </c>
      <c r="AD3031" s="7" t="str">
        <f aca="false">IF(TRIM(F3031)="",IFERROR(INDEX(Map_Tables!$I$4:$I$37,MATCH(TRIM(E3031),Map_Tables!$G$4:$G$37,0)),""),IFERROR(INDEX(Map_Tables!$B$4:$B$18,MATCH(TRIM(F3031),Map_Tables!$A$4:$A$18,0)),"CHECK"))</f>
        <v>Pune</v>
      </c>
      <c r="AE3031" s="7" t="str">
        <f aca="false">IF(TRIM(E3031)="","",IFERROR(INDEX(Map_Tables!$H$4:$H$37,MATCH(TRIM(E3031),Map_Tables!$G$4:$G$37,0)),"CHECK"))</f>
        <v>Cake Walk</v>
      </c>
      <c r="AF3031" s="7" t="str">
        <f aca="false">IF(TRIM(K3031)="","Unknown",IFERROR(INDEX(Map_Tables!$E$4:$E$15,MATCH(TRIM(K3031),Map_Tables!$D$4:$D$15,0)),"CHECK"))</f>
        <v>UPI</v>
      </c>
      <c r="AG3031" s="7" t="str">
        <f aca="false">IF(LEFT(LOWER(TRIM(L3031)),6)="cancel","Cancelled","Delivered")</f>
        <v>Delivered</v>
      </c>
      <c r="AH3031" s="10" t="n">
        <f aca="false">IF(ISNUMBER(SEARCH("/",B3031)),DATE(VALUE(RIGHT(B3031,4)),VALUE(MID(B3031,4,2)),VALUE(LEFT(B3031,2))),IF(MID(B3031,5,1)="-",DATE(VALUE(LEFT(B3031,4)),VALUE(MID(B3031,6,2)),VALUE(RIGHT(B3031,2))),DATE(VALUE(RIGHT(B3031,4)),MATCH(MID(B3031,4,3),{"Jan","Feb","Mar","Apr","May","Jun","Jul","Aug","Sep","Oct","Nov","Dec"},0),VALUE(LEFT(B3031,2)))))</f>
        <v>46022</v>
      </c>
    </row>
    <row r="3032" customFormat="false" ht="15" hidden="false" customHeight="false" outlineLevel="0" collapsed="false">
      <c r="A3032" s="7" t="s">
        <v>6140</v>
      </c>
      <c r="B3032" s="7" t="s">
        <v>3483</v>
      </c>
      <c r="C3032" s="7" t="s">
        <v>3537</v>
      </c>
      <c r="D3032" s="7" t="s">
        <v>4147</v>
      </c>
      <c r="E3032" s="7" t="s">
        <v>138</v>
      </c>
      <c r="F3032" s="7" t="s">
        <v>110</v>
      </c>
      <c r="G3032" s="7" t="s">
        <v>139</v>
      </c>
      <c r="H3032" s="7" t="n">
        <v>2</v>
      </c>
      <c r="I3032" s="7" t="n">
        <v>165</v>
      </c>
      <c r="J3032" s="7" t="n">
        <v>0</v>
      </c>
      <c r="K3032" s="7" t="s">
        <v>421</v>
      </c>
      <c r="L3032" s="7" t="s">
        <v>194</v>
      </c>
      <c r="M3032" s="7" t="n">
        <v>29</v>
      </c>
      <c r="N3032" s="7" t="n">
        <v>3</v>
      </c>
      <c r="O3032" s="7" t="str">
        <f aca="false">A3032&amp;"|"&amp;B3032&amp;"|"&amp;C3032&amp;"|"&amp;D3032&amp;"|"&amp;E3032&amp;"|"&amp;F3032&amp;"|"&amp;G3032&amp;"|"&amp;H3032&amp;"|"&amp;I3032&amp;"|"&amp;J3032&amp;"|"&amp;K3032&amp;"|"&amp;L3032&amp;"|"&amp;M3032&amp;"|"&amp;N3032</f>
        <v>ORD10184|2025-01-25|10:00|C0561|Burger Barn|Delhi|Burgers|2|165|0|UPI |Delivered|29|3</v>
      </c>
      <c r="P3032" s="7" t="str">
        <f aca="false">IF(COUNTIF($O$2:O3032,O3032)&gt;1,"DUP","OK")</f>
        <v>OK</v>
      </c>
      <c r="Q3032" s="7" t="n">
        <f aca="false">COUNTBLANK(A3032:N3032)</f>
        <v>0</v>
      </c>
      <c r="R3032" s="7" t="n">
        <f aca="false">IF(A3032="",0,COUNTIFS($A$2:$A$3058,A3032,$P$2:$P$3058,"OK"))</f>
        <v>1</v>
      </c>
      <c r="S3032" s="7" t="str">
        <f aca="false">IF(OR(A3032="",P3032="DUP",R3032&lt;2),"",IF(Q3032=_xlfn.MINIFS($Q$2:$Q$3058,$A$2:$A$3058,A3032,$P$2:$P$3058,"OK"),"KEEP","DROP"))</f>
        <v/>
      </c>
      <c r="T3032" s="9" t="n">
        <f aca="false">IF(A3032="",1,0)</f>
        <v>0</v>
      </c>
      <c r="U3032" s="9" t="n">
        <f aca="false">IF(D3032="",1,0)</f>
        <v>0</v>
      </c>
      <c r="V3032" s="9" t="n">
        <f aca="false">IF(E3032="",1,0)</f>
        <v>0</v>
      </c>
      <c r="W3032" s="9" t="n">
        <f aca="false">IF(OR(H3032&lt;1,H3032&gt;10),1,0)</f>
        <v>0</v>
      </c>
      <c r="X3032" s="9" t="n">
        <f aca="false">IF(OR(I3032&lt;=0,I3032&gt;1500),1,0)</f>
        <v>0</v>
      </c>
      <c r="Y3032" s="9" t="n">
        <f aca="false">IF(J3032&gt;H3032*I3032,1,0)</f>
        <v>0</v>
      </c>
      <c r="Z3032" s="9" t="n">
        <f aca="false">IF(AND(N3032&lt;&gt;"",OR(N3032&lt;1,N3032&gt;5)),1,0)</f>
        <v>0</v>
      </c>
      <c r="AA3032" s="9" t="n">
        <f aca="false">IF(AND(M3032&lt;&gt;"",OR(M3032&lt;5,M3032&gt;180)),1,0)</f>
        <v>0</v>
      </c>
      <c r="AB3032" s="7" t="str">
        <f aca="false">IF(P3032="DUP","Exact duplicate row",IF(T3032=1,"Missing Order ID",IF(S3032="DROP","Duplicate Order ID (less complete row)",IF(U3032=1,"Missing Customer ID",IF(V3032=1,"Missing Restaurant name",IF(W3032=1,"Invalid/outlier quantity",IF(X3032=1,"Invalid/outlier unit price",IF(Y3032=1,"Discount greater than order value",""))))))))</f>
        <v/>
      </c>
      <c r="AC3032" s="7" t="str">
        <f aca="false">IF(AB3032="","KEEP","DROP")</f>
        <v>KEEP</v>
      </c>
      <c r="AD3032" s="7" t="str">
        <f aca="false">IF(TRIM(F3032)="",IFERROR(INDEX(Map_Tables!$I$4:$I$37,MATCH(TRIM(E3032),Map_Tables!$G$4:$G$37,0)),""),IFERROR(INDEX(Map_Tables!$B$4:$B$18,MATCH(TRIM(F3032),Map_Tables!$A$4:$A$18,0)),"CHECK"))</f>
        <v>Delhi</v>
      </c>
      <c r="AE3032" s="7" t="str">
        <f aca="false">IF(TRIM(E3032)="","",IFERROR(INDEX(Map_Tables!$H$4:$H$37,MATCH(TRIM(E3032),Map_Tables!$G$4:$G$37,0)),"CHECK"))</f>
        <v>Burger Barn</v>
      </c>
      <c r="AF3032" s="7" t="str">
        <f aca="false">IF(TRIM(K3032)="","Unknown",IFERROR(INDEX(Map_Tables!$E$4:$E$15,MATCH(TRIM(K3032),Map_Tables!$D$4:$D$15,0)),"CHECK"))</f>
        <v>UPI</v>
      </c>
      <c r="AG3032" s="7" t="str">
        <f aca="false">IF(LEFT(LOWER(TRIM(L3032)),6)="cancel","Cancelled","Delivered")</f>
        <v>Delivered</v>
      </c>
      <c r="AH3032" s="10" t="n">
        <f aca="false">IF(ISNUMBER(SEARCH("/",B3032)),DATE(VALUE(RIGHT(B3032,4)),VALUE(MID(B3032,4,2)),VALUE(LEFT(B3032,2))),IF(MID(B3032,5,1)="-",DATE(VALUE(LEFT(B3032,4)),VALUE(MID(B3032,6,2)),VALUE(RIGHT(B3032,2))),DATE(VALUE(RIGHT(B3032,4)),MATCH(MID(B3032,4,3),{"Jan","Feb","Mar","Apr","May","Jun","Jul","Aug","Sep","Oct","Nov","Dec"},0),VALUE(LEFT(B3032,2)))))</f>
        <v>45682</v>
      </c>
    </row>
    <row r="3033" customFormat="false" ht="15" hidden="false" customHeight="false" outlineLevel="0" collapsed="false">
      <c r="A3033" s="7" t="s">
        <v>6141</v>
      </c>
      <c r="B3033" s="7" t="s">
        <v>2333</v>
      </c>
      <c r="C3033" s="7" t="s">
        <v>2225</v>
      </c>
      <c r="D3033" s="7" t="s">
        <v>374</v>
      </c>
      <c r="E3033" s="7" t="s">
        <v>122</v>
      </c>
      <c r="F3033" s="7" t="s">
        <v>101</v>
      </c>
      <c r="G3033" s="7" t="s">
        <v>123</v>
      </c>
      <c r="H3033" s="7" t="n">
        <v>3</v>
      </c>
      <c r="I3033" s="7" t="n">
        <v>325</v>
      </c>
      <c r="J3033" s="7" t="n">
        <v>1025</v>
      </c>
      <c r="K3033" s="7" t="s">
        <v>88</v>
      </c>
      <c r="L3033" s="7" t="s">
        <v>238</v>
      </c>
      <c r="M3033" s="7"/>
      <c r="N3033" s="7"/>
      <c r="O3033" s="7" t="str">
        <f aca="false">A3033&amp;"|"&amp;B3033&amp;"|"&amp;C3033&amp;"|"&amp;D3033&amp;"|"&amp;E3033&amp;"|"&amp;F3033&amp;"|"&amp;G3033&amp;"|"&amp;H3033&amp;"|"&amp;I3033&amp;"|"&amp;J3033&amp;"|"&amp;K3033&amp;"|"&amp;L3033&amp;"|"&amp;M3033&amp;"|"&amp;N3033</f>
        <v>ORD11177|2025-05-29|23:38|C0254|Mumbai Pizza Co|Mumbai|Pizza|3|325|1025|UPI|Cancelled||</v>
      </c>
      <c r="P3033" s="7" t="str">
        <f aca="false">IF(COUNTIF($O$2:O3033,O3033)&gt;1,"DUP","OK")</f>
        <v>OK</v>
      </c>
      <c r="Q3033" s="7" t="n">
        <f aca="false">COUNTBLANK(A3033:N3033)</f>
        <v>2</v>
      </c>
      <c r="R3033" s="7" t="n">
        <f aca="false">IF(A3033="",0,COUNTIFS($A$2:$A$3058,A3033,$P$2:$P$3058,"OK"))</f>
        <v>1</v>
      </c>
      <c r="S3033" s="7" t="str">
        <f aca="false">IF(OR(A3033="",P3033="DUP",R3033&lt;2),"",IF(Q3033=_xlfn.MINIFS($Q$2:$Q$3058,$A$2:$A$3058,A3033,$P$2:$P$3058,"OK"),"KEEP","DROP"))</f>
        <v/>
      </c>
      <c r="T3033" s="9" t="n">
        <f aca="false">IF(A3033="",1,0)</f>
        <v>0</v>
      </c>
      <c r="U3033" s="9" t="n">
        <f aca="false">IF(D3033="",1,0)</f>
        <v>0</v>
      </c>
      <c r="V3033" s="9" t="n">
        <f aca="false">IF(E3033="",1,0)</f>
        <v>0</v>
      </c>
      <c r="W3033" s="9" t="n">
        <f aca="false">IF(OR(H3033&lt;1,H3033&gt;10),1,0)</f>
        <v>0</v>
      </c>
      <c r="X3033" s="9" t="n">
        <f aca="false">IF(OR(I3033&lt;=0,I3033&gt;1500),1,0)</f>
        <v>0</v>
      </c>
      <c r="Y3033" s="9" t="n">
        <f aca="false">IF(J3033&gt;H3033*I3033,1,0)</f>
        <v>1</v>
      </c>
      <c r="Z3033" s="9" t="n">
        <f aca="false">IF(AND(N3033&lt;&gt;"",OR(N3033&lt;1,N3033&gt;5)),1,0)</f>
        <v>0</v>
      </c>
      <c r="AA3033" s="9" t="n">
        <f aca="false">IF(AND(M3033&lt;&gt;"",OR(M3033&lt;5,M3033&gt;180)),1,0)</f>
        <v>0</v>
      </c>
      <c r="AB3033" s="7" t="str">
        <f aca="false">IF(P3033="DUP","Exact duplicate row",IF(T3033=1,"Missing Order ID",IF(S3033="DROP","Duplicate Order ID (less complete row)",IF(U3033=1,"Missing Customer ID",IF(V3033=1,"Missing Restaurant name",IF(W3033=1,"Invalid/outlier quantity",IF(X3033=1,"Invalid/outlier unit price",IF(Y3033=1,"Discount greater than order value",""))))))))</f>
        <v>Discount greater than order value</v>
      </c>
      <c r="AC3033" s="7" t="str">
        <f aca="false">IF(AB3033="","KEEP","DROP")</f>
        <v>DROP</v>
      </c>
      <c r="AD3033" s="7" t="str">
        <f aca="false">IF(TRIM(F3033)="",IFERROR(INDEX(Map_Tables!$I$4:$I$37,MATCH(TRIM(E3033),Map_Tables!$G$4:$G$37,0)),""),IFERROR(INDEX(Map_Tables!$B$4:$B$18,MATCH(TRIM(F3033),Map_Tables!$A$4:$A$18,0)),"CHECK"))</f>
        <v>Mumbai</v>
      </c>
      <c r="AE3033" s="7" t="str">
        <f aca="false">IF(TRIM(E3033)="","",IFERROR(INDEX(Map_Tables!$H$4:$H$37,MATCH(TRIM(E3033),Map_Tables!$G$4:$G$37,0)),"CHECK"))</f>
        <v>Mumbai Pizza Co</v>
      </c>
      <c r="AF3033" s="7" t="str">
        <f aca="false">IF(TRIM(K3033)="","Unknown",IFERROR(INDEX(Map_Tables!$E$4:$E$15,MATCH(TRIM(K3033),Map_Tables!$D$4:$D$15,0)),"CHECK"))</f>
        <v>UPI</v>
      </c>
      <c r="AG3033" s="7" t="str">
        <f aca="false">IF(LEFT(LOWER(TRIM(L3033)),6)="cancel","Cancelled","Delivered")</f>
        <v>Cancelled</v>
      </c>
      <c r="AH3033" s="10" t="n">
        <f aca="false">IF(ISNUMBER(SEARCH("/",B3033)),DATE(VALUE(RIGHT(B3033,4)),VALUE(MID(B3033,4,2)),VALUE(LEFT(B3033,2))),IF(MID(B3033,5,1)="-",DATE(VALUE(LEFT(B3033,4)),VALUE(MID(B3033,6,2)),VALUE(RIGHT(B3033,2))),DATE(VALUE(RIGHT(B3033,4)),MATCH(MID(B3033,4,3),{"Jan","Feb","Mar","Apr","May","Jun","Jul","Aug","Sep","Oct","Nov","Dec"},0),VALUE(LEFT(B3033,2)))))</f>
        <v>45806</v>
      </c>
    </row>
    <row r="3034" customFormat="false" ht="15" hidden="false" customHeight="false" outlineLevel="0" collapsed="false">
      <c r="A3034" s="7" t="s">
        <v>6142</v>
      </c>
      <c r="B3034" s="7" t="s">
        <v>2069</v>
      </c>
      <c r="C3034" s="7" t="s">
        <v>1526</v>
      </c>
      <c r="D3034" s="7" t="s">
        <v>4292</v>
      </c>
      <c r="E3034" s="7" t="s">
        <v>138</v>
      </c>
      <c r="F3034" s="7" t="s">
        <v>110</v>
      </c>
      <c r="G3034" s="7" t="s">
        <v>251</v>
      </c>
      <c r="H3034" s="7" t="n">
        <v>4</v>
      </c>
      <c r="I3034" s="7" t="n">
        <v>155</v>
      </c>
      <c r="J3034" s="7" t="n">
        <v>75</v>
      </c>
      <c r="K3034" s="7" t="s">
        <v>121</v>
      </c>
      <c r="L3034" s="7" t="s">
        <v>194</v>
      </c>
      <c r="M3034" s="7" t="n">
        <v>43</v>
      </c>
      <c r="N3034" s="7"/>
      <c r="O3034" s="7" t="str">
        <f aca="false">A3034&amp;"|"&amp;B3034&amp;"|"&amp;C3034&amp;"|"&amp;D3034&amp;"|"&amp;E3034&amp;"|"&amp;F3034&amp;"|"&amp;G3034&amp;"|"&amp;H3034&amp;"|"&amp;I3034&amp;"|"&amp;J3034&amp;"|"&amp;K3034&amp;"|"&amp;L3034&amp;"|"&amp;M3034&amp;"|"&amp;N3034</f>
        <v>ORD11350|2025-06-23|13:26|C0722|Burger Barn|Delhi|burgers|4|155|75|Wallet|Delivered|43|</v>
      </c>
      <c r="P3034" s="7" t="str">
        <f aca="false">IF(COUNTIF($O$2:O3034,O3034)&gt;1,"DUP","OK")</f>
        <v>OK</v>
      </c>
      <c r="Q3034" s="7" t="n">
        <f aca="false">COUNTBLANK(A3034:N3034)</f>
        <v>1</v>
      </c>
      <c r="R3034" s="7" t="n">
        <f aca="false">IF(A3034="",0,COUNTIFS($A$2:$A$3058,A3034,$P$2:$P$3058,"OK"))</f>
        <v>1</v>
      </c>
      <c r="S3034" s="7" t="str">
        <f aca="false">IF(OR(A3034="",P3034="DUP",R3034&lt;2),"",IF(Q3034=_xlfn.MINIFS($Q$2:$Q$3058,$A$2:$A$3058,A3034,$P$2:$P$3058,"OK"),"KEEP","DROP"))</f>
        <v/>
      </c>
      <c r="T3034" s="9" t="n">
        <f aca="false">IF(A3034="",1,0)</f>
        <v>0</v>
      </c>
      <c r="U3034" s="9" t="n">
        <f aca="false">IF(D3034="",1,0)</f>
        <v>0</v>
      </c>
      <c r="V3034" s="9" t="n">
        <f aca="false">IF(E3034="",1,0)</f>
        <v>0</v>
      </c>
      <c r="W3034" s="9" t="n">
        <f aca="false">IF(OR(H3034&lt;1,H3034&gt;10),1,0)</f>
        <v>0</v>
      </c>
      <c r="X3034" s="9" t="n">
        <f aca="false">IF(OR(I3034&lt;=0,I3034&gt;1500),1,0)</f>
        <v>0</v>
      </c>
      <c r="Y3034" s="9" t="n">
        <f aca="false">IF(J3034&gt;H3034*I3034,1,0)</f>
        <v>0</v>
      </c>
      <c r="Z3034" s="9" t="n">
        <f aca="false">IF(AND(N3034&lt;&gt;"",OR(N3034&lt;1,N3034&gt;5)),1,0)</f>
        <v>0</v>
      </c>
      <c r="AA3034" s="9" t="n">
        <f aca="false">IF(AND(M3034&lt;&gt;"",OR(M3034&lt;5,M3034&gt;180)),1,0)</f>
        <v>0</v>
      </c>
      <c r="AB3034" s="7" t="str">
        <f aca="false">IF(P3034="DUP","Exact duplicate row",IF(T3034=1,"Missing Order ID",IF(S3034="DROP","Duplicate Order ID (less complete row)",IF(U3034=1,"Missing Customer ID",IF(V3034=1,"Missing Restaurant name",IF(W3034=1,"Invalid/outlier quantity",IF(X3034=1,"Invalid/outlier unit price",IF(Y3034=1,"Discount greater than order value",""))))))))</f>
        <v/>
      </c>
      <c r="AC3034" s="7" t="str">
        <f aca="false">IF(AB3034="","KEEP","DROP")</f>
        <v>KEEP</v>
      </c>
      <c r="AD3034" s="7" t="str">
        <f aca="false">IF(TRIM(F3034)="",IFERROR(INDEX(Map_Tables!$I$4:$I$37,MATCH(TRIM(E3034),Map_Tables!$G$4:$G$37,0)),""),IFERROR(INDEX(Map_Tables!$B$4:$B$18,MATCH(TRIM(F3034),Map_Tables!$A$4:$A$18,0)),"CHECK"))</f>
        <v>Delhi</v>
      </c>
      <c r="AE3034" s="7" t="str">
        <f aca="false">IF(TRIM(E3034)="","",IFERROR(INDEX(Map_Tables!$H$4:$H$37,MATCH(TRIM(E3034),Map_Tables!$G$4:$G$37,0)),"CHECK"))</f>
        <v>Burger Barn</v>
      </c>
      <c r="AF3034" s="7" t="str">
        <f aca="false">IF(TRIM(K3034)="","Unknown",IFERROR(INDEX(Map_Tables!$E$4:$E$15,MATCH(TRIM(K3034),Map_Tables!$D$4:$D$15,0)),"CHECK"))</f>
        <v>Wallet</v>
      </c>
      <c r="AG3034" s="7" t="str">
        <f aca="false">IF(LEFT(LOWER(TRIM(L3034)),6)="cancel","Cancelled","Delivered")</f>
        <v>Delivered</v>
      </c>
      <c r="AH3034" s="10" t="n">
        <f aca="false">IF(ISNUMBER(SEARCH("/",B3034)),DATE(VALUE(RIGHT(B3034,4)),VALUE(MID(B3034,4,2)),VALUE(LEFT(B3034,2))),IF(MID(B3034,5,1)="-",DATE(VALUE(LEFT(B3034,4)),VALUE(MID(B3034,6,2)),VALUE(RIGHT(B3034,2))),DATE(VALUE(RIGHT(B3034,4)),MATCH(MID(B3034,4,3),{"Jan","Feb","Mar","Apr","May","Jun","Jul","Aug","Sep","Oct","Nov","Dec"},0),VALUE(LEFT(B3034,2)))))</f>
        <v>45831</v>
      </c>
    </row>
    <row r="3035" customFormat="false" ht="15" hidden="false" customHeight="false" outlineLevel="0" collapsed="false">
      <c r="A3035" s="7" t="s">
        <v>6143</v>
      </c>
      <c r="B3035" s="7" t="s">
        <v>2303</v>
      </c>
      <c r="C3035" s="7" t="s">
        <v>2080</v>
      </c>
      <c r="D3035" s="7" t="s">
        <v>847</v>
      </c>
      <c r="E3035" s="7" t="s">
        <v>130</v>
      </c>
      <c r="F3035" s="7" t="s">
        <v>110</v>
      </c>
      <c r="G3035" s="7" t="s">
        <v>90</v>
      </c>
      <c r="H3035" s="7" t="n">
        <v>2</v>
      </c>
      <c r="I3035" s="7" t="n">
        <v>275</v>
      </c>
      <c r="J3035" s="7" t="n">
        <v>0</v>
      </c>
      <c r="K3035" s="7" t="s">
        <v>88</v>
      </c>
      <c r="L3035" s="7" t="s">
        <v>194</v>
      </c>
      <c r="M3035" s="7" t="n">
        <v>36</v>
      </c>
      <c r="N3035" s="7" t="n">
        <v>5</v>
      </c>
      <c r="O3035" s="7" t="str">
        <f aca="false">A3035&amp;"|"&amp;B3035&amp;"|"&amp;C3035&amp;"|"&amp;D3035&amp;"|"&amp;E3035&amp;"|"&amp;F3035&amp;"|"&amp;G3035&amp;"|"&amp;H3035&amp;"|"&amp;I3035&amp;"|"&amp;J3035&amp;"|"&amp;K3035&amp;"|"&amp;L3035&amp;"|"&amp;M3035&amp;"|"&amp;N3035</f>
        <v>ORD12299|2025-10-17|20:18|C0672|Tandoor Tales|Delhi|North Indian|2|275|0|UPI|Delivered|36|5</v>
      </c>
      <c r="P3035" s="7" t="str">
        <f aca="false">IF(COUNTIF($O$2:O3035,O3035)&gt;1,"DUP","OK")</f>
        <v>OK</v>
      </c>
      <c r="Q3035" s="7" t="n">
        <f aca="false">COUNTBLANK(A3035:N3035)</f>
        <v>0</v>
      </c>
      <c r="R3035" s="7" t="n">
        <f aca="false">IF(A3035="",0,COUNTIFS($A$2:$A$3058,A3035,$P$2:$P$3058,"OK"))</f>
        <v>1</v>
      </c>
      <c r="S3035" s="7" t="str">
        <f aca="false">IF(OR(A3035="",P3035="DUP",R3035&lt;2),"",IF(Q3035=_xlfn.MINIFS($Q$2:$Q$3058,$A$2:$A$3058,A3035,$P$2:$P$3058,"OK"),"KEEP","DROP"))</f>
        <v/>
      </c>
      <c r="T3035" s="9" t="n">
        <f aca="false">IF(A3035="",1,0)</f>
        <v>0</v>
      </c>
      <c r="U3035" s="9" t="n">
        <f aca="false">IF(D3035="",1,0)</f>
        <v>0</v>
      </c>
      <c r="V3035" s="9" t="n">
        <f aca="false">IF(E3035="",1,0)</f>
        <v>0</v>
      </c>
      <c r="W3035" s="9" t="n">
        <f aca="false">IF(OR(H3035&lt;1,H3035&gt;10),1,0)</f>
        <v>0</v>
      </c>
      <c r="X3035" s="9" t="n">
        <f aca="false">IF(OR(I3035&lt;=0,I3035&gt;1500),1,0)</f>
        <v>0</v>
      </c>
      <c r="Y3035" s="9" t="n">
        <f aca="false">IF(J3035&gt;H3035*I3035,1,0)</f>
        <v>0</v>
      </c>
      <c r="Z3035" s="9" t="n">
        <f aca="false">IF(AND(N3035&lt;&gt;"",OR(N3035&lt;1,N3035&gt;5)),1,0)</f>
        <v>0</v>
      </c>
      <c r="AA3035" s="9" t="n">
        <f aca="false">IF(AND(M3035&lt;&gt;"",OR(M3035&lt;5,M3035&gt;180)),1,0)</f>
        <v>0</v>
      </c>
      <c r="AB3035" s="7" t="str">
        <f aca="false">IF(P3035="DUP","Exact duplicate row",IF(T3035=1,"Missing Order ID",IF(S3035="DROP","Duplicate Order ID (less complete row)",IF(U3035=1,"Missing Customer ID",IF(V3035=1,"Missing Restaurant name",IF(W3035=1,"Invalid/outlier quantity",IF(X3035=1,"Invalid/outlier unit price",IF(Y3035=1,"Discount greater than order value",""))))))))</f>
        <v/>
      </c>
      <c r="AC3035" s="7" t="str">
        <f aca="false">IF(AB3035="","KEEP","DROP")</f>
        <v>KEEP</v>
      </c>
      <c r="AD3035" s="7" t="str">
        <f aca="false">IF(TRIM(F3035)="",IFERROR(INDEX(Map_Tables!$I$4:$I$37,MATCH(TRIM(E3035),Map_Tables!$G$4:$G$37,0)),""),IFERROR(INDEX(Map_Tables!$B$4:$B$18,MATCH(TRIM(F3035),Map_Tables!$A$4:$A$18,0)),"CHECK"))</f>
        <v>Delhi</v>
      </c>
      <c r="AE3035" s="7" t="str">
        <f aca="false">IF(TRIM(E3035)="","",IFERROR(INDEX(Map_Tables!$H$4:$H$37,MATCH(TRIM(E3035),Map_Tables!$G$4:$G$37,0)),"CHECK"))</f>
        <v>Tandoor Tales</v>
      </c>
      <c r="AF3035" s="7" t="str">
        <f aca="false">IF(TRIM(K3035)="","Unknown",IFERROR(INDEX(Map_Tables!$E$4:$E$15,MATCH(TRIM(K3035),Map_Tables!$D$4:$D$15,0)),"CHECK"))</f>
        <v>UPI</v>
      </c>
      <c r="AG3035" s="7" t="str">
        <f aca="false">IF(LEFT(LOWER(TRIM(L3035)),6)="cancel","Cancelled","Delivered")</f>
        <v>Delivered</v>
      </c>
      <c r="AH3035" s="10" t="n">
        <f aca="false">IF(ISNUMBER(SEARCH("/",B3035)),DATE(VALUE(RIGHT(B3035,4)),VALUE(MID(B3035,4,2)),VALUE(LEFT(B3035,2))),IF(MID(B3035,5,1)="-",DATE(VALUE(LEFT(B3035,4)),VALUE(MID(B3035,6,2)),VALUE(RIGHT(B3035,2))),DATE(VALUE(RIGHT(B3035,4)),MATCH(MID(B3035,4,3),{"Jan","Feb","Mar","Apr","May","Jun","Jul","Aug","Sep","Oct","Nov","Dec"},0),VALUE(LEFT(B3035,2)))))</f>
        <v>45947</v>
      </c>
    </row>
    <row r="3036" customFormat="false" ht="15" hidden="false" customHeight="false" outlineLevel="0" collapsed="false">
      <c r="A3036" s="7" t="s">
        <v>6144</v>
      </c>
      <c r="B3036" s="7" t="s">
        <v>1399</v>
      </c>
      <c r="C3036" s="7" t="s">
        <v>2405</v>
      </c>
      <c r="D3036" s="7" t="s">
        <v>1719</v>
      </c>
      <c r="E3036" s="7" t="s">
        <v>94</v>
      </c>
      <c r="F3036" s="7" t="s">
        <v>86</v>
      </c>
      <c r="G3036" s="7" t="s">
        <v>95</v>
      </c>
      <c r="H3036" s="7" t="n">
        <v>5</v>
      </c>
      <c r="I3036" s="7" t="n">
        <v>120</v>
      </c>
      <c r="J3036" s="7" t="n">
        <v>0</v>
      </c>
      <c r="K3036" s="7" t="s">
        <v>112</v>
      </c>
      <c r="L3036" s="7" t="s">
        <v>238</v>
      </c>
      <c r="M3036" s="7"/>
      <c r="N3036" s="7"/>
      <c r="O3036" s="7" t="str">
        <f aca="false">A3036&amp;"|"&amp;B3036&amp;"|"&amp;C3036&amp;"|"&amp;D3036&amp;"|"&amp;E3036&amp;"|"&amp;F3036&amp;"|"&amp;G3036&amp;"|"&amp;H3036&amp;"|"&amp;I3036&amp;"|"&amp;J3036&amp;"|"&amp;K3036&amp;"|"&amp;L3036&amp;"|"&amp;M3036&amp;"|"&amp;N3036</f>
        <v>ORD12872|2025-12-18|13:48|C0291|Dosa Darbar|Bengaluru|South Indian|5|120|0|Cash on Delivery|Cancelled||</v>
      </c>
      <c r="P3036" s="7" t="str">
        <f aca="false">IF(COUNTIF($O$2:O3036,O3036)&gt;1,"DUP","OK")</f>
        <v>OK</v>
      </c>
      <c r="Q3036" s="7" t="n">
        <f aca="false">COUNTBLANK(A3036:N3036)</f>
        <v>2</v>
      </c>
      <c r="R3036" s="7" t="n">
        <f aca="false">IF(A3036="",0,COUNTIFS($A$2:$A$3058,A3036,$P$2:$P$3058,"OK"))</f>
        <v>1</v>
      </c>
      <c r="S3036" s="7" t="str">
        <f aca="false">IF(OR(A3036="",P3036="DUP",R3036&lt;2),"",IF(Q3036=_xlfn.MINIFS($Q$2:$Q$3058,$A$2:$A$3058,A3036,$P$2:$P$3058,"OK"),"KEEP","DROP"))</f>
        <v/>
      </c>
      <c r="T3036" s="9" t="n">
        <f aca="false">IF(A3036="",1,0)</f>
        <v>0</v>
      </c>
      <c r="U3036" s="9" t="n">
        <f aca="false">IF(D3036="",1,0)</f>
        <v>0</v>
      </c>
      <c r="V3036" s="9" t="n">
        <f aca="false">IF(E3036="",1,0)</f>
        <v>0</v>
      </c>
      <c r="W3036" s="9" t="n">
        <f aca="false">IF(OR(H3036&lt;1,H3036&gt;10),1,0)</f>
        <v>0</v>
      </c>
      <c r="X3036" s="9" t="n">
        <f aca="false">IF(OR(I3036&lt;=0,I3036&gt;1500),1,0)</f>
        <v>0</v>
      </c>
      <c r="Y3036" s="9" t="n">
        <f aca="false">IF(J3036&gt;H3036*I3036,1,0)</f>
        <v>0</v>
      </c>
      <c r="Z3036" s="9" t="n">
        <f aca="false">IF(AND(N3036&lt;&gt;"",OR(N3036&lt;1,N3036&gt;5)),1,0)</f>
        <v>0</v>
      </c>
      <c r="AA3036" s="9" t="n">
        <f aca="false">IF(AND(M3036&lt;&gt;"",OR(M3036&lt;5,M3036&gt;180)),1,0)</f>
        <v>0</v>
      </c>
      <c r="AB3036" s="7" t="str">
        <f aca="false">IF(P3036="DUP","Exact duplicate row",IF(T3036=1,"Missing Order ID",IF(S3036="DROP","Duplicate Order ID (less complete row)",IF(U3036=1,"Missing Customer ID",IF(V3036=1,"Missing Restaurant name",IF(W3036=1,"Invalid/outlier quantity",IF(X3036=1,"Invalid/outlier unit price",IF(Y3036=1,"Discount greater than order value",""))))))))</f>
        <v/>
      </c>
      <c r="AC3036" s="7" t="str">
        <f aca="false">IF(AB3036="","KEEP","DROP")</f>
        <v>KEEP</v>
      </c>
      <c r="AD3036" s="7" t="str">
        <f aca="false">IF(TRIM(F3036)="",IFERROR(INDEX(Map_Tables!$I$4:$I$37,MATCH(TRIM(E3036),Map_Tables!$G$4:$G$37,0)),""),IFERROR(INDEX(Map_Tables!$B$4:$B$18,MATCH(TRIM(F3036),Map_Tables!$A$4:$A$18,0)),"CHECK"))</f>
        <v>Bengaluru</v>
      </c>
      <c r="AE3036" s="7" t="str">
        <f aca="false">IF(TRIM(E3036)="","",IFERROR(INDEX(Map_Tables!$H$4:$H$37,MATCH(TRIM(E3036),Map_Tables!$G$4:$G$37,0)),"CHECK"))</f>
        <v>Dosa Darbar</v>
      </c>
      <c r="AF3036" s="7" t="str">
        <f aca="false">IF(TRIM(K3036)="","Unknown",IFERROR(INDEX(Map_Tables!$E$4:$E$15,MATCH(TRIM(K3036),Map_Tables!$D$4:$D$15,0)),"CHECK"))</f>
        <v>Cash on Delivery</v>
      </c>
      <c r="AG3036" s="7" t="str">
        <f aca="false">IF(LEFT(LOWER(TRIM(L3036)),6)="cancel","Cancelled","Delivered")</f>
        <v>Cancelled</v>
      </c>
      <c r="AH3036" s="10" t="n">
        <f aca="false">IF(ISNUMBER(SEARCH("/",B3036)),DATE(VALUE(RIGHT(B3036,4)),VALUE(MID(B3036,4,2)),VALUE(LEFT(B3036,2))),IF(MID(B3036,5,1)="-",DATE(VALUE(LEFT(B3036,4)),VALUE(MID(B3036,6,2)),VALUE(RIGHT(B3036,2))),DATE(VALUE(RIGHT(B3036,4)),MATCH(MID(B3036,4,3),{"Jan","Feb","Mar","Apr","May","Jun","Jul","Aug","Sep","Oct","Nov","Dec"},0),VALUE(LEFT(B3036,2)))))</f>
        <v>46009</v>
      </c>
    </row>
    <row r="3037" customFormat="false" ht="15" hidden="false" customHeight="false" outlineLevel="0" collapsed="false">
      <c r="A3037" s="7" t="s">
        <v>6145</v>
      </c>
      <c r="B3037" s="7" t="s">
        <v>1312</v>
      </c>
      <c r="C3037" s="7" t="s">
        <v>2064</v>
      </c>
      <c r="D3037" s="7" t="s">
        <v>1077</v>
      </c>
      <c r="E3037" s="7" t="s">
        <v>113</v>
      </c>
      <c r="F3037" s="7" t="s">
        <v>101</v>
      </c>
      <c r="G3037" s="7" t="s">
        <v>90</v>
      </c>
      <c r="H3037" s="7" t="n">
        <v>2</v>
      </c>
      <c r="I3037" s="7" t="n">
        <v>235</v>
      </c>
      <c r="J3037" s="7" t="n">
        <v>40</v>
      </c>
      <c r="K3037" s="7" t="s">
        <v>421</v>
      </c>
      <c r="L3037" s="7" t="s">
        <v>194</v>
      </c>
      <c r="M3037" s="7" t="n">
        <v>39</v>
      </c>
      <c r="N3037" s="7"/>
      <c r="O3037" s="7" t="str">
        <f aca="false">A3037&amp;"|"&amp;B3037&amp;"|"&amp;C3037&amp;"|"&amp;D3037&amp;"|"&amp;E3037&amp;"|"&amp;F3037&amp;"|"&amp;G3037&amp;"|"&amp;H3037&amp;"|"&amp;I3037&amp;"|"&amp;J3037&amp;"|"&amp;K3037&amp;"|"&amp;L3037&amp;"|"&amp;M3037&amp;"|"&amp;N3037</f>
        <v>ORD11100|2025-05-19|18:53|C0939|Curry Leaf Kitchen|Mumbai|North Indian|2|235|40|UPI |Delivered|39|</v>
      </c>
      <c r="P3037" s="7" t="str">
        <f aca="false">IF(COUNTIF($O$2:O3037,O3037)&gt;1,"DUP","OK")</f>
        <v>OK</v>
      </c>
      <c r="Q3037" s="7" t="n">
        <f aca="false">COUNTBLANK(A3037:N3037)</f>
        <v>1</v>
      </c>
      <c r="R3037" s="7" t="n">
        <f aca="false">IF(A3037="",0,COUNTIFS($A$2:$A$3058,A3037,$P$2:$P$3058,"OK"))</f>
        <v>1</v>
      </c>
      <c r="S3037" s="7" t="str">
        <f aca="false">IF(OR(A3037="",P3037="DUP",R3037&lt;2),"",IF(Q3037=_xlfn.MINIFS($Q$2:$Q$3058,$A$2:$A$3058,A3037,$P$2:$P$3058,"OK"),"KEEP","DROP"))</f>
        <v/>
      </c>
      <c r="T3037" s="9" t="n">
        <f aca="false">IF(A3037="",1,0)</f>
        <v>0</v>
      </c>
      <c r="U3037" s="9" t="n">
        <f aca="false">IF(D3037="",1,0)</f>
        <v>0</v>
      </c>
      <c r="V3037" s="9" t="n">
        <f aca="false">IF(E3037="",1,0)</f>
        <v>0</v>
      </c>
      <c r="W3037" s="9" t="n">
        <f aca="false">IF(OR(H3037&lt;1,H3037&gt;10),1,0)</f>
        <v>0</v>
      </c>
      <c r="X3037" s="9" t="n">
        <f aca="false">IF(OR(I3037&lt;=0,I3037&gt;1500),1,0)</f>
        <v>0</v>
      </c>
      <c r="Y3037" s="9" t="n">
        <f aca="false">IF(J3037&gt;H3037*I3037,1,0)</f>
        <v>0</v>
      </c>
      <c r="Z3037" s="9" t="n">
        <f aca="false">IF(AND(N3037&lt;&gt;"",OR(N3037&lt;1,N3037&gt;5)),1,0)</f>
        <v>0</v>
      </c>
      <c r="AA3037" s="9" t="n">
        <f aca="false">IF(AND(M3037&lt;&gt;"",OR(M3037&lt;5,M3037&gt;180)),1,0)</f>
        <v>0</v>
      </c>
      <c r="AB3037" s="7" t="str">
        <f aca="false">IF(P3037="DUP","Exact duplicate row",IF(T3037=1,"Missing Order ID",IF(S3037="DROP","Duplicate Order ID (less complete row)",IF(U3037=1,"Missing Customer ID",IF(V3037=1,"Missing Restaurant name",IF(W3037=1,"Invalid/outlier quantity",IF(X3037=1,"Invalid/outlier unit price",IF(Y3037=1,"Discount greater than order value",""))))))))</f>
        <v/>
      </c>
      <c r="AC3037" s="7" t="str">
        <f aca="false">IF(AB3037="","KEEP","DROP")</f>
        <v>KEEP</v>
      </c>
      <c r="AD3037" s="7" t="str">
        <f aca="false">IF(TRIM(F3037)="",IFERROR(INDEX(Map_Tables!$I$4:$I$37,MATCH(TRIM(E3037),Map_Tables!$G$4:$G$37,0)),""),IFERROR(INDEX(Map_Tables!$B$4:$B$18,MATCH(TRIM(F3037),Map_Tables!$A$4:$A$18,0)),"CHECK"))</f>
        <v>Mumbai</v>
      </c>
      <c r="AE3037" s="7" t="str">
        <f aca="false">IF(TRIM(E3037)="","",IFERROR(INDEX(Map_Tables!$H$4:$H$37,MATCH(TRIM(E3037),Map_Tables!$G$4:$G$37,0)),"CHECK"))</f>
        <v>Curry Leaf Kitchen</v>
      </c>
      <c r="AF3037" s="7" t="str">
        <f aca="false">IF(TRIM(K3037)="","Unknown",IFERROR(INDEX(Map_Tables!$E$4:$E$15,MATCH(TRIM(K3037),Map_Tables!$D$4:$D$15,0)),"CHECK"))</f>
        <v>UPI</v>
      </c>
      <c r="AG3037" s="7" t="str">
        <f aca="false">IF(LEFT(LOWER(TRIM(L3037)),6)="cancel","Cancelled","Delivered")</f>
        <v>Delivered</v>
      </c>
      <c r="AH3037" s="10" t="n">
        <f aca="false">IF(ISNUMBER(SEARCH("/",B3037)),DATE(VALUE(RIGHT(B3037,4)),VALUE(MID(B3037,4,2)),VALUE(LEFT(B3037,2))),IF(MID(B3037,5,1)="-",DATE(VALUE(LEFT(B3037,4)),VALUE(MID(B3037,6,2)),VALUE(RIGHT(B3037,2))),DATE(VALUE(RIGHT(B3037,4)),MATCH(MID(B3037,4,3),{"Jan","Feb","Mar","Apr","May","Jun","Jul","Aug","Sep","Oct","Nov","Dec"},0),VALUE(LEFT(B3037,2)))))</f>
        <v>45796</v>
      </c>
    </row>
    <row r="3038" customFormat="false" ht="15" hidden="false" customHeight="false" outlineLevel="0" collapsed="false">
      <c r="A3038" s="7" t="s">
        <v>6146</v>
      </c>
      <c r="B3038" s="7" t="s">
        <v>1603</v>
      </c>
      <c r="C3038" s="7" t="s">
        <v>1474</v>
      </c>
      <c r="D3038" s="7" t="s">
        <v>857</v>
      </c>
      <c r="E3038" s="7" t="s">
        <v>89</v>
      </c>
      <c r="F3038" s="7" t="s">
        <v>86</v>
      </c>
      <c r="G3038" s="7" t="s">
        <v>90</v>
      </c>
      <c r="H3038" s="7" t="n">
        <v>3</v>
      </c>
      <c r="I3038" s="7" t="n">
        <v>255</v>
      </c>
      <c r="J3038" s="7" t="n">
        <v>20</v>
      </c>
      <c r="K3038" s="7" t="s">
        <v>92</v>
      </c>
      <c r="L3038" s="7" t="s">
        <v>194</v>
      </c>
      <c r="M3038" s="7" t="n">
        <v>44</v>
      </c>
      <c r="N3038" s="7" t="n">
        <v>3</v>
      </c>
      <c r="O3038" s="7" t="str">
        <f aca="false">A3038&amp;"|"&amp;B3038&amp;"|"&amp;C3038&amp;"|"&amp;D3038&amp;"|"&amp;E3038&amp;"|"&amp;F3038&amp;"|"&amp;G3038&amp;"|"&amp;H3038&amp;"|"&amp;I3038&amp;"|"&amp;J3038&amp;"|"&amp;K3038&amp;"|"&amp;L3038&amp;"|"&amp;M3038&amp;"|"&amp;N3038</f>
        <v>ORD12989|2025-12-30|19:37|C0802|Spice Junction|Bengaluru|North Indian|3|255|20|credit card|Delivered|44|3</v>
      </c>
      <c r="P3038" s="7" t="str">
        <f aca="false">IF(COUNTIF($O$2:O3038,O3038)&gt;1,"DUP","OK")</f>
        <v>OK</v>
      </c>
      <c r="Q3038" s="7" t="n">
        <f aca="false">COUNTBLANK(A3038:N3038)</f>
        <v>0</v>
      </c>
      <c r="R3038" s="7" t="n">
        <f aca="false">IF(A3038="",0,COUNTIFS($A$2:$A$3058,A3038,$P$2:$P$3058,"OK"))</f>
        <v>1</v>
      </c>
      <c r="S3038" s="7" t="str">
        <f aca="false">IF(OR(A3038="",P3038="DUP",R3038&lt;2),"",IF(Q3038=_xlfn.MINIFS($Q$2:$Q$3058,$A$2:$A$3058,A3038,$P$2:$P$3058,"OK"),"KEEP","DROP"))</f>
        <v/>
      </c>
      <c r="T3038" s="9" t="n">
        <f aca="false">IF(A3038="",1,0)</f>
        <v>0</v>
      </c>
      <c r="U3038" s="9" t="n">
        <f aca="false">IF(D3038="",1,0)</f>
        <v>0</v>
      </c>
      <c r="V3038" s="9" t="n">
        <f aca="false">IF(E3038="",1,0)</f>
        <v>0</v>
      </c>
      <c r="W3038" s="9" t="n">
        <f aca="false">IF(OR(H3038&lt;1,H3038&gt;10),1,0)</f>
        <v>0</v>
      </c>
      <c r="X3038" s="9" t="n">
        <f aca="false">IF(OR(I3038&lt;=0,I3038&gt;1500),1,0)</f>
        <v>0</v>
      </c>
      <c r="Y3038" s="9" t="n">
        <f aca="false">IF(J3038&gt;H3038*I3038,1,0)</f>
        <v>0</v>
      </c>
      <c r="Z3038" s="9" t="n">
        <f aca="false">IF(AND(N3038&lt;&gt;"",OR(N3038&lt;1,N3038&gt;5)),1,0)</f>
        <v>0</v>
      </c>
      <c r="AA3038" s="9" t="n">
        <f aca="false">IF(AND(M3038&lt;&gt;"",OR(M3038&lt;5,M3038&gt;180)),1,0)</f>
        <v>0</v>
      </c>
      <c r="AB3038" s="7" t="str">
        <f aca="false">IF(P3038="DUP","Exact duplicate row",IF(T3038=1,"Missing Order ID",IF(S3038="DROP","Duplicate Order ID (less complete row)",IF(U3038=1,"Missing Customer ID",IF(V3038=1,"Missing Restaurant name",IF(W3038=1,"Invalid/outlier quantity",IF(X3038=1,"Invalid/outlier unit price",IF(Y3038=1,"Discount greater than order value",""))))))))</f>
        <v/>
      </c>
      <c r="AC3038" s="7" t="str">
        <f aca="false">IF(AB3038="","KEEP","DROP")</f>
        <v>KEEP</v>
      </c>
      <c r="AD3038" s="7" t="str">
        <f aca="false">IF(TRIM(F3038)="",IFERROR(INDEX(Map_Tables!$I$4:$I$37,MATCH(TRIM(E3038),Map_Tables!$G$4:$G$37,0)),""),IFERROR(INDEX(Map_Tables!$B$4:$B$18,MATCH(TRIM(F3038),Map_Tables!$A$4:$A$18,0)),"CHECK"))</f>
        <v>Bengaluru</v>
      </c>
      <c r="AE3038" s="7" t="str">
        <f aca="false">IF(TRIM(E3038)="","",IFERROR(INDEX(Map_Tables!$H$4:$H$37,MATCH(TRIM(E3038),Map_Tables!$G$4:$G$37,0)),"CHECK"))</f>
        <v>Spice Junction</v>
      </c>
      <c r="AF3038" s="7" t="str">
        <f aca="false">IF(TRIM(K3038)="","Unknown",IFERROR(INDEX(Map_Tables!$E$4:$E$15,MATCH(TRIM(K3038),Map_Tables!$D$4:$D$15,0)),"CHECK"))</f>
        <v>Credit Card</v>
      </c>
      <c r="AG3038" s="7" t="str">
        <f aca="false">IF(LEFT(LOWER(TRIM(L3038)),6)="cancel","Cancelled","Delivered")</f>
        <v>Delivered</v>
      </c>
      <c r="AH3038" s="10" t="n">
        <f aca="false">IF(ISNUMBER(SEARCH("/",B3038)),DATE(VALUE(RIGHT(B3038,4)),VALUE(MID(B3038,4,2)),VALUE(LEFT(B3038,2))),IF(MID(B3038,5,1)="-",DATE(VALUE(LEFT(B3038,4)),VALUE(MID(B3038,6,2)),VALUE(RIGHT(B3038,2))),DATE(VALUE(RIGHT(B3038,4)),MATCH(MID(B3038,4,3),{"Jan","Feb","Mar","Apr","May","Jun","Jul","Aug","Sep","Oct","Nov","Dec"},0),VALUE(LEFT(B3038,2)))))</f>
        <v>46021</v>
      </c>
    </row>
    <row r="3039" customFormat="false" ht="15" hidden="false" customHeight="false" outlineLevel="0" collapsed="false">
      <c r="A3039" s="7" t="s">
        <v>6147</v>
      </c>
      <c r="B3039" s="7" t="s">
        <v>1345</v>
      </c>
      <c r="C3039" s="7" t="s">
        <v>893</v>
      </c>
      <c r="D3039" s="7" t="s">
        <v>2163</v>
      </c>
      <c r="E3039" s="7" t="s">
        <v>151</v>
      </c>
      <c r="F3039" s="7" t="s">
        <v>128</v>
      </c>
      <c r="G3039" s="7" t="s">
        <v>95</v>
      </c>
      <c r="H3039" s="7" t="n">
        <v>1</v>
      </c>
      <c r="I3039" s="7" t="n">
        <v>185</v>
      </c>
      <c r="J3039" s="7" t="n">
        <v>50</v>
      </c>
      <c r="K3039" s="7" t="s">
        <v>112</v>
      </c>
      <c r="L3039" s="7" t="s">
        <v>194</v>
      </c>
      <c r="M3039" s="7" t="n">
        <v>43</v>
      </c>
      <c r="N3039" s="7" t="n">
        <v>3</v>
      </c>
      <c r="O3039" s="7" t="str">
        <f aca="false">A3039&amp;"|"&amp;B3039&amp;"|"&amp;C3039&amp;"|"&amp;D3039&amp;"|"&amp;E3039&amp;"|"&amp;F3039&amp;"|"&amp;G3039&amp;"|"&amp;H3039&amp;"|"&amp;I3039&amp;"|"&amp;J3039&amp;"|"&amp;K3039&amp;"|"&amp;L3039&amp;"|"&amp;M3039&amp;"|"&amp;N3039</f>
        <v>ORD10392|2025-02-21|21:15|C0487|Chettinad House|Chennai|South Indian|1|185|50|Cash on Delivery|Delivered|43|3</v>
      </c>
      <c r="P3039" s="7" t="str">
        <f aca="false">IF(COUNTIF($O$2:O3039,O3039)&gt;1,"DUP","OK")</f>
        <v>OK</v>
      </c>
      <c r="Q3039" s="7" t="n">
        <f aca="false">COUNTBLANK(A3039:N3039)</f>
        <v>0</v>
      </c>
      <c r="R3039" s="7" t="n">
        <f aca="false">IF(A3039="",0,COUNTIFS($A$2:$A$3058,A3039,$P$2:$P$3058,"OK"))</f>
        <v>1</v>
      </c>
      <c r="S3039" s="7" t="str">
        <f aca="false">IF(OR(A3039="",P3039="DUP",R3039&lt;2),"",IF(Q3039=_xlfn.MINIFS($Q$2:$Q$3058,$A$2:$A$3058,A3039,$P$2:$P$3058,"OK"),"KEEP","DROP"))</f>
        <v/>
      </c>
      <c r="T3039" s="9" t="n">
        <f aca="false">IF(A3039="",1,0)</f>
        <v>0</v>
      </c>
      <c r="U3039" s="9" t="n">
        <f aca="false">IF(D3039="",1,0)</f>
        <v>0</v>
      </c>
      <c r="V3039" s="9" t="n">
        <f aca="false">IF(E3039="",1,0)</f>
        <v>0</v>
      </c>
      <c r="W3039" s="9" t="n">
        <f aca="false">IF(OR(H3039&lt;1,H3039&gt;10),1,0)</f>
        <v>0</v>
      </c>
      <c r="X3039" s="9" t="n">
        <f aca="false">IF(OR(I3039&lt;=0,I3039&gt;1500),1,0)</f>
        <v>0</v>
      </c>
      <c r="Y3039" s="9" t="n">
        <f aca="false">IF(J3039&gt;H3039*I3039,1,0)</f>
        <v>0</v>
      </c>
      <c r="Z3039" s="9" t="n">
        <f aca="false">IF(AND(N3039&lt;&gt;"",OR(N3039&lt;1,N3039&gt;5)),1,0)</f>
        <v>0</v>
      </c>
      <c r="AA3039" s="9" t="n">
        <f aca="false">IF(AND(M3039&lt;&gt;"",OR(M3039&lt;5,M3039&gt;180)),1,0)</f>
        <v>0</v>
      </c>
      <c r="AB3039" s="7" t="str">
        <f aca="false">IF(P3039="DUP","Exact duplicate row",IF(T3039=1,"Missing Order ID",IF(S3039="DROP","Duplicate Order ID (less complete row)",IF(U3039=1,"Missing Customer ID",IF(V3039=1,"Missing Restaurant name",IF(W3039=1,"Invalid/outlier quantity",IF(X3039=1,"Invalid/outlier unit price",IF(Y3039=1,"Discount greater than order value",""))))))))</f>
        <v/>
      </c>
      <c r="AC3039" s="7" t="str">
        <f aca="false">IF(AB3039="","KEEP","DROP")</f>
        <v>KEEP</v>
      </c>
      <c r="AD3039" s="7" t="str">
        <f aca="false">IF(TRIM(F3039)="",IFERROR(INDEX(Map_Tables!$I$4:$I$37,MATCH(TRIM(E3039),Map_Tables!$G$4:$G$37,0)),""),IFERROR(INDEX(Map_Tables!$B$4:$B$18,MATCH(TRIM(F3039),Map_Tables!$A$4:$A$18,0)),"CHECK"))</f>
        <v>Chennai</v>
      </c>
      <c r="AE3039" s="7" t="str">
        <f aca="false">IF(TRIM(E3039)="","",IFERROR(INDEX(Map_Tables!$H$4:$H$37,MATCH(TRIM(E3039),Map_Tables!$G$4:$G$37,0)),"CHECK"))</f>
        <v>Chettinad House</v>
      </c>
      <c r="AF3039" s="7" t="str">
        <f aca="false">IF(TRIM(K3039)="","Unknown",IFERROR(INDEX(Map_Tables!$E$4:$E$15,MATCH(TRIM(K3039),Map_Tables!$D$4:$D$15,0)),"CHECK"))</f>
        <v>Cash on Delivery</v>
      </c>
      <c r="AG3039" s="7" t="str">
        <f aca="false">IF(LEFT(LOWER(TRIM(L3039)),6)="cancel","Cancelled","Delivered")</f>
        <v>Delivered</v>
      </c>
      <c r="AH3039" s="10" t="n">
        <f aca="false">IF(ISNUMBER(SEARCH("/",B3039)),DATE(VALUE(RIGHT(B3039,4)),VALUE(MID(B3039,4,2)),VALUE(LEFT(B3039,2))),IF(MID(B3039,5,1)="-",DATE(VALUE(LEFT(B3039,4)),VALUE(MID(B3039,6,2)),VALUE(RIGHT(B3039,2))),DATE(VALUE(RIGHT(B3039,4)),MATCH(MID(B3039,4,3),{"Jan","Feb","Mar","Apr","May","Jun","Jul","Aug","Sep","Oct","Nov","Dec"},0),VALUE(LEFT(B3039,2)))))</f>
        <v>45709</v>
      </c>
    </row>
    <row r="3040" customFormat="false" ht="15" hidden="false" customHeight="false" outlineLevel="0" collapsed="false">
      <c r="A3040" s="7" t="s">
        <v>6148</v>
      </c>
      <c r="B3040" s="7" t="s">
        <v>584</v>
      </c>
      <c r="C3040" s="7" t="s">
        <v>2957</v>
      </c>
      <c r="D3040" s="7" t="s">
        <v>1081</v>
      </c>
      <c r="E3040" s="7" t="s">
        <v>1637</v>
      </c>
      <c r="F3040" s="7" t="s">
        <v>86</v>
      </c>
      <c r="G3040" s="7" t="s">
        <v>99</v>
      </c>
      <c r="H3040" s="7" t="n">
        <v>4</v>
      </c>
      <c r="I3040" s="7" t="n">
        <v>225</v>
      </c>
      <c r="J3040" s="7" t="n">
        <v>40</v>
      </c>
      <c r="K3040" s="7" t="s">
        <v>88</v>
      </c>
      <c r="L3040" s="7" t="s">
        <v>194</v>
      </c>
      <c r="M3040" s="7" t="n">
        <v>43</v>
      </c>
      <c r="N3040" s="7" t="n">
        <v>4</v>
      </c>
      <c r="O3040" s="7" t="str">
        <f aca="false">A3040&amp;"|"&amp;B3040&amp;"|"&amp;C3040&amp;"|"&amp;D3040&amp;"|"&amp;E3040&amp;"|"&amp;F3040&amp;"|"&amp;G3040&amp;"|"&amp;H3040&amp;"|"&amp;I3040&amp;"|"&amp;J3040&amp;"|"&amp;K3040&amp;"|"&amp;L3040&amp;"|"&amp;M3040&amp;"|"&amp;N3040</f>
        <v>ORD11920|2025-09-06|19:42|C0204|Nawabi  Biryani House|Bengaluru|Biryani|4|225|40|UPI|Delivered|43|4</v>
      </c>
      <c r="P3040" s="7" t="str">
        <f aca="false">IF(COUNTIF($O$2:O3040,O3040)&gt;1,"DUP","OK")</f>
        <v>OK</v>
      </c>
      <c r="Q3040" s="7" t="n">
        <f aca="false">COUNTBLANK(A3040:N3040)</f>
        <v>0</v>
      </c>
      <c r="R3040" s="7" t="n">
        <f aca="false">IF(A3040="",0,COUNTIFS($A$2:$A$3058,A3040,$P$2:$P$3058,"OK"))</f>
        <v>1</v>
      </c>
      <c r="S3040" s="7" t="str">
        <f aca="false">IF(OR(A3040="",P3040="DUP",R3040&lt;2),"",IF(Q3040=_xlfn.MINIFS($Q$2:$Q$3058,$A$2:$A$3058,A3040,$P$2:$P$3058,"OK"),"KEEP","DROP"))</f>
        <v/>
      </c>
      <c r="T3040" s="9" t="n">
        <f aca="false">IF(A3040="",1,0)</f>
        <v>0</v>
      </c>
      <c r="U3040" s="9" t="n">
        <f aca="false">IF(D3040="",1,0)</f>
        <v>0</v>
      </c>
      <c r="V3040" s="9" t="n">
        <f aca="false">IF(E3040="",1,0)</f>
        <v>0</v>
      </c>
      <c r="W3040" s="9" t="n">
        <f aca="false">IF(OR(H3040&lt;1,H3040&gt;10),1,0)</f>
        <v>0</v>
      </c>
      <c r="X3040" s="9" t="n">
        <f aca="false">IF(OR(I3040&lt;=0,I3040&gt;1500),1,0)</f>
        <v>0</v>
      </c>
      <c r="Y3040" s="9" t="n">
        <f aca="false">IF(J3040&gt;H3040*I3040,1,0)</f>
        <v>0</v>
      </c>
      <c r="Z3040" s="9" t="n">
        <f aca="false">IF(AND(N3040&lt;&gt;"",OR(N3040&lt;1,N3040&gt;5)),1,0)</f>
        <v>0</v>
      </c>
      <c r="AA3040" s="9" t="n">
        <f aca="false">IF(AND(M3040&lt;&gt;"",OR(M3040&lt;5,M3040&gt;180)),1,0)</f>
        <v>0</v>
      </c>
      <c r="AB3040" s="7" t="str">
        <f aca="false">IF(P3040="DUP","Exact duplicate row",IF(T3040=1,"Missing Order ID",IF(S3040="DROP","Duplicate Order ID (less complete row)",IF(U3040=1,"Missing Customer ID",IF(V3040=1,"Missing Restaurant name",IF(W3040=1,"Invalid/outlier quantity",IF(X3040=1,"Invalid/outlier unit price",IF(Y3040=1,"Discount greater than order value",""))))))))</f>
        <v/>
      </c>
      <c r="AC3040" s="7" t="str">
        <f aca="false">IF(AB3040="","KEEP","DROP")</f>
        <v>KEEP</v>
      </c>
      <c r="AD3040" s="7" t="str">
        <f aca="false">IF(TRIM(F3040)="",IFERROR(INDEX(Map_Tables!$I$4:$I$37,MATCH(TRIM(E3040),Map_Tables!$G$4:$G$37,0)),""),IFERROR(INDEX(Map_Tables!$B$4:$B$18,MATCH(TRIM(F3040),Map_Tables!$A$4:$A$18,0)),"CHECK"))</f>
        <v>Bengaluru</v>
      </c>
      <c r="AE3040" s="7" t="str">
        <f aca="false">IF(TRIM(E3040)="","",IFERROR(INDEX(Map_Tables!$H$4:$H$37,MATCH(TRIM(E3040),Map_Tables!$G$4:$G$37,0)),"CHECK"))</f>
        <v>Nawabi Biryani House</v>
      </c>
      <c r="AF3040" s="7" t="str">
        <f aca="false">IF(TRIM(K3040)="","Unknown",IFERROR(INDEX(Map_Tables!$E$4:$E$15,MATCH(TRIM(K3040),Map_Tables!$D$4:$D$15,0)),"CHECK"))</f>
        <v>UPI</v>
      </c>
      <c r="AG3040" s="7" t="str">
        <f aca="false">IF(LEFT(LOWER(TRIM(L3040)),6)="cancel","Cancelled","Delivered")</f>
        <v>Delivered</v>
      </c>
      <c r="AH3040" s="10" t="n">
        <f aca="false">IF(ISNUMBER(SEARCH("/",B3040)),DATE(VALUE(RIGHT(B3040,4)),VALUE(MID(B3040,4,2)),VALUE(LEFT(B3040,2))),IF(MID(B3040,5,1)="-",DATE(VALUE(LEFT(B3040,4)),VALUE(MID(B3040,6,2)),VALUE(RIGHT(B3040,2))),DATE(VALUE(RIGHT(B3040,4)),MATCH(MID(B3040,4,3),{"Jan","Feb","Mar","Apr","May","Jun","Jul","Aug","Sep","Oct","Nov","Dec"},0),VALUE(LEFT(B3040,2)))))</f>
        <v>45906</v>
      </c>
    </row>
    <row r="3041" customFormat="false" ht="15" hidden="false" customHeight="false" outlineLevel="0" collapsed="false">
      <c r="A3041" s="7" t="s">
        <v>6149</v>
      </c>
      <c r="B3041" s="7" t="s">
        <v>518</v>
      </c>
      <c r="C3041" s="7" t="s">
        <v>1626</v>
      </c>
      <c r="D3041" s="7" t="s">
        <v>5003</v>
      </c>
      <c r="E3041" s="7" t="s">
        <v>122</v>
      </c>
      <c r="F3041" s="7" t="s">
        <v>100</v>
      </c>
      <c r="G3041" s="7" t="s">
        <v>123</v>
      </c>
      <c r="H3041" s="7" t="n">
        <v>3</v>
      </c>
      <c r="I3041" s="7" t="n">
        <v>320</v>
      </c>
      <c r="J3041" s="7" t="n">
        <v>100</v>
      </c>
      <c r="K3041" s="7" t="s">
        <v>88</v>
      </c>
      <c r="L3041" s="7" t="s">
        <v>194</v>
      </c>
      <c r="M3041" s="7" t="n">
        <v>42</v>
      </c>
      <c r="N3041" s="7" t="n">
        <v>3</v>
      </c>
      <c r="O3041" s="7" t="str">
        <f aca="false">A3041&amp;"|"&amp;B3041&amp;"|"&amp;C3041&amp;"|"&amp;D3041&amp;"|"&amp;E3041&amp;"|"&amp;F3041&amp;"|"&amp;G3041&amp;"|"&amp;H3041&amp;"|"&amp;I3041&amp;"|"&amp;J3041&amp;"|"&amp;K3041&amp;"|"&amp;L3041&amp;"|"&amp;M3041&amp;"|"&amp;N3041</f>
        <v>ORD11457|2025-07-09|11:40|C1471|Mumbai Pizza Co|mumbai|Pizza|3|320|100|UPI|Delivered|42|3</v>
      </c>
      <c r="P3041" s="7" t="str">
        <f aca="false">IF(COUNTIF($O$2:O3041,O3041)&gt;1,"DUP","OK")</f>
        <v>OK</v>
      </c>
      <c r="Q3041" s="7" t="n">
        <f aca="false">COUNTBLANK(A3041:N3041)</f>
        <v>0</v>
      </c>
      <c r="R3041" s="7" t="n">
        <f aca="false">IF(A3041="",0,COUNTIFS($A$2:$A$3058,A3041,$P$2:$P$3058,"OK"))</f>
        <v>1</v>
      </c>
      <c r="S3041" s="7" t="str">
        <f aca="false">IF(OR(A3041="",P3041="DUP",R3041&lt;2),"",IF(Q3041=_xlfn.MINIFS($Q$2:$Q$3058,$A$2:$A$3058,A3041,$P$2:$P$3058,"OK"),"KEEP","DROP"))</f>
        <v/>
      </c>
      <c r="T3041" s="9" t="n">
        <f aca="false">IF(A3041="",1,0)</f>
        <v>0</v>
      </c>
      <c r="U3041" s="9" t="n">
        <f aca="false">IF(D3041="",1,0)</f>
        <v>0</v>
      </c>
      <c r="V3041" s="9" t="n">
        <f aca="false">IF(E3041="",1,0)</f>
        <v>0</v>
      </c>
      <c r="W3041" s="9" t="n">
        <f aca="false">IF(OR(H3041&lt;1,H3041&gt;10),1,0)</f>
        <v>0</v>
      </c>
      <c r="X3041" s="9" t="n">
        <f aca="false">IF(OR(I3041&lt;=0,I3041&gt;1500),1,0)</f>
        <v>0</v>
      </c>
      <c r="Y3041" s="9" t="n">
        <f aca="false">IF(J3041&gt;H3041*I3041,1,0)</f>
        <v>0</v>
      </c>
      <c r="Z3041" s="9" t="n">
        <f aca="false">IF(AND(N3041&lt;&gt;"",OR(N3041&lt;1,N3041&gt;5)),1,0)</f>
        <v>0</v>
      </c>
      <c r="AA3041" s="9" t="n">
        <f aca="false">IF(AND(M3041&lt;&gt;"",OR(M3041&lt;5,M3041&gt;180)),1,0)</f>
        <v>0</v>
      </c>
      <c r="AB3041" s="7" t="str">
        <f aca="false">IF(P3041="DUP","Exact duplicate row",IF(T3041=1,"Missing Order ID",IF(S3041="DROP","Duplicate Order ID (less complete row)",IF(U3041=1,"Missing Customer ID",IF(V3041=1,"Missing Restaurant name",IF(W3041=1,"Invalid/outlier quantity",IF(X3041=1,"Invalid/outlier unit price",IF(Y3041=1,"Discount greater than order value",""))))))))</f>
        <v/>
      </c>
      <c r="AC3041" s="7" t="str">
        <f aca="false">IF(AB3041="","KEEP","DROP")</f>
        <v>KEEP</v>
      </c>
      <c r="AD3041" s="7" t="str">
        <f aca="false">IF(TRIM(F3041)="",IFERROR(INDEX(Map_Tables!$I$4:$I$37,MATCH(TRIM(E3041),Map_Tables!$G$4:$G$37,0)),""),IFERROR(INDEX(Map_Tables!$B$4:$B$18,MATCH(TRIM(F3041),Map_Tables!$A$4:$A$18,0)),"CHECK"))</f>
        <v>Mumbai</v>
      </c>
      <c r="AE3041" s="7" t="str">
        <f aca="false">IF(TRIM(E3041)="","",IFERROR(INDEX(Map_Tables!$H$4:$H$37,MATCH(TRIM(E3041),Map_Tables!$G$4:$G$37,0)),"CHECK"))</f>
        <v>Mumbai Pizza Co</v>
      </c>
      <c r="AF3041" s="7" t="str">
        <f aca="false">IF(TRIM(K3041)="","Unknown",IFERROR(INDEX(Map_Tables!$E$4:$E$15,MATCH(TRIM(K3041),Map_Tables!$D$4:$D$15,0)),"CHECK"))</f>
        <v>UPI</v>
      </c>
      <c r="AG3041" s="7" t="str">
        <f aca="false">IF(LEFT(LOWER(TRIM(L3041)),6)="cancel","Cancelled","Delivered")</f>
        <v>Delivered</v>
      </c>
      <c r="AH3041" s="10" t="n">
        <f aca="false">IF(ISNUMBER(SEARCH("/",B3041)),DATE(VALUE(RIGHT(B3041,4)),VALUE(MID(B3041,4,2)),VALUE(LEFT(B3041,2))),IF(MID(B3041,5,1)="-",DATE(VALUE(LEFT(B3041,4)),VALUE(MID(B3041,6,2)),VALUE(RIGHT(B3041,2))),DATE(VALUE(RIGHT(B3041,4)),MATCH(MID(B3041,4,3),{"Jan","Feb","Mar","Apr","May","Jun","Jul","Aug","Sep","Oct","Nov","Dec"},0),VALUE(LEFT(B3041,2)))))</f>
        <v>45847</v>
      </c>
    </row>
    <row r="3042" customFormat="false" ht="15" hidden="false" customHeight="false" outlineLevel="0" collapsed="false">
      <c r="A3042" s="7" t="s">
        <v>6150</v>
      </c>
      <c r="B3042" s="7" t="s">
        <v>3117</v>
      </c>
      <c r="C3042" s="7" t="s">
        <v>1635</v>
      </c>
      <c r="D3042" s="7" t="s">
        <v>5460</v>
      </c>
      <c r="E3042" s="7" t="s">
        <v>159</v>
      </c>
      <c r="F3042" s="7" t="s">
        <v>136</v>
      </c>
      <c r="G3042" s="7" t="s">
        <v>90</v>
      </c>
      <c r="H3042" s="7" t="n">
        <v>2</v>
      </c>
      <c r="I3042" s="7" t="n">
        <v>240</v>
      </c>
      <c r="J3042" s="7" t="n">
        <v>50</v>
      </c>
      <c r="K3042" s="7" t="s">
        <v>112</v>
      </c>
      <c r="L3042" s="7" t="s">
        <v>238</v>
      </c>
      <c r="M3042" s="7"/>
      <c r="N3042" s="7"/>
      <c r="O3042" s="7" t="str">
        <f aca="false">A3042&amp;"|"&amp;B3042&amp;"|"&amp;C3042&amp;"|"&amp;D3042&amp;"|"&amp;E3042&amp;"|"&amp;F3042&amp;"|"&amp;G3042&amp;"|"&amp;H3042&amp;"|"&amp;I3042&amp;"|"&amp;J3042&amp;"|"&amp;K3042&amp;"|"&amp;L3042&amp;"|"&amp;M3042&amp;"|"&amp;N3042</f>
        <v>ORD11093|2025-05-18|21:31|C0502|Maratha Thali House|Pune|North Indian|2|240|50|Cash on Delivery|Cancelled||</v>
      </c>
      <c r="P3042" s="7" t="str">
        <f aca="false">IF(COUNTIF($O$2:O3042,O3042)&gt;1,"DUP","OK")</f>
        <v>OK</v>
      </c>
      <c r="Q3042" s="7" t="n">
        <f aca="false">COUNTBLANK(A3042:N3042)</f>
        <v>2</v>
      </c>
      <c r="R3042" s="7" t="n">
        <f aca="false">IF(A3042="",0,COUNTIFS($A$2:$A$3058,A3042,$P$2:$P$3058,"OK"))</f>
        <v>1</v>
      </c>
      <c r="S3042" s="7" t="str">
        <f aca="false">IF(OR(A3042="",P3042="DUP",R3042&lt;2),"",IF(Q3042=_xlfn.MINIFS($Q$2:$Q$3058,$A$2:$A$3058,A3042,$P$2:$P$3058,"OK"),"KEEP","DROP"))</f>
        <v/>
      </c>
      <c r="T3042" s="9" t="n">
        <f aca="false">IF(A3042="",1,0)</f>
        <v>0</v>
      </c>
      <c r="U3042" s="9" t="n">
        <f aca="false">IF(D3042="",1,0)</f>
        <v>0</v>
      </c>
      <c r="V3042" s="9" t="n">
        <f aca="false">IF(E3042="",1,0)</f>
        <v>0</v>
      </c>
      <c r="W3042" s="9" t="n">
        <f aca="false">IF(OR(H3042&lt;1,H3042&gt;10),1,0)</f>
        <v>0</v>
      </c>
      <c r="X3042" s="9" t="n">
        <f aca="false">IF(OR(I3042&lt;=0,I3042&gt;1500),1,0)</f>
        <v>0</v>
      </c>
      <c r="Y3042" s="9" t="n">
        <f aca="false">IF(J3042&gt;H3042*I3042,1,0)</f>
        <v>0</v>
      </c>
      <c r="Z3042" s="9" t="n">
        <f aca="false">IF(AND(N3042&lt;&gt;"",OR(N3042&lt;1,N3042&gt;5)),1,0)</f>
        <v>0</v>
      </c>
      <c r="AA3042" s="9" t="n">
        <f aca="false">IF(AND(M3042&lt;&gt;"",OR(M3042&lt;5,M3042&gt;180)),1,0)</f>
        <v>0</v>
      </c>
      <c r="AB3042" s="7" t="str">
        <f aca="false">IF(P3042="DUP","Exact duplicate row",IF(T3042=1,"Missing Order ID",IF(S3042="DROP","Duplicate Order ID (less complete row)",IF(U3042=1,"Missing Customer ID",IF(V3042=1,"Missing Restaurant name",IF(W3042=1,"Invalid/outlier quantity",IF(X3042=1,"Invalid/outlier unit price",IF(Y3042=1,"Discount greater than order value",""))))))))</f>
        <v/>
      </c>
      <c r="AC3042" s="7" t="str">
        <f aca="false">IF(AB3042="","KEEP","DROP")</f>
        <v>KEEP</v>
      </c>
      <c r="AD3042" s="7" t="str">
        <f aca="false">IF(TRIM(F3042)="",IFERROR(INDEX(Map_Tables!$I$4:$I$37,MATCH(TRIM(E3042),Map_Tables!$G$4:$G$37,0)),""),IFERROR(INDEX(Map_Tables!$B$4:$B$18,MATCH(TRIM(F3042),Map_Tables!$A$4:$A$18,0)),"CHECK"))</f>
        <v>Pune</v>
      </c>
      <c r="AE3042" s="7" t="str">
        <f aca="false">IF(TRIM(E3042)="","",IFERROR(INDEX(Map_Tables!$H$4:$H$37,MATCH(TRIM(E3042),Map_Tables!$G$4:$G$37,0)),"CHECK"))</f>
        <v>Maratha Thali House</v>
      </c>
      <c r="AF3042" s="7" t="str">
        <f aca="false">IF(TRIM(K3042)="","Unknown",IFERROR(INDEX(Map_Tables!$E$4:$E$15,MATCH(TRIM(K3042),Map_Tables!$D$4:$D$15,0)),"CHECK"))</f>
        <v>Cash on Delivery</v>
      </c>
      <c r="AG3042" s="7" t="str">
        <f aca="false">IF(LEFT(LOWER(TRIM(L3042)),6)="cancel","Cancelled","Delivered")</f>
        <v>Cancelled</v>
      </c>
      <c r="AH3042" s="10" t="n">
        <f aca="false">IF(ISNUMBER(SEARCH("/",B3042)),DATE(VALUE(RIGHT(B3042,4)),VALUE(MID(B3042,4,2)),VALUE(LEFT(B3042,2))),IF(MID(B3042,5,1)="-",DATE(VALUE(LEFT(B3042,4)),VALUE(MID(B3042,6,2)),VALUE(RIGHT(B3042,2))),DATE(VALUE(RIGHT(B3042,4)),MATCH(MID(B3042,4,3),{"Jan","Feb","Mar","Apr","May","Jun","Jul","Aug","Sep","Oct","Nov","Dec"},0),VALUE(LEFT(B3042,2)))))</f>
        <v>45795</v>
      </c>
    </row>
    <row r="3043" customFormat="false" ht="15" hidden="false" customHeight="false" outlineLevel="0" collapsed="false">
      <c r="A3043" s="7" t="s">
        <v>6151</v>
      </c>
      <c r="B3043" s="7" t="s">
        <v>1535</v>
      </c>
      <c r="C3043" s="7" t="s">
        <v>365</v>
      </c>
      <c r="D3043" s="7" t="s">
        <v>4488</v>
      </c>
      <c r="E3043" s="7" t="s">
        <v>157</v>
      </c>
      <c r="F3043" s="7" t="s">
        <v>136</v>
      </c>
      <c r="G3043" s="7" t="s">
        <v>117</v>
      </c>
      <c r="H3043" s="7" t="n">
        <v>4</v>
      </c>
      <c r="I3043" s="7" t="n">
        <v>110</v>
      </c>
      <c r="J3043" s="7" t="n">
        <v>125</v>
      </c>
      <c r="K3043" s="7" t="s">
        <v>112</v>
      </c>
      <c r="L3043" s="7" t="s">
        <v>220</v>
      </c>
      <c r="M3043" s="7" t="n">
        <v>51</v>
      </c>
      <c r="N3043" s="7" t="n">
        <v>3</v>
      </c>
      <c r="O3043" s="7" t="str">
        <f aca="false">A3043&amp;"|"&amp;B3043&amp;"|"&amp;C3043&amp;"|"&amp;D3043&amp;"|"&amp;E3043&amp;"|"&amp;F3043&amp;"|"&amp;G3043&amp;"|"&amp;H3043&amp;"|"&amp;I3043&amp;"|"&amp;J3043&amp;"|"&amp;K3043&amp;"|"&amp;L3043&amp;"|"&amp;M3043&amp;"|"&amp;N3043</f>
        <v>ORD12023|2025-09-18|20:55|C0970|Misal Mantra|Pune|Street Food|4|110|125|Cash on Delivery|DELIVERED|51|3</v>
      </c>
      <c r="P3043" s="7" t="str">
        <f aca="false">IF(COUNTIF($O$2:O3043,O3043)&gt;1,"DUP","OK")</f>
        <v>OK</v>
      </c>
      <c r="Q3043" s="7" t="n">
        <f aca="false">COUNTBLANK(A3043:N3043)</f>
        <v>0</v>
      </c>
      <c r="R3043" s="7" t="n">
        <f aca="false">IF(A3043="",0,COUNTIFS($A$2:$A$3058,A3043,$P$2:$P$3058,"OK"))</f>
        <v>1</v>
      </c>
      <c r="S3043" s="7" t="str">
        <f aca="false">IF(OR(A3043="",P3043="DUP",R3043&lt;2),"",IF(Q3043=_xlfn.MINIFS($Q$2:$Q$3058,$A$2:$A$3058,A3043,$P$2:$P$3058,"OK"),"KEEP","DROP"))</f>
        <v/>
      </c>
      <c r="T3043" s="9" t="n">
        <f aca="false">IF(A3043="",1,0)</f>
        <v>0</v>
      </c>
      <c r="U3043" s="9" t="n">
        <f aca="false">IF(D3043="",1,0)</f>
        <v>0</v>
      </c>
      <c r="V3043" s="9" t="n">
        <f aca="false">IF(E3043="",1,0)</f>
        <v>0</v>
      </c>
      <c r="W3043" s="9" t="n">
        <f aca="false">IF(OR(H3043&lt;1,H3043&gt;10),1,0)</f>
        <v>0</v>
      </c>
      <c r="X3043" s="9" t="n">
        <f aca="false">IF(OR(I3043&lt;=0,I3043&gt;1500),1,0)</f>
        <v>0</v>
      </c>
      <c r="Y3043" s="9" t="n">
        <f aca="false">IF(J3043&gt;H3043*I3043,1,0)</f>
        <v>0</v>
      </c>
      <c r="Z3043" s="9" t="n">
        <f aca="false">IF(AND(N3043&lt;&gt;"",OR(N3043&lt;1,N3043&gt;5)),1,0)</f>
        <v>0</v>
      </c>
      <c r="AA3043" s="9" t="n">
        <f aca="false">IF(AND(M3043&lt;&gt;"",OR(M3043&lt;5,M3043&gt;180)),1,0)</f>
        <v>0</v>
      </c>
      <c r="AB3043" s="7" t="str">
        <f aca="false">IF(P3043="DUP","Exact duplicate row",IF(T3043=1,"Missing Order ID",IF(S3043="DROP","Duplicate Order ID (less complete row)",IF(U3043=1,"Missing Customer ID",IF(V3043=1,"Missing Restaurant name",IF(W3043=1,"Invalid/outlier quantity",IF(X3043=1,"Invalid/outlier unit price",IF(Y3043=1,"Discount greater than order value",""))))))))</f>
        <v/>
      </c>
      <c r="AC3043" s="7" t="str">
        <f aca="false">IF(AB3043="","KEEP","DROP")</f>
        <v>KEEP</v>
      </c>
      <c r="AD3043" s="7" t="str">
        <f aca="false">IF(TRIM(F3043)="",IFERROR(INDEX(Map_Tables!$I$4:$I$37,MATCH(TRIM(E3043),Map_Tables!$G$4:$G$37,0)),""),IFERROR(INDEX(Map_Tables!$B$4:$B$18,MATCH(TRIM(F3043),Map_Tables!$A$4:$A$18,0)),"CHECK"))</f>
        <v>Pune</v>
      </c>
      <c r="AE3043" s="7" t="str">
        <f aca="false">IF(TRIM(E3043)="","",IFERROR(INDEX(Map_Tables!$H$4:$H$37,MATCH(TRIM(E3043),Map_Tables!$G$4:$G$37,0)),"CHECK"))</f>
        <v>Misal Mantra</v>
      </c>
      <c r="AF3043" s="7" t="str">
        <f aca="false">IF(TRIM(K3043)="","Unknown",IFERROR(INDEX(Map_Tables!$E$4:$E$15,MATCH(TRIM(K3043),Map_Tables!$D$4:$D$15,0)),"CHECK"))</f>
        <v>Cash on Delivery</v>
      </c>
      <c r="AG3043" s="7" t="str">
        <f aca="false">IF(LEFT(LOWER(TRIM(L3043)),6)="cancel","Cancelled","Delivered")</f>
        <v>Delivered</v>
      </c>
      <c r="AH3043" s="10" t="n">
        <f aca="false">IF(ISNUMBER(SEARCH("/",B3043)),DATE(VALUE(RIGHT(B3043,4)),VALUE(MID(B3043,4,2)),VALUE(LEFT(B3043,2))),IF(MID(B3043,5,1)="-",DATE(VALUE(LEFT(B3043,4)),VALUE(MID(B3043,6,2)),VALUE(RIGHT(B3043,2))),DATE(VALUE(RIGHT(B3043,4)),MATCH(MID(B3043,4,3),{"Jan","Feb","Mar","Apr","May","Jun","Jul","Aug","Sep","Oct","Nov","Dec"},0),VALUE(LEFT(B3043,2)))))</f>
        <v>45918</v>
      </c>
    </row>
    <row r="3044" customFormat="false" ht="15" hidden="false" customHeight="false" outlineLevel="0" collapsed="false">
      <c r="A3044" s="7" t="s">
        <v>6152</v>
      </c>
      <c r="B3044" s="7" t="s">
        <v>2308</v>
      </c>
      <c r="C3044" s="7" t="s">
        <v>1593</v>
      </c>
      <c r="D3044" s="7" t="s">
        <v>3569</v>
      </c>
      <c r="E3044" s="7" t="s">
        <v>147</v>
      </c>
      <c r="F3044" s="7" t="s">
        <v>119</v>
      </c>
      <c r="G3044" s="7" t="s">
        <v>95</v>
      </c>
      <c r="H3044" s="7" t="n">
        <v>1</v>
      </c>
      <c r="I3044" s="7" t="n">
        <v>140</v>
      </c>
      <c r="J3044" s="7" t="n">
        <v>0</v>
      </c>
      <c r="K3044" s="7" t="s">
        <v>93</v>
      </c>
      <c r="L3044" s="7" t="s">
        <v>194</v>
      </c>
      <c r="M3044" s="7" t="n">
        <v>35</v>
      </c>
      <c r="N3044" s="7" t="n">
        <v>3</v>
      </c>
      <c r="O3044" s="7" t="str">
        <f aca="false">A3044&amp;"|"&amp;B3044&amp;"|"&amp;C3044&amp;"|"&amp;D3044&amp;"|"&amp;E3044&amp;"|"&amp;F3044&amp;"|"&amp;G3044&amp;"|"&amp;H3044&amp;"|"&amp;I3044&amp;"|"&amp;J3044&amp;"|"&amp;K3044&amp;"|"&amp;L3044&amp;"|"&amp;M3044&amp;"|"&amp;N3044</f>
        <v>ORD10905|2025-04-23|22:28|C0992|Andhra Meals Mess|Hyderabad|South Indian|1|140|0|Credit Card|Delivered|35|3</v>
      </c>
      <c r="P3044" s="7" t="str">
        <f aca="false">IF(COUNTIF($O$2:O3044,O3044)&gt;1,"DUP","OK")</f>
        <v>OK</v>
      </c>
      <c r="Q3044" s="7" t="n">
        <f aca="false">COUNTBLANK(A3044:N3044)</f>
        <v>0</v>
      </c>
      <c r="R3044" s="7" t="n">
        <f aca="false">IF(A3044="",0,COUNTIFS($A$2:$A$3058,A3044,$P$2:$P$3058,"OK"))</f>
        <v>1</v>
      </c>
      <c r="S3044" s="7" t="str">
        <f aca="false">IF(OR(A3044="",P3044="DUP",R3044&lt;2),"",IF(Q3044=_xlfn.MINIFS($Q$2:$Q$3058,$A$2:$A$3058,A3044,$P$2:$P$3058,"OK"),"KEEP","DROP"))</f>
        <v/>
      </c>
      <c r="T3044" s="9" t="n">
        <f aca="false">IF(A3044="",1,0)</f>
        <v>0</v>
      </c>
      <c r="U3044" s="9" t="n">
        <f aca="false">IF(D3044="",1,0)</f>
        <v>0</v>
      </c>
      <c r="V3044" s="9" t="n">
        <f aca="false">IF(E3044="",1,0)</f>
        <v>0</v>
      </c>
      <c r="W3044" s="9" t="n">
        <f aca="false">IF(OR(H3044&lt;1,H3044&gt;10),1,0)</f>
        <v>0</v>
      </c>
      <c r="X3044" s="9" t="n">
        <f aca="false">IF(OR(I3044&lt;=0,I3044&gt;1500),1,0)</f>
        <v>0</v>
      </c>
      <c r="Y3044" s="9" t="n">
        <f aca="false">IF(J3044&gt;H3044*I3044,1,0)</f>
        <v>0</v>
      </c>
      <c r="Z3044" s="9" t="n">
        <f aca="false">IF(AND(N3044&lt;&gt;"",OR(N3044&lt;1,N3044&gt;5)),1,0)</f>
        <v>0</v>
      </c>
      <c r="AA3044" s="9" t="n">
        <f aca="false">IF(AND(M3044&lt;&gt;"",OR(M3044&lt;5,M3044&gt;180)),1,0)</f>
        <v>0</v>
      </c>
      <c r="AB3044" s="7" t="str">
        <f aca="false">IF(P3044="DUP","Exact duplicate row",IF(T3044=1,"Missing Order ID",IF(S3044="DROP","Duplicate Order ID (less complete row)",IF(U3044=1,"Missing Customer ID",IF(V3044=1,"Missing Restaurant name",IF(W3044=1,"Invalid/outlier quantity",IF(X3044=1,"Invalid/outlier unit price",IF(Y3044=1,"Discount greater than order value",""))))))))</f>
        <v/>
      </c>
      <c r="AC3044" s="7" t="str">
        <f aca="false">IF(AB3044="","KEEP","DROP")</f>
        <v>KEEP</v>
      </c>
      <c r="AD3044" s="7" t="str">
        <f aca="false">IF(TRIM(F3044)="",IFERROR(INDEX(Map_Tables!$I$4:$I$37,MATCH(TRIM(E3044),Map_Tables!$G$4:$G$37,0)),""),IFERROR(INDEX(Map_Tables!$B$4:$B$18,MATCH(TRIM(F3044),Map_Tables!$A$4:$A$18,0)),"CHECK"))</f>
        <v>Hyderabad</v>
      </c>
      <c r="AE3044" s="7" t="str">
        <f aca="false">IF(TRIM(E3044)="","",IFERROR(INDEX(Map_Tables!$H$4:$H$37,MATCH(TRIM(E3044),Map_Tables!$G$4:$G$37,0)),"CHECK"))</f>
        <v>Andhra Meals Mess</v>
      </c>
      <c r="AF3044" s="7" t="str">
        <f aca="false">IF(TRIM(K3044)="","Unknown",IFERROR(INDEX(Map_Tables!$E$4:$E$15,MATCH(TRIM(K3044),Map_Tables!$D$4:$D$15,0)),"CHECK"))</f>
        <v>Credit Card</v>
      </c>
      <c r="AG3044" s="7" t="str">
        <f aca="false">IF(LEFT(LOWER(TRIM(L3044)),6)="cancel","Cancelled","Delivered")</f>
        <v>Delivered</v>
      </c>
      <c r="AH3044" s="10" t="n">
        <f aca="false">IF(ISNUMBER(SEARCH("/",B3044)),DATE(VALUE(RIGHT(B3044,4)),VALUE(MID(B3044,4,2)),VALUE(LEFT(B3044,2))),IF(MID(B3044,5,1)="-",DATE(VALUE(LEFT(B3044,4)),VALUE(MID(B3044,6,2)),VALUE(RIGHT(B3044,2))),DATE(VALUE(RIGHT(B3044,4)),MATCH(MID(B3044,4,3),{"Jan","Feb","Mar","Apr","May","Jun","Jul","Aug","Sep","Oct","Nov","Dec"},0),VALUE(LEFT(B3044,2)))))</f>
        <v>45770</v>
      </c>
    </row>
    <row r="3045" customFormat="false" ht="15" hidden="false" customHeight="false" outlineLevel="0" collapsed="false">
      <c r="A3045" s="7" t="s">
        <v>6153</v>
      </c>
      <c r="B3045" s="7" t="s">
        <v>2194</v>
      </c>
      <c r="C3045" s="7" t="s">
        <v>1486</v>
      </c>
      <c r="D3045" s="7" t="s">
        <v>5920</v>
      </c>
      <c r="E3045" s="7" t="s">
        <v>159</v>
      </c>
      <c r="F3045" s="7" t="s">
        <v>136</v>
      </c>
      <c r="G3045" s="7" t="s">
        <v>90</v>
      </c>
      <c r="H3045" s="7" t="n">
        <v>1</v>
      </c>
      <c r="I3045" s="7" t="n">
        <v>270</v>
      </c>
      <c r="J3045" s="7" t="n">
        <v>0</v>
      </c>
      <c r="K3045" s="7" t="s">
        <v>88</v>
      </c>
      <c r="L3045" s="7" t="s">
        <v>194</v>
      </c>
      <c r="M3045" s="7" t="n">
        <v>22</v>
      </c>
      <c r="N3045" s="7" t="n">
        <v>5</v>
      </c>
      <c r="O3045" s="7" t="str">
        <f aca="false">A3045&amp;"|"&amp;B3045&amp;"|"&amp;C3045&amp;"|"&amp;D3045&amp;"|"&amp;E3045&amp;"|"&amp;F3045&amp;"|"&amp;G3045&amp;"|"&amp;H3045&amp;"|"&amp;I3045&amp;"|"&amp;J3045&amp;"|"&amp;K3045&amp;"|"&amp;L3045&amp;"|"&amp;M3045&amp;"|"&amp;N3045</f>
        <v>ORD12779|2025-12-06|11:43|C1134|Maratha Thali House|Pune|North Indian|1|270|0|UPI|Delivered|22|5</v>
      </c>
      <c r="P3045" s="7" t="str">
        <f aca="false">IF(COUNTIF($O$2:O3045,O3045)&gt;1,"DUP","OK")</f>
        <v>OK</v>
      </c>
      <c r="Q3045" s="7" t="n">
        <f aca="false">COUNTBLANK(A3045:N3045)</f>
        <v>0</v>
      </c>
      <c r="R3045" s="7" t="n">
        <f aca="false">IF(A3045="",0,COUNTIFS($A$2:$A$3058,A3045,$P$2:$P$3058,"OK"))</f>
        <v>1</v>
      </c>
      <c r="S3045" s="7" t="str">
        <f aca="false">IF(OR(A3045="",P3045="DUP",R3045&lt;2),"",IF(Q3045=_xlfn.MINIFS($Q$2:$Q$3058,$A$2:$A$3058,A3045,$P$2:$P$3058,"OK"),"KEEP","DROP"))</f>
        <v/>
      </c>
      <c r="T3045" s="9" t="n">
        <f aca="false">IF(A3045="",1,0)</f>
        <v>0</v>
      </c>
      <c r="U3045" s="9" t="n">
        <f aca="false">IF(D3045="",1,0)</f>
        <v>0</v>
      </c>
      <c r="V3045" s="9" t="n">
        <f aca="false">IF(E3045="",1,0)</f>
        <v>0</v>
      </c>
      <c r="W3045" s="9" t="n">
        <f aca="false">IF(OR(H3045&lt;1,H3045&gt;10),1,0)</f>
        <v>0</v>
      </c>
      <c r="X3045" s="9" t="n">
        <f aca="false">IF(OR(I3045&lt;=0,I3045&gt;1500),1,0)</f>
        <v>0</v>
      </c>
      <c r="Y3045" s="9" t="n">
        <f aca="false">IF(J3045&gt;H3045*I3045,1,0)</f>
        <v>0</v>
      </c>
      <c r="Z3045" s="9" t="n">
        <f aca="false">IF(AND(N3045&lt;&gt;"",OR(N3045&lt;1,N3045&gt;5)),1,0)</f>
        <v>0</v>
      </c>
      <c r="AA3045" s="9" t="n">
        <f aca="false">IF(AND(M3045&lt;&gt;"",OR(M3045&lt;5,M3045&gt;180)),1,0)</f>
        <v>0</v>
      </c>
      <c r="AB3045" s="7" t="str">
        <f aca="false">IF(P3045="DUP","Exact duplicate row",IF(T3045=1,"Missing Order ID",IF(S3045="DROP","Duplicate Order ID (less complete row)",IF(U3045=1,"Missing Customer ID",IF(V3045=1,"Missing Restaurant name",IF(W3045=1,"Invalid/outlier quantity",IF(X3045=1,"Invalid/outlier unit price",IF(Y3045=1,"Discount greater than order value",""))))))))</f>
        <v/>
      </c>
      <c r="AC3045" s="7" t="str">
        <f aca="false">IF(AB3045="","KEEP","DROP")</f>
        <v>KEEP</v>
      </c>
      <c r="AD3045" s="7" t="str">
        <f aca="false">IF(TRIM(F3045)="",IFERROR(INDEX(Map_Tables!$I$4:$I$37,MATCH(TRIM(E3045),Map_Tables!$G$4:$G$37,0)),""),IFERROR(INDEX(Map_Tables!$B$4:$B$18,MATCH(TRIM(F3045),Map_Tables!$A$4:$A$18,0)),"CHECK"))</f>
        <v>Pune</v>
      </c>
      <c r="AE3045" s="7" t="str">
        <f aca="false">IF(TRIM(E3045)="","",IFERROR(INDEX(Map_Tables!$H$4:$H$37,MATCH(TRIM(E3045),Map_Tables!$G$4:$G$37,0)),"CHECK"))</f>
        <v>Maratha Thali House</v>
      </c>
      <c r="AF3045" s="7" t="str">
        <f aca="false">IF(TRIM(K3045)="","Unknown",IFERROR(INDEX(Map_Tables!$E$4:$E$15,MATCH(TRIM(K3045),Map_Tables!$D$4:$D$15,0)),"CHECK"))</f>
        <v>UPI</v>
      </c>
      <c r="AG3045" s="7" t="str">
        <f aca="false">IF(LEFT(LOWER(TRIM(L3045)),6)="cancel","Cancelled","Delivered")</f>
        <v>Delivered</v>
      </c>
      <c r="AH3045" s="10" t="n">
        <f aca="false">IF(ISNUMBER(SEARCH("/",B3045)),DATE(VALUE(RIGHT(B3045,4)),VALUE(MID(B3045,4,2)),VALUE(LEFT(B3045,2))),IF(MID(B3045,5,1)="-",DATE(VALUE(LEFT(B3045,4)),VALUE(MID(B3045,6,2)),VALUE(RIGHT(B3045,2))),DATE(VALUE(RIGHT(B3045,4)),MATCH(MID(B3045,4,3),{"Jan","Feb","Mar","Apr","May","Jun","Jul","Aug","Sep","Oct","Nov","Dec"},0),VALUE(LEFT(B3045,2)))))</f>
        <v>45997</v>
      </c>
    </row>
    <row r="3046" customFormat="false" ht="15" hidden="false" customHeight="false" outlineLevel="0" collapsed="false">
      <c r="A3046" s="7" t="s">
        <v>6154</v>
      </c>
      <c r="B3046" s="7" t="s">
        <v>546</v>
      </c>
      <c r="C3046" s="7" t="s">
        <v>2898</v>
      </c>
      <c r="D3046" s="7" t="s">
        <v>6155</v>
      </c>
      <c r="E3046" s="7" t="s">
        <v>3287</v>
      </c>
      <c r="F3046" s="7" t="s">
        <v>119</v>
      </c>
      <c r="G3046" s="7" t="s">
        <v>95</v>
      </c>
      <c r="H3046" s="7" t="n">
        <v>1</v>
      </c>
      <c r="I3046" s="7" t="n">
        <v>190</v>
      </c>
      <c r="J3046" s="7" t="n">
        <v>76</v>
      </c>
      <c r="K3046" s="7" t="s">
        <v>88</v>
      </c>
      <c r="L3046" s="7" t="s">
        <v>194</v>
      </c>
      <c r="M3046" s="7" t="n">
        <v>36</v>
      </c>
      <c r="N3046" s="7"/>
      <c r="O3046" s="7" t="str">
        <f aca="false">A3046&amp;"|"&amp;B3046&amp;"|"&amp;C3046&amp;"|"&amp;D3046&amp;"|"&amp;E3046&amp;"|"&amp;F3046&amp;"|"&amp;G3046&amp;"|"&amp;H3046&amp;"|"&amp;I3046&amp;"|"&amp;J3046&amp;"|"&amp;K3046&amp;"|"&amp;L3046&amp;"|"&amp;M3046&amp;"|"&amp;N3046</f>
        <v>ORD12603|2025-11-18|13:54|C0904|Andhra  Meals Mess|Hyderabad|South Indian|1|190|76|UPI|Delivered|36|</v>
      </c>
      <c r="P3046" s="7" t="str">
        <f aca="false">IF(COUNTIF($O$2:O3046,O3046)&gt;1,"DUP","OK")</f>
        <v>OK</v>
      </c>
      <c r="Q3046" s="7" t="n">
        <f aca="false">COUNTBLANK(A3046:N3046)</f>
        <v>1</v>
      </c>
      <c r="R3046" s="7" t="n">
        <f aca="false">IF(A3046="",0,COUNTIFS($A$2:$A$3058,A3046,$P$2:$P$3058,"OK"))</f>
        <v>1</v>
      </c>
      <c r="S3046" s="7" t="str">
        <f aca="false">IF(OR(A3046="",P3046="DUP",R3046&lt;2),"",IF(Q3046=_xlfn.MINIFS($Q$2:$Q$3058,$A$2:$A$3058,A3046,$P$2:$P$3058,"OK"),"KEEP","DROP"))</f>
        <v/>
      </c>
      <c r="T3046" s="9" t="n">
        <f aca="false">IF(A3046="",1,0)</f>
        <v>0</v>
      </c>
      <c r="U3046" s="9" t="n">
        <f aca="false">IF(D3046="",1,0)</f>
        <v>0</v>
      </c>
      <c r="V3046" s="9" t="n">
        <f aca="false">IF(E3046="",1,0)</f>
        <v>0</v>
      </c>
      <c r="W3046" s="9" t="n">
        <f aca="false">IF(OR(H3046&lt;1,H3046&gt;10),1,0)</f>
        <v>0</v>
      </c>
      <c r="X3046" s="9" t="n">
        <f aca="false">IF(OR(I3046&lt;=0,I3046&gt;1500),1,0)</f>
        <v>0</v>
      </c>
      <c r="Y3046" s="9" t="n">
        <f aca="false">IF(J3046&gt;H3046*I3046,1,0)</f>
        <v>0</v>
      </c>
      <c r="Z3046" s="9" t="n">
        <f aca="false">IF(AND(N3046&lt;&gt;"",OR(N3046&lt;1,N3046&gt;5)),1,0)</f>
        <v>0</v>
      </c>
      <c r="AA3046" s="9" t="n">
        <f aca="false">IF(AND(M3046&lt;&gt;"",OR(M3046&lt;5,M3046&gt;180)),1,0)</f>
        <v>0</v>
      </c>
      <c r="AB3046" s="7" t="str">
        <f aca="false">IF(P3046="DUP","Exact duplicate row",IF(T3046=1,"Missing Order ID",IF(S3046="DROP","Duplicate Order ID (less complete row)",IF(U3046=1,"Missing Customer ID",IF(V3046=1,"Missing Restaurant name",IF(W3046=1,"Invalid/outlier quantity",IF(X3046=1,"Invalid/outlier unit price",IF(Y3046=1,"Discount greater than order value",""))))))))</f>
        <v/>
      </c>
      <c r="AC3046" s="7" t="str">
        <f aca="false">IF(AB3046="","KEEP","DROP")</f>
        <v>KEEP</v>
      </c>
      <c r="AD3046" s="7" t="str">
        <f aca="false">IF(TRIM(F3046)="",IFERROR(INDEX(Map_Tables!$I$4:$I$37,MATCH(TRIM(E3046),Map_Tables!$G$4:$G$37,0)),""),IFERROR(INDEX(Map_Tables!$B$4:$B$18,MATCH(TRIM(F3046),Map_Tables!$A$4:$A$18,0)),"CHECK"))</f>
        <v>Hyderabad</v>
      </c>
      <c r="AE3046" s="7" t="str">
        <f aca="false">IF(TRIM(E3046)="","",IFERROR(INDEX(Map_Tables!$H$4:$H$37,MATCH(TRIM(E3046),Map_Tables!$G$4:$G$37,0)),"CHECK"))</f>
        <v>Andhra Meals Mess</v>
      </c>
      <c r="AF3046" s="7" t="str">
        <f aca="false">IF(TRIM(K3046)="","Unknown",IFERROR(INDEX(Map_Tables!$E$4:$E$15,MATCH(TRIM(K3046),Map_Tables!$D$4:$D$15,0)),"CHECK"))</f>
        <v>UPI</v>
      </c>
      <c r="AG3046" s="7" t="str">
        <f aca="false">IF(LEFT(LOWER(TRIM(L3046)),6)="cancel","Cancelled","Delivered")</f>
        <v>Delivered</v>
      </c>
      <c r="AH3046" s="10" t="n">
        <f aca="false">IF(ISNUMBER(SEARCH("/",B3046)),DATE(VALUE(RIGHT(B3046,4)),VALUE(MID(B3046,4,2)),VALUE(LEFT(B3046,2))),IF(MID(B3046,5,1)="-",DATE(VALUE(LEFT(B3046,4)),VALUE(MID(B3046,6,2)),VALUE(RIGHT(B3046,2))),DATE(VALUE(RIGHT(B3046,4)),MATCH(MID(B3046,4,3),{"Jan","Feb","Mar","Apr","May","Jun","Jul","Aug","Sep","Oct","Nov","Dec"},0),VALUE(LEFT(B3046,2)))))</f>
        <v>45979</v>
      </c>
    </row>
    <row r="3047" customFormat="false" ht="15" hidden="false" customHeight="false" outlineLevel="0" collapsed="false">
      <c r="A3047" s="7" t="s">
        <v>6156</v>
      </c>
      <c r="B3047" s="7" t="s">
        <v>257</v>
      </c>
      <c r="C3047" s="7" t="s">
        <v>5112</v>
      </c>
      <c r="D3047" s="7" t="s">
        <v>1075</v>
      </c>
      <c r="E3047" s="7" t="s">
        <v>94</v>
      </c>
      <c r="F3047" s="7" t="s">
        <v>86</v>
      </c>
      <c r="G3047" s="7" t="s">
        <v>95</v>
      </c>
      <c r="H3047" s="7" t="n">
        <v>3</v>
      </c>
      <c r="I3047" s="7" t="n">
        <v>120</v>
      </c>
      <c r="J3047" s="7" t="n">
        <v>50</v>
      </c>
      <c r="K3047" s="7" t="s">
        <v>88</v>
      </c>
      <c r="L3047" s="7" t="s">
        <v>194</v>
      </c>
      <c r="M3047" s="7" t="n">
        <v>42</v>
      </c>
      <c r="N3047" s="7" t="n">
        <v>3</v>
      </c>
      <c r="O3047" s="7" t="str">
        <f aca="false">A3047&amp;"|"&amp;B3047&amp;"|"&amp;C3047&amp;"|"&amp;D3047&amp;"|"&amp;E3047&amp;"|"&amp;F3047&amp;"|"&amp;G3047&amp;"|"&amp;H3047&amp;"|"&amp;I3047&amp;"|"&amp;J3047&amp;"|"&amp;K3047&amp;"|"&amp;L3047&amp;"|"&amp;M3047&amp;"|"&amp;N3047</f>
        <v>ORD10367|2025-02-17|23:19|C1097|Dosa Darbar|Bengaluru|South Indian|3|120|50|UPI|Delivered|42|3</v>
      </c>
      <c r="P3047" s="7" t="str">
        <f aca="false">IF(COUNTIF($O$2:O3047,O3047)&gt;1,"DUP","OK")</f>
        <v>OK</v>
      </c>
      <c r="Q3047" s="7" t="n">
        <f aca="false">COUNTBLANK(A3047:N3047)</f>
        <v>0</v>
      </c>
      <c r="R3047" s="7" t="n">
        <f aca="false">IF(A3047="",0,COUNTIFS($A$2:$A$3058,A3047,$P$2:$P$3058,"OK"))</f>
        <v>1</v>
      </c>
      <c r="S3047" s="7" t="str">
        <f aca="false">IF(OR(A3047="",P3047="DUP",R3047&lt;2),"",IF(Q3047=_xlfn.MINIFS($Q$2:$Q$3058,$A$2:$A$3058,A3047,$P$2:$P$3058,"OK"),"KEEP","DROP"))</f>
        <v/>
      </c>
      <c r="T3047" s="9" t="n">
        <f aca="false">IF(A3047="",1,0)</f>
        <v>0</v>
      </c>
      <c r="U3047" s="9" t="n">
        <f aca="false">IF(D3047="",1,0)</f>
        <v>0</v>
      </c>
      <c r="V3047" s="9" t="n">
        <f aca="false">IF(E3047="",1,0)</f>
        <v>0</v>
      </c>
      <c r="W3047" s="9" t="n">
        <f aca="false">IF(OR(H3047&lt;1,H3047&gt;10),1,0)</f>
        <v>0</v>
      </c>
      <c r="X3047" s="9" t="n">
        <f aca="false">IF(OR(I3047&lt;=0,I3047&gt;1500),1,0)</f>
        <v>0</v>
      </c>
      <c r="Y3047" s="9" t="n">
        <f aca="false">IF(J3047&gt;H3047*I3047,1,0)</f>
        <v>0</v>
      </c>
      <c r="Z3047" s="9" t="n">
        <f aca="false">IF(AND(N3047&lt;&gt;"",OR(N3047&lt;1,N3047&gt;5)),1,0)</f>
        <v>0</v>
      </c>
      <c r="AA3047" s="9" t="n">
        <f aca="false">IF(AND(M3047&lt;&gt;"",OR(M3047&lt;5,M3047&gt;180)),1,0)</f>
        <v>0</v>
      </c>
      <c r="AB3047" s="7" t="str">
        <f aca="false">IF(P3047="DUP","Exact duplicate row",IF(T3047=1,"Missing Order ID",IF(S3047="DROP","Duplicate Order ID (less complete row)",IF(U3047=1,"Missing Customer ID",IF(V3047=1,"Missing Restaurant name",IF(W3047=1,"Invalid/outlier quantity",IF(X3047=1,"Invalid/outlier unit price",IF(Y3047=1,"Discount greater than order value",""))))))))</f>
        <v/>
      </c>
      <c r="AC3047" s="7" t="str">
        <f aca="false">IF(AB3047="","KEEP","DROP")</f>
        <v>KEEP</v>
      </c>
      <c r="AD3047" s="7" t="str">
        <f aca="false">IF(TRIM(F3047)="",IFERROR(INDEX(Map_Tables!$I$4:$I$37,MATCH(TRIM(E3047),Map_Tables!$G$4:$G$37,0)),""),IFERROR(INDEX(Map_Tables!$B$4:$B$18,MATCH(TRIM(F3047),Map_Tables!$A$4:$A$18,0)),"CHECK"))</f>
        <v>Bengaluru</v>
      </c>
      <c r="AE3047" s="7" t="str">
        <f aca="false">IF(TRIM(E3047)="","",IFERROR(INDEX(Map_Tables!$H$4:$H$37,MATCH(TRIM(E3047),Map_Tables!$G$4:$G$37,0)),"CHECK"))</f>
        <v>Dosa Darbar</v>
      </c>
      <c r="AF3047" s="7" t="str">
        <f aca="false">IF(TRIM(K3047)="","Unknown",IFERROR(INDEX(Map_Tables!$E$4:$E$15,MATCH(TRIM(K3047),Map_Tables!$D$4:$D$15,0)),"CHECK"))</f>
        <v>UPI</v>
      </c>
      <c r="AG3047" s="7" t="str">
        <f aca="false">IF(LEFT(LOWER(TRIM(L3047)),6)="cancel","Cancelled","Delivered")</f>
        <v>Delivered</v>
      </c>
      <c r="AH3047" s="10" t="n">
        <f aca="false">IF(ISNUMBER(SEARCH("/",B3047)),DATE(VALUE(RIGHT(B3047,4)),VALUE(MID(B3047,4,2)),VALUE(LEFT(B3047,2))),IF(MID(B3047,5,1)="-",DATE(VALUE(LEFT(B3047,4)),VALUE(MID(B3047,6,2)),VALUE(RIGHT(B3047,2))),DATE(VALUE(RIGHT(B3047,4)),MATCH(MID(B3047,4,3),{"Jan","Feb","Mar","Apr","May","Jun","Jul","Aug","Sep","Oct","Nov","Dec"},0),VALUE(LEFT(B3047,2)))))</f>
        <v>45705</v>
      </c>
    </row>
    <row r="3048" customFormat="false" ht="15" hidden="false" customHeight="false" outlineLevel="0" collapsed="false">
      <c r="A3048" s="7" t="s">
        <v>6157</v>
      </c>
      <c r="B3048" s="7" t="s">
        <v>995</v>
      </c>
      <c r="C3048" s="7" t="s">
        <v>1704</v>
      </c>
      <c r="D3048" s="7" t="s">
        <v>5226</v>
      </c>
      <c r="E3048" s="7" t="s">
        <v>168</v>
      </c>
      <c r="F3048" s="7" t="s">
        <v>1327</v>
      </c>
      <c r="G3048" s="7" t="s">
        <v>123</v>
      </c>
      <c r="H3048" s="7" t="n">
        <v>2</v>
      </c>
      <c r="I3048" s="7" t="n">
        <v>280</v>
      </c>
      <c r="J3048" s="7" t="n">
        <v>50</v>
      </c>
      <c r="K3048" s="7" t="s">
        <v>88</v>
      </c>
      <c r="L3048" s="7" t="s">
        <v>194</v>
      </c>
      <c r="M3048" s="7" t="n">
        <v>33</v>
      </c>
      <c r="N3048" s="7" t="n">
        <v>5</v>
      </c>
      <c r="O3048" s="7" t="str">
        <f aca="false">A3048&amp;"|"&amp;B3048&amp;"|"&amp;C3048&amp;"|"&amp;D3048&amp;"|"&amp;E3048&amp;"|"&amp;F3048&amp;"|"&amp;G3048&amp;"|"&amp;H3048&amp;"|"&amp;I3048&amp;"|"&amp;J3048&amp;"|"&amp;K3048&amp;"|"&amp;L3048&amp;"|"&amp;M3048&amp;"|"&amp;N3048</f>
        <v>ORD10346|2025-02-15|20:01|C0247|Cheesy Slice|Ahmedabad |Pizza|2|280|50|UPI|Delivered|33|5</v>
      </c>
      <c r="P3048" s="7" t="str">
        <f aca="false">IF(COUNTIF($O$2:O3048,O3048)&gt;1,"DUP","OK")</f>
        <v>OK</v>
      </c>
      <c r="Q3048" s="7" t="n">
        <f aca="false">COUNTBLANK(A3048:N3048)</f>
        <v>0</v>
      </c>
      <c r="R3048" s="7" t="n">
        <f aca="false">IF(A3048="",0,COUNTIFS($A$2:$A$3058,A3048,$P$2:$P$3058,"OK"))</f>
        <v>1</v>
      </c>
      <c r="S3048" s="7" t="str">
        <f aca="false">IF(OR(A3048="",P3048="DUP",R3048&lt;2),"",IF(Q3048=_xlfn.MINIFS($Q$2:$Q$3058,$A$2:$A$3058,A3048,$P$2:$P$3058,"OK"),"KEEP","DROP"))</f>
        <v/>
      </c>
      <c r="T3048" s="9" t="n">
        <f aca="false">IF(A3048="",1,0)</f>
        <v>0</v>
      </c>
      <c r="U3048" s="9" t="n">
        <f aca="false">IF(D3048="",1,0)</f>
        <v>0</v>
      </c>
      <c r="V3048" s="9" t="n">
        <f aca="false">IF(E3048="",1,0)</f>
        <v>0</v>
      </c>
      <c r="W3048" s="9" t="n">
        <f aca="false">IF(OR(H3048&lt;1,H3048&gt;10),1,0)</f>
        <v>0</v>
      </c>
      <c r="X3048" s="9" t="n">
        <f aca="false">IF(OR(I3048&lt;=0,I3048&gt;1500),1,0)</f>
        <v>0</v>
      </c>
      <c r="Y3048" s="9" t="n">
        <f aca="false">IF(J3048&gt;H3048*I3048,1,0)</f>
        <v>0</v>
      </c>
      <c r="Z3048" s="9" t="n">
        <f aca="false">IF(AND(N3048&lt;&gt;"",OR(N3048&lt;1,N3048&gt;5)),1,0)</f>
        <v>0</v>
      </c>
      <c r="AA3048" s="9" t="n">
        <f aca="false">IF(AND(M3048&lt;&gt;"",OR(M3048&lt;5,M3048&gt;180)),1,0)</f>
        <v>0</v>
      </c>
      <c r="AB3048" s="7" t="str">
        <f aca="false">IF(P3048="DUP","Exact duplicate row",IF(T3048=1,"Missing Order ID",IF(S3048="DROP","Duplicate Order ID (less complete row)",IF(U3048=1,"Missing Customer ID",IF(V3048=1,"Missing Restaurant name",IF(W3048=1,"Invalid/outlier quantity",IF(X3048=1,"Invalid/outlier unit price",IF(Y3048=1,"Discount greater than order value",""))))))))</f>
        <v/>
      </c>
      <c r="AC3048" s="7" t="str">
        <f aca="false">IF(AB3048="","KEEP","DROP")</f>
        <v>KEEP</v>
      </c>
      <c r="AD3048" s="7" t="str">
        <f aca="false">IF(TRIM(F3048)="",IFERROR(INDEX(Map_Tables!$I$4:$I$37,MATCH(TRIM(E3048),Map_Tables!$G$4:$G$37,0)),""),IFERROR(INDEX(Map_Tables!$B$4:$B$18,MATCH(TRIM(F3048),Map_Tables!$A$4:$A$18,0)),"CHECK"))</f>
        <v>Ahmedabad</v>
      </c>
      <c r="AE3048" s="7" t="str">
        <f aca="false">IF(TRIM(E3048)="","",IFERROR(INDEX(Map_Tables!$H$4:$H$37,MATCH(TRIM(E3048),Map_Tables!$G$4:$G$37,0)),"CHECK"))</f>
        <v>Cheesy Slice</v>
      </c>
      <c r="AF3048" s="7" t="str">
        <f aca="false">IF(TRIM(K3048)="","Unknown",IFERROR(INDEX(Map_Tables!$E$4:$E$15,MATCH(TRIM(K3048),Map_Tables!$D$4:$D$15,0)),"CHECK"))</f>
        <v>UPI</v>
      </c>
      <c r="AG3048" s="7" t="str">
        <f aca="false">IF(LEFT(LOWER(TRIM(L3048)),6)="cancel","Cancelled","Delivered")</f>
        <v>Delivered</v>
      </c>
      <c r="AH3048" s="10" t="n">
        <f aca="false">IF(ISNUMBER(SEARCH("/",B3048)),DATE(VALUE(RIGHT(B3048,4)),VALUE(MID(B3048,4,2)),VALUE(LEFT(B3048,2))),IF(MID(B3048,5,1)="-",DATE(VALUE(LEFT(B3048,4)),VALUE(MID(B3048,6,2)),VALUE(RIGHT(B3048,2))),DATE(VALUE(RIGHT(B3048,4)),MATCH(MID(B3048,4,3),{"Jan","Feb","Mar","Apr","May","Jun","Jul","Aug","Sep","Oct","Nov","Dec"},0),VALUE(LEFT(B3048,2)))))</f>
        <v>45703</v>
      </c>
    </row>
    <row r="3049" customFormat="false" ht="15" hidden="false" customHeight="false" outlineLevel="0" collapsed="false">
      <c r="A3049" s="7" t="s">
        <v>6158</v>
      </c>
      <c r="B3049" s="7" t="s">
        <v>808</v>
      </c>
      <c r="C3049" s="7" t="s">
        <v>2278</v>
      </c>
      <c r="D3049" s="7" t="s">
        <v>784</v>
      </c>
      <c r="E3049" s="7" t="s">
        <v>144</v>
      </c>
      <c r="F3049" s="7" t="s">
        <v>119</v>
      </c>
      <c r="G3049" s="7" t="s">
        <v>99</v>
      </c>
      <c r="H3049" s="7" t="n">
        <v>2</v>
      </c>
      <c r="I3049" s="7" t="n">
        <v>315</v>
      </c>
      <c r="J3049" s="7" t="n">
        <v>50</v>
      </c>
      <c r="K3049" s="7" t="s">
        <v>133</v>
      </c>
      <c r="L3049" s="7" t="s">
        <v>194</v>
      </c>
      <c r="M3049" s="7" t="n">
        <v>43</v>
      </c>
      <c r="N3049" s="7" t="n">
        <v>5</v>
      </c>
      <c r="O3049" s="7" t="str">
        <f aca="false">A3049&amp;"|"&amp;B3049&amp;"|"&amp;C3049&amp;"|"&amp;D3049&amp;"|"&amp;E3049&amp;"|"&amp;F3049&amp;"|"&amp;G3049&amp;"|"&amp;H3049&amp;"|"&amp;I3049&amp;"|"&amp;J3049&amp;"|"&amp;K3049&amp;"|"&amp;L3049&amp;"|"&amp;M3049&amp;"|"&amp;N3049</f>
        <v>ORD12584|2025-11-16|18:10|C0674|Hyderabad Dum Biryani|Hyderabad|Biryani|2|315|50|Net Banking|Delivered|43|5</v>
      </c>
      <c r="P3049" s="7" t="str">
        <f aca="false">IF(COUNTIF($O$2:O3049,O3049)&gt;1,"DUP","OK")</f>
        <v>OK</v>
      </c>
      <c r="Q3049" s="7" t="n">
        <f aca="false">COUNTBLANK(A3049:N3049)</f>
        <v>0</v>
      </c>
      <c r="R3049" s="7" t="n">
        <f aca="false">IF(A3049="",0,COUNTIFS($A$2:$A$3058,A3049,$P$2:$P$3058,"OK"))</f>
        <v>1</v>
      </c>
      <c r="S3049" s="7" t="str">
        <f aca="false">IF(OR(A3049="",P3049="DUP",R3049&lt;2),"",IF(Q3049=_xlfn.MINIFS($Q$2:$Q$3058,$A$2:$A$3058,A3049,$P$2:$P$3058,"OK"),"KEEP","DROP"))</f>
        <v/>
      </c>
      <c r="T3049" s="9" t="n">
        <f aca="false">IF(A3049="",1,0)</f>
        <v>0</v>
      </c>
      <c r="U3049" s="9" t="n">
        <f aca="false">IF(D3049="",1,0)</f>
        <v>0</v>
      </c>
      <c r="V3049" s="9" t="n">
        <f aca="false">IF(E3049="",1,0)</f>
        <v>0</v>
      </c>
      <c r="W3049" s="9" t="n">
        <f aca="false">IF(OR(H3049&lt;1,H3049&gt;10),1,0)</f>
        <v>0</v>
      </c>
      <c r="X3049" s="9" t="n">
        <f aca="false">IF(OR(I3049&lt;=0,I3049&gt;1500),1,0)</f>
        <v>0</v>
      </c>
      <c r="Y3049" s="9" t="n">
        <f aca="false">IF(J3049&gt;H3049*I3049,1,0)</f>
        <v>0</v>
      </c>
      <c r="Z3049" s="9" t="n">
        <f aca="false">IF(AND(N3049&lt;&gt;"",OR(N3049&lt;1,N3049&gt;5)),1,0)</f>
        <v>0</v>
      </c>
      <c r="AA3049" s="9" t="n">
        <f aca="false">IF(AND(M3049&lt;&gt;"",OR(M3049&lt;5,M3049&gt;180)),1,0)</f>
        <v>0</v>
      </c>
      <c r="AB3049" s="7" t="str">
        <f aca="false">IF(P3049="DUP","Exact duplicate row",IF(T3049=1,"Missing Order ID",IF(S3049="DROP","Duplicate Order ID (less complete row)",IF(U3049=1,"Missing Customer ID",IF(V3049=1,"Missing Restaurant name",IF(W3049=1,"Invalid/outlier quantity",IF(X3049=1,"Invalid/outlier unit price",IF(Y3049=1,"Discount greater than order value",""))))))))</f>
        <v/>
      </c>
      <c r="AC3049" s="7" t="str">
        <f aca="false">IF(AB3049="","KEEP","DROP")</f>
        <v>KEEP</v>
      </c>
      <c r="AD3049" s="7" t="str">
        <f aca="false">IF(TRIM(F3049)="",IFERROR(INDEX(Map_Tables!$I$4:$I$37,MATCH(TRIM(E3049),Map_Tables!$G$4:$G$37,0)),""),IFERROR(INDEX(Map_Tables!$B$4:$B$18,MATCH(TRIM(F3049),Map_Tables!$A$4:$A$18,0)),"CHECK"))</f>
        <v>Hyderabad</v>
      </c>
      <c r="AE3049" s="7" t="str">
        <f aca="false">IF(TRIM(E3049)="","",IFERROR(INDEX(Map_Tables!$H$4:$H$37,MATCH(TRIM(E3049),Map_Tables!$G$4:$G$37,0)),"CHECK"))</f>
        <v>Hyderabad Dum Biryani</v>
      </c>
      <c r="AF3049" s="7" t="str">
        <f aca="false">IF(TRIM(K3049)="","Unknown",IFERROR(INDEX(Map_Tables!$E$4:$E$15,MATCH(TRIM(K3049),Map_Tables!$D$4:$D$15,0)),"CHECK"))</f>
        <v>Net Banking</v>
      </c>
      <c r="AG3049" s="7" t="str">
        <f aca="false">IF(LEFT(LOWER(TRIM(L3049)),6)="cancel","Cancelled","Delivered")</f>
        <v>Delivered</v>
      </c>
      <c r="AH3049" s="10" t="n">
        <f aca="false">IF(ISNUMBER(SEARCH("/",B3049)),DATE(VALUE(RIGHT(B3049,4)),VALUE(MID(B3049,4,2)),VALUE(LEFT(B3049,2))),IF(MID(B3049,5,1)="-",DATE(VALUE(LEFT(B3049,4)),VALUE(MID(B3049,6,2)),VALUE(RIGHT(B3049,2))),DATE(VALUE(RIGHT(B3049,4)),MATCH(MID(B3049,4,3),{"Jan","Feb","Mar","Apr","May","Jun","Jul","Aug","Sep","Oct","Nov","Dec"},0),VALUE(LEFT(B3049,2)))))</f>
        <v>45977</v>
      </c>
    </row>
    <row r="3050" customFormat="false" ht="15" hidden="false" customHeight="false" outlineLevel="0" collapsed="false">
      <c r="A3050" s="7" t="s">
        <v>6159</v>
      </c>
      <c r="B3050" s="7" t="s">
        <v>1214</v>
      </c>
      <c r="C3050" s="7" t="s">
        <v>3029</v>
      </c>
      <c r="D3050" s="7" t="s">
        <v>1504</v>
      </c>
      <c r="E3050" s="7" t="s">
        <v>161</v>
      </c>
      <c r="F3050" s="7" t="s">
        <v>141</v>
      </c>
      <c r="G3050" s="7" t="s">
        <v>117</v>
      </c>
      <c r="H3050" s="7" t="n">
        <v>2</v>
      </c>
      <c r="I3050" s="7" t="n">
        <v>140</v>
      </c>
      <c r="J3050" s="7" t="n">
        <v>0</v>
      </c>
      <c r="K3050" s="7" t="s">
        <v>87</v>
      </c>
      <c r="L3050" s="7" t="s">
        <v>194</v>
      </c>
      <c r="M3050" s="7" t="n">
        <v>30</v>
      </c>
      <c r="N3050" s="7" t="n">
        <v>5</v>
      </c>
      <c r="O3050" s="7" t="str">
        <f aca="false">A3050&amp;"|"&amp;B3050&amp;"|"&amp;C3050&amp;"|"&amp;D3050&amp;"|"&amp;E3050&amp;"|"&amp;F3050&amp;"|"&amp;G3050&amp;"|"&amp;H3050&amp;"|"&amp;I3050&amp;"|"&amp;J3050&amp;"|"&amp;K3050&amp;"|"&amp;L3050&amp;"|"&amp;M3050&amp;"|"&amp;N3050</f>
        <v>ORD11373|2025-06-26|18:07|C0190|Bengal Bites|Kolkata|Street Food|2|140|0|upi|Delivered|30|5</v>
      </c>
      <c r="P3050" s="7" t="str">
        <f aca="false">IF(COUNTIF($O$2:O3050,O3050)&gt;1,"DUP","OK")</f>
        <v>OK</v>
      </c>
      <c r="Q3050" s="7" t="n">
        <f aca="false">COUNTBLANK(A3050:N3050)</f>
        <v>0</v>
      </c>
      <c r="R3050" s="7" t="n">
        <f aca="false">IF(A3050="",0,COUNTIFS($A$2:$A$3058,A3050,$P$2:$P$3058,"OK"))</f>
        <v>1</v>
      </c>
      <c r="S3050" s="7" t="str">
        <f aca="false">IF(OR(A3050="",P3050="DUP",R3050&lt;2),"",IF(Q3050=_xlfn.MINIFS($Q$2:$Q$3058,$A$2:$A$3058,A3050,$P$2:$P$3058,"OK"),"KEEP","DROP"))</f>
        <v/>
      </c>
      <c r="T3050" s="9" t="n">
        <f aca="false">IF(A3050="",1,0)</f>
        <v>0</v>
      </c>
      <c r="U3050" s="9" t="n">
        <f aca="false">IF(D3050="",1,0)</f>
        <v>0</v>
      </c>
      <c r="V3050" s="9" t="n">
        <f aca="false">IF(E3050="",1,0)</f>
        <v>0</v>
      </c>
      <c r="W3050" s="9" t="n">
        <f aca="false">IF(OR(H3050&lt;1,H3050&gt;10),1,0)</f>
        <v>0</v>
      </c>
      <c r="X3050" s="9" t="n">
        <f aca="false">IF(OR(I3050&lt;=0,I3050&gt;1500),1,0)</f>
        <v>0</v>
      </c>
      <c r="Y3050" s="9" t="n">
        <f aca="false">IF(J3050&gt;H3050*I3050,1,0)</f>
        <v>0</v>
      </c>
      <c r="Z3050" s="9" t="n">
        <f aca="false">IF(AND(N3050&lt;&gt;"",OR(N3050&lt;1,N3050&gt;5)),1,0)</f>
        <v>0</v>
      </c>
      <c r="AA3050" s="9" t="n">
        <f aca="false">IF(AND(M3050&lt;&gt;"",OR(M3050&lt;5,M3050&gt;180)),1,0)</f>
        <v>0</v>
      </c>
      <c r="AB3050" s="7" t="str">
        <f aca="false">IF(P3050="DUP","Exact duplicate row",IF(T3050=1,"Missing Order ID",IF(S3050="DROP","Duplicate Order ID (less complete row)",IF(U3050=1,"Missing Customer ID",IF(V3050=1,"Missing Restaurant name",IF(W3050=1,"Invalid/outlier quantity",IF(X3050=1,"Invalid/outlier unit price",IF(Y3050=1,"Discount greater than order value",""))))))))</f>
        <v/>
      </c>
      <c r="AC3050" s="7" t="str">
        <f aca="false">IF(AB3050="","KEEP","DROP")</f>
        <v>KEEP</v>
      </c>
      <c r="AD3050" s="7" t="str">
        <f aca="false">IF(TRIM(F3050)="",IFERROR(INDEX(Map_Tables!$I$4:$I$37,MATCH(TRIM(E3050),Map_Tables!$G$4:$G$37,0)),""),IFERROR(INDEX(Map_Tables!$B$4:$B$18,MATCH(TRIM(F3050),Map_Tables!$A$4:$A$18,0)),"CHECK"))</f>
        <v>Kolkata</v>
      </c>
      <c r="AE3050" s="7" t="str">
        <f aca="false">IF(TRIM(E3050)="","",IFERROR(INDEX(Map_Tables!$H$4:$H$37,MATCH(TRIM(E3050),Map_Tables!$G$4:$G$37,0)),"CHECK"))</f>
        <v>Bengal Bites</v>
      </c>
      <c r="AF3050" s="7" t="str">
        <f aca="false">IF(TRIM(K3050)="","Unknown",IFERROR(INDEX(Map_Tables!$E$4:$E$15,MATCH(TRIM(K3050),Map_Tables!$D$4:$D$15,0)),"CHECK"))</f>
        <v>UPI</v>
      </c>
      <c r="AG3050" s="7" t="str">
        <f aca="false">IF(LEFT(LOWER(TRIM(L3050)),6)="cancel","Cancelled","Delivered")</f>
        <v>Delivered</v>
      </c>
      <c r="AH3050" s="10" t="n">
        <f aca="false">IF(ISNUMBER(SEARCH("/",B3050)),DATE(VALUE(RIGHT(B3050,4)),VALUE(MID(B3050,4,2)),VALUE(LEFT(B3050,2))),IF(MID(B3050,5,1)="-",DATE(VALUE(LEFT(B3050,4)),VALUE(MID(B3050,6,2)),VALUE(RIGHT(B3050,2))),DATE(VALUE(RIGHT(B3050,4)),MATCH(MID(B3050,4,3),{"Jan","Feb","Mar","Apr","May","Jun","Jul","Aug","Sep","Oct","Nov","Dec"},0),VALUE(LEFT(B3050,2)))))</f>
        <v>45834</v>
      </c>
    </row>
    <row r="3051" customFormat="false" ht="15" hidden="false" customHeight="false" outlineLevel="0" collapsed="false">
      <c r="A3051" s="7" t="s">
        <v>6160</v>
      </c>
      <c r="B3051" s="7" t="s">
        <v>1437</v>
      </c>
      <c r="C3051" s="7" t="s">
        <v>4225</v>
      </c>
      <c r="D3051" s="7" t="s">
        <v>2509</v>
      </c>
      <c r="E3051" s="7" t="s">
        <v>116</v>
      </c>
      <c r="F3051" s="7" t="s">
        <v>101</v>
      </c>
      <c r="G3051" s="7" t="s">
        <v>117</v>
      </c>
      <c r="H3051" s="7" t="n">
        <v>3</v>
      </c>
      <c r="I3051" s="7" t="n">
        <v>125</v>
      </c>
      <c r="J3051" s="7" t="n">
        <v>20</v>
      </c>
      <c r="K3051" s="7" t="s">
        <v>103</v>
      </c>
      <c r="L3051" s="7" t="s">
        <v>194</v>
      </c>
      <c r="M3051" s="7" t="n">
        <v>46</v>
      </c>
      <c r="N3051" s="7"/>
      <c r="O3051" s="7" t="str">
        <f aca="false">A3051&amp;"|"&amp;B3051&amp;"|"&amp;C3051&amp;"|"&amp;D3051&amp;"|"&amp;E3051&amp;"|"&amp;F3051&amp;"|"&amp;G3051&amp;"|"&amp;H3051&amp;"|"&amp;I3051&amp;"|"&amp;J3051&amp;"|"&amp;K3051&amp;"|"&amp;L3051&amp;"|"&amp;M3051&amp;"|"&amp;N3051</f>
        <v>ORD11640|2025-08-02|16:11|C1003|Pav Bhaji Point|Mumbai|Street Food|3|125|20|Debit Card|Delivered|46|</v>
      </c>
      <c r="P3051" s="7" t="str">
        <f aca="false">IF(COUNTIF($O$2:O3051,O3051)&gt;1,"DUP","OK")</f>
        <v>OK</v>
      </c>
      <c r="Q3051" s="7" t="n">
        <f aca="false">COUNTBLANK(A3051:N3051)</f>
        <v>1</v>
      </c>
      <c r="R3051" s="7" t="n">
        <f aca="false">IF(A3051="",0,COUNTIFS($A$2:$A$3058,A3051,$P$2:$P$3058,"OK"))</f>
        <v>1</v>
      </c>
      <c r="S3051" s="7" t="str">
        <f aca="false">IF(OR(A3051="",P3051="DUP",R3051&lt;2),"",IF(Q3051=_xlfn.MINIFS($Q$2:$Q$3058,$A$2:$A$3058,A3051,$P$2:$P$3058,"OK"),"KEEP","DROP"))</f>
        <v/>
      </c>
      <c r="T3051" s="9" t="n">
        <f aca="false">IF(A3051="",1,0)</f>
        <v>0</v>
      </c>
      <c r="U3051" s="9" t="n">
        <f aca="false">IF(D3051="",1,0)</f>
        <v>0</v>
      </c>
      <c r="V3051" s="9" t="n">
        <f aca="false">IF(E3051="",1,0)</f>
        <v>0</v>
      </c>
      <c r="W3051" s="9" t="n">
        <f aca="false">IF(OR(H3051&lt;1,H3051&gt;10),1,0)</f>
        <v>0</v>
      </c>
      <c r="X3051" s="9" t="n">
        <f aca="false">IF(OR(I3051&lt;=0,I3051&gt;1500),1,0)</f>
        <v>0</v>
      </c>
      <c r="Y3051" s="9" t="n">
        <f aca="false">IF(J3051&gt;H3051*I3051,1,0)</f>
        <v>0</v>
      </c>
      <c r="Z3051" s="9" t="n">
        <f aca="false">IF(AND(N3051&lt;&gt;"",OR(N3051&lt;1,N3051&gt;5)),1,0)</f>
        <v>0</v>
      </c>
      <c r="AA3051" s="9" t="n">
        <f aca="false">IF(AND(M3051&lt;&gt;"",OR(M3051&lt;5,M3051&gt;180)),1,0)</f>
        <v>0</v>
      </c>
      <c r="AB3051" s="7" t="str">
        <f aca="false">IF(P3051="DUP","Exact duplicate row",IF(T3051=1,"Missing Order ID",IF(S3051="DROP","Duplicate Order ID (less complete row)",IF(U3051=1,"Missing Customer ID",IF(V3051=1,"Missing Restaurant name",IF(W3051=1,"Invalid/outlier quantity",IF(X3051=1,"Invalid/outlier unit price",IF(Y3051=1,"Discount greater than order value",""))))))))</f>
        <v/>
      </c>
      <c r="AC3051" s="7" t="str">
        <f aca="false">IF(AB3051="","KEEP","DROP")</f>
        <v>KEEP</v>
      </c>
      <c r="AD3051" s="7" t="str">
        <f aca="false">IF(TRIM(F3051)="",IFERROR(INDEX(Map_Tables!$I$4:$I$37,MATCH(TRIM(E3051),Map_Tables!$G$4:$G$37,0)),""),IFERROR(INDEX(Map_Tables!$B$4:$B$18,MATCH(TRIM(F3051),Map_Tables!$A$4:$A$18,0)),"CHECK"))</f>
        <v>Mumbai</v>
      </c>
      <c r="AE3051" s="7" t="str">
        <f aca="false">IF(TRIM(E3051)="","",IFERROR(INDEX(Map_Tables!$H$4:$H$37,MATCH(TRIM(E3051),Map_Tables!$G$4:$G$37,0)),"CHECK"))</f>
        <v>Pav Bhaji Point</v>
      </c>
      <c r="AF3051" s="7" t="str">
        <f aca="false">IF(TRIM(K3051)="","Unknown",IFERROR(INDEX(Map_Tables!$E$4:$E$15,MATCH(TRIM(K3051),Map_Tables!$D$4:$D$15,0)),"CHECK"))</f>
        <v>Debit Card</v>
      </c>
      <c r="AG3051" s="7" t="str">
        <f aca="false">IF(LEFT(LOWER(TRIM(L3051)),6)="cancel","Cancelled","Delivered")</f>
        <v>Delivered</v>
      </c>
      <c r="AH3051" s="10" t="n">
        <f aca="false">IF(ISNUMBER(SEARCH("/",B3051)),DATE(VALUE(RIGHT(B3051,4)),VALUE(MID(B3051,4,2)),VALUE(LEFT(B3051,2))),IF(MID(B3051,5,1)="-",DATE(VALUE(LEFT(B3051,4)),VALUE(MID(B3051,6,2)),VALUE(RIGHT(B3051,2))),DATE(VALUE(RIGHT(B3051,4)),MATCH(MID(B3051,4,3),{"Jan","Feb","Mar","Apr","May","Jun","Jul","Aug","Sep","Oct","Nov","Dec"},0),VALUE(LEFT(B3051,2)))))</f>
        <v>45871</v>
      </c>
    </row>
    <row r="3052" customFormat="false" ht="15" hidden="false" customHeight="false" outlineLevel="0" collapsed="false">
      <c r="A3052" s="7" t="s">
        <v>6161</v>
      </c>
      <c r="B3052" s="7" t="s">
        <v>4579</v>
      </c>
      <c r="C3052" s="7" t="s">
        <v>2573</v>
      </c>
      <c r="D3052" s="7" t="s">
        <v>1661</v>
      </c>
      <c r="E3052" s="7" t="s">
        <v>138</v>
      </c>
      <c r="F3052" s="7" t="s">
        <v>110</v>
      </c>
      <c r="G3052" s="7" t="s">
        <v>1003</v>
      </c>
      <c r="H3052" s="7" t="n">
        <v>1</v>
      </c>
      <c r="I3052" s="7" t="n">
        <v>195</v>
      </c>
      <c r="J3052" s="7" t="n">
        <v>40</v>
      </c>
      <c r="K3052" s="7" t="s">
        <v>112</v>
      </c>
      <c r="L3052" s="7" t="s">
        <v>238</v>
      </c>
      <c r="M3052" s="7"/>
      <c r="N3052" s="7"/>
      <c r="O3052" s="7" t="str">
        <f aca="false">A3052&amp;"|"&amp;B3052&amp;"|"&amp;C3052&amp;"|"&amp;D3052&amp;"|"&amp;E3052&amp;"|"&amp;F3052&amp;"|"&amp;G3052&amp;"|"&amp;H3052&amp;"|"&amp;I3052&amp;"|"&amp;J3052&amp;"|"&amp;K3052&amp;"|"&amp;L3052&amp;"|"&amp;M3052&amp;"|"&amp;N3052</f>
        <v>ORD10920|2025-04-26|15:37|C0848|Burger Barn|Delhi|BURGERS|1|195|40|Cash on Delivery|Cancelled||</v>
      </c>
      <c r="P3052" s="7" t="str">
        <f aca="false">IF(COUNTIF($O$2:O3052,O3052)&gt;1,"DUP","OK")</f>
        <v>OK</v>
      </c>
      <c r="Q3052" s="7" t="n">
        <f aca="false">COUNTBLANK(A3052:N3052)</f>
        <v>2</v>
      </c>
      <c r="R3052" s="7" t="n">
        <f aca="false">IF(A3052="",0,COUNTIFS($A$2:$A$3058,A3052,$P$2:$P$3058,"OK"))</f>
        <v>1</v>
      </c>
      <c r="S3052" s="7" t="str">
        <f aca="false">IF(OR(A3052="",P3052="DUP",R3052&lt;2),"",IF(Q3052=_xlfn.MINIFS($Q$2:$Q$3058,$A$2:$A$3058,A3052,$P$2:$P$3058,"OK"),"KEEP","DROP"))</f>
        <v/>
      </c>
      <c r="T3052" s="9" t="n">
        <f aca="false">IF(A3052="",1,0)</f>
        <v>0</v>
      </c>
      <c r="U3052" s="9" t="n">
        <f aca="false">IF(D3052="",1,0)</f>
        <v>0</v>
      </c>
      <c r="V3052" s="9" t="n">
        <f aca="false">IF(E3052="",1,0)</f>
        <v>0</v>
      </c>
      <c r="W3052" s="9" t="n">
        <f aca="false">IF(OR(H3052&lt;1,H3052&gt;10),1,0)</f>
        <v>0</v>
      </c>
      <c r="X3052" s="9" t="n">
        <f aca="false">IF(OR(I3052&lt;=0,I3052&gt;1500),1,0)</f>
        <v>0</v>
      </c>
      <c r="Y3052" s="9" t="n">
        <f aca="false">IF(J3052&gt;H3052*I3052,1,0)</f>
        <v>0</v>
      </c>
      <c r="Z3052" s="9" t="n">
        <f aca="false">IF(AND(N3052&lt;&gt;"",OR(N3052&lt;1,N3052&gt;5)),1,0)</f>
        <v>0</v>
      </c>
      <c r="AA3052" s="9" t="n">
        <f aca="false">IF(AND(M3052&lt;&gt;"",OR(M3052&lt;5,M3052&gt;180)),1,0)</f>
        <v>0</v>
      </c>
      <c r="AB3052" s="7" t="str">
        <f aca="false">IF(P3052="DUP","Exact duplicate row",IF(T3052=1,"Missing Order ID",IF(S3052="DROP","Duplicate Order ID (less complete row)",IF(U3052=1,"Missing Customer ID",IF(V3052=1,"Missing Restaurant name",IF(W3052=1,"Invalid/outlier quantity",IF(X3052=1,"Invalid/outlier unit price",IF(Y3052=1,"Discount greater than order value",""))))))))</f>
        <v/>
      </c>
      <c r="AC3052" s="7" t="str">
        <f aca="false">IF(AB3052="","KEEP","DROP")</f>
        <v>KEEP</v>
      </c>
      <c r="AD3052" s="7" t="str">
        <f aca="false">IF(TRIM(F3052)="",IFERROR(INDEX(Map_Tables!$I$4:$I$37,MATCH(TRIM(E3052),Map_Tables!$G$4:$G$37,0)),""),IFERROR(INDEX(Map_Tables!$B$4:$B$18,MATCH(TRIM(F3052),Map_Tables!$A$4:$A$18,0)),"CHECK"))</f>
        <v>Delhi</v>
      </c>
      <c r="AE3052" s="7" t="str">
        <f aca="false">IF(TRIM(E3052)="","",IFERROR(INDEX(Map_Tables!$H$4:$H$37,MATCH(TRIM(E3052),Map_Tables!$G$4:$G$37,0)),"CHECK"))</f>
        <v>Burger Barn</v>
      </c>
      <c r="AF3052" s="7" t="str">
        <f aca="false">IF(TRIM(K3052)="","Unknown",IFERROR(INDEX(Map_Tables!$E$4:$E$15,MATCH(TRIM(K3052),Map_Tables!$D$4:$D$15,0)),"CHECK"))</f>
        <v>Cash on Delivery</v>
      </c>
      <c r="AG3052" s="7" t="str">
        <f aca="false">IF(LEFT(LOWER(TRIM(L3052)),6)="cancel","Cancelled","Delivered")</f>
        <v>Cancelled</v>
      </c>
      <c r="AH3052" s="10" t="n">
        <f aca="false">IF(ISNUMBER(SEARCH("/",B3052)),DATE(VALUE(RIGHT(B3052,4)),VALUE(MID(B3052,4,2)),VALUE(LEFT(B3052,2))),IF(MID(B3052,5,1)="-",DATE(VALUE(LEFT(B3052,4)),VALUE(MID(B3052,6,2)),VALUE(RIGHT(B3052,2))),DATE(VALUE(RIGHT(B3052,4)),MATCH(MID(B3052,4,3),{"Jan","Feb","Mar","Apr","May","Jun","Jul","Aug","Sep","Oct","Nov","Dec"},0),VALUE(LEFT(B3052,2)))))</f>
        <v>45773</v>
      </c>
    </row>
    <row r="3053" customFormat="false" ht="15" hidden="false" customHeight="false" outlineLevel="0" collapsed="false">
      <c r="A3053" s="7" t="s">
        <v>6162</v>
      </c>
      <c r="B3053" s="7" t="s">
        <v>2050</v>
      </c>
      <c r="C3053" s="7" t="s">
        <v>6163</v>
      </c>
      <c r="D3053" s="7" t="s">
        <v>3433</v>
      </c>
      <c r="E3053" s="7" t="s">
        <v>104</v>
      </c>
      <c r="F3053" s="7" t="s">
        <v>86</v>
      </c>
      <c r="G3053" s="7" t="s">
        <v>105</v>
      </c>
      <c r="H3053" s="7" t="n">
        <v>3</v>
      </c>
      <c r="I3053" s="7" t="n">
        <v>255</v>
      </c>
      <c r="J3053" s="7" t="n">
        <v>0</v>
      </c>
      <c r="K3053" s="7" t="s">
        <v>87</v>
      </c>
      <c r="L3053" s="7" t="s">
        <v>194</v>
      </c>
      <c r="M3053" s="7" t="n">
        <v>32</v>
      </c>
      <c r="N3053" s="7" t="n">
        <v>4</v>
      </c>
      <c r="O3053" s="7" t="str">
        <f aca="false">A3053&amp;"|"&amp;B3053&amp;"|"&amp;C3053&amp;"|"&amp;D3053&amp;"|"&amp;E3053&amp;"|"&amp;F3053&amp;"|"&amp;G3053&amp;"|"&amp;H3053&amp;"|"&amp;I3053&amp;"|"&amp;J3053&amp;"|"&amp;K3053&amp;"|"&amp;L3053&amp;"|"&amp;M3053&amp;"|"&amp;N3053</f>
        <v>ORD10212|2025-01-29|09:48|C1479|Wok &amp; Roll|Bengaluru|Chinese|3|255|0|upi|Delivered|32|4</v>
      </c>
      <c r="P3053" s="7" t="str">
        <f aca="false">IF(COUNTIF($O$2:O3053,O3053)&gt;1,"DUP","OK")</f>
        <v>OK</v>
      </c>
      <c r="Q3053" s="7" t="n">
        <f aca="false">COUNTBLANK(A3053:N3053)</f>
        <v>0</v>
      </c>
      <c r="R3053" s="7" t="n">
        <f aca="false">IF(A3053="",0,COUNTIFS($A$2:$A$3058,A3053,$P$2:$P$3058,"OK"))</f>
        <v>1</v>
      </c>
      <c r="S3053" s="7" t="str">
        <f aca="false">IF(OR(A3053="",P3053="DUP",R3053&lt;2),"",IF(Q3053=_xlfn.MINIFS($Q$2:$Q$3058,$A$2:$A$3058,A3053,$P$2:$P$3058,"OK"),"KEEP","DROP"))</f>
        <v/>
      </c>
      <c r="T3053" s="9" t="n">
        <f aca="false">IF(A3053="",1,0)</f>
        <v>0</v>
      </c>
      <c r="U3053" s="9" t="n">
        <f aca="false">IF(D3053="",1,0)</f>
        <v>0</v>
      </c>
      <c r="V3053" s="9" t="n">
        <f aca="false">IF(E3053="",1,0)</f>
        <v>0</v>
      </c>
      <c r="W3053" s="9" t="n">
        <f aca="false">IF(OR(H3053&lt;1,H3053&gt;10),1,0)</f>
        <v>0</v>
      </c>
      <c r="X3053" s="9" t="n">
        <f aca="false">IF(OR(I3053&lt;=0,I3053&gt;1500),1,0)</f>
        <v>0</v>
      </c>
      <c r="Y3053" s="9" t="n">
        <f aca="false">IF(J3053&gt;H3053*I3053,1,0)</f>
        <v>0</v>
      </c>
      <c r="Z3053" s="9" t="n">
        <f aca="false">IF(AND(N3053&lt;&gt;"",OR(N3053&lt;1,N3053&gt;5)),1,0)</f>
        <v>0</v>
      </c>
      <c r="AA3053" s="9" t="n">
        <f aca="false">IF(AND(M3053&lt;&gt;"",OR(M3053&lt;5,M3053&gt;180)),1,0)</f>
        <v>0</v>
      </c>
      <c r="AB3053" s="7" t="str">
        <f aca="false">IF(P3053="DUP","Exact duplicate row",IF(T3053=1,"Missing Order ID",IF(S3053="DROP","Duplicate Order ID (less complete row)",IF(U3053=1,"Missing Customer ID",IF(V3053=1,"Missing Restaurant name",IF(W3053=1,"Invalid/outlier quantity",IF(X3053=1,"Invalid/outlier unit price",IF(Y3053=1,"Discount greater than order value",""))))))))</f>
        <v/>
      </c>
      <c r="AC3053" s="7" t="str">
        <f aca="false">IF(AB3053="","KEEP","DROP")</f>
        <v>KEEP</v>
      </c>
      <c r="AD3053" s="7" t="str">
        <f aca="false">IF(TRIM(F3053)="",IFERROR(INDEX(Map_Tables!$I$4:$I$37,MATCH(TRIM(E3053),Map_Tables!$G$4:$G$37,0)),""),IFERROR(INDEX(Map_Tables!$B$4:$B$18,MATCH(TRIM(F3053),Map_Tables!$A$4:$A$18,0)),"CHECK"))</f>
        <v>Bengaluru</v>
      </c>
      <c r="AE3053" s="7" t="str">
        <f aca="false">IF(TRIM(E3053)="","",IFERROR(INDEX(Map_Tables!$H$4:$H$37,MATCH(TRIM(E3053),Map_Tables!$G$4:$G$37,0)),"CHECK"))</f>
        <v>Wok &amp; Roll</v>
      </c>
      <c r="AF3053" s="7" t="str">
        <f aca="false">IF(TRIM(K3053)="","Unknown",IFERROR(INDEX(Map_Tables!$E$4:$E$15,MATCH(TRIM(K3053),Map_Tables!$D$4:$D$15,0)),"CHECK"))</f>
        <v>UPI</v>
      </c>
      <c r="AG3053" s="7" t="str">
        <f aca="false">IF(LEFT(LOWER(TRIM(L3053)),6)="cancel","Cancelled","Delivered")</f>
        <v>Delivered</v>
      </c>
      <c r="AH3053" s="10" t="n">
        <f aca="false">IF(ISNUMBER(SEARCH("/",B3053)),DATE(VALUE(RIGHT(B3053,4)),VALUE(MID(B3053,4,2)),VALUE(LEFT(B3053,2))),IF(MID(B3053,5,1)="-",DATE(VALUE(LEFT(B3053,4)),VALUE(MID(B3053,6,2)),VALUE(RIGHT(B3053,2))),DATE(VALUE(RIGHT(B3053,4)),MATCH(MID(B3053,4,3),{"Jan","Feb","Mar","Apr","May","Jun","Jul","Aug","Sep","Oct","Nov","Dec"},0),VALUE(LEFT(B3053,2)))))</f>
        <v>45686</v>
      </c>
    </row>
    <row r="3054" customFormat="false" ht="15" hidden="false" customHeight="false" outlineLevel="0" collapsed="false">
      <c r="A3054" s="7" t="s">
        <v>6164</v>
      </c>
      <c r="B3054" s="7" t="s">
        <v>3619</v>
      </c>
      <c r="C3054" s="7" t="s">
        <v>1562</v>
      </c>
      <c r="D3054" s="7" t="s">
        <v>2411</v>
      </c>
      <c r="E3054" s="7" t="s">
        <v>151</v>
      </c>
      <c r="F3054" s="7" t="s">
        <v>702</v>
      </c>
      <c r="G3054" s="7" t="s">
        <v>95</v>
      </c>
      <c r="H3054" s="7" t="n">
        <v>1</v>
      </c>
      <c r="I3054" s="7" t="n">
        <v>245</v>
      </c>
      <c r="J3054" s="7" t="n">
        <v>0</v>
      </c>
      <c r="K3054" s="7" t="s">
        <v>88</v>
      </c>
      <c r="L3054" s="7" t="s">
        <v>194</v>
      </c>
      <c r="M3054" s="7" t="n">
        <v>32</v>
      </c>
      <c r="N3054" s="7"/>
      <c r="O3054" s="7" t="str">
        <f aca="false">A3054&amp;"|"&amp;B3054&amp;"|"&amp;C3054&amp;"|"&amp;D3054&amp;"|"&amp;E3054&amp;"|"&amp;F3054&amp;"|"&amp;G3054&amp;"|"&amp;H3054&amp;"|"&amp;I3054&amp;"|"&amp;J3054&amp;"|"&amp;K3054&amp;"|"&amp;L3054&amp;"|"&amp;M3054&amp;"|"&amp;N3054</f>
        <v>ORD11604|2025-07-28|20:07|C0477|Chettinad House|CHENNAI |South Indian|1|245|0|UPI|Delivered|32|</v>
      </c>
      <c r="P3054" s="7" t="str">
        <f aca="false">IF(COUNTIF($O$2:O3054,O3054)&gt;1,"DUP","OK")</f>
        <v>OK</v>
      </c>
      <c r="Q3054" s="7" t="n">
        <f aca="false">COUNTBLANK(A3054:N3054)</f>
        <v>1</v>
      </c>
      <c r="R3054" s="7" t="n">
        <f aca="false">IF(A3054="",0,COUNTIFS($A$2:$A$3058,A3054,$P$2:$P$3058,"OK"))</f>
        <v>1</v>
      </c>
      <c r="S3054" s="7" t="str">
        <f aca="false">IF(OR(A3054="",P3054="DUP",R3054&lt;2),"",IF(Q3054=_xlfn.MINIFS($Q$2:$Q$3058,$A$2:$A$3058,A3054,$P$2:$P$3058,"OK"),"KEEP","DROP"))</f>
        <v/>
      </c>
      <c r="T3054" s="9" t="n">
        <f aca="false">IF(A3054="",1,0)</f>
        <v>0</v>
      </c>
      <c r="U3054" s="9" t="n">
        <f aca="false">IF(D3054="",1,0)</f>
        <v>0</v>
      </c>
      <c r="V3054" s="9" t="n">
        <f aca="false">IF(E3054="",1,0)</f>
        <v>0</v>
      </c>
      <c r="W3054" s="9" t="n">
        <f aca="false">IF(OR(H3054&lt;1,H3054&gt;10),1,0)</f>
        <v>0</v>
      </c>
      <c r="X3054" s="9" t="n">
        <f aca="false">IF(OR(I3054&lt;=0,I3054&gt;1500),1,0)</f>
        <v>0</v>
      </c>
      <c r="Y3054" s="9" t="n">
        <f aca="false">IF(J3054&gt;H3054*I3054,1,0)</f>
        <v>0</v>
      </c>
      <c r="Z3054" s="9" t="n">
        <f aca="false">IF(AND(N3054&lt;&gt;"",OR(N3054&lt;1,N3054&gt;5)),1,0)</f>
        <v>0</v>
      </c>
      <c r="AA3054" s="9" t="n">
        <f aca="false">IF(AND(M3054&lt;&gt;"",OR(M3054&lt;5,M3054&gt;180)),1,0)</f>
        <v>0</v>
      </c>
      <c r="AB3054" s="7" t="str">
        <f aca="false">IF(P3054="DUP","Exact duplicate row",IF(T3054=1,"Missing Order ID",IF(S3054="DROP","Duplicate Order ID (less complete row)",IF(U3054=1,"Missing Customer ID",IF(V3054=1,"Missing Restaurant name",IF(W3054=1,"Invalid/outlier quantity",IF(X3054=1,"Invalid/outlier unit price",IF(Y3054=1,"Discount greater than order value",""))))))))</f>
        <v/>
      </c>
      <c r="AC3054" s="7" t="str">
        <f aca="false">IF(AB3054="","KEEP","DROP")</f>
        <v>KEEP</v>
      </c>
      <c r="AD3054" s="7" t="str">
        <f aca="false">IF(TRIM(F3054)="",IFERROR(INDEX(Map_Tables!$I$4:$I$37,MATCH(TRIM(E3054),Map_Tables!$G$4:$G$37,0)),""),IFERROR(INDEX(Map_Tables!$B$4:$B$18,MATCH(TRIM(F3054),Map_Tables!$A$4:$A$18,0)),"CHECK"))</f>
        <v>Chennai</v>
      </c>
      <c r="AE3054" s="7" t="str">
        <f aca="false">IF(TRIM(E3054)="","",IFERROR(INDEX(Map_Tables!$H$4:$H$37,MATCH(TRIM(E3054),Map_Tables!$G$4:$G$37,0)),"CHECK"))</f>
        <v>Chettinad House</v>
      </c>
      <c r="AF3054" s="7" t="str">
        <f aca="false">IF(TRIM(K3054)="","Unknown",IFERROR(INDEX(Map_Tables!$E$4:$E$15,MATCH(TRIM(K3054),Map_Tables!$D$4:$D$15,0)),"CHECK"))</f>
        <v>UPI</v>
      </c>
      <c r="AG3054" s="7" t="str">
        <f aca="false">IF(LEFT(LOWER(TRIM(L3054)),6)="cancel","Cancelled","Delivered")</f>
        <v>Delivered</v>
      </c>
      <c r="AH3054" s="10" t="n">
        <f aca="false">IF(ISNUMBER(SEARCH("/",B3054)),DATE(VALUE(RIGHT(B3054,4)),VALUE(MID(B3054,4,2)),VALUE(LEFT(B3054,2))),IF(MID(B3054,5,1)="-",DATE(VALUE(LEFT(B3054,4)),VALUE(MID(B3054,6,2)),VALUE(RIGHT(B3054,2))),DATE(VALUE(RIGHT(B3054,4)),MATCH(MID(B3054,4,3),{"Jan","Feb","Mar","Apr","May","Jun","Jul","Aug","Sep","Oct","Nov","Dec"},0),VALUE(LEFT(B3054,2)))))</f>
        <v>45866</v>
      </c>
    </row>
    <row r="3055" customFormat="false" ht="15" hidden="false" customHeight="false" outlineLevel="0" collapsed="false">
      <c r="A3055" s="7" t="s">
        <v>6165</v>
      </c>
      <c r="B3055" s="7" t="s">
        <v>1600</v>
      </c>
      <c r="C3055" s="7" t="s">
        <v>1795</v>
      </c>
      <c r="D3055" s="7" t="s">
        <v>2258</v>
      </c>
      <c r="E3055" s="7" t="s">
        <v>138</v>
      </c>
      <c r="F3055" s="7" t="s">
        <v>110</v>
      </c>
      <c r="G3055" s="7" t="s">
        <v>139</v>
      </c>
      <c r="H3055" s="7" t="n">
        <v>2</v>
      </c>
      <c r="I3055" s="7" t="n">
        <v>190</v>
      </c>
      <c r="J3055" s="7" t="n">
        <v>0</v>
      </c>
      <c r="K3055" s="7" t="s">
        <v>112</v>
      </c>
      <c r="L3055" s="7" t="s">
        <v>194</v>
      </c>
      <c r="M3055" s="7" t="n">
        <v>44</v>
      </c>
      <c r="N3055" s="7" t="n">
        <v>5</v>
      </c>
      <c r="O3055" s="7" t="str">
        <f aca="false">A3055&amp;"|"&amp;B3055&amp;"|"&amp;C3055&amp;"|"&amp;D3055&amp;"|"&amp;E3055&amp;"|"&amp;F3055&amp;"|"&amp;G3055&amp;"|"&amp;H3055&amp;"|"&amp;I3055&amp;"|"&amp;J3055&amp;"|"&amp;K3055&amp;"|"&amp;L3055&amp;"|"&amp;M3055&amp;"|"&amp;N3055</f>
        <v>ORD12551|14/11/2025|12:33|C0895|Burger Barn|Delhi|Burgers|2|190|0|Cash on Delivery|Delivered|44|5</v>
      </c>
      <c r="P3055" s="7" t="str">
        <f aca="false">IF(COUNTIF($O$2:O3055,O3055)&gt;1,"DUP","OK")</f>
        <v>OK</v>
      </c>
      <c r="Q3055" s="7" t="n">
        <f aca="false">COUNTBLANK(A3055:N3055)</f>
        <v>0</v>
      </c>
      <c r="R3055" s="7" t="n">
        <f aca="false">IF(A3055="",0,COUNTIFS($A$2:$A$3058,A3055,$P$2:$P$3058,"OK"))</f>
        <v>1</v>
      </c>
      <c r="S3055" s="7" t="str">
        <f aca="false">IF(OR(A3055="",P3055="DUP",R3055&lt;2),"",IF(Q3055=_xlfn.MINIFS($Q$2:$Q$3058,$A$2:$A$3058,A3055,$P$2:$P$3058,"OK"),"KEEP","DROP"))</f>
        <v/>
      </c>
      <c r="T3055" s="9" t="n">
        <f aca="false">IF(A3055="",1,0)</f>
        <v>0</v>
      </c>
      <c r="U3055" s="9" t="n">
        <f aca="false">IF(D3055="",1,0)</f>
        <v>0</v>
      </c>
      <c r="V3055" s="9" t="n">
        <f aca="false">IF(E3055="",1,0)</f>
        <v>0</v>
      </c>
      <c r="W3055" s="9" t="n">
        <f aca="false">IF(OR(H3055&lt;1,H3055&gt;10),1,0)</f>
        <v>0</v>
      </c>
      <c r="X3055" s="9" t="n">
        <f aca="false">IF(OR(I3055&lt;=0,I3055&gt;1500),1,0)</f>
        <v>0</v>
      </c>
      <c r="Y3055" s="9" t="n">
        <f aca="false">IF(J3055&gt;H3055*I3055,1,0)</f>
        <v>0</v>
      </c>
      <c r="Z3055" s="9" t="n">
        <f aca="false">IF(AND(N3055&lt;&gt;"",OR(N3055&lt;1,N3055&gt;5)),1,0)</f>
        <v>0</v>
      </c>
      <c r="AA3055" s="9" t="n">
        <f aca="false">IF(AND(M3055&lt;&gt;"",OR(M3055&lt;5,M3055&gt;180)),1,0)</f>
        <v>0</v>
      </c>
      <c r="AB3055" s="7" t="str">
        <f aca="false">IF(P3055="DUP","Exact duplicate row",IF(T3055=1,"Missing Order ID",IF(S3055="DROP","Duplicate Order ID (less complete row)",IF(U3055=1,"Missing Customer ID",IF(V3055=1,"Missing Restaurant name",IF(W3055=1,"Invalid/outlier quantity",IF(X3055=1,"Invalid/outlier unit price",IF(Y3055=1,"Discount greater than order value",""))))))))</f>
        <v/>
      </c>
      <c r="AC3055" s="7" t="str">
        <f aca="false">IF(AB3055="","KEEP","DROP")</f>
        <v>KEEP</v>
      </c>
      <c r="AD3055" s="7" t="str">
        <f aca="false">IF(TRIM(F3055)="",IFERROR(INDEX(Map_Tables!$I$4:$I$37,MATCH(TRIM(E3055),Map_Tables!$G$4:$G$37,0)),""),IFERROR(INDEX(Map_Tables!$B$4:$B$18,MATCH(TRIM(F3055),Map_Tables!$A$4:$A$18,0)),"CHECK"))</f>
        <v>Delhi</v>
      </c>
      <c r="AE3055" s="7" t="str">
        <f aca="false">IF(TRIM(E3055)="","",IFERROR(INDEX(Map_Tables!$H$4:$H$37,MATCH(TRIM(E3055),Map_Tables!$G$4:$G$37,0)),"CHECK"))</f>
        <v>Burger Barn</v>
      </c>
      <c r="AF3055" s="7" t="str">
        <f aca="false">IF(TRIM(K3055)="","Unknown",IFERROR(INDEX(Map_Tables!$E$4:$E$15,MATCH(TRIM(K3055),Map_Tables!$D$4:$D$15,0)),"CHECK"))</f>
        <v>Cash on Delivery</v>
      </c>
      <c r="AG3055" s="7" t="str">
        <f aca="false">IF(LEFT(LOWER(TRIM(L3055)),6)="cancel","Cancelled","Delivered")</f>
        <v>Delivered</v>
      </c>
      <c r="AH3055" s="10" t="n">
        <f aca="false">IF(ISNUMBER(SEARCH("/",B3055)),DATE(VALUE(RIGHT(B3055,4)),VALUE(MID(B3055,4,2)),VALUE(LEFT(B3055,2))),IF(MID(B3055,5,1)="-",DATE(VALUE(LEFT(B3055,4)),VALUE(MID(B3055,6,2)),VALUE(RIGHT(B3055,2))),DATE(VALUE(RIGHT(B3055,4)),MATCH(MID(B3055,4,3),{"Jan","Feb","Mar","Apr","May","Jun","Jul","Aug","Sep","Oct","Nov","Dec"},0),VALUE(LEFT(B3055,2)))))</f>
        <v>45975</v>
      </c>
    </row>
    <row r="3056" customFormat="false" ht="15" hidden="false" customHeight="false" outlineLevel="0" collapsed="false">
      <c r="A3056" s="7" t="s">
        <v>6166</v>
      </c>
      <c r="B3056" s="7" t="s">
        <v>1150</v>
      </c>
      <c r="C3056" s="7" t="s">
        <v>5274</v>
      </c>
      <c r="D3056" s="7" t="s">
        <v>936</v>
      </c>
      <c r="E3056" s="7" t="s">
        <v>104</v>
      </c>
      <c r="F3056" s="7" t="s">
        <v>86</v>
      </c>
      <c r="G3056" s="7" t="s">
        <v>105</v>
      </c>
      <c r="H3056" s="7" t="n">
        <v>3</v>
      </c>
      <c r="I3056" s="7" t="n">
        <v>245</v>
      </c>
      <c r="J3056" s="7" t="n">
        <v>75</v>
      </c>
      <c r="K3056" s="7" t="s">
        <v>88</v>
      </c>
      <c r="L3056" s="7" t="s">
        <v>194</v>
      </c>
      <c r="M3056" s="7" t="n">
        <v>32</v>
      </c>
      <c r="N3056" s="7" t="n">
        <v>5</v>
      </c>
      <c r="O3056" s="7" t="str">
        <f aca="false">A3056&amp;"|"&amp;B3056&amp;"|"&amp;C3056&amp;"|"&amp;D3056&amp;"|"&amp;E3056&amp;"|"&amp;F3056&amp;"|"&amp;G3056&amp;"|"&amp;H3056&amp;"|"&amp;I3056&amp;"|"&amp;J3056&amp;"|"&amp;K3056&amp;"|"&amp;L3056&amp;"|"&amp;M3056&amp;"|"&amp;N3056</f>
        <v>ORD10538|2025-03-10|14:34|C0601|Wok &amp; Roll|Bengaluru|Chinese|3|245|75|UPI|Delivered|32|5</v>
      </c>
      <c r="P3056" s="7" t="str">
        <f aca="false">IF(COUNTIF($O$2:O3056,O3056)&gt;1,"DUP","OK")</f>
        <v>OK</v>
      </c>
      <c r="Q3056" s="7" t="n">
        <f aca="false">COUNTBLANK(A3056:N3056)</f>
        <v>0</v>
      </c>
      <c r="R3056" s="7" t="n">
        <f aca="false">IF(A3056="",0,COUNTIFS($A$2:$A$3058,A3056,$P$2:$P$3058,"OK"))</f>
        <v>1</v>
      </c>
      <c r="S3056" s="7" t="str">
        <f aca="false">IF(OR(A3056="",P3056="DUP",R3056&lt;2),"",IF(Q3056=_xlfn.MINIFS($Q$2:$Q$3058,$A$2:$A$3058,A3056,$P$2:$P$3058,"OK"),"KEEP","DROP"))</f>
        <v/>
      </c>
      <c r="T3056" s="9" t="n">
        <f aca="false">IF(A3056="",1,0)</f>
        <v>0</v>
      </c>
      <c r="U3056" s="9" t="n">
        <f aca="false">IF(D3056="",1,0)</f>
        <v>0</v>
      </c>
      <c r="V3056" s="9" t="n">
        <f aca="false">IF(E3056="",1,0)</f>
        <v>0</v>
      </c>
      <c r="W3056" s="9" t="n">
        <f aca="false">IF(OR(H3056&lt;1,H3056&gt;10),1,0)</f>
        <v>0</v>
      </c>
      <c r="X3056" s="9" t="n">
        <f aca="false">IF(OR(I3056&lt;=0,I3056&gt;1500),1,0)</f>
        <v>0</v>
      </c>
      <c r="Y3056" s="9" t="n">
        <f aca="false">IF(J3056&gt;H3056*I3056,1,0)</f>
        <v>0</v>
      </c>
      <c r="Z3056" s="9" t="n">
        <f aca="false">IF(AND(N3056&lt;&gt;"",OR(N3056&lt;1,N3056&gt;5)),1,0)</f>
        <v>0</v>
      </c>
      <c r="AA3056" s="9" t="n">
        <f aca="false">IF(AND(M3056&lt;&gt;"",OR(M3056&lt;5,M3056&gt;180)),1,0)</f>
        <v>0</v>
      </c>
      <c r="AB3056" s="7" t="str">
        <f aca="false">IF(P3056="DUP","Exact duplicate row",IF(T3056=1,"Missing Order ID",IF(S3056="DROP","Duplicate Order ID (less complete row)",IF(U3056=1,"Missing Customer ID",IF(V3056=1,"Missing Restaurant name",IF(W3056=1,"Invalid/outlier quantity",IF(X3056=1,"Invalid/outlier unit price",IF(Y3056=1,"Discount greater than order value",""))))))))</f>
        <v/>
      </c>
      <c r="AC3056" s="7" t="str">
        <f aca="false">IF(AB3056="","KEEP","DROP")</f>
        <v>KEEP</v>
      </c>
      <c r="AD3056" s="7" t="str">
        <f aca="false">IF(TRIM(F3056)="",IFERROR(INDEX(Map_Tables!$I$4:$I$37,MATCH(TRIM(E3056),Map_Tables!$G$4:$G$37,0)),""),IFERROR(INDEX(Map_Tables!$B$4:$B$18,MATCH(TRIM(F3056),Map_Tables!$A$4:$A$18,0)),"CHECK"))</f>
        <v>Bengaluru</v>
      </c>
      <c r="AE3056" s="7" t="str">
        <f aca="false">IF(TRIM(E3056)="","",IFERROR(INDEX(Map_Tables!$H$4:$H$37,MATCH(TRIM(E3056),Map_Tables!$G$4:$G$37,0)),"CHECK"))</f>
        <v>Wok &amp; Roll</v>
      </c>
      <c r="AF3056" s="7" t="str">
        <f aca="false">IF(TRIM(K3056)="","Unknown",IFERROR(INDEX(Map_Tables!$E$4:$E$15,MATCH(TRIM(K3056),Map_Tables!$D$4:$D$15,0)),"CHECK"))</f>
        <v>UPI</v>
      </c>
      <c r="AG3056" s="7" t="str">
        <f aca="false">IF(LEFT(LOWER(TRIM(L3056)),6)="cancel","Cancelled","Delivered")</f>
        <v>Delivered</v>
      </c>
      <c r="AH3056" s="10" t="n">
        <f aca="false">IF(ISNUMBER(SEARCH("/",B3056)),DATE(VALUE(RIGHT(B3056,4)),VALUE(MID(B3056,4,2)),VALUE(LEFT(B3056,2))),IF(MID(B3056,5,1)="-",DATE(VALUE(LEFT(B3056,4)),VALUE(MID(B3056,6,2)),VALUE(RIGHT(B3056,2))),DATE(VALUE(RIGHT(B3056,4)),MATCH(MID(B3056,4,3),{"Jan","Feb","Mar","Apr","May","Jun","Jul","Aug","Sep","Oct","Nov","Dec"},0),VALUE(LEFT(B3056,2)))))</f>
        <v>45726</v>
      </c>
    </row>
    <row r="3057" customFormat="false" ht="15" hidden="false" customHeight="false" outlineLevel="0" collapsed="false">
      <c r="A3057" s="7" t="s">
        <v>6167</v>
      </c>
      <c r="B3057" s="7" t="s">
        <v>968</v>
      </c>
      <c r="C3057" s="7" t="s">
        <v>5846</v>
      </c>
      <c r="D3057" s="7" t="s">
        <v>5730</v>
      </c>
      <c r="E3057" s="7" t="s">
        <v>138</v>
      </c>
      <c r="F3057" s="7" t="s">
        <v>110</v>
      </c>
      <c r="G3057" s="7" t="s">
        <v>139</v>
      </c>
      <c r="H3057" s="7" t="n">
        <v>0</v>
      </c>
      <c r="I3057" s="7" t="n">
        <v>165</v>
      </c>
      <c r="J3057" s="7" t="n">
        <v>0</v>
      </c>
      <c r="K3057" s="7" t="s">
        <v>88</v>
      </c>
      <c r="L3057" s="7" t="s">
        <v>194</v>
      </c>
      <c r="M3057" s="7" t="n">
        <v>36</v>
      </c>
      <c r="N3057" s="7" t="n">
        <v>4</v>
      </c>
      <c r="O3057" s="7" t="str">
        <f aca="false">A3057&amp;"|"&amp;B3057&amp;"|"&amp;C3057&amp;"|"&amp;D3057&amp;"|"&amp;E3057&amp;"|"&amp;F3057&amp;"|"&amp;G3057&amp;"|"&amp;H3057&amp;"|"&amp;I3057&amp;"|"&amp;J3057&amp;"|"&amp;K3057&amp;"|"&amp;L3057&amp;"|"&amp;M3057&amp;"|"&amp;N3057</f>
        <v>ORD11221|2025-06-04|01:41|C0738|Burger Barn|Delhi|Burgers|0|165|0|UPI|Delivered|36|4</v>
      </c>
      <c r="P3057" s="7" t="str">
        <f aca="false">IF(COUNTIF($O$2:O3057,O3057)&gt;1,"DUP","OK")</f>
        <v>OK</v>
      </c>
      <c r="Q3057" s="7" t="n">
        <f aca="false">COUNTBLANK(A3057:N3057)</f>
        <v>0</v>
      </c>
      <c r="R3057" s="7" t="n">
        <f aca="false">IF(A3057="",0,COUNTIFS($A$2:$A$3058,A3057,$P$2:$P$3058,"OK"))</f>
        <v>1</v>
      </c>
      <c r="S3057" s="7" t="str">
        <f aca="false">IF(OR(A3057="",P3057="DUP",R3057&lt;2),"",IF(Q3057=_xlfn.MINIFS($Q$2:$Q$3058,$A$2:$A$3058,A3057,$P$2:$P$3058,"OK"),"KEEP","DROP"))</f>
        <v/>
      </c>
      <c r="T3057" s="9" t="n">
        <f aca="false">IF(A3057="",1,0)</f>
        <v>0</v>
      </c>
      <c r="U3057" s="9" t="n">
        <f aca="false">IF(D3057="",1,0)</f>
        <v>0</v>
      </c>
      <c r="V3057" s="9" t="n">
        <f aca="false">IF(E3057="",1,0)</f>
        <v>0</v>
      </c>
      <c r="W3057" s="9" t="n">
        <f aca="false">IF(OR(H3057&lt;1,H3057&gt;10),1,0)</f>
        <v>1</v>
      </c>
      <c r="X3057" s="9" t="n">
        <f aca="false">IF(OR(I3057&lt;=0,I3057&gt;1500),1,0)</f>
        <v>0</v>
      </c>
      <c r="Y3057" s="9" t="n">
        <f aca="false">IF(J3057&gt;H3057*I3057,1,0)</f>
        <v>0</v>
      </c>
      <c r="Z3057" s="9" t="n">
        <f aca="false">IF(AND(N3057&lt;&gt;"",OR(N3057&lt;1,N3057&gt;5)),1,0)</f>
        <v>0</v>
      </c>
      <c r="AA3057" s="9" t="n">
        <f aca="false">IF(AND(M3057&lt;&gt;"",OR(M3057&lt;5,M3057&gt;180)),1,0)</f>
        <v>0</v>
      </c>
      <c r="AB3057" s="7" t="str">
        <f aca="false">IF(P3057="DUP","Exact duplicate row",IF(T3057=1,"Missing Order ID",IF(S3057="DROP","Duplicate Order ID (less complete row)",IF(U3057=1,"Missing Customer ID",IF(V3057=1,"Missing Restaurant name",IF(W3057=1,"Invalid/outlier quantity",IF(X3057=1,"Invalid/outlier unit price",IF(Y3057=1,"Discount greater than order value",""))))))))</f>
        <v>Invalid/outlier quantity</v>
      </c>
      <c r="AC3057" s="7" t="str">
        <f aca="false">IF(AB3057="","KEEP","DROP")</f>
        <v>DROP</v>
      </c>
      <c r="AD3057" s="7" t="str">
        <f aca="false">IF(TRIM(F3057)="",IFERROR(INDEX(Map_Tables!$I$4:$I$37,MATCH(TRIM(E3057),Map_Tables!$G$4:$G$37,0)),""),IFERROR(INDEX(Map_Tables!$B$4:$B$18,MATCH(TRIM(F3057),Map_Tables!$A$4:$A$18,0)),"CHECK"))</f>
        <v>Delhi</v>
      </c>
      <c r="AE3057" s="7" t="str">
        <f aca="false">IF(TRIM(E3057)="","",IFERROR(INDEX(Map_Tables!$H$4:$H$37,MATCH(TRIM(E3057),Map_Tables!$G$4:$G$37,0)),"CHECK"))</f>
        <v>Burger Barn</v>
      </c>
      <c r="AF3057" s="7" t="str">
        <f aca="false">IF(TRIM(K3057)="","Unknown",IFERROR(INDEX(Map_Tables!$E$4:$E$15,MATCH(TRIM(K3057),Map_Tables!$D$4:$D$15,0)),"CHECK"))</f>
        <v>UPI</v>
      </c>
      <c r="AG3057" s="7" t="str">
        <f aca="false">IF(LEFT(LOWER(TRIM(L3057)),6)="cancel","Cancelled","Delivered")</f>
        <v>Delivered</v>
      </c>
      <c r="AH3057" s="10" t="n">
        <f aca="false">IF(ISNUMBER(SEARCH("/",B3057)),DATE(VALUE(RIGHT(B3057,4)),VALUE(MID(B3057,4,2)),VALUE(LEFT(B3057,2))),IF(MID(B3057,5,1)="-",DATE(VALUE(LEFT(B3057,4)),VALUE(MID(B3057,6,2)),VALUE(RIGHT(B3057,2))),DATE(VALUE(RIGHT(B3057,4)),MATCH(MID(B3057,4,3),{"Jan","Feb","Mar","Apr","May","Jun","Jul","Aug","Sep","Oct","Nov","Dec"},0),VALUE(LEFT(B3057,2)))))</f>
        <v>45812</v>
      </c>
    </row>
    <row r="3058" customFormat="false" ht="15" hidden="false" customHeight="false" outlineLevel="0" collapsed="false">
      <c r="A3058" s="7" t="s">
        <v>6168</v>
      </c>
      <c r="B3058" s="7" t="s">
        <v>912</v>
      </c>
      <c r="C3058" s="7" t="s">
        <v>1565</v>
      </c>
      <c r="D3058" s="7" t="s">
        <v>6169</v>
      </c>
      <c r="E3058" s="7" t="s">
        <v>160</v>
      </c>
      <c r="F3058" s="7" t="s">
        <v>136</v>
      </c>
      <c r="G3058" s="7" t="s">
        <v>150</v>
      </c>
      <c r="H3058" s="7" t="n">
        <v>2</v>
      </c>
      <c r="I3058" s="7" t="n">
        <v>180</v>
      </c>
      <c r="J3058" s="7" t="n">
        <v>0</v>
      </c>
      <c r="K3058" s="7" t="s">
        <v>88</v>
      </c>
      <c r="L3058" s="7" t="s">
        <v>238</v>
      </c>
      <c r="M3058" s="7"/>
      <c r="N3058" s="7"/>
      <c r="O3058" s="7" t="str">
        <f aca="false">A3058&amp;"|"&amp;B3058&amp;"|"&amp;C3058&amp;"|"&amp;D3058&amp;"|"&amp;E3058&amp;"|"&amp;F3058&amp;"|"&amp;G3058&amp;"|"&amp;H3058&amp;"|"&amp;I3058&amp;"|"&amp;J3058&amp;"|"&amp;K3058&amp;"|"&amp;L3058&amp;"|"&amp;M3058&amp;"|"&amp;N3058</f>
        <v>ORD10176|2025-01-23|21:30|C0354|Cake Walk|Pune|Desserts|2|180|0|UPI|Cancelled||</v>
      </c>
      <c r="P3058" s="7" t="str">
        <f aca="false">IF(COUNTIF($O$2:O3058,O3058)&gt;1,"DUP","OK")</f>
        <v>OK</v>
      </c>
      <c r="Q3058" s="7" t="n">
        <f aca="false">COUNTBLANK(A3058:N3058)</f>
        <v>2</v>
      </c>
      <c r="R3058" s="7" t="n">
        <f aca="false">IF(A3058="",0,COUNTIFS($A$2:$A$3058,A3058,$P$2:$P$3058,"OK"))</f>
        <v>1</v>
      </c>
      <c r="S3058" s="7" t="str">
        <f aca="false">IF(OR(A3058="",P3058="DUP",R3058&lt;2),"",IF(Q3058=_xlfn.MINIFS($Q$2:$Q$3058,$A$2:$A$3058,A3058,$P$2:$P$3058,"OK"),"KEEP","DROP"))</f>
        <v/>
      </c>
      <c r="T3058" s="9" t="n">
        <f aca="false">IF(A3058="",1,0)</f>
        <v>0</v>
      </c>
      <c r="U3058" s="9" t="n">
        <f aca="false">IF(D3058="",1,0)</f>
        <v>0</v>
      </c>
      <c r="V3058" s="9" t="n">
        <f aca="false">IF(E3058="",1,0)</f>
        <v>0</v>
      </c>
      <c r="W3058" s="9" t="n">
        <f aca="false">IF(OR(H3058&lt;1,H3058&gt;10),1,0)</f>
        <v>0</v>
      </c>
      <c r="X3058" s="9" t="n">
        <f aca="false">IF(OR(I3058&lt;=0,I3058&gt;1500),1,0)</f>
        <v>0</v>
      </c>
      <c r="Y3058" s="9" t="n">
        <f aca="false">IF(J3058&gt;H3058*I3058,1,0)</f>
        <v>0</v>
      </c>
      <c r="Z3058" s="9" t="n">
        <f aca="false">IF(AND(N3058&lt;&gt;"",OR(N3058&lt;1,N3058&gt;5)),1,0)</f>
        <v>0</v>
      </c>
      <c r="AA3058" s="9" t="n">
        <f aca="false">IF(AND(M3058&lt;&gt;"",OR(M3058&lt;5,M3058&gt;180)),1,0)</f>
        <v>0</v>
      </c>
      <c r="AB3058" s="7" t="str">
        <f aca="false">IF(P3058="DUP","Exact duplicate row",IF(T3058=1,"Missing Order ID",IF(S3058="DROP","Duplicate Order ID (less complete row)",IF(U3058=1,"Missing Customer ID",IF(V3058=1,"Missing Restaurant name",IF(W3058=1,"Invalid/outlier quantity",IF(X3058=1,"Invalid/outlier unit price",IF(Y3058=1,"Discount greater than order value",""))))))))</f>
        <v/>
      </c>
      <c r="AC3058" s="7" t="str">
        <f aca="false">IF(AB3058="","KEEP","DROP")</f>
        <v>KEEP</v>
      </c>
      <c r="AD3058" s="7" t="str">
        <f aca="false">IF(TRIM(F3058)="",IFERROR(INDEX(Map_Tables!$I$4:$I$37,MATCH(TRIM(E3058),Map_Tables!$G$4:$G$37,0)),""),IFERROR(INDEX(Map_Tables!$B$4:$B$18,MATCH(TRIM(F3058),Map_Tables!$A$4:$A$18,0)),"CHECK"))</f>
        <v>Pune</v>
      </c>
      <c r="AE3058" s="7" t="str">
        <f aca="false">IF(TRIM(E3058)="","",IFERROR(INDEX(Map_Tables!$H$4:$H$37,MATCH(TRIM(E3058),Map_Tables!$G$4:$G$37,0)),"CHECK"))</f>
        <v>Cake Walk</v>
      </c>
      <c r="AF3058" s="7" t="str">
        <f aca="false">IF(TRIM(K3058)="","Unknown",IFERROR(INDEX(Map_Tables!$E$4:$E$15,MATCH(TRIM(K3058),Map_Tables!$D$4:$D$15,0)),"CHECK"))</f>
        <v>UPI</v>
      </c>
      <c r="AG3058" s="7" t="str">
        <f aca="false">IF(LEFT(LOWER(TRIM(L3058)),6)="cancel","Cancelled","Delivered")</f>
        <v>Cancelled</v>
      </c>
      <c r="AH3058" s="10" t="n">
        <f aca="false">IF(ISNUMBER(SEARCH("/",B3058)),DATE(VALUE(RIGHT(B3058,4)),VALUE(MID(B3058,4,2)),VALUE(LEFT(B3058,2))),IF(MID(B3058,5,1)="-",DATE(VALUE(LEFT(B3058,4)),VALUE(MID(B3058,6,2)),VALUE(RIGHT(B3058,2))),DATE(VALUE(RIGHT(B3058,4)),MATCH(MID(B3058,4,3),{"Jan","Feb","Mar","Apr","May","Jun","Jul","Aug","Sep","Oct","Nov","Dec"},0),VALUE(LEFT(B3058,2)))))</f>
        <v>45680</v>
      </c>
    </row>
  </sheetData>
  <autoFilter ref="A1:AH3058"/>
  <conditionalFormatting sqref="A2:L3058">
    <cfRule type="expression" priority="2" aboveAverage="0" equalAverage="0" bottom="0" percent="0" rank="0" text="" dxfId="7">
      <formula>ISBLANK(A2)</formula>
    </cfRule>
  </conditionalFormatting>
  <conditionalFormatting sqref="M2:N3058">
    <cfRule type="expression" priority="3" aboveAverage="0" equalAverage="0" bottom="0" percent="0" rank="0" text="" dxfId="8">
      <formula>AND(ISBLANK(M2),LEFT(LOWER(TRIM($L2)),6)&lt;&gt;"cancel")</formula>
    </cfRule>
  </conditionalFormatting>
  <conditionalFormatting sqref="P2:P3058">
    <cfRule type="expression" priority="4" aboveAverage="0" equalAverage="0" bottom="0" percent="0" rank="0" text="" dxfId="7">
      <formula>P2="DUP"</formula>
    </cfRule>
  </conditionalFormatting>
  <conditionalFormatting sqref="S2:S3058">
    <cfRule type="expression" priority="5" aboveAverage="0" equalAverage="0" bottom="0" percent="0" rank="0" text="" dxfId="7">
      <formula>S2="DROP"</formula>
    </cfRule>
  </conditionalFormatting>
  <conditionalFormatting sqref="AC2:AC3058">
    <cfRule type="expression" priority="6" aboveAverage="0" equalAverage="0" bottom="0" percent="0" rank="0" text="" dxfId="7">
      <formula>AC2="DROP"</formula>
    </cfRule>
  </conditionalFormatting>
  <conditionalFormatting sqref="T2:AA3058">
    <cfRule type="cellIs" priority="7" operator="equal" aboveAverage="0" equalAverage="0" bottom="0" percent="0" rank="0" text="" dxfId="9">
      <formula>1</formula>
    </cfRule>
  </conditionalFormatting>
  <conditionalFormatting sqref="H2:H3058">
    <cfRule type="expression" priority="8" aboveAverage="0" equalAverage="0" bottom="0" percent="0" rank="0" text="" dxfId="9">
      <formula>OR(H2&lt;1,H2&gt;10)</formula>
    </cfRule>
  </conditionalFormatting>
  <conditionalFormatting sqref="I2:I3058">
    <cfRule type="expression" priority="9" aboveAverage="0" equalAverage="0" bottom="0" percent="0" rank="0" text="" dxfId="9">
      <formula>OR(I2&lt;=0,I2&gt;1500)</formula>
    </cfRule>
  </conditionalFormatting>
  <conditionalFormatting sqref="M2:M3058">
    <cfRule type="expression" priority="10" aboveAverage="0" equalAverage="0" bottom="0" percent="0" rank="0" text="" dxfId="9">
      <formula>AND(M2&lt;&gt;"",OR(M2&lt;5,M2&gt;180))</formula>
    </cfRule>
  </conditionalFormatting>
  <conditionalFormatting sqref="N2:N3058">
    <cfRule type="expression" priority="11" aboveAverage="0" equalAverage="0" bottom="0" percent="0" rank="0" text="" dxfId="9">
      <formula>AND(N2&lt;&gt;"",OR(N2&lt;1,N2&gt;5))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7"/>
    <col collapsed="false" customWidth="true" hidden="false" outlineLevel="0" max="5" min="5" style="0" width="26"/>
    <col collapsed="false" customWidth="true" hidden="false" outlineLevel="0" max="15" min="6" style="0" width="17"/>
  </cols>
  <sheetData>
    <row r="1" customFormat="false" ht="23.85" hidden="false" customHeight="false" outlineLevel="0" collapsed="false">
      <c r="A1" s="3" t="s">
        <v>38</v>
      </c>
      <c r="B1" s="3" t="s">
        <v>41</v>
      </c>
      <c r="C1" s="3" t="s">
        <v>44</v>
      </c>
      <c r="D1" s="3" t="s">
        <v>47</v>
      </c>
      <c r="E1" s="3" t="s">
        <v>49</v>
      </c>
      <c r="F1" s="3" t="s">
        <v>51</v>
      </c>
      <c r="G1" s="3" t="s">
        <v>53</v>
      </c>
      <c r="H1" s="3" t="s">
        <v>55</v>
      </c>
      <c r="I1" s="3" t="s">
        <v>58</v>
      </c>
      <c r="J1" s="3" t="s">
        <v>61</v>
      </c>
      <c r="K1" s="3" t="s">
        <v>63</v>
      </c>
      <c r="L1" s="3" t="s">
        <v>65</v>
      </c>
      <c r="M1" s="3" t="s">
        <v>67</v>
      </c>
      <c r="N1" s="3" t="s">
        <v>69</v>
      </c>
      <c r="O1" s="3" t="s">
        <v>72</v>
      </c>
    </row>
    <row r="2" customFormat="false" ht="15" hidden="false" customHeight="false" outlineLevel="0" collapsed="false">
      <c r="A2" s="7" t="s">
        <v>1701</v>
      </c>
      <c r="B2" s="10" t="n">
        <v>45658</v>
      </c>
      <c r="C2" s="7" t="s">
        <v>547</v>
      </c>
      <c r="D2" s="7" t="s">
        <v>1702</v>
      </c>
      <c r="E2" s="7" t="s">
        <v>98</v>
      </c>
      <c r="F2" s="7" t="s">
        <v>86</v>
      </c>
      <c r="G2" s="7" t="s">
        <v>99</v>
      </c>
      <c r="H2" s="7" t="n">
        <v>2</v>
      </c>
      <c r="I2" s="11" t="n">
        <v>285</v>
      </c>
      <c r="J2" s="11" t="n">
        <v>125</v>
      </c>
      <c r="K2" s="11" t="n">
        <f aca="false">H2*I2-J2</f>
        <v>445</v>
      </c>
      <c r="L2" s="7" t="s">
        <v>88</v>
      </c>
      <c r="M2" s="7" t="s">
        <v>194</v>
      </c>
      <c r="N2" s="7" t="n">
        <v>33</v>
      </c>
      <c r="O2" s="7" t="n">
        <v>3</v>
      </c>
    </row>
    <row r="3" customFormat="false" ht="15" hidden="false" customHeight="false" outlineLevel="0" collapsed="false">
      <c r="A3" s="7" t="s">
        <v>4333</v>
      </c>
      <c r="B3" s="10" t="n">
        <v>45658</v>
      </c>
      <c r="C3" s="7" t="s">
        <v>1118</v>
      </c>
      <c r="D3" s="7" t="s">
        <v>2151</v>
      </c>
      <c r="E3" s="7" t="s">
        <v>152</v>
      </c>
      <c r="F3" s="7" t="s">
        <v>128</v>
      </c>
      <c r="G3" s="7" t="s">
        <v>95</v>
      </c>
      <c r="H3" s="7" t="n">
        <v>3</v>
      </c>
      <c r="I3" s="11" t="n">
        <v>100</v>
      </c>
      <c r="J3" s="11" t="n">
        <v>0</v>
      </c>
      <c r="K3" s="11" t="n">
        <f aca="false">H3*I3-J3</f>
        <v>300</v>
      </c>
      <c r="L3" s="7" t="s">
        <v>88</v>
      </c>
      <c r="M3" s="7" t="s">
        <v>194</v>
      </c>
      <c r="N3" s="7" t="n">
        <v>28</v>
      </c>
      <c r="O3" s="7" t="n">
        <v>3</v>
      </c>
    </row>
    <row r="4" customFormat="false" ht="15" hidden="false" customHeight="false" outlineLevel="0" collapsed="false">
      <c r="A4" s="7" t="s">
        <v>1217</v>
      </c>
      <c r="B4" s="10" t="n">
        <v>45658</v>
      </c>
      <c r="C4" s="7" t="s">
        <v>1219</v>
      </c>
      <c r="D4" s="7" t="s">
        <v>1220</v>
      </c>
      <c r="E4" s="7" t="s">
        <v>163</v>
      </c>
      <c r="F4" s="7" t="s">
        <v>141</v>
      </c>
      <c r="G4" s="7" t="s">
        <v>99</v>
      </c>
      <c r="H4" s="7" t="n">
        <v>1</v>
      </c>
      <c r="I4" s="11" t="n">
        <v>250</v>
      </c>
      <c r="J4" s="11" t="n">
        <v>100</v>
      </c>
      <c r="K4" s="11" t="n">
        <f aca="false">H4*I4-J4</f>
        <v>150</v>
      </c>
      <c r="L4" s="7" t="s">
        <v>112</v>
      </c>
      <c r="M4" s="7" t="s">
        <v>194</v>
      </c>
      <c r="N4" s="7" t="n">
        <v>15</v>
      </c>
      <c r="O4" s="7" t="n">
        <v>3</v>
      </c>
    </row>
    <row r="5" customFormat="false" ht="15" hidden="false" customHeight="false" outlineLevel="0" collapsed="false">
      <c r="A5" s="7" t="s">
        <v>3991</v>
      </c>
      <c r="B5" s="10" t="n">
        <v>45658</v>
      </c>
      <c r="C5" s="7" t="s">
        <v>391</v>
      </c>
      <c r="D5" s="7" t="s">
        <v>3992</v>
      </c>
      <c r="E5" s="7" t="s">
        <v>116</v>
      </c>
      <c r="F5" s="7" t="s">
        <v>101</v>
      </c>
      <c r="G5" s="7" t="s">
        <v>117</v>
      </c>
      <c r="H5" s="7" t="n">
        <v>1</v>
      </c>
      <c r="I5" s="11" t="n">
        <v>145</v>
      </c>
      <c r="J5" s="11" t="n">
        <v>0</v>
      </c>
      <c r="K5" s="11" t="n">
        <f aca="false">H5*I5-J5</f>
        <v>145</v>
      </c>
      <c r="L5" s="7" t="s">
        <v>88</v>
      </c>
      <c r="M5" s="7" t="s">
        <v>194</v>
      </c>
      <c r="N5" s="7" t="n">
        <v>58</v>
      </c>
      <c r="O5" s="7" t="n">
        <v>4</v>
      </c>
    </row>
    <row r="6" customFormat="false" ht="15" hidden="false" customHeight="false" outlineLevel="0" collapsed="false">
      <c r="A6" s="7" t="s">
        <v>3170</v>
      </c>
      <c r="B6" s="10" t="n">
        <v>45658</v>
      </c>
      <c r="C6" s="7" t="s">
        <v>2508</v>
      </c>
      <c r="D6" s="7" t="s">
        <v>1172</v>
      </c>
      <c r="E6" s="7" t="s">
        <v>126</v>
      </c>
      <c r="F6" s="7" t="s">
        <v>101</v>
      </c>
      <c r="G6" s="7" t="s">
        <v>105</v>
      </c>
      <c r="H6" s="7" t="n">
        <v>3</v>
      </c>
      <c r="I6" s="11" t="n">
        <v>220</v>
      </c>
      <c r="J6" s="11" t="n">
        <v>150</v>
      </c>
      <c r="K6" s="11" t="n">
        <f aca="false">H6*I6-J6</f>
        <v>510</v>
      </c>
      <c r="L6" s="7" t="s">
        <v>93</v>
      </c>
      <c r="M6" s="7" t="s">
        <v>194</v>
      </c>
      <c r="N6" s="7" t="n">
        <v>57</v>
      </c>
      <c r="O6" s="7" t="n">
        <v>4</v>
      </c>
    </row>
    <row r="7" customFormat="false" ht="15" hidden="false" customHeight="false" outlineLevel="0" collapsed="false">
      <c r="A7" s="7" t="s">
        <v>5816</v>
      </c>
      <c r="B7" s="10" t="n">
        <v>45658</v>
      </c>
      <c r="C7" s="7" t="s">
        <v>1788</v>
      </c>
      <c r="D7" s="7" t="s">
        <v>2111</v>
      </c>
      <c r="E7" s="7" t="s">
        <v>113</v>
      </c>
      <c r="F7" s="7" t="s">
        <v>101</v>
      </c>
      <c r="G7" s="7" t="s">
        <v>90</v>
      </c>
      <c r="H7" s="7" t="n">
        <v>3</v>
      </c>
      <c r="I7" s="11" t="n">
        <v>300</v>
      </c>
      <c r="J7" s="11" t="n">
        <v>0</v>
      </c>
      <c r="K7" s="11" t="n">
        <f aca="false">H7*I7-J7</f>
        <v>900</v>
      </c>
      <c r="L7" s="7" t="s">
        <v>93</v>
      </c>
      <c r="M7" s="7" t="s">
        <v>194</v>
      </c>
      <c r="N7" s="7" t="n">
        <v>42</v>
      </c>
      <c r="O7" s="7" t="n">
        <v>5</v>
      </c>
    </row>
    <row r="8" customFormat="false" ht="15" hidden="false" customHeight="false" outlineLevel="0" collapsed="false">
      <c r="A8" s="7" t="s">
        <v>4989</v>
      </c>
      <c r="B8" s="10" t="n">
        <v>45658</v>
      </c>
      <c r="C8" s="7" t="s">
        <v>1434</v>
      </c>
      <c r="D8" s="7" t="s">
        <v>1067</v>
      </c>
      <c r="E8" s="7" t="s">
        <v>104</v>
      </c>
      <c r="F8" s="7" t="s">
        <v>86</v>
      </c>
      <c r="G8" s="7" t="s">
        <v>105</v>
      </c>
      <c r="H8" s="7" t="n">
        <v>2</v>
      </c>
      <c r="I8" s="11" t="n">
        <v>230</v>
      </c>
      <c r="J8" s="11" t="n">
        <v>100</v>
      </c>
      <c r="K8" s="11" t="n">
        <f aca="false">H8*I8-J8</f>
        <v>360</v>
      </c>
      <c r="L8" s="7" t="s">
        <v>88</v>
      </c>
      <c r="M8" s="7" t="s">
        <v>194</v>
      </c>
      <c r="N8" s="7" t="n">
        <v>53</v>
      </c>
      <c r="O8" s="7" t="n">
        <v>3</v>
      </c>
    </row>
    <row r="9" customFormat="false" ht="15" hidden="false" customHeight="false" outlineLevel="0" collapsed="false">
      <c r="A9" s="7" t="s">
        <v>2876</v>
      </c>
      <c r="B9" s="10" t="n">
        <v>45658</v>
      </c>
      <c r="C9" s="7" t="s">
        <v>893</v>
      </c>
      <c r="D9" s="7" t="s">
        <v>2117</v>
      </c>
      <c r="E9" s="7" t="s">
        <v>149</v>
      </c>
      <c r="F9" s="7" t="s">
        <v>119</v>
      </c>
      <c r="G9" s="7" t="s">
        <v>150</v>
      </c>
      <c r="H9" s="7" t="n">
        <v>1</v>
      </c>
      <c r="I9" s="11" t="n">
        <v>170</v>
      </c>
      <c r="J9" s="11" t="n">
        <v>0</v>
      </c>
      <c r="K9" s="11" t="n">
        <f aca="false">H9*I9-J9</f>
        <v>170</v>
      </c>
      <c r="L9" s="7" t="s">
        <v>88</v>
      </c>
      <c r="M9" s="7" t="s">
        <v>194</v>
      </c>
      <c r="N9" s="7" t="n">
        <v>39</v>
      </c>
      <c r="O9" s="7" t="n">
        <v>4</v>
      </c>
    </row>
    <row r="10" customFormat="false" ht="15" hidden="false" customHeight="false" outlineLevel="0" collapsed="false">
      <c r="A10" s="7" t="s">
        <v>4277</v>
      </c>
      <c r="B10" s="10" t="n">
        <v>45659</v>
      </c>
      <c r="C10" s="7" t="s">
        <v>4278</v>
      </c>
      <c r="D10" s="7" t="s">
        <v>1333</v>
      </c>
      <c r="E10" s="7" t="s">
        <v>163</v>
      </c>
      <c r="F10" s="7" t="s">
        <v>141</v>
      </c>
      <c r="G10" s="7" t="s">
        <v>99</v>
      </c>
      <c r="H10" s="7" t="n">
        <v>5</v>
      </c>
      <c r="I10" s="11" t="n">
        <v>235</v>
      </c>
      <c r="J10" s="11" t="n">
        <v>0</v>
      </c>
      <c r="K10" s="11" t="n">
        <f aca="false">H10*I10-J10</f>
        <v>1175</v>
      </c>
      <c r="L10" s="7" t="s">
        <v>88</v>
      </c>
      <c r="M10" s="7" t="s">
        <v>194</v>
      </c>
      <c r="N10" s="7" t="n">
        <v>35</v>
      </c>
      <c r="O10" s="7" t="n">
        <v>5</v>
      </c>
    </row>
    <row r="11" customFormat="false" ht="15" hidden="false" customHeight="false" outlineLevel="0" collapsed="false">
      <c r="A11" s="7" t="s">
        <v>2937</v>
      </c>
      <c r="B11" s="10" t="n">
        <v>45659</v>
      </c>
      <c r="C11" s="7" t="s">
        <v>2939</v>
      </c>
      <c r="D11" s="7" t="s">
        <v>378</v>
      </c>
      <c r="E11" s="7" t="s">
        <v>152</v>
      </c>
      <c r="F11" s="7" t="s">
        <v>128</v>
      </c>
      <c r="G11" s="7" t="s">
        <v>95</v>
      </c>
      <c r="H11" s="7" t="n">
        <v>1</v>
      </c>
      <c r="I11" s="11" t="n">
        <v>115</v>
      </c>
      <c r="J11" s="11" t="n">
        <v>40</v>
      </c>
      <c r="K11" s="11" t="n">
        <f aca="false">H11*I11-J11</f>
        <v>75</v>
      </c>
      <c r="L11" s="7" t="s">
        <v>121</v>
      </c>
      <c r="M11" s="7" t="s">
        <v>194</v>
      </c>
      <c r="N11" s="7" t="n">
        <v>24</v>
      </c>
      <c r="O11" s="7" t="n">
        <v>3</v>
      </c>
    </row>
    <row r="12" customFormat="false" ht="15" hidden="false" customHeight="false" outlineLevel="0" collapsed="false">
      <c r="A12" s="7" t="s">
        <v>5347</v>
      </c>
      <c r="B12" s="10" t="n">
        <v>45659</v>
      </c>
      <c r="C12" s="7" t="s">
        <v>1145</v>
      </c>
      <c r="D12" s="7" t="s">
        <v>3624</v>
      </c>
      <c r="E12" s="7" t="s">
        <v>126</v>
      </c>
      <c r="F12" s="7" t="s">
        <v>101</v>
      </c>
      <c r="G12" s="7" t="s">
        <v>105</v>
      </c>
      <c r="H12" s="7" t="n">
        <v>2</v>
      </c>
      <c r="I12" s="11" t="n">
        <v>260</v>
      </c>
      <c r="J12" s="11" t="n">
        <v>125</v>
      </c>
      <c r="K12" s="11" t="n">
        <f aca="false">H12*I12-J12</f>
        <v>395</v>
      </c>
      <c r="L12" s="7" t="s">
        <v>88</v>
      </c>
      <c r="M12" s="7" t="s">
        <v>194</v>
      </c>
      <c r="N12" s="7" t="n">
        <v>45</v>
      </c>
      <c r="O12" s="7" t="n">
        <v>4</v>
      </c>
    </row>
    <row r="13" customFormat="false" ht="15" hidden="false" customHeight="false" outlineLevel="0" collapsed="false">
      <c r="A13" s="7" t="s">
        <v>5882</v>
      </c>
      <c r="B13" s="10" t="n">
        <v>45659</v>
      </c>
      <c r="C13" s="7" t="s">
        <v>809</v>
      </c>
      <c r="D13" s="7" t="s">
        <v>400</v>
      </c>
      <c r="E13" s="7" t="s">
        <v>130</v>
      </c>
      <c r="F13" s="7" t="s">
        <v>110</v>
      </c>
      <c r="G13" s="7" t="s">
        <v>90</v>
      </c>
      <c r="H13" s="7" t="n">
        <v>1</v>
      </c>
      <c r="I13" s="11" t="n">
        <v>255</v>
      </c>
      <c r="J13" s="11" t="n">
        <v>30</v>
      </c>
      <c r="K13" s="11" t="n">
        <f aca="false">H13*I13-J13</f>
        <v>225</v>
      </c>
      <c r="L13" s="7" t="s">
        <v>88</v>
      </c>
      <c r="M13" s="7" t="s">
        <v>194</v>
      </c>
      <c r="N13" s="7" t="n">
        <v>46</v>
      </c>
      <c r="O13" s="7"/>
    </row>
    <row r="14" customFormat="false" ht="15" hidden="false" customHeight="false" outlineLevel="0" collapsed="false">
      <c r="A14" s="7" t="s">
        <v>2755</v>
      </c>
      <c r="B14" s="10" t="n">
        <v>45659</v>
      </c>
      <c r="C14" s="7" t="s">
        <v>2756</v>
      </c>
      <c r="D14" s="7" t="s">
        <v>2353</v>
      </c>
      <c r="E14" s="7" t="s">
        <v>142</v>
      </c>
      <c r="F14" s="7" t="s">
        <v>110</v>
      </c>
      <c r="G14" s="7" t="s">
        <v>105</v>
      </c>
      <c r="H14" s="7" t="n">
        <v>2</v>
      </c>
      <c r="I14" s="11" t="n">
        <v>170</v>
      </c>
      <c r="J14" s="11" t="n">
        <v>0</v>
      </c>
      <c r="K14" s="11" t="n">
        <f aca="false">H14*I14-J14</f>
        <v>340</v>
      </c>
      <c r="L14" s="7" t="s">
        <v>112</v>
      </c>
      <c r="M14" s="7" t="s">
        <v>238</v>
      </c>
      <c r="N14" s="7"/>
      <c r="O14" s="7"/>
    </row>
    <row r="15" customFormat="false" ht="15" hidden="false" customHeight="false" outlineLevel="0" collapsed="false">
      <c r="A15" s="7" t="s">
        <v>2631</v>
      </c>
      <c r="B15" s="10" t="n">
        <v>45659</v>
      </c>
      <c r="C15" s="7" t="s">
        <v>976</v>
      </c>
      <c r="D15" s="7" t="s">
        <v>1833</v>
      </c>
      <c r="E15" s="7" t="s">
        <v>113</v>
      </c>
      <c r="F15" s="7" t="s">
        <v>101</v>
      </c>
      <c r="G15" s="7" t="s">
        <v>90</v>
      </c>
      <c r="H15" s="7" t="n">
        <v>1</v>
      </c>
      <c r="I15" s="11" t="n">
        <v>195</v>
      </c>
      <c r="J15" s="11" t="n">
        <v>0</v>
      </c>
      <c r="K15" s="11" t="n">
        <f aca="false">H15*I15-J15</f>
        <v>195</v>
      </c>
      <c r="L15" s="7" t="s">
        <v>93</v>
      </c>
      <c r="M15" s="7" t="s">
        <v>194</v>
      </c>
      <c r="N15" s="7" t="n">
        <v>53</v>
      </c>
      <c r="O15" s="7" t="n">
        <v>2</v>
      </c>
    </row>
    <row r="16" customFormat="false" ht="15" hidden="false" customHeight="false" outlineLevel="0" collapsed="false">
      <c r="A16" s="7" t="s">
        <v>5551</v>
      </c>
      <c r="B16" s="10" t="n">
        <v>45659</v>
      </c>
      <c r="C16" s="7" t="s">
        <v>5552</v>
      </c>
      <c r="D16" s="7" t="s">
        <v>1225</v>
      </c>
      <c r="E16" s="7" t="s">
        <v>138</v>
      </c>
      <c r="F16" s="7" t="s">
        <v>110</v>
      </c>
      <c r="G16" s="7" t="s">
        <v>139</v>
      </c>
      <c r="H16" s="7" t="n">
        <v>1</v>
      </c>
      <c r="I16" s="11" t="n">
        <v>165</v>
      </c>
      <c r="J16" s="11" t="n">
        <v>40</v>
      </c>
      <c r="K16" s="11" t="n">
        <f aca="false">H16*I16-J16</f>
        <v>125</v>
      </c>
      <c r="L16" s="7" t="s">
        <v>93</v>
      </c>
      <c r="M16" s="7" t="s">
        <v>194</v>
      </c>
      <c r="N16" s="7" t="n">
        <v>45</v>
      </c>
      <c r="O16" s="7" t="n">
        <v>3</v>
      </c>
    </row>
    <row r="17" customFormat="false" ht="15" hidden="false" customHeight="false" outlineLevel="0" collapsed="false">
      <c r="A17" s="7" t="s">
        <v>4294</v>
      </c>
      <c r="B17" s="10" t="n">
        <v>45660</v>
      </c>
      <c r="C17" s="7" t="s">
        <v>3566</v>
      </c>
      <c r="D17" s="7" t="s">
        <v>3413</v>
      </c>
      <c r="E17" s="7" t="s">
        <v>154</v>
      </c>
      <c r="F17" s="7" t="s">
        <v>128</v>
      </c>
      <c r="G17" s="7" t="s">
        <v>99</v>
      </c>
      <c r="H17" s="7" t="n">
        <v>1</v>
      </c>
      <c r="I17" s="11" t="n">
        <v>300</v>
      </c>
      <c r="J17" s="11" t="n">
        <v>40</v>
      </c>
      <c r="K17" s="11" t="n">
        <f aca="false">H17*I17-J17</f>
        <v>260</v>
      </c>
      <c r="L17" s="7" t="s">
        <v>88</v>
      </c>
      <c r="M17" s="7" t="s">
        <v>194</v>
      </c>
      <c r="N17" s="7" t="n">
        <v>31</v>
      </c>
      <c r="O17" s="7"/>
    </row>
    <row r="18" customFormat="false" ht="15" hidden="false" customHeight="false" outlineLevel="0" collapsed="false">
      <c r="A18" s="7" t="s">
        <v>4920</v>
      </c>
      <c r="B18" s="10" t="n">
        <v>45660</v>
      </c>
      <c r="C18" s="7" t="s">
        <v>783</v>
      </c>
      <c r="D18" s="7" t="s">
        <v>3541</v>
      </c>
      <c r="E18" s="7" t="s">
        <v>113</v>
      </c>
      <c r="F18" s="7" t="s">
        <v>101</v>
      </c>
      <c r="G18" s="7" t="s">
        <v>90</v>
      </c>
      <c r="H18" s="7" t="n">
        <v>2</v>
      </c>
      <c r="I18" s="11" t="n">
        <v>285</v>
      </c>
      <c r="J18" s="11" t="n">
        <v>0</v>
      </c>
      <c r="K18" s="11" t="n">
        <f aca="false">H18*I18-J18</f>
        <v>570</v>
      </c>
      <c r="L18" s="7" t="s">
        <v>88</v>
      </c>
      <c r="M18" s="7" t="s">
        <v>194</v>
      </c>
      <c r="N18" s="7" t="n">
        <v>37</v>
      </c>
      <c r="O18" s="7" t="n">
        <v>5</v>
      </c>
    </row>
    <row r="19" customFormat="false" ht="15" hidden="false" customHeight="false" outlineLevel="0" collapsed="false">
      <c r="A19" s="7" t="s">
        <v>2335</v>
      </c>
      <c r="B19" s="10" t="n">
        <v>45660</v>
      </c>
      <c r="C19" s="7" t="s">
        <v>2337</v>
      </c>
      <c r="D19" s="7" t="s">
        <v>1272</v>
      </c>
      <c r="E19" s="7" t="s">
        <v>122</v>
      </c>
      <c r="F19" s="7" t="s">
        <v>101</v>
      </c>
      <c r="G19" s="7" t="s">
        <v>123</v>
      </c>
      <c r="H19" s="7" t="n">
        <v>3</v>
      </c>
      <c r="I19" s="11" t="n">
        <v>390</v>
      </c>
      <c r="J19" s="11" t="n">
        <v>0</v>
      </c>
      <c r="K19" s="11" t="n">
        <f aca="false">H19*I19-J19</f>
        <v>1170</v>
      </c>
      <c r="L19" s="7" t="s">
        <v>93</v>
      </c>
      <c r="M19" s="7" t="s">
        <v>194</v>
      </c>
      <c r="N19" s="7" t="n">
        <v>36</v>
      </c>
      <c r="O19" s="7" t="n">
        <v>3</v>
      </c>
    </row>
    <row r="20" customFormat="false" ht="15" hidden="false" customHeight="false" outlineLevel="0" collapsed="false">
      <c r="A20" s="7" t="s">
        <v>5818</v>
      </c>
      <c r="B20" s="10" t="n">
        <v>45660</v>
      </c>
      <c r="C20" s="7" t="s">
        <v>655</v>
      </c>
      <c r="D20" s="7" t="s">
        <v>5819</v>
      </c>
      <c r="E20" s="7" t="s">
        <v>116</v>
      </c>
      <c r="F20" s="7" t="s">
        <v>101</v>
      </c>
      <c r="G20" s="7" t="s">
        <v>117</v>
      </c>
      <c r="H20" s="7" t="n">
        <v>3</v>
      </c>
      <c r="I20" s="11" t="n">
        <v>150</v>
      </c>
      <c r="J20" s="11" t="n">
        <v>50</v>
      </c>
      <c r="K20" s="11" t="n">
        <f aca="false">H20*I20-J20</f>
        <v>400</v>
      </c>
      <c r="L20" s="7" t="s">
        <v>121</v>
      </c>
      <c r="M20" s="7" t="s">
        <v>194</v>
      </c>
      <c r="N20" s="7" t="n">
        <v>45</v>
      </c>
      <c r="O20" s="7" t="n">
        <v>3</v>
      </c>
    </row>
    <row r="21" customFormat="false" ht="15" hidden="false" customHeight="false" outlineLevel="0" collapsed="false">
      <c r="A21" s="7" t="s">
        <v>3827</v>
      </c>
      <c r="B21" s="10" t="n">
        <v>45660</v>
      </c>
      <c r="C21" s="7" t="s">
        <v>2785</v>
      </c>
      <c r="D21" s="7" t="s">
        <v>3828</v>
      </c>
      <c r="E21" s="7" t="s">
        <v>158</v>
      </c>
      <c r="F21" s="7" t="s">
        <v>136</v>
      </c>
      <c r="G21" s="7" t="s">
        <v>139</v>
      </c>
      <c r="H21" s="7" t="n">
        <v>2</v>
      </c>
      <c r="I21" s="11" t="n">
        <v>185</v>
      </c>
      <c r="J21" s="11" t="n">
        <v>20</v>
      </c>
      <c r="K21" s="11" t="n">
        <f aca="false">H21*I21-J21</f>
        <v>350</v>
      </c>
      <c r="L21" s="7" t="s">
        <v>88</v>
      </c>
      <c r="M21" s="7" t="s">
        <v>238</v>
      </c>
      <c r="N21" s="7"/>
      <c r="O21" s="7"/>
    </row>
    <row r="22" customFormat="false" ht="15" hidden="false" customHeight="false" outlineLevel="0" collapsed="false">
      <c r="A22" s="7" t="s">
        <v>2780</v>
      </c>
      <c r="B22" s="10" t="n">
        <v>45661</v>
      </c>
      <c r="C22" s="7" t="s">
        <v>2781</v>
      </c>
      <c r="D22" s="7" t="s">
        <v>1508</v>
      </c>
      <c r="E22" s="7" t="s">
        <v>138</v>
      </c>
      <c r="F22" s="7" t="s">
        <v>110</v>
      </c>
      <c r="G22" s="7" t="s">
        <v>139</v>
      </c>
      <c r="H22" s="7" t="n">
        <v>4</v>
      </c>
      <c r="I22" s="11" t="n">
        <v>130</v>
      </c>
      <c r="J22" s="11" t="n">
        <v>40</v>
      </c>
      <c r="K22" s="11" t="n">
        <f aca="false">H22*I22-J22</f>
        <v>480</v>
      </c>
      <c r="L22" s="7" t="s">
        <v>88</v>
      </c>
      <c r="M22" s="7" t="s">
        <v>194</v>
      </c>
      <c r="N22" s="7" t="n">
        <v>42</v>
      </c>
      <c r="O22" s="7" t="n">
        <v>4</v>
      </c>
    </row>
    <row r="23" customFormat="false" ht="15" hidden="false" customHeight="false" outlineLevel="0" collapsed="false">
      <c r="A23" s="7" t="s">
        <v>3357</v>
      </c>
      <c r="B23" s="10" t="n">
        <v>45661</v>
      </c>
      <c r="C23" s="7" t="s">
        <v>1164</v>
      </c>
      <c r="D23" s="7" t="s">
        <v>2139</v>
      </c>
      <c r="E23" s="7" t="s">
        <v>149</v>
      </c>
      <c r="F23" s="7" t="s">
        <v>119</v>
      </c>
      <c r="G23" s="7" t="s">
        <v>150</v>
      </c>
      <c r="H23" s="7" t="n">
        <v>2</v>
      </c>
      <c r="I23" s="11" t="n">
        <v>160</v>
      </c>
      <c r="J23" s="11" t="n">
        <v>20</v>
      </c>
      <c r="K23" s="11" t="n">
        <f aca="false">H23*I23-J23</f>
        <v>300</v>
      </c>
      <c r="L23" s="7" t="s">
        <v>88</v>
      </c>
      <c r="M23" s="7" t="s">
        <v>194</v>
      </c>
      <c r="N23" s="7" t="n">
        <v>41</v>
      </c>
      <c r="O23" s="7" t="n">
        <v>3</v>
      </c>
    </row>
    <row r="24" customFormat="false" ht="15" hidden="false" customHeight="false" outlineLevel="0" collapsed="false">
      <c r="A24" s="7" t="s">
        <v>4617</v>
      </c>
      <c r="B24" s="10" t="n">
        <v>45661</v>
      </c>
      <c r="C24" s="7" t="s">
        <v>762</v>
      </c>
      <c r="D24" s="7" t="s">
        <v>4618</v>
      </c>
      <c r="E24" s="7" t="s">
        <v>126</v>
      </c>
      <c r="F24" s="7" t="s">
        <v>101</v>
      </c>
      <c r="G24" s="7" t="s">
        <v>105</v>
      </c>
      <c r="H24" s="7" t="n">
        <v>2</v>
      </c>
      <c r="I24" s="11" t="n">
        <v>205</v>
      </c>
      <c r="J24" s="11" t="n">
        <v>0</v>
      </c>
      <c r="K24" s="11" t="n">
        <f aca="false">H24*I24-J24</f>
        <v>410</v>
      </c>
      <c r="L24" s="7" t="s">
        <v>112</v>
      </c>
      <c r="M24" s="7" t="s">
        <v>194</v>
      </c>
      <c r="N24" s="7" t="n">
        <v>38</v>
      </c>
      <c r="O24" s="7" t="n">
        <v>5</v>
      </c>
    </row>
    <row r="25" customFormat="false" ht="15" hidden="false" customHeight="false" outlineLevel="0" collapsed="false">
      <c r="A25" s="7" t="s">
        <v>4260</v>
      </c>
      <c r="B25" s="10" t="n">
        <v>45661</v>
      </c>
      <c r="C25" s="7" t="s">
        <v>4261</v>
      </c>
      <c r="D25" s="7" t="s">
        <v>3971</v>
      </c>
      <c r="E25" s="7" t="s">
        <v>147</v>
      </c>
      <c r="F25" s="7" t="s">
        <v>119</v>
      </c>
      <c r="G25" s="7" t="s">
        <v>95</v>
      </c>
      <c r="H25" s="7" t="n">
        <v>2</v>
      </c>
      <c r="I25" s="11" t="n">
        <v>170</v>
      </c>
      <c r="J25" s="11" t="n">
        <v>0</v>
      </c>
      <c r="K25" s="11" t="n">
        <f aca="false">H25*I25-J25</f>
        <v>340</v>
      </c>
      <c r="L25" s="7" t="s">
        <v>93</v>
      </c>
      <c r="M25" s="7" t="s">
        <v>194</v>
      </c>
      <c r="N25" s="7" t="n">
        <v>38</v>
      </c>
      <c r="O25" s="7" t="n">
        <v>4</v>
      </c>
    </row>
    <row r="26" customFormat="false" ht="15" hidden="false" customHeight="false" outlineLevel="0" collapsed="false">
      <c r="A26" s="7" t="s">
        <v>1693</v>
      </c>
      <c r="B26" s="10" t="n">
        <v>45661</v>
      </c>
      <c r="C26" s="7" t="s">
        <v>1694</v>
      </c>
      <c r="D26" s="7" t="s">
        <v>1695</v>
      </c>
      <c r="E26" s="7" t="s">
        <v>89</v>
      </c>
      <c r="F26" s="7" t="s">
        <v>86</v>
      </c>
      <c r="G26" s="7" t="s">
        <v>90</v>
      </c>
      <c r="H26" s="7" t="n">
        <v>3</v>
      </c>
      <c r="I26" s="11" t="n">
        <v>245</v>
      </c>
      <c r="J26" s="11" t="n">
        <v>150</v>
      </c>
      <c r="K26" s="11" t="n">
        <f aca="false">H26*I26-J26</f>
        <v>585</v>
      </c>
      <c r="L26" s="7" t="s">
        <v>88</v>
      </c>
      <c r="M26" s="7" t="s">
        <v>194</v>
      </c>
      <c r="N26" s="7" t="n">
        <v>37</v>
      </c>
      <c r="O26" s="7" t="n">
        <v>3</v>
      </c>
    </row>
    <row r="27" customFormat="false" ht="15" hidden="false" customHeight="false" outlineLevel="0" collapsed="false">
      <c r="A27" s="7" t="s">
        <v>4072</v>
      </c>
      <c r="B27" s="10" t="n">
        <v>45661</v>
      </c>
      <c r="C27" s="7" t="s">
        <v>1336</v>
      </c>
      <c r="D27" s="7" t="s">
        <v>4074</v>
      </c>
      <c r="E27" s="7" t="s">
        <v>104</v>
      </c>
      <c r="F27" s="7" t="s">
        <v>86</v>
      </c>
      <c r="G27" s="7" t="s">
        <v>105</v>
      </c>
      <c r="H27" s="7" t="n">
        <v>2</v>
      </c>
      <c r="I27" s="11" t="n">
        <v>200</v>
      </c>
      <c r="J27" s="11" t="n">
        <v>30</v>
      </c>
      <c r="K27" s="11" t="n">
        <f aca="false">H27*I27-J27</f>
        <v>370</v>
      </c>
      <c r="L27" s="7" t="s">
        <v>112</v>
      </c>
      <c r="M27" s="7" t="s">
        <v>194</v>
      </c>
      <c r="N27" s="7" t="n">
        <v>39</v>
      </c>
      <c r="O27" s="7" t="n">
        <v>5</v>
      </c>
    </row>
    <row r="28" customFormat="false" ht="15" hidden="false" customHeight="false" outlineLevel="0" collapsed="false">
      <c r="A28" s="7" t="s">
        <v>1686</v>
      </c>
      <c r="B28" s="10" t="n">
        <v>45661</v>
      </c>
      <c r="C28" s="7" t="s">
        <v>1688</v>
      </c>
      <c r="D28" s="7" t="s">
        <v>370</v>
      </c>
      <c r="E28" s="7" t="s">
        <v>116</v>
      </c>
      <c r="F28" s="7" t="s">
        <v>101</v>
      </c>
      <c r="G28" s="7" t="s">
        <v>117</v>
      </c>
      <c r="H28" s="7" t="n">
        <v>4</v>
      </c>
      <c r="I28" s="11" t="n">
        <v>125</v>
      </c>
      <c r="J28" s="11" t="n">
        <v>75</v>
      </c>
      <c r="K28" s="11" t="n">
        <f aca="false">H28*I28-J28</f>
        <v>425</v>
      </c>
      <c r="L28" s="7" t="s">
        <v>121</v>
      </c>
      <c r="M28" s="7" t="s">
        <v>194</v>
      </c>
      <c r="N28" s="7" t="n">
        <v>42</v>
      </c>
      <c r="O28" s="7" t="n">
        <v>4</v>
      </c>
    </row>
    <row r="29" customFormat="false" ht="15" hidden="false" customHeight="false" outlineLevel="0" collapsed="false">
      <c r="A29" s="7" t="s">
        <v>4174</v>
      </c>
      <c r="B29" s="10" t="n">
        <v>45661</v>
      </c>
      <c r="C29" s="7" t="s">
        <v>3456</v>
      </c>
      <c r="D29" s="7" t="s">
        <v>456</v>
      </c>
      <c r="E29" s="7" t="s">
        <v>138</v>
      </c>
      <c r="F29" s="7" t="s">
        <v>110</v>
      </c>
      <c r="G29" s="7" t="s">
        <v>139</v>
      </c>
      <c r="H29" s="7" t="n">
        <v>5</v>
      </c>
      <c r="I29" s="11" t="n">
        <v>215</v>
      </c>
      <c r="J29" s="11" t="n">
        <v>0</v>
      </c>
      <c r="K29" s="11" t="n">
        <f aca="false">H29*I29-J29</f>
        <v>1075</v>
      </c>
      <c r="L29" s="7" t="s">
        <v>88</v>
      </c>
      <c r="M29" s="7" t="s">
        <v>194</v>
      </c>
      <c r="N29" s="7" t="n">
        <v>17</v>
      </c>
      <c r="O29" s="7" t="n">
        <v>4</v>
      </c>
    </row>
    <row r="30" customFormat="false" ht="15" hidden="false" customHeight="false" outlineLevel="0" collapsed="false">
      <c r="A30" s="7" t="s">
        <v>3132</v>
      </c>
      <c r="B30" s="10" t="n">
        <v>45661</v>
      </c>
      <c r="C30" s="7" t="s">
        <v>1062</v>
      </c>
      <c r="D30" s="7" t="s">
        <v>1979</v>
      </c>
      <c r="E30" s="7" t="s">
        <v>147</v>
      </c>
      <c r="F30" s="7" t="s">
        <v>119</v>
      </c>
      <c r="G30" s="7" t="s">
        <v>95</v>
      </c>
      <c r="H30" s="7" t="n">
        <v>2</v>
      </c>
      <c r="I30" s="11" t="n">
        <v>170</v>
      </c>
      <c r="J30" s="11" t="n">
        <v>50</v>
      </c>
      <c r="K30" s="11" t="n">
        <f aca="false">H30*I30-J30</f>
        <v>290</v>
      </c>
      <c r="L30" s="7" t="s">
        <v>88</v>
      </c>
      <c r="M30" s="7" t="s">
        <v>194</v>
      </c>
      <c r="N30" s="7" t="n">
        <v>54</v>
      </c>
      <c r="O30" s="7" t="n">
        <v>5</v>
      </c>
    </row>
    <row r="31" customFormat="false" ht="15" hidden="false" customHeight="false" outlineLevel="0" collapsed="false">
      <c r="A31" s="7" t="s">
        <v>6020</v>
      </c>
      <c r="B31" s="10" t="n">
        <v>45661</v>
      </c>
      <c r="C31" s="7" t="s">
        <v>6021</v>
      </c>
      <c r="D31" s="7" t="s">
        <v>1176</v>
      </c>
      <c r="E31" s="7" t="s">
        <v>155</v>
      </c>
      <c r="F31" s="7" t="s">
        <v>128</v>
      </c>
      <c r="G31" s="7" t="s">
        <v>156</v>
      </c>
      <c r="H31" s="7" t="n">
        <v>5</v>
      </c>
      <c r="I31" s="11" t="n">
        <v>295</v>
      </c>
      <c r="J31" s="11" t="n">
        <v>150</v>
      </c>
      <c r="K31" s="11" t="n">
        <f aca="false">H31*I31-J31</f>
        <v>1325</v>
      </c>
      <c r="L31" s="7" t="s">
        <v>88</v>
      </c>
      <c r="M31" s="7" t="s">
        <v>238</v>
      </c>
      <c r="N31" s="7"/>
      <c r="O31" s="7"/>
    </row>
    <row r="32" customFormat="false" ht="15" hidden="false" customHeight="false" outlineLevel="0" collapsed="false">
      <c r="A32" s="7" t="s">
        <v>989</v>
      </c>
      <c r="B32" s="10" t="n">
        <v>45662</v>
      </c>
      <c r="C32" s="7" t="s">
        <v>693</v>
      </c>
      <c r="D32" s="7" t="s">
        <v>990</v>
      </c>
      <c r="E32" s="7" t="s">
        <v>159</v>
      </c>
      <c r="F32" s="7" t="s">
        <v>136</v>
      </c>
      <c r="G32" s="7" t="s">
        <v>90</v>
      </c>
      <c r="H32" s="7" t="n">
        <v>1</v>
      </c>
      <c r="I32" s="11" t="n">
        <v>265</v>
      </c>
      <c r="J32" s="11" t="n">
        <v>0</v>
      </c>
      <c r="K32" s="11" t="n">
        <f aca="false">H32*I32-J32</f>
        <v>265</v>
      </c>
      <c r="L32" s="7" t="s">
        <v>133</v>
      </c>
      <c r="M32" s="7" t="s">
        <v>194</v>
      </c>
      <c r="N32" s="7" t="n">
        <v>34</v>
      </c>
      <c r="O32" s="7" t="n">
        <v>4</v>
      </c>
    </row>
    <row r="33" customFormat="false" ht="15" hidden="false" customHeight="false" outlineLevel="0" collapsed="false">
      <c r="A33" s="7" t="s">
        <v>5345</v>
      </c>
      <c r="B33" s="10" t="n">
        <v>45662</v>
      </c>
      <c r="C33" s="7" t="s">
        <v>1161</v>
      </c>
      <c r="D33" s="7" t="s">
        <v>3529</v>
      </c>
      <c r="E33" s="7" t="s">
        <v>122</v>
      </c>
      <c r="F33" s="7" t="s">
        <v>101</v>
      </c>
      <c r="G33" s="7" t="s">
        <v>123</v>
      </c>
      <c r="H33" s="7" t="n">
        <v>1</v>
      </c>
      <c r="I33" s="11" t="n">
        <v>340</v>
      </c>
      <c r="J33" s="11" t="n">
        <v>100</v>
      </c>
      <c r="K33" s="11" t="n">
        <f aca="false">H33*I33-J33</f>
        <v>240</v>
      </c>
      <c r="L33" s="7" t="s">
        <v>88</v>
      </c>
      <c r="M33" s="7" t="s">
        <v>194</v>
      </c>
      <c r="N33" s="7" t="n">
        <v>48</v>
      </c>
      <c r="O33" s="7" t="n">
        <v>5</v>
      </c>
    </row>
    <row r="34" customFormat="false" ht="15" hidden="false" customHeight="false" outlineLevel="0" collapsed="false">
      <c r="A34" s="7" t="s">
        <v>2881</v>
      </c>
      <c r="B34" s="10" t="n">
        <v>45662</v>
      </c>
      <c r="C34" s="7" t="s">
        <v>2882</v>
      </c>
      <c r="D34" s="7" t="s">
        <v>2883</v>
      </c>
      <c r="E34" s="7" t="s">
        <v>126</v>
      </c>
      <c r="F34" s="7" t="s">
        <v>101</v>
      </c>
      <c r="G34" s="7" t="s">
        <v>105</v>
      </c>
      <c r="H34" s="7" t="n">
        <v>1</v>
      </c>
      <c r="I34" s="11" t="n">
        <v>245</v>
      </c>
      <c r="J34" s="11" t="n">
        <v>0</v>
      </c>
      <c r="K34" s="11" t="n">
        <f aca="false">H34*I34-J34</f>
        <v>245</v>
      </c>
      <c r="L34" s="7" t="s">
        <v>88</v>
      </c>
      <c r="M34" s="7" t="s">
        <v>194</v>
      </c>
      <c r="N34" s="7" t="n">
        <v>55</v>
      </c>
      <c r="O34" s="7" t="n">
        <v>4</v>
      </c>
    </row>
    <row r="35" customFormat="false" ht="15" hidden="false" customHeight="false" outlineLevel="0" collapsed="false">
      <c r="A35" s="7" t="s">
        <v>6086</v>
      </c>
      <c r="B35" s="10" t="n">
        <v>45662</v>
      </c>
      <c r="C35" s="7" t="s">
        <v>1168</v>
      </c>
      <c r="D35" s="7" t="s">
        <v>1272</v>
      </c>
      <c r="E35" s="7" t="s">
        <v>138</v>
      </c>
      <c r="F35" s="7" t="s">
        <v>110</v>
      </c>
      <c r="G35" s="7" t="s">
        <v>139</v>
      </c>
      <c r="H35" s="7" t="n">
        <v>2</v>
      </c>
      <c r="I35" s="11" t="n">
        <v>195</v>
      </c>
      <c r="J35" s="11" t="n">
        <v>30</v>
      </c>
      <c r="K35" s="11" t="n">
        <f aca="false">H35*I35-J35</f>
        <v>360</v>
      </c>
      <c r="L35" s="7" t="s">
        <v>93</v>
      </c>
      <c r="M35" s="7" t="s">
        <v>194</v>
      </c>
      <c r="N35" s="7" t="n">
        <v>55</v>
      </c>
      <c r="O35" s="7" t="n">
        <v>2</v>
      </c>
    </row>
    <row r="36" customFormat="false" ht="15" hidden="false" customHeight="false" outlineLevel="0" collapsed="false">
      <c r="A36" s="7" t="s">
        <v>957</v>
      </c>
      <c r="B36" s="10" t="n">
        <v>45662</v>
      </c>
      <c r="C36" s="7" t="s">
        <v>914</v>
      </c>
      <c r="D36" s="7" t="s">
        <v>863</v>
      </c>
      <c r="E36" s="7" t="s">
        <v>158</v>
      </c>
      <c r="F36" s="7" t="s">
        <v>136</v>
      </c>
      <c r="G36" s="7" t="s">
        <v>139</v>
      </c>
      <c r="H36" s="7" t="n">
        <v>1</v>
      </c>
      <c r="I36" s="11" t="n">
        <v>165</v>
      </c>
      <c r="J36" s="11" t="n">
        <v>50</v>
      </c>
      <c r="K36" s="11" t="n">
        <f aca="false">H36*I36-J36</f>
        <v>115</v>
      </c>
      <c r="L36" s="7" t="s">
        <v>112</v>
      </c>
      <c r="M36" s="7" t="s">
        <v>194</v>
      </c>
      <c r="N36" s="7" t="n">
        <v>36</v>
      </c>
      <c r="O36" s="7" t="n">
        <v>5</v>
      </c>
    </row>
    <row r="37" customFormat="false" ht="15" hidden="false" customHeight="false" outlineLevel="0" collapsed="false">
      <c r="A37" s="7" t="s">
        <v>3741</v>
      </c>
      <c r="B37" s="10" t="n">
        <v>45662</v>
      </c>
      <c r="C37" s="7" t="s">
        <v>716</v>
      </c>
      <c r="D37" s="7" t="s">
        <v>1420</v>
      </c>
      <c r="E37" s="7" t="s">
        <v>104</v>
      </c>
      <c r="F37" s="7" t="s">
        <v>86</v>
      </c>
      <c r="G37" s="7" t="s">
        <v>105</v>
      </c>
      <c r="H37" s="7" t="n">
        <v>3</v>
      </c>
      <c r="I37" s="11" t="n">
        <v>220</v>
      </c>
      <c r="J37" s="11" t="n">
        <v>40</v>
      </c>
      <c r="K37" s="11" t="n">
        <f aca="false">H37*I37-J37</f>
        <v>620</v>
      </c>
      <c r="L37" s="7" t="s">
        <v>88</v>
      </c>
      <c r="M37" s="7" t="s">
        <v>194</v>
      </c>
      <c r="N37" s="7" t="n">
        <v>55</v>
      </c>
      <c r="O37" s="7" t="n">
        <v>3</v>
      </c>
    </row>
    <row r="38" customFormat="false" ht="15" hidden="false" customHeight="false" outlineLevel="0" collapsed="false">
      <c r="A38" s="7" t="s">
        <v>1425</v>
      </c>
      <c r="B38" s="10" t="n">
        <v>45663</v>
      </c>
      <c r="C38" s="7" t="s">
        <v>1427</v>
      </c>
      <c r="D38" s="7" t="s">
        <v>277</v>
      </c>
      <c r="E38" s="7" t="s">
        <v>113</v>
      </c>
      <c r="F38" s="7" t="s">
        <v>101</v>
      </c>
      <c r="G38" s="7" t="s">
        <v>90</v>
      </c>
      <c r="H38" s="7" t="n">
        <v>2</v>
      </c>
      <c r="I38" s="11" t="n">
        <v>175</v>
      </c>
      <c r="J38" s="11" t="n">
        <v>0</v>
      </c>
      <c r="K38" s="11" t="n">
        <f aca="false">H38*I38-J38</f>
        <v>350</v>
      </c>
      <c r="L38" s="7" t="s">
        <v>93</v>
      </c>
      <c r="M38" s="7" t="s">
        <v>194</v>
      </c>
      <c r="N38" s="7" t="n">
        <v>47</v>
      </c>
      <c r="O38" s="7" t="n">
        <v>4</v>
      </c>
    </row>
    <row r="39" customFormat="false" ht="15" hidden="false" customHeight="false" outlineLevel="0" collapsed="false">
      <c r="A39" s="7" t="s">
        <v>2389</v>
      </c>
      <c r="B39" s="10" t="n">
        <v>45663</v>
      </c>
      <c r="C39" s="7" t="s">
        <v>2390</v>
      </c>
      <c r="D39" s="7" t="s">
        <v>2391</v>
      </c>
      <c r="E39" s="7" t="s">
        <v>94</v>
      </c>
      <c r="F39" s="7" t="s">
        <v>86</v>
      </c>
      <c r="G39" s="7" t="s">
        <v>95</v>
      </c>
      <c r="H39" s="7" t="n">
        <v>1</v>
      </c>
      <c r="I39" s="11" t="n">
        <v>125</v>
      </c>
      <c r="J39" s="11" t="n">
        <v>0</v>
      </c>
      <c r="K39" s="11" t="n">
        <f aca="false">H39*I39-J39</f>
        <v>125</v>
      </c>
      <c r="L39" s="7" t="s">
        <v>93</v>
      </c>
      <c r="M39" s="7" t="s">
        <v>194</v>
      </c>
      <c r="N39" s="7" t="n">
        <v>50</v>
      </c>
      <c r="O39" s="7" t="n">
        <v>5</v>
      </c>
    </row>
    <row r="40" customFormat="false" ht="15" hidden="false" customHeight="false" outlineLevel="0" collapsed="false">
      <c r="A40" s="7" t="s">
        <v>4986</v>
      </c>
      <c r="B40" s="10" t="n">
        <v>45663</v>
      </c>
      <c r="C40" s="7" t="s">
        <v>2654</v>
      </c>
      <c r="D40" s="7" t="s">
        <v>940</v>
      </c>
      <c r="E40" s="7" t="s">
        <v>113</v>
      </c>
      <c r="F40" s="7" t="s">
        <v>101</v>
      </c>
      <c r="G40" s="7" t="s">
        <v>90</v>
      </c>
      <c r="H40" s="7" t="n">
        <v>1</v>
      </c>
      <c r="I40" s="11" t="n">
        <v>195</v>
      </c>
      <c r="J40" s="11" t="n">
        <v>78</v>
      </c>
      <c r="K40" s="11" t="n">
        <f aca="false">H40*I40-J40</f>
        <v>117</v>
      </c>
      <c r="L40" s="7" t="s">
        <v>133</v>
      </c>
      <c r="M40" s="7" t="s">
        <v>194</v>
      </c>
      <c r="N40" s="7" t="n">
        <v>48</v>
      </c>
      <c r="O40" s="7" t="n">
        <v>3</v>
      </c>
    </row>
    <row r="41" customFormat="false" ht="15" hidden="false" customHeight="false" outlineLevel="0" collapsed="false">
      <c r="A41" s="7" t="s">
        <v>6038</v>
      </c>
      <c r="B41" s="10" t="n">
        <v>45663</v>
      </c>
      <c r="C41" s="7" t="s">
        <v>747</v>
      </c>
      <c r="D41" s="7" t="s">
        <v>6001</v>
      </c>
      <c r="E41" s="7" t="s">
        <v>147</v>
      </c>
      <c r="F41" s="7" t="s">
        <v>119</v>
      </c>
      <c r="G41" s="7" t="s">
        <v>95</v>
      </c>
      <c r="H41" s="7" t="n">
        <v>1</v>
      </c>
      <c r="I41" s="11" t="n">
        <v>175</v>
      </c>
      <c r="J41" s="11" t="n">
        <v>30</v>
      </c>
      <c r="K41" s="11" t="n">
        <f aca="false">H41*I41-J41</f>
        <v>145</v>
      </c>
      <c r="L41" s="7" t="s">
        <v>88</v>
      </c>
      <c r="M41" s="7" t="s">
        <v>194</v>
      </c>
      <c r="N41" s="7" t="n">
        <v>27</v>
      </c>
      <c r="O41" s="7" t="n">
        <v>5</v>
      </c>
    </row>
    <row r="42" customFormat="false" ht="15" hidden="false" customHeight="false" outlineLevel="0" collapsed="false">
      <c r="A42" s="7" t="s">
        <v>3810</v>
      </c>
      <c r="B42" s="10" t="n">
        <v>45664</v>
      </c>
      <c r="C42" s="7" t="s">
        <v>2901</v>
      </c>
      <c r="D42" s="7" t="s">
        <v>3811</v>
      </c>
      <c r="E42" s="7" t="s">
        <v>152</v>
      </c>
      <c r="F42" s="7" t="s">
        <v>128</v>
      </c>
      <c r="G42" s="7" t="s">
        <v>95</v>
      </c>
      <c r="H42" s="7" t="n">
        <v>4</v>
      </c>
      <c r="I42" s="11" t="n">
        <v>100</v>
      </c>
      <c r="J42" s="11" t="n">
        <v>30</v>
      </c>
      <c r="K42" s="11" t="n">
        <f aca="false">H42*I42-J42</f>
        <v>370</v>
      </c>
      <c r="L42" s="7" t="s">
        <v>88</v>
      </c>
      <c r="M42" s="7" t="s">
        <v>194</v>
      </c>
      <c r="N42" s="7" t="n">
        <v>30</v>
      </c>
      <c r="O42" s="7" t="n">
        <v>4</v>
      </c>
    </row>
    <row r="43" customFormat="false" ht="15" hidden="false" customHeight="false" outlineLevel="0" collapsed="false">
      <c r="A43" s="7" t="s">
        <v>3982</v>
      </c>
      <c r="B43" s="10" t="n">
        <v>45664</v>
      </c>
      <c r="C43" s="7" t="s">
        <v>1140</v>
      </c>
      <c r="D43" s="7" t="s">
        <v>565</v>
      </c>
      <c r="E43" s="7" t="s">
        <v>154</v>
      </c>
      <c r="F43" s="7" t="s">
        <v>128</v>
      </c>
      <c r="G43" s="7" t="s">
        <v>99</v>
      </c>
      <c r="H43" s="7" t="n">
        <v>1</v>
      </c>
      <c r="I43" s="11" t="n">
        <v>265</v>
      </c>
      <c r="J43" s="11" t="n">
        <v>30</v>
      </c>
      <c r="K43" s="11" t="n">
        <f aca="false">H43*I43-J43</f>
        <v>235</v>
      </c>
      <c r="L43" s="7" t="s">
        <v>93</v>
      </c>
      <c r="M43" s="7" t="s">
        <v>194</v>
      </c>
      <c r="N43" s="7" t="n">
        <v>22</v>
      </c>
      <c r="O43" s="7" t="n">
        <v>3</v>
      </c>
    </row>
    <row r="44" customFormat="false" ht="15" hidden="false" customHeight="false" outlineLevel="0" collapsed="false">
      <c r="A44" s="7" t="s">
        <v>3902</v>
      </c>
      <c r="B44" s="10" t="n">
        <v>45664</v>
      </c>
      <c r="C44" s="7" t="s">
        <v>403</v>
      </c>
      <c r="D44" s="7" t="s">
        <v>2142</v>
      </c>
      <c r="E44" s="7" t="s">
        <v>113</v>
      </c>
      <c r="F44" s="7" t="s">
        <v>101</v>
      </c>
      <c r="G44" s="7" t="s">
        <v>90</v>
      </c>
      <c r="H44" s="7" t="n">
        <v>3</v>
      </c>
      <c r="I44" s="11" t="n">
        <v>220</v>
      </c>
      <c r="J44" s="11" t="n">
        <v>0</v>
      </c>
      <c r="K44" s="11" t="n">
        <f aca="false">H44*I44-J44</f>
        <v>660</v>
      </c>
      <c r="L44" s="7" t="s">
        <v>103</v>
      </c>
      <c r="M44" s="7" t="s">
        <v>194</v>
      </c>
      <c r="N44" s="7" t="n">
        <v>43</v>
      </c>
      <c r="O44" s="7" t="n">
        <v>2</v>
      </c>
    </row>
    <row r="45" customFormat="false" ht="15" hidden="false" customHeight="false" outlineLevel="0" collapsed="false">
      <c r="A45" s="7" t="s">
        <v>2872</v>
      </c>
      <c r="B45" s="10" t="n">
        <v>45664</v>
      </c>
      <c r="C45" s="7" t="s">
        <v>2874</v>
      </c>
      <c r="D45" s="7" t="s">
        <v>2875</v>
      </c>
      <c r="E45" s="7" t="s">
        <v>138</v>
      </c>
      <c r="F45" s="7" t="s">
        <v>110</v>
      </c>
      <c r="G45" s="7" t="s">
        <v>139</v>
      </c>
      <c r="H45" s="7" t="n">
        <v>1</v>
      </c>
      <c r="I45" s="11" t="n">
        <v>180</v>
      </c>
      <c r="J45" s="11" t="n">
        <v>72</v>
      </c>
      <c r="K45" s="11" t="n">
        <f aca="false">H45*I45-J45</f>
        <v>108</v>
      </c>
      <c r="L45" s="7" t="s">
        <v>93</v>
      </c>
      <c r="M45" s="7" t="s">
        <v>194</v>
      </c>
      <c r="N45" s="7" t="n">
        <v>33</v>
      </c>
      <c r="O45" s="7" t="n">
        <v>4</v>
      </c>
    </row>
    <row r="46" customFormat="false" ht="15" hidden="false" customHeight="false" outlineLevel="0" collapsed="false">
      <c r="A46" s="7" t="s">
        <v>6029</v>
      </c>
      <c r="B46" s="10" t="n">
        <v>45664</v>
      </c>
      <c r="C46" s="7" t="s">
        <v>5675</v>
      </c>
      <c r="D46" s="7" t="s">
        <v>336</v>
      </c>
      <c r="E46" s="7" t="s">
        <v>158</v>
      </c>
      <c r="F46" s="7" t="s">
        <v>136</v>
      </c>
      <c r="G46" s="7" t="s">
        <v>139</v>
      </c>
      <c r="H46" s="7" t="n">
        <v>1</v>
      </c>
      <c r="I46" s="11" t="n">
        <v>190</v>
      </c>
      <c r="J46" s="11" t="n">
        <v>40</v>
      </c>
      <c r="K46" s="11" t="n">
        <f aca="false">H46*I46-J46</f>
        <v>150</v>
      </c>
      <c r="L46" s="7" t="s">
        <v>93</v>
      </c>
      <c r="M46" s="7" t="s">
        <v>194</v>
      </c>
      <c r="N46" s="7" t="n">
        <v>30</v>
      </c>
      <c r="O46" s="7" t="n">
        <v>4</v>
      </c>
    </row>
    <row r="47" customFormat="false" ht="15" hidden="false" customHeight="false" outlineLevel="0" collapsed="false">
      <c r="A47" s="7" t="s">
        <v>781</v>
      </c>
      <c r="B47" s="10" t="n">
        <v>45664</v>
      </c>
      <c r="C47" s="7" t="s">
        <v>783</v>
      </c>
      <c r="D47" s="7" t="s">
        <v>784</v>
      </c>
      <c r="E47" s="7" t="s">
        <v>94</v>
      </c>
      <c r="F47" s="7" t="s">
        <v>86</v>
      </c>
      <c r="G47" s="7" t="s">
        <v>95</v>
      </c>
      <c r="H47" s="7" t="n">
        <v>4</v>
      </c>
      <c r="I47" s="11" t="n">
        <v>145</v>
      </c>
      <c r="J47" s="11" t="n">
        <v>125</v>
      </c>
      <c r="K47" s="11" t="n">
        <f aca="false">H47*I47-J47</f>
        <v>455</v>
      </c>
      <c r="L47" s="7" t="s">
        <v>88</v>
      </c>
      <c r="M47" s="7" t="s">
        <v>194</v>
      </c>
      <c r="N47" s="7" t="n">
        <v>43</v>
      </c>
      <c r="O47" s="7" t="n">
        <v>5</v>
      </c>
    </row>
    <row r="48" customFormat="false" ht="15" hidden="false" customHeight="false" outlineLevel="0" collapsed="false">
      <c r="A48" s="7" t="s">
        <v>2802</v>
      </c>
      <c r="B48" s="10" t="n">
        <v>45664</v>
      </c>
      <c r="C48" s="7" t="s">
        <v>1869</v>
      </c>
      <c r="D48" s="7" t="s">
        <v>1072</v>
      </c>
      <c r="E48" s="7" t="s">
        <v>94</v>
      </c>
      <c r="F48" s="7" t="s">
        <v>86</v>
      </c>
      <c r="G48" s="7" t="s">
        <v>95</v>
      </c>
      <c r="H48" s="7" t="n">
        <v>1</v>
      </c>
      <c r="I48" s="11" t="n">
        <v>140</v>
      </c>
      <c r="J48" s="11" t="n">
        <v>0</v>
      </c>
      <c r="K48" s="11" t="n">
        <f aca="false">H48*I48-J48</f>
        <v>140</v>
      </c>
      <c r="L48" s="7" t="s">
        <v>133</v>
      </c>
      <c r="M48" s="7" t="s">
        <v>194</v>
      </c>
      <c r="N48" s="7" t="n">
        <v>30</v>
      </c>
      <c r="O48" s="7" t="n">
        <v>4</v>
      </c>
    </row>
    <row r="49" customFormat="false" ht="15" hidden="false" customHeight="false" outlineLevel="0" collapsed="false">
      <c r="A49" s="7" t="s">
        <v>6068</v>
      </c>
      <c r="B49" s="10" t="n">
        <v>45664</v>
      </c>
      <c r="C49" s="7" t="s">
        <v>452</v>
      </c>
      <c r="D49" s="7" t="s">
        <v>6069</v>
      </c>
      <c r="E49" s="7" t="s">
        <v>122</v>
      </c>
      <c r="F49" s="7" t="s">
        <v>101</v>
      </c>
      <c r="G49" s="7" t="s">
        <v>123</v>
      </c>
      <c r="H49" s="7" t="n">
        <v>4</v>
      </c>
      <c r="I49" s="11" t="n">
        <v>320</v>
      </c>
      <c r="J49" s="11" t="n">
        <v>20</v>
      </c>
      <c r="K49" s="11" t="n">
        <f aca="false">H49*I49-J49</f>
        <v>1260</v>
      </c>
      <c r="L49" s="7" t="s">
        <v>112</v>
      </c>
      <c r="M49" s="7" t="s">
        <v>194</v>
      </c>
      <c r="N49" s="7"/>
      <c r="O49" s="7" t="n">
        <v>2</v>
      </c>
    </row>
    <row r="50" customFormat="false" ht="15" hidden="false" customHeight="false" outlineLevel="0" collapsed="false">
      <c r="A50" s="7" t="s">
        <v>2965</v>
      </c>
      <c r="B50" s="10" t="n">
        <v>45665</v>
      </c>
      <c r="C50" s="7" t="s">
        <v>2966</v>
      </c>
      <c r="D50" s="7" t="s">
        <v>2967</v>
      </c>
      <c r="E50" s="7" t="s">
        <v>147</v>
      </c>
      <c r="F50" s="7" t="s">
        <v>119</v>
      </c>
      <c r="G50" s="7" t="s">
        <v>95</v>
      </c>
      <c r="H50" s="7" t="n">
        <v>2</v>
      </c>
      <c r="I50" s="11" t="n">
        <v>165</v>
      </c>
      <c r="J50" s="11" t="n">
        <v>0</v>
      </c>
      <c r="K50" s="11" t="n">
        <f aca="false">H50*I50-J50</f>
        <v>330</v>
      </c>
      <c r="L50" s="7" t="s">
        <v>88</v>
      </c>
      <c r="M50" s="7" t="s">
        <v>194</v>
      </c>
      <c r="N50" s="7" t="n">
        <v>34</v>
      </c>
      <c r="O50" s="7" t="n">
        <v>2</v>
      </c>
    </row>
    <row r="51" customFormat="false" ht="15" hidden="false" customHeight="false" outlineLevel="0" collapsed="false">
      <c r="A51" s="7" t="s">
        <v>5997</v>
      </c>
      <c r="B51" s="10" t="n">
        <v>45665</v>
      </c>
      <c r="C51" s="7" t="s">
        <v>759</v>
      </c>
      <c r="D51" s="7" t="s">
        <v>5998</v>
      </c>
      <c r="E51" s="7" t="s">
        <v>167</v>
      </c>
      <c r="F51" s="7" t="s">
        <v>146</v>
      </c>
      <c r="G51" s="7" t="s">
        <v>156</v>
      </c>
      <c r="H51" s="7" t="n">
        <v>2</v>
      </c>
      <c r="I51" s="11" t="n">
        <v>270</v>
      </c>
      <c r="J51" s="11" t="n">
        <v>0</v>
      </c>
      <c r="K51" s="11" t="n">
        <f aca="false">H51*I51-J51</f>
        <v>540</v>
      </c>
      <c r="L51" s="7" t="s">
        <v>88</v>
      </c>
      <c r="M51" s="7" t="s">
        <v>194</v>
      </c>
      <c r="N51" s="7" t="n">
        <v>33</v>
      </c>
      <c r="O51" s="7"/>
    </row>
    <row r="52" customFormat="false" ht="15" hidden="false" customHeight="false" outlineLevel="0" collapsed="false">
      <c r="A52" s="7" t="s">
        <v>5332</v>
      </c>
      <c r="B52" s="10" t="n">
        <v>45665</v>
      </c>
      <c r="C52" s="7" t="s">
        <v>2202</v>
      </c>
      <c r="D52" s="7" t="s">
        <v>766</v>
      </c>
      <c r="E52" s="7" t="s">
        <v>98</v>
      </c>
      <c r="F52" s="7" t="s">
        <v>86</v>
      </c>
      <c r="G52" s="7" t="s">
        <v>99</v>
      </c>
      <c r="H52" s="7" t="n">
        <v>1</v>
      </c>
      <c r="I52" s="11" t="n">
        <v>285</v>
      </c>
      <c r="J52" s="11" t="n">
        <v>0</v>
      </c>
      <c r="K52" s="11" t="n">
        <f aca="false">H52*I52-J52</f>
        <v>285</v>
      </c>
      <c r="L52" s="7" t="s">
        <v>112</v>
      </c>
      <c r="M52" s="7" t="s">
        <v>194</v>
      </c>
      <c r="N52" s="7" t="n">
        <v>51</v>
      </c>
      <c r="O52" s="7" t="n">
        <v>5</v>
      </c>
    </row>
    <row r="53" customFormat="false" ht="15" hidden="false" customHeight="false" outlineLevel="0" collapsed="false">
      <c r="A53" s="7" t="s">
        <v>2018</v>
      </c>
      <c r="B53" s="10" t="n">
        <v>45665</v>
      </c>
      <c r="C53" s="7" t="s">
        <v>2020</v>
      </c>
      <c r="D53" s="7" t="s">
        <v>2021</v>
      </c>
      <c r="E53" s="7" t="s">
        <v>144</v>
      </c>
      <c r="F53" s="7" t="s">
        <v>119</v>
      </c>
      <c r="G53" s="7" t="s">
        <v>99</v>
      </c>
      <c r="H53" s="7" t="n">
        <v>2</v>
      </c>
      <c r="I53" s="11" t="n">
        <v>310</v>
      </c>
      <c r="J53" s="11" t="n">
        <v>0</v>
      </c>
      <c r="K53" s="11" t="n">
        <f aca="false">H53*I53-J53</f>
        <v>620</v>
      </c>
      <c r="L53" s="7" t="s">
        <v>121</v>
      </c>
      <c r="M53" s="7" t="s">
        <v>194</v>
      </c>
      <c r="N53" s="7" t="n">
        <v>33</v>
      </c>
      <c r="O53" s="7" t="n">
        <v>5</v>
      </c>
    </row>
    <row r="54" customFormat="false" ht="15" hidden="false" customHeight="false" outlineLevel="0" collapsed="false">
      <c r="A54" s="7" t="s">
        <v>5503</v>
      </c>
      <c r="B54" s="10" t="n">
        <v>45665</v>
      </c>
      <c r="C54" s="7" t="s">
        <v>519</v>
      </c>
      <c r="D54" s="7" t="s">
        <v>5117</v>
      </c>
      <c r="E54" s="7" t="s">
        <v>164</v>
      </c>
      <c r="F54" s="7" t="s">
        <v>141</v>
      </c>
      <c r="G54" s="7" t="s">
        <v>150</v>
      </c>
      <c r="H54" s="7" t="n">
        <v>1</v>
      </c>
      <c r="I54" s="11" t="n">
        <v>140</v>
      </c>
      <c r="J54" s="11" t="n">
        <v>40</v>
      </c>
      <c r="K54" s="11" t="n">
        <f aca="false">H54*I54-J54</f>
        <v>100</v>
      </c>
      <c r="L54" s="7" t="s">
        <v>103</v>
      </c>
      <c r="M54" s="7" t="s">
        <v>194</v>
      </c>
      <c r="N54" s="7"/>
      <c r="O54" s="7"/>
    </row>
    <row r="55" customFormat="false" ht="15" hidden="false" customHeight="false" outlineLevel="0" collapsed="false">
      <c r="A55" s="7" t="s">
        <v>1906</v>
      </c>
      <c r="B55" s="10" t="n">
        <v>45665</v>
      </c>
      <c r="C55" s="7" t="s">
        <v>732</v>
      </c>
      <c r="D55" s="7" t="s">
        <v>1908</v>
      </c>
      <c r="E55" s="7" t="s">
        <v>144</v>
      </c>
      <c r="F55" s="7" t="s">
        <v>119</v>
      </c>
      <c r="G55" s="7" t="s">
        <v>99</v>
      </c>
      <c r="H55" s="7" t="n">
        <v>1</v>
      </c>
      <c r="I55" s="11" t="n">
        <v>320</v>
      </c>
      <c r="J55" s="11" t="n">
        <v>20</v>
      </c>
      <c r="K55" s="11" t="n">
        <f aca="false">H55*I55-J55</f>
        <v>300</v>
      </c>
      <c r="L55" s="7" t="s">
        <v>88</v>
      </c>
      <c r="M55" s="7" t="s">
        <v>194</v>
      </c>
      <c r="N55" s="7" t="n">
        <v>45</v>
      </c>
      <c r="O55" s="7" t="n">
        <v>5</v>
      </c>
    </row>
    <row r="56" customFormat="false" ht="15" hidden="false" customHeight="false" outlineLevel="0" collapsed="false">
      <c r="A56" s="7" t="s">
        <v>3057</v>
      </c>
      <c r="B56" s="10" t="n">
        <v>45665</v>
      </c>
      <c r="C56" s="7" t="s">
        <v>870</v>
      </c>
      <c r="D56" s="7" t="s">
        <v>3058</v>
      </c>
      <c r="E56" s="7" t="s">
        <v>134</v>
      </c>
      <c r="F56" s="7" t="s">
        <v>110</v>
      </c>
      <c r="G56" s="7" t="s">
        <v>117</v>
      </c>
      <c r="H56" s="7" t="n">
        <v>1</v>
      </c>
      <c r="I56" s="11" t="n">
        <v>120</v>
      </c>
      <c r="J56" s="11" t="n">
        <v>48</v>
      </c>
      <c r="K56" s="11" t="n">
        <f aca="false">H56*I56-J56</f>
        <v>72</v>
      </c>
      <c r="L56" s="7" t="s">
        <v>93</v>
      </c>
      <c r="M56" s="7" t="s">
        <v>194</v>
      </c>
      <c r="N56" s="7" t="n">
        <v>35</v>
      </c>
      <c r="O56" s="7" t="n">
        <v>5</v>
      </c>
    </row>
    <row r="57" customFormat="false" ht="15" hidden="false" customHeight="false" outlineLevel="0" collapsed="false">
      <c r="A57" s="7" t="s">
        <v>4512</v>
      </c>
      <c r="B57" s="10" t="n">
        <v>45665</v>
      </c>
      <c r="C57" s="7" t="s">
        <v>4513</v>
      </c>
      <c r="D57" s="7" t="s">
        <v>1216</v>
      </c>
      <c r="E57" s="7" t="s">
        <v>122</v>
      </c>
      <c r="F57" s="7" t="s">
        <v>101</v>
      </c>
      <c r="G57" s="7" t="s">
        <v>123</v>
      </c>
      <c r="H57" s="7" t="n">
        <v>2</v>
      </c>
      <c r="I57" s="11" t="n">
        <v>350</v>
      </c>
      <c r="J57" s="11" t="n">
        <v>0</v>
      </c>
      <c r="K57" s="11" t="n">
        <f aca="false">H57*I57-J57</f>
        <v>700</v>
      </c>
      <c r="L57" s="7" t="s">
        <v>121</v>
      </c>
      <c r="M57" s="7" t="s">
        <v>194</v>
      </c>
      <c r="N57" s="7" t="n">
        <v>45</v>
      </c>
      <c r="O57" s="7" t="n">
        <v>4</v>
      </c>
    </row>
    <row r="58" customFormat="false" ht="15" hidden="false" customHeight="false" outlineLevel="0" collapsed="false">
      <c r="A58" s="7" t="s">
        <v>3955</v>
      </c>
      <c r="B58" s="10" t="n">
        <v>45666</v>
      </c>
      <c r="C58" s="7" t="s">
        <v>2252</v>
      </c>
      <c r="D58" s="7" t="s">
        <v>3956</v>
      </c>
      <c r="E58" s="7" t="s">
        <v>122</v>
      </c>
      <c r="F58" s="7" t="s">
        <v>101</v>
      </c>
      <c r="G58" s="7" t="s">
        <v>123</v>
      </c>
      <c r="H58" s="7" t="n">
        <v>2</v>
      </c>
      <c r="I58" s="11" t="n">
        <v>325</v>
      </c>
      <c r="J58" s="11" t="n">
        <v>0</v>
      </c>
      <c r="K58" s="11" t="n">
        <f aca="false">H58*I58-J58</f>
        <v>650</v>
      </c>
      <c r="L58" s="7" t="s">
        <v>103</v>
      </c>
      <c r="M58" s="7" t="s">
        <v>194</v>
      </c>
      <c r="N58" s="7" t="n">
        <v>39</v>
      </c>
      <c r="O58" s="7" t="n">
        <v>5</v>
      </c>
    </row>
    <row r="59" customFormat="false" ht="15" hidden="false" customHeight="false" outlineLevel="0" collapsed="false">
      <c r="A59" s="7" t="s">
        <v>2655</v>
      </c>
      <c r="B59" s="10" t="n">
        <v>45666</v>
      </c>
      <c r="C59" s="7" t="s">
        <v>1795</v>
      </c>
      <c r="D59" s="7" t="s">
        <v>2256</v>
      </c>
      <c r="E59" s="7" t="s">
        <v>147</v>
      </c>
      <c r="F59" s="7" t="s">
        <v>119</v>
      </c>
      <c r="G59" s="7" t="s">
        <v>95</v>
      </c>
      <c r="H59" s="7" t="n">
        <v>1</v>
      </c>
      <c r="I59" s="11" t="n">
        <v>160</v>
      </c>
      <c r="J59" s="11" t="n">
        <v>0</v>
      </c>
      <c r="K59" s="11" t="n">
        <f aca="false">H59*I59-J59</f>
        <v>160</v>
      </c>
      <c r="L59" s="7" t="s">
        <v>6170</v>
      </c>
      <c r="M59" s="7" t="s">
        <v>194</v>
      </c>
      <c r="N59" s="7" t="n">
        <v>31</v>
      </c>
      <c r="O59" s="7"/>
    </row>
    <row r="60" customFormat="false" ht="15" hidden="false" customHeight="false" outlineLevel="0" collapsed="false">
      <c r="A60" s="7" t="s">
        <v>2136</v>
      </c>
      <c r="B60" s="10" t="n">
        <v>45666</v>
      </c>
      <c r="C60" s="7" t="s">
        <v>2138</v>
      </c>
      <c r="D60" s="7" t="s">
        <v>2139</v>
      </c>
      <c r="E60" s="7" t="s">
        <v>94</v>
      </c>
      <c r="F60" s="7" t="s">
        <v>86</v>
      </c>
      <c r="G60" s="7" t="s">
        <v>95</v>
      </c>
      <c r="H60" s="7" t="n">
        <v>3</v>
      </c>
      <c r="I60" s="11" t="n">
        <v>95</v>
      </c>
      <c r="J60" s="11" t="n">
        <v>50</v>
      </c>
      <c r="K60" s="11" t="n">
        <f aca="false">H60*I60-J60</f>
        <v>235</v>
      </c>
      <c r="L60" s="7" t="s">
        <v>88</v>
      </c>
      <c r="M60" s="7" t="s">
        <v>194</v>
      </c>
      <c r="N60" s="7" t="n">
        <v>35</v>
      </c>
      <c r="O60" s="7" t="n">
        <v>4</v>
      </c>
    </row>
    <row r="61" customFormat="false" ht="15" hidden="false" customHeight="false" outlineLevel="0" collapsed="false">
      <c r="A61" s="7" t="s">
        <v>4254</v>
      </c>
      <c r="B61" s="10" t="n">
        <v>45666</v>
      </c>
      <c r="C61" s="7" t="s">
        <v>4255</v>
      </c>
      <c r="D61" s="7" t="s">
        <v>617</v>
      </c>
      <c r="E61" s="7" t="s">
        <v>113</v>
      </c>
      <c r="F61" s="7" t="s">
        <v>101</v>
      </c>
      <c r="G61" s="7" t="s">
        <v>90</v>
      </c>
      <c r="H61" s="7" t="n">
        <v>2</v>
      </c>
      <c r="I61" s="11" t="n">
        <v>245</v>
      </c>
      <c r="J61" s="11" t="n">
        <v>20</v>
      </c>
      <c r="K61" s="11" t="n">
        <f aca="false">H61*I61-J61</f>
        <v>470</v>
      </c>
      <c r="L61" s="7" t="s">
        <v>103</v>
      </c>
      <c r="M61" s="7" t="s">
        <v>194</v>
      </c>
      <c r="N61" s="7" t="n">
        <v>47</v>
      </c>
      <c r="O61" s="7" t="n">
        <v>4</v>
      </c>
    </row>
    <row r="62" customFormat="false" ht="15" hidden="false" customHeight="false" outlineLevel="0" collapsed="false">
      <c r="A62" s="7" t="s">
        <v>1713</v>
      </c>
      <c r="B62" s="10" t="n">
        <v>45666</v>
      </c>
      <c r="C62" s="7" t="s">
        <v>1715</v>
      </c>
      <c r="D62" s="7" t="s">
        <v>1716</v>
      </c>
      <c r="E62" s="7" t="s">
        <v>122</v>
      </c>
      <c r="F62" s="7" t="s">
        <v>101</v>
      </c>
      <c r="G62" s="7" t="s">
        <v>123</v>
      </c>
      <c r="H62" s="7" t="n">
        <v>3</v>
      </c>
      <c r="I62" s="11" t="n">
        <v>440</v>
      </c>
      <c r="J62" s="11" t="n">
        <v>40</v>
      </c>
      <c r="K62" s="11" t="n">
        <f aca="false">H62*I62-J62</f>
        <v>1280</v>
      </c>
      <c r="L62" s="7" t="s">
        <v>88</v>
      </c>
      <c r="M62" s="7" t="s">
        <v>194</v>
      </c>
      <c r="N62" s="7" t="n">
        <v>44</v>
      </c>
      <c r="O62" s="7" t="n">
        <v>4</v>
      </c>
    </row>
    <row r="63" customFormat="false" ht="15" hidden="false" customHeight="false" outlineLevel="0" collapsed="false">
      <c r="A63" s="7" t="s">
        <v>5031</v>
      </c>
      <c r="B63" s="10" t="n">
        <v>45666</v>
      </c>
      <c r="C63" s="7" t="s">
        <v>2093</v>
      </c>
      <c r="D63" s="7" t="s">
        <v>5033</v>
      </c>
      <c r="E63" s="7" t="s">
        <v>142</v>
      </c>
      <c r="F63" s="7" t="s">
        <v>110</v>
      </c>
      <c r="G63" s="7" t="s">
        <v>105</v>
      </c>
      <c r="H63" s="7" t="n">
        <v>1</v>
      </c>
      <c r="I63" s="11" t="n">
        <v>195</v>
      </c>
      <c r="J63" s="11" t="n">
        <v>0</v>
      </c>
      <c r="K63" s="11" t="n">
        <f aca="false">H63*I63-J63</f>
        <v>195</v>
      </c>
      <c r="L63" s="7" t="s">
        <v>88</v>
      </c>
      <c r="M63" s="7" t="s">
        <v>194</v>
      </c>
      <c r="N63" s="7" t="n">
        <v>36</v>
      </c>
      <c r="O63" s="7" t="n">
        <v>5</v>
      </c>
    </row>
    <row r="64" customFormat="false" ht="15" hidden="false" customHeight="false" outlineLevel="0" collapsed="false">
      <c r="A64" s="7" t="s">
        <v>3793</v>
      </c>
      <c r="B64" s="10" t="n">
        <v>45666</v>
      </c>
      <c r="C64" s="7" t="s">
        <v>3794</v>
      </c>
      <c r="D64" s="7" t="s">
        <v>219</v>
      </c>
      <c r="E64" s="7" t="s">
        <v>89</v>
      </c>
      <c r="F64" s="7" t="s">
        <v>86</v>
      </c>
      <c r="G64" s="7" t="s">
        <v>90</v>
      </c>
      <c r="H64" s="7" t="n">
        <v>1</v>
      </c>
      <c r="I64" s="11" t="n">
        <v>270</v>
      </c>
      <c r="J64" s="11" t="n">
        <v>100</v>
      </c>
      <c r="K64" s="11" t="n">
        <f aca="false">H64*I64-J64</f>
        <v>170</v>
      </c>
      <c r="L64" s="7" t="s">
        <v>88</v>
      </c>
      <c r="M64" s="7" t="s">
        <v>194</v>
      </c>
      <c r="N64" s="7" t="n">
        <v>44</v>
      </c>
      <c r="O64" s="7" t="n">
        <v>3</v>
      </c>
    </row>
    <row r="65" customFormat="false" ht="15" hidden="false" customHeight="false" outlineLevel="0" collapsed="false">
      <c r="A65" s="7" t="s">
        <v>2035</v>
      </c>
      <c r="B65" s="10" t="n">
        <v>45666</v>
      </c>
      <c r="C65" s="7" t="s">
        <v>788</v>
      </c>
      <c r="D65" s="7" t="s">
        <v>2036</v>
      </c>
      <c r="E65" s="7" t="s">
        <v>148</v>
      </c>
      <c r="F65" s="7" t="s">
        <v>119</v>
      </c>
      <c r="G65" s="7" t="s">
        <v>123</v>
      </c>
      <c r="H65" s="7" t="n">
        <v>1</v>
      </c>
      <c r="I65" s="11" t="n">
        <v>335</v>
      </c>
      <c r="J65" s="11" t="n">
        <v>0</v>
      </c>
      <c r="K65" s="11" t="n">
        <f aca="false">H65*I65-J65</f>
        <v>335</v>
      </c>
      <c r="L65" s="7" t="s">
        <v>121</v>
      </c>
      <c r="M65" s="7" t="s">
        <v>194</v>
      </c>
      <c r="N65" s="7" t="n">
        <v>37</v>
      </c>
      <c r="O65" s="7" t="n">
        <v>4</v>
      </c>
    </row>
    <row r="66" customFormat="false" ht="15" hidden="false" customHeight="false" outlineLevel="0" collapsed="false">
      <c r="A66" s="7" t="s">
        <v>5348</v>
      </c>
      <c r="B66" s="10" t="n">
        <v>45666</v>
      </c>
      <c r="C66" s="7" t="s">
        <v>391</v>
      </c>
      <c r="D66" s="7" t="s">
        <v>3692</v>
      </c>
      <c r="E66" s="7" t="s">
        <v>113</v>
      </c>
      <c r="F66" s="7" t="s">
        <v>101</v>
      </c>
      <c r="G66" s="7" t="s">
        <v>90</v>
      </c>
      <c r="H66" s="7" t="n">
        <v>1</v>
      </c>
      <c r="I66" s="11" t="n">
        <v>195</v>
      </c>
      <c r="J66" s="11" t="n">
        <v>40</v>
      </c>
      <c r="K66" s="11" t="n">
        <f aca="false">H66*I66-J66</f>
        <v>155</v>
      </c>
      <c r="L66" s="7" t="s">
        <v>88</v>
      </c>
      <c r="M66" s="7" t="s">
        <v>194</v>
      </c>
      <c r="N66" s="7" t="n">
        <v>47</v>
      </c>
      <c r="O66" s="7" t="n">
        <v>4</v>
      </c>
    </row>
    <row r="67" customFormat="false" ht="15" hidden="false" customHeight="false" outlineLevel="0" collapsed="false">
      <c r="A67" s="7" t="s">
        <v>2982</v>
      </c>
      <c r="B67" s="10" t="n">
        <v>45666</v>
      </c>
      <c r="C67" s="7" t="s">
        <v>213</v>
      </c>
      <c r="D67" s="7" t="s">
        <v>2983</v>
      </c>
      <c r="E67" s="7" t="s">
        <v>147</v>
      </c>
      <c r="F67" s="7" t="s">
        <v>119</v>
      </c>
      <c r="G67" s="7" t="s">
        <v>95</v>
      </c>
      <c r="H67" s="7" t="n">
        <v>3</v>
      </c>
      <c r="I67" s="11" t="n">
        <v>130</v>
      </c>
      <c r="J67" s="11" t="n">
        <v>0</v>
      </c>
      <c r="K67" s="11" t="n">
        <f aca="false">H67*I67-J67</f>
        <v>390</v>
      </c>
      <c r="L67" s="7" t="s">
        <v>121</v>
      </c>
      <c r="M67" s="7" t="s">
        <v>194</v>
      </c>
      <c r="N67" s="7" t="n">
        <v>44</v>
      </c>
      <c r="O67" s="7" t="n">
        <v>5</v>
      </c>
    </row>
    <row r="68" customFormat="false" ht="15" hidden="false" customHeight="false" outlineLevel="0" collapsed="false">
      <c r="A68" s="7" t="s">
        <v>5342</v>
      </c>
      <c r="B68" s="10" t="n">
        <v>45666</v>
      </c>
      <c r="C68" s="7" t="s">
        <v>1501</v>
      </c>
      <c r="D68" s="7" t="s">
        <v>370</v>
      </c>
      <c r="E68" s="7" t="s">
        <v>116</v>
      </c>
      <c r="F68" s="7" t="s">
        <v>101</v>
      </c>
      <c r="G68" s="7" t="s">
        <v>117</v>
      </c>
      <c r="H68" s="7" t="n">
        <v>4</v>
      </c>
      <c r="I68" s="11" t="n">
        <v>155</v>
      </c>
      <c r="J68" s="11" t="n">
        <v>100</v>
      </c>
      <c r="K68" s="11" t="n">
        <f aca="false">H68*I68-J68</f>
        <v>520</v>
      </c>
      <c r="L68" s="7" t="s">
        <v>88</v>
      </c>
      <c r="M68" s="7" t="s">
        <v>194</v>
      </c>
      <c r="N68" s="7" t="n">
        <v>43</v>
      </c>
      <c r="O68" s="7" t="n">
        <v>5</v>
      </c>
    </row>
    <row r="69" customFormat="false" ht="15" hidden="false" customHeight="false" outlineLevel="0" collapsed="false">
      <c r="A69" s="7" t="s">
        <v>4764</v>
      </c>
      <c r="B69" s="10" t="n">
        <v>45666</v>
      </c>
      <c r="C69" s="7" t="s">
        <v>1920</v>
      </c>
      <c r="D69" s="7" t="s">
        <v>887</v>
      </c>
      <c r="E69" s="7" t="s">
        <v>116</v>
      </c>
      <c r="F69" s="7" t="s">
        <v>101</v>
      </c>
      <c r="G69" s="7" t="s">
        <v>117</v>
      </c>
      <c r="H69" s="7" t="n">
        <v>1</v>
      </c>
      <c r="I69" s="11" t="n">
        <v>140</v>
      </c>
      <c r="J69" s="11" t="n">
        <v>0</v>
      </c>
      <c r="K69" s="11" t="n">
        <f aca="false">H69*I69-J69</f>
        <v>140</v>
      </c>
      <c r="L69" s="7" t="s">
        <v>93</v>
      </c>
      <c r="M69" s="7" t="s">
        <v>194</v>
      </c>
      <c r="N69" s="7" t="n">
        <v>36</v>
      </c>
      <c r="O69" s="7" t="n">
        <v>3</v>
      </c>
    </row>
    <row r="70" customFormat="false" ht="15" hidden="false" customHeight="false" outlineLevel="0" collapsed="false">
      <c r="A70" s="7" t="s">
        <v>4349</v>
      </c>
      <c r="B70" s="10" t="n">
        <v>45667</v>
      </c>
      <c r="C70" s="7" t="s">
        <v>4156</v>
      </c>
      <c r="D70" s="7" t="s">
        <v>416</v>
      </c>
      <c r="E70" s="7" t="s">
        <v>142</v>
      </c>
      <c r="F70" s="7" t="s">
        <v>110</v>
      </c>
      <c r="G70" s="7" t="s">
        <v>105</v>
      </c>
      <c r="H70" s="7" t="n">
        <v>2</v>
      </c>
      <c r="I70" s="11" t="n">
        <v>155</v>
      </c>
      <c r="J70" s="11" t="n">
        <v>0</v>
      </c>
      <c r="K70" s="11" t="n">
        <f aca="false">H70*I70-J70</f>
        <v>310</v>
      </c>
      <c r="L70" s="7" t="s">
        <v>103</v>
      </c>
      <c r="M70" s="7" t="s">
        <v>194</v>
      </c>
      <c r="N70" s="7" t="n">
        <v>28</v>
      </c>
      <c r="O70" s="7" t="n">
        <v>4</v>
      </c>
    </row>
    <row r="71" customFormat="false" ht="15" hidden="false" customHeight="false" outlineLevel="0" collapsed="false">
      <c r="A71" s="7" t="s">
        <v>5878</v>
      </c>
      <c r="B71" s="10" t="n">
        <v>45667</v>
      </c>
      <c r="C71" s="7" t="s">
        <v>577</v>
      </c>
      <c r="D71" s="7" t="s">
        <v>4086</v>
      </c>
      <c r="E71" s="7" t="s">
        <v>157</v>
      </c>
      <c r="F71" s="7" t="s">
        <v>136</v>
      </c>
      <c r="G71" s="7" t="s">
        <v>117</v>
      </c>
      <c r="H71" s="7" t="n">
        <v>2</v>
      </c>
      <c r="I71" s="11" t="n">
        <v>90</v>
      </c>
      <c r="J71" s="11" t="n">
        <v>72</v>
      </c>
      <c r="K71" s="11" t="n">
        <f aca="false">H71*I71-J71</f>
        <v>108</v>
      </c>
      <c r="L71" s="7" t="s">
        <v>88</v>
      </c>
      <c r="M71" s="7" t="s">
        <v>194</v>
      </c>
      <c r="N71" s="7" t="n">
        <v>37</v>
      </c>
      <c r="O71" s="7" t="n">
        <v>3</v>
      </c>
    </row>
    <row r="72" customFormat="false" ht="15" hidden="false" customHeight="false" outlineLevel="0" collapsed="false">
      <c r="A72" s="7" t="s">
        <v>925</v>
      </c>
      <c r="B72" s="10" t="n">
        <v>45667</v>
      </c>
      <c r="C72" s="7" t="s">
        <v>927</v>
      </c>
      <c r="D72" s="7" t="s">
        <v>721</v>
      </c>
      <c r="E72" s="7" t="s">
        <v>94</v>
      </c>
      <c r="F72" s="7" t="s">
        <v>86</v>
      </c>
      <c r="G72" s="7" t="s">
        <v>95</v>
      </c>
      <c r="H72" s="7" t="n">
        <v>3</v>
      </c>
      <c r="I72" s="11" t="n">
        <v>125</v>
      </c>
      <c r="J72" s="11" t="n">
        <v>0</v>
      </c>
      <c r="K72" s="11" t="n">
        <f aca="false">H72*I72-J72</f>
        <v>375</v>
      </c>
      <c r="L72" s="7" t="s">
        <v>133</v>
      </c>
      <c r="M72" s="7" t="s">
        <v>194</v>
      </c>
      <c r="N72" s="7" t="n">
        <v>41</v>
      </c>
      <c r="O72" s="7" t="n">
        <v>4</v>
      </c>
    </row>
    <row r="73" customFormat="false" ht="15" hidden="false" customHeight="false" outlineLevel="0" collapsed="false">
      <c r="A73" s="7" t="s">
        <v>1496</v>
      </c>
      <c r="B73" s="10" t="n">
        <v>45667</v>
      </c>
      <c r="C73" s="7" t="s">
        <v>519</v>
      </c>
      <c r="D73" s="7" t="s">
        <v>1498</v>
      </c>
      <c r="E73" s="7" t="s">
        <v>104</v>
      </c>
      <c r="F73" s="7" t="s">
        <v>86</v>
      </c>
      <c r="G73" s="7" t="s">
        <v>105</v>
      </c>
      <c r="H73" s="7" t="n">
        <v>2</v>
      </c>
      <c r="I73" s="11" t="n">
        <v>165</v>
      </c>
      <c r="J73" s="11" t="n">
        <v>20</v>
      </c>
      <c r="K73" s="11" t="n">
        <f aca="false">H73*I73-J73</f>
        <v>310</v>
      </c>
      <c r="L73" s="7" t="s">
        <v>88</v>
      </c>
      <c r="M73" s="7" t="s">
        <v>194</v>
      </c>
      <c r="N73" s="7" t="n">
        <v>38</v>
      </c>
      <c r="O73" s="7" t="n">
        <v>4</v>
      </c>
    </row>
    <row r="74" customFormat="false" ht="15" hidden="false" customHeight="false" outlineLevel="0" collapsed="false">
      <c r="A74" s="7" t="s">
        <v>2328</v>
      </c>
      <c r="B74" s="10" t="n">
        <v>45667</v>
      </c>
      <c r="C74" s="7" t="s">
        <v>2329</v>
      </c>
      <c r="D74" s="7" t="s">
        <v>2114</v>
      </c>
      <c r="E74" s="7" t="s">
        <v>154</v>
      </c>
      <c r="F74" s="7" t="s">
        <v>128</v>
      </c>
      <c r="G74" s="7" t="s">
        <v>99</v>
      </c>
      <c r="H74" s="7" t="n">
        <v>4</v>
      </c>
      <c r="I74" s="11" t="n">
        <v>255</v>
      </c>
      <c r="J74" s="11" t="n">
        <v>100</v>
      </c>
      <c r="K74" s="11" t="n">
        <f aca="false">H74*I74-J74</f>
        <v>920</v>
      </c>
      <c r="L74" s="7" t="s">
        <v>88</v>
      </c>
      <c r="M74" s="7" t="s">
        <v>194</v>
      </c>
      <c r="N74" s="7" t="n">
        <v>37</v>
      </c>
      <c r="O74" s="7" t="n">
        <v>5</v>
      </c>
    </row>
    <row r="75" customFormat="false" ht="15" hidden="false" customHeight="false" outlineLevel="0" collapsed="false">
      <c r="A75" s="7" t="s">
        <v>4071</v>
      </c>
      <c r="B75" s="10" t="n">
        <v>45667</v>
      </c>
      <c r="C75" s="7" t="s">
        <v>2853</v>
      </c>
      <c r="D75" s="7" t="s">
        <v>733</v>
      </c>
      <c r="E75" s="7" t="s">
        <v>158</v>
      </c>
      <c r="F75" s="7" t="s">
        <v>136</v>
      </c>
      <c r="G75" s="7" t="s">
        <v>139</v>
      </c>
      <c r="H75" s="7" t="n">
        <v>1</v>
      </c>
      <c r="I75" s="11" t="n">
        <v>200</v>
      </c>
      <c r="J75" s="11" t="n">
        <v>40</v>
      </c>
      <c r="K75" s="11" t="n">
        <f aca="false">H75*I75-J75</f>
        <v>160</v>
      </c>
      <c r="L75" s="7" t="s">
        <v>112</v>
      </c>
      <c r="M75" s="7" t="s">
        <v>194</v>
      </c>
      <c r="N75" s="7" t="n">
        <v>39</v>
      </c>
      <c r="O75" s="7"/>
    </row>
    <row r="76" customFormat="false" ht="15" hidden="false" customHeight="false" outlineLevel="0" collapsed="false">
      <c r="A76" s="7" t="s">
        <v>3718</v>
      </c>
      <c r="B76" s="10" t="n">
        <v>45667</v>
      </c>
      <c r="C76" s="7" t="s">
        <v>2565</v>
      </c>
      <c r="D76" s="7" t="s">
        <v>3719</v>
      </c>
      <c r="E76" s="7" t="s">
        <v>159</v>
      </c>
      <c r="F76" s="7" t="s">
        <v>136</v>
      </c>
      <c r="G76" s="7" t="s">
        <v>90</v>
      </c>
      <c r="H76" s="7" t="n">
        <v>3</v>
      </c>
      <c r="I76" s="11" t="n">
        <v>205</v>
      </c>
      <c r="J76" s="11" t="n">
        <v>0</v>
      </c>
      <c r="K76" s="11" t="n">
        <f aca="false">H76*I76-J76</f>
        <v>615</v>
      </c>
      <c r="L76" s="7" t="s">
        <v>103</v>
      </c>
      <c r="M76" s="7" t="s">
        <v>194</v>
      </c>
      <c r="N76" s="7" t="n">
        <v>35</v>
      </c>
      <c r="O76" s="7" t="n">
        <v>4</v>
      </c>
    </row>
    <row r="77" customFormat="false" ht="15" hidden="false" customHeight="false" outlineLevel="0" collapsed="false">
      <c r="A77" s="7" t="s">
        <v>3053</v>
      </c>
      <c r="B77" s="10" t="n">
        <v>45668</v>
      </c>
      <c r="C77" s="7" t="s">
        <v>3054</v>
      </c>
      <c r="D77" s="7" t="s">
        <v>3055</v>
      </c>
      <c r="E77" s="7" t="s">
        <v>154</v>
      </c>
      <c r="F77" s="7" t="s">
        <v>128</v>
      </c>
      <c r="G77" s="7" t="s">
        <v>99</v>
      </c>
      <c r="H77" s="7" t="n">
        <v>1</v>
      </c>
      <c r="I77" s="11" t="n">
        <v>255</v>
      </c>
      <c r="J77" s="11" t="n">
        <v>0</v>
      </c>
      <c r="K77" s="11" t="n">
        <f aca="false">H77*I77-J77</f>
        <v>255</v>
      </c>
      <c r="L77" s="7" t="s">
        <v>133</v>
      </c>
      <c r="M77" s="7" t="s">
        <v>194</v>
      </c>
      <c r="N77" s="7" t="n">
        <v>36</v>
      </c>
      <c r="O77" s="7" t="n">
        <v>4</v>
      </c>
    </row>
    <row r="78" customFormat="false" ht="15" hidden="false" customHeight="false" outlineLevel="0" collapsed="false">
      <c r="A78" s="7" t="s">
        <v>5434</v>
      </c>
      <c r="B78" s="10" t="n">
        <v>45668</v>
      </c>
      <c r="C78" s="7" t="s">
        <v>361</v>
      </c>
      <c r="D78" s="7" t="s">
        <v>224</v>
      </c>
      <c r="E78" s="7" t="s">
        <v>138</v>
      </c>
      <c r="F78" s="7" t="s">
        <v>110</v>
      </c>
      <c r="G78" s="7" t="s">
        <v>139</v>
      </c>
      <c r="H78" s="7" t="n">
        <v>1</v>
      </c>
      <c r="I78" s="11" t="n">
        <v>210</v>
      </c>
      <c r="J78" s="11" t="n">
        <v>0</v>
      </c>
      <c r="K78" s="11" t="n">
        <f aca="false">H78*I78-J78</f>
        <v>210</v>
      </c>
      <c r="L78" s="7" t="s">
        <v>88</v>
      </c>
      <c r="M78" s="7" t="s">
        <v>194</v>
      </c>
      <c r="N78" s="7" t="n">
        <v>26</v>
      </c>
      <c r="O78" s="7" t="n">
        <v>4</v>
      </c>
    </row>
    <row r="79" customFormat="false" ht="15" hidden="false" customHeight="false" outlineLevel="0" collapsed="false">
      <c r="A79" s="7" t="s">
        <v>3962</v>
      </c>
      <c r="B79" s="10" t="n">
        <v>45668</v>
      </c>
      <c r="C79" s="7" t="s">
        <v>3963</v>
      </c>
      <c r="D79" s="7" t="s">
        <v>3134</v>
      </c>
      <c r="E79" s="7" t="s">
        <v>159</v>
      </c>
      <c r="F79" s="7" t="s">
        <v>136</v>
      </c>
      <c r="G79" s="7" t="s">
        <v>90</v>
      </c>
      <c r="H79" s="7" t="n">
        <v>1</v>
      </c>
      <c r="I79" s="11" t="n">
        <v>270</v>
      </c>
      <c r="J79" s="11" t="n">
        <v>0</v>
      </c>
      <c r="K79" s="11" t="n">
        <f aca="false">H79*I79-J79</f>
        <v>270</v>
      </c>
      <c r="L79" s="7" t="s">
        <v>88</v>
      </c>
      <c r="M79" s="7" t="s">
        <v>238</v>
      </c>
      <c r="N79" s="7"/>
      <c r="O79" s="7"/>
    </row>
    <row r="80" customFormat="false" ht="15" hidden="false" customHeight="false" outlineLevel="0" collapsed="false">
      <c r="A80" s="7" t="s">
        <v>1064</v>
      </c>
      <c r="B80" s="10" t="n">
        <v>45668</v>
      </c>
      <c r="C80" s="7" t="s">
        <v>1066</v>
      </c>
      <c r="D80" s="7" t="s">
        <v>1067</v>
      </c>
      <c r="E80" s="7" t="s">
        <v>152</v>
      </c>
      <c r="F80" s="7" t="s">
        <v>128</v>
      </c>
      <c r="G80" s="7" t="s">
        <v>95</v>
      </c>
      <c r="H80" s="7" t="n">
        <v>3</v>
      </c>
      <c r="I80" s="11" t="n">
        <v>95</v>
      </c>
      <c r="J80" s="11" t="n">
        <v>50</v>
      </c>
      <c r="K80" s="11" t="n">
        <f aca="false">H80*I80-J80</f>
        <v>235</v>
      </c>
      <c r="L80" s="7" t="s">
        <v>121</v>
      </c>
      <c r="M80" s="7" t="s">
        <v>194</v>
      </c>
      <c r="N80" s="7" t="n">
        <v>38</v>
      </c>
      <c r="O80" s="7" t="n">
        <v>5</v>
      </c>
    </row>
    <row r="81" customFormat="false" ht="15" hidden="false" customHeight="false" outlineLevel="0" collapsed="false">
      <c r="A81" s="7" t="s">
        <v>5262</v>
      </c>
      <c r="B81" s="10" t="n">
        <v>45668</v>
      </c>
      <c r="C81" s="7" t="s">
        <v>1704</v>
      </c>
      <c r="D81" s="7" t="s">
        <v>4521</v>
      </c>
      <c r="E81" s="7" t="s">
        <v>149</v>
      </c>
      <c r="F81" s="7" t="s">
        <v>119</v>
      </c>
      <c r="G81" s="7" t="s">
        <v>150</v>
      </c>
      <c r="H81" s="7" t="n">
        <v>1</v>
      </c>
      <c r="I81" s="11" t="n">
        <v>180</v>
      </c>
      <c r="J81" s="11" t="n">
        <v>0</v>
      </c>
      <c r="K81" s="11" t="n">
        <f aca="false">H81*I81-J81</f>
        <v>180</v>
      </c>
      <c r="L81" s="7" t="s">
        <v>6170</v>
      </c>
      <c r="M81" s="7" t="s">
        <v>194</v>
      </c>
      <c r="N81" s="7" t="n">
        <v>35</v>
      </c>
      <c r="O81" s="7" t="n">
        <v>3</v>
      </c>
    </row>
    <row r="82" customFormat="false" ht="15" hidden="false" customHeight="false" outlineLevel="0" collapsed="false">
      <c r="A82" s="7" t="s">
        <v>3783</v>
      </c>
      <c r="B82" s="10" t="n">
        <v>45668</v>
      </c>
      <c r="C82" s="7" t="s">
        <v>1340</v>
      </c>
      <c r="D82" s="7" t="s">
        <v>3784</v>
      </c>
      <c r="E82" s="7" t="s">
        <v>158</v>
      </c>
      <c r="F82" s="7" t="s">
        <v>136</v>
      </c>
      <c r="G82" s="7" t="s">
        <v>139</v>
      </c>
      <c r="H82" s="7" t="n">
        <v>4</v>
      </c>
      <c r="I82" s="11" t="n">
        <v>210</v>
      </c>
      <c r="J82" s="11" t="n">
        <v>0</v>
      </c>
      <c r="K82" s="11" t="n">
        <f aca="false">H82*I82-J82</f>
        <v>840</v>
      </c>
      <c r="L82" s="7" t="s">
        <v>88</v>
      </c>
      <c r="M82" s="7" t="s">
        <v>194</v>
      </c>
      <c r="N82" s="7" t="n">
        <v>33</v>
      </c>
      <c r="O82" s="7" t="n">
        <v>5</v>
      </c>
    </row>
    <row r="83" customFormat="false" ht="15" hidden="false" customHeight="false" outlineLevel="0" collapsed="false">
      <c r="A83" s="7" t="s">
        <v>5556</v>
      </c>
      <c r="B83" s="10" t="n">
        <v>45669</v>
      </c>
      <c r="C83" s="7" t="s">
        <v>3758</v>
      </c>
      <c r="D83" s="7" t="s">
        <v>5026</v>
      </c>
      <c r="E83" s="7" t="s">
        <v>94</v>
      </c>
      <c r="F83" s="7" t="s">
        <v>86</v>
      </c>
      <c r="G83" s="7" t="s">
        <v>95</v>
      </c>
      <c r="H83" s="7" t="n">
        <v>3</v>
      </c>
      <c r="I83" s="11" t="n">
        <v>120</v>
      </c>
      <c r="J83" s="11" t="n">
        <v>0</v>
      </c>
      <c r="K83" s="11" t="n">
        <f aca="false">H83*I83-J83</f>
        <v>360</v>
      </c>
      <c r="L83" s="7" t="s">
        <v>133</v>
      </c>
      <c r="M83" s="7" t="s">
        <v>194</v>
      </c>
      <c r="N83" s="7" t="n">
        <v>43</v>
      </c>
      <c r="O83" s="7" t="n">
        <v>3</v>
      </c>
    </row>
    <row r="84" customFormat="false" ht="15" hidden="false" customHeight="false" outlineLevel="0" collapsed="false">
      <c r="A84" s="7" t="s">
        <v>3655</v>
      </c>
      <c r="B84" s="10" t="n">
        <v>45669</v>
      </c>
      <c r="C84" s="7" t="s">
        <v>3656</v>
      </c>
      <c r="D84" s="7" t="s">
        <v>3657</v>
      </c>
      <c r="E84" s="7" t="s">
        <v>158</v>
      </c>
      <c r="F84" s="7" t="s">
        <v>136</v>
      </c>
      <c r="G84" s="7" t="s">
        <v>139</v>
      </c>
      <c r="H84" s="7" t="n">
        <v>2</v>
      </c>
      <c r="I84" s="11" t="n">
        <v>185</v>
      </c>
      <c r="J84" s="11" t="n">
        <v>0</v>
      </c>
      <c r="K84" s="11" t="n">
        <f aca="false">H84*I84-J84</f>
        <v>370</v>
      </c>
      <c r="L84" s="7" t="s">
        <v>88</v>
      </c>
      <c r="M84" s="7" t="s">
        <v>194</v>
      </c>
      <c r="N84" s="7" t="n">
        <v>17</v>
      </c>
      <c r="O84" s="7" t="n">
        <v>4</v>
      </c>
    </row>
    <row r="85" customFormat="false" ht="15" hidden="false" customHeight="false" outlineLevel="0" collapsed="false">
      <c r="A85" s="7" t="s">
        <v>5646</v>
      </c>
      <c r="B85" s="10" t="n">
        <v>45669</v>
      </c>
      <c r="C85" s="7" t="s">
        <v>661</v>
      </c>
      <c r="D85" s="7" t="s">
        <v>316</v>
      </c>
      <c r="E85" s="7" t="s">
        <v>89</v>
      </c>
      <c r="F85" s="7" t="s">
        <v>86</v>
      </c>
      <c r="G85" s="7" t="s">
        <v>90</v>
      </c>
      <c r="H85" s="7" t="n">
        <v>1</v>
      </c>
      <c r="I85" s="11" t="n">
        <v>255</v>
      </c>
      <c r="J85" s="11" t="n">
        <v>40</v>
      </c>
      <c r="K85" s="11" t="n">
        <f aca="false">H85*I85-J85</f>
        <v>215</v>
      </c>
      <c r="L85" s="7" t="s">
        <v>112</v>
      </c>
      <c r="M85" s="7" t="s">
        <v>194</v>
      </c>
      <c r="N85" s="7" t="n">
        <v>35</v>
      </c>
      <c r="O85" s="7" t="n">
        <v>4</v>
      </c>
    </row>
    <row r="86" customFormat="false" ht="15" hidden="false" customHeight="false" outlineLevel="0" collapsed="false">
      <c r="A86" s="7" t="s">
        <v>5974</v>
      </c>
      <c r="B86" s="10" t="n">
        <v>45669</v>
      </c>
      <c r="C86" s="7" t="s">
        <v>4383</v>
      </c>
      <c r="D86" s="7" t="s">
        <v>5975</v>
      </c>
      <c r="E86" s="7" t="s">
        <v>160</v>
      </c>
      <c r="F86" s="7" t="s">
        <v>136</v>
      </c>
      <c r="G86" s="7" t="s">
        <v>150</v>
      </c>
      <c r="H86" s="7" t="n">
        <v>2</v>
      </c>
      <c r="I86" s="11" t="n">
        <v>175</v>
      </c>
      <c r="J86" s="11" t="n">
        <v>0</v>
      </c>
      <c r="K86" s="11" t="n">
        <f aca="false">H86*I86-J86</f>
        <v>350</v>
      </c>
      <c r="L86" s="7" t="s">
        <v>88</v>
      </c>
      <c r="M86" s="7" t="s">
        <v>194</v>
      </c>
      <c r="N86" s="7" t="n">
        <v>40</v>
      </c>
      <c r="O86" s="7" t="n">
        <v>4</v>
      </c>
    </row>
    <row r="87" customFormat="false" ht="15" hidden="false" customHeight="false" outlineLevel="0" collapsed="false">
      <c r="A87" s="7" t="s">
        <v>5071</v>
      </c>
      <c r="B87" s="10" t="n">
        <v>45669</v>
      </c>
      <c r="C87" s="7" t="s">
        <v>3300</v>
      </c>
      <c r="D87" s="7" t="s">
        <v>1333</v>
      </c>
      <c r="E87" s="7" t="s">
        <v>158</v>
      </c>
      <c r="F87" s="7" t="s">
        <v>136</v>
      </c>
      <c r="G87" s="7" t="s">
        <v>139</v>
      </c>
      <c r="H87" s="7" t="n">
        <v>3</v>
      </c>
      <c r="I87" s="11" t="n">
        <v>245</v>
      </c>
      <c r="J87" s="11" t="n">
        <v>0</v>
      </c>
      <c r="K87" s="11" t="n">
        <f aca="false">H87*I87-J87</f>
        <v>735</v>
      </c>
      <c r="L87" s="7" t="s">
        <v>112</v>
      </c>
      <c r="M87" s="7" t="s">
        <v>194</v>
      </c>
      <c r="N87" s="7" t="n">
        <v>38</v>
      </c>
      <c r="O87" s="7"/>
    </row>
    <row r="88" customFormat="false" ht="15" hidden="false" customHeight="false" outlineLevel="0" collapsed="false">
      <c r="A88" s="7" t="s">
        <v>1554</v>
      </c>
      <c r="B88" s="10" t="n">
        <v>45669</v>
      </c>
      <c r="C88" s="7" t="s">
        <v>1555</v>
      </c>
      <c r="D88" s="7" t="s">
        <v>1556</v>
      </c>
      <c r="E88" s="7" t="s">
        <v>113</v>
      </c>
      <c r="F88" s="7" t="s">
        <v>101</v>
      </c>
      <c r="G88" s="7" t="s">
        <v>90</v>
      </c>
      <c r="H88" s="7" t="n">
        <v>1</v>
      </c>
      <c r="I88" s="11" t="n">
        <v>240</v>
      </c>
      <c r="J88" s="11" t="n">
        <v>96</v>
      </c>
      <c r="K88" s="11" t="n">
        <f aca="false">H88*I88-J88</f>
        <v>144</v>
      </c>
      <c r="L88" s="7" t="s">
        <v>88</v>
      </c>
      <c r="M88" s="7" t="s">
        <v>238</v>
      </c>
      <c r="N88" s="7"/>
      <c r="O88" s="7"/>
    </row>
    <row r="89" customFormat="false" ht="15" hidden="false" customHeight="false" outlineLevel="0" collapsed="false">
      <c r="A89" s="7" t="s">
        <v>5116</v>
      </c>
      <c r="B89" s="10" t="n">
        <v>45669</v>
      </c>
      <c r="C89" s="7" t="s">
        <v>1194</v>
      </c>
      <c r="D89" s="7" t="s">
        <v>5117</v>
      </c>
      <c r="E89" s="7" t="s">
        <v>130</v>
      </c>
      <c r="F89" s="7" t="s">
        <v>110</v>
      </c>
      <c r="G89" s="7" t="s">
        <v>90</v>
      </c>
      <c r="H89" s="7" t="n">
        <v>2</v>
      </c>
      <c r="I89" s="11" t="n">
        <v>275</v>
      </c>
      <c r="J89" s="11" t="n">
        <v>50</v>
      </c>
      <c r="K89" s="11" t="n">
        <f aca="false">H89*I89-J89</f>
        <v>500</v>
      </c>
      <c r="L89" s="7" t="s">
        <v>93</v>
      </c>
      <c r="M89" s="7" t="s">
        <v>194</v>
      </c>
      <c r="N89" s="7" t="n">
        <v>40</v>
      </c>
      <c r="O89" s="7" t="n">
        <v>4</v>
      </c>
    </row>
    <row r="90" customFormat="false" ht="15" hidden="false" customHeight="false" outlineLevel="0" collapsed="false">
      <c r="A90" s="7" t="s">
        <v>861</v>
      </c>
      <c r="B90" s="10" t="n">
        <v>45669</v>
      </c>
      <c r="C90" s="7" t="s">
        <v>862</v>
      </c>
      <c r="D90" s="7" t="s">
        <v>863</v>
      </c>
      <c r="E90" s="7" t="s">
        <v>162</v>
      </c>
      <c r="F90" s="7" t="s">
        <v>141</v>
      </c>
      <c r="G90" s="7" t="s">
        <v>117</v>
      </c>
      <c r="H90" s="7" t="n">
        <v>1</v>
      </c>
      <c r="I90" s="11" t="n">
        <v>95</v>
      </c>
      <c r="J90" s="11" t="n">
        <v>0</v>
      </c>
      <c r="K90" s="11" t="n">
        <f aca="false">H90*I90-J90</f>
        <v>95</v>
      </c>
      <c r="L90" s="7" t="s">
        <v>88</v>
      </c>
      <c r="M90" s="7" t="s">
        <v>194</v>
      </c>
      <c r="N90" s="7" t="n">
        <v>44</v>
      </c>
      <c r="O90" s="7" t="n">
        <v>5</v>
      </c>
    </row>
    <row r="91" customFormat="false" ht="15" hidden="false" customHeight="false" outlineLevel="0" collapsed="false">
      <c r="A91" s="7" t="s">
        <v>5611</v>
      </c>
      <c r="B91" s="10" t="n">
        <v>45669</v>
      </c>
      <c r="C91" s="7" t="s">
        <v>391</v>
      </c>
      <c r="D91" s="7" t="s">
        <v>1672</v>
      </c>
      <c r="E91" s="7" t="s">
        <v>164</v>
      </c>
      <c r="F91" s="7" t="s">
        <v>141</v>
      </c>
      <c r="G91" s="7" t="s">
        <v>150</v>
      </c>
      <c r="H91" s="7" t="n">
        <v>1</v>
      </c>
      <c r="I91" s="11" t="n">
        <v>105</v>
      </c>
      <c r="J91" s="11" t="n">
        <v>0</v>
      </c>
      <c r="K91" s="11" t="n">
        <f aca="false">H91*I91-J91</f>
        <v>105</v>
      </c>
      <c r="L91" s="7" t="s">
        <v>88</v>
      </c>
      <c r="M91" s="7" t="s">
        <v>194</v>
      </c>
      <c r="N91" s="7" t="n">
        <v>26</v>
      </c>
      <c r="O91" s="7" t="n">
        <v>4</v>
      </c>
    </row>
    <row r="92" customFormat="false" ht="15" hidden="false" customHeight="false" outlineLevel="0" collapsed="false">
      <c r="A92" s="7" t="s">
        <v>5798</v>
      </c>
      <c r="B92" s="10" t="n">
        <v>45669</v>
      </c>
      <c r="C92" s="7" t="s">
        <v>2369</v>
      </c>
      <c r="D92" s="7" t="s">
        <v>5799</v>
      </c>
      <c r="E92" s="7" t="s">
        <v>161</v>
      </c>
      <c r="F92" s="7" t="s">
        <v>141</v>
      </c>
      <c r="G92" s="7" t="s">
        <v>117</v>
      </c>
      <c r="H92" s="7" t="n">
        <v>4</v>
      </c>
      <c r="I92" s="11" t="n">
        <v>165</v>
      </c>
      <c r="J92" s="11" t="n">
        <v>0</v>
      </c>
      <c r="K92" s="11" t="n">
        <f aca="false">H92*I92-J92</f>
        <v>660</v>
      </c>
      <c r="L92" s="7" t="s">
        <v>88</v>
      </c>
      <c r="M92" s="7" t="s">
        <v>194</v>
      </c>
      <c r="N92" s="7" t="n">
        <v>44</v>
      </c>
      <c r="O92" s="7" t="n">
        <v>4</v>
      </c>
    </row>
    <row r="93" customFormat="false" ht="15" hidden="false" customHeight="false" outlineLevel="0" collapsed="false">
      <c r="A93" s="7" t="s">
        <v>6102</v>
      </c>
      <c r="B93" s="10" t="n">
        <v>45669</v>
      </c>
      <c r="C93" s="7" t="s">
        <v>944</v>
      </c>
      <c r="D93" s="7" t="s">
        <v>2967</v>
      </c>
      <c r="E93" s="7" t="s">
        <v>154</v>
      </c>
      <c r="F93" s="7" t="s">
        <v>128</v>
      </c>
      <c r="G93" s="7" t="s">
        <v>99</v>
      </c>
      <c r="H93" s="7" t="n">
        <v>1</v>
      </c>
      <c r="I93" s="11" t="n">
        <v>325</v>
      </c>
      <c r="J93" s="11" t="n">
        <v>20</v>
      </c>
      <c r="K93" s="11" t="n">
        <f aca="false">H93*I93-J93</f>
        <v>305</v>
      </c>
      <c r="L93" s="7" t="s">
        <v>121</v>
      </c>
      <c r="M93" s="7" t="s">
        <v>194</v>
      </c>
      <c r="N93" s="7" t="n">
        <v>30</v>
      </c>
      <c r="O93" s="7"/>
    </row>
    <row r="94" customFormat="false" ht="15" hidden="false" customHeight="false" outlineLevel="0" collapsed="false">
      <c r="A94" s="7" t="s">
        <v>5613</v>
      </c>
      <c r="B94" s="10" t="n">
        <v>45669</v>
      </c>
      <c r="C94" s="7" t="s">
        <v>1277</v>
      </c>
      <c r="D94" s="7" t="s">
        <v>4258</v>
      </c>
      <c r="E94" s="7" t="s">
        <v>134</v>
      </c>
      <c r="F94" s="7" t="s">
        <v>110</v>
      </c>
      <c r="G94" s="7" t="s">
        <v>117</v>
      </c>
      <c r="H94" s="7" t="n">
        <v>2</v>
      </c>
      <c r="I94" s="11" t="n">
        <v>105</v>
      </c>
      <c r="J94" s="11" t="n">
        <v>0</v>
      </c>
      <c r="K94" s="11" t="n">
        <f aca="false">H94*I94-J94</f>
        <v>210</v>
      </c>
      <c r="L94" s="7" t="s">
        <v>88</v>
      </c>
      <c r="M94" s="7" t="s">
        <v>194</v>
      </c>
      <c r="N94" s="7" t="n">
        <v>43</v>
      </c>
      <c r="O94" s="7" t="n">
        <v>5</v>
      </c>
    </row>
    <row r="95" customFormat="false" ht="15" hidden="false" customHeight="false" outlineLevel="0" collapsed="false">
      <c r="A95" s="7" t="s">
        <v>2420</v>
      </c>
      <c r="B95" s="10" t="n">
        <v>45669</v>
      </c>
      <c r="C95" s="7" t="s">
        <v>1926</v>
      </c>
      <c r="D95" s="7" t="s">
        <v>2421</v>
      </c>
      <c r="E95" s="7" t="s">
        <v>89</v>
      </c>
      <c r="F95" s="7" t="s">
        <v>86</v>
      </c>
      <c r="G95" s="7" t="s">
        <v>90</v>
      </c>
      <c r="H95" s="7" t="n">
        <v>2</v>
      </c>
      <c r="I95" s="11" t="n">
        <v>290</v>
      </c>
      <c r="J95" s="11" t="n">
        <v>0</v>
      </c>
      <c r="K95" s="11" t="n">
        <f aca="false">H95*I95-J95</f>
        <v>580</v>
      </c>
      <c r="L95" s="7" t="s">
        <v>93</v>
      </c>
      <c r="M95" s="7" t="s">
        <v>194</v>
      </c>
      <c r="N95" s="7" t="n">
        <v>40</v>
      </c>
      <c r="O95" s="7" t="n">
        <v>3</v>
      </c>
    </row>
    <row r="96" customFormat="false" ht="15" hidden="false" customHeight="false" outlineLevel="0" collapsed="false">
      <c r="A96" s="7" t="s">
        <v>435</v>
      </c>
      <c r="B96" s="10" t="n">
        <v>45669</v>
      </c>
      <c r="C96" s="7" t="s">
        <v>437</v>
      </c>
      <c r="D96" s="7" t="s">
        <v>438</v>
      </c>
      <c r="E96" s="7" t="s">
        <v>138</v>
      </c>
      <c r="F96" s="7" t="s">
        <v>110</v>
      </c>
      <c r="G96" s="7" t="s">
        <v>139</v>
      </c>
      <c r="H96" s="7" t="n">
        <v>4</v>
      </c>
      <c r="I96" s="11" t="n">
        <v>215</v>
      </c>
      <c r="J96" s="11" t="n">
        <v>0</v>
      </c>
      <c r="K96" s="11" t="n">
        <f aca="false">H96*I96-J96</f>
        <v>860</v>
      </c>
      <c r="L96" s="7" t="s">
        <v>121</v>
      </c>
      <c r="M96" s="7" t="s">
        <v>194</v>
      </c>
      <c r="N96" s="7" t="n">
        <v>34</v>
      </c>
      <c r="O96" s="7" t="n">
        <v>5</v>
      </c>
    </row>
    <row r="97" customFormat="false" ht="15" hidden="false" customHeight="false" outlineLevel="0" collapsed="false">
      <c r="A97" s="7" t="s">
        <v>3262</v>
      </c>
      <c r="B97" s="10" t="n">
        <v>45670</v>
      </c>
      <c r="C97" s="7" t="s">
        <v>2413</v>
      </c>
      <c r="D97" s="7" t="s">
        <v>3263</v>
      </c>
      <c r="E97" s="7" t="s">
        <v>159</v>
      </c>
      <c r="F97" s="7" t="s">
        <v>136</v>
      </c>
      <c r="G97" s="7" t="s">
        <v>90</v>
      </c>
      <c r="H97" s="7" t="n">
        <v>1</v>
      </c>
      <c r="I97" s="11" t="n">
        <v>210</v>
      </c>
      <c r="J97" s="11" t="n">
        <v>84</v>
      </c>
      <c r="K97" s="11" t="n">
        <f aca="false">H97*I97-J97</f>
        <v>126</v>
      </c>
      <c r="L97" s="7" t="s">
        <v>112</v>
      </c>
      <c r="M97" s="7" t="s">
        <v>194</v>
      </c>
      <c r="N97" s="7" t="n">
        <v>34</v>
      </c>
      <c r="O97" s="7"/>
    </row>
    <row r="98" customFormat="false" ht="15" hidden="false" customHeight="false" outlineLevel="0" collapsed="false">
      <c r="A98" s="7" t="s">
        <v>3119</v>
      </c>
      <c r="B98" s="10" t="n">
        <v>45670</v>
      </c>
      <c r="C98" s="7" t="s">
        <v>428</v>
      </c>
      <c r="D98" s="7" t="s">
        <v>3120</v>
      </c>
      <c r="E98" s="7" t="s">
        <v>160</v>
      </c>
      <c r="F98" s="7" t="s">
        <v>136</v>
      </c>
      <c r="G98" s="7" t="s">
        <v>150</v>
      </c>
      <c r="H98" s="7" t="n">
        <v>1</v>
      </c>
      <c r="I98" s="11" t="n">
        <v>175</v>
      </c>
      <c r="J98" s="11" t="n">
        <v>0</v>
      </c>
      <c r="K98" s="11" t="n">
        <f aca="false">H98*I98-J98</f>
        <v>175</v>
      </c>
      <c r="L98" s="7" t="s">
        <v>121</v>
      </c>
      <c r="M98" s="7" t="s">
        <v>194</v>
      </c>
      <c r="N98" s="7" t="n">
        <v>29</v>
      </c>
      <c r="O98" s="7" t="n">
        <v>4</v>
      </c>
    </row>
    <row r="99" customFormat="false" ht="15" hidden="false" customHeight="false" outlineLevel="0" collapsed="false">
      <c r="A99" s="7" t="s">
        <v>3999</v>
      </c>
      <c r="B99" s="10" t="n">
        <v>45670</v>
      </c>
      <c r="C99" s="7" t="s">
        <v>2341</v>
      </c>
      <c r="D99" s="7" t="s">
        <v>4000</v>
      </c>
      <c r="E99" s="7" t="s">
        <v>94</v>
      </c>
      <c r="F99" s="7" t="s">
        <v>86</v>
      </c>
      <c r="G99" s="7" t="s">
        <v>95</v>
      </c>
      <c r="H99" s="7" t="n">
        <v>1</v>
      </c>
      <c r="I99" s="11" t="n">
        <v>125</v>
      </c>
      <c r="J99" s="11" t="n">
        <v>40</v>
      </c>
      <c r="K99" s="11" t="n">
        <f aca="false">H99*I99-J99</f>
        <v>85</v>
      </c>
      <c r="L99" s="7" t="s">
        <v>88</v>
      </c>
      <c r="M99" s="7" t="s">
        <v>194</v>
      </c>
      <c r="N99" s="7" t="n">
        <v>44</v>
      </c>
      <c r="O99" s="7" t="n">
        <v>2</v>
      </c>
    </row>
    <row r="100" customFormat="false" ht="15" hidden="false" customHeight="false" outlineLevel="0" collapsed="false">
      <c r="A100" s="7" t="s">
        <v>1363</v>
      </c>
      <c r="B100" s="10" t="n">
        <v>45670</v>
      </c>
      <c r="C100" s="7" t="s">
        <v>1365</v>
      </c>
      <c r="D100" s="7" t="s">
        <v>1366</v>
      </c>
      <c r="E100" s="7" t="s">
        <v>89</v>
      </c>
      <c r="F100" s="7" t="s">
        <v>86</v>
      </c>
      <c r="G100" s="7" t="s">
        <v>90</v>
      </c>
      <c r="H100" s="7" t="n">
        <v>2</v>
      </c>
      <c r="I100" s="11" t="n">
        <v>225</v>
      </c>
      <c r="J100" s="11" t="n">
        <v>0</v>
      </c>
      <c r="K100" s="11" t="n">
        <f aca="false">H100*I100-J100</f>
        <v>450</v>
      </c>
      <c r="L100" s="7" t="s">
        <v>88</v>
      </c>
      <c r="M100" s="7" t="s">
        <v>194</v>
      </c>
      <c r="N100" s="7" t="n">
        <v>43</v>
      </c>
      <c r="O100" s="7" t="n">
        <v>4</v>
      </c>
    </row>
    <row r="101" customFormat="false" ht="15" hidden="false" customHeight="false" outlineLevel="0" collapsed="false">
      <c r="A101" s="7" t="s">
        <v>2753</v>
      </c>
      <c r="B101" s="10" t="n">
        <v>45670</v>
      </c>
      <c r="C101" s="7" t="s">
        <v>2559</v>
      </c>
      <c r="D101" s="7" t="s">
        <v>2151</v>
      </c>
      <c r="E101" s="7" t="s">
        <v>130</v>
      </c>
      <c r="F101" s="7" t="s">
        <v>110</v>
      </c>
      <c r="G101" s="7" t="s">
        <v>90</v>
      </c>
      <c r="H101" s="7" t="n">
        <v>2</v>
      </c>
      <c r="I101" s="11" t="n">
        <v>275</v>
      </c>
      <c r="J101" s="11" t="n">
        <v>0</v>
      </c>
      <c r="K101" s="11" t="n">
        <f aca="false">H101*I101-J101</f>
        <v>550</v>
      </c>
      <c r="L101" s="7" t="s">
        <v>88</v>
      </c>
      <c r="M101" s="7" t="s">
        <v>194</v>
      </c>
      <c r="N101" s="7" t="n">
        <v>34</v>
      </c>
      <c r="O101" s="7" t="n">
        <v>2</v>
      </c>
    </row>
    <row r="102" customFormat="false" ht="15" hidden="false" customHeight="false" outlineLevel="0" collapsed="false">
      <c r="A102" s="7" t="s">
        <v>3907</v>
      </c>
      <c r="B102" s="10" t="n">
        <v>45670</v>
      </c>
      <c r="C102" s="7" t="s">
        <v>1817</v>
      </c>
      <c r="D102" s="7" t="s">
        <v>3908</v>
      </c>
      <c r="E102" s="7" t="s">
        <v>126</v>
      </c>
      <c r="F102" s="7" t="s">
        <v>101</v>
      </c>
      <c r="G102" s="7" t="s">
        <v>105</v>
      </c>
      <c r="H102" s="7" t="n">
        <v>2</v>
      </c>
      <c r="I102" s="11" t="n">
        <v>185</v>
      </c>
      <c r="J102" s="11" t="n">
        <v>40</v>
      </c>
      <c r="K102" s="11" t="n">
        <f aca="false">H102*I102-J102</f>
        <v>330</v>
      </c>
      <c r="L102" s="7" t="s">
        <v>103</v>
      </c>
      <c r="M102" s="7" t="s">
        <v>194</v>
      </c>
      <c r="N102" s="7" t="n">
        <v>37</v>
      </c>
      <c r="O102" s="7" t="n">
        <v>4</v>
      </c>
    </row>
    <row r="103" customFormat="false" ht="15" hidden="false" customHeight="false" outlineLevel="0" collapsed="false">
      <c r="A103" s="7" t="s">
        <v>3660</v>
      </c>
      <c r="B103" s="10" t="n">
        <v>45671</v>
      </c>
      <c r="C103" s="7" t="s">
        <v>896</v>
      </c>
      <c r="D103" s="7" t="s">
        <v>2043</v>
      </c>
      <c r="E103" s="7" t="s">
        <v>116</v>
      </c>
      <c r="F103" s="7" t="s">
        <v>101</v>
      </c>
      <c r="G103" s="7" t="s">
        <v>117</v>
      </c>
      <c r="H103" s="7" t="n">
        <v>1</v>
      </c>
      <c r="I103" s="11" t="n">
        <v>160</v>
      </c>
      <c r="J103" s="11" t="n">
        <v>64</v>
      </c>
      <c r="K103" s="11" t="n">
        <f aca="false">H103*I103-J103</f>
        <v>96</v>
      </c>
      <c r="L103" s="7" t="s">
        <v>93</v>
      </c>
      <c r="M103" s="7" t="s">
        <v>194</v>
      </c>
      <c r="N103" s="7" t="n">
        <v>38</v>
      </c>
      <c r="O103" s="7" t="n">
        <v>3</v>
      </c>
    </row>
    <row r="104" customFormat="false" ht="15" hidden="false" customHeight="false" outlineLevel="0" collapsed="false">
      <c r="A104" s="7" t="s">
        <v>3932</v>
      </c>
      <c r="B104" s="10" t="n">
        <v>45671</v>
      </c>
      <c r="C104" s="7" t="s">
        <v>2278</v>
      </c>
      <c r="D104" s="7" t="s">
        <v>2361</v>
      </c>
      <c r="E104" s="7" t="s">
        <v>138</v>
      </c>
      <c r="F104" s="7" t="s">
        <v>110</v>
      </c>
      <c r="G104" s="7" t="s">
        <v>139</v>
      </c>
      <c r="H104" s="7" t="n">
        <v>3</v>
      </c>
      <c r="I104" s="11" t="n">
        <v>200</v>
      </c>
      <c r="J104" s="11" t="n">
        <v>125</v>
      </c>
      <c r="K104" s="11" t="n">
        <f aca="false">H104*I104-J104</f>
        <v>475</v>
      </c>
      <c r="L104" s="7" t="s">
        <v>103</v>
      </c>
      <c r="M104" s="7" t="s">
        <v>194</v>
      </c>
      <c r="N104" s="7" t="n">
        <v>50</v>
      </c>
      <c r="O104" s="7" t="n">
        <v>4</v>
      </c>
    </row>
    <row r="105" customFormat="false" ht="15" hidden="false" customHeight="false" outlineLevel="0" collapsed="false">
      <c r="A105" s="7" t="s">
        <v>5789</v>
      </c>
      <c r="B105" s="10" t="n">
        <v>45671</v>
      </c>
      <c r="C105" s="7" t="s">
        <v>3046</v>
      </c>
      <c r="D105" s="7" t="s">
        <v>5790</v>
      </c>
      <c r="E105" s="7" t="s">
        <v>94</v>
      </c>
      <c r="F105" s="7" t="s">
        <v>86</v>
      </c>
      <c r="G105" s="7" t="s">
        <v>95</v>
      </c>
      <c r="H105" s="7" t="n">
        <v>3</v>
      </c>
      <c r="I105" s="11" t="n">
        <v>110</v>
      </c>
      <c r="J105" s="11" t="n">
        <v>0</v>
      </c>
      <c r="K105" s="11" t="n">
        <f aca="false">H105*I105-J105</f>
        <v>330</v>
      </c>
      <c r="L105" s="7" t="s">
        <v>88</v>
      </c>
      <c r="M105" s="7" t="s">
        <v>194</v>
      </c>
      <c r="N105" s="7" t="n">
        <v>38</v>
      </c>
      <c r="O105" s="7" t="n">
        <v>5</v>
      </c>
    </row>
    <row r="106" customFormat="false" ht="15" hidden="false" customHeight="false" outlineLevel="0" collapsed="false">
      <c r="A106" s="7" t="s">
        <v>3459</v>
      </c>
      <c r="B106" s="10" t="n">
        <v>45671</v>
      </c>
      <c r="C106" s="7" t="s">
        <v>3460</v>
      </c>
      <c r="D106" s="7" t="s">
        <v>242</v>
      </c>
      <c r="E106" s="7" t="s">
        <v>138</v>
      </c>
      <c r="F106" s="7" t="s">
        <v>110</v>
      </c>
      <c r="G106" s="7" t="s">
        <v>139</v>
      </c>
      <c r="H106" s="7" t="n">
        <v>3</v>
      </c>
      <c r="I106" s="11" t="n">
        <v>175</v>
      </c>
      <c r="J106" s="11" t="n">
        <v>0</v>
      </c>
      <c r="K106" s="11" t="n">
        <f aca="false">H106*I106-J106</f>
        <v>525</v>
      </c>
      <c r="L106" s="7" t="s">
        <v>112</v>
      </c>
      <c r="M106" s="7" t="s">
        <v>194</v>
      </c>
      <c r="N106" s="7" t="n">
        <v>37</v>
      </c>
      <c r="O106" s="7" t="n">
        <v>3</v>
      </c>
    </row>
    <row r="107" customFormat="false" ht="15" hidden="false" customHeight="false" outlineLevel="0" collapsed="false">
      <c r="A107" s="7" t="s">
        <v>6007</v>
      </c>
      <c r="B107" s="10" t="n">
        <v>45671</v>
      </c>
      <c r="C107" s="7" t="s">
        <v>1423</v>
      </c>
      <c r="D107" s="7" t="s">
        <v>970</v>
      </c>
      <c r="E107" s="7" t="s">
        <v>142</v>
      </c>
      <c r="F107" s="7" t="s">
        <v>110</v>
      </c>
      <c r="G107" s="7" t="s">
        <v>105</v>
      </c>
      <c r="H107" s="7" t="n">
        <v>3</v>
      </c>
      <c r="I107" s="11" t="n">
        <v>160</v>
      </c>
      <c r="J107" s="11" t="n">
        <v>0</v>
      </c>
      <c r="K107" s="11" t="n">
        <f aca="false">H107*I107-J107</f>
        <v>480</v>
      </c>
      <c r="L107" s="7" t="s">
        <v>88</v>
      </c>
      <c r="M107" s="7" t="s">
        <v>194</v>
      </c>
      <c r="N107" s="7" t="n">
        <v>26</v>
      </c>
      <c r="O107" s="7"/>
    </row>
    <row r="108" customFormat="false" ht="15" hidden="false" customHeight="false" outlineLevel="0" collapsed="false">
      <c r="A108" s="7" t="s">
        <v>5045</v>
      </c>
      <c r="B108" s="10" t="n">
        <v>45671</v>
      </c>
      <c r="C108" s="7" t="s">
        <v>3247</v>
      </c>
      <c r="D108" s="7" t="s">
        <v>4147</v>
      </c>
      <c r="E108" s="7" t="s">
        <v>151</v>
      </c>
      <c r="F108" s="7" t="s">
        <v>128</v>
      </c>
      <c r="G108" s="7" t="s">
        <v>95</v>
      </c>
      <c r="H108" s="7" t="n">
        <v>2</v>
      </c>
      <c r="I108" s="11" t="n">
        <v>190</v>
      </c>
      <c r="J108" s="11" t="n">
        <v>0</v>
      </c>
      <c r="K108" s="11" t="n">
        <f aca="false">H108*I108-J108</f>
        <v>380</v>
      </c>
      <c r="L108" s="7" t="s">
        <v>88</v>
      </c>
      <c r="M108" s="7" t="s">
        <v>194</v>
      </c>
      <c r="N108" s="7" t="n">
        <v>39</v>
      </c>
      <c r="O108" s="7" t="n">
        <v>4</v>
      </c>
    </row>
    <row r="109" customFormat="false" ht="15" hidden="false" customHeight="false" outlineLevel="0" collapsed="false">
      <c r="A109" s="7" t="s">
        <v>2519</v>
      </c>
      <c r="B109" s="10" t="n">
        <v>45671</v>
      </c>
      <c r="C109" s="7" t="s">
        <v>1263</v>
      </c>
      <c r="D109" s="7" t="s">
        <v>1181</v>
      </c>
      <c r="E109" s="7" t="s">
        <v>94</v>
      </c>
      <c r="F109" s="7" t="s">
        <v>86</v>
      </c>
      <c r="G109" s="7" t="s">
        <v>95</v>
      </c>
      <c r="H109" s="7" t="n">
        <v>1</v>
      </c>
      <c r="I109" s="11" t="n">
        <v>100</v>
      </c>
      <c r="J109" s="11" t="n">
        <v>0</v>
      </c>
      <c r="K109" s="11" t="n">
        <f aca="false">H109*I109-J109</f>
        <v>100</v>
      </c>
      <c r="L109" s="7" t="s">
        <v>112</v>
      </c>
      <c r="M109" s="7" t="s">
        <v>194</v>
      </c>
      <c r="N109" s="7" t="n">
        <v>49</v>
      </c>
      <c r="O109" s="7" t="n">
        <v>4</v>
      </c>
    </row>
    <row r="110" customFormat="false" ht="15" hidden="false" customHeight="false" outlineLevel="0" collapsed="false">
      <c r="A110" s="7" t="s">
        <v>3805</v>
      </c>
      <c r="B110" s="10" t="n">
        <v>45671</v>
      </c>
      <c r="C110" s="7" t="s">
        <v>655</v>
      </c>
      <c r="D110" s="7" t="s">
        <v>3807</v>
      </c>
      <c r="E110" s="7" t="s">
        <v>157</v>
      </c>
      <c r="F110" s="7" t="s">
        <v>136</v>
      </c>
      <c r="G110" s="7" t="s">
        <v>117</v>
      </c>
      <c r="H110" s="7" t="n">
        <v>2</v>
      </c>
      <c r="I110" s="11" t="n">
        <v>125</v>
      </c>
      <c r="J110" s="11" t="n">
        <v>0</v>
      </c>
      <c r="K110" s="11" t="n">
        <f aca="false">H110*I110-J110</f>
        <v>250</v>
      </c>
      <c r="L110" s="7" t="s">
        <v>88</v>
      </c>
      <c r="M110" s="7" t="s">
        <v>194</v>
      </c>
      <c r="N110" s="7" t="n">
        <v>30</v>
      </c>
      <c r="O110" s="7"/>
    </row>
    <row r="111" customFormat="false" ht="15" hidden="false" customHeight="false" outlineLevel="0" collapsed="false">
      <c r="A111" s="7" t="s">
        <v>923</v>
      </c>
      <c r="B111" s="10" t="n">
        <v>45671</v>
      </c>
      <c r="C111" s="7" t="s">
        <v>201</v>
      </c>
      <c r="D111" s="7" t="s">
        <v>810</v>
      </c>
      <c r="E111" s="7" t="s">
        <v>154</v>
      </c>
      <c r="F111" s="7" t="s">
        <v>128</v>
      </c>
      <c r="G111" s="7" t="s">
        <v>99</v>
      </c>
      <c r="H111" s="7" t="n">
        <v>1</v>
      </c>
      <c r="I111" s="11" t="n">
        <v>305</v>
      </c>
      <c r="J111" s="11" t="n">
        <v>122</v>
      </c>
      <c r="K111" s="11" t="n">
        <f aca="false">H111*I111-J111</f>
        <v>183</v>
      </c>
      <c r="L111" s="7" t="s">
        <v>112</v>
      </c>
      <c r="M111" s="7" t="s">
        <v>194</v>
      </c>
      <c r="N111" s="7" t="n">
        <v>36</v>
      </c>
      <c r="O111" s="7" t="n">
        <v>3</v>
      </c>
    </row>
    <row r="112" customFormat="false" ht="15" hidden="false" customHeight="false" outlineLevel="0" collapsed="false">
      <c r="A112" s="7" t="s">
        <v>3681</v>
      </c>
      <c r="B112" s="10" t="n">
        <v>45671</v>
      </c>
      <c r="C112" s="7" t="s">
        <v>3682</v>
      </c>
      <c r="D112" s="7" t="s">
        <v>1491</v>
      </c>
      <c r="E112" s="7" t="s">
        <v>165</v>
      </c>
      <c r="F112" s="7" t="s">
        <v>146</v>
      </c>
      <c r="G112" s="7" t="s">
        <v>90</v>
      </c>
      <c r="H112" s="7" t="n">
        <v>4</v>
      </c>
      <c r="I112" s="11" t="n">
        <v>185</v>
      </c>
      <c r="J112" s="11" t="n">
        <v>100</v>
      </c>
      <c r="K112" s="11" t="n">
        <f aca="false">H112*I112-J112</f>
        <v>640</v>
      </c>
      <c r="L112" s="7" t="s">
        <v>88</v>
      </c>
      <c r="M112" s="7" t="s">
        <v>194</v>
      </c>
      <c r="N112" s="7" t="n">
        <v>20</v>
      </c>
      <c r="O112" s="7" t="n">
        <v>5</v>
      </c>
    </row>
    <row r="113" customFormat="false" ht="15" hidden="false" customHeight="false" outlineLevel="0" collapsed="false">
      <c r="A113" s="7" t="s">
        <v>5239</v>
      </c>
      <c r="B113" s="10" t="n">
        <v>45672</v>
      </c>
      <c r="C113" s="7" t="s">
        <v>3774</v>
      </c>
      <c r="D113" s="7" t="s">
        <v>985</v>
      </c>
      <c r="E113" s="7" t="s">
        <v>104</v>
      </c>
      <c r="F113" s="7" t="s">
        <v>86</v>
      </c>
      <c r="G113" s="7" t="s">
        <v>105</v>
      </c>
      <c r="H113" s="7" t="n">
        <v>1</v>
      </c>
      <c r="I113" s="11" t="n">
        <v>250</v>
      </c>
      <c r="J113" s="11" t="n">
        <v>0</v>
      </c>
      <c r="K113" s="11" t="n">
        <f aca="false">H113*I113-J113</f>
        <v>250</v>
      </c>
      <c r="L113" s="7" t="s">
        <v>133</v>
      </c>
      <c r="M113" s="7" t="s">
        <v>194</v>
      </c>
      <c r="N113" s="7" t="n">
        <v>35</v>
      </c>
      <c r="O113" s="7" t="n">
        <v>4</v>
      </c>
    </row>
    <row r="114" customFormat="false" ht="15" hidden="false" customHeight="false" outlineLevel="0" collapsed="false">
      <c r="A114" s="7" t="s">
        <v>3727</v>
      </c>
      <c r="B114" s="10" t="n">
        <v>45672</v>
      </c>
      <c r="C114" s="7" t="s">
        <v>3728</v>
      </c>
      <c r="D114" s="7" t="s">
        <v>3729</v>
      </c>
      <c r="E114" s="7" t="s">
        <v>130</v>
      </c>
      <c r="F114" s="7" t="s">
        <v>110</v>
      </c>
      <c r="G114" s="7" t="s">
        <v>90</v>
      </c>
      <c r="H114" s="7" t="n">
        <v>1</v>
      </c>
      <c r="I114" s="11" t="n">
        <v>310</v>
      </c>
      <c r="J114" s="11" t="n">
        <v>100</v>
      </c>
      <c r="K114" s="11" t="n">
        <f aca="false">H114*I114-J114</f>
        <v>210</v>
      </c>
      <c r="L114" s="7" t="s">
        <v>112</v>
      </c>
      <c r="M114" s="7" t="s">
        <v>238</v>
      </c>
      <c r="N114" s="7"/>
      <c r="O114" s="7"/>
    </row>
    <row r="115" customFormat="false" ht="15" hidden="false" customHeight="false" outlineLevel="0" collapsed="false">
      <c r="A115" s="7" t="s">
        <v>5649</v>
      </c>
      <c r="B115" s="10" t="n">
        <v>45672</v>
      </c>
      <c r="C115" s="7" t="s">
        <v>1263</v>
      </c>
      <c r="D115" s="7" t="s">
        <v>1931</v>
      </c>
      <c r="E115" s="7" t="s">
        <v>149</v>
      </c>
      <c r="F115" s="7" t="s">
        <v>119</v>
      </c>
      <c r="G115" s="7" t="s">
        <v>150</v>
      </c>
      <c r="H115" s="7" t="n">
        <v>2</v>
      </c>
      <c r="I115" s="11" t="n">
        <v>170</v>
      </c>
      <c r="J115" s="11" t="n">
        <v>0</v>
      </c>
      <c r="K115" s="11" t="n">
        <f aca="false">H115*I115-J115</f>
        <v>340</v>
      </c>
      <c r="L115" s="7" t="s">
        <v>88</v>
      </c>
      <c r="M115" s="7" t="s">
        <v>194</v>
      </c>
      <c r="N115" s="7" t="n">
        <v>47</v>
      </c>
      <c r="O115" s="7" t="n">
        <v>4</v>
      </c>
    </row>
    <row r="116" customFormat="false" ht="15" hidden="false" customHeight="false" outlineLevel="0" collapsed="false">
      <c r="A116" s="7" t="s">
        <v>2347</v>
      </c>
      <c r="B116" s="10" t="n">
        <v>45672</v>
      </c>
      <c r="C116" s="7" t="s">
        <v>254</v>
      </c>
      <c r="D116" s="7" t="s">
        <v>2349</v>
      </c>
      <c r="E116" s="7" t="s">
        <v>157</v>
      </c>
      <c r="F116" s="7" t="s">
        <v>136</v>
      </c>
      <c r="G116" s="7" t="s">
        <v>117</v>
      </c>
      <c r="H116" s="7" t="n">
        <v>1</v>
      </c>
      <c r="I116" s="11" t="n">
        <v>135</v>
      </c>
      <c r="J116" s="11" t="n">
        <v>0</v>
      </c>
      <c r="K116" s="11" t="n">
        <f aca="false">H116*I116-J116</f>
        <v>135</v>
      </c>
      <c r="L116" s="7" t="s">
        <v>88</v>
      </c>
      <c r="M116" s="7" t="s">
        <v>194</v>
      </c>
      <c r="N116" s="7" t="n">
        <v>33</v>
      </c>
      <c r="O116" s="7"/>
    </row>
    <row r="117" customFormat="false" ht="15" hidden="false" customHeight="false" outlineLevel="0" collapsed="false">
      <c r="A117" s="7" t="s">
        <v>2784</v>
      </c>
      <c r="B117" s="10" t="n">
        <v>45672</v>
      </c>
      <c r="C117" s="7" t="s">
        <v>2785</v>
      </c>
      <c r="D117" s="7" t="s">
        <v>2786</v>
      </c>
      <c r="E117" s="7" t="s">
        <v>142</v>
      </c>
      <c r="F117" s="7" t="s">
        <v>110</v>
      </c>
      <c r="G117" s="7" t="s">
        <v>105</v>
      </c>
      <c r="H117" s="7" t="n">
        <v>2</v>
      </c>
      <c r="I117" s="11" t="n">
        <v>160</v>
      </c>
      <c r="J117" s="11" t="n">
        <v>30</v>
      </c>
      <c r="K117" s="11" t="n">
        <f aca="false">H117*I117-J117</f>
        <v>290</v>
      </c>
      <c r="L117" s="7" t="s">
        <v>88</v>
      </c>
      <c r="M117" s="7" t="s">
        <v>194</v>
      </c>
      <c r="N117" s="7" t="n">
        <v>51</v>
      </c>
      <c r="O117" s="7" t="n">
        <v>2</v>
      </c>
    </row>
    <row r="118" customFormat="false" ht="15" hidden="false" customHeight="false" outlineLevel="0" collapsed="false">
      <c r="A118" s="7" t="s">
        <v>1001</v>
      </c>
      <c r="B118" s="10" t="n">
        <v>45673</v>
      </c>
      <c r="C118" s="7" t="s">
        <v>508</v>
      </c>
      <c r="D118" s="7" t="s">
        <v>1002</v>
      </c>
      <c r="E118" s="7" t="s">
        <v>138</v>
      </c>
      <c r="F118" s="7" t="s">
        <v>110</v>
      </c>
      <c r="G118" s="7" t="s">
        <v>139</v>
      </c>
      <c r="H118" s="7" t="n">
        <v>2</v>
      </c>
      <c r="I118" s="11" t="n">
        <v>185</v>
      </c>
      <c r="J118" s="11" t="n">
        <v>0</v>
      </c>
      <c r="K118" s="11" t="n">
        <f aca="false">H118*I118-J118</f>
        <v>370</v>
      </c>
      <c r="L118" s="7" t="s">
        <v>88</v>
      </c>
      <c r="M118" s="7" t="s">
        <v>194</v>
      </c>
      <c r="N118" s="7" t="n">
        <v>38</v>
      </c>
      <c r="O118" s="7" t="n">
        <v>3</v>
      </c>
    </row>
    <row r="119" customFormat="false" ht="15" hidden="false" customHeight="false" outlineLevel="0" collapsed="false">
      <c r="A119" s="7" t="s">
        <v>5425</v>
      </c>
      <c r="B119" s="10" t="n">
        <v>45673</v>
      </c>
      <c r="C119" s="7" t="s">
        <v>896</v>
      </c>
      <c r="D119" s="7" t="s">
        <v>5426</v>
      </c>
      <c r="E119" s="7" t="s">
        <v>164</v>
      </c>
      <c r="F119" s="7" t="s">
        <v>141</v>
      </c>
      <c r="G119" s="7" t="s">
        <v>150</v>
      </c>
      <c r="H119" s="7" t="n">
        <v>3</v>
      </c>
      <c r="I119" s="11" t="n">
        <v>120</v>
      </c>
      <c r="J119" s="11" t="n">
        <v>0</v>
      </c>
      <c r="K119" s="11" t="n">
        <f aca="false">H119*I119-J119</f>
        <v>360</v>
      </c>
      <c r="L119" s="7" t="s">
        <v>88</v>
      </c>
      <c r="M119" s="7" t="s">
        <v>194</v>
      </c>
      <c r="N119" s="7" t="n">
        <v>40</v>
      </c>
      <c r="O119" s="7" t="n">
        <v>3</v>
      </c>
    </row>
    <row r="120" customFormat="false" ht="15" hidden="false" customHeight="false" outlineLevel="0" collapsed="false">
      <c r="A120" s="7" t="s">
        <v>5493</v>
      </c>
      <c r="B120" s="10" t="n">
        <v>45673</v>
      </c>
      <c r="C120" s="7" t="s">
        <v>4969</v>
      </c>
      <c r="D120" s="7" t="s">
        <v>1504</v>
      </c>
      <c r="E120" s="7" t="s">
        <v>113</v>
      </c>
      <c r="F120" s="7" t="s">
        <v>101</v>
      </c>
      <c r="G120" s="7" t="s">
        <v>90</v>
      </c>
      <c r="H120" s="7" t="n">
        <v>2</v>
      </c>
      <c r="I120" s="11" t="n">
        <v>265</v>
      </c>
      <c r="J120" s="11" t="n">
        <v>50</v>
      </c>
      <c r="K120" s="11" t="n">
        <f aca="false">H120*I120-J120</f>
        <v>480</v>
      </c>
      <c r="L120" s="7" t="s">
        <v>88</v>
      </c>
      <c r="M120" s="7" t="s">
        <v>194</v>
      </c>
      <c r="N120" s="7" t="n">
        <v>37</v>
      </c>
      <c r="O120" s="7" t="n">
        <v>4</v>
      </c>
    </row>
    <row r="121" customFormat="false" ht="15" hidden="false" customHeight="false" outlineLevel="0" collapsed="false">
      <c r="A121" s="7" t="s">
        <v>488</v>
      </c>
      <c r="B121" s="10" t="n">
        <v>45673</v>
      </c>
      <c r="C121" s="7" t="s">
        <v>490</v>
      </c>
      <c r="D121" s="7" t="s">
        <v>491</v>
      </c>
      <c r="E121" s="7" t="s">
        <v>126</v>
      </c>
      <c r="F121" s="7" t="s">
        <v>101</v>
      </c>
      <c r="G121" s="7" t="s">
        <v>105</v>
      </c>
      <c r="H121" s="7" t="n">
        <v>3</v>
      </c>
      <c r="I121" s="11" t="n">
        <v>220</v>
      </c>
      <c r="J121" s="11" t="n">
        <v>50</v>
      </c>
      <c r="K121" s="11" t="n">
        <f aca="false">H121*I121-J121</f>
        <v>610</v>
      </c>
      <c r="L121" s="7" t="s">
        <v>93</v>
      </c>
      <c r="M121" s="7" t="s">
        <v>194</v>
      </c>
      <c r="N121" s="7" t="n">
        <v>40</v>
      </c>
      <c r="O121" s="7" t="n">
        <v>4</v>
      </c>
    </row>
    <row r="122" customFormat="false" ht="15" hidden="false" customHeight="false" outlineLevel="0" collapsed="false">
      <c r="A122" s="7" t="s">
        <v>4737</v>
      </c>
      <c r="B122" s="10" t="n">
        <v>45673</v>
      </c>
      <c r="C122" s="7" t="s">
        <v>1066</v>
      </c>
      <c r="D122" s="7" t="s">
        <v>332</v>
      </c>
      <c r="E122" s="7" t="s">
        <v>98</v>
      </c>
      <c r="F122" s="7" t="s">
        <v>86</v>
      </c>
      <c r="G122" s="7" t="s">
        <v>99</v>
      </c>
      <c r="H122" s="7" t="n">
        <v>4</v>
      </c>
      <c r="I122" s="11" t="n">
        <v>285</v>
      </c>
      <c r="J122" s="11" t="n">
        <v>0</v>
      </c>
      <c r="K122" s="11" t="n">
        <f aca="false">H122*I122-J122</f>
        <v>1140</v>
      </c>
      <c r="L122" s="7" t="s">
        <v>93</v>
      </c>
      <c r="M122" s="7" t="s">
        <v>194</v>
      </c>
      <c r="N122" s="7" t="n">
        <v>37</v>
      </c>
      <c r="O122" s="7" t="n">
        <v>4</v>
      </c>
    </row>
    <row r="123" customFormat="false" ht="15" hidden="false" customHeight="false" outlineLevel="0" collapsed="false">
      <c r="A123" s="7" t="s">
        <v>4560</v>
      </c>
      <c r="B123" s="10" t="n">
        <v>45673</v>
      </c>
      <c r="C123" s="7" t="s">
        <v>369</v>
      </c>
      <c r="D123" s="7" t="s">
        <v>4561</v>
      </c>
      <c r="E123" s="7" t="s">
        <v>122</v>
      </c>
      <c r="F123" s="7" t="s">
        <v>101</v>
      </c>
      <c r="G123" s="7" t="s">
        <v>123</v>
      </c>
      <c r="H123" s="7" t="n">
        <v>3</v>
      </c>
      <c r="I123" s="11" t="n">
        <v>315</v>
      </c>
      <c r="J123" s="11" t="n">
        <v>0</v>
      </c>
      <c r="K123" s="11" t="n">
        <f aca="false">H123*I123-J123</f>
        <v>945</v>
      </c>
      <c r="L123" s="7" t="s">
        <v>93</v>
      </c>
      <c r="M123" s="7" t="s">
        <v>194</v>
      </c>
      <c r="N123" s="7" t="n">
        <v>39</v>
      </c>
      <c r="O123" s="7" t="n">
        <v>4</v>
      </c>
    </row>
    <row r="124" customFormat="false" ht="15" hidden="false" customHeight="false" outlineLevel="0" collapsed="false">
      <c r="A124" s="7" t="s">
        <v>2980</v>
      </c>
      <c r="B124" s="10" t="n">
        <v>45673</v>
      </c>
      <c r="C124" s="7" t="s">
        <v>2088</v>
      </c>
      <c r="D124" s="7" t="s">
        <v>2981</v>
      </c>
      <c r="E124" s="7" t="s">
        <v>144</v>
      </c>
      <c r="F124" s="7" t="s">
        <v>119</v>
      </c>
      <c r="G124" s="7" t="s">
        <v>99</v>
      </c>
      <c r="H124" s="7" t="n">
        <v>5</v>
      </c>
      <c r="I124" s="11" t="n">
        <v>280</v>
      </c>
      <c r="J124" s="11" t="n">
        <v>50</v>
      </c>
      <c r="K124" s="11" t="n">
        <f aca="false">H124*I124-J124</f>
        <v>1350</v>
      </c>
      <c r="L124" s="7" t="s">
        <v>121</v>
      </c>
      <c r="M124" s="7" t="s">
        <v>194</v>
      </c>
      <c r="N124" s="7" t="n">
        <v>26</v>
      </c>
      <c r="O124" s="7" t="n">
        <v>4</v>
      </c>
    </row>
    <row r="125" customFormat="false" ht="15" hidden="false" customHeight="false" outlineLevel="0" collapsed="false">
      <c r="A125" s="7" t="s">
        <v>274</v>
      </c>
      <c r="B125" s="10" t="n">
        <v>45673</v>
      </c>
      <c r="C125" s="7" t="s">
        <v>276</v>
      </c>
      <c r="D125" s="7" t="s">
        <v>277</v>
      </c>
      <c r="E125" s="7" t="s">
        <v>126</v>
      </c>
      <c r="F125" s="7" t="s">
        <v>101</v>
      </c>
      <c r="G125" s="7" t="s">
        <v>105</v>
      </c>
      <c r="H125" s="7" t="n">
        <v>2</v>
      </c>
      <c r="I125" s="11" t="n">
        <v>285</v>
      </c>
      <c r="J125" s="11" t="n">
        <v>0</v>
      </c>
      <c r="K125" s="11" t="n">
        <f aca="false">H125*I125-J125</f>
        <v>570</v>
      </c>
      <c r="L125" s="7" t="s">
        <v>88</v>
      </c>
      <c r="M125" s="7" t="s">
        <v>194</v>
      </c>
      <c r="N125" s="7" t="n">
        <v>47</v>
      </c>
      <c r="O125" s="7" t="n">
        <v>5</v>
      </c>
    </row>
    <row r="126" customFormat="false" ht="15" hidden="false" customHeight="false" outlineLevel="0" collapsed="false">
      <c r="A126" s="7" t="s">
        <v>3565</v>
      </c>
      <c r="B126" s="10" t="n">
        <v>45674</v>
      </c>
      <c r="C126" s="7" t="s">
        <v>3566</v>
      </c>
      <c r="D126" s="7" t="s">
        <v>3567</v>
      </c>
      <c r="E126" s="7" t="s">
        <v>151</v>
      </c>
      <c r="F126" s="7" t="s">
        <v>128</v>
      </c>
      <c r="G126" s="7" t="s">
        <v>95</v>
      </c>
      <c r="H126" s="7" t="n">
        <v>3</v>
      </c>
      <c r="I126" s="11" t="n">
        <v>150</v>
      </c>
      <c r="J126" s="11" t="n">
        <v>20</v>
      </c>
      <c r="K126" s="11" t="n">
        <f aca="false">H126*I126-J126</f>
        <v>430</v>
      </c>
      <c r="L126" s="7" t="s">
        <v>88</v>
      </c>
      <c r="M126" s="7" t="s">
        <v>194</v>
      </c>
      <c r="N126" s="7" t="n">
        <v>41</v>
      </c>
      <c r="O126" s="7" t="n">
        <v>5</v>
      </c>
    </row>
    <row r="127" customFormat="false" ht="15" hidden="false" customHeight="false" outlineLevel="0" collapsed="false">
      <c r="A127" s="7" t="s">
        <v>3424</v>
      </c>
      <c r="B127" s="10" t="n">
        <v>45674</v>
      </c>
      <c r="C127" s="7" t="s">
        <v>2271</v>
      </c>
      <c r="D127" s="7" t="s">
        <v>766</v>
      </c>
      <c r="E127" s="7" t="s">
        <v>94</v>
      </c>
      <c r="F127" s="7" t="s">
        <v>86</v>
      </c>
      <c r="G127" s="7" t="s">
        <v>95</v>
      </c>
      <c r="H127" s="7" t="n">
        <v>2</v>
      </c>
      <c r="I127" s="11" t="n">
        <v>135</v>
      </c>
      <c r="J127" s="11" t="n">
        <v>75</v>
      </c>
      <c r="K127" s="11" t="n">
        <f aca="false">H127*I127-J127</f>
        <v>195</v>
      </c>
      <c r="L127" s="7" t="s">
        <v>93</v>
      </c>
      <c r="M127" s="7" t="s">
        <v>194</v>
      </c>
      <c r="N127" s="7" t="n">
        <v>46</v>
      </c>
      <c r="O127" s="7" t="n">
        <v>3</v>
      </c>
    </row>
    <row r="128" customFormat="false" ht="15" hidden="false" customHeight="false" outlineLevel="0" collapsed="false">
      <c r="A128" s="7" t="s">
        <v>3926</v>
      </c>
      <c r="B128" s="10" t="n">
        <v>45674</v>
      </c>
      <c r="C128" s="7" t="s">
        <v>3415</v>
      </c>
      <c r="D128" s="7" t="s">
        <v>2139</v>
      </c>
      <c r="E128" s="7" t="s">
        <v>144</v>
      </c>
      <c r="F128" s="7" t="s">
        <v>119</v>
      </c>
      <c r="G128" s="7" t="s">
        <v>99</v>
      </c>
      <c r="H128" s="7" t="n">
        <v>3</v>
      </c>
      <c r="I128" s="11" t="n">
        <v>295</v>
      </c>
      <c r="J128" s="11" t="n">
        <v>0</v>
      </c>
      <c r="K128" s="11" t="n">
        <f aca="false">H128*I128-J128</f>
        <v>885</v>
      </c>
      <c r="L128" s="7" t="s">
        <v>133</v>
      </c>
      <c r="M128" s="7" t="s">
        <v>194</v>
      </c>
      <c r="N128" s="7" t="n">
        <v>45</v>
      </c>
      <c r="O128" s="7" t="n">
        <v>4</v>
      </c>
    </row>
    <row r="129" customFormat="false" ht="15" hidden="false" customHeight="false" outlineLevel="0" collapsed="false">
      <c r="A129" s="7" t="s">
        <v>2999</v>
      </c>
      <c r="B129" s="10" t="n">
        <v>45674</v>
      </c>
      <c r="C129" s="7" t="s">
        <v>3000</v>
      </c>
      <c r="D129" s="7" t="s">
        <v>3001</v>
      </c>
      <c r="E129" s="7" t="s">
        <v>126</v>
      </c>
      <c r="F129" s="7" t="s">
        <v>101</v>
      </c>
      <c r="G129" s="7" t="s">
        <v>105</v>
      </c>
      <c r="H129" s="7" t="n">
        <v>1</v>
      </c>
      <c r="I129" s="11" t="n">
        <v>265</v>
      </c>
      <c r="J129" s="11" t="n">
        <v>30</v>
      </c>
      <c r="K129" s="11" t="n">
        <f aca="false">H129*I129-J129</f>
        <v>235</v>
      </c>
      <c r="L129" s="7" t="s">
        <v>88</v>
      </c>
      <c r="M129" s="7" t="s">
        <v>194</v>
      </c>
      <c r="N129" s="7" t="n">
        <v>38</v>
      </c>
      <c r="O129" s="7" t="n">
        <v>5</v>
      </c>
    </row>
    <row r="130" customFormat="false" ht="15" hidden="false" customHeight="false" outlineLevel="0" collapsed="false">
      <c r="A130" s="7" t="s">
        <v>3410</v>
      </c>
      <c r="B130" s="10" t="n">
        <v>45674</v>
      </c>
      <c r="C130" s="7" t="s">
        <v>1011</v>
      </c>
      <c r="D130" s="7" t="s">
        <v>3411</v>
      </c>
      <c r="E130" s="7" t="s">
        <v>130</v>
      </c>
      <c r="F130" s="7" t="s">
        <v>110</v>
      </c>
      <c r="G130" s="7" t="s">
        <v>90</v>
      </c>
      <c r="H130" s="7" t="n">
        <v>4</v>
      </c>
      <c r="I130" s="11" t="n">
        <v>245</v>
      </c>
      <c r="J130" s="11" t="n">
        <v>20</v>
      </c>
      <c r="K130" s="11" t="n">
        <f aca="false">H130*I130-J130</f>
        <v>960</v>
      </c>
      <c r="L130" s="7" t="s">
        <v>88</v>
      </c>
      <c r="M130" s="7" t="s">
        <v>194</v>
      </c>
      <c r="N130" s="7" t="n">
        <v>25</v>
      </c>
      <c r="O130" s="7" t="n">
        <v>5</v>
      </c>
    </row>
    <row r="131" customFormat="false" ht="15" hidden="false" customHeight="false" outlineLevel="0" collapsed="false">
      <c r="A131" s="7" t="s">
        <v>1772</v>
      </c>
      <c r="B131" s="10" t="n">
        <v>45674</v>
      </c>
      <c r="C131" s="7" t="s">
        <v>555</v>
      </c>
      <c r="D131" s="7" t="s">
        <v>1774</v>
      </c>
      <c r="E131" s="7" t="s">
        <v>98</v>
      </c>
      <c r="F131" s="7" t="s">
        <v>86</v>
      </c>
      <c r="G131" s="7" t="s">
        <v>99</v>
      </c>
      <c r="H131" s="7" t="n">
        <v>3</v>
      </c>
      <c r="I131" s="11" t="n">
        <v>305</v>
      </c>
      <c r="J131" s="11" t="n">
        <v>0</v>
      </c>
      <c r="K131" s="11" t="n">
        <f aca="false">H131*I131-J131</f>
        <v>915</v>
      </c>
      <c r="L131" s="7" t="s">
        <v>103</v>
      </c>
      <c r="M131" s="7" t="s">
        <v>194</v>
      </c>
      <c r="N131" s="7" t="n">
        <v>40</v>
      </c>
      <c r="O131" s="7" t="n">
        <v>5</v>
      </c>
    </row>
    <row r="132" customFormat="false" ht="15" hidden="false" customHeight="false" outlineLevel="0" collapsed="false">
      <c r="A132" s="7" t="s">
        <v>4803</v>
      </c>
      <c r="B132" s="10" t="n">
        <v>45674</v>
      </c>
      <c r="C132" s="7" t="s">
        <v>1565</v>
      </c>
      <c r="D132" s="7" t="s">
        <v>4805</v>
      </c>
      <c r="E132" s="7" t="s">
        <v>144</v>
      </c>
      <c r="F132" s="7" t="s">
        <v>119</v>
      </c>
      <c r="G132" s="7" t="s">
        <v>99</v>
      </c>
      <c r="H132" s="7" t="n">
        <v>3</v>
      </c>
      <c r="I132" s="11" t="n">
        <v>270</v>
      </c>
      <c r="J132" s="11" t="n">
        <v>75</v>
      </c>
      <c r="K132" s="11" t="n">
        <f aca="false">H132*I132-J132</f>
        <v>735</v>
      </c>
      <c r="L132" s="7" t="s">
        <v>88</v>
      </c>
      <c r="M132" s="7" t="s">
        <v>194</v>
      </c>
      <c r="N132" s="7" t="n">
        <v>51</v>
      </c>
      <c r="O132" s="7"/>
    </row>
    <row r="133" customFormat="false" ht="15" hidden="false" customHeight="false" outlineLevel="0" collapsed="false">
      <c r="A133" s="7" t="s">
        <v>5335</v>
      </c>
      <c r="B133" s="10" t="n">
        <v>45675</v>
      </c>
      <c r="C133" s="7" t="s">
        <v>1112</v>
      </c>
      <c r="D133" s="7" t="s">
        <v>1333</v>
      </c>
      <c r="E133" s="7" t="s">
        <v>149</v>
      </c>
      <c r="F133" s="7" t="s">
        <v>119</v>
      </c>
      <c r="G133" s="7" t="s">
        <v>150</v>
      </c>
      <c r="H133" s="7" t="n">
        <v>1</v>
      </c>
      <c r="I133" s="11" t="n">
        <v>165</v>
      </c>
      <c r="J133" s="11" t="n">
        <v>0</v>
      </c>
      <c r="K133" s="11" t="n">
        <f aca="false">H133*I133-J133</f>
        <v>165</v>
      </c>
      <c r="L133" s="7" t="s">
        <v>88</v>
      </c>
      <c r="M133" s="7" t="s">
        <v>194</v>
      </c>
      <c r="N133" s="7" t="n">
        <v>27</v>
      </c>
      <c r="O133" s="7" t="n">
        <v>5</v>
      </c>
    </row>
    <row r="134" customFormat="false" ht="15" hidden="false" customHeight="false" outlineLevel="0" collapsed="false">
      <c r="A134" s="7" t="s">
        <v>3916</v>
      </c>
      <c r="B134" s="10" t="n">
        <v>45675</v>
      </c>
      <c r="C134" s="7" t="s">
        <v>2108</v>
      </c>
      <c r="D134" s="7" t="s">
        <v>3359</v>
      </c>
      <c r="E134" s="7" t="s">
        <v>94</v>
      </c>
      <c r="F134" s="7" t="s">
        <v>86</v>
      </c>
      <c r="G134" s="7" t="s">
        <v>95</v>
      </c>
      <c r="H134" s="7" t="n">
        <v>2</v>
      </c>
      <c r="I134" s="11" t="n">
        <v>100</v>
      </c>
      <c r="J134" s="11" t="n">
        <v>80</v>
      </c>
      <c r="K134" s="11" t="n">
        <f aca="false">H134*I134-J134</f>
        <v>120</v>
      </c>
      <c r="L134" s="7" t="s">
        <v>103</v>
      </c>
      <c r="M134" s="7" t="s">
        <v>238</v>
      </c>
      <c r="N134" s="7"/>
      <c r="O134" s="7"/>
    </row>
    <row r="135" customFormat="false" ht="15" hidden="false" customHeight="false" outlineLevel="0" collapsed="false">
      <c r="A135" s="7" t="s">
        <v>5183</v>
      </c>
      <c r="B135" s="10" t="n">
        <v>45675</v>
      </c>
      <c r="C135" s="7" t="s">
        <v>3183</v>
      </c>
      <c r="D135" s="7" t="s">
        <v>1510</v>
      </c>
      <c r="E135" s="7" t="s">
        <v>130</v>
      </c>
      <c r="F135" s="7" t="s">
        <v>110</v>
      </c>
      <c r="G135" s="7" t="s">
        <v>90</v>
      </c>
      <c r="H135" s="7" t="n">
        <v>4</v>
      </c>
      <c r="I135" s="11" t="n">
        <v>245</v>
      </c>
      <c r="J135" s="11" t="n">
        <v>0</v>
      </c>
      <c r="K135" s="11" t="n">
        <f aca="false">H135*I135-J135</f>
        <v>980</v>
      </c>
      <c r="L135" s="7" t="s">
        <v>103</v>
      </c>
      <c r="M135" s="7" t="s">
        <v>194</v>
      </c>
      <c r="N135" s="7" t="n">
        <v>46</v>
      </c>
      <c r="O135" s="7" t="n">
        <v>3</v>
      </c>
    </row>
    <row r="136" customFormat="false" ht="15" hidden="false" customHeight="false" outlineLevel="0" collapsed="false">
      <c r="A136" s="7" t="s">
        <v>3688</v>
      </c>
      <c r="B136" s="10" t="n">
        <v>45675</v>
      </c>
      <c r="C136" s="7" t="s">
        <v>3690</v>
      </c>
      <c r="D136" s="7" t="s">
        <v>2744</v>
      </c>
      <c r="E136" s="7" t="s">
        <v>142</v>
      </c>
      <c r="F136" s="7" t="s">
        <v>110</v>
      </c>
      <c r="G136" s="7" t="s">
        <v>105</v>
      </c>
      <c r="H136" s="7" t="n">
        <v>2</v>
      </c>
      <c r="I136" s="11" t="n">
        <v>170</v>
      </c>
      <c r="J136" s="11" t="n">
        <v>0</v>
      </c>
      <c r="K136" s="11" t="n">
        <f aca="false">H136*I136-J136</f>
        <v>340</v>
      </c>
      <c r="L136" s="7" t="s">
        <v>93</v>
      </c>
      <c r="M136" s="7" t="s">
        <v>194</v>
      </c>
      <c r="N136" s="7" t="n">
        <v>45</v>
      </c>
      <c r="O136" s="7" t="n">
        <v>3</v>
      </c>
    </row>
    <row r="137" customFormat="false" ht="15" hidden="false" customHeight="false" outlineLevel="0" collapsed="false">
      <c r="A137" s="7" t="s">
        <v>5166</v>
      </c>
      <c r="B137" s="10" t="n">
        <v>45675</v>
      </c>
      <c r="C137" s="7" t="s">
        <v>3063</v>
      </c>
      <c r="D137" s="7" t="s">
        <v>5131</v>
      </c>
      <c r="E137" s="7" t="s">
        <v>148</v>
      </c>
      <c r="F137" s="7" t="s">
        <v>119</v>
      </c>
      <c r="G137" s="7" t="s">
        <v>123</v>
      </c>
      <c r="H137" s="7" t="n">
        <v>1</v>
      </c>
      <c r="I137" s="11" t="n">
        <v>415</v>
      </c>
      <c r="J137" s="11" t="n">
        <v>125</v>
      </c>
      <c r="K137" s="11" t="n">
        <f aca="false">H137*I137-J137</f>
        <v>290</v>
      </c>
      <c r="L137" s="7" t="s">
        <v>112</v>
      </c>
      <c r="M137" s="7" t="s">
        <v>194</v>
      </c>
      <c r="N137" s="7" t="n">
        <v>46</v>
      </c>
      <c r="O137" s="7" t="n">
        <v>5</v>
      </c>
    </row>
    <row r="138" customFormat="false" ht="15" hidden="false" customHeight="false" outlineLevel="0" collapsed="false">
      <c r="A138" s="7" t="s">
        <v>5137</v>
      </c>
      <c r="B138" s="10" t="n">
        <v>45675</v>
      </c>
      <c r="C138" s="7" t="s">
        <v>1842</v>
      </c>
      <c r="D138" s="7" t="s">
        <v>332</v>
      </c>
      <c r="E138" s="7" t="s">
        <v>160</v>
      </c>
      <c r="F138" s="7" t="s">
        <v>136</v>
      </c>
      <c r="G138" s="7" t="s">
        <v>150</v>
      </c>
      <c r="H138" s="7" t="n">
        <v>3</v>
      </c>
      <c r="I138" s="11" t="n">
        <v>220</v>
      </c>
      <c r="J138" s="11" t="n">
        <v>0</v>
      </c>
      <c r="K138" s="11" t="n">
        <f aca="false">H138*I138-J138</f>
        <v>660</v>
      </c>
      <c r="L138" s="7" t="s">
        <v>88</v>
      </c>
      <c r="M138" s="7" t="s">
        <v>194</v>
      </c>
      <c r="N138" s="7" t="n">
        <v>40</v>
      </c>
      <c r="O138" s="7" t="n">
        <v>5</v>
      </c>
    </row>
    <row r="139" customFormat="false" ht="15" hidden="false" customHeight="false" outlineLevel="0" collapsed="false">
      <c r="A139" s="7" t="s">
        <v>4484</v>
      </c>
      <c r="B139" s="10" t="n">
        <v>45675</v>
      </c>
      <c r="C139" s="7" t="s">
        <v>4486</v>
      </c>
      <c r="D139" s="7" t="s">
        <v>281</v>
      </c>
      <c r="E139" s="7" t="s">
        <v>138</v>
      </c>
      <c r="F139" s="7" t="s">
        <v>110</v>
      </c>
      <c r="G139" s="7" t="s">
        <v>139</v>
      </c>
      <c r="H139" s="7" t="n">
        <v>1</v>
      </c>
      <c r="I139" s="11" t="n">
        <v>175</v>
      </c>
      <c r="J139" s="11" t="n">
        <v>40</v>
      </c>
      <c r="K139" s="11" t="n">
        <f aca="false">H139*I139-J139</f>
        <v>135</v>
      </c>
      <c r="L139" s="7" t="s">
        <v>88</v>
      </c>
      <c r="M139" s="7" t="s">
        <v>194</v>
      </c>
      <c r="N139" s="7" t="n">
        <v>36</v>
      </c>
      <c r="O139" s="7"/>
    </row>
    <row r="140" customFormat="false" ht="15" hidden="false" customHeight="false" outlineLevel="0" collapsed="false">
      <c r="A140" s="7" t="s">
        <v>3206</v>
      </c>
      <c r="B140" s="10" t="n">
        <v>45676</v>
      </c>
      <c r="C140" s="7" t="s">
        <v>1191</v>
      </c>
      <c r="D140" s="7" t="s">
        <v>2086</v>
      </c>
      <c r="E140" s="7" t="s">
        <v>134</v>
      </c>
      <c r="F140" s="7" t="s">
        <v>110</v>
      </c>
      <c r="G140" s="7" t="s">
        <v>117</v>
      </c>
      <c r="H140" s="7" t="n">
        <v>2</v>
      </c>
      <c r="I140" s="11" t="n">
        <v>90</v>
      </c>
      <c r="J140" s="11" t="n">
        <v>40</v>
      </c>
      <c r="K140" s="11" t="n">
        <f aca="false">H140*I140-J140</f>
        <v>140</v>
      </c>
      <c r="L140" s="7" t="s">
        <v>88</v>
      </c>
      <c r="M140" s="7" t="s">
        <v>194</v>
      </c>
      <c r="N140" s="7" t="n">
        <v>39</v>
      </c>
      <c r="O140" s="7" t="n">
        <v>5</v>
      </c>
    </row>
    <row r="141" customFormat="false" ht="15" hidden="false" customHeight="false" outlineLevel="0" collapsed="false">
      <c r="A141" s="7" t="s">
        <v>2692</v>
      </c>
      <c r="B141" s="10" t="n">
        <v>45676</v>
      </c>
      <c r="C141" s="7" t="s">
        <v>361</v>
      </c>
      <c r="D141" s="7" t="s">
        <v>1681</v>
      </c>
      <c r="E141" s="7" t="s">
        <v>158</v>
      </c>
      <c r="F141" s="7" t="s">
        <v>136</v>
      </c>
      <c r="G141" s="7" t="s">
        <v>139</v>
      </c>
      <c r="H141" s="7" t="n">
        <v>2</v>
      </c>
      <c r="I141" s="11" t="n">
        <v>200</v>
      </c>
      <c r="J141" s="11" t="n">
        <v>0</v>
      </c>
      <c r="K141" s="11" t="n">
        <f aca="false">H141*I141-J141</f>
        <v>400</v>
      </c>
      <c r="L141" s="7" t="s">
        <v>88</v>
      </c>
      <c r="M141" s="7" t="s">
        <v>194</v>
      </c>
      <c r="N141" s="7" t="n">
        <v>33</v>
      </c>
      <c r="O141" s="7" t="n">
        <v>4</v>
      </c>
    </row>
    <row r="142" customFormat="false" ht="15" hidden="false" customHeight="false" outlineLevel="0" collapsed="false">
      <c r="A142" s="7" t="s">
        <v>1353</v>
      </c>
      <c r="B142" s="10" t="n">
        <v>45676</v>
      </c>
      <c r="C142" s="7" t="s">
        <v>697</v>
      </c>
      <c r="D142" s="7" t="s">
        <v>1355</v>
      </c>
      <c r="E142" s="7" t="s">
        <v>142</v>
      </c>
      <c r="F142" s="7" t="s">
        <v>110</v>
      </c>
      <c r="G142" s="7" t="s">
        <v>105</v>
      </c>
      <c r="H142" s="7" t="n">
        <v>1</v>
      </c>
      <c r="I142" s="11" t="n">
        <v>140</v>
      </c>
      <c r="J142" s="11" t="n">
        <v>56</v>
      </c>
      <c r="K142" s="11" t="n">
        <f aca="false">H142*I142-J142</f>
        <v>84</v>
      </c>
      <c r="L142" s="7" t="s">
        <v>112</v>
      </c>
      <c r="M142" s="7" t="s">
        <v>194</v>
      </c>
      <c r="N142" s="7" t="n">
        <v>36</v>
      </c>
      <c r="O142" s="7" t="n">
        <v>5</v>
      </c>
    </row>
    <row r="143" customFormat="false" ht="15" hidden="false" customHeight="false" outlineLevel="0" collapsed="false">
      <c r="A143" s="7" t="s">
        <v>3629</v>
      </c>
      <c r="B143" s="10" t="n">
        <v>45676</v>
      </c>
      <c r="C143" s="7" t="s">
        <v>1336</v>
      </c>
      <c r="D143" s="7" t="s">
        <v>3630</v>
      </c>
      <c r="E143" s="7" t="s">
        <v>151</v>
      </c>
      <c r="F143" s="7" t="s">
        <v>128</v>
      </c>
      <c r="G143" s="7" t="s">
        <v>95</v>
      </c>
      <c r="H143" s="7" t="n">
        <v>1</v>
      </c>
      <c r="I143" s="11" t="n">
        <v>155</v>
      </c>
      <c r="J143" s="11" t="n">
        <v>0</v>
      </c>
      <c r="K143" s="11" t="n">
        <f aca="false">H143*I143-J143</f>
        <v>155</v>
      </c>
      <c r="L143" s="7" t="s">
        <v>112</v>
      </c>
      <c r="M143" s="7" t="s">
        <v>194</v>
      </c>
      <c r="N143" s="7" t="n">
        <v>32</v>
      </c>
      <c r="O143" s="7"/>
    </row>
    <row r="144" customFormat="false" ht="15" hidden="false" customHeight="false" outlineLevel="0" collapsed="false">
      <c r="A144" s="7" t="s">
        <v>5608</v>
      </c>
      <c r="B144" s="10" t="n">
        <v>45676</v>
      </c>
      <c r="C144" s="7" t="s">
        <v>4531</v>
      </c>
      <c r="D144" s="7" t="s">
        <v>5609</v>
      </c>
      <c r="E144" s="7" t="s">
        <v>98</v>
      </c>
      <c r="F144" s="7" t="s">
        <v>86</v>
      </c>
      <c r="G144" s="7" t="s">
        <v>99</v>
      </c>
      <c r="H144" s="7" t="n">
        <v>4</v>
      </c>
      <c r="I144" s="11" t="n">
        <v>305</v>
      </c>
      <c r="J144" s="11" t="n">
        <v>0</v>
      </c>
      <c r="K144" s="11" t="n">
        <f aca="false">H144*I144-J144</f>
        <v>1220</v>
      </c>
      <c r="L144" s="7" t="s">
        <v>112</v>
      </c>
      <c r="M144" s="7" t="s">
        <v>238</v>
      </c>
      <c r="N144" s="7"/>
      <c r="O144" s="7"/>
    </row>
    <row r="145" customFormat="false" ht="15" hidden="false" customHeight="false" outlineLevel="0" collapsed="false">
      <c r="A145" s="7" t="s">
        <v>3661</v>
      </c>
      <c r="B145" s="10" t="n">
        <v>45677</v>
      </c>
      <c r="C145" s="7" t="s">
        <v>1604</v>
      </c>
      <c r="D145" s="7" t="s">
        <v>3663</v>
      </c>
      <c r="E145" s="7" t="s">
        <v>164</v>
      </c>
      <c r="F145" s="7" t="s">
        <v>141</v>
      </c>
      <c r="G145" s="7" t="s">
        <v>150</v>
      </c>
      <c r="H145" s="7" t="n">
        <v>3</v>
      </c>
      <c r="I145" s="11" t="n">
        <v>125</v>
      </c>
      <c r="J145" s="11" t="n">
        <v>0</v>
      </c>
      <c r="K145" s="11" t="n">
        <f aca="false">H145*I145-J145</f>
        <v>375</v>
      </c>
      <c r="L145" s="7" t="s">
        <v>88</v>
      </c>
      <c r="M145" s="7" t="s">
        <v>194</v>
      </c>
      <c r="N145" s="7" t="n">
        <v>38</v>
      </c>
      <c r="O145" s="7" t="n">
        <v>3</v>
      </c>
    </row>
    <row r="146" customFormat="false" ht="15" hidden="false" customHeight="false" outlineLevel="0" collapsed="false">
      <c r="A146" s="7" t="s">
        <v>2186</v>
      </c>
      <c r="B146" s="10" t="n">
        <v>45677</v>
      </c>
      <c r="C146" s="7" t="s">
        <v>2187</v>
      </c>
      <c r="D146" s="7" t="s">
        <v>2188</v>
      </c>
      <c r="E146" s="7" t="s">
        <v>98</v>
      </c>
      <c r="F146" s="7" t="s">
        <v>86</v>
      </c>
      <c r="G146" s="7" t="s">
        <v>99</v>
      </c>
      <c r="H146" s="7" t="n">
        <v>1</v>
      </c>
      <c r="I146" s="11" t="n">
        <v>290</v>
      </c>
      <c r="J146" s="11" t="n">
        <v>0</v>
      </c>
      <c r="K146" s="11" t="n">
        <f aca="false">H146*I146-J146</f>
        <v>290</v>
      </c>
      <c r="L146" s="7" t="s">
        <v>93</v>
      </c>
      <c r="M146" s="7" t="s">
        <v>194</v>
      </c>
      <c r="N146" s="7" t="n">
        <v>44</v>
      </c>
      <c r="O146" s="7" t="n">
        <v>5</v>
      </c>
    </row>
    <row r="147" customFormat="false" ht="15" hidden="false" customHeight="false" outlineLevel="0" collapsed="false">
      <c r="A147" s="7" t="s">
        <v>5190</v>
      </c>
      <c r="B147" s="10" t="n">
        <v>45677</v>
      </c>
      <c r="C147" s="7" t="s">
        <v>2209</v>
      </c>
      <c r="D147" s="7" t="s">
        <v>922</v>
      </c>
      <c r="E147" s="7" t="s">
        <v>134</v>
      </c>
      <c r="F147" s="7" t="s">
        <v>110</v>
      </c>
      <c r="G147" s="7" t="s">
        <v>117</v>
      </c>
      <c r="H147" s="7" t="n">
        <v>4</v>
      </c>
      <c r="I147" s="11" t="n">
        <v>110</v>
      </c>
      <c r="J147" s="11" t="n">
        <v>0</v>
      </c>
      <c r="K147" s="11" t="n">
        <f aca="false">H147*I147-J147</f>
        <v>440</v>
      </c>
      <c r="L147" s="7" t="s">
        <v>93</v>
      </c>
      <c r="M147" s="7" t="s">
        <v>194</v>
      </c>
      <c r="N147" s="7" t="n">
        <v>30</v>
      </c>
      <c r="O147" s="7" t="n">
        <v>4</v>
      </c>
    </row>
    <row r="148" customFormat="false" ht="15" hidden="false" customHeight="false" outlineLevel="0" collapsed="false">
      <c r="A148" s="7" t="s">
        <v>5392</v>
      </c>
      <c r="B148" s="10" t="n">
        <v>45677</v>
      </c>
      <c r="C148" s="7" t="s">
        <v>1684</v>
      </c>
      <c r="D148" s="7" t="s">
        <v>4386</v>
      </c>
      <c r="E148" s="7" t="s">
        <v>104</v>
      </c>
      <c r="F148" s="7" t="s">
        <v>86</v>
      </c>
      <c r="G148" s="7" t="s">
        <v>105</v>
      </c>
      <c r="H148" s="7" t="n">
        <v>2</v>
      </c>
      <c r="I148" s="11" t="n">
        <v>155</v>
      </c>
      <c r="J148" s="11" t="n">
        <v>124</v>
      </c>
      <c r="K148" s="11" t="n">
        <f aca="false">H148*I148-J148</f>
        <v>186</v>
      </c>
      <c r="L148" s="7" t="s">
        <v>88</v>
      </c>
      <c r="M148" s="7" t="s">
        <v>194</v>
      </c>
      <c r="N148" s="7" t="n">
        <v>36</v>
      </c>
      <c r="O148" s="7" t="n">
        <v>2</v>
      </c>
    </row>
    <row r="149" customFormat="false" ht="15" hidden="false" customHeight="false" outlineLevel="0" collapsed="false">
      <c r="A149" s="7" t="s">
        <v>2265</v>
      </c>
      <c r="B149" s="10" t="n">
        <v>45677</v>
      </c>
      <c r="C149" s="7" t="s">
        <v>2266</v>
      </c>
      <c r="D149" s="7" t="s">
        <v>1719</v>
      </c>
      <c r="E149" s="7" t="s">
        <v>163</v>
      </c>
      <c r="F149" s="7" t="s">
        <v>141</v>
      </c>
      <c r="G149" s="7" t="s">
        <v>99</v>
      </c>
      <c r="H149" s="7" t="n">
        <v>1</v>
      </c>
      <c r="I149" s="11" t="n">
        <v>200</v>
      </c>
      <c r="J149" s="11" t="n">
        <v>80</v>
      </c>
      <c r="K149" s="11" t="n">
        <f aca="false">H149*I149-J149</f>
        <v>120</v>
      </c>
      <c r="L149" s="7" t="s">
        <v>88</v>
      </c>
      <c r="M149" s="7" t="s">
        <v>194</v>
      </c>
      <c r="N149" s="7" t="n">
        <v>33</v>
      </c>
      <c r="O149" s="7" t="n">
        <v>3</v>
      </c>
    </row>
    <row r="150" customFormat="false" ht="15" hidden="false" customHeight="false" outlineLevel="0" collapsed="false">
      <c r="A150" s="7" t="s">
        <v>1308</v>
      </c>
      <c r="B150" s="10" t="n">
        <v>45677</v>
      </c>
      <c r="C150" s="7" t="s">
        <v>1125</v>
      </c>
      <c r="D150" s="7" t="s">
        <v>1310</v>
      </c>
      <c r="E150" s="7" t="s">
        <v>113</v>
      </c>
      <c r="F150" s="7" t="s">
        <v>101</v>
      </c>
      <c r="G150" s="7" t="s">
        <v>90</v>
      </c>
      <c r="H150" s="7" t="n">
        <v>5</v>
      </c>
      <c r="I150" s="11" t="n">
        <v>245</v>
      </c>
      <c r="J150" s="11" t="n">
        <v>0</v>
      </c>
      <c r="K150" s="11" t="n">
        <f aca="false">H150*I150-J150</f>
        <v>1225</v>
      </c>
      <c r="L150" s="7" t="s">
        <v>93</v>
      </c>
      <c r="M150" s="7" t="s">
        <v>194</v>
      </c>
      <c r="N150" s="7" t="n">
        <v>47</v>
      </c>
      <c r="O150" s="7" t="n">
        <v>3</v>
      </c>
    </row>
    <row r="151" customFormat="false" ht="15" hidden="false" customHeight="false" outlineLevel="0" collapsed="false">
      <c r="A151" s="7" t="s">
        <v>4666</v>
      </c>
      <c r="B151" s="10" t="n">
        <v>45677</v>
      </c>
      <c r="C151" s="7" t="s">
        <v>2202</v>
      </c>
      <c r="D151" s="7" t="s">
        <v>3977</v>
      </c>
      <c r="E151" s="7" t="s">
        <v>134</v>
      </c>
      <c r="F151" s="7" t="s">
        <v>110</v>
      </c>
      <c r="G151" s="7" t="s">
        <v>117</v>
      </c>
      <c r="H151" s="7" t="n">
        <v>2</v>
      </c>
      <c r="I151" s="11" t="n">
        <v>125</v>
      </c>
      <c r="J151" s="11" t="n">
        <v>75</v>
      </c>
      <c r="K151" s="11" t="n">
        <f aca="false">H151*I151-J151</f>
        <v>175</v>
      </c>
      <c r="L151" s="7" t="s">
        <v>88</v>
      </c>
      <c r="M151" s="7" t="s">
        <v>194</v>
      </c>
      <c r="N151" s="7" t="n">
        <v>48</v>
      </c>
      <c r="O151" s="7"/>
    </row>
    <row r="152" customFormat="false" ht="15" hidden="false" customHeight="false" outlineLevel="0" collapsed="false">
      <c r="A152" s="7" t="s">
        <v>4861</v>
      </c>
      <c r="B152" s="10" t="n">
        <v>45677</v>
      </c>
      <c r="C152" s="7" t="s">
        <v>1414</v>
      </c>
      <c r="D152" s="7" t="s">
        <v>4862</v>
      </c>
      <c r="E152" s="7" t="s">
        <v>168</v>
      </c>
      <c r="F152" s="7" t="s">
        <v>146</v>
      </c>
      <c r="G152" s="7" t="s">
        <v>123</v>
      </c>
      <c r="H152" s="7" t="n">
        <v>2</v>
      </c>
      <c r="I152" s="11" t="n">
        <v>355</v>
      </c>
      <c r="J152" s="11" t="n">
        <v>20</v>
      </c>
      <c r="K152" s="11" t="n">
        <f aca="false">H152*I152-J152</f>
        <v>690</v>
      </c>
      <c r="L152" s="7" t="s">
        <v>88</v>
      </c>
      <c r="M152" s="7" t="s">
        <v>194</v>
      </c>
      <c r="N152" s="7" t="n">
        <v>33</v>
      </c>
      <c r="O152" s="7" t="n">
        <v>5</v>
      </c>
    </row>
    <row r="153" customFormat="false" ht="15" hidden="false" customHeight="false" outlineLevel="0" collapsed="false">
      <c r="A153" s="7" t="s">
        <v>5545</v>
      </c>
      <c r="B153" s="10" t="n">
        <v>45677</v>
      </c>
      <c r="C153" s="7" t="s">
        <v>447</v>
      </c>
      <c r="D153" s="7" t="s">
        <v>4557</v>
      </c>
      <c r="E153" s="7" t="s">
        <v>113</v>
      </c>
      <c r="F153" s="7" t="s">
        <v>101</v>
      </c>
      <c r="G153" s="7" t="s">
        <v>90</v>
      </c>
      <c r="H153" s="7" t="n">
        <v>1</v>
      </c>
      <c r="I153" s="11" t="n">
        <v>220</v>
      </c>
      <c r="J153" s="11" t="n">
        <v>88</v>
      </c>
      <c r="K153" s="11" t="n">
        <f aca="false">H153*I153-J153</f>
        <v>132</v>
      </c>
      <c r="L153" s="7" t="s">
        <v>112</v>
      </c>
      <c r="M153" s="7" t="s">
        <v>194</v>
      </c>
      <c r="N153" s="7" t="n">
        <v>43</v>
      </c>
      <c r="O153" s="7" t="n">
        <v>4</v>
      </c>
    </row>
    <row r="154" customFormat="false" ht="15" hidden="false" customHeight="false" outlineLevel="0" collapsed="false">
      <c r="A154" s="7" t="s">
        <v>5508</v>
      </c>
      <c r="B154" s="10" t="n">
        <v>45677</v>
      </c>
      <c r="C154" s="7" t="s">
        <v>1434</v>
      </c>
      <c r="D154" s="7" t="s">
        <v>5509</v>
      </c>
      <c r="E154" s="7" t="s">
        <v>116</v>
      </c>
      <c r="F154" s="7" t="s">
        <v>101</v>
      </c>
      <c r="G154" s="7" t="s">
        <v>117</v>
      </c>
      <c r="H154" s="7" t="n">
        <v>1</v>
      </c>
      <c r="I154" s="11" t="n">
        <v>120</v>
      </c>
      <c r="J154" s="11" t="n">
        <v>0</v>
      </c>
      <c r="K154" s="11" t="n">
        <f aca="false">H154*I154-J154</f>
        <v>120</v>
      </c>
      <c r="L154" s="7" t="s">
        <v>93</v>
      </c>
      <c r="M154" s="7" t="s">
        <v>194</v>
      </c>
      <c r="N154" s="7"/>
      <c r="O154" s="7" t="n">
        <v>4</v>
      </c>
    </row>
    <row r="155" customFormat="false" ht="15" hidden="false" customHeight="false" outlineLevel="0" collapsed="false">
      <c r="A155" s="7" t="s">
        <v>5907</v>
      </c>
      <c r="B155" s="10" t="n">
        <v>45678</v>
      </c>
      <c r="C155" s="7" t="s">
        <v>5908</v>
      </c>
      <c r="D155" s="7" t="s">
        <v>1202</v>
      </c>
      <c r="E155" s="7" t="s">
        <v>134</v>
      </c>
      <c r="F155" s="7" t="s">
        <v>110</v>
      </c>
      <c r="G155" s="7" t="s">
        <v>117</v>
      </c>
      <c r="H155" s="7" t="n">
        <v>1</v>
      </c>
      <c r="I155" s="11" t="n">
        <v>130</v>
      </c>
      <c r="J155" s="11" t="n">
        <v>0</v>
      </c>
      <c r="K155" s="11" t="n">
        <f aca="false">H155*I155-J155</f>
        <v>130</v>
      </c>
      <c r="L155" s="7" t="s">
        <v>112</v>
      </c>
      <c r="M155" s="7" t="s">
        <v>194</v>
      </c>
      <c r="N155" s="7" t="n">
        <v>37</v>
      </c>
      <c r="O155" s="7" t="n">
        <v>4</v>
      </c>
    </row>
    <row r="156" customFormat="false" ht="15" hidden="false" customHeight="false" outlineLevel="0" collapsed="false">
      <c r="A156" s="7" t="s">
        <v>4720</v>
      </c>
      <c r="B156" s="10" t="n">
        <v>45678</v>
      </c>
      <c r="C156" s="7" t="s">
        <v>2663</v>
      </c>
      <c r="D156" s="7" t="s">
        <v>1981</v>
      </c>
      <c r="E156" s="7" t="s">
        <v>122</v>
      </c>
      <c r="F156" s="7" t="s">
        <v>101</v>
      </c>
      <c r="G156" s="7" t="s">
        <v>123</v>
      </c>
      <c r="H156" s="7" t="n">
        <v>2</v>
      </c>
      <c r="I156" s="11" t="n">
        <v>325</v>
      </c>
      <c r="J156" s="11" t="n">
        <v>75</v>
      </c>
      <c r="K156" s="11" t="n">
        <f aca="false">H156*I156-J156</f>
        <v>575</v>
      </c>
      <c r="L156" s="7" t="s">
        <v>103</v>
      </c>
      <c r="M156" s="7" t="s">
        <v>194</v>
      </c>
      <c r="N156" s="7" t="n">
        <v>33</v>
      </c>
      <c r="O156" s="7" t="n">
        <v>5</v>
      </c>
    </row>
    <row r="157" customFormat="false" ht="15" hidden="false" customHeight="false" outlineLevel="0" collapsed="false">
      <c r="A157" s="7" t="s">
        <v>3199</v>
      </c>
      <c r="B157" s="10" t="n">
        <v>45678</v>
      </c>
      <c r="C157" s="7" t="s">
        <v>996</v>
      </c>
      <c r="D157" s="7" t="s">
        <v>2326</v>
      </c>
      <c r="E157" s="7" t="s">
        <v>151</v>
      </c>
      <c r="F157" s="7" t="s">
        <v>128</v>
      </c>
      <c r="G157" s="7" t="s">
        <v>95</v>
      </c>
      <c r="H157" s="7" t="n">
        <v>1</v>
      </c>
      <c r="I157" s="11" t="n">
        <v>190</v>
      </c>
      <c r="J157" s="11" t="n">
        <v>30</v>
      </c>
      <c r="K157" s="11" t="n">
        <f aca="false">H157*I157-J157</f>
        <v>160</v>
      </c>
      <c r="L157" s="7" t="s">
        <v>103</v>
      </c>
      <c r="M157" s="7" t="s">
        <v>194</v>
      </c>
      <c r="N157" s="7" t="n">
        <v>37</v>
      </c>
      <c r="O157" s="7" t="n">
        <v>4</v>
      </c>
    </row>
    <row r="158" customFormat="false" ht="15" hidden="false" customHeight="false" outlineLevel="0" collapsed="false">
      <c r="A158" s="7" t="s">
        <v>5234</v>
      </c>
      <c r="B158" s="10" t="n">
        <v>45678</v>
      </c>
      <c r="C158" s="7" t="s">
        <v>2410</v>
      </c>
      <c r="D158" s="7" t="s">
        <v>2086</v>
      </c>
      <c r="E158" s="7" t="s">
        <v>94</v>
      </c>
      <c r="F158" s="7" t="s">
        <v>86</v>
      </c>
      <c r="G158" s="7" t="s">
        <v>95</v>
      </c>
      <c r="H158" s="7" t="n">
        <v>2</v>
      </c>
      <c r="I158" s="11" t="n">
        <v>125</v>
      </c>
      <c r="J158" s="11" t="n">
        <v>100</v>
      </c>
      <c r="K158" s="11" t="n">
        <f aca="false">H158*I158-J158</f>
        <v>150</v>
      </c>
      <c r="L158" s="7" t="s">
        <v>121</v>
      </c>
      <c r="M158" s="7" t="s">
        <v>194</v>
      </c>
      <c r="N158" s="7" t="n">
        <v>43</v>
      </c>
      <c r="O158" s="7" t="n">
        <v>3</v>
      </c>
    </row>
    <row r="159" customFormat="false" ht="15" hidden="false" customHeight="false" outlineLevel="0" collapsed="false">
      <c r="A159" s="7" t="s">
        <v>3530</v>
      </c>
      <c r="B159" s="10" t="n">
        <v>45678</v>
      </c>
      <c r="C159" s="7" t="s">
        <v>3005</v>
      </c>
      <c r="D159" s="7" t="s">
        <v>3532</v>
      </c>
      <c r="E159" s="7" t="s">
        <v>89</v>
      </c>
      <c r="F159" s="7" t="s">
        <v>86</v>
      </c>
      <c r="G159" s="7" t="s">
        <v>90</v>
      </c>
      <c r="H159" s="7" t="n">
        <v>2</v>
      </c>
      <c r="I159" s="11" t="n">
        <v>265</v>
      </c>
      <c r="J159" s="11" t="n">
        <v>0</v>
      </c>
      <c r="K159" s="11" t="n">
        <f aca="false">H159*I159-J159</f>
        <v>530</v>
      </c>
      <c r="L159" s="7" t="s">
        <v>88</v>
      </c>
      <c r="M159" s="7" t="s">
        <v>194</v>
      </c>
      <c r="N159" s="7" t="n">
        <v>27</v>
      </c>
      <c r="O159" s="7" t="n">
        <v>4</v>
      </c>
    </row>
    <row r="160" customFormat="false" ht="15" hidden="false" customHeight="false" outlineLevel="0" collapsed="false">
      <c r="A160" s="7" t="s">
        <v>5949</v>
      </c>
      <c r="B160" s="10" t="n">
        <v>45678</v>
      </c>
      <c r="C160" s="7" t="s">
        <v>2260</v>
      </c>
      <c r="D160" s="7" t="s">
        <v>1257</v>
      </c>
      <c r="E160" s="7" t="s">
        <v>159</v>
      </c>
      <c r="F160" s="7" t="s">
        <v>136</v>
      </c>
      <c r="G160" s="7" t="s">
        <v>90</v>
      </c>
      <c r="H160" s="7" t="n">
        <v>2</v>
      </c>
      <c r="I160" s="11" t="n">
        <v>255</v>
      </c>
      <c r="J160" s="11" t="n">
        <v>0</v>
      </c>
      <c r="K160" s="11" t="n">
        <f aca="false">H160*I160-J160</f>
        <v>510</v>
      </c>
      <c r="L160" s="7" t="s">
        <v>88</v>
      </c>
      <c r="M160" s="7" t="s">
        <v>194</v>
      </c>
      <c r="N160" s="7" t="n">
        <v>36</v>
      </c>
      <c r="O160" s="7" t="n">
        <v>3</v>
      </c>
    </row>
    <row r="161" customFormat="false" ht="15" hidden="false" customHeight="false" outlineLevel="0" collapsed="false">
      <c r="A161" s="7" t="s">
        <v>3545</v>
      </c>
      <c r="B161" s="10" t="n">
        <v>45678</v>
      </c>
      <c r="C161" s="7" t="s">
        <v>1788</v>
      </c>
      <c r="D161" s="7" t="s">
        <v>690</v>
      </c>
      <c r="E161" s="7" t="s">
        <v>126</v>
      </c>
      <c r="F161" s="7" t="s">
        <v>101</v>
      </c>
      <c r="G161" s="7" t="s">
        <v>105</v>
      </c>
      <c r="H161" s="7" t="n">
        <v>2</v>
      </c>
      <c r="I161" s="11" t="n">
        <v>225</v>
      </c>
      <c r="J161" s="11" t="n">
        <v>150</v>
      </c>
      <c r="K161" s="11" t="n">
        <f aca="false">H161*I161-J161</f>
        <v>300</v>
      </c>
      <c r="L161" s="7" t="s">
        <v>93</v>
      </c>
      <c r="M161" s="7" t="s">
        <v>194</v>
      </c>
      <c r="N161" s="7" t="n">
        <v>38</v>
      </c>
      <c r="O161" s="7" t="n">
        <v>4</v>
      </c>
    </row>
    <row r="162" customFormat="false" ht="15" hidden="false" customHeight="false" outlineLevel="0" collapsed="false">
      <c r="A162" s="7" t="s">
        <v>5138</v>
      </c>
      <c r="B162" s="10" t="n">
        <v>45679</v>
      </c>
      <c r="C162" s="7" t="s">
        <v>3600</v>
      </c>
      <c r="D162" s="7" t="s">
        <v>4342</v>
      </c>
      <c r="E162" s="7" t="s">
        <v>94</v>
      </c>
      <c r="F162" s="7" t="s">
        <v>86</v>
      </c>
      <c r="G162" s="7" t="s">
        <v>95</v>
      </c>
      <c r="H162" s="7" t="n">
        <v>3</v>
      </c>
      <c r="I162" s="11" t="n">
        <v>115</v>
      </c>
      <c r="J162" s="11" t="n">
        <v>0</v>
      </c>
      <c r="K162" s="11" t="n">
        <f aca="false">H162*I162-J162</f>
        <v>345</v>
      </c>
      <c r="L162" s="7" t="s">
        <v>93</v>
      </c>
      <c r="M162" s="7" t="s">
        <v>194</v>
      </c>
      <c r="N162" s="7" t="n">
        <v>42</v>
      </c>
      <c r="O162" s="7" t="n">
        <v>4</v>
      </c>
    </row>
    <row r="163" customFormat="false" ht="15" hidden="false" customHeight="false" outlineLevel="0" collapsed="false">
      <c r="A163" s="7" t="s">
        <v>4136</v>
      </c>
      <c r="B163" s="10" t="n">
        <v>45679</v>
      </c>
      <c r="C163" s="7" t="s">
        <v>850</v>
      </c>
      <c r="D163" s="7" t="s">
        <v>2134</v>
      </c>
      <c r="E163" s="7" t="s">
        <v>158</v>
      </c>
      <c r="F163" s="7" t="s">
        <v>136</v>
      </c>
      <c r="G163" s="7" t="s">
        <v>139</v>
      </c>
      <c r="H163" s="7" t="n">
        <v>3</v>
      </c>
      <c r="I163" s="11" t="n">
        <v>240</v>
      </c>
      <c r="J163" s="11" t="n">
        <v>0</v>
      </c>
      <c r="K163" s="11" t="n">
        <f aca="false">H163*I163-J163</f>
        <v>720</v>
      </c>
      <c r="L163" s="7" t="s">
        <v>103</v>
      </c>
      <c r="M163" s="7" t="s">
        <v>194</v>
      </c>
      <c r="N163" s="7" t="n">
        <v>24</v>
      </c>
      <c r="O163" s="7" t="n">
        <v>3</v>
      </c>
    </row>
    <row r="164" customFormat="false" ht="15" hidden="false" customHeight="false" outlineLevel="0" collapsed="false">
      <c r="A164" s="7" t="s">
        <v>5574</v>
      </c>
      <c r="B164" s="10" t="n">
        <v>45679</v>
      </c>
      <c r="C164" s="7" t="s">
        <v>602</v>
      </c>
      <c r="D164" s="7" t="s">
        <v>5575</v>
      </c>
      <c r="E164" s="7" t="s">
        <v>167</v>
      </c>
      <c r="F164" s="7" t="s">
        <v>146</v>
      </c>
      <c r="G164" s="7" t="s">
        <v>156</v>
      </c>
      <c r="H164" s="7" t="n">
        <v>5</v>
      </c>
      <c r="I164" s="11" t="n">
        <v>270</v>
      </c>
      <c r="J164" s="11" t="n">
        <v>20</v>
      </c>
      <c r="K164" s="11" t="n">
        <f aca="false">H164*I164-J164</f>
        <v>1330</v>
      </c>
      <c r="L164" s="7" t="s">
        <v>133</v>
      </c>
      <c r="M164" s="7" t="s">
        <v>194</v>
      </c>
      <c r="N164" s="7" t="n">
        <v>19</v>
      </c>
      <c r="O164" s="7" t="n">
        <v>4</v>
      </c>
    </row>
    <row r="165" customFormat="false" ht="15" hidden="false" customHeight="false" outlineLevel="0" collapsed="false">
      <c r="A165" s="7" t="s">
        <v>4523</v>
      </c>
      <c r="B165" s="10" t="n">
        <v>45679</v>
      </c>
      <c r="C165" s="7" t="s">
        <v>1664</v>
      </c>
      <c r="D165" s="7" t="s">
        <v>4524</v>
      </c>
      <c r="E165" s="7" t="s">
        <v>116</v>
      </c>
      <c r="F165" s="7" t="s">
        <v>101</v>
      </c>
      <c r="G165" s="7" t="s">
        <v>117</v>
      </c>
      <c r="H165" s="7" t="n">
        <v>2</v>
      </c>
      <c r="I165" s="11" t="n">
        <v>120</v>
      </c>
      <c r="J165" s="11" t="n">
        <v>75</v>
      </c>
      <c r="K165" s="11" t="n">
        <f aca="false">H165*I165-J165</f>
        <v>165</v>
      </c>
      <c r="L165" s="7" t="s">
        <v>112</v>
      </c>
      <c r="M165" s="7" t="s">
        <v>194</v>
      </c>
      <c r="N165" s="7" t="n">
        <v>38</v>
      </c>
      <c r="O165" s="7" t="n">
        <v>3</v>
      </c>
    </row>
    <row r="166" customFormat="false" ht="15" hidden="false" customHeight="false" outlineLevel="0" collapsed="false">
      <c r="A166" s="7" t="s">
        <v>3752</v>
      </c>
      <c r="B166" s="10" t="n">
        <v>45679</v>
      </c>
      <c r="C166" s="7" t="s">
        <v>585</v>
      </c>
      <c r="D166" s="7" t="s">
        <v>3473</v>
      </c>
      <c r="E166" s="7" t="s">
        <v>147</v>
      </c>
      <c r="F166" s="7" t="s">
        <v>119</v>
      </c>
      <c r="G166" s="7" t="s">
        <v>95</v>
      </c>
      <c r="H166" s="7" t="n">
        <v>1</v>
      </c>
      <c r="I166" s="11" t="n">
        <v>155</v>
      </c>
      <c r="J166" s="11" t="n">
        <v>40</v>
      </c>
      <c r="K166" s="11" t="n">
        <f aca="false">H166*I166-J166</f>
        <v>115</v>
      </c>
      <c r="L166" s="7" t="s">
        <v>103</v>
      </c>
      <c r="M166" s="7" t="s">
        <v>194</v>
      </c>
      <c r="N166" s="7" t="n">
        <v>27</v>
      </c>
      <c r="O166" s="7" t="n">
        <v>5</v>
      </c>
    </row>
    <row r="167" customFormat="false" ht="15" hidden="false" customHeight="false" outlineLevel="0" collapsed="false">
      <c r="A167" s="7" t="s">
        <v>4964</v>
      </c>
      <c r="B167" s="10" t="n">
        <v>45679</v>
      </c>
      <c r="C167" s="7" t="s">
        <v>2408</v>
      </c>
      <c r="D167" s="7" t="s">
        <v>4036</v>
      </c>
      <c r="E167" s="7" t="s">
        <v>94</v>
      </c>
      <c r="F167" s="7" t="s">
        <v>86</v>
      </c>
      <c r="G167" s="7" t="s">
        <v>95</v>
      </c>
      <c r="H167" s="7" t="n">
        <v>2</v>
      </c>
      <c r="I167" s="11" t="n">
        <v>110</v>
      </c>
      <c r="J167" s="11" t="n">
        <v>40</v>
      </c>
      <c r="K167" s="11" t="n">
        <f aca="false">H167*I167-J167</f>
        <v>180</v>
      </c>
      <c r="L167" s="7" t="s">
        <v>121</v>
      </c>
      <c r="M167" s="7" t="s">
        <v>194</v>
      </c>
      <c r="N167" s="7" t="n">
        <v>31</v>
      </c>
      <c r="O167" s="7" t="n">
        <v>5</v>
      </c>
    </row>
    <row r="168" customFormat="false" ht="15" hidden="false" customHeight="false" outlineLevel="0" collapsed="false">
      <c r="A168" s="7" t="s">
        <v>6022</v>
      </c>
      <c r="B168" s="10" t="n">
        <v>45680</v>
      </c>
      <c r="C168" s="7" t="s">
        <v>1269</v>
      </c>
      <c r="D168" s="7" t="s">
        <v>1172</v>
      </c>
      <c r="E168" s="7" t="s">
        <v>163</v>
      </c>
      <c r="F168" s="7" t="s">
        <v>141</v>
      </c>
      <c r="G168" s="7" t="s">
        <v>99</v>
      </c>
      <c r="H168" s="7" t="n">
        <v>2</v>
      </c>
      <c r="I168" s="11" t="n">
        <v>275</v>
      </c>
      <c r="J168" s="11" t="n">
        <v>40</v>
      </c>
      <c r="K168" s="11" t="n">
        <f aca="false">H168*I168-J168</f>
        <v>510</v>
      </c>
      <c r="L168" s="7" t="s">
        <v>88</v>
      </c>
      <c r="M168" s="7" t="s">
        <v>194</v>
      </c>
      <c r="N168" s="7" t="n">
        <v>45</v>
      </c>
      <c r="O168" s="7" t="n">
        <v>5</v>
      </c>
    </row>
    <row r="169" customFormat="false" ht="15" hidden="false" customHeight="false" outlineLevel="0" collapsed="false">
      <c r="A169" s="7" t="s">
        <v>1802</v>
      </c>
      <c r="B169" s="10" t="n">
        <v>45680</v>
      </c>
      <c r="C169" s="7" t="s">
        <v>693</v>
      </c>
      <c r="D169" s="7" t="s">
        <v>1803</v>
      </c>
      <c r="E169" s="7" t="s">
        <v>138</v>
      </c>
      <c r="F169" s="7" t="s">
        <v>110</v>
      </c>
      <c r="G169" s="7" t="s">
        <v>139</v>
      </c>
      <c r="H169" s="7" t="n">
        <v>1</v>
      </c>
      <c r="I169" s="11" t="n">
        <v>195</v>
      </c>
      <c r="J169" s="11" t="n">
        <v>78</v>
      </c>
      <c r="K169" s="11" t="n">
        <f aca="false">H169*I169-J169</f>
        <v>117</v>
      </c>
      <c r="L169" s="7" t="s">
        <v>88</v>
      </c>
      <c r="M169" s="7" t="s">
        <v>194</v>
      </c>
      <c r="N169" s="7" t="n">
        <v>38</v>
      </c>
      <c r="O169" s="7" t="n">
        <v>3</v>
      </c>
    </row>
    <row r="170" customFormat="false" ht="15" hidden="false" customHeight="false" outlineLevel="0" collapsed="false">
      <c r="A170" s="7" t="s">
        <v>4955</v>
      </c>
      <c r="B170" s="10" t="n">
        <v>45680</v>
      </c>
      <c r="C170" s="7" t="s">
        <v>755</v>
      </c>
      <c r="D170" s="7" t="s">
        <v>3671</v>
      </c>
      <c r="E170" s="7" t="s">
        <v>158</v>
      </c>
      <c r="F170" s="7" t="s">
        <v>136</v>
      </c>
      <c r="G170" s="7" t="s">
        <v>139</v>
      </c>
      <c r="H170" s="7" t="n">
        <v>3</v>
      </c>
      <c r="I170" s="11" t="n">
        <v>195</v>
      </c>
      <c r="J170" s="11" t="n">
        <v>100</v>
      </c>
      <c r="K170" s="11" t="n">
        <f aca="false">H170*I170-J170</f>
        <v>485</v>
      </c>
      <c r="L170" s="7" t="s">
        <v>88</v>
      </c>
      <c r="M170" s="7" t="s">
        <v>194</v>
      </c>
      <c r="N170" s="7" t="n">
        <v>30</v>
      </c>
      <c r="O170" s="7"/>
    </row>
    <row r="171" customFormat="false" ht="15" hidden="false" customHeight="false" outlineLevel="0" collapsed="false">
      <c r="A171" s="7" t="s">
        <v>911</v>
      </c>
      <c r="B171" s="10" t="n">
        <v>45680</v>
      </c>
      <c r="C171" s="7" t="s">
        <v>577</v>
      </c>
      <c r="D171" s="7" t="s">
        <v>805</v>
      </c>
      <c r="E171" s="7" t="s">
        <v>104</v>
      </c>
      <c r="F171" s="7" t="s">
        <v>86</v>
      </c>
      <c r="G171" s="7" t="s">
        <v>105</v>
      </c>
      <c r="H171" s="7" t="n">
        <v>1</v>
      </c>
      <c r="I171" s="11" t="n">
        <v>195</v>
      </c>
      <c r="J171" s="11" t="n">
        <v>0</v>
      </c>
      <c r="K171" s="11" t="n">
        <f aca="false">H171*I171-J171</f>
        <v>195</v>
      </c>
      <c r="L171" s="7" t="s">
        <v>103</v>
      </c>
      <c r="M171" s="7" t="s">
        <v>194</v>
      </c>
      <c r="N171" s="7" t="n">
        <v>41</v>
      </c>
      <c r="O171" s="7" t="n">
        <v>3</v>
      </c>
    </row>
    <row r="172" customFormat="false" ht="15" hidden="false" customHeight="false" outlineLevel="0" collapsed="false">
      <c r="A172" s="7" t="s">
        <v>2690</v>
      </c>
      <c r="B172" s="10" t="n">
        <v>45680</v>
      </c>
      <c r="C172" s="7" t="s">
        <v>2691</v>
      </c>
      <c r="D172" s="7" t="s">
        <v>408</v>
      </c>
      <c r="E172" s="7" t="s">
        <v>144</v>
      </c>
      <c r="F172" s="7" t="s">
        <v>119</v>
      </c>
      <c r="G172" s="7" t="s">
        <v>99</v>
      </c>
      <c r="H172" s="7" t="n">
        <v>1</v>
      </c>
      <c r="I172" s="11" t="n">
        <v>355</v>
      </c>
      <c r="J172" s="11" t="n">
        <v>40</v>
      </c>
      <c r="K172" s="11" t="n">
        <f aca="false">H172*I172-J172</f>
        <v>315</v>
      </c>
      <c r="L172" s="7" t="s">
        <v>133</v>
      </c>
      <c r="M172" s="7" t="s">
        <v>194</v>
      </c>
      <c r="N172" s="7" t="n">
        <v>35</v>
      </c>
      <c r="O172" s="7" t="n">
        <v>5</v>
      </c>
    </row>
    <row r="173" customFormat="false" ht="15" hidden="false" customHeight="false" outlineLevel="0" collapsed="false">
      <c r="A173" s="7" t="s">
        <v>5602</v>
      </c>
      <c r="B173" s="10" t="n">
        <v>45680</v>
      </c>
      <c r="C173" s="7" t="s">
        <v>1704</v>
      </c>
      <c r="D173" s="7" t="s">
        <v>5603</v>
      </c>
      <c r="E173" s="7" t="s">
        <v>104</v>
      </c>
      <c r="F173" s="7" t="s">
        <v>86</v>
      </c>
      <c r="G173" s="7" t="s">
        <v>105</v>
      </c>
      <c r="H173" s="7" t="n">
        <v>1</v>
      </c>
      <c r="I173" s="11" t="n">
        <v>165</v>
      </c>
      <c r="J173" s="11" t="n">
        <v>66</v>
      </c>
      <c r="K173" s="11" t="n">
        <f aca="false">H173*I173-J173</f>
        <v>99</v>
      </c>
      <c r="L173" s="7" t="s">
        <v>88</v>
      </c>
      <c r="M173" s="7" t="s">
        <v>194</v>
      </c>
      <c r="N173" s="7" t="n">
        <v>36</v>
      </c>
      <c r="O173" s="7" t="n">
        <v>4</v>
      </c>
    </row>
    <row r="174" customFormat="false" ht="15" hidden="false" customHeight="false" outlineLevel="0" collapsed="false">
      <c r="A174" s="7" t="s">
        <v>6168</v>
      </c>
      <c r="B174" s="10" t="n">
        <v>45680</v>
      </c>
      <c r="C174" s="7" t="s">
        <v>1565</v>
      </c>
      <c r="D174" s="7" t="s">
        <v>6169</v>
      </c>
      <c r="E174" s="7" t="s">
        <v>160</v>
      </c>
      <c r="F174" s="7" t="s">
        <v>136</v>
      </c>
      <c r="G174" s="7" t="s">
        <v>150</v>
      </c>
      <c r="H174" s="7" t="n">
        <v>2</v>
      </c>
      <c r="I174" s="11" t="n">
        <v>180</v>
      </c>
      <c r="J174" s="11" t="n">
        <v>0</v>
      </c>
      <c r="K174" s="11" t="n">
        <f aca="false">H174*I174-J174</f>
        <v>360</v>
      </c>
      <c r="L174" s="7" t="s">
        <v>88</v>
      </c>
      <c r="M174" s="7" t="s">
        <v>238</v>
      </c>
      <c r="N174" s="7"/>
      <c r="O174" s="7"/>
    </row>
    <row r="175" customFormat="false" ht="15" hidden="false" customHeight="false" outlineLevel="0" collapsed="false">
      <c r="A175" s="7" t="s">
        <v>5888</v>
      </c>
      <c r="B175" s="10" t="n">
        <v>45681</v>
      </c>
      <c r="C175" s="7" t="s">
        <v>5889</v>
      </c>
      <c r="D175" s="7" t="s">
        <v>5838</v>
      </c>
      <c r="E175" s="7" t="s">
        <v>147</v>
      </c>
      <c r="F175" s="7" t="s">
        <v>119</v>
      </c>
      <c r="G175" s="7" t="s">
        <v>95</v>
      </c>
      <c r="H175" s="7" t="n">
        <v>3</v>
      </c>
      <c r="I175" s="11" t="n">
        <v>140</v>
      </c>
      <c r="J175" s="11" t="n">
        <v>30</v>
      </c>
      <c r="K175" s="11" t="n">
        <f aca="false">H175*I175-J175</f>
        <v>390</v>
      </c>
      <c r="L175" s="7" t="s">
        <v>88</v>
      </c>
      <c r="M175" s="7" t="s">
        <v>194</v>
      </c>
      <c r="N175" s="7" t="n">
        <v>39</v>
      </c>
      <c r="O175" s="7" t="n">
        <v>4</v>
      </c>
    </row>
    <row r="176" customFormat="false" ht="15" hidden="false" customHeight="false" outlineLevel="0" collapsed="false">
      <c r="A176" s="7" t="s">
        <v>4363</v>
      </c>
      <c r="B176" s="10" t="n">
        <v>45681</v>
      </c>
      <c r="C176" s="7" t="s">
        <v>2992</v>
      </c>
      <c r="D176" s="7" t="s">
        <v>4365</v>
      </c>
      <c r="E176" s="7" t="s">
        <v>154</v>
      </c>
      <c r="F176" s="7" t="s">
        <v>128</v>
      </c>
      <c r="G176" s="7" t="s">
        <v>99</v>
      </c>
      <c r="H176" s="7" t="n">
        <v>1</v>
      </c>
      <c r="I176" s="11" t="n">
        <v>210</v>
      </c>
      <c r="J176" s="11" t="n">
        <v>50</v>
      </c>
      <c r="K176" s="11" t="n">
        <f aca="false">H176*I176-J176</f>
        <v>160</v>
      </c>
      <c r="L176" s="7" t="s">
        <v>88</v>
      </c>
      <c r="M176" s="7" t="s">
        <v>238</v>
      </c>
      <c r="N176" s="7"/>
      <c r="O176" s="7"/>
    </row>
    <row r="177" customFormat="false" ht="15" hidden="false" customHeight="false" outlineLevel="0" collapsed="false">
      <c r="A177" s="7" t="s">
        <v>1525</v>
      </c>
      <c r="B177" s="10" t="n">
        <v>45681</v>
      </c>
      <c r="C177" s="7" t="s">
        <v>1526</v>
      </c>
      <c r="D177" s="7" t="s">
        <v>977</v>
      </c>
      <c r="E177" s="7" t="s">
        <v>144</v>
      </c>
      <c r="F177" s="7" t="s">
        <v>119</v>
      </c>
      <c r="G177" s="7" t="s">
        <v>99</v>
      </c>
      <c r="H177" s="7" t="n">
        <v>3</v>
      </c>
      <c r="I177" s="11" t="n">
        <v>330</v>
      </c>
      <c r="J177" s="11" t="n">
        <v>0</v>
      </c>
      <c r="K177" s="11" t="n">
        <f aca="false">H177*I177-J177</f>
        <v>990</v>
      </c>
      <c r="L177" s="7" t="s">
        <v>121</v>
      </c>
      <c r="M177" s="7" t="s">
        <v>194</v>
      </c>
      <c r="N177" s="7" t="n">
        <v>33</v>
      </c>
      <c r="O177" s="7" t="n">
        <v>5</v>
      </c>
    </row>
    <row r="178" customFormat="false" ht="15" hidden="false" customHeight="false" outlineLevel="0" collapsed="false">
      <c r="A178" s="7" t="s">
        <v>1997</v>
      </c>
      <c r="B178" s="10" t="n">
        <v>45681</v>
      </c>
      <c r="C178" s="7" t="s">
        <v>519</v>
      </c>
      <c r="D178" s="7" t="s">
        <v>1998</v>
      </c>
      <c r="E178" s="7" t="s">
        <v>162</v>
      </c>
      <c r="F178" s="7" t="s">
        <v>141</v>
      </c>
      <c r="G178" s="7" t="s">
        <v>117</v>
      </c>
      <c r="H178" s="7" t="n">
        <v>5</v>
      </c>
      <c r="I178" s="11" t="n">
        <v>105</v>
      </c>
      <c r="J178" s="11" t="n">
        <v>0</v>
      </c>
      <c r="K178" s="11" t="n">
        <f aca="false">H178*I178-J178</f>
        <v>525</v>
      </c>
      <c r="L178" s="7" t="s">
        <v>88</v>
      </c>
      <c r="M178" s="7" t="s">
        <v>194</v>
      </c>
      <c r="N178" s="7" t="n">
        <v>42</v>
      </c>
      <c r="O178" s="7" t="n">
        <v>4</v>
      </c>
    </row>
    <row r="179" customFormat="false" ht="15" hidden="false" customHeight="false" outlineLevel="0" collapsed="false">
      <c r="A179" s="7" t="s">
        <v>367</v>
      </c>
      <c r="B179" s="10" t="n">
        <v>45681</v>
      </c>
      <c r="C179" s="7" t="s">
        <v>369</v>
      </c>
      <c r="D179" s="7" t="s">
        <v>370</v>
      </c>
      <c r="E179" s="7" t="s">
        <v>144</v>
      </c>
      <c r="F179" s="7" t="s">
        <v>119</v>
      </c>
      <c r="G179" s="7" t="s">
        <v>99</v>
      </c>
      <c r="H179" s="7" t="n">
        <v>5</v>
      </c>
      <c r="I179" s="11" t="n">
        <v>290</v>
      </c>
      <c r="J179" s="11" t="n">
        <v>0</v>
      </c>
      <c r="K179" s="11" t="n">
        <f aca="false">H179*I179-J179</f>
        <v>1450</v>
      </c>
      <c r="L179" s="7" t="s">
        <v>103</v>
      </c>
      <c r="M179" s="7" t="s">
        <v>194</v>
      </c>
      <c r="N179" s="7" t="n">
        <v>46</v>
      </c>
      <c r="O179" s="7" t="n">
        <v>5</v>
      </c>
    </row>
    <row r="180" customFormat="false" ht="15" hidden="false" customHeight="false" outlineLevel="0" collapsed="false">
      <c r="A180" s="7" t="s">
        <v>4638</v>
      </c>
      <c r="B180" s="10" t="n">
        <v>45681</v>
      </c>
      <c r="C180" s="7" t="s">
        <v>801</v>
      </c>
      <c r="D180" s="7" t="s">
        <v>4639</v>
      </c>
      <c r="E180" s="7" t="s">
        <v>122</v>
      </c>
      <c r="F180" s="7" t="s">
        <v>101</v>
      </c>
      <c r="G180" s="7" t="s">
        <v>123</v>
      </c>
      <c r="H180" s="7" t="n">
        <v>4</v>
      </c>
      <c r="I180" s="11" t="n">
        <v>395</v>
      </c>
      <c r="J180" s="11" t="n">
        <v>0</v>
      </c>
      <c r="K180" s="11" t="n">
        <f aca="false">H180*I180-J180</f>
        <v>1580</v>
      </c>
      <c r="L180" s="7" t="s">
        <v>112</v>
      </c>
      <c r="M180" s="7" t="s">
        <v>194</v>
      </c>
      <c r="N180" s="7" t="n">
        <v>45</v>
      </c>
      <c r="O180" s="7" t="n">
        <v>3</v>
      </c>
    </row>
    <row r="181" customFormat="false" ht="15" hidden="false" customHeight="false" outlineLevel="0" collapsed="false">
      <c r="A181" s="7" t="s">
        <v>5990</v>
      </c>
      <c r="B181" s="10" t="n">
        <v>45681</v>
      </c>
      <c r="C181" s="7" t="s">
        <v>3281</v>
      </c>
      <c r="D181" s="7" t="s">
        <v>565</v>
      </c>
      <c r="E181" s="7" t="s">
        <v>159</v>
      </c>
      <c r="F181" s="7" t="s">
        <v>136</v>
      </c>
      <c r="G181" s="7" t="s">
        <v>90</v>
      </c>
      <c r="H181" s="7" t="n">
        <v>1</v>
      </c>
      <c r="I181" s="11" t="n">
        <v>235</v>
      </c>
      <c r="J181" s="11" t="n">
        <v>0</v>
      </c>
      <c r="K181" s="11" t="n">
        <f aca="false">H181*I181-J181</f>
        <v>235</v>
      </c>
      <c r="L181" s="7" t="s">
        <v>112</v>
      </c>
      <c r="M181" s="7" t="s">
        <v>194</v>
      </c>
      <c r="N181" s="7" t="n">
        <v>26</v>
      </c>
      <c r="O181" s="7"/>
    </row>
    <row r="182" customFormat="false" ht="15" hidden="false" customHeight="false" outlineLevel="0" collapsed="false">
      <c r="A182" s="7" t="s">
        <v>6140</v>
      </c>
      <c r="B182" s="10" t="n">
        <v>45682</v>
      </c>
      <c r="C182" s="7" t="s">
        <v>3537</v>
      </c>
      <c r="D182" s="7" t="s">
        <v>4147</v>
      </c>
      <c r="E182" s="7" t="s">
        <v>138</v>
      </c>
      <c r="F182" s="7" t="s">
        <v>110</v>
      </c>
      <c r="G182" s="7" t="s">
        <v>139</v>
      </c>
      <c r="H182" s="7" t="n">
        <v>2</v>
      </c>
      <c r="I182" s="11" t="n">
        <v>165</v>
      </c>
      <c r="J182" s="11" t="n">
        <v>0</v>
      </c>
      <c r="K182" s="11" t="n">
        <f aca="false">H182*I182-J182</f>
        <v>330</v>
      </c>
      <c r="L182" s="7" t="s">
        <v>88</v>
      </c>
      <c r="M182" s="7" t="s">
        <v>194</v>
      </c>
      <c r="N182" s="7" t="n">
        <v>29</v>
      </c>
      <c r="O182" s="7" t="n">
        <v>3</v>
      </c>
    </row>
    <row r="183" customFormat="false" ht="15" hidden="false" customHeight="false" outlineLevel="0" collapsed="false">
      <c r="A183" s="7" t="s">
        <v>3553</v>
      </c>
      <c r="B183" s="10" t="n">
        <v>45682</v>
      </c>
      <c r="C183" s="7" t="s">
        <v>846</v>
      </c>
      <c r="D183" s="7" t="s">
        <v>3554</v>
      </c>
      <c r="E183" s="7" t="s">
        <v>168</v>
      </c>
      <c r="F183" s="7" t="s">
        <v>146</v>
      </c>
      <c r="G183" s="7" t="s">
        <v>123</v>
      </c>
      <c r="H183" s="7" t="n">
        <v>4</v>
      </c>
      <c r="I183" s="11" t="n">
        <v>425</v>
      </c>
      <c r="J183" s="11" t="n">
        <v>100</v>
      </c>
      <c r="K183" s="11" t="n">
        <f aca="false">H183*I183-J183</f>
        <v>1600</v>
      </c>
      <c r="L183" s="7" t="s">
        <v>88</v>
      </c>
      <c r="M183" s="7" t="s">
        <v>194</v>
      </c>
      <c r="N183" s="7" t="n">
        <v>37</v>
      </c>
      <c r="O183" s="7" t="n">
        <v>3</v>
      </c>
    </row>
    <row r="184" customFormat="false" ht="15" hidden="false" customHeight="false" outlineLevel="0" collapsed="false">
      <c r="A184" s="7" t="s">
        <v>1123</v>
      </c>
      <c r="B184" s="10" t="n">
        <v>45682</v>
      </c>
      <c r="C184" s="7" t="s">
        <v>1125</v>
      </c>
      <c r="D184" s="7" t="s">
        <v>658</v>
      </c>
      <c r="E184" s="7" t="s">
        <v>159</v>
      </c>
      <c r="F184" s="7" t="s">
        <v>136</v>
      </c>
      <c r="G184" s="7" t="s">
        <v>90</v>
      </c>
      <c r="H184" s="7" t="n">
        <v>1</v>
      </c>
      <c r="I184" s="11" t="n">
        <v>240</v>
      </c>
      <c r="J184" s="11" t="n">
        <v>0</v>
      </c>
      <c r="K184" s="11" t="n">
        <f aca="false">H184*I184-J184</f>
        <v>240</v>
      </c>
      <c r="L184" s="7" t="s">
        <v>112</v>
      </c>
      <c r="M184" s="7" t="s">
        <v>194</v>
      </c>
      <c r="N184" s="7" t="n">
        <v>38</v>
      </c>
      <c r="O184" s="7" t="n">
        <v>3</v>
      </c>
    </row>
    <row r="185" customFormat="false" ht="15" hidden="false" customHeight="false" outlineLevel="0" collapsed="false">
      <c r="A185" s="7" t="s">
        <v>4705</v>
      </c>
      <c r="B185" s="10" t="n">
        <v>45682</v>
      </c>
      <c r="C185" s="7" t="s">
        <v>3259</v>
      </c>
      <c r="D185" s="7" t="s">
        <v>4706</v>
      </c>
      <c r="E185" s="7" t="s">
        <v>98</v>
      </c>
      <c r="F185" s="7" t="s">
        <v>86</v>
      </c>
      <c r="G185" s="7" t="s">
        <v>99</v>
      </c>
      <c r="H185" s="7" t="n">
        <v>2</v>
      </c>
      <c r="I185" s="11" t="n">
        <v>255</v>
      </c>
      <c r="J185" s="11" t="n">
        <v>0</v>
      </c>
      <c r="K185" s="11" t="n">
        <f aca="false">H185*I185-J185</f>
        <v>510</v>
      </c>
      <c r="L185" s="7" t="s">
        <v>88</v>
      </c>
      <c r="M185" s="7" t="s">
        <v>194</v>
      </c>
      <c r="N185" s="7"/>
      <c r="O185" s="7" t="n">
        <v>4</v>
      </c>
    </row>
    <row r="186" customFormat="false" ht="15" hidden="false" customHeight="false" outlineLevel="0" collapsed="false">
      <c r="A186" s="7" t="s">
        <v>3482</v>
      </c>
      <c r="B186" s="10" t="n">
        <v>45682</v>
      </c>
      <c r="C186" s="7" t="s">
        <v>2358</v>
      </c>
      <c r="D186" s="7" t="s">
        <v>3484</v>
      </c>
      <c r="E186" s="7" t="s">
        <v>161</v>
      </c>
      <c r="F186" s="7" t="s">
        <v>141</v>
      </c>
      <c r="G186" s="7" t="s">
        <v>117</v>
      </c>
      <c r="H186" s="7" t="n">
        <v>1</v>
      </c>
      <c r="I186" s="11" t="n">
        <v>145</v>
      </c>
      <c r="J186" s="11" t="n">
        <v>58</v>
      </c>
      <c r="K186" s="11" t="n">
        <f aca="false">H186*I186-J186</f>
        <v>87</v>
      </c>
      <c r="L186" s="7" t="s">
        <v>88</v>
      </c>
      <c r="M186" s="7" t="s">
        <v>194</v>
      </c>
      <c r="N186" s="7" t="n">
        <v>35</v>
      </c>
      <c r="O186" s="7" t="n">
        <v>5</v>
      </c>
    </row>
    <row r="187" customFormat="false" ht="15" hidden="false" customHeight="false" outlineLevel="0" collapsed="false">
      <c r="A187" s="7" t="s">
        <v>4172</v>
      </c>
      <c r="B187" s="10" t="n">
        <v>45682</v>
      </c>
      <c r="C187" s="7" t="s">
        <v>1101</v>
      </c>
      <c r="D187" s="7" t="s">
        <v>4173</v>
      </c>
      <c r="E187" s="7" t="s">
        <v>113</v>
      </c>
      <c r="F187" s="7" t="s">
        <v>101</v>
      </c>
      <c r="G187" s="7" t="s">
        <v>90</v>
      </c>
      <c r="H187" s="7" t="n">
        <v>2</v>
      </c>
      <c r="I187" s="11" t="n">
        <v>230</v>
      </c>
      <c r="J187" s="11" t="n">
        <v>0</v>
      </c>
      <c r="K187" s="11" t="n">
        <f aca="false">H187*I187-J187</f>
        <v>460</v>
      </c>
      <c r="L187" s="7" t="s">
        <v>112</v>
      </c>
      <c r="M187" s="7" t="s">
        <v>194</v>
      </c>
      <c r="N187" s="7" t="n">
        <v>57</v>
      </c>
      <c r="O187" s="7"/>
    </row>
    <row r="188" customFormat="false" ht="15" hidden="false" customHeight="false" outlineLevel="0" collapsed="false">
      <c r="A188" s="7" t="s">
        <v>1189</v>
      </c>
      <c r="B188" s="10" t="n">
        <v>45683</v>
      </c>
      <c r="C188" s="7" t="s">
        <v>1191</v>
      </c>
      <c r="D188" s="7" t="s">
        <v>1192</v>
      </c>
      <c r="E188" s="7" t="s">
        <v>104</v>
      </c>
      <c r="F188" s="7" t="s">
        <v>86</v>
      </c>
      <c r="G188" s="7" t="s">
        <v>105</v>
      </c>
      <c r="H188" s="7" t="n">
        <v>4</v>
      </c>
      <c r="I188" s="11" t="n">
        <v>165</v>
      </c>
      <c r="J188" s="11" t="n">
        <v>0</v>
      </c>
      <c r="K188" s="11" t="n">
        <f aca="false">H188*I188-J188</f>
        <v>660</v>
      </c>
      <c r="L188" s="7" t="s">
        <v>103</v>
      </c>
      <c r="M188" s="7" t="s">
        <v>194</v>
      </c>
      <c r="N188" s="7" t="n">
        <v>29</v>
      </c>
      <c r="O188" s="7"/>
    </row>
    <row r="189" customFormat="false" ht="15" hidden="false" customHeight="false" outlineLevel="0" collapsed="false">
      <c r="A189" s="7" t="s">
        <v>1948</v>
      </c>
      <c r="B189" s="10" t="n">
        <v>45683</v>
      </c>
      <c r="C189" s="7" t="s">
        <v>1795</v>
      </c>
      <c r="D189" s="7" t="s">
        <v>1949</v>
      </c>
      <c r="E189" s="7" t="s">
        <v>138</v>
      </c>
      <c r="F189" s="7" t="s">
        <v>110</v>
      </c>
      <c r="G189" s="7" t="s">
        <v>139</v>
      </c>
      <c r="H189" s="7" t="n">
        <v>2</v>
      </c>
      <c r="I189" s="11" t="n">
        <v>215</v>
      </c>
      <c r="J189" s="11" t="n">
        <v>20</v>
      </c>
      <c r="K189" s="11" t="n">
        <f aca="false">H189*I189-J189</f>
        <v>410</v>
      </c>
      <c r="L189" s="7" t="s">
        <v>88</v>
      </c>
      <c r="M189" s="7" t="s">
        <v>194</v>
      </c>
      <c r="N189" s="7" t="n">
        <v>31</v>
      </c>
      <c r="O189" s="7"/>
    </row>
    <row r="190" customFormat="false" ht="15" hidden="false" customHeight="false" outlineLevel="0" collapsed="false">
      <c r="A190" s="7" t="s">
        <v>2316</v>
      </c>
      <c r="B190" s="10" t="n">
        <v>45683</v>
      </c>
      <c r="C190" s="7" t="s">
        <v>2317</v>
      </c>
      <c r="D190" s="7" t="s">
        <v>2318</v>
      </c>
      <c r="E190" s="7" t="s">
        <v>158</v>
      </c>
      <c r="F190" s="7" t="s">
        <v>136</v>
      </c>
      <c r="G190" s="7" t="s">
        <v>139</v>
      </c>
      <c r="H190" s="7" t="n">
        <v>1</v>
      </c>
      <c r="I190" s="11" t="n">
        <v>175</v>
      </c>
      <c r="J190" s="11" t="n">
        <v>0</v>
      </c>
      <c r="K190" s="11" t="n">
        <f aca="false">H190*I190-J190</f>
        <v>175</v>
      </c>
      <c r="L190" s="7" t="s">
        <v>93</v>
      </c>
      <c r="M190" s="7" t="s">
        <v>194</v>
      </c>
      <c r="N190" s="7" t="n">
        <v>29</v>
      </c>
      <c r="O190" s="7" t="n">
        <v>4</v>
      </c>
    </row>
    <row r="191" customFormat="false" ht="15" hidden="false" customHeight="false" outlineLevel="0" collapsed="false">
      <c r="A191" s="7" t="s">
        <v>4391</v>
      </c>
      <c r="B191" s="10" t="n">
        <v>45683</v>
      </c>
      <c r="C191" s="7" t="s">
        <v>2571</v>
      </c>
      <c r="D191" s="7" t="s">
        <v>2639</v>
      </c>
      <c r="E191" s="7" t="s">
        <v>130</v>
      </c>
      <c r="F191" s="7" t="s">
        <v>110</v>
      </c>
      <c r="G191" s="7" t="s">
        <v>90</v>
      </c>
      <c r="H191" s="7" t="n">
        <v>1</v>
      </c>
      <c r="I191" s="11" t="n">
        <v>285</v>
      </c>
      <c r="J191" s="11" t="n">
        <v>0</v>
      </c>
      <c r="K191" s="11" t="n">
        <f aca="false">H191*I191-J191</f>
        <v>285</v>
      </c>
      <c r="L191" s="7" t="s">
        <v>88</v>
      </c>
      <c r="M191" s="7" t="s">
        <v>194</v>
      </c>
      <c r="N191" s="7"/>
      <c r="O191" s="7" t="n">
        <v>4</v>
      </c>
    </row>
    <row r="192" customFormat="false" ht="15" hidden="false" customHeight="false" outlineLevel="0" collapsed="false">
      <c r="A192" s="7" t="s">
        <v>1783</v>
      </c>
      <c r="B192" s="10" t="n">
        <v>45683</v>
      </c>
      <c r="C192" s="7" t="s">
        <v>1784</v>
      </c>
      <c r="D192" s="7" t="s">
        <v>1785</v>
      </c>
      <c r="E192" s="7" t="s">
        <v>167</v>
      </c>
      <c r="F192" s="7" t="s">
        <v>146</v>
      </c>
      <c r="G192" s="7" t="s">
        <v>156</v>
      </c>
      <c r="H192" s="7" t="n">
        <v>1</v>
      </c>
      <c r="I192" s="11" t="n">
        <v>280</v>
      </c>
      <c r="J192" s="11" t="n">
        <v>112</v>
      </c>
      <c r="K192" s="11" t="n">
        <f aca="false">H192*I192-J192</f>
        <v>168</v>
      </c>
      <c r="L192" s="7" t="s">
        <v>112</v>
      </c>
      <c r="M192" s="7" t="s">
        <v>194</v>
      </c>
      <c r="N192" s="7" t="n">
        <v>31</v>
      </c>
      <c r="O192" s="7" t="n">
        <v>3</v>
      </c>
    </row>
    <row r="193" customFormat="false" ht="15" hidden="false" customHeight="false" outlineLevel="0" collapsed="false">
      <c r="A193" s="7" t="s">
        <v>3256</v>
      </c>
      <c r="B193" s="10" t="n">
        <v>45683</v>
      </c>
      <c r="C193" s="7" t="s">
        <v>1423</v>
      </c>
      <c r="D193" s="7" t="s">
        <v>1072</v>
      </c>
      <c r="E193" s="7" t="s">
        <v>144</v>
      </c>
      <c r="F193" s="7" t="s">
        <v>119</v>
      </c>
      <c r="G193" s="7" t="s">
        <v>99</v>
      </c>
      <c r="H193" s="7" t="n">
        <v>1</v>
      </c>
      <c r="I193" s="11" t="n">
        <v>315</v>
      </c>
      <c r="J193" s="11" t="n">
        <v>100</v>
      </c>
      <c r="K193" s="11" t="n">
        <f aca="false">H193*I193-J193</f>
        <v>215</v>
      </c>
      <c r="L193" s="7" t="s">
        <v>121</v>
      </c>
      <c r="M193" s="7" t="s">
        <v>194</v>
      </c>
      <c r="N193" s="7"/>
      <c r="O193" s="7" t="n">
        <v>5</v>
      </c>
    </row>
    <row r="194" customFormat="false" ht="15" hidden="false" customHeight="false" outlineLevel="0" collapsed="false">
      <c r="A194" s="7" t="s">
        <v>2447</v>
      </c>
      <c r="B194" s="10" t="n">
        <v>45683</v>
      </c>
      <c r="C194" s="7" t="s">
        <v>1758</v>
      </c>
      <c r="D194" s="7" t="s">
        <v>2448</v>
      </c>
      <c r="E194" s="7" t="s">
        <v>151</v>
      </c>
      <c r="F194" s="7" t="s">
        <v>128</v>
      </c>
      <c r="G194" s="7" t="s">
        <v>95</v>
      </c>
      <c r="H194" s="7" t="n">
        <v>2</v>
      </c>
      <c r="I194" s="11" t="n">
        <v>190</v>
      </c>
      <c r="J194" s="11" t="n">
        <v>0</v>
      </c>
      <c r="K194" s="11" t="n">
        <f aca="false">H194*I194-J194</f>
        <v>380</v>
      </c>
      <c r="L194" s="7" t="s">
        <v>88</v>
      </c>
      <c r="M194" s="7" t="s">
        <v>238</v>
      </c>
      <c r="N194" s="7"/>
      <c r="O194" s="7"/>
    </row>
    <row r="195" customFormat="false" ht="15" hidden="false" customHeight="false" outlineLevel="0" collapsed="false">
      <c r="A195" s="7" t="s">
        <v>6025</v>
      </c>
      <c r="B195" s="10" t="n">
        <v>45683</v>
      </c>
      <c r="C195" s="7" t="s">
        <v>1817</v>
      </c>
      <c r="D195" s="7" t="s">
        <v>4864</v>
      </c>
      <c r="E195" s="7" t="s">
        <v>154</v>
      </c>
      <c r="F195" s="7" t="s">
        <v>128</v>
      </c>
      <c r="G195" s="7" t="s">
        <v>99</v>
      </c>
      <c r="H195" s="7" t="n">
        <v>1</v>
      </c>
      <c r="I195" s="11" t="n">
        <v>215</v>
      </c>
      <c r="J195" s="11" t="n">
        <v>0</v>
      </c>
      <c r="K195" s="11" t="n">
        <f aca="false">H195*I195-J195</f>
        <v>215</v>
      </c>
      <c r="L195" s="7" t="s">
        <v>88</v>
      </c>
      <c r="M195" s="7" t="s">
        <v>194</v>
      </c>
      <c r="N195" s="7" t="n">
        <v>44</v>
      </c>
      <c r="O195" s="7" t="n">
        <v>4</v>
      </c>
    </row>
    <row r="196" customFormat="false" ht="15" hidden="false" customHeight="false" outlineLevel="0" collapsed="false">
      <c r="A196" s="7" t="s">
        <v>5201</v>
      </c>
      <c r="B196" s="10" t="n">
        <v>45684</v>
      </c>
      <c r="C196" s="7" t="s">
        <v>1664</v>
      </c>
      <c r="D196" s="7" t="s">
        <v>1665</v>
      </c>
      <c r="E196" s="7" t="s">
        <v>98</v>
      </c>
      <c r="F196" s="7" t="s">
        <v>86</v>
      </c>
      <c r="G196" s="7" t="s">
        <v>99</v>
      </c>
      <c r="H196" s="7" t="n">
        <v>2</v>
      </c>
      <c r="I196" s="11" t="n">
        <v>245</v>
      </c>
      <c r="J196" s="11" t="n">
        <v>30</v>
      </c>
      <c r="K196" s="11" t="n">
        <f aca="false">H196*I196-J196</f>
        <v>460</v>
      </c>
      <c r="L196" s="7" t="s">
        <v>88</v>
      </c>
      <c r="M196" s="7" t="s">
        <v>194</v>
      </c>
      <c r="N196" s="7" t="n">
        <v>52</v>
      </c>
      <c r="O196" s="7" t="n">
        <v>2</v>
      </c>
    </row>
    <row r="197" customFormat="false" ht="15" hidden="false" customHeight="false" outlineLevel="0" collapsed="false">
      <c r="A197" s="7" t="s">
        <v>4649</v>
      </c>
      <c r="B197" s="10" t="n">
        <v>45684</v>
      </c>
      <c r="C197" s="7" t="s">
        <v>1288</v>
      </c>
      <c r="D197" s="7" t="s">
        <v>4549</v>
      </c>
      <c r="E197" s="7" t="s">
        <v>130</v>
      </c>
      <c r="F197" s="7" t="s">
        <v>110</v>
      </c>
      <c r="G197" s="7" t="s">
        <v>90</v>
      </c>
      <c r="H197" s="7" t="n">
        <v>1</v>
      </c>
      <c r="I197" s="11" t="n">
        <v>235</v>
      </c>
      <c r="J197" s="11" t="n">
        <v>0</v>
      </c>
      <c r="K197" s="11" t="n">
        <f aca="false">H197*I197-J197</f>
        <v>235</v>
      </c>
      <c r="L197" s="7" t="s">
        <v>88</v>
      </c>
      <c r="M197" s="7" t="s">
        <v>194</v>
      </c>
      <c r="N197" s="7" t="n">
        <v>47</v>
      </c>
      <c r="O197" s="7" t="n">
        <v>3</v>
      </c>
    </row>
    <row r="198" customFormat="false" ht="15" hidden="false" customHeight="false" outlineLevel="0" collapsed="false">
      <c r="A198" s="7" t="s">
        <v>2563</v>
      </c>
      <c r="B198" s="10" t="n">
        <v>45684</v>
      </c>
      <c r="C198" s="7" t="s">
        <v>2565</v>
      </c>
      <c r="D198" s="7" t="s">
        <v>2566</v>
      </c>
      <c r="E198" s="7" t="s">
        <v>147</v>
      </c>
      <c r="F198" s="7" t="s">
        <v>119</v>
      </c>
      <c r="G198" s="7" t="s">
        <v>95</v>
      </c>
      <c r="H198" s="7" t="n">
        <v>4</v>
      </c>
      <c r="I198" s="11" t="n">
        <v>170</v>
      </c>
      <c r="J198" s="11" t="n">
        <v>0</v>
      </c>
      <c r="K198" s="11" t="n">
        <f aca="false">H198*I198-J198</f>
        <v>680</v>
      </c>
      <c r="L198" s="7" t="s">
        <v>88</v>
      </c>
      <c r="M198" s="7" t="s">
        <v>194</v>
      </c>
      <c r="N198" s="7" t="n">
        <v>24</v>
      </c>
      <c r="O198" s="7" t="n">
        <v>5</v>
      </c>
    </row>
    <row r="199" customFormat="false" ht="15" hidden="false" customHeight="false" outlineLevel="0" collapsed="false">
      <c r="A199" s="7" t="s">
        <v>4643</v>
      </c>
      <c r="B199" s="10" t="n">
        <v>45685</v>
      </c>
      <c r="C199" s="7" t="s">
        <v>4644</v>
      </c>
      <c r="D199" s="7" t="s">
        <v>1510</v>
      </c>
      <c r="E199" s="7" t="s">
        <v>134</v>
      </c>
      <c r="F199" s="7" t="s">
        <v>110</v>
      </c>
      <c r="G199" s="7" t="s">
        <v>117</v>
      </c>
      <c r="H199" s="7" t="n">
        <v>2</v>
      </c>
      <c r="I199" s="11" t="n">
        <v>110</v>
      </c>
      <c r="J199" s="11" t="n">
        <v>0</v>
      </c>
      <c r="K199" s="11" t="n">
        <f aca="false">H199*I199-J199</f>
        <v>220</v>
      </c>
      <c r="L199" s="7" t="s">
        <v>88</v>
      </c>
      <c r="M199" s="7" t="s">
        <v>194</v>
      </c>
      <c r="N199" s="7" t="n">
        <v>40</v>
      </c>
      <c r="O199" s="7" t="n">
        <v>5</v>
      </c>
    </row>
    <row r="200" customFormat="false" ht="15" hidden="false" customHeight="false" outlineLevel="0" collapsed="false">
      <c r="A200" s="7" t="s">
        <v>3877</v>
      </c>
      <c r="B200" s="10" t="n">
        <v>45685</v>
      </c>
      <c r="C200" s="7" t="s">
        <v>3758</v>
      </c>
      <c r="D200" s="7" t="s">
        <v>3127</v>
      </c>
      <c r="E200" s="7" t="s">
        <v>89</v>
      </c>
      <c r="F200" s="7" t="s">
        <v>86</v>
      </c>
      <c r="G200" s="7" t="s">
        <v>90</v>
      </c>
      <c r="H200" s="7" t="n">
        <v>1</v>
      </c>
      <c r="I200" s="11" t="n">
        <v>225</v>
      </c>
      <c r="J200" s="11" t="n">
        <v>0</v>
      </c>
      <c r="K200" s="11" t="n">
        <f aca="false">H200*I200-J200</f>
        <v>225</v>
      </c>
      <c r="L200" s="7" t="s">
        <v>112</v>
      </c>
      <c r="M200" s="7" t="s">
        <v>194</v>
      </c>
      <c r="N200" s="7" t="n">
        <v>37</v>
      </c>
      <c r="O200" s="7" t="n">
        <v>3</v>
      </c>
    </row>
    <row r="201" customFormat="false" ht="15" hidden="false" customHeight="false" outlineLevel="0" collapsed="false">
      <c r="A201" s="7" t="s">
        <v>1111</v>
      </c>
      <c r="B201" s="10" t="n">
        <v>45685</v>
      </c>
      <c r="C201" s="7" t="s">
        <v>1112</v>
      </c>
      <c r="D201" s="7" t="s">
        <v>1113</v>
      </c>
      <c r="E201" s="7" t="s">
        <v>149</v>
      </c>
      <c r="F201" s="7" t="s">
        <v>119</v>
      </c>
      <c r="G201" s="7" t="s">
        <v>150</v>
      </c>
      <c r="H201" s="7" t="n">
        <v>3</v>
      </c>
      <c r="I201" s="11" t="n">
        <v>165</v>
      </c>
      <c r="J201" s="11" t="n">
        <v>0</v>
      </c>
      <c r="K201" s="11" t="n">
        <f aca="false">H201*I201-J201</f>
        <v>495</v>
      </c>
      <c r="L201" s="7" t="s">
        <v>133</v>
      </c>
      <c r="M201" s="7" t="s">
        <v>194</v>
      </c>
      <c r="N201" s="7" t="n">
        <v>33</v>
      </c>
      <c r="O201" s="7" t="n">
        <v>5</v>
      </c>
    </row>
    <row r="202" customFormat="false" ht="15" hidden="false" customHeight="false" outlineLevel="0" collapsed="false">
      <c r="A202" s="7" t="s">
        <v>2693</v>
      </c>
      <c r="B202" s="10" t="n">
        <v>45685</v>
      </c>
      <c r="C202" s="7" t="s">
        <v>1539</v>
      </c>
      <c r="D202" s="7" t="s">
        <v>2694</v>
      </c>
      <c r="E202" s="7" t="s">
        <v>116</v>
      </c>
      <c r="F202" s="7" t="s">
        <v>101</v>
      </c>
      <c r="G202" s="7" t="s">
        <v>117</v>
      </c>
      <c r="H202" s="7" t="n">
        <v>3</v>
      </c>
      <c r="I202" s="11" t="n">
        <v>110</v>
      </c>
      <c r="J202" s="11" t="n">
        <v>40</v>
      </c>
      <c r="K202" s="11" t="n">
        <f aca="false">H202*I202-J202</f>
        <v>290</v>
      </c>
      <c r="L202" s="7" t="s">
        <v>121</v>
      </c>
      <c r="M202" s="7" t="s">
        <v>238</v>
      </c>
      <c r="N202" s="7"/>
      <c r="O202" s="7"/>
    </row>
    <row r="203" customFormat="false" ht="15" hidden="false" customHeight="false" outlineLevel="0" collapsed="false">
      <c r="A203" s="7" t="s">
        <v>4903</v>
      </c>
      <c r="B203" s="10" t="n">
        <v>45685</v>
      </c>
      <c r="C203" s="7" t="s">
        <v>4905</v>
      </c>
      <c r="D203" s="7" t="s">
        <v>2464</v>
      </c>
      <c r="E203" s="7" t="s">
        <v>161</v>
      </c>
      <c r="F203" s="7" t="s">
        <v>141</v>
      </c>
      <c r="G203" s="7" t="s">
        <v>117</v>
      </c>
      <c r="H203" s="7" t="n">
        <v>1</v>
      </c>
      <c r="I203" s="11" t="n">
        <v>150</v>
      </c>
      <c r="J203" s="11" t="n">
        <v>0</v>
      </c>
      <c r="K203" s="11" t="n">
        <f aca="false">H203*I203-J203</f>
        <v>150</v>
      </c>
      <c r="L203" s="7" t="s">
        <v>121</v>
      </c>
      <c r="M203" s="7" t="s">
        <v>194</v>
      </c>
      <c r="N203" s="7" t="n">
        <v>43</v>
      </c>
      <c r="O203" s="7" t="n">
        <v>4</v>
      </c>
    </row>
    <row r="204" customFormat="false" ht="15" hidden="false" customHeight="false" outlineLevel="0" collapsed="false">
      <c r="A204" s="7" t="s">
        <v>380</v>
      </c>
      <c r="B204" s="10" t="n">
        <v>45685</v>
      </c>
      <c r="C204" s="7" t="s">
        <v>382</v>
      </c>
      <c r="D204" s="7" t="s">
        <v>383</v>
      </c>
      <c r="E204" s="7" t="s">
        <v>122</v>
      </c>
      <c r="F204" s="7" t="s">
        <v>101</v>
      </c>
      <c r="G204" s="7" t="s">
        <v>123</v>
      </c>
      <c r="H204" s="7" t="n">
        <v>2</v>
      </c>
      <c r="I204" s="11" t="n">
        <v>270</v>
      </c>
      <c r="J204" s="11" t="n">
        <v>0</v>
      </c>
      <c r="K204" s="11" t="n">
        <f aca="false">H204*I204-J204</f>
        <v>540</v>
      </c>
      <c r="L204" s="7" t="s">
        <v>121</v>
      </c>
      <c r="M204" s="7" t="s">
        <v>194</v>
      </c>
      <c r="N204" s="7"/>
      <c r="O204" s="7" t="n">
        <v>4</v>
      </c>
    </row>
    <row r="205" customFormat="false" ht="15" hidden="false" customHeight="false" outlineLevel="0" collapsed="false">
      <c r="A205" s="7" t="s">
        <v>3620</v>
      </c>
      <c r="B205" s="10" t="n">
        <v>45685</v>
      </c>
      <c r="C205" s="7" t="s">
        <v>478</v>
      </c>
      <c r="D205" s="7" t="s">
        <v>3191</v>
      </c>
      <c r="E205" s="7" t="s">
        <v>167</v>
      </c>
      <c r="F205" s="7" t="s">
        <v>146</v>
      </c>
      <c r="G205" s="7" t="s">
        <v>156</v>
      </c>
      <c r="H205" s="7" t="n">
        <v>3</v>
      </c>
      <c r="I205" s="11" t="n">
        <v>350</v>
      </c>
      <c r="J205" s="11" t="n">
        <v>30</v>
      </c>
      <c r="K205" s="11" t="n">
        <f aca="false">H205*I205-J205</f>
        <v>1020</v>
      </c>
      <c r="L205" s="7" t="s">
        <v>93</v>
      </c>
      <c r="M205" s="7" t="s">
        <v>194</v>
      </c>
      <c r="N205" s="7" t="n">
        <v>31</v>
      </c>
      <c r="O205" s="7" t="n">
        <v>4</v>
      </c>
    </row>
    <row r="206" customFormat="false" ht="15" hidden="false" customHeight="false" outlineLevel="0" collapsed="false">
      <c r="A206" s="7" t="s">
        <v>4848</v>
      </c>
      <c r="B206" s="10" t="n">
        <v>45685</v>
      </c>
      <c r="C206" s="7" t="s">
        <v>478</v>
      </c>
      <c r="D206" s="7" t="s">
        <v>2577</v>
      </c>
      <c r="E206" s="7" t="s">
        <v>94</v>
      </c>
      <c r="F206" s="7" t="s">
        <v>86</v>
      </c>
      <c r="G206" s="7" t="s">
        <v>95</v>
      </c>
      <c r="H206" s="7" t="n">
        <v>2</v>
      </c>
      <c r="I206" s="11" t="n">
        <v>115</v>
      </c>
      <c r="J206" s="11" t="n">
        <v>0</v>
      </c>
      <c r="K206" s="11" t="n">
        <f aca="false">H206*I206-J206</f>
        <v>230</v>
      </c>
      <c r="L206" s="7" t="s">
        <v>133</v>
      </c>
      <c r="M206" s="7" t="s">
        <v>238</v>
      </c>
      <c r="N206" s="7"/>
      <c r="O206" s="7"/>
    </row>
    <row r="207" customFormat="false" ht="15" hidden="false" customHeight="false" outlineLevel="0" collapsed="false">
      <c r="A207" s="7" t="s">
        <v>4860</v>
      </c>
      <c r="B207" s="10" t="n">
        <v>45685</v>
      </c>
      <c r="C207" s="7" t="s">
        <v>1941</v>
      </c>
      <c r="D207" s="7" t="s">
        <v>3939</v>
      </c>
      <c r="E207" s="7" t="s">
        <v>104</v>
      </c>
      <c r="F207" s="7" t="s">
        <v>86</v>
      </c>
      <c r="G207" s="7" t="s">
        <v>105</v>
      </c>
      <c r="H207" s="7" t="n">
        <v>4</v>
      </c>
      <c r="I207" s="11" t="n">
        <v>175</v>
      </c>
      <c r="J207" s="11" t="n">
        <v>0</v>
      </c>
      <c r="K207" s="11" t="n">
        <f aca="false">H207*I207-J207</f>
        <v>700</v>
      </c>
      <c r="L207" s="7" t="s">
        <v>93</v>
      </c>
      <c r="M207" s="7" t="s">
        <v>194</v>
      </c>
      <c r="N207" s="7"/>
      <c r="O207" s="7" t="n">
        <v>5</v>
      </c>
    </row>
    <row r="208" customFormat="false" ht="15" hidden="false" customHeight="false" outlineLevel="0" collapsed="false">
      <c r="A208" s="7" t="s">
        <v>2049</v>
      </c>
      <c r="B208" s="10" t="n">
        <v>45686</v>
      </c>
      <c r="C208" s="7" t="s">
        <v>2051</v>
      </c>
      <c r="D208" s="7" t="s">
        <v>2052</v>
      </c>
      <c r="E208" s="7" t="s">
        <v>113</v>
      </c>
      <c r="F208" s="7" t="s">
        <v>101</v>
      </c>
      <c r="G208" s="7" t="s">
        <v>90</v>
      </c>
      <c r="H208" s="7" t="n">
        <v>3</v>
      </c>
      <c r="I208" s="11" t="n">
        <v>260</v>
      </c>
      <c r="J208" s="11" t="n">
        <v>0</v>
      </c>
      <c r="K208" s="11" t="n">
        <f aca="false">H208*I208-J208</f>
        <v>780</v>
      </c>
      <c r="L208" s="7" t="s">
        <v>93</v>
      </c>
      <c r="M208" s="7" t="s">
        <v>194</v>
      </c>
      <c r="N208" s="7" t="n">
        <v>44</v>
      </c>
      <c r="O208" s="7" t="n">
        <v>4</v>
      </c>
    </row>
    <row r="209" customFormat="false" ht="15" hidden="false" customHeight="false" outlineLevel="0" collapsed="false">
      <c r="A209" s="7" t="s">
        <v>6162</v>
      </c>
      <c r="B209" s="10" t="n">
        <v>45686</v>
      </c>
      <c r="C209" s="7" t="s">
        <v>6163</v>
      </c>
      <c r="D209" s="7" t="s">
        <v>3433</v>
      </c>
      <c r="E209" s="7" t="s">
        <v>104</v>
      </c>
      <c r="F209" s="7" t="s">
        <v>86</v>
      </c>
      <c r="G209" s="7" t="s">
        <v>105</v>
      </c>
      <c r="H209" s="7" t="n">
        <v>3</v>
      </c>
      <c r="I209" s="11" t="n">
        <v>255</v>
      </c>
      <c r="J209" s="11" t="n">
        <v>0</v>
      </c>
      <c r="K209" s="11" t="n">
        <f aca="false">H209*I209-J209</f>
        <v>765</v>
      </c>
      <c r="L209" s="7" t="s">
        <v>88</v>
      </c>
      <c r="M209" s="7" t="s">
        <v>194</v>
      </c>
      <c r="N209" s="7" t="n">
        <v>32</v>
      </c>
      <c r="O209" s="7" t="n">
        <v>4</v>
      </c>
    </row>
    <row r="210" customFormat="false" ht="15" hidden="false" customHeight="false" outlineLevel="0" collapsed="false">
      <c r="A210" s="7" t="s">
        <v>5765</v>
      </c>
      <c r="B210" s="10" t="n">
        <v>45686</v>
      </c>
      <c r="C210" s="7" t="s">
        <v>792</v>
      </c>
      <c r="D210" s="7" t="s">
        <v>2883</v>
      </c>
      <c r="E210" s="7" t="s">
        <v>148</v>
      </c>
      <c r="F210" s="7" t="s">
        <v>119</v>
      </c>
      <c r="G210" s="7" t="s">
        <v>123</v>
      </c>
      <c r="H210" s="7" t="n">
        <v>3</v>
      </c>
      <c r="I210" s="11" t="n">
        <v>355</v>
      </c>
      <c r="J210" s="11" t="n">
        <v>0</v>
      </c>
      <c r="K210" s="11" t="n">
        <f aca="false">H210*I210-J210</f>
        <v>1065</v>
      </c>
      <c r="L210" s="7" t="s">
        <v>103</v>
      </c>
      <c r="M210" s="7" t="s">
        <v>194</v>
      </c>
      <c r="N210" s="7" t="n">
        <v>26</v>
      </c>
      <c r="O210" s="7" t="n">
        <v>5</v>
      </c>
    </row>
    <row r="211" customFormat="false" ht="15" hidden="false" customHeight="false" outlineLevel="0" collapsed="false">
      <c r="A211" s="7" t="s">
        <v>2175</v>
      </c>
      <c r="B211" s="10" t="n">
        <v>45686</v>
      </c>
      <c r="C211" s="7" t="s">
        <v>2176</v>
      </c>
      <c r="D211" s="7" t="s">
        <v>2177</v>
      </c>
      <c r="E211" s="7" t="s">
        <v>126</v>
      </c>
      <c r="F211" s="7" t="s">
        <v>101</v>
      </c>
      <c r="G211" s="7" t="s">
        <v>105</v>
      </c>
      <c r="H211" s="7" t="n">
        <v>2</v>
      </c>
      <c r="I211" s="11" t="n">
        <v>215</v>
      </c>
      <c r="J211" s="11" t="n">
        <v>150</v>
      </c>
      <c r="K211" s="11" t="n">
        <f aca="false">H211*I211-J211</f>
        <v>280</v>
      </c>
      <c r="L211" s="7" t="s">
        <v>93</v>
      </c>
      <c r="M211" s="7" t="s">
        <v>194</v>
      </c>
      <c r="N211" s="7" t="n">
        <v>44</v>
      </c>
      <c r="O211" s="7" t="n">
        <v>4</v>
      </c>
    </row>
    <row r="212" customFormat="false" ht="15" hidden="false" customHeight="false" outlineLevel="0" collapsed="false">
      <c r="A212" s="7" t="s">
        <v>2152</v>
      </c>
      <c r="B212" s="10" t="n">
        <v>45686</v>
      </c>
      <c r="C212" s="7" t="s">
        <v>2027</v>
      </c>
      <c r="D212" s="7" t="s">
        <v>2153</v>
      </c>
      <c r="E212" s="7" t="s">
        <v>122</v>
      </c>
      <c r="F212" s="7" t="s">
        <v>101</v>
      </c>
      <c r="G212" s="7" t="s">
        <v>123</v>
      </c>
      <c r="H212" s="7" t="n">
        <v>2</v>
      </c>
      <c r="I212" s="11" t="n">
        <v>355</v>
      </c>
      <c r="J212" s="11" t="n">
        <v>30</v>
      </c>
      <c r="K212" s="11" t="n">
        <f aca="false">H212*I212-J212</f>
        <v>680</v>
      </c>
      <c r="L212" s="7" t="s">
        <v>88</v>
      </c>
      <c r="M212" s="7" t="s">
        <v>194</v>
      </c>
      <c r="N212" s="7" t="n">
        <v>35</v>
      </c>
      <c r="O212" s="7" t="n">
        <v>2</v>
      </c>
    </row>
    <row r="213" customFormat="false" ht="15" hidden="false" customHeight="false" outlineLevel="0" collapsed="false">
      <c r="A213" s="7" t="s">
        <v>3994</v>
      </c>
      <c r="B213" s="10" t="n">
        <v>45686</v>
      </c>
      <c r="C213" s="7" t="s">
        <v>976</v>
      </c>
      <c r="D213" s="7" t="s">
        <v>3996</v>
      </c>
      <c r="E213" s="7" t="s">
        <v>98</v>
      </c>
      <c r="F213" s="7" t="s">
        <v>86</v>
      </c>
      <c r="G213" s="7" t="s">
        <v>99</v>
      </c>
      <c r="H213" s="7" t="n">
        <v>2</v>
      </c>
      <c r="I213" s="11" t="n">
        <v>275</v>
      </c>
      <c r="J213" s="11" t="n">
        <v>30</v>
      </c>
      <c r="K213" s="11" t="n">
        <f aca="false">H213*I213-J213</f>
        <v>520</v>
      </c>
      <c r="L213" s="7" t="s">
        <v>88</v>
      </c>
      <c r="M213" s="7" t="s">
        <v>194</v>
      </c>
      <c r="N213" s="7" t="n">
        <v>40</v>
      </c>
      <c r="O213" s="7" t="n">
        <v>4</v>
      </c>
    </row>
    <row r="214" customFormat="false" ht="15" hidden="false" customHeight="false" outlineLevel="0" collapsed="false">
      <c r="A214" s="7" t="s">
        <v>4660</v>
      </c>
      <c r="B214" s="10" t="n">
        <v>45686</v>
      </c>
      <c r="C214" s="7" t="s">
        <v>4661</v>
      </c>
      <c r="D214" s="7" t="s">
        <v>4662</v>
      </c>
      <c r="E214" s="7" t="s">
        <v>138</v>
      </c>
      <c r="F214" s="7" t="s">
        <v>110</v>
      </c>
      <c r="G214" s="7" t="s">
        <v>139</v>
      </c>
      <c r="H214" s="7" t="n">
        <v>1</v>
      </c>
      <c r="I214" s="11" t="n">
        <v>185</v>
      </c>
      <c r="J214" s="11" t="n">
        <v>74</v>
      </c>
      <c r="K214" s="11" t="n">
        <f aca="false">H214*I214-J214</f>
        <v>111</v>
      </c>
      <c r="L214" s="7" t="s">
        <v>88</v>
      </c>
      <c r="M214" s="7" t="s">
        <v>194</v>
      </c>
      <c r="N214" s="7" t="n">
        <v>39</v>
      </c>
      <c r="O214" s="7"/>
    </row>
    <row r="215" customFormat="false" ht="15" hidden="false" customHeight="false" outlineLevel="0" collapsed="false">
      <c r="A215" s="7" t="s">
        <v>2201</v>
      </c>
      <c r="B215" s="10" t="n">
        <v>45687</v>
      </c>
      <c r="C215" s="7" t="s">
        <v>2202</v>
      </c>
      <c r="D215" s="7" t="s">
        <v>2203</v>
      </c>
      <c r="E215" s="7" t="s">
        <v>142</v>
      </c>
      <c r="F215" s="7" t="s">
        <v>110</v>
      </c>
      <c r="G215" s="7" t="s">
        <v>105</v>
      </c>
      <c r="H215" s="7" t="n">
        <v>1</v>
      </c>
      <c r="I215" s="11" t="n">
        <v>185</v>
      </c>
      <c r="J215" s="11" t="n">
        <v>0</v>
      </c>
      <c r="K215" s="11" t="n">
        <f aca="false">H215*I215-J215</f>
        <v>185</v>
      </c>
      <c r="L215" s="7" t="s">
        <v>93</v>
      </c>
      <c r="M215" s="7" t="s">
        <v>194</v>
      </c>
      <c r="N215" s="7" t="n">
        <v>39</v>
      </c>
      <c r="O215" s="7" t="n">
        <v>5</v>
      </c>
    </row>
    <row r="216" customFormat="false" ht="15" hidden="false" customHeight="false" outlineLevel="0" collapsed="false">
      <c r="A216" s="7" t="s">
        <v>5394</v>
      </c>
      <c r="B216" s="10" t="n">
        <v>45687</v>
      </c>
      <c r="C216" s="7" t="s">
        <v>5395</v>
      </c>
      <c r="D216" s="7" t="s">
        <v>4064</v>
      </c>
      <c r="E216" s="7" t="s">
        <v>158</v>
      </c>
      <c r="F216" s="7" t="s">
        <v>136</v>
      </c>
      <c r="G216" s="7" t="s">
        <v>139</v>
      </c>
      <c r="H216" s="7" t="n">
        <v>2</v>
      </c>
      <c r="I216" s="11" t="n">
        <v>190</v>
      </c>
      <c r="J216" s="11" t="n">
        <v>0</v>
      </c>
      <c r="K216" s="11" t="n">
        <f aca="false">H216*I216-J216</f>
        <v>380</v>
      </c>
      <c r="L216" s="7" t="s">
        <v>121</v>
      </c>
      <c r="M216" s="7" t="s">
        <v>194</v>
      </c>
      <c r="N216" s="7" t="n">
        <v>30</v>
      </c>
      <c r="O216" s="7" t="n">
        <v>5</v>
      </c>
    </row>
    <row r="217" customFormat="false" ht="15" hidden="false" customHeight="false" outlineLevel="0" collapsed="false">
      <c r="A217" s="7" t="s">
        <v>1822</v>
      </c>
      <c r="B217" s="10" t="n">
        <v>45687</v>
      </c>
      <c r="C217" s="7" t="s">
        <v>1824</v>
      </c>
      <c r="D217" s="7" t="s">
        <v>1825</v>
      </c>
      <c r="E217" s="7" t="s">
        <v>116</v>
      </c>
      <c r="F217" s="7" t="s">
        <v>101</v>
      </c>
      <c r="G217" s="7" t="s">
        <v>117</v>
      </c>
      <c r="H217" s="7" t="n">
        <v>5</v>
      </c>
      <c r="I217" s="11" t="n">
        <v>115</v>
      </c>
      <c r="J217" s="11" t="n">
        <v>30</v>
      </c>
      <c r="K217" s="11" t="n">
        <f aca="false">H217*I217-J217</f>
        <v>545</v>
      </c>
      <c r="L217" s="7" t="s">
        <v>121</v>
      </c>
      <c r="M217" s="7" t="s">
        <v>194</v>
      </c>
      <c r="N217" s="7" t="n">
        <v>51</v>
      </c>
      <c r="O217" s="7" t="n">
        <v>3</v>
      </c>
    </row>
    <row r="218" customFormat="false" ht="15" hidden="false" customHeight="false" outlineLevel="0" collapsed="false">
      <c r="A218" s="7" t="s">
        <v>3703</v>
      </c>
      <c r="B218" s="10" t="n">
        <v>45687</v>
      </c>
      <c r="C218" s="7" t="s">
        <v>1758</v>
      </c>
      <c r="D218" s="7" t="s">
        <v>1856</v>
      </c>
      <c r="E218" s="7" t="s">
        <v>144</v>
      </c>
      <c r="F218" s="7" t="s">
        <v>119</v>
      </c>
      <c r="G218" s="7" t="s">
        <v>99</v>
      </c>
      <c r="H218" s="7" t="n">
        <v>1</v>
      </c>
      <c r="I218" s="11" t="n">
        <v>270</v>
      </c>
      <c r="J218" s="11" t="n">
        <v>40</v>
      </c>
      <c r="K218" s="11" t="n">
        <f aca="false">H218*I218-J218</f>
        <v>230</v>
      </c>
      <c r="L218" s="7" t="s">
        <v>121</v>
      </c>
      <c r="M218" s="7" t="s">
        <v>194</v>
      </c>
      <c r="N218" s="7" t="n">
        <v>34</v>
      </c>
      <c r="O218" s="7" t="n">
        <v>2</v>
      </c>
    </row>
    <row r="219" customFormat="false" ht="15" hidden="false" customHeight="false" outlineLevel="0" collapsed="false">
      <c r="A219" s="7" t="s">
        <v>4882</v>
      </c>
      <c r="B219" s="10" t="n">
        <v>45687</v>
      </c>
      <c r="C219" s="7" t="s">
        <v>201</v>
      </c>
      <c r="D219" s="7" t="s">
        <v>1257</v>
      </c>
      <c r="E219" s="7" t="s">
        <v>130</v>
      </c>
      <c r="F219" s="7" t="s">
        <v>110</v>
      </c>
      <c r="G219" s="7" t="s">
        <v>90</v>
      </c>
      <c r="H219" s="7" t="n">
        <v>3</v>
      </c>
      <c r="I219" s="11" t="n">
        <v>280</v>
      </c>
      <c r="J219" s="11" t="n">
        <v>0</v>
      </c>
      <c r="K219" s="11" t="n">
        <f aca="false">H219*I219-J219</f>
        <v>840</v>
      </c>
      <c r="L219" s="7" t="s">
        <v>103</v>
      </c>
      <c r="M219" s="7" t="s">
        <v>194</v>
      </c>
      <c r="N219" s="7" t="n">
        <v>22</v>
      </c>
      <c r="O219" s="7" t="n">
        <v>4</v>
      </c>
    </row>
    <row r="220" customFormat="false" ht="15" hidden="false" customHeight="false" outlineLevel="0" collapsed="false">
      <c r="A220" s="7" t="s">
        <v>3734</v>
      </c>
      <c r="B220" s="10" t="n">
        <v>45687</v>
      </c>
      <c r="C220" s="7" t="s">
        <v>254</v>
      </c>
      <c r="D220" s="7" t="s">
        <v>332</v>
      </c>
      <c r="E220" s="7" t="s">
        <v>147</v>
      </c>
      <c r="F220" s="7" t="s">
        <v>119</v>
      </c>
      <c r="G220" s="7" t="s">
        <v>95</v>
      </c>
      <c r="H220" s="7" t="n">
        <v>2</v>
      </c>
      <c r="I220" s="11" t="n">
        <v>130</v>
      </c>
      <c r="J220" s="11" t="n">
        <v>20</v>
      </c>
      <c r="K220" s="11" t="n">
        <f aca="false">H220*I220-J220</f>
        <v>240</v>
      </c>
      <c r="L220" s="7" t="s">
        <v>93</v>
      </c>
      <c r="M220" s="7" t="s">
        <v>194</v>
      </c>
      <c r="N220" s="7" t="n">
        <v>37</v>
      </c>
      <c r="O220" s="7"/>
    </row>
    <row r="221" customFormat="false" ht="15" hidden="false" customHeight="false" outlineLevel="0" collapsed="false">
      <c r="A221" s="7" t="s">
        <v>5498</v>
      </c>
      <c r="B221" s="10" t="n">
        <v>45687</v>
      </c>
      <c r="C221" s="7" t="s">
        <v>2565</v>
      </c>
      <c r="D221" s="7" t="s">
        <v>3129</v>
      </c>
      <c r="E221" s="7" t="s">
        <v>144</v>
      </c>
      <c r="F221" s="7" t="s">
        <v>119</v>
      </c>
      <c r="G221" s="7" t="s">
        <v>99</v>
      </c>
      <c r="H221" s="7" t="n">
        <v>3</v>
      </c>
      <c r="I221" s="11" t="n">
        <v>330</v>
      </c>
      <c r="J221" s="11" t="n">
        <v>20</v>
      </c>
      <c r="K221" s="11" t="n">
        <f aca="false">H221*I221-J221</f>
        <v>970</v>
      </c>
      <c r="L221" s="7" t="s">
        <v>88</v>
      </c>
      <c r="M221" s="7" t="s">
        <v>194</v>
      </c>
      <c r="N221" s="7" t="n">
        <v>29</v>
      </c>
      <c r="O221" s="7" t="n">
        <v>3</v>
      </c>
    </row>
    <row r="222" customFormat="false" ht="15" hidden="false" customHeight="false" outlineLevel="0" collapsed="false">
      <c r="A222" s="7" t="s">
        <v>492</v>
      </c>
      <c r="B222" s="10" t="n">
        <v>45688</v>
      </c>
      <c r="C222" s="7" t="s">
        <v>494</v>
      </c>
      <c r="D222" s="7" t="s">
        <v>495</v>
      </c>
      <c r="E222" s="7" t="s">
        <v>94</v>
      </c>
      <c r="F222" s="7" t="s">
        <v>86</v>
      </c>
      <c r="G222" s="7" t="s">
        <v>95</v>
      </c>
      <c r="H222" s="7" t="n">
        <v>4</v>
      </c>
      <c r="I222" s="11" t="n">
        <v>125</v>
      </c>
      <c r="J222" s="11" t="n">
        <v>150</v>
      </c>
      <c r="K222" s="11" t="n">
        <f aca="false">H222*I222-J222</f>
        <v>350</v>
      </c>
      <c r="L222" s="7" t="s">
        <v>88</v>
      </c>
      <c r="M222" s="7" t="s">
        <v>194</v>
      </c>
      <c r="N222" s="7" t="n">
        <v>60</v>
      </c>
      <c r="O222" s="7" t="n">
        <v>3</v>
      </c>
    </row>
    <row r="223" customFormat="false" ht="15" hidden="false" customHeight="false" outlineLevel="0" collapsed="false">
      <c r="A223" s="7" t="s">
        <v>4883</v>
      </c>
      <c r="B223" s="10" t="n">
        <v>45688</v>
      </c>
      <c r="C223" s="7" t="s">
        <v>2969</v>
      </c>
      <c r="D223" s="7" t="s">
        <v>4884</v>
      </c>
      <c r="E223" s="7" t="s">
        <v>147</v>
      </c>
      <c r="F223" s="7" t="s">
        <v>119</v>
      </c>
      <c r="G223" s="7" t="s">
        <v>95</v>
      </c>
      <c r="H223" s="7" t="n">
        <v>1</v>
      </c>
      <c r="I223" s="11" t="n">
        <v>135</v>
      </c>
      <c r="J223" s="11" t="n">
        <v>54</v>
      </c>
      <c r="K223" s="11" t="n">
        <f aca="false">H223*I223-J223</f>
        <v>81</v>
      </c>
      <c r="L223" s="7" t="s">
        <v>88</v>
      </c>
      <c r="M223" s="7" t="s">
        <v>194</v>
      </c>
      <c r="N223" s="7" t="n">
        <v>51</v>
      </c>
      <c r="O223" s="7" t="n">
        <v>4</v>
      </c>
    </row>
    <row r="224" customFormat="false" ht="15" hidden="false" customHeight="false" outlineLevel="0" collapsed="false">
      <c r="A224" s="7" t="s">
        <v>1629</v>
      </c>
      <c r="B224" s="10" t="n">
        <v>45688</v>
      </c>
      <c r="C224" s="7" t="s">
        <v>382</v>
      </c>
      <c r="D224" s="7" t="s">
        <v>366</v>
      </c>
      <c r="E224" s="7" t="s">
        <v>113</v>
      </c>
      <c r="F224" s="7" t="s">
        <v>101</v>
      </c>
      <c r="G224" s="7" t="s">
        <v>90</v>
      </c>
      <c r="H224" s="7" t="n">
        <v>1</v>
      </c>
      <c r="I224" s="11" t="n">
        <v>280</v>
      </c>
      <c r="J224" s="11" t="n">
        <v>0</v>
      </c>
      <c r="K224" s="11" t="n">
        <f aca="false">H224*I224-J224</f>
        <v>280</v>
      </c>
      <c r="L224" s="7" t="s">
        <v>112</v>
      </c>
      <c r="M224" s="7" t="s">
        <v>194</v>
      </c>
      <c r="N224" s="7" t="n">
        <v>23</v>
      </c>
      <c r="O224" s="7" t="n">
        <v>3</v>
      </c>
    </row>
    <row r="225" customFormat="false" ht="15" hidden="false" customHeight="false" outlineLevel="0" collapsed="false">
      <c r="A225" s="7" t="s">
        <v>3776</v>
      </c>
      <c r="B225" s="10" t="n">
        <v>45688</v>
      </c>
      <c r="C225" s="7" t="s">
        <v>327</v>
      </c>
      <c r="D225" s="7" t="s">
        <v>1825</v>
      </c>
      <c r="E225" s="7" t="s">
        <v>89</v>
      </c>
      <c r="F225" s="7" t="s">
        <v>86</v>
      </c>
      <c r="G225" s="7" t="s">
        <v>90</v>
      </c>
      <c r="H225" s="7" t="n">
        <v>3</v>
      </c>
      <c r="I225" s="11" t="n">
        <v>185</v>
      </c>
      <c r="J225" s="11" t="n">
        <v>150</v>
      </c>
      <c r="K225" s="11" t="n">
        <f aca="false">H225*I225-J225</f>
        <v>405</v>
      </c>
      <c r="L225" s="7" t="s">
        <v>93</v>
      </c>
      <c r="M225" s="7" t="s">
        <v>194</v>
      </c>
      <c r="N225" s="7" t="n">
        <v>33</v>
      </c>
      <c r="O225" s="7" t="n">
        <v>5</v>
      </c>
    </row>
    <row r="226" customFormat="false" ht="15" hidden="false" customHeight="false" outlineLevel="0" collapsed="false">
      <c r="A226" s="7" t="s">
        <v>4280</v>
      </c>
      <c r="B226" s="10" t="n">
        <v>45688</v>
      </c>
      <c r="C226" s="7" t="s">
        <v>1985</v>
      </c>
      <c r="D226" s="7" t="s">
        <v>277</v>
      </c>
      <c r="E226" s="7" t="s">
        <v>149</v>
      </c>
      <c r="F226" s="7" t="s">
        <v>119</v>
      </c>
      <c r="G226" s="7" t="s">
        <v>150</v>
      </c>
      <c r="H226" s="7" t="n">
        <v>1</v>
      </c>
      <c r="I226" s="11" t="n">
        <v>175</v>
      </c>
      <c r="J226" s="11" t="n">
        <v>0</v>
      </c>
      <c r="K226" s="11" t="n">
        <f aca="false">H226*I226-J226</f>
        <v>175</v>
      </c>
      <c r="L226" s="7" t="s">
        <v>6170</v>
      </c>
      <c r="M226" s="7" t="s">
        <v>194</v>
      </c>
      <c r="N226" s="7" t="n">
        <v>26</v>
      </c>
      <c r="O226" s="7" t="n">
        <v>5</v>
      </c>
    </row>
    <row r="227" customFormat="false" ht="15" hidden="false" customHeight="false" outlineLevel="0" collapsed="false">
      <c r="A227" s="7" t="s">
        <v>3372</v>
      </c>
      <c r="B227" s="10" t="n">
        <v>45689</v>
      </c>
      <c r="C227" s="7" t="s">
        <v>693</v>
      </c>
      <c r="D227" s="7" t="s">
        <v>1369</v>
      </c>
      <c r="E227" s="7" t="s">
        <v>89</v>
      </c>
      <c r="F227" s="7" t="s">
        <v>86</v>
      </c>
      <c r="G227" s="7" t="s">
        <v>90</v>
      </c>
      <c r="H227" s="7" t="n">
        <v>2</v>
      </c>
      <c r="I227" s="11" t="n">
        <v>245</v>
      </c>
      <c r="J227" s="11" t="n">
        <v>0</v>
      </c>
      <c r="K227" s="11" t="n">
        <f aca="false">H227*I227-J227</f>
        <v>490</v>
      </c>
      <c r="L227" s="7" t="s">
        <v>103</v>
      </c>
      <c r="M227" s="7" t="s">
        <v>238</v>
      </c>
      <c r="N227" s="7"/>
      <c r="O227" s="7"/>
    </row>
    <row r="228" customFormat="false" ht="15" hidden="false" customHeight="false" outlineLevel="0" collapsed="false">
      <c r="A228" s="7" t="s">
        <v>5853</v>
      </c>
      <c r="B228" s="10" t="n">
        <v>45689</v>
      </c>
      <c r="C228" s="7" t="s">
        <v>606</v>
      </c>
      <c r="D228" s="7" t="s">
        <v>404</v>
      </c>
      <c r="E228" s="7" t="s">
        <v>158</v>
      </c>
      <c r="F228" s="7" t="s">
        <v>136</v>
      </c>
      <c r="G228" s="7" t="s">
        <v>139</v>
      </c>
      <c r="H228" s="7" t="n">
        <v>2</v>
      </c>
      <c r="I228" s="11" t="n">
        <v>150</v>
      </c>
      <c r="J228" s="11" t="n">
        <v>120</v>
      </c>
      <c r="K228" s="11" t="n">
        <f aca="false">H228*I228-J228</f>
        <v>180</v>
      </c>
      <c r="L228" s="7" t="s">
        <v>88</v>
      </c>
      <c r="M228" s="7" t="s">
        <v>238</v>
      </c>
      <c r="N228" s="7"/>
      <c r="O228" s="7"/>
    </row>
    <row r="229" customFormat="false" ht="15" hidden="false" customHeight="false" outlineLevel="0" collapsed="false">
      <c r="A229" s="7" t="s">
        <v>3581</v>
      </c>
      <c r="B229" s="10" t="n">
        <v>45689</v>
      </c>
      <c r="C229" s="7" t="s">
        <v>403</v>
      </c>
      <c r="D229" s="7" t="s">
        <v>1138</v>
      </c>
      <c r="E229" s="7" t="s">
        <v>158</v>
      </c>
      <c r="F229" s="7" t="s">
        <v>136</v>
      </c>
      <c r="G229" s="7" t="s">
        <v>139</v>
      </c>
      <c r="H229" s="7" t="n">
        <v>2</v>
      </c>
      <c r="I229" s="11" t="n">
        <v>210</v>
      </c>
      <c r="J229" s="11" t="n">
        <v>30</v>
      </c>
      <c r="K229" s="11" t="n">
        <f aca="false">H229*I229-J229</f>
        <v>390</v>
      </c>
      <c r="L229" s="7" t="s">
        <v>88</v>
      </c>
      <c r="M229" s="7" t="s">
        <v>194</v>
      </c>
      <c r="N229" s="7" t="n">
        <v>25</v>
      </c>
      <c r="O229" s="7" t="n">
        <v>4</v>
      </c>
    </row>
    <row r="230" customFormat="false" ht="15" hidden="false" customHeight="false" outlineLevel="0" collapsed="false">
      <c r="A230" s="7" t="s">
        <v>2668</v>
      </c>
      <c r="B230" s="10" t="n">
        <v>45689</v>
      </c>
      <c r="C230" s="7" t="s">
        <v>1125</v>
      </c>
      <c r="D230" s="7" t="s">
        <v>2669</v>
      </c>
      <c r="E230" s="7" t="s">
        <v>94</v>
      </c>
      <c r="F230" s="7" t="s">
        <v>86</v>
      </c>
      <c r="G230" s="7" t="s">
        <v>95</v>
      </c>
      <c r="H230" s="7" t="n">
        <v>1</v>
      </c>
      <c r="I230" s="11" t="n">
        <v>130</v>
      </c>
      <c r="J230" s="11" t="n">
        <v>52</v>
      </c>
      <c r="K230" s="11" t="n">
        <f aca="false">H230*I230-J230</f>
        <v>78</v>
      </c>
      <c r="L230" s="7" t="s">
        <v>88</v>
      </c>
      <c r="M230" s="7" t="s">
        <v>194</v>
      </c>
      <c r="N230" s="7"/>
      <c r="O230" s="7" t="n">
        <v>3</v>
      </c>
    </row>
    <row r="231" customFormat="false" ht="15" hidden="false" customHeight="false" outlineLevel="0" collapsed="false">
      <c r="A231" s="7" t="s">
        <v>5981</v>
      </c>
      <c r="B231" s="10" t="n">
        <v>45689</v>
      </c>
      <c r="C231" s="7" t="s">
        <v>2296</v>
      </c>
      <c r="D231" s="7" t="s">
        <v>2411</v>
      </c>
      <c r="E231" s="7" t="s">
        <v>113</v>
      </c>
      <c r="F231" s="7" t="s">
        <v>101</v>
      </c>
      <c r="G231" s="7" t="s">
        <v>90</v>
      </c>
      <c r="H231" s="7" t="n">
        <v>1</v>
      </c>
      <c r="I231" s="11" t="n">
        <v>200</v>
      </c>
      <c r="J231" s="11" t="n">
        <v>0</v>
      </c>
      <c r="K231" s="11" t="n">
        <f aca="false">H231*I231-J231</f>
        <v>200</v>
      </c>
      <c r="L231" s="7" t="s">
        <v>88</v>
      </c>
      <c r="M231" s="7" t="s">
        <v>194</v>
      </c>
      <c r="N231" s="7" t="n">
        <v>57</v>
      </c>
      <c r="O231" s="7" t="n">
        <v>3</v>
      </c>
    </row>
    <row r="232" customFormat="false" ht="15" hidden="false" customHeight="false" outlineLevel="0" collapsed="false">
      <c r="A232" s="7" t="s">
        <v>5667</v>
      </c>
      <c r="B232" s="10" t="n">
        <v>45689</v>
      </c>
      <c r="C232" s="7" t="s">
        <v>3709</v>
      </c>
      <c r="D232" s="7" t="s">
        <v>1464</v>
      </c>
      <c r="E232" s="7" t="s">
        <v>154</v>
      </c>
      <c r="F232" s="7" t="s">
        <v>128</v>
      </c>
      <c r="G232" s="7" t="s">
        <v>99</v>
      </c>
      <c r="H232" s="7" t="n">
        <v>1</v>
      </c>
      <c r="I232" s="11" t="n">
        <v>230</v>
      </c>
      <c r="J232" s="11" t="n">
        <v>0</v>
      </c>
      <c r="K232" s="11" t="n">
        <f aca="false">H232*I232-J232</f>
        <v>230</v>
      </c>
      <c r="L232" s="7" t="s">
        <v>112</v>
      </c>
      <c r="M232" s="7" t="s">
        <v>194</v>
      </c>
      <c r="N232" s="7" t="n">
        <v>36</v>
      </c>
      <c r="O232" s="7"/>
    </row>
    <row r="233" customFormat="false" ht="15" hidden="false" customHeight="false" outlineLevel="0" collapsed="false">
      <c r="A233" s="7" t="s">
        <v>5478</v>
      </c>
      <c r="B233" s="10" t="n">
        <v>45689</v>
      </c>
      <c r="C233" s="7" t="s">
        <v>1824</v>
      </c>
      <c r="D233" s="7" t="s">
        <v>3101</v>
      </c>
      <c r="E233" s="7" t="s">
        <v>147</v>
      </c>
      <c r="F233" s="7" t="s">
        <v>119</v>
      </c>
      <c r="G233" s="7" t="s">
        <v>95</v>
      </c>
      <c r="H233" s="7" t="n">
        <v>5</v>
      </c>
      <c r="I233" s="11" t="n">
        <v>130</v>
      </c>
      <c r="J233" s="11" t="n">
        <v>150</v>
      </c>
      <c r="K233" s="11" t="n">
        <f aca="false">H233*I233-J233</f>
        <v>500</v>
      </c>
      <c r="L233" s="7" t="s">
        <v>93</v>
      </c>
      <c r="M233" s="7" t="s">
        <v>194</v>
      </c>
      <c r="N233" s="7" t="n">
        <v>40</v>
      </c>
      <c r="O233" s="7" t="n">
        <v>4</v>
      </c>
    </row>
    <row r="234" customFormat="false" ht="15" hidden="false" customHeight="false" outlineLevel="0" collapsed="false">
      <c r="A234" s="7" t="s">
        <v>5458</v>
      </c>
      <c r="B234" s="10" t="n">
        <v>45689</v>
      </c>
      <c r="C234" s="7" t="s">
        <v>1824</v>
      </c>
      <c r="D234" s="7" t="s">
        <v>2077</v>
      </c>
      <c r="E234" s="7" t="s">
        <v>104</v>
      </c>
      <c r="F234" s="7" t="s">
        <v>86</v>
      </c>
      <c r="G234" s="7" t="s">
        <v>105</v>
      </c>
      <c r="H234" s="7" t="n">
        <v>1</v>
      </c>
      <c r="I234" s="11" t="n">
        <v>205</v>
      </c>
      <c r="J234" s="11" t="n">
        <v>0</v>
      </c>
      <c r="K234" s="11" t="n">
        <f aca="false">H234*I234-J234</f>
        <v>205</v>
      </c>
      <c r="L234" s="7" t="s">
        <v>88</v>
      </c>
      <c r="M234" s="7" t="s">
        <v>194</v>
      </c>
      <c r="N234" s="7" t="n">
        <v>29</v>
      </c>
      <c r="O234" s="7" t="n">
        <v>5</v>
      </c>
    </row>
    <row r="235" customFormat="false" ht="15" hidden="false" customHeight="false" outlineLevel="0" collapsed="false">
      <c r="A235" s="7" t="s">
        <v>3024</v>
      </c>
      <c r="B235" s="10" t="n">
        <v>45689</v>
      </c>
      <c r="C235" s="7" t="s">
        <v>3025</v>
      </c>
      <c r="D235" s="7" t="s">
        <v>793</v>
      </c>
      <c r="E235" s="7" t="s">
        <v>144</v>
      </c>
      <c r="F235" s="7" t="s">
        <v>119</v>
      </c>
      <c r="G235" s="7" t="s">
        <v>99</v>
      </c>
      <c r="H235" s="7" t="n">
        <v>2</v>
      </c>
      <c r="I235" s="11" t="n">
        <v>340</v>
      </c>
      <c r="J235" s="11" t="n">
        <v>125</v>
      </c>
      <c r="K235" s="11" t="n">
        <f aca="false">H235*I235-J235</f>
        <v>555</v>
      </c>
      <c r="L235" s="7" t="s">
        <v>121</v>
      </c>
      <c r="M235" s="7" t="s">
        <v>194</v>
      </c>
      <c r="N235" s="7" t="n">
        <v>31</v>
      </c>
      <c r="O235" s="7" t="n">
        <v>5</v>
      </c>
    </row>
    <row r="236" customFormat="false" ht="15" hidden="false" customHeight="false" outlineLevel="0" collapsed="false">
      <c r="A236" s="7" t="s">
        <v>5806</v>
      </c>
      <c r="B236" s="10" t="n">
        <v>45689</v>
      </c>
      <c r="C236" s="7" t="s">
        <v>481</v>
      </c>
      <c r="D236" s="7" t="s">
        <v>316</v>
      </c>
      <c r="E236" s="7" t="s">
        <v>126</v>
      </c>
      <c r="F236" s="7" t="s">
        <v>101</v>
      </c>
      <c r="G236" s="7" t="s">
        <v>105</v>
      </c>
      <c r="H236" s="7" t="n">
        <v>2</v>
      </c>
      <c r="I236" s="11" t="n">
        <v>245</v>
      </c>
      <c r="J236" s="11" t="n">
        <v>0</v>
      </c>
      <c r="K236" s="11" t="n">
        <f aca="false">H236*I236-J236</f>
        <v>490</v>
      </c>
      <c r="L236" s="7" t="s">
        <v>112</v>
      </c>
      <c r="M236" s="7" t="s">
        <v>194</v>
      </c>
      <c r="N236" s="7" t="n">
        <v>35</v>
      </c>
      <c r="O236" s="7" t="n">
        <v>5</v>
      </c>
    </row>
    <row r="237" customFormat="false" ht="15" hidden="false" customHeight="false" outlineLevel="0" collapsed="false">
      <c r="A237" s="7" t="s">
        <v>5396</v>
      </c>
      <c r="B237" s="10" t="n">
        <v>45689</v>
      </c>
      <c r="C237" s="7" t="s">
        <v>3011</v>
      </c>
      <c r="D237" s="7" t="s">
        <v>1016</v>
      </c>
      <c r="E237" s="7" t="s">
        <v>98</v>
      </c>
      <c r="F237" s="7" t="s">
        <v>86</v>
      </c>
      <c r="G237" s="7" t="s">
        <v>99</v>
      </c>
      <c r="H237" s="7" t="n">
        <v>2</v>
      </c>
      <c r="I237" s="11" t="n">
        <v>265</v>
      </c>
      <c r="J237" s="11" t="n">
        <v>100</v>
      </c>
      <c r="K237" s="11" t="n">
        <f aca="false">H237*I237-J237</f>
        <v>430</v>
      </c>
      <c r="L237" s="7" t="s">
        <v>103</v>
      </c>
      <c r="M237" s="7" t="s">
        <v>194</v>
      </c>
      <c r="N237" s="7" t="n">
        <v>50</v>
      </c>
      <c r="O237" s="7" t="n">
        <v>5</v>
      </c>
    </row>
    <row r="238" customFormat="false" ht="15" hidden="false" customHeight="false" outlineLevel="0" collapsed="false">
      <c r="A238" s="7" t="s">
        <v>2623</v>
      </c>
      <c r="B238" s="10" t="n">
        <v>45689</v>
      </c>
      <c r="C238" s="7" t="s">
        <v>1011</v>
      </c>
      <c r="D238" s="7" t="s">
        <v>2624</v>
      </c>
      <c r="E238" s="7" t="s">
        <v>113</v>
      </c>
      <c r="F238" s="7" t="s">
        <v>101</v>
      </c>
      <c r="G238" s="7" t="s">
        <v>90</v>
      </c>
      <c r="H238" s="7" t="n">
        <v>1</v>
      </c>
      <c r="I238" s="11" t="n">
        <v>250</v>
      </c>
      <c r="J238" s="11" t="n">
        <v>0</v>
      </c>
      <c r="K238" s="11" t="n">
        <f aca="false">H238*I238-J238</f>
        <v>250</v>
      </c>
      <c r="L238" s="7" t="s">
        <v>93</v>
      </c>
      <c r="M238" s="7" t="s">
        <v>194</v>
      </c>
      <c r="N238" s="7" t="n">
        <v>36</v>
      </c>
      <c r="O238" s="7" t="n">
        <v>5</v>
      </c>
    </row>
    <row r="239" customFormat="false" ht="15" hidden="false" customHeight="false" outlineLevel="0" collapsed="false">
      <c r="A239" s="7" t="s">
        <v>1759</v>
      </c>
      <c r="B239" s="10" t="n">
        <v>45689</v>
      </c>
      <c r="C239" s="7" t="s">
        <v>1761</v>
      </c>
      <c r="D239" s="7" t="s">
        <v>1762</v>
      </c>
      <c r="E239" s="7" t="s">
        <v>113</v>
      </c>
      <c r="F239" s="7" t="s">
        <v>101</v>
      </c>
      <c r="G239" s="7" t="s">
        <v>90</v>
      </c>
      <c r="H239" s="7" t="n">
        <v>2</v>
      </c>
      <c r="I239" s="11" t="n">
        <v>210</v>
      </c>
      <c r="J239" s="11" t="n">
        <v>100</v>
      </c>
      <c r="K239" s="11" t="n">
        <f aca="false">H239*I239-J239</f>
        <v>320</v>
      </c>
      <c r="L239" s="7" t="s">
        <v>103</v>
      </c>
      <c r="M239" s="7" t="s">
        <v>194</v>
      </c>
      <c r="N239" s="7" t="n">
        <v>45</v>
      </c>
      <c r="O239" s="7" t="n">
        <v>5</v>
      </c>
    </row>
    <row r="240" customFormat="false" ht="15" hidden="false" customHeight="false" outlineLevel="0" collapsed="false">
      <c r="A240" s="7" t="s">
        <v>5267</v>
      </c>
      <c r="B240" s="10" t="n">
        <v>45689</v>
      </c>
      <c r="C240" s="7" t="s">
        <v>1501</v>
      </c>
      <c r="D240" s="7" t="s">
        <v>5268</v>
      </c>
      <c r="E240" s="7" t="s">
        <v>142</v>
      </c>
      <c r="F240" s="7" t="s">
        <v>110</v>
      </c>
      <c r="G240" s="7" t="s">
        <v>105</v>
      </c>
      <c r="H240" s="7" t="n">
        <v>1</v>
      </c>
      <c r="I240" s="11" t="n">
        <v>190</v>
      </c>
      <c r="J240" s="11" t="n">
        <v>76</v>
      </c>
      <c r="K240" s="11" t="n">
        <f aca="false">H240*I240-J240</f>
        <v>114</v>
      </c>
      <c r="L240" s="7" t="s">
        <v>121</v>
      </c>
      <c r="M240" s="7" t="s">
        <v>194</v>
      </c>
      <c r="N240" s="7" t="n">
        <v>54</v>
      </c>
      <c r="O240" s="7" t="n">
        <v>4</v>
      </c>
    </row>
    <row r="241" customFormat="false" ht="15" hidden="false" customHeight="false" outlineLevel="0" collapsed="false">
      <c r="A241" s="7" t="s">
        <v>4139</v>
      </c>
      <c r="B241" s="10" t="n">
        <v>45689</v>
      </c>
      <c r="C241" s="7" t="s">
        <v>2369</v>
      </c>
      <c r="D241" s="7" t="s">
        <v>4140</v>
      </c>
      <c r="E241" s="7" t="s">
        <v>164</v>
      </c>
      <c r="F241" s="7" t="s">
        <v>141</v>
      </c>
      <c r="G241" s="7" t="s">
        <v>150</v>
      </c>
      <c r="H241" s="7" t="n">
        <v>2</v>
      </c>
      <c r="I241" s="11" t="n">
        <v>125</v>
      </c>
      <c r="J241" s="11" t="n">
        <v>30</v>
      </c>
      <c r="K241" s="11" t="n">
        <f aca="false">H241*I241-J241</f>
        <v>220</v>
      </c>
      <c r="L241" s="7" t="s">
        <v>121</v>
      </c>
      <c r="M241" s="7" t="s">
        <v>194</v>
      </c>
      <c r="N241" s="7" t="n">
        <v>39</v>
      </c>
      <c r="O241" s="7" t="n">
        <v>3</v>
      </c>
    </row>
    <row r="242" customFormat="false" ht="15" hidden="false" customHeight="false" outlineLevel="0" collapsed="false">
      <c r="A242" s="7" t="s">
        <v>4397</v>
      </c>
      <c r="B242" s="10" t="n">
        <v>45690</v>
      </c>
      <c r="C242" s="7" t="s">
        <v>4240</v>
      </c>
      <c r="D242" s="7" t="s">
        <v>3584</v>
      </c>
      <c r="E242" s="7" t="s">
        <v>168</v>
      </c>
      <c r="F242" s="7" t="s">
        <v>146</v>
      </c>
      <c r="G242" s="7" t="s">
        <v>123</v>
      </c>
      <c r="H242" s="7" t="n">
        <v>2</v>
      </c>
      <c r="I242" s="11" t="n">
        <v>310</v>
      </c>
      <c r="J242" s="11" t="n">
        <v>125</v>
      </c>
      <c r="K242" s="11" t="n">
        <f aca="false">H242*I242-J242</f>
        <v>495</v>
      </c>
      <c r="L242" s="7" t="s">
        <v>93</v>
      </c>
      <c r="M242" s="7" t="s">
        <v>194</v>
      </c>
      <c r="N242" s="7" t="n">
        <v>18</v>
      </c>
      <c r="O242" s="7" t="n">
        <v>5</v>
      </c>
    </row>
    <row r="243" customFormat="false" ht="15" hidden="false" customHeight="false" outlineLevel="0" collapsed="false">
      <c r="A243" s="7" t="s">
        <v>5604</v>
      </c>
      <c r="B243" s="10" t="n">
        <v>45690</v>
      </c>
      <c r="C243" s="7" t="s">
        <v>2800</v>
      </c>
      <c r="D243" s="7" t="s">
        <v>1702</v>
      </c>
      <c r="E243" s="7" t="s">
        <v>154</v>
      </c>
      <c r="F243" s="7" t="s">
        <v>128</v>
      </c>
      <c r="G243" s="7" t="s">
        <v>99</v>
      </c>
      <c r="H243" s="7" t="n">
        <v>2</v>
      </c>
      <c r="I243" s="11" t="n">
        <v>310</v>
      </c>
      <c r="J243" s="11" t="n">
        <v>0</v>
      </c>
      <c r="K243" s="11" t="n">
        <f aca="false">H243*I243-J243</f>
        <v>620</v>
      </c>
      <c r="L243" s="7" t="s">
        <v>93</v>
      </c>
      <c r="M243" s="7" t="s">
        <v>194</v>
      </c>
      <c r="N243" s="7" t="n">
        <v>37</v>
      </c>
      <c r="O243" s="7" t="n">
        <v>4</v>
      </c>
    </row>
    <row r="244" customFormat="false" ht="15" hidden="false" customHeight="false" outlineLevel="0" collapsed="false">
      <c r="A244" s="7" t="s">
        <v>4707</v>
      </c>
      <c r="B244" s="10" t="n">
        <v>45690</v>
      </c>
      <c r="C244" s="7" t="s">
        <v>720</v>
      </c>
      <c r="D244" s="7" t="s">
        <v>3584</v>
      </c>
      <c r="E244" s="7" t="s">
        <v>113</v>
      </c>
      <c r="F244" s="7" t="s">
        <v>101</v>
      </c>
      <c r="G244" s="7" t="s">
        <v>90</v>
      </c>
      <c r="H244" s="7" t="n">
        <v>2</v>
      </c>
      <c r="I244" s="11" t="n">
        <v>250</v>
      </c>
      <c r="J244" s="11" t="n">
        <v>30</v>
      </c>
      <c r="K244" s="11" t="n">
        <f aca="false">H244*I244-J244</f>
        <v>470</v>
      </c>
      <c r="L244" s="7" t="s">
        <v>88</v>
      </c>
      <c r="M244" s="7" t="s">
        <v>194</v>
      </c>
      <c r="N244" s="7" t="n">
        <v>57</v>
      </c>
      <c r="O244" s="7" t="n">
        <v>4</v>
      </c>
    </row>
    <row r="245" customFormat="false" ht="15" hidden="false" customHeight="false" outlineLevel="0" collapsed="false">
      <c r="A245" s="7" t="s">
        <v>5817</v>
      </c>
      <c r="B245" s="10" t="n">
        <v>45690</v>
      </c>
      <c r="C245" s="7" t="s">
        <v>1795</v>
      </c>
      <c r="D245" s="7" t="s">
        <v>4154</v>
      </c>
      <c r="E245" s="7" t="s">
        <v>122</v>
      </c>
      <c r="F245" s="7" t="s">
        <v>101</v>
      </c>
      <c r="G245" s="7" t="s">
        <v>123</v>
      </c>
      <c r="H245" s="7" t="n">
        <v>1</v>
      </c>
      <c r="I245" s="11" t="n">
        <v>390</v>
      </c>
      <c r="J245" s="11" t="n">
        <v>20</v>
      </c>
      <c r="K245" s="11" t="n">
        <f aca="false">H245*I245-J245</f>
        <v>370</v>
      </c>
      <c r="L245" s="7" t="s">
        <v>133</v>
      </c>
      <c r="M245" s="7" t="s">
        <v>194</v>
      </c>
      <c r="N245" s="7" t="n">
        <v>41</v>
      </c>
      <c r="O245" s="7" t="n">
        <v>4</v>
      </c>
    </row>
    <row r="246" customFormat="false" ht="15" hidden="false" customHeight="false" outlineLevel="0" collapsed="false">
      <c r="A246" s="7" t="s">
        <v>5511</v>
      </c>
      <c r="B246" s="10" t="n">
        <v>45690</v>
      </c>
      <c r="C246" s="7" t="s">
        <v>651</v>
      </c>
      <c r="D246" s="7" t="s">
        <v>1420</v>
      </c>
      <c r="E246" s="7" t="s">
        <v>138</v>
      </c>
      <c r="F246" s="7" t="s">
        <v>110</v>
      </c>
      <c r="G246" s="7" t="s">
        <v>139</v>
      </c>
      <c r="H246" s="7" t="n">
        <v>3</v>
      </c>
      <c r="I246" s="11" t="n">
        <v>215</v>
      </c>
      <c r="J246" s="11" t="n">
        <v>0</v>
      </c>
      <c r="K246" s="11" t="n">
        <f aca="false">H246*I246-J246</f>
        <v>645</v>
      </c>
      <c r="L246" s="7" t="s">
        <v>93</v>
      </c>
      <c r="M246" s="7" t="s">
        <v>194</v>
      </c>
      <c r="N246" s="7" t="n">
        <v>42</v>
      </c>
      <c r="O246" s="7" t="n">
        <v>3</v>
      </c>
    </row>
    <row r="247" customFormat="false" ht="15" hidden="false" customHeight="false" outlineLevel="0" collapsed="false">
      <c r="A247" s="7" t="s">
        <v>3631</v>
      </c>
      <c r="B247" s="10" t="n">
        <v>45690</v>
      </c>
      <c r="C247" s="7" t="s">
        <v>3632</v>
      </c>
      <c r="D247" s="7" t="s">
        <v>1305</v>
      </c>
      <c r="E247" s="7" t="s">
        <v>168</v>
      </c>
      <c r="F247" s="7" t="s">
        <v>146</v>
      </c>
      <c r="G247" s="7" t="s">
        <v>123</v>
      </c>
      <c r="H247" s="7" t="n">
        <v>5</v>
      </c>
      <c r="I247" s="11" t="n">
        <v>285</v>
      </c>
      <c r="J247" s="11" t="n">
        <v>0</v>
      </c>
      <c r="K247" s="11" t="n">
        <f aca="false">H247*I247-J247</f>
        <v>1425</v>
      </c>
      <c r="L247" s="7" t="s">
        <v>88</v>
      </c>
      <c r="M247" s="7" t="s">
        <v>194</v>
      </c>
      <c r="N247" s="7" t="n">
        <v>36</v>
      </c>
      <c r="O247" s="7" t="n">
        <v>4</v>
      </c>
    </row>
    <row r="248" customFormat="false" ht="15" hidden="false" customHeight="false" outlineLevel="0" collapsed="false">
      <c r="A248" s="7" t="s">
        <v>4691</v>
      </c>
      <c r="B248" s="10" t="n">
        <v>45690</v>
      </c>
      <c r="C248" s="7" t="s">
        <v>4016</v>
      </c>
      <c r="D248" s="7" t="s">
        <v>3323</v>
      </c>
      <c r="E248" s="7" t="s">
        <v>149</v>
      </c>
      <c r="F248" s="7" t="s">
        <v>119</v>
      </c>
      <c r="G248" s="7" t="s">
        <v>150</v>
      </c>
      <c r="H248" s="7" t="n">
        <v>2</v>
      </c>
      <c r="I248" s="11" t="n">
        <v>165</v>
      </c>
      <c r="J248" s="11" t="n">
        <v>0</v>
      </c>
      <c r="K248" s="11" t="n">
        <f aca="false">H248*I248-J248</f>
        <v>330</v>
      </c>
      <c r="L248" s="7" t="s">
        <v>133</v>
      </c>
      <c r="M248" s="7" t="s">
        <v>194</v>
      </c>
      <c r="N248" s="7" t="n">
        <v>36</v>
      </c>
      <c r="O248" s="7" t="n">
        <v>3</v>
      </c>
    </row>
    <row r="249" customFormat="false" ht="15" hidden="false" customHeight="false" outlineLevel="0" collapsed="false">
      <c r="A249" s="7" t="s">
        <v>3238</v>
      </c>
      <c r="B249" s="10" t="n">
        <v>45690</v>
      </c>
      <c r="C249" s="7" t="s">
        <v>3240</v>
      </c>
      <c r="D249" s="7" t="s">
        <v>3241</v>
      </c>
      <c r="E249" s="7" t="s">
        <v>122</v>
      </c>
      <c r="F249" s="7" t="s">
        <v>101</v>
      </c>
      <c r="G249" s="7" t="s">
        <v>123</v>
      </c>
      <c r="H249" s="7" t="n">
        <v>3</v>
      </c>
      <c r="I249" s="11" t="n">
        <v>280</v>
      </c>
      <c r="J249" s="11" t="n">
        <v>125</v>
      </c>
      <c r="K249" s="11" t="n">
        <f aca="false">H249*I249-J249</f>
        <v>715</v>
      </c>
      <c r="L249" s="7" t="s">
        <v>88</v>
      </c>
      <c r="M249" s="7" t="s">
        <v>194</v>
      </c>
      <c r="N249" s="7" t="n">
        <v>43</v>
      </c>
      <c r="O249" s="7" t="n">
        <v>2</v>
      </c>
    </row>
    <row r="250" customFormat="false" ht="15" hidden="false" customHeight="false" outlineLevel="0" collapsed="false">
      <c r="A250" s="7" t="s">
        <v>4376</v>
      </c>
      <c r="B250" s="10" t="n">
        <v>45690</v>
      </c>
      <c r="C250" s="7" t="s">
        <v>4377</v>
      </c>
      <c r="D250" s="7" t="s">
        <v>4378</v>
      </c>
      <c r="E250" s="7" t="s">
        <v>154</v>
      </c>
      <c r="F250" s="7" t="s">
        <v>128</v>
      </c>
      <c r="G250" s="7" t="s">
        <v>99</v>
      </c>
      <c r="H250" s="7" t="n">
        <v>4</v>
      </c>
      <c r="I250" s="11" t="n">
        <v>300</v>
      </c>
      <c r="J250" s="11" t="n">
        <v>50</v>
      </c>
      <c r="K250" s="11" t="n">
        <f aca="false">H250*I250-J250</f>
        <v>1150</v>
      </c>
      <c r="L250" s="7" t="s">
        <v>133</v>
      </c>
      <c r="M250" s="7" t="s">
        <v>194</v>
      </c>
      <c r="N250" s="7" t="n">
        <v>33</v>
      </c>
      <c r="O250" s="7" t="n">
        <v>4</v>
      </c>
    </row>
    <row r="251" customFormat="false" ht="15" hidden="false" customHeight="false" outlineLevel="0" collapsed="false">
      <c r="A251" s="7" t="s">
        <v>1893</v>
      </c>
      <c r="B251" s="10" t="n">
        <v>45690</v>
      </c>
      <c r="C251" s="7" t="s">
        <v>296</v>
      </c>
      <c r="D251" s="7" t="s">
        <v>1895</v>
      </c>
      <c r="E251" s="7" t="s">
        <v>104</v>
      </c>
      <c r="F251" s="7" t="s">
        <v>86</v>
      </c>
      <c r="G251" s="7" t="s">
        <v>105</v>
      </c>
      <c r="H251" s="7" t="n">
        <v>1</v>
      </c>
      <c r="I251" s="11" t="n">
        <v>255</v>
      </c>
      <c r="J251" s="11" t="n">
        <v>0</v>
      </c>
      <c r="K251" s="11" t="n">
        <f aca="false">H251*I251-J251</f>
        <v>255</v>
      </c>
      <c r="L251" s="7" t="s">
        <v>88</v>
      </c>
      <c r="M251" s="7" t="s">
        <v>194</v>
      </c>
      <c r="N251" s="7" t="n">
        <v>43</v>
      </c>
      <c r="O251" s="7" t="n">
        <v>4</v>
      </c>
    </row>
    <row r="252" customFormat="false" ht="15" hidden="false" customHeight="false" outlineLevel="0" collapsed="false">
      <c r="A252" s="7" t="s">
        <v>5712</v>
      </c>
      <c r="B252" s="10" t="n">
        <v>45690</v>
      </c>
      <c r="C252" s="7" t="s">
        <v>2705</v>
      </c>
      <c r="D252" s="7" t="s">
        <v>5583</v>
      </c>
      <c r="E252" s="7" t="s">
        <v>130</v>
      </c>
      <c r="F252" s="7" t="s">
        <v>110</v>
      </c>
      <c r="G252" s="7" t="s">
        <v>90</v>
      </c>
      <c r="H252" s="7" t="n">
        <v>1</v>
      </c>
      <c r="I252" s="11" t="n">
        <v>210</v>
      </c>
      <c r="J252" s="11" t="n">
        <v>75</v>
      </c>
      <c r="K252" s="11" t="n">
        <f aca="false">H252*I252-J252</f>
        <v>135</v>
      </c>
      <c r="L252" s="7" t="s">
        <v>93</v>
      </c>
      <c r="M252" s="7" t="s">
        <v>194</v>
      </c>
      <c r="N252" s="7" t="n">
        <v>36</v>
      </c>
      <c r="O252" s="7" t="n">
        <v>5</v>
      </c>
    </row>
    <row r="253" customFormat="false" ht="15" hidden="false" customHeight="false" outlineLevel="0" collapsed="false">
      <c r="A253" s="7" t="s">
        <v>4405</v>
      </c>
      <c r="B253" s="10" t="n">
        <v>45691</v>
      </c>
      <c r="C253" s="7" t="s">
        <v>4026</v>
      </c>
      <c r="D253" s="7" t="s">
        <v>1981</v>
      </c>
      <c r="E253" s="7" t="s">
        <v>147</v>
      </c>
      <c r="F253" s="7" t="s">
        <v>119</v>
      </c>
      <c r="G253" s="7" t="s">
        <v>95</v>
      </c>
      <c r="H253" s="7" t="n">
        <v>4</v>
      </c>
      <c r="I253" s="11" t="n">
        <v>160</v>
      </c>
      <c r="J253" s="11" t="n">
        <v>125</v>
      </c>
      <c r="K253" s="11" t="n">
        <f aca="false">H253*I253-J253</f>
        <v>515</v>
      </c>
      <c r="L253" s="7" t="s">
        <v>112</v>
      </c>
      <c r="M253" s="7" t="s">
        <v>194</v>
      </c>
      <c r="N253" s="7" t="n">
        <v>41</v>
      </c>
      <c r="O253" s="7" t="n">
        <v>4</v>
      </c>
    </row>
    <row r="254" customFormat="false" ht="15" hidden="false" customHeight="false" outlineLevel="0" collapsed="false">
      <c r="A254" s="7" t="s">
        <v>4828</v>
      </c>
      <c r="B254" s="10" t="n">
        <v>45691</v>
      </c>
      <c r="C254" s="7" t="s">
        <v>3564</v>
      </c>
      <c r="D254" s="7" t="s">
        <v>4829</v>
      </c>
      <c r="E254" s="7" t="s">
        <v>98</v>
      </c>
      <c r="F254" s="7" t="s">
        <v>86</v>
      </c>
      <c r="G254" s="7" t="s">
        <v>99</v>
      </c>
      <c r="H254" s="7" t="n">
        <v>2</v>
      </c>
      <c r="I254" s="11" t="n">
        <v>225</v>
      </c>
      <c r="J254" s="11" t="n">
        <v>0</v>
      </c>
      <c r="K254" s="11" t="n">
        <f aca="false">H254*I254-J254</f>
        <v>450</v>
      </c>
      <c r="L254" s="7" t="s">
        <v>88</v>
      </c>
      <c r="M254" s="7" t="s">
        <v>194</v>
      </c>
      <c r="N254" s="7" t="n">
        <v>33</v>
      </c>
      <c r="O254" s="7" t="n">
        <v>3</v>
      </c>
    </row>
    <row r="255" customFormat="false" ht="15" hidden="false" customHeight="false" outlineLevel="0" collapsed="false">
      <c r="A255" s="7" t="s">
        <v>6120</v>
      </c>
      <c r="B255" s="10" t="n">
        <v>45692</v>
      </c>
      <c r="C255" s="7" t="s">
        <v>6121</v>
      </c>
      <c r="D255" s="7" t="s">
        <v>1031</v>
      </c>
      <c r="E255" s="7" t="s">
        <v>164</v>
      </c>
      <c r="F255" s="7" t="s">
        <v>141</v>
      </c>
      <c r="G255" s="7" t="s">
        <v>150</v>
      </c>
      <c r="H255" s="7" t="n">
        <v>2</v>
      </c>
      <c r="I255" s="11" t="n">
        <v>150</v>
      </c>
      <c r="J255" s="11" t="n">
        <v>0</v>
      </c>
      <c r="K255" s="11" t="n">
        <f aca="false">H255*I255-J255</f>
        <v>300</v>
      </c>
      <c r="L255" s="7" t="s">
        <v>88</v>
      </c>
      <c r="M255" s="7" t="s">
        <v>194</v>
      </c>
      <c r="N255" s="7" t="n">
        <v>34</v>
      </c>
      <c r="O255" s="7" t="n">
        <v>5</v>
      </c>
    </row>
    <row r="256" customFormat="false" ht="15" hidden="false" customHeight="false" outlineLevel="0" collapsed="false">
      <c r="A256" s="7" t="s">
        <v>4489</v>
      </c>
      <c r="B256" s="10" t="n">
        <v>45692</v>
      </c>
      <c r="C256" s="7" t="s">
        <v>1091</v>
      </c>
      <c r="D256" s="7" t="s">
        <v>1229</v>
      </c>
      <c r="E256" s="7" t="s">
        <v>89</v>
      </c>
      <c r="F256" s="7" t="s">
        <v>86</v>
      </c>
      <c r="G256" s="7" t="s">
        <v>90</v>
      </c>
      <c r="H256" s="7" t="n">
        <v>2</v>
      </c>
      <c r="I256" s="11" t="n">
        <v>280</v>
      </c>
      <c r="J256" s="11" t="n">
        <v>0</v>
      </c>
      <c r="K256" s="11" t="n">
        <f aca="false">H256*I256-J256</f>
        <v>560</v>
      </c>
      <c r="L256" s="7" t="s">
        <v>112</v>
      </c>
      <c r="M256" s="7" t="s">
        <v>194</v>
      </c>
      <c r="N256" s="7" t="n">
        <v>42</v>
      </c>
      <c r="O256" s="7" t="n">
        <v>3</v>
      </c>
    </row>
    <row r="257" customFormat="false" ht="15" hidden="false" customHeight="false" outlineLevel="0" collapsed="false">
      <c r="A257" s="7" t="s">
        <v>514</v>
      </c>
      <c r="B257" s="10" t="n">
        <v>45692</v>
      </c>
      <c r="C257" s="7" t="s">
        <v>440</v>
      </c>
      <c r="D257" s="7" t="s">
        <v>516</v>
      </c>
      <c r="E257" s="7" t="s">
        <v>122</v>
      </c>
      <c r="F257" s="7" t="s">
        <v>101</v>
      </c>
      <c r="G257" s="7" t="s">
        <v>123</v>
      </c>
      <c r="H257" s="7" t="n">
        <v>2</v>
      </c>
      <c r="I257" s="11" t="n">
        <v>375</v>
      </c>
      <c r="J257" s="11" t="n">
        <v>50</v>
      </c>
      <c r="K257" s="11" t="n">
        <f aca="false">H257*I257-J257</f>
        <v>700</v>
      </c>
      <c r="L257" s="7" t="s">
        <v>88</v>
      </c>
      <c r="M257" s="7" t="s">
        <v>194</v>
      </c>
      <c r="N257" s="7" t="n">
        <v>36</v>
      </c>
      <c r="O257" s="7" t="n">
        <v>4</v>
      </c>
    </row>
    <row r="258" customFormat="false" ht="15" hidden="false" customHeight="false" outlineLevel="0" collapsed="false">
      <c r="A258" s="7" t="s">
        <v>5831</v>
      </c>
      <c r="B258" s="10" t="n">
        <v>45692</v>
      </c>
      <c r="C258" s="7" t="s">
        <v>759</v>
      </c>
      <c r="D258" s="7" t="s">
        <v>5000</v>
      </c>
      <c r="E258" s="7" t="s">
        <v>113</v>
      </c>
      <c r="F258" s="7" t="s">
        <v>101</v>
      </c>
      <c r="G258" s="7" t="s">
        <v>90</v>
      </c>
      <c r="H258" s="7" t="n">
        <v>2</v>
      </c>
      <c r="I258" s="11" t="n">
        <v>235</v>
      </c>
      <c r="J258" s="11" t="n">
        <v>0</v>
      </c>
      <c r="K258" s="11" t="n">
        <f aca="false">H258*I258-J258</f>
        <v>470</v>
      </c>
      <c r="L258" s="7" t="s">
        <v>88</v>
      </c>
      <c r="M258" s="7" t="s">
        <v>194</v>
      </c>
      <c r="N258" s="7" t="n">
        <v>26</v>
      </c>
      <c r="O258" s="7" t="n">
        <v>4</v>
      </c>
    </row>
    <row r="259" customFormat="false" ht="15" hidden="false" customHeight="false" outlineLevel="0" collapsed="false">
      <c r="A259" s="7" t="s">
        <v>4840</v>
      </c>
      <c r="B259" s="10" t="n">
        <v>45692</v>
      </c>
      <c r="C259" s="7" t="s">
        <v>996</v>
      </c>
      <c r="D259" s="7" t="s">
        <v>4841</v>
      </c>
      <c r="E259" s="7" t="s">
        <v>159</v>
      </c>
      <c r="F259" s="7" t="s">
        <v>136</v>
      </c>
      <c r="G259" s="7" t="s">
        <v>90</v>
      </c>
      <c r="H259" s="7" t="n">
        <v>1</v>
      </c>
      <c r="I259" s="11" t="n">
        <v>200</v>
      </c>
      <c r="J259" s="11" t="n">
        <v>0</v>
      </c>
      <c r="K259" s="11" t="n">
        <f aca="false">H259*I259-J259</f>
        <v>200</v>
      </c>
      <c r="L259" s="7" t="s">
        <v>112</v>
      </c>
      <c r="M259" s="7" t="s">
        <v>194</v>
      </c>
      <c r="N259" s="7" t="n">
        <v>35</v>
      </c>
      <c r="O259" s="7" t="n">
        <v>5</v>
      </c>
    </row>
    <row r="260" customFormat="false" ht="15" hidden="false" customHeight="false" outlineLevel="0" collapsed="false">
      <c r="A260" s="7" t="s">
        <v>2362</v>
      </c>
      <c r="B260" s="10" t="n">
        <v>45692</v>
      </c>
      <c r="C260" s="7" t="s">
        <v>1520</v>
      </c>
      <c r="D260" s="7" t="s">
        <v>851</v>
      </c>
      <c r="E260" s="7" t="s">
        <v>116</v>
      </c>
      <c r="F260" s="7" t="s">
        <v>101</v>
      </c>
      <c r="G260" s="7" t="s">
        <v>117</v>
      </c>
      <c r="H260" s="7" t="n">
        <v>2</v>
      </c>
      <c r="I260" s="11" t="n">
        <v>110</v>
      </c>
      <c r="J260" s="11" t="n">
        <v>0</v>
      </c>
      <c r="K260" s="11" t="n">
        <f aca="false">H260*I260-J260</f>
        <v>220</v>
      </c>
      <c r="L260" s="7" t="s">
        <v>88</v>
      </c>
      <c r="M260" s="7" t="s">
        <v>194</v>
      </c>
      <c r="N260" s="7" t="n">
        <v>30</v>
      </c>
      <c r="O260" s="7" t="n">
        <v>3</v>
      </c>
    </row>
    <row r="261" customFormat="false" ht="15" hidden="false" customHeight="false" outlineLevel="0" collapsed="false">
      <c r="A261" s="7" t="s">
        <v>2649</v>
      </c>
      <c r="B261" s="10" t="n">
        <v>45693</v>
      </c>
      <c r="C261" s="7" t="s">
        <v>606</v>
      </c>
      <c r="D261" s="7" t="s">
        <v>2241</v>
      </c>
      <c r="E261" s="7" t="s">
        <v>94</v>
      </c>
      <c r="F261" s="7" t="s">
        <v>86</v>
      </c>
      <c r="G261" s="7" t="s">
        <v>95</v>
      </c>
      <c r="H261" s="7" t="n">
        <v>1</v>
      </c>
      <c r="I261" s="11" t="n">
        <v>95</v>
      </c>
      <c r="J261" s="11" t="n">
        <v>0</v>
      </c>
      <c r="K261" s="11" t="n">
        <f aca="false">H261*I261-J261</f>
        <v>95</v>
      </c>
      <c r="L261" s="7" t="s">
        <v>112</v>
      </c>
      <c r="M261" s="7" t="s">
        <v>194</v>
      </c>
      <c r="N261" s="7" t="n">
        <v>37</v>
      </c>
      <c r="O261" s="7" t="n">
        <v>3</v>
      </c>
    </row>
    <row r="262" customFormat="false" ht="15" hidden="false" customHeight="false" outlineLevel="0" collapsed="false">
      <c r="A262" s="7" t="s">
        <v>3319</v>
      </c>
      <c r="B262" s="10" t="n">
        <v>45693</v>
      </c>
      <c r="C262" s="7" t="s">
        <v>1449</v>
      </c>
      <c r="D262" s="7" t="s">
        <v>2537</v>
      </c>
      <c r="E262" s="7" t="s">
        <v>113</v>
      </c>
      <c r="F262" s="7" t="s">
        <v>101</v>
      </c>
      <c r="G262" s="7" t="s">
        <v>90</v>
      </c>
      <c r="H262" s="7" t="n">
        <v>1</v>
      </c>
      <c r="I262" s="11" t="n">
        <v>220</v>
      </c>
      <c r="J262" s="11" t="n">
        <v>0</v>
      </c>
      <c r="K262" s="11" t="n">
        <f aca="false">H262*I262-J262</f>
        <v>220</v>
      </c>
      <c r="L262" s="7" t="s">
        <v>88</v>
      </c>
      <c r="M262" s="7" t="s">
        <v>194</v>
      </c>
      <c r="N262" s="7" t="n">
        <v>34</v>
      </c>
      <c r="O262" s="7" t="n">
        <v>5</v>
      </c>
    </row>
    <row r="263" customFormat="false" ht="15" hidden="false" customHeight="false" outlineLevel="0" collapsed="false">
      <c r="A263" s="7" t="s">
        <v>5933</v>
      </c>
      <c r="B263" s="10" t="n">
        <v>45693</v>
      </c>
      <c r="C263" s="7" t="s">
        <v>886</v>
      </c>
      <c r="D263" s="7" t="s">
        <v>1479</v>
      </c>
      <c r="E263" s="7" t="s">
        <v>165</v>
      </c>
      <c r="F263" s="7" t="s">
        <v>146</v>
      </c>
      <c r="G263" s="7" t="s">
        <v>90</v>
      </c>
      <c r="H263" s="7" t="n">
        <v>3</v>
      </c>
      <c r="I263" s="11" t="n">
        <v>250</v>
      </c>
      <c r="J263" s="11" t="n">
        <v>100</v>
      </c>
      <c r="K263" s="11" t="n">
        <f aca="false">H263*I263-J263</f>
        <v>650</v>
      </c>
      <c r="L263" s="7" t="s">
        <v>88</v>
      </c>
      <c r="M263" s="7" t="s">
        <v>194</v>
      </c>
      <c r="N263" s="7" t="n">
        <v>35</v>
      </c>
      <c r="O263" s="7" t="n">
        <v>3</v>
      </c>
    </row>
    <row r="264" customFormat="false" ht="15" hidden="false" customHeight="false" outlineLevel="0" collapsed="false">
      <c r="A264" s="7" t="s">
        <v>3060</v>
      </c>
      <c r="B264" s="10" t="n">
        <v>45693</v>
      </c>
      <c r="C264" s="7" t="s">
        <v>529</v>
      </c>
      <c r="D264" s="7" t="s">
        <v>277</v>
      </c>
      <c r="E264" s="7" t="s">
        <v>163</v>
      </c>
      <c r="F264" s="7" t="s">
        <v>141</v>
      </c>
      <c r="G264" s="7" t="s">
        <v>99</v>
      </c>
      <c r="H264" s="7" t="n">
        <v>1</v>
      </c>
      <c r="I264" s="11" t="n">
        <v>255</v>
      </c>
      <c r="J264" s="11" t="n">
        <v>100</v>
      </c>
      <c r="K264" s="11" t="n">
        <f aca="false">H264*I264-J264</f>
        <v>155</v>
      </c>
      <c r="L264" s="7" t="s">
        <v>112</v>
      </c>
      <c r="M264" s="7" t="s">
        <v>194</v>
      </c>
      <c r="N264" s="7" t="n">
        <v>27</v>
      </c>
      <c r="O264" s="7" t="n">
        <v>4</v>
      </c>
    </row>
    <row r="265" customFormat="false" ht="15" hidden="false" customHeight="false" outlineLevel="0" collapsed="false">
      <c r="A265" s="7" t="s">
        <v>1850</v>
      </c>
      <c r="B265" s="10" t="n">
        <v>45693</v>
      </c>
      <c r="C265" s="7" t="s">
        <v>1852</v>
      </c>
      <c r="D265" s="7" t="s">
        <v>982</v>
      </c>
      <c r="E265" s="7" t="s">
        <v>113</v>
      </c>
      <c r="F265" s="7" t="s">
        <v>101</v>
      </c>
      <c r="G265" s="7" t="s">
        <v>90</v>
      </c>
      <c r="H265" s="7" t="n">
        <v>2</v>
      </c>
      <c r="I265" s="11" t="n">
        <v>270</v>
      </c>
      <c r="J265" s="11" t="n">
        <v>75</v>
      </c>
      <c r="K265" s="11" t="n">
        <f aca="false">H265*I265-J265</f>
        <v>465</v>
      </c>
      <c r="L265" s="7" t="s">
        <v>88</v>
      </c>
      <c r="M265" s="7" t="s">
        <v>194</v>
      </c>
      <c r="N265" s="7" t="n">
        <v>46</v>
      </c>
      <c r="O265" s="7" t="n">
        <v>3</v>
      </c>
    </row>
    <row r="266" customFormat="false" ht="15" hidden="false" customHeight="false" outlineLevel="0" collapsed="false">
      <c r="A266" s="7" t="s">
        <v>2740</v>
      </c>
      <c r="B266" s="10" t="n">
        <v>45693</v>
      </c>
      <c r="C266" s="7" t="s">
        <v>478</v>
      </c>
      <c r="D266" s="7" t="s">
        <v>2630</v>
      </c>
      <c r="E266" s="7" t="s">
        <v>98</v>
      </c>
      <c r="F266" s="7" t="s">
        <v>86</v>
      </c>
      <c r="G266" s="7" t="s">
        <v>99</v>
      </c>
      <c r="H266" s="7" t="n">
        <v>3</v>
      </c>
      <c r="I266" s="11" t="n">
        <v>200</v>
      </c>
      <c r="J266" s="11" t="n">
        <v>0</v>
      </c>
      <c r="K266" s="11" t="n">
        <f aca="false">H266*I266-J266</f>
        <v>600</v>
      </c>
      <c r="L266" s="7" t="s">
        <v>88</v>
      </c>
      <c r="M266" s="7" t="s">
        <v>194</v>
      </c>
      <c r="N266" s="7" t="n">
        <v>48</v>
      </c>
      <c r="O266" s="7" t="n">
        <v>5</v>
      </c>
    </row>
    <row r="267" customFormat="false" ht="15" hidden="false" customHeight="false" outlineLevel="0" collapsed="false">
      <c r="A267" s="7" t="s">
        <v>5931</v>
      </c>
      <c r="B267" s="10" t="n">
        <v>45693</v>
      </c>
      <c r="C267" s="7" t="s">
        <v>3456</v>
      </c>
      <c r="D267" s="7" t="s">
        <v>3329</v>
      </c>
      <c r="E267" s="7" t="s">
        <v>159</v>
      </c>
      <c r="F267" s="7" t="s">
        <v>136</v>
      </c>
      <c r="G267" s="7" t="s">
        <v>90</v>
      </c>
      <c r="H267" s="7" t="n">
        <v>3</v>
      </c>
      <c r="I267" s="11" t="n">
        <v>230</v>
      </c>
      <c r="J267" s="11" t="n">
        <v>0</v>
      </c>
      <c r="K267" s="11" t="n">
        <f aca="false">H267*I267-J267</f>
        <v>690</v>
      </c>
      <c r="L267" s="7" t="s">
        <v>112</v>
      </c>
      <c r="M267" s="7" t="s">
        <v>194</v>
      </c>
      <c r="N267" s="7" t="n">
        <v>33</v>
      </c>
      <c r="O267" s="7" t="n">
        <v>4</v>
      </c>
    </row>
    <row r="268" customFormat="false" ht="15" hidden="false" customHeight="false" outlineLevel="0" collapsed="false">
      <c r="A268" s="7" t="s">
        <v>1918</v>
      </c>
      <c r="B268" s="10" t="n">
        <v>45693</v>
      </c>
      <c r="C268" s="7" t="s">
        <v>1920</v>
      </c>
      <c r="D268" s="7" t="s">
        <v>1921</v>
      </c>
      <c r="E268" s="7" t="s">
        <v>122</v>
      </c>
      <c r="F268" s="7" t="s">
        <v>101</v>
      </c>
      <c r="G268" s="7" t="s">
        <v>123</v>
      </c>
      <c r="H268" s="7" t="n">
        <v>4</v>
      </c>
      <c r="I268" s="11" t="n">
        <v>360</v>
      </c>
      <c r="J268" s="11" t="n">
        <v>0</v>
      </c>
      <c r="K268" s="11" t="n">
        <f aca="false">H268*I268-J268</f>
        <v>1440</v>
      </c>
      <c r="L268" s="7" t="s">
        <v>133</v>
      </c>
      <c r="M268" s="7" t="s">
        <v>194</v>
      </c>
      <c r="N268" s="7" t="n">
        <v>51</v>
      </c>
      <c r="O268" s="7" t="n">
        <v>4</v>
      </c>
    </row>
    <row r="269" customFormat="false" ht="15" hidden="false" customHeight="false" outlineLevel="0" collapsed="false">
      <c r="A269" s="7" t="s">
        <v>5009</v>
      </c>
      <c r="B269" s="10" t="n">
        <v>45694</v>
      </c>
      <c r="C269" s="7" t="s">
        <v>3437</v>
      </c>
      <c r="D269" s="7" t="s">
        <v>4173</v>
      </c>
      <c r="E269" s="7" t="s">
        <v>122</v>
      </c>
      <c r="F269" s="7" t="s">
        <v>101</v>
      </c>
      <c r="G269" s="7" t="s">
        <v>123</v>
      </c>
      <c r="H269" s="7" t="n">
        <v>3</v>
      </c>
      <c r="I269" s="11" t="n">
        <v>415</v>
      </c>
      <c r="J269" s="11" t="n">
        <v>40</v>
      </c>
      <c r="K269" s="11" t="n">
        <f aca="false">H269*I269-J269</f>
        <v>1205</v>
      </c>
      <c r="L269" s="7" t="s">
        <v>133</v>
      </c>
      <c r="M269" s="7" t="s">
        <v>194</v>
      </c>
      <c r="N269" s="7" t="n">
        <v>47</v>
      </c>
      <c r="O269" s="7" t="n">
        <v>4</v>
      </c>
    </row>
    <row r="270" customFormat="false" ht="15" hidden="false" customHeight="false" outlineLevel="0" collapsed="false">
      <c r="A270" s="7" t="s">
        <v>4972</v>
      </c>
      <c r="B270" s="10" t="n">
        <v>45694</v>
      </c>
      <c r="C270" s="7" t="s">
        <v>3600</v>
      </c>
      <c r="D270" s="7" t="s">
        <v>4974</v>
      </c>
      <c r="E270" s="7" t="s">
        <v>98</v>
      </c>
      <c r="F270" s="7" t="s">
        <v>86</v>
      </c>
      <c r="G270" s="7" t="s">
        <v>99</v>
      </c>
      <c r="H270" s="7" t="n">
        <v>2</v>
      </c>
      <c r="I270" s="11" t="n">
        <v>270</v>
      </c>
      <c r="J270" s="11" t="n">
        <v>0</v>
      </c>
      <c r="K270" s="11" t="n">
        <f aca="false">H270*I270-J270</f>
        <v>540</v>
      </c>
      <c r="L270" s="7" t="s">
        <v>121</v>
      </c>
      <c r="M270" s="7" t="s">
        <v>194</v>
      </c>
      <c r="N270" s="7" t="n">
        <v>27</v>
      </c>
      <c r="O270" s="7" t="n">
        <v>5</v>
      </c>
    </row>
    <row r="271" customFormat="false" ht="15" hidden="false" customHeight="false" outlineLevel="0" collapsed="false">
      <c r="A271" s="7" t="s">
        <v>5377</v>
      </c>
      <c r="B271" s="10" t="n">
        <v>45694</v>
      </c>
      <c r="C271" s="7" t="s">
        <v>622</v>
      </c>
      <c r="D271" s="7" t="s">
        <v>4169</v>
      </c>
      <c r="E271" s="7" t="s">
        <v>89</v>
      </c>
      <c r="F271" s="7" t="s">
        <v>86</v>
      </c>
      <c r="G271" s="7" t="s">
        <v>90</v>
      </c>
      <c r="H271" s="7" t="n">
        <v>3</v>
      </c>
      <c r="I271" s="11" t="n">
        <v>205</v>
      </c>
      <c r="J271" s="11" t="n">
        <v>0</v>
      </c>
      <c r="K271" s="11" t="n">
        <f aca="false">H271*I271-J271</f>
        <v>615</v>
      </c>
      <c r="L271" s="7" t="s">
        <v>133</v>
      </c>
      <c r="M271" s="7" t="s">
        <v>194</v>
      </c>
      <c r="N271" s="7" t="n">
        <v>44</v>
      </c>
      <c r="O271" s="7" t="n">
        <v>4</v>
      </c>
    </row>
    <row r="272" customFormat="false" ht="15" hidden="false" customHeight="false" outlineLevel="0" collapsed="false">
      <c r="A272" s="7" t="s">
        <v>4176</v>
      </c>
      <c r="B272" s="10" t="n">
        <v>45695</v>
      </c>
      <c r="C272" s="7" t="s">
        <v>2906</v>
      </c>
      <c r="D272" s="7" t="s">
        <v>1827</v>
      </c>
      <c r="E272" s="7" t="s">
        <v>166</v>
      </c>
      <c r="F272" s="7" t="s">
        <v>146</v>
      </c>
      <c r="G272" s="7" t="s">
        <v>117</v>
      </c>
      <c r="H272" s="7" t="n">
        <v>1</v>
      </c>
      <c r="I272" s="11" t="n">
        <v>95</v>
      </c>
      <c r="J272" s="11" t="n">
        <v>38</v>
      </c>
      <c r="K272" s="11" t="n">
        <f aca="false">H272*I272-J272</f>
        <v>57</v>
      </c>
      <c r="L272" s="7" t="s">
        <v>88</v>
      </c>
      <c r="M272" s="7" t="s">
        <v>194</v>
      </c>
      <c r="N272" s="7" t="n">
        <v>28</v>
      </c>
      <c r="O272" s="7" t="n">
        <v>2</v>
      </c>
    </row>
    <row r="273" customFormat="false" ht="15" hidden="false" customHeight="false" outlineLevel="0" collapsed="false">
      <c r="A273" s="7" t="s">
        <v>409</v>
      </c>
      <c r="B273" s="10" t="n">
        <v>45695</v>
      </c>
      <c r="C273" s="7" t="s">
        <v>411</v>
      </c>
      <c r="D273" s="7" t="s">
        <v>412</v>
      </c>
      <c r="E273" s="7" t="s">
        <v>113</v>
      </c>
      <c r="F273" s="7" t="s">
        <v>101</v>
      </c>
      <c r="G273" s="7" t="s">
        <v>90</v>
      </c>
      <c r="H273" s="7" t="n">
        <v>1</v>
      </c>
      <c r="I273" s="11" t="n">
        <v>220</v>
      </c>
      <c r="J273" s="11" t="n">
        <v>30</v>
      </c>
      <c r="K273" s="11" t="n">
        <f aca="false">H273*I273-J273</f>
        <v>190</v>
      </c>
      <c r="L273" s="7" t="s">
        <v>88</v>
      </c>
      <c r="M273" s="7" t="s">
        <v>194</v>
      </c>
      <c r="N273" s="7" t="n">
        <v>36</v>
      </c>
      <c r="O273" s="7" t="n">
        <v>4</v>
      </c>
    </row>
    <row r="274" customFormat="false" ht="15" hidden="false" customHeight="false" outlineLevel="0" collapsed="false">
      <c r="A274" s="7" t="s">
        <v>6058</v>
      </c>
      <c r="B274" s="10" t="n">
        <v>45695</v>
      </c>
      <c r="C274" s="7" t="s">
        <v>2076</v>
      </c>
      <c r="D274" s="7" t="s">
        <v>3492</v>
      </c>
      <c r="E274" s="7" t="s">
        <v>94</v>
      </c>
      <c r="F274" s="7" t="s">
        <v>86</v>
      </c>
      <c r="G274" s="7" t="s">
        <v>95</v>
      </c>
      <c r="H274" s="7" t="n">
        <v>1</v>
      </c>
      <c r="I274" s="11" t="n">
        <v>115</v>
      </c>
      <c r="J274" s="11" t="n">
        <v>46</v>
      </c>
      <c r="K274" s="11" t="n">
        <f aca="false">H274*I274-J274</f>
        <v>69</v>
      </c>
      <c r="L274" s="7" t="s">
        <v>88</v>
      </c>
      <c r="M274" s="7" t="s">
        <v>194</v>
      </c>
      <c r="N274" s="7" t="n">
        <v>41</v>
      </c>
      <c r="O274" s="7" t="n">
        <v>3</v>
      </c>
    </row>
    <row r="275" customFormat="false" ht="15" hidden="false" customHeight="false" outlineLevel="0" collapsed="false">
      <c r="A275" s="7" t="s">
        <v>5302</v>
      </c>
      <c r="B275" s="10" t="n">
        <v>45695</v>
      </c>
      <c r="C275" s="7" t="s">
        <v>1688</v>
      </c>
      <c r="D275" s="7" t="s">
        <v>5303</v>
      </c>
      <c r="E275" s="7" t="s">
        <v>159</v>
      </c>
      <c r="F275" s="7" t="s">
        <v>136</v>
      </c>
      <c r="G275" s="7" t="s">
        <v>90</v>
      </c>
      <c r="H275" s="7" t="n">
        <v>3</v>
      </c>
      <c r="I275" s="11" t="n">
        <v>235</v>
      </c>
      <c r="J275" s="11" t="n">
        <v>0</v>
      </c>
      <c r="K275" s="11" t="n">
        <f aca="false">H275*I275-J275</f>
        <v>705</v>
      </c>
      <c r="L275" s="7" t="s">
        <v>88</v>
      </c>
      <c r="M275" s="7" t="s">
        <v>194</v>
      </c>
      <c r="N275" s="7" t="n">
        <v>29</v>
      </c>
      <c r="O275" s="7"/>
    </row>
    <row r="276" customFormat="false" ht="15" hidden="false" customHeight="false" outlineLevel="0" collapsed="false">
      <c r="A276" s="7" t="s">
        <v>1306</v>
      </c>
      <c r="B276" s="10" t="n">
        <v>45695</v>
      </c>
      <c r="C276" s="7" t="s">
        <v>559</v>
      </c>
      <c r="D276" s="7" t="s">
        <v>1307</v>
      </c>
      <c r="E276" s="7" t="s">
        <v>130</v>
      </c>
      <c r="F276" s="7" t="s">
        <v>110</v>
      </c>
      <c r="G276" s="7" t="s">
        <v>90</v>
      </c>
      <c r="H276" s="7" t="n">
        <v>1</v>
      </c>
      <c r="I276" s="11" t="n">
        <v>335</v>
      </c>
      <c r="J276" s="11" t="n">
        <v>20</v>
      </c>
      <c r="K276" s="11" t="n">
        <f aca="false">H276*I276-J276</f>
        <v>315</v>
      </c>
      <c r="L276" s="7" t="s">
        <v>112</v>
      </c>
      <c r="M276" s="7" t="s">
        <v>194</v>
      </c>
      <c r="N276" s="7" t="n">
        <v>51</v>
      </c>
      <c r="O276" s="7" t="n">
        <v>4</v>
      </c>
    </row>
    <row r="277" customFormat="false" ht="15" hidden="false" customHeight="false" outlineLevel="0" collapsed="false">
      <c r="A277" s="7" t="s">
        <v>3260</v>
      </c>
      <c r="B277" s="10" t="n">
        <v>45695</v>
      </c>
      <c r="C277" s="7" t="s">
        <v>232</v>
      </c>
      <c r="D277" s="7" t="s">
        <v>3261</v>
      </c>
      <c r="E277" s="7" t="s">
        <v>89</v>
      </c>
      <c r="F277" s="7" t="s">
        <v>86</v>
      </c>
      <c r="G277" s="7" t="s">
        <v>90</v>
      </c>
      <c r="H277" s="7" t="n">
        <v>4</v>
      </c>
      <c r="I277" s="11" t="n">
        <v>225</v>
      </c>
      <c r="J277" s="11" t="n">
        <v>0</v>
      </c>
      <c r="K277" s="11" t="n">
        <f aca="false">H277*I277-J277</f>
        <v>900</v>
      </c>
      <c r="L277" s="7" t="s">
        <v>121</v>
      </c>
      <c r="M277" s="7" t="s">
        <v>194</v>
      </c>
      <c r="N277" s="7" t="n">
        <v>39</v>
      </c>
      <c r="O277" s="7" t="n">
        <v>3</v>
      </c>
    </row>
    <row r="278" customFormat="false" ht="15" hidden="false" customHeight="false" outlineLevel="0" collapsed="false">
      <c r="A278" s="7" t="s">
        <v>3899</v>
      </c>
      <c r="B278" s="10" t="n">
        <v>45695</v>
      </c>
      <c r="C278" s="7" t="s">
        <v>3705</v>
      </c>
      <c r="D278" s="7" t="s">
        <v>1981</v>
      </c>
      <c r="E278" s="7" t="s">
        <v>122</v>
      </c>
      <c r="F278" s="7" t="s">
        <v>101</v>
      </c>
      <c r="G278" s="7" t="s">
        <v>123</v>
      </c>
      <c r="H278" s="7" t="n">
        <v>2</v>
      </c>
      <c r="I278" s="11" t="n">
        <v>330</v>
      </c>
      <c r="J278" s="11" t="n">
        <v>0</v>
      </c>
      <c r="K278" s="11" t="n">
        <f aca="false">H278*I278-J278</f>
        <v>660</v>
      </c>
      <c r="L278" s="7" t="s">
        <v>121</v>
      </c>
      <c r="M278" s="7" t="s">
        <v>194</v>
      </c>
      <c r="N278" s="7" t="n">
        <v>54</v>
      </c>
      <c r="O278" s="7" t="n">
        <v>4</v>
      </c>
    </row>
    <row r="279" customFormat="false" ht="15" hidden="false" customHeight="false" outlineLevel="0" collapsed="false">
      <c r="A279" s="7" t="s">
        <v>703</v>
      </c>
      <c r="B279" s="10" t="n">
        <v>45696</v>
      </c>
      <c r="C279" s="7" t="s">
        <v>705</v>
      </c>
      <c r="D279" s="7" t="s">
        <v>706</v>
      </c>
      <c r="E279" s="7" t="s">
        <v>142</v>
      </c>
      <c r="F279" s="7" t="s">
        <v>110</v>
      </c>
      <c r="G279" s="7" t="s">
        <v>105</v>
      </c>
      <c r="H279" s="7" t="n">
        <v>2</v>
      </c>
      <c r="I279" s="11" t="n">
        <v>195</v>
      </c>
      <c r="J279" s="11" t="n">
        <v>20</v>
      </c>
      <c r="K279" s="11" t="n">
        <f aca="false">H279*I279-J279</f>
        <v>370</v>
      </c>
      <c r="L279" s="7" t="s">
        <v>121</v>
      </c>
      <c r="M279" s="7" t="s">
        <v>194</v>
      </c>
      <c r="N279" s="7" t="n">
        <v>36</v>
      </c>
      <c r="O279" s="7" t="n">
        <v>4</v>
      </c>
    </row>
    <row r="280" customFormat="false" ht="15" hidden="false" customHeight="false" outlineLevel="0" collapsed="false">
      <c r="A280" s="7" t="s">
        <v>4717</v>
      </c>
      <c r="B280" s="10" t="n">
        <v>45696</v>
      </c>
      <c r="C280" s="7" t="s">
        <v>470</v>
      </c>
      <c r="D280" s="7" t="s">
        <v>1668</v>
      </c>
      <c r="E280" s="7" t="s">
        <v>89</v>
      </c>
      <c r="F280" s="7" t="s">
        <v>86</v>
      </c>
      <c r="G280" s="7" t="s">
        <v>90</v>
      </c>
      <c r="H280" s="7" t="n">
        <v>2</v>
      </c>
      <c r="I280" s="11" t="n">
        <v>265</v>
      </c>
      <c r="J280" s="11" t="n">
        <v>125</v>
      </c>
      <c r="K280" s="11" t="n">
        <f aca="false">H280*I280-J280</f>
        <v>405</v>
      </c>
      <c r="L280" s="7" t="s">
        <v>88</v>
      </c>
      <c r="M280" s="7" t="s">
        <v>194</v>
      </c>
      <c r="N280" s="7" t="n">
        <v>40</v>
      </c>
      <c r="O280" s="7" t="n">
        <v>4</v>
      </c>
    </row>
    <row r="281" customFormat="false" ht="15" hidden="false" customHeight="false" outlineLevel="0" collapsed="false">
      <c r="A281" s="7" t="s">
        <v>3425</v>
      </c>
      <c r="B281" s="10" t="n">
        <v>45696</v>
      </c>
      <c r="C281" s="7" t="s">
        <v>2672</v>
      </c>
      <c r="D281" s="7" t="s">
        <v>3426</v>
      </c>
      <c r="E281" s="7" t="s">
        <v>149</v>
      </c>
      <c r="F281" s="7" t="s">
        <v>119</v>
      </c>
      <c r="G281" s="7" t="s">
        <v>150</v>
      </c>
      <c r="H281" s="7" t="n">
        <v>4</v>
      </c>
      <c r="I281" s="11" t="n">
        <v>170</v>
      </c>
      <c r="J281" s="11" t="n">
        <v>0</v>
      </c>
      <c r="K281" s="11" t="n">
        <f aca="false">H281*I281-J281</f>
        <v>680</v>
      </c>
      <c r="L281" s="7" t="s">
        <v>93</v>
      </c>
      <c r="M281" s="7" t="s">
        <v>194</v>
      </c>
      <c r="N281" s="7" t="n">
        <v>30</v>
      </c>
      <c r="O281" s="7"/>
    </row>
    <row r="282" customFormat="false" ht="15" hidden="false" customHeight="false" outlineLevel="0" collapsed="false">
      <c r="A282" s="7" t="s">
        <v>4334</v>
      </c>
      <c r="B282" s="10" t="n">
        <v>45696</v>
      </c>
      <c r="C282" s="7" t="s">
        <v>2268</v>
      </c>
      <c r="D282" s="7" t="s">
        <v>4335</v>
      </c>
      <c r="E282" s="7" t="s">
        <v>158</v>
      </c>
      <c r="F282" s="7" t="s">
        <v>136</v>
      </c>
      <c r="G282" s="7" t="s">
        <v>139</v>
      </c>
      <c r="H282" s="7" t="n">
        <v>2</v>
      </c>
      <c r="I282" s="11" t="n">
        <v>215</v>
      </c>
      <c r="J282" s="11" t="n">
        <v>0</v>
      </c>
      <c r="K282" s="11" t="n">
        <f aca="false">H282*I282-J282</f>
        <v>430</v>
      </c>
      <c r="L282" s="7" t="s">
        <v>103</v>
      </c>
      <c r="M282" s="7" t="s">
        <v>194</v>
      </c>
      <c r="N282" s="7" t="n">
        <v>27</v>
      </c>
      <c r="O282" s="7" t="n">
        <v>5</v>
      </c>
    </row>
    <row r="283" customFormat="false" ht="15" hidden="false" customHeight="false" outlineLevel="0" collapsed="false">
      <c r="A283" s="7" t="s">
        <v>3377</v>
      </c>
      <c r="B283" s="10" t="n">
        <v>45696</v>
      </c>
      <c r="C283" s="7" t="s">
        <v>3378</v>
      </c>
      <c r="D283" s="7" t="s">
        <v>3379</v>
      </c>
      <c r="E283" s="7" t="s">
        <v>89</v>
      </c>
      <c r="F283" s="7" t="s">
        <v>86</v>
      </c>
      <c r="G283" s="7" t="s">
        <v>90</v>
      </c>
      <c r="H283" s="7" t="n">
        <v>2</v>
      </c>
      <c r="I283" s="11" t="n">
        <v>220</v>
      </c>
      <c r="J283" s="11" t="n">
        <v>0</v>
      </c>
      <c r="K283" s="11" t="n">
        <f aca="false">H283*I283-J283</f>
        <v>440</v>
      </c>
      <c r="L283" s="7" t="s">
        <v>112</v>
      </c>
      <c r="M283" s="7" t="s">
        <v>194</v>
      </c>
      <c r="N283" s="7" t="n">
        <v>47</v>
      </c>
      <c r="O283" s="7" t="n">
        <v>4</v>
      </c>
    </row>
    <row r="284" customFormat="false" ht="15" hidden="false" customHeight="false" outlineLevel="0" collapsed="false">
      <c r="A284" s="7" t="s">
        <v>2541</v>
      </c>
      <c r="B284" s="10" t="n">
        <v>45696</v>
      </c>
      <c r="C284" s="7" t="s">
        <v>2542</v>
      </c>
      <c r="D284" s="7" t="s">
        <v>1212</v>
      </c>
      <c r="E284" s="7" t="s">
        <v>163</v>
      </c>
      <c r="F284" s="7" t="s">
        <v>141</v>
      </c>
      <c r="G284" s="7" t="s">
        <v>99</v>
      </c>
      <c r="H284" s="7" t="n">
        <v>1</v>
      </c>
      <c r="I284" s="11" t="n">
        <v>250</v>
      </c>
      <c r="J284" s="11" t="n">
        <v>0</v>
      </c>
      <c r="K284" s="11" t="n">
        <f aca="false">H284*I284-J284</f>
        <v>250</v>
      </c>
      <c r="L284" s="7" t="s">
        <v>112</v>
      </c>
      <c r="M284" s="7" t="s">
        <v>194</v>
      </c>
      <c r="N284" s="7" t="n">
        <v>25</v>
      </c>
      <c r="O284" s="7"/>
    </row>
    <row r="285" customFormat="false" ht="15" hidden="false" customHeight="false" outlineLevel="0" collapsed="false">
      <c r="A285" s="7" t="s">
        <v>5952</v>
      </c>
      <c r="B285" s="10" t="n">
        <v>45696</v>
      </c>
      <c r="C285" s="7" t="s">
        <v>2699</v>
      </c>
      <c r="D285" s="7" t="s">
        <v>5954</v>
      </c>
      <c r="E285" s="7" t="s">
        <v>152</v>
      </c>
      <c r="F285" s="7" t="s">
        <v>128</v>
      </c>
      <c r="G285" s="7" t="s">
        <v>95</v>
      </c>
      <c r="H285" s="7" t="n">
        <v>4</v>
      </c>
      <c r="I285" s="11" t="n">
        <v>105</v>
      </c>
      <c r="J285" s="11" t="n">
        <v>50</v>
      </c>
      <c r="K285" s="11" t="n">
        <f aca="false">H285*I285-J285</f>
        <v>370</v>
      </c>
      <c r="L285" s="7" t="s">
        <v>93</v>
      </c>
      <c r="M285" s="7" t="s">
        <v>194</v>
      </c>
      <c r="N285" s="7" t="n">
        <v>22</v>
      </c>
      <c r="O285" s="7" t="n">
        <v>4</v>
      </c>
    </row>
    <row r="286" customFormat="false" ht="15" hidden="false" customHeight="false" outlineLevel="0" collapsed="false">
      <c r="A286" s="7" t="s">
        <v>3839</v>
      </c>
      <c r="B286" s="10" t="n">
        <v>45696</v>
      </c>
      <c r="C286" s="7" t="s">
        <v>1474</v>
      </c>
      <c r="D286" s="7" t="s">
        <v>3840</v>
      </c>
      <c r="E286" s="7" t="s">
        <v>142</v>
      </c>
      <c r="F286" s="7" t="s">
        <v>110</v>
      </c>
      <c r="G286" s="7" t="s">
        <v>105</v>
      </c>
      <c r="H286" s="7" t="n">
        <v>1</v>
      </c>
      <c r="I286" s="11" t="n">
        <v>145</v>
      </c>
      <c r="J286" s="11" t="n">
        <v>0</v>
      </c>
      <c r="K286" s="11" t="n">
        <f aca="false">H286*I286-J286</f>
        <v>145</v>
      </c>
      <c r="L286" s="7" t="s">
        <v>88</v>
      </c>
      <c r="M286" s="7" t="s">
        <v>194</v>
      </c>
      <c r="N286" s="7" t="n">
        <v>37</v>
      </c>
      <c r="O286" s="7" t="n">
        <v>3</v>
      </c>
    </row>
    <row r="287" customFormat="false" ht="15" hidden="false" customHeight="false" outlineLevel="0" collapsed="false">
      <c r="A287" s="7" t="s">
        <v>6136</v>
      </c>
      <c r="B287" s="10" t="n">
        <v>45696</v>
      </c>
      <c r="C287" s="7" t="s">
        <v>1153</v>
      </c>
      <c r="D287" s="7" t="s">
        <v>4100</v>
      </c>
      <c r="E287" s="7" t="s">
        <v>104</v>
      </c>
      <c r="F287" s="7" t="s">
        <v>86</v>
      </c>
      <c r="G287" s="7" t="s">
        <v>105</v>
      </c>
      <c r="H287" s="7" t="n">
        <v>1</v>
      </c>
      <c r="I287" s="11" t="n">
        <v>175</v>
      </c>
      <c r="J287" s="11" t="n">
        <v>0</v>
      </c>
      <c r="K287" s="11" t="n">
        <f aca="false">H287*I287-J287</f>
        <v>175</v>
      </c>
      <c r="L287" s="7" t="s">
        <v>133</v>
      </c>
      <c r="M287" s="7" t="s">
        <v>194</v>
      </c>
      <c r="N287" s="7" t="n">
        <v>37</v>
      </c>
      <c r="O287" s="7" t="n">
        <v>3</v>
      </c>
    </row>
    <row r="288" customFormat="false" ht="15" hidden="false" customHeight="false" outlineLevel="0" collapsed="false">
      <c r="A288" s="7" t="s">
        <v>1964</v>
      </c>
      <c r="B288" s="10" t="n">
        <v>45696</v>
      </c>
      <c r="C288" s="7" t="s">
        <v>1058</v>
      </c>
      <c r="D288" s="7" t="s">
        <v>416</v>
      </c>
      <c r="E288" s="7" t="s">
        <v>126</v>
      </c>
      <c r="F288" s="7" t="s">
        <v>101</v>
      </c>
      <c r="G288" s="7" t="s">
        <v>105</v>
      </c>
      <c r="H288" s="7" t="n">
        <v>2</v>
      </c>
      <c r="I288" s="11" t="n">
        <v>195</v>
      </c>
      <c r="J288" s="11" t="n">
        <v>30</v>
      </c>
      <c r="K288" s="11" t="n">
        <f aca="false">H288*I288-J288</f>
        <v>360</v>
      </c>
      <c r="L288" s="7" t="s">
        <v>88</v>
      </c>
      <c r="M288" s="7" t="s">
        <v>194</v>
      </c>
      <c r="N288" s="7" t="n">
        <v>49</v>
      </c>
      <c r="O288" s="7"/>
    </row>
    <row r="289" customFormat="false" ht="15" hidden="false" customHeight="false" outlineLevel="0" collapsed="false">
      <c r="A289" s="7" t="s">
        <v>5700</v>
      </c>
      <c r="B289" s="10" t="n">
        <v>45696</v>
      </c>
      <c r="C289" s="7" t="s">
        <v>1926</v>
      </c>
      <c r="D289" s="7" t="s">
        <v>5583</v>
      </c>
      <c r="E289" s="7" t="s">
        <v>122</v>
      </c>
      <c r="F289" s="7" t="s">
        <v>101</v>
      </c>
      <c r="G289" s="7" t="s">
        <v>123</v>
      </c>
      <c r="H289" s="7" t="n">
        <v>2</v>
      </c>
      <c r="I289" s="11" t="n">
        <v>420</v>
      </c>
      <c r="J289" s="11" t="n">
        <v>125</v>
      </c>
      <c r="K289" s="11" t="n">
        <f aca="false">H289*I289-J289</f>
        <v>715</v>
      </c>
      <c r="L289" s="7" t="s">
        <v>93</v>
      </c>
      <c r="M289" s="7" t="s">
        <v>194</v>
      </c>
      <c r="N289" s="7" t="n">
        <v>46</v>
      </c>
      <c r="O289" s="7" t="n">
        <v>5</v>
      </c>
    </row>
    <row r="290" customFormat="false" ht="15" hidden="false" customHeight="false" outlineLevel="0" collapsed="false">
      <c r="A290" s="7" t="s">
        <v>4642</v>
      </c>
      <c r="B290" s="10" t="n">
        <v>45696</v>
      </c>
      <c r="C290" s="7" t="s">
        <v>1184</v>
      </c>
      <c r="D290" s="7" t="s">
        <v>2148</v>
      </c>
      <c r="E290" s="7" t="s">
        <v>104</v>
      </c>
      <c r="F290" s="7" t="s">
        <v>86</v>
      </c>
      <c r="G290" s="7" t="s">
        <v>105</v>
      </c>
      <c r="H290" s="7" t="n">
        <v>1</v>
      </c>
      <c r="I290" s="11" t="n">
        <v>175</v>
      </c>
      <c r="J290" s="11" t="n">
        <v>0</v>
      </c>
      <c r="K290" s="11" t="n">
        <f aca="false">H290*I290-J290</f>
        <v>175</v>
      </c>
      <c r="L290" s="7" t="s">
        <v>88</v>
      </c>
      <c r="M290" s="7" t="s">
        <v>194</v>
      </c>
      <c r="N290" s="7" t="n">
        <v>40</v>
      </c>
      <c r="O290" s="7"/>
    </row>
    <row r="291" customFormat="false" ht="15" hidden="false" customHeight="false" outlineLevel="0" collapsed="false">
      <c r="A291" s="7" t="s">
        <v>4153</v>
      </c>
      <c r="B291" s="10" t="n">
        <v>45697</v>
      </c>
      <c r="C291" s="7" t="s">
        <v>689</v>
      </c>
      <c r="D291" s="7" t="s">
        <v>4154</v>
      </c>
      <c r="E291" s="7" t="s">
        <v>138</v>
      </c>
      <c r="F291" s="7" t="s">
        <v>110</v>
      </c>
      <c r="G291" s="7" t="s">
        <v>139</v>
      </c>
      <c r="H291" s="7" t="n">
        <v>3</v>
      </c>
      <c r="I291" s="11" t="n">
        <v>190</v>
      </c>
      <c r="J291" s="11" t="n">
        <v>150</v>
      </c>
      <c r="K291" s="11" t="n">
        <f aca="false">H291*I291-J291</f>
        <v>420</v>
      </c>
      <c r="L291" s="7" t="s">
        <v>133</v>
      </c>
      <c r="M291" s="7" t="s">
        <v>194</v>
      </c>
      <c r="N291" s="7" t="n">
        <v>45</v>
      </c>
      <c r="O291" s="7" t="n">
        <v>4</v>
      </c>
    </row>
    <row r="292" customFormat="false" ht="15" hidden="false" customHeight="false" outlineLevel="0" collapsed="false">
      <c r="A292" s="7" t="s">
        <v>1900</v>
      </c>
      <c r="B292" s="10" t="n">
        <v>45697</v>
      </c>
      <c r="C292" s="7" t="s">
        <v>1901</v>
      </c>
      <c r="D292" s="7" t="s">
        <v>1902</v>
      </c>
      <c r="E292" s="7" t="s">
        <v>144</v>
      </c>
      <c r="F292" s="7" t="s">
        <v>119</v>
      </c>
      <c r="G292" s="7" t="s">
        <v>99</v>
      </c>
      <c r="H292" s="7" t="n">
        <v>2</v>
      </c>
      <c r="I292" s="11" t="n">
        <v>330</v>
      </c>
      <c r="J292" s="11" t="n">
        <v>0</v>
      </c>
      <c r="K292" s="11" t="n">
        <f aca="false">H292*I292-J292</f>
        <v>660</v>
      </c>
      <c r="L292" s="7" t="s">
        <v>88</v>
      </c>
      <c r="M292" s="7" t="s">
        <v>194</v>
      </c>
      <c r="N292" s="7" t="n">
        <v>35</v>
      </c>
      <c r="O292" s="7" t="n">
        <v>5</v>
      </c>
    </row>
    <row r="293" customFormat="false" ht="15" hidden="false" customHeight="false" outlineLevel="0" collapsed="false">
      <c r="A293" s="7" t="s">
        <v>333</v>
      </c>
      <c r="B293" s="10" t="n">
        <v>45697</v>
      </c>
      <c r="C293" s="7" t="s">
        <v>335</v>
      </c>
      <c r="D293" s="7" t="s">
        <v>336</v>
      </c>
      <c r="E293" s="7" t="s">
        <v>152</v>
      </c>
      <c r="F293" s="7" t="s">
        <v>128</v>
      </c>
      <c r="G293" s="7" t="s">
        <v>95</v>
      </c>
      <c r="H293" s="7" t="n">
        <v>2</v>
      </c>
      <c r="I293" s="11" t="n">
        <v>85</v>
      </c>
      <c r="J293" s="11" t="n">
        <v>68</v>
      </c>
      <c r="K293" s="11" t="n">
        <f aca="false">H293*I293-J293</f>
        <v>102</v>
      </c>
      <c r="L293" s="7" t="s">
        <v>88</v>
      </c>
      <c r="M293" s="7" t="s">
        <v>194</v>
      </c>
      <c r="N293" s="7" t="n">
        <v>44</v>
      </c>
      <c r="O293" s="7" t="n">
        <v>3</v>
      </c>
    </row>
    <row r="294" customFormat="false" ht="15" hidden="false" customHeight="false" outlineLevel="0" collapsed="false">
      <c r="A294" s="7" t="s">
        <v>4614</v>
      </c>
      <c r="B294" s="10" t="n">
        <v>45698</v>
      </c>
      <c r="C294" s="7" t="s">
        <v>2552</v>
      </c>
      <c r="D294" s="7" t="s">
        <v>2310</v>
      </c>
      <c r="E294" s="7" t="s">
        <v>138</v>
      </c>
      <c r="F294" s="7" t="s">
        <v>110</v>
      </c>
      <c r="G294" s="7" t="s">
        <v>139</v>
      </c>
      <c r="H294" s="7" t="n">
        <v>1</v>
      </c>
      <c r="I294" s="11" t="n">
        <v>165</v>
      </c>
      <c r="J294" s="11" t="n">
        <v>20</v>
      </c>
      <c r="K294" s="11" t="n">
        <f aca="false">H294*I294-J294</f>
        <v>145</v>
      </c>
      <c r="L294" s="7" t="s">
        <v>112</v>
      </c>
      <c r="M294" s="7" t="s">
        <v>194</v>
      </c>
      <c r="N294" s="7" t="n">
        <v>48</v>
      </c>
      <c r="O294" s="7" t="n">
        <v>5</v>
      </c>
    </row>
    <row r="295" customFormat="false" ht="15" hidden="false" customHeight="false" outlineLevel="0" collapsed="false">
      <c r="A295" s="7" t="s">
        <v>2374</v>
      </c>
      <c r="B295" s="10" t="n">
        <v>45698</v>
      </c>
      <c r="C295" s="7" t="s">
        <v>1384</v>
      </c>
      <c r="D295" s="7" t="s">
        <v>2220</v>
      </c>
      <c r="E295" s="7" t="s">
        <v>168</v>
      </c>
      <c r="F295" s="7" t="s">
        <v>146</v>
      </c>
      <c r="G295" s="7" t="s">
        <v>123</v>
      </c>
      <c r="H295" s="7" t="n">
        <v>2</v>
      </c>
      <c r="I295" s="11" t="n">
        <v>305</v>
      </c>
      <c r="J295" s="11" t="n">
        <v>0</v>
      </c>
      <c r="K295" s="11" t="n">
        <f aca="false">H295*I295-J295</f>
        <v>610</v>
      </c>
      <c r="L295" s="7" t="s">
        <v>103</v>
      </c>
      <c r="M295" s="7" t="s">
        <v>194</v>
      </c>
      <c r="N295" s="7" t="n">
        <v>21</v>
      </c>
      <c r="O295" s="7" t="n">
        <v>3</v>
      </c>
    </row>
    <row r="296" customFormat="false" ht="15" hidden="false" customHeight="false" outlineLevel="0" collapsed="false">
      <c r="A296" s="7" t="s">
        <v>3213</v>
      </c>
      <c r="B296" s="10" t="n">
        <v>45698</v>
      </c>
      <c r="C296" s="7" t="s">
        <v>2393</v>
      </c>
      <c r="D296" s="7" t="s">
        <v>3214</v>
      </c>
      <c r="E296" s="7" t="s">
        <v>138</v>
      </c>
      <c r="F296" s="7" t="s">
        <v>110</v>
      </c>
      <c r="G296" s="7" t="s">
        <v>139</v>
      </c>
      <c r="H296" s="7" t="n">
        <v>3</v>
      </c>
      <c r="I296" s="11" t="n">
        <v>200</v>
      </c>
      <c r="J296" s="11" t="n">
        <v>20</v>
      </c>
      <c r="K296" s="11" t="n">
        <f aca="false">H296*I296-J296</f>
        <v>580</v>
      </c>
      <c r="L296" s="7" t="s">
        <v>121</v>
      </c>
      <c r="M296" s="7" t="s">
        <v>194</v>
      </c>
      <c r="N296" s="7" t="n">
        <v>35</v>
      </c>
      <c r="O296" s="7" t="n">
        <v>3</v>
      </c>
    </row>
    <row r="297" customFormat="false" ht="15" hidden="false" customHeight="false" outlineLevel="0" collapsed="false">
      <c r="A297" s="7" t="s">
        <v>3330</v>
      </c>
      <c r="B297" s="10" t="n">
        <v>45698</v>
      </c>
      <c r="C297" s="7" t="s">
        <v>1805</v>
      </c>
      <c r="D297" s="7" t="s">
        <v>3331</v>
      </c>
      <c r="E297" s="7" t="s">
        <v>163</v>
      </c>
      <c r="F297" s="7" t="s">
        <v>141</v>
      </c>
      <c r="G297" s="7" t="s">
        <v>99</v>
      </c>
      <c r="H297" s="7" t="n">
        <v>1</v>
      </c>
      <c r="I297" s="11" t="n">
        <v>270</v>
      </c>
      <c r="J297" s="11" t="n">
        <v>0</v>
      </c>
      <c r="K297" s="11" t="n">
        <f aca="false">H297*I297-J297</f>
        <v>270</v>
      </c>
      <c r="L297" s="7" t="s">
        <v>112</v>
      </c>
      <c r="M297" s="7" t="s">
        <v>194</v>
      </c>
      <c r="N297" s="7" t="n">
        <v>41</v>
      </c>
      <c r="O297" s="7" t="n">
        <v>3</v>
      </c>
    </row>
    <row r="298" customFormat="false" ht="15" hidden="false" customHeight="false" outlineLevel="0" collapsed="false">
      <c r="A298" s="7" t="s">
        <v>1922</v>
      </c>
      <c r="B298" s="10" t="n">
        <v>45698</v>
      </c>
      <c r="C298" s="7" t="s">
        <v>1101</v>
      </c>
      <c r="D298" s="7" t="s">
        <v>1924</v>
      </c>
      <c r="E298" s="7" t="s">
        <v>134</v>
      </c>
      <c r="F298" s="7" t="s">
        <v>110</v>
      </c>
      <c r="G298" s="7" t="s">
        <v>117</v>
      </c>
      <c r="H298" s="7" t="n">
        <v>1</v>
      </c>
      <c r="I298" s="11" t="n">
        <v>100</v>
      </c>
      <c r="J298" s="11" t="n">
        <v>40</v>
      </c>
      <c r="K298" s="11" t="n">
        <f aca="false">H298*I298-J298</f>
        <v>60</v>
      </c>
      <c r="L298" s="7" t="s">
        <v>133</v>
      </c>
      <c r="M298" s="7" t="s">
        <v>238</v>
      </c>
      <c r="N298" s="7"/>
      <c r="O298" s="7"/>
    </row>
    <row r="299" customFormat="false" ht="15" hidden="false" customHeight="false" outlineLevel="0" collapsed="false">
      <c r="A299" s="7" t="s">
        <v>4219</v>
      </c>
      <c r="B299" s="10" t="n">
        <v>45698</v>
      </c>
      <c r="C299" s="7" t="s">
        <v>2225</v>
      </c>
      <c r="D299" s="7" t="s">
        <v>970</v>
      </c>
      <c r="E299" s="7" t="s">
        <v>116</v>
      </c>
      <c r="F299" s="7" t="s">
        <v>101</v>
      </c>
      <c r="G299" s="7" t="s">
        <v>117</v>
      </c>
      <c r="H299" s="7" t="n">
        <v>4</v>
      </c>
      <c r="I299" s="11" t="n">
        <v>165</v>
      </c>
      <c r="J299" s="11" t="n">
        <v>50</v>
      </c>
      <c r="K299" s="11" t="n">
        <f aca="false">H299*I299-J299</f>
        <v>610</v>
      </c>
      <c r="L299" s="7" t="s">
        <v>112</v>
      </c>
      <c r="M299" s="7" t="s">
        <v>194</v>
      </c>
      <c r="N299" s="7" t="n">
        <v>38</v>
      </c>
      <c r="O299" s="7" t="n">
        <v>3</v>
      </c>
    </row>
    <row r="300" customFormat="false" ht="15" hidden="false" customHeight="false" outlineLevel="0" collapsed="false">
      <c r="A300" s="7" t="s">
        <v>5191</v>
      </c>
      <c r="B300" s="10" t="n">
        <v>45698</v>
      </c>
      <c r="C300" s="7" t="s">
        <v>5192</v>
      </c>
      <c r="D300" s="7" t="s">
        <v>4818</v>
      </c>
      <c r="E300" s="7" t="s">
        <v>142</v>
      </c>
      <c r="F300" s="7" t="s">
        <v>110</v>
      </c>
      <c r="G300" s="7" t="s">
        <v>105</v>
      </c>
      <c r="H300" s="7" t="n">
        <v>1</v>
      </c>
      <c r="I300" s="11" t="n">
        <v>185</v>
      </c>
      <c r="J300" s="11" t="n">
        <v>20</v>
      </c>
      <c r="K300" s="11" t="n">
        <f aca="false">H300*I300-J300</f>
        <v>165</v>
      </c>
      <c r="L300" s="7" t="s">
        <v>121</v>
      </c>
      <c r="M300" s="7" t="s">
        <v>194</v>
      </c>
      <c r="N300" s="7"/>
      <c r="O300" s="7" t="n">
        <v>3</v>
      </c>
    </row>
    <row r="301" customFormat="false" ht="15" hidden="false" customHeight="false" outlineLevel="0" collapsed="false">
      <c r="A301" s="7" t="s">
        <v>4569</v>
      </c>
      <c r="B301" s="10" t="n">
        <v>45699</v>
      </c>
      <c r="C301" s="7" t="s">
        <v>4570</v>
      </c>
      <c r="D301" s="7" t="s">
        <v>3998</v>
      </c>
      <c r="E301" s="7" t="s">
        <v>98</v>
      </c>
      <c r="F301" s="7" t="s">
        <v>86</v>
      </c>
      <c r="G301" s="7" t="s">
        <v>99</v>
      </c>
      <c r="H301" s="7" t="n">
        <v>1</v>
      </c>
      <c r="I301" s="11" t="n">
        <v>315</v>
      </c>
      <c r="J301" s="11" t="n">
        <v>125</v>
      </c>
      <c r="K301" s="11" t="n">
        <f aca="false">H301*I301-J301</f>
        <v>190</v>
      </c>
      <c r="L301" s="7" t="s">
        <v>121</v>
      </c>
      <c r="M301" s="7" t="s">
        <v>194</v>
      </c>
      <c r="N301" s="7" t="n">
        <v>43</v>
      </c>
      <c r="O301" s="7" t="n">
        <v>4</v>
      </c>
    </row>
    <row r="302" customFormat="false" ht="15" hidden="false" customHeight="false" outlineLevel="0" collapsed="false">
      <c r="A302" s="7" t="s">
        <v>1028</v>
      </c>
      <c r="B302" s="10" t="n">
        <v>45699</v>
      </c>
      <c r="C302" s="7" t="s">
        <v>1030</v>
      </c>
      <c r="D302" s="7" t="s">
        <v>1031</v>
      </c>
      <c r="E302" s="7" t="s">
        <v>134</v>
      </c>
      <c r="F302" s="7" t="s">
        <v>110</v>
      </c>
      <c r="G302" s="7" t="s">
        <v>117</v>
      </c>
      <c r="H302" s="7" t="n">
        <v>3</v>
      </c>
      <c r="I302" s="11" t="n">
        <v>125</v>
      </c>
      <c r="J302" s="11" t="n">
        <v>125</v>
      </c>
      <c r="K302" s="11" t="n">
        <f aca="false">H302*I302-J302</f>
        <v>250</v>
      </c>
      <c r="L302" s="7" t="s">
        <v>103</v>
      </c>
      <c r="M302" s="7" t="s">
        <v>194</v>
      </c>
      <c r="N302" s="7" t="n">
        <v>25</v>
      </c>
      <c r="O302" s="7" t="n">
        <v>5</v>
      </c>
    </row>
    <row r="303" customFormat="false" ht="15" hidden="false" customHeight="false" outlineLevel="0" collapsed="false">
      <c r="A303" s="7" t="s">
        <v>4988</v>
      </c>
      <c r="B303" s="10" t="n">
        <v>45699</v>
      </c>
      <c r="C303" s="7" t="s">
        <v>2451</v>
      </c>
      <c r="D303" s="7" t="s">
        <v>922</v>
      </c>
      <c r="E303" s="7" t="s">
        <v>167</v>
      </c>
      <c r="F303" s="7" t="s">
        <v>146</v>
      </c>
      <c r="G303" s="7" t="s">
        <v>156</v>
      </c>
      <c r="H303" s="7" t="n">
        <v>1</v>
      </c>
      <c r="I303" s="11" t="n">
        <v>220</v>
      </c>
      <c r="J303" s="11" t="n">
        <v>75</v>
      </c>
      <c r="K303" s="11" t="n">
        <f aca="false">H303*I303-J303</f>
        <v>145</v>
      </c>
      <c r="L303" s="7" t="s">
        <v>88</v>
      </c>
      <c r="M303" s="7" t="s">
        <v>194</v>
      </c>
      <c r="N303" s="7" t="n">
        <v>37</v>
      </c>
      <c r="O303" s="7" t="n">
        <v>4</v>
      </c>
    </row>
    <row r="304" customFormat="false" ht="15" hidden="false" customHeight="false" outlineLevel="0" collapsed="false">
      <c r="A304" s="7" t="s">
        <v>3978</v>
      </c>
      <c r="B304" s="10" t="n">
        <v>45699</v>
      </c>
      <c r="C304" s="7" t="s">
        <v>3979</v>
      </c>
      <c r="D304" s="7" t="s">
        <v>416</v>
      </c>
      <c r="E304" s="7" t="s">
        <v>155</v>
      </c>
      <c r="F304" s="7" t="s">
        <v>128</v>
      </c>
      <c r="G304" s="7" t="s">
        <v>156</v>
      </c>
      <c r="H304" s="7" t="n">
        <v>4</v>
      </c>
      <c r="I304" s="11" t="n">
        <v>285</v>
      </c>
      <c r="J304" s="11" t="n">
        <v>20</v>
      </c>
      <c r="K304" s="11" t="n">
        <f aca="false">H304*I304-J304</f>
        <v>1120</v>
      </c>
      <c r="L304" s="7" t="s">
        <v>93</v>
      </c>
      <c r="M304" s="7" t="s">
        <v>194</v>
      </c>
      <c r="N304" s="7" t="n">
        <v>35</v>
      </c>
      <c r="O304" s="7" t="n">
        <v>4</v>
      </c>
    </row>
    <row r="305" customFormat="false" ht="15" hidden="false" customHeight="false" outlineLevel="0" collapsed="false">
      <c r="A305" s="7" t="s">
        <v>3452</v>
      </c>
      <c r="B305" s="10" t="n">
        <v>45699</v>
      </c>
      <c r="C305" s="7" t="s">
        <v>3217</v>
      </c>
      <c r="D305" s="7" t="s">
        <v>2318</v>
      </c>
      <c r="E305" s="7" t="s">
        <v>116</v>
      </c>
      <c r="F305" s="7" t="s">
        <v>101</v>
      </c>
      <c r="G305" s="7" t="s">
        <v>117</v>
      </c>
      <c r="H305" s="7" t="n">
        <v>4</v>
      </c>
      <c r="I305" s="11" t="n">
        <v>110</v>
      </c>
      <c r="J305" s="11" t="n">
        <v>0</v>
      </c>
      <c r="K305" s="11" t="n">
        <f aca="false">H305*I305-J305</f>
        <v>440</v>
      </c>
      <c r="L305" s="7" t="s">
        <v>103</v>
      </c>
      <c r="M305" s="7" t="s">
        <v>194</v>
      </c>
      <c r="N305" s="7" t="n">
        <v>37</v>
      </c>
      <c r="O305" s="7"/>
    </row>
    <row r="306" customFormat="false" ht="15" hidden="false" customHeight="false" outlineLevel="0" collapsed="false">
      <c r="A306" s="7" t="s">
        <v>6056</v>
      </c>
      <c r="B306" s="10" t="n">
        <v>45699</v>
      </c>
      <c r="C306" s="7" t="s">
        <v>5177</v>
      </c>
      <c r="D306" s="7" t="s">
        <v>219</v>
      </c>
      <c r="E306" s="7" t="s">
        <v>159</v>
      </c>
      <c r="F306" s="7" t="s">
        <v>136</v>
      </c>
      <c r="G306" s="7" t="s">
        <v>90</v>
      </c>
      <c r="H306" s="7" t="n">
        <v>3</v>
      </c>
      <c r="I306" s="11" t="n">
        <v>255</v>
      </c>
      <c r="J306" s="11" t="n">
        <v>125</v>
      </c>
      <c r="K306" s="11" t="n">
        <f aca="false">H306*I306-J306</f>
        <v>640</v>
      </c>
      <c r="L306" s="7" t="s">
        <v>88</v>
      </c>
      <c r="M306" s="7" t="s">
        <v>194</v>
      </c>
      <c r="N306" s="7" t="n">
        <v>48</v>
      </c>
      <c r="O306" s="7" t="n">
        <v>4</v>
      </c>
    </row>
    <row r="307" customFormat="false" ht="15" hidden="false" customHeight="false" outlineLevel="0" collapsed="false">
      <c r="A307" s="7" t="s">
        <v>3821</v>
      </c>
      <c r="B307" s="10" t="n">
        <v>45699</v>
      </c>
      <c r="C307" s="7" t="s">
        <v>1379</v>
      </c>
      <c r="D307" s="7" t="s">
        <v>3822</v>
      </c>
      <c r="E307" s="7" t="s">
        <v>94</v>
      </c>
      <c r="F307" s="7" t="s">
        <v>86</v>
      </c>
      <c r="G307" s="7" t="s">
        <v>95</v>
      </c>
      <c r="H307" s="7" t="n">
        <v>2</v>
      </c>
      <c r="I307" s="11" t="n">
        <v>130</v>
      </c>
      <c r="J307" s="11" t="n">
        <v>0</v>
      </c>
      <c r="K307" s="11" t="n">
        <f aca="false">H307*I307-J307</f>
        <v>260</v>
      </c>
      <c r="L307" s="7" t="s">
        <v>93</v>
      </c>
      <c r="M307" s="7" t="s">
        <v>194</v>
      </c>
      <c r="N307" s="7" t="n">
        <v>46</v>
      </c>
      <c r="O307" s="7" t="n">
        <v>3</v>
      </c>
    </row>
    <row r="308" customFormat="false" ht="15" hidden="false" customHeight="false" outlineLevel="0" collapsed="false">
      <c r="A308" s="7" t="s">
        <v>6135</v>
      </c>
      <c r="B308" s="10" t="n">
        <v>45699</v>
      </c>
      <c r="C308" s="7" t="s">
        <v>213</v>
      </c>
      <c r="D308" s="7" t="s">
        <v>5970</v>
      </c>
      <c r="E308" s="7" t="s">
        <v>130</v>
      </c>
      <c r="F308" s="7" t="s">
        <v>110</v>
      </c>
      <c r="G308" s="7" t="s">
        <v>90</v>
      </c>
      <c r="H308" s="7" t="n">
        <v>1</v>
      </c>
      <c r="I308" s="11" t="n">
        <v>215</v>
      </c>
      <c r="J308" s="11" t="n">
        <v>0</v>
      </c>
      <c r="K308" s="11" t="n">
        <f aca="false">H308*I308-J308</f>
        <v>215</v>
      </c>
      <c r="L308" s="7" t="s">
        <v>93</v>
      </c>
      <c r="M308" s="7" t="s">
        <v>194</v>
      </c>
      <c r="N308" s="7" t="n">
        <v>47</v>
      </c>
      <c r="O308" s="7" t="n">
        <v>4</v>
      </c>
    </row>
    <row r="309" customFormat="false" ht="15" hidden="false" customHeight="false" outlineLevel="0" collapsed="false">
      <c r="A309" s="7" t="s">
        <v>3867</v>
      </c>
      <c r="B309" s="10" t="n">
        <v>45699</v>
      </c>
      <c r="C309" s="7" t="s">
        <v>1133</v>
      </c>
      <c r="D309" s="7" t="s">
        <v>3868</v>
      </c>
      <c r="E309" s="7" t="s">
        <v>159</v>
      </c>
      <c r="F309" s="7" t="s">
        <v>136</v>
      </c>
      <c r="G309" s="7" t="s">
        <v>90</v>
      </c>
      <c r="H309" s="7" t="n">
        <v>2</v>
      </c>
      <c r="I309" s="11" t="n">
        <v>250</v>
      </c>
      <c r="J309" s="11" t="n">
        <v>0</v>
      </c>
      <c r="K309" s="11" t="n">
        <f aca="false">H309*I309-J309</f>
        <v>500</v>
      </c>
      <c r="L309" s="7" t="s">
        <v>112</v>
      </c>
      <c r="M309" s="7" t="s">
        <v>194</v>
      </c>
      <c r="N309" s="7" t="n">
        <v>33</v>
      </c>
      <c r="O309" s="7"/>
    </row>
    <row r="310" customFormat="false" ht="15" hidden="false" customHeight="false" outlineLevel="0" collapsed="false">
      <c r="A310" s="7" t="s">
        <v>1227</v>
      </c>
      <c r="B310" s="10" t="n">
        <v>45699</v>
      </c>
      <c r="C310" s="7" t="s">
        <v>1228</v>
      </c>
      <c r="D310" s="7" t="s">
        <v>1229</v>
      </c>
      <c r="E310" s="7" t="s">
        <v>126</v>
      </c>
      <c r="F310" s="7" t="s">
        <v>101</v>
      </c>
      <c r="G310" s="7" t="s">
        <v>105</v>
      </c>
      <c r="H310" s="7" t="n">
        <v>4</v>
      </c>
      <c r="I310" s="11" t="n">
        <v>255</v>
      </c>
      <c r="J310" s="11" t="n">
        <v>0</v>
      </c>
      <c r="K310" s="11" t="n">
        <f aca="false">H310*I310-J310</f>
        <v>1020</v>
      </c>
      <c r="L310" s="7" t="s">
        <v>121</v>
      </c>
      <c r="M310" s="7" t="s">
        <v>194</v>
      </c>
      <c r="N310" s="7" t="n">
        <v>58</v>
      </c>
      <c r="O310" s="7" t="n">
        <v>4</v>
      </c>
    </row>
    <row r="311" customFormat="false" ht="15" hidden="false" customHeight="false" outlineLevel="0" collapsed="false">
      <c r="A311" s="7" t="s">
        <v>4164</v>
      </c>
      <c r="B311" s="10" t="n">
        <v>45699</v>
      </c>
      <c r="C311" s="7" t="s">
        <v>3204</v>
      </c>
      <c r="D311" s="7" t="s">
        <v>4166</v>
      </c>
      <c r="E311" s="7" t="s">
        <v>98</v>
      </c>
      <c r="F311" s="7" t="s">
        <v>86</v>
      </c>
      <c r="G311" s="7" t="s">
        <v>99</v>
      </c>
      <c r="H311" s="7" t="n">
        <v>5</v>
      </c>
      <c r="I311" s="11" t="n">
        <v>270</v>
      </c>
      <c r="J311" s="11" t="n">
        <v>0</v>
      </c>
      <c r="K311" s="11" t="n">
        <f aca="false">H311*I311-J311</f>
        <v>1350</v>
      </c>
      <c r="L311" s="7" t="s">
        <v>133</v>
      </c>
      <c r="M311" s="7" t="s">
        <v>194</v>
      </c>
      <c r="N311" s="7" t="n">
        <v>58</v>
      </c>
      <c r="O311" s="7" t="n">
        <v>3</v>
      </c>
    </row>
    <row r="312" customFormat="false" ht="15" hidden="false" customHeight="false" outlineLevel="0" collapsed="false">
      <c r="A312" s="7" t="s">
        <v>5006</v>
      </c>
      <c r="B312" s="10" t="n">
        <v>45699</v>
      </c>
      <c r="C312" s="7" t="s">
        <v>585</v>
      </c>
      <c r="D312" s="7" t="s">
        <v>5007</v>
      </c>
      <c r="E312" s="7" t="s">
        <v>98</v>
      </c>
      <c r="F312" s="7" t="s">
        <v>86</v>
      </c>
      <c r="G312" s="7" t="s">
        <v>99</v>
      </c>
      <c r="H312" s="7" t="n">
        <v>1</v>
      </c>
      <c r="I312" s="11" t="n">
        <v>265</v>
      </c>
      <c r="J312" s="11" t="n">
        <v>106</v>
      </c>
      <c r="K312" s="11" t="n">
        <f aca="false">H312*I312-J312</f>
        <v>159</v>
      </c>
      <c r="L312" s="7" t="s">
        <v>112</v>
      </c>
      <c r="M312" s="7" t="s">
        <v>194</v>
      </c>
      <c r="N312" s="7" t="n">
        <v>40</v>
      </c>
      <c r="O312" s="7" t="n">
        <v>5</v>
      </c>
    </row>
    <row r="313" customFormat="false" ht="15" hidden="false" customHeight="false" outlineLevel="0" collapsed="false">
      <c r="A313" s="7" t="s">
        <v>2463</v>
      </c>
      <c r="B313" s="10" t="n">
        <v>45699</v>
      </c>
      <c r="C313" s="7" t="s">
        <v>1390</v>
      </c>
      <c r="D313" s="7" t="s">
        <v>2464</v>
      </c>
      <c r="E313" s="7" t="s">
        <v>98</v>
      </c>
      <c r="F313" s="7" t="s">
        <v>86</v>
      </c>
      <c r="G313" s="7" t="s">
        <v>99</v>
      </c>
      <c r="H313" s="7" t="n">
        <v>2</v>
      </c>
      <c r="I313" s="11" t="n">
        <v>300</v>
      </c>
      <c r="J313" s="11" t="n">
        <v>30</v>
      </c>
      <c r="K313" s="11" t="n">
        <f aca="false">H313*I313-J313</f>
        <v>570</v>
      </c>
      <c r="L313" s="7" t="s">
        <v>88</v>
      </c>
      <c r="M313" s="7" t="s">
        <v>194</v>
      </c>
      <c r="N313" s="7" t="n">
        <v>48</v>
      </c>
      <c r="O313" s="7"/>
    </row>
    <row r="314" customFormat="false" ht="15" hidden="false" customHeight="false" outlineLevel="0" collapsed="false">
      <c r="A314" s="7" t="s">
        <v>340</v>
      </c>
      <c r="B314" s="10" t="n">
        <v>45700</v>
      </c>
      <c r="C314" s="7" t="s">
        <v>342</v>
      </c>
      <c r="D314" s="7" t="s">
        <v>343</v>
      </c>
      <c r="E314" s="7" t="s">
        <v>134</v>
      </c>
      <c r="F314" s="7" t="s">
        <v>110</v>
      </c>
      <c r="G314" s="7" t="s">
        <v>117</v>
      </c>
      <c r="H314" s="7" t="n">
        <v>2</v>
      </c>
      <c r="I314" s="11" t="n">
        <v>110</v>
      </c>
      <c r="J314" s="11" t="n">
        <v>50</v>
      </c>
      <c r="K314" s="11" t="n">
        <f aca="false">H314*I314-J314</f>
        <v>170</v>
      </c>
      <c r="L314" s="7" t="s">
        <v>112</v>
      </c>
      <c r="M314" s="7" t="s">
        <v>194</v>
      </c>
      <c r="N314" s="7" t="n">
        <v>42</v>
      </c>
      <c r="O314" s="7" t="n">
        <v>5</v>
      </c>
    </row>
    <row r="315" customFormat="false" ht="15" hidden="false" customHeight="false" outlineLevel="0" collapsed="false">
      <c r="A315" s="7" t="s">
        <v>5127</v>
      </c>
      <c r="B315" s="10" t="n">
        <v>45700</v>
      </c>
      <c r="C315" s="7" t="s">
        <v>361</v>
      </c>
      <c r="D315" s="7" t="s">
        <v>2667</v>
      </c>
      <c r="E315" s="7" t="s">
        <v>159</v>
      </c>
      <c r="F315" s="7" t="s">
        <v>136</v>
      </c>
      <c r="G315" s="7" t="s">
        <v>90</v>
      </c>
      <c r="H315" s="7" t="n">
        <v>3</v>
      </c>
      <c r="I315" s="11" t="n">
        <v>260</v>
      </c>
      <c r="J315" s="11" t="n">
        <v>50</v>
      </c>
      <c r="K315" s="11" t="n">
        <f aca="false">H315*I315-J315</f>
        <v>730</v>
      </c>
      <c r="L315" s="7" t="s">
        <v>112</v>
      </c>
      <c r="M315" s="7" t="s">
        <v>194</v>
      </c>
      <c r="N315" s="7" t="n">
        <v>37</v>
      </c>
      <c r="O315" s="7"/>
    </row>
    <row r="316" customFormat="false" ht="15" hidden="false" customHeight="false" outlineLevel="0" collapsed="false">
      <c r="A316" s="7" t="s">
        <v>3763</v>
      </c>
      <c r="B316" s="10" t="n">
        <v>45700</v>
      </c>
      <c r="C316" s="7" t="s">
        <v>3400</v>
      </c>
      <c r="D316" s="7" t="s">
        <v>3765</v>
      </c>
      <c r="E316" s="7" t="s">
        <v>142</v>
      </c>
      <c r="F316" s="7" t="s">
        <v>110</v>
      </c>
      <c r="G316" s="7" t="s">
        <v>105</v>
      </c>
      <c r="H316" s="7" t="n">
        <v>2</v>
      </c>
      <c r="I316" s="11" t="n">
        <v>145</v>
      </c>
      <c r="J316" s="11" t="n">
        <v>0</v>
      </c>
      <c r="K316" s="11" t="n">
        <f aca="false">H316*I316-J316</f>
        <v>290</v>
      </c>
      <c r="L316" s="7" t="s">
        <v>93</v>
      </c>
      <c r="M316" s="7" t="s">
        <v>194</v>
      </c>
      <c r="N316" s="7" t="n">
        <v>36</v>
      </c>
      <c r="O316" s="7" t="n">
        <v>3</v>
      </c>
    </row>
    <row r="317" customFormat="false" ht="15" hidden="false" customHeight="false" outlineLevel="0" collapsed="false">
      <c r="A317" s="7" t="s">
        <v>3679</v>
      </c>
      <c r="B317" s="10" t="n">
        <v>45700</v>
      </c>
      <c r="C317" s="7" t="s">
        <v>1330</v>
      </c>
      <c r="D317" s="7" t="s">
        <v>3680</v>
      </c>
      <c r="E317" s="7" t="s">
        <v>160</v>
      </c>
      <c r="F317" s="7" t="s">
        <v>136</v>
      </c>
      <c r="G317" s="7" t="s">
        <v>150</v>
      </c>
      <c r="H317" s="7" t="n">
        <v>2</v>
      </c>
      <c r="I317" s="11" t="n">
        <v>140</v>
      </c>
      <c r="J317" s="11" t="n">
        <v>0</v>
      </c>
      <c r="K317" s="11" t="n">
        <f aca="false">H317*I317-J317</f>
        <v>280</v>
      </c>
      <c r="L317" s="7" t="s">
        <v>103</v>
      </c>
      <c r="M317" s="7" t="s">
        <v>194</v>
      </c>
      <c r="N317" s="7" t="n">
        <v>40</v>
      </c>
      <c r="O317" s="7" t="n">
        <v>3</v>
      </c>
    </row>
    <row r="318" customFormat="false" ht="15" hidden="false" customHeight="false" outlineLevel="0" collapsed="false">
      <c r="A318" s="7" t="s">
        <v>5548</v>
      </c>
      <c r="B318" s="10" t="n">
        <v>45700</v>
      </c>
      <c r="C318" s="7" t="s">
        <v>5395</v>
      </c>
      <c r="D318" s="7" t="s">
        <v>5549</v>
      </c>
      <c r="E318" s="7" t="s">
        <v>89</v>
      </c>
      <c r="F318" s="7" t="s">
        <v>86</v>
      </c>
      <c r="G318" s="7" t="s">
        <v>90</v>
      </c>
      <c r="H318" s="7" t="n">
        <v>3</v>
      </c>
      <c r="I318" s="11" t="n">
        <v>250</v>
      </c>
      <c r="J318" s="11" t="n">
        <v>0</v>
      </c>
      <c r="K318" s="11" t="n">
        <f aca="false">H318*I318-J318</f>
        <v>750</v>
      </c>
      <c r="L318" s="7" t="s">
        <v>88</v>
      </c>
      <c r="M318" s="7" t="s">
        <v>194</v>
      </c>
      <c r="N318" s="7" t="n">
        <v>46</v>
      </c>
      <c r="O318" s="7"/>
    </row>
    <row r="319" customFormat="false" ht="15" hidden="false" customHeight="false" outlineLevel="0" collapsed="false">
      <c r="A319" s="7" t="s">
        <v>5414</v>
      </c>
      <c r="B319" s="10" t="n">
        <v>45700</v>
      </c>
      <c r="C319" s="7" t="s">
        <v>4297</v>
      </c>
      <c r="D319" s="7" t="s">
        <v>5415</v>
      </c>
      <c r="E319" s="7" t="s">
        <v>130</v>
      </c>
      <c r="F319" s="7" t="s">
        <v>110</v>
      </c>
      <c r="G319" s="7" t="s">
        <v>90</v>
      </c>
      <c r="H319" s="7" t="n">
        <v>2</v>
      </c>
      <c r="I319" s="11" t="n">
        <v>225</v>
      </c>
      <c r="J319" s="11" t="n">
        <v>125</v>
      </c>
      <c r="K319" s="11" t="n">
        <f aca="false">H319*I319-J319</f>
        <v>325</v>
      </c>
      <c r="L319" s="7" t="s">
        <v>93</v>
      </c>
      <c r="M319" s="7" t="s">
        <v>194</v>
      </c>
      <c r="N319" s="7" t="n">
        <v>36</v>
      </c>
      <c r="O319" s="7" t="n">
        <v>3</v>
      </c>
    </row>
    <row r="320" customFormat="false" ht="15" hidden="false" customHeight="false" outlineLevel="0" collapsed="false">
      <c r="A320" s="7" t="s">
        <v>3960</v>
      </c>
      <c r="B320" s="10" t="n">
        <v>45700</v>
      </c>
      <c r="C320" s="7" t="s">
        <v>622</v>
      </c>
      <c r="D320" s="7" t="s">
        <v>3961</v>
      </c>
      <c r="E320" s="7" t="s">
        <v>89</v>
      </c>
      <c r="F320" s="7" t="s">
        <v>86</v>
      </c>
      <c r="G320" s="7" t="s">
        <v>90</v>
      </c>
      <c r="H320" s="7" t="n">
        <v>3</v>
      </c>
      <c r="I320" s="11" t="n">
        <v>235</v>
      </c>
      <c r="J320" s="11" t="n">
        <v>0</v>
      </c>
      <c r="K320" s="11" t="n">
        <f aca="false">H320*I320-J320</f>
        <v>705</v>
      </c>
      <c r="L320" s="7" t="s">
        <v>88</v>
      </c>
      <c r="M320" s="7" t="s">
        <v>194</v>
      </c>
      <c r="N320" s="7" t="n">
        <v>36</v>
      </c>
      <c r="O320" s="7" t="n">
        <v>5</v>
      </c>
    </row>
    <row r="321" customFormat="false" ht="15" hidden="false" customHeight="false" outlineLevel="0" collapsed="false">
      <c r="A321" s="7" t="s">
        <v>1378</v>
      </c>
      <c r="B321" s="10" t="n">
        <v>45700</v>
      </c>
      <c r="C321" s="7" t="s">
        <v>1379</v>
      </c>
      <c r="D321" s="7" t="s">
        <v>1380</v>
      </c>
      <c r="E321" s="7" t="s">
        <v>160</v>
      </c>
      <c r="F321" s="7" t="s">
        <v>136</v>
      </c>
      <c r="G321" s="7" t="s">
        <v>150</v>
      </c>
      <c r="H321" s="7" t="n">
        <v>2</v>
      </c>
      <c r="I321" s="11" t="n">
        <v>185</v>
      </c>
      <c r="J321" s="11" t="n">
        <v>0</v>
      </c>
      <c r="K321" s="11" t="n">
        <f aca="false">H321*I321-J321</f>
        <v>370</v>
      </c>
      <c r="L321" s="7" t="s">
        <v>88</v>
      </c>
      <c r="M321" s="7" t="s">
        <v>194</v>
      </c>
      <c r="N321" s="7" t="n">
        <v>31</v>
      </c>
      <c r="O321" s="7" t="n">
        <v>3</v>
      </c>
    </row>
    <row r="322" customFormat="false" ht="15" hidden="false" customHeight="false" outlineLevel="0" collapsed="false">
      <c r="A322" s="7" t="s">
        <v>3884</v>
      </c>
      <c r="B322" s="10" t="n">
        <v>45700</v>
      </c>
      <c r="C322" s="7" t="s">
        <v>788</v>
      </c>
      <c r="D322" s="7" t="s">
        <v>3885</v>
      </c>
      <c r="E322" s="7" t="s">
        <v>122</v>
      </c>
      <c r="F322" s="7" t="s">
        <v>101</v>
      </c>
      <c r="G322" s="7" t="s">
        <v>123</v>
      </c>
      <c r="H322" s="7" t="n">
        <v>2</v>
      </c>
      <c r="I322" s="11" t="n">
        <v>305</v>
      </c>
      <c r="J322" s="11" t="n">
        <v>0</v>
      </c>
      <c r="K322" s="11" t="n">
        <f aca="false">H322*I322-J322</f>
        <v>610</v>
      </c>
      <c r="L322" s="7" t="s">
        <v>88</v>
      </c>
      <c r="M322" s="7" t="s">
        <v>194</v>
      </c>
      <c r="N322" s="7" t="n">
        <v>39</v>
      </c>
      <c r="O322" s="7" t="n">
        <v>3</v>
      </c>
    </row>
    <row r="323" customFormat="false" ht="15" hidden="false" customHeight="false" outlineLevel="0" collapsed="false">
      <c r="A323" s="7" t="s">
        <v>4697</v>
      </c>
      <c r="B323" s="10" t="n">
        <v>45700</v>
      </c>
      <c r="C323" s="7" t="s">
        <v>3209</v>
      </c>
      <c r="D323" s="7" t="s">
        <v>4698</v>
      </c>
      <c r="E323" s="7" t="s">
        <v>89</v>
      </c>
      <c r="F323" s="7" t="s">
        <v>86</v>
      </c>
      <c r="G323" s="7" t="s">
        <v>90</v>
      </c>
      <c r="H323" s="7" t="n">
        <v>2</v>
      </c>
      <c r="I323" s="11" t="n">
        <v>215</v>
      </c>
      <c r="J323" s="11" t="n">
        <v>150</v>
      </c>
      <c r="K323" s="11" t="n">
        <f aca="false">H323*I323-J323</f>
        <v>280</v>
      </c>
      <c r="L323" s="7" t="s">
        <v>88</v>
      </c>
      <c r="M323" s="7" t="s">
        <v>194</v>
      </c>
      <c r="N323" s="7" t="n">
        <v>50</v>
      </c>
      <c r="O323" s="7" t="n">
        <v>4</v>
      </c>
    </row>
    <row r="324" customFormat="false" ht="15" hidden="false" customHeight="false" outlineLevel="0" collapsed="false">
      <c r="A324" s="7" t="s">
        <v>1913</v>
      </c>
      <c r="B324" s="10" t="n">
        <v>45700</v>
      </c>
      <c r="C324" s="7" t="s">
        <v>1914</v>
      </c>
      <c r="D324" s="7" t="s">
        <v>1129</v>
      </c>
      <c r="E324" s="7" t="s">
        <v>161</v>
      </c>
      <c r="F324" s="7" t="s">
        <v>141</v>
      </c>
      <c r="G324" s="7" t="s">
        <v>117</v>
      </c>
      <c r="H324" s="7" t="n">
        <v>2</v>
      </c>
      <c r="I324" s="11" t="n">
        <v>145</v>
      </c>
      <c r="J324" s="11" t="n">
        <v>116</v>
      </c>
      <c r="K324" s="11" t="n">
        <f aca="false">H324*I324-J324</f>
        <v>174</v>
      </c>
      <c r="L324" s="7" t="s">
        <v>88</v>
      </c>
      <c r="M324" s="7" t="s">
        <v>194</v>
      </c>
      <c r="N324" s="7" t="n">
        <v>45</v>
      </c>
      <c r="O324" s="7" t="n">
        <v>3</v>
      </c>
    </row>
    <row r="325" customFormat="false" ht="15" hidden="false" customHeight="false" outlineLevel="0" collapsed="false">
      <c r="A325" s="7" t="s">
        <v>5266</v>
      </c>
      <c r="B325" s="10" t="n">
        <v>45701</v>
      </c>
      <c r="C325" s="7" t="s">
        <v>1559</v>
      </c>
      <c r="D325" s="7" t="s">
        <v>1996</v>
      </c>
      <c r="E325" s="7" t="s">
        <v>134</v>
      </c>
      <c r="F325" s="7" t="s">
        <v>110</v>
      </c>
      <c r="G325" s="7" t="s">
        <v>117</v>
      </c>
      <c r="H325" s="7" t="n">
        <v>2</v>
      </c>
      <c r="I325" s="11" t="n">
        <v>105</v>
      </c>
      <c r="J325" s="11" t="n">
        <v>50</v>
      </c>
      <c r="K325" s="11" t="n">
        <f aca="false">H325*I325-J325</f>
        <v>160</v>
      </c>
      <c r="L325" s="7" t="s">
        <v>88</v>
      </c>
      <c r="M325" s="7" t="s">
        <v>194</v>
      </c>
      <c r="N325" s="7" t="n">
        <v>45</v>
      </c>
      <c r="O325" s="7" t="n">
        <v>4</v>
      </c>
    </row>
    <row r="326" customFormat="false" ht="15" hidden="false" customHeight="false" outlineLevel="0" collapsed="false">
      <c r="A326" s="7" t="s">
        <v>3276</v>
      </c>
      <c r="B326" s="10" t="n">
        <v>45701</v>
      </c>
      <c r="C326" s="7" t="s">
        <v>743</v>
      </c>
      <c r="D326" s="7" t="s">
        <v>3278</v>
      </c>
      <c r="E326" s="7" t="s">
        <v>144</v>
      </c>
      <c r="F326" s="7" t="s">
        <v>119</v>
      </c>
      <c r="G326" s="7" t="s">
        <v>99</v>
      </c>
      <c r="H326" s="7" t="n">
        <v>3</v>
      </c>
      <c r="I326" s="11" t="n">
        <v>340</v>
      </c>
      <c r="J326" s="11" t="n">
        <v>40</v>
      </c>
      <c r="K326" s="11" t="n">
        <f aca="false">H326*I326-J326</f>
        <v>980</v>
      </c>
      <c r="L326" s="7" t="s">
        <v>112</v>
      </c>
      <c r="M326" s="7" t="s">
        <v>194</v>
      </c>
      <c r="N326" s="7" t="n">
        <v>30</v>
      </c>
      <c r="O326" s="7" t="n">
        <v>4</v>
      </c>
    </row>
    <row r="327" customFormat="false" ht="15" hidden="false" customHeight="false" outlineLevel="0" collapsed="false">
      <c r="A327" s="7" t="s">
        <v>5854</v>
      </c>
      <c r="B327" s="10" t="n">
        <v>45701</v>
      </c>
      <c r="C327" s="7" t="s">
        <v>2939</v>
      </c>
      <c r="D327" s="7" t="s">
        <v>701</v>
      </c>
      <c r="E327" s="7" t="s">
        <v>130</v>
      </c>
      <c r="F327" s="7" t="s">
        <v>110</v>
      </c>
      <c r="G327" s="7" t="s">
        <v>90</v>
      </c>
      <c r="H327" s="7" t="n">
        <v>2</v>
      </c>
      <c r="I327" s="11" t="n">
        <v>285</v>
      </c>
      <c r="J327" s="11" t="n">
        <v>0</v>
      </c>
      <c r="K327" s="11" t="n">
        <f aca="false">H327*I327-J327</f>
        <v>570</v>
      </c>
      <c r="L327" s="7" t="s">
        <v>112</v>
      </c>
      <c r="M327" s="7" t="s">
        <v>194</v>
      </c>
      <c r="N327" s="7" t="n">
        <v>38</v>
      </c>
      <c r="O327" s="7" t="n">
        <v>4</v>
      </c>
    </row>
    <row r="328" customFormat="false" ht="15" hidden="false" customHeight="false" outlineLevel="0" collapsed="false">
      <c r="A328" s="7" t="s">
        <v>4766</v>
      </c>
      <c r="B328" s="10" t="n">
        <v>45701</v>
      </c>
      <c r="C328" s="7" t="s">
        <v>709</v>
      </c>
      <c r="D328" s="7" t="s">
        <v>1251</v>
      </c>
      <c r="E328" s="7" t="s">
        <v>159</v>
      </c>
      <c r="F328" s="7" t="s">
        <v>136</v>
      </c>
      <c r="G328" s="7" t="s">
        <v>90</v>
      </c>
      <c r="H328" s="7" t="n">
        <v>1</v>
      </c>
      <c r="I328" s="11" t="n">
        <v>270</v>
      </c>
      <c r="J328" s="11" t="n">
        <v>0</v>
      </c>
      <c r="K328" s="11" t="n">
        <f aca="false">H328*I328-J328</f>
        <v>270</v>
      </c>
      <c r="L328" s="7" t="s">
        <v>112</v>
      </c>
      <c r="M328" s="7" t="s">
        <v>194</v>
      </c>
      <c r="N328" s="7" t="n">
        <v>28</v>
      </c>
      <c r="O328" s="7" t="n">
        <v>5</v>
      </c>
    </row>
    <row r="329" customFormat="false" ht="15" hidden="false" customHeight="false" outlineLevel="0" collapsed="false">
      <c r="A329" s="7" t="s">
        <v>3583</v>
      </c>
      <c r="B329" s="10" t="n">
        <v>45701</v>
      </c>
      <c r="C329" s="7" t="s">
        <v>1631</v>
      </c>
      <c r="D329" s="7" t="s">
        <v>3454</v>
      </c>
      <c r="E329" s="7" t="s">
        <v>142</v>
      </c>
      <c r="F329" s="7" t="s">
        <v>110</v>
      </c>
      <c r="G329" s="7" t="s">
        <v>105</v>
      </c>
      <c r="H329" s="7" t="n">
        <v>3</v>
      </c>
      <c r="I329" s="11" t="n">
        <v>170</v>
      </c>
      <c r="J329" s="11" t="n">
        <v>100</v>
      </c>
      <c r="K329" s="11" t="n">
        <f aca="false">H329*I329-J329</f>
        <v>410</v>
      </c>
      <c r="L329" s="7" t="s">
        <v>88</v>
      </c>
      <c r="M329" s="7" t="s">
        <v>194</v>
      </c>
      <c r="N329" s="7" t="n">
        <v>44</v>
      </c>
      <c r="O329" s="7" t="n">
        <v>5</v>
      </c>
    </row>
    <row r="330" customFormat="false" ht="15" hidden="false" customHeight="false" outlineLevel="0" collapsed="false">
      <c r="A330" s="7" t="s">
        <v>4564</v>
      </c>
      <c r="B330" s="10" t="n">
        <v>45701</v>
      </c>
      <c r="C330" s="7" t="s">
        <v>2263</v>
      </c>
      <c r="D330" s="7" t="s">
        <v>4566</v>
      </c>
      <c r="E330" s="7" t="s">
        <v>160</v>
      </c>
      <c r="F330" s="7" t="s">
        <v>136</v>
      </c>
      <c r="G330" s="7" t="s">
        <v>150</v>
      </c>
      <c r="H330" s="7" t="n">
        <v>3</v>
      </c>
      <c r="I330" s="11" t="n">
        <v>225</v>
      </c>
      <c r="J330" s="11" t="n">
        <v>0</v>
      </c>
      <c r="K330" s="11" t="n">
        <f aca="false">H330*I330-J330</f>
        <v>675</v>
      </c>
      <c r="L330" s="7" t="s">
        <v>93</v>
      </c>
      <c r="M330" s="7" t="s">
        <v>194</v>
      </c>
      <c r="N330" s="7" t="n">
        <v>49</v>
      </c>
      <c r="O330" s="7"/>
    </row>
    <row r="331" customFormat="false" ht="15" hidden="false" customHeight="false" outlineLevel="0" collapsed="false">
      <c r="A331" s="7" t="s">
        <v>5114</v>
      </c>
      <c r="B331" s="10" t="n">
        <v>45702</v>
      </c>
      <c r="C331" s="7" t="s">
        <v>3448</v>
      </c>
      <c r="D331" s="7" t="s">
        <v>336</v>
      </c>
      <c r="E331" s="7" t="s">
        <v>89</v>
      </c>
      <c r="F331" s="7" t="s">
        <v>86</v>
      </c>
      <c r="G331" s="7" t="s">
        <v>90</v>
      </c>
      <c r="H331" s="7" t="n">
        <v>2</v>
      </c>
      <c r="I331" s="11" t="n">
        <v>210</v>
      </c>
      <c r="J331" s="11" t="n">
        <v>0</v>
      </c>
      <c r="K331" s="11" t="n">
        <f aca="false">H331*I331-J331</f>
        <v>420</v>
      </c>
      <c r="L331" s="7" t="s">
        <v>103</v>
      </c>
      <c r="M331" s="7" t="s">
        <v>194</v>
      </c>
      <c r="N331" s="7" t="n">
        <v>29</v>
      </c>
      <c r="O331" s="7" t="n">
        <v>4</v>
      </c>
    </row>
    <row r="332" customFormat="false" ht="15" hidden="false" customHeight="false" outlineLevel="0" collapsed="false">
      <c r="A332" s="7" t="s">
        <v>4769</v>
      </c>
      <c r="B332" s="10" t="n">
        <v>45702</v>
      </c>
      <c r="C332" s="7" t="s">
        <v>568</v>
      </c>
      <c r="D332" s="7" t="s">
        <v>3473</v>
      </c>
      <c r="E332" s="7" t="s">
        <v>122</v>
      </c>
      <c r="F332" s="7" t="s">
        <v>101</v>
      </c>
      <c r="G332" s="7" t="s">
        <v>123</v>
      </c>
      <c r="H332" s="7" t="n">
        <v>1</v>
      </c>
      <c r="I332" s="11" t="n">
        <v>330</v>
      </c>
      <c r="J332" s="11" t="n">
        <v>0</v>
      </c>
      <c r="K332" s="11" t="n">
        <f aca="false">H332*I332-J332</f>
        <v>330</v>
      </c>
      <c r="L332" s="7" t="s">
        <v>88</v>
      </c>
      <c r="M332" s="7" t="s">
        <v>194</v>
      </c>
      <c r="N332" s="7" t="n">
        <v>41</v>
      </c>
      <c r="O332" s="7" t="n">
        <v>2</v>
      </c>
    </row>
    <row r="333" customFormat="false" ht="15" hidden="false" customHeight="false" outlineLevel="0" collapsed="false">
      <c r="A333" s="7" t="s">
        <v>5726</v>
      </c>
      <c r="B333" s="10" t="n">
        <v>45703</v>
      </c>
      <c r="C333" s="7" t="s">
        <v>749</v>
      </c>
      <c r="D333" s="7" t="s">
        <v>684</v>
      </c>
      <c r="E333" s="7" t="s">
        <v>126</v>
      </c>
      <c r="F333" s="7" t="s">
        <v>101</v>
      </c>
      <c r="G333" s="7" t="s">
        <v>105</v>
      </c>
      <c r="H333" s="7" t="n">
        <v>5</v>
      </c>
      <c r="I333" s="11" t="n">
        <v>225</v>
      </c>
      <c r="J333" s="11" t="n">
        <v>0</v>
      </c>
      <c r="K333" s="11" t="n">
        <f aca="false">H333*I333-J333</f>
        <v>1125</v>
      </c>
      <c r="L333" s="7" t="s">
        <v>112</v>
      </c>
      <c r="M333" s="7" t="s">
        <v>194</v>
      </c>
      <c r="N333" s="7" t="n">
        <v>36</v>
      </c>
      <c r="O333" s="7" t="n">
        <v>4</v>
      </c>
    </row>
    <row r="334" customFormat="false" ht="15" hidden="false" customHeight="false" outlineLevel="0" collapsed="false">
      <c r="A334" s="7" t="s">
        <v>1682</v>
      </c>
      <c r="B334" s="10" t="n">
        <v>45703</v>
      </c>
      <c r="C334" s="7" t="s">
        <v>1684</v>
      </c>
      <c r="D334" s="7" t="s">
        <v>1685</v>
      </c>
      <c r="E334" s="7" t="s">
        <v>89</v>
      </c>
      <c r="F334" s="7" t="s">
        <v>86</v>
      </c>
      <c r="G334" s="7" t="s">
        <v>90</v>
      </c>
      <c r="H334" s="7" t="n">
        <v>4</v>
      </c>
      <c r="I334" s="11" t="n">
        <v>195</v>
      </c>
      <c r="J334" s="11" t="n">
        <v>0</v>
      </c>
      <c r="K334" s="11" t="n">
        <f aca="false">H334*I334-J334</f>
        <v>780</v>
      </c>
      <c r="L334" s="7" t="s">
        <v>112</v>
      </c>
      <c r="M334" s="7" t="s">
        <v>194</v>
      </c>
      <c r="N334" s="7" t="n">
        <v>43</v>
      </c>
      <c r="O334" s="7" t="n">
        <v>4</v>
      </c>
    </row>
    <row r="335" customFormat="false" ht="15" hidden="false" customHeight="false" outlineLevel="0" collapsed="false">
      <c r="A335" s="7" t="s">
        <v>2073</v>
      </c>
      <c r="B335" s="10" t="n">
        <v>45703</v>
      </c>
      <c r="C335" s="7" t="s">
        <v>1626</v>
      </c>
      <c r="D335" s="7" t="s">
        <v>2074</v>
      </c>
      <c r="E335" s="7" t="s">
        <v>154</v>
      </c>
      <c r="F335" s="7" t="s">
        <v>128</v>
      </c>
      <c r="G335" s="7" t="s">
        <v>99</v>
      </c>
      <c r="H335" s="7" t="n">
        <v>3</v>
      </c>
      <c r="I335" s="11" t="n">
        <v>325</v>
      </c>
      <c r="J335" s="11" t="n">
        <v>0</v>
      </c>
      <c r="K335" s="11" t="n">
        <f aca="false">H335*I335-J335</f>
        <v>975</v>
      </c>
      <c r="L335" s="7" t="s">
        <v>112</v>
      </c>
      <c r="M335" s="7" t="s">
        <v>194</v>
      </c>
      <c r="N335" s="7" t="n">
        <v>44</v>
      </c>
      <c r="O335" s="7" t="n">
        <v>2</v>
      </c>
    </row>
    <row r="336" customFormat="false" ht="15" hidden="false" customHeight="false" outlineLevel="0" collapsed="false">
      <c r="A336" s="7" t="s">
        <v>994</v>
      </c>
      <c r="B336" s="10" t="n">
        <v>45703</v>
      </c>
      <c r="C336" s="7" t="s">
        <v>996</v>
      </c>
      <c r="D336" s="7" t="s">
        <v>997</v>
      </c>
      <c r="E336" s="7" t="s">
        <v>151</v>
      </c>
      <c r="F336" s="7" t="s">
        <v>128</v>
      </c>
      <c r="G336" s="7" t="s">
        <v>95</v>
      </c>
      <c r="H336" s="7" t="n">
        <v>1</v>
      </c>
      <c r="I336" s="11" t="n">
        <v>175</v>
      </c>
      <c r="J336" s="11" t="n">
        <v>0</v>
      </c>
      <c r="K336" s="11" t="n">
        <f aca="false">H336*I336-J336</f>
        <v>175</v>
      </c>
      <c r="L336" s="7" t="s">
        <v>112</v>
      </c>
      <c r="M336" s="7" t="s">
        <v>194</v>
      </c>
      <c r="N336" s="7" t="n">
        <v>38</v>
      </c>
      <c r="O336" s="7" t="n">
        <v>4</v>
      </c>
    </row>
    <row r="337" customFormat="false" ht="15" hidden="false" customHeight="false" outlineLevel="0" collapsed="false">
      <c r="A337" s="7" t="s">
        <v>2184</v>
      </c>
      <c r="B337" s="10" t="n">
        <v>45703</v>
      </c>
      <c r="C337" s="7" t="s">
        <v>2185</v>
      </c>
      <c r="D337" s="7" t="s">
        <v>744</v>
      </c>
      <c r="E337" s="7" t="s">
        <v>130</v>
      </c>
      <c r="F337" s="7" t="s">
        <v>110</v>
      </c>
      <c r="G337" s="7" t="s">
        <v>90</v>
      </c>
      <c r="H337" s="7" t="n">
        <v>1</v>
      </c>
      <c r="I337" s="11" t="n">
        <v>250</v>
      </c>
      <c r="J337" s="11" t="n">
        <v>100</v>
      </c>
      <c r="K337" s="11" t="n">
        <f aca="false">H337*I337-J337</f>
        <v>150</v>
      </c>
      <c r="L337" s="7" t="s">
        <v>112</v>
      </c>
      <c r="M337" s="7" t="s">
        <v>238</v>
      </c>
      <c r="N337" s="7"/>
      <c r="O337" s="7"/>
    </row>
    <row r="338" customFormat="false" ht="15" hidden="false" customHeight="false" outlineLevel="0" collapsed="false">
      <c r="A338" s="7" t="s">
        <v>5774</v>
      </c>
      <c r="B338" s="10" t="n">
        <v>45703</v>
      </c>
      <c r="C338" s="7" t="s">
        <v>3794</v>
      </c>
      <c r="D338" s="7" t="s">
        <v>4755</v>
      </c>
      <c r="E338" s="7" t="s">
        <v>122</v>
      </c>
      <c r="F338" s="7" t="s">
        <v>101</v>
      </c>
      <c r="G338" s="7" t="s">
        <v>123</v>
      </c>
      <c r="H338" s="7" t="n">
        <v>1</v>
      </c>
      <c r="I338" s="11" t="n">
        <v>430</v>
      </c>
      <c r="J338" s="11" t="n">
        <v>0</v>
      </c>
      <c r="K338" s="11" t="n">
        <f aca="false">H338*I338-J338</f>
        <v>430</v>
      </c>
      <c r="L338" s="7" t="s">
        <v>103</v>
      </c>
      <c r="M338" s="7" t="s">
        <v>194</v>
      </c>
      <c r="N338" s="7" t="n">
        <v>45</v>
      </c>
      <c r="O338" s="7" t="n">
        <v>5</v>
      </c>
    </row>
    <row r="339" customFormat="false" ht="15" hidden="false" customHeight="false" outlineLevel="0" collapsed="false">
      <c r="A339" s="7" t="s">
        <v>5681</v>
      </c>
      <c r="B339" s="10" t="n">
        <v>45703</v>
      </c>
      <c r="C339" s="7" t="s">
        <v>1805</v>
      </c>
      <c r="D339" s="7" t="s">
        <v>5682</v>
      </c>
      <c r="E339" s="7" t="s">
        <v>148</v>
      </c>
      <c r="F339" s="7" t="s">
        <v>119</v>
      </c>
      <c r="G339" s="7" t="s">
        <v>123</v>
      </c>
      <c r="H339" s="7" t="n">
        <v>3</v>
      </c>
      <c r="I339" s="11" t="n">
        <v>355</v>
      </c>
      <c r="J339" s="11" t="n">
        <v>50</v>
      </c>
      <c r="K339" s="11" t="n">
        <f aca="false">H339*I339-J339</f>
        <v>1015</v>
      </c>
      <c r="L339" s="7" t="s">
        <v>88</v>
      </c>
      <c r="M339" s="7" t="s">
        <v>194</v>
      </c>
      <c r="N339" s="7" t="n">
        <v>31</v>
      </c>
      <c r="O339" s="7"/>
    </row>
    <row r="340" customFormat="false" ht="15" hidden="false" customHeight="false" outlineLevel="0" collapsed="false">
      <c r="A340" s="7" t="s">
        <v>3337</v>
      </c>
      <c r="B340" s="10" t="n">
        <v>45703</v>
      </c>
      <c r="C340" s="7" t="s">
        <v>2767</v>
      </c>
      <c r="D340" s="7" t="s">
        <v>3150</v>
      </c>
      <c r="E340" s="7" t="s">
        <v>130</v>
      </c>
      <c r="F340" s="7" t="s">
        <v>110</v>
      </c>
      <c r="G340" s="7" t="s">
        <v>90</v>
      </c>
      <c r="H340" s="7" t="n">
        <v>1</v>
      </c>
      <c r="I340" s="11" t="n">
        <v>220</v>
      </c>
      <c r="J340" s="11" t="n">
        <v>0</v>
      </c>
      <c r="K340" s="11" t="n">
        <f aca="false">H340*I340-J340</f>
        <v>220</v>
      </c>
      <c r="L340" s="7" t="s">
        <v>88</v>
      </c>
      <c r="M340" s="7" t="s">
        <v>194</v>
      </c>
      <c r="N340" s="7" t="n">
        <v>53</v>
      </c>
      <c r="O340" s="7" t="n">
        <v>3</v>
      </c>
    </row>
    <row r="341" customFormat="false" ht="15" hidden="false" customHeight="false" outlineLevel="0" collapsed="false">
      <c r="A341" s="7" t="s">
        <v>6157</v>
      </c>
      <c r="B341" s="10" t="n">
        <v>45703</v>
      </c>
      <c r="C341" s="7" t="s">
        <v>1704</v>
      </c>
      <c r="D341" s="7" t="s">
        <v>5226</v>
      </c>
      <c r="E341" s="7" t="s">
        <v>168</v>
      </c>
      <c r="F341" s="7" t="s">
        <v>146</v>
      </c>
      <c r="G341" s="7" t="s">
        <v>123</v>
      </c>
      <c r="H341" s="7" t="n">
        <v>2</v>
      </c>
      <c r="I341" s="11" t="n">
        <v>280</v>
      </c>
      <c r="J341" s="11" t="n">
        <v>50</v>
      </c>
      <c r="K341" s="11" t="n">
        <f aca="false">H341*I341-J341</f>
        <v>510</v>
      </c>
      <c r="L341" s="7" t="s">
        <v>88</v>
      </c>
      <c r="M341" s="7" t="s">
        <v>194</v>
      </c>
      <c r="N341" s="7" t="n">
        <v>33</v>
      </c>
      <c r="O341" s="7" t="n">
        <v>5</v>
      </c>
    </row>
    <row r="342" customFormat="false" ht="15" hidden="false" customHeight="false" outlineLevel="0" collapsed="false">
      <c r="A342" s="7" t="s">
        <v>4270</v>
      </c>
      <c r="B342" s="10" t="n">
        <v>45703</v>
      </c>
      <c r="C342" s="7" t="s">
        <v>365</v>
      </c>
      <c r="D342" s="7" t="s">
        <v>3241</v>
      </c>
      <c r="E342" s="7" t="s">
        <v>138</v>
      </c>
      <c r="F342" s="7" t="s">
        <v>110</v>
      </c>
      <c r="G342" s="7" t="s">
        <v>139</v>
      </c>
      <c r="H342" s="7" t="n">
        <v>1</v>
      </c>
      <c r="I342" s="11" t="n">
        <v>185</v>
      </c>
      <c r="J342" s="11" t="n">
        <v>74</v>
      </c>
      <c r="K342" s="11" t="n">
        <f aca="false">H342*I342-J342</f>
        <v>111</v>
      </c>
      <c r="L342" s="7" t="s">
        <v>88</v>
      </c>
      <c r="M342" s="7" t="s">
        <v>194</v>
      </c>
      <c r="N342" s="7" t="n">
        <v>28</v>
      </c>
      <c r="O342" s="7" t="n">
        <v>5</v>
      </c>
    </row>
    <row r="343" customFormat="false" ht="15" hidden="false" customHeight="false" outlineLevel="0" collapsed="false">
      <c r="A343" s="7" t="s">
        <v>3749</v>
      </c>
      <c r="B343" s="10" t="n">
        <v>45703</v>
      </c>
      <c r="C343" s="7" t="s">
        <v>2083</v>
      </c>
      <c r="D343" s="7" t="s">
        <v>3751</v>
      </c>
      <c r="E343" s="7" t="s">
        <v>126</v>
      </c>
      <c r="F343" s="7" t="s">
        <v>101</v>
      </c>
      <c r="G343" s="7" t="s">
        <v>105</v>
      </c>
      <c r="H343" s="7" t="n">
        <v>3</v>
      </c>
      <c r="I343" s="11" t="n">
        <v>230</v>
      </c>
      <c r="J343" s="11" t="n">
        <v>50</v>
      </c>
      <c r="K343" s="11" t="n">
        <f aca="false">H343*I343-J343</f>
        <v>640</v>
      </c>
      <c r="L343" s="7" t="s">
        <v>93</v>
      </c>
      <c r="M343" s="7" t="s">
        <v>194</v>
      </c>
      <c r="N343" s="7" t="n">
        <v>50</v>
      </c>
      <c r="O343" s="7" t="n">
        <v>3</v>
      </c>
    </row>
    <row r="344" customFormat="false" ht="15" hidden="false" customHeight="false" outlineLevel="0" collapsed="false">
      <c r="A344" s="7" t="s">
        <v>4348</v>
      </c>
      <c r="B344" s="10" t="n">
        <v>45703</v>
      </c>
      <c r="C344" s="7" t="s">
        <v>573</v>
      </c>
      <c r="D344" s="7" t="s">
        <v>873</v>
      </c>
      <c r="E344" s="7" t="s">
        <v>168</v>
      </c>
      <c r="F344" s="7" t="s">
        <v>146</v>
      </c>
      <c r="G344" s="7" t="s">
        <v>123</v>
      </c>
      <c r="H344" s="7" t="n">
        <v>1</v>
      </c>
      <c r="I344" s="11" t="n">
        <v>290</v>
      </c>
      <c r="J344" s="11" t="n">
        <v>100</v>
      </c>
      <c r="K344" s="11" t="n">
        <f aca="false">H344*I344-J344</f>
        <v>190</v>
      </c>
      <c r="L344" s="7" t="s">
        <v>103</v>
      </c>
      <c r="M344" s="7" t="s">
        <v>194</v>
      </c>
      <c r="N344" s="7" t="n">
        <v>29</v>
      </c>
      <c r="O344" s="7" t="n">
        <v>3</v>
      </c>
    </row>
    <row r="345" customFormat="false" ht="15" hidden="false" customHeight="false" outlineLevel="0" collapsed="false">
      <c r="A345" s="7" t="s">
        <v>6065</v>
      </c>
      <c r="B345" s="10" t="n">
        <v>45703</v>
      </c>
      <c r="C345" s="7" t="s">
        <v>870</v>
      </c>
      <c r="D345" s="7" t="s">
        <v>1818</v>
      </c>
      <c r="E345" s="7" t="s">
        <v>147</v>
      </c>
      <c r="F345" s="7" t="s">
        <v>119</v>
      </c>
      <c r="G345" s="7" t="s">
        <v>95</v>
      </c>
      <c r="H345" s="7" t="n">
        <v>2</v>
      </c>
      <c r="I345" s="11" t="n">
        <v>185</v>
      </c>
      <c r="J345" s="11" t="n">
        <v>0</v>
      </c>
      <c r="K345" s="11" t="n">
        <f aca="false">H345*I345-J345</f>
        <v>370</v>
      </c>
      <c r="L345" s="7" t="s">
        <v>88</v>
      </c>
      <c r="M345" s="7" t="s">
        <v>194</v>
      </c>
      <c r="N345" s="7" t="n">
        <v>28</v>
      </c>
      <c r="O345" s="7" t="n">
        <v>5</v>
      </c>
    </row>
    <row r="346" customFormat="false" ht="15" hidden="false" customHeight="false" outlineLevel="0" collapsed="false">
      <c r="A346" s="7" t="s">
        <v>3182</v>
      </c>
      <c r="B346" s="10" t="n">
        <v>45704</v>
      </c>
      <c r="C346" s="7" t="s">
        <v>3183</v>
      </c>
      <c r="D346" s="7" t="s">
        <v>3184</v>
      </c>
      <c r="E346" s="7" t="s">
        <v>144</v>
      </c>
      <c r="F346" s="7" t="s">
        <v>119</v>
      </c>
      <c r="G346" s="7" t="s">
        <v>99</v>
      </c>
      <c r="H346" s="7" t="n">
        <v>1</v>
      </c>
      <c r="I346" s="11" t="n">
        <v>320</v>
      </c>
      <c r="J346" s="11" t="n">
        <v>30</v>
      </c>
      <c r="K346" s="11" t="n">
        <f aca="false">H346*I346-J346</f>
        <v>290</v>
      </c>
      <c r="L346" s="7" t="s">
        <v>103</v>
      </c>
      <c r="M346" s="7" t="s">
        <v>194</v>
      </c>
      <c r="N346" s="7" t="n">
        <v>43</v>
      </c>
      <c r="O346" s="7" t="n">
        <v>3</v>
      </c>
    </row>
    <row r="347" customFormat="false" ht="15" hidden="false" customHeight="false" outlineLevel="0" collapsed="false">
      <c r="A347" s="7" t="s">
        <v>3077</v>
      </c>
      <c r="B347" s="10" t="n">
        <v>45704</v>
      </c>
      <c r="C347" s="7" t="s">
        <v>577</v>
      </c>
      <c r="D347" s="7" t="s">
        <v>1012</v>
      </c>
      <c r="E347" s="7" t="s">
        <v>134</v>
      </c>
      <c r="F347" s="7" t="s">
        <v>110</v>
      </c>
      <c r="G347" s="7" t="s">
        <v>117</v>
      </c>
      <c r="H347" s="7" t="n">
        <v>1</v>
      </c>
      <c r="I347" s="11" t="n">
        <v>105</v>
      </c>
      <c r="J347" s="11" t="n">
        <v>42</v>
      </c>
      <c r="K347" s="11" t="n">
        <f aca="false">H347*I347-J347</f>
        <v>63</v>
      </c>
      <c r="L347" s="7" t="s">
        <v>112</v>
      </c>
      <c r="M347" s="7" t="s">
        <v>194</v>
      </c>
      <c r="N347" s="7" t="n">
        <v>33</v>
      </c>
      <c r="O347" s="7" t="n">
        <v>3</v>
      </c>
    </row>
    <row r="348" customFormat="false" ht="15" hidden="false" customHeight="false" outlineLevel="0" collapsed="false">
      <c r="A348" s="7" t="s">
        <v>4330</v>
      </c>
      <c r="B348" s="10" t="n">
        <v>45704</v>
      </c>
      <c r="C348" s="7" t="s">
        <v>346</v>
      </c>
      <c r="D348" s="7" t="s">
        <v>471</v>
      </c>
      <c r="E348" s="7" t="s">
        <v>94</v>
      </c>
      <c r="F348" s="7" t="s">
        <v>86</v>
      </c>
      <c r="G348" s="7" t="s">
        <v>95</v>
      </c>
      <c r="H348" s="7" t="n">
        <v>4</v>
      </c>
      <c r="I348" s="11" t="n">
        <v>110</v>
      </c>
      <c r="J348" s="11" t="n">
        <v>75</v>
      </c>
      <c r="K348" s="11" t="n">
        <f aca="false">H348*I348-J348</f>
        <v>365</v>
      </c>
      <c r="L348" s="7" t="s">
        <v>133</v>
      </c>
      <c r="M348" s="7" t="s">
        <v>194</v>
      </c>
      <c r="N348" s="7" t="n">
        <v>41</v>
      </c>
      <c r="O348" s="7" t="n">
        <v>3</v>
      </c>
    </row>
    <row r="349" customFormat="false" ht="15" hidden="false" customHeight="false" outlineLevel="0" collapsed="false">
      <c r="A349" s="7" t="s">
        <v>3515</v>
      </c>
      <c r="B349" s="10" t="n">
        <v>45704</v>
      </c>
      <c r="C349" s="7" t="s">
        <v>2508</v>
      </c>
      <c r="D349" s="7" t="s">
        <v>1905</v>
      </c>
      <c r="E349" s="7" t="s">
        <v>126</v>
      </c>
      <c r="F349" s="7" t="s">
        <v>101</v>
      </c>
      <c r="G349" s="7" t="s">
        <v>105</v>
      </c>
      <c r="H349" s="7" t="n">
        <v>1</v>
      </c>
      <c r="I349" s="11" t="n">
        <v>180</v>
      </c>
      <c r="J349" s="11" t="n">
        <v>0</v>
      </c>
      <c r="K349" s="11" t="n">
        <f aca="false">H349*I349-J349</f>
        <v>180</v>
      </c>
      <c r="L349" s="7" t="s">
        <v>88</v>
      </c>
      <c r="M349" s="7" t="s">
        <v>194</v>
      </c>
      <c r="N349" s="7" t="n">
        <v>53</v>
      </c>
      <c r="O349" s="7" t="n">
        <v>3</v>
      </c>
    </row>
    <row r="350" customFormat="false" ht="15" hidden="false" customHeight="false" outlineLevel="0" collapsed="false">
      <c r="A350" s="7" t="s">
        <v>2115</v>
      </c>
      <c r="B350" s="10" t="n">
        <v>45704</v>
      </c>
      <c r="C350" s="7" t="s">
        <v>447</v>
      </c>
      <c r="D350" s="7" t="s">
        <v>2117</v>
      </c>
      <c r="E350" s="7" t="s">
        <v>144</v>
      </c>
      <c r="F350" s="7" t="s">
        <v>119</v>
      </c>
      <c r="G350" s="7" t="s">
        <v>99</v>
      </c>
      <c r="H350" s="7" t="n">
        <v>2</v>
      </c>
      <c r="I350" s="11" t="n">
        <v>275</v>
      </c>
      <c r="J350" s="11" t="n">
        <v>0</v>
      </c>
      <c r="K350" s="11" t="n">
        <f aca="false">H350*I350-J350</f>
        <v>550</v>
      </c>
      <c r="L350" s="7" t="s">
        <v>88</v>
      </c>
      <c r="M350" s="7" t="s">
        <v>194</v>
      </c>
      <c r="N350" s="7" t="n">
        <v>20</v>
      </c>
      <c r="O350" s="7" t="n">
        <v>4</v>
      </c>
    </row>
    <row r="351" customFormat="false" ht="15" hidden="false" customHeight="false" outlineLevel="0" collapsed="false">
      <c r="A351" s="7" t="s">
        <v>3965</v>
      </c>
      <c r="B351" s="10" t="n">
        <v>45705</v>
      </c>
      <c r="C351" s="7" t="s">
        <v>2610</v>
      </c>
      <c r="D351" s="7" t="s">
        <v>3428</v>
      </c>
      <c r="E351" s="7" t="s">
        <v>89</v>
      </c>
      <c r="F351" s="7" t="s">
        <v>86</v>
      </c>
      <c r="G351" s="7" t="s">
        <v>90</v>
      </c>
      <c r="H351" s="7" t="n">
        <v>1</v>
      </c>
      <c r="I351" s="11" t="n">
        <v>240</v>
      </c>
      <c r="J351" s="11" t="n">
        <v>0</v>
      </c>
      <c r="K351" s="11" t="n">
        <f aca="false">H351*I351-J351</f>
        <v>240</v>
      </c>
      <c r="L351" s="7" t="s">
        <v>121</v>
      </c>
      <c r="M351" s="7" t="s">
        <v>194</v>
      </c>
      <c r="N351" s="7" t="n">
        <v>38</v>
      </c>
      <c r="O351" s="7" t="n">
        <v>4</v>
      </c>
    </row>
    <row r="352" customFormat="false" ht="15" hidden="false" customHeight="false" outlineLevel="0" collapsed="false">
      <c r="A352" s="7" t="s">
        <v>1395</v>
      </c>
      <c r="B352" s="10" t="n">
        <v>45705</v>
      </c>
      <c r="C352" s="7" t="s">
        <v>1396</v>
      </c>
      <c r="D352" s="7" t="s">
        <v>1397</v>
      </c>
      <c r="E352" s="7" t="s">
        <v>113</v>
      </c>
      <c r="F352" s="7" t="s">
        <v>101</v>
      </c>
      <c r="G352" s="7" t="s">
        <v>90</v>
      </c>
      <c r="H352" s="7" t="n">
        <v>1</v>
      </c>
      <c r="I352" s="11" t="n">
        <v>265</v>
      </c>
      <c r="J352" s="11" t="n">
        <v>0</v>
      </c>
      <c r="K352" s="11" t="n">
        <f aca="false">H352*I352-J352</f>
        <v>265</v>
      </c>
      <c r="L352" s="7" t="s">
        <v>93</v>
      </c>
      <c r="M352" s="7" t="s">
        <v>194</v>
      </c>
      <c r="N352" s="7" t="n">
        <v>40</v>
      </c>
      <c r="O352" s="7" t="n">
        <v>5</v>
      </c>
    </row>
    <row r="353" customFormat="false" ht="15" hidden="false" customHeight="false" outlineLevel="0" collapsed="false">
      <c r="A353" s="7" t="s">
        <v>3830</v>
      </c>
      <c r="B353" s="10" t="n">
        <v>45705</v>
      </c>
      <c r="C353" s="7" t="s">
        <v>3832</v>
      </c>
      <c r="D353" s="7" t="s">
        <v>3833</v>
      </c>
      <c r="E353" s="7" t="s">
        <v>148</v>
      </c>
      <c r="F353" s="7" t="s">
        <v>119</v>
      </c>
      <c r="G353" s="7" t="s">
        <v>123</v>
      </c>
      <c r="H353" s="7" t="n">
        <v>2</v>
      </c>
      <c r="I353" s="11" t="n">
        <v>275</v>
      </c>
      <c r="J353" s="11" t="n">
        <v>0</v>
      </c>
      <c r="K353" s="11" t="n">
        <f aca="false">H353*I353-J353</f>
        <v>550</v>
      </c>
      <c r="L353" s="7" t="s">
        <v>93</v>
      </c>
      <c r="M353" s="7" t="s">
        <v>194</v>
      </c>
      <c r="N353" s="7" t="n">
        <v>28</v>
      </c>
      <c r="O353" s="7" t="n">
        <v>3</v>
      </c>
    </row>
    <row r="354" customFormat="false" ht="15" hidden="false" customHeight="false" outlineLevel="0" collapsed="false">
      <c r="A354" s="7" t="s">
        <v>1234</v>
      </c>
      <c r="B354" s="10" t="n">
        <v>45705</v>
      </c>
      <c r="C354" s="7" t="s">
        <v>1235</v>
      </c>
      <c r="D354" s="7" t="s">
        <v>1236</v>
      </c>
      <c r="E354" s="7" t="s">
        <v>154</v>
      </c>
      <c r="F354" s="7" t="s">
        <v>128</v>
      </c>
      <c r="G354" s="7" t="s">
        <v>99</v>
      </c>
      <c r="H354" s="7" t="n">
        <v>3</v>
      </c>
      <c r="I354" s="11" t="n">
        <v>225</v>
      </c>
      <c r="J354" s="11" t="n">
        <v>0</v>
      </c>
      <c r="K354" s="11" t="n">
        <f aca="false">H354*I354-J354</f>
        <v>675</v>
      </c>
      <c r="L354" s="7" t="s">
        <v>103</v>
      </c>
      <c r="M354" s="7" t="s">
        <v>194</v>
      </c>
      <c r="N354" s="7" t="n">
        <v>37</v>
      </c>
      <c r="O354" s="7" t="n">
        <v>4</v>
      </c>
    </row>
    <row r="355" customFormat="false" ht="15" hidden="false" customHeight="false" outlineLevel="0" collapsed="false">
      <c r="A355" s="7" t="s">
        <v>3967</v>
      </c>
      <c r="B355" s="10" t="n">
        <v>45705</v>
      </c>
      <c r="C355" s="7" t="s">
        <v>1708</v>
      </c>
      <c r="D355" s="7" t="s">
        <v>3968</v>
      </c>
      <c r="E355" s="7" t="s">
        <v>138</v>
      </c>
      <c r="F355" s="7" t="s">
        <v>110</v>
      </c>
      <c r="G355" s="7" t="s">
        <v>139</v>
      </c>
      <c r="H355" s="7" t="n">
        <v>3</v>
      </c>
      <c r="I355" s="11" t="n">
        <v>245</v>
      </c>
      <c r="J355" s="11" t="n">
        <v>150</v>
      </c>
      <c r="K355" s="11" t="n">
        <f aca="false">H355*I355-J355</f>
        <v>585</v>
      </c>
      <c r="L355" s="7" t="s">
        <v>88</v>
      </c>
      <c r="M355" s="7" t="s">
        <v>194</v>
      </c>
      <c r="N355" s="7" t="n">
        <v>46</v>
      </c>
      <c r="O355" s="7" t="n">
        <v>2</v>
      </c>
    </row>
    <row r="356" customFormat="false" ht="15" hidden="false" customHeight="false" outlineLevel="0" collapsed="false">
      <c r="A356" s="7" t="s">
        <v>3834</v>
      </c>
      <c r="B356" s="10" t="n">
        <v>45705</v>
      </c>
      <c r="C356" s="7" t="s">
        <v>335</v>
      </c>
      <c r="D356" s="7" t="s">
        <v>3659</v>
      </c>
      <c r="E356" s="7" t="s">
        <v>160</v>
      </c>
      <c r="F356" s="7" t="s">
        <v>136</v>
      </c>
      <c r="G356" s="7" t="s">
        <v>150</v>
      </c>
      <c r="H356" s="7" t="n">
        <v>3</v>
      </c>
      <c r="I356" s="11" t="n">
        <v>130</v>
      </c>
      <c r="J356" s="11" t="n">
        <v>0</v>
      </c>
      <c r="K356" s="11" t="n">
        <f aca="false">H356*I356-J356</f>
        <v>390</v>
      </c>
      <c r="L356" s="7" t="s">
        <v>88</v>
      </c>
      <c r="M356" s="7" t="s">
        <v>194</v>
      </c>
      <c r="N356" s="7" t="n">
        <v>28</v>
      </c>
      <c r="O356" s="7" t="n">
        <v>4</v>
      </c>
    </row>
    <row r="357" customFormat="false" ht="15" hidden="false" customHeight="false" outlineLevel="0" collapsed="false">
      <c r="A357" s="7" t="s">
        <v>256</v>
      </c>
      <c r="B357" s="10" t="n">
        <v>45705</v>
      </c>
      <c r="C357" s="7" t="s">
        <v>258</v>
      </c>
      <c r="D357" s="7" t="s">
        <v>259</v>
      </c>
      <c r="E357" s="7" t="s">
        <v>138</v>
      </c>
      <c r="F357" s="7" t="s">
        <v>110</v>
      </c>
      <c r="G357" s="7" t="s">
        <v>139</v>
      </c>
      <c r="H357" s="7" t="n">
        <v>2</v>
      </c>
      <c r="I357" s="11" t="n">
        <v>125</v>
      </c>
      <c r="J357" s="11" t="n">
        <v>100</v>
      </c>
      <c r="K357" s="11" t="n">
        <f aca="false">H357*I357-J357</f>
        <v>150</v>
      </c>
      <c r="L357" s="7" t="s">
        <v>88</v>
      </c>
      <c r="M357" s="7" t="s">
        <v>194</v>
      </c>
      <c r="N357" s="7" t="n">
        <v>33</v>
      </c>
      <c r="O357" s="7" t="n">
        <v>3</v>
      </c>
    </row>
    <row r="358" customFormat="false" ht="15" hidden="false" customHeight="false" outlineLevel="0" collapsed="false">
      <c r="A358" s="7" t="s">
        <v>3455</v>
      </c>
      <c r="B358" s="10" t="n">
        <v>45705</v>
      </c>
      <c r="C358" s="7" t="s">
        <v>3456</v>
      </c>
      <c r="D358" s="7" t="s">
        <v>3457</v>
      </c>
      <c r="E358" s="7" t="s">
        <v>162</v>
      </c>
      <c r="F358" s="7" t="s">
        <v>141</v>
      </c>
      <c r="G358" s="7" t="s">
        <v>117</v>
      </c>
      <c r="H358" s="7" t="n">
        <v>3</v>
      </c>
      <c r="I358" s="11" t="n">
        <v>75</v>
      </c>
      <c r="J358" s="11" t="n">
        <v>90</v>
      </c>
      <c r="K358" s="11" t="n">
        <f aca="false">H358*I358-J358</f>
        <v>135</v>
      </c>
      <c r="L358" s="7" t="s">
        <v>112</v>
      </c>
      <c r="M358" s="7" t="s">
        <v>194</v>
      </c>
      <c r="N358" s="7" t="n">
        <v>41</v>
      </c>
      <c r="O358" s="7"/>
    </row>
    <row r="359" customFormat="false" ht="15" hidden="false" customHeight="false" outlineLevel="0" collapsed="false">
      <c r="A359" s="7" t="s">
        <v>4545</v>
      </c>
      <c r="B359" s="10" t="n">
        <v>45705</v>
      </c>
      <c r="C359" s="7" t="s">
        <v>573</v>
      </c>
      <c r="D359" s="7" t="s">
        <v>3892</v>
      </c>
      <c r="E359" s="7" t="s">
        <v>130</v>
      </c>
      <c r="F359" s="7" t="s">
        <v>110</v>
      </c>
      <c r="G359" s="7" t="s">
        <v>90</v>
      </c>
      <c r="H359" s="7" t="n">
        <v>4</v>
      </c>
      <c r="I359" s="11" t="n">
        <v>260</v>
      </c>
      <c r="J359" s="11" t="n">
        <v>100</v>
      </c>
      <c r="K359" s="11" t="n">
        <f aca="false">H359*I359-J359</f>
        <v>940</v>
      </c>
      <c r="L359" s="7" t="s">
        <v>88</v>
      </c>
      <c r="M359" s="7" t="s">
        <v>238</v>
      </c>
      <c r="N359" s="7"/>
      <c r="O359" s="7"/>
    </row>
    <row r="360" customFormat="false" ht="15" hidden="false" customHeight="false" outlineLevel="0" collapsed="false">
      <c r="A360" s="7" t="s">
        <v>1925</v>
      </c>
      <c r="B360" s="10" t="n">
        <v>45705</v>
      </c>
      <c r="C360" s="7" t="s">
        <v>1926</v>
      </c>
      <c r="D360" s="7" t="s">
        <v>1927</v>
      </c>
      <c r="E360" s="7" t="s">
        <v>113</v>
      </c>
      <c r="F360" s="7" t="s">
        <v>101</v>
      </c>
      <c r="G360" s="7" t="s">
        <v>90</v>
      </c>
      <c r="H360" s="7" t="n">
        <v>1</v>
      </c>
      <c r="I360" s="11" t="n">
        <v>235</v>
      </c>
      <c r="J360" s="11" t="n">
        <v>0</v>
      </c>
      <c r="K360" s="11" t="n">
        <f aca="false">H360*I360-J360</f>
        <v>235</v>
      </c>
      <c r="L360" s="7" t="s">
        <v>88</v>
      </c>
      <c r="M360" s="7" t="s">
        <v>194</v>
      </c>
      <c r="N360" s="7" t="n">
        <v>54</v>
      </c>
      <c r="O360" s="7" t="n">
        <v>1</v>
      </c>
    </row>
    <row r="361" customFormat="false" ht="15" hidden="false" customHeight="false" outlineLevel="0" collapsed="false">
      <c r="A361" s="7" t="s">
        <v>6156</v>
      </c>
      <c r="B361" s="10" t="n">
        <v>45705</v>
      </c>
      <c r="C361" s="7" t="s">
        <v>5112</v>
      </c>
      <c r="D361" s="7" t="s">
        <v>1075</v>
      </c>
      <c r="E361" s="7" t="s">
        <v>94</v>
      </c>
      <c r="F361" s="7" t="s">
        <v>86</v>
      </c>
      <c r="G361" s="7" t="s">
        <v>95</v>
      </c>
      <c r="H361" s="7" t="n">
        <v>3</v>
      </c>
      <c r="I361" s="11" t="n">
        <v>120</v>
      </c>
      <c r="J361" s="11" t="n">
        <v>50</v>
      </c>
      <c r="K361" s="11" t="n">
        <f aca="false">H361*I361-J361</f>
        <v>310</v>
      </c>
      <c r="L361" s="7" t="s">
        <v>88</v>
      </c>
      <c r="M361" s="7" t="s">
        <v>194</v>
      </c>
      <c r="N361" s="7" t="n">
        <v>42</v>
      </c>
      <c r="O361" s="7" t="n">
        <v>3</v>
      </c>
    </row>
    <row r="362" customFormat="false" ht="15" hidden="false" customHeight="false" outlineLevel="0" collapsed="false">
      <c r="A362" s="7" t="s">
        <v>3112</v>
      </c>
      <c r="B362" s="10" t="n">
        <v>45706</v>
      </c>
      <c r="C362" s="7" t="s">
        <v>284</v>
      </c>
      <c r="D362" s="7" t="s">
        <v>3114</v>
      </c>
      <c r="E362" s="7" t="s">
        <v>159</v>
      </c>
      <c r="F362" s="7" t="s">
        <v>136</v>
      </c>
      <c r="G362" s="7" t="s">
        <v>90</v>
      </c>
      <c r="H362" s="7" t="n">
        <v>1</v>
      </c>
      <c r="I362" s="11" t="n">
        <v>245</v>
      </c>
      <c r="J362" s="11" t="n">
        <v>0</v>
      </c>
      <c r="K362" s="11" t="n">
        <f aca="false">H362*I362-J362</f>
        <v>245</v>
      </c>
      <c r="L362" s="7" t="s">
        <v>121</v>
      </c>
      <c r="M362" s="7" t="s">
        <v>194</v>
      </c>
      <c r="N362" s="7" t="n">
        <v>30</v>
      </c>
      <c r="O362" s="7"/>
    </row>
    <row r="363" customFormat="false" ht="15" hidden="false" customHeight="false" outlineLevel="0" collapsed="false">
      <c r="A363" s="7" t="s">
        <v>3574</v>
      </c>
      <c r="B363" s="10" t="n">
        <v>45706</v>
      </c>
      <c r="C363" s="7" t="s">
        <v>1520</v>
      </c>
      <c r="D363" s="7" t="s">
        <v>3575</v>
      </c>
      <c r="E363" s="7" t="s">
        <v>155</v>
      </c>
      <c r="F363" s="7" t="s">
        <v>128</v>
      </c>
      <c r="G363" s="7" t="s">
        <v>156</v>
      </c>
      <c r="H363" s="7" t="n">
        <v>3</v>
      </c>
      <c r="I363" s="11" t="n">
        <v>270</v>
      </c>
      <c r="J363" s="11" t="n">
        <v>0</v>
      </c>
      <c r="K363" s="11" t="n">
        <f aca="false">H363*I363-J363</f>
        <v>810</v>
      </c>
      <c r="L363" s="7" t="s">
        <v>112</v>
      </c>
      <c r="M363" s="7" t="s">
        <v>194</v>
      </c>
      <c r="N363" s="7" t="n">
        <v>42</v>
      </c>
      <c r="O363" s="7" t="n">
        <v>5</v>
      </c>
    </row>
    <row r="364" customFormat="false" ht="15" hidden="false" customHeight="false" outlineLevel="0" collapsed="false">
      <c r="A364" s="7" t="s">
        <v>3044</v>
      </c>
      <c r="B364" s="10" t="n">
        <v>45706</v>
      </c>
      <c r="C364" s="7" t="s">
        <v>3046</v>
      </c>
      <c r="D364" s="7" t="s">
        <v>1944</v>
      </c>
      <c r="E364" s="7" t="s">
        <v>113</v>
      </c>
      <c r="F364" s="7" t="s">
        <v>101</v>
      </c>
      <c r="G364" s="7" t="s">
        <v>90</v>
      </c>
      <c r="H364" s="7" t="n">
        <v>3</v>
      </c>
      <c r="I364" s="11" t="n">
        <v>275</v>
      </c>
      <c r="J364" s="11" t="n">
        <v>0</v>
      </c>
      <c r="K364" s="11" t="n">
        <f aca="false">H364*I364-J364</f>
        <v>825</v>
      </c>
      <c r="L364" s="7" t="s">
        <v>103</v>
      </c>
      <c r="M364" s="7" t="s">
        <v>194</v>
      </c>
      <c r="N364" s="7" t="n">
        <v>47</v>
      </c>
      <c r="O364" s="7" t="n">
        <v>4</v>
      </c>
    </row>
    <row r="365" customFormat="false" ht="15" hidden="false" customHeight="false" outlineLevel="0" collapsed="false">
      <c r="A365" s="7" t="s">
        <v>3865</v>
      </c>
      <c r="B365" s="10" t="n">
        <v>45706</v>
      </c>
      <c r="C365" s="7" t="s">
        <v>407</v>
      </c>
      <c r="D365" s="7" t="s">
        <v>2622</v>
      </c>
      <c r="E365" s="7" t="s">
        <v>98</v>
      </c>
      <c r="F365" s="7" t="s">
        <v>86</v>
      </c>
      <c r="G365" s="7" t="s">
        <v>99</v>
      </c>
      <c r="H365" s="7" t="n">
        <v>1</v>
      </c>
      <c r="I365" s="11" t="n">
        <v>240</v>
      </c>
      <c r="J365" s="11" t="n">
        <v>0</v>
      </c>
      <c r="K365" s="11" t="n">
        <f aca="false">H365*I365-J365</f>
        <v>240</v>
      </c>
      <c r="L365" s="7" t="s">
        <v>112</v>
      </c>
      <c r="M365" s="7" t="s">
        <v>194</v>
      </c>
      <c r="N365" s="7" t="n">
        <v>49</v>
      </c>
      <c r="O365" s="7" t="n">
        <v>5</v>
      </c>
    </row>
    <row r="366" customFormat="false" ht="15" hidden="false" customHeight="false" outlineLevel="0" collapsed="false">
      <c r="A366" s="7" t="s">
        <v>5437</v>
      </c>
      <c r="B366" s="10" t="n">
        <v>45706</v>
      </c>
      <c r="C366" s="7" t="s">
        <v>1409</v>
      </c>
      <c r="D366" s="7" t="s">
        <v>1598</v>
      </c>
      <c r="E366" s="7" t="s">
        <v>168</v>
      </c>
      <c r="F366" s="7" t="s">
        <v>146</v>
      </c>
      <c r="G366" s="7" t="s">
        <v>123</v>
      </c>
      <c r="H366" s="7" t="n">
        <v>3</v>
      </c>
      <c r="I366" s="11" t="n">
        <v>310</v>
      </c>
      <c r="J366" s="11" t="n">
        <v>100</v>
      </c>
      <c r="K366" s="11" t="n">
        <f aca="false">H366*I366-J366</f>
        <v>830</v>
      </c>
      <c r="L366" s="7" t="s">
        <v>88</v>
      </c>
      <c r="M366" s="7" t="s">
        <v>194</v>
      </c>
      <c r="N366" s="7" t="n">
        <v>42</v>
      </c>
      <c r="O366" s="7" t="n">
        <v>3</v>
      </c>
    </row>
    <row r="367" customFormat="false" ht="15" hidden="false" customHeight="false" outlineLevel="0" collapsed="false">
      <c r="A367" s="7" t="s">
        <v>991</v>
      </c>
      <c r="B367" s="10" t="n">
        <v>45707</v>
      </c>
      <c r="C367" s="7" t="s">
        <v>992</v>
      </c>
      <c r="D367" s="7" t="s">
        <v>993</v>
      </c>
      <c r="E367" s="7" t="s">
        <v>116</v>
      </c>
      <c r="F367" s="7" t="s">
        <v>101</v>
      </c>
      <c r="G367" s="7" t="s">
        <v>117</v>
      </c>
      <c r="H367" s="7" t="n">
        <v>3</v>
      </c>
      <c r="I367" s="11" t="n">
        <v>120</v>
      </c>
      <c r="J367" s="11" t="n">
        <v>0</v>
      </c>
      <c r="K367" s="11" t="n">
        <f aca="false">H367*I367-J367</f>
        <v>360</v>
      </c>
      <c r="L367" s="7" t="s">
        <v>88</v>
      </c>
      <c r="M367" s="7" t="s">
        <v>194</v>
      </c>
      <c r="N367" s="7" t="n">
        <v>38</v>
      </c>
      <c r="O367" s="7" t="n">
        <v>3</v>
      </c>
    </row>
    <row r="368" customFormat="false" ht="15" hidden="false" customHeight="false" outlineLevel="0" collapsed="false">
      <c r="A368" s="7" t="s">
        <v>6031</v>
      </c>
      <c r="B368" s="10" t="n">
        <v>45707</v>
      </c>
      <c r="C368" s="7" t="s">
        <v>241</v>
      </c>
      <c r="D368" s="7" t="s">
        <v>6032</v>
      </c>
      <c r="E368" s="7" t="s">
        <v>138</v>
      </c>
      <c r="F368" s="7" t="s">
        <v>110</v>
      </c>
      <c r="G368" s="7" t="s">
        <v>139</v>
      </c>
      <c r="H368" s="7" t="n">
        <v>2</v>
      </c>
      <c r="I368" s="11" t="n">
        <v>175</v>
      </c>
      <c r="J368" s="11" t="n">
        <v>0</v>
      </c>
      <c r="K368" s="11" t="n">
        <f aca="false">H368*I368-J368</f>
        <v>350</v>
      </c>
      <c r="L368" s="7" t="s">
        <v>88</v>
      </c>
      <c r="M368" s="7" t="s">
        <v>194</v>
      </c>
      <c r="N368" s="7" t="n">
        <v>28</v>
      </c>
      <c r="O368" s="7" t="n">
        <v>5</v>
      </c>
    </row>
    <row r="369" customFormat="false" ht="15" hidden="false" customHeight="false" outlineLevel="0" collapsed="false">
      <c r="A369" s="7" t="s">
        <v>1955</v>
      </c>
      <c r="B369" s="10" t="n">
        <v>45707</v>
      </c>
      <c r="C369" s="7" t="s">
        <v>1957</v>
      </c>
      <c r="D369" s="7" t="s">
        <v>1958</v>
      </c>
      <c r="E369" s="7" t="s">
        <v>158</v>
      </c>
      <c r="F369" s="7" t="s">
        <v>136</v>
      </c>
      <c r="G369" s="7" t="s">
        <v>139</v>
      </c>
      <c r="H369" s="7" t="n">
        <v>2</v>
      </c>
      <c r="I369" s="11" t="n">
        <v>215</v>
      </c>
      <c r="J369" s="11" t="n">
        <v>0</v>
      </c>
      <c r="K369" s="11" t="n">
        <f aca="false">H369*I369-J369</f>
        <v>430</v>
      </c>
      <c r="L369" s="7" t="s">
        <v>133</v>
      </c>
      <c r="M369" s="7" t="s">
        <v>238</v>
      </c>
      <c r="N369" s="7"/>
      <c r="O369" s="7"/>
    </row>
    <row r="370" customFormat="false" ht="15" hidden="false" customHeight="false" outlineLevel="0" collapsed="false">
      <c r="A370" s="7" t="s">
        <v>986</v>
      </c>
      <c r="B370" s="10" t="n">
        <v>45707</v>
      </c>
      <c r="C370" s="7" t="s">
        <v>987</v>
      </c>
      <c r="D370" s="7" t="s">
        <v>988</v>
      </c>
      <c r="E370" s="7" t="s">
        <v>122</v>
      </c>
      <c r="F370" s="7" t="s">
        <v>101</v>
      </c>
      <c r="G370" s="7" t="s">
        <v>123</v>
      </c>
      <c r="H370" s="7" t="n">
        <v>1</v>
      </c>
      <c r="I370" s="11" t="n">
        <v>275</v>
      </c>
      <c r="J370" s="11" t="n">
        <v>0</v>
      </c>
      <c r="K370" s="11" t="n">
        <f aca="false">H370*I370-J370</f>
        <v>275</v>
      </c>
      <c r="L370" s="7" t="s">
        <v>88</v>
      </c>
      <c r="M370" s="7" t="s">
        <v>194</v>
      </c>
      <c r="N370" s="7" t="n">
        <v>34</v>
      </c>
      <c r="O370" s="7" t="n">
        <v>3</v>
      </c>
    </row>
    <row r="371" customFormat="false" ht="15" hidden="false" customHeight="false" outlineLevel="0" collapsed="false">
      <c r="A371" s="7" t="s">
        <v>2645</v>
      </c>
      <c r="B371" s="10" t="n">
        <v>45707</v>
      </c>
      <c r="C371" s="7" t="s">
        <v>1456</v>
      </c>
      <c r="D371" s="7" t="s">
        <v>219</v>
      </c>
      <c r="E371" s="7" t="s">
        <v>138</v>
      </c>
      <c r="F371" s="7" t="s">
        <v>110</v>
      </c>
      <c r="G371" s="7" t="s">
        <v>139</v>
      </c>
      <c r="H371" s="7" t="n">
        <v>1</v>
      </c>
      <c r="I371" s="11" t="n">
        <v>205</v>
      </c>
      <c r="J371" s="11" t="n">
        <v>20</v>
      </c>
      <c r="K371" s="11" t="n">
        <f aca="false">H371*I371-J371</f>
        <v>185</v>
      </c>
      <c r="L371" s="7" t="s">
        <v>88</v>
      </c>
      <c r="M371" s="7" t="s">
        <v>194</v>
      </c>
      <c r="N371" s="7" t="n">
        <v>30</v>
      </c>
      <c r="O371" s="7" t="n">
        <v>4</v>
      </c>
    </row>
    <row r="372" customFormat="false" ht="15" hidden="false" customHeight="false" outlineLevel="0" collapsed="false">
      <c r="A372" s="7" t="s">
        <v>199</v>
      </c>
      <c r="B372" s="10" t="n">
        <v>45707</v>
      </c>
      <c r="C372" s="7" t="s">
        <v>201</v>
      </c>
      <c r="D372" s="7" t="s">
        <v>202</v>
      </c>
      <c r="E372" s="7" t="s">
        <v>151</v>
      </c>
      <c r="F372" s="7" t="s">
        <v>128</v>
      </c>
      <c r="G372" s="7" t="s">
        <v>95</v>
      </c>
      <c r="H372" s="7" t="n">
        <v>1</v>
      </c>
      <c r="I372" s="11" t="n">
        <v>160</v>
      </c>
      <c r="J372" s="11" t="n">
        <v>64</v>
      </c>
      <c r="K372" s="11" t="n">
        <f aca="false">H372*I372-J372</f>
        <v>96</v>
      </c>
      <c r="L372" s="7" t="s">
        <v>112</v>
      </c>
      <c r="M372" s="7" t="s">
        <v>194</v>
      </c>
      <c r="N372" s="7" t="n">
        <v>51</v>
      </c>
      <c r="O372" s="7" t="n">
        <v>3</v>
      </c>
    </row>
    <row r="373" customFormat="false" ht="15" hidden="false" customHeight="false" outlineLevel="0" collapsed="false">
      <c r="A373" s="7" t="s">
        <v>4145</v>
      </c>
      <c r="B373" s="10" t="n">
        <v>45707</v>
      </c>
      <c r="C373" s="7" t="s">
        <v>4146</v>
      </c>
      <c r="D373" s="7" t="s">
        <v>4147</v>
      </c>
      <c r="E373" s="7" t="s">
        <v>116</v>
      </c>
      <c r="F373" s="7" t="s">
        <v>101</v>
      </c>
      <c r="G373" s="7" t="s">
        <v>117</v>
      </c>
      <c r="H373" s="7" t="n">
        <v>3</v>
      </c>
      <c r="I373" s="11" t="n">
        <v>130</v>
      </c>
      <c r="J373" s="11" t="n">
        <v>0</v>
      </c>
      <c r="K373" s="11" t="n">
        <f aca="false">H373*I373-J373</f>
        <v>390</v>
      </c>
      <c r="L373" s="7" t="s">
        <v>93</v>
      </c>
      <c r="M373" s="7" t="s">
        <v>194</v>
      </c>
      <c r="N373" s="7" t="n">
        <v>43</v>
      </c>
      <c r="O373" s="7" t="n">
        <v>4</v>
      </c>
    </row>
    <row r="374" customFormat="false" ht="15" hidden="false" customHeight="false" outlineLevel="0" collapsed="false">
      <c r="A374" s="7" t="s">
        <v>4951</v>
      </c>
      <c r="B374" s="10" t="n">
        <v>45707</v>
      </c>
      <c r="C374" s="7" t="s">
        <v>4952</v>
      </c>
      <c r="D374" s="7" t="s">
        <v>4953</v>
      </c>
      <c r="E374" s="7" t="s">
        <v>130</v>
      </c>
      <c r="F374" s="7" t="s">
        <v>110</v>
      </c>
      <c r="G374" s="7" t="s">
        <v>90</v>
      </c>
      <c r="H374" s="7" t="n">
        <v>1</v>
      </c>
      <c r="I374" s="11" t="n">
        <v>305</v>
      </c>
      <c r="J374" s="11" t="n">
        <v>50</v>
      </c>
      <c r="K374" s="11" t="n">
        <f aca="false">H374*I374-J374</f>
        <v>255</v>
      </c>
      <c r="L374" s="7" t="s">
        <v>103</v>
      </c>
      <c r="M374" s="7" t="s">
        <v>194</v>
      </c>
      <c r="N374" s="7" t="n">
        <v>34</v>
      </c>
      <c r="O374" s="7" t="n">
        <v>4</v>
      </c>
    </row>
    <row r="375" customFormat="false" ht="15" hidden="false" customHeight="false" outlineLevel="0" collapsed="false">
      <c r="A375" s="7" t="s">
        <v>3593</v>
      </c>
      <c r="B375" s="10" t="n">
        <v>45708</v>
      </c>
      <c r="C375" s="7" t="s">
        <v>3594</v>
      </c>
      <c r="D375" s="7" t="s">
        <v>1755</v>
      </c>
      <c r="E375" s="7" t="s">
        <v>98</v>
      </c>
      <c r="F375" s="7" t="s">
        <v>86</v>
      </c>
      <c r="G375" s="7" t="s">
        <v>99</v>
      </c>
      <c r="H375" s="7" t="n">
        <v>2</v>
      </c>
      <c r="I375" s="11" t="n">
        <v>295</v>
      </c>
      <c r="J375" s="11" t="n">
        <v>100</v>
      </c>
      <c r="K375" s="11" t="n">
        <f aca="false">H375*I375-J375</f>
        <v>490</v>
      </c>
      <c r="L375" s="7" t="s">
        <v>88</v>
      </c>
      <c r="M375" s="7" t="s">
        <v>194</v>
      </c>
      <c r="N375" s="7" t="n">
        <v>34</v>
      </c>
      <c r="O375" s="7" t="n">
        <v>5</v>
      </c>
    </row>
    <row r="376" customFormat="false" ht="15" hidden="false" customHeight="false" outlineLevel="0" collapsed="false">
      <c r="A376" s="7" t="s">
        <v>3126</v>
      </c>
      <c r="B376" s="10" t="n">
        <v>45708</v>
      </c>
      <c r="C376" s="7" t="s">
        <v>1125</v>
      </c>
      <c r="D376" s="7" t="s">
        <v>3127</v>
      </c>
      <c r="E376" s="7" t="s">
        <v>147</v>
      </c>
      <c r="F376" s="7" t="s">
        <v>119</v>
      </c>
      <c r="G376" s="7" t="s">
        <v>95</v>
      </c>
      <c r="H376" s="7" t="n">
        <v>2</v>
      </c>
      <c r="I376" s="11" t="n">
        <v>160</v>
      </c>
      <c r="J376" s="11" t="n">
        <v>0</v>
      </c>
      <c r="K376" s="11" t="n">
        <f aca="false">H376*I376-J376</f>
        <v>320</v>
      </c>
      <c r="L376" s="7" t="s">
        <v>88</v>
      </c>
      <c r="M376" s="7" t="s">
        <v>194</v>
      </c>
      <c r="N376" s="7" t="n">
        <v>24</v>
      </c>
      <c r="O376" s="7" t="n">
        <v>5</v>
      </c>
    </row>
    <row r="377" customFormat="false" ht="15" hidden="false" customHeight="false" outlineLevel="0" collapsed="false">
      <c r="A377" s="7" t="s">
        <v>3201</v>
      </c>
      <c r="B377" s="10" t="n">
        <v>45708</v>
      </c>
      <c r="C377" s="7" t="s">
        <v>883</v>
      </c>
      <c r="D377" s="7" t="s">
        <v>3202</v>
      </c>
      <c r="E377" s="7" t="s">
        <v>98</v>
      </c>
      <c r="F377" s="7" t="s">
        <v>86</v>
      </c>
      <c r="G377" s="7" t="s">
        <v>99</v>
      </c>
      <c r="H377" s="7" t="n">
        <v>3</v>
      </c>
      <c r="I377" s="11" t="n">
        <v>305</v>
      </c>
      <c r="J377" s="11" t="n">
        <v>0</v>
      </c>
      <c r="K377" s="11" t="n">
        <f aca="false">H377*I377-J377</f>
        <v>915</v>
      </c>
      <c r="L377" s="7" t="s">
        <v>93</v>
      </c>
      <c r="M377" s="7" t="s">
        <v>194</v>
      </c>
      <c r="N377" s="7" t="n">
        <v>46</v>
      </c>
      <c r="O377" s="7" t="n">
        <v>4</v>
      </c>
    </row>
    <row r="378" customFormat="false" ht="15" hidden="false" customHeight="false" outlineLevel="0" collapsed="false">
      <c r="A378" s="7" t="s">
        <v>3951</v>
      </c>
      <c r="B378" s="10" t="n">
        <v>45708</v>
      </c>
      <c r="C378" s="7" t="s">
        <v>3952</v>
      </c>
      <c r="D378" s="7" t="s">
        <v>332</v>
      </c>
      <c r="E378" s="7" t="s">
        <v>89</v>
      </c>
      <c r="F378" s="7" t="s">
        <v>86</v>
      </c>
      <c r="G378" s="7" t="s">
        <v>90</v>
      </c>
      <c r="H378" s="7" t="n">
        <v>4</v>
      </c>
      <c r="I378" s="11" t="n">
        <v>210</v>
      </c>
      <c r="J378" s="11" t="n">
        <v>0</v>
      </c>
      <c r="K378" s="11" t="n">
        <f aca="false">H378*I378-J378</f>
        <v>840</v>
      </c>
      <c r="L378" s="7" t="s">
        <v>88</v>
      </c>
      <c r="M378" s="7" t="s">
        <v>194</v>
      </c>
      <c r="N378" s="7" t="n">
        <v>31</v>
      </c>
      <c r="O378" s="7" t="n">
        <v>4</v>
      </c>
    </row>
    <row r="379" customFormat="false" ht="15" hidden="false" customHeight="false" outlineLevel="0" collapsed="false">
      <c r="A379" s="7" t="s">
        <v>4289</v>
      </c>
      <c r="B379" s="10" t="n">
        <v>45708</v>
      </c>
      <c r="C379" s="7" t="s">
        <v>3487</v>
      </c>
      <c r="D379" s="7" t="s">
        <v>2518</v>
      </c>
      <c r="E379" s="7" t="s">
        <v>98</v>
      </c>
      <c r="F379" s="7" t="s">
        <v>86</v>
      </c>
      <c r="G379" s="7" t="s">
        <v>99</v>
      </c>
      <c r="H379" s="7" t="n">
        <v>1</v>
      </c>
      <c r="I379" s="11" t="n">
        <v>270</v>
      </c>
      <c r="J379" s="11" t="n">
        <v>0</v>
      </c>
      <c r="K379" s="11" t="n">
        <f aca="false">H379*I379-J379</f>
        <v>270</v>
      </c>
      <c r="L379" s="7" t="s">
        <v>88</v>
      </c>
      <c r="M379" s="7" t="s">
        <v>194</v>
      </c>
      <c r="N379" s="7" t="n">
        <v>52</v>
      </c>
      <c r="O379" s="7" t="n">
        <v>4</v>
      </c>
    </row>
    <row r="380" customFormat="false" ht="15" hidden="false" customHeight="false" outlineLevel="0" collapsed="false">
      <c r="A380" s="7" t="s">
        <v>1344</v>
      </c>
      <c r="B380" s="10" t="n">
        <v>45709</v>
      </c>
      <c r="C380" s="7" t="s">
        <v>1346</v>
      </c>
      <c r="D380" s="7" t="s">
        <v>1347</v>
      </c>
      <c r="E380" s="7" t="s">
        <v>122</v>
      </c>
      <c r="F380" s="7" t="s">
        <v>101</v>
      </c>
      <c r="G380" s="7" t="s">
        <v>123</v>
      </c>
      <c r="H380" s="7" t="n">
        <v>2</v>
      </c>
      <c r="I380" s="11" t="n">
        <v>350</v>
      </c>
      <c r="J380" s="11" t="n">
        <v>125</v>
      </c>
      <c r="K380" s="11" t="n">
        <f aca="false">H380*I380-J380</f>
        <v>575</v>
      </c>
      <c r="L380" s="7" t="s">
        <v>88</v>
      </c>
      <c r="M380" s="7" t="s">
        <v>194</v>
      </c>
      <c r="N380" s="7" t="n">
        <v>32</v>
      </c>
      <c r="O380" s="7" t="n">
        <v>4</v>
      </c>
    </row>
    <row r="381" customFormat="false" ht="15" hidden="false" customHeight="false" outlineLevel="0" collapsed="false">
      <c r="A381" s="7" t="s">
        <v>3890</v>
      </c>
      <c r="B381" s="10" t="n">
        <v>45709</v>
      </c>
      <c r="C381" s="7" t="s">
        <v>672</v>
      </c>
      <c r="D381" s="7" t="s">
        <v>3892</v>
      </c>
      <c r="E381" s="7" t="s">
        <v>130</v>
      </c>
      <c r="F381" s="7" t="s">
        <v>110</v>
      </c>
      <c r="G381" s="7" t="s">
        <v>90</v>
      </c>
      <c r="H381" s="7" t="n">
        <v>4</v>
      </c>
      <c r="I381" s="11" t="n">
        <v>230</v>
      </c>
      <c r="J381" s="11" t="n">
        <v>100</v>
      </c>
      <c r="K381" s="11" t="n">
        <f aca="false">H381*I381-J381</f>
        <v>820</v>
      </c>
      <c r="L381" s="7" t="s">
        <v>88</v>
      </c>
      <c r="M381" s="7" t="s">
        <v>194</v>
      </c>
      <c r="N381" s="7" t="n">
        <v>38</v>
      </c>
      <c r="O381" s="7" t="n">
        <v>5</v>
      </c>
    </row>
    <row r="382" customFormat="false" ht="15" hidden="false" customHeight="false" outlineLevel="0" collapsed="false">
      <c r="A382" s="7" t="s">
        <v>5321</v>
      </c>
      <c r="B382" s="10" t="n">
        <v>45709</v>
      </c>
      <c r="C382" s="7" t="s">
        <v>3767</v>
      </c>
      <c r="D382" s="7" t="s">
        <v>1966</v>
      </c>
      <c r="E382" s="7" t="s">
        <v>154</v>
      </c>
      <c r="F382" s="7" t="s">
        <v>128</v>
      </c>
      <c r="G382" s="7" t="s">
        <v>99</v>
      </c>
      <c r="H382" s="7" t="n">
        <v>2</v>
      </c>
      <c r="I382" s="11" t="n">
        <v>260</v>
      </c>
      <c r="J382" s="11" t="n">
        <v>30</v>
      </c>
      <c r="K382" s="11" t="n">
        <f aca="false">H382*I382-J382</f>
        <v>490</v>
      </c>
      <c r="L382" s="7" t="s">
        <v>88</v>
      </c>
      <c r="M382" s="7" t="s">
        <v>194</v>
      </c>
      <c r="N382" s="7" t="n">
        <v>15</v>
      </c>
      <c r="O382" s="7"/>
    </row>
    <row r="383" customFormat="false" ht="15" hidden="false" customHeight="false" outlineLevel="0" collapsed="false">
      <c r="A383" s="7" t="s">
        <v>4032</v>
      </c>
      <c r="B383" s="10" t="n">
        <v>45709</v>
      </c>
      <c r="C383" s="7" t="s">
        <v>3005</v>
      </c>
      <c r="D383" s="7" t="s">
        <v>4033</v>
      </c>
      <c r="E383" s="7" t="s">
        <v>113</v>
      </c>
      <c r="F383" s="7" t="s">
        <v>101</v>
      </c>
      <c r="G383" s="7" t="s">
        <v>90</v>
      </c>
      <c r="H383" s="7" t="n">
        <v>2</v>
      </c>
      <c r="I383" s="11" t="n">
        <v>285</v>
      </c>
      <c r="J383" s="11" t="n">
        <v>40</v>
      </c>
      <c r="K383" s="11" t="n">
        <f aca="false">H383*I383-J383</f>
        <v>530</v>
      </c>
      <c r="L383" s="7" t="s">
        <v>88</v>
      </c>
      <c r="M383" s="7" t="s">
        <v>194</v>
      </c>
      <c r="N383" s="7" t="n">
        <v>40</v>
      </c>
      <c r="O383" s="7" t="n">
        <v>5</v>
      </c>
    </row>
    <row r="384" customFormat="false" ht="15" hidden="false" customHeight="false" outlineLevel="0" collapsed="false">
      <c r="A384" s="7" t="s">
        <v>5471</v>
      </c>
      <c r="B384" s="10" t="n">
        <v>45709</v>
      </c>
      <c r="C384" s="7" t="s">
        <v>306</v>
      </c>
      <c r="D384" s="7" t="s">
        <v>5473</v>
      </c>
      <c r="E384" s="7" t="s">
        <v>130</v>
      </c>
      <c r="F384" s="7" t="s">
        <v>110</v>
      </c>
      <c r="G384" s="7" t="s">
        <v>90</v>
      </c>
      <c r="H384" s="7" t="n">
        <v>3</v>
      </c>
      <c r="I384" s="11" t="n">
        <v>285</v>
      </c>
      <c r="J384" s="11" t="n">
        <v>0</v>
      </c>
      <c r="K384" s="11" t="n">
        <f aca="false">H384*I384-J384</f>
        <v>855</v>
      </c>
      <c r="L384" s="7" t="s">
        <v>103</v>
      </c>
      <c r="M384" s="7" t="s">
        <v>194</v>
      </c>
      <c r="N384" s="7" t="n">
        <v>45</v>
      </c>
      <c r="O384" s="7" t="n">
        <v>3</v>
      </c>
    </row>
    <row r="385" customFormat="false" ht="15" hidden="false" customHeight="false" outlineLevel="0" collapsed="false">
      <c r="A385" s="7" t="s">
        <v>6147</v>
      </c>
      <c r="B385" s="10" t="n">
        <v>45709</v>
      </c>
      <c r="C385" s="7" t="s">
        <v>893</v>
      </c>
      <c r="D385" s="7" t="s">
        <v>2163</v>
      </c>
      <c r="E385" s="7" t="s">
        <v>151</v>
      </c>
      <c r="F385" s="7" t="s">
        <v>128</v>
      </c>
      <c r="G385" s="7" t="s">
        <v>95</v>
      </c>
      <c r="H385" s="7" t="n">
        <v>1</v>
      </c>
      <c r="I385" s="11" t="n">
        <v>185</v>
      </c>
      <c r="J385" s="11" t="n">
        <v>50</v>
      </c>
      <c r="K385" s="11" t="n">
        <f aca="false">H385*I385-J385</f>
        <v>135</v>
      </c>
      <c r="L385" s="7" t="s">
        <v>112</v>
      </c>
      <c r="M385" s="7" t="s">
        <v>194</v>
      </c>
      <c r="N385" s="7" t="n">
        <v>43</v>
      </c>
      <c r="O385" s="7" t="n">
        <v>3</v>
      </c>
    </row>
    <row r="386" customFormat="false" ht="15" hidden="false" customHeight="false" outlineLevel="0" collapsed="false">
      <c r="A386" s="7" t="s">
        <v>3841</v>
      </c>
      <c r="B386" s="10" t="n">
        <v>45709</v>
      </c>
      <c r="C386" s="7" t="s">
        <v>1412</v>
      </c>
      <c r="D386" s="7" t="s">
        <v>3842</v>
      </c>
      <c r="E386" s="7" t="s">
        <v>147</v>
      </c>
      <c r="F386" s="7" t="s">
        <v>119</v>
      </c>
      <c r="G386" s="7" t="s">
        <v>95</v>
      </c>
      <c r="H386" s="7" t="n">
        <v>2</v>
      </c>
      <c r="I386" s="11" t="n">
        <v>175</v>
      </c>
      <c r="J386" s="11" t="n">
        <v>0</v>
      </c>
      <c r="K386" s="11" t="n">
        <f aca="false">H386*I386-J386</f>
        <v>350</v>
      </c>
      <c r="L386" s="7" t="s">
        <v>103</v>
      </c>
      <c r="M386" s="7" t="s">
        <v>194</v>
      </c>
      <c r="N386" s="7" t="n">
        <v>32</v>
      </c>
      <c r="O386" s="7"/>
    </row>
    <row r="387" customFormat="false" ht="15" hidden="false" customHeight="false" outlineLevel="0" collapsed="false">
      <c r="A387" s="7" t="s">
        <v>5386</v>
      </c>
      <c r="B387" s="10" t="n">
        <v>45710</v>
      </c>
      <c r="C387" s="7" t="s">
        <v>5387</v>
      </c>
      <c r="D387" s="7" t="s">
        <v>5388</v>
      </c>
      <c r="E387" s="7" t="s">
        <v>158</v>
      </c>
      <c r="F387" s="7" t="s">
        <v>136</v>
      </c>
      <c r="G387" s="7" t="s">
        <v>139</v>
      </c>
      <c r="H387" s="7" t="n">
        <v>2</v>
      </c>
      <c r="I387" s="11" t="n">
        <v>200</v>
      </c>
      <c r="J387" s="11" t="n">
        <v>0</v>
      </c>
      <c r="K387" s="11" t="n">
        <f aca="false">H387*I387-J387</f>
        <v>400</v>
      </c>
      <c r="L387" s="7" t="s">
        <v>112</v>
      </c>
      <c r="M387" s="7" t="s">
        <v>194</v>
      </c>
      <c r="N387" s="7" t="n">
        <v>32</v>
      </c>
      <c r="O387" s="7"/>
    </row>
    <row r="388" customFormat="false" ht="15" hidden="false" customHeight="false" outlineLevel="0" collapsed="false">
      <c r="A388" s="7" t="s">
        <v>3667</v>
      </c>
      <c r="B388" s="10" t="n">
        <v>45710</v>
      </c>
      <c r="C388" s="7" t="s">
        <v>3669</v>
      </c>
      <c r="D388" s="7" t="s">
        <v>569</v>
      </c>
      <c r="E388" s="7" t="s">
        <v>138</v>
      </c>
      <c r="F388" s="7" t="s">
        <v>110</v>
      </c>
      <c r="G388" s="7" t="s">
        <v>139</v>
      </c>
      <c r="H388" s="7" t="n">
        <v>1</v>
      </c>
      <c r="I388" s="11" t="n">
        <v>185</v>
      </c>
      <c r="J388" s="11" t="n">
        <v>50</v>
      </c>
      <c r="K388" s="11" t="n">
        <f aca="false">H388*I388-J388</f>
        <v>135</v>
      </c>
      <c r="L388" s="7" t="s">
        <v>88</v>
      </c>
      <c r="M388" s="7" t="s">
        <v>194</v>
      </c>
      <c r="N388" s="7" t="n">
        <v>30</v>
      </c>
      <c r="O388" s="7" t="n">
        <v>3</v>
      </c>
    </row>
    <row r="389" customFormat="false" ht="15" hidden="false" customHeight="false" outlineLevel="0" collapsed="false">
      <c r="A389" s="7" t="s">
        <v>2419</v>
      </c>
      <c r="B389" s="10" t="n">
        <v>45710</v>
      </c>
      <c r="C389" s="7" t="s">
        <v>1626</v>
      </c>
      <c r="D389" s="7" t="s">
        <v>1612</v>
      </c>
      <c r="E389" s="7" t="s">
        <v>157</v>
      </c>
      <c r="F389" s="7" t="s">
        <v>136</v>
      </c>
      <c r="G389" s="7" t="s">
        <v>117</v>
      </c>
      <c r="H389" s="7" t="n">
        <v>2</v>
      </c>
      <c r="I389" s="11" t="n">
        <v>125</v>
      </c>
      <c r="J389" s="11" t="n">
        <v>0</v>
      </c>
      <c r="K389" s="11" t="n">
        <f aca="false">H389*I389-J389</f>
        <v>250</v>
      </c>
      <c r="L389" s="7" t="s">
        <v>88</v>
      </c>
      <c r="M389" s="7" t="s">
        <v>194</v>
      </c>
      <c r="N389" s="7" t="n">
        <v>33</v>
      </c>
      <c r="O389" s="7" t="n">
        <v>4</v>
      </c>
    </row>
    <row r="390" customFormat="false" ht="15" hidden="false" customHeight="false" outlineLevel="0" collapsed="false">
      <c r="A390" s="7" t="s">
        <v>2606</v>
      </c>
      <c r="B390" s="10" t="n">
        <v>45710</v>
      </c>
      <c r="C390" s="7" t="s">
        <v>2607</v>
      </c>
      <c r="D390" s="7" t="s">
        <v>884</v>
      </c>
      <c r="E390" s="7" t="s">
        <v>166</v>
      </c>
      <c r="F390" s="7" t="s">
        <v>146</v>
      </c>
      <c r="G390" s="7" t="s">
        <v>117</v>
      </c>
      <c r="H390" s="7" t="n">
        <v>1</v>
      </c>
      <c r="I390" s="11" t="n">
        <v>95</v>
      </c>
      <c r="J390" s="11" t="n">
        <v>0</v>
      </c>
      <c r="K390" s="11" t="n">
        <f aca="false">H390*I390-J390</f>
        <v>95</v>
      </c>
      <c r="L390" s="7" t="s">
        <v>112</v>
      </c>
      <c r="M390" s="7" t="s">
        <v>194</v>
      </c>
      <c r="N390" s="7" t="n">
        <v>35</v>
      </c>
      <c r="O390" s="7" t="n">
        <v>3</v>
      </c>
    </row>
    <row r="391" customFormat="false" ht="15" hidden="false" customHeight="false" outlineLevel="0" collapsed="false">
      <c r="A391" s="7" t="s">
        <v>3216</v>
      </c>
      <c r="B391" s="10" t="n">
        <v>45710</v>
      </c>
      <c r="C391" s="7" t="s">
        <v>3217</v>
      </c>
      <c r="D391" s="7" t="s">
        <v>3218</v>
      </c>
      <c r="E391" s="7" t="s">
        <v>116</v>
      </c>
      <c r="F391" s="7" t="s">
        <v>101</v>
      </c>
      <c r="G391" s="7" t="s">
        <v>117</v>
      </c>
      <c r="H391" s="7" t="n">
        <v>4</v>
      </c>
      <c r="I391" s="11" t="n">
        <v>135</v>
      </c>
      <c r="J391" s="11" t="n">
        <v>40</v>
      </c>
      <c r="K391" s="11" t="n">
        <f aca="false">H391*I391-J391</f>
        <v>500</v>
      </c>
      <c r="L391" s="7" t="s">
        <v>121</v>
      </c>
      <c r="M391" s="7" t="s">
        <v>194</v>
      </c>
      <c r="N391" s="7" t="n">
        <v>35</v>
      </c>
      <c r="O391" s="7" t="n">
        <v>5</v>
      </c>
    </row>
    <row r="392" customFormat="false" ht="15" hidden="false" customHeight="false" outlineLevel="0" collapsed="false">
      <c r="A392" s="7" t="s">
        <v>2404</v>
      </c>
      <c r="B392" s="10" t="n">
        <v>45710</v>
      </c>
      <c r="C392" s="7" t="s">
        <v>2405</v>
      </c>
      <c r="D392" s="7" t="s">
        <v>777</v>
      </c>
      <c r="E392" s="7" t="s">
        <v>94</v>
      </c>
      <c r="F392" s="7" t="s">
        <v>86</v>
      </c>
      <c r="G392" s="7" t="s">
        <v>95</v>
      </c>
      <c r="H392" s="7" t="n">
        <v>2</v>
      </c>
      <c r="I392" s="11" t="n">
        <v>100</v>
      </c>
      <c r="J392" s="11" t="n">
        <v>80</v>
      </c>
      <c r="K392" s="11" t="n">
        <f aca="false">H392*I392-J392</f>
        <v>120</v>
      </c>
      <c r="L392" s="7" t="s">
        <v>88</v>
      </c>
      <c r="M392" s="7" t="s">
        <v>194</v>
      </c>
      <c r="N392" s="7" t="n">
        <v>53</v>
      </c>
      <c r="O392" s="7" t="n">
        <v>3</v>
      </c>
    </row>
    <row r="393" customFormat="false" ht="15" hidden="false" customHeight="false" outlineLevel="0" collapsed="false">
      <c r="A393" s="7" t="s">
        <v>4929</v>
      </c>
      <c r="B393" s="10" t="n">
        <v>45710</v>
      </c>
      <c r="C393" s="7" t="s">
        <v>2064</v>
      </c>
      <c r="D393" s="7" t="s">
        <v>2117</v>
      </c>
      <c r="E393" s="7" t="s">
        <v>89</v>
      </c>
      <c r="F393" s="7" t="s">
        <v>86</v>
      </c>
      <c r="G393" s="7" t="s">
        <v>90</v>
      </c>
      <c r="H393" s="7" t="n">
        <v>3</v>
      </c>
      <c r="I393" s="11" t="n">
        <v>210</v>
      </c>
      <c r="J393" s="11" t="n">
        <v>100</v>
      </c>
      <c r="K393" s="11" t="n">
        <f aca="false">H393*I393-J393</f>
        <v>530</v>
      </c>
      <c r="L393" s="7" t="s">
        <v>103</v>
      </c>
      <c r="M393" s="7" t="s">
        <v>194</v>
      </c>
      <c r="N393" s="7" t="n">
        <v>37</v>
      </c>
      <c r="O393" s="7" t="n">
        <v>4</v>
      </c>
    </row>
    <row r="394" customFormat="false" ht="15" hidden="false" customHeight="false" outlineLevel="0" collapsed="false">
      <c r="A394" s="7" t="s">
        <v>1638</v>
      </c>
      <c r="B394" s="10" t="n">
        <v>45710</v>
      </c>
      <c r="C394" s="7" t="s">
        <v>1640</v>
      </c>
      <c r="D394" s="7" t="s">
        <v>1641</v>
      </c>
      <c r="E394" s="7" t="s">
        <v>122</v>
      </c>
      <c r="F394" s="7" t="s">
        <v>101</v>
      </c>
      <c r="G394" s="7" t="s">
        <v>123</v>
      </c>
      <c r="H394" s="7" t="n">
        <v>2</v>
      </c>
      <c r="I394" s="11" t="n">
        <v>395</v>
      </c>
      <c r="J394" s="11" t="n">
        <v>0</v>
      </c>
      <c r="K394" s="11" t="n">
        <f aca="false">H394*I394-J394</f>
        <v>790</v>
      </c>
      <c r="L394" s="7" t="s">
        <v>88</v>
      </c>
      <c r="M394" s="7" t="s">
        <v>194</v>
      </c>
      <c r="N394" s="7" t="n">
        <v>41</v>
      </c>
      <c r="O394" s="7"/>
    </row>
    <row r="395" customFormat="false" ht="15" hidden="false" customHeight="false" outlineLevel="0" collapsed="false">
      <c r="A395" s="7" t="s">
        <v>5644</v>
      </c>
      <c r="B395" s="10" t="n">
        <v>45710</v>
      </c>
      <c r="C395" s="7" t="s">
        <v>1340</v>
      </c>
      <c r="D395" s="7" t="s">
        <v>2290</v>
      </c>
      <c r="E395" s="7" t="s">
        <v>158</v>
      </c>
      <c r="F395" s="7" t="s">
        <v>136</v>
      </c>
      <c r="G395" s="7" t="s">
        <v>139</v>
      </c>
      <c r="H395" s="7" t="n">
        <v>2</v>
      </c>
      <c r="I395" s="11" t="n">
        <v>195</v>
      </c>
      <c r="J395" s="11" t="n">
        <v>0</v>
      </c>
      <c r="K395" s="11" t="n">
        <f aca="false">H395*I395-J395</f>
        <v>390</v>
      </c>
      <c r="L395" s="7" t="s">
        <v>88</v>
      </c>
      <c r="M395" s="7" t="s">
        <v>194</v>
      </c>
      <c r="N395" s="7" t="n">
        <v>39</v>
      </c>
      <c r="O395" s="7" t="n">
        <v>5</v>
      </c>
    </row>
    <row r="396" customFormat="false" ht="15" hidden="false" customHeight="false" outlineLevel="0" collapsed="false">
      <c r="A396" s="7" t="s">
        <v>6074</v>
      </c>
      <c r="B396" s="10" t="n">
        <v>45711</v>
      </c>
      <c r="C396" s="7" t="s">
        <v>3217</v>
      </c>
      <c r="D396" s="7" t="s">
        <v>2738</v>
      </c>
      <c r="E396" s="7" t="s">
        <v>126</v>
      </c>
      <c r="F396" s="7" t="s">
        <v>101</v>
      </c>
      <c r="G396" s="7" t="s">
        <v>105</v>
      </c>
      <c r="H396" s="7" t="n">
        <v>2</v>
      </c>
      <c r="I396" s="11" t="n">
        <v>185</v>
      </c>
      <c r="J396" s="11" t="n">
        <v>148</v>
      </c>
      <c r="K396" s="11" t="n">
        <f aca="false">H396*I396-J396</f>
        <v>222</v>
      </c>
      <c r="L396" s="7" t="s">
        <v>133</v>
      </c>
      <c r="M396" s="7" t="s">
        <v>194</v>
      </c>
      <c r="N396" s="7" t="n">
        <v>44</v>
      </c>
      <c r="O396" s="7" t="n">
        <v>5</v>
      </c>
    </row>
    <row r="397" customFormat="false" ht="15" hidden="false" customHeight="false" outlineLevel="0" collapsed="false">
      <c r="A397" s="7" t="s">
        <v>4351</v>
      </c>
      <c r="B397" s="10" t="n">
        <v>45711</v>
      </c>
      <c r="C397" s="7" t="s">
        <v>4353</v>
      </c>
      <c r="D397" s="7" t="s">
        <v>3532</v>
      </c>
      <c r="E397" s="7" t="s">
        <v>155</v>
      </c>
      <c r="F397" s="7" t="s">
        <v>128</v>
      </c>
      <c r="G397" s="7" t="s">
        <v>156</v>
      </c>
      <c r="H397" s="7" t="n">
        <v>3</v>
      </c>
      <c r="I397" s="11" t="n">
        <v>290</v>
      </c>
      <c r="J397" s="11" t="n">
        <v>0</v>
      </c>
      <c r="K397" s="11" t="n">
        <f aca="false">H397*I397-J397</f>
        <v>870</v>
      </c>
      <c r="L397" s="7" t="s">
        <v>88</v>
      </c>
      <c r="M397" s="7" t="s">
        <v>194</v>
      </c>
      <c r="N397" s="7" t="n">
        <v>43</v>
      </c>
      <c r="O397" s="7" t="n">
        <v>2</v>
      </c>
    </row>
    <row r="398" customFormat="false" ht="15" hidden="false" customHeight="false" outlineLevel="0" collapsed="false">
      <c r="A398" s="7" t="s">
        <v>5204</v>
      </c>
      <c r="B398" s="10" t="n">
        <v>45711</v>
      </c>
      <c r="C398" s="7" t="s">
        <v>573</v>
      </c>
      <c r="D398" s="7" t="s">
        <v>5205</v>
      </c>
      <c r="E398" s="7" t="s">
        <v>147</v>
      </c>
      <c r="F398" s="7" t="s">
        <v>119</v>
      </c>
      <c r="G398" s="7" t="s">
        <v>95</v>
      </c>
      <c r="H398" s="7" t="n">
        <v>4</v>
      </c>
      <c r="I398" s="11" t="n">
        <v>175</v>
      </c>
      <c r="J398" s="11" t="n">
        <v>125</v>
      </c>
      <c r="K398" s="11" t="n">
        <f aca="false">H398*I398-J398</f>
        <v>575</v>
      </c>
      <c r="L398" s="7" t="s">
        <v>88</v>
      </c>
      <c r="M398" s="7" t="s">
        <v>194</v>
      </c>
      <c r="N398" s="7" t="n">
        <v>34</v>
      </c>
      <c r="O398" s="7" t="n">
        <v>5</v>
      </c>
    </row>
    <row r="399" customFormat="false" ht="15" hidden="false" customHeight="false" outlineLevel="0" collapsed="false">
      <c r="A399" s="7" t="s">
        <v>5753</v>
      </c>
      <c r="B399" s="10" t="n">
        <v>45711</v>
      </c>
      <c r="C399" s="7" t="s">
        <v>2904</v>
      </c>
      <c r="D399" s="7" t="s">
        <v>1385</v>
      </c>
      <c r="E399" s="7" t="s">
        <v>130</v>
      </c>
      <c r="F399" s="7" t="s">
        <v>110</v>
      </c>
      <c r="G399" s="7" t="s">
        <v>90</v>
      </c>
      <c r="H399" s="7" t="n">
        <v>2</v>
      </c>
      <c r="I399" s="11" t="n">
        <v>250</v>
      </c>
      <c r="J399" s="11" t="n">
        <v>0</v>
      </c>
      <c r="K399" s="11" t="n">
        <f aca="false">H399*I399-J399</f>
        <v>500</v>
      </c>
      <c r="L399" s="7" t="s">
        <v>88</v>
      </c>
      <c r="M399" s="7" t="s">
        <v>194</v>
      </c>
      <c r="N399" s="7" t="n">
        <v>36</v>
      </c>
      <c r="O399" s="7" t="n">
        <v>3</v>
      </c>
    </row>
    <row r="400" customFormat="false" ht="15" hidden="false" customHeight="false" outlineLevel="0" collapsed="false">
      <c r="A400" s="7" t="s">
        <v>5446</v>
      </c>
      <c r="B400" s="10" t="n">
        <v>45712</v>
      </c>
      <c r="C400" s="7" t="s">
        <v>5447</v>
      </c>
      <c r="D400" s="7" t="s">
        <v>4686</v>
      </c>
      <c r="E400" s="7" t="s">
        <v>142</v>
      </c>
      <c r="F400" s="7" t="s">
        <v>110</v>
      </c>
      <c r="G400" s="7" t="s">
        <v>105</v>
      </c>
      <c r="H400" s="7" t="n">
        <v>1</v>
      </c>
      <c r="I400" s="11" t="n">
        <v>160</v>
      </c>
      <c r="J400" s="11" t="n">
        <v>64</v>
      </c>
      <c r="K400" s="11" t="n">
        <f aca="false">H400*I400-J400</f>
        <v>96</v>
      </c>
      <c r="L400" s="7" t="s">
        <v>88</v>
      </c>
      <c r="M400" s="7" t="s">
        <v>238</v>
      </c>
      <c r="N400" s="7"/>
      <c r="O400" s="7"/>
    </row>
    <row r="401" customFormat="false" ht="15" hidden="false" customHeight="false" outlineLevel="0" collapsed="false">
      <c r="A401" s="7" t="s">
        <v>2449</v>
      </c>
      <c r="B401" s="10" t="n">
        <v>45712</v>
      </c>
      <c r="C401" s="7" t="s">
        <v>2451</v>
      </c>
      <c r="D401" s="7" t="s">
        <v>2452</v>
      </c>
      <c r="E401" s="7" t="s">
        <v>154</v>
      </c>
      <c r="F401" s="7" t="s">
        <v>128</v>
      </c>
      <c r="G401" s="7" t="s">
        <v>99</v>
      </c>
      <c r="H401" s="7" t="n">
        <v>1</v>
      </c>
      <c r="I401" s="11" t="n">
        <v>235</v>
      </c>
      <c r="J401" s="11" t="n">
        <v>0</v>
      </c>
      <c r="K401" s="11" t="n">
        <f aca="false">H401*I401-J401</f>
        <v>235</v>
      </c>
      <c r="L401" s="7" t="s">
        <v>133</v>
      </c>
      <c r="M401" s="7" t="s">
        <v>194</v>
      </c>
      <c r="N401" s="7" t="n">
        <v>40</v>
      </c>
      <c r="O401" s="7" t="n">
        <v>2</v>
      </c>
    </row>
    <row r="402" customFormat="false" ht="15" hidden="false" customHeight="false" outlineLevel="0" collapsed="false">
      <c r="A402" s="7" t="s">
        <v>4131</v>
      </c>
      <c r="B402" s="10" t="n">
        <v>45712</v>
      </c>
      <c r="C402" s="7" t="s">
        <v>4132</v>
      </c>
      <c r="D402" s="7" t="s">
        <v>4133</v>
      </c>
      <c r="E402" s="7" t="s">
        <v>126</v>
      </c>
      <c r="F402" s="7" t="s">
        <v>101</v>
      </c>
      <c r="G402" s="7" t="s">
        <v>105</v>
      </c>
      <c r="H402" s="7" t="n">
        <v>1</v>
      </c>
      <c r="I402" s="11" t="n">
        <v>225</v>
      </c>
      <c r="J402" s="11" t="n">
        <v>0</v>
      </c>
      <c r="K402" s="11" t="n">
        <f aca="false">H402*I402-J402</f>
        <v>225</v>
      </c>
      <c r="L402" s="7" t="s">
        <v>93</v>
      </c>
      <c r="M402" s="7" t="s">
        <v>194</v>
      </c>
      <c r="N402" s="7" t="n">
        <v>40</v>
      </c>
      <c r="O402" s="7" t="n">
        <v>4</v>
      </c>
    </row>
    <row r="403" customFormat="false" ht="15" hidden="false" customHeight="false" outlineLevel="0" collapsed="false">
      <c r="A403" s="7" t="s">
        <v>4612</v>
      </c>
      <c r="B403" s="10" t="n">
        <v>45712</v>
      </c>
      <c r="C403" s="7" t="s">
        <v>2733</v>
      </c>
      <c r="D403" s="7" t="s">
        <v>1154</v>
      </c>
      <c r="E403" s="7" t="s">
        <v>147</v>
      </c>
      <c r="F403" s="7" t="s">
        <v>119</v>
      </c>
      <c r="G403" s="7" t="s">
        <v>95</v>
      </c>
      <c r="H403" s="7" t="n">
        <v>1</v>
      </c>
      <c r="I403" s="11" t="n">
        <v>160</v>
      </c>
      <c r="J403" s="11" t="n">
        <v>0</v>
      </c>
      <c r="K403" s="11" t="n">
        <f aca="false">H403*I403-J403</f>
        <v>160</v>
      </c>
      <c r="L403" s="7" t="s">
        <v>88</v>
      </c>
      <c r="M403" s="7" t="s">
        <v>194</v>
      </c>
      <c r="N403" s="7" t="n">
        <v>40</v>
      </c>
      <c r="O403" s="7" t="n">
        <v>2</v>
      </c>
    </row>
    <row r="404" customFormat="false" ht="15" hidden="false" customHeight="false" outlineLevel="0" collapsed="false">
      <c r="A404" s="7" t="s">
        <v>3934</v>
      </c>
      <c r="B404" s="10" t="n">
        <v>45712</v>
      </c>
      <c r="C404" s="7" t="s">
        <v>1008</v>
      </c>
      <c r="D404" s="7" t="s">
        <v>3635</v>
      </c>
      <c r="E404" s="7" t="s">
        <v>149</v>
      </c>
      <c r="F404" s="7" t="s">
        <v>119</v>
      </c>
      <c r="G404" s="7" t="s">
        <v>150</v>
      </c>
      <c r="H404" s="7" t="n">
        <v>1</v>
      </c>
      <c r="I404" s="11" t="n">
        <v>195</v>
      </c>
      <c r="J404" s="11" t="n">
        <v>0</v>
      </c>
      <c r="K404" s="11" t="n">
        <f aca="false">H404*I404-J404</f>
        <v>195</v>
      </c>
      <c r="L404" s="7" t="s">
        <v>88</v>
      </c>
      <c r="M404" s="7" t="s">
        <v>194</v>
      </c>
      <c r="N404" s="7" t="n">
        <v>33</v>
      </c>
      <c r="O404" s="7" t="n">
        <v>4</v>
      </c>
    </row>
    <row r="405" customFormat="false" ht="15" hidden="false" customHeight="false" outlineLevel="0" collapsed="false">
      <c r="A405" s="7" t="s">
        <v>765</v>
      </c>
      <c r="B405" s="10" t="n">
        <v>45713</v>
      </c>
      <c r="C405" s="7" t="s">
        <v>743</v>
      </c>
      <c r="D405" s="7" t="s">
        <v>766</v>
      </c>
      <c r="E405" s="7" t="s">
        <v>94</v>
      </c>
      <c r="F405" s="7" t="s">
        <v>86</v>
      </c>
      <c r="G405" s="7" t="s">
        <v>95</v>
      </c>
      <c r="H405" s="7" t="n">
        <v>3</v>
      </c>
      <c r="I405" s="11" t="n">
        <v>110</v>
      </c>
      <c r="J405" s="11" t="n">
        <v>0</v>
      </c>
      <c r="K405" s="11" t="n">
        <f aca="false">H405*I405-J405</f>
        <v>330</v>
      </c>
      <c r="L405" s="7" t="s">
        <v>133</v>
      </c>
      <c r="M405" s="7" t="s">
        <v>194</v>
      </c>
      <c r="N405" s="7" t="n">
        <v>38</v>
      </c>
      <c r="O405" s="7" t="n">
        <v>4</v>
      </c>
    </row>
    <row r="406" customFormat="false" ht="15" hidden="false" customHeight="false" outlineLevel="0" collapsed="false">
      <c r="A406" s="7" t="s">
        <v>5572</v>
      </c>
      <c r="B406" s="10" t="n">
        <v>45713</v>
      </c>
      <c r="C406" s="7" t="s">
        <v>2810</v>
      </c>
      <c r="D406" s="7" t="s">
        <v>332</v>
      </c>
      <c r="E406" s="7" t="s">
        <v>154</v>
      </c>
      <c r="F406" s="7" t="s">
        <v>128</v>
      </c>
      <c r="G406" s="7" t="s">
        <v>99</v>
      </c>
      <c r="H406" s="7" t="n">
        <v>2</v>
      </c>
      <c r="I406" s="11" t="n">
        <v>275</v>
      </c>
      <c r="J406" s="11" t="n">
        <v>100</v>
      </c>
      <c r="K406" s="11" t="n">
        <f aca="false">H406*I406-J406</f>
        <v>450</v>
      </c>
      <c r="L406" s="7" t="s">
        <v>93</v>
      </c>
      <c r="M406" s="7" t="s">
        <v>194</v>
      </c>
      <c r="N406" s="7" t="n">
        <v>25</v>
      </c>
      <c r="O406" s="7" t="n">
        <v>3</v>
      </c>
    </row>
    <row r="407" customFormat="false" ht="15" hidden="false" customHeight="false" outlineLevel="0" collapsed="false">
      <c r="A407" s="7" t="s">
        <v>841</v>
      </c>
      <c r="B407" s="10" t="n">
        <v>45713</v>
      </c>
      <c r="C407" s="7" t="s">
        <v>842</v>
      </c>
      <c r="D407" s="7" t="s">
        <v>843</v>
      </c>
      <c r="E407" s="7" t="s">
        <v>134</v>
      </c>
      <c r="F407" s="7" t="s">
        <v>110</v>
      </c>
      <c r="G407" s="7" t="s">
        <v>117</v>
      </c>
      <c r="H407" s="7" t="n">
        <v>3</v>
      </c>
      <c r="I407" s="11" t="n">
        <v>115</v>
      </c>
      <c r="J407" s="11" t="n">
        <v>50</v>
      </c>
      <c r="K407" s="11" t="n">
        <f aca="false">H407*I407-J407</f>
        <v>295</v>
      </c>
      <c r="L407" s="7" t="s">
        <v>133</v>
      </c>
      <c r="M407" s="7" t="s">
        <v>194</v>
      </c>
      <c r="N407" s="7" t="n">
        <v>32</v>
      </c>
      <c r="O407" s="7" t="n">
        <v>4</v>
      </c>
    </row>
    <row r="408" customFormat="false" ht="15" hidden="false" customHeight="false" outlineLevel="0" collapsed="false">
      <c r="A408" s="7" t="s">
        <v>413</v>
      </c>
      <c r="B408" s="10" t="n">
        <v>45713</v>
      </c>
      <c r="C408" s="7" t="s">
        <v>415</v>
      </c>
      <c r="D408" s="7" t="s">
        <v>416</v>
      </c>
      <c r="E408" s="7" t="s">
        <v>154</v>
      </c>
      <c r="F408" s="7" t="s">
        <v>128</v>
      </c>
      <c r="G408" s="7" t="s">
        <v>99</v>
      </c>
      <c r="H408" s="7" t="n">
        <v>1</v>
      </c>
      <c r="I408" s="11" t="n">
        <v>290</v>
      </c>
      <c r="J408" s="11" t="n">
        <v>116</v>
      </c>
      <c r="K408" s="11" t="n">
        <f aca="false">H408*I408-J408</f>
        <v>174</v>
      </c>
      <c r="L408" s="7" t="s">
        <v>88</v>
      </c>
      <c r="M408" s="7" t="s">
        <v>194</v>
      </c>
      <c r="N408" s="7" t="n">
        <v>26</v>
      </c>
      <c r="O408" s="7" t="n">
        <v>2</v>
      </c>
    </row>
    <row r="409" customFormat="false" ht="15" hidden="false" customHeight="false" outlineLevel="0" collapsed="false">
      <c r="A409" s="7" t="s">
        <v>1505</v>
      </c>
      <c r="B409" s="10" t="n">
        <v>45713</v>
      </c>
      <c r="C409" s="7" t="s">
        <v>1501</v>
      </c>
      <c r="D409" s="7" t="s">
        <v>766</v>
      </c>
      <c r="E409" s="7" t="s">
        <v>138</v>
      </c>
      <c r="F409" s="7" t="s">
        <v>110</v>
      </c>
      <c r="G409" s="7" t="s">
        <v>139</v>
      </c>
      <c r="H409" s="7" t="n">
        <v>2</v>
      </c>
      <c r="I409" s="11" t="n">
        <v>210</v>
      </c>
      <c r="J409" s="11" t="n">
        <v>150</v>
      </c>
      <c r="K409" s="11" t="n">
        <f aca="false">H409*I409-J409</f>
        <v>270</v>
      </c>
      <c r="L409" s="7" t="s">
        <v>103</v>
      </c>
      <c r="M409" s="7" t="s">
        <v>194</v>
      </c>
      <c r="N409" s="7" t="n">
        <v>43</v>
      </c>
      <c r="O409" s="7" t="n">
        <v>5</v>
      </c>
    </row>
    <row r="410" customFormat="false" ht="15" hidden="false" customHeight="false" outlineLevel="0" collapsed="false">
      <c r="A410" s="7" t="s">
        <v>4747</v>
      </c>
      <c r="B410" s="10" t="n">
        <v>45713</v>
      </c>
      <c r="C410" s="7" t="s">
        <v>4741</v>
      </c>
      <c r="D410" s="7" t="s">
        <v>2188</v>
      </c>
      <c r="E410" s="7" t="s">
        <v>163</v>
      </c>
      <c r="F410" s="7" t="s">
        <v>141</v>
      </c>
      <c r="G410" s="7" t="s">
        <v>99</v>
      </c>
      <c r="H410" s="7" t="n">
        <v>2</v>
      </c>
      <c r="I410" s="11" t="n">
        <v>290</v>
      </c>
      <c r="J410" s="11" t="n">
        <v>75</v>
      </c>
      <c r="K410" s="11" t="n">
        <f aca="false">H410*I410-J410</f>
        <v>505</v>
      </c>
      <c r="L410" s="7" t="s">
        <v>112</v>
      </c>
      <c r="M410" s="7" t="s">
        <v>194</v>
      </c>
      <c r="N410" s="7" t="n">
        <v>37</v>
      </c>
      <c r="O410" s="7" t="n">
        <v>3</v>
      </c>
    </row>
    <row r="411" customFormat="false" ht="15" hidden="false" customHeight="false" outlineLevel="0" collapsed="false">
      <c r="A411" s="7" t="s">
        <v>5081</v>
      </c>
      <c r="B411" s="10" t="n">
        <v>45713</v>
      </c>
      <c r="C411" s="7" t="s">
        <v>3682</v>
      </c>
      <c r="D411" s="7" t="s">
        <v>2955</v>
      </c>
      <c r="E411" s="7" t="s">
        <v>122</v>
      </c>
      <c r="F411" s="7" t="s">
        <v>101</v>
      </c>
      <c r="G411" s="7" t="s">
        <v>123</v>
      </c>
      <c r="H411" s="7" t="n">
        <v>2</v>
      </c>
      <c r="I411" s="11" t="n">
        <v>330</v>
      </c>
      <c r="J411" s="11" t="n">
        <v>125</v>
      </c>
      <c r="K411" s="11" t="n">
        <f aca="false">H411*I411-J411</f>
        <v>535</v>
      </c>
      <c r="L411" s="7" t="s">
        <v>88</v>
      </c>
      <c r="M411" s="7" t="s">
        <v>194</v>
      </c>
      <c r="N411" s="7" t="n">
        <v>48</v>
      </c>
      <c r="O411" s="7" t="n">
        <v>3</v>
      </c>
    </row>
    <row r="412" customFormat="false" ht="15" hidden="false" customHeight="false" outlineLevel="0" collapsed="false">
      <c r="A412" s="7" t="s">
        <v>666</v>
      </c>
      <c r="B412" s="10" t="n">
        <v>45714</v>
      </c>
      <c r="C412" s="7" t="s">
        <v>668</v>
      </c>
      <c r="D412" s="7" t="s">
        <v>669</v>
      </c>
      <c r="E412" s="7" t="s">
        <v>98</v>
      </c>
      <c r="F412" s="7" t="s">
        <v>86</v>
      </c>
      <c r="G412" s="7" t="s">
        <v>99</v>
      </c>
      <c r="H412" s="7" t="n">
        <v>2</v>
      </c>
      <c r="I412" s="11" t="n">
        <v>280</v>
      </c>
      <c r="J412" s="11" t="n">
        <v>20</v>
      </c>
      <c r="K412" s="11" t="n">
        <f aca="false">H412*I412-J412</f>
        <v>540</v>
      </c>
      <c r="L412" s="7" t="s">
        <v>121</v>
      </c>
      <c r="M412" s="7" t="s">
        <v>194</v>
      </c>
      <c r="N412" s="7" t="n">
        <v>57</v>
      </c>
      <c r="O412" s="7" t="n">
        <v>5</v>
      </c>
    </row>
    <row r="413" customFormat="false" ht="15" hidden="false" customHeight="false" outlineLevel="0" collapsed="false">
      <c r="A413" s="7" t="s">
        <v>978</v>
      </c>
      <c r="B413" s="10" t="n">
        <v>45714</v>
      </c>
      <c r="C413" s="7" t="s">
        <v>979</v>
      </c>
      <c r="D413" s="7" t="s">
        <v>565</v>
      </c>
      <c r="E413" s="7" t="s">
        <v>160</v>
      </c>
      <c r="F413" s="7" t="s">
        <v>136</v>
      </c>
      <c r="G413" s="7" t="s">
        <v>150</v>
      </c>
      <c r="H413" s="7" t="n">
        <v>5</v>
      </c>
      <c r="I413" s="11" t="n">
        <v>205</v>
      </c>
      <c r="J413" s="11" t="n">
        <v>50</v>
      </c>
      <c r="K413" s="11" t="n">
        <f aca="false">H413*I413-J413</f>
        <v>975</v>
      </c>
      <c r="L413" s="7" t="s">
        <v>93</v>
      </c>
      <c r="M413" s="7" t="s">
        <v>194</v>
      </c>
      <c r="N413" s="7" t="n">
        <v>36</v>
      </c>
      <c r="O413" s="7" t="n">
        <v>4</v>
      </c>
    </row>
    <row r="414" customFormat="false" ht="15" hidden="false" customHeight="false" outlineLevel="0" collapsed="false">
      <c r="A414" s="7" t="s">
        <v>2888</v>
      </c>
      <c r="B414" s="10" t="n">
        <v>45714</v>
      </c>
      <c r="C414" s="7" t="s">
        <v>2889</v>
      </c>
      <c r="D414" s="7" t="s">
        <v>2890</v>
      </c>
      <c r="E414" s="7" t="s">
        <v>130</v>
      </c>
      <c r="F414" s="7" t="s">
        <v>110</v>
      </c>
      <c r="G414" s="7" t="s">
        <v>90</v>
      </c>
      <c r="H414" s="7" t="n">
        <v>2</v>
      </c>
      <c r="I414" s="11" t="n">
        <v>280</v>
      </c>
      <c r="J414" s="11" t="n">
        <v>75</v>
      </c>
      <c r="K414" s="11" t="n">
        <f aca="false">H414*I414-J414</f>
        <v>485</v>
      </c>
      <c r="L414" s="7" t="s">
        <v>103</v>
      </c>
      <c r="M414" s="7" t="s">
        <v>194</v>
      </c>
      <c r="N414" s="7" t="n">
        <v>39</v>
      </c>
      <c r="O414" s="7" t="n">
        <v>5</v>
      </c>
    </row>
    <row r="415" customFormat="false" ht="15" hidden="false" customHeight="false" outlineLevel="0" collapsed="false">
      <c r="A415" s="7" t="s">
        <v>5220</v>
      </c>
      <c r="B415" s="10" t="n">
        <v>45714</v>
      </c>
      <c r="C415" s="7" t="s">
        <v>519</v>
      </c>
      <c r="D415" s="7" t="s">
        <v>339</v>
      </c>
      <c r="E415" s="7" t="s">
        <v>98</v>
      </c>
      <c r="F415" s="7" t="s">
        <v>86</v>
      </c>
      <c r="G415" s="7" t="s">
        <v>99</v>
      </c>
      <c r="H415" s="7" t="n">
        <v>1</v>
      </c>
      <c r="I415" s="11" t="n">
        <v>275</v>
      </c>
      <c r="J415" s="11" t="n">
        <v>75</v>
      </c>
      <c r="K415" s="11" t="n">
        <f aca="false">H415*I415-J415</f>
        <v>200</v>
      </c>
      <c r="L415" s="7" t="s">
        <v>103</v>
      </c>
      <c r="M415" s="7" t="s">
        <v>194</v>
      </c>
      <c r="N415" s="7" t="n">
        <v>48</v>
      </c>
      <c r="O415" s="7"/>
    </row>
    <row r="416" customFormat="false" ht="15" hidden="false" customHeight="false" outlineLevel="0" collapsed="false">
      <c r="A416" s="7" t="s">
        <v>1757</v>
      </c>
      <c r="B416" s="10" t="n">
        <v>45714</v>
      </c>
      <c r="C416" s="7" t="s">
        <v>1758</v>
      </c>
      <c r="D416" s="7" t="s">
        <v>1695</v>
      </c>
      <c r="E416" s="7" t="s">
        <v>89</v>
      </c>
      <c r="F416" s="7" t="s">
        <v>86</v>
      </c>
      <c r="G416" s="7" t="s">
        <v>90</v>
      </c>
      <c r="H416" s="7" t="n">
        <v>3</v>
      </c>
      <c r="I416" s="11" t="n">
        <v>240</v>
      </c>
      <c r="J416" s="11" t="n">
        <v>30</v>
      </c>
      <c r="K416" s="11" t="n">
        <f aca="false">H416*I416-J416</f>
        <v>690</v>
      </c>
      <c r="L416" s="7" t="s">
        <v>88</v>
      </c>
      <c r="M416" s="7" t="s">
        <v>194</v>
      </c>
      <c r="N416" s="7" t="n">
        <v>48</v>
      </c>
      <c r="O416" s="7" t="n">
        <v>3</v>
      </c>
    </row>
    <row r="417" customFormat="false" ht="15" hidden="false" customHeight="false" outlineLevel="0" collapsed="false">
      <c r="A417" s="7" t="s">
        <v>4102</v>
      </c>
      <c r="B417" s="10" t="n">
        <v>45714</v>
      </c>
      <c r="C417" s="7" t="s">
        <v>197</v>
      </c>
      <c r="D417" s="7" t="s">
        <v>2738</v>
      </c>
      <c r="E417" s="7" t="s">
        <v>138</v>
      </c>
      <c r="F417" s="7" t="s">
        <v>110</v>
      </c>
      <c r="G417" s="7" t="s">
        <v>139</v>
      </c>
      <c r="H417" s="7" t="n">
        <v>2</v>
      </c>
      <c r="I417" s="11" t="n">
        <v>175</v>
      </c>
      <c r="J417" s="11" t="n">
        <v>0</v>
      </c>
      <c r="K417" s="11" t="n">
        <f aca="false">H417*I417-J417</f>
        <v>350</v>
      </c>
      <c r="L417" s="7" t="s">
        <v>112</v>
      </c>
      <c r="M417" s="7" t="s">
        <v>194</v>
      </c>
      <c r="N417" s="7" t="n">
        <v>43</v>
      </c>
      <c r="O417" s="7" t="n">
        <v>5</v>
      </c>
    </row>
    <row r="418" customFormat="false" ht="15" hidden="false" customHeight="false" outlineLevel="0" collapsed="false">
      <c r="A418" s="7" t="s">
        <v>980</v>
      </c>
      <c r="B418" s="10" t="n">
        <v>45715</v>
      </c>
      <c r="C418" s="7" t="s">
        <v>981</v>
      </c>
      <c r="D418" s="7" t="s">
        <v>982</v>
      </c>
      <c r="E418" s="7" t="s">
        <v>151</v>
      </c>
      <c r="F418" s="7" t="s">
        <v>128</v>
      </c>
      <c r="G418" s="7" t="s">
        <v>95</v>
      </c>
      <c r="H418" s="7" t="n">
        <v>1</v>
      </c>
      <c r="I418" s="11" t="n">
        <v>200</v>
      </c>
      <c r="J418" s="11" t="n">
        <v>0</v>
      </c>
      <c r="K418" s="11" t="n">
        <f aca="false">H418*I418-J418</f>
        <v>200</v>
      </c>
      <c r="L418" s="7" t="s">
        <v>93</v>
      </c>
      <c r="M418" s="7" t="s">
        <v>194</v>
      </c>
      <c r="N418" s="7" t="n">
        <v>30</v>
      </c>
      <c r="O418" s="7" t="n">
        <v>4</v>
      </c>
    </row>
    <row r="419" customFormat="false" ht="15" hidden="false" customHeight="false" outlineLevel="0" collapsed="false">
      <c r="A419" s="7" t="s">
        <v>761</v>
      </c>
      <c r="B419" s="10" t="n">
        <v>45715</v>
      </c>
      <c r="C419" s="7" t="s">
        <v>762</v>
      </c>
      <c r="D419" s="7" t="s">
        <v>763</v>
      </c>
      <c r="E419" s="7" t="s">
        <v>168</v>
      </c>
      <c r="F419" s="7" t="s">
        <v>146</v>
      </c>
      <c r="G419" s="7" t="s">
        <v>123</v>
      </c>
      <c r="H419" s="7" t="n">
        <v>3</v>
      </c>
      <c r="I419" s="11" t="n">
        <v>275</v>
      </c>
      <c r="J419" s="11" t="n">
        <v>0</v>
      </c>
      <c r="K419" s="11" t="n">
        <f aca="false">H419*I419-J419</f>
        <v>825</v>
      </c>
      <c r="L419" s="7" t="s">
        <v>103</v>
      </c>
      <c r="M419" s="7" t="s">
        <v>194</v>
      </c>
      <c r="N419" s="7" t="n">
        <v>31</v>
      </c>
      <c r="O419" s="7" t="n">
        <v>4</v>
      </c>
    </row>
    <row r="420" customFormat="false" ht="15" hidden="false" customHeight="false" outlineLevel="0" collapsed="false">
      <c r="A420" s="7" t="s">
        <v>4065</v>
      </c>
      <c r="B420" s="10" t="n">
        <v>45715</v>
      </c>
      <c r="C420" s="7" t="s">
        <v>310</v>
      </c>
      <c r="D420" s="7" t="s">
        <v>2130</v>
      </c>
      <c r="E420" s="7" t="s">
        <v>159</v>
      </c>
      <c r="F420" s="7" t="s">
        <v>136</v>
      </c>
      <c r="G420" s="7" t="s">
        <v>90</v>
      </c>
      <c r="H420" s="7" t="n">
        <v>5</v>
      </c>
      <c r="I420" s="11" t="n">
        <v>230</v>
      </c>
      <c r="J420" s="11" t="n">
        <v>0</v>
      </c>
      <c r="K420" s="11" t="n">
        <f aca="false">H420*I420-J420</f>
        <v>1150</v>
      </c>
      <c r="L420" s="7" t="s">
        <v>88</v>
      </c>
      <c r="M420" s="7" t="s">
        <v>194</v>
      </c>
      <c r="N420" s="7" t="n">
        <v>27</v>
      </c>
      <c r="O420" s="7"/>
    </row>
    <row r="421" customFormat="false" ht="15" hidden="false" customHeight="false" outlineLevel="0" collapsed="false">
      <c r="A421" s="7" t="s">
        <v>234</v>
      </c>
      <c r="B421" s="10" t="n">
        <v>45715</v>
      </c>
      <c r="C421" s="7" t="s">
        <v>236</v>
      </c>
      <c r="D421" s="7" t="s">
        <v>237</v>
      </c>
      <c r="E421" s="7" t="s">
        <v>134</v>
      </c>
      <c r="F421" s="7" t="s">
        <v>110</v>
      </c>
      <c r="G421" s="7" t="s">
        <v>117</v>
      </c>
      <c r="H421" s="7" t="n">
        <v>5</v>
      </c>
      <c r="I421" s="11" t="n">
        <v>105</v>
      </c>
      <c r="J421" s="11" t="n">
        <v>0</v>
      </c>
      <c r="K421" s="11" t="n">
        <f aca="false">H421*I421-J421</f>
        <v>525</v>
      </c>
      <c r="L421" s="7" t="s">
        <v>88</v>
      </c>
      <c r="M421" s="7" t="s">
        <v>238</v>
      </c>
      <c r="N421" s="7"/>
      <c r="O421" s="7"/>
    </row>
    <row r="422" customFormat="false" ht="15" hidden="false" customHeight="false" outlineLevel="0" collapsed="false">
      <c r="A422" s="7" t="s">
        <v>1196</v>
      </c>
      <c r="B422" s="10" t="n">
        <v>45715</v>
      </c>
      <c r="C422" s="7" t="s">
        <v>1197</v>
      </c>
      <c r="D422" s="7" t="s">
        <v>1198</v>
      </c>
      <c r="E422" s="7" t="s">
        <v>98</v>
      </c>
      <c r="F422" s="7" t="s">
        <v>86</v>
      </c>
      <c r="G422" s="7" t="s">
        <v>99</v>
      </c>
      <c r="H422" s="7" t="n">
        <v>1</v>
      </c>
      <c r="I422" s="11" t="n">
        <v>230</v>
      </c>
      <c r="J422" s="11" t="n">
        <v>0</v>
      </c>
      <c r="K422" s="11" t="n">
        <f aca="false">H422*I422-J422</f>
        <v>230</v>
      </c>
      <c r="L422" s="7" t="s">
        <v>103</v>
      </c>
      <c r="M422" s="7" t="s">
        <v>194</v>
      </c>
      <c r="N422" s="7" t="n">
        <v>33</v>
      </c>
      <c r="O422" s="7"/>
    </row>
    <row r="423" customFormat="false" ht="15" hidden="false" customHeight="false" outlineLevel="0" collapsed="false">
      <c r="A423" s="7" t="s">
        <v>3389</v>
      </c>
      <c r="B423" s="10" t="n">
        <v>45716</v>
      </c>
      <c r="C423" s="7" t="s">
        <v>3390</v>
      </c>
      <c r="D423" s="7" t="s">
        <v>1954</v>
      </c>
      <c r="E423" s="7" t="s">
        <v>89</v>
      </c>
      <c r="F423" s="7" t="s">
        <v>86</v>
      </c>
      <c r="G423" s="7" t="s">
        <v>90</v>
      </c>
      <c r="H423" s="7" t="n">
        <v>1</v>
      </c>
      <c r="I423" s="11" t="n">
        <v>285</v>
      </c>
      <c r="J423" s="11" t="n">
        <v>0</v>
      </c>
      <c r="K423" s="11" t="n">
        <f aca="false">H423*I423-J423</f>
        <v>285</v>
      </c>
      <c r="L423" s="7" t="s">
        <v>88</v>
      </c>
      <c r="M423" s="7" t="s">
        <v>194</v>
      </c>
      <c r="N423" s="7" t="n">
        <v>39</v>
      </c>
      <c r="O423" s="7" t="n">
        <v>5</v>
      </c>
    </row>
    <row r="424" customFormat="false" ht="15" hidden="false" customHeight="false" outlineLevel="0" collapsed="false">
      <c r="A424" s="7" t="s">
        <v>2975</v>
      </c>
      <c r="B424" s="10" t="n">
        <v>45716</v>
      </c>
      <c r="C424" s="7" t="s">
        <v>241</v>
      </c>
      <c r="D424" s="7" t="s">
        <v>2682</v>
      </c>
      <c r="E424" s="7" t="s">
        <v>94</v>
      </c>
      <c r="F424" s="7" t="s">
        <v>86</v>
      </c>
      <c r="G424" s="7" t="s">
        <v>95</v>
      </c>
      <c r="H424" s="7" t="n">
        <v>1</v>
      </c>
      <c r="I424" s="11" t="n">
        <v>125</v>
      </c>
      <c r="J424" s="11" t="n">
        <v>50</v>
      </c>
      <c r="K424" s="11" t="n">
        <f aca="false">H424*I424-J424</f>
        <v>75</v>
      </c>
      <c r="L424" s="7" t="s">
        <v>112</v>
      </c>
      <c r="M424" s="7" t="s">
        <v>194</v>
      </c>
      <c r="N424" s="7" t="n">
        <v>47</v>
      </c>
      <c r="O424" s="7" t="n">
        <v>5</v>
      </c>
    </row>
    <row r="425" customFormat="false" ht="15" hidden="false" customHeight="false" outlineLevel="0" collapsed="false">
      <c r="A425" s="7" t="s">
        <v>1740</v>
      </c>
      <c r="B425" s="10" t="n">
        <v>45716</v>
      </c>
      <c r="C425" s="7" t="s">
        <v>1741</v>
      </c>
      <c r="D425" s="7" t="s">
        <v>1742</v>
      </c>
      <c r="E425" s="7" t="s">
        <v>168</v>
      </c>
      <c r="F425" s="7" t="s">
        <v>146</v>
      </c>
      <c r="G425" s="7" t="s">
        <v>123</v>
      </c>
      <c r="H425" s="7" t="n">
        <v>2</v>
      </c>
      <c r="I425" s="11" t="n">
        <v>360</v>
      </c>
      <c r="J425" s="11" t="n">
        <v>125</v>
      </c>
      <c r="K425" s="11" t="n">
        <f aca="false">H425*I425-J425</f>
        <v>595</v>
      </c>
      <c r="L425" s="7" t="s">
        <v>103</v>
      </c>
      <c r="M425" s="7" t="s">
        <v>194</v>
      </c>
      <c r="N425" s="7" t="n">
        <v>35</v>
      </c>
      <c r="O425" s="7" t="n">
        <v>3</v>
      </c>
    </row>
    <row r="426" customFormat="false" ht="15" hidden="false" customHeight="false" outlineLevel="0" collapsed="false">
      <c r="A426" s="7" t="s">
        <v>5273</v>
      </c>
      <c r="B426" s="10" t="n">
        <v>45716</v>
      </c>
      <c r="C426" s="7" t="s">
        <v>5274</v>
      </c>
      <c r="D426" s="7" t="s">
        <v>5275</v>
      </c>
      <c r="E426" s="7" t="s">
        <v>157</v>
      </c>
      <c r="F426" s="7" t="s">
        <v>136</v>
      </c>
      <c r="G426" s="7" t="s">
        <v>117</v>
      </c>
      <c r="H426" s="7" t="n">
        <v>2</v>
      </c>
      <c r="I426" s="11" t="n">
        <v>135</v>
      </c>
      <c r="J426" s="11" t="n">
        <v>0</v>
      </c>
      <c r="K426" s="11" t="n">
        <f aca="false">H426*I426-J426</f>
        <v>270</v>
      </c>
      <c r="L426" s="7" t="s">
        <v>112</v>
      </c>
      <c r="M426" s="7" t="s">
        <v>194</v>
      </c>
      <c r="N426" s="7" t="n">
        <v>31</v>
      </c>
      <c r="O426" s="7" t="n">
        <v>4</v>
      </c>
    </row>
    <row r="427" customFormat="false" ht="15" hidden="false" customHeight="false" outlineLevel="0" collapsed="false">
      <c r="A427" s="7" t="s">
        <v>5093</v>
      </c>
      <c r="B427" s="10" t="n">
        <v>45716</v>
      </c>
      <c r="C427" s="7" t="s">
        <v>821</v>
      </c>
      <c r="D427" s="7" t="s">
        <v>1579</v>
      </c>
      <c r="E427" s="7" t="s">
        <v>116</v>
      </c>
      <c r="F427" s="7" t="s">
        <v>101</v>
      </c>
      <c r="G427" s="7" t="s">
        <v>117</v>
      </c>
      <c r="H427" s="7" t="n">
        <v>1</v>
      </c>
      <c r="I427" s="11" t="n">
        <v>155</v>
      </c>
      <c r="J427" s="11" t="n">
        <v>0</v>
      </c>
      <c r="K427" s="11" t="n">
        <f aca="false">H427*I427-J427</f>
        <v>155</v>
      </c>
      <c r="L427" s="7" t="s">
        <v>112</v>
      </c>
      <c r="M427" s="7" t="s">
        <v>194</v>
      </c>
      <c r="N427" s="7" t="n">
        <v>36</v>
      </c>
      <c r="O427" s="7" t="n">
        <v>3</v>
      </c>
    </row>
    <row r="428" customFormat="false" ht="15" hidden="false" customHeight="false" outlineLevel="0" collapsed="false">
      <c r="A428" s="7" t="s">
        <v>5424</v>
      </c>
      <c r="B428" s="10" t="n">
        <v>45716</v>
      </c>
      <c r="C428" s="7" t="s">
        <v>5101</v>
      </c>
      <c r="D428" s="7" t="s">
        <v>1299</v>
      </c>
      <c r="E428" s="7" t="s">
        <v>134</v>
      </c>
      <c r="F428" s="7" t="s">
        <v>110</v>
      </c>
      <c r="G428" s="7" t="s">
        <v>117</v>
      </c>
      <c r="H428" s="7" t="n">
        <v>3</v>
      </c>
      <c r="I428" s="11" t="n">
        <v>100</v>
      </c>
      <c r="J428" s="11" t="n">
        <v>0</v>
      </c>
      <c r="K428" s="11" t="n">
        <f aca="false">H428*I428-J428</f>
        <v>300</v>
      </c>
      <c r="L428" s="7" t="s">
        <v>88</v>
      </c>
      <c r="M428" s="7" t="s">
        <v>194</v>
      </c>
      <c r="N428" s="7" t="n">
        <v>33</v>
      </c>
      <c r="O428" s="7" t="n">
        <v>5</v>
      </c>
    </row>
    <row r="429" customFormat="false" ht="15" hidden="false" customHeight="false" outlineLevel="0" collapsed="false">
      <c r="A429" s="7" t="s">
        <v>3883</v>
      </c>
      <c r="B429" s="10" t="n">
        <v>45716</v>
      </c>
      <c r="C429" s="7" t="s">
        <v>3038</v>
      </c>
      <c r="D429" s="7" t="s">
        <v>1536</v>
      </c>
      <c r="E429" s="7" t="s">
        <v>159</v>
      </c>
      <c r="F429" s="7" t="s">
        <v>136</v>
      </c>
      <c r="G429" s="7" t="s">
        <v>90</v>
      </c>
      <c r="H429" s="7" t="n">
        <v>3</v>
      </c>
      <c r="I429" s="11" t="n">
        <v>265</v>
      </c>
      <c r="J429" s="11" t="n">
        <v>0</v>
      </c>
      <c r="K429" s="11" t="n">
        <f aca="false">H429*I429-J429</f>
        <v>795</v>
      </c>
      <c r="L429" s="7" t="s">
        <v>88</v>
      </c>
      <c r="M429" s="7" t="s">
        <v>194</v>
      </c>
      <c r="N429" s="7" t="n">
        <v>46</v>
      </c>
      <c r="O429" s="7" t="n">
        <v>3</v>
      </c>
    </row>
    <row r="430" customFormat="false" ht="15" hidden="false" customHeight="false" outlineLevel="0" collapsed="false">
      <c r="A430" s="7" t="s">
        <v>3355</v>
      </c>
      <c r="B430" s="10" t="n">
        <v>45716</v>
      </c>
      <c r="C430" s="7" t="s">
        <v>2767</v>
      </c>
      <c r="D430" s="7" t="s">
        <v>2988</v>
      </c>
      <c r="E430" s="7" t="s">
        <v>158</v>
      </c>
      <c r="F430" s="7" t="s">
        <v>136</v>
      </c>
      <c r="G430" s="7" t="s">
        <v>139</v>
      </c>
      <c r="H430" s="7" t="n">
        <v>1</v>
      </c>
      <c r="I430" s="11" t="n">
        <v>190</v>
      </c>
      <c r="J430" s="11" t="n">
        <v>0</v>
      </c>
      <c r="K430" s="11" t="n">
        <f aca="false">H430*I430-J430</f>
        <v>190</v>
      </c>
      <c r="L430" s="7" t="s">
        <v>88</v>
      </c>
      <c r="M430" s="7" t="s">
        <v>194</v>
      </c>
      <c r="N430" s="7" t="n">
        <v>34</v>
      </c>
      <c r="O430" s="7" t="n">
        <v>5</v>
      </c>
    </row>
    <row r="431" customFormat="false" ht="15" hidden="false" customHeight="false" outlineLevel="0" collapsed="false">
      <c r="A431" s="7" t="s">
        <v>837</v>
      </c>
      <c r="B431" s="10" t="n">
        <v>45716</v>
      </c>
      <c r="C431" s="7" t="s">
        <v>839</v>
      </c>
      <c r="D431" s="7" t="s">
        <v>840</v>
      </c>
      <c r="E431" s="7" t="s">
        <v>159</v>
      </c>
      <c r="F431" s="7" t="s">
        <v>136</v>
      </c>
      <c r="G431" s="7" t="s">
        <v>90</v>
      </c>
      <c r="H431" s="7" t="n">
        <v>2</v>
      </c>
      <c r="I431" s="11" t="n">
        <v>190</v>
      </c>
      <c r="J431" s="11" t="n">
        <v>150</v>
      </c>
      <c r="K431" s="11" t="n">
        <f aca="false">H431*I431-J431</f>
        <v>230</v>
      </c>
      <c r="L431" s="7" t="s">
        <v>93</v>
      </c>
      <c r="M431" s="7" t="s">
        <v>194</v>
      </c>
      <c r="N431" s="7" t="n">
        <v>30</v>
      </c>
      <c r="O431" s="7" t="n">
        <v>3</v>
      </c>
    </row>
    <row r="432" customFormat="false" ht="15" hidden="false" customHeight="false" outlineLevel="0" collapsed="false">
      <c r="A432" s="7" t="s">
        <v>3264</v>
      </c>
      <c r="B432" s="10" t="n">
        <v>45716</v>
      </c>
      <c r="C432" s="7" t="s">
        <v>619</v>
      </c>
      <c r="D432" s="7" t="s">
        <v>3265</v>
      </c>
      <c r="E432" s="7" t="s">
        <v>142</v>
      </c>
      <c r="F432" s="7" t="s">
        <v>110</v>
      </c>
      <c r="G432" s="7" t="s">
        <v>105</v>
      </c>
      <c r="H432" s="7" t="n">
        <v>4</v>
      </c>
      <c r="I432" s="11" t="n">
        <v>155</v>
      </c>
      <c r="J432" s="11" t="n">
        <v>0</v>
      </c>
      <c r="K432" s="11" t="n">
        <f aca="false">H432*I432-J432</f>
        <v>620</v>
      </c>
      <c r="L432" s="7" t="s">
        <v>88</v>
      </c>
      <c r="M432" s="7" t="s">
        <v>194</v>
      </c>
      <c r="N432" s="7" t="n">
        <v>38</v>
      </c>
      <c r="O432" s="7"/>
    </row>
    <row r="433" customFormat="false" ht="15" hidden="false" customHeight="false" outlineLevel="0" collapsed="false">
      <c r="A433" s="7" t="s">
        <v>4332</v>
      </c>
      <c r="B433" s="10" t="n">
        <v>45716</v>
      </c>
      <c r="C433" s="7" t="s">
        <v>3587</v>
      </c>
      <c r="D433" s="7" t="s">
        <v>988</v>
      </c>
      <c r="E433" s="7" t="s">
        <v>116</v>
      </c>
      <c r="F433" s="7" t="s">
        <v>101</v>
      </c>
      <c r="G433" s="7" t="s">
        <v>117</v>
      </c>
      <c r="H433" s="7" t="n">
        <v>4</v>
      </c>
      <c r="I433" s="11" t="n">
        <v>145</v>
      </c>
      <c r="J433" s="11" t="n">
        <v>0</v>
      </c>
      <c r="K433" s="11" t="n">
        <f aca="false">H433*I433-J433</f>
        <v>580</v>
      </c>
      <c r="L433" s="7" t="s">
        <v>121</v>
      </c>
      <c r="M433" s="7" t="s">
        <v>194</v>
      </c>
      <c r="N433" s="7" t="n">
        <v>44</v>
      </c>
      <c r="O433" s="7" t="n">
        <v>4</v>
      </c>
    </row>
    <row r="434" customFormat="false" ht="15" hidden="false" customHeight="false" outlineLevel="0" collapsed="false">
      <c r="A434" s="7" t="s">
        <v>6008</v>
      </c>
      <c r="B434" s="10" t="n">
        <v>45717</v>
      </c>
      <c r="C434" s="7" t="s">
        <v>1084</v>
      </c>
      <c r="D434" s="7" t="s">
        <v>1753</v>
      </c>
      <c r="E434" s="7" t="s">
        <v>116</v>
      </c>
      <c r="F434" s="7" t="s">
        <v>101</v>
      </c>
      <c r="G434" s="7" t="s">
        <v>117</v>
      </c>
      <c r="H434" s="7" t="n">
        <v>3</v>
      </c>
      <c r="I434" s="11" t="n">
        <v>105</v>
      </c>
      <c r="J434" s="11" t="n">
        <v>0</v>
      </c>
      <c r="K434" s="11" t="n">
        <f aca="false">H434*I434-J434</f>
        <v>315</v>
      </c>
      <c r="L434" s="7" t="s">
        <v>121</v>
      </c>
      <c r="M434" s="7" t="s">
        <v>194</v>
      </c>
      <c r="N434" s="7" t="n">
        <v>41</v>
      </c>
      <c r="O434" s="7" t="n">
        <v>5</v>
      </c>
    </row>
    <row r="435" customFormat="false" ht="15" hidden="false" customHeight="false" outlineLevel="0" collapsed="false">
      <c r="A435" s="7" t="s">
        <v>741</v>
      </c>
      <c r="B435" s="10" t="n">
        <v>45717</v>
      </c>
      <c r="C435" s="7" t="s">
        <v>743</v>
      </c>
      <c r="D435" s="7" t="s">
        <v>744</v>
      </c>
      <c r="E435" s="7" t="s">
        <v>98</v>
      </c>
      <c r="F435" s="7" t="s">
        <v>86</v>
      </c>
      <c r="G435" s="7" t="s">
        <v>99</v>
      </c>
      <c r="H435" s="7" t="n">
        <v>1</v>
      </c>
      <c r="I435" s="11" t="n">
        <v>250</v>
      </c>
      <c r="J435" s="11" t="n">
        <v>100</v>
      </c>
      <c r="K435" s="11" t="n">
        <f aca="false">H435*I435-J435</f>
        <v>150</v>
      </c>
      <c r="L435" s="7" t="s">
        <v>112</v>
      </c>
      <c r="M435" s="7" t="s">
        <v>194</v>
      </c>
      <c r="N435" s="7" t="n">
        <v>41</v>
      </c>
      <c r="O435" s="7"/>
    </row>
    <row r="436" customFormat="false" ht="15" hidden="false" customHeight="false" outlineLevel="0" collapsed="false">
      <c r="A436" s="7" t="s">
        <v>4398</v>
      </c>
      <c r="B436" s="10" t="n">
        <v>45717</v>
      </c>
      <c r="C436" s="7" t="s">
        <v>2105</v>
      </c>
      <c r="D436" s="7" t="s">
        <v>1510</v>
      </c>
      <c r="E436" s="7" t="s">
        <v>138</v>
      </c>
      <c r="F436" s="7" t="s">
        <v>110</v>
      </c>
      <c r="G436" s="7" t="s">
        <v>139</v>
      </c>
      <c r="H436" s="7" t="n">
        <v>3</v>
      </c>
      <c r="I436" s="11" t="n">
        <v>185</v>
      </c>
      <c r="J436" s="11" t="n">
        <v>30</v>
      </c>
      <c r="K436" s="11" t="n">
        <f aca="false">H436*I436-J436</f>
        <v>525</v>
      </c>
      <c r="L436" s="7" t="s">
        <v>112</v>
      </c>
      <c r="M436" s="7" t="s">
        <v>194</v>
      </c>
      <c r="N436" s="7" t="n">
        <v>49</v>
      </c>
      <c r="O436" s="7" t="n">
        <v>4</v>
      </c>
    </row>
    <row r="437" customFormat="false" ht="15" hidden="false" customHeight="false" outlineLevel="0" collapsed="false">
      <c r="A437" s="7" t="s">
        <v>3913</v>
      </c>
      <c r="B437" s="10" t="n">
        <v>45717</v>
      </c>
      <c r="C437" s="7" t="s">
        <v>2921</v>
      </c>
      <c r="D437" s="7" t="s">
        <v>3626</v>
      </c>
      <c r="E437" s="7" t="s">
        <v>159</v>
      </c>
      <c r="F437" s="7" t="s">
        <v>136</v>
      </c>
      <c r="G437" s="7" t="s">
        <v>90</v>
      </c>
      <c r="H437" s="7" t="n">
        <v>5</v>
      </c>
      <c r="I437" s="11" t="n">
        <v>240</v>
      </c>
      <c r="J437" s="11" t="n">
        <v>0</v>
      </c>
      <c r="K437" s="11" t="n">
        <f aca="false">H437*I437-J437</f>
        <v>1200</v>
      </c>
      <c r="L437" s="7" t="s">
        <v>88</v>
      </c>
      <c r="M437" s="7" t="s">
        <v>194</v>
      </c>
      <c r="N437" s="7" t="n">
        <v>33</v>
      </c>
      <c r="O437" s="7"/>
    </row>
    <row r="438" customFormat="false" ht="15" hidden="false" customHeight="false" outlineLevel="0" collapsed="false">
      <c r="A438" s="7" t="s">
        <v>3133</v>
      </c>
      <c r="B438" s="10" t="n">
        <v>45717</v>
      </c>
      <c r="C438" s="7" t="s">
        <v>512</v>
      </c>
      <c r="D438" s="7" t="s">
        <v>3134</v>
      </c>
      <c r="E438" s="7" t="s">
        <v>122</v>
      </c>
      <c r="F438" s="7" t="s">
        <v>101</v>
      </c>
      <c r="G438" s="7" t="s">
        <v>123</v>
      </c>
      <c r="H438" s="7" t="n">
        <v>4</v>
      </c>
      <c r="I438" s="11" t="n">
        <v>365</v>
      </c>
      <c r="J438" s="11" t="n">
        <v>0</v>
      </c>
      <c r="K438" s="11" t="n">
        <f aca="false">H438*I438-J438</f>
        <v>1460</v>
      </c>
      <c r="L438" s="7" t="s">
        <v>103</v>
      </c>
      <c r="M438" s="7" t="s">
        <v>194</v>
      </c>
      <c r="N438" s="7" t="n">
        <v>52</v>
      </c>
      <c r="O438" s="7" t="n">
        <v>3</v>
      </c>
    </row>
    <row r="439" customFormat="false" ht="15" hidden="false" customHeight="false" outlineLevel="0" collapsed="false">
      <c r="A439" s="7" t="s">
        <v>2626</v>
      </c>
      <c r="B439" s="10" t="n">
        <v>45717</v>
      </c>
      <c r="C439" s="7" t="s">
        <v>883</v>
      </c>
      <c r="D439" s="7" t="s">
        <v>2077</v>
      </c>
      <c r="E439" s="7" t="s">
        <v>138</v>
      </c>
      <c r="F439" s="7" t="s">
        <v>110</v>
      </c>
      <c r="G439" s="7" t="s">
        <v>139</v>
      </c>
      <c r="H439" s="7" t="n">
        <v>1</v>
      </c>
      <c r="I439" s="11" t="n">
        <v>210</v>
      </c>
      <c r="J439" s="11" t="n">
        <v>0</v>
      </c>
      <c r="K439" s="11" t="n">
        <f aca="false">H439*I439-J439</f>
        <v>210</v>
      </c>
      <c r="L439" s="7" t="s">
        <v>103</v>
      </c>
      <c r="M439" s="7" t="s">
        <v>194</v>
      </c>
      <c r="N439" s="7" t="n">
        <v>47</v>
      </c>
      <c r="O439" s="7" t="n">
        <v>4</v>
      </c>
    </row>
    <row r="440" customFormat="false" ht="15" hidden="false" customHeight="false" outlineLevel="0" collapsed="false">
      <c r="A440" s="7" t="s">
        <v>4291</v>
      </c>
      <c r="B440" s="10" t="n">
        <v>45717</v>
      </c>
      <c r="C440" s="7" t="s">
        <v>2860</v>
      </c>
      <c r="D440" s="7" t="s">
        <v>4292</v>
      </c>
      <c r="E440" s="7" t="s">
        <v>104</v>
      </c>
      <c r="F440" s="7" t="s">
        <v>86</v>
      </c>
      <c r="G440" s="7" t="s">
        <v>105</v>
      </c>
      <c r="H440" s="7" t="n">
        <v>2</v>
      </c>
      <c r="I440" s="11" t="n">
        <v>225</v>
      </c>
      <c r="J440" s="11" t="n">
        <v>0</v>
      </c>
      <c r="K440" s="11" t="n">
        <f aca="false">H440*I440-J440</f>
        <v>450</v>
      </c>
      <c r="L440" s="7" t="s">
        <v>93</v>
      </c>
      <c r="M440" s="7" t="s">
        <v>194</v>
      </c>
      <c r="N440" s="7" t="n">
        <v>29</v>
      </c>
      <c r="O440" s="7" t="n">
        <v>4</v>
      </c>
    </row>
    <row r="441" customFormat="false" ht="15" hidden="false" customHeight="false" outlineLevel="0" collapsed="false">
      <c r="A441" s="7" t="s">
        <v>1291</v>
      </c>
      <c r="B441" s="10" t="n">
        <v>45717</v>
      </c>
      <c r="C441" s="7" t="s">
        <v>310</v>
      </c>
      <c r="D441" s="7" t="s">
        <v>1293</v>
      </c>
      <c r="E441" s="7" t="s">
        <v>98</v>
      </c>
      <c r="F441" s="7" t="s">
        <v>86</v>
      </c>
      <c r="G441" s="7" t="s">
        <v>99</v>
      </c>
      <c r="H441" s="7" t="n">
        <v>1</v>
      </c>
      <c r="I441" s="11" t="n">
        <v>255</v>
      </c>
      <c r="J441" s="11" t="n">
        <v>40</v>
      </c>
      <c r="K441" s="11" t="n">
        <f aca="false">H441*I441-J441</f>
        <v>215</v>
      </c>
      <c r="L441" s="7" t="s">
        <v>88</v>
      </c>
      <c r="M441" s="7" t="s">
        <v>194</v>
      </c>
      <c r="N441" s="7" t="n">
        <v>39</v>
      </c>
      <c r="O441" s="7" t="n">
        <v>3</v>
      </c>
    </row>
    <row r="442" customFormat="false" ht="15" hidden="false" customHeight="false" outlineLevel="0" collapsed="false">
      <c r="A442" s="7" t="s">
        <v>4407</v>
      </c>
      <c r="B442" s="10" t="n">
        <v>45717</v>
      </c>
      <c r="C442" s="7" t="s">
        <v>788</v>
      </c>
      <c r="D442" s="7" t="s">
        <v>3212</v>
      </c>
      <c r="E442" s="7" t="s">
        <v>160</v>
      </c>
      <c r="F442" s="7" t="s">
        <v>136</v>
      </c>
      <c r="G442" s="7" t="s">
        <v>150</v>
      </c>
      <c r="H442" s="7" t="n">
        <v>2</v>
      </c>
      <c r="I442" s="11" t="n">
        <v>170</v>
      </c>
      <c r="J442" s="11" t="n">
        <v>136</v>
      </c>
      <c r="K442" s="11" t="n">
        <f aca="false">H442*I442-J442</f>
        <v>204</v>
      </c>
      <c r="L442" s="7" t="s">
        <v>93</v>
      </c>
      <c r="M442" s="7" t="s">
        <v>194</v>
      </c>
      <c r="N442" s="7" t="n">
        <v>22</v>
      </c>
      <c r="O442" s="7" t="n">
        <v>4</v>
      </c>
    </row>
    <row r="443" customFormat="false" ht="15" hidden="false" customHeight="false" outlineLevel="0" collapsed="false">
      <c r="A443" s="7" t="s">
        <v>2207</v>
      </c>
      <c r="B443" s="10" t="n">
        <v>45718</v>
      </c>
      <c r="C443" s="7" t="s">
        <v>2209</v>
      </c>
      <c r="D443" s="7" t="s">
        <v>2210</v>
      </c>
      <c r="E443" s="7" t="s">
        <v>134</v>
      </c>
      <c r="F443" s="7" t="s">
        <v>110</v>
      </c>
      <c r="G443" s="7" t="s">
        <v>117</v>
      </c>
      <c r="H443" s="7" t="n">
        <v>2</v>
      </c>
      <c r="I443" s="11" t="n">
        <v>95</v>
      </c>
      <c r="J443" s="11" t="n">
        <v>0</v>
      </c>
      <c r="K443" s="11" t="n">
        <f aca="false">H443*I443-J443</f>
        <v>190</v>
      </c>
      <c r="L443" s="7" t="s">
        <v>88</v>
      </c>
      <c r="M443" s="7" t="s">
        <v>194</v>
      </c>
      <c r="N443" s="7" t="n">
        <v>46</v>
      </c>
      <c r="O443" s="7" t="n">
        <v>3</v>
      </c>
    </row>
    <row r="444" customFormat="false" ht="15" hidden="false" customHeight="false" outlineLevel="0" collapsed="false">
      <c r="A444" s="7" t="s">
        <v>2167</v>
      </c>
      <c r="B444" s="10" t="n">
        <v>45718</v>
      </c>
      <c r="C444" s="7" t="s">
        <v>1899</v>
      </c>
      <c r="D444" s="7" t="s">
        <v>2168</v>
      </c>
      <c r="E444" s="7" t="s">
        <v>161</v>
      </c>
      <c r="F444" s="7" t="s">
        <v>141</v>
      </c>
      <c r="G444" s="7" t="s">
        <v>117</v>
      </c>
      <c r="H444" s="7" t="n">
        <v>2</v>
      </c>
      <c r="I444" s="11" t="n">
        <v>150</v>
      </c>
      <c r="J444" s="11" t="n">
        <v>0</v>
      </c>
      <c r="K444" s="11" t="n">
        <f aca="false">H444*I444-J444</f>
        <v>300</v>
      </c>
      <c r="L444" s="7" t="s">
        <v>103</v>
      </c>
      <c r="M444" s="7" t="s">
        <v>194</v>
      </c>
      <c r="N444" s="7" t="n">
        <v>35</v>
      </c>
      <c r="O444" s="7" t="n">
        <v>4</v>
      </c>
    </row>
    <row r="445" customFormat="false" ht="15" hidden="false" customHeight="false" outlineLevel="0" collapsed="false">
      <c r="A445" s="7" t="s">
        <v>247</v>
      </c>
      <c r="B445" s="10" t="n">
        <v>45718</v>
      </c>
      <c r="C445" s="7" t="s">
        <v>249</v>
      </c>
      <c r="D445" s="7" t="s">
        <v>250</v>
      </c>
      <c r="E445" s="7" t="s">
        <v>138</v>
      </c>
      <c r="F445" s="7" t="s">
        <v>110</v>
      </c>
      <c r="G445" s="7" t="s">
        <v>139</v>
      </c>
      <c r="H445" s="7" t="n">
        <v>1</v>
      </c>
      <c r="I445" s="11" t="n">
        <v>225</v>
      </c>
      <c r="J445" s="11" t="n">
        <v>0</v>
      </c>
      <c r="K445" s="11" t="n">
        <f aca="false">H445*I445-J445</f>
        <v>225</v>
      </c>
      <c r="L445" s="7" t="s">
        <v>88</v>
      </c>
      <c r="M445" s="7" t="s">
        <v>194</v>
      </c>
      <c r="N445" s="7" t="n">
        <v>36</v>
      </c>
      <c r="O445" s="7" t="n">
        <v>4</v>
      </c>
    </row>
    <row r="446" customFormat="false" ht="15" hidden="false" customHeight="false" outlineLevel="0" collapsed="false">
      <c r="A446" s="7" t="s">
        <v>4021</v>
      </c>
      <c r="B446" s="10" t="n">
        <v>45718</v>
      </c>
      <c r="C446" s="7" t="s">
        <v>1734</v>
      </c>
      <c r="D446" s="7" t="s">
        <v>4022</v>
      </c>
      <c r="E446" s="7" t="s">
        <v>142</v>
      </c>
      <c r="F446" s="7" t="s">
        <v>110</v>
      </c>
      <c r="G446" s="7" t="s">
        <v>105</v>
      </c>
      <c r="H446" s="7" t="n">
        <v>3</v>
      </c>
      <c r="I446" s="11" t="n">
        <v>140</v>
      </c>
      <c r="J446" s="11" t="n">
        <v>0</v>
      </c>
      <c r="K446" s="11" t="n">
        <f aca="false">H446*I446-J446</f>
        <v>420</v>
      </c>
      <c r="L446" s="7" t="s">
        <v>121</v>
      </c>
      <c r="M446" s="7" t="s">
        <v>238</v>
      </c>
      <c r="N446" s="7"/>
      <c r="O446" s="7"/>
    </row>
    <row r="447" customFormat="false" ht="15" hidden="false" customHeight="false" outlineLevel="0" collapsed="false">
      <c r="A447" s="7" t="s">
        <v>1673</v>
      </c>
      <c r="B447" s="10" t="n">
        <v>45718</v>
      </c>
      <c r="C447" s="7" t="s">
        <v>1674</v>
      </c>
      <c r="D447" s="7" t="s">
        <v>1675</v>
      </c>
      <c r="E447" s="7" t="s">
        <v>160</v>
      </c>
      <c r="F447" s="7" t="s">
        <v>136</v>
      </c>
      <c r="G447" s="7" t="s">
        <v>150</v>
      </c>
      <c r="H447" s="7" t="n">
        <v>3</v>
      </c>
      <c r="I447" s="11" t="n">
        <v>165</v>
      </c>
      <c r="J447" s="11" t="n">
        <v>75</v>
      </c>
      <c r="K447" s="11" t="n">
        <f aca="false">H447*I447-J447</f>
        <v>420</v>
      </c>
      <c r="L447" s="7" t="s">
        <v>103</v>
      </c>
      <c r="M447" s="7" t="s">
        <v>194</v>
      </c>
      <c r="N447" s="7" t="n">
        <v>42</v>
      </c>
      <c r="O447" s="7" t="n">
        <v>5</v>
      </c>
    </row>
    <row r="448" customFormat="false" ht="15" hidden="false" customHeight="false" outlineLevel="0" collapsed="false">
      <c r="A448" s="7" t="s">
        <v>4941</v>
      </c>
      <c r="B448" s="10" t="n">
        <v>45718</v>
      </c>
      <c r="C448" s="7" t="s">
        <v>638</v>
      </c>
      <c r="D448" s="7" t="s">
        <v>2990</v>
      </c>
      <c r="E448" s="7" t="s">
        <v>138</v>
      </c>
      <c r="F448" s="7" t="s">
        <v>110</v>
      </c>
      <c r="G448" s="7" t="s">
        <v>139</v>
      </c>
      <c r="H448" s="7" t="n">
        <v>2</v>
      </c>
      <c r="I448" s="11" t="n">
        <v>195</v>
      </c>
      <c r="J448" s="11" t="n">
        <v>150</v>
      </c>
      <c r="K448" s="11" t="n">
        <f aca="false">H448*I448-J448</f>
        <v>240</v>
      </c>
      <c r="L448" s="7" t="s">
        <v>133</v>
      </c>
      <c r="M448" s="7" t="s">
        <v>194</v>
      </c>
      <c r="N448" s="7" t="n">
        <v>47</v>
      </c>
      <c r="O448" s="7" t="n">
        <v>3</v>
      </c>
    </row>
    <row r="449" customFormat="false" ht="15" hidden="false" customHeight="false" outlineLevel="0" collapsed="false">
      <c r="A449" s="7" t="s">
        <v>3444</v>
      </c>
      <c r="B449" s="10" t="n">
        <v>45718</v>
      </c>
      <c r="C449" s="7" t="s">
        <v>3445</v>
      </c>
      <c r="D449" s="7" t="s">
        <v>1521</v>
      </c>
      <c r="E449" s="7" t="s">
        <v>138</v>
      </c>
      <c r="F449" s="7" t="s">
        <v>110</v>
      </c>
      <c r="G449" s="7" t="s">
        <v>139</v>
      </c>
      <c r="H449" s="7" t="n">
        <v>1</v>
      </c>
      <c r="I449" s="11" t="n">
        <v>175</v>
      </c>
      <c r="J449" s="11" t="n">
        <v>40</v>
      </c>
      <c r="K449" s="11" t="n">
        <f aca="false">H449*I449-J449</f>
        <v>135</v>
      </c>
      <c r="L449" s="7" t="s">
        <v>112</v>
      </c>
      <c r="M449" s="7" t="s">
        <v>194</v>
      </c>
      <c r="N449" s="7" t="n">
        <v>34</v>
      </c>
      <c r="O449" s="7" t="n">
        <v>3</v>
      </c>
    </row>
    <row r="450" customFormat="false" ht="15" hidden="false" customHeight="false" outlineLevel="0" collapsed="false">
      <c r="A450" s="7" t="s">
        <v>3555</v>
      </c>
      <c r="B450" s="10" t="n">
        <v>45719</v>
      </c>
      <c r="C450" s="7" t="s">
        <v>3189</v>
      </c>
      <c r="D450" s="7" t="s">
        <v>777</v>
      </c>
      <c r="E450" s="7" t="s">
        <v>142</v>
      </c>
      <c r="F450" s="7" t="s">
        <v>110</v>
      </c>
      <c r="G450" s="7" t="s">
        <v>105</v>
      </c>
      <c r="H450" s="7" t="n">
        <v>1</v>
      </c>
      <c r="I450" s="11" t="n">
        <v>195</v>
      </c>
      <c r="J450" s="11" t="n">
        <v>0</v>
      </c>
      <c r="K450" s="11" t="n">
        <f aca="false">H450*I450-J450</f>
        <v>195</v>
      </c>
      <c r="L450" s="7" t="s">
        <v>93</v>
      </c>
      <c r="M450" s="7" t="s">
        <v>194</v>
      </c>
      <c r="N450" s="7" t="n">
        <v>41</v>
      </c>
      <c r="O450" s="7" t="n">
        <v>4</v>
      </c>
    </row>
    <row r="451" customFormat="false" ht="15" hidden="false" customHeight="false" outlineLevel="0" collapsed="false">
      <c r="A451" s="7" t="s">
        <v>6035</v>
      </c>
      <c r="B451" s="10" t="n">
        <v>45719</v>
      </c>
      <c r="C451" s="7" t="s">
        <v>1684</v>
      </c>
      <c r="D451" s="7" t="s">
        <v>3191</v>
      </c>
      <c r="E451" s="7" t="s">
        <v>113</v>
      </c>
      <c r="F451" s="7" t="s">
        <v>101</v>
      </c>
      <c r="G451" s="7" t="s">
        <v>90</v>
      </c>
      <c r="H451" s="7" t="n">
        <v>2</v>
      </c>
      <c r="I451" s="11" t="n">
        <v>240</v>
      </c>
      <c r="J451" s="11" t="n">
        <v>75</v>
      </c>
      <c r="K451" s="11" t="n">
        <f aca="false">H451*I451-J451</f>
        <v>405</v>
      </c>
      <c r="L451" s="7" t="s">
        <v>112</v>
      </c>
      <c r="M451" s="7" t="s">
        <v>194</v>
      </c>
      <c r="N451" s="7" t="n">
        <v>41</v>
      </c>
      <c r="O451" s="7" t="n">
        <v>3</v>
      </c>
    </row>
    <row r="452" customFormat="false" ht="15" hidden="false" customHeight="false" outlineLevel="0" collapsed="false">
      <c r="A452" s="7" t="s">
        <v>5860</v>
      </c>
      <c r="B452" s="10" t="n">
        <v>45719</v>
      </c>
      <c r="C452" s="7" t="s">
        <v>3349</v>
      </c>
      <c r="D452" s="7" t="s">
        <v>2464</v>
      </c>
      <c r="E452" s="7" t="s">
        <v>98</v>
      </c>
      <c r="F452" s="7" t="s">
        <v>86</v>
      </c>
      <c r="G452" s="7" t="s">
        <v>99</v>
      </c>
      <c r="H452" s="7" t="n">
        <v>2</v>
      </c>
      <c r="I452" s="11" t="n">
        <v>325</v>
      </c>
      <c r="J452" s="11" t="n">
        <v>0</v>
      </c>
      <c r="K452" s="11" t="n">
        <f aca="false">H452*I452-J452</f>
        <v>650</v>
      </c>
      <c r="L452" s="7" t="s">
        <v>112</v>
      </c>
      <c r="M452" s="7" t="s">
        <v>194</v>
      </c>
      <c r="N452" s="7" t="n">
        <v>48</v>
      </c>
      <c r="O452" s="7" t="n">
        <v>5</v>
      </c>
    </row>
    <row r="453" customFormat="false" ht="15" hidden="false" customHeight="false" outlineLevel="0" collapsed="false">
      <c r="A453" s="7" t="s">
        <v>3447</v>
      </c>
      <c r="B453" s="10" t="n">
        <v>45719</v>
      </c>
      <c r="C453" s="7" t="s">
        <v>3448</v>
      </c>
      <c r="D453" s="7" t="s">
        <v>2706</v>
      </c>
      <c r="E453" s="7" t="s">
        <v>126</v>
      </c>
      <c r="F453" s="7" t="s">
        <v>101</v>
      </c>
      <c r="G453" s="7" t="s">
        <v>105</v>
      </c>
      <c r="H453" s="7" t="n">
        <v>3</v>
      </c>
      <c r="I453" s="11" t="n">
        <v>210</v>
      </c>
      <c r="J453" s="11" t="n">
        <v>30</v>
      </c>
      <c r="K453" s="11" t="n">
        <f aca="false">H453*I453-J453</f>
        <v>600</v>
      </c>
      <c r="L453" s="7" t="s">
        <v>93</v>
      </c>
      <c r="M453" s="7" t="s">
        <v>194</v>
      </c>
      <c r="N453" s="7" t="n">
        <v>51</v>
      </c>
      <c r="O453" s="7" t="n">
        <v>5</v>
      </c>
    </row>
    <row r="454" customFormat="false" ht="15" hidden="false" customHeight="false" outlineLevel="0" collapsed="false">
      <c r="A454" s="7" t="s">
        <v>3085</v>
      </c>
      <c r="B454" s="10" t="n">
        <v>45719</v>
      </c>
      <c r="C454" s="7" t="s">
        <v>1256</v>
      </c>
      <c r="D454" s="7" t="s">
        <v>3087</v>
      </c>
      <c r="E454" s="7" t="s">
        <v>104</v>
      </c>
      <c r="F454" s="7" t="s">
        <v>86</v>
      </c>
      <c r="G454" s="7" t="s">
        <v>105</v>
      </c>
      <c r="H454" s="7" t="n">
        <v>2</v>
      </c>
      <c r="I454" s="11" t="n">
        <v>225</v>
      </c>
      <c r="J454" s="11" t="n">
        <v>0</v>
      </c>
      <c r="K454" s="11" t="n">
        <f aca="false">H454*I454-J454</f>
        <v>450</v>
      </c>
      <c r="L454" s="7" t="s">
        <v>88</v>
      </c>
      <c r="M454" s="7" t="s">
        <v>194</v>
      </c>
      <c r="N454" s="7" t="n">
        <v>39</v>
      </c>
      <c r="O454" s="7" t="n">
        <v>5</v>
      </c>
    </row>
    <row r="455" customFormat="false" ht="15" hidden="false" customHeight="false" outlineLevel="0" collapsed="false">
      <c r="A455" s="7" t="s">
        <v>2926</v>
      </c>
      <c r="B455" s="10" t="n">
        <v>45719</v>
      </c>
      <c r="C455" s="7" t="s">
        <v>1791</v>
      </c>
      <c r="D455" s="7" t="s">
        <v>2927</v>
      </c>
      <c r="E455" s="7" t="s">
        <v>113</v>
      </c>
      <c r="F455" s="7" t="s">
        <v>101</v>
      </c>
      <c r="G455" s="7" t="s">
        <v>90</v>
      </c>
      <c r="H455" s="7" t="n">
        <v>1</v>
      </c>
      <c r="I455" s="11" t="n">
        <v>235</v>
      </c>
      <c r="J455" s="11" t="n">
        <v>40</v>
      </c>
      <c r="K455" s="11" t="n">
        <f aca="false">H455*I455-J455</f>
        <v>195</v>
      </c>
      <c r="L455" s="7" t="s">
        <v>103</v>
      </c>
      <c r="M455" s="7" t="s">
        <v>194</v>
      </c>
      <c r="N455" s="7" t="n">
        <v>45</v>
      </c>
      <c r="O455" s="7" t="n">
        <v>3</v>
      </c>
    </row>
    <row r="456" customFormat="false" ht="15" hidden="false" customHeight="false" outlineLevel="0" collapsed="false">
      <c r="A456" s="7" t="s">
        <v>3208</v>
      </c>
      <c r="B456" s="10" t="n">
        <v>45719</v>
      </c>
      <c r="C456" s="7" t="s">
        <v>3209</v>
      </c>
      <c r="D456" s="7" t="s">
        <v>2017</v>
      </c>
      <c r="E456" s="7" t="s">
        <v>89</v>
      </c>
      <c r="F456" s="7" t="s">
        <v>86</v>
      </c>
      <c r="G456" s="7" t="s">
        <v>90</v>
      </c>
      <c r="H456" s="7" t="n">
        <v>2</v>
      </c>
      <c r="I456" s="11" t="n">
        <v>240</v>
      </c>
      <c r="J456" s="11" t="n">
        <v>50</v>
      </c>
      <c r="K456" s="11" t="n">
        <f aca="false">H456*I456-J456</f>
        <v>430</v>
      </c>
      <c r="L456" s="7" t="s">
        <v>88</v>
      </c>
      <c r="M456" s="7" t="s">
        <v>194</v>
      </c>
      <c r="N456" s="7" t="n">
        <v>47</v>
      </c>
      <c r="O456" s="7" t="n">
        <v>4</v>
      </c>
    </row>
    <row r="457" customFormat="false" ht="15" hidden="false" customHeight="false" outlineLevel="0" collapsed="false">
      <c r="A457" s="7" t="s">
        <v>5297</v>
      </c>
      <c r="B457" s="10" t="n">
        <v>45719</v>
      </c>
      <c r="C457" s="7" t="s">
        <v>1133</v>
      </c>
      <c r="D457" s="7" t="s">
        <v>744</v>
      </c>
      <c r="E457" s="7" t="s">
        <v>126</v>
      </c>
      <c r="F457" s="7" t="s">
        <v>101</v>
      </c>
      <c r="G457" s="7" t="s">
        <v>105</v>
      </c>
      <c r="H457" s="7" t="n">
        <v>2</v>
      </c>
      <c r="I457" s="11" t="n">
        <v>195</v>
      </c>
      <c r="J457" s="11" t="n">
        <v>30</v>
      </c>
      <c r="K457" s="11" t="n">
        <f aca="false">H457*I457-J457</f>
        <v>360</v>
      </c>
      <c r="L457" s="7" t="s">
        <v>88</v>
      </c>
      <c r="M457" s="7" t="s">
        <v>194</v>
      </c>
      <c r="N457" s="7" t="n">
        <v>50</v>
      </c>
      <c r="O457" s="7" t="n">
        <v>4</v>
      </c>
    </row>
    <row r="458" customFormat="false" ht="15" hidden="false" customHeight="false" outlineLevel="0" collapsed="false">
      <c r="A458" s="7" t="s">
        <v>3336</v>
      </c>
      <c r="B458" s="10" t="n">
        <v>45719</v>
      </c>
      <c r="C458" s="7" t="s">
        <v>201</v>
      </c>
      <c r="D458" s="7" t="s">
        <v>2253</v>
      </c>
      <c r="E458" s="7" t="s">
        <v>94</v>
      </c>
      <c r="F458" s="7" t="s">
        <v>86</v>
      </c>
      <c r="G458" s="7" t="s">
        <v>95</v>
      </c>
      <c r="H458" s="7" t="n">
        <v>1</v>
      </c>
      <c r="I458" s="11" t="n">
        <v>125</v>
      </c>
      <c r="J458" s="11" t="n">
        <v>0</v>
      </c>
      <c r="K458" s="11" t="n">
        <f aca="false">H458*I458-J458</f>
        <v>125</v>
      </c>
      <c r="L458" s="7" t="s">
        <v>93</v>
      </c>
      <c r="M458" s="7" t="s">
        <v>194</v>
      </c>
      <c r="N458" s="7" t="n">
        <v>40</v>
      </c>
      <c r="O458" s="7" t="n">
        <v>4</v>
      </c>
    </row>
    <row r="459" customFormat="false" ht="15" hidden="false" customHeight="false" outlineLevel="0" collapsed="false">
      <c r="A459" s="7" t="s">
        <v>1056</v>
      </c>
      <c r="B459" s="10" t="n">
        <v>45719</v>
      </c>
      <c r="C459" s="7" t="s">
        <v>1058</v>
      </c>
      <c r="D459" s="7" t="s">
        <v>1059</v>
      </c>
      <c r="E459" s="7" t="s">
        <v>157</v>
      </c>
      <c r="F459" s="7" t="s">
        <v>136</v>
      </c>
      <c r="G459" s="7" t="s">
        <v>117</v>
      </c>
      <c r="H459" s="7" t="n">
        <v>2</v>
      </c>
      <c r="I459" s="11" t="n">
        <v>130</v>
      </c>
      <c r="J459" s="11" t="n">
        <v>0</v>
      </c>
      <c r="K459" s="11" t="n">
        <f aca="false">H459*I459-J459</f>
        <v>260</v>
      </c>
      <c r="L459" s="7" t="s">
        <v>112</v>
      </c>
      <c r="M459" s="7" t="s">
        <v>194</v>
      </c>
      <c r="N459" s="7" t="n">
        <v>20</v>
      </c>
      <c r="O459" s="7" t="n">
        <v>4</v>
      </c>
    </row>
    <row r="460" customFormat="false" ht="15" hidden="false" customHeight="false" outlineLevel="0" collapsed="false">
      <c r="A460" s="7" t="s">
        <v>5976</v>
      </c>
      <c r="B460" s="10" t="n">
        <v>45720</v>
      </c>
      <c r="C460" s="7" t="s">
        <v>1128</v>
      </c>
      <c r="D460" s="7" t="s">
        <v>2622</v>
      </c>
      <c r="E460" s="7" t="s">
        <v>159</v>
      </c>
      <c r="F460" s="7" t="s">
        <v>136</v>
      </c>
      <c r="G460" s="7" t="s">
        <v>90</v>
      </c>
      <c r="H460" s="7" t="n">
        <v>5</v>
      </c>
      <c r="I460" s="11" t="n">
        <v>255</v>
      </c>
      <c r="J460" s="11" t="n">
        <v>40</v>
      </c>
      <c r="K460" s="11" t="n">
        <f aca="false">H460*I460-J460</f>
        <v>1235</v>
      </c>
      <c r="L460" s="7" t="s">
        <v>103</v>
      </c>
      <c r="M460" s="7" t="s">
        <v>194</v>
      </c>
      <c r="N460" s="7" t="n">
        <v>30</v>
      </c>
      <c r="O460" s="7" t="n">
        <v>3</v>
      </c>
    </row>
    <row r="461" customFormat="false" ht="15" hidden="false" customHeight="false" outlineLevel="0" collapsed="false">
      <c r="A461" s="7" t="s">
        <v>2884</v>
      </c>
      <c r="B461" s="10" t="n">
        <v>45720</v>
      </c>
      <c r="C461" s="7" t="s">
        <v>2245</v>
      </c>
      <c r="D461" s="7" t="s">
        <v>2885</v>
      </c>
      <c r="E461" s="7" t="s">
        <v>130</v>
      </c>
      <c r="F461" s="7" t="s">
        <v>110</v>
      </c>
      <c r="G461" s="7" t="s">
        <v>90</v>
      </c>
      <c r="H461" s="7" t="n">
        <v>1</v>
      </c>
      <c r="I461" s="11" t="n">
        <v>300</v>
      </c>
      <c r="J461" s="11" t="n">
        <v>0</v>
      </c>
      <c r="K461" s="11" t="n">
        <f aca="false">H461*I461-J461</f>
        <v>300</v>
      </c>
      <c r="L461" s="7" t="s">
        <v>121</v>
      </c>
      <c r="M461" s="7" t="s">
        <v>194</v>
      </c>
      <c r="N461" s="7"/>
      <c r="O461" s="7" t="n">
        <v>4</v>
      </c>
    </row>
    <row r="462" customFormat="false" ht="15" hidden="false" customHeight="false" outlineLevel="0" collapsed="false">
      <c r="A462" s="7" t="s">
        <v>2886</v>
      </c>
      <c r="B462" s="10" t="n">
        <v>45720</v>
      </c>
      <c r="C462" s="7" t="s">
        <v>896</v>
      </c>
      <c r="D462" s="7" t="s">
        <v>2887</v>
      </c>
      <c r="E462" s="7" t="s">
        <v>113</v>
      </c>
      <c r="F462" s="7" t="s">
        <v>101</v>
      </c>
      <c r="G462" s="7" t="s">
        <v>90</v>
      </c>
      <c r="H462" s="7" t="n">
        <v>2</v>
      </c>
      <c r="I462" s="11" t="n">
        <v>265</v>
      </c>
      <c r="J462" s="11" t="n">
        <v>0</v>
      </c>
      <c r="K462" s="11" t="n">
        <f aca="false">H462*I462-J462</f>
        <v>530</v>
      </c>
      <c r="L462" s="7" t="s">
        <v>121</v>
      </c>
      <c r="M462" s="7" t="s">
        <v>194</v>
      </c>
      <c r="N462" s="7" t="n">
        <v>43</v>
      </c>
      <c r="O462" s="7" t="n">
        <v>4</v>
      </c>
    </row>
    <row r="463" customFormat="false" ht="15" hidden="false" customHeight="false" outlineLevel="0" collapsed="false">
      <c r="A463" s="7" t="s">
        <v>1103</v>
      </c>
      <c r="B463" s="10" t="n">
        <v>45720</v>
      </c>
      <c r="C463" s="7" t="s">
        <v>1105</v>
      </c>
      <c r="D463" s="7" t="s">
        <v>1106</v>
      </c>
      <c r="E463" s="7" t="s">
        <v>149</v>
      </c>
      <c r="F463" s="7" t="s">
        <v>119</v>
      </c>
      <c r="G463" s="7" t="s">
        <v>150</v>
      </c>
      <c r="H463" s="7" t="n">
        <v>1</v>
      </c>
      <c r="I463" s="11" t="n">
        <v>145</v>
      </c>
      <c r="J463" s="11" t="n">
        <v>58</v>
      </c>
      <c r="K463" s="11" t="n">
        <f aca="false">H463*I463-J463</f>
        <v>87</v>
      </c>
      <c r="L463" s="7" t="s">
        <v>93</v>
      </c>
      <c r="M463" s="7" t="s">
        <v>194</v>
      </c>
      <c r="N463" s="7" t="n">
        <v>32</v>
      </c>
      <c r="O463" s="7" t="n">
        <v>3</v>
      </c>
    </row>
    <row r="464" customFormat="false" ht="15" hidden="false" customHeight="false" outlineLevel="0" collapsed="false">
      <c r="A464" s="7" t="s">
        <v>5944</v>
      </c>
      <c r="B464" s="10" t="n">
        <v>45720</v>
      </c>
      <c r="C464" s="7" t="s">
        <v>4807</v>
      </c>
      <c r="D464" s="7" t="s">
        <v>3584</v>
      </c>
      <c r="E464" s="7" t="s">
        <v>154</v>
      </c>
      <c r="F464" s="7" t="s">
        <v>128</v>
      </c>
      <c r="G464" s="7" t="s">
        <v>99</v>
      </c>
      <c r="H464" s="7" t="n">
        <v>2</v>
      </c>
      <c r="I464" s="11" t="n">
        <v>235</v>
      </c>
      <c r="J464" s="11" t="n">
        <v>0</v>
      </c>
      <c r="K464" s="11" t="n">
        <f aca="false">H464*I464-J464</f>
        <v>470</v>
      </c>
      <c r="L464" s="7" t="s">
        <v>88</v>
      </c>
      <c r="M464" s="7" t="s">
        <v>194</v>
      </c>
      <c r="N464" s="7" t="n">
        <v>42</v>
      </c>
      <c r="O464" s="7" t="n">
        <v>4</v>
      </c>
    </row>
    <row r="465" customFormat="false" ht="15" hidden="false" customHeight="false" outlineLevel="0" collapsed="false">
      <c r="A465" s="7" t="s">
        <v>4399</v>
      </c>
      <c r="B465" s="10" t="n">
        <v>45720</v>
      </c>
      <c r="C465" s="7" t="s">
        <v>1725</v>
      </c>
      <c r="D465" s="7" t="s">
        <v>4401</v>
      </c>
      <c r="E465" s="7" t="s">
        <v>161</v>
      </c>
      <c r="F465" s="7" t="s">
        <v>141</v>
      </c>
      <c r="G465" s="7" t="s">
        <v>117</v>
      </c>
      <c r="H465" s="7" t="n">
        <v>4</v>
      </c>
      <c r="I465" s="11" t="n">
        <v>130</v>
      </c>
      <c r="J465" s="11" t="n">
        <v>0</v>
      </c>
      <c r="K465" s="11" t="n">
        <f aca="false">H465*I465-J465</f>
        <v>520</v>
      </c>
      <c r="L465" s="7" t="s">
        <v>88</v>
      </c>
      <c r="M465" s="7" t="s">
        <v>194</v>
      </c>
      <c r="N465" s="7" t="n">
        <v>35</v>
      </c>
      <c r="O465" s="7" t="n">
        <v>5</v>
      </c>
    </row>
    <row r="466" customFormat="false" ht="15" hidden="false" customHeight="false" outlineLevel="0" collapsed="false">
      <c r="A466" s="7" t="s">
        <v>4788</v>
      </c>
      <c r="B466" s="10" t="n">
        <v>45721</v>
      </c>
      <c r="C466" s="7" t="s">
        <v>4789</v>
      </c>
      <c r="D466" s="7" t="s">
        <v>1641</v>
      </c>
      <c r="E466" s="7" t="s">
        <v>116</v>
      </c>
      <c r="F466" s="7" t="s">
        <v>101</v>
      </c>
      <c r="G466" s="7" t="s">
        <v>117</v>
      </c>
      <c r="H466" s="7" t="n">
        <v>1</v>
      </c>
      <c r="I466" s="11" t="n">
        <v>135</v>
      </c>
      <c r="J466" s="11" t="n">
        <v>20</v>
      </c>
      <c r="K466" s="11" t="n">
        <f aca="false">H466*I466-J466</f>
        <v>115</v>
      </c>
      <c r="L466" s="7" t="s">
        <v>88</v>
      </c>
      <c r="M466" s="7" t="s">
        <v>194</v>
      </c>
      <c r="N466" s="7" t="n">
        <v>41</v>
      </c>
      <c r="O466" s="7" t="n">
        <v>3</v>
      </c>
    </row>
    <row r="467" customFormat="false" ht="15" hidden="false" customHeight="false" outlineLevel="0" collapsed="false">
      <c r="A467" s="7" t="s">
        <v>4672</v>
      </c>
      <c r="B467" s="10" t="n">
        <v>45721</v>
      </c>
      <c r="C467" s="7" t="s">
        <v>3944</v>
      </c>
      <c r="D467" s="7" t="s">
        <v>4673</v>
      </c>
      <c r="E467" s="7" t="s">
        <v>89</v>
      </c>
      <c r="F467" s="7" t="s">
        <v>86</v>
      </c>
      <c r="G467" s="7" t="s">
        <v>90</v>
      </c>
      <c r="H467" s="7" t="n">
        <v>1</v>
      </c>
      <c r="I467" s="11" t="n">
        <v>255</v>
      </c>
      <c r="J467" s="11" t="n">
        <v>40</v>
      </c>
      <c r="K467" s="11" t="n">
        <f aca="false">H467*I467-J467</f>
        <v>215</v>
      </c>
      <c r="L467" s="7" t="s">
        <v>121</v>
      </c>
      <c r="M467" s="7" t="s">
        <v>194</v>
      </c>
      <c r="N467" s="7" t="n">
        <v>45</v>
      </c>
      <c r="O467" s="7" t="n">
        <v>3</v>
      </c>
    </row>
    <row r="468" customFormat="false" ht="15" hidden="false" customHeight="false" outlineLevel="0" collapsed="false">
      <c r="A468" s="7" t="s">
        <v>2599</v>
      </c>
      <c r="B468" s="10" t="n">
        <v>45721</v>
      </c>
      <c r="C468" s="7" t="s">
        <v>2600</v>
      </c>
      <c r="D468" s="7" t="s">
        <v>1088</v>
      </c>
      <c r="E468" s="7" t="s">
        <v>160</v>
      </c>
      <c r="F468" s="7" t="s">
        <v>136</v>
      </c>
      <c r="G468" s="7" t="s">
        <v>150</v>
      </c>
      <c r="H468" s="7" t="n">
        <v>1</v>
      </c>
      <c r="I468" s="11" t="n">
        <v>200</v>
      </c>
      <c r="J468" s="11" t="n">
        <v>30</v>
      </c>
      <c r="K468" s="11" t="n">
        <f aca="false">H468*I468-J468</f>
        <v>170</v>
      </c>
      <c r="L468" s="7" t="s">
        <v>88</v>
      </c>
      <c r="M468" s="7" t="s">
        <v>194</v>
      </c>
      <c r="N468" s="7" t="n">
        <v>36</v>
      </c>
      <c r="O468" s="7" t="n">
        <v>4</v>
      </c>
    </row>
    <row r="469" customFormat="false" ht="15" hidden="false" customHeight="false" outlineLevel="0" collapsed="false">
      <c r="A469" s="7" t="s">
        <v>5481</v>
      </c>
      <c r="B469" s="10" t="n">
        <v>45721</v>
      </c>
      <c r="C469" s="7" t="s">
        <v>2600</v>
      </c>
      <c r="D469" s="7" t="s">
        <v>5483</v>
      </c>
      <c r="E469" s="7" t="s">
        <v>126</v>
      </c>
      <c r="F469" s="7" t="s">
        <v>101</v>
      </c>
      <c r="G469" s="7" t="s">
        <v>105</v>
      </c>
      <c r="H469" s="7" t="n">
        <v>1</v>
      </c>
      <c r="I469" s="11" t="n">
        <v>230</v>
      </c>
      <c r="J469" s="11" t="n">
        <v>0</v>
      </c>
      <c r="K469" s="11" t="n">
        <f aca="false">H469*I469-J469</f>
        <v>230</v>
      </c>
      <c r="L469" s="7" t="s">
        <v>88</v>
      </c>
      <c r="M469" s="7" t="s">
        <v>194</v>
      </c>
      <c r="N469" s="7" t="n">
        <v>49</v>
      </c>
      <c r="O469" s="7" t="n">
        <v>4</v>
      </c>
    </row>
    <row r="470" customFormat="false" ht="15" hidden="false" customHeight="false" outlineLevel="0" collapsed="false">
      <c r="A470" s="7" t="s">
        <v>6090</v>
      </c>
      <c r="B470" s="10" t="n">
        <v>45721</v>
      </c>
      <c r="C470" s="7" t="s">
        <v>595</v>
      </c>
      <c r="D470" s="7" t="s">
        <v>4826</v>
      </c>
      <c r="E470" s="7" t="s">
        <v>94</v>
      </c>
      <c r="F470" s="7" t="s">
        <v>86</v>
      </c>
      <c r="G470" s="7" t="s">
        <v>95</v>
      </c>
      <c r="H470" s="7" t="n">
        <v>1</v>
      </c>
      <c r="I470" s="11" t="n">
        <v>110</v>
      </c>
      <c r="J470" s="11" t="n">
        <v>44</v>
      </c>
      <c r="K470" s="11" t="n">
        <f aca="false">H470*I470-J470</f>
        <v>66</v>
      </c>
      <c r="L470" s="7" t="s">
        <v>103</v>
      </c>
      <c r="M470" s="7" t="s">
        <v>194</v>
      </c>
      <c r="N470" s="7" t="n">
        <v>49</v>
      </c>
      <c r="O470" s="7" t="n">
        <v>3</v>
      </c>
    </row>
    <row r="471" customFormat="false" ht="15" hidden="false" customHeight="false" outlineLevel="0" collapsed="false">
      <c r="A471" s="7" t="s">
        <v>5338</v>
      </c>
      <c r="B471" s="10" t="n">
        <v>45721</v>
      </c>
      <c r="C471" s="7" t="s">
        <v>5169</v>
      </c>
      <c r="D471" s="7" t="s">
        <v>1782</v>
      </c>
      <c r="E471" s="7" t="s">
        <v>130</v>
      </c>
      <c r="F471" s="7" t="s">
        <v>110</v>
      </c>
      <c r="G471" s="7" t="s">
        <v>90</v>
      </c>
      <c r="H471" s="7" t="n">
        <v>4</v>
      </c>
      <c r="I471" s="11" t="n">
        <v>225</v>
      </c>
      <c r="J471" s="11" t="n">
        <v>75</v>
      </c>
      <c r="K471" s="11" t="n">
        <f aca="false">H471*I471-J471</f>
        <v>825</v>
      </c>
      <c r="L471" s="7" t="s">
        <v>121</v>
      </c>
      <c r="M471" s="7" t="s">
        <v>194</v>
      </c>
      <c r="N471" s="7" t="n">
        <v>41</v>
      </c>
      <c r="O471" s="7" t="n">
        <v>4</v>
      </c>
    </row>
    <row r="472" customFormat="false" ht="15" hidden="false" customHeight="false" outlineLevel="0" collapsed="false">
      <c r="A472" s="7" t="s">
        <v>5208</v>
      </c>
      <c r="B472" s="10" t="n">
        <v>45721</v>
      </c>
      <c r="C472" s="7" t="s">
        <v>762</v>
      </c>
      <c r="D472" s="7" t="s">
        <v>2464</v>
      </c>
      <c r="E472" s="7" t="s">
        <v>157</v>
      </c>
      <c r="F472" s="7" t="s">
        <v>136</v>
      </c>
      <c r="G472" s="7" t="s">
        <v>117</v>
      </c>
      <c r="H472" s="7" t="n">
        <v>1</v>
      </c>
      <c r="I472" s="11" t="n">
        <v>90</v>
      </c>
      <c r="J472" s="11" t="n">
        <v>0</v>
      </c>
      <c r="K472" s="11" t="n">
        <f aca="false">H472*I472-J472</f>
        <v>90</v>
      </c>
      <c r="L472" s="7" t="s">
        <v>93</v>
      </c>
      <c r="M472" s="7" t="s">
        <v>194</v>
      </c>
      <c r="N472" s="7" t="n">
        <v>50</v>
      </c>
      <c r="O472" s="7" t="n">
        <v>3</v>
      </c>
    </row>
    <row r="473" customFormat="false" ht="15" hidden="false" customHeight="false" outlineLevel="0" collapsed="false">
      <c r="A473" s="7" t="s">
        <v>2277</v>
      </c>
      <c r="B473" s="10" t="n">
        <v>45721</v>
      </c>
      <c r="C473" s="7" t="s">
        <v>2278</v>
      </c>
      <c r="D473" s="7" t="s">
        <v>2279</v>
      </c>
      <c r="E473" s="7" t="s">
        <v>89</v>
      </c>
      <c r="F473" s="7" t="s">
        <v>86</v>
      </c>
      <c r="G473" s="7" t="s">
        <v>90</v>
      </c>
      <c r="H473" s="7" t="n">
        <v>2</v>
      </c>
      <c r="I473" s="11" t="n">
        <v>230</v>
      </c>
      <c r="J473" s="11" t="n">
        <v>0</v>
      </c>
      <c r="K473" s="11" t="n">
        <f aca="false">H473*I473-J473</f>
        <v>460</v>
      </c>
      <c r="L473" s="7" t="s">
        <v>93</v>
      </c>
      <c r="M473" s="7" t="s">
        <v>194</v>
      </c>
      <c r="N473" s="7" t="n">
        <v>37</v>
      </c>
      <c r="O473" s="7" t="n">
        <v>3</v>
      </c>
    </row>
    <row r="474" customFormat="false" ht="15" hidden="false" customHeight="false" outlineLevel="0" collapsed="false">
      <c r="A474" s="7" t="s">
        <v>1266</v>
      </c>
      <c r="B474" s="10" t="n">
        <v>45721</v>
      </c>
      <c r="C474" s="7" t="s">
        <v>655</v>
      </c>
      <c r="D474" s="7" t="s">
        <v>479</v>
      </c>
      <c r="E474" s="7" t="s">
        <v>130</v>
      </c>
      <c r="F474" s="7" t="s">
        <v>110</v>
      </c>
      <c r="G474" s="7" t="s">
        <v>90</v>
      </c>
      <c r="H474" s="7" t="n">
        <v>1</v>
      </c>
      <c r="I474" s="11" t="n">
        <v>280</v>
      </c>
      <c r="J474" s="11" t="n">
        <v>0</v>
      </c>
      <c r="K474" s="11" t="n">
        <f aca="false">H474*I474-J474</f>
        <v>280</v>
      </c>
      <c r="L474" s="7" t="s">
        <v>88</v>
      </c>
      <c r="M474" s="7" t="s">
        <v>194</v>
      </c>
      <c r="N474" s="7" t="n">
        <v>34</v>
      </c>
      <c r="O474" s="7" t="n">
        <v>4</v>
      </c>
    </row>
    <row r="475" customFormat="false" ht="15" hidden="false" customHeight="false" outlineLevel="0" collapsed="false">
      <c r="A475" s="7" t="s">
        <v>6003</v>
      </c>
      <c r="B475" s="10" t="n">
        <v>45721</v>
      </c>
      <c r="C475" s="7" t="s">
        <v>433</v>
      </c>
      <c r="D475" s="7" t="s">
        <v>2537</v>
      </c>
      <c r="E475" s="7" t="s">
        <v>167</v>
      </c>
      <c r="F475" s="7" t="s">
        <v>146</v>
      </c>
      <c r="G475" s="7" t="s">
        <v>156</v>
      </c>
      <c r="H475" s="7" t="n">
        <v>4</v>
      </c>
      <c r="I475" s="11" t="n">
        <v>270</v>
      </c>
      <c r="J475" s="11" t="n">
        <v>0</v>
      </c>
      <c r="K475" s="11" t="n">
        <f aca="false">H475*I475-J475</f>
        <v>1080</v>
      </c>
      <c r="L475" s="7" t="s">
        <v>88</v>
      </c>
      <c r="M475" s="7" t="s">
        <v>194</v>
      </c>
      <c r="N475" s="7" t="n">
        <v>32</v>
      </c>
      <c r="O475" s="7" t="n">
        <v>5</v>
      </c>
    </row>
    <row r="476" customFormat="false" ht="15" hidden="false" customHeight="false" outlineLevel="0" collapsed="false">
      <c r="A476" s="7" t="s">
        <v>3370</v>
      </c>
      <c r="B476" s="10" t="n">
        <v>45721</v>
      </c>
      <c r="C476" s="7" t="s">
        <v>3371</v>
      </c>
      <c r="D476" s="7" t="s">
        <v>1774</v>
      </c>
      <c r="E476" s="7" t="s">
        <v>113</v>
      </c>
      <c r="F476" s="7" t="s">
        <v>101</v>
      </c>
      <c r="G476" s="7" t="s">
        <v>90</v>
      </c>
      <c r="H476" s="7" t="n">
        <v>4</v>
      </c>
      <c r="I476" s="11" t="n">
        <v>285</v>
      </c>
      <c r="J476" s="11" t="n">
        <v>100</v>
      </c>
      <c r="K476" s="11" t="n">
        <f aca="false">H476*I476-J476</f>
        <v>1040</v>
      </c>
      <c r="L476" s="7" t="s">
        <v>88</v>
      </c>
      <c r="M476" s="7" t="s">
        <v>194</v>
      </c>
      <c r="N476" s="7" t="n">
        <v>32</v>
      </c>
      <c r="O476" s="7" t="n">
        <v>2</v>
      </c>
    </row>
    <row r="477" customFormat="false" ht="15" hidden="false" customHeight="false" outlineLevel="0" collapsed="false">
      <c r="A477" s="7" t="s">
        <v>2009</v>
      </c>
      <c r="B477" s="10" t="n">
        <v>45722</v>
      </c>
      <c r="C477" s="7" t="s">
        <v>2011</v>
      </c>
      <c r="D477" s="7" t="s">
        <v>2012</v>
      </c>
      <c r="E477" s="7" t="s">
        <v>151</v>
      </c>
      <c r="F477" s="7" t="s">
        <v>128</v>
      </c>
      <c r="G477" s="7" t="s">
        <v>95</v>
      </c>
      <c r="H477" s="7" t="n">
        <v>4</v>
      </c>
      <c r="I477" s="11" t="n">
        <v>180</v>
      </c>
      <c r="J477" s="11" t="n">
        <v>0</v>
      </c>
      <c r="K477" s="11" t="n">
        <f aca="false">H477*I477-J477</f>
        <v>720</v>
      </c>
      <c r="L477" s="7" t="s">
        <v>93</v>
      </c>
      <c r="M477" s="7" t="s">
        <v>194</v>
      </c>
      <c r="N477" s="7" t="n">
        <v>39</v>
      </c>
      <c r="O477" s="7" t="n">
        <v>4</v>
      </c>
    </row>
    <row r="478" customFormat="false" ht="15" hidden="false" customHeight="false" outlineLevel="0" collapsed="false">
      <c r="A478" s="7" t="s">
        <v>4281</v>
      </c>
      <c r="B478" s="10" t="n">
        <v>45722</v>
      </c>
      <c r="C478" s="7" t="s">
        <v>1586</v>
      </c>
      <c r="D478" s="7" t="s">
        <v>2750</v>
      </c>
      <c r="E478" s="7" t="s">
        <v>126</v>
      </c>
      <c r="F478" s="7" t="s">
        <v>101</v>
      </c>
      <c r="G478" s="7" t="s">
        <v>105</v>
      </c>
      <c r="H478" s="7" t="n">
        <v>1</v>
      </c>
      <c r="I478" s="11" t="n">
        <v>215</v>
      </c>
      <c r="J478" s="11" t="n">
        <v>0</v>
      </c>
      <c r="K478" s="11" t="n">
        <f aca="false">H478*I478-J478</f>
        <v>215</v>
      </c>
      <c r="L478" s="7" t="s">
        <v>121</v>
      </c>
      <c r="M478" s="7" t="s">
        <v>194</v>
      </c>
      <c r="N478" s="7" t="n">
        <v>49</v>
      </c>
      <c r="O478" s="7" t="n">
        <v>2</v>
      </c>
    </row>
    <row r="479" customFormat="false" ht="15" hidden="false" customHeight="false" outlineLevel="0" collapsed="false">
      <c r="A479" s="7" t="s">
        <v>2799</v>
      </c>
      <c r="B479" s="10" t="n">
        <v>45722</v>
      </c>
      <c r="C479" s="7" t="s">
        <v>2800</v>
      </c>
      <c r="D479" s="7" t="s">
        <v>2801</v>
      </c>
      <c r="E479" s="7" t="s">
        <v>122</v>
      </c>
      <c r="F479" s="7" t="s">
        <v>101</v>
      </c>
      <c r="G479" s="7" t="s">
        <v>123</v>
      </c>
      <c r="H479" s="7" t="n">
        <v>1</v>
      </c>
      <c r="I479" s="11" t="n">
        <v>275</v>
      </c>
      <c r="J479" s="11" t="n">
        <v>0</v>
      </c>
      <c r="K479" s="11" t="n">
        <f aca="false">H479*I479-J479</f>
        <v>275</v>
      </c>
      <c r="L479" s="7" t="s">
        <v>88</v>
      </c>
      <c r="M479" s="7" t="s">
        <v>194</v>
      </c>
      <c r="N479" s="7" t="n">
        <v>45</v>
      </c>
      <c r="O479" s="7" t="n">
        <v>4</v>
      </c>
    </row>
    <row r="480" customFormat="false" ht="15" hidden="false" customHeight="false" outlineLevel="0" collapsed="false">
      <c r="A480" s="7" t="s">
        <v>5351</v>
      </c>
      <c r="B480" s="10" t="n">
        <v>45722</v>
      </c>
      <c r="C480" s="7" t="s">
        <v>3566</v>
      </c>
      <c r="D480" s="7" t="s">
        <v>3331</v>
      </c>
      <c r="E480" s="7" t="s">
        <v>113</v>
      </c>
      <c r="F480" s="7" t="s">
        <v>101</v>
      </c>
      <c r="G480" s="7" t="s">
        <v>90</v>
      </c>
      <c r="H480" s="7" t="n">
        <v>2</v>
      </c>
      <c r="I480" s="11" t="n">
        <v>285</v>
      </c>
      <c r="J480" s="11" t="n">
        <v>0</v>
      </c>
      <c r="K480" s="11" t="n">
        <f aca="false">H480*I480-J480</f>
        <v>570</v>
      </c>
      <c r="L480" s="7" t="s">
        <v>88</v>
      </c>
      <c r="M480" s="7" t="s">
        <v>194</v>
      </c>
      <c r="N480" s="7" t="n">
        <v>42</v>
      </c>
      <c r="O480" s="7" t="n">
        <v>3</v>
      </c>
    </row>
    <row r="481" customFormat="false" ht="15" hidden="false" customHeight="false" outlineLevel="0" collapsed="false">
      <c r="A481" s="7" t="s">
        <v>2803</v>
      </c>
      <c r="B481" s="10" t="n">
        <v>45722</v>
      </c>
      <c r="C481" s="7" t="s">
        <v>361</v>
      </c>
      <c r="D481" s="7" t="s">
        <v>2359</v>
      </c>
      <c r="E481" s="7" t="s">
        <v>164</v>
      </c>
      <c r="F481" s="7" t="s">
        <v>141</v>
      </c>
      <c r="G481" s="7" t="s">
        <v>150</v>
      </c>
      <c r="H481" s="7" t="n">
        <v>2</v>
      </c>
      <c r="I481" s="11" t="n">
        <v>135</v>
      </c>
      <c r="J481" s="11" t="n">
        <v>75</v>
      </c>
      <c r="K481" s="11" t="n">
        <f aca="false">H481*I481-J481</f>
        <v>195</v>
      </c>
      <c r="L481" s="7" t="s">
        <v>103</v>
      </c>
      <c r="M481" s="7" t="s">
        <v>194</v>
      </c>
      <c r="N481" s="7" t="n">
        <v>35</v>
      </c>
      <c r="O481" s="7" t="n">
        <v>5</v>
      </c>
    </row>
    <row r="482" customFormat="false" ht="15" hidden="false" customHeight="false" outlineLevel="0" collapsed="false">
      <c r="A482" s="7" t="s">
        <v>3580</v>
      </c>
      <c r="B482" s="10" t="n">
        <v>45722</v>
      </c>
      <c r="C482" s="7" t="s">
        <v>732</v>
      </c>
      <c r="D482" s="7" t="s">
        <v>2077</v>
      </c>
      <c r="E482" s="7" t="s">
        <v>89</v>
      </c>
      <c r="F482" s="7" t="s">
        <v>86</v>
      </c>
      <c r="G482" s="7" t="s">
        <v>90</v>
      </c>
      <c r="H482" s="7" t="n">
        <v>2</v>
      </c>
      <c r="I482" s="11" t="n">
        <v>260</v>
      </c>
      <c r="J482" s="11" t="n">
        <v>0</v>
      </c>
      <c r="K482" s="11" t="n">
        <f aca="false">H482*I482-J482</f>
        <v>520</v>
      </c>
      <c r="L482" s="7" t="s">
        <v>112</v>
      </c>
      <c r="M482" s="7" t="s">
        <v>194</v>
      </c>
      <c r="N482" s="7" t="n">
        <v>46</v>
      </c>
      <c r="O482" s="7" t="n">
        <v>4</v>
      </c>
    </row>
    <row r="483" customFormat="false" ht="15" hidden="false" customHeight="false" outlineLevel="0" collapsed="false">
      <c r="A483" s="7" t="s">
        <v>5794</v>
      </c>
      <c r="B483" s="10" t="n">
        <v>45722</v>
      </c>
      <c r="C483" s="7" t="s">
        <v>2705</v>
      </c>
      <c r="D483" s="7" t="s">
        <v>773</v>
      </c>
      <c r="E483" s="7" t="s">
        <v>113</v>
      </c>
      <c r="F483" s="7" t="s">
        <v>101</v>
      </c>
      <c r="G483" s="7" t="s">
        <v>90</v>
      </c>
      <c r="H483" s="7" t="n">
        <v>2</v>
      </c>
      <c r="I483" s="11" t="n">
        <v>215</v>
      </c>
      <c r="J483" s="11" t="n">
        <v>40</v>
      </c>
      <c r="K483" s="11" t="n">
        <f aca="false">H483*I483-J483</f>
        <v>390</v>
      </c>
      <c r="L483" s="7" t="s">
        <v>93</v>
      </c>
      <c r="M483" s="7" t="s">
        <v>194</v>
      </c>
      <c r="N483" s="7" t="n">
        <v>43</v>
      </c>
      <c r="O483" s="7" t="n">
        <v>5</v>
      </c>
    </row>
    <row r="484" customFormat="false" ht="15" hidden="false" customHeight="false" outlineLevel="0" collapsed="false">
      <c r="A484" s="7" t="s">
        <v>6026</v>
      </c>
      <c r="B484" s="10" t="n">
        <v>45723</v>
      </c>
      <c r="C484" s="7" t="s">
        <v>342</v>
      </c>
      <c r="D484" s="7" t="s">
        <v>3420</v>
      </c>
      <c r="E484" s="7" t="s">
        <v>89</v>
      </c>
      <c r="F484" s="7" t="s">
        <v>86</v>
      </c>
      <c r="G484" s="7" t="s">
        <v>90</v>
      </c>
      <c r="H484" s="7" t="n">
        <v>3</v>
      </c>
      <c r="I484" s="11" t="n">
        <v>235</v>
      </c>
      <c r="J484" s="11" t="n">
        <v>125</v>
      </c>
      <c r="K484" s="11" t="n">
        <f aca="false">H484*I484-J484</f>
        <v>580</v>
      </c>
      <c r="L484" s="7" t="s">
        <v>88</v>
      </c>
      <c r="M484" s="7" t="s">
        <v>194</v>
      </c>
      <c r="N484" s="7" t="n">
        <v>38</v>
      </c>
      <c r="O484" s="7" t="n">
        <v>4</v>
      </c>
    </row>
    <row r="485" customFormat="false" ht="15" hidden="false" customHeight="false" outlineLevel="0" collapsed="false">
      <c r="A485" s="7" t="s">
        <v>5720</v>
      </c>
      <c r="B485" s="10" t="n">
        <v>45723</v>
      </c>
      <c r="C485" s="7" t="s">
        <v>2355</v>
      </c>
      <c r="D485" s="7" t="s">
        <v>3335</v>
      </c>
      <c r="E485" s="7" t="s">
        <v>168</v>
      </c>
      <c r="F485" s="7" t="s">
        <v>146</v>
      </c>
      <c r="G485" s="7" t="s">
        <v>123</v>
      </c>
      <c r="H485" s="7" t="n">
        <v>1</v>
      </c>
      <c r="I485" s="11" t="n">
        <v>315</v>
      </c>
      <c r="J485" s="11" t="n">
        <v>40</v>
      </c>
      <c r="K485" s="11" t="n">
        <f aca="false">H485*I485-J485</f>
        <v>275</v>
      </c>
      <c r="L485" s="7" t="s">
        <v>88</v>
      </c>
      <c r="M485" s="7" t="s">
        <v>194</v>
      </c>
      <c r="N485" s="7" t="n">
        <v>36</v>
      </c>
      <c r="O485" s="7"/>
    </row>
    <row r="486" customFormat="false" ht="15" hidden="false" customHeight="false" outlineLevel="0" collapsed="false">
      <c r="A486" s="7" t="s">
        <v>4329</v>
      </c>
      <c r="B486" s="10" t="n">
        <v>45723</v>
      </c>
      <c r="C486" s="7" t="s">
        <v>403</v>
      </c>
      <c r="D486" s="7" t="s">
        <v>2091</v>
      </c>
      <c r="E486" s="7" t="s">
        <v>98</v>
      </c>
      <c r="F486" s="7" t="s">
        <v>86</v>
      </c>
      <c r="G486" s="7" t="s">
        <v>99</v>
      </c>
      <c r="H486" s="7" t="n">
        <v>1</v>
      </c>
      <c r="I486" s="11" t="n">
        <v>315</v>
      </c>
      <c r="J486" s="11" t="n">
        <v>30</v>
      </c>
      <c r="K486" s="11" t="n">
        <f aca="false">H486*I486-J486</f>
        <v>285</v>
      </c>
      <c r="L486" s="7" t="s">
        <v>88</v>
      </c>
      <c r="M486" s="7" t="s">
        <v>194</v>
      </c>
      <c r="N486" s="7" t="n">
        <v>42</v>
      </c>
      <c r="O486" s="7" t="n">
        <v>4</v>
      </c>
    </row>
    <row r="487" customFormat="false" ht="15" hidden="false" customHeight="false" outlineLevel="0" collapsed="false">
      <c r="A487" s="7" t="s">
        <v>4536</v>
      </c>
      <c r="B487" s="10" t="n">
        <v>45723</v>
      </c>
      <c r="C487" s="7" t="s">
        <v>2607</v>
      </c>
      <c r="D487" s="7" t="s">
        <v>339</v>
      </c>
      <c r="E487" s="7" t="s">
        <v>168</v>
      </c>
      <c r="F487" s="7" t="s">
        <v>146</v>
      </c>
      <c r="G487" s="7" t="s">
        <v>123</v>
      </c>
      <c r="H487" s="7" t="n">
        <v>1</v>
      </c>
      <c r="I487" s="11" t="n">
        <v>305</v>
      </c>
      <c r="J487" s="11" t="n">
        <v>0</v>
      </c>
      <c r="K487" s="11" t="n">
        <f aca="false">H487*I487-J487</f>
        <v>305</v>
      </c>
      <c r="L487" s="7" t="s">
        <v>112</v>
      </c>
      <c r="M487" s="7" t="s">
        <v>194</v>
      </c>
      <c r="N487" s="7" t="n">
        <v>26</v>
      </c>
      <c r="O487" s="7" t="n">
        <v>4</v>
      </c>
    </row>
    <row r="488" customFormat="false" ht="15" hidden="false" customHeight="false" outlineLevel="0" collapsed="false">
      <c r="A488" s="7" t="s">
        <v>5465</v>
      </c>
      <c r="B488" s="10" t="n">
        <v>45723</v>
      </c>
      <c r="C488" s="7" t="s">
        <v>218</v>
      </c>
      <c r="D488" s="7" t="s">
        <v>438</v>
      </c>
      <c r="E488" s="7" t="s">
        <v>98</v>
      </c>
      <c r="F488" s="7" t="s">
        <v>86</v>
      </c>
      <c r="G488" s="7" t="s">
        <v>99</v>
      </c>
      <c r="H488" s="7" t="n">
        <v>2</v>
      </c>
      <c r="I488" s="11" t="n">
        <v>255</v>
      </c>
      <c r="J488" s="11" t="n">
        <v>150</v>
      </c>
      <c r="K488" s="11" t="n">
        <f aca="false">H488*I488-J488</f>
        <v>360</v>
      </c>
      <c r="L488" s="7" t="s">
        <v>112</v>
      </c>
      <c r="M488" s="7" t="s">
        <v>194</v>
      </c>
      <c r="N488" s="7" t="n">
        <v>25</v>
      </c>
      <c r="O488" s="7" t="n">
        <v>4</v>
      </c>
    </row>
    <row r="489" customFormat="false" ht="15" hidden="false" customHeight="false" outlineLevel="0" collapsed="false">
      <c r="A489" s="7" t="s">
        <v>4125</v>
      </c>
      <c r="B489" s="10" t="n">
        <v>45723</v>
      </c>
      <c r="C489" s="7" t="s">
        <v>1671</v>
      </c>
      <c r="D489" s="7" t="s">
        <v>4126</v>
      </c>
      <c r="E489" s="7" t="s">
        <v>151</v>
      </c>
      <c r="F489" s="7" t="s">
        <v>128</v>
      </c>
      <c r="G489" s="7" t="s">
        <v>95</v>
      </c>
      <c r="H489" s="7" t="n">
        <v>2</v>
      </c>
      <c r="I489" s="11" t="n">
        <v>190</v>
      </c>
      <c r="J489" s="11" t="n">
        <v>0</v>
      </c>
      <c r="K489" s="11" t="n">
        <f aca="false">H489*I489-J489</f>
        <v>380</v>
      </c>
      <c r="L489" s="7" t="s">
        <v>88</v>
      </c>
      <c r="M489" s="7" t="s">
        <v>194</v>
      </c>
      <c r="N489" s="7" t="n">
        <v>25</v>
      </c>
      <c r="O489" s="7" t="n">
        <v>4</v>
      </c>
    </row>
    <row r="490" customFormat="false" ht="15" hidden="false" customHeight="false" outlineLevel="0" collapsed="false">
      <c r="A490" s="7" t="s">
        <v>4059</v>
      </c>
      <c r="B490" s="10" t="n">
        <v>45723</v>
      </c>
      <c r="C490" s="7" t="s">
        <v>2061</v>
      </c>
      <c r="D490" s="7" t="s">
        <v>3575</v>
      </c>
      <c r="E490" s="7" t="s">
        <v>151</v>
      </c>
      <c r="F490" s="7" t="s">
        <v>128</v>
      </c>
      <c r="G490" s="7" t="s">
        <v>95</v>
      </c>
      <c r="H490" s="7" t="n">
        <v>1</v>
      </c>
      <c r="I490" s="11" t="n">
        <v>205</v>
      </c>
      <c r="J490" s="11" t="n">
        <v>20</v>
      </c>
      <c r="K490" s="11" t="n">
        <f aca="false">H490*I490-J490</f>
        <v>185</v>
      </c>
      <c r="L490" s="7" t="s">
        <v>93</v>
      </c>
      <c r="M490" s="7" t="s">
        <v>194</v>
      </c>
      <c r="N490" s="7" t="n">
        <v>29</v>
      </c>
      <c r="O490" s="7" t="n">
        <v>5</v>
      </c>
    </row>
    <row r="491" customFormat="false" ht="15" hidden="false" customHeight="false" outlineLevel="0" collapsed="false">
      <c r="A491" s="7" t="s">
        <v>286</v>
      </c>
      <c r="B491" s="10" t="n">
        <v>45723</v>
      </c>
      <c r="C491" s="7" t="s">
        <v>288</v>
      </c>
      <c r="D491" s="7" t="s">
        <v>289</v>
      </c>
      <c r="E491" s="7" t="s">
        <v>155</v>
      </c>
      <c r="F491" s="7" t="s">
        <v>128</v>
      </c>
      <c r="G491" s="7" t="s">
        <v>156</v>
      </c>
      <c r="H491" s="7" t="n">
        <v>1</v>
      </c>
      <c r="I491" s="11" t="n">
        <v>315</v>
      </c>
      <c r="J491" s="11" t="n">
        <v>0</v>
      </c>
      <c r="K491" s="11" t="n">
        <f aca="false">H491*I491-J491</f>
        <v>315</v>
      </c>
      <c r="L491" s="7" t="s">
        <v>88</v>
      </c>
      <c r="M491" s="7" t="s">
        <v>194</v>
      </c>
      <c r="N491" s="7" t="n">
        <v>37</v>
      </c>
      <c r="O491" s="7" t="n">
        <v>5</v>
      </c>
    </row>
    <row r="492" customFormat="false" ht="15" hidden="false" customHeight="false" outlineLevel="0" collapsed="false">
      <c r="A492" s="7" t="s">
        <v>2652</v>
      </c>
      <c r="B492" s="10" t="n">
        <v>45723</v>
      </c>
      <c r="C492" s="7" t="s">
        <v>2654</v>
      </c>
      <c r="D492" s="7" t="s">
        <v>2464</v>
      </c>
      <c r="E492" s="7" t="s">
        <v>142</v>
      </c>
      <c r="F492" s="7" t="s">
        <v>110</v>
      </c>
      <c r="G492" s="7" t="s">
        <v>105</v>
      </c>
      <c r="H492" s="7" t="n">
        <v>3</v>
      </c>
      <c r="I492" s="11" t="n">
        <v>170</v>
      </c>
      <c r="J492" s="11" t="n">
        <v>150</v>
      </c>
      <c r="K492" s="11" t="n">
        <f aca="false">H492*I492-J492</f>
        <v>360</v>
      </c>
      <c r="L492" s="7" t="s">
        <v>93</v>
      </c>
      <c r="M492" s="7" t="s">
        <v>194</v>
      </c>
      <c r="N492" s="7" t="n">
        <v>41</v>
      </c>
      <c r="O492" s="7" t="n">
        <v>5</v>
      </c>
    </row>
    <row r="493" customFormat="false" ht="15" hidden="false" customHeight="false" outlineLevel="0" collapsed="false">
      <c r="A493" s="7" t="s">
        <v>3451</v>
      </c>
      <c r="B493" s="10" t="n">
        <v>45723</v>
      </c>
      <c r="C493" s="7" t="s">
        <v>1694</v>
      </c>
      <c r="D493" s="7" t="s">
        <v>721</v>
      </c>
      <c r="E493" s="7" t="s">
        <v>148</v>
      </c>
      <c r="F493" s="7" t="s">
        <v>119</v>
      </c>
      <c r="G493" s="7" t="s">
        <v>123</v>
      </c>
      <c r="H493" s="7" t="n">
        <v>5</v>
      </c>
      <c r="I493" s="11" t="n">
        <v>345</v>
      </c>
      <c r="J493" s="11" t="n">
        <v>150</v>
      </c>
      <c r="K493" s="11" t="n">
        <f aca="false">H493*I493-J493</f>
        <v>1575</v>
      </c>
      <c r="L493" s="7" t="s">
        <v>88</v>
      </c>
      <c r="M493" s="7" t="s">
        <v>194</v>
      </c>
      <c r="N493" s="7" t="n">
        <v>44</v>
      </c>
      <c r="O493" s="7" t="n">
        <v>5</v>
      </c>
    </row>
    <row r="494" customFormat="false" ht="15" hidden="false" customHeight="false" outlineLevel="0" collapsed="false">
      <c r="A494" s="7" t="s">
        <v>4083</v>
      </c>
      <c r="B494" s="10" t="n">
        <v>45723</v>
      </c>
      <c r="C494" s="7" t="s">
        <v>2292</v>
      </c>
      <c r="D494" s="7" t="s">
        <v>1424</v>
      </c>
      <c r="E494" s="7" t="s">
        <v>163</v>
      </c>
      <c r="F494" s="7" t="s">
        <v>141</v>
      </c>
      <c r="G494" s="7" t="s">
        <v>99</v>
      </c>
      <c r="H494" s="7" t="n">
        <v>2</v>
      </c>
      <c r="I494" s="11" t="n">
        <v>230</v>
      </c>
      <c r="J494" s="11" t="n">
        <v>75</v>
      </c>
      <c r="K494" s="11" t="n">
        <f aca="false">H494*I494-J494</f>
        <v>385</v>
      </c>
      <c r="L494" s="7" t="s">
        <v>88</v>
      </c>
      <c r="M494" s="7" t="s">
        <v>194</v>
      </c>
      <c r="N494" s="7" t="n">
        <v>46</v>
      </c>
      <c r="O494" s="7" t="n">
        <v>4</v>
      </c>
    </row>
    <row r="495" customFormat="false" ht="15" hidden="false" customHeight="false" outlineLevel="0" collapsed="false">
      <c r="A495" s="7" t="s">
        <v>3463</v>
      </c>
      <c r="B495" s="10" t="n">
        <v>45724</v>
      </c>
      <c r="C495" s="7" t="s">
        <v>1486</v>
      </c>
      <c r="D495" s="7" t="s">
        <v>2580</v>
      </c>
      <c r="E495" s="7" t="s">
        <v>89</v>
      </c>
      <c r="F495" s="7" t="s">
        <v>86</v>
      </c>
      <c r="G495" s="7" t="s">
        <v>90</v>
      </c>
      <c r="H495" s="7" t="n">
        <v>2</v>
      </c>
      <c r="I495" s="11" t="n">
        <v>180</v>
      </c>
      <c r="J495" s="11" t="n">
        <v>144</v>
      </c>
      <c r="K495" s="11" t="n">
        <f aca="false">H495*I495-J495</f>
        <v>216</v>
      </c>
      <c r="L495" s="7" t="s">
        <v>88</v>
      </c>
      <c r="M495" s="7" t="s">
        <v>194</v>
      </c>
      <c r="N495" s="7" t="n">
        <v>42</v>
      </c>
      <c r="O495" s="7"/>
    </row>
    <row r="496" customFormat="false" ht="15" hidden="false" customHeight="false" outlineLevel="0" collapsed="false">
      <c r="A496" s="7" t="s">
        <v>4931</v>
      </c>
      <c r="B496" s="10" t="n">
        <v>45724</v>
      </c>
      <c r="C496" s="7" t="s">
        <v>577</v>
      </c>
      <c r="D496" s="7" t="s">
        <v>1891</v>
      </c>
      <c r="E496" s="7" t="s">
        <v>89</v>
      </c>
      <c r="F496" s="7" t="s">
        <v>86</v>
      </c>
      <c r="G496" s="7" t="s">
        <v>90</v>
      </c>
      <c r="H496" s="7" t="n">
        <v>1</v>
      </c>
      <c r="I496" s="11" t="n">
        <v>185</v>
      </c>
      <c r="J496" s="11" t="n">
        <v>0</v>
      </c>
      <c r="K496" s="11" t="n">
        <f aca="false">H496*I496-J496</f>
        <v>185</v>
      </c>
      <c r="L496" s="7" t="s">
        <v>103</v>
      </c>
      <c r="M496" s="7" t="s">
        <v>194</v>
      </c>
      <c r="N496" s="7" t="n">
        <v>49</v>
      </c>
      <c r="O496" s="7"/>
    </row>
    <row r="497" customFormat="false" ht="15" hidden="false" customHeight="false" outlineLevel="0" collapsed="false">
      <c r="A497" s="7" t="s">
        <v>5050</v>
      </c>
      <c r="B497" s="10" t="n">
        <v>45724</v>
      </c>
      <c r="C497" s="7" t="s">
        <v>2921</v>
      </c>
      <c r="D497" s="7" t="s">
        <v>863</v>
      </c>
      <c r="E497" s="7" t="s">
        <v>163</v>
      </c>
      <c r="F497" s="7" t="s">
        <v>141</v>
      </c>
      <c r="G497" s="7" t="s">
        <v>99</v>
      </c>
      <c r="H497" s="7" t="n">
        <v>2</v>
      </c>
      <c r="I497" s="11" t="n">
        <v>230</v>
      </c>
      <c r="J497" s="11" t="n">
        <v>75</v>
      </c>
      <c r="K497" s="11" t="n">
        <f aca="false">H497*I497-J497</f>
        <v>385</v>
      </c>
      <c r="L497" s="7" t="s">
        <v>121</v>
      </c>
      <c r="M497" s="7" t="s">
        <v>194</v>
      </c>
      <c r="N497" s="7" t="n">
        <v>36</v>
      </c>
      <c r="O497" s="7" t="n">
        <v>4</v>
      </c>
    </row>
    <row r="498" customFormat="false" ht="15" hidden="false" customHeight="false" outlineLevel="0" collapsed="false">
      <c r="A498" s="7" t="s">
        <v>4424</v>
      </c>
      <c r="B498" s="10" t="n">
        <v>45724</v>
      </c>
      <c r="C498" s="7" t="s">
        <v>1615</v>
      </c>
      <c r="D498" s="7" t="s">
        <v>3527</v>
      </c>
      <c r="E498" s="7" t="s">
        <v>104</v>
      </c>
      <c r="F498" s="7" t="s">
        <v>86</v>
      </c>
      <c r="G498" s="7" t="s">
        <v>105</v>
      </c>
      <c r="H498" s="7" t="n">
        <v>1</v>
      </c>
      <c r="I498" s="11" t="n">
        <v>280</v>
      </c>
      <c r="J498" s="11" t="n">
        <v>40</v>
      </c>
      <c r="K498" s="11" t="n">
        <f aca="false">H498*I498-J498</f>
        <v>240</v>
      </c>
      <c r="L498" s="7" t="s">
        <v>88</v>
      </c>
      <c r="M498" s="7" t="s">
        <v>194</v>
      </c>
      <c r="N498" s="7" t="n">
        <v>45</v>
      </c>
      <c r="O498" s="7"/>
    </row>
    <row r="499" customFormat="false" ht="15" hidden="false" customHeight="false" outlineLevel="0" collapsed="false">
      <c r="A499" s="7" t="s">
        <v>2747</v>
      </c>
      <c r="B499" s="10" t="n">
        <v>45724</v>
      </c>
      <c r="C499" s="7" t="s">
        <v>1164</v>
      </c>
      <c r="D499" s="7" t="s">
        <v>2748</v>
      </c>
      <c r="E499" s="7" t="s">
        <v>147</v>
      </c>
      <c r="F499" s="7" t="s">
        <v>119</v>
      </c>
      <c r="G499" s="7" t="s">
        <v>95</v>
      </c>
      <c r="H499" s="7" t="n">
        <v>3</v>
      </c>
      <c r="I499" s="11" t="n">
        <v>170</v>
      </c>
      <c r="J499" s="11" t="n">
        <v>0</v>
      </c>
      <c r="K499" s="11" t="n">
        <f aca="false">H499*I499-J499</f>
        <v>510</v>
      </c>
      <c r="L499" s="7" t="s">
        <v>93</v>
      </c>
      <c r="M499" s="7" t="s">
        <v>194</v>
      </c>
      <c r="N499" s="7" t="n">
        <v>36</v>
      </c>
      <c r="O499" s="7" t="n">
        <v>5</v>
      </c>
    </row>
    <row r="500" customFormat="false" ht="15" hidden="false" customHeight="false" outlineLevel="0" collapsed="false">
      <c r="A500" s="7" t="s">
        <v>2387</v>
      </c>
      <c r="B500" s="10" t="n">
        <v>45724</v>
      </c>
      <c r="C500" s="7" t="s">
        <v>2113</v>
      </c>
      <c r="D500" s="7" t="s">
        <v>2388</v>
      </c>
      <c r="E500" s="7" t="s">
        <v>113</v>
      </c>
      <c r="F500" s="7" t="s">
        <v>101</v>
      </c>
      <c r="G500" s="7" t="s">
        <v>90</v>
      </c>
      <c r="H500" s="7" t="n">
        <v>3</v>
      </c>
      <c r="I500" s="11" t="n">
        <v>255</v>
      </c>
      <c r="J500" s="11" t="n">
        <v>0</v>
      </c>
      <c r="K500" s="11" t="n">
        <f aca="false">H500*I500-J500</f>
        <v>765</v>
      </c>
      <c r="L500" s="7" t="s">
        <v>88</v>
      </c>
      <c r="M500" s="7" t="s">
        <v>194</v>
      </c>
      <c r="N500" s="7" t="n">
        <v>42</v>
      </c>
      <c r="O500" s="7" t="n">
        <v>4</v>
      </c>
    </row>
    <row r="501" customFormat="false" ht="15" hidden="false" customHeight="false" outlineLevel="0" collapsed="false">
      <c r="A501" s="7" t="s">
        <v>1392</v>
      </c>
      <c r="B501" s="10" t="n">
        <v>45724</v>
      </c>
      <c r="C501" s="7" t="s">
        <v>591</v>
      </c>
      <c r="D501" s="7" t="s">
        <v>255</v>
      </c>
      <c r="E501" s="7" t="s">
        <v>104</v>
      </c>
      <c r="F501" s="7" t="s">
        <v>86</v>
      </c>
      <c r="G501" s="7" t="s">
        <v>105</v>
      </c>
      <c r="H501" s="7" t="n">
        <v>2</v>
      </c>
      <c r="I501" s="11" t="n">
        <v>205</v>
      </c>
      <c r="J501" s="11" t="n">
        <v>0</v>
      </c>
      <c r="K501" s="11" t="n">
        <f aca="false">H501*I501-J501</f>
        <v>410</v>
      </c>
      <c r="L501" s="7" t="s">
        <v>88</v>
      </c>
      <c r="M501" s="7" t="s">
        <v>194</v>
      </c>
      <c r="N501" s="7" t="n">
        <v>42</v>
      </c>
      <c r="O501" s="7" t="n">
        <v>4</v>
      </c>
    </row>
    <row r="502" customFormat="false" ht="15" hidden="false" customHeight="false" outlineLevel="0" collapsed="false">
      <c r="A502" s="7" t="s">
        <v>1860</v>
      </c>
      <c r="B502" s="10" t="n">
        <v>45724</v>
      </c>
      <c r="C502" s="7" t="s">
        <v>1036</v>
      </c>
      <c r="D502" s="7" t="s">
        <v>1861</v>
      </c>
      <c r="E502" s="7" t="s">
        <v>89</v>
      </c>
      <c r="F502" s="7" t="s">
        <v>86</v>
      </c>
      <c r="G502" s="7" t="s">
        <v>90</v>
      </c>
      <c r="H502" s="7" t="n">
        <v>2</v>
      </c>
      <c r="I502" s="11" t="n">
        <v>220</v>
      </c>
      <c r="J502" s="11" t="n">
        <v>30</v>
      </c>
      <c r="K502" s="11" t="n">
        <f aca="false">H502*I502-J502</f>
        <v>410</v>
      </c>
      <c r="L502" s="7" t="s">
        <v>88</v>
      </c>
      <c r="M502" s="7" t="s">
        <v>194</v>
      </c>
      <c r="N502" s="7" t="n">
        <v>42</v>
      </c>
      <c r="O502" s="7" t="n">
        <v>3</v>
      </c>
    </row>
    <row r="503" customFormat="false" ht="15" hidden="false" customHeight="false" outlineLevel="0" collapsed="false">
      <c r="A503" s="7" t="s">
        <v>3801</v>
      </c>
      <c r="B503" s="10" t="n">
        <v>45724</v>
      </c>
      <c r="C503" s="7" t="s">
        <v>2024</v>
      </c>
      <c r="D503" s="7" t="s">
        <v>613</v>
      </c>
      <c r="E503" s="7" t="s">
        <v>98</v>
      </c>
      <c r="F503" s="7" t="s">
        <v>86</v>
      </c>
      <c r="G503" s="7" t="s">
        <v>99</v>
      </c>
      <c r="H503" s="7" t="n">
        <v>3</v>
      </c>
      <c r="I503" s="11" t="n">
        <v>230</v>
      </c>
      <c r="J503" s="11" t="n">
        <v>20</v>
      </c>
      <c r="K503" s="11" t="n">
        <f aca="false">H503*I503-J503</f>
        <v>670</v>
      </c>
      <c r="L503" s="7" t="s">
        <v>93</v>
      </c>
      <c r="M503" s="7" t="s">
        <v>194</v>
      </c>
      <c r="N503" s="7" t="n">
        <v>46</v>
      </c>
      <c r="O503" s="7" t="n">
        <v>3</v>
      </c>
    </row>
    <row r="504" customFormat="false" ht="15" hidden="false" customHeight="false" outlineLevel="0" collapsed="false">
      <c r="A504" s="7" t="s">
        <v>3175</v>
      </c>
      <c r="B504" s="10" t="n">
        <v>45724</v>
      </c>
      <c r="C504" s="7" t="s">
        <v>3152</v>
      </c>
      <c r="D504" s="7" t="s">
        <v>2807</v>
      </c>
      <c r="E504" s="7" t="s">
        <v>89</v>
      </c>
      <c r="F504" s="7" t="s">
        <v>86</v>
      </c>
      <c r="G504" s="7" t="s">
        <v>90</v>
      </c>
      <c r="H504" s="7" t="n">
        <v>2</v>
      </c>
      <c r="I504" s="11" t="n">
        <v>235</v>
      </c>
      <c r="J504" s="11" t="n">
        <v>50</v>
      </c>
      <c r="K504" s="11" t="n">
        <f aca="false">H504*I504-J504</f>
        <v>420</v>
      </c>
      <c r="L504" s="7" t="s">
        <v>93</v>
      </c>
      <c r="M504" s="7" t="s">
        <v>194</v>
      </c>
      <c r="N504" s="7" t="n">
        <v>42</v>
      </c>
      <c r="O504" s="7" t="n">
        <v>5</v>
      </c>
    </row>
    <row r="505" customFormat="false" ht="15" hidden="false" customHeight="false" outlineLevel="0" collapsed="false">
      <c r="A505" s="7" t="s">
        <v>2301</v>
      </c>
      <c r="B505" s="10" t="n">
        <v>45724</v>
      </c>
      <c r="C505" s="7" t="s">
        <v>268</v>
      </c>
      <c r="D505" s="7" t="s">
        <v>1264</v>
      </c>
      <c r="E505" s="7" t="s">
        <v>138</v>
      </c>
      <c r="F505" s="7" t="s">
        <v>110</v>
      </c>
      <c r="G505" s="7" t="s">
        <v>139</v>
      </c>
      <c r="H505" s="7" t="n">
        <v>1</v>
      </c>
      <c r="I505" s="11" t="n">
        <v>205</v>
      </c>
      <c r="J505" s="11" t="n">
        <v>82</v>
      </c>
      <c r="K505" s="11" t="n">
        <f aca="false">H505*I505-J505</f>
        <v>123</v>
      </c>
      <c r="L505" s="7" t="s">
        <v>88</v>
      </c>
      <c r="M505" s="7" t="s">
        <v>194</v>
      </c>
      <c r="N505" s="7" t="n">
        <v>41</v>
      </c>
      <c r="O505" s="7" t="n">
        <v>2</v>
      </c>
    </row>
    <row r="506" customFormat="false" ht="15" hidden="false" customHeight="false" outlineLevel="0" collapsed="false">
      <c r="A506" s="7" t="s">
        <v>3735</v>
      </c>
      <c r="B506" s="10" t="n">
        <v>45725</v>
      </c>
      <c r="C506" s="7" t="s">
        <v>3736</v>
      </c>
      <c r="D506" s="7" t="s">
        <v>3737</v>
      </c>
      <c r="E506" s="7" t="s">
        <v>162</v>
      </c>
      <c r="F506" s="7" t="s">
        <v>141</v>
      </c>
      <c r="G506" s="7" t="s">
        <v>117</v>
      </c>
      <c r="H506" s="7" t="n">
        <v>2</v>
      </c>
      <c r="I506" s="11" t="n">
        <v>110</v>
      </c>
      <c r="J506" s="11" t="n">
        <v>0</v>
      </c>
      <c r="K506" s="11" t="n">
        <f aca="false">H506*I506-J506</f>
        <v>220</v>
      </c>
      <c r="L506" s="7" t="s">
        <v>112</v>
      </c>
      <c r="M506" s="7" t="s">
        <v>194</v>
      </c>
      <c r="N506" s="7" t="n">
        <v>36</v>
      </c>
      <c r="O506" s="7" t="n">
        <v>3</v>
      </c>
    </row>
    <row r="507" customFormat="false" ht="15" hidden="false" customHeight="false" outlineLevel="0" collapsed="false">
      <c r="A507" s="7" t="s">
        <v>5129</v>
      </c>
      <c r="B507" s="10" t="n">
        <v>45725</v>
      </c>
      <c r="C507" s="7" t="s">
        <v>1125</v>
      </c>
      <c r="D507" s="7" t="s">
        <v>3423</v>
      </c>
      <c r="E507" s="7" t="s">
        <v>138</v>
      </c>
      <c r="F507" s="7" t="s">
        <v>110</v>
      </c>
      <c r="G507" s="7" t="s">
        <v>139</v>
      </c>
      <c r="H507" s="7" t="n">
        <v>2</v>
      </c>
      <c r="I507" s="11" t="n">
        <v>200</v>
      </c>
      <c r="J507" s="11" t="n">
        <v>0</v>
      </c>
      <c r="K507" s="11" t="n">
        <f aca="false">H507*I507-J507</f>
        <v>400</v>
      </c>
      <c r="L507" s="7" t="s">
        <v>93</v>
      </c>
      <c r="M507" s="7" t="s">
        <v>194</v>
      </c>
      <c r="N507" s="7" t="n">
        <v>39</v>
      </c>
      <c r="O507" s="7"/>
    </row>
    <row r="508" customFormat="false" ht="15" hidden="false" customHeight="false" outlineLevel="0" collapsed="false">
      <c r="A508" s="7" t="s">
        <v>5841</v>
      </c>
      <c r="B508" s="10" t="n">
        <v>45725</v>
      </c>
      <c r="C508" s="7" t="s">
        <v>2672</v>
      </c>
      <c r="D508" s="7" t="s">
        <v>3473</v>
      </c>
      <c r="E508" s="7" t="s">
        <v>144</v>
      </c>
      <c r="F508" s="7" t="s">
        <v>119</v>
      </c>
      <c r="G508" s="7" t="s">
        <v>99</v>
      </c>
      <c r="H508" s="7" t="n">
        <v>1</v>
      </c>
      <c r="I508" s="11" t="n">
        <v>310</v>
      </c>
      <c r="J508" s="11" t="n">
        <v>0</v>
      </c>
      <c r="K508" s="11" t="n">
        <f aca="false">H508*I508-J508</f>
        <v>310</v>
      </c>
      <c r="L508" s="7" t="s">
        <v>88</v>
      </c>
      <c r="M508" s="7" t="s">
        <v>194</v>
      </c>
      <c r="N508" s="7" t="n">
        <v>44</v>
      </c>
      <c r="O508" s="7" t="n">
        <v>4</v>
      </c>
    </row>
    <row r="509" customFormat="false" ht="15" hidden="false" customHeight="false" outlineLevel="0" collapsed="false">
      <c r="A509" s="7" t="s">
        <v>4027</v>
      </c>
      <c r="B509" s="10" t="n">
        <v>45725</v>
      </c>
      <c r="C509" s="7" t="s">
        <v>2921</v>
      </c>
      <c r="D509" s="7" t="s">
        <v>3198</v>
      </c>
      <c r="E509" s="7" t="s">
        <v>149</v>
      </c>
      <c r="F509" s="7" t="s">
        <v>119</v>
      </c>
      <c r="G509" s="7" t="s">
        <v>150</v>
      </c>
      <c r="H509" s="7" t="n">
        <v>5</v>
      </c>
      <c r="I509" s="11" t="n">
        <v>155</v>
      </c>
      <c r="J509" s="11" t="n">
        <v>0</v>
      </c>
      <c r="K509" s="11" t="n">
        <f aca="false">H509*I509-J509</f>
        <v>775</v>
      </c>
      <c r="L509" s="7" t="s">
        <v>112</v>
      </c>
      <c r="M509" s="7" t="s">
        <v>194</v>
      </c>
      <c r="N509" s="7" t="n">
        <v>38</v>
      </c>
      <c r="O509" s="7" t="n">
        <v>2</v>
      </c>
    </row>
    <row r="510" customFormat="false" ht="15" hidden="false" customHeight="false" outlineLevel="0" collapsed="false">
      <c r="A510" s="7" t="s">
        <v>3047</v>
      </c>
      <c r="B510" s="10" t="n">
        <v>45725</v>
      </c>
      <c r="C510" s="7" t="s">
        <v>3048</v>
      </c>
      <c r="D510" s="7" t="s">
        <v>3049</v>
      </c>
      <c r="E510" s="7" t="s">
        <v>89</v>
      </c>
      <c r="F510" s="7" t="s">
        <v>86</v>
      </c>
      <c r="G510" s="7" t="s">
        <v>90</v>
      </c>
      <c r="H510" s="7" t="n">
        <v>1</v>
      </c>
      <c r="I510" s="11" t="n">
        <v>235</v>
      </c>
      <c r="J510" s="11" t="n">
        <v>30</v>
      </c>
      <c r="K510" s="11" t="n">
        <f aca="false">H510*I510-J510</f>
        <v>205</v>
      </c>
      <c r="L510" s="7" t="s">
        <v>88</v>
      </c>
      <c r="M510" s="7" t="s">
        <v>194</v>
      </c>
      <c r="N510" s="7" t="n">
        <v>30</v>
      </c>
      <c r="O510" s="7"/>
    </row>
    <row r="511" customFormat="false" ht="15" hidden="false" customHeight="false" outlineLevel="0" collapsed="false">
      <c r="A511" s="7" t="s">
        <v>688</v>
      </c>
      <c r="B511" s="10" t="n">
        <v>45725</v>
      </c>
      <c r="C511" s="7" t="s">
        <v>689</v>
      </c>
      <c r="D511" s="7" t="s">
        <v>690</v>
      </c>
      <c r="E511" s="7" t="s">
        <v>138</v>
      </c>
      <c r="F511" s="7" t="s">
        <v>110</v>
      </c>
      <c r="G511" s="7" t="s">
        <v>139</v>
      </c>
      <c r="H511" s="7" t="n">
        <v>2</v>
      </c>
      <c r="I511" s="11" t="n">
        <v>145</v>
      </c>
      <c r="J511" s="11" t="n">
        <v>20</v>
      </c>
      <c r="K511" s="11" t="n">
        <f aca="false">H511*I511-J511</f>
        <v>270</v>
      </c>
      <c r="L511" s="7" t="s">
        <v>88</v>
      </c>
      <c r="M511" s="7" t="s">
        <v>194</v>
      </c>
      <c r="N511" s="7" t="n">
        <v>37</v>
      </c>
      <c r="O511" s="7" t="n">
        <v>4</v>
      </c>
    </row>
    <row r="512" customFormat="false" ht="15" hidden="false" customHeight="false" outlineLevel="0" collapsed="false">
      <c r="A512" s="7" t="s">
        <v>2363</v>
      </c>
      <c r="B512" s="10" t="n">
        <v>45725</v>
      </c>
      <c r="C512" s="7" t="s">
        <v>1664</v>
      </c>
      <c r="D512" s="7" t="s">
        <v>2364</v>
      </c>
      <c r="E512" s="7" t="s">
        <v>130</v>
      </c>
      <c r="F512" s="7" t="s">
        <v>110</v>
      </c>
      <c r="G512" s="7" t="s">
        <v>90</v>
      </c>
      <c r="H512" s="7" t="n">
        <v>4</v>
      </c>
      <c r="I512" s="11" t="n">
        <v>240</v>
      </c>
      <c r="J512" s="11" t="n">
        <v>50</v>
      </c>
      <c r="K512" s="11" t="n">
        <f aca="false">H512*I512-J512</f>
        <v>910</v>
      </c>
      <c r="L512" s="7" t="s">
        <v>88</v>
      </c>
      <c r="M512" s="7" t="s">
        <v>194</v>
      </c>
      <c r="N512" s="7" t="n">
        <v>42</v>
      </c>
      <c r="O512" s="7" t="n">
        <v>4</v>
      </c>
    </row>
    <row r="513" customFormat="false" ht="15" hidden="false" customHeight="false" outlineLevel="0" collapsed="false">
      <c r="A513" s="7" t="s">
        <v>2584</v>
      </c>
      <c r="B513" s="10" t="n">
        <v>45725</v>
      </c>
      <c r="C513" s="7" t="s">
        <v>543</v>
      </c>
      <c r="D513" s="7" t="s">
        <v>2585</v>
      </c>
      <c r="E513" s="7" t="s">
        <v>130</v>
      </c>
      <c r="F513" s="7" t="s">
        <v>110</v>
      </c>
      <c r="G513" s="7" t="s">
        <v>90</v>
      </c>
      <c r="H513" s="7" t="n">
        <v>1</v>
      </c>
      <c r="I513" s="11" t="n">
        <v>255</v>
      </c>
      <c r="J513" s="11" t="n">
        <v>100</v>
      </c>
      <c r="K513" s="11" t="n">
        <f aca="false">H513*I513-J513</f>
        <v>155</v>
      </c>
      <c r="L513" s="7" t="s">
        <v>121</v>
      </c>
      <c r="M513" s="7" t="s">
        <v>194</v>
      </c>
      <c r="N513" s="7" t="n">
        <v>56</v>
      </c>
      <c r="O513" s="7" t="n">
        <v>4</v>
      </c>
    </row>
    <row r="514" customFormat="false" ht="15" hidden="false" customHeight="false" outlineLevel="0" collapsed="false">
      <c r="A514" s="7" t="s">
        <v>1574</v>
      </c>
      <c r="B514" s="10" t="n">
        <v>45725</v>
      </c>
      <c r="C514" s="7" t="s">
        <v>839</v>
      </c>
      <c r="D514" s="7" t="s">
        <v>1576</v>
      </c>
      <c r="E514" s="7" t="s">
        <v>116</v>
      </c>
      <c r="F514" s="7" t="s">
        <v>101</v>
      </c>
      <c r="G514" s="7" t="s">
        <v>117</v>
      </c>
      <c r="H514" s="7" t="n">
        <v>2</v>
      </c>
      <c r="I514" s="11" t="n">
        <v>130</v>
      </c>
      <c r="J514" s="11" t="n">
        <v>104</v>
      </c>
      <c r="K514" s="11" t="n">
        <f aca="false">H514*I514-J514</f>
        <v>156</v>
      </c>
      <c r="L514" s="7" t="s">
        <v>88</v>
      </c>
      <c r="M514" s="7" t="s">
        <v>194</v>
      </c>
      <c r="N514" s="7" t="n">
        <v>45</v>
      </c>
      <c r="O514" s="7" t="n">
        <v>3</v>
      </c>
    </row>
    <row r="515" customFormat="false" ht="15" hidden="false" customHeight="false" outlineLevel="0" collapsed="false">
      <c r="A515" s="7" t="s">
        <v>445</v>
      </c>
      <c r="B515" s="10" t="n">
        <v>45725</v>
      </c>
      <c r="C515" s="7" t="s">
        <v>447</v>
      </c>
      <c r="D515" s="7" t="s">
        <v>448</v>
      </c>
      <c r="E515" s="7" t="s">
        <v>89</v>
      </c>
      <c r="F515" s="7" t="s">
        <v>86</v>
      </c>
      <c r="G515" s="7" t="s">
        <v>90</v>
      </c>
      <c r="H515" s="7" t="n">
        <v>2</v>
      </c>
      <c r="I515" s="11" t="n">
        <v>215</v>
      </c>
      <c r="J515" s="11" t="n">
        <v>40</v>
      </c>
      <c r="K515" s="11" t="n">
        <f aca="false">H515*I515-J515</f>
        <v>390</v>
      </c>
      <c r="L515" s="7" t="s">
        <v>103</v>
      </c>
      <c r="M515" s="7" t="s">
        <v>194</v>
      </c>
      <c r="N515" s="7" t="n">
        <v>30</v>
      </c>
      <c r="O515" s="7" t="n">
        <v>3</v>
      </c>
    </row>
    <row r="516" customFormat="false" ht="15" hidden="false" customHeight="false" outlineLevel="0" collapsed="false">
      <c r="A516" s="7" t="s">
        <v>4167</v>
      </c>
      <c r="B516" s="10" t="n">
        <v>45725</v>
      </c>
      <c r="C516" s="7" t="s">
        <v>2369</v>
      </c>
      <c r="D516" s="7" t="s">
        <v>2499</v>
      </c>
      <c r="E516" s="7" t="s">
        <v>144</v>
      </c>
      <c r="F516" s="7" t="s">
        <v>119</v>
      </c>
      <c r="G516" s="7" t="s">
        <v>99</v>
      </c>
      <c r="H516" s="7" t="n">
        <v>1</v>
      </c>
      <c r="I516" s="11" t="n">
        <v>260</v>
      </c>
      <c r="J516" s="11" t="n">
        <v>0</v>
      </c>
      <c r="K516" s="11" t="n">
        <f aca="false">H516*I516-J516</f>
        <v>260</v>
      </c>
      <c r="L516" s="7" t="s">
        <v>93</v>
      </c>
      <c r="M516" s="7" t="s">
        <v>238</v>
      </c>
      <c r="N516" s="7"/>
      <c r="O516" s="7"/>
    </row>
    <row r="517" customFormat="false" ht="15" hidden="false" customHeight="false" outlineLevel="0" collapsed="false">
      <c r="A517" s="7" t="s">
        <v>5504</v>
      </c>
      <c r="B517" s="10" t="n">
        <v>45725</v>
      </c>
      <c r="C517" s="7" t="s">
        <v>3080</v>
      </c>
      <c r="D517" s="7" t="s">
        <v>1685</v>
      </c>
      <c r="E517" s="7" t="s">
        <v>94</v>
      </c>
      <c r="F517" s="7" t="s">
        <v>86</v>
      </c>
      <c r="G517" s="7" t="s">
        <v>95</v>
      </c>
      <c r="H517" s="7" t="n">
        <v>1</v>
      </c>
      <c r="I517" s="11" t="n">
        <v>100</v>
      </c>
      <c r="J517" s="11" t="n">
        <v>0</v>
      </c>
      <c r="K517" s="11" t="n">
        <f aca="false">H517*I517-J517</f>
        <v>100</v>
      </c>
      <c r="L517" s="7" t="s">
        <v>112</v>
      </c>
      <c r="M517" s="7" t="s">
        <v>238</v>
      </c>
      <c r="N517" s="7"/>
      <c r="O517" s="7"/>
    </row>
    <row r="518" customFormat="false" ht="15" hidden="false" customHeight="false" outlineLevel="0" collapsed="false">
      <c r="A518" s="7" t="s">
        <v>3756</v>
      </c>
      <c r="B518" s="10" t="n">
        <v>45726</v>
      </c>
      <c r="C518" s="7" t="s">
        <v>3758</v>
      </c>
      <c r="D518" s="7" t="s">
        <v>3759</v>
      </c>
      <c r="E518" s="7" t="s">
        <v>149</v>
      </c>
      <c r="F518" s="7" t="s">
        <v>119</v>
      </c>
      <c r="G518" s="7" t="s">
        <v>150</v>
      </c>
      <c r="H518" s="7" t="n">
        <v>3</v>
      </c>
      <c r="I518" s="11" t="n">
        <v>175</v>
      </c>
      <c r="J518" s="11" t="n">
        <v>75</v>
      </c>
      <c r="K518" s="11" t="n">
        <f aca="false">H518*I518-J518</f>
        <v>450</v>
      </c>
      <c r="L518" s="7" t="s">
        <v>88</v>
      </c>
      <c r="M518" s="7" t="s">
        <v>194</v>
      </c>
      <c r="N518" s="7" t="n">
        <v>45</v>
      </c>
      <c r="O518" s="7" t="n">
        <v>2</v>
      </c>
    </row>
    <row r="519" customFormat="false" ht="15" hidden="false" customHeight="false" outlineLevel="0" collapsed="false">
      <c r="A519" s="7" t="s">
        <v>4647</v>
      </c>
      <c r="B519" s="10" t="n">
        <v>45726</v>
      </c>
      <c r="C519" s="7" t="s">
        <v>1269</v>
      </c>
      <c r="D519" s="7" t="s">
        <v>4498</v>
      </c>
      <c r="E519" s="7" t="s">
        <v>116</v>
      </c>
      <c r="F519" s="7" t="s">
        <v>101</v>
      </c>
      <c r="G519" s="7" t="s">
        <v>117</v>
      </c>
      <c r="H519" s="7" t="n">
        <v>1</v>
      </c>
      <c r="I519" s="11" t="n">
        <v>115</v>
      </c>
      <c r="J519" s="11" t="n">
        <v>0</v>
      </c>
      <c r="K519" s="11" t="n">
        <f aca="false">H519*I519-J519</f>
        <v>115</v>
      </c>
      <c r="L519" s="7" t="s">
        <v>88</v>
      </c>
      <c r="M519" s="7" t="s">
        <v>194</v>
      </c>
      <c r="N519" s="7" t="n">
        <v>57</v>
      </c>
      <c r="O519" s="7" t="n">
        <v>3</v>
      </c>
    </row>
    <row r="520" customFormat="false" ht="15" hidden="false" customHeight="false" outlineLevel="0" collapsed="false">
      <c r="A520" s="7" t="s">
        <v>1583</v>
      </c>
      <c r="B520" s="10" t="n">
        <v>45726</v>
      </c>
      <c r="C520" s="7" t="s">
        <v>1269</v>
      </c>
      <c r="D520" s="7" t="s">
        <v>1584</v>
      </c>
      <c r="E520" s="7" t="s">
        <v>158</v>
      </c>
      <c r="F520" s="7" t="s">
        <v>136</v>
      </c>
      <c r="G520" s="7" t="s">
        <v>139</v>
      </c>
      <c r="H520" s="7" t="n">
        <v>5</v>
      </c>
      <c r="I520" s="11" t="n">
        <v>225</v>
      </c>
      <c r="J520" s="11" t="n">
        <v>40</v>
      </c>
      <c r="K520" s="11" t="n">
        <f aca="false">H520*I520-J520</f>
        <v>1085</v>
      </c>
      <c r="L520" s="7" t="s">
        <v>88</v>
      </c>
      <c r="M520" s="7" t="s">
        <v>194</v>
      </c>
      <c r="N520" s="7" t="n">
        <v>35</v>
      </c>
      <c r="O520" s="7" t="n">
        <v>5</v>
      </c>
    </row>
    <row r="521" customFormat="false" ht="15" hidden="false" customHeight="false" outlineLevel="0" collapsed="false">
      <c r="A521" s="7" t="s">
        <v>3715</v>
      </c>
      <c r="B521" s="10" t="n">
        <v>45726</v>
      </c>
      <c r="C521" s="7" t="s">
        <v>218</v>
      </c>
      <c r="D521" s="7" t="s">
        <v>2276</v>
      </c>
      <c r="E521" s="7" t="s">
        <v>104</v>
      </c>
      <c r="F521" s="7" t="s">
        <v>86</v>
      </c>
      <c r="G521" s="7" t="s">
        <v>105</v>
      </c>
      <c r="H521" s="7" t="n">
        <v>3</v>
      </c>
      <c r="I521" s="11" t="n">
        <v>200</v>
      </c>
      <c r="J521" s="11" t="n">
        <v>50</v>
      </c>
      <c r="K521" s="11" t="n">
        <f aca="false">H521*I521-J521</f>
        <v>550</v>
      </c>
      <c r="L521" s="7" t="s">
        <v>88</v>
      </c>
      <c r="M521" s="7" t="s">
        <v>194</v>
      </c>
      <c r="N521" s="7" t="n">
        <v>39</v>
      </c>
      <c r="O521" s="7" t="n">
        <v>4</v>
      </c>
    </row>
    <row r="522" customFormat="false" ht="15" hidden="false" customHeight="false" outlineLevel="0" collapsed="false">
      <c r="A522" s="7" t="s">
        <v>4994</v>
      </c>
      <c r="B522" s="10" t="n">
        <v>45726</v>
      </c>
      <c r="C522" s="7" t="s">
        <v>883</v>
      </c>
      <c r="D522" s="7" t="s">
        <v>1333</v>
      </c>
      <c r="E522" s="7" t="s">
        <v>134</v>
      </c>
      <c r="F522" s="7" t="s">
        <v>110</v>
      </c>
      <c r="G522" s="7" t="s">
        <v>117</v>
      </c>
      <c r="H522" s="7" t="n">
        <v>4</v>
      </c>
      <c r="I522" s="11" t="n">
        <v>100</v>
      </c>
      <c r="J522" s="11" t="n">
        <v>0</v>
      </c>
      <c r="K522" s="11" t="n">
        <f aca="false">H522*I522-J522</f>
        <v>400</v>
      </c>
      <c r="L522" s="7" t="s">
        <v>121</v>
      </c>
      <c r="M522" s="7" t="s">
        <v>194</v>
      </c>
      <c r="N522" s="7" t="n">
        <v>33</v>
      </c>
      <c r="O522" s="7" t="n">
        <v>5</v>
      </c>
    </row>
    <row r="523" customFormat="false" ht="15" hidden="false" customHeight="false" outlineLevel="0" collapsed="false">
      <c r="A523" s="7" t="s">
        <v>5542</v>
      </c>
      <c r="B523" s="10" t="n">
        <v>45726</v>
      </c>
      <c r="C523" s="7" t="s">
        <v>5543</v>
      </c>
      <c r="D523" s="7" t="s">
        <v>3609</v>
      </c>
      <c r="E523" s="7" t="s">
        <v>138</v>
      </c>
      <c r="F523" s="7" t="s">
        <v>110</v>
      </c>
      <c r="G523" s="7" t="s">
        <v>139</v>
      </c>
      <c r="H523" s="7" t="n">
        <v>1</v>
      </c>
      <c r="I523" s="11" t="n">
        <v>200</v>
      </c>
      <c r="J523" s="11" t="n">
        <v>0</v>
      </c>
      <c r="K523" s="11" t="n">
        <f aca="false">H523*I523-J523</f>
        <v>200</v>
      </c>
      <c r="L523" s="7" t="s">
        <v>112</v>
      </c>
      <c r="M523" s="7" t="s">
        <v>194</v>
      </c>
      <c r="N523" s="7" t="n">
        <v>39</v>
      </c>
      <c r="O523" s="7" t="n">
        <v>3</v>
      </c>
    </row>
    <row r="524" customFormat="false" ht="15" hidden="false" customHeight="false" outlineLevel="0" collapsed="false">
      <c r="A524" s="7" t="s">
        <v>1149</v>
      </c>
      <c r="B524" s="10" t="n">
        <v>45726</v>
      </c>
      <c r="C524" s="7" t="s">
        <v>1151</v>
      </c>
      <c r="D524" s="7" t="s">
        <v>374</v>
      </c>
      <c r="E524" s="7" t="s">
        <v>164</v>
      </c>
      <c r="F524" s="7" t="s">
        <v>141</v>
      </c>
      <c r="G524" s="7" t="s">
        <v>150</v>
      </c>
      <c r="H524" s="7" t="n">
        <v>2</v>
      </c>
      <c r="I524" s="11" t="n">
        <v>135</v>
      </c>
      <c r="J524" s="11" t="n">
        <v>0</v>
      </c>
      <c r="K524" s="11" t="n">
        <f aca="false">H524*I524-J524</f>
        <v>270</v>
      </c>
      <c r="L524" s="7" t="s">
        <v>133</v>
      </c>
      <c r="M524" s="7" t="s">
        <v>194</v>
      </c>
      <c r="N524" s="7" t="n">
        <v>27</v>
      </c>
      <c r="O524" s="7"/>
    </row>
    <row r="525" customFormat="false" ht="15" hidden="false" customHeight="false" outlineLevel="0" collapsed="false">
      <c r="A525" s="7" t="s">
        <v>6166</v>
      </c>
      <c r="B525" s="10" t="n">
        <v>45726</v>
      </c>
      <c r="C525" s="7" t="s">
        <v>5274</v>
      </c>
      <c r="D525" s="7" t="s">
        <v>936</v>
      </c>
      <c r="E525" s="7" t="s">
        <v>104</v>
      </c>
      <c r="F525" s="7" t="s">
        <v>86</v>
      </c>
      <c r="G525" s="7" t="s">
        <v>105</v>
      </c>
      <c r="H525" s="7" t="n">
        <v>3</v>
      </c>
      <c r="I525" s="11" t="n">
        <v>245</v>
      </c>
      <c r="J525" s="11" t="n">
        <v>75</v>
      </c>
      <c r="K525" s="11" t="n">
        <f aca="false">H525*I525-J525</f>
        <v>660</v>
      </c>
      <c r="L525" s="7" t="s">
        <v>88</v>
      </c>
      <c r="M525" s="7" t="s">
        <v>194</v>
      </c>
      <c r="N525" s="7" t="n">
        <v>32</v>
      </c>
      <c r="O525" s="7" t="n">
        <v>5</v>
      </c>
    </row>
    <row r="526" customFormat="false" ht="15" hidden="false" customHeight="false" outlineLevel="0" collapsed="false">
      <c r="A526" s="7" t="s">
        <v>4402</v>
      </c>
      <c r="B526" s="10" t="n">
        <v>45726</v>
      </c>
      <c r="C526" s="7" t="s">
        <v>3152</v>
      </c>
      <c r="D526" s="7" t="s">
        <v>1012</v>
      </c>
      <c r="E526" s="7" t="s">
        <v>130</v>
      </c>
      <c r="F526" s="7" t="s">
        <v>110</v>
      </c>
      <c r="G526" s="7" t="s">
        <v>90</v>
      </c>
      <c r="H526" s="7" t="n">
        <v>2</v>
      </c>
      <c r="I526" s="11" t="n">
        <v>280</v>
      </c>
      <c r="J526" s="11" t="n">
        <v>125</v>
      </c>
      <c r="K526" s="11" t="n">
        <f aca="false">H526*I526-J526</f>
        <v>435</v>
      </c>
      <c r="L526" s="7" t="s">
        <v>88</v>
      </c>
      <c r="M526" s="7" t="s">
        <v>194</v>
      </c>
      <c r="N526" s="7" t="n">
        <v>35</v>
      </c>
      <c r="O526" s="7" t="n">
        <v>3</v>
      </c>
    </row>
    <row r="527" customFormat="false" ht="15" hidden="false" customHeight="false" outlineLevel="0" collapsed="false">
      <c r="A527" s="7" t="s">
        <v>1756</v>
      </c>
      <c r="B527" s="10" t="n">
        <v>45726</v>
      </c>
      <c r="C527" s="7" t="s">
        <v>369</v>
      </c>
      <c r="D527" s="7" t="s">
        <v>1416</v>
      </c>
      <c r="E527" s="7" t="s">
        <v>157</v>
      </c>
      <c r="F527" s="7" t="s">
        <v>136</v>
      </c>
      <c r="G527" s="7" t="s">
        <v>117</v>
      </c>
      <c r="H527" s="7" t="n">
        <v>1</v>
      </c>
      <c r="I527" s="11" t="n">
        <v>110</v>
      </c>
      <c r="J527" s="11" t="n">
        <v>0</v>
      </c>
      <c r="K527" s="11" t="n">
        <f aca="false">H527*I527-J527</f>
        <v>110</v>
      </c>
      <c r="L527" s="7" t="s">
        <v>121</v>
      </c>
      <c r="M527" s="7" t="s">
        <v>194</v>
      </c>
      <c r="N527" s="7" t="n">
        <v>24</v>
      </c>
      <c r="O527" s="7" t="n">
        <v>5</v>
      </c>
    </row>
    <row r="528" customFormat="false" ht="15" hidden="false" customHeight="false" outlineLevel="0" collapsed="false">
      <c r="A528" s="7" t="s">
        <v>3964</v>
      </c>
      <c r="B528" s="10" t="n">
        <v>45726</v>
      </c>
      <c r="C528" s="7" t="s">
        <v>2439</v>
      </c>
      <c r="D528" s="7" t="s">
        <v>810</v>
      </c>
      <c r="E528" s="7" t="s">
        <v>113</v>
      </c>
      <c r="F528" s="7" t="s">
        <v>101</v>
      </c>
      <c r="G528" s="7" t="s">
        <v>90</v>
      </c>
      <c r="H528" s="7" t="n">
        <v>1</v>
      </c>
      <c r="I528" s="11" t="n">
        <v>245</v>
      </c>
      <c r="J528" s="11" t="n">
        <v>0</v>
      </c>
      <c r="K528" s="11" t="n">
        <f aca="false">H528*I528-J528</f>
        <v>245</v>
      </c>
      <c r="L528" s="7" t="s">
        <v>93</v>
      </c>
      <c r="M528" s="7" t="s">
        <v>194</v>
      </c>
      <c r="N528" s="7" t="n">
        <v>32</v>
      </c>
      <c r="O528" s="7" t="n">
        <v>4</v>
      </c>
    </row>
    <row r="529" customFormat="false" ht="15" hidden="false" customHeight="false" outlineLevel="0" collapsed="false">
      <c r="A529" s="7" t="s">
        <v>3316</v>
      </c>
      <c r="B529" s="10" t="n">
        <v>45726</v>
      </c>
      <c r="C529" s="7" t="s">
        <v>2083</v>
      </c>
      <c r="D529" s="7" t="s">
        <v>3017</v>
      </c>
      <c r="E529" s="7" t="s">
        <v>130</v>
      </c>
      <c r="F529" s="7" t="s">
        <v>110</v>
      </c>
      <c r="G529" s="7" t="s">
        <v>90</v>
      </c>
      <c r="H529" s="7" t="n">
        <v>1</v>
      </c>
      <c r="I529" s="11" t="n">
        <v>285</v>
      </c>
      <c r="J529" s="11" t="n">
        <v>0</v>
      </c>
      <c r="K529" s="11" t="n">
        <f aca="false">H529*I529-J529</f>
        <v>285</v>
      </c>
      <c r="L529" s="7" t="s">
        <v>121</v>
      </c>
      <c r="M529" s="7" t="s">
        <v>194</v>
      </c>
      <c r="N529" s="7" t="n">
        <v>31</v>
      </c>
      <c r="O529" s="7" t="n">
        <v>5</v>
      </c>
    </row>
    <row r="530" customFormat="false" ht="15" hidden="false" customHeight="false" outlineLevel="0" collapsed="false">
      <c r="A530" s="7" t="s">
        <v>5518</v>
      </c>
      <c r="B530" s="10" t="n">
        <v>45727</v>
      </c>
      <c r="C530" s="7" t="s">
        <v>679</v>
      </c>
      <c r="D530" s="7" t="s">
        <v>3624</v>
      </c>
      <c r="E530" s="7" t="s">
        <v>94</v>
      </c>
      <c r="F530" s="7" t="s">
        <v>86</v>
      </c>
      <c r="G530" s="7" t="s">
        <v>95</v>
      </c>
      <c r="H530" s="7" t="n">
        <v>1</v>
      </c>
      <c r="I530" s="11" t="n">
        <v>105</v>
      </c>
      <c r="J530" s="11" t="n">
        <v>0</v>
      </c>
      <c r="K530" s="11" t="n">
        <f aca="false">H530*I530-J530</f>
        <v>105</v>
      </c>
      <c r="L530" s="7" t="s">
        <v>88</v>
      </c>
      <c r="M530" s="7" t="s">
        <v>194</v>
      </c>
      <c r="N530" s="7" t="n">
        <v>43</v>
      </c>
      <c r="O530" s="7" t="n">
        <v>5</v>
      </c>
    </row>
    <row r="531" customFormat="false" ht="15" hidden="false" customHeight="false" outlineLevel="0" collapsed="false">
      <c r="A531" s="7" t="s">
        <v>5120</v>
      </c>
      <c r="B531" s="10" t="n">
        <v>45727</v>
      </c>
      <c r="C531" s="7" t="s">
        <v>3013</v>
      </c>
      <c r="D531" s="7" t="s">
        <v>3588</v>
      </c>
      <c r="E531" s="7" t="s">
        <v>149</v>
      </c>
      <c r="F531" s="7" t="s">
        <v>119</v>
      </c>
      <c r="G531" s="7" t="s">
        <v>150</v>
      </c>
      <c r="H531" s="7" t="n">
        <v>2</v>
      </c>
      <c r="I531" s="11" t="n">
        <v>175</v>
      </c>
      <c r="J531" s="11" t="n">
        <v>0</v>
      </c>
      <c r="K531" s="11" t="n">
        <f aca="false">H531*I531-J531</f>
        <v>350</v>
      </c>
      <c r="L531" s="7" t="s">
        <v>112</v>
      </c>
      <c r="M531" s="7" t="s">
        <v>194</v>
      </c>
      <c r="N531" s="7" t="n">
        <v>30</v>
      </c>
      <c r="O531" s="7" t="n">
        <v>4</v>
      </c>
    </row>
    <row r="532" customFormat="false" ht="15" hidden="false" customHeight="false" outlineLevel="0" collapsed="false">
      <c r="A532" s="7" t="s">
        <v>2481</v>
      </c>
      <c r="B532" s="10" t="n">
        <v>45727</v>
      </c>
      <c r="C532" s="7" t="s">
        <v>1692</v>
      </c>
      <c r="D532" s="7" t="s">
        <v>246</v>
      </c>
      <c r="E532" s="7" t="s">
        <v>126</v>
      </c>
      <c r="F532" s="7" t="s">
        <v>101</v>
      </c>
      <c r="G532" s="7" t="s">
        <v>105</v>
      </c>
      <c r="H532" s="7" t="n">
        <v>4</v>
      </c>
      <c r="I532" s="11" t="n">
        <v>270</v>
      </c>
      <c r="J532" s="11" t="n">
        <v>0</v>
      </c>
      <c r="K532" s="11" t="n">
        <f aca="false">H532*I532-J532</f>
        <v>1080</v>
      </c>
      <c r="L532" s="7" t="s">
        <v>88</v>
      </c>
      <c r="M532" s="7" t="s">
        <v>194</v>
      </c>
      <c r="N532" s="7" t="n">
        <v>41</v>
      </c>
      <c r="O532" s="7" t="n">
        <v>4</v>
      </c>
    </row>
    <row r="533" customFormat="false" ht="15" hidden="false" customHeight="false" outlineLevel="0" collapsed="false">
      <c r="A533" s="7" t="s">
        <v>5764</v>
      </c>
      <c r="B533" s="10" t="n">
        <v>45727</v>
      </c>
      <c r="C533" s="7" t="s">
        <v>3608</v>
      </c>
      <c r="D533" s="7" t="s">
        <v>3323</v>
      </c>
      <c r="E533" s="7" t="s">
        <v>130</v>
      </c>
      <c r="F533" s="7" t="s">
        <v>110</v>
      </c>
      <c r="G533" s="7" t="s">
        <v>90</v>
      </c>
      <c r="H533" s="7" t="n">
        <v>1</v>
      </c>
      <c r="I533" s="11" t="n">
        <v>200</v>
      </c>
      <c r="J533" s="11" t="n">
        <v>0</v>
      </c>
      <c r="K533" s="11" t="n">
        <f aca="false">H533*I533-J533</f>
        <v>200</v>
      </c>
      <c r="L533" s="7" t="s">
        <v>112</v>
      </c>
      <c r="M533" s="7" t="s">
        <v>194</v>
      </c>
      <c r="N533" s="7" t="n">
        <v>49</v>
      </c>
      <c r="O533" s="7" t="n">
        <v>5</v>
      </c>
    </row>
    <row r="534" customFormat="false" ht="15" hidden="false" customHeight="false" outlineLevel="0" collapsed="false">
      <c r="A534" s="7" t="s">
        <v>2489</v>
      </c>
      <c r="B534" s="10" t="n">
        <v>45727</v>
      </c>
      <c r="C534" s="7" t="s">
        <v>1820</v>
      </c>
      <c r="D534" s="7" t="s">
        <v>2490</v>
      </c>
      <c r="E534" s="7" t="s">
        <v>122</v>
      </c>
      <c r="F534" s="7" t="s">
        <v>101</v>
      </c>
      <c r="G534" s="7" t="s">
        <v>123</v>
      </c>
      <c r="H534" s="7" t="n">
        <v>2</v>
      </c>
      <c r="I534" s="11" t="n">
        <v>285</v>
      </c>
      <c r="J534" s="11" t="n">
        <v>150</v>
      </c>
      <c r="K534" s="11" t="n">
        <f aca="false">H534*I534-J534</f>
        <v>420</v>
      </c>
      <c r="L534" s="7" t="s">
        <v>88</v>
      </c>
      <c r="M534" s="7" t="s">
        <v>194</v>
      </c>
      <c r="N534" s="7" t="n">
        <v>52</v>
      </c>
      <c r="O534" s="7"/>
    </row>
    <row r="535" customFormat="false" ht="15" hidden="false" customHeight="false" outlineLevel="0" collapsed="false">
      <c r="A535" s="7" t="s">
        <v>1159</v>
      </c>
      <c r="B535" s="10" t="n">
        <v>45727</v>
      </c>
      <c r="C535" s="7" t="s">
        <v>1161</v>
      </c>
      <c r="D535" s="7" t="s">
        <v>721</v>
      </c>
      <c r="E535" s="7" t="s">
        <v>147</v>
      </c>
      <c r="F535" s="7" t="s">
        <v>119</v>
      </c>
      <c r="G535" s="7" t="s">
        <v>95</v>
      </c>
      <c r="H535" s="7" t="n">
        <v>2</v>
      </c>
      <c r="I535" s="11" t="n">
        <v>135</v>
      </c>
      <c r="J535" s="11" t="n">
        <v>30</v>
      </c>
      <c r="K535" s="11" t="n">
        <f aca="false">H535*I535-J535</f>
        <v>240</v>
      </c>
      <c r="L535" s="7" t="s">
        <v>112</v>
      </c>
      <c r="M535" s="7" t="s">
        <v>194</v>
      </c>
      <c r="N535" s="7" t="n">
        <v>35</v>
      </c>
      <c r="O535" s="7"/>
    </row>
    <row r="536" customFormat="false" ht="15" hidden="false" customHeight="false" outlineLevel="0" collapsed="false">
      <c r="A536" s="7" t="s">
        <v>5010</v>
      </c>
      <c r="B536" s="10" t="n">
        <v>45727</v>
      </c>
      <c r="C536" s="7" t="s">
        <v>3247</v>
      </c>
      <c r="D536" s="7" t="s">
        <v>4244</v>
      </c>
      <c r="E536" s="7" t="s">
        <v>94</v>
      </c>
      <c r="F536" s="7" t="s">
        <v>86</v>
      </c>
      <c r="G536" s="7" t="s">
        <v>95</v>
      </c>
      <c r="H536" s="7" t="n">
        <v>3</v>
      </c>
      <c r="I536" s="11" t="n">
        <v>105</v>
      </c>
      <c r="J536" s="11" t="n">
        <v>100</v>
      </c>
      <c r="K536" s="11" t="n">
        <f aca="false">H536*I536-J536</f>
        <v>215</v>
      </c>
      <c r="L536" s="7" t="s">
        <v>103</v>
      </c>
      <c r="M536" s="7" t="s">
        <v>194</v>
      </c>
      <c r="N536" s="7" t="n">
        <v>38</v>
      </c>
      <c r="O536" s="7" t="n">
        <v>4</v>
      </c>
    </row>
    <row r="537" customFormat="false" ht="15" hidden="false" customHeight="false" outlineLevel="0" collapsed="false">
      <c r="A537" s="7" t="s">
        <v>3310</v>
      </c>
      <c r="B537" s="10" t="n">
        <v>45727</v>
      </c>
      <c r="C537" s="7" t="s">
        <v>1704</v>
      </c>
      <c r="D537" s="7" t="s">
        <v>3311</v>
      </c>
      <c r="E537" s="7" t="s">
        <v>142</v>
      </c>
      <c r="F537" s="7" t="s">
        <v>110</v>
      </c>
      <c r="G537" s="7" t="s">
        <v>105</v>
      </c>
      <c r="H537" s="7" t="n">
        <v>2</v>
      </c>
      <c r="I537" s="11" t="n">
        <v>170</v>
      </c>
      <c r="J537" s="11" t="n">
        <v>40</v>
      </c>
      <c r="K537" s="11" t="n">
        <f aca="false">H537*I537-J537</f>
        <v>300</v>
      </c>
      <c r="L537" s="7" t="s">
        <v>93</v>
      </c>
      <c r="M537" s="7" t="s">
        <v>238</v>
      </c>
      <c r="N537" s="7"/>
      <c r="O537" s="7"/>
    </row>
    <row r="538" customFormat="false" ht="15" hidden="false" customHeight="false" outlineLevel="0" collapsed="false">
      <c r="A538" s="7" t="s">
        <v>4481</v>
      </c>
      <c r="B538" s="10" t="n">
        <v>45727</v>
      </c>
      <c r="C538" s="7" t="s">
        <v>2080</v>
      </c>
      <c r="D538" s="7" t="s">
        <v>3074</v>
      </c>
      <c r="E538" s="7" t="s">
        <v>104</v>
      </c>
      <c r="F538" s="7" t="s">
        <v>86</v>
      </c>
      <c r="G538" s="7" t="s">
        <v>105</v>
      </c>
      <c r="H538" s="7" t="n">
        <v>1</v>
      </c>
      <c r="I538" s="11" t="n">
        <v>215</v>
      </c>
      <c r="J538" s="11" t="n">
        <v>0</v>
      </c>
      <c r="K538" s="11" t="n">
        <f aca="false">H538*I538-J538</f>
        <v>215</v>
      </c>
      <c r="L538" s="7" t="s">
        <v>93</v>
      </c>
      <c r="M538" s="7" t="s">
        <v>194</v>
      </c>
      <c r="N538" s="7" t="n">
        <v>31</v>
      </c>
      <c r="O538" s="7" t="n">
        <v>3</v>
      </c>
    </row>
    <row r="539" customFormat="false" ht="15" hidden="false" customHeight="false" outlineLevel="0" collapsed="false">
      <c r="A539" s="7" t="s">
        <v>5283</v>
      </c>
      <c r="B539" s="10" t="n">
        <v>45727</v>
      </c>
      <c r="C539" s="7" t="s">
        <v>1211</v>
      </c>
      <c r="D539" s="7" t="s">
        <v>2086</v>
      </c>
      <c r="E539" s="7" t="s">
        <v>113</v>
      </c>
      <c r="F539" s="7" t="s">
        <v>101</v>
      </c>
      <c r="G539" s="7" t="s">
        <v>90</v>
      </c>
      <c r="H539" s="7" t="n">
        <v>2</v>
      </c>
      <c r="I539" s="11" t="n">
        <v>180</v>
      </c>
      <c r="J539" s="11" t="n">
        <v>100</v>
      </c>
      <c r="K539" s="11" t="n">
        <f aca="false">H539*I539-J539</f>
        <v>260</v>
      </c>
      <c r="L539" s="7" t="s">
        <v>88</v>
      </c>
      <c r="M539" s="7" t="s">
        <v>194</v>
      </c>
      <c r="N539" s="7" t="n">
        <v>49</v>
      </c>
      <c r="O539" s="7" t="n">
        <v>3</v>
      </c>
    </row>
    <row r="540" customFormat="false" ht="15" hidden="false" customHeight="false" outlineLevel="0" collapsed="false">
      <c r="A540" s="7" t="s">
        <v>5444</v>
      </c>
      <c r="B540" s="10" t="n">
        <v>45727</v>
      </c>
      <c r="C540" s="7" t="s">
        <v>3204</v>
      </c>
      <c r="D540" s="7" t="s">
        <v>5445</v>
      </c>
      <c r="E540" s="7" t="s">
        <v>113</v>
      </c>
      <c r="F540" s="7" t="s">
        <v>101</v>
      </c>
      <c r="G540" s="7" t="s">
        <v>90</v>
      </c>
      <c r="H540" s="7" t="n">
        <v>2</v>
      </c>
      <c r="I540" s="11" t="n">
        <v>260</v>
      </c>
      <c r="J540" s="11" t="n">
        <v>20</v>
      </c>
      <c r="K540" s="11" t="n">
        <f aca="false">H540*I540-J540</f>
        <v>500</v>
      </c>
      <c r="L540" s="7" t="s">
        <v>88</v>
      </c>
      <c r="M540" s="7" t="s">
        <v>194</v>
      </c>
      <c r="N540" s="7" t="n">
        <v>54</v>
      </c>
      <c r="O540" s="7" t="n">
        <v>3</v>
      </c>
    </row>
    <row r="541" customFormat="false" ht="15" hidden="false" customHeight="false" outlineLevel="0" collapsed="false">
      <c r="A541" s="7" t="s">
        <v>3334</v>
      </c>
      <c r="B541" s="10" t="n">
        <v>45728</v>
      </c>
      <c r="C541" s="7" t="s">
        <v>1466</v>
      </c>
      <c r="D541" s="7" t="s">
        <v>3335</v>
      </c>
      <c r="E541" s="7" t="s">
        <v>98</v>
      </c>
      <c r="F541" s="7" t="s">
        <v>86</v>
      </c>
      <c r="G541" s="7" t="s">
        <v>99</v>
      </c>
      <c r="H541" s="7" t="n">
        <v>1</v>
      </c>
      <c r="I541" s="11" t="n">
        <v>265</v>
      </c>
      <c r="J541" s="11" t="n">
        <v>0</v>
      </c>
      <c r="K541" s="11" t="n">
        <f aca="false">H541*I541-J541</f>
        <v>265</v>
      </c>
      <c r="L541" s="7" t="s">
        <v>121</v>
      </c>
      <c r="M541" s="7" t="s">
        <v>194</v>
      </c>
      <c r="N541" s="7" t="n">
        <v>47</v>
      </c>
      <c r="O541" s="7" t="n">
        <v>4</v>
      </c>
    </row>
    <row r="542" customFormat="false" ht="15" hidden="false" customHeight="false" outlineLevel="0" collapsed="false">
      <c r="A542" s="7" t="s">
        <v>5535</v>
      </c>
      <c r="B542" s="10" t="n">
        <v>45728</v>
      </c>
      <c r="C542" s="7" t="s">
        <v>1552</v>
      </c>
      <c r="D542" s="7" t="s">
        <v>1037</v>
      </c>
      <c r="E542" s="7" t="s">
        <v>152</v>
      </c>
      <c r="F542" s="7" t="s">
        <v>128</v>
      </c>
      <c r="G542" s="7" t="s">
        <v>95</v>
      </c>
      <c r="H542" s="7" t="n">
        <v>2</v>
      </c>
      <c r="I542" s="11" t="n">
        <v>120</v>
      </c>
      <c r="J542" s="11" t="n">
        <v>0</v>
      </c>
      <c r="K542" s="11" t="n">
        <f aca="false">H542*I542-J542</f>
        <v>240</v>
      </c>
      <c r="L542" s="7" t="s">
        <v>112</v>
      </c>
      <c r="M542" s="7" t="s">
        <v>194</v>
      </c>
      <c r="N542" s="7" t="n">
        <v>35</v>
      </c>
      <c r="O542" s="7" t="n">
        <v>3</v>
      </c>
    </row>
    <row r="543" customFormat="false" ht="15" hidden="false" customHeight="false" outlineLevel="0" collapsed="false">
      <c r="A543" s="7" t="s">
        <v>5587</v>
      </c>
      <c r="B543" s="10" t="n">
        <v>45728</v>
      </c>
      <c r="C543" s="7" t="s">
        <v>759</v>
      </c>
      <c r="D543" s="7" t="s">
        <v>3729</v>
      </c>
      <c r="E543" s="7" t="s">
        <v>147</v>
      </c>
      <c r="F543" s="7" t="s">
        <v>119</v>
      </c>
      <c r="G543" s="7" t="s">
        <v>95</v>
      </c>
      <c r="H543" s="7" t="n">
        <v>1</v>
      </c>
      <c r="I543" s="11" t="n">
        <v>145</v>
      </c>
      <c r="J543" s="11" t="n">
        <v>58</v>
      </c>
      <c r="K543" s="11" t="n">
        <f aca="false">H543*I543-J543</f>
        <v>87</v>
      </c>
      <c r="L543" s="7" t="s">
        <v>103</v>
      </c>
      <c r="M543" s="7" t="s">
        <v>194</v>
      </c>
      <c r="N543" s="7" t="n">
        <v>22</v>
      </c>
      <c r="O543" s="7" t="n">
        <v>5</v>
      </c>
    </row>
    <row r="544" customFormat="false" ht="15" hidden="false" customHeight="false" outlineLevel="0" collapsed="false">
      <c r="A544" s="7" t="s">
        <v>3312</v>
      </c>
      <c r="B544" s="10" t="n">
        <v>45728</v>
      </c>
      <c r="C544" s="7" t="s">
        <v>1384</v>
      </c>
      <c r="D544" s="7" t="s">
        <v>3314</v>
      </c>
      <c r="E544" s="7" t="s">
        <v>98</v>
      </c>
      <c r="F544" s="7" t="s">
        <v>86</v>
      </c>
      <c r="G544" s="7" t="s">
        <v>99</v>
      </c>
      <c r="H544" s="7" t="n">
        <v>3</v>
      </c>
      <c r="I544" s="11" t="n">
        <v>295</v>
      </c>
      <c r="J544" s="11" t="n">
        <v>30</v>
      </c>
      <c r="K544" s="11" t="n">
        <f aca="false">H544*I544-J544</f>
        <v>855</v>
      </c>
      <c r="L544" s="7" t="s">
        <v>88</v>
      </c>
      <c r="M544" s="7" t="s">
        <v>194</v>
      </c>
      <c r="N544" s="7" t="n">
        <v>38</v>
      </c>
      <c r="O544" s="7" t="n">
        <v>5</v>
      </c>
    </row>
    <row r="545" customFormat="false" ht="15" hidden="false" customHeight="false" outlineLevel="0" collapsed="false">
      <c r="A545" s="7" t="s">
        <v>4837</v>
      </c>
      <c r="B545" s="10" t="n">
        <v>45728</v>
      </c>
      <c r="C545" s="7" t="s">
        <v>486</v>
      </c>
      <c r="D545" s="7" t="s">
        <v>4098</v>
      </c>
      <c r="E545" s="7" t="s">
        <v>138</v>
      </c>
      <c r="F545" s="7" t="s">
        <v>110</v>
      </c>
      <c r="G545" s="7" t="s">
        <v>139</v>
      </c>
      <c r="H545" s="7" t="n">
        <v>3</v>
      </c>
      <c r="I545" s="11" t="n">
        <v>200</v>
      </c>
      <c r="J545" s="11" t="n">
        <v>75</v>
      </c>
      <c r="K545" s="11" t="n">
        <f aca="false">H545*I545-J545</f>
        <v>525</v>
      </c>
      <c r="L545" s="7" t="s">
        <v>112</v>
      </c>
      <c r="M545" s="7" t="s">
        <v>194</v>
      </c>
      <c r="N545" s="7" t="n">
        <v>37</v>
      </c>
      <c r="O545" s="7" t="n">
        <v>4</v>
      </c>
    </row>
    <row r="546" customFormat="false" ht="15" hidden="false" customHeight="false" outlineLevel="0" collapsed="false">
      <c r="A546" s="7" t="s">
        <v>4382</v>
      </c>
      <c r="B546" s="10" t="n">
        <v>45728</v>
      </c>
      <c r="C546" s="7" t="s">
        <v>4383</v>
      </c>
      <c r="D546" s="7" t="s">
        <v>4384</v>
      </c>
      <c r="E546" s="7" t="s">
        <v>144</v>
      </c>
      <c r="F546" s="7" t="s">
        <v>119</v>
      </c>
      <c r="G546" s="7" t="s">
        <v>99</v>
      </c>
      <c r="H546" s="7" t="n">
        <v>3</v>
      </c>
      <c r="I546" s="11" t="n">
        <v>300</v>
      </c>
      <c r="J546" s="11" t="n">
        <v>0</v>
      </c>
      <c r="K546" s="11" t="n">
        <f aca="false">H546*I546-J546</f>
        <v>900</v>
      </c>
      <c r="L546" s="7" t="s">
        <v>88</v>
      </c>
      <c r="M546" s="7" t="s">
        <v>238</v>
      </c>
      <c r="N546" s="7"/>
      <c r="O546" s="7"/>
    </row>
    <row r="547" customFormat="false" ht="15" hidden="false" customHeight="false" outlineLevel="0" collapsed="false">
      <c r="A547" s="7" t="s">
        <v>5863</v>
      </c>
      <c r="B547" s="10" t="n">
        <v>45728</v>
      </c>
      <c r="C547" s="7" t="s">
        <v>306</v>
      </c>
      <c r="D547" s="7" t="s">
        <v>2983</v>
      </c>
      <c r="E547" s="7" t="s">
        <v>168</v>
      </c>
      <c r="F547" s="7" t="s">
        <v>146</v>
      </c>
      <c r="G547" s="7" t="s">
        <v>123</v>
      </c>
      <c r="H547" s="7" t="n">
        <v>5</v>
      </c>
      <c r="I547" s="11" t="n">
        <v>340</v>
      </c>
      <c r="J547" s="11" t="n">
        <v>100</v>
      </c>
      <c r="K547" s="11" t="n">
        <f aca="false">H547*I547-J547</f>
        <v>1600</v>
      </c>
      <c r="L547" s="7" t="s">
        <v>93</v>
      </c>
      <c r="M547" s="7" t="s">
        <v>194</v>
      </c>
      <c r="N547" s="7" t="n">
        <v>21</v>
      </c>
      <c r="O547" s="7" t="n">
        <v>4</v>
      </c>
    </row>
    <row r="548" customFormat="false" ht="15" hidden="false" customHeight="false" outlineLevel="0" collapsed="false">
      <c r="A548" s="7" t="s">
        <v>3481</v>
      </c>
      <c r="B548" s="10" t="n">
        <v>45728</v>
      </c>
      <c r="C548" s="7" t="s">
        <v>1317</v>
      </c>
      <c r="D548" s="7" t="s">
        <v>2437</v>
      </c>
      <c r="E548" s="7" t="s">
        <v>164</v>
      </c>
      <c r="F548" s="7" t="s">
        <v>141</v>
      </c>
      <c r="G548" s="7" t="s">
        <v>150</v>
      </c>
      <c r="H548" s="7" t="n">
        <v>2</v>
      </c>
      <c r="I548" s="11" t="n">
        <v>155</v>
      </c>
      <c r="J548" s="11" t="n">
        <v>40</v>
      </c>
      <c r="K548" s="11" t="n">
        <f aca="false">H548*I548-J548</f>
        <v>270</v>
      </c>
      <c r="L548" s="7" t="s">
        <v>88</v>
      </c>
      <c r="M548" s="7" t="s">
        <v>194</v>
      </c>
      <c r="N548" s="7" t="n">
        <v>34</v>
      </c>
      <c r="O548" s="7" t="n">
        <v>5</v>
      </c>
    </row>
    <row r="549" customFormat="false" ht="15" hidden="false" customHeight="false" outlineLevel="0" collapsed="false">
      <c r="A549" s="7" t="s">
        <v>1813</v>
      </c>
      <c r="B549" s="10" t="n">
        <v>45728</v>
      </c>
      <c r="C549" s="7" t="s">
        <v>747</v>
      </c>
      <c r="D549" s="7" t="s">
        <v>1815</v>
      </c>
      <c r="E549" s="7" t="s">
        <v>122</v>
      </c>
      <c r="F549" s="7" t="s">
        <v>101</v>
      </c>
      <c r="G549" s="7" t="s">
        <v>123</v>
      </c>
      <c r="H549" s="7" t="n">
        <v>2</v>
      </c>
      <c r="I549" s="11" t="n">
        <v>275</v>
      </c>
      <c r="J549" s="11" t="n">
        <v>20</v>
      </c>
      <c r="K549" s="11" t="n">
        <f aca="false">H549*I549-J549</f>
        <v>530</v>
      </c>
      <c r="L549" s="7" t="s">
        <v>103</v>
      </c>
      <c r="M549" s="7" t="s">
        <v>194</v>
      </c>
      <c r="N549" s="7" t="n">
        <v>34</v>
      </c>
      <c r="O549" s="7" t="n">
        <v>4</v>
      </c>
    </row>
    <row r="550" customFormat="false" ht="15" hidden="false" customHeight="false" outlineLevel="0" collapsed="false">
      <c r="A550" s="7" t="s">
        <v>1445</v>
      </c>
      <c r="B550" s="10" t="n">
        <v>45729</v>
      </c>
      <c r="C550" s="7" t="s">
        <v>377</v>
      </c>
      <c r="D550" s="7" t="s">
        <v>1447</v>
      </c>
      <c r="E550" s="7" t="s">
        <v>147</v>
      </c>
      <c r="F550" s="7" t="s">
        <v>119</v>
      </c>
      <c r="G550" s="7" t="s">
        <v>95</v>
      </c>
      <c r="H550" s="7" t="n">
        <v>2</v>
      </c>
      <c r="I550" s="11" t="n">
        <v>195</v>
      </c>
      <c r="J550" s="11" t="n">
        <v>40</v>
      </c>
      <c r="K550" s="11" t="n">
        <f aca="false">H550*I550-J550</f>
        <v>350</v>
      </c>
      <c r="L550" s="7" t="s">
        <v>112</v>
      </c>
      <c r="M550" s="7" t="s">
        <v>194</v>
      </c>
      <c r="N550" s="7" t="n">
        <v>33</v>
      </c>
      <c r="O550" s="7"/>
    </row>
    <row r="551" customFormat="false" ht="15" hidden="false" customHeight="false" outlineLevel="0" collapsed="false">
      <c r="A551" s="7" t="s">
        <v>2793</v>
      </c>
      <c r="B551" s="10" t="n">
        <v>45729</v>
      </c>
      <c r="C551" s="7" t="s">
        <v>661</v>
      </c>
      <c r="D551" s="7" t="s">
        <v>2215</v>
      </c>
      <c r="E551" s="7" t="s">
        <v>147</v>
      </c>
      <c r="F551" s="7" t="s">
        <v>119</v>
      </c>
      <c r="G551" s="7" t="s">
        <v>95</v>
      </c>
      <c r="H551" s="7" t="n">
        <v>1</v>
      </c>
      <c r="I551" s="11" t="n">
        <v>155</v>
      </c>
      <c r="J551" s="11" t="n">
        <v>0</v>
      </c>
      <c r="K551" s="11" t="n">
        <f aca="false">H551*I551-J551</f>
        <v>155</v>
      </c>
      <c r="L551" s="7" t="s">
        <v>88</v>
      </c>
      <c r="M551" s="7" t="s">
        <v>194</v>
      </c>
      <c r="N551" s="7" t="n">
        <v>41</v>
      </c>
      <c r="O551" s="7" t="n">
        <v>3</v>
      </c>
    </row>
    <row r="552" customFormat="false" ht="15" hidden="false" customHeight="false" outlineLevel="0" collapsed="false">
      <c r="A552" s="7" t="s">
        <v>2829</v>
      </c>
      <c r="B552" s="10" t="n">
        <v>45729</v>
      </c>
      <c r="C552" s="7" t="s">
        <v>2830</v>
      </c>
      <c r="D552" s="7" t="s">
        <v>2192</v>
      </c>
      <c r="E552" s="7" t="s">
        <v>165</v>
      </c>
      <c r="F552" s="7" t="s">
        <v>146</v>
      </c>
      <c r="G552" s="7" t="s">
        <v>90</v>
      </c>
      <c r="H552" s="7" t="n">
        <v>2</v>
      </c>
      <c r="I552" s="11" t="n">
        <v>245</v>
      </c>
      <c r="J552" s="11" t="n">
        <v>0</v>
      </c>
      <c r="K552" s="11" t="n">
        <f aca="false">H552*I552-J552</f>
        <v>490</v>
      </c>
      <c r="L552" s="7" t="s">
        <v>88</v>
      </c>
      <c r="M552" s="7" t="s">
        <v>194</v>
      </c>
      <c r="N552" s="7" t="n">
        <v>31</v>
      </c>
      <c r="O552" s="7" t="n">
        <v>5</v>
      </c>
    </row>
    <row r="553" customFormat="false" ht="15" hidden="false" customHeight="false" outlineLevel="0" collapsed="false">
      <c r="A553" s="7" t="s">
        <v>4109</v>
      </c>
      <c r="B553" s="10" t="n">
        <v>45729</v>
      </c>
      <c r="C553" s="7" t="s">
        <v>1256</v>
      </c>
      <c r="D553" s="7" t="s">
        <v>2077</v>
      </c>
      <c r="E553" s="7" t="s">
        <v>98</v>
      </c>
      <c r="F553" s="7" t="s">
        <v>86</v>
      </c>
      <c r="G553" s="7" t="s">
        <v>99</v>
      </c>
      <c r="H553" s="7" t="n">
        <v>1</v>
      </c>
      <c r="I553" s="11" t="n">
        <v>235</v>
      </c>
      <c r="J553" s="11" t="n">
        <v>0</v>
      </c>
      <c r="K553" s="11" t="n">
        <f aca="false">H553*I553-J553</f>
        <v>235</v>
      </c>
      <c r="L553" s="7" t="s">
        <v>88</v>
      </c>
      <c r="M553" s="7" t="s">
        <v>194</v>
      </c>
      <c r="N553" s="7" t="n">
        <v>34</v>
      </c>
      <c r="O553" s="7" t="n">
        <v>4</v>
      </c>
    </row>
    <row r="554" customFormat="false" ht="15" hidden="false" customHeight="false" outlineLevel="0" collapsed="false">
      <c r="A554" s="7" t="s">
        <v>6033</v>
      </c>
      <c r="B554" s="10" t="n">
        <v>45729</v>
      </c>
      <c r="C554" s="7" t="s">
        <v>1631</v>
      </c>
      <c r="D554" s="7" t="s">
        <v>1521</v>
      </c>
      <c r="E554" s="7" t="s">
        <v>159</v>
      </c>
      <c r="F554" s="7" t="s">
        <v>136</v>
      </c>
      <c r="G554" s="7" t="s">
        <v>90</v>
      </c>
      <c r="H554" s="7" t="n">
        <v>2</v>
      </c>
      <c r="I554" s="11" t="n">
        <v>240</v>
      </c>
      <c r="J554" s="11" t="n">
        <v>125</v>
      </c>
      <c r="K554" s="11" t="n">
        <f aca="false">H554*I554-J554</f>
        <v>355</v>
      </c>
      <c r="L554" s="7" t="s">
        <v>88</v>
      </c>
      <c r="M554" s="7" t="s">
        <v>194</v>
      </c>
      <c r="N554" s="7" t="n">
        <v>37</v>
      </c>
      <c r="O554" s="7" t="n">
        <v>3</v>
      </c>
    </row>
    <row r="555" customFormat="false" ht="15" hidden="false" customHeight="false" outlineLevel="0" collapsed="false">
      <c r="A555" s="7" t="s">
        <v>5469</v>
      </c>
      <c r="B555" s="10" t="n">
        <v>45729</v>
      </c>
      <c r="C555" s="7" t="s">
        <v>365</v>
      </c>
      <c r="D555" s="7" t="s">
        <v>4510</v>
      </c>
      <c r="E555" s="7" t="s">
        <v>113</v>
      </c>
      <c r="F555" s="7" t="s">
        <v>101</v>
      </c>
      <c r="G555" s="7" t="s">
        <v>90</v>
      </c>
      <c r="H555" s="7" t="n">
        <v>4</v>
      </c>
      <c r="I555" s="11" t="n">
        <v>215</v>
      </c>
      <c r="J555" s="11" t="n">
        <v>30</v>
      </c>
      <c r="K555" s="11" t="n">
        <f aca="false">H555*I555-J555</f>
        <v>830</v>
      </c>
      <c r="L555" s="7" t="s">
        <v>88</v>
      </c>
      <c r="M555" s="7" t="s">
        <v>238</v>
      </c>
      <c r="N555" s="7"/>
      <c r="O555" s="7"/>
    </row>
    <row r="556" customFormat="false" ht="15" hidden="false" customHeight="false" outlineLevel="0" collapsed="false">
      <c r="A556" s="7" t="s">
        <v>1237</v>
      </c>
      <c r="B556" s="10" t="n">
        <v>45730</v>
      </c>
      <c r="C556" s="7" t="s">
        <v>886</v>
      </c>
      <c r="D556" s="7" t="s">
        <v>412</v>
      </c>
      <c r="E556" s="7" t="s">
        <v>138</v>
      </c>
      <c r="F556" s="7" t="s">
        <v>110</v>
      </c>
      <c r="G556" s="7" t="s">
        <v>139</v>
      </c>
      <c r="H556" s="7" t="n">
        <v>5</v>
      </c>
      <c r="I556" s="11" t="n">
        <v>185</v>
      </c>
      <c r="J556" s="11" t="n">
        <v>0</v>
      </c>
      <c r="K556" s="11" t="n">
        <f aca="false">H556*I556-J556</f>
        <v>925</v>
      </c>
      <c r="L556" s="7" t="s">
        <v>93</v>
      </c>
      <c r="M556" s="7" t="s">
        <v>194</v>
      </c>
      <c r="N556" s="7" t="n">
        <v>38</v>
      </c>
      <c r="O556" s="7" t="n">
        <v>4</v>
      </c>
    </row>
    <row r="557" customFormat="false" ht="15" hidden="false" customHeight="false" outlineLevel="0" collapsed="false">
      <c r="A557" s="7" t="s">
        <v>2295</v>
      </c>
      <c r="B557" s="10" t="n">
        <v>45730</v>
      </c>
      <c r="C557" s="7" t="s">
        <v>2296</v>
      </c>
      <c r="D557" s="7" t="s">
        <v>2297</v>
      </c>
      <c r="E557" s="7" t="s">
        <v>122</v>
      </c>
      <c r="F557" s="7" t="s">
        <v>101</v>
      </c>
      <c r="G557" s="7" t="s">
        <v>123</v>
      </c>
      <c r="H557" s="7" t="n">
        <v>3</v>
      </c>
      <c r="I557" s="11" t="n">
        <v>335</v>
      </c>
      <c r="J557" s="11" t="n">
        <v>0</v>
      </c>
      <c r="K557" s="11" t="n">
        <f aca="false">H557*I557-J557</f>
        <v>1005</v>
      </c>
      <c r="L557" s="7" t="s">
        <v>88</v>
      </c>
      <c r="M557" s="7" t="s">
        <v>194</v>
      </c>
      <c r="N557" s="7" t="n">
        <v>35</v>
      </c>
      <c r="O557" s="7" t="n">
        <v>3</v>
      </c>
    </row>
    <row r="558" customFormat="false" ht="15" hidden="false" customHeight="false" outlineLevel="0" collapsed="false">
      <c r="A558" s="7" t="s">
        <v>5027</v>
      </c>
      <c r="B558" s="10" t="n">
        <v>45730</v>
      </c>
      <c r="C558" s="7" t="s">
        <v>5028</v>
      </c>
      <c r="D558" s="7" t="s">
        <v>915</v>
      </c>
      <c r="E558" s="7" t="s">
        <v>149</v>
      </c>
      <c r="F558" s="7" t="s">
        <v>119</v>
      </c>
      <c r="G558" s="7" t="s">
        <v>150</v>
      </c>
      <c r="H558" s="7" t="n">
        <v>3</v>
      </c>
      <c r="I558" s="11" t="n">
        <v>145</v>
      </c>
      <c r="J558" s="11" t="n">
        <v>20</v>
      </c>
      <c r="K558" s="11" t="n">
        <f aca="false">H558*I558-J558</f>
        <v>415</v>
      </c>
      <c r="L558" s="7" t="s">
        <v>88</v>
      </c>
      <c r="M558" s="7" t="s">
        <v>194</v>
      </c>
      <c r="N558" s="7" t="n">
        <v>35</v>
      </c>
      <c r="O558" s="7" t="n">
        <v>5</v>
      </c>
    </row>
    <row r="559" customFormat="false" ht="15" hidden="false" customHeight="false" outlineLevel="0" collapsed="false">
      <c r="A559" s="7" t="s">
        <v>4220</v>
      </c>
      <c r="B559" s="10" t="n">
        <v>45730</v>
      </c>
      <c r="C559" s="7" t="s">
        <v>1624</v>
      </c>
      <c r="D559" s="7" t="s">
        <v>1447</v>
      </c>
      <c r="E559" s="7" t="s">
        <v>113</v>
      </c>
      <c r="F559" s="7" t="s">
        <v>101</v>
      </c>
      <c r="G559" s="7" t="s">
        <v>90</v>
      </c>
      <c r="H559" s="7" t="n">
        <v>3</v>
      </c>
      <c r="I559" s="11" t="n">
        <v>295</v>
      </c>
      <c r="J559" s="11" t="n">
        <v>50</v>
      </c>
      <c r="K559" s="11" t="n">
        <f aca="false">H559*I559-J559</f>
        <v>835</v>
      </c>
      <c r="L559" s="7" t="s">
        <v>103</v>
      </c>
      <c r="M559" s="7" t="s">
        <v>194</v>
      </c>
      <c r="N559" s="7" t="n">
        <v>45</v>
      </c>
      <c r="O559" s="7" t="n">
        <v>4</v>
      </c>
    </row>
    <row r="560" customFormat="false" ht="15" hidden="false" customHeight="false" outlineLevel="0" collapsed="false">
      <c r="A560" s="7" t="s">
        <v>3928</v>
      </c>
      <c r="B560" s="10" t="n">
        <v>45730</v>
      </c>
      <c r="C560" s="7" t="s">
        <v>1501</v>
      </c>
      <c r="D560" s="7" t="s">
        <v>2174</v>
      </c>
      <c r="E560" s="7" t="s">
        <v>126</v>
      </c>
      <c r="F560" s="7" t="s">
        <v>101</v>
      </c>
      <c r="G560" s="7" t="s">
        <v>105</v>
      </c>
      <c r="H560" s="7" t="n">
        <v>1</v>
      </c>
      <c r="I560" s="11" t="n">
        <v>235</v>
      </c>
      <c r="J560" s="11" t="n">
        <v>40</v>
      </c>
      <c r="K560" s="11" t="n">
        <f aca="false">H560*I560-J560</f>
        <v>195</v>
      </c>
      <c r="L560" s="7" t="s">
        <v>88</v>
      </c>
      <c r="M560" s="7" t="s">
        <v>194</v>
      </c>
      <c r="N560" s="7" t="n">
        <v>50</v>
      </c>
      <c r="O560" s="7" t="n">
        <v>5</v>
      </c>
    </row>
    <row r="561" customFormat="false" ht="15" hidden="false" customHeight="false" outlineLevel="0" collapsed="false">
      <c r="A561" s="7" t="s">
        <v>4468</v>
      </c>
      <c r="B561" s="10" t="n">
        <v>45730</v>
      </c>
      <c r="C561" s="7" t="s">
        <v>889</v>
      </c>
      <c r="D561" s="7" t="s">
        <v>2062</v>
      </c>
      <c r="E561" s="7" t="s">
        <v>144</v>
      </c>
      <c r="F561" s="7" t="s">
        <v>119</v>
      </c>
      <c r="G561" s="7" t="s">
        <v>99</v>
      </c>
      <c r="H561" s="7" t="n">
        <v>2</v>
      </c>
      <c r="I561" s="11" t="n">
        <v>330</v>
      </c>
      <c r="J561" s="11" t="n">
        <v>0</v>
      </c>
      <c r="K561" s="11" t="n">
        <f aca="false">H561*I561-J561</f>
        <v>660</v>
      </c>
      <c r="L561" s="7" t="s">
        <v>103</v>
      </c>
      <c r="M561" s="7" t="s">
        <v>194</v>
      </c>
      <c r="N561" s="7" t="n">
        <v>39</v>
      </c>
      <c r="O561" s="7" t="n">
        <v>4</v>
      </c>
    </row>
    <row r="562" customFormat="false" ht="15" hidden="false" customHeight="false" outlineLevel="0" collapsed="false">
      <c r="A562" s="7" t="s">
        <v>3917</v>
      </c>
      <c r="B562" s="10" t="n">
        <v>45731</v>
      </c>
      <c r="C562" s="7" t="s">
        <v>3918</v>
      </c>
      <c r="D562" s="7" t="s">
        <v>1840</v>
      </c>
      <c r="E562" s="7" t="s">
        <v>157</v>
      </c>
      <c r="F562" s="7" t="s">
        <v>136</v>
      </c>
      <c r="G562" s="7" t="s">
        <v>117</v>
      </c>
      <c r="H562" s="7" t="n">
        <v>1</v>
      </c>
      <c r="I562" s="11" t="n">
        <v>125</v>
      </c>
      <c r="J562" s="11" t="n">
        <v>20</v>
      </c>
      <c r="K562" s="11" t="n">
        <f aca="false">H562*I562-J562</f>
        <v>105</v>
      </c>
      <c r="L562" s="7" t="s">
        <v>88</v>
      </c>
      <c r="M562" s="7" t="s">
        <v>194</v>
      </c>
      <c r="N562" s="7" t="n">
        <v>32</v>
      </c>
      <c r="O562" s="7" t="n">
        <v>3</v>
      </c>
    </row>
    <row r="563" customFormat="false" ht="15" hidden="false" customHeight="false" outlineLevel="0" collapsed="false">
      <c r="A563" s="7" t="s">
        <v>5956</v>
      </c>
      <c r="B563" s="10" t="n">
        <v>45731</v>
      </c>
      <c r="C563" s="7" t="s">
        <v>1419</v>
      </c>
      <c r="D563" s="7" t="s">
        <v>2054</v>
      </c>
      <c r="E563" s="7" t="s">
        <v>130</v>
      </c>
      <c r="F563" s="7" t="s">
        <v>110</v>
      </c>
      <c r="G563" s="7" t="s">
        <v>90</v>
      </c>
      <c r="H563" s="7" t="n">
        <v>1</v>
      </c>
      <c r="I563" s="11" t="n">
        <v>220</v>
      </c>
      <c r="J563" s="11" t="n">
        <v>50</v>
      </c>
      <c r="K563" s="11" t="n">
        <f aca="false">H563*I563-J563</f>
        <v>170</v>
      </c>
      <c r="L563" s="7" t="s">
        <v>88</v>
      </c>
      <c r="M563" s="7" t="s">
        <v>238</v>
      </c>
      <c r="N563" s="7"/>
      <c r="O563" s="7"/>
    </row>
    <row r="564" customFormat="false" ht="15" hidden="false" customHeight="false" outlineLevel="0" collapsed="false">
      <c r="A564" s="7" t="s">
        <v>4262</v>
      </c>
      <c r="B564" s="10" t="n">
        <v>45731</v>
      </c>
      <c r="C564" s="7" t="s">
        <v>1384</v>
      </c>
      <c r="D564" s="7" t="s">
        <v>4263</v>
      </c>
      <c r="E564" s="7" t="s">
        <v>126</v>
      </c>
      <c r="F564" s="7" t="s">
        <v>101</v>
      </c>
      <c r="G564" s="7" t="s">
        <v>105</v>
      </c>
      <c r="H564" s="7" t="n">
        <v>2</v>
      </c>
      <c r="I564" s="11" t="n">
        <v>225</v>
      </c>
      <c r="J564" s="11" t="n">
        <v>150</v>
      </c>
      <c r="K564" s="11" t="n">
        <f aca="false">H564*I564-J564</f>
        <v>300</v>
      </c>
      <c r="L564" s="7" t="s">
        <v>88</v>
      </c>
      <c r="M564" s="7" t="s">
        <v>194</v>
      </c>
      <c r="N564" s="7" t="n">
        <v>48</v>
      </c>
      <c r="O564" s="7" t="n">
        <v>5</v>
      </c>
    </row>
    <row r="565" customFormat="false" ht="15" hidden="false" customHeight="false" outlineLevel="0" collapsed="false">
      <c r="A565" s="7" t="s">
        <v>2455</v>
      </c>
      <c r="B565" s="10" t="n">
        <v>45731</v>
      </c>
      <c r="C565" s="7" t="s">
        <v>2456</v>
      </c>
      <c r="D565" s="7" t="s">
        <v>2457</v>
      </c>
      <c r="E565" s="7" t="s">
        <v>154</v>
      </c>
      <c r="F565" s="7" t="s">
        <v>128</v>
      </c>
      <c r="G565" s="7" t="s">
        <v>99</v>
      </c>
      <c r="H565" s="7" t="n">
        <v>4</v>
      </c>
      <c r="I565" s="11" t="n">
        <v>250</v>
      </c>
      <c r="J565" s="11" t="n">
        <v>0</v>
      </c>
      <c r="K565" s="11" t="n">
        <f aca="false">H565*I565-J565</f>
        <v>1000</v>
      </c>
      <c r="L565" s="7" t="s">
        <v>133</v>
      </c>
      <c r="M565" s="7" t="s">
        <v>194</v>
      </c>
      <c r="N565" s="7" t="n">
        <v>48</v>
      </c>
      <c r="O565" s="7" t="n">
        <v>3</v>
      </c>
    </row>
    <row r="566" customFormat="false" ht="15" hidden="false" customHeight="false" outlineLevel="0" collapsed="false">
      <c r="A566" s="7" t="s">
        <v>3458</v>
      </c>
      <c r="B566" s="10" t="n">
        <v>45731</v>
      </c>
      <c r="C566" s="7" t="s">
        <v>2810</v>
      </c>
      <c r="D566" s="7" t="s">
        <v>214</v>
      </c>
      <c r="E566" s="7" t="s">
        <v>113</v>
      </c>
      <c r="F566" s="7" t="s">
        <v>101</v>
      </c>
      <c r="G566" s="7" t="s">
        <v>90</v>
      </c>
      <c r="H566" s="7" t="n">
        <v>1</v>
      </c>
      <c r="I566" s="11" t="n">
        <v>285</v>
      </c>
      <c r="J566" s="11" t="n">
        <v>0</v>
      </c>
      <c r="K566" s="11" t="n">
        <f aca="false">H566*I566-J566</f>
        <v>285</v>
      </c>
      <c r="L566" s="7" t="s">
        <v>88</v>
      </c>
      <c r="M566" s="7" t="s">
        <v>194</v>
      </c>
      <c r="N566" s="7" t="n">
        <v>29</v>
      </c>
      <c r="O566" s="7" t="n">
        <v>4</v>
      </c>
    </row>
    <row r="567" customFormat="false" ht="15" hidden="false" customHeight="false" outlineLevel="0" collapsed="false">
      <c r="A567" s="7" t="s">
        <v>270</v>
      </c>
      <c r="B567" s="10" t="n">
        <v>45731</v>
      </c>
      <c r="C567" s="7" t="s">
        <v>272</v>
      </c>
      <c r="D567" s="7" t="s">
        <v>273</v>
      </c>
      <c r="E567" s="7" t="s">
        <v>116</v>
      </c>
      <c r="F567" s="7" t="s">
        <v>101</v>
      </c>
      <c r="G567" s="7" t="s">
        <v>117</v>
      </c>
      <c r="H567" s="7" t="n">
        <v>3</v>
      </c>
      <c r="I567" s="11" t="n">
        <v>145</v>
      </c>
      <c r="J567" s="11" t="n">
        <v>150</v>
      </c>
      <c r="K567" s="11" t="n">
        <f aca="false">H567*I567-J567</f>
        <v>285</v>
      </c>
      <c r="L567" s="7" t="s">
        <v>121</v>
      </c>
      <c r="M567" s="7" t="s">
        <v>194</v>
      </c>
      <c r="N567" s="7" t="n">
        <v>42</v>
      </c>
      <c r="O567" s="7" t="n">
        <v>5</v>
      </c>
    </row>
    <row r="568" customFormat="false" ht="15" hidden="false" customHeight="false" outlineLevel="0" collapsed="false">
      <c r="A568" s="7" t="s">
        <v>4585</v>
      </c>
      <c r="B568" s="10" t="n">
        <v>45731</v>
      </c>
      <c r="C568" s="7" t="s">
        <v>655</v>
      </c>
      <c r="D568" s="7" t="s">
        <v>4586</v>
      </c>
      <c r="E568" s="7" t="s">
        <v>104</v>
      </c>
      <c r="F568" s="7" t="s">
        <v>86</v>
      </c>
      <c r="G568" s="7" t="s">
        <v>105</v>
      </c>
      <c r="H568" s="7" t="n">
        <v>1</v>
      </c>
      <c r="I568" s="11" t="n">
        <v>220</v>
      </c>
      <c r="J568" s="11" t="n">
        <v>0</v>
      </c>
      <c r="K568" s="11" t="n">
        <f aca="false">H568*I568-J568</f>
        <v>220</v>
      </c>
      <c r="L568" s="7" t="s">
        <v>88</v>
      </c>
      <c r="M568" s="7" t="s">
        <v>194</v>
      </c>
      <c r="N568" s="7" t="n">
        <v>34</v>
      </c>
      <c r="O568" s="7"/>
    </row>
    <row r="569" customFormat="false" ht="15" hidden="false" customHeight="false" outlineLevel="0" collapsed="false">
      <c r="A569" s="7" t="s">
        <v>1736</v>
      </c>
      <c r="B569" s="10" t="n">
        <v>45731</v>
      </c>
      <c r="C569" s="7" t="s">
        <v>1737</v>
      </c>
      <c r="D569" s="7" t="s">
        <v>1738</v>
      </c>
      <c r="E569" s="7" t="s">
        <v>104</v>
      </c>
      <c r="F569" s="7" t="s">
        <v>86</v>
      </c>
      <c r="G569" s="7" t="s">
        <v>105</v>
      </c>
      <c r="H569" s="7" t="n">
        <v>3</v>
      </c>
      <c r="I569" s="11" t="n">
        <v>210</v>
      </c>
      <c r="J569" s="11" t="n">
        <v>30</v>
      </c>
      <c r="K569" s="11" t="n">
        <f aca="false">H569*I569-J569</f>
        <v>600</v>
      </c>
      <c r="L569" s="7" t="s">
        <v>93</v>
      </c>
      <c r="M569" s="7" t="s">
        <v>194</v>
      </c>
      <c r="N569" s="7" t="n">
        <v>38</v>
      </c>
      <c r="O569" s="7" t="n">
        <v>4</v>
      </c>
    </row>
    <row r="570" customFormat="false" ht="15" hidden="false" customHeight="false" outlineLevel="0" collapsed="false">
      <c r="A570" s="7" t="s">
        <v>4995</v>
      </c>
      <c r="B570" s="10" t="n">
        <v>45731</v>
      </c>
      <c r="C570" s="7" t="s">
        <v>1873</v>
      </c>
      <c r="D570" s="7" t="s">
        <v>4996</v>
      </c>
      <c r="E570" s="7" t="s">
        <v>149</v>
      </c>
      <c r="F570" s="7" t="s">
        <v>119</v>
      </c>
      <c r="G570" s="7" t="s">
        <v>150</v>
      </c>
      <c r="H570" s="7" t="n">
        <v>3</v>
      </c>
      <c r="I570" s="11" t="n">
        <v>195</v>
      </c>
      <c r="J570" s="11" t="n">
        <v>100</v>
      </c>
      <c r="K570" s="11" t="n">
        <f aca="false">H570*I570-J570</f>
        <v>485</v>
      </c>
      <c r="L570" s="7" t="s">
        <v>88</v>
      </c>
      <c r="M570" s="7" t="s">
        <v>194</v>
      </c>
      <c r="N570" s="7" t="n">
        <v>42</v>
      </c>
      <c r="O570" s="7"/>
    </row>
    <row r="571" customFormat="false" ht="15" hidden="false" customHeight="false" outlineLevel="0" collapsed="false">
      <c r="A571" s="7" t="s">
        <v>998</v>
      </c>
      <c r="B571" s="10" t="n">
        <v>45731</v>
      </c>
      <c r="C571" s="7" t="s">
        <v>999</v>
      </c>
      <c r="D571" s="7" t="s">
        <v>1000</v>
      </c>
      <c r="E571" s="7" t="s">
        <v>94</v>
      </c>
      <c r="F571" s="7" t="s">
        <v>86</v>
      </c>
      <c r="G571" s="7" t="s">
        <v>95</v>
      </c>
      <c r="H571" s="7" t="n">
        <v>4</v>
      </c>
      <c r="I571" s="11" t="n">
        <v>120</v>
      </c>
      <c r="J571" s="11" t="n">
        <v>0</v>
      </c>
      <c r="K571" s="11" t="n">
        <f aca="false">H571*I571-J571</f>
        <v>480</v>
      </c>
      <c r="L571" s="7" t="s">
        <v>103</v>
      </c>
      <c r="M571" s="7" t="s">
        <v>194</v>
      </c>
      <c r="N571" s="7" t="n">
        <v>30</v>
      </c>
      <c r="O571" s="7" t="n">
        <v>3</v>
      </c>
    </row>
    <row r="572" customFormat="false" ht="15" hidden="false" customHeight="false" outlineLevel="0" collapsed="false">
      <c r="A572" s="7" t="s">
        <v>4197</v>
      </c>
      <c r="B572" s="10" t="n">
        <v>45732</v>
      </c>
      <c r="C572" s="7" t="s">
        <v>361</v>
      </c>
      <c r="D572" s="7" t="s">
        <v>2622</v>
      </c>
      <c r="E572" s="7" t="s">
        <v>104</v>
      </c>
      <c r="F572" s="7" t="s">
        <v>86</v>
      </c>
      <c r="G572" s="7" t="s">
        <v>105</v>
      </c>
      <c r="H572" s="7" t="n">
        <v>2</v>
      </c>
      <c r="I572" s="11" t="n">
        <v>175</v>
      </c>
      <c r="J572" s="11" t="n">
        <v>125</v>
      </c>
      <c r="K572" s="11" t="n">
        <f aca="false">H572*I572-J572</f>
        <v>225</v>
      </c>
      <c r="L572" s="7" t="s">
        <v>93</v>
      </c>
      <c r="M572" s="7" t="s">
        <v>194</v>
      </c>
      <c r="N572" s="7" t="n">
        <v>30</v>
      </c>
      <c r="O572" s="7" t="n">
        <v>4</v>
      </c>
    </row>
    <row r="573" customFormat="false" ht="15" hidden="false" customHeight="false" outlineLevel="0" collapsed="false">
      <c r="A573" s="7" t="s">
        <v>1476</v>
      </c>
      <c r="B573" s="10" t="n">
        <v>45732</v>
      </c>
      <c r="C573" s="7" t="s">
        <v>1478</v>
      </c>
      <c r="D573" s="7" t="s">
        <v>1479</v>
      </c>
      <c r="E573" s="7" t="s">
        <v>126</v>
      </c>
      <c r="F573" s="7" t="s">
        <v>101</v>
      </c>
      <c r="G573" s="7" t="s">
        <v>105</v>
      </c>
      <c r="H573" s="7" t="n">
        <v>2</v>
      </c>
      <c r="I573" s="11" t="n">
        <v>180</v>
      </c>
      <c r="J573" s="11" t="n">
        <v>0</v>
      </c>
      <c r="K573" s="11" t="n">
        <f aca="false">H573*I573-J573</f>
        <v>360</v>
      </c>
      <c r="L573" s="7" t="s">
        <v>103</v>
      </c>
      <c r="M573" s="7" t="s">
        <v>194</v>
      </c>
      <c r="N573" s="7" t="n">
        <v>49</v>
      </c>
      <c r="O573" s="7" t="n">
        <v>3</v>
      </c>
    </row>
    <row r="574" customFormat="false" ht="15" hidden="false" customHeight="false" outlineLevel="0" collapsed="false">
      <c r="A574" s="7" t="s">
        <v>3683</v>
      </c>
      <c r="B574" s="10" t="n">
        <v>45732</v>
      </c>
      <c r="C574" s="7" t="s">
        <v>1957</v>
      </c>
      <c r="D574" s="7" t="s">
        <v>3635</v>
      </c>
      <c r="E574" s="7" t="s">
        <v>159</v>
      </c>
      <c r="F574" s="7" t="s">
        <v>136</v>
      </c>
      <c r="G574" s="7" t="s">
        <v>90</v>
      </c>
      <c r="H574" s="7" t="n">
        <v>4</v>
      </c>
      <c r="I574" s="11" t="n">
        <v>235</v>
      </c>
      <c r="J574" s="11" t="n">
        <v>0</v>
      </c>
      <c r="K574" s="11" t="n">
        <f aca="false">H574*I574-J574</f>
        <v>940</v>
      </c>
      <c r="L574" s="7" t="s">
        <v>121</v>
      </c>
      <c r="M574" s="7" t="s">
        <v>238</v>
      </c>
      <c r="N574" s="7"/>
      <c r="O574" s="7"/>
    </row>
    <row r="575" customFormat="false" ht="15" hidden="false" customHeight="false" outlineLevel="0" collapsed="false">
      <c r="A575" s="7" t="s">
        <v>5067</v>
      </c>
      <c r="B575" s="10" t="n">
        <v>45732</v>
      </c>
      <c r="C575" s="7" t="s">
        <v>4461</v>
      </c>
      <c r="D575" s="7" t="s">
        <v>4680</v>
      </c>
      <c r="E575" s="7" t="s">
        <v>122</v>
      </c>
      <c r="F575" s="7" t="s">
        <v>101</v>
      </c>
      <c r="G575" s="7" t="s">
        <v>123</v>
      </c>
      <c r="H575" s="7" t="n">
        <v>1</v>
      </c>
      <c r="I575" s="11" t="n">
        <v>300</v>
      </c>
      <c r="J575" s="11" t="n">
        <v>40</v>
      </c>
      <c r="K575" s="11" t="n">
        <f aca="false">H575*I575-J575</f>
        <v>260</v>
      </c>
      <c r="L575" s="7" t="s">
        <v>121</v>
      </c>
      <c r="M575" s="7" t="s">
        <v>194</v>
      </c>
      <c r="N575" s="7" t="n">
        <v>42</v>
      </c>
      <c r="O575" s="7"/>
    </row>
    <row r="576" customFormat="false" ht="15" hidden="false" customHeight="false" outlineLevel="0" collapsed="false">
      <c r="A576" s="7" t="s">
        <v>2511</v>
      </c>
      <c r="B576" s="10" t="n">
        <v>45732</v>
      </c>
      <c r="C576" s="7" t="s">
        <v>306</v>
      </c>
      <c r="D576" s="7" t="s">
        <v>2512</v>
      </c>
      <c r="E576" s="7" t="s">
        <v>89</v>
      </c>
      <c r="F576" s="7" t="s">
        <v>86</v>
      </c>
      <c r="G576" s="7" t="s">
        <v>90</v>
      </c>
      <c r="H576" s="7" t="n">
        <v>4</v>
      </c>
      <c r="I576" s="11" t="n">
        <v>210</v>
      </c>
      <c r="J576" s="11" t="n">
        <v>0</v>
      </c>
      <c r="K576" s="11" t="n">
        <f aca="false">H576*I576-J576</f>
        <v>840</v>
      </c>
      <c r="L576" s="7" t="s">
        <v>103</v>
      </c>
      <c r="M576" s="7" t="s">
        <v>194</v>
      </c>
      <c r="N576" s="7"/>
      <c r="O576" s="7" t="n">
        <v>5</v>
      </c>
    </row>
    <row r="577" customFormat="false" ht="15" hidden="false" customHeight="false" outlineLevel="0" collapsed="false">
      <c r="A577" s="7" t="s">
        <v>5358</v>
      </c>
      <c r="B577" s="10" t="n">
        <v>45732</v>
      </c>
      <c r="C577" s="7" t="s">
        <v>3209</v>
      </c>
      <c r="D577" s="7" t="s">
        <v>1042</v>
      </c>
      <c r="E577" s="7" t="s">
        <v>113</v>
      </c>
      <c r="F577" s="7" t="s">
        <v>101</v>
      </c>
      <c r="G577" s="7" t="s">
        <v>90</v>
      </c>
      <c r="H577" s="7" t="n">
        <v>1</v>
      </c>
      <c r="I577" s="11" t="n">
        <v>255</v>
      </c>
      <c r="J577" s="11" t="n">
        <v>0</v>
      </c>
      <c r="K577" s="11" t="n">
        <f aca="false">H577*I577-J577</f>
        <v>255</v>
      </c>
      <c r="L577" s="7" t="s">
        <v>88</v>
      </c>
      <c r="M577" s="7" t="s">
        <v>194</v>
      </c>
      <c r="N577" s="7" t="n">
        <v>49</v>
      </c>
      <c r="O577" s="7" t="n">
        <v>3</v>
      </c>
    </row>
    <row r="578" customFormat="false" ht="15" hidden="false" customHeight="false" outlineLevel="0" collapsed="false">
      <c r="A578" s="7" t="s">
        <v>1871</v>
      </c>
      <c r="B578" s="10" t="n">
        <v>45732</v>
      </c>
      <c r="C578" s="7" t="s">
        <v>1873</v>
      </c>
      <c r="D578" s="7" t="s">
        <v>538</v>
      </c>
      <c r="E578" s="7" t="s">
        <v>160</v>
      </c>
      <c r="F578" s="7" t="s">
        <v>136</v>
      </c>
      <c r="G578" s="7" t="s">
        <v>150</v>
      </c>
      <c r="H578" s="7" t="n">
        <v>1</v>
      </c>
      <c r="I578" s="11" t="n">
        <v>165</v>
      </c>
      <c r="J578" s="11" t="n">
        <v>0</v>
      </c>
      <c r="K578" s="11" t="n">
        <f aca="false">H578*I578-J578</f>
        <v>165</v>
      </c>
      <c r="L578" s="7" t="s">
        <v>112</v>
      </c>
      <c r="M578" s="7" t="s">
        <v>194</v>
      </c>
      <c r="N578" s="7" t="n">
        <v>41</v>
      </c>
      <c r="O578" s="7"/>
    </row>
    <row r="579" customFormat="false" ht="15" hidden="false" customHeight="false" outlineLevel="0" collapsed="false">
      <c r="A579" s="7" t="s">
        <v>3873</v>
      </c>
      <c r="B579" s="10" t="n">
        <v>45732</v>
      </c>
      <c r="C579" s="7" t="s">
        <v>1387</v>
      </c>
      <c r="D579" s="7" t="s">
        <v>3874</v>
      </c>
      <c r="E579" s="7" t="s">
        <v>113</v>
      </c>
      <c r="F579" s="7" t="s">
        <v>101</v>
      </c>
      <c r="G579" s="7" t="s">
        <v>90</v>
      </c>
      <c r="H579" s="7" t="n">
        <v>2</v>
      </c>
      <c r="I579" s="11" t="n">
        <v>220</v>
      </c>
      <c r="J579" s="11" t="n">
        <v>0</v>
      </c>
      <c r="K579" s="11" t="n">
        <f aca="false">H579*I579-J579</f>
        <v>440</v>
      </c>
      <c r="L579" s="7" t="s">
        <v>88</v>
      </c>
      <c r="M579" s="7" t="s">
        <v>194</v>
      </c>
      <c r="N579" s="7" t="n">
        <v>32</v>
      </c>
      <c r="O579" s="7" t="n">
        <v>5</v>
      </c>
    </row>
    <row r="580" customFormat="false" ht="15" hidden="false" customHeight="false" outlineLevel="0" collapsed="false">
      <c r="A580" s="7" t="s">
        <v>3303</v>
      </c>
      <c r="B580" s="10" t="n">
        <v>45732</v>
      </c>
      <c r="C580" s="7" t="s">
        <v>2160</v>
      </c>
      <c r="D580" s="7" t="s">
        <v>3304</v>
      </c>
      <c r="E580" s="7" t="s">
        <v>98</v>
      </c>
      <c r="F580" s="7" t="s">
        <v>86</v>
      </c>
      <c r="G580" s="7" t="s">
        <v>99</v>
      </c>
      <c r="H580" s="7" t="n">
        <v>1</v>
      </c>
      <c r="I580" s="11" t="n">
        <v>220</v>
      </c>
      <c r="J580" s="11" t="n">
        <v>0</v>
      </c>
      <c r="K580" s="11" t="n">
        <f aca="false">H580*I580-J580</f>
        <v>220</v>
      </c>
      <c r="L580" s="7" t="s">
        <v>88</v>
      </c>
      <c r="M580" s="7" t="s">
        <v>238</v>
      </c>
      <c r="N580" s="7"/>
      <c r="O580" s="7"/>
    </row>
    <row r="581" customFormat="false" ht="15" hidden="false" customHeight="false" outlineLevel="0" collapsed="false">
      <c r="A581" s="7" t="s">
        <v>3100</v>
      </c>
      <c r="B581" s="10" t="n">
        <v>45732</v>
      </c>
      <c r="C581" s="7" t="s">
        <v>1298</v>
      </c>
      <c r="D581" s="7" t="s">
        <v>3101</v>
      </c>
      <c r="E581" s="7" t="s">
        <v>89</v>
      </c>
      <c r="F581" s="7" t="s">
        <v>86</v>
      </c>
      <c r="G581" s="7" t="s">
        <v>90</v>
      </c>
      <c r="H581" s="7" t="n">
        <v>2</v>
      </c>
      <c r="I581" s="11" t="n">
        <v>255</v>
      </c>
      <c r="J581" s="11" t="n">
        <v>30</v>
      </c>
      <c r="K581" s="11" t="n">
        <f aca="false">H581*I581-J581</f>
        <v>480</v>
      </c>
      <c r="L581" s="7" t="s">
        <v>112</v>
      </c>
      <c r="M581" s="7" t="s">
        <v>194</v>
      </c>
      <c r="N581" s="7" t="n">
        <v>42</v>
      </c>
      <c r="O581" s="7" t="n">
        <v>4</v>
      </c>
    </row>
    <row r="582" customFormat="false" ht="15" hidden="false" customHeight="false" outlineLevel="0" collapsed="false">
      <c r="A582" s="7" t="s">
        <v>1916</v>
      </c>
      <c r="B582" s="10" t="n">
        <v>45733</v>
      </c>
      <c r="C582" s="7" t="s">
        <v>588</v>
      </c>
      <c r="D582" s="7" t="s">
        <v>1917</v>
      </c>
      <c r="E582" s="7" t="s">
        <v>138</v>
      </c>
      <c r="F582" s="7" t="s">
        <v>110</v>
      </c>
      <c r="G582" s="7" t="s">
        <v>139</v>
      </c>
      <c r="H582" s="7" t="n">
        <v>4</v>
      </c>
      <c r="I582" s="11" t="n">
        <v>170</v>
      </c>
      <c r="J582" s="11" t="n">
        <v>0</v>
      </c>
      <c r="K582" s="11" t="n">
        <f aca="false">H582*I582-J582</f>
        <v>680</v>
      </c>
      <c r="L582" s="7" t="s">
        <v>93</v>
      </c>
      <c r="M582" s="7" t="s">
        <v>194</v>
      </c>
      <c r="N582" s="7" t="n">
        <v>33</v>
      </c>
      <c r="O582" s="7" t="n">
        <v>3</v>
      </c>
    </row>
    <row r="583" customFormat="false" ht="15" hidden="false" customHeight="false" outlineLevel="0" collapsed="false">
      <c r="A583" s="7" t="s">
        <v>4872</v>
      </c>
      <c r="B583" s="10" t="n">
        <v>45733</v>
      </c>
      <c r="C583" s="7" t="s">
        <v>2145</v>
      </c>
      <c r="D583" s="7" t="s">
        <v>2043</v>
      </c>
      <c r="E583" s="7" t="s">
        <v>142</v>
      </c>
      <c r="F583" s="7" t="s">
        <v>110</v>
      </c>
      <c r="G583" s="7" t="s">
        <v>105</v>
      </c>
      <c r="H583" s="7" t="n">
        <v>2</v>
      </c>
      <c r="I583" s="11" t="n">
        <v>165</v>
      </c>
      <c r="J583" s="11" t="n">
        <v>50</v>
      </c>
      <c r="K583" s="11" t="n">
        <f aca="false">H583*I583-J583</f>
        <v>280</v>
      </c>
      <c r="L583" s="7" t="s">
        <v>88</v>
      </c>
      <c r="M583" s="7" t="s">
        <v>194</v>
      </c>
      <c r="N583" s="7" t="n">
        <v>54</v>
      </c>
      <c r="O583" s="7" t="n">
        <v>4</v>
      </c>
    </row>
    <row r="584" customFormat="false" ht="15" hidden="false" customHeight="false" outlineLevel="0" collapsed="false">
      <c r="A584" s="7" t="s">
        <v>5018</v>
      </c>
      <c r="B584" s="10" t="n">
        <v>45733</v>
      </c>
      <c r="C584" s="7" t="s">
        <v>1145</v>
      </c>
      <c r="D584" s="7" t="s">
        <v>408</v>
      </c>
      <c r="E584" s="7" t="s">
        <v>94</v>
      </c>
      <c r="F584" s="7" t="s">
        <v>86</v>
      </c>
      <c r="G584" s="7" t="s">
        <v>95</v>
      </c>
      <c r="H584" s="7" t="n">
        <v>3</v>
      </c>
      <c r="I584" s="11" t="n">
        <v>120</v>
      </c>
      <c r="J584" s="11" t="n">
        <v>0</v>
      </c>
      <c r="K584" s="11" t="n">
        <f aca="false">H584*I584-J584</f>
        <v>360</v>
      </c>
      <c r="L584" s="7" t="s">
        <v>133</v>
      </c>
      <c r="M584" s="7" t="s">
        <v>194</v>
      </c>
      <c r="N584" s="7" t="n">
        <v>48</v>
      </c>
      <c r="O584" s="7" t="n">
        <v>4</v>
      </c>
    </row>
    <row r="585" customFormat="false" ht="15" hidden="false" customHeight="false" outlineLevel="0" collapsed="false">
      <c r="A585" s="7" t="s">
        <v>4938</v>
      </c>
      <c r="B585" s="10" t="n">
        <v>45733</v>
      </c>
      <c r="C585" s="7" t="s">
        <v>2756</v>
      </c>
      <c r="D585" s="7" t="s">
        <v>2503</v>
      </c>
      <c r="E585" s="7" t="s">
        <v>89</v>
      </c>
      <c r="F585" s="7" t="s">
        <v>86</v>
      </c>
      <c r="G585" s="7" t="s">
        <v>90</v>
      </c>
      <c r="H585" s="7" t="n">
        <v>2</v>
      </c>
      <c r="I585" s="11" t="n">
        <v>260</v>
      </c>
      <c r="J585" s="11" t="n">
        <v>0</v>
      </c>
      <c r="K585" s="11" t="n">
        <f aca="false">H585*I585-J585</f>
        <v>520</v>
      </c>
      <c r="L585" s="7" t="s">
        <v>103</v>
      </c>
      <c r="M585" s="7" t="s">
        <v>194</v>
      </c>
      <c r="N585" s="7" t="n">
        <v>37</v>
      </c>
      <c r="O585" s="7" t="n">
        <v>4</v>
      </c>
    </row>
    <row r="586" customFormat="false" ht="15" hidden="false" customHeight="false" outlineLevel="0" collapsed="false">
      <c r="A586" s="7" t="s">
        <v>4558</v>
      </c>
      <c r="B586" s="10" t="n">
        <v>45733</v>
      </c>
      <c r="C586" s="7" t="s">
        <v>1624</v>
      </c>
      <c r="D586" s="7" t="s">
        <v>4559</v>
      </c>
      <c r="E586" s="7" t="s">
        <v>94</v>
      </c>
      <c r="F586" s="7" t="s">
        <v>86</v>
      </c>
      <c r="G586" s="7" t="s">
        <v>95</v>
      </c>
      <c r="H586" s="7" t="n">
        <v>2</v>
      </c>
      <c r="I586" s="11" t="n">
        <v>90</v>
      </c>
      <c r="J586" s="11" t="n">
        <v>0</v>
      </c>
      <c r="K586" s="11" t="n">
        <f aca="false">H586*I586-J586</f>
        <v>180</v>
      </c>
      <c r="L586" s="7" t="s">
        <v>88</v>
      </c>
      <c r="M586" s="7" t="s">
        <v>194</v>
      </c>
      <c r="N586" s="7" t="n">
        <v>57</v>
      </c>
      <c r="O586" s="7" t="n">
        <v>4</v>
      </c>
    </row>
    <row r="587" customFormat="false" ht="15" hidden="false" customHeight="false" outlineLevel="0" collapsed="false">
      <c r="A587" s="7" t="s">
        <v>5285</v>
      </c>
      <c r="B587" s="10" t="n">
        <v>45733</v>
      </c>
      <c r="C587" s="7" t="s">
        <v>1133</v>
      </c>
      <c r="D587" s="7" t="s">
        <v>1815</v>
      </c>
      <c r="E587" s="7" t="s">
        <v>151</v>
      </c>
      <c r="F587" s="7" t="s">
        <v>128</v>
      </c>
      <c r="G587" s="7" t="s">
        <v>95</v>
      </c>
      <c r="H587" s="7" t="n">
        <v>5</v>
      </c>
      <c r="I587" s="11" t="n">
        <v>195</v>
      </c>
      <c r="J587" s="11" t="n">
        <v>0</v>
      </c>
      <c r="K587" s="11" t="n">
        <f aca="false">H587*I587-J587</f>
        <v>975</v>
      </c>
      <c r="L587" s="7" t="s">
        <v>6170</v>
      </c>
      <c r="M587" s="7" t="s">
        <v>194</v>
      </c>
      <c r="N587" s="7" t="n">
        <v>35</v>
      </c>
      <c r="O587" s="7" t="n">
        <v>5</v>
      </c>
    </row>
    <row r="588" customFormat="false" ht="15" hidden="false" customHeight="false" outlineLevel="0" collapsed="false">
      <c r="A588" s="7" t="s">
        <v>2621</v>
      </c>
      <c r="B588" s="10" t="n">
        <v>45733</v>
      </c>
      <c r="C588" s="7" t="s">
        <v>856</v>
      </c>
      <c r="D588" s="7" t="s">
        <v>2622</v>
      </c>
      <c r="E588" s="7" t="s">
        <v>159</v>
      </c>
      <c r="F588" s="7" t="s">
        <v>136</v>
      </c>
      <c r="G588" s="7" t="s">
        <v>90</v>
      </c>
      <c r="H588" s="7" t="n">
        <v>4</v>
      </c>
      <c r="I588" s="11" t="n">
        <v>265</v>
      </c>
      <c r="J588" s="11" t="n">
        <v>50</v>
      </c>
      <c r="K588" s="11" t="n">
        <f aca="false">H588*I588-J588</f>
        <v>1010</v>
      </c>
      <c r="L588" s="7" t="s">
        <v>88</v>
      </c>
      <c r="M588" s="7" t="s">
        <v>194</v>
      </c>
      <c r="N588" s="7" t="n">
        <v>42</v>
      </c>
      <c r="O588" s="7" t="n">
        <v>3</v>
      </c>
    </row>
    <row r="589" customFormat="false" ht="15" hidden="false" customHeight="false" outlineLevel="0" collapsed="false">
      <c r="A589" s="7" t="s">
        <v>441</v>
      </c>
      <c r="B589" s="10" t="n">
        <v>45733</v>
      </c>
      <c r="C589" s="7" t="s">
        <v>443</v>
      </c>
      <c r="D589" s="7" t="s">
        <v>444</v>
      </c>
      <c r="E589" s="7" t="s">
        <v>134</v>
      </c>
      <c r="F589" s="7" t="s">
        <v>110</v>
      </c>
      <c r="G589" s="7" t="s">
        <v>117</v>
      </c>
      <c r="H589" s="7" t="n">
        <v>2</v>
      </c>
      <c r="I589" s="11" t="n">
        <v>100</v>
      </c>
      <c r="J589" s="11" t="n">
        <v>0</v>
      </c>
      <c r="K589" s="11" t="n">
        <f aca="false">H589*I589-J589</f>
        <v>200</v>
      </c>
      <c r="L589" s="7" t="s">
        <v>88</v>
      </c>
      <c r="M589" s="7" t="s">
        <v>194</v>
      </c>
      <c r="N589" s="7" t="n">
        <v>45</v>
      </c>
      <c r="O589" s="7" t="n">
        <v>3</v>
      </c>
    </row>
    <row r="590" customFormat="false" ht="15" hidden="false" customHeight="false" outlineLevel="0" collapsed="false">
      <c r="A590" s="7" t="s">
        <v>3942</v>
      </c>
      <c r="B590" s="10" t="n">
        <v>45734</v>
      </c>
      <c r="C590" s="7" t="s">
        <v>3944</v>
      </c>
      <c r="D590" s="7" t="s">
        <v>2549</v>
      </c>
      <c r="E590" s="7" t="s">
        <v>104</v>
      </c>
      <c r="F590" s="7" t="s">
        <v>86</v>
      </c>
      <c r="G590" s="7" t="s">
        <v>105</v>
      </c>
      <c r="H590" s="7" t="n">
        <v>1</v>
      </c>
      <c r="I590" s="11" t="n">
        <v>220</v>
      </c>
      <c r="J590" s="11" t="n">
        <v>0</v>
      </c>
      <c r="K590" s="11" t="n">
        <f aca="false">H590*I590-J590</f>
        <v>220</v>
      </c>
      <c r="L590" s="7" t="s">
        <v>88</v>
      </c>
      <c r="M590" s="7" t="s">
        <v>194</v>
      </c>
      <c r="N590" s="7" t="n">
        <v>36</v>
      </c>
      <c r="O590" s="7" t="n">
        <v>5</v>
      </c>
    </row>
    <row r="591" customFormat="false" ht="15" hidden="false" customHeight="false" outlineLevel="0" collapsed="false">
      <c r="A591" s="7" t="s">
        <v>5788</v>
      </c>
      <c r="B591" s="10" t="n">
        <v>45734</v>
      </c>
      <c r="C591" s="7" t="s">
        <v>1250</v>
      </c>
      <c r="D591" s="7" t="s">
        <v>1979</v>
      </c>
      <c r="E591" s="7" t="s">
        <v>116</v>
      </c>
      <c r="F591" s="7" t="s">
        <v>101</v>
      </c>
      <c r="G591" s="7" t="s">
        <v>117</v>
      </c>
      <c r="H591" s="7" t="n">
        <v>2</v>
      </c>
      <c r="I591" s="11" t="n">
        <v>125</v>
      </c>
      <c r="J591" s="11" t="n">
        <v>0</v>
      </c>
      <c r="K591" s="11" t="n">
        <f aca="false">H591*I591-J591</f>
        <v>250</v>
      </c>
      <c r="L591" s="7" t="s">
        <v>88</v>
      </c>
      <c r="M591" s="7" t="s">
        <v>194</v>
      </c>
      <c r="N591" s="7" t="n">
        <v>48</v>
      </c>
      <c r="O591" s="7" t="n">
        <v>3</v>
      </c>
    </row>
    <row r="592" customFormat="false" ht="15" hidden="false" customHeight="false" outlineLevel="0" collapsed="false">
      <c r="A592" s="7" t="s">
        <v>3717</v>
      </c>
      <c r="B592" s="10" t="n">
        <v>45734</v>
      </c>
      <c r="C592" s="7" t="s">
        <v>1692</v>
      </c>
      <c r="D592" s="7" t="s">
        <v>1815</v>
      </c>
      <c r="E592" s="7" t="s">
        <v>160</v>
      </c>
      <c r="F592" s="7" t="s">
        <v>136</v>
      </c>
      <c r="G592" s="7" t="s">
        <v>150</v>
      </c>
      <c r="H592" s="7" t="n">
        <v>1</v>
      </c>
      <c r="I592" s="11" t="n">
        <v>175</v>
      </c>
      <c r="J592" s="11" t="n">
        <v>50</v>
      </c>
      <c r="K592" s="11" t="n">
        <f aca="false">H592*I592-J592</f>
        <v>125</v>
      </c>
      <c r="L592" s="7" t="s">
        <v>88</v>
      </c>
      <c r="M592" s="7" t="s">
        <v>194</v>
      </c>
      <c r="N592" s="7" t="n">
        <v>33</v>
      </c>
      <c r="O592" s="7" t="n">
        <v>5</v>
      </c>
    </row>
    <row r="593" customFormat="false" ht="15" hidden="false" customHeight="false" outlineLevel="0" collapsed="false">
      <c r="A593" s="7" t="s">
        <v>5852</v>
      </c>
      <c r="B593" s="10" t="n">
        <v>45734</v>
      </c>
      <c r="C593" s="7" t="s">
        <v>3400</v>
      </c>
      <c r="D593" s="7" t="s">
        <v>2983</v>
      </c>
      <c r="E593" s="7" t="s">
        <v>138</v>
      </c>
      <c r="F593" s="7" t="s">
        <v>110</v>
      </c>
      <c r="G593" s="7" t="s">
        <v>139</v>
      </c>
      <c r="H593" s="7" t="n">
        <v>2</v>
      </c>
      <c r="I593" s="11" t="n">
        <v>220</v>
      </c>
      <c r="J593" s="11" t="n">
        <v>0</v>
      </c>
      <c r="K593" s="11" t="n">
        <f aca="false">H593*I593-J593</f>
        <v>440</v>
      </c>
      <c r="L593" s="7" t="s">
        <v>88</v>
      </c>
      <c r="M593" s="7" t="s">
        <v>194</v>
      </c>
      <c r="N593" s="7" t="n">
        <v>41</v>
      </c>
      <c r="O593" s="7" t="n">
        <v>4</v>
      </c>
    </row>
    <row r="594" customFormat="false" ht="15" hidden="false" customHeight="false" outlineLevel="0" collapsed="false">
      <c r="A594" s="7" t="s">
        <v>5731</v>
      </c>
      <c r="B594" s="10" t="n">
        <v>45734</v>
      </c>
      <c r="C594" s="7" t="s">
        <v>804</v>
      </c>
      <c r="D594" s="7" t="s">
        <v>4588</v>
      </c>
      <c r="E594" s="7" t="s">
        <v>122</v>
      </c>
      <c r="F594" s="7" t="s">
        <v>101</v>
      </c>
      <c r="G594" s="7" t="s">
        <v>123</v>
      </c>
      <c r="H594" s="7" t="n">
        <v>1</v>
      </c>
      <c r="I594" s="11" t="n">
        <v>340</v>
      </c>
      <c r="J594" s="11" t="n">
        <v>0</v>
      </c>
      <c r="K594" s="11" t="n">
        <f aca="false">H594*I594-J594</f>
        <v>340</v>
      </c>
      <c r="L594" s="7" t="s">
        <v>93</v>
      </c>
      <c r="M594" s="7" t="s">
        <v>194</v>
      </c>
      <c r="N594" s="7" t="n">
        <v>40</v>
      </c>
      <c r="O594" s="7" t="n">
        <v>3</v>
      </c>
    </row>
    <row r="595" customFormat="false" ht="15" hidden="false" customHeight="false" outlineLevel="0" collapsed="false">
      <c r="A595" s="7" t="s">
        <v>2831</v>
      </c>
      <c r="B595" s="10" t="n">
        <v>45734</v>
      </c>
      <c r="C595" s="7" t="s">
        <v>2832</v>
      </c>
      <c r="D595" s="7" t="s">
        <v>2833</v>
      </c>
      <c r="E595" s="7" t="s">
        <v>164</v>
      </c>
      <c r="F595" s="7" t="s">
        <v>141</v>
      </c>
      <c r="G595" s="7" t="s">
        <v>150</v>
      </c>
      <c r="H595" s="7" t="n">
        <v>2</v>
      </c>
      <c r="I595" s="11" t="n">
        <v>125</v>
      </c>
      <c r="J595" s="11" t="n">
        <v>0</v>
      </c>
      <c r="K595" s="11" t="n">
        <f aca="false">H595*I595-J595</f>
        <v>250</v>
      </c>
      <c r="L595" s="7" t="s">
        <v>88</v>
      </c>
      <c r="M595" s="7" t="s">
        <v>194</v>
      </c>
      <c r="N595" s="7" t="n">
        <v>37</v>
      </c>
      <c r="O595" s="7" t="n">
        <v>4</v>
      </c>
    </row>
    <row r="596" customFormat="false" ht="15" hidden="false" customHeight="false" outlineLevel="0" collapsed="false">
      <c r="A596" s="7" t="s">
        <v>3442</v>
      </c>
      <c r="B596" s="10" t="n">
        <v>45734</v>
      </c>
      <c r="C596" s="7" t="s">
        <v>1734</v>
      </c>
      <c r="D596" s="7" t="s">
        <v>3443</v>
      </c>
      <c r="E596" s="7" t="s">
        <v>149</v>
      </c>
      <c r="F596" s="7" t="s">
        <v>119</v>
      </c>
      <c r="G596" s="7" t="s">
        <v>150</v>
      </c>
      <c r="H596" s="7" t="n">
        <v>1</v>
      </c>
      <c r="I596" s="11" t="n">
        <v>135</v>
      </c>
      <c r="J596" s="11" t="n">
        <v>30</v>
      </c>
      <c r="K596" s="11" t="n">
        <f aca="false">H596*I596-J596</f>
        <v>105</v>
      </c>
      <c r="L596" s="7" t="s">
        <v>112</v>
      </c>
      <c r="M596" s="7" t="s">
        <v>194</v>
      </c>
      <c r="N596" s="7" t="n">
        <v>37</v>
      </c>
      <c r="O596" s="7"/>
    </row>
    <row r="597" customFormat="false" ht="15" hidden="false" customHeight="false" outlineLevel="0" collapsed="false">
      <c r="A597" s="7" t="s">
        <v>4099</v>
      </c>
      <c r="B597" s="10" t="n">
        <v>45734</v>
      </c>
      <c r="C597" s="7" t="s">
        <v>529</v>
      </c>
      <c r="D597" s="7" t="s">
        <v>4100</v>
      </c>
      <c r="E597" s="7" t="s">
        <v>159</v>
      </c>
      <c r="F597" s="7" t="s">
        <v>136</v>
      </c>
      <c r="G597" s="7" t="s">
        <v>90</v>
      </c>
      <c r="H597" s="7" t="n">
        <v>1</v>
      </c>
      <c r="I597" s="11" t="n">
        <v>260</v>
      </c>
      <c r="J597" s="11" t="n">
        <v>0</v>
      </c>
      <c r="K597" s="11" t="n">
        <f aca="false">H597*I597-J597</f>
        <v>260</v>
      </c>
      <c r="L597" s="7" t="s">
        <v>133</v>
      </c>
      <c r="M597" s="7" t="s">
        <v>194</v>
      </c>
      <c r="N597" s="7" t="n">
        <v>37</v>
      </c>
      <c r="O597" s="7"/>
    </row>
    <row r="598" customFormat="false" ht="15" hidden="false" customHeight="false" outlineLevel="0" collapsed="false">
      <c r="A598" s="7" t="s">
        <v>722</v>
      </c>
      <c r="B598" s="10" t="n">
        <v>45734</v>
      </c>
      <c r="C598" s="7" t="s">
        <v>724</v>
      </c>
      <c r="D598" s="7" t="s">
        <v>725</v>
      </c>
      <c r="E598" s="7" t="s">
        <v>157</v>
      </c>
      <c r="F598" s="7" t="s">
        <v>136</v>
      </c>
      <c r="G598" s="7" t="s">
        <v>117</v>
      </c>
      <c r="H598" s="7" t="n">
        <v>3</v>
      </c>
      <c r="I598" s="11" t="n">
        <v>125</v>
      </c>
      <c r="J598" s="11" t="n">
        <v>20</v>
      </c>
      <c r="K598" s="11" t="n">
        <f aca="false">H598*I598-J598</f>
        <v>355</v>
      </c>
      <c r="L598" s="7" t="s">
        <v>88</v>
      </c>
      <c r="M598" s="7" t="s">
        <v>194</v>
      </c>
      <c r="N598" s="7" t="n">
        <v>29</v>
      </c>
      <c r="O598" s="7" t="n">
        <v>3</v>
      </c>
    </row>
    <row r="599" customFormat="false" ht="15" hidden="false" customHeight="false" outlineLevel="0" collapsed="false">
      <c r="A599" s="7" t="s">
        <v>5500</v>
      </c>
      <c r="B599" s="10" t="n">
        <v>45734</v>
      </c>
      <c r="C599" s="7" t="s">
        <v>1704</v>
      </c>
      <c r="D599" s="7" t="s">
        <v>1405</v>
      </c>
      <c r="E599" s="7" t="s">
        <v>104</v>
      </c>
      <c r="F599" s="7" t="s">
        <v>86</v>
      </c>
      <c r="G599" s="7" t="s">
        <v>105</v>
      </c>
      <c r="H599" s="7" t="n">
        <v>3</v>
      </c>
      <c r="I599" s="11" t="n">
        <v>245</v>
      </c>
      <c r="J599" s="11" t="n">
        <v>0</v>
      </c>
      <c r="K599" s="11" t="n">
        <f aca="false">H599*I599-J599</f>
        <v>735</v>
      </c>
      <c r="L599" s="7" t="s">
        <v>93</v>
      </c>
      <c r="M599" s="7" t="s">
        <v>194</v>
      </c>
      <c r="N599" s="7" t="n">
        <v>37</v>
      </c>
      <c r="O599" s="7" t="n">
        <v>4</v>
      </c>
    </row>
    <row r="600" customFormat="false" ht="15" hidden="false" customHeight="false" outlineLevel="0" collapsed="false">
      <c r="A600" s="7" t="s">
        <v>5578</v>
      </c>
      <c r="B600" s="10" t="n">
        <v>45734</v>
      </c>
      <c r="C600" s="7" t="s">
        <v>258</v>
      </c>
      <c r="D600" s="7" t="s">
        <v>2849</v>
      </c>
      <c r="E600" s="7" t="s">
        <v>130</v>
      </c>
      <c r="F600" s="7" t="s">
        <v>110</v>
      </c>
      <c r="G600" s="7" t="s">
        <v>90</v>
      </c>
      <c r="H600" s="7" t="n">
        <v>2</v>
      </c>
      <c r="I600" s="11" t="n">
        <v>230</v>
      </c>
      <c r="J600" s="11" t="n">
        <v>0</v>
      </c>
      <c r="K600" s="11" t="n">
        <f aca="false">H600*I600-J600</f>
        <v>460</v>
      </c>
      <c r="L600" s="7" t="s">
        <v>88</v>
      </c>
      <c r="M600" s="7" t="s">
        <v>238</v>
      </c>
      <c r="N600" s="7"/>
      <c r="O600" s="7"/>
    </row>
    <row r="601" customFormat="false" ht="15" hidden="false" customHeight="false" outlineLevel="0" collapsed="false">
      <c r="A601" s="7" t="s">
        <v>2650</v>
      </c>
      <c r="B601" s="10" t="n">
        <v>45735</v>
      </c>
      <c r="C601" s="7" t="s">
        <v>1478</v>
      </c>
      <c r="D601" s="7" t="s">
        <v>2651</v>
      </c>
      <c r="E601" s="7" t="s">
        <v>144</v>
      </c>
      <c r="F601" s="7" t="s">
        <v>119</v>
      </c>
      <c r="G601" s="7" t="s">
        <v>99</v>
      </c>
      <c r="H601" s="7" t="n">
        <v>1</v>
      </c>
      <c r="I601" s="11" t="n">
        <v>285</v>
      </c>
      <c r="J601" s="11" t="n">
        <v>0</v>
      </c>
      <c r="K601" s="11" t="n">
        <f aca="false">H601*I601-J601</f>
        <v>285</v>
      </c>
      <c r="L601" s="7" t="s">
        <v>93</v>
      </c>
      <c r="M601" s="7" t="s">
        <v>194</v>
      </c>
      <c r="N601" s="7" t="n">
        <v>35</v>
      </c>
      <c r="O601" s="7" t="n">
        <v>4</v>
      </c>
    </row>
    <row r="602" customFormat="false" ht="15" hidden="false" customHeight="false" outlineLevel="0" collapsed="false">
      <c r="A602" s="7" t="s">
        <v>4491</v>
      </c>
      <c r="B602" s="10" t="n">
        <v>45735</v>
      </c>
      <c r="C602" s="7" t="s">
        <v>1660</v>
      </c>
      <c r="D602" s="7" t="s">
        <v>336</v>
      </c>
      <c r="E602" s="7" t="s">
        <v>89</v>
      </c>
      <c r="F602" s="7" t="s">
        <v>86</v>
      </c>
      <c r="G602" s="7" t="s">
        <v>90</v>
      </c>
      <c r="H602" s="7" t="n">
        <v>4</v>
      </c>
      <c r="I602" s="11" t="n">
        <v>205</v>
      </c>
      <c r="J602" s="11" t="n">
        <v>0</v>
      </c>
      <c r="K602" s="11" t="n">
        <f aca="false">H602*I602-J602</f>
        <v>820</v>
      </c>
      <c r="L602" s="7" t="s">
        <v>88</v>
      </c>
      <c r="M602" s="7" t="s">
        <v>194</v>
      </c>
      <c r="N602" s="7" t="n">
        <v>42</v>
      </c>
      <c r="O602" s="7" t="n">
        <v>5</v>
      </c>
    </row>
    <row r="603" customFormat="false" ht="15" hidden="false" customHeight="false" outlineLevel="0" collapsed="false">
      <c r="A603" s="7" t="s">
        <v>4554</v>
      </c>
      <c r="B603" s="10" t="n">
        <v>45735</v>
      </c>
      <c r="C603" s="7" t="s">
        <v>3005</v>
      </c>
      <c r="D603" s="7" t="s">
        <v>3471</v>
      </c>
      <c r="E603" s="7" t="s">
        <v>165</v>
      </c>
      <c r="F603" s="7" t="s">
        <v>146</v>
      </c>
      <c r="G603" s="7" t="s">
        <v>90</v>
      </c>
      <c r="H603" s="7" t="n">
        <v>1</v>
      </c>
      <c r="I603" s="11" t="n">
        <v>195</v>
      </c>
      <c r="J603" s="11" t="n">
        <v>0</v>
      </c>
      <c r="K603" s="11" t="n">
        <f aca="false">H603*I603-J603</f>
        <v>195</v>
      </c>
      <c r="L603" s="7" t="s">
        <v>6170</v>
      </c>
      <c r="M603" s="7" t="s">
        <v>194</v>
      </c>
      <c r="N603" s="7" t="n">
        <v>48</v>
      </c>
      <c r="O603" s="7" t="n">
        <v>4</v>
      </c>
    </row>
    <row r="604" customFormat="false" ht="15" hidden="false" customHeight="false" outlineLevel="0" collapsed="false">
      <c r="A604" s="7" t="s">
        <v>4930</v>
      </c>
      <c r="B604" s="10" t="n">
        <v>45735</v>
      </c>
      <c r="C604" s="7" t="s">
        <v>1066</v>
      </c>
      <c r="D604" s="7" t="s">
        <v>1977</v>
      </c>
      <c r="E604" s="7" t="s">
        <v>160</v>
      </c>
      <c r="F604" s="7" t="s">
        <v>136</v>
      </c>
      <c r="G604" s="7" t="s">
        <v>150</v>
      </c>
      <c r="H604" s="7" t="n">
        <v>1</v>
      </c>
      <c r="I604" s="11" t="n">
        <v>205</v>
      </c>
      <c r="J604" s="11" t="n">
        <v>0</v>
      </c>
      <c r="K604" s="11" t="n">
        <f aca="false">H604*I604-J604</f>
        <v>205</v>
      </c>
      <c r="L604" s="7" t="s">
        <v>93</v>
      </c>
      <c r="M604" s="7" t="s">
        <v>194</v>
      </c>
      <c r="N604" s="7" t="n">
        <v>45</v>
      </c>
      <c r="O604" s="7" t="n">
        <v>5</v>
      </c>
    </row>
    <row r="605" customFormat="false" ht="15" hidden="false" customHeight="false" outlineLevel="0" collapsed="false">
      <c r="A605" s="7" t="s">
        <v>983</v>
      </c>
      <c r="B605" s="10" t="n">
        <v>45735</v>
      </c>
      <c r="C605" s="7" t="s">
        <v>201</v>
      </c>
      <c r="D605" s="7" t="s">
        <v>985</v>
      </c>
      <c r="E605" s="7" t="s">
        <v>164</v>
      </c>
      <c r="F605" s="7" t="s">
        <v>141</v>
      </c>
      <c r="G605" s="7" t="s">
        <v>150</v>
      </c>
      <c r="H605" s="7" t="n">
        <v>5</v>
      </c>
      <c r="I605" s="11" t="n">
        <v>140</v>
      </c>
      <c r="J605" s="11" t="n">
        <v>0</v>
      </c>
      <c r="K605" s="11" t="n">
        <f aca="false">H605*I605-J605</f>
        <v>700</v>
      </c>
      <c r="L605" s="7" t="s">
        <v>88</v>
      </c>
      <c r="M605" s="7" t="s">
        <v>194</v>
      </c>
      <c r="N605" s="7" t="n">
        <v>35</v>
      </c>
      <c r="O605" s="7" t="n">
        <v>3</v>
      </c>
    </row>
    <row r="606" customFormat="false" ht="15" hidden="false" customHeight="false" outlineLevel="0" collapsed="false">
      <c r="A606" s="7" t="s">
        <v>3398</v>
      </c>
      <c r="B606" s="10" t="n">
        <v>45736</v>
      </c>
      <c r="C606" s="7" t="s">
        <v>3400</v>
      </c>
      <c r="D606" s="7" t="s">
        <v>1264</v>
      </c>
      <c r="E606" s="7" t="s">
        <v>147</v>
      </c>
      <c r="F606" s="7" t="s">
        <v>119</v>
      </c>
      <c r="G606" s="7" t="s">
        <v>95</v>
      </c>
      <c r="H606" s="7" t="n">
        <v>2</v>
      </c>
      <c r="I606" s="11" t="n">
        <v>190</v>
      </c>
      <c r="J606" s="11" t="n">
        <v>40</v>
      </c>
      <c r="K606" s="11" t="n">
        <f aca="false">H606*I606-J606</f>
        <v>340</v>
      </c>
      <c r="L606" s="7" t="s">
        <v>112</v>
      </c>
      <c r="M606" s="7" t="s">
        <v>194</v>
      </c>
      <c r="N606" s="7" t="n">
        <v>33</v>
      </c>
      <c r="O606" s="7"/>
    </row>
    <row r="607" customFormat="false" ht="15" hidden="false" customHeight="false" outlineLevel="0" collapsed="false">
      <c r="A607" s="7" t="s">
        <v>4453</v>
      </c>
      <c r="B607" s="10" t="n">
        <v>45736</v>
      </c>
      <c r="C607" s="7" t="s">
        <v>1164</v>
      </c>
      <c r="D607" s="7" t="s">
        <v>1176</v>
      </c>
      <c r="E607" s="7" t="s">
        <v>152</v>
      </c>
      <c r="F607" s="7" t="s">
        <v>128</v>
      </c>
      <c r="G607" s="7" t="s">
        <v>95</v>
      </c>
      <c r="H607" s="7" t="n">
        <v>2</v>
      </c>
      <c r="I607" s="11" t="n">
        <v>115</v>
      </c>
      <c r="J607" s="11" t="n">
        <v>0</v>
      </c>
      <c r="K607" s="11" t="n">
        <f aca="false">H607*I607-J607</f>
        <v>230</v>
      </c>
      <c r="L607" s="7" t="s">
        <v>112</v>
      </c>
      <c r="M607" s="7" t="s">
        <v>194</v>
      </c>
      <c r="N607" s="7" t="n">
        <v>54</v>
      </c>
      <c r="O607" s="7" t="n">
        <v>5</v>
      </c>
    </row>
    <row r="608" customFormat="false" ht="15" hidden="false" customHeight="false" outlineLevel="0" collapsed="false">
      <c r="A608" s="7" t="s">
        <v>6060</v>
      </c>
      <c r="B608" s="10" t="n">
        <v>45736</v>
      </c>
      <c r="C608" s="7" t="s">
        <v>4461</v>
      </c>
      <c r="D608" s="7" t="s">
        <v>4380</v>
      </c>
      <c r="E608" s="7" t="s">
        <v>149</v>
      </c>
      <c r="F608" s="7" t="s">
        <v>119</v>
      </c>
      <c r="G608" s="7" t="s">
        <v>150</v>
      </c>
      <c r="H608" s="7" t="n">
        <v>4</v>
      </c>
      <c r="I608" s="11" t="n">
        <v>190</v>
      </c>
      <c r="J608" s="11" t="n">
        <v>30</v>
      </c>
      <c r="K608" s="11" t="n">
        <f aca="false">H608*I608-J608</f>
        <v>730</v>
      </c>
      <c r="L608" s="7" t="s">
        <v>88</v>
      </c>
      <c r="M608" s="7" t="s">
        <v>238</v>
      </c>
      <c r="N608" s="7"/>
      <c r="O608" s="7"/>
    </row>
    <row r="609" customFormat="false" ht="15" hidden="false" customHeight="false" outlineLevel="0" collapsed="false">
      <c r="A609" s="7" t="s">
        <v>3429</v>
      </c>
      <c r="B609" s="10" t="n">
        <v>45736</v>
      </c>
      <c r="C609" s="7" t="s">
        <v>732</v>
      </c>
      <c r="D609" s="7" t="s">
        <v>948</v>
      </c>
      <c r="E609" s="7" t="s">
        <v>122</v>
      </c>
      <c r="F609" s="7" t="s">
        <v>101</v>
      </c>
      <c r="G609" s="7" t="s">
        <v>123</v>
      </c>
      <c r="H609" s="7" t="n">
        <v>3</v>
      </c>
      <c r="I609" s="11" t="n">
        <v>360</v>
      </c>
      <c r="J609" s="11" t="n">
        <v>0</v>
      </c>
      <c r="K609" s="11" t="n">
        <f aca="false">H609*I609-J609</f>
        <v>1080</v>
      </c>
      <c r="L609" s="7" t="s">
        <v>103</v>
      </c>
      <c r="M609" s="7" t="s">
        <v>194</v>
      </c>
      <c r="N609" s="7" t="n">
        <v>53</v>
      </c>
      <c r="O609" s="7"/>
    </row>
    <row r="610" customFormat="false" ht="15" hidden="false" customHeight="false" outlineLevel="0" collapsed="false">
      <c r="A610" s="7" t="s">
        <v>5665</v>
      </c>
      <c r="B610" s="10" t="n">
        <v>45736</v>
      </c>
      <c r="C610" s="7" t="s">
        <v>1336</v>
      </c>
      <c r="D610" s="7" t="s">
        <v>5666</v>
      </c>
      <c r="E610" s="7" t="s">
        <v>160</v>
      </c>
      <c r="F610" s="7" t="s">
        <v>136</v>
      </c>
      <c r="G610" s="7" t="s">
        <v>150</v>
      </c>
      <c r="H610" s="7" t="n">
        <v>2</v>
      </c>
      <c r="I610" s="11" t="n">
        <v>215</v>
      </c>
      <c r="J610" s="11" t="n">
        <v>40</v>
      </c>
      <c r="K610" s="11" t="n">
        <f aca="false">H610*I610-J610</f>
        <v>390</v>
      </c>
      <c r="L610" s="7" t="s">
        <v>112</v>
      </c>
      <c r="M610" s="7" t="s">
        <v>194</v>
      </c>
      <c r="N610" s="7" t="n">
        <v>40</v>
      </c>
      <c r="O610" s="7" t="n">
        <v>5</v>
      </c>
    </row>
    <row r="611" customFormat="false" ht="15" hidden="false" customHeight="false" outlineLevel="0" collapsed="false">
      <c r="A611" s="7" t="s">
        <v>5658</v>
      </c>
      <c r="B611" s="10" t="n">
        <v>45736</v>
      </c>
      <c r="C611" s="7" t="s">
        <v>976</v>
      </c>
      <c r="D611" s="7" t="s">
        <v>3265</v>
      </c>
      <c r="E611" s="7" t="s">
        <v>98</v>
      </c>
      <c r="F611" s="7" t="s">
        <v>86</v>
      </c>
      <c r="G611" s="7" t="s">
        <v>99</v>
      </c>
      <c r="H611" s="7" t="n">
        <v>1</v>
      </c>
      <c r="I611" s="11" t="n">
        <v>215</v>
      </c>
      <c r="J611" s="11" t="n">
        <v>0</v>
      </c>
      <c r="K611" s="11" t="n">
        <f aca="false">H611*I611-J611</f>
        <v>215</v>
      </c>
      <c r="L611" s="7" t="s">
        <v>103</v>
      </c>
      <c r="M611" s="7" t="s">
        <v>194</v>
      </c>
      <c r="N611" s="7" t="n">
        <v>49</v>
      </c>
      <c r="O611" s="7" t="n">
        <v>4</v>
      </c>
    </row>
    <row r="612" customFormat="false" ht="15" hidden="false" customHeight="false" outlineLevel="0" collapsed="false">
      <c r="A612" s="7" t="s">
        <v>2843</v>
      </c>
      <c r="B612" s="10" t="n">
        <v>45737</v>
      </c>
      <c r="C612" s="7" t="s">
        <v>2844</v>
      </c>
      <c r="D612" s="7" t="s">
        <v>2226</v>
      </c>
      <c r="E612" s="7" t="s">
        <v>94</v>
      </c>
      <c r="F612" s="7" t="s">
        <v>86</v>
      </c>
      <c r="G612" s="7" t="s">
        <v>95</v>
      </c>
      <c r="H612" s="7" t="n">
        <v>4</v>
      </c>
      <c r="I612" s="11" t="n">
        <v>115</v>
      </c>
      <c r="J612" s="11" t="n">
        <v>0</v>
      </c>
      <c r="K612" s="11" t="n">
        <f aca="false">H612*I612-J612</f>
        <v>460</v>
      </c>
      <c r="L612" s="7" t="s">
        <v>103</v>
      </c>
      <c r="M612" s="7" t="s">
        <v>194</v>
      </c>
      <c r="N612" s="7" t="n">
        <v>41</v>
      </c>
      <c r="O612" s="7"/>
    </row>
    <row r="613" customFormat="false" ht="15" hidden="false" customHeight="false" outlineLevel="0" collapsed="false">
      <c r="A613" s="7" t="s">
        <v>5413</v>
      </c>
      <c r="B613" s="10" t="n">
        <v>45737</v>
      </c>
      <c r="C613" s="7" t="s">
        <v>428</v>
      </c>
      <c r="D613" s="7" t="s">
        <v>797</v>
      </c>
      <c r="E613" s="7" t="s">
        <v>130</v>
      </c>
      <c r="F613" s="7" t="s">
        <v>110</v>
      </c>
      <c r="G613" s="7" t="s">
        <v>90</v>
      </c>
      <c r="H613" s="7" t="n">
        <v>3</v>
      </c>
      <c r="I613" s="11" t="n">
        <v>190</v>
      </c>
      <c r="J613" s="11" t="n">
        <v>40</v>
      </c>
      <c r="K613" s="11" t="n">
        <f aca="false">H613*I613-J613</f>
        <v>530</v>
      </c>
      <c r="L613" s="7" t="s">
        <v>93</v>
      </c>
      <c r="M613" s="7" t="s">
        <v>194</v>
      </c>
      <c r="N613" s="7" t="n">
        <v>43</v>
      </c>
      <c r="O613" s="7" t="n">
        <v>3</v>
      </c>
    </row>
    <row r="614" customFormat="false" ht="15" hidden="false" customHeight="false" outlineLevel="0" collapsed="false">
      <c r="A614" s="7" t="s">
        <v>5521</v>
      </c>
      <c r="B614" s="10" t="n">
        <v>45737</v>
      </c>
      <c r="C614" s="7" t="s">
        <v>1684</v>
      </c>
      <c r="D614" s="7" t="s">
        <v>1518</v>
      </c>
      <c r="E614" s="7" t="s">
        <v>158</v>
      </c>
      <c r="F614" s="7" t="s">
        <v>136</v>
      </c>
      <c r="G614" s="7" t="s">
        <v>139</v>
      </c>
      <c r="H614" s="7" t="n">
        <v>2</v>
      </c>
      <c r="I614" s="11" t="n">
        <v>190</v>
      </c>
      <c r="J614" s="11" t="n">
        <v>0</v>
      </c>
      <c r="K614" s="11" t="n">
        <f aca="false">H614*I614-J614</f>
        <v>380</v>
      </c>
      <c r="L614" s="7" t="s">
        <v>121</v>
      </c>
      <c r="M614" s="7" t="s">
        <v>194</v>
      </c>
      <c r="N614" s="7" t="n">
        <v>33</v>
      </c>
      <c r="O614" s="7" t="n">
        <v>4</v>
      </c>
    </row>
    <row r="615" customFormat="false" ht="15" hidden="false" customHeight="false" outlineLevel="0" collapsed="false">
      <c r="A615" s="7" t="s">
        <v>4121</v>
      </c>
      <c r="B615" s="10" t="n">
        <v>45737</v>
      </c>
      <c r="C615" s="7" t="s">
        <v>1824</v>
      </c>
      <c r="D615" s="7" t="s">
        <v>2077</v>
      </c>
      <c r="E615" s="7" t="s">
        <v>138</v>
      </c>
      <c r="F615" s="7" t="s">
        <v>110</v>
      </c>
      <c r="G615" s="7" t="s">
        <v>139</v>
      </c>
      <c r="H615" s="7" t="n">
        <v>2</v>
      </c>
      <c r="I615" s="11" t="n">
        <v>195</v>
      </c>
      <c r="J615" s="11" t="n">
        <v>125</v>
      </c>
      <c r="K615" s="11" t="n">
        <f aca="false">H615*I615-J615</f>
        <v>265</v>
      </c>
      <c r="L615" s="7" t="s">
        <v>88</v>
      </c>
      <c r="M615" s="7" t="s">
        <v>194</v>
      </c>
      <c r="N615" s="7" t="n">
        <v>31</v>
      </c>
      <c r="O615" s="7" t="n">
        <v>5</v>
      </c>
    </row>
    <row r="616" customFormat="false" ht="15" hidden="false" customHeight="false" outlineLevel="0" collapsed="false">
      <c r="A616" s="7" t="s">
        <v>4224</v>
      </c>
      <c r="B616" s="10" t="n">
        <v>45737</v>
      </c>
      <c r="C616" s="7" t="s">
        <v>4225</v>
      </c>
      <c r="D616" s="7" t="s">
        <v>4226</v>
      </c>
      <c r="E616" s="7" t="s">
        <v>155</v>
      </c>
      <c r="F616" s="7" t="s">
        <v>128</v>
      </c>
      <c r="G616" s="7" t="s">
        <v>156</v>
      </c>
      <c r="H616" s="7" t="n">
        <v>4</v>
      </c>
      <c r="I616" s="11" t="n">
        <v>280</v>
      </c>
      <c r="J616" s="11" t="n">
        <v>100</v>
      </c>
      <c r="K616" s="11" t="n">
        <f aca="false">H616*I616-J616</f>
        <v>1020</v>
      </c>
      <c r="L616" s="7" t="s">
        <v>6170</v>
      </c>
      <c r="M616" s="7" t="s">
        <v>194</v>
      </c>
      <c r="N616" s="7" t="n">
        <v>36</v>
      </c>
      <c r="O616" s="7" t="n">
        <v>4</v>
      </c>
    </row>
    <row r="617" customFormat="false" ht="15" hidden="false" customHeight="false" outlineLevel="0" collapsed="false">
      <c r="A617" s="7" t="s">
        <v>726</v>
      </c>
      <c r="B617" s="10" t="n">
        <v>45737</v>
      </c>
      <c r="C617" s="7" t="s">
        <v>689</v>
      </c>
      <c r="D617" s="7" t="s">
        <v>728</v>
      </c>
      <c r="E617" s="7" t="s">
        <v>104</v>
      </c>
      <c r="F617" s="7" t="s">
        <v>86</v>
      </c>
      <c r="G617" s="7" t="s">
        <v>105</v>
      </c>
      <c r="H617" s="7" t="n">
        <v>2</v>
      </c>
      <c r="I617" s="11" t="n">
        <v>205</v>
      </c>
      <c r="J617" s="11" t="n">
        <v>75</v>
      </c>
      <c r="K617" s="11" t="n">
        <f aca="false">H617*I617-J617</f>
        <v>335</v>
      </c>
      <c r="L617" s="7" t="s">
        <v>133</v>
      </c>
      <c r="M617" s="7" t="s">
        <v>194</v>
      </c>
      <c r="N617" s="7" t="n">
        <v>26</v>
      </c>
      <c r="O617" s="7" t="n">
        <v>4</v>
      </c>
    </row>
    <row r="618" customFormat="false" ht="15" hidden="false" customHeight="false" outlineLevel="0" collapsed="false">
      <c r="A618" s="7" t="s">
        <v>1258</v>
      </c>
      <c r="B618" s="10" t="n">
        <v>45737</v>
      </c>
      <c r="C618" s="7" t="s">
        <v>809</v>
      </c>
      <c r="D618" s="7" t="s">
        <v>565</v>
      </c>
      <c r="E618" s="7" t="s">
        <v>94</v>
      </c>
      <c r="F618" s="7" t="s">
        <v>86</v>
      </c>
      <c r="G618" s="7" t="s">
        <v>95</v>
      </c>
      <c r="H618" s="7" t="n">
        <v>2</v>
      </c>
      <c r="I618" s="11" t="n">
        <v>115</v>
      </c>
      <c r="J618" s="11" t="n">
        <v>92</v>
      </c>
      <c r="K618" s="11" t="n">
        <f aca="false">H618*I618-J618</f>
        <v>138</v>
      </c>
      <c r="L618" s="7" t="s">
        <v>88</v>
      </c>
      <c r="M618" s="7" t="s">
        <v>194</v>
      </c>
      <c r="N618" s="7" t="n">
        <v>33</v>
      </c>
      <c r="O618" s="7" t="n">
        <v>5</v>
      </c>
    </row>
    <row r="619" customFormat="false" ht="15" hidden="false" customHeight="false" outlineLevel="0" collapsed="false">
      <c r="A619" s="7" t="s">
        <v>4830</v>
      </c>
      <c r="B619" s="10" t="n">
        <v>45737</v>
      </c>
      <c r="C619" s="7" t="s">
        <v>3791</v>
      </c>
      <c r="D619" s="7" t="s">
        <v>4831</v>
      </c>
      <c r="E619" s="7" t="s">
        <v>98</v>
      </c>
      <c r="F619" s="7" t="s">
        <v>86</v>
      </c>
      <c r="G619" s="7" t="s">
        <v>99</v>
      </c>
      <c r="H619" s="7" t="n">
        <v>1</v>
      </c>
      <c r="I619" s="11" t="n">
        <v>250</v>
      </c>
      <c r="J619" s="11" t="n">
        <v>100</v>
      </c>
      <c r="K619" s="11" t="n">
        <f aca="false">H619*I619-J619</f>
        <v>150</v>
      </c>
      <c r="L619" s="7" t="s">
        <v>133</v>
      </c>
      <c r="M619" s="7" t="s">
        <v>194</v>
      </c>
      <c r="N619" s="7" t="n">
        <v>55</v>
      </c>
      <c r="O619" s="7" t="n">
        <v>4</v>
      </c>
    </row>
    <row r="620" customFormat="false" ht="15" hidden="false" customHeight="false" outlineLevel="0" collapsed="false">
      <c r="A620" s="7" t="s">
        <v>5594</v>
      </c>
      <c r="B620" s="10" t="n">
        <v>45737</v>
      </c>
      <c r="C620" s="7" t="s">
        <v>976</v>
      </c>
      <c r="D620" s="7" t="s">
        <v>3392</v>
      </c>
      <c r="E620" s="7" t="s">
        <v>152</v>
      </c>
      <c r="F620" s="7" t="s">
        <v>128</v>
      </c>
      <c r="G620" s="7" t="s">
        <v>95</v>
      </c>
      <c r="H620" s="7" t="n">
        <v>1</v>
      </c>
      <c r="I620" s="11" t="n">
        <v>105</v>
      </c>
      <c r="J620" s="11" t="n">
        <v>0</v>
      </c>
      <c r="K620" s="11" t="n">
        <f aca="false">H620*I620-J620</f>
        <v>105</v>
      </c>
      <c r="L620" s="7" t="s">
        <v>133</v>
      </c>
      <c r="M620" s="7" t="s">
        <v>194</v>
      </c>
      <c r="N620" s="7" t="n">
        <v>30</v>
      </c>
      <c r="O620" s="7" t="n">
        <v>5</v>
      </c>
    </row>
    <row r="621" customFormat="false" ht="15" hidden="false" customHeight="false" outlineLevel="0" collapsed="false">
      <c r="A621" s="7" t="s">
        <v>2506</v>
      </c>
      <c r="B621" s="10" t="n">
        <v>45737</v>
      </c>
      <c r="C621" s="7" t="s">
        <v>2508</v>
      </c>
      <c r="D621" s="7" t="s">
        <v>2509</v>
      </c>
      <c r="E621" s="7" t="s">
        <v>94</v>
      </c>
      <c r="F621" s="7" t="s">
        <v>86</v>
      </c>
      <c r="G621" s="7" t="s">
        <v>95</v>
      </c>
      <c r="H621" s="7" t="n">
        <v>1</v>
      </c>
      <c r="I621" s="11" t="n">
        <v>120</v>
      </c>
      <c r="J621" s="11" t="n">
        <v>48</v>
      </c>
      <c r="K621" s="11" t="n">
        <f aca="false">H621*I621-J621</f>
        <v>72</v>
      </c>
      <c r="L621" s="7" t="s">
        <v>88</v>
      </c>
      <c r="M621" s="7" t="s">
        <v>194</v>
      </c>
      <c r="N621" s="7" t="n">
        <v>43</v>
      </c>
      <c r="O621" s="7" t="n">
        <v>5</v>
      </c>
    </row>
    <row r="622" customFormat="false" ht="15" hidden="false" customHeight="false" outlineLevel="0" collapsed="false">
      <c r="A622" s="7" t="s">
        <v>5851</v>
      </c>
      <c r="B622" s="10" t="n">
        <v>45737</v>
      </c>
      <c r="C622" s="7" t="s">
        <v>258</v>
      </c>
      <c r="D622" s="7" t="s">
        <v>4826</v>
      </c>
      <c r="E622" s="7" t="s">
        <v>157</v>
      </c>
      <c r="F622" s="7" t="s">
        <v>136</v>
      </c>
      <c r="G622" s="7" t="s">
        <v>117</v>
      </c>
      <c r="H622" s="7" t="n">
        <v>2</v>
      </c>
      <c r="I622" s="11" t="n">
        <v>110</v>
      </c>
      <c r="J622" s="11" t="n">
        <v>0</v>
      </c>
      <c r="K622" s="11" t="n">
        <f aca="false">H622*I622-J622</f>
        <v>220</v>
      </c>
      <c r="L622" s="7" t="s">
        <v>112</v>
      </c>
      <c r="M622" s="7" t="s">
        <v>194</v>
      </c>
      <c r="N622" s="7" t="n">
        <v>29</v>
      </c>
      <c r="O622" s="7" t="n">
        <v>5</v>
      </c>
    </row>
    <row r="623" customFormat="false" ht="15" hidden="false" customHeight="false" outlineLevel="0" collapsed="false">
      <c r="A623" s="7" t="s">
        <v>1034</v>
      </c>
      <c r="B623" s="10" t="n">
        <v>45738</v>
      </c>
      <c r="C623" s="7" t="s">
        <v>1036</v>
      </c>
      <c r="D623" s="7" t="s">
        <v>1037</v>
      </c>
      <c r="E623" s="7" t="s">
        <v>154</v>
      </c>
      <c r="F623" s="7" t="s">
        <v>128</v>
      </c>
      <c r="G623" s="7" t="s">
        <v>99</v>
      </c>
      <c r="H623" s="7" t="n">
        <v>1</v>
      </c>
      <c r="I623" s="11" t="n">
        <v>280</v>
      </c>
      <c r="J623" s="11" t="n">
        <v>0</v>
      </c>
      <c r="K623" s="11" t="n">
        <f aca="false">H623*I623-J623</f>
        <v>280</v>
      </c>
      <c r="L623" s="7" t="s">
        <v>88</v>
      </c>
      <c r="M623" s="7" t="s">
        <v>194</v>
      </c>
      <c r="N623" s="7" t="n">
        <v>20</v>
      </c>
      <c r="O623" s="7" t="n">
        <v>4</v>
      </c>
    </row>
    <row r="624" customFormat="false" ht="15" hidden="false" customHeight="false" outlineLevel="0" collapsed="false">
      <c r="A624" s="7" t="s">
        <v>371</v>
      </c>
      <c r="B624" s="10" t="n">
        <v>45738</v>
      </c>
      <c r="C624" s="7" t="s">
        <v>373</v>
      </c>
      <c r="D624" s="7" t="s">
        <v>374</v>
      </c>
      <c r="E624" s="7" t="s">
        <v>130</v>
      </c>
      <c r="F624" s="7" t="s">
        <v>110</v>
      </c>
      <c r="G624" s="7" t="s">
        <v>90</v>
      </c>
      <c r="H624" s="7" t="n">
        <v>3</v>
      </c>
      <c r="I624" s="11" t="n">
        <v>220</v>
      </c>
      <c r="J624" s="11" t="n">
        <v>30</v>
      </c>
      <c r="K624" s="11" t="n">
        <f aca="false">H624*I624-J624</f>
        <v>630</v>
      </c>
      <c r="L624" s="7" t="s">
        <v>112</v>
      </c>
      <c r="M624" s="7" t="s">
        <v>194</v>
      </c>
      <c r="N624" s="7" t="n">
        <v>47</v>
      </c>
      <c r="O624" s="7" t="n">
        <v>3</v>
      </c>
    </row>
    <row r="625" customFormat="false" ht="15" hidden="false" customHeight="false" outlineLevel="0" collapsed="false">
      <c r="A625" s="7" t="s">
        <v>2868</v>
      </c>
      <c r="B625" s="10" t="n">
        <v>45739</v>
      </c>
      <c r="C625" s="7" t="s">
        <v>2869</v>
      </c>
      <c r="D625" s="7" t="s">
        <v>2870</v>
      </c>
      <c r="E625" s="7" t="s">
        <v>138</v>
      </c>
      <c r="F625" s="7" t="s">
        <v>110</v>
      </c>
      <c r="G625" s="7" t="s">
        <v>139</v>
      </c>
      <c r="H625" s="7" t="n">
        <v>1</v>
      </c>
      <c r="I625" s="11" t="n">
        <v>160</v>
      </c>
      <c r="J625" s="11" t="n">
        <v>64</v>
      </c>
      <c r="K625" s="11" t="n">
        <f aca="false">H625*I625-J625</f>
        <v>96</v>
      </c>
      <c r="L625" s="7" t="s">
        <v>103</v>
      </c>
      <c r="M625" s="7" t="s">
        <v>194</v>
      </c>
      <c r="N625" s="7" t="n">
        <v>41</v>
      </c>
      <c r="O625" s="7" t="n">
        <v>4</v>
      </c>
    </row>
    <row r="626" customFormat="false" ht="15" hidden="false" customHeight="false" outlineLevel="0" collapsed="false">
      <c r="A626" s="7" t="s">
        <v>812</v>
      </c>
      <c r="B626" s="10" t="n">
        <v>45739</v>
      </c>
      <c r="C626" s="7" t="s">
        <v>693</v>
      </c>
      <c r="D626" s="7" t="s">
        <v>814</v>
      </c>
      <c r="E626" s="7" t="s">
        <v>142</v>
      </c>
      <c r="F626" s="7" t="s">
        <v>110</v>
      </c>
      <c r="G626" s="7" t="s">
        <v>105</v>
      </c>
      <c r="H626" s="7" t="n">
        <v>2</v>
      </c>
      <c r="I626" s="11" t="n">
        <v>150</v>
      </c>
      <c r="J626" s="11" t="n">
        <v>120</v>
      </c>
      <c r="K626" s="11" t="n">
        <f aca="false">H626*I626-J626</f>
        <v>180</v>
      </c>
      <c r="L626" s="7" t="s">
        <v>112</v>
      </c>
      <c r="M626" s="7" t="s">
        <v>194</v>
      </c>
      <c r="N626" s="7" t="n">
        <v>44</v>
      </c>
      <c r="O626" s="7" t="n">
        <v>5</v>
      </c>
    </row>
    <row r="627" customFormat="false" ht="15" hidden="false" customHeight="false" outlineLevel="0" collapsed="false">
      <c r="A627" s="7" t="s">
        <v>5269</v>
      </c>
      <c r="B627" s="10" t="n">
        <v>45739</v>
      </c>
      <c r="C627" s="7" t="s">
        <v>3217</v>
      </c>
      <c r="D627" s="7" t="s">
        <v>3719</v>
      </c>
      <c r="E627" s="7" t="s">
        <v>155</v>
      </c>
      <c r="F627" s="7" t="s">
        <v>128</v>
      </c>
      <c r="G627" s="7" t="s">
        <v>156</v>
      </c>
      <c r="H627" s="7" t="n">
        <v>2</v>
      </c>
      <c r="I627" s="11" t="n">
        <v>325</v>
      </c>
      <c r="J627" s="11" t="n">
        <v>0</v>
      </c>
      <c r="K627" s="11" t="n">
        <f aca="false">H627*I627-J627</f>
        <v>650</v>
      </c>
      <c r="L627" s="7" t="s">
        <v>88</v>
      </c>
      <c r="M627" s="7" t="s">
        <v>194</v>
      </c>
      <c r="N627" s="7" t="n">
        <v>35</v>
      </c>
      <c r="O627" s="7" t="n">
        <v>4</v>
      </c>
    </row>
    <row r="628" customFormat="false" ht="15" hidden="false" customHeight="false" outlineLevel="0" collapsed="false">
      <c r="A628" s="7" t="s">
        <v>4963</v>
      </c>
      <c r="B628" s="10" t="n">
        <v>45739</v>
      </c>
      <c r="C628" s="7" t="s">
        <v>3605</v>
      </c>
      <c r="D628" s="7" t="s">
        <v>1563</v>
      </c>
      <c r="E628" s="7" t="s">
        <v>152</v>
      </c>
      <c r="F628" s="7" t="s">
        <v>128</v>
      </c>
      <c r="G628" s="7" t="s">
        <v>95</v>
      </c>
      <c r="H628" s="7" t="n">
        <v>1</v>
      </c>
      <c r="I628" s="11" t="n">
        <v>110</v>
      </c>
      <c r="J628" s="11" t="n">
        <v>0</v>
      </c>
      <c r="K628" s="11" t="n">
        <f aca="false">H628*I628-J628</f>
        <v>110</v>
      </c>
      <c r="L628" s="7" t="s">
        <v>88</v>
      </c>
      <c r="M628" s="7" t="s">
        <v>194</v>
      </c>
      <c r="N628" s="7" t="n">
        <v>36</v>
      </c>
      <c r="O628" s="7" t="n">
        <v>3</v>
      </c>
    </row>
    <row r="629" customFormat="false" ht="15" hidden="false" customHeight="false" outlineLevel="0" collapsed="false">
      <c r="A629" s="7" t="s">
        <v>1811</v>
      </c>
      <c r="B629" s="10" t="n">
        <v>45739</v>
      </c>
      <c r="C629" s="7" t="s">
        <v>1812</v>
      </c>
      <c r="D629" s="7" t="s">
        <v>818</v>
      </c>
      <c r="E629" s="7" t="s">
        <v>155</v>
      </c>
      <c r="F629" s="7" t="s">
        <v>128</v>
      </c>
      <c r="G629" s="7" t="s">
        <v>156</v>
      </c>
      <c r="H629" s="7" t="n">
        <v>2</v>
      </c>
      <c r="I629" s="11" t="n">
        <v>295</v>
      </c>
      <c r="J629" s="11" t="n">
        <v>50</v>
      </c>
      <c r="K629" s="11" t="n">
        <f aca="false">H629*I629-J629</f>
        <v>540</v>
      </c>
      <c r="L629" s="7" t="s">
        <v>88</v>
      </c>
      <c r="M629" s="7" t="s">
        <v>194</v>
      </c>
      <c r="N629" s="7" t="n">
        <v>26</v>
      </c>
      <c r="O629" s="7" t="n">
        <v>5</v>
      </c>
    </row>
    <row r="630" customFormat="false" ht="15" hidden="false" customHeight="false" outlineLevel="0" collapsed="false">
      <c r="A630" s="7" t="s">
        <v>2757</v>
      </c>
      <c r="B630" s="10" t="n">
        <v>45739</v>
      </c>
      <c r="C630" s="7" t="s">
        <v>2758</v>
      </c>
      <c r="D630" s="7" t="s">
        <v>1641</v>
      </c>
      <c r="E630" s="7" t="s">
        <v>152</v>
      </c>
      <c r="F630" s="7" t="s">
        <v>128</v>
      </c>
      <c r="G630" s="7" t="s">
        <v>95</v>
      </c>
      <c r="H630" s="7" t="n">
        <v>3</v>
      </c>
      <c r="I630" s="11" t="n">
        <v>95</v>
      </c>
      <c r="J630" s="11" t="n">
        <v>75</v>
      </c>
      <c r="K630" s="11" t="n">
        <f aca="false">H630*I630-J630</f>
        <v>210</v>
      </c>
      <c r="L630" s="7" t="s">
        <v>88</v>
      </c>
      <c r="M630" s="7" t="s">
        <v>194</v>
      </c>
      <c r="N630" s="7" t="n">
        <v>35</v>
      </c>
      <c r="O630" s="7"/>
    </row>
    <row r="631" customFormat="false" ht="15" hidden="false" customHeight="false" outlineLevel="0" collapsed="false">
      <c r="A631" s="7" t="s">
        <v>5791</v>
      </c>
      <c r="B631" s="10" t="n">
        <v>45739</v>
      </c>
      <c r="C631" s="7" t="s">
        <v>5792</v>
      </c>
      <c r="D631" s="7" t="s">
        <v>5436</v>
      </c>
      <c r="E631" s="7" t="s">
        <v>113</v>
      </c>
      <c r="F631" s="7" t="s">
        <v>101</v>
      </c>
      <c r="G631" s="7" t="s">
        <v>90</v>
      </c>
      <c r="H631" s="7" t="n">
        <v>1</v>
      </c>
      <c r="I631" s="11" t="n">
        <v>280</v>
      </c>
      <c r="J631" s="11" t="n">
        <v>112</v>
      </c>
      <c r="K631" s="11" t="n">
        <f aca="false">H631*I631-J631</f>
        <v>168</v>
      </c>
      <c r="L631" s="7" t="s">
        <v>133</v>
      </c>
      <c r="M631" s="7" t="s">
        <v>194</v>
      </c>
      <c r="N631" s="7" t="n">
        <v>34</v>
      </c>
      <c r="O631" s="7" t="n">
        <v>3</v>
      </c>
    </row>
    <row r="632" customFormat="false" ht="15" hidden="false" customHeight="false" outlineLevel="0" collapsed="false">
      <c r="A632" s="7" t="s">
        <v>6011</v>
      </c>
      <c r="B632" s="10" t="n">
        <v>45739</v>
      </c>
      <c r="C632" s="7" t="s">
        <v>947</v>
      </c>
      <c r="D632" s="7" t="s">
        <v>6013</v>
      </c>
      <c r="E632" s="7" t="s">
        <v>142</v>
      </c>
      <c r="F632" s="7" t="s">
        <v>110</v>
      </c>
      <c r="G632" s="7" t="s">
        <v>105</v>
      </c>
      <c r="H632" s="7" t="n">
        <v>2</v>
      </c>
      <c r="I632" s="11" t="n">
        <v>140</v>
      </c>
      <c r="J632" s="11" t="n">
        <v>40</v>
      </c>
      <c r="K632" s="11" t="n">
        <f aca="false">H632*I632-J632</f>
        <v>240</v>
      </c>
      <c r="L632" s="7" t="s">
        <v>88</v>
      </c>
      <c r="M632" s="7" t="s">
        <v>194</v>
      </c>
      <c r="N632" s="7" t="n">
        <v>35</v>
      </c>
      <c r="O632" s="7" t="n">
        <v>4</v>
      </c>
    </row>
    <row r="633" customFormat="false" ht="15" hidden="false" customHeight="false" outlineLevel="0" collapsed="false">
      <c r="A633" s="7" t="s">
        <v>6028</v>
      </c>
      <c r="B633" s="10" t="n">
        <v>45739</v>
      </c>
      <c r="C633" s="7" t="s">
        <v>1791</v>
      </c>
      <c r="D633" s="7" t="s">
        <v>2589</v>
      </c>
      <c r="E633" s="7" t="s">
        <v>164</v>
      </c>
      <c r="F633" s="7" t="s">
        <v>141</v>
      </c>
      <c r="G633" s="7" t="s">
        <v>150</v>
      </c>
      <c r="H633" s="7" t="n">
        <v>1</v>
      </c>
      <c r="I633" s="11" t="n">
        <v>125</v>
      </c>
      <c r="J633" s="11" t="n">
        <v>50</v>
      </c>
      <c r="K633" s="11" t="n">
        <f aca="false">H633*I633-J633</f>
        <v>75</v>
      </c>
      <c r="L633" s="7" t="s">
        <v>88</v>
      </c>
      <c r="M633" s="7" t="s">
        <v>194</v>
      </c>
      <c r="N633" s="7" t="n">
        <v>44</v>
      </c>
      <c r="O633" s="7" t="n">
        <v>3</v>
      </c>
    </row>
    <row r="634" customFormat="false" ht="15" hidden="false" customHeight="false" outlineLevel="0" collapsed="false">
      <c r="A634" s="7" t="s">
        <v>4103</v>
      </c>
      <c r="B634" s="10" t="n">
        <v>45739</v>
      </c>
      <c r="C634" s="7" t="s">
        <v>769</v>
      </c>
      <c r="D634" s="7" t="s">
        <v>993</v>
      </c>
      <c r="E634" s="7" t="s">
        <v>144</v>
      </c>
      <c r="F634" s="7" t="s">
        <v>119</v>
      </c>
      <c r="G634" s="7" t="s">
        <v>99</v>
      </c>
      <c r="H634" s="7" t="n">
        <v>4</v>
      </c>
      <c r="I634" s="11" t="n">
        <v>335</v>
      </c>
      <c r="J634" s="11" t="n">
        <v>0</v>
      </c>
      <c r="K634" s="11" t="n">
        <f aca="false">H634*I634-J634</f>
        <v>1340</v>
      </c>
      <c r="L634" s="7" t="s">
        <v>103</v>
      </c>
      <c r="M634" s="7" t="s">
        <v>194</v>
      </c>
      <c r="N634" s="7" t="n">
        <v>28</v>
      </c>
      <c r="O634" s="7" t="n">
        <v>3</v>
      </c>
    </row>
    <row r="635" customFormat="false" ht="15" hidden="false" customHeight="false" outlineLevel="0" collapsed="false">
      <c r="A635" s="7" t="s">
        <v>2287</v>
      </c>
      <c r="B635" s="10" t="n">
        <v>45739</v>
      </c>
      <c r="C635" s="7" t="s">
        <v>1387</v>
      </c>
      <c r="D635" s="7" t="s">
        <v>408</v>
      </c>
      <c r="E635" s="7" t="s">
        <v>89</v>
      </c>
      <c r="F635" s="7" t="s">
        <v>86</v>
      </c>
      <c r="G635" s="7" t="s">
        <v>90</v>
      </c>
      <c r="H635" s="7" t="n">
        <v>2</v>
      </c>
      <c r="I635" s="11" t="n">
        <v>270</v>
      </c>
      <c r="J635" s="11" t="n">
        <v>0</v>
      </c>
      <c r="K635" s="11" t="n">
        <f aca="false">H635*I635-J635</f>
        <v>540</v>
      </c>
      <c r="L635" s="7" t="s">
        <v>88</v>
      </c>
      <c r="M635" s="7" t="s">
        <v>238</v>
      </c>
      <c r="N635" s="7"/>
      <c r="O635" s="7"/>
    </row>
    <row r="636" customFormat="false" ht="15" hidden="false" customHeight="false" outlineLevel="0" collapsed="false">
      <c r="A636" s="7" t="s">
        <v>4947</v>
      </c>
      <c r="B636" s="10" t="n">
        <v>45739</v>
      </c>
      <c r="C636" s="7" t="s">
        <v>2083</v>
      </c>
      <c r="D636" s="7" t="s">
        <v>784</v>
      </c>
      <c r="E636" s="7" t="s">
        <v>122</v>
      </c>
      <c r="F636" s="7" t="s">
        <v>101</v>
      </c>
      <c r="G636" s="7" t="s">
        <v>123</v>
      </c>
      <c r="H636" s="7" t="n">
        <v>4</v>
      </c>
      <c r="I636" s="11" t="n">
        <v>320</v>
      </c>
      <c r="J636" s="11" t="n">
        <v>100</v>
      </c>
      <c r="K636" s="11" t="n">
        <f aca="false">H636*I636-J636</f>
        <v>1180</v>
      </c>
      <c r="L636" s="7" t="s">
        <v>112</v>
      </c>
      <c r="M636" s="7" t="s">
        <v>194</v>
      </c>
      <c r="N636" s="7" t="n">
        <v>42</v>
      </c>
      <c r="O636" s="7" t="n">
        <v>3</v>
      </c>
    </row>
    <row r="637" customFormat="false" ht="15" hidden="false" customHeight="false" outlineLevel="0" collapsed="false">
      <c r="A637" s="7" t="s">
        <v>1937</v>
      </c>
      <c r="B637" s="10" t="n">
        <v>45740</v>
      </c>
      <c r="C637" s="7" t="s">
        <v>1939</v>
      </c>
      <c r="D637" s="7" t="s">
        <v>1042</v>
      </c>
      <c r="E637" s="7" t="s">
        <v>89</v>
      </c>
      <c r="F637" s="7" t="s">
        <v>86</v>
      </c>
      <c r="G637" s="7" t="s">
        <v>90</v>
      </c>
      <c r="H637" s="7" t="n">
        <v>2</v>
      </c>
      <c r="I637" s="11" t="n">
        <v>220</v>
      </c>
      <c r="J637" s="11" t="n">
        <v>75</v>
      </c>
      <c r="K637" s="11" t="n">
        <f aca="false">H637*I637-J637</f>
        <v>365</v>
      </c>
      <c r="L637" s="7" t="s">
        <v>88</v>
      </c>
      <c r="M637" s="7" t="s">
        <v>194</v>
      </c>
      <c r="N637" s="7" t="n">
        <v>41</v>
      </c>
      <c r="O637" s="7" t="n">
        <v>4</v>
      </c>
    </row>
    <row r="638" customFormat="false" ht="15" hidden="false" customHeight="false" outlineLevel="0" collapsed="false">
      <c r="A638" s="7" t="s">
        <v>1567</v>
      </c>
      <c r="B638" s="10" t="n">
        <v>45740</v>
      </c>
      <c r="C638" s="7" t="s">
        <v>1569</v>
      </c>
      <c r="D638" s="7" t="s">
        <v>1570</v>
      </c>
      <c r="E638" s="7" t="s">
        <v>104</v>
      </c>
      <c r="F638" s="7" t="s">
        <v>86</v>
      </c>
      <c r="G638" s="7" t="s">
        <v>105</v>
      </c>
      <c r="H638" s="7" t="n">
        <v>2</v>
      </c>
      <c r="I638" s="11" t="n">
        <v>240</v>
      </c>
      <c r="J638" s="11" t="n">
        <v>0</v>
      </c>
      <c r="K638" s="11" t="n">
        <f aca="false">H638*I638-J638</f>
        <v>480</v>
      </c>
      <c r="L638" s="7" t="s">
        <v>112</v>
      </c>
      <c r="M638" s="7" t="s">
        <v>194</v>
      </c>
      <c r="N638" s="7" t="n">
        <v>49</v>
      </c>
      <c r="O638" s="7" t="n">
        <v>2</v>
      </c>
    </row>
    <row r="639" customFormat="false" ht="15" hidden="false" customHeight="false" outlineLevel="0" collapsed="false">
      <c r="A639" s="7" t="s">
        <v>3693</v>
      </c>
      <c r="B639" s="10" t="n">
        <v>45740</v>
      </c>
      <c r="C639" s="7" t="s">
        <v>1125</v>
      </c>
      <c r="D639" s="7" t="s">
        <v>3139</v>
      </c>
      <c r="E639" s="7" t="s">
        <v>116</v>
      </c>
      <c r="F639" s="7" t="s">
        <v>101</v>
      </c>
      <c r="G639" s="7" t="s">
        <v>117</v>
      </c>
      <c r="H639" s="7" t="n">
        <v>1</v>
      </c>
      <c r="I639" s="11" t="n">
        <v>135</v>
      </c>
      <c r="J639" s="11" t="n">
        <v>54</v>
      </c>
      <c r="K639" s="11" t="n">
        <f aca="false">H639*I639-J639</f>
        <v>81</v>
      </c>
      <c r="L639" s="7" t="s">
        <v>88</v>
      </c>
      <c r="M639" s="7" t="s">
        <v>194</v>
      </c>
      <c r="N639" s="7" t="n">
        <v>36</v>
      </c>
      <c r="O639" s="7" t="n">
        <v>4</v>
      </c>
    </row>
    <row r="640" customFormat="false" ht="15" hidden="false" customHeight="false" outlineLevel="0" collapsed="false">
      <c r="A640" s="7" t="s">
        <v>6059</v>
      </c>
      <c r="B640" s="10" t="n">
        <v>45740</v>
      </c>
      <c r="C640" s="7" t="s">
        <v>1118</v>
      </c>
      <c r="D640" s="7" t="s">
        <v>4163</v>
      </c>
      <c r="E640" s="7" t="s">
        <v>94</v>
      </c>
      <c r="F640" s="7" t="s">
        <v>86</v>
      </c>
      <c r="G640" s="7" t="s">
        <v>95</v>
      </c>
      <c r="H640" s="7" t="n">
        <v>1</v>
      </c>
      <c r="I640" s="11" t="n">
        <v>120</v>
      </c>
      <c r="J640" s="11" t="n">
        <v>0</v>
      </c>
      <c r="K640" s="11" t="n">
        <f aca="false">H640*I640-J640</f>
        <v>120</v>
      </c>
      <c r="L640" s="7" t="s">
        <v>103</v>
      </c>
      <c r="M640" s="7" t="s">
        <v>194</v>
      </c>
      <c r="N640" s="7" t="n">
        <v>40</v>
      </c>
      <c r="O640" s="7" t="n">
        <v>5</v>
      </c>
    </row>
    <row r="641" customFormat="false" ht="15" hidden="false" customHeight="false" outlineLevel="0" collapsed="false">
      <c r="A641" s="7" t="s">
        <v>5158</v>
      </c>
      <c r="B641" s="10" t="n">
        <v>45740</v>
      </c>
      <c r="C641" s="7" t="s">
        <v>5159</v>
      </c>
      <c r="D641" s="7" t="s">
        <v>2091</v>
      </c>
      <c r="E641" s="7" t="s">
        <v>98</v>
      </c>
      <c r="F641" s="7" t="s">
        <v>86</v>
      </c>
      <c r="G641" s="7" t="s">
        <v>99</v>
      </c>
      <c r="H641" s="7" t="n">
        <v>2</v>
      </c>
      <c r="I641" s="11" t="n">
        <v>235</v>
      </c>
      <c r="J641" s="11" t="n">
        <v>0</v>
      </c>
      <c r="K641" s="11" t="n">
        <f aca="false">H641*I641-J641</f>
        <v>470</v>
      </c>
      <c r="L641" s="7" t="s">
        <v>88</v>
      </c>
      <c r="M641" s="7" t="s">
        <v>194</v>
      </c>
      <c r="N641" s="7" t="n">
        <v>37</v>
      </c>
      <c r="O641" s="7" t="n">
        <v>5</v>
      </c>
    </row>
    <row r="642" customFormat="false" ht="15" hidden="false" customHeight="false" outlineLevel="0" collapsed="false">
      <c r="A642" s="7" t="s">
        <v>4925</v>
      </c>
      <c r="B642" s="10" t="n">
        <v>45740</v>
      </c>
      <c r="C642" s="7" t="s">
        <v>927</v>
      </c>
      <c r="D642" s="7" t="s">
        <v>1305</v>
      </c>
      <c r="E642" s="7" t="s">
        <v>161</v>
      </c>
      <c r="F642" s="7" t="s">
        <v>141</v>
      </c>
      <c r="G642" s="7" t="s">
        <v>117</v>
      </c>
      <c r="H642" s="7" t="n">
        <v>1</v>
      </c>
      <c r="I642" s="11" t="n">
        <v>130</v>
      </c>
      <c r="J642" s="11" t="n">
        <v>0</v>
      </c>
      <c r="K642" s="11" t="n">
        <f aca="false">H642*I642-J642</f>
        <v>130</v>
      </c>
      <c r="L642" s="7" t="s">
        <v>88</v>
      </c>
      <c r="M642" s="7" t="s">
        <v>194</v>
      </c>
      <c r="N642" s="7" t="n">
        <v>47</v>
      </c>
      <c r="O642" s="7" t="n">
        <v>4</v>
      </c>
    </row>
    <row r="643" customFormat="false" ht="15" hidden="false" customHeight="false" outlineLevel="0" collapsed="false">
      <c r="A643" s="7" t="s">
        <v>3848</v>
      </c>
      <c r="B643" s="10" t="n">
        <v>45740</v>
      </c>
      <c r="C643" s="7" t="s">
        <v>1211</v>
      </c>
      <c r="D643" s="7" t="s">
        <v>2651</v>
      </c>
      <c r="E643" s="7" t="s">
        <v>89</v>
      </c>
      <c r="F643" s="7" t="s">
        <v>86</v>
      </c>
      <c r="G643" s="7" t="s">
        <v>90</v>
      </c>
      <c r="H643" s="7" t="n">
        <v>2</v>
      </c>
      <c r="I643" s="11" t="n">
        <v>235</v>
      </c>
      <c r="J643" s="11" t="n">
        <v>30</v>
      </c>
      <c r="K643" s="11" t="n">
        <f aca="false">H643*I643-J643</f>
        <v>440</v>
      </c>
      <c r="L643" s="7" t="s">
        <v>103</v>
      </c>
      <c r="M643" s="7" t="s">
        <v>194</v>
      </c>
      <c r="N643" s="7" t="n">
        <v>38</v>
      </c>
      <c r="O643" s="7"/>
    </row>
    <row r="644" customFormat="false" ht="15" hidden="false" customHeight="false" outlineLevel="0" collapsed="false">
      <c r="A644" s="7" t="s">
        <v>604</v>
      </c>
      <c r="B644" s="10" t="n">
        <v>45741</v>
      </c>
      <c r="C644" s="7" t="s">
        <v>606</v>
      </c>
      <c r="D644" s="7" t="s">
        <v>607</v>
      </c>
      <c r="E644" s="7" t="s">
        <v>116</v>
      </c>
      <c r="F644" s="7" t="s">
        <v>101</v>
      </c>
      <c r="G644" s="7" t="s">
        <v>117</v>
      </c>
      <c r="H644" s="7" t="n">
        <v>3</v>
      </c>
      <c r="I644" s="11" t="n">
        <v>160</v>
      </c>
      <c r="J644" s="11" t="n">
        <v>50</v>
      </c>
      <c r="K644" s="11" t="n">
        <f aca="false">H644*I644-J644</f>
        <v>430</v>
      </c>
      <c r="L644" s="7" t="s">
        <v>88</v>
      </c>
      <c r="M644" s="7" t="s">
        <v>194</v>
      </c>
      <c r="N644" s="7" t="n">
        <v>44</v>
      </c>
      <c r="O644" s="7" t="n">
        <v>3</v>
      </c>
    </row>
    <row r="645" customFormat="false" ht="15" hidden="false" customHeight="false" outlineLevel="0" collapsed="false">
      <c r="A645" s="7" t="s">
        <v>4958</v>
      </c>
      <c r="B645" s="10" t="n">
        <v>45741</v>
      </c>
      <c r="C645" s="7" t="s">
        <v>2304</v>
      </c>
      <c r="D645" s="7" t="s">
        <v>4128</v>
      </c>
      <c r="E645" s="7" t="s">
        <v>163</v>
      </c>
      <c r="F645" s="7" t="s">
        <v>141</v>
      </c>
      <c r="G645" s="7" t="s">
        <v>99</v>
      </c>
      <c r="H645" s="7" t="n">
        <v>3</v>
      </c>
      <c r="I645" s="11" t="n">
        <v>255</v>
      </c>
      <c r="J645" s="11" t="n">
        <v>0</v>
      </c>
      <c r="K645" s="11" t="n">
        <f aca="false">H645*I645-J645</f>
        <v>765</v>
      </c>
      <c r="L645" s="7" t="s">
        <v>88</v>
      </c>
      <c r="M645" s="7" t="s">
        <v>194</v>
      </c>
      <c r="N645" s="7" t="n">
        <v>44</v>
      </c>
      <c r="O645" s="7" t="n">
        <v>4</v>
      </c>
    </row>
    <row r="646" customFormat="false" ht="15" hidden="false" customHeight="false" outlineLevel="0" collapsed="false">
      <c r="A646" s="7" t="s">
        <v>3190</v>
      </c>
      <c r="B646" s="10" t="n">
        <v>45741</v>
      </c>
      <c r="C646" s="7" t="s">
        <v>1734</v>
      </c>
      <c r="D646" s="7" t="s">
        <v>3191</v>
      </c>
      <c r="E646" s="7" t="s">
        <v>130</v>
      </c>
      <c r="F646" s="7" t="s">
        <v>110</v>
      </c>
      <c r="G646" s="7" t="s">
        <v>90</v>
      </c>
      <c r="H646" s="7" t="n">
        <v>1</v>
      </c>
      <c r="I646" s="11" t="n">
        <v>275</v>
      </c>
      <c r="J646" s="11" t="n">
        <v>0</v>
      </c>
      <c r="K646" s="11" t="n">
        <f aca="false">H646*I646-J646</f>
        <v>275</v>
      </c>
      <c r="L646" s="7" t="s">
        <v>88</v>
      </c>
      <c r="M646" s="7" t="s">
        <v>194</v>
      </c>
      <c r="N646" s="7" t="n">
        <v>28</v>
      </c>
      <c r="O646" s="7" t="n">
        <v>3</v>
      </c>
    </row>
    <row r="647" customFormat="false" ht="15" hidden="false" customHeight="false" outlineLevel="0" collapsed="false">
      <c r="A647" s="7" t="s">
        <v>2453</v>
      </c>
      <c r="B647" s="10" t="n">
        <v>45742</v>
      </c>
      <c r="C647" s="7" t="s">
        <v>2454</v>
      </c>
      <c r="D647" s="7" t="s">
        <v>487</v>
      </c>
      <c r="E647" s="7" t="s">
        <v>138</v>
      </c>
      <c r="F647" s="7" t="s">
        <v>110</v>
      </c>
      <c r="G647" s="7" t="s">
        <v>139</v>
      </c>
      <c r="H647" s="7" t="n">
        <v>2</v>
      </c>
      <c r="I647" s="11" t="n">
        <v>185</v>
      </c>
      <c r="J647" s="11" t="n">
        <v>0</v>
      </c>
      <c r="K647" s="11" t="n">
        <f aca="false">H647*I647-J647</f>
        <v>370</v>
      </c>
      <c r="L647" s="7" t="s">
        <v>93</v>
      </c>
      <c r="M647" s="7" t="s">
        <v>194</v>
      </c>
      <c r="N647" s="7" t="n">
        <v>40</v>
      </c>
      <c r="O647" s="7" t="n">
        <v>4</v>
      </c>
    </row>
    <row r="648" customFormat="false" ht="15" hidden="false" customHeight="false" outlineLevel="0" collapsed="false">
      <c r="A648" s="7" t="s">
        <v>677</v>
      </c>
      <c r="B648" s="10" t="n">
        <v>45742</v>
      </c>
      <c r="C648" s="7" t="s">
        <v>679</v>
      </c>
      <c r="D648" s="7" t="s">
        <v>680</v>
      </c>
      <c r="E648" s="7" t="s">
        <v>134</v>
      </c>
      <c r="F648" s="7" t="s">
        <v>110</v>
      </c>
      <c r="G648" s="7" t="s">
        <v>117</v>
      </c>
      <c r="H648" s="7" t="n">
        <v>4</v>
      </c>
      <c r="I648" s="11" t="n">
        <v>110</v>
      </c>
      <c r="J648" s="11" t="n">
        <v>50</v>
      </c>
      <c r="K648" s="11" t="n">
        <f aca="false">H648*I648-J648</f>
        <v>390</v>
      </c>
      <c r="L648" s="7" t="s">
        <v>121</v>
      </c>
      <c r="M648" s="7" t="s">
        <v>194</v>
      </c>
      <c r="N648" s="7" t="n">
        <v>32</v>
      </c>
      <c r="O648" s="7" t="n">
        <v>5</v>
      </c>
    </row>
    <row r="649" customFormat="false" ht="15" hidden="false" customHeight="false" outlineLevel="0" collapsed="false">
      <c r="A649" s="7" t="s">
        <v>4465</v>
      </c>
      <c r="B649" s="10" t="n">
        <v>45742</v>
      </c>
      <c r="C649" s="7" t="s">
        <v>720</v>
      </c>
      <c r="D649" s="7" t="s">
        <v>1232</v>
      </c>
      <c r="E649" s="7" t="s">
        <v>94</v>
      </c>
      <c r="F649" s="7" t="s">
        <v>86</v>
      </c>
      <c r="G649" s="7" t="s">
        <v>95</v>
      </c>
      <c r="H649" s="7" t="n">
        <v>1</v>
      </c>
      <c r="I649" s="11" t="n">
        <v>120</v>
      </c>
      <c r="J649" s="11" t="n">
        <v>0</v>
      </c>
      <c r="K649" s="11" t="n">
        <f aca="false">H649*I649-J649</f>
        <v>120</v>
      </c>
      <c r="L649" s="7" t="s">
        <v>133</v>
      </c>
      <c r="M649" s="7" t="s">
        <v>194</v>
      </c>
      <c r="N649" s="7" t="n">
        <v>43</v>
      </c>
      <c r="O649" s="7" t="n">
        <v>3</v>
      </c>
    </row>
    <row r="650" customFormat="false" ht="15" hidden="false" customHeight="false" outlineLevel="0" collapsed="false">
      <c r="A650" s="7" t="s">
        <v>2340</v>
      </c>
      <c r="B650" s="10" t="n">
        <v>45742</v>
      </c>
      <c r="C650" s="7" t="s">
        <v>2341</v>
      </c>
      <c r="D650" s="7" t="s">
        <v>2342</v>
      </c>
      <c r="E650" s="7" t="s">
        <v>94</v>
      </c>
      <c r="F650" s="7" t="s">
        <v>86</v>
      </c>
      <c r="G650" s="7" t="s">
        <v>95</v>
      </c>
      <c r="H650" s="7" t="n">
        <v>3</v>
      </c>
      <c r="I650" s="11" t="n">
        <v>120</v>
      </c>
      <c r="J650" s="11" t="n">
        <v>0</v>
      </c>
      <c r="K650" s="11" t="n">
        <f aca="false">H650*I650-J650</f>
        <v>360</v>
      </c>
      <c r="L650" s="7" t="s">
        <v>88</v>
      </c>
      <c r="M650" s="7" t="s">
        <v>194</v>
      </c>
      <c r="N650" s="7" t="n">
        <v>39</v>
      </c>
      <c r="O650" s="7" t="n">
        <v>4</v>
      </c>
    </row>
    <row r="651" customFormat="false" ht="15" hidden="false" customHeight="false" outlineLevel="0" collapsed="false">
      <c r="A651" s="7" t="s">
        <v>5049</v>
      </c>
      <c r="B651" s="10" t="n">
        <v>45742</v>
      </c>
      <c r="C651" s="7" t="s">
        <v>1472</v>
      </c>
      <c r="D651" s="7" t="s">
        <v>2540</v>
      </c>
      <c r="E651" s="7" t="s">
        <v>147</v>
      </c>
      <c r="F651" s="7" t="s">
        <v>119</v>
      </c>
      <c r="G651" s="7" t="s">
        <v>95</v>
      </c>
      <c r="H651" s="7" t="n">
        <v>1</v>
      </c>
      <c r="I651" s="11" t="n">
        <v>160</v>
      </c>
      <c r="J651" s="11" t="n">
        <v>64</v>
      </c>
      <c r="K651" s="11" t="n">
        <f aca="false">H651*I651-J651</f>
        <v>96</v>
      </c>
      <c r="L651" s="7" t="s">
        <v>112</v>
      </c>
      <c r="M651" s="7" t="s">
        <v>194</v>
      </c>
      <c r="N651" s="7" t="n">
        <v>34</v>
      </c>
      <c r="O651" s="7" t="n">
        <v>4</v>
      </c>
    </row>
    <row r="652" customFormat="false" ht="15" hidden="false" customHeight="false" outlineLevel="0" collapsed="false">
      <c r="A652" s="7" t="s">
        <v>708</v>
      </c>
      <c r="B652" s="10" t="n">
        <v>45742</v>
      </c>
      <c r="C652" s="7" t="s">
        <v>709</v>
      </c>
      <c r="D652" s="7" t="s">
        <v>710</v>
      </c>
      <c r="E652" s="7" t="s">
        <v>113</v>
      </c>
      <c r="F652" s="7" t="s">
        <v>101</v>
      </c>
      <c r="G652" s="7" t="s">
        <v>90</v>
      </c>
      <c r="H652" s="7" t="n">
        <v>4</v>
      </c>
      <c r="I652" s="11" t="n">
        <v>270</v>
      </c>
      <c r="J652" s="11" t="n">
        <v>50</v>
      </c>
      <c r="K652" s="11" t="n">
        <f aca="false">H652*I652-J652</f>
        <v>1030</v>
      </c>
      <c r="L652" s="7" t="s">
        <v>88</v>
      </c>
      <c r="M652" s="7" t="s">
        <v>194</v>
      </c>
      <c r="N652" s="7" t="n">
        <v>46</v>
      </c>
      <c r="O652" s="7" t="n">
        <v>4</v>
      </c>
    </row>
    <row r="653" customFormat="false" ht="15" hidden="false" customHeight="false" outlineLevel="0" collapsed="false">
      <c r="A653" s="7" t="s">
        <v>2936</v>
      </c>
      <c r="B653" s="10" t="n">
        <v>45742</v>
      </c>
      <c r="C653" s="7" t="s">
        <v>268</v>
      </c>
      <c r="D653" s="7" t="s">
        <v>948</v>
      </c>
      <c r="E653" s="7" t="s">
        <v>98</v>
      </c>
      <c r="F653" s="7" t="s">
        <v>86</v>
      </c>
      <c r="G653" s="7" t="s">
        <v>99</v>
      </c>
      <c r="H653" s="7" t="n">
        <v>1</v>
      </c>
      <c r="I653" s="11" t="n">
        <v>280</v>
      </c>
      <c r="J653" s="11" t="n">
        <v>75</v>
      </c>
      <c r="K653" s="11" t="n">
        <f aca="false">H653*I653-J653</f>
        <v>205</v>
      </c>
      <c r="L653" s="7" t="s">
        <v>88</v>
      </c>
      <c r="M653" s="7" t="s">
        <v>194</v>
      </c>
      <c r="N653" s="7" t="n">
        <v>45</v>
      </c>
      <c r="O653" s="7" t="n">
        <v>4</v>
      </c>
    </row>
    <row r="654" customFormat="false" ht="15" hidden="false" customHeight="false" outlineLevel="0" collapsed="false">
      <c r="A654" s="7" t="s">
        <v>3790</v>
      </c>
      <c r="B654" s="10" t="n">
        <v>45742</v>
      </c>
      <c r="C654" s="7" t="s">
        <v>3791</v>
      </c>
      <c r="D654" s="7" t="s">
        <v>3792</v>
      </c>
      <c r="E654" s="7" t="s">
        <v>134</v>
      </c>
      <c r="F654" s="7" t="s">
        <v>110</v>
      </c>
      <c r="G654" s="7" t="s">
        <v>117</v>
      </c>
      <c r="H654" s="7" t="n">
        <v>2</v>
      </c>
      <c r="I654" s="11" t="n">
        <v>110</v>
      </c>
      <c r="J654" s="11" t="n">
        <v>0</v>
      </c>
      <c r="K654" s="11" t="n">
        <f aca="false">H654*I654-J654</f>
        <v>220</v>
      </c>
      <c r="L654" s="7" t="s">
        <v>88</v>
      </c>
      <c r="M654" s="7" t="s">
        <v>194</v>
      </c>
      <c r="N654" s="7" t="n">
        <v>53</v>
      </c>
      <c r="O654" s="7" t="n">
        <v>4</v>
      </c>
    </row>
    <row r="655" customFormat="false" ht="15" hidden="false" customHeight="false" outlineLevel="0" collapsed="false">
      <c r="A655" s="7" t="s">
        <v>712</v>
      </c>
      <c r="B655" s="10" t="n">
        <v>45742</v>
      </c>
      <c r="C655" s="7" t="s">
        <v>447</v>
      </c>
      <c r="D655" s="7" t="s">
        <v>713</v>
      </c>
      <c r="E655" s="7" t="s">
        <v>116</v>
      </c>
      <c r="F655" s="7" t="s">
        <v>101</v>
      </c>
      <c r="G655" s="7" t="s">
        <v>117</v>
      </c>
      <c r="H655" s="7" t="n">
        <v>4</v>
      </c>
      <c r="I655" s="11" t="n">
        <v>155</v>
      </c>
      <c r="J655" s="11" t="n">
        <v>100</v>
      </c>
      <c r="K655" s="11" t="n">
        <f aca="false">H655*I655-J655</f>
        <v>520</v>
      </c>
      <c r="L655" s="7" t="s">
        <v>88</v>
      </c>
      <c r="M655" s="7" t="s">
        <v>194</v>
      </c>
      <c r="N655" s="7" t="n">
        <v>47</v>
      </c>
      <c r="O655" s="7" t="n">
        <v>2</v>
      </c>
    </row>
    <row r="656" customFormat="false" ht="15" hidden="false" customHeight="false" outlineLevel="0" collapsed="false">
      <c r="A656" s="7" t="s">
        <v>2082</v>
      </c>
      <c r="B656" s="10" t="n">
        <v>45742</v>
      </c>
      <c r="C656" s="7" t="s">
        <v>2083</v>
      </c>
      <c r="D656" s="7" t="s">
        <v>1513</v>
      </c>
      <c r="E656" s="7" t="s">
        <v>142</v>
      </c>
      <c r="F656" s="7" t="s">
        <v>110</v>
      </c>
      <c r="G656" s="7" t="s">
        <v>105</v>
      </c>
      <c r="H656" s="7" t="n">
        <v>2</v>
      </c>
      <c r="I656" s="11" t="n">
        <v>135</v>
      </c>
      <c r="J656" s="11" t="n">
        <v>0</v>
      </c>
      <c r="K656" s="11" t="n">
        <f aca="false">H656*I656-J656</f>
        <v>270</v>
      </c>
      <c r="L656" s="7" t="s">
        <v>133</v>
      </c>
      <c r="M656" s="7" t="s">
        <v>194</v>
      </c>
      <c r="N656" s="7" t="n">
        <v>36</v>
      </c>
      <c r="O656" s="7" t="n">
        <v>5</v>
      </c>
    </row>
    <row r="657" customFormat="false" ht="15" hidden="false" customHeight="false" outlineLevel="0" collapsed="false">
      <c r="A657" s="7" t="s">
        <v>4633</v>
      </c>
      <c r="B657" s="10" t="n">
        <v>45743</v>
      </c>
      <c r="C657" s="7" t="s">
        <v>4634</v>
      </c>
      <c r="D657" s="7" t="s">
        <v>2066</v>
      </c>
      <c r="E657" s="7" t="s">
        <v>113</v>
      </c>
      <c r="F657" s="7" t="s">
        <v>101</v>
      </c>
      <c r="G657" s="7" t="s">
        <v>90</v>
      </c>
      <c r="H657" s="7" t="n">
        <v>1</v>
      </c>
      <c r="I657" s="11" t="n">
        <v>270</v>
      </c>
      <c r="J657" s="11" t="n">
        <v>0</v>
      </c>
      <c r="K657" s="11" t="n">
        <f aca="false">H657*I657-J657</f>
        <v>270</v>
      </c>
      <c r="L657" s="7" t="s">
        <v>112</v>
      </c>
      <c r="M657" s="7" t="s">
        <v>194</v>
      </c>
      <c r="N657" s="7" t="n">
        <v>51</v>
      </c>
      <c r="O657" s="7" t="n">
        <v>2</v>
      </c>
    </row>
    <row r="658" customFormat="false" ht="15" hidden="false" customHeight="false" outlineLevel="0" collapsed="false">
      <c r="A658" s="7" t="s">
        <v>1461</v>
      </c>
      <c r="B658" s="10" t="n">
        <v>45743</v>
      </c>
      <c r="C658" s="7" t="s">
        <v>661</v>
      </c>
      <c r="D658" s="7" t="s">
        <v>1462</v>
      </c>
      <c r="E658" s="7" t="s">
        <v>159</v>
      </c>
      <c r="F658" s="7" t="s">
        <v>136</v>
      </c>
      <c r="G658" s="7" t="s">
        <v>90</v>
      </c>
      <c r="H658" s="7" t="n">
        <v>1</v>
      </c>
      <c r="I658" s="11" t="n">
        <v>230</v>
      </c>
      <c r="J658" s="11" t="n">
        <v>50</v>
      </c>
      <c r="K658" s="11" t="n">
        <f aca="false">H658*I658-J658</f>
        <v>180</v>
      </c>
      <c r="L658" s="7" t="s">
        <v>112</v>
      </c>
      <c r="M658" s="7" t="s">
        <v>194</v>
      </c>
      <c r="N658" s="7" t="n">
        <v>18</v>
      </c>
      <c r="O658" s="7" t="n">
        <v>4</v>
      </c>
    </row>
    <row r="659" customFormat="false" ht="15" hidden="false" customHeight="false" outlineLevel="0" collapsed="false">
      <c r="A659" s="7" t="s">
        <v>5048</v>
      </c>
      <c r="B659" s="10" t="n">
        <v>45743</v>
      </c>
      <c r="C659" s="7" t="s">
        <v>218</v>
      </c>
      <c r="D659" s="7" t="s">
        <v>1006</v>
      </c>
      <c r="E659" s="7" t="s">
        <v>144</v>
      </c>
      <c r="F659" s="7" t="s">
        <v>119</v>
      </c>
      <c r="G659" s="7" t="s">
        <v>99</v>
      </c>
      <c r="H659" s="7" t="n">
        <v>2</v>
      </c>
      <c r="I659" s="11" t="n">
        <v>300</v>
      </c>
      <c r="J659" s="11" t="n">
        <v>0</v>
      </c>
      <c r="K659" s="11" t="n">
        <f aca="false">H659*I659-J659</f>
        <v>600</v>
      </c>
      <c r="L659" s="7" t="s">
        <v>88</v>
      </c>
      <c r="M659" s="7" t="s">
        <v>194</v>
      </c>
      <c r="N659" s="7" t="n">
        <v>36</v>
      </c>
      <c r="O659" s="7" t="n">
        <v>5</v>
      </c>
    </row>
    <row r="660" customFormat="false" ht="15" hidden="false" customHeight="false" outlineLevel="0" collapsed="false">
      <c r="A660" s="7" t="s">
        <v>189</v>
      </c>
      <c r="B660" s="10" t="n">
        <v>45743</v>
      </c>
      <c r="C660" s="7" t="s">
        <v>191</v>
      </c>
      <c r="D660" s="7" t="s">
        <v>192</v>
      </c>
      <c r="E660" s="7" t="s">
        <v>149</v>
      </c>
      <c r="F660" s="7" t="s">
        <v>119</v>
      </c>
      <c r="G660" s="7" t="s">
        <v>150</v>
      </c>
      <c r="H660" s="7" t="n">
        <v>2</v>
      </c>
      <c r="I660" s="11" t="n">
        <v>180</v>
      </c>
      <c r="J660" s="11" t="n">
        <v>0</v>
      </c>
      <c r="K660" s="11" t="n">
        <f aca="false">H660*I660-J660</f>
        <v>360</v>
      </c>
      <c r="L660" s="7" t="s">
        <v>88</v>
      </c>
      <c r="M660" s="7" t="s">
        <v>194</v>
      </c>
      <c r="N660" s="7" t="n">
        <v>17</v>
      </c>
      <c r="O660" s="7" t="n">
        <v>5</v>
      </c>
    </row>
    <row r="661" customFormat="false" ht="15" hidden="false" customHeight="false" outlineLevel="0" collapsed="false">
      <c r="A661" s="7" t="s">
        <v>4613</v>
      </c>
      <c r="B661" s="10" t="n">
        <v>45743</v>
      </c>
      <c r="C661" s="7" t="s">
        <v>622</v>
      </c>
      <c r="D661" s="7" t="s">
        <v>1974</v>
      </c>
      <c r="E661" s="7" t="s">
        <v>138</v>
      </c>
      <c r="F661" s="7" t="s">
        <v>110</v>
      </c>
      <c r="G661" s="7" t="s">
        <v>139</v>
      </c>
      <c r="H661" s="7" t="n">
        <v>1</v>
      </c>
      <c r="I661" s="11" t="n">
        <v>180</v>
      </c>
      <c r="J661" s="11" t="n">
        <v>0</v>
      </c>
      <c r="K661" s="11" t="n">
        <f aca="false">H661*I661-J661</f>
        <v>180</v>
      </c>
      <c r="L661" s="7" t="s">
        <v>133</v>
      </c>
      <c r="M661" s="7" t="s">
        <v>194</v>
      </c>
      <c r="N661" s="7" t="n">
        <v>44</v>
      </c>
      <c r="O661" s="7" t="n">
        <v>3</v>
      </c>
    </row>
    <row r="662" customFormat="false" ht="15" hidden="false" customHeight="false" outlineLevel="0" collapsed="false">
      <c r="A662" s="7" t="s">
        <v>2221</v>
      </c>
      <c r="B662" s="10" t="n">
        <v>45743</v>
      </c>
      <c r="C662" s="7" t="s">
        <v>638</v>
      </c>
      <c r="D662" s="7" t="s">
        <v>607</v>
      </c>
      <c r="E662" s="7" t="s">
        <v>113</v>
      </c>
      <c r="F662" s="7" t="s">
        <v>101</v>
      </c>
      <c r="G662" s="7" t="s">
        <v>90</v>
      </c>
      <c r="H662" s="7" t="n">
        <v>2</v>
      </c>
      <c r="I662" s="11" t="n">
        <v>260</v>
      </c>
      <c r="J662" s="11" t="n">
        <v>75</v>
      </c>
      <c r="K662" s="11" t="n">
        <f aca="false">H662*I662-J662</f>
        <v>445</v>
      </c>
      <c r="L662" s="7" t="s">
        <v>112</v>
      </c>
      <c r="M662" s="7" t="s">
        <v>194</v>
      </c>
      <c r="N662" s="7" t="n">
        <v>42</v>
      </c>
      <c r="O662" s="7" t="n">
        <v>4</v>
      </c>
    </row>
    <row r="663" customFormat="false" ht="15" hidden="false" customHeight="false" outlineLevel="0" collapsed="false">
      <c r="A663" s="7" t="s">
        <v>4507</v>
      </c>
      <c r="B663" s="10" t="n">
        <v>45743</v>
      </c>
      <c r="C663" s="7" t="s">
        <v>1817</v>
      </c>
      <c r="D663" s="7" t="s">
        <v>884</v>
      </c>
      <c r="E663" s="7" t="s">
        <v>147</v>
      </c>
      <c r="F663" s="7" t="s">
        <v>119</v>
      </c>
      <c r="G663" s="7" t="s">
        <v>95</v>
      </c>
      <c r="H663" s="7" t="n">
        <v>2</v>
      </c>
      <c r="I663" s="11" t="n">
        <v>135</v>
      </c>
      <c r="J663" s="11" t="n">
        <v>0</v>
      </c>
      <c r="K663" s="11" t="n">
        <f aca="false">H663*I663-J663</f>
        <v>270</v>
      </c>
      <c r="L663" s="7" t="s">
        <v>133</v>
      </c>
      <c r="M663" s="7" t="s">
        <v>194</v>
      </c>
      <c r="N663" s="7" t="n">
        <v>28</v>
      </c>
      <c r="O663" s="7" t="n">
        <v>5</v>
      </c>
    </row>
    <row r="664" customFormat="false" ht="15" hidden="false" customHeight="false" outlineLevel="0" collapsed="false">
      <c r="A664" s="7" t="s">
        <v>3589</v>
      </c>
      <c r="B664" s="10" t="n">
        <v>45743</v>
      </c>
      <c r="C664" s="7" t="s">
        <v>1635</v>
      </c>
      <c r="D664" s="7" t="s">
        <v>2077</v>
      </c>
      <c r="E664" s="7" t="s">
        <v>122</v>
      </c>
      <c r="F664" s="7" t="s">
        <v>101</v>
      </c>
      <c r="G664" s="7" t="s">
        <v>123</v>
      </c>
      <c r="H664" s="7" t="n">
        <v>1</v>
      </c>
      <c r="I664" s="11" t="n">
        <v>375</v>
      </c>
      <c r="J664" s="11" t="n">
        <v>0</v>
      </c>
      <c r="K664" s="11" t="n">
        <f aca="false">H664*I664-J664</f>
        <v>375</v>
      </c>
      <c r="L664" s="7" t="s">
        <v>88</v>
      </c>
      <c r="M664" s="7" t="s">
        <v>194</v>
      </c>
      <c r="N664" s="7" t="n">
        <v>33</v>
      </c>
      <c r="O664" s="7" t="n">
        <v>4</v>
      </c>
    </row>
    <row r="665" customFormat="false" ht="15" hidden="false" customHeight="false" outlineLevel="0" collapsed="false">
      <c r="A665" s="7" t="s">
        <v>5258</v>
      </c>
      <c r="B665" s="10" t="n">
        <v>45743</v>
      </c>
      <c r="C665" s="7" t="s">
        <v>5192</v>
      </c>
      <c r="D665" s="7" t="s">
        <v>3500</v>
      </c>
      <c r="E665" s="7" t="s">
        <v>152</v>
      </c>
      <c r="F665" s="7" t="s">
        <v>128</v>
      </c>
      <c r="G665" s="7" t="s">
        <v>95</v>
      </c>
      <c r="H665" s="7" t="n">
        <v>5</v>
      </c>
      <c r="I665" s="11" t="n">
        <v>100</v>
      </c>
      <c r="J665" s="11" t="n">
        <v>150</v>
      </c>
      <c r="K665" s="11" t="n">
        <f aca="false">H665*I665-J665</f>
        <v>350</v>
      </c>
      <c r="L665" s="7" t="s">
        <v>88</v>
      </c>
      <c r="M665" s="7" t="s">
        <v>194</v>
      </c>
      <c r="N665" s="7" t="n">
        <v>33</v>
      </c>
      <c r="O665" s="7" t="n">
        <v>3</v>
      </c>
    </row>
    <row r="666" customFormat="false" ht="15" hidden="false" customHeight="false" outlineLevel="0" collapsed="false">
      <c r="A666" s="7" t="s">
        <v>4876</v>
      </c>
      <c r="B666" s="10" t="n">
        <v>45744</v>
      </c>
      <c r="C666" s="7" t="s">
        <v>4877</v>
      </c>
      <c r="D666" s="7" t="s">
        <v>1627</v>
      </c>
      <c r="E666" s="7" t="s">
        <v>158</v>
      </c>
      <c r="F666" s="7" t="s">
        <v>136</v>
      </c>
      <c r="G666" s="7" t="s">
        <v>139</v>
      </c>
      <c r="H666" s="7" t="n">
        <v>4</v>
      </c>
      <c r="I666" s="11" t="n">
        <v>190</v>
      </c>
      <c r="J666" s="11" t="n">
        <v>75</v>
      </c>
      <c r="K666" s="11" t="n">
        <f aca="false">H666*I666-J666</f>
        <v>685</v>
      </c>
      <c r="L666" s="7" t="s">
        <v>133</v>
      </c>
      <c r="M666" s="7" t="s">
        <v>194</v>
      </c>
      <c r="N666" s="7" t="n">
        <v>29</v>
      </c>
      <c r="O666" s="7" t="n">
        <v>3</v>
      </c>
    </row>
    <row r="667" customFormat="false" ht="15" hidden="false" customHeight="false" outlineLevel="0" collapsed="false">
      <c r="A667" s="7" t="s">
        <v>2711</v>
      </c>
      <c r="B667" s="10" t="n">
        <v>45744</v>
      </c>
      <c r="C667" s="7" t="s">
        <v>1438</v>
      </c>
      <c r="D667" s="7" t="s">
        <v>851</v>
      </c>
      <c r="E667" s="7" t="s">
        <v>130</v>
      </c>
      <c r="F667" s="7" t="s">
        <v>110</v>
      </c>
      <c r="G667" s="7" t="s">
        <v>90</v>
      </c>
      <c r="H667" s="7" t="n">
        <v>2</v>
      </c>
      <c r="I667" s="11" t="n">
        <v>235</v>
      </c>
      <c r="J667" s="11" t="n">
        <v>50</v>
      </c>
      <c r="K667" s="11" t="n">
        <f aca="false">H667*I667-J667</f>
        <v>420</v>
      </c>
      <c r="L667" s="7" t="s">
        <v>88</v>
      </c>
      <c r="M667" s="7" t="s">
        <v>194</v>
      </c>
      <c r="N667" s="7" t="n">
        <v>43</v>
      </c>
      <c r="O667" s="7" t="n">
        <v>3</v>
      </c>
    </row>
    <row r="668" customFormat="false" ht="15" hidden="false" customHeight="false" outlineLevel="0" collapsed="false">
      <c r="A668" s="7" t="s">
        <v>5612</v>
      </c>
      <c r="B668" s="10" t="n">
        <v>45744</v>
      </c>
      <c r="C668" s="7" t="s">
        <v>3537</v>
      </c>
      <c r="D668" s="7" t="s">
        <v>592</v>
      </c>
      <c r="E668" s="7" t="s">
        <v>138</v>
      </c>
      <c r="F668" s="7" t="s">
        <v>110</v>
      </c>
      <c r="G668" s="7" t="s">
        <v>139</v>
      </c>
      <c r="H668" s="7" t="n">
        <v>2</v>
      </c>
      <c r="I668" s="11" t="n">
        <v>160</v>
      </c>
      <c r="J668" s="11" t="n">
        <v>0</v>
      </c>
      <c r="K668" s="11" t="n">
        <f aca="false">H668*I668-J668</f>
        <v>320</v>
      </c>
      <c r="L668" s="7" t="s">
        <v>103</v>
      </c>
      <c r="M668" s="7" t="s">
        <v>238</v>
      </c>
      <c r="N668" s="7"/>
      <c r="O668" s="7"/>
    </row>
    <row r="669" customFormat="false" ht="15" hidden="false" customHeight="false" outlineLevel="0" collapsed="false">
      <c r="A669" s="7" t="s">
        <v>4264</v>
      </c>
      <c r="B669" s="10" t="n">
        <v>45744</v>
      </c>
      <c r="C669" s="7" t="s">
        <v>1741</v>
      </c>
      <c r="D669" s="7" t="s">
        <v>4265</v>
      </c>
      <c r="E669" s="7" t="s">
        <v>113</v>
      </c>
      <c r="F669" s="7" t="s">
        <v>101</v>
      </c>
      <c r="G669" s="7" t="s">
        <v>90</v>
      </c>
      <c r="H669" s="7" t="n">
        <v>2</v>
      </c>
      <c r="I669" s="11" t="n">
        <v>220</v>
      </c>
      <c r="J669" s="11" t="n">
        <v>0</v>
      </c>
      <c r="K669" s="11" t="n">
        <f aca="false">H669*I669-J669</f>
        <v>440</v>
      </c>
      <c r="L669" s="7" t="s">
        <v>88</v>
      </c>
      <c r="M669" s="7" t="s">
        <v>238</v>
      </c>
      <c r="N669" s="7"/>
      <c r="O669" s="7"/>
    </row>
    <row r="670" customFormat="false" ht="15" hidden="false" customHeight="false" outlineLevel="0" collapsed="false">
      <c r="A670" s="7" t="s">
        <v>1892</v>
      </c>
      <c r="B670" s="10" t="n">
        <v>45744</v>
      </c>
      <c r="C670" s="7" t="s">
        <v>1615</v>
      </c>
      <c r="D670" s="7" t="s">
        <v>997</v>
      </c>
      <c r="E670" s="7" t="s">
        <v>113</v>
      </c>
      <c r="F670" s="7" t="s">
        <v>101</v>
      </c>
      <c r="G670" s="7" t="s">
        <v>90</v>
      </c>
      <c r="H670" s="7" t="n">
        <v>1</v>
      </c>
      <c r="I670" s="11" t="n">
        <v>240</v>
      </c>
      <c r="J670" s="11" t="n">
        <v>0</v>
      </c>
      <c r="K670" s="11" t="n">
        <f aca="false">H670*I670-J670</f>
        <v>240</v>
      </c>
      <c r="L670" s="7" t="s">
        <v>88</v>
      </c>
      <c r="M670" s="7" t="s">
        <v>194</v>
      </c>
      <c r="N670" s="7" t="n">
        <v>41</v>
      </c>
      <c r="O670" s="7" t="n">
        <v>4</v>
      </c>
    </row>
    <row r="671" customFormat="false" ht="15" hidden="false" customHeight="false" outlineLevel="0" collapsed="false">
      <c r="A671" s="7" t="s">
        <v>5230</v>
      </c>
      <c r="B671" s="10" t="n">
        <v>45744</v>
      </c>
      <c r="C671" s="7" t="s">
        <v>5231</v>
      </c>
      <c r="D671" s="7" t="s">
        <v>444</v>
      </c>
      <c r="E671" s="7" t="s">
        <v>144</v>
      </c>
      <c r="F671" s="7" t="s">
        <v>119</v>
      </c>
      <c r="G671" s="7" t="s">
        <v>99</v>
      </c>
      <c r="H671" s="7" t="n">
        <v>2</v>
      </c>
      <c r="I671" s="11" t="n">
        <v>335</v>
      </c>
      <c r="J671" s="11" t="n">
        <v>0</v>
      </c>
      <c r="K671" s="11" t="n">
        <f aca="false">H671*I671-J671</f>
        <v>670</v>
      </c>
      <c r="L671" s="7" t="s">
        <v>93</v>
      </c>
      <c r="M671" s="7" t="s">
        <v>194</v>
      </c>
      <c r="N671" s="7" t="n">
        <v>44</v>
      </c>
      <c r="O671" s="7" t="n">
        <v>4</v>
      </c>
    </row>
    <row r="672" customFormat="false" ht="15" hidden="false" customHeight="false" outlineLevel="0" collapsed="false">
      <c r="A672" s="7" t="s">
        <v>4658</v>
      </c>
      <c r="B672" s="10" t="n">
        <v>45744</v>
      </c>
      <c r="C672" s="7" t="s">
        <v>1734</v>
      </c>
      <c r="D672" s="7" t="s">
        <v>1878</v>
      </c>
      <c r="E672" s="7" t="s">
        <v>134</v>
      </c>
      <c r="F672" s="7" t="s">
        <v>110</v>
      </c>
      <c r="G672" s="7" t="s">
        <v>117</v>
      </c>
      <c r="H672" s="7" t="n">
        <v>2</v>
      </c>
      <c r="I672" s="11" t="n">
        <v>85</v>
      </c>
      <c r="J672" s="11" t="n">
        <v>0</v>
      </c>
      <c r="K672" s="11" t="n">
        <f aca="false">H672*I672-J672</f>
        <v>170</v>
      </c>
      <c r="L672" s="7" t="s">
        <v>93</v>
      </c>
      <c r="M672" s="7" t="s">
        <v>194</v>
      </c>
      <c r="N672" s="7" t="n">
        <v>39</v>
      </c>
      <c r="O672" s="7" t="n">
        <v>4</v>
      </c>
    </row>
    <row r="673" customFormat="false" ht="15" hidden="false" customHeight="false" outlineLevel="0" collapsed="false">
      <c r="A673" s="7" t="s">
        <v>2601</v>
      </c>
      <c r="B673" s="10" t="n">
        <v>45744</v>
      </c>
      <c r="C673" s="7" t="s">
        <v>2602</v>
      </c>
      <c r="D673" s="7" t="s">
        <v>1172</v>
      </c>
      <c r="E673" s="7" t="s">
        <v>138</v>
      </c>
      <c r="F673" s="7" t="s">
        <v>110</v>
      </c>
      <c r="G673" s="7" t="s">
        <v>139</v>
      </c>
      <c r="H673" s="7" t="n">
        <v>1</v>
      </c>
      <c r="I673" s="11" t="n">
        <v>185</v>
      </c>
      <c r="J673" s="11" t="n">
        <v>0</v>
      </c>
      <c r="K673" s="11" t="n">
        <f aca="false">H673*I673-J673</f>
        <v>185</v>
      </c>
      <c r="L673" s="7" t="s">
        <v>121</v>
      </c>
      <c r="M673" s="7" t="s">
        <v>194</v>
      </c>
      <c r="N673" s="7" t="n">
        <v>37</v>
      </c>
      <c r="O673" s="7" t="n">
        <v>3</v>
      </c>
    </row>
    <row r="674" customFormat="false" ht="15" hidden="false" customHeight="false" outlineLevel="0" collapsed="false">
      <c r="A674" s="7" t="s">
        <v>3430</v>
      </c>
      <c r="B674" s="10" t="n">
        <v>45744</v>
      </c>
      <c r="C674" s="7" t="s">
        <v>1805</v>
      </c>
      <c r="D674" s="7" t="s">
        <v>3431</v>
      </c>
      <c r="E674" s="7" t="s">
        <v>151</v>
      </c>
      <c r="F674" s="7" t="s">
        <v>128</v>
      </c>
      <c r="G674" s="7" t="s">
        <v>95</v>
      </c>
      <c r="H674" s="7" t="n">
        <v>2</v>
      </c>
      <c r="I674" s="11" t="n">
        <v>205</v>
      </c>
      <c r="J674" s="11" t="n">
        <v>40</v>
      </c>
      <c r="K674" s="11" t="n">
        <f aca="false">H674*I674-J674</f>
        <v>370</v>
      </c>
      <c r="L674" s="7" t="s">
        <v>112</v>
      </c>
      <c r="M674" s="7" t="s">
        <v>194</v>
      </c>
      <c r="N674" s="7" t="n">
        <v>24</v>
      </c>
      <c r="O674" s="7" t="n">
        <v>5</v>
      </c>
    </row>
    <row r="675" customFormat="false" ht="15" hidden="false" customHeight="false" outlineLevel="0" collapsed="false">
      <c r="A675" s="7" t="s">
        <v>5455</v>
      </c>
      <c r="B675" s="10" t="n">
        <v>45744</v>
      </c>
      <c r="C675" s="7" t="s">
        <v>2644</v>
      </c>
      <c r="D675" s="7" t="s">
        <v>4891</v>
      </c>
      <c r="E675" s="7" t="s">
        <v>144</v>
      </c>
      <c r="F675" s="7" t="s">
        <v>119</v>
      </c>
      <c r="G675" s="7" t="s">
        <v>99</v>
      </c>
      <c r="H675" s="7" t="n">
        <v>1</v>
      </c>
      <c r="I675" s="11" t="n">
        <v>370</v>
      </c>
      <c r="J675" s="11" t="n">
        <v>0</v>
      </c>
      <c r="K675" s="11" t="n">
        <f aca="false">H675*I675-J675</f>
        <v>370</v>
      </c>
      <c r="L675" s="7" t="s">
        <v>133</v>
      </c>
      <c r="M675" s="7" t="s">
        <v>194</v>
      </c>
      <c r="N675" s="7" t="n">
        <v>43</v>
      </c>
      <c r="O675" s="7" t="n">
        <v>4</v>
      </c>
    </row>
    <row r="676" customFormat="false" ht="15" hidden="false" customHeight="false" outlineLevel="0" collapsed="false">
      <c r="A676" s="7" t="s">
        <v>1717</v>
      </c>
      <c r="B676" s="10" t="n">
        <v>45744</v>
      </c>
      <c r="C676" s="7" t="s">
        <v>1718</v>
      </c>
      <c r="D676" s="7" t="s">
        <v>1719</v>
      </c>
      <c r="E676" s="7" t="s">
        <v>130</v>
      </c>
      <c r="F676" s="7" t="s">
        <v>110</v>
      </c>
      <c r="G676" s="7" t="s">
        <v>90</v>
      </c>
      <c r="H676" s="7" t="n">
        <v>3</v>
      </c>
      <c r="I676" s="11" t="n">
        <v>285</v>
      </c>
      <c r="J676" s="11" t="n">
        <v>0</v>
      </c>
      <c r="K676" s="11" t="n">
        <f aca="false">H676*I676-J676</f>
        <v>855</v>
      </c>
      <c r="L676" s="7" t="s">
        <v>88</v>
      </c>
      <c r="M676" s="7" t="s">
        <v>194</v>
      </c>
      <c r="N676" s="7" t="n">
        <v>30</v>
      </c>
      <c r="O676" s="7" t="n">
        <v>4</v>
      </c>
    </row>
    <row r="677" customFormat="false" ht="15" hidden="false" customHeight="false" outlineLevel="0" collapsed="false">
      <c r="A677" s="7" t="s">
        <v>1131</v>
      </c>
      <c r="B677" s="10" t="n">
        <v>45744</v>
      </c>
      <c r="C677" s="7" t="s">
        <v>1133</v>
      </c>
      <c r="D677" s="7" t="s">
        <v>1134</v>
      </c>
      <c r="E677" s="7" t="s">
        <v>154</v>
      </c>
      <c r="F677" s="7" t="s">
        <v>128</v>
      </c>
      <c r="G677" s="7" t="s">
        <v>99</v>
      </c>
      <c r="H677" s="7" t="n">
        <v>1</v>
      </c>
      <c r="I677" s="11" t="n">
        <v>290</v>
      </c>
      <c r="J677" s="11" t="n">
        <v>0</v>
      </c>
      <c r="K677" s="11" t="n">
        <f aca="false">H677*I677-J677</f>
        <v>290</v>
      </c>
      <c r="L677" s="7" t="s">
        <v>88</v>
      </c>
      <c r="M677" s="7" t="s">
        <v>194</v>
      </c>
      <c r="N677" s="7" t="n">
        <v>46</v>
      </c>
      <c r="O677" s="7" t="n">
        <v>5</v>
      </c>
    </row>
    <row r="678" customFormat="false" ht="15" hidden="false" customHeight="false" outlineLevel="0" collapsed="false">
      <c r="A678" s="7" t="s">
        <v>4656</v>
      </c>
      <c r="B678" s="10" t="n">
        <v>45745</v>
      </c>
      <c r="C678" s="7" t="s">
        <v>2966</v>
      </c>
      <c r="D678" s="7" t="s">
        <v>1314</v>
      </c>
      <c r="E678" s="7" t="s">
        <v>164</v>
      </c>
      <c r="F678" s="7" t="s">
        <v>141</v>
      </c>
      <c r="G678" s="7" t="s">
        <v>150</v>
      </c>
      <c r="H678" s="7" t="n">
        <v>2</v>
      </c>
      <c r="I678" s="11" t="n">
        <v>120</v>
      </c>
      <c r="J678" s="11" t="n">
        <v>0</v>
      </c>
      <c r="K678" s="11" t="n">
        <f aca="false">H678*I678-J678</f>
        <v>240</v>
      </c>
      <c r="L678" s="7" t="s">
        <v>93</v>
      </c>
      <c r="M678" s="7" t="s">
        <v>194</v>
      </c>
      <c r="N678" s="7" t="n">
        <v>15</v>
      </c>
      <c r="O678" s="7"/>
    </row>
    <row r="679" customFormat="false" ht="15" hidden="false" customHeight="false" outlineLevel="0" collapsed="false">
      <c r="A679" s="7" t="s">
        <v>4913</v>
      </c>
      <c r="B679" s="10" t="n">
        <v>45745</v>
      </c>
      <c r="C679" s="7" t="s">
        <v>3160</v>
      </c>
      <c r="D679" s="7" t="s">
        <v>2411</v>
      </c>
      <c r="E679" s="7" t="s">
        <v>134</v>
      </c>
      <c r="F679" s="7" t="s">
        <v>110</v>
      </c>
      <c r="G679" s="7" t="s">
        <v>117</v>
      </c>
      <c r="H679" s="7" t="n">
        <v>3</v>
      </c>
      <c r="I679" s="11" t="n">
        <v>105</v>
      </c>
      <c r="J679" s="11" t="n">
        <v>125</v>
      </c>
      <c r="K679" s="11" t="n">
        <f aca="false">H679*I679-J679</f>
        <v>190</v>
      </c>
      <c r="L679" s="7" t="s">
        <v>88</v>
      </c>
      <c r="M679" s="7" t="s">
        <v>194</v>
      </c>
      <c r="N679" s="7" t="n">
        <v>32</v>
      </c>
      <c r="O679" s="7" t="n">
        <v>3</v>
      </c>
    </row>
    <row r="680" customFormat="false" ht="15" hidden="false" customHeight="false" outlineLevel="0" collapsed="false">
      <c r="A680" s="7" t="s">
        <v>674</v>
      </c>
      <c r="B680" s="10" t="n">
        <v>45745</v>
      </c>
      <c r="C680" s="7" t="s">
        <v>675</v>
      </c>
      <c r="D680" s="7" t="s">
        <v>676</v>
      </c>
      <c r="E680" s="7" t="s">
        <v>149</v>
      </c>
      <c r="F680" s="7" t="s">
        <v>119</v>
      </c>
      <c r="G680" s="7" t="s">
        <v>150</v>
      </c>
      <c r="H680" s="7" t="n">
        <v>1</v>
      </c>
      <c r="I680" s="11" t="n">
        <v>145</v>
      </c>
      <c r="J680" s="11" t="n">
        <v>50</v>
      </c>
      <c r="K680" s="11" t="n">
        <f aca="false">H680*I680-J680</f>
        <v>95</v>
      </c>
      <c r="L680" s="7" t="s">
        <v>88</v>
      </c>
      <c r="M680" s="7" t="s">
        <v>194</v>
      </c>
      <c r="N680" s="7" t="n">
        <v>37</v>
      </c>
      <c r="O680" s="7" t="n">
        <v>5</v>
      </c>
    </row>
    <row r="681" customFormat="false" ht="15" hidden="false" customHeight="false" outlineLevel="0" collapsed="false">
      <c r="A681" s="7" t="s">
        <v>5785</v>
      </c>
      <c r="B681" s="10" t="n">
        <v>45745</v>
      </c>
      <c r="C681" s="7" t="s">
        <v>5159</v>
      </c>
      <c r="D681" s="7" t="s">
        <v>1944</v>
      </c>
      <c r="E681" s="7" t="s">
        <v>104</v>
      </c>
      <c r="F681" s="7" t="s">
        <v>86</v>
      </c>
      <c r="G681" s="7" t="s">
        <v>105</v>
      </c>
      <c r="H681" s="7" t="n">
        <v>2</v>
      </c>
      <c r="I681" s="11" t="n">
        <v>205</v>
      </c>
      <c r="J681" s="11" t="n">
        <v>0</v>
      </c>
      <c r="K681" s="11" t="n">
        <f aca="false">H681*I681-J681</f>
        <v>410</v>
      </c>
      <c r="L681" s="7" t="s">
        <v>93</v>
      </c>
      <c r="M681" s="7" t="s">
        <v>194</v>
      </c>
      <c r="N681" s="7" t="n">
        <v>38</v>
      </c>
      <c r="O681" s="7" t="n">
        <v>4</v>
      </c>
    </row>
    <row r="682" customFormat="false" ht="15" hidden="false" customHeight="false" outlineLevel="0" collapsed="false">
      <c r="A682" s="7" t="s">
        <v>5270</v>
      </c>
      <c r="B682" s="10" t="n">
        <v>45745</v>
      </c>
      <c r="C682" s="7" t="s">
        <v>3025</v>
      </c>
      <c r="D682" s="7" t="s">
        <v>5257</v>
      </c>
      <c r="E682" s="7" t="s">
        <v>116</v>
      </c>
      <c r="F682" s="7" t="s">
        <v>101</v>
      </c>
      <c r="G682" s="7" t="s">
        <v>117</v>
      </c>
      <c r="H682" s="7" t="n">
        <v>1</v>
      </c>
      <c r="I682" s="11" t="n">
        <v>130</v>
      </c>
      <c r="J682" s="11" t="n">
        <v>0</v>
      </c>
      <c r="K682" s="11" t="n">
        <f aca="false">H682*I682-J682</f>
        <v>130</v>
      </c>
      <c r="L682" s="7" t="s">
        <v>93</v>
      </c>
      <c r="M682" s="7" t="s">
        <v>194</v>
      </c>
      <c r="N682" s="7" t="n">
        <v>36</v>
      </c>
      <c r="O682" s="7" t="n">
        <v>3</v>
      </c>
    </row>
    <row r="683" customFormat="false" ht="15" hidden="false" customHeight="false" outlineLevel="0" collapsed="false">
      <c r="A683" s="7" t="s">
        <v>5171</v>
      </c>
      <c r="B683" s="10" t="n">
        <v>45745</v>
      </c>
      <c r="C683" s="7" t="s">
        <v>5172</v>
      </c>
      <c r="D683" s="7" t="s">
        <v>2334</v>
      </c>
      <c r="E683" s="7" t="s">
        <v>113</v>
      </c>
      <c r="F683" s="7" t="s">
        <v>101</v>
      </c>
      <c r="G683" s="7" t="s">
        <v>90</v>
      </c>
      <c r="H683" s="7" t="n">
        <v>3</v>
      </c>
      <c r="I683" s="11" t="n">
        <v>255</v>
      </c>
      <c r="J683" s="11" t="n">
        <v>0</v>
      </c>
      <c r="K683" s="11" t="n">
        <f aca="false">H683*I683-J683</f>
        <v>765</v>
      </c>
      <c r="L683" s="7" t="s">
        <v>103</v>
      </c>
      <c r="M683" s="7" t="s">
        <v>194</v>
      </c>
      <c r="N683" s="7" t="n">
        <v>36</v>
      </c>
      <c r="O683" s="7" t="n">
        <v>3</v>
      </c>
    </row>
    <row r="684" customFormat="false" ht="15" hidden="false" customHeight="false" outlineLevel="0" collapsed="false">
      <c r="A684" s="7" t="s">
        <v>3988</v>
      </c>
      <c r="B684" s="10" t="n">
        <v>45745</v>
      </c>
      <c r="C684" s="7" t="s">
        <v>2289</v>
      </c>
      <c r="D684" s="7" t="s">
        <v>2382</v>
      </c>
      <c r="E684" s="7" t="s">
        <v>154</v>
      </c>
      <c r="F684" s="7" t="s">
        <v>128</v>
      </c>
      <c r="G684" s="7" t="s">
        <v>99</v>
      </c>
      <c r="H684" s="7" t="n">
        <v>2</v>
      </c>
      <c r="I684" s="11" t="n">
        <v>245</v>
      </c>
      <c r="J684" s="11" t="n">
        <v>0</v>
      </c>
      <c r="K684" s="11" t="n">
        <f aca="false">H684*I684-J684</f>
        <v>490</v>
      </c>
      <c r="L684" s="7" t="s">
        <v>93</v>
      </c>
      <c r="M684" s="7" t="s">
        <v>194</v>
      </c>
      <c r="N684" s="7" t="n">
        <v>42</v>
      </c>
      <c r="O684" s="7" t="n">
        <v>2</v>
      </c>
    </row>
    <row r="685" customFormat="false" ht="15" hidden="false" customHeight="false" outlineLevel="0" collapsed="false">
      <c r="A685" s="7" t="s">
        <v>349</v>
      </c>
      <c r="B685" s="10" t="n">
        <v>45745</v>
      </c>
      <c r="C685" s="7" t="s">
        <v>351</v>
      </c>
      <c r="D685" s="7" t="s">
        <v>352</v>
      </c>
      <c r="E685" s="7" t="s">
        <v>94</v>
      </c>
      <c r="F685" s="7" t="s">
        <v>86</v>
      </c>
      <c r="G685" s="7" t="s">
        <v>95</v>
      </c>
      <c r="H685" s="7" t="n">
        <v>1</v>
      </c>
      <c r="I685" s="11" t="n">
        <v>105</v>
      </c>
      <c r="J685" s="11" t="n">
        <v>0</v>
      </c>
      <c r="K685" s="11" t="n">
        <f aca="false">H685*I685-J685</f>
        <v>105</v>
      </c>
      <c r="L685" s="7" t="s">
        <v>88</v>
      </c>
      <c r="M685" s="7" t="s">
        <v>194</v>
      </c>
      <c r="N685" s="7" t="n">
        <v>36</v>
      </c>
      <c r="O685" s="7" t="n">
        <v>3</v>
      </c>
    </row>
    <row r="686" customFormat="false" ht="15" hidden="false" customHeight="false" outlineLevel="0" collapsed="false">
      <c r="A686" s="7" t="s">
        <v>4019</v>
      </c>
      <c r="B686" s="10" t="n">
        <v>45745</v>
      </c>
      <c r="C686" s="7" t="s">
        <v>391</v>
      </c>
      <c r="D686" s="7" t="s">
        <v>4020</v>
      </c>
      <c r="E686" s="7" t="s">
        <v>151</v>
      </c>
      <c r="F686" s="7" t="s">
        <v>128</v>
      </c>
      <c r="G686" s="7" t="s">
        <v>95</v>
      </c>
      <c r="H686" s="7" t="n">
        <v>1</v>
      </c>
      <c r="I686" s="11" t="n">
        <v>155</v>
      </c>
      <c r="J686" s="11" t="n">
        <v>0</v>
      </c>
      <c r="K686" s="11" t="n">
        <f aca="false">H686*I686-J686</f>
        <v>155</v>
      </c>
      <c r="L686" s="7" t="s">
        <v>112</v>
      </c>
      <c r="M686" s="7" t="s">
        <v>194</v>
      </c>
      <c r="N686" s="7" t="n">
        <v>49</v>
      </c>
      <c r="O686" s="7" t="n">
        <v>4</v>
      </c>
    </row>
    <row r="687" customFormat="false" ht="15" hidden="false" customHeight="false" outlineLevel="0" collapsed="false">
      <c r="A687" s="7" t="s">
        <v>1619</v>
      </c>
      <c r="B687" s="10" t="n">
        <v>45745</v>
      </c>
      <c r="C687" s="7" t="s">
        <v>1620</v>
      </c>
      <c r="D687" s="7" t="s">
        <v>1621</v>
      </c>
      <c r="E687" s="7" t="s">
        <v>94</v>
      </c>
      <c r="F687" s="7" t="s">
        <v>86</v>
      </c>
      <c r="G687" s="7" t="s">
        <v>95</v>
      </c>
      <c r="H687" s="7" t="n">
        <v>2</v>
      </c>
      <c r="I687" s="11" t="n">
        <v>125</v>
      </c>
      <c r="J687" s="11" t="n">
        <v>75</v>
      </c>
      <c r="K687" s="11" t="n">
        <f aca="false">H687*I687-J687</f>
        <v>175</v>
      </c>
      <c r="L687" s="7" t="s">
        <v>88</v>
      </c>
      <c r="M687" s="7" t="s">
        <v>194</v>
      </c>
      <c r="N687" s="7" t="n">
        <v>33</v>
      </c>
      <c r="O687" s="7" t="n">
        <v>3</v>
      </c>
    </row>
    <row r="688" customFormat="false" ht="15" hidden="false" customHeight="false" outlineLevel="0" collapsed="false">
      <c r="A688" s="7" t="s">
        <v>3523</v>
      </c>
      <c r="B688" s="10" t="n">
        <v>45746</v>
      </c>
      <c r="C688" s="7" t="s">
        <v>3524</v>
      </c>
      <c r="D688" s="7" t="s">
        <v>1878</v>
      </c>
      <c r="E688" s="7" t="s">
        <v>165</v>
      </c>
      <c r="F688" s="7" t="s">
        <v>146</v>
      </c>
      <c r="G688" s="7" t="s">
        <v>90</v>
      </c>
      <c r="H688" s="7" t="n">
        <v>1</v>
      </c>
      <c r="I688" s="11" t="n">
        <v>250</v>
      </c>
      <c r="J688" s="11" t="n">
        <v>20</v>
      </c>
      <c r="K688" s="11" t="n">
        <f aca="false">H688*I688-J688</f>
        <v>230</v>
      </c>
      <c r="L688" s="7" t="s">
        <v>121</v>
      </c>
      <c r="M688" s="7" t="s">
        <v>194</v>
      </c>
      <c r="N688" s="7" t="n">
        <v>30</v>
      </c>
      <c r="O688" s="7"/>
    </row>
    <row r="689" customFormat="false" ht="15" hidden="false" customHeight="false" outlineLevel="0" collapsed="false">
      <c r="A689" s="7" t="s">
        <v>5337</v>
      </c>
      <c r="B689" s="10" t="n">
        <v>45746</v>
      </c>
      <c r="C689" s="7" t="s">
        <v>4917</v>
      </c>
      <c r="D689" s="7" t="s">
        <v>4996</v>
      </c>
      <c r="E689" s="7" t="s">
        <v>116</v>
      </c>
      <c r="F689" s="7" t="s">
        <v>101</v>
      </c>
      <c r="G689" s="7" t="s">
        <v>117</v>
      </c>
      <c r="H689" s="7" t="n">
        <v>5</v>
      </c>
      <c r="I689" s="11" t="n">
        <v>130</v>
      </c>
      <c r="J689" s="11" t="n">
        <v>0</v>
      </c>
      <c r="K689" s="11" t="n">
        <f aca="false">H689*I689-J689</f>
        <v>650</v>
      </c>
      <c r="L689" s="7" t="s">
        <v>88</v>
      </c>
      <c r="M689" s="7" t="s">
        <v>194</v>
      </c>
      <c r="N689" s="7" t="n">
        <v>45</v>
      </c>
      <c r="O689" s="7"/>
    </row>
    <row r="690" customFormat="false" ht="15" hidden="false" customHeight="false" outlineLevel="0" collapsed="false">
      <c r="A690" s="7" t="s">
        <v>1868</v>
      </c>
      <c r="B690" s="10" t="n">
        <v>45746</v>
      </c>
      <c r="C690" s="7" t="s">
        <v>1869</v>
      </c>
      <c r="D690" s="7" t="s">
        <v>1870</v>
      </c>
      <c r="E690" s="7" t="s">
        <v>142</v>
      </c>
      <c r="F690" s="7" t="s">
        <v>110</v>
      </c>
      <c r="G690" s="7" t="s">
        <v>105</v>
      </c>
      <c r="H690" s="7" t="n">
        <v>2</v>
      </c>
      <c r="I690" s="11" t="n">
        <v>150</v>
      </c>
      <c r="J690" s="11" t="n">
        <v>120</v>
      </c>
      <c r="K690" s="11" t="n">
        <f aca="false">H690*I690-J690</f>
        <v>180</v>
      </c>
      <c r="L690" s="7" t="s">
        <v>88</v>
      </c>
      <c r="M690" s="7" t="s">
        <v>194</v>
      </c>
      <c r="N690" s="7" t="n">
        <v>41</v>
      </c>
      <c r="O690" s="7" t="n">
        <v>3</v>
      </c>
    </row>
    <row r="691" customFormat="false" ht="15" hidden="false" customHeight="false" outlineLevel="0" collapsed="false">
      <c r="A691" s="7" t="s">
        <v>1360</v>
      </c>
      <c r="B691" s="10" t="n">
        <v>45746</v>
      </c>
      <c r="C691" s="7" t="s">
        <v>689</v>
      </c>
      <c r="D691" s="7" t="s">
        <v>1362</v>
      </c>
      <c r="E691" s="7" t="s">
        <v>142</v>
      </c>
      <c r="F691" s="7" t="s">
        <v>110</v>
      </c>
      <c r="G691" s="7" t="s">
        <v>105</v>
      </c>
      <c r="H691" s="7" t="n">
        <v>1</v>
      </c>
      <c r="I691" s="11" t="n">
        <v>170</v>
      </c>
      <c r="J691" s="11" t="n">
        <v>0</v>
      </c>
      <c r="K691" s="11" t="n">
        <f aca="false">H691*I691-J691</f>
        <v>170</v>
      </c>
      <c r="L691" s="7" t="s">
        <v>88</v>
      </c>
      <c r="M691" s="7" t="s">
        <v>194</v>
      </c>
      <c r="N691" s="7" t="n">
        <v>52</v>
      </c>
      <c r="O691" s="7" t="n">
        <v>3</v>
      </c>
    </row>
    <row r="692" customFormat="false" ht="15" hidden="false" customHeight="false" outlineLevel="0" collapsed="false">
      <c r="A692" s="7" t="s">
        <v>5373</v>
      </c>
      <c r="B692" s="10" t="n">
        <v>45746</v>
      </c>
      <c r="C692" s="7" t="s">
        <v>268</v>
      </c>
      <c r="D692" s="7" t="s">
        <v>5374</v>
      </c>
      <c r="E692" s="7" t="s">
        <v>159</v>
      </c>
      <c r="F692" s="7" t="s">
        <v>136</v>
      </c>
      <c r="G692" s="7" t="s">
        <v>90</v>
      </c>
      <c r="H692" s="7" t="n">
        <v>2</v>
      </c>
      <c r="I692" s="11" t="n">
        <v>260</v>
      </c>
      <c r="J692" s="11" t="n">
        <v>0</v>
      </c>
      <c r="K692" s="11" t="n">
        <f aca="false">H692*I692-J692</f>
        <v>520</v>
      </c>
      <c r="L692" s="7" t="s">
        <v>112</v>
      </c>
      <c r="M692" s="7" t="s">
        <v>194</v>
      </c>
      <c r="N692" s="7" t="n">
        <v>36</v>
      </c>
      <c r="O692" s="7" t="n">
        <v>5</v>
      </c>
    </row>
    <row r="693" customFormat="false" ht="15" hidden="false" customHeight="false" outlineLevel="0" collapsed="false">
      <c r="A693" s="7" t="s">
        <v>1043</v>
      </c>
      <c r="B693" s="10" t="n">
        <v>45746</v>
      </c>
      <c r="C693" s="7" t="s">
        <v>788</v>
      </c>
      <c r="D693" s="7" t="s">
        <v>1045</v>
      </c>
      <c r="E693" s="7" t="s">
        <v>159</v>
      </c>
      <c r="F693" s="7" t="s">
        <v>136</v>
      </c>
      <c r="G693" s="7" t="s">
        <v>90</v>
      </c>
      <c r="H693" s="7" t="n">
        <v>2</v>
      </c>
      <c r="I693" s="11" t="n">
        <v>220</v>
      </c>
      <c r="J693" s="11" t="n">
        <v>0</v>
      </c>
      <c r="K693" s="11" t="n">
        <f aca="false">H693*I693-J693</f>
        <v>440</v>
      </c>
      <c r="L693" s="7" t="s">
        <v>88</v>
      </c>
      <c r="M693" s="7" t="s">
        <v>194</v>
      </c>
      <c r="N693" s="7" t="n">
        <v>27</v>
      </c>
      <c r="O693" s="7" t="n">
        <v>4</v>
      </c>
    </row>
    <row r="694" customFormat="false" ht="15" hidden="false" customHeight="false" outlineLevel="0" collapsed="false">
      <c r="A694" s="7" t="s">
        <v>5075</v>
      </c>
      <c r="B694" s="10" t="n">
        <v>45747</v>
      </c>
      <c r="C694" s="7" t="s">
        <v>4383</v>
      </c>
      <c r="D694" s="7" t="s">
        <v>770</v>
      </c>
      <c r="E694" s="7" t="s">
        <v>122</v>
      </c>
      <c r="F694" s="7" t="s">
        <v>101</v>
      </c>
      <c r="G694" s="7" t="s">
        <v>123</v>
      </c>
      <c r="H694" s="7" t="n">
        <v>1</v>
      </c>
      <c r="I694" s="11" t="n">
        <v>330</v>
      </c>
      <c r="J694" s="11" t="n">
        <v>0</v>
      </c>
      <c r="K694" s="11" t="n">
        <f aca="false">H694*I694-J694</f>
        <v>330</v>
      </c>
      <c r="L694" s="7" t="s">
        <v>88</v>
      </c>
      <c r="M694" s="7" t="s">
        <v>194</v>
      </c>
      <c r="N694" s="7" t="n">
        <v>49</v>
      </c>
      <c r="O694" s="7" t="n">
        <v>3</v>
      </c>
    </row>
    <row r="695" customFormat="false" ht="15" hidden="false" customHeight="false" outlineLevel="0" collapsed="false">
      <c r="A695" s="7" t="s">
        <v>5695</v>
      </c>
      <c r="B695" s="10" t="n">
        <v>45747</v>
      </c>
      <c r="C695" s="7" t="s">
        <v>2113</v>
      </c>
      <c r="D695" s="7" t="s">
        <v>4022</v>
      </c>
      <c r="E695" s="7" t="s">
        <v>164</v>
      </c>
      <c r="F695" s="7" t="s">
        <v>141</v>
      </c>
      <c r="G695" s="7" t="s">
        <v>150</v>
      </c>
      <c r="H695" s="7" t="n">
        <v>4</v>
      </c>
      <c r="I695" s="11" t="n">
        <v>120</v>
      </c>
      <c r="J695" s="11" t="n">
        <v>0</v>
      </c>
      <c r="K695" s="11" t="n">
        <f aca="false">H695*I695-J695</f>
        <v>480</v>
      </c>
      <c r="L695" s="7" t="s">
        <v>88</v>
      </c>
      <c r="M695" s="7" t="s">
        <v>194</v>
      </c>
      <c r="N695" s="7" t="n">
        <v>35</v>
      </c>
      <c r="O695" s="7" t="n">
        <v>4</v>
      </c>
    </row>
    <row r="696" customFormat="false" ht="15" hidden="false" customHeight="false" outlineLevel="0" collapsed="false">
      <c r="A696" s="7" t="s">
        <v>4199</v>
      </c>
      <c r="B696" s="10" t="n">
        <v>45747</v>
      </c>
      <c r="C696" s="7" t="s">
        <v>4200</v>
      </c>
      <c r="D696" s="7" t="s">
        <v>2540</v>
      </c>
      <c r="E696" s="7" t="s">
        <v>157</v>
      </c>
      <c r="F696" s="7" t="s">
        <v>136</v>
      </c>
      <c r="G696" s="7" t="s">
        <v>117</v>
      </c>
      <c r="H696" s="7" t="n">
        <v>1</v>
      </c>
      <c r="I696" s="11" t="n">
        <v>115</v>
      </c>
      <c r="J696" s="11" t="n">
        <v>46</v>
      </c>
      <c r="K696" s="11" t="n">
        <f aca="false">H696*I696-J696</f>
        <v>69</v>
      </c>
      <c r="L696" s="7" t="s">
        <v>121</v>
      </c>
      <c r="M696" s="7" t="s">
        <v>194</v>
      </c>
      <c r="N696" s="7" t="n">
        <v>31</v>
      </c>
      <c r="O696" s="7" t="n">
        <v>4</v>
      </c>
    </row>
    <row r="697" customFormat="false" ht="15" hidden="false" customHeight="false" outlineLevel="0" collapsed="false">
      <c r="A697" s="7" t="s">
        <v>3957</v>
      </c>
      <c r="B697" s="10" t="n">
        <v>45747</v>
      </c>
      <c r="C697" s="7" t="s">
        <v>1062</v>
      </c>
      <c r="D697" s="7" t="s">
        <v>2012</v>
      </c>
      <c r="E697" s="7" t="s">
        <v>160</v>
      </c>
      <c r="F697" s="7" t="s">
        <v>136</v>
      </c>
      <c r="G697" s="7" t="s">
        <v>150</v>
      </c>
      <c r="H697" s="7" t="n">
        <v>4</v>
      </c>
      <c r="I697" s="11" t="n">
        <v>165</v>
      </c>
      <c r="J697" s="11" t="n">
        <v>0</v>
      </c>
      <c r="K697" s="11" t="n">
        <f aca="false">H697*I697-J697</f>
        <v>660</v>
      </c>
      <c r="L697" s="7" t="s">
        <v>112</v>
      </c>
      <c r="M697" s="7" t="s">
        <v>194</v>
      </c>
      <c r="N697" s="7" t="n">
        <v>32</v>
      </c>
      <c r="O697" s="7" t="n">
        <v>5</v>
      </c>
    </row>
    <row r="698" customFormat="false" ht="15" hidden="false" customHeight="false" outlineLevel="0" collapsed="false">
      <c r="A698" s="7" t="s">
        <v>2538</v>
      </c>
      <c r="B698" s="10" t="n">
        <v>45748</v>
      </c>
      <c r="C698" s="7" t="s">
        <v>2539</v>
      </c>
      <c r="D698" s="7" t="s">
        <v>2540</v>
      </c>
      <c r="E698" s="7" t="s">
        <v>149</v>
      </c>
      <c r="F698" s="7" t="s">
        <v>119</v>
      </c>
      <c r="G698" s="7" t="s">
        <v>150</v>
      </c>
      <c r="H698" s="7" t="n">
        <v>3</v>
      </c>
      <c r="I698" s="11" t="n">
        <v>160</v>
      </c>
      <c r="J698" s="11" t="n">
        <v>40</v>
      </c>
      <c r="K698" s="11" t="n">
        <f aca="false">H698*I698-J698</f>
        <v>440</v>
      </c>
      <c r="L698" s="7" t="s">
        <v>88</v>
      </c>
      <c r="M698" s="7" t="s">
        <v>194</v>
      </c>
      <c r="N698" s="7" t="n">
        <v>37</v>
      </c>
      <c r="O698" s="7"/>
    </row>
    <row r="699" customFormat="false" ht="15" hidden="false" customHeight="false" outlineLevel="0" collapsed="false">
      <c r="A699" s="7" t="s">
        <v>1262</v>
      </c>
      <c r="B699" s="10" t="n">
        <v>45748</v>
      </c>
      <c r="C699" s="7" t="s">
        <v>1263</v>
      </c>
      <c r="D699" s="7" t="s">
        <v>1264</v>
      </c>
      <c r="E699" s="7" t="s">
        <v>159</v>
      </c>
      <c r="F699" s="7" t="s">
        <v>136</v>
      </c>
      <c r="G699" s="7" t="s">
        <v>90</v>
      </c>
      <c r="H699" s="7" t="n">
        <v>3</v>
      </c>
      <c r="I699" s="11" t="n">
        <v>245</v>
      </c>
      <c r="J699" s="11" t="n">
        <v>0</v>
      </c>
      <c r="K699" s="11" t="n">
        <f aca="false">H699*I699-J699</f>
        <v>735</v>
      </c>
      <c r="L699" s="7" t="s">
        <v>103</v>
      </c>
      <c r="M699" s="7" t="s">
        <v>194</v>
      </c>
      <c r="N699" s="7" t="n">
        <v>24</v>
      </c>
      <c r="O699" s="7" t="n">
        <v>4</v>
      </c>
    </row>
    <row r="700" customFormat="false" ht="15" hidden="false" customHeight="false" outlineLevel="0" collapsed="false">
      <c r="A700" s="7" t="s">
        <v>4537</v>
      </c>
      <c r="B700" s="10" t="n">
        <v>45748</v>
      </c>
      <c r="C700" s="7" t="s">
        <v>2594</v>
      </c>
      <c r="D700" s="7" t="s">
        <v>4538</v>
      </c>
      <c r="E700" s="7" t="s">
        <v>89</v>
      </c>
      <c r="F700" s="7" t="s">
        <v>86</v>
      </c>
      <c r="G700" s="7" t="s">
        <v>90</v>
      </c>
      <c r="H700" s="7" t="n">
        <v>3</v>
      </c>
      <c r="I700" s="11" t="n">
        <v>230</v>
      </c>
      <c r="J700" s="11" t="n">
        <v>30</v>
      </c>
      <c r="K700" s="11" t="n">
        <f aca="false">H700*I700-J700</f>
        <v>660</v>
      </c>
      <c r="L700" s="7" t="s">
        <v>121</v>
      </c>
      <c r="M700" s="7" t="s">
        <v>194</v>
      </c>
      <c r="N700" s="7" t="n">
        <v>41</v>
      </c>
      <c r="O700" s="7" t="n">
        <v>5</v>
      </c>
    </row>
    <row r="701" customFormat="false" ht="15" hidden="false" customHeight="false" outlineLevel="0" collapsed="false">
      <c r="A701" s="7" t="s">
        <v>3249</v>
      </c>
      <c r="B701" s="10" t="n">
        <v>45748</v>
      </c>
      <c r="C701" s="7" t="s">
        <v>2292</v>
      </c>
      <c r="D701" s="7" t="s">
        <v>3250</v>
      </c>
      <c r="E701" s="7" t="s">
        <v>130</v>
      </c>
      <c r="F701" s="7" t="s">
        <v>110</v>
      </c>
      <c r="G701" s="7" t="s">
        <v>90</v>
      </c>
      <c r="H701" s="7" t="n">
        <v>3</v>
      </c>
      <c r="I701" s="11" t="n">
        <v>250</v>
      </c>
      <c r="J701" s="11" t="n">
        <v>0</v>
      </c>
      <c r="K701" s="11" t="n">
        <f aca="false">H701*I701-J701</f>
        <v>750</v>
      </c>
      <c r="L701" s="7" t="s">
        <v>88</v>
      </c>
      <c r="M701" s="7" t="s">
        <v>194</v>
      </c>
      <c r="N701" s="7" t="n">
        <v>46</v>
      </c>
      <c r="O701" s="7" t="n">
        <v>4</v>
      </c>
    </row>
    <row r="702" customFormat="false" ht="15" hidden="false" customHeight="false" outlineLevel="0" collapsed="false">
      <c r="A702" s="7" t="s">
        <v>1242</v>
      </c>
      <c r="B702" s="10" t="n">
        <v>45748</v>
      </c>
      <c r="C702" s="7" t="s">
        <v>1243</v>
      </c>
      <c r="D702" s="7" t="s">
        <v>1244</v>
      </c>
      <c r="E702" s="7" t="s">
        <v>98</v>
      </c>
      <c r="F702" s="7" t="s">
        <v>86</v>
      </c>
      <c r="G702" s="7" t="s">
        <v>99</v>
      </c>
      <c r="H702" s="7" t="n">
        <v>1</v>
      </c>
      <c r="I702" s="11" t="n">
        <v>310</v>
      </c>
      <c r="J702" s="11" t="n">
        <v>124</v>
      </c>
      <c r="K702" s="11" t="n">
        <f aca="false">H702*I702-J702</f>
        <v>186</v>
      </c>
      <c r="L702" s="7" t="s">
        <v>88</v>
      </c>
      <c r="M702" s="7" t="s">
        <v>194</v>
      </c>
      <c r="N702" s="7" t="n">
        <v>51</v>
      </c>
      <c r="O702" s="7" t="n">
        <v>5</v>
      </c>
    </row>
    <row r="703" customFormat="false" ht="15" hidden="false" customHeight="false" outlineLevel="0" collapsed="false">
      <c r="A703" s="7" t="s">
        <v>405</v>
      </c>
      <c r="B703" s="10" t="n">
        <v>45748</v>
      </c>
      <c r="C703" s="7" t="s">
        <v>407</v>
      </c>
      <c r="D703" s="7" t="s">
        <v>408</v>
      </c>
      <c r="E703" s="7" t="s">
        <v>104</v>
      </c>
      <c r="F703" s="7" t="s">
        <v>86</v>
      </c>
      <c r="G703" s="7" t="s">
        <v>105</v>
      </c>
      <c r="H703" s="7" t="n">
        <v>2</v>
      </c>
      <c r="I703" s="11" t="n">
        <v>240</v>
      </c>
      <c r="J703" s="11" t="n">
        <v>75</v>
      </c>
      <c r="K703" s="11" t="n">
        <f aca="false">H703*I703-J703</f>
        <v>405</v>
      </c>
      <c r="L703" s="7" t="s">
        <v>88</v>
      </c>
      <c r="M703" s="7" t="s">
        <v>194</v>
      </c>
      <c r="N703" s="7" t="n">
        <v>43</v>
      </c>
      <c r="O703" s="7" t="n">
        <v>3</v>
      </c>
    </row>
    <row r="704" customFormat="false" ht="15" hidden="false" customHeight="false" outlineLevel="0" collapsed="false">
      <c r="A704" s="7" t="s">
        <v>2520</v>
      </c>
      <c r="B704" s="10" t="n">
        <v>45749</v>
      </c>
      <c r="C704" s="7" t="s">
        <v>2521</v>
      </c>
      <c r="D704" s="7" t="s">
        <v>2522</v>
      </c>
      <c r="E704" s="7" t="s">
        <v>89</v>
      </c>
      <c r="F704" s="7" t="s">
        <v>86</v>
      </c>
      <c r="G704" s="7" t="s">
        <v>90</v>
      </c>
      <c r="H704" s="7" t="n">
        <v>2</v>
      </c>
      <c r="I704" s="11" t="n">
        <v>200</v>
      </c>
      <c r="J704" s="11" t="n">
        <v>100</v>
      </c>
      <c r="K704" s="11" t="n">
        <f aca="false">H704*I704-J704</f>
        <v>300</v>
      </c>
      <c r="L704" s="7" t="s">
        <v>121</v>
      </c>
      <c r="M704" s="7" t="s">
        <v>194</v>
      </c>
      <c r="N704" s="7" t="n">
        <v>40</v>
      </c>
      <c r="O704" s="7" t="n">
        <v>4</v>
      </c>
    </row>
    <row r="705" customFormat="false" ht="15" hidden="false" customHeight="false" outlineLevel="0" collapsed="false">
      <c r="A705" s="7" t="s">
        <v>5745</v>
      </c>
      <c r="B705" s="10" t="n">
        <v>45749</v>
      </c>
      <c r="C705" s="7" t="s">
        <v>5421</v>
      </c>
      <c r="D705" s="7" t="s">
        <v>339</v>
      </c>
      <c r="E705" s="7" t="s">
        <v>113</v>
      </c>
      <c r="F705" s="7" t="s">
        <v>101</v>
      </c>
      <c r="G705" s="7" t="s">
        <v>90</v>
      </c>
      <c r="H705" s="7" t="n">
        <v>1</v>
      </c>
      <c r="I705" s="11" t="n">
        <v>250</v>
      </c>
      <c r="J705" s="11" t="n">
        <v>0</v>
      </c>
      <c r="K705" s="11" t="n">
        <f aca="false">H705*I705-J705</f>
        <v>250</v>
      </c>
      <c r="L705" s="7" t="s">
        <v>112</v>
      </c>
      <c r="M705" s="7" t="s">
        <v>194</v>
      </c>
      <c r="N705" s="7" t="n">
        <v>33</v>
      </c>
      <c r="O705" s="7" t="n">
        <v>4</v>
      </c>
    </row>
    <row r="706" customFormat="false" ht="15" hidden="false" customHeight="false" outlineLevel="0" collapsed="false">
      <c r="A706" s="7" t="s">
        <v>359</v>
      </c>
      <c r="B706" s="10" t="n">
        <v>45749</v>
      </c>
      <c r="C706" s="7" t="s">
        <v>361</v>
      </c>
      <c r="D706" s="7" t="s">
        <v>362</v>
      </c>
      <c r="E706" s="7" t="s">
        <v>159</v>
      </c>
      <c r="F706" s="7" t="s">
        <v>136</v>
      </c>
      <c r="G706" s="7" t="s">
        <v>90</v>
      </c>
      <c r="H706" s="7" t="n">
        <v>1</v>
      </c>
      <c r="I706" s="11" t="n">
        <v>215</v>
      </c>
      <c r="J706" s="11" t="n">
        <v>0</v>
      </c>
      <c r="K706" s="11" t="n">
        <f aca="false">H706*I706-J706</f>
        <v>215</v>
      </c>
      <c r="L706" s="7" t="s">
        <v>88</v>
      </c>
      <c r="M706" s="7" t="s">
        <v>194</v>
      </c>
      <c r="N706" s="7" t="n">
        <v>34</v>
      </c>
      <c r="O706" s="7" t="n">
        <v>5</v>
      </c>
    </row>
    <row r="707" customFormat="false" ht="15" hidden="false" customHeight="false" outlineLevel="0" collapsed="false">
      <c r="A707" s="7" t="s">
        <v>3149</v>
      </c>
      <c r="B707" s="10" t="n">
        <v>45749</v>
      </c>
      <c r="C707" s="7" t="s">
        <v>2390</v>
      </c>
      <c r="D707" s="7" t="s">
        <v>3150</v>
      </c>
      <c r="E707" s="7" t="s">
        <v>160</v>
      </c>
      <c r="F707" s="7" t="s">
        <v>136</v>
      </c>
      <c r="G707" s="7" t="s">
        <v>150</v>
      </c>
      <c r="H707" s="7" t="n">
        <v>1</v>
      </c>
      <c r="I707" s="11" t="n">
        <v>175</v>
      </c>
      <c r="J707" s="11" t="n">
        <v>70</v>
      </c>
      <c r="K707" s="11" t="n">
        <f aca="false">H707*I707-J707</f>
        <v>105</v>
      </c>
      <c r="L707" s="7" t="s">
        <v>88</v>
      </c>
      <c r="M707" s="7" t="s">
        <v>194</v>
      </c>
      <c r="N707" s="7" t="n">
        <v>35</v>
      </c>
      <c r="O707" s="7" t="n">
        <v>5</v>
      </c>
    </row>
    <row r="708" customFormat="false" ht="15" hidden="false" customHeight="false" outlineLevel="0" collapsed="false">
      <c r="A708" s="7" t="s">
        <v>4252</v>
      </c>
      <c r="B708" s="10" t="n">
        <v>45749</v>
      </c>
      <c r="C708" s="7" t="s">
        <v>4253</v>
      </c>
      <c r="D708" s="7" t="s">
        <v>1470</v>
      </c>
      <c r="E708" s="7" t="s">
        <v>164</v>
      </c>
      <c r="F708" s="7" t="s">
        <v>141</v>
      </c>
      <c r="G708" s="7" t="s">
        <v>150</v>
      </c>
      <c r="H708" s="7" t="n">
        <v>2</v>
      </c>
      <c r="I708" s="11" t="n">
        <v>150</v>
      </c>
      <c r="J708" s="11" t="n">
        <v>0</v>
      </c>
      <c r="K708" s="11" t="n">
        <f aca="false">H708*I708-J708</f>
        <v>300</v>
      </c>
      <c r="L708" s="7" t="s">
        <v>121</v>
      </c>
      <c r="M708" s="7" t="s">
        <v>194</v>
      </c>
      <c r="N708" s="7" t="n">
        <v>39</v>
      </c>
      <c r="O708" s="7" t="n">
        <v>4</v>
      </c>
    </row>
    <row r="709" customFormat="false" ht="15" hidden="false" customHeight="false" outlineLevel="0" collapsed="false">
      <c r="A709" s="7" t="s">
        <v>5718</v>
      </c>
      <c r="B709" s="10" t="n">
        <v>45749</v>
      </c>
      <c r="C709" s="7" t="s">
        <v>1901</v>
      </c>
      <c r="D709" s="7" t="s">
        <v>509</v>
      </c>
      <c r="E709" s="7" t="s">
        <v>134</v>
      </c>
      <c r="F709" s="7" t="s">
        <v>110</v>
      </c>
      <c r="G709" s="7" t="s">
        <v>117</v>
      </c>
      <c r="H709" s="7" t="n">
        <v>2</v>
      </c>
      <c r="I709" s="11" t="n">
        <v>140</v>
      </c>
      <c r="J709" s="11" t="n">
        <v>20</v>
      </c>
      <c r="K709" s="11" t="n">
        <f aca="false">H709*I709-J709</f>
        <v>260</v>
      </c>
      <c r="L709" s="7" t="s">
        <v>88</v>
      </c>
      <c r="M709" s="7" t="s">
        <v>194</v>
      </c>
      <c r="N709" s="7" t="n">
        <v>31</v>
      </c>
      <c r="O709" s="7"/>
    </row>
    <row r="710" customFormat="false" ht="15" hidden="false" customHeight="false" outlineLevel="0" collapsed="false">
      <c r="A710" s="7" t="s">
        <v>5360</v>
      </c>
      <c r="B710" s="10" t="n">
        <v>45749</v>
      </c>
      <c r="C710" s="7" t="s">
        <v>346</v>
      </c>
      <c r="D710" s="7" t="s">
        <v>5361</v>
      </c>
      <c r="E710" s="7" t="s">
        <v>142</v>
      </c>
      <c r="F710" s="7" t="s">
        <v>110</v>
      </c>
      <c r="G710" s="7" t="s">
        <v>105</v>
      </c>
      <c r="H710" s="7" t="n">
        <v>1</v>
      </c>
      <c r="I710" s="11" t="n">
        <v>155</v>
      </c>
      <c r="J710" s="11" t="n">
        <v>0</v>
      </c>
      <c r="K710" s="11" t="n">
        <f aca="false">H710*I710-J710</f>
        <v>155</v>
      </c>
      <c r="L710" s="7" t="s">
        <v>88</v>
      </c>
      <c r="M710" s="7" t="s">
        <v>194</v>
      </c>
      <c r="N710" s="7" t="n">
        <v>48</v>
      </c>
      <c r="O710" s="7" t="n">
        <v>4</v>
      </c>
    </row>
    <row r="711" customFormat="false" ht="15" hidden="false" customHeight="false" outlineLevel="0" collapsed="false">
      <c r="A711" s="7" t="s">
        <v>4501</v>
      </c>
      <c r="B711" s="10" t="n">
        <v>45749</v>
      </c>
      <c r="C711" s="7" t="s">
        <v>914</v>
      </c>
      <c r="D711" s="7" t="s">
        <v>4503</v>
      </c>
      <c r="E711" s="7" t="s">
        <v>142</v>
      </c>
      <c r="F711" s="7" t="s">
        <v>110</v>
      </c>
      <c r="G711" s="7" t="s">
        <v>105</v>
      </c>
      <c r="H711" s="7" t="n">
        <v>1</v>
      </c>
      <c r="I711" s="11" t="n">
        <v>165</v>
      </c>
      <c r="J711" s="11" t="n">
        <v>0</v>
      </c>
      <c r="K711" s="11" t="n">
        <f aca="false">H711*I711-J711</f>
        <v>165</v>
      </c>
      <c r="L711" s="7" t="s">
        <v>88</v>
      </c>
      <c r="M711" s="7" t="s">
        <v>194</v>
      </c>
      <c r="N711" s="7" t="n">
        <v>45</v>
      </c>
      <c r="O711" s="7" t="n">
        <v>5</v>
      </c>
    </row>
    <row r="712" customFormat="false" ht="15" hidden="false" customHeight="false" outlineLevel="0" collapsed="false">
      <c r="A712" s="7" t="s">
        <v>6015</v>
      </c>
      <c r="B712" s="10" t="n">
        <v>45749</v>
      </c>
      <c r="C712" s="7" t="s">
        <v>817</v>
      </c>
      <c r="D712" s="7" t="s">
        <v>4498</v>
      </c>
      <c r="E712" s="7" t="s">
        <v>130</v>
      </c>
      <c r="F712" s="7" t="s">
        <v>110</v>
      </c>
      <c r="G712" s="7" t="s">
        <v>90</v>
      </c>
      <c r="H712" s="7" t="n">
        <v>1</v>
      </c>
      <c r="I712" s="11" t="n">
        <v>285</v>
      </c>
      <c r="J712" s="11" t="n">
        <v>20</v>
      </c>
      <c r="K712" s="11" t="n">
        <f aca="false">H712*I712-J712</f>
        <v>265</v>
      </c>
      <c r="L712" s="7" t="s">
        <v>103</v>
      </c>
      <c r="M712" s="7" t="s">
        <v>194</v>
      </c>
      <c r="N712" s="7" t="n">
        <v>35</v>
      </c>
      <c r="O712" s="7" t="n">
        <v>4</v>
      </c>
    </row>
    <row r="713" customFormat="false" ht="15" hidden="false" customHeight="false" outlineLevel="0" collapsed="false">
      <c r="A713" s="7" t="s">
        <v>243</v>
      </c>
      <c r="B713" s="10" t="n">
        <v>45750</v>
      </c>
      <c r="C713" s="7" t="s">
        <v>245</v>
      </c>
      <c r="D713" s="7" t="s">
        <v>246</v>
      </c>
      <c r="E713" s="7" t="s">
        <v>161</v>
      </c>
      <c r="F713" s="7" t="s">
        <v>141</v>
      </c>
      <c r="G713" s="7" t="s">
        <v>117</v>
      </c>
      <c r="H713" s="7" t="n">
        <v>5</v>
      </c>
      <c r="I713" s="11" t="n">
        <v>110</v>
      </c>
      <c r="J713" s="11" t="n">
        <v>20</v>
      </c>
      <c r="K713" s="11" t="n">
        <f aca="false">H713*I713-J713</f>
        <v>530</v>
      </c>
      <c r="L713" s="7" t="s">
        <v>93</v>
      </c>
      <c r="M713" s="7" t="s">
        <v>238</v>
      </c>
      <c r="N713" s="7"/>
      <c r="O713" s="7"/>
    </row>
    <row r="714" customFormat="false" ht="15" hidden="false" customHeight="false" outlineLevel="0" collapsed="false">
      <c r="A714" s="7" t="s">
        <v>4622</v>
      </c>
      <c r="B714" s="10" t="n">
        <v>45750</v>
      </c>
      <c r="C714" s="7" t="s">
        <v>4624</v>
      </c>
      <c r="D714" s="7" t="s">
        <v>4625</v>
      </c>
      <c r="E714" s="7" t="s">
        <v>134</v>
      </c>
      <c r="F714" s="7" t="s">
        <v>110</v>
      </c>
      <c r="G714" s="7" t="s">
        <v>117</v>
      </c>
      <c r="H714" s="7" t="n">
        <v>1</v>
      </c>
      <c r="I714" s="11" t="n">
        <v>115</v>
      </c>
      <c r="J714" s="11" t="n">
        <v>46</v>
      </c>
      <c r="K714" s="11" t="n">
        <f aca="false">H714*I714-J714</f>
        <v>69</v>
      </c>
      <c r="L714" s="7" t="s">
        <v>103</v>
      </c>
      <c r="M714" s="7" t="s">
        <v>194</v>
      </c>
      <c r="N714" s="7" t="n">
        <v>32</v>
      </c>
      <c r="O714" s="7" t="n">
        <v>4</v>
      </c>
    </row>
    <row r="715" customFormat="false" ht="15" hidden="false" customHeight="false" outlineLevel="0" collapsed="false">
      <c r="A715" s="7" t="s">
        <v>2425</v>
      </c>
      <c r="B715" s="10" t="n">
        <v>45750</v>
      </c>
      <c r="C715" s="7" t="s">
        <v>1572</v>
      </c>
      <c r="D715" s="7" t="s">
        <v>2426</v>
      </c>
      <c r="E715" s="7" t="s">
        <v>163</v>
      </c>
      <c r="F715" s="7" t="s">
        <v>141</v>
      </c>
      <c r="G715" s="7" t="s">
        <v>99</v>
      </c>
      <c r="H715" s="7" t="n">
        <v>2</v>
      </c>
      <c r="I715" s="11" t="n">
        <v>245</v>
      </c>
      <c r="J715" s="11" t="n">
        <v>20</v>
      </c>
      <c r="K715" s="11" t="n">
        <f aca="false">H715*I715-J715</f>
        <v>470</v>
      </c>
      <c r="L715" s="7" t="s">
        <v>121</v>
      </c>
      <c r="M715" s="7" t="s">
        <v>194</v>
      </c>
      <c r="N715" s="7" t="n">
        <v>38</v>
      </c>
      <c r="O715" s="7" t="n">
        <v>5</v>
      </c>
    </row>
    <row r="716" customFormat="false" ht="15" hidden="false" customHeight="false" outlineLevel="0" collapsed="false">
      <c r="A716" s="7" t="s">
        <v>5727</v>
      </c>
      <c r="B716" s="10" t="n">
        <v>45751</v>
      </c>
      <c r="C716" s="7" t="s">
        <v>5729</v>
      </c>
      <c r="D716" s="7" t="s">
        <v>5730</v>
      </c>
      <c r="E716" s="7" t="s">
        <v>130</v>
      </c>
      <c r="F716" s="7" t="s">
        <v>110</v>
      </c>
      <c r="G716" s="7" t="s">
        <v>90</v>
      </c>
      <c r="H716" s="7" t="n">
        <v>1</v>
      </c>
      <c r="I716" s="11" t="n">
        <v>280</v>
      </c>
      <c r="J716" s="11" t="n">
        <v>0</v>
      </c>
      <c r="K716" s="11" t="n">
        <f aca="false">H716*I716-J716</f>
        <v>280</v>
      </c>
      <c r="L716" s="7" t="s">
        <v>93</v>
      </c>
      <c r="M716" s="7" t="s">
        <v>194</v>
      </c>
      <c r="N716" s="7" t="n">
        <v>44</v>
      </c>
      <c r="O716" s="7" t="n">
        <v>3</v>
      </c>
    </row>
    <row r="717" customFormat="false" ht="15" hidden="false" customHeight="false" outlineLevel="0" collapsed="false">
      <c r="A717" s="7" t="s">
        <v>3521</v>
      </c>
      <c r="B717" s="10" t="n">
        <v>45751</v>
      </c>
      <c r="C717" s="7" t="s">
        <v>3522</v>
      </c>
      <c r="D717" s="7" t="s">
        <v>3369</v>
      </c>
      <c r="E717" s="7" t="s">
        <v>130</v>
      </c>
      <c r="F717" s="7" t="s">
        <v>110</v>
      </c>
      <c r="G717" s="7" t="s">
        <v>90</v>
      </c>
      <c r="H717" s="7" t="n">
        <v>1</v>
      </c>
      <c r="I717" s="11" t="n">
        <v>255</v>
      </c>
      <c r="J717" s="11" t="n">
        <v>0</v>
      </c>
      <c r="K717" s="11" t="n">
        <f aca="false">H717*I717-J717</f>
        <v>255</v>
      </c>
      <c r="L717" s="7" t="s">
        <v>88</v>
      </c>
      <c r="M717" s="7" t="s">
        <v>194</v>
      </c>
      <c r="N717" s="7" t="n">
        <v>45</v>
      </c>
      <c r="O717" s="7" t="n">
        <v>5</v>
      </c>
    </row>
    <row r="718" customFormat="false" ht="15" hidden="false" customHeight="false" outlineLevel="0" collapsed="false">
      <c r="A718" s="7" t="s">
        <v>748</v>
      </c>
      <c r="B718" s="10" t="n">
        <v>45751</v>
      </c>
      <c r="C718" s="7" t="s">
        <v>749</v>
      </c>
      <c r="D718" s="7" t="s">
        <v>289</v>
      </c>
      <c r="E718" s="7" t="s">
        <v>134</v>
      </c>
      <c r="F718" s="7" t="s">
        <v>110</v>
      </c>
      <c r="G718" s="7" t="s">
        <v>117</v>
      </c>
      <c r="H718" s="7" t="n">
        <v>4</v>
      </c>
      <c r="I718" s="11" t="n">
        <v>105</v>
      </c>
      <c r="J718" s="11" t="n">
        <v>0</v>
      </c>
      <c r="K718" s="11" t="n">
        <f aca="false">H718*I718-J718</f>
        <v>420</v>
      </c>
      <c r="L718" s="7" t="s">
        <v>88</v>
      </c>
      <c r="M718" s="7" t="s">
        <v>194</v>
      </c>
      <c r="N718" s="7" t="n">
        <v>44</v>
      </c>
      <c r="O718" s="7" t="n">
        <v>2</v>
      </c>
    </row>
    <row r="719" customFormat="false" ht="15" hidden="false" customHeight="false" outlineLevel="0" collapsed="false">
      <c r="A719" s="7" t="s">
        <v>4949</v>
      </c>
      <c r="B719" s="10" t="n">
        <v>45751</v>
      </c>
      <c r="C719" s="7" t="s">
        <v>470</v>
      </c>
      <c r="D719" s="7" t="s">
        <v>1594</v>
      </c>
      <c r="E719" s="7" t="s">
        <v>94</v>
      </c>
      <c r="F719" s="7" t="s">
        <v>86</v>
      </c>
      <c r="G719" s="7" t="s">
        <v>95</v>
      </c>
      <c r="H719" s="7" t="n">
        <v>2</v>
      </c>
      <c r="I719" s="11" t="n">
        <v>125</v>
      </c>
      <c r="J719" s="11" t="n">
        <v>100</v>
      </c>
      <c r="K719" s="11" t="n">
        <f aca="false">H719*I719-J719</f>
        <v>150</v>
      </c>
      <c r="L719" s="7" t="s">
        <v>88</v>
      </c>
      <c r="M719" s="7" t="s">
        <v>194</v>
      </c>
      <c r="N719" s="7" t="n">
        <v>25</v>
      </c>
      <c r="O719" s="7" t="n">
        <v>3</v>
      </c>
    </row>
    <row r="720" customFormat="false" ht="15" hidden="false" customHeight="false" outlineLevel="0" collapsed="false">
      <c r="A720" s="7" t="s">
        <v>1071</v>
      </c>
      <c r="B720" s="10" t="n">
        <v>45751</v>
      </c>
      <c r="C720" s="7" t="s">
        <v>675</v>
      </c>
      <c r="D720" s="7" t="s">
        <v>1072</v>
      </c>
      <c r="E720" s="7" t="s">
        <v>147</v>
      </c>
      <c r="F720" s="7" t="s">
        <v>119</v>
      </c>
      <c r="G720" s="7" t="s">
        <v>95</v>
      </c>
      <c r="H720" s="7" t="n">
        <v>2</v>
      </c>
      <c r="I720" s="11" t="n">
        <v>145</v>
      </c>
      <c r="J720" s="11" t="n">
        <v>116</v>
      </c>
      <c r="K720" s="11" t="n">
        <f aca="false">H720*I720-J720</f>
        <v>174</v>
      </c>
      <c r="L720" s="7" t="s">
        <v>112</v>
      </c>
      <c r="M720" s="7" t="s">
        <v>194</v>
      </c>
      <c r="N720" s="7" t="n">
        <v>26</v>
      </c>
      <c r="O720" s="7" t="n">
        <v>4</v>
      </c>
    </row>
    <row r="721" customFormat="false" ht="15" hidden="false" customHeight="false" outlineLevel="0" collapsed="false">
      <c r="A721" s="7" t="s">
        <v>1797</v>
      </c>
      <c r="B721" s="10" t="n">
        <v>45751</v>
      </c>
      <c r="C721" s="7" t="s">
        <v>1798</v>
      </c>
      <c r="D721" s="7" t="s">
        <v>1799</v>
      </c>
      <c r="E721" s="7" t="s">
        <v>134</v>
      </c>
      <c r="F721" s="7" t="s">
        <v>110</v>
      </c>
      <c r="G721" s="7" t="s">
        <v>117</v>
      </c>
      <c r="H721" s="7" t="n">
        <v>1</v>
      </c>
      <c r="I721" s="11" t="n">
        <v>145</v>
      </c>
      <c r="J721" s="11" t="n">
        <v>50</v>
      </c>
      <c r="K721" s="11" t="n">
        <f aca="false">H721*I721-J721</f>
        <v>95</v>
      </c>
      <c r="L721" s="7" t="s">
        <v>6170</v>
      </c>
      <c r="M721" s="7" t="s">
        <v>194</v>
      </c>
      <c r="N721" s="7" t="n">
        <v>36</v>
      </c>
      <c r="O721" s="7" t="n">
        <v>5</v>
      </c>
    </row>
    <row r="722" customFormat="false" ht="15" hidden="false" customHeight="false" outlineLevel="0" collapsed="false">
      <c r="A722" s="7" t="s">
        <v>2298</v>
      </c>
      <c r="B722" s="10" t="n">
        <v>45751</v>
      </c>
      <c r="C722" s="7" t="s">
        <v>776</v>
      </c>
      <c r="D722" s="7" t="s">
        <v>2299</v>
      </c>
      <c r="E722" s="7" t="s">
        <v>94</v>
      </c>
      <c r="F722" s="7" t="s">
        <v>86</v>
      </c>
      <c r="G722" s="7" t="s">
        <v>95</v>
      </c>
      <c r="H722" s="7" t="n">
        <v>2</v>
      </c>
      <c r="I722" s="11" t="n">
        <v>145</v>
      </c>
      <c r="J722" s="11" t="n">
        <v>0</v>
      </c>
      <c r="K722" s="11" t="n">
        <f aca="false">H722*I722-J722</f>
        <v>290</v>
      </c>
      <c r="L722" s="7" t="s">
        <v>88</v>
      </c>
      <c r="M722" s="7" t="s">
        <v>194</v>
      </c>
      <c r="N722" s="7" t="n">
        <v>25</v>
      </c>
      <c r="O722" s="7" t="n">
        <v>3</v>
      </c>
    </row>
    <row r="723" customFormat="false" ht="15" hidden="false" customHeight="false" outlineLevel="0" collapsed="false">
      <c r="A723" s="7" t="s">
        <v>480</v>
      </c>
      <c r="B723" s="10" t="n">
        <v>45751</v>
      </c>
      <c r="C723" s="7" t="s">
        <v>481</v>
      </c>
      <c r="D723" s="7" t="s">
        <v>482</v>
      </c>
      <c r="E723" s="7" t="s">
        <v>157</v>
      </c>
      <c r="F723" s="7" t="s">
        <v>136</v>
      </c>
      <c r="G723" s="7" t="s">
        <v>117</v>
      </c>
      <c r="H723" s="7" t="n">
        <v>4</v>
      </c>
      <c r="I723" s="11" t="n">
        <v>125</v>
      </c>
      <c r="J723" s="11" t="n">
        <v>0</v>
      </c>
      <c r="K723" s="11" t="n">
        <f aca="false">H723*I723-J723</f>
        <v>500</v>
      </c>
      <c r="L723" s="7" t="s">
        <v>88</v>
      </c>
      <c r="M723" s="7" t="s">
        <v>194</v>
      </c>
      <c r="N723" s="7" t="n">
        <v>30</v>
      </c>
      <c r="O723" s="7" t="n">
        <v>3</v>
      </c>
    </row>
    <row r="724" customFormat="false" ht="15" hidden="false" customHeight="false" outlineLevel="0" collapsed="false">
      <c r="A724" s="7" t="s">
        <v>2880</v>
      </c>
      <c r="B724" s="10" t="n">
        <v>45751</v>
      </c>
      <c r="C724" s="7" t="s">
        <v>369</v>
      </c>
      <c r="D724" s="7" t="s">
        <v>328</v>
      </c>
      <c r="E724" s="7" t="s">
        <v>94</v>
      </c>
      <c r="F724" s="7" t="s">
        <v>86</v>
      </c>
      <c r="G724" s="7" t="s">
        <v>95</v>
      </c>
      <c r="H724" s="7" t="n">
        <v>1</v>
      </c>
      <c r="I724" s="11" t="n">
        <v>115</v>
      </c>
      <c r="J724" s="11" t="n">
        <v>46</v>
      </c>
      <c r="K724" s="11" t="n">
        <f aca="false">H724*I724-J724</f>
        <v>69</v>
      </c>
      <c r="L724" s="7" t="s">
        <v>93</v>
      </c>
      <c r="M724" s="7" t="s">
        <v>194</v>
      </c>
      <c r="N724" s="7" t="n">
        <v>36</v>
      </c>
      <c r="O724" s="7" t="n">
        <v>3</v>
      </c>
    </row>
    <row r="725" customFormat="false" ht="15" hidden="false" customHeight="false" outlineLevel="0" collapsed="false">
      <c r="A725" s="7" t="s">
        <v>2401</v>
      </c>
      <c r="B725" s="10" t="n">
        <v>45751</v>
      </c>
      <c r="C725" s="7" t="s">
        <v>2402</v>
      </c>
      <c r="D725" s="7" t="s">
        <v>2403</v>
      </c>
      <c r="E725" s="7" t="s">
        <v>138</v>
      </c>
      <c r="F725" s="7" t="s">
        <v>110</v>
      </c>
      <c r="G725" s="7" t="s">
        <v>139</v>
      </c>
      <c r="H725" s="7" t="n">
        <v>2</v>
      </c>
      <c r="I725" s="11" t="n">
        <v>195</v>
      </c>
      <c r="J725" s="11" t="n">
        <v>0</v>
      </c>
      <c r="K725" s="11" t="n">
        <f aca="false">H725*I725-J725</f>
        <v>390</v>
      </c>
      <c r="L725" s="7" t="s">
        <v>112</v>
      </c>
      <c r="M725" s="7" t="s">
        <v>194</v>
      </c>
      <c r="N725" s="7" t="n">
        <v>37</v>
      </c>
      <c r="O725" s="7" t="n">
        <v>4</v>
      </c>
    </row>
    <row r="726" customFormat="false" ht="15" hidden="false" customHeight="false" outlineLevel="0" collapsed="false">
      <c r="A726" s="7" t="s">
        <v>252</v>
      </c>
      <c r="B726" s="10" t="n">
        <v>45751</v>
      </c>
      <c r="C726" s="7" t="s">
        <v>254</v>
      </c>
      <c r="D726" s="7" t="s">
        <v>255</v>
      </c>
      <c r="E726" s="7" t="s">
        <v>122</v>
      </c>
      <c r="F726" s="7" t="s">
        <v>101</v>
      </c>
      <c r="G726" s="7" t="s">
        <v>123</v>
      </c>
      <c r="H726" s="7" t="n">
        <v>1</v>
      </c>
      <c r="I726" s="11" t="n">
        <v>255</v>
      </c>
      <c r="J726" s="11" t="n">
        <v>75</v>
      </c>
      <c r="K726" s="11" t="n">
        <f aca="false">H726*I726-J726</f>
        <v>180</v>
      </c>
      <c r="L726" s="7" t="s">
        <v>88</v>
      </c>
      <c r="M726" s="7" t="s">
        <v>194</v>
      </c>
      <c r="N726" s="7" t="n">
        <v>53</v>
      </c>
      <c r="O726" s="7" t="n">
        <v>2</v>
      </c>
    </row>
    <row r="727" customFormat="false" ht="15" hidden="false" customHeight="false" outlineLevel="0" collapsed="false">
      <c r="A727" s="7" t="s">
        <v>4793</v>
      </c>
      <c r="B727" s="10" t="n">
        <v>45751</v>
      </c>
      <c r="C727" s="7" t="s">
        <v>209</v>
      </c>
      <c r="D727" s="7" t="s">
        <v>4794</v>
      </c>
      <c r="E727" s="7" t="s">
        <v>144</v>
      </c>
      <c r="F727" s="7" t="s">
        <v>119</v>
      </c>
      <c r="G727" s="7" t="s">
        <v>99</v>
      </c>
      <c r="H727" s="7" t="n">
        <v>1</v>
      </c>
      <c r="I727" s="11" t="n">
        <v>370</v>
      </c>
      <c r="J727" s="11" t="n">
        <v>100</v>
      </c>
      <c r="K727" s="11" t="n">
        <f aca="false">H727*I727-J727</f>
        <v>270</v>
      </c>
      <c r="L727" s="7" t="s">
        <v>88</v>
      </c>
      <c r="M727" s="7" t="s">
        <v>194</v>
      </c>
      <c r="N727" s="7" t="n">
        <v>39</v>
      </c>
      <c r="O727" s="7" t="n">
        <v>4</v>
      </c>
    </row>
    <row r="728" customFormat="false" ht="15" hidden="false" customHeight="false" outlineLevel="0" collapsed="false">
      <c r="A728" s="7" t="s">
        <v>462</v>
      </c>
      <c r="B728" s="10" t="n">
        <v>45751</v>
      </c>
      <c r="C728" s="7" t="s">
        <v>463</v>
      </c>
      <c r="D728" s="7" t="s">
        <v>464</v>
      </c>
      <c r="E728" s="7" t="s">
        <v>151</v>
      </c>
      <c r="F728" s="7" t="s">
        <v>128</v>
      </c>
      <c r="G728" s="7" t="s">
        <v>95</v>
      </c>
      <c r="H728" s="7" t="n">
        <v>1</v>
      </c>
      <c r="I728" s="11" t="n">
        <v>170</v>
      </c>
      <c r="J728" s="11" t="n">
        <v>20</v>
      </c>
      <c r="K728" s="11" t="n">
        <f aca="false">H728*I728-J728</f>
        <v>150</v>
      </c>
      <c r="L728" s="7" t="s">
        <v>88</v>
      </c>
      <c r="M728" s="7" t="s">
        <v>194</v>
      </c>
      <c r="N728" s="7" t="n">
        <v>33</v>
      </c>
      <c r="O728" s="7" t="n">
        <v>5</v>
      </c>
    </row>
    <row r="729" customFormat="false" ht="15" hidden="false" customHeight="false" outlineLevel="0" collapsed="false">
      <c r="A729" s="7" t="s">
        <v>5474</v>
      </c>
      <c r="B729" s="10" t="n">
        <v>45752</v>
      </c>
      <c r="C729" s="7" t="s">
        <v>981</v>
      </c>
      <c r="D729" s="7" t="s">
        <v>438</v>
      </c>
      <c r="E729" s="7" t="s">
        <v>98</v>
      </c>
      <c r="F729" s="7" t="s">
        <v>86</v>
      </c>
      <c r="G729" s="7" t="s">
        <v>99</v>
      </c>
      <c r="H729" s="7" t="n">
        <v>2</v>
      </c>
      <c r="I729" s="11" t="n">
        <v>235</v>
      </c>
      <c r="J729" s="11" t="n">
        <v>75</v>
      </c>
      <c r="K729" s="11" t="n">
        <f aca="false">H729*I729-J729</f>
        <v>395</v>
      </c>
      <c r="L729" s="7" t="s">
        <v>88</v>
      </c>
      <c r="M729" s="7" t="s">
        <v>194</v>
      </c>
      <c r="N729" s="7" t="n">
        <v>40</v>
      </c>
      <c r="O729" s="7" t="n">
        <v>4</v>
      </c>
    </row>
    <row r="730" customFormat="false" ht="15" hidden="false" customHeight="false" outlineLevel="0" collapsed="false">
      <c r="A730" s="7" t="s">
        <v>3283</v>
      </c>
      <c r="B730" s="10" t="n">
        <v>45752</v>
      </c>
      <c r="C730" s="7" t="s">
        <v>327</v>
      </c>
      <c r="D730" s="7" t="s">
        <v>3284</v>
      </c>
      <c r="E730" s="7" t="s">
        <v>104</v>
      </c>
      <c r="F730" s="7" t="s">
        <v>86</v>
      </c>
      <c r="G730" s="7" t="s">
        <v>105</v>
      </c>
      <c r="H730" s="7" t="n">
        <v>3</v>
      </c>
      <c r="I730" s="11" t="n">
        <v>210</v>
      </c>
      <c r="J730" s="11" t="n">
        <v>0</v>
      </c>
      <c r="K730" s="11" t="n">
        <f aca="false">H730*I730-J730</f>
        <v>630</v>
      </c>
      <c r="L730" s="7" t="s">
        <v>88</v>
      </c>
      <c r="M730" s="7" t="s">
        <v>194</v>
      </c>
      <c r="N730" s="7" t="n">
        <v>36</v>
      </c>
      <c r="O730" s="7" t="n">
        <v>3</v>
      </c>
    </row>
    <row r="731" customFormat="false" ht="15" hidden="false" customHeight="false" outlineLevel="0" collapsed="false">
      <c r="A731" s="7" t="s">
        <v>1770</v>
      </c>
      <c r="B731" s="10" t="n">
        <v>45752</v>
      </c>
      <c r="C731" s="7" t="s">
        <v>1019</v>
      </c>
      <c r="D731" s="7" t="s">
        <v>1771</v>
      </c>
      <c r="E731" s="7" t="s">
        <v>89</v>
      </c>
      <c r="F731" s="7" t="s">
        <v>86</v>
      </c>
      <c r="G731" s="7" t="s">
        <v>90</v>
      </c>
      <c r="H731" s="7" t="n">
        <v>3</v>
      </c>
      <c r="I731" s="11" t="n">
        <v>245</v>
      </c>
      <c r="J731" s="11" t="n">
        <v>0</v>
      </c>
      <c r="K731" s="11" t="n">
        <f aca="false">H731*I731-J731</f>
        <v>735</v>
      </c>
      <c r="L731" s="7" t="s">
        <v>121</v>
      </c>
      <c r="M731" s="7" t="s">
        <v>194</v>
      </c>
      <c r="N731" s="7" t="n">
        <v>51</v>
      </c>
      <c r="O731" s="7" t="n">
        <v>4</v>
      </c>
    </row>
    <row r="732" customFormat="false" ht="15" hidden="false" customHeight="false" outlineLevel="0" collapsed="false">
      <c r="A732" s="7" t="s">
        <v>3927</v>
      </c>
      <c r="B732" s="10" t="n">
        <v>45752</v>
      </c>
      <c r="C732" s="7" t="s">
        <v>2402</v>
      </c>
      <c r="D732" s="7" t="s">
        <v>860</v>
      </c>
      <c r="E732" s="7" t="s">
        <v>163</v>
      </c>
      <c r="F732" s="7" t="s">
        <v>141</v>
      </c>
      <c r="G732" s="7" t="s">
        <v>99</v>
      </c>
      <c r="H732" s="7" t="n">
        <v>1</v>
      </c>
      <c r="I732" s="11" t="n">
        <v>310</v>
      </c>
      <c r="J732" s="11" t="n">
        <v>0</v>
      </c>
      <c r="K732" s="11" t="n">
        <f aca="false">H732*I732-J732</f>
        <v>310</v>
      </c>
      <c r="L732" s="7" t="s">
        <v>121</v>
      </c>
      <c r="M732" s="7" t="s">
        <v>194</v>
      </c>
      <c r="N732" s="7" t="n">
        <v>40</v>
      </c>
      <c r="O732" s="7" t="n">
        <v>2</v>
      </c>
    </row>
    <row r="733" customFormat="false" ht="15" hidden="false" customHeight="false" outlineLevel="0" collapsed="false">
      <c r="A733" s="7" t="s">
        <v>579</v>
      </c>
      <c r="B733" s="10" t="n">
        <v>45752</v>
      </c>
      <c r="C733" s="7" t="s">
        <v>581</v>
      </c>
      <c r="D733" s="7" t="s">
        <v>582</v>
      </c>
      <c r="E733" s="7" t="s">
        <v>94</v>
      </c>
      <c r="F733" s="7" t="s">
        <v>86</v>
      </c>
      <c r="G733" s="7" t="s">
        <v>95</v>
      </c>
      <c r="H733" s="7" t="n">
        <v>1</v>
      </c>
      <c r="I733" s="11" t="n">
        <v>100</v>
      </c>
      <c r="J733" s="11" t="n">
        <v>40</v>
      </c>
      <c r="K733" s="11" t="n">
        <f aca="false">H733*I733-J733</f>
        <v>60</v>
      </c>
      <c r="L733" s="7" t="s">
        <v>133</v>
      </c>
      <c r="M733" s="7" t="s">
        <v>194</v>
      </c>
      <c r="N733" s="7" t="n">
        <v>53</v>
      </c>
      <c r="O733" s="7" t="n">
        <v>3</v>
      </c>
    </row>
    <row r="734" customFormat="false" ht="15" hidden="false" customHeight="false" outlineLevel="0" collapsed="false">
      <c r="A734" s="7" t="s">
        <v>2782</v>
      </c>
      <c r="B734" s="10" t="n">
        <v>45752</v>
      </c>
      <c r="C734" s="7" t="s">
        <v>893</v>
      </c>
      <c r="D734" s="7" t="s">
        <v>2373</v>
      </c>
      <c r="E734" s="7" t="s">
        <v>104</v>
      </c>
      <c r="F734" s="7" t="s">
        <v>86</v>
      </c>
      <c r="G734" s="7" t="s">
        <v>105</v>
      </c>
      <c r="H734" s="7" t="n">
        <v>2</v>
      </c>
      <c r="I734" s="11" t="n">
        <v>215</v>
      </c>
      <c r="J734" s="11" t="n">
        <v>0</v>
      </c>
      <c r="K734" s="11" t="n">
        <f aca="false">H734*I734-J734</f>
        <v>430</v>
      </c>
      <c r="L734" s="7" t="s">
        <v>88</v>
      </c>
      <c r="M734" s="7" t="s">
        <v>194</v>
      </c>
      <c r="N734" s="7" t="n">
        <v>51</v>
      </c>
      <c r="O734" s="7" t="n">
        <v>1</v>
      </c>
    </row>
    <row r="735" customFormat="false" ht="15" hidden="false" customHeight="false" outlineLevel="0" collapsed="false">
      <c r="A735" s="7" t="s">
        <v>2368</v>
      </c>
      <c r="B735" s="10" t="n">
        <v>45752</v>
      </c>
      <c r="C735" s="7" t="s">
        <v>2369</v>
      </c>
      <c r="D735" s="7" t="s">
        <v>2370</v>
      </c>
      <c r="E735" s="7" t="s">
        <v>113</v>
      </c>
      <c r="F735" s="7" t="s">
        <v>101</v>
      </c>
      <c r="G735" s="7" t="s">
        <v>90</v>
      </c>
      <c r="H735" s="7" t="n">
        <v>2</v>
      </c>
      <c r="I735" s="11" t="n">
        <v>225</v>
      </c>
      <c r="J735" s="11" t="n">
        <v>0</v>
      </c>
      <c r="K735" s="11" t="n">
        <f aca="false">H735*I735-J735</f>
        <v>450</v>
      </c>
      <c r="L735" s="7" t="s">
        <v>93</v>
      </c>
      <c r="M735" s="7" t="s">
        <v>194</v>
      </c>
      <c r="N735" s="7" t="n">
        <v>52</v>
      </c>
      <c r="O735" s="7" t="n">
        <v>4</v>
      </c>
    </row>
    <row r="736" customFormat="false" ht="15" hidden="false" customHeight="false" outlineLevel="0" collapsed="false">
      <c r="A736" s="7" t="s">
        <v>2262</v>
      </c>
      <c r="B736" s="10" t="n">
        <v>45752</v>
      </c>
      <c r="C736" s="7" t="s">
        <v>2263</v>
      </c>
      <c r="D736" s="7" t="s">
        <v>1464</v>
      </c>
      <c r="E736" s="7" t="s">
        <v>159</v>
      </c>
      <c r="F736" s="7" t="s">
        <v>136</v>
      </c>
      <c r="G736" s="7" t="s">
        <v>90</v>
      </c>
      <c r="H736" s="7" t="n">
        <v>4</v>
      </c>
      <c r="I736" s="11" t="n">
        <v>170</v>
      </c>
      <c r="J736" s="11" t="n">
        <v>75</v>
      </c>
      <c r="K736" s="11" t="n">
        <f aca="false">H736*I736-J736</f>
        <v>605</v>
      </c>
      <c r="L736" s="7" t="s">
        <v>121</v>
      </c>
      <c r="M736" s="7" t="s">
        <v>194</v>
      </c>
      <c r="N736" s="7" t="n">
        <v>45</v>
      </c>
      <c r="O736" s="7" t="n">
        <v>5</v>
      </c>
    </row>
    <row r="737" customFormat="false" ht="15" hidden="false" customHeight="false" outlineLevel="0" collapsed="false">
      <c r="A737" s="7" t="s">
        <v>317</v>
      </c>
      <c r="B737" s="10" t="n">
        <v>45752</v>
      </c>
      <c r="C737" s="7" t="s">
        <v>319</v>
      </c>
      <c r="D737" s="7" t="s">
        <v>320</v>
      </c>
      <c r="E737" s="7" t="s">
        <v>154</v>
      </c>
      <c r="F737" s="7" t="s">
        <v>128</v>
      </c>
      <c r="G737" s="7" t="s">
        <v>99</v>
      </c>
      <c r="H737" s="7" t="n">
        <v>2</v>
      </c>
      <c r="I737" s="11" t="n">
        <v>295</v>
      </c>
      <c r="J737" s="11" t="n">
        <v>0</v>
      </c>
      <c r="K737" s="11" t="n">
        <f aca="false">H737*I737-J737</f>
        <v>590</v>
      </c>
      <c r="L737" s="7" t="s">
        <v>93</v>
      </c>
      <c r="M737" s="7" t="s">
        <v>194</v>
      </c>
      <c r="N737" s="7" t="n">
        <v>33</v>
      </c>
      <c r="O737" s="7" t="n">
        <v>5</v>
      </c>
    </row>
    <row r="738" customFormat="false" ht="15" hidden="false" customHeight="false" outlineLevel="0" collapsed="false">
      <c r="A738" s="7" t="s">
        <v>5272</v>
      </c>
      <c r="B738" s="10" t="n">
        <v>45752</v>
      </c>
      <c r="C738" s="7" t="s">
        <v>619</v>
      </c>
      <c r="D738" s="7" t="s">
        <v>3575</v>
      </c>
      <c r="E738" s="7" t="s">
        <v>160</v>
      </c>
      <c r="F738" s="7" t="s">
        <v>136</v>
      </c>
      <c r="G738" s="7" t="s">
        <v>150</v>
      </c>
      <c r="H738" s="7" t="n">
        <v>2</v>
      </c>
      <c r="I738" s="11" t="n">
        <v>170</v>
      </c>
      <c r="J738" s="11" t="n">
        <v>125</v>
      </c>
      <c r="K738" s="11" t="n">
        <f aca="false">H738*I738-J738</f>
        <v>215</v>
      </c>
      <c r="L738" s="7" t="s">
        <v>133</v>
      </c>
      <c r="M738" s="7" t="s">
        <v>194</v>
      </c>
      <c r="N738" s="7" t="n">
        <v>32</v>
      </c>
      <c r="O738" s="7" t="n">
        <v>4</v>
      </c>
    </row>
    <row r="739" customFormat="false" ht="15" hidden="false" customHeight="false" outlineLevel="0" collapsed="false">
      <c r="A739" s="7" t="s">
        <v>4356</v>
      </c>
      <c r="B739" s="10" t="n">
        <v>45753</v>
      </c>
      <c r="C739" s="7" t="s">
        <v>2688</v>
      </c>
      <c r="D739" s="7" t="s">
        <v>805</v>
      </c>
      <c r="E739" s="7" t="s">
        <v>159</v>
      </c>
      <c r="F739" s="7" t="s">
        <v>136</v>
      </c>
      <c r="G739" s="7" t="s">
        <v>90</v>
      </c>
      <c r="H739" s="7" t="n">
        <v>1</v>
      </c>
      <c r="I739" s="11" t="n">
        <v>250</v>
      </c>
      <c r="J739" s="11" t="n">
        <v>100</v>
      </c>
      <c r="K739" s="11" t="n">
        <f aca="false">H739*I739-J739</f>
        <v>150</v>
      </c>
      <c r="L739" s="7" t="s">
        <v>133</v>
      </c>
      <c r="M739" s="7" t="s">
        <v>194</v>
      </c>
      <c r="N739" s="7" t="n">
        <v>38</v>
      </c>
      <c r="O739" s="7" t="n">
        <v>3</v>
      </c>
    </row>
    <row r="740" customFormat="false" ht="15" hidden="false" customHeight="false" outlineLevel="0" collapsed="false">
      <c r="A740" s="7" t="s">
        <v>2859</v>
      </c>
      <c r="B740" s="10" t="n">
        <v>45753</v>
      </c>
      <c r="C740" s="7" t="s">
        <v>2860</v>
      </c>
      <c r="D740" s="7" t="s">
        <v>2861</v>
      </c>
      <c r="E740" s="7" t="s">
        <v>160</v>
      </c>
      <c r="F740" s="7" t="s">
        <v>136</v>
      </c>
      <c r="G740" s="7" t="s">
        <v>150</v>
      </c>
      <c r="H740" s="7" t="n">
        <v>3</v>
      </c>
      <c r="I740" s="11" t="n">
        <v>170</v>
      </c>
      <c r="J740" s="11" t="n">
        <v>0</v>
      </c>
      <c r="K740" s="11" t="n">
        <f aca="false">H740*I740-J740</f>
        <v>510</v>
      </c>
      <c r="L740" s="7" t="s">
        <v>88</v>
      </c>
      <c r="M740" s="7" t="s">
        <v>194</v>
      </c>
      <c r="N740" s="7" t="n">
        <v>28</v>
      </c>
      <c r="O740" s="7" t="n">
        <v>4</v>
      </c>
    </row>
    <row r="741" customFormat="false" ht="15" hidden="false" customHeight="false" outlineLevel="0" collapsed="false">
      <c r="A741" s="7" t="s">
        <v>4756</v>
      </c>
      <c r="B741" s="10" t="n">
        <v>45753</v>
      </c>
      <c r="C741" s="7" t="s">
        <v>724</v>
      </c>
      <c r="D741" s="7" t="s">
        <v>456</v>
      </c>
      <c r="E741" s="7" t="s">
        <v>104</v>
      </c>
      <c r="F741" s="7" t="s">
        <v>86</v>
      </c>
      <c r="G741" s="7" t="s">
        <v>105</v>
      </c>
      <c r="H741" s="7" t="n">
        <v>1</v>
      </c>
      <c r="I741" s="11" t="n">
        <v>215</v>
      </c>
      <c r="J741" s="11" t="n">
        <v>86</v>
      </c>
      <c r="K741" s="11" t="n">
        <f aca="false">H741*I741-J741</f>
        <v>129</v>
      </c>
      <c r="L741" s="7" t="s">
        <v>88</v>
      </c>
      <c r="M741" s="7" t="s">
        <v>194</v>
      </c>
      <c r="N741" s="7" t="n">
        <v>45</v>
      </c>
      <c r="O741" s="7" t="n">
        <v>4</v>
      </c>
    </row>
    <row r="742" customFormat="false" ht="15" hidden="false" customHeight="false" outlineLevel="0" collapsed="false">
      <c r="A742" s="7" t="s">
        <v>1085</v>
      </c>
      <c r="B742" s="10" t="n">
        <v>45753</v>
      </c>
      <c r="C742" s="7" t="s">
        <v>1087</v>
      </c>
      <c r="D742" s="7" t="s">
        <v>1088</v>
      </c>
      <c r="E742" s="7" t="s">
        <v>113</v>
      </c>
      <c r="F742" s="7" t="s">
        <v>101</v>
      </c>
      <c r="G742" s="7" t="s">
        <v>90</v>
      </c>
      <c r="H742" s="7" t="n">
        <v>2</v>
      </c>
      <c r="I742" s="11" t="n">
        <v>225</v>
      </c>
      <c r="J742" s="11" t="n">
        <v>75</v>
      </c>
      <c r="K742" s="11" t="n">
        <f aca="false">H742*I742-J742</f>
        <v>375</v>
      </c>
      <c r="L742" s="7" t="s">
        <v>93</v>
      </c>
      <c r="M742" s="7" t="s">
        <v>194</v>
      </c>
      <c r="N742" s="7" t="n">
        <v>56</v>
      </c>
      <c r="O742" s="7" t="n">
        <v>2</v>
      </c>
    </row>
    <row r="743" customFormat="false" ht="15" hidden="false" customHeight="false" outlineLevel="0" collapsed="false">
      <c r="A743" s="7" t="s">
        <v>4061</v>
      </c>
      <c r="B743" s="10" t="n">
        <v>45753</v>
      </c>
      <c r="C743" s="7" t="s">
        <v>961</v>
      </c>
      <c r="D743" s="7" t="s">
        <v>1917</v>
      </c>
      <c r="E743" s="7" t="s">
        <v>104</v>
      </c>
      <c r="F743" s="7" t="s">
        <v>86</v>
      </c>
      <c r="G743" s="7" t="s">
        <v>105</v>
      </c>
      <c r="H743" s="7" t="n">
        <v>4</v>
      </c>
      <c r="I743" s="11" t="n">
        <v>235</v>
      </c>
      <c r="J743" s="11" t="n">
        <v>75</v>
      </c>
      <c r="K743" s="11" t="n">
        <f aca="false">H743*I743-J743</f>
        <v>865</v>
      </c>
      <c r="L743" s="7" t="s">
        <v>93</v>
      </c>
      <c r="M743" s="7" t="s">
        <v>194</v>
      </c>
      <c r="N743" s="7" t="n">
        <v>42</v>
      </c>
      <c r="O743" s="7" t="n">
        <v>4</v>
      </c>
    </row>
    <row r="744" customFormat="false" ht="15" hidden="false" customHeight="false" outlineLevel="0" collapsed="false">
      <c r="A744" s="7" t="s">
        <v>6101</v>
      </c>
      <c r="B744" s="10" t="n">
        <v>45753</v>
      </c>
      <c r="C744" s="7" t="s">
        <v>2083</v>
      </c>
      <c r="D744" s="7" t="s">
        <v>1322</v>
      </c>
      <c r="E744" s="7" t="s">
        <v>113</v>
      </c>
      <c r="F744" s="7" t="s">
        <v>101</v>
      </c>
      <c r="G744" s="7" t="s">
        <v>90</v>
      </c>
      <c r="H744" s="7" t="n">
        <v>4</v>
      </c>
      <c r="I744" s="11" t="n">
        <v>235</v>
      </c>
      <c r="J744" s="11" t="n">
        <v>0</v>
      </c>
      <c r="K744" s="11" t="n">
        <f aca="false">H744*I744-J744</f>
        <v>940</v>
      </c>
      <c r="L744" s="7" t="s">
        <v>121</v>
      </c>
      <c r="M744" s="7" t="s">
        <v>238</v>
      </c>
      <c r="N744" s="7"/>
      <c r="O744" s="7"/>
    </row>
    <row r="745" customFormat="false" ht="15" hidden="false" customHeight="false" outlineLevel="0" collapsed="false">
      <c r="A745" s="7" t="s">
        <v>2015</v>
      </c>
      <c r="B745" s="10" t="n">
        <v>45754</v>
      </c>
      <c r="C745" s="7" t="s">
        <v>2016</v>
      </c>
      <c r="D745" s="7" t="s">
        <v>2017</v>
      </c>
      <c r="E745" s="7" t="s">
        <v>148</v>
      </c>
      <c r="F745" s="7" t="s">
        <v>119</v>
      </c>
      <c r="G745" s="7" t="s">
        <v>123</v>
      </c>
      <c r="H745" s="7" t="n">
        <v>1</v>
      </c>
      <c r="I745" s="11" t="n">
        <v>305</v>
      </c>
      <c r="J745" s="11" t="n">
        <v>75</v>
      </c>
      <c r="K745" s="11" t="n">
        <f aca="false">H745*I745-J745</f>
        <v>230</v>
      </c>
      <c r="L745" s="7" t="s">
        <v>112</v>
      </c>
      <c r="M745" s="7" t="s">
        <v>194</v>
      </c>
      <c r="N745" s="7" t="n">
        <v>33</v>
      </c>
      <c r="O745" s="7" t="n">
        <v>4</v>
      </c>
    </row>
    <row r="746" customFormat="false" ht="15" hidden="false" customHeight="false" outlineLevel="0" collapsed="false">
      <c r="A746" s="7" t="s">
        <v>5512</v>
      </c>
      <c r="B746" s="10" t="n">
        <v>45754</v>
      </c>
      <c r="C746" s="7" t="s">
        <v>1692</v>
      </c>
      <c r="D746" s="7" t="s">
        <v>5514</v>
      </c>
      <c r="E746" s="7" t="s">
        <v>161</v>
      </c>
      <c r="F746" s="7" t="s">
        <v>141</v>
      </c>
      <c r="G746" s="7" t="s">
        <v>117</v>
      </c>
      <c r="H746" s="7" t="n">
        <v>3</v>
      </c>
      <c r="I746" s="11" t="n">
        <v>130</v>
      </c>
      <c r="J746" s="11" t="n">
        <v>125</v>
      </c>
      <c r="K746" s="11" t="n">
        <f aca="false">H746*I746-J746</f>
        <v>265</v>
      </c>
      <c r="L746" s="7" t="s">
        <v>112</v>
      </c>
      <c r="M746" s="7" t="s">
        <v>194</v>
      </c>
      <c r="N746" s="7" t="n">
        <v>34</v>
      </c>
      <c r="O746" s="7" t="n">
        <v>5</v>
      </c>
    </row>
    <row r="747" customFormat="false" ht="15" hidden="false" customHeight="false" outlineLevel="0" collapsed="false">
      <c r="A747" s="7" t="s">
        <v>3043</v>
      </c>
      <c r="B747" s="10" t="n">
        <v>45754</v>
      </c>
      <c r="C747" s="7" t="s">
        <v>399</v>
      </c>
      <c r="D747" s="7" t="s">
        <v>2198</v>
      </c>
      <c r="E747" s="7" t="s">
        <v>147</v>
      </c>
      <c r="F747" s="7" t="s">
        <v>119</v>
      </c>
      <c r="G747" s="7" t="s">
        <v>95</v>
      </c>
      <c r="H747" s="7" t="n">
        <v>1</v>
      </c>
      <c r="I747" s="11" t="n">
        <v>155</v>
      </c>
      <c r="J747" s="11" t="n">
        <v>62</v>
      </c>
      <c r="K747" s="11" t="n">
        <f aca="false">H747*I747-J747</f>
        <v>93</v>
      </c>
      <c r="L747" s="7" t="s">
        <v>88</v>
      </c>
      <c r="M747" s="7" t="s">
        <v>194</v>
      </c>
      <c r="N747" s="7" t="n">
        <v>39</v>
      </c>
      <c r="O747" s="7" t="n">
        <v>4</v>
      </c>
    </row>
    <row r="748" customFormat="false" ht="15" hidden="false" customHeight="false" outlineLevel="0" collapsed="false">
      <c r="A748" s="7" t="s">
        <v>6137</v>
      </c>
      <c r="B748" s="10" t="n">
        <v>45754</v>
      </c>
      <c r="C748" s="7" t="s">
        <v>1615</v>
      </c>
      <c r="D748" s="7" t="s">
        <v>2238</v>
      </c>
      <c r="E748" s="7" t="s">
        <v>126</v>
      </c>
      <c r="F748" s="7" t="s">
        <v>101</v>
      </c>
      <c r="G748" s="7" t="s">
        <v>105</v>
      </c>
      <c r="H748" s="7" t="n">
        <v>5</v>
      </c>
      <c r="I748" s="11" t="n">
        <v>265</v>
      </c>
      <c r="J748" s="11" t="n">
        <v>0</v>
      </c>
      <c r="K748" s="11" t="n">
        <f aca="false">H748*I748-J748</f>
        <v>1325</v>
      </c>
      <c r="L748" s="7" t="s">
        <v>93</v>
      </c>
      <c r="M748" s="7" t="s">
        <v>194</v>
      </c>
      <c r="N748" s="7" t="n">
        <v>40</v>
      </c>
      <c r="O748" s="7" t="n">
        <v>5</v>
      </c>
    </row>
    <row r="749" customFormat="false" ht="15" hidden="false" customHeight="false" outlineLevel="0" collapsed="false">
      <c r="A749" s="7" t="s">
        <v>6113</v>
      </c>
      <c r="B749" s="10" t="n">
        <v>45754</v>
      </c>
      <c r="C749" s="7" t="s">
        <v>4383</v>
      </c>
      <c r="D749" s="7" t="s">
        <v>2370</v>
      </c>
      <c r="E749" s="7" t="s">
        <v>130</v>
      </c>
      <c r="F749" s="7" t="s">
        <v>110</v>
      </c>
      <c r="G749" s="7" t="s">
        <v>90</v>
      </c>
      <c r="H749" s="7" t="n">
        <v>2</v>
      </c>
      <c r="I749" s="11" t="n">
        <v>240</v>
      </c>
      <c r="J749" s="11" t="n">
        <v>0</v>
      </c>
      <c r="K749" s="11" t="n">
        <f aca="false">H749*I749-J749</f>
        <v>480</v>
      </c>
      <c r="L749" s="7" t="s">
        <v>133</v>
      </c>
      <c r="M749" s="7" t="s">
        <v>194</v>
      </c>
      <c r="N749" s="7" t="n">
        <v>52</v>
      </c>
      <c r="O749" s="7"/>
    </row>
    <row r="750" customFormat="false" ht="15" hidden="false" customHeight="false" outlineLevel="0" collapsed="false">
      <c r="A750" s="7" t="s">
        <v>3658</v>
      </c>
      <c r="B750" s="10" t="n">
        <v>45754</v>
      </c>
      <c r="C750" s="7" t="s">
        <v>1219</v>
      </c>
      <c r="D750" s="7" t="s">
        <v>3659</v>
      </c>
      <c r="E750" s="7" t="s">
        <v>126</v>
      </c>
      <c r="F750" s="7" t="s">
        <v>101</v>
      </c>
      <c r="G750" s="7" t="s">
        <v>105</v>
      </c>
      <c r="H750" s="7" t="n">
        <v>1</v>
      </c>
      <c r="I750" s="11" t="n">
        <v>255</v>
      </c>
      <c r="J750" s="11" t="n">
        <v>0</v>
      </c>
      <c r="K750" s="11" t="n">
        <f aca="false">H750*I750-J750</f>
        <v>255</v>
      </c>
      <c r="L750" s="7" t="s">
        <v>93</v>
      </c>
      <c r="M750" s="7" t="s">
        <v>194</v>
      </c>
      <c r="N750" s="7" t="n">
        <v>46</v>
      </c>
      <c r="O750" s="7" t="n">
        <v>4</v>
      </c>
    </row>
    <row r="751" customFormat="false" ht="15" hidden="false" customHeight="false" outlineLevel="0" collapsed="false">
      <c r="A751" s="7" t="s">
        <v>5499</v>
      </c>
      <c r="B751" s="10" t="n">
        <v>45754</v>
      </c>
      <c r="C751" s="7" t="s">
        <v>490</v>
      </c>
      <c r="D751" s="7" t="s">
        <v>3998</v>
      </c>
      <c r="E751" s="7" t="s">
        <v>148</v>
      </c>
      <c r="F751" s="7" t="s">
        <v>119</v>
      </c>
      <c r="G751" s="7" t="s">
        <v>123</v>
      </c>
      <c r="H751" s="7" t="n">
        <v>1</v>
      </c>
      <c r="I751" s="11" t="n">
        <v>330</v>
      </c>
      <c r="J751" s="11" t="n">
        <v>132</v>
      </c>
      <c r="K751" s="11" t="n">
        <f aca="false">H751*I751-J751</f>
        <v>198</v>
      </c>
      <c r="L751" s="7" t="s">
        <v>112</v>
      </c>
      <c r="M751" s="7" t="s">
        <v>194</v>
      </c>
      <c r="N751" s="7" t="n">
        <v>26</v>
      </c>
      <c r="O751" s="7" t="n">
        <v>5</v>
      </c>
    </row>
    <row r="752" customFormat="false" ht="15" hidden="false" customHeight="false" outlineLevel="0" collapsed="false">
      <c r="A752" s="7" t="s">
        <v>2126</v>
      </c>
      <c r="B752" s="10" t="n">
        <v>45754</v>
      </c>
      <c r="C752" s="7" t="s">
        <v>622</v>
      </c>
      <c r="D752" s="7" t="s">
        <v>2127</v>
      </c>
      <c r="E752" s="7" t="s">
        <v>98</v>
      </c>
      <c r="F752" s="7" t="s">
        <v>86</v>
      </c>
      <c r="G752" s="7" t="s">
        <v>99</v>
      </c>
      <c r="H752" s="7" t="n">
        <v>1</v>
      </c>
      <c r="I752" s="11" t="n">
        <v>230</v>
      </c>
      <c r="J752" s="11" t="n">
        <v>92</v>
      </c>
      <c r="K752" s="11" t="n">
        <f aca="false">H752*I752-J752</f>
        <v>138</v>
      </c>
      <c r="L752" s="7" t="s">
        <v>93</v>
      </c>
      <c r="M752" s="7" t="s">
        <v>194</v>
      </c>
      <c r="N752" s="7" t="n">
        <v>57</v>
      </c>
      <c r="O752" s="7" t="n">
        <v>3</v>
      </c>
    </row>
    <row r="753" customFormat="false" ht="15" hidden="false" customHeight="false" outlineLevel="0" collapsed="false">
      <c r="A753" s="7" t="s">
        <v>2813</v>
      </c>
      <c r="B753" s="10" t="n">
        <v>45754</v>
      </c>
      <c r="C753" s="7" t="s">
        <v>1180</v>
      </c>
      <c r="D753" s="7" t="s">
        <v>2814</v>
      </c>
      <c r="E753" s="7" t="s">
        <v>161</v>
      </c>
      <c r="F753" s="7" t="s">
        <v>141</v>
      </c>
      <c r="G753" s="7" t="s">
        <v>117</v>
      </c>
      <c r="H753" s="7" t="n">
        <v>5</v>
      </c>
      <c r="I753" s="11" t="n">
        <v>115</v>
      </c>
      <c r="J753" s="11" t="n">
        <v>0</v>
      </c>
      <c r="K753" s="11" t="n">
        <f aca="false">H753*I753-J753</f>
        <v>575</v>
      </c>
      <c r="L753" s="7" t="s">
        <v>88</v>
      </c>
      <c r="M753" s="7" t="s">
        <v>194</v>
      </c>
      <c r="N753" s="7" t="n">
        <v>31</v>
      </c>
      <c r="O753" s="7" t="n">
        <v>4</v>
      </c>
    </row>
    <row r="754" customFormat="false" ht="15" hidden="false" customHeight="false" outlineLevel="0" collapsed="false">
      <c r="A754" s="7" t="s">
        <v>699</v>
      </c>
      <c r="B754" s="10" t="n">
        <v>45754</v>
      </c>
      <c r="C754" s="7" t="s">
        <v>319</v>
      </c>
      <c r="D754" s="7" t="s">
        <v>701</v>
      </c>
      <c r="E754" s="7" t="s">
        <v>152</v>
      </c>
      <c r="F754" s="7" t="s">
        <v>128</v>
      </c>
      <c r="G754" s="7" t="s">
        <v>95</v>
      </c>
      <c r="H754" s="7" t="n">
        <v>1</v>
      </c>
      <c r="I754" s="11" t="n">
        <v>100</v>
      </c>
      <c r="J754" s="11" t="n">
        <v>40</v>
      </c>
      <c r="K754" s="11" t="n">
        <f aca="false">H754*I754-J754</f>
        <v>60</v>
      </c>
      <c r="L754" s="7" t="s">
        <v>88</v>
      </c>
      <c r="M754" s="7" t="s">
        <v>194</v>
      </c>
      <c r="N754" s="7" t="n">
        <v>28</v>
      </c>
      <c r="O754" s="7" t="n">
        <v>3</v>
      </c>
    </row>
    <row r="755" customFormat="false" ht="15" hidden="false" customHeight="false" outlineLevel="0" collapsed="false">
      <c r="A755" s="7" t="s">
        <v>1519</v>
      </c>
      <c r="B755" s="10" t="n">
        <v>45755</v>
      </c>
      <c r="C755" s="7" t="s">
        <v>1520</v>
      </c>
      <c r="D755" s="7" t="s">
        <v>1521</v>
      </c>
      <c r="E755" s="7" t="s">
        <v>151</v>
      </c>
      <c r="F755" s="7" t="s">
        <v>128</v>
      </c>
      <c r="G755" s="7" t="s">
        <v>95</v>
      </c>
      <c r="H755" s="7" t="n">
        <v>1</v>
      </c>
      <c r="I755" s="11" t="n">
        <v>195</v>
      </c>
      <c r="J755" s="11" t="n">
        <v>30</v>
      </c>
      <c r="K755" s="11" t="n">
        <f aca="false">H755*I755-J755</f>
        <v>165</v>
      </c>
      <c r="L755" s="7" t="s">
        <v>88</v>
      </c>
      <c r="M755" s="7" t="s">
        <v>194</v>
      </c>
      <c r="N755" s="7" t="n">
        <v>33</v>
      </c>
      <c r="O755" s="7" t="n">
        <v>5</v>
      </c>
    </row>
    <row r="756" customFormat="false" ht="15" hidden="false" customHeight="false" outlineLevel="0" collapsed="false">
      <c r="A756" s="7" t="s">
        <v>5073</v>
      </c>
      <c r="B756" s="10" t="n">
        <v>45755</v>
      </c>
      <c r="C756" s="7" t="s">
        <v>1478</v>
      </c>
      <c r="D756" s="7" t="s">
        <v>1792</v>
      </c>
      <c r="E756" s="7" t="s">
        <v>116</v>
      </c>
      <c r="F756" s="7" t="s">
        <v>101</v>
      </c>
      <c r="G756" s="7" t="s">
        <v>117</v>
      </c>
      <c r="H756" s="7" t="n">
        <v>1</v>
      </c>
      <c r="I756" s="11" t="n">
        <v>140</v>
      </c>
      <c r="J756" s="11" t="n">
        <v>0</v>
      </c>
      <c r="K756" s="11" t="n">
        <f aca="false">H756*I756-J756</f>
        <v>140</v>
      </c>
      <c r="L756" s="7" t="s">
        <v>133</v>
      </c>
      <c r="M756" s="7" t="s">
        <v>194</v>
      </c>
      <c r="N756" s="7" t="n">
        <v>57</v>
      </c>
      <c r="O756" s="7" t="n">
        <v>3</v>
      </c>
    </row>
    <row r="757" customFormat="false" ht="15" hidden="false" customHeight="false" outlineLevel="0" collapsed="false">
      <c r="A757" s="7" t="s">
        <v>6128</v>
      </c>
      <c r="B757" s="10" t="n">
        <v>45755</v>
      </c>
      <c r="C757" s="7" t="s">
        <v>4353</v>
      </c>
      <c r="D757" s="7" t="s">
        <v>2421</v>
      </c>
      <c r="E757" s="7" t="s">
        <v>116</v>
      </c>
      <c r="F757" s="7" t="s">
        <v>101</v>
      </c>
      <c r="G757" s="7" t="s">
        <v>117</v>
      </c>
      <c r="H757" s="7" t="n">
        <v>1</v>
      </c>
      <c r="I757" s="11" t="n">
        <v>120</v>
      </c>
      <c r="J757" s="11" t="n">
        <v>0</v>
      </c>
      <c r="K757" s="11" t="n">
        <f aca="false">H757*I757-J757</f>
        <v>120</v>
      </c>
      <c r="L757" s="7" t="s">
        <v>112</v>
      </c>
      <c r="M757" s="7" t="s">
        <v>194</v>
      </c>
      <c r="N757" s="7" t="n">
        <v>50</v>
      </c>
      <c r="O757" s="7" t="n">
        <v>4</v>
      </c>
    </row>
    <row r="758" customFormat="false" ht="15" hidden="false" customHeight="false" outlineLevel="0" collapsed="false">
      <c r="A758" s="7" t="s">
        <v>1323</v>
      </c>
      <c r="B758" s="10" t="n">
        <v>45755</v>
      </c>
      <c r="C758" s="7" t="s">
        <v>1325</v>
      </c>
      <c r="D758" s="7" t="s">
        <v>1326</v>
      </c>
      <c r="E758" s="7" t="s">
        <v>168</v>
      </c>
      <c r="F758" s="7" t="s">
        <v>146</v>
      </c>
      <c r="G758" s="7" t="s">
        <v>123</v>
      </c>
      <c r="H758" s="7" t="n">
        <v>2</v>
      </c>
      <c r="I758" s="11" t="n">
        <v>300</v>
      </c>
      <c r="J758" s="11" t="n">
        <v>150</v>
      </c>
      <c r="K758" s="11" t="n">
        <f aca="false">H758*I758-J758</f>
        <v>450</v>
      </c>
      <c r="L758" s="7" t="s">
        <v>133</v>
      </c>
      <c r="M758" s="7" t="s">
        <v>194</v>
      </c>
      <c r="N758" s="7" t="n">
        <v>31</v>
      </c>
      <c r="O758" s="7" t="n">
        <v>4</v>
      </c>
    </row>
    <row r="759" customFormat="false" ht="15" hidden="false" customHeight="false" outlineLevel="0" collapsed="false">
      <c r="A759" s="7" t="s">
        <v>4467</v>
      </c>
      <c r="B759" s="10" t="n">
        <v>45755</v>
      </c>
      <c r="C759" s="7" t="s">
        <v>686</v>
      </c>
      <c r="D759" s="7" t="s">
        <v>1705</v>
      </c>
      <c r="E759" s="7" t="s">
        <v>130</v>
      </c>
      <c r="F759" s="7" t="s">
        <v>110</v>
      </c>
      <c r="G759" s="7" t="s">
        <v>90</v>
      </c>
      <c r="H759" s="7" t="n">
        <v>1</v>
      </c>
      <c r="I759" s="11" t="n">
        <v>270</v>
      </c>
      <c r="J759" s="11" t="n">
        <v>108</v>
      </c>
      <c r="K759" s="11" t="n">
        <f aca="false">H759*I759-J759</f>
        <v>162</v>
      </c>
      <c r="L759" s="7" t="s">
        <v>112</v>
      </c>
      <c r="M759" s="7" t="s">
        <v>194</v>
      </c>
      <c r="N759" s="7" t="n">
        <v>37</v>
      </c>
      <c r="O759" s="7" t="n">
        <v>4</v>
      </c>
    </row>
    <row r="760" customFormat="false" ht="15" hidden="false" customHeight="false" outlineLevel="0" collapsed="false">
      <c r="A760" s="7" t="s">
        <v>5410</v>
      </c>
      <c r="B760" s="10" t="n">
        <v>45755</v>
      </c>
      <c r="C760" s="7" t="s">
        <v>1704</v>
      </c>
      <c r="D760" s="7" t="s">
        <v>495</v>
      </c>
      <c r="E760" s="7" t="s">
        <v>104</v>
      </c>
      <c r="F760" s="7" t="s">
        <v>86</v>
      </c>
      <c r="G760" s="7" t="s">
        <v>105</v>
      </c>
      <c r="H760" s="7" t="n">
        <v>3</v>
      </c>
      <c r="I760" s="11" t="n">
        <v>215</v>
      </c>
      <c r="J760" s="11" t="n">
        <v>0</v>
      </c>
      <c r="K760" s="11" t="n">
        <f aca="false">H760*I760-J760</f>
        <v>645</v>
      </c>
      <c r="L760" s="7" t="s">
        <v>103</v>
      </c>
      <c r="M760" s="7" t="s">
        <v>194</v>
      </c>
      <c r="N760" s="7" t="n">
        <v>32</v>
      </c>
      <c r="O760" s="7" t="n">
        <v>4</v>
      </c>
    </row>
    <row r="761" customFormat="false" ht="15" hidden="false" customHeight="false" outlineLevel="0" collapsed="false">
      <c r="A761" s="7" t="s">
        <v>5349</v>
      </c>
      <c r="B761" s="10" t="n">
        <v>45755</v>
      </c>
      <c r="C761" s="7" t="s">
        <v>1565</v>
      </c>
      <c r="D761" s="7" t="s">
        <v>2290</v>
      </c>
      <c r="E761" s="7" t="s">
        <v>138</v>
      </c>
      <c r="F761" s="7" t="s">
        <v>110</v>
      </c>
      <c r="G761" s="7" t="s">
        <v>139</v>
      </c>
      <c r="H761" s="7" t="n">
        <v>4</v>
      </c>
      <c r="I761" s="11" t="n">
        <v>225</v>
      </c>
      <c r="J761" s="11" t="n">
        <v>100</v>
      </c>
      <c r="K761" s="11" t="n">
        <f aca="false">H761*I761-J761</f>
        <v>800</v>
      </c>
      <c r="L761" s="7" t="s">
        <v>112</v>
      </c>
      <c r="M761" s="7" t="s">
        <v>194</v>
      </c>
      <c r="N761" s="7" t="n">
        <v>43</v>
      </c>
      <c r="O761" s="7"/>
    </row>
    <row r="762" customFormat="false" ht="15" hidden="false" customHeight="false" outlineLevel="0" collapsed="false">
      <c r="A762" s="7" t="s">
        <v>4833</v>
      </c>
      <c r="B762" s="10" t="n">
        <v>45756</v>
      </c>
      <c r="C762" s="7" t="s">
        <v>4834</v>
      </c>
      <c r="D762" s="7" t="s">
        <v>4835</v>
      </c>
      <c r="E762" s="7" t="s">
        <v>138</v>
      </c>
      <c r="F762" s="7" t="s">
        <v>110</v>
      </c>
      <c r="G762" s="7" t="s">
        <v>139</v>
      </c>
      <c r="H762" s="7" t="n">
        <v>3</v>
      </c>
      <c r="I762" s="11" t="n">
        <v>200</v>
      </c>
      <c r="J762" s="11" t="n">
        <v>0</v>
      </c>
      <c r="K762" s="11" t="n">
        <f aca="false">H762*I762-J762</f>
        <v>600</v>
      </c>
      <c r="L762" s="7" t="s">
        <v>103</v>
      </c>
      <c r="M762" s="7" t="s">
        <v>238</v>
      </c>
      <c r="N762" s="7"/>
      <c r="O762" s="7"/>
    </row>
    <row r="763" customFormat="false" ht="15" hidden="false" customHeight="false" outlineLevel="0" collapsed="false">
      <c r="A763" s="7" t="s">
        <v>2761</v>
      </c>
      <c r="B763" s="10" t="n">
        <v>45756</v>
      </c>
      <c r="C763" s="7" t="s">
        <v>2762</v>
      </c>
      <c r="D763" s="7" t="s">
        <v>2763</v>
      </c>
      <c r="E763" s="7" t="s">
        <v>161</v>
      </c>
      <c r="F763" s="7" t="s">
        <v>141</v>
      </c>
      <c r="G763" s="7" t="s">
        <v>117</v>
      </c>
      <c r="H763" s="7" t="n">
        <v>5</v>
      </c>
      <c r="I763" s="11" t="n">
        <v>120</v>
      </c>
      <c r="J763" s="11" t="n">
        <v>100</v>
      </c>
      <c r="K763" s="11" t="n">
        <f aca="false">H763*I763-J763</f>
        <v>500</v>
      </c>
      <c r="L763" s="7" t="s">
        <v>112</v>
      </c>
      <c r="M763" s="7" t="s">
        <v>194</v>
      </c>
      <c r="N763" s="7" t="n">
        <v>38</v>
      </c>
      <c r="O763" s="7" t="n">
        <v>5</v>
      </c>
    </row>
    <row r="764" customFormat="false" ht="15" hidden="false" customHeight="false" outlineLevel="0" collapsed="false">
      <c r="A764" s="7" t="s">
        <v>3166</v>
      </c>
      <c r="B764" s="10" t="n">
        <v>45756</v>
      </c>
      <c r="C764" s="7" t="s">
        <v>3167</v>
      </c>
      <c r="D764" s="7" t="s">
        <v>884</v>
      </c>
      <c r="E764" s="7" t="s">
        <v>160</v>
      </c>
      <c r="F764" s="7" t="s">
        <v>136</v>
      </c>
      <c r="G764" s="7" t="s">
        <v>150</v>
      </c>
      <c r="H764" s="7" t="n">
        <v>3</v>
      </c>
      <c r="I764" s="11" t="n">
        <v>180</v>
      </c>
      <c r="J764" s="11" t="n">
        <v>30</v>
      </c>
      <c r="K764" s="11" t="n">
        <f aca="false">H764*I764-J764</f>
        <v>510</v>
      </c>
      <c r="L764" s="7" t="s">
        <v>112</v>
      </c>
      <c r="M764" s="7" t="s">
        <v>194</v>
      </c>
      <c r="N764" s="7" t="n">
        <v>33</v>
      </c>
      <c r="O764" s="7" t="n">
        <v>3</v>
      </c>
    </row>
    <row r="765" customFormat="false" ht="15" hidden="false" customHeight="false" outlineLevel="0" collapsed="false">
      <c r="A765" s="7" t="s">
        <v>2995</v>
      </c>
      <c r="B765" s="10" t="n">
        <v>45756</v>
      </c>
      <c r="C765" s="7" t="s">
        <v>2996</v>
      </c>
      <c r="D765" s="7" t="s">
        <v>1573</v>
      </c>
      <c r="E765" s="7" t="s">
        <v>130</v>
      </c>
      <c r="F765" s="7" t="s">
        <v>110</v>
      </c>
      <c r="G765" s="7" t="s">
        <v>90</v>
      </c>
      <c r="H765" s="7" t="n">
        <v>2</v>
      </c>
      <c r="I765" s="11" t="n">
        <v>265</v>
      </c>
      <c r="J765" s="11" t="n">
        <v>150</v>
      </c>
      <c r="K765" s="11" t="n">
        <f aca="false">H765*I765-J765</f>
        <v>380</v>
      </c>
      <c r="L765" s="7" t="s">
        <v>88</v>
      </c>
      <c r="M765" s="7" t="s">
        <v>194</v>
      </c>
      <c r="N765" s="7" t="n">
        <v>29</v>
      </c>
      <c r="O765" s="7" t="n">
        <v>3</v>
      </c>
    </row>
    <row r="766" customFormat="false" ht="15" hidden="false" customHeight="false" outlineLevel="0" collapsed="false">
      <c r="A766" s="7" t="s">
        <v>4991</v>
      </c>
      <c r="B766" s="10" t="n">
        <v>45756</v>
      </c>
      <c r="C766" s="7" t="s">
        <v>3083</v>
      </c>
      <c r="D766" s="7" t="s">
        <v>4992</v>
      </c>
      <c r="E766" s="7" t="s">
        <v>130</v>
      </c>
      <c r="F766" s="7" t="s">
        <v>110</v>
      </c>
      <c r="G766" s="7" t="s">
        <v>90</v>
      </c>
      <c r="H766" s="7" t="n">
        <v>4</v>
      </c>
      <c r="I766" s="11" t="n">
        <v>245</v>
      </c>
      <c r="J766" s="11" t="n">
        <v>0</v>
      </c>
      <c r="K766" s="11" t="n">
        <f aca="false">H766*I766-J766</f>
        <v>980</v>
      </c>
      <c r="L766" s="7" t="s">
        <v>93</v>
      </c>
      <c r="M766" s="7" t="s">
        <v>194</v>
      </c>
      <c r="N766" s="7" t="n">
        <v>31</v>
      </c>
      <c r="O766" s="7" t="n">
        <v>3</v>
      </c>
    </row>
    <row r="767" customFormat="false" ht="15" hidden="false" customHeight="false" outlineLevel="0" collapsed="false">
      <c r="A767" s="7" t="s">
        <v>4116</v>
      </c>
      <c r="B767" s="10" t="n">
        <v>45756</v>
      </c>
      <c r="C767" s="7" t="s">
        <v>2602</v>
      </c>
      <c r="D767" s="7" t="s">
        <v>4117</v>
      </c>
      <c r="E767" s="7" t="s">
        <v>126</v>
      </c>
      <c r="F767" s="7" t="s">
        <v>101</v>
      </c>
      <c r="G767" s="7" t="s">
        <v>105</v>
      </c>
      <c r="H767" s="7" t="n">
        <v>3</v>
      </c>
      <c r="I767" s="11" t="n">
        <v>220</v>
      </c>
      <c r="J767" s="11" t="n">
        <v>0</v>
      </c>
      <c r="K767" s="11" t="n">
        <f aca="false">H767*I767-J767</f>
        <v>660</v>
      </c>
      <c r="L767" s="7" t="s">
        <v>88</v>
      </c>
      <c r="M767" s="7" t="s">
        <v>194</v>
      </c>
      <c r="N767" s="7" t="n">
        <v>35</v>
      </c>
      <c r="O767" s="7" t="n">
        <v>3</v>
      </c>
    </row>
    <row r="768" customFormat="false" ht="15" hidden="false" customHeight="false" outlineLevel="0" collapsed="false">
      <c r="A768" s="7" t="s">
        <v>4340</v>
      </c>
      <c r="B768" s="10" t="n">
        <v>45756</v>
      </c>
      <c r="C768" s="7" t="s">
        <v>1758</v>
      </c>
      <c r="D768" s="7" t="s">
        <v>4342</v>
      </c>
      <c r="E768" s="7" t="s">
        <v>122</v>
      </c>
      <c r="F768" s="7" t="s">
        <v>101</v>
      </c>
      <c r="G768" s="7" t="s">
        <v>123</v>
      </c>
      <c r="H768" s="7" t="n">
        <v>2</v>
      </c>
      <c r="I768" s="11" t="n">
        <v>340</v>
      </c>
      <c r="J768" s="11" t="n">
        <v>75</v>
      </c>
      <c r="K768" s="11" t="n">
        <f aca="false">H768*I768-J768</f>
        <v>605</v>
      </c>
      <c r="L768" s="7" t="s">
        <v>88</v>
      </c>
      <c r="M768" s="7" t="s">
        <v>194</v>
      </c>
      <c r="N768" s="7" t="n">
        <v>60</v>
      </c>
      <c r="O768" s="7" t="n">
        <v>2</v>
      </c>
    </row>
    <row r="769" customFormat="false" ht="15" hidden="false" customHeight="false" outlineLevel="0" collapsed="false">
      <c r="A769" s="7" t="s">
        <v>6067</v>
      </c>
      <c r="B769" s="10" t="n">
        <v>45756</v>
      </c>
      <c r="C769" s="7" t="s">
        <v>944</v>
      </c>
      <c r="D769" s="7" t="s">
        <v>2630</v>
      </c>
      <c r="E769" s="7" t="s">
        <v>149</v>
      </c>
      <c r="F769" s="7" t="s">
        <v>119</v>
      </c>
      <c r="G769" s="7" t="s">
        <v>150</v>
      </c>
      <c r="H769" s="7" t="n">
        <v>2</v>
      </c>
      <c r="I769" s="11" t="n">
        <v>150</v>
      </c>
      <c r="J769" s="11" t="n">
        <v>30</v>
      </c>
      <c r="K769" s="11" t="n">
        <f aca="false">H769*I769-J769</f>
        <v>270</v>
      </c>
      <c r="L769" s="7" t="s">
        <v>88</v>
      </c>
      <c r="M769" s="7" t="s">
        <v>194</v>
      </c>
      <c r="N769" s="7" t="n">
        <v>46</v>
      </c>
      <c r="O769" s="7" t="n">
        <v>4</v>
      </c>
    </row>
    <row r="770" customFormat="false" ht="15" hidden="false" customHeight="false" outlineLevel="0" collapsed="false">
      <c r="A770" s="7" t="s">
        <v>2684</v>
      </c>
      <c r="B770" s="10" t="n">
        <v>45756</v>
      </c>
      <c r="C770" s="7" t="s">
        <v>2007</v>
      </c>
      <c r="D770" s="7" t="s">
        <v>2686</v>
      </c>
      <c r="E770" s="7" t="s">
        <v>104</v>
      </c>
      <c r="F770" s="7" t="s">
        <v>86</v>
      </c>
      <c r="G770" s="7" t="s">
        <v>105</v>
      </c>
      <c r="H770" s="7" t="n">
        <v>1</v>
      </c>
      <c r="I770" s="11" t="n">
        <v>220</v>
      </c>
      <c r="J770" s="11" t="n">
        <v>0</v>
      </c>
      <c r="K770" s="11" t="n">
        <f aca="false">H770*I770-J770</f>
        <v>220</v>
      </c>
      <c r="L770" s="7" t="s">
        <v>112</v>
      </c>
      <c r="M770" s="7" t="s">
        <v>238</v>
      </c>
      <c r="N770" s="7"/>
      <c r="O770" s="7"/>
    </row>
    <row r="771" customFormat="false" ht="15" hidden="false" customHeight="false" outlineLevel="0" collapsed="false">
      <c r="A771" s="7" t="s">
        <v>2976</v>
      </c>
      <c r="B771" s="10" t="n">
        <v>45757</v>
      </c>
      <c r="C771" s="7" t="s">
        <v>1542</v>
      </c>
      <c r="D771" s="7" t="s">
        <v>1229</v>
      </c>
      <c r="E771" s="7" t="s">
        <v>98</v>
      </c>
      <c r="F771" s="7" t="s">
        <v>86</v>
      </c>
      <c r="G771" s="7" t="s">
        <v>99</v>
      </c>
      <c r="H771" s="7" t="n">
        <v>5</v>
      </c>
      <c r="I771" s="11" t="n">
        <v>305</v>
      </c>
      <c r="J771" s="11" t="n">
        <v>0</v>
      </c>
      <c r="K771" s="11" t="n">
        <f aca="false">H771*I771-J771</f>
        <v>1525</v>
      </c>
      <c r="L771" s="7" t="s">
        <v>103</v>
      </c>
      <c r="M771" s="7" t="s">
        <v>194</v>
      </c>
      <c r="N771" s="7" t="n">
        <v>39</v>
      </c>
      <c r="O771" s="7" t="n">
        <v>5</v>
      </c>
    </row>
    <row r="772" customFormat="false" ht="15" hidden="false" customHeight="false" outlineLevel="0" collapsed="false">
      <c r="A772" s="7" t="s">
        <v>6087</v>
      </c>
      <c r="B772" s="10" t="n">
        <v>45757</v>
      </c>
      <c r="C772" s="7" t="s">
        <v>2155</v>
      </c>
      <c r="D772" s="7" t="s">
        <v>4899</v>
      </c>
      <c r="E772" s="7" t="s">
        <v>161</v>
      </c>
      <c r="F772" s="7" t="s">
        <v>141</v>
      </c>
      <c r="G772" s="7" t="s">
        <v>117</v>
      </c>
      <c r="H772" s="7" t="n">
        <v>2</v>
      </c>
      <c r="I772" s="11" t="n">
        <v>150</v>
      </c>
      <c r="J772" s="11" t="n">
        <v>75</v>
      </c>
      <c r="K772" s="11" t="n">
        <f aca="false">H772*I772-J772</f>
        <v>225</v>
      </c>
      <c r="L772" s="7" t="s">
        <v>93</v>
      </c>
      <c r="M772" s="7" t="s">
        <v>238</v>
      </c>
      <c r="N772" s="7"/>
      <c r="O772" s="7"/>
    </row>
    <row r="773" customFormat="false" ht="15" hidden="false" customHeight="false" outlineLevel="0" collapsed="false">
      <c r="A773" s="7" t="s">
        <v>3585</v>
      </c>
      <c r="B773" s="10" t="n">
        <v>45757</v>
      </c>
      <c r="C773" s="7" t="s">
        <v>3011</v>
      </c>
      <c r="D773" s="7" t="s">
        <v>2469</v>
      </c>
      <c r="E773" s="7" t="s">
        <v>113</v>
      </c>
      <c r="F773" s="7" t="s">
        <v>101</v>
      </c>
      <c r="G773" s="7" t="s">
        <v>90</v>
      </c>
      <c r="H773" s="7" t="n">
        <v>3</v>
      </c>
      <c r="I773" s="11" t="n">
        <v>280</v>
      </c>
      <c r="J773" s="11" t="n">
        <v>50</v>
      </c>
      <c r="K773" s="11" t="n">
        <f aca="false">H773*I773-J773</f>
        <v>790</v>
      </c>
      <c r="L773" s="7" t="s">
        <v>88</v>
      </c>
      <c r="M773" s="7" t="s">
        <v>194</v>
      </c>
      <c r="N773" s="7" t="n">
        <v>38</v>
      </c>
      <c r="O773" s="7" t="n">
        <v>3</v>
      </c>
    </row>
    <row r="774" customFormat="false" ht="15" hidden="false" customHeight="false" outlineLevel="0" collapsed="false">
      <c r="A774" s="7" t="s">
        <v>2726</v>
      </c>
      <c r="B774" s="10" t="n">
        <v>45757</v>
      </c>
      <c r="C774" s="7" t="s">
        <v>1791</v>
      </c>
      <c r="D774" s="7" t="s">
        <v>2728</v>
      </c>
      <c r="E774" s="7" t="s">
        <v>113</v>
      </c>
      <c r="F774" s="7" t="s">
        <v>101</v>
      </c>
      <c r="G774" s="7" t="s">
        <v>90</v>
      </c>
      <c r="H774" s="7" t="n">
        <v>3</v>
      </c>
      <c r="I774" s="11" t="n">
        <v>240</v>
      </c>
      <c r="J774" s="11" t="n">
        <v>50</v>
      </c>
      <c r="K774" s="11" t="n">
        <f aca="false">H774*I774-J774</f>
        <v>670</v>
      </c>
      <c r="L774" s="7" t="s">
        <v>88</v>
      </c>
      <c r="M774" s="7" t="s">
        <v>194</v>
      </c>
      <c r="N774" s="7" t="n">
        <v>42</v>
      </c>
      <c r="O774" s="7" t="n">
        <v>5</v>
      </c>
    </row>
    <row r="775" customFormat="false" ht="15" hidden="false" customHeight="false" outlineLevel="0" collapsed="false">
      <c r="A775" s="7" t="s">
        <v>4945</v>
      </c>
      <c r="B775" s="10" t="n">
        <v>45757</v>
      </c>
      <c r="C775" s="7" t="s">
        <v>2716</v>
      </c>
      <c r="D775" s="7" t="s">
        <v>1176</v>
      </c>
      <c r="E775" s="7" t="s">
        <v>163</v>
      </c>
      <c r="F775" s="7" t="s">
        <v>141</v>
      </c>
      <c r="G775" s="7" t="s">
        <v>99</v>
      </c>
      <c r="H775" s="7" t="n">
        <v>1</v>
      </c>
      <c r="I775" s="11" t="n">
        <v>265</v>
      </c>
      <c r="J775" s="11" t="n">
        <v>0</v>
      </c>
      <c r="K775" s="11" t="n">
        <f aca="false">H775*I775-J775</f>
        <v>265</v>
      </c>
      <c r="L775" s="7" t="s">
        <v>88</v>
      </c>
      <c r="M775" s="7" t="s">
        <v>194</v>
      </c>
      <c r="N775" s="7" t="n">
        <v>40</v>
      </c>
      <c r="O775" s="7" t="n">
        <v>5</v>
      </c>
    </row>
    <row r="776" customFormat="false" ht="15" hidden="false" customHeight="false" outlineLevel="0" collapsed="false">
      <c r="A776" s="7" t="s">
        <v>5217</v>
      </c>
      <c r="B776" s="10" t="n">
        <v>45757</v>
      </c>
      <c r="C776" s="7" t="s">
        <v>1654</v>
      </c>
      <c r="D776" s="7" t="s">
        <v>3409</v>
      </c>
      <c r="E776" s="7" t="s">
        <v>94</v>
      </c>
      <c r="F776" s="7" t="s">
        <v>86</v>
      </c>
      <c r="G776" s="7" t="s">
        <v>95</v>
      </c>
      <c r="H776" s="7" t="n">
        <v>2</v>
      </c>
      <c r="I776" s="11" t="n">
        <v>120</v>
      </c>
      <c r="J776" s="11" t="n">
        <v>0</v>
      </c>
      <c r="K776" s="11" t="n">
        <f aca="false">H776*I776-J776</f>
        <v>240</v>
      </c>
      <c r="L776" s="7" t="s">
        <v>88</v>
      </c>
      <c r="M776" s="7" t="s">
        <v>238</v>
      </c>
      <c r="N776" s="7"/>
      <c r="O776" s="7"/>
    </row>
    <row r="777" customFormat="false" ht="15" hidden="false" customHeight="false" outlineLevel="0" collapsed="false">
      <c r="A777" s="7" t="s">
        <v>3449</v>
      </c>
      <c r="B777" s="10" t="n">
        <v>45758</v>
      </c>
      <c r="C777" s="7" t="s">
        <v>3450</v>
      </c>
      <c r="D777" s="7" t="s">
        <v>737</v>
      </c>
      <c r="E777" s="7" t="s">
        <v>130</v>
      </c>
      <c r="F777" s="7" t="s">
        <v>110</v>
      </c>
      <c r="G777" s="7" t="s">
        <v>90</v>
      </c>
      <c r="H777" s="7" t="n">
        <v>4</v>
      </c>
      <c r="I777" s="11" t="n">
        <v>235</v>
      </c>
      <c r="J777" s="11" t="n">
        <v>0</v>
      </c>
      <c r="K777" s="11" t="n">
        <f aca="false">H777*I777-J777</f>
        <v>940</v>
      </c>
      <c r="L777" s="7" t="s">
        <v>88</v>
      </c>
      <c r="M777" s="7" t="s">
        <v>194</v>
      </c>
      <c r="N777" s="7" t="n">
        <v>31</v>
      </c>
      <c r="O777" s="7" t="n">
        <v>3</v>
      </c>
    </row>
    <row r="778" customFormat="false" ht="15" hidden="false" customHeight="false" outlineLevel="0" collapsed="false">
      <c r="A778" s="7" t="s">
        <v>5519</v>
      </c>
      <c r="B778" s="10" t="n">
        <v>45758</v>
      </c>
      <c r="C778" s="7" t="s">
        <v>3183</v>
      </c>
      <c r="D778" s="7" t="s">
        <v>5022</v>
      </c>
      <c r="E778" s="7" t="s">
        <v>98</v>
      </c>
      <c r="F778" s="7" t="s">
        <v>86</v>
      </c>
      <c r="G778" s="7" t="s">
        <v>99</v>
      </c>
      <c r="H778" s="7" t="n">
        <v>2</v>
      </c>
      <c r="I778" s="11" t="n">
        <v>305</v>
      </c>
      <c r="J778" s="11" t="n">
        <v>0</v>
      </c>
      <c r="K778" s="11" t="n">
        <f aca="false">H778*I778-J778</f>
        <v>610</v>
      </c>
      <c r="L778" s="7" t="s">
        <v>121</v>
      </c>
      <c r="M778" s="7" t="s">
        <v>194</v>
      </c>
      <c r="N778" s="7" t="n">
        <v>36</v>
      </c>
      <c r="O778" s="7" t="n">
        <v>4</v>
      </c>
    </row>
    <row r="779" customFormat="false" ht="15" hidden="false" customHeight="false" outlineLevel="0" collapsed="false">
      <c r="A779" s="7" t="s">
        <v>5467</v>
      </c>
      <c r="B779" s="10" t="n">
        <v>45758</v>
      </c>
      <c r="C779" s="7" t="s">
        <v>486</v>
      </c>
      <c r="D779" s="7" t="s">
        <v>2499</v>
      </c>
      <c r="E779" s="7" t="s">
        <v>138</v>
      </c>
      <c r="F779" s="7" t="s">
        <v>110</v>
      </c>
      <c r="G779" s="7" t="s">
        <v>139</v>
      </c>
      <c r="H779" s="7" t="n">
        <v>3</v>
      </c>
      <c r="I779" s="11" t="n">
        <v>210</v>
      </c>
      <c r="J779" s="11" t="n">
        <v>125</v>
      </c>
      <c r="K779" s="11" t="n">
        <f aca="false">H779*I779-J779</f>
        <v>505</v>
      </c>
      <c r="L779" s="7" t="s">
        <v>121</v>
      </c>
      <c r="M779" s="7" t="s">
        <v>194</v>
      </c>
      <c r="N779" s="7" t="n">
        <v>45</v>
      </c>
      <c r="O779" s="7" t="n">
        <v>4</v>
      </c>
    </row>
    <row r="780" customFormat="false" ht="15" hidden="false" customHeight="false" outlineLevel="0" collapsed="false">
      <c r="A780" s="7" t="s">
        <v>738</v>
      </c>
      <c r="B780" s="10" t="n">
        <v>45758</v>
      </c>
      <c r="C780" s="7" t="s">
        <v>668</v>
      </c>
      <c r="D780" s="7" t="s">
        <v>740</v>
      </c>
      <c r="E780" s="7" t="s">
        <v>89</v>
      </c>
      <c r="F780" s="7" t="s">
        <v>86</v>
      </c>
      <c r="G780" s="7" t="s">
        <v>90</v>
      </c>
      <c r="H780" s="7" t="n">
        <v>2</v>
      </c>
      <c r="I780" s="11" t="n">
        <v>305</v>
      </c>
      <c r="J780" s="11" t="n">
        <v>0</v>
      </c>
      <c r="K780" s="11" t="n">
        <f aca="false">H780*I780-J780</f>
        <v>610</v>
      </c>
      <c r="L780" s="7" t="s">
        <v>133</v>
      </c>
      <c r="M780" s="7" t="s">
        <v>194</v>
      </c>
      <c r="N780" s="7" t="n">
        <v>28</v>
      </c>
      <c r="O780" s="7"/>
    </row>
    <row r="781" customFormat="false" ht="15" hidden="false" customHeight="false" outlineLevel="0" collapsed="false">
      <c r="A781" s="7" t="s">
        <v>5600</v>
      </c>
      <c r="B781" s="10" t="n">
        <v>45758</v>
      </c>
      <c r="C781" s="7" t="s">
        <v>2405</v>
      </c>
      <c r="D781" s="7" t="s">
        <v>3765</v>
      </c>
      <c r="E781" s="7" t="s">
        <v>113</v>
      </c>
      <c r="F781" s="7" t="s">
        <v>101</v>
      </c>
      <c r="G781" s="7" t="s">
        <v>90</v>
      </c>
      <c r="H781" s="7" t="n">
        <v>2</v>
      </c>
      <c r="I781" s="11" t="n">
        <v>250</v>
      </c>
      <c r="J781" s="11" t="n">
        <v>0</v>
      </c>
      <c r="K781" s="11" t="n">
        <f aca="false">H781*I781-J781</f>
        <v>500</v>
      </c>
      <c r="L781" s="7" t="s">
        <v>93</v>
      </c>
      <c r="M781" s="7" t="s">
        <v>194</v>
      </c>
      <c r="N781" s="7" t="n">
        <v>48</v>
      </c>
      <c r="O781" s="7" t="n">
        <v>3</v>
      </c>
    </row>
    <row r="782" customFormat="false" ht="15" hidden="false" customHeight="false" outlineLevel="0" collapsed="false">
      <c r="A782" s="7" t="s">
        <v>4357</v>
      </c>
      <c r="B782" s="10" t="n">
        <v>45758</v>
      </c>
      <c r="C782" s="7" t="s">
        <v>856</v>
      </c>
      <c r="D782" s="7" t="s">
        <v>4358</v>
      </c>
      <c r="E782" s="7" t="s">
        <v>113</v>
      </c>
      <c r="F782" s="7" t="s">
        <v>101</v>
      </c>
      <c r="G782" s="7" t="s">
        <v>90</v>
      </c>
      <c r="H782" s="7" t="n">
        <v>1</v>
      </c>
      <c r="I782" s="11" t="n">
        <v>240</v>
      </c>
      <c r="J782" s="11" t="n">
        <v>40</v>
      </c>
      <c r="K782" s="11" t="n">
        <f aca="false">H782*I782-J782</f>
        <v>200</v>
      </c>
      <c r="L782" s="7" t="s">
        <v>88</v>
      </c>
      <c r="M782" s="7" t="s">
        <v>194</v>
      </c>
      <c r="N782" s="7" t="n">
        <v>46</v>
      </c>
      <c r="O782" s="7" t="n">
        <v>3</v>
      </c>
    </row>
    <row r="783" customFormat="false" ht="15" hidden="false" customHeight="false" outlineLevel="0" collapsed="false">
      <c r="A783" s="7" t="s">
        <v>1494</v>
      </c>
      <c r="B783" s="10" t="n">
        <v>45758</v>
      </c>
      <c r="C783" s="7" t="s">
        <v>1495</v>
      </c>
      <c r="D783" s="7" t="s">
        <v>453</v>
      </c>
      <c r="E783" s="7" t="s">
        <v>130</v>
      </c>
      <c r="F783" s="7" t="s">
        <v>110</v>
      </c>
      <c r="G783" s="7" t="s">
        <v>90</v>
      </c>
      <c r="H783" s="7" t="n">
        <v>3</v>
      </c>
      <c r="I783" s="11" t="n">
        <v>255</v>
      </c>
      <c r="J783" s="11" t="n">
        <v>40</v>
      </c>
      <c r="K783" s="11" t="n">
        <f aca="false">H783*I783-J783</f>
        <v>725</v>
      </c>
      <c r="L783" s="7" t="s">
        <v>103</v>
      </c>
      <c r="M783" s="7" t="s">
        <v>194</v>
      </c>
      <c r="N783" s="7" t="n">
        <v>47</v>
      </c>
      <c r="O783" s="7" t="n">
        <v>3</v>
      </c>
    </row>
    <row r="784" customFormat="false" ht="15" hidden="false" customHeight="false" outlineLevel="0" collapsed="false">
      <c r="A784" s="7" t="s">
        <v>5218</v>
      </c>
      <c r="B784" s="10" t="n">
        <v>45758</v>
      </c>
      <c r="C784" s="7" t="s">
        <v>319</v>
      </c>
      <c r="D784" s="7" t="s">
        <v>1799</v>
      </c>
      <c r="E784" s="7" t="s">
        <v>148</v>
      </c>
      <c r="F784" s="7" t="s">
        <v>119</v>
      </c>
      <c r="G784" s="7" t="s">
        <v>123</v>
      </c>
      <c r="H784" s="7" t="n">
        <v>2</v>
      </c>
      <c r="I784" s="11" t="n">
        <v>315</v>
      </c>
      <c r="J784" s="11" t="n">
        <v>75</v>
      </c>
      <c r="K784" s="11" t="n">
        <f aca="false">H784*I784-J784</f>
        <v>555</v>
      </c>
      <c r="L784" s="7" t="s">
        <v>88</v>
      </c>
      <c r="M784" s="7" t="s">
        <v>194</v>
      </c>
      <c r="N784" s="7" t="n">
        <v>45</v>
      </c>
      <c r="O784" s="7" t="n">
        <v>4</v>
      </c>
    </row>
    <row r="785" customFormat="false" ht="15" hidden="false" customHeight="false" outlineLevel="0" collapsed="false">
      <c r="A785" s="7" t="s">
        <v>4553</v>
      </c>
      <c r="B785" s="10" t="n">
        <v>45758</v>
      </c>
      <c r="C785" s="7" t="s">
        <v>1985</v>
      </c>
      <c r="D785" s="7" t="s">
        <v>843</v>
      </c>
      <c r="E785" s="7" t="s">
        <v>113</v>
      </c>
      <c r="F785" s="7" t="s">
        <v>101</v>
      </c>
      <c r="G785" s="7" t="s">
        <v>90</v>
      </c>
      <c r="H785" s="7" t="n">
        <v>5</v>
      </c>
      <c r="I785" s="11" t="n">
        <v>195</v>
      </c>
      <c r="J785" s="11" t="n">
        <v>0</v>
      </c>
      <c r="K785" s="11" t="n">
        <f aca="false">H785*I785-J785</f>
        <v>975</v>
      </c>
      <c r="L785" s="7" t="s">
        <v>88</v>
      </c>
      <c r="M785" s="7" t="s">
        <v>238</v>
      </c>
      <c r="N785" s="7"/>
      <c r="O785" s="7"/>
    </row>
    <row r="786" customFormat="false" ht="15" hidden="false" customHeight="false" outlineLevel="0" collapsed="false">
      <c r="A786" s="7" t="s">
        <v>2407</v>
      </c>
      <c r="B786" s="10" t="n">
        <v>45758</v>
      </c>
      <c r="C786" s="7" t="s">
        <v>2408</v>
      </c>
      <c r="D786" s="7" t="s">
        <v>1020</v>
      </c>
      <c r="E786" s="7" t="s">
        <v>160</v>
      </c>
      <c r="F786" s="7" t="s">
        <v>136</v>
      </c>
      <c r="G786" s="7" t="s">
        <v>150</v>
      </c>
      <c r="H786" s="7" t="n">
        <v>2</v>
      </c>
      <c r="I786" s="11" t="n">
        <v>175</v>
      </c>
      <c r="J786" s="11" t="n">
        <v>30</v>
      </c>
      <c r="K786" s="11" t="n">
        <f aca="false">H786*I786-J786</f>
        <v>320</v>
      </c>
      <c r="L786" s="7" t="s">
        <v>133</v>
      </c>
      <c r="M786" s="7" t="s">
        <v>194</v>
      </c>
      <c r="N786" s="7" t="n">
        <v>39</v>
      </c>
      <c r="O786" s="7" t="n">
        <v>4</v>
      </c>
    </row>
    <row r="787" customFormat="false" ht="15" hidden="false" customHeight="false" outlineLevel="0" collapsed="false">
      <c r="A787" s="7" t="s">
        <v>203</v>
      </c>
      <c r="B787" s="10" t="n">
        <v>45759</v>
      </c>
      <c r="C787" s="7" t="s">
        <v>205</v>
      </c>
      <c r="D787" s="7" t="s">
        <v>206</v>
      </c>
      <c r="E787" s="7" t="s">
        <v>116</v>
      </c>
      <c r="F787" s="7" t="s">
        <v>101</v>
      </c>
      <c r="G787" s="7" t="s">
        <v>117</v>
      </c>
      <c r="H787" s="7" t="n">
        <v>5</v>
      </c>
      <c r="I787" s="11" t="n">
        <v>140</v>
      </c>
      <c r="J787" s="11" t="n">
        <v>50</v>
      </c>
      <c r="K787" s="11" t="n">
        <f aca="false">H787*I787-J787</f>
        <v>650</v>
      </c>
      <c r="L787" s="7" t="s">
        <v>103</v>
      </c>
      <c r="M787" s="7" t="s">
        <v>194</v>
      </c>
      <c r="N787" s="7" t="n">
        <v>55</v>
      </c>
      <c r="O787" s="7" t="n">
        <v>3</v>
      </c>
    </row>
    <row r="788" customFormat="false" ht="15" hidden="false" customHeight="false" outlineLevel="0" collapsed="false">
      <c r="A788" s="7" t="s">
        <v>972</v>
      </c>
      <c r="B788" s="10" t="n">
        <v>45759</v>
      </c>
      <c r="C788" s="7" t="s">
        <v>973</v>
      </c>
      <c r="D788" s="7" t="s">
        <v>974</v>
      </c>
      <c r="E788" s="7" t="s">
        <v>138</v>
      </c>
      <c r="F788" s="7" t="s">
        <v>110</v>
      </c>
      <c r="G788" s="7" t="s">
        <v>139</v>
      </c>
      <c r="H788" s="7" t="n">
        <v>5</v>
      </c>
      <c r="I788" s="11" t="n">
        <v>190</v>
      </c>
      <c r="J788" s="11" t="n">
        <v>30</v>
      </c>
      <c r="K788" s="11" t="n">
        <f aca="false">H788*I788-J788</f>
        <v>920</v>
      </c>
      <c r="L788" s="7" t="s">
        <v>121</v>
      </c>
      <c r="M788" s="7" t="s">
        <v>194</v>
      </c>
      <c r="N788" s="7" t="n">
        <v>40</v>
      </c>
      <c r="O788" s="7" t="n">
        <v>5</v>
      </c>
    </row>
    <row r="789" customFormat="false" ht="15" hidden="false" customHeight="false" outlineLevel="0" collapsed="false">
      <c r="A789" s="7" t="s">
        <v>496</v>
      </c>
      <c r="B789" s="10" t="n">
        <v>45759</v>
      </c>
      <c r="C789" s="7" t="s">
        <v>218</v>
      </c>
      <c r="D789" s="7" t="s">
        <v>497</v>
      </c>
      <c r="E789" s="7" t="s">
        <v>116</v>
      </c>
      <c r="F789" s="7" t="s">
        <v>101</v>
      </c>
      <c r="G789" s="7" t="s">
        <v>117</v>
      </c>
      <c r="H789" s="7" t="n">
        <v>1</v>
      </c>
      <c r="I789" s="11" t="n">
        <v>115</v>
      </c>
      <c r="J789" s="11" t="n">
        <v>0</v>
      </c>
      <c r="K789" s="11" t="n">
        <f aca="false">H789*I789-J789</f>
        <v>115</v>
      </c>
      <c r="L789" s="7" t="s">
        <v>88</v>
      </c>
      <c r="M789" s="7" t="s">
        <v>194</v>
      </c>
      <c r="N789" s="7" t="n">
        <v>34</v>
      </c>
      <c r="O789" s="7" t="n">
        <v>5</v>
      </c>
    </row>
    <row r="790" customFormat="false" ht="15" hidden="false" customHeight="false" outlineLevel="0" collapsed="false">
      <c r="A790" s="7" t="s">
        <v>5723</v>
      </c>
      <c r="B790" s="10" t="n">
        <v>45759</v>
      </c>
      <c r="C790" s="7" t="s">
        <v>2923</v>
      </c>
      <c r="D790" s="7" t="s">
        <v>982</v>
      </c>
      <c r="E790" s="7" t="s">
        <v>126</v>
      </c>
      <c r="F790" s="7" t="s">
        <v>101</v>
      </c>
      <c r="G790" s="7" t="s">
        <v>105</v>
      </c>
      <c r="H790" s="7" t="n">
        <v>4</v>
      </c>
      <c r="I790" s="11" t="n">
        <v>225</v>
      </c>
      <c r="J790" s="11" t="n">
        <v>0</v>
      </c>
      <c r="K790" s="11" t="n">
        <f aca="false">H790*I790-J790</f>
        <v>900</v>
      </c>
      <c r="L790" s="7" t="s">
        <v>88</v>
      </c>
      <c r="M790" s="7" t="s">
        <v>194</v>
      </c>
      <c r="N790" s="7" t="n">
        <v>52</v>
      </c>
      <c r="O790" s="7"/>
    </row>
    <row r="791" customFormat="false" ht="15" hidden="false" customHeight="false" outlineLevel="0" collapsed="false">
      <c r="A791" s="7" t="s">
        <v>3245</v>
      </c>
      <c r="B791" s="10" t="n">
        <v>45759</v>
      </c>
      <c r="C791" s="7" t="s">
        <v>3247</v>
      </c>
      <c r="D791" s="7" t="s">
        <v>2411</v>
      </c>
      <c r="E791" s="7" t="s">
        <v>168</v>
      </c>
      <c r="F791" s="7" t="s">
        <v>146</v>
      </c>
      <c r="G791" s="7" t="s">
        <v>123</v>
      </c>
      <c r="H791" s="7" t="n">
        <v>2</v>
      </c>
      <c r="I791" s="11" t="n">
        <v>310</v>
      </c>
      <c r="J791" s="11" t="n">
        <v>75</v>
      </c>
      <c r="K791" s="11" t="n">
        <f aca="false">H791*I791-J791</f>
        <v>545</v>
      </c>
      <c r="L791" s="7" t="s">
        <v>88</v>
      </c>
      <c r="M791" s="7" t="s">
        <v>194</v>
      </c>
      <c r="N791" s="7" t="n">
        <v>22</v>
      </c>
      <c r="O791" s="7" t="n">
        <v>4</v>
      </c>
    </row>
    <row r="792" customFormat="false" ht="15" hidden="false" customHeight="false" outlineLevel="0" collapsed="false">
      <c r="A792" s="7" t="s">
        <v>295</v>
      </c>
      <c r="B792" s="10" t="n">
        <v>45759</v>
      </c>
      <c r="C792" s="7" t="s">
        <v>296</v>
      </c>
      <c r="D792" s="7" t="s">
        <v>297</v>
      </c>
      <c r="E792" s="7" t="s">
        <v>89</v>
      </c>
      <c r="F792" s="7" t="s">
        <v>86</v>
      </c>
      <c r="G792" s="7" t="s">
        <v>90</v>
      </c>
      <c r="H792" s="7" t="n">
        <v>2</v>
      </c>
      <c r="I792" s="11" t="n">
        <v>255</v>
      </c>
      <c r="J792" s="11" t="n">
        <v>0</v>
      </c>
      <c r="K792" s="11" t="n">
        <f aca="false">H792*I792-J792</f>
        <v>510</v>
      </c>
      <c r="L792" s="7" t="s">
        <v>112</v>
      </c>
      <c r="M792" s="7" t="s">
        <v>194</v>
      </c>
      <c r="N792" s="7" t="n">
        <v>48</v>
      </c>
      <c r="O792" s="7" t="n">
        <v>3</v>
      </c>
    </row>
    <row r="793" customFormat="false" ht="15" hidden="false" customHeight="false" outlineLevel="0" collapsed="false">
      <c r="A793" s="7" t="s">
        <v>5881</v>
      </c>
      <c r="B793" s="10" t="n">
        <v>45760</v>
      </c>
      <c r="C793" s="7" t="s">
        <v>5159</v>
      </c>
      <c r="D793" s="7" t="s">
        <v>1658</v>
      </c>
      <c r="E793" s="7" t="s">
        <v>134</v>
      </c>
      <c r="F793" s="7" t="s">
        <v>110</v>
      </c>
      <c r="G793" s="7" t="s">
        <v>117</v>
      </c>
      <c r="H793" s="7" t="n">
        <v>4</v>
      </c>
      <c r="I793" s="11" t="n">
        <v>100</v>
      </c>
      <c r="J793" s="11" t="n">
        <v>75</v>
      </c>
      <c r="K793" s="11" t="n">
        <f aca="false">H793*I793-J793</f>
        <v>325</v>
      </c>
      <c r="L793" s="7" t="s">
        <v>88</v>
      </c>
      <c r="M793" s="7" t="s">
        <v>194</v>
      </c>
      <c r="N793" s="7" t="n">
        <v>43</v>
      </c>
      <c r="O793" s="7" t="n">
        <v>5</v>
      </c>
    </row>
    <row r="794" customFormat="false" ht="15" hidden="false" customHeight="false" outlineLevel="0" collapsed="false">
      <c r="A794" s="7" t="s">
        <v>5039</v>
      </c>
      <c r="B794" s="10" t="n">
        <v>45760</v>
      </c>
      <c r="C794" s="7" t="s">
        <v>5040</v>
      </c>
      <c r="D794" s="7" t="s">
        <v>5041</v>
      </c>
      <c r="E794" s="7" t="s">
        <v>122</v>
      </c>
      <c r="F794" s="7" t="s">
        <v>101</v>
      </c>
      <c r="G794" s="7" t="s">
        <v>123</v>
      </c>
      <c r="H794" s="7" t="n">
        <v>1</v>
      </c>
      <c r="I794" s="11" t="n">
        <v>400</v>
      </c>
      <c r="J794" s="11" t="n">
        <v>20</v>
      </c>
      <c r="K794" s="11" t="n">
        <f aca="false">H794*I794-J794</f>
        <v>380</v>
      </c>
      <c r="L794" s="7" t="s">
        <v>88</v>
      </c>
      <c r="M794" s="7" t="s">
        <v>194</v>
      </c>
      <c r="N794" s="7" t="n">
        <v>52</v>
      </c>
      <c r="O794" s="7" t="n">
        <v>4</v>
      </c>
    </row>
    <row r="795" customFormat="false" ht="15" hidden="false" customHeight="false" outlineLevel="0" collapsed="false">
      <c r="A795" s="7" t="s">
        <v>3385</v>
      </c>
      <c r="B795" s="10" t="n">
        <v>45760</v>
      </c>
      <c r="C795" s="7" t="s">
        <v>1555</v>
      </c>
      <c r="D795" s="7" t="s">
        <v>1979</v>
      </c>
      <c r="E795" s="7" t="s">
        <v>126</v>
      </c>
      <c r="F795" s="7" t="s">
        <v>101</v>
      </c>
      <c r="G795" s="7" t="s">
        <v>105</v>
      </c>
      <c r="H795" s="7" t="n">
        <v>1</v>
      </c>
      <c r="I795" s="11" t="n">
        <v>190</v>
      </c>
      <c r="J795" s="11" t="n">
        <v>40</v>
      </c>
      <c r="K795" s="11" t="n">
        <f aca="false">H795*I795-J795</f>
        <v>150</v>
      </c>
      <c r="L795" s="7" t="s">
        <v>88</v>
      </c>
      <c r="M795" s="7" t="s">
        <v>194</v>
      </c>
      <c r="N795" s="7" t="n">
        <v>39</v>
      </c>
      <c r="O795" s="7"/>
    </row>
    <row r="796" customFormat="false" ht="15" hidden="false" customHeight="false" outlineLevel="0" collapsed="false">
      <c r="A796" s="7" t="s">
        <v>5827</v>
      </c>
      <c r="B796" s="10" t="n">
        <v>45760</v>
      </c>
      <c r="C796" s="7" t="s">
        <v>543</v>
      </c>
      <c r="D796" s="7" t="s">
        <v>2457</v>
      </c>
      <c r="E796" s="7" t="s">
        <v>159</v>
      </c>
      <c r="F796" s="7" t="s">
        <v>136</v>
      </c>
      <c r="G796" s="7" t="s">
        <v>90</v>
      </c>
      <c r="H796" s="7" t="n">
        <v>1</v>
      </c>
      <c r="I796" s="11" t="n">
        <v>210</v>
      </c>
      <c r="J796" s="11" t="n">
        <v>20</v>
      </c>
      <c r="K796" s="11" t="n">
        <f aca="false">H796*I796-J796</f>
        <v>190</v>
      </c>
      <c r="L796" s="7" t="s">
        <v>6170</v>
      </c>
      <c r="M796" s="7" t="s">
        <v>194</v>
      </c>
      <c r="N796" s="7" t="n">
        <v>46</v>
      </c>
      <c r="O796" s="7" t="n">
        <v>3</v>
      </c>
    </row>
    <row r="797" customFormat="false" ht="15" hidden="false" customHeight="false" outlineLevel="0" collapsed="false">
      <c r="A797" s="7" t="s">
        <v>4687</v>
      </c>
      <c r="B797" s="10" t="n">
        <v>45760</v>
      </c>
      <c r="C797" s="7" t="s">
        <v>1718</v>
      </c>
      <c r="D797" s="7" t="s">
        <v>1954</v>
      </c>
      <c r="E797" s="7" t="s">
        <v>138</v>
      </c>
      <c r="F797" s="7" t="s">
        <v>110</v>
      </c>
      <c r="G797" s="7" t="s">
        <v>139</v>
      </c>
      <c r="H797" s="7" t="n">
        <v>4</v>
      </c>
      <c r="I797" s="11" t="n">
        <v>200</v>
      </c>
      <c r="J797" s="11" t="n">
        <v>0</v>
      </c>
      <c r="K797" s="11" t="n">
        <f aca="false">H797*I797-J797</f>
        <v>800</v>
      </c>
      <c r="L797" s="7" t="s">
        <v>88</v>
      </c>
      <c r="M797" s="7" t="s">
        <v>194</v>
      </c>
      <c r="N797" s="7" t="n">
        <v>44</v>
      </c>
      <c r="O797" s="7" t="n">
        <v>3</v>
      </c>
    </row>
    <row r="798" customFormat="false" ht="15" hidden="false" customHeight="false" outlineLevel="0" collapsed="false">
      <c r="A798" s="7" t="s">
        <v>3981</v>
      </c>
      <c r="B798" s="10" t="n">
        <v>45760</v>
      </c>
      <c r="C798" s="7" t="s">
        <v>2260</v>
      </c>
      <c r="D798" s="7" t="s">
        <v>2664</v>
      </c>
      <c r="E798" s="7" t="s">
        <v>89</v>
      </c>
      <c r="F798" s="7" t="s">
        <v>86</v>
      </c>
      <c r="G798" s="7" t="s">
        <v>90</v>
      </c>
      <c r="H798" s="7" t="n">
        <v>2</v>
      </c>
      <c r="I798" s="11" t="n">
        <v>220</v>
      </c>
      <c r="J798" s="11" t="n">
        <v>0</v>
      </c>
      <c r="K798" s="11" t="n">
        <f aca="false">H798*I798-J798</f>
        <v>440</v>
      </c>
      <c r="L798" s="7" t="s">
        <v>93</v>
      </c>
      <c r="M798" s="7" t="s">
        <v>194</v>
      </c>
      <c r="N798" s="7" t="n">
        <v>46</v>
      </c>
      <c r="O798" s="7" t="n">
        <v>2</v>
      </c>
    </row>
    <row r="799" customFormat="false" ht="15" hidden="false" customHeight="false" outlineLevel="0" collapsed="false">
      <c r="A799" s="7" t="s">
        <v>5773</v>
      </c>
      <c r="B799" s="10" t="n">
        <v>45760</v>
      </c>
      <c r="C799" s="7" t="s">
        <v>213</v>
      </c>
      <c r="D799" s="7" t="s">
        <v>467</v>
      </c>
      <c r="E799" s="7" t="s">
        <v>113</v>
      </c>
      <c r="F799" s="7" t="s">
        <v>101</v>
      </c>
      <c r="G799" s="7" t="s">
        <v>90</v>
      </c>
      <c r="H799" s="7" t="n">
        <v>2</v>
      </c>
      <c r="I799" s="11" t="n">
        <v>225</v>
      </c>
      <c r="J799" s="11" t="n">
        <v>0</v>
      </c>
      <c r="K799" s="11" t="n">
        <f aca="false">H799*I799-J799</f>
        <v>450</v>
      </c>
      <c r="L799" s="7" t="s">
        <v>88</v>
      </c>
      <c r="M799" s="7" t="s">
        <v>194</v>
      </c>
      <c r="N799" s="7" t="n">
        <v>47</v>
      </c>
      <c r="O799" s="7" t="n">
        <v>4</v>
      </c>
    </row>
    <row r="800" customFormat="false" ht="15" hidden="false" customHeight="false" outlineLevel="0" collapsed="false">
      <c r="A800" s="7" t="s">
        <v>5250</v>
      </c>
      <c r="B800" s="10" t="n">
        <v>45760</v>
      </c>
      <c r="C800" s="7" t="s">
        <v>3344</v>
      </c>
      <c r="D800" s="7" t="s">
        <v>255</v>
      </c>
      <c r="E800" s="7" t="s">
        <v>138</v>
      </c>
      <c r="F800" s="7" t="s">
        <v>110</v>
      </c>
      <c r="G800" s="7" t="s">
        <v>139</v>
      </c>
      <c r="H800" s="7" t="n">
        <v>1</v>
      </c>
      <c r="I800" s="11" t="n">
        <v>215</v>
      </c>
      <c r="J800" s="11" t="n">
        <v>86</v>
      </c>
      <c r="K800" s="11" t="n">
        <f aca="false">H800*I800-J800</f>
        <v>129</v>
      </c>
      <c r="L800" s="7" t="s">
        <v>121</v>
      </c>
      <c r="M800" s="7" t="s">
        <v>194</v>
      </c>
      <c r="N800" s="7" t="n">
        <v>48</v>
      </c>
      <c r="O800" s="7" t="n">
        <v>3</v>
      </c>
    </row>
    <row r="801" customFormat="false" ht="15" hidden="false" customHeight="false" outlineLevel="0" collapsed="false">
      <c r="A801" s="7" t="s">
        <v>4213</v>
      </c>
      <c r="B801" s="10" t="n">
        <v>45761</v>
      </c>
      <c r="C801" s="7" t="s">
        <v>1023</v>
      </c>
      <c r="D801" s="7" t="s">
        <v>610</v>
      </c>
      <c r="E801" s="7" t="s">
        <v>98</v>
      </c>
      <c r="F801" s="7" t="s">
        <v>86</v>
      </c>
      <c r="G801" s="7" t="s">
        <v>99</v>
      </c>
      <c r="H801" s="7" t="n">
        <v>4</v>
      </c>
      <c r="I801" s="11" t="n">
        <v>255</v>
      </c>
      <c r="J801" s="11" t="n">
        <v>30</v>
      </c>
      <c r="K801" s="11" t="n">
        <f aca="false">H801*I801-J801</f>
        <v>990</v>
      </c>
      <c r="L801" s="7" t="s">
        <v>133</v>
      </c>
      <c r="M801" s="7" t="s">
        <v>194</v>
      </c>
      <c r="N801" s="7" t="n">
        <v>41</v>
      </c>
      <c r="O801" s="7" t="n">
        <v>3</v>
      </c>
    </row>
    <row r="802" customFormat="false" ht="15" hidden="false" customHeight="false" outlineLevel="0" collapsed="false">
      <c r="A802" s="7" t="s">
        <v>4659</v>
      </c>
      <c r="B802" s="10" t="n">
        <v>45761</v>
      </c>
      <c r="C802" s="7" t="s">
        <v>1250</v>
      </c>
      <c r="D802" s="7" t="s">
        <v>1232</v>
      </c>
      <c r="E802" s="7" t="s">
        <v>138</v>
      </c>
      <c r="F802" s="7" t="s">
        <v>110</v>
      </c>
      <c r="G802" s="7" t="s">
        <v>139</v>
      </c>
      <c r="H802" s="7" t="n">
        <v>2</v>
      </c>
      <c r="I802" s="11" t="n">
        <v>210</v>
      </c>
      <c r="J802" s="11" t="n">
        <v>0</v>
      </c>
      <c r="K802" s="11" t="n">
        <f aca="false">H802*I802-J802</f>
        <v>420</v>
      </c>
      <c r="L802" s="7" t="s">
        <v>112</v>
      </c>
      <c r="M802" s="7" t="s">
        <v>194</v>
      </c>
      <c r="N802" s="7" t="n">
        <v>52</v>
      </c>
      <c r="O802" s="7" t="n">
        <v>2</v>
      </c>
    </row>
    <row r="803" customFormat="false" ht="15" hidden="false" customHeight="false" outlineLevel="0" collapsed="false">
      <c r="A803" s="7" t="s">
        <v>5507</v>
      </c>
      <c r="B803" s="10" t="n">
        <v>45761</v>
      </c>
      <c r="C803" s="7" t="s">
        <v>1820</v>
      </c>
      <c r="D803" s="7" t="s">
        <v>4159</v>
      </c>
      <c r="E803" s="7" t="s">
        <v>122</v>
      </c>
      <c r="F803" s="7" t="s">
        <v>101</v>
      </c>
      <c r="G803" s="7" t="s">
        <v>123</v>
      </c>
      <c r="H803" s="7" t="n">
        <v>5</v>
      </c>
      <c r="I803" s="11" t="n">
        <v>415</v>
      </c>
      <c r="J803" s="11" t="n">
        <v>0</v>
      </c>
      <c r="K803" s="11" t="n">
        <f aca="false">H803*I803-J803</f>
        <v>2075</v>
      </c>
      <c r="L803" s="7" t="s">
        <v>121</v>
      </c>
      <c r="M803" s="7" t="s">
        <v>194</v>
      </c>
      <c r="N803" s="7" t="n">
        <v>38</v>
      </c>
      <c r="O803" s="7" t="n">
        <v>5</v>
      </c>
    </row>
    <row r="804" customFormat="false" ht="15" hidden="false" customHeight="false" outlineLevel="0" collapsed="false">
      <c r="A804" s="7" t="s">
        <v>472</v>
      </c>
      <c r="B804" s="10" t="n">
        <v>45761</v>
      </c>
      <c r="C804" s="7" t="s">
        <v>474</v>
      </c>
      <c r="D804" s="7" t="s">
        <v>475</v>
      </c>
      <c r="E804" s="7" t="s">
        <v>138</v>
      </c>
      <c r="F804" s="7" t="s">
        <v>110</v>
      </c>
      <c r="G804" s="7" t="s">
        <v>139</v>
      </c>
      <c r="H804" s="7" t="n">
        <v>2</v>
      </c>
      <c r="I804" s="11" t="n">
        <v>165</v>
      </c>
      <c r="J804" s="11" t="n">
        <v>75</v>
      </c>
      <c r="K804" s="11" t="n">
        <f aca="false">H804*I804-J804</f>
        <v>255</v>
      </c>
      <c r="L804" s="7" t="s">
        <v>88</v>
      </c>
      <c r="M804" s="7" t="s">
        <v>194</v>
      </c>
      <c r="N804" s="7"/>
      <c r="O804" s="7" t="n">
        <v>4</v>
      </c>
    </row>
    <row r="805" customFormat="false" ht="15" hidden="false" customHeight="false" outlineLevel="0" collapsed="false">
      <c r="A805" s="7" t="s">
        <v>3137</v>
      </c>
      <c r="B805" s="10" t="n">
        <v>45761</v>
      </c>
      <c r="C805" s="7" t="s">
        <v>1472</v>
      </c>
      <c r="D805" s="7" t="s">
        <v>1310</v>
      </c>
      <c r="E805" s="7" t="s">
        <v>98</v>
      </c>
      <c r="F805" s="7" t="s">
        <v>86</v>
      </c>
      <c r="G805" s="7" t="s">
        <v>99</v>
      </c>
      <c r="H805" s="7" t="n">
        <v>1</v>
      </c>
      <c r="I805" s="11" t="n">
        <v>260</v>
      </c>
      <c r="J805" s="11" t="n">
        <v>104</v>
      </c>
      <c r="K805" s="11" t="n">
        <f aca="false">H805*I805-J805</f>
        <v>156</v>
      </c>
      <c r="L805" s="7" t="s">
        <v>103</v>
      </c>
      <c r="M805" s="7" t="s">
        <v>194</v>
      </c>
      <c r="N805" s="7" t="n">
        <v>32</v>
      </c>
      <c r="O805" s="7" t="n">
        <v>5</v>
      </c>
    </row>
    <row r="806" customFormat="false" ht="15" hidden="false" customHeight="false" outlineLevel="0" collapsed="false">
      <c r="A806" s="7" t="s">
        <v>5754</v>
      </c>
      <c r="B806" s="10" t="n">
        <v>45761</v>
      </c>
      <c r="C806" s="7" t="s">
        <v>732</v>
      </c>
      <c r="D806" s="7" t="s">
        <v>922</v>
      </c>
      <c r="E806" s="7" t="s">
        <v>126</v>
      </c>
      <c r="F806" s="7" t="s">
        <v>101</v>
      </c>
      <c r="G806" s="7" t="s">
        <v>105</v>
      </c>
      <c r="H806" s="7" t="n">
        <v>4</v>
      </c>
      <c r="I806" s="11" t="n">
        <v>175</v>
      </c>
      <c r="J806" s="11" t="n">
        <v>0</v>
      </c>
      <c r="K806" s="11" t="n">
        <f aca="false">H806*I806-J806</f>
        <v>700</v>
      </c>
      <c r="L806" s="7" t="s">
        <v>112</v>
      </c>
      <c r="M806" s="7" t="s">
        <v>238</v>
      </c>
      <c r="N806" s="7"/>
      <c r="O806" s="7"/>
    </row>
    <row r="807" customFormat="false" ht="15" hidden="false" customHeight="false" outlineLevel="0" collapsed="false">
      <c r="A807" s="7" t="s">
        <v>5466</v>
      </c>
      <c r="B807" s="10" t="n">
        <v>45761</v>
      </c>
      <c r="C807" s="7" t="s">
        <v>1019</v>
      </c>
      <c r="D807" s="7" t="s">
        <v>3635</v>
      </c>
      <c r="E807" s="7" t="s">
        <v>104</v>
      </c>
      <c r="F807" s="7" t="s">
        <v>86</v>
      </c>
      <c r="G807" s="7" t="s">
        <v>105</v>
      </c>
      <c r="H807" s="7" t="n">
        <v>1</v>
      </c>
      <c r="I807" s="11" t="n">
        <v>200</v>
      </c>
      <c r="J807" s="11" t="n">
        <v>30</v>
      </c>
      <c r="K807" s="11" t="n">
        <f aca="false">H807*I807-J807</f>
        <v>170</v>
      </c>
      <c r="L807" s="7" t="s">
        <v>103</v>
      </c>
      <c r="M807" s="7" t="s">
        <v>194</v>
      </c>
      <c r="N807" s="7" t="n">
        <v>51</v>
      </c>
      <c r="O807" s="7" t="n">
        <v>3</v>
      </c>
    </row>
    <row r="808" customFormat="false" ht="15" hidden="false" customHeight="false" outlineLevel="0" collapsed="false">
      <c r="A808" s="7" t="s">
        <v>4303</v>
      </c>
      <c r="B808" s="10" t="n">
        <v>45761</v>
      </c>
      <c r="C808" s="7" t="s">
        <v>4305</v>
      </c>
      <c r="D808" s="7" t="s">
        <v>1944</v>
      </c>
      <c r="E808" s="7" t="s">
        <v>130</v>
      </c>
      <c r="F808" s="7" t="s">
        <v>110</v>
      </c>
      <c r="G808" s="7" t="s">
        <v>90</v>
      </c>
      <c r="H808" s="7" t="n">
        <v>2</v>
      </c>
      <c r="I808" s="11" t="n">
        <v>270</v>
      </c>
      <c r="J808" s="11" t="n">
        <v>0</v>
      </c>
      <c r="K808" s="11" t="n">
        <f aca="false">H808*I808-J808</f>
        <v>540</v>
      </c>
      <c r="L808" s="7" t="s">
        <v>93</v>
      </c>
      <c r="M808" s="7" t="s">
        <v>194</v>
      </c>
      <c r="N808" s="7" t="n">
        <v>38</v>
      </c>
      <c r="O808" s="7" t="n">
        <v>5</v>
      </c>
    </row>
    <row r="809" customFormat="false" ht="15" hidden="false" customHeight="false" outlineLevel="0" collapsed="false">
      <c r="A809" s="7" t="s">
        <v>2627</v>
      </c>
      <c r="B809" s="10" t="n">
        <v>45761</v>
      </c>
      <c r="C809" s="7" t="s">
        <v>2628</v>
      </c>
      <c r="D809" s="7" t="s">
        <v>1981</v>
      </c>
      <c r="E809" s="7" t="s">
        <v>165</v>
      </c>
      <c r="F809" s="7" t="s">
        <v>146</v>
      </c>
      <c r="G809" s="7" t="s">
        <v>90</v>
      </c>
      <c r="H809" s="7" t="n">
        <v>4</v>
      </c>
      <c r="I809" s="11" t="n">
        <v>215</v>
      </c>
      <c r="J809" s="11" t="n">
        <v>125</v>
      </c>
      <c r="K809" s="11" t="n">
        <f aca="false">H809*I809-J809</f>
        <v>735</v>
      </c>
      <c r="L809" s="7" t="s">
        <v>88</v>
      </c>
      <c r="M809" s="7" t="s">
        <v>238</v>
      </c>
      <c r="N809" s="7"/>
      <c r="O809" s="7"/>
    </row>
    <row r="810" customFormat="false" ht="15" hidden="false" customHeight="false" outlineLevel="0" collapsed="false">
      <c r="A810" s="7" t="s">
        <v>5133</v>
      </c>
      <c r="B810" s="10" t="n">
        <v>45762</v>
      </c>
      <c r="C810" s="7" t="s">
        <v>3197</v>
      </c>
      <c r="D810" s="7" t="s">
        <v>3612</v>
      </c>
      <c r="E810" s="7" t="s">
        <v>126</v>
      </c>
      <c r="F810" s="7" t="s">
        <v>101</v>
      </c>
      <c r="G810" s="7" t="s">
        <v>105</v>
      </c>
      <c r="H810" s="7" t="n">
        <v>2</v>
      </c>
      <c r="I810" s="11" t="n">
        <v>205</v>
      </c>
      <c r="J810" s="11" t="n">
        <v>0</v>
      </c>
      <c r="K810" s="11" t="n">
        <f aca="false">H810*I810-J810</f>
        <v>410</v>
      </c>
      <c r="L810" s="7" t="s">
        <v>121</v>
      </c>
      <c r="M810" s="7" t="s">
        <v>194</v>
      </c>
      <c r="N810" s="7" t="n">
        <v>41</v>
      </c>
      <c r="O810" s="7" t="n">
        <v>4</v>
      </c>
    </row>
    <row r="811" customFormat="false" ht="15" hidden="false" customHeight="false" outlineLevel="0" collapsed="false">
      <c r="A811" s="7" t="s">
        <v>5538</v>
      </c>
      <c r="B811" s="10" t="n">
        <v>45762</v>
      </c>
      <c r="C811" s="7" t="s">
        <v>697</v>
      </c>
      <c r="D811" s="7" t="s">
        <v>2228</v>
      </c>
      <c r="E811" s="7" t="s">
        <v>159</v>
      </c>
      <c r="F811" s="7" t="s">
        <v>136</v>
      </c>
      <c r="G811" s="7" t="s">
        <v>90</v>
      </c>
      <c r="H811" s="7" t="n">
        <v>4</v>
      </c>
      <c r="I811" s="11" t="n">
        <v>240</v>
      </c>
      <c r="J811" s="11" t="n">
        <v>0</v>
      </c>
      <c r="K811" s="11" t="n">
        <f aca="false">H811*I811-J811</f>
        <v>960</v>
      </c>
      <c r="L811" s="7" t="s">
        <v>88</v>
      </c>
      <c r="M811" s="7" t="s">
        <v>194</v>
      </c>
      <c r="N811" s="7" t="n">
        <v>23</v>
      </c>
      <c r="O811" s="7" t="n">
        <v>4</v>
      </c>
    </row>
    <row r="812" customFormat="false" ht="15" hidden="false" customHeight="false" outlineLevel="0" collapsed="false">
      <c r="A812" s="7" t="s">
        <v>6052</v>
      </c>
      <c r="B812" s="10" t="n">
        <v>45762</v>
      </c>
      <c r="C812" s="7" t="s">
        <v>5543</v>
      </c>
      <c r="D812" s="7" t="s">
        <v>3974</v>
      </c>
      <c r="E812" s="7" t="s">
        <v>147</v>
      </c>
      <c r="F812" s="7" t="s">
        <v>119</v>
      </c>
      <c r="G812" s="7" t="s">
        <v>95</v>
      </c>
      <c r="H812" s="7" t="n">
        <v>4</v>
      </c>
      <c r="I812" s="11" t="n">
        <v>175</v>
      </c>
      <c r="J812" s="11" t="n">
        <v>0</v>
      </c>
      <c r="K812" s="11" t="n">
        <f aca="false">H812*I812-J812</f>
        <v>700</v>
      </c>
      <c r="L812" s="7" t="s">
        <v>93</v>
      </c>
      <c r="M812" s="7" t="s">
        <v>194</v>
      </c>
      <c r="N812" s="7" t="n">
        <v>45</v>
      </c>
      <c r="O812" s="7" t="n">
        <v>3</v>
      </c>
    </row>
    <row r="813" customFormat="false" ht="15" hidden="false" customHeight="false" outlineLevel="0" collapsed="false">
      <c r="A813" s="7" t="s">
        <v>4595</v>
      </c>
      <c r="B813" s="10" t="n">
        <v>45762</v>
      </c>
      <c r="C813" s="7" t="s">
        <v>893</v>
      </c>
      <c r="D813" s="7" t="s">
        <v>505</v>
      </c>
      <c r="E813" s="7" t="s">
        <v>160</v>
      </c>
      <c r="F813" s="7" t="s">
        <v>136</v>
      </c>
      <c r="G813" s="7" t="s">
        <v>150</v>
      </c>
      <c r="H813" s="7" t="n">
        <v>1</v>
      </c>
      <c r="I813" s="11" t="n">
        <v>210</v>
      </c>
      <c r="J813" s="11" t="n">
        <v>0</v>
      </c>
      <c r="K813" s="11" t="n">
        <f aca="false">H813*I813-J813</f>
        <v>210</v>
      </c>
      <c r="L813" s="7" t="s">
        <v>112</v>
      </c>
      <c r="M813" s="7" t="s">
        <v>194</v>
      </c>
      <c r="N813" s="7" t="n">
        <v>41</v>
      </c>
      <c r="O813" s="7" t="n">
        <v>2</v>
      </c>
    </row>
    <row r="814" customFormat="false" ht="15" hidden="false" customHeight="false" outlineLevel="0" collapsed="false">
      <c r="A814" s="7" t="s">
        <v>4286</v>
      </c>
      <c r="B814" s="10" t="n">
        <v>45763</v>
      </c>
      <c r="C814" s="7" t="s">
        <v>4287</v>
      </c>
      <c r="D814" s="7" t="s">
        <v>4288</v>
      </c>
      <c r="E814" s="7" t="s">
        <v>89</v>
      </c>
      <c r="F814" s="7" t="s">
        <v>86</v>
      </c>
      <c r="G814" s="7" t="s">
        <v>90</v>
      </c>
      <c r="H814" s="7" t="n">
        <v>4</v>
      </c>
      <c r="I814" s="11" t="n">
        <v>230</v>
      </c>
      <c r="J814" s="11" t="n">
        <v>0</v>
      </c>
      <c r="K814" s="11" t="n">
        <f aca="false">H814*I814-J814</f>
        <v>920</v>
      </c>
      <c r="L814" s="7" t="s">
        <v>103</v>
      </c>
      <c r="M814" s="7" t="s">
        <v>238</v>
      </c>
      <c r="N814" s="7"/>
      <c r="O814" s="7"/>
    </row>
    <row r="815" customFormat="false" ht="15" hidden="false" customHeight="false" outlineLevel="0" collapsed="false">
      <c r="A815" s="7" t="s">
        <v>3742</v>
      </c>
      <c r="B815" s="10" t="n">
        <v>45763</v>
      </c>
      <c r="C815" s="7" t="s">
        <v>3743</v>
      </c>
      <c r="D815" s="7" t="s">
        <v>3744</v>
      </c>
      <c r="E815" s="7" t="s">
        <v>130</v>
      </c>
      <c r="F815" s="7" t="s">
        <v>110</v>
      </c>
      <c r="G815" s="7" t="s">
        <v>90</v>
      </c>
      <c r="H815" s="7" t="n">
        <v>1</v>
      </c>
      <c r="I815" s="11" t="n">
        <v>205</v>
      </c>
      <c r="J815" s="11" t="n">
        <v>82</v>
      </c>
      <c r="K815" s="11" t="n">
        <f aca="false">H815*I815-J815</f>
        <v>123</v>
      </c>
      <c r="L815" s="7" t="s">
        <v>112</v>
      </c>
      <c r="M815" s="7" t="s">
        <v>194</v>
      </c>
      <c r="N815" s="7" t="n">
        <v>33</v>
      </c>
      <c r="O815" s="7" t="n">
        <v>4</v>
      </c>
    </row>
    <row r="816" customFormat="false" ht="15" hidden="false" customHeight="false" outlineLevel="0" collapsed="false">
      <c r="A816" s="7" t="s">
        <v>5569</v>
      </c>
      <c r="B816" s="10" t="n">
        <v>45763</v>
      </c>
      <c r="C816" s="7" t="s">
        <v>3713</v>
      </c>
      <c r="D816" s="7" t="s">
        <v>1401</v>
      </c>
      <c r="E816" s="7" t="s">
        <v>94</v>
      </c>
      <c r="F816" s="7" t="s">
        <v>86</v>
      </c>
      <c r="G816" s="7" t="s">
        <v>95</v>
      </c>
      <c r="H816" s="7" t="n">
        <v>1</v>
      </c>
      <c r="I816" s="11" t="n">
        <v>115</v>
      </c>
      <c r="J816" s="11" t="n">
        <v>46</v>
      </c>
      <c r="K816" s="11" t="n">
        <f aca="false">H816*I816-J816</f>
        <v>69</v>
      </c>
      <c r="L816" s="7" t="s">
        <v>121</v>
      </c>
      <c r="M816" s="7" t="s">
        <v>194</v>
      </c>
      <c r="N816" s="7" t="n">
        <v>42</v>
      </c>
      <c r="O816" s="7" t="n">
        <v>2</v>
      </c>
    </row>
    <row r="817" customFormat="false" ht="15" hidden="false" customHeight="false" outlineLevel="0" collapsed="false">
      <c r="A817" s="7" t="s">
        <v>1794</v>
      </c>
      <c r="B817" s="10" t="n">
        <v>45763</v>
      </c>
      <c r="C817" s="7" t="s">
        <v>1795</v>
      </c>
      <c r="D817" s="7" t="s">
        <v>1796</v>
      </c>
      <c r="E817" s="7" t="s">
        <v>147</v>
      </c>
      <c r="F817" s="7" t="s">
        <v>119</v>
      </c>
      <c r="G817" s="7" t="s">
        <v>95</v>
      </c>
      <c r="H817" s="7" t="n">
        <v>2</v>
      </c>
      <c r="I817" s="11" t="n">
        <v>160</v>
      </c>
      <c r="J817" s="11" t="n">
        <v>30</v>
      </c>
      <c r="K817" s="11" t="n">
        <f aca="false">H817*I817-J817</f>
        <v>290</v>
      </c>
      <c r="L817" s="7" t="s">
        <v>88</v>
      </c>
      <c r="M817" s="7" t="s">
        <v>194</v>
      </c>
      <c r="N817" s="7" t="n">
        <v>24</v>
      </c>
      <c r="O817" s="7" t="n">
        <v>3</v>
      </c>
    </row>
    <row r="818" customFormat="false" ht="15" hidden="false" customHeight="false" outlineLevel="0" collapsed="false">
      <c r="A818" s="7" t="s">
        <v>885</v>
      </c>
      <c r="B818" s="10" t="n">
        <v>45763</v>
      </c>
      <c r="C818" s="7" t="s">
        <v>886</v>
      </c>
      <c r="D818" s="7" t="s">
        <v>887</v>
      </c>
      <c r="E818" s="7" t="s">
        <v>163</v>
      </c>
      <c r="F818" s="7" t="s">
        <v>141</v>
      </c>
      <c r="G818" s="7" t="s">
        <v>99</v>
      </c>
      <c r="H818" s="7" t="n">
        <v>1</v>
      </c>
      <c r="I818" s="11" t="n">
        <v>250</v>
      </c>
      <c r="J818" s="11" t="n">
        <v>40</v>
      </c>
      <c r="K818" s="11" t="n">
        <f aca="false">H818*I818-J818</f>
        <v>210</v>
      </c>
      <c r="L818" s="7" t="s">
        <v>103</v>
      </c>
      <c r="M818" s="7" t="s">
        <v>194</v>
      </c>
      <c r="N818" s="7" t="n">
        <v>50</v>
      </c>
      <c r="O818" s="7" t="n">
        <v>5</v>
      </c>
    </row>
    <row r="819" customFormat="false" ht="15" hidden="false" customHeight="false" outlineLevel="0" collapsed="false">
      <c r="A819" s="7" t="s">
        <v>5711</v>
      </c>
      <c r="B819" s="10" t="n">
        <v>45763</v>
      </c>
      <c r="C819" s="7" t="s">
        <v>2405</v>
      </c>
      <c r="D819" s="7" t="s">
        <v>3146</v>
      </c>
      <c r="E819" s="7" t="s">
        <v>94</v>
      </c>
      <c r="F819" s="7" t="s">
        <v>86</v>
      </c>
      <c r="G819" s="7" t="s">
        <v>95</v>
      </c>
      <c r="H819" s="7" t="n">
        <v>2</v>
      </c>
      <c r="I819" s="11" t="n">
        <v>100</v>
      </c>
      <c r="J819" s="11" t="n">
        <v>50</v>
      </c>
      <c r="K819" s="11" t="n">
        <f aca="false">H819*I819-J819</f>
        <v>150</v>
      </c>
      <c r="L819" s="7" t="s">
        <v>112</v>
      </c>
      <c r="M819" s="7" t="s">
        <v>194</v>
      </c>
      <c r="N819" s="7" t="n">
        <v>35</v>
      </c>
      <c r="O819" s="7" t="n">
        <v>3</v>
      </c>
    </row>
    <row r="820" customFormat="false" ht="15" hidden="false" customHeight="false" outlineLevel="0" collapsed="false">
      <c r="A820" s="7" t="s">
        <v>3081</v>
      </c>
      <c r="B820" s="10" t="n">
        <v>45763</v>
      </c>
      <c r="C820" s="7" t="s">
        <v>3083</v>
      </c>
      <c r="D820" s="7" t="s">
        <v>2442</v>
      </c>
      <c r="E820" s="7" t="s">
        <v>161</v>
      </c>
      <c r="F820" s="7" t="s">
        <v>141</v>
      </c>
      <c r="G820" s="7" t="s">
        <v>117</v>
      </c>
      <c r="H820" s="7" t="n">
        <v>2</v>
      </c>
      <c r="I820" s="11" t="n">
        <v>165</v>
      </c>
      <c r="J820" s="11" t="n">
        <v>0</v>
      </c>
      <c r="K820" s="11" t="n">
        <f aca="false">H820*I820-J820</f>
        <v>330</v>
      </c>
      <c r="L820" s="7" t="s">
        <v>88</v>
      </c>
      <c r="M820" s="7" t="s">
        <v>194</v>
      </c>
      <c r="N820" s="7" t="n">
        <v>40</v>
      </c>
      <c r="O820" s="7"/>
    </row>
    <row r="821" customFormat="false" ht="15" hidden="false" customHeight="false" outlineLevel="0" collapsed="false">
      <c r="A821" s="7" t="s">
        <v>1874</v>
      </c>
      <c r="B821" s="10" t="n">
        <v>45763</v>
      </c>
      <c r="C821" s="7" t="s">
        <v>346</v>
      </c>
      <c r="D821" s="7" t="s">
        <v>1875</v>
      </c>
      <c r="E821" s="7" t="s">
        <v>130</v>
      </c>
      <c r="F821" s="7" t="s">
        <v>110</v>
      </c>
      <c r="G821" s="7" t="s">
        <v>90</v>
      </c>
      <c r="H821" s="7" t="n">
        <v>2</v>
      </c>
      <c r="I821" s="11" t="n">
        <v>280</v>
      </c>
      <c r="J821" s="11" t="n">
        <v>0</v>
      </c>
      <c r="K821" s="11" t="n">
        <f aca="false">H821*I821-J821</f>
        <v>560</v>
      </c>
      <c r="L821" s="7" t="s">
        <v>88</v>
      </c>
      <c r="M821" s="7" t="s">
        <v>194</v>
      </c>
      <c r="N821" s="7" t="n">
        <v>38</v>
      </c>
      <c r="O821" s="7" t="n">
        <v>3</v>
      </c>
    </row>
    <row r="822" customFormat="false" ht="15" hidden="false" customHeight="false" outlineLevel="0" collapsed="false">
      <c r="A822" s="7" t="s">
        <v>4198</v>
      </c>
      <c r="B822" s="10" t="n">
        <v>45763</v>
      </c>
      <c r="C822" s="7" t="s">
        <v>1101</v>
      </c>
      <c r="D822" s="7" t="s">
        <v>3034</v>
      </c>
      <c r="E822" s="7" t="s">
        <v>159</v>
      </c>
      <c r="F822" s="7" t="s">
        <v>136</v>
      </c>
      <c r="G822" s="7" t="s">
        <v>90</v>
      </c>
      <c r="H822" s="7" t="n">
        <v>2</v>
      </c>
      <c r="I822" s="11" t="n">
        <v>215</v>
      </c>
      <c r="J822" s="11" t="n">
        <v>100</v>
      </c>
      <c r="K822" s="11" t="n">
        <f aca="false">H822*I822-J822</f>
        <v>330</v>
      </c>
      <c r="L822" s="7" t="s">
        <v>93</v>
      </c>
      <c r="M822" s="7" t="s">
        <v>194</v>
      </c>
      <c r="N822" s="7" t="n">
        <v>32</v>
      </c>
      <c r="O822" s="7" t="n">
        <v>3</v>
      </c>
    </row>
    <row r="823" customFormat="false" ht="15" hidden="false" customHeight="false" outlineLevel="0" collapsed="false">
      <c r="A823" s="7" t="s">
        <v>476</v>
      </c>
      <c r="B823" s="10" t="n">
        <v>45763</v>
      </c>
      <c r="C823" s="7" t="s">
        <v>478</v>
      </c>
      <c r="D823" s="7" t="s">
        <v>479</v>
      </c>
      <c r="E823" s="7" t="s">
        <v>154</v>
      </c>
      <c r="F823" s="7" t="s">
        <v>128</v>
      </c>
      <c r="G823" s="7" t="s">
        <v>99</v>
      </c>
      <c r="H823" s="7" t="n">
        <v>3</v>
      </c>
      <c r="I823" s="11" t="n">
        <v>285</v>
      </c>
      <c r="J823" s="11" t="n">
        <v>0</v>
      </c>
      <c r="K823" s="11" t="n">
        <f aca="false">H823*I823-J823</f>
        <v>855</v>
      </c>
      <c r="L823" s="7" t="s">
        <v>88</v>
      </c>
      <c r="M823" s="7" t="s">
        <v>194</v>
      </c>
      <c r="N823" s="7" t="n">
        <v>43</v>
      </c>
      <c r="O823" s="7" t="n">
        <v>3</v>
      </c>
    </row>
    <row r="824" customFormat="false" ht="15" hidden="false" customHeight="false" outlineLevel="0" collapsed="false">
      <c r="A824" s="7" t="s">
        <v>5412</v>
      </c>
      <c r="B824" s="10" t="n">
        <v>45763</v>
      </c>
      <c r="C824" s="7" t="s">
        <v>559</v>
      </c>
      <c r="D824" s="7" t="s">
        <v>1369</v>
      </c>
      <c r="E824" s="7" t="s">
        <v>158</v>
      </c>
      <c r="F824" s="7" t="s">
        <v>136</v>
      </c>
      <c r="G824" s="7" t="s">
        <v>139</v>
      </c>
      <c r="H824" s="7" t="n">
        <v>2</v>
      </c>
      <c r="I824" s="11" t="n">
        <v>195</v>
      </c>
      <c r="J824" s="11" t="n">
        <v>100</v>
      </c>
      <c r="K824" s="11" t="n">
        <f aca="false">H824*I824-J824</f>
        <v>290</v>
      </c>
      <c r="L824" s="7" t="s">
        <v>103</v>
      </c>
      <c r="M824" s="7" t="s">
        <v>194</v>
      </c>
      <c r="N824" s="7" t="n">
        <v>38</v>
      </c>
      <c r="O824" s="7" t="n">
        <v>5</v>
      </c>
    </row>
    <row r="825" customFormat="false" ht="15" hidden="false" customHeight="false" outlineLevel="0" collapsed="false">
      <c r="A825" s="7" t="s">
        <v>1540</v>
      </c>
      <c r="B825" s="10" t="n">
        <v>45764</v>
      </c>
      <c r="C825" s="7" t="s">
        <v>1542</v>
      </c>
      <c r="D825" s="7" t="s">
        <v>1543</v>
      </c>
      <c r="E825" s="7" t="s">
        <v>154</v>
      </c>
      <c r="F825" s="7" t="s">
        <v>128</v>
      </c>
      <c r="G825" s="7" t="s">
        <v>99</v>
      </c>
      <c r="H825" s="7" t="n">
        <v>2</v>
      </c>
      <c r="I825" s="11" t="n">
        <v>285</v>
      </c>
      <c r="J825" s="11" t="n">
        <v>0</v>
      </c>
      <c r="K825" s="11" t="n">
        <f aca="false">H825*I825-J825</f>
        <v>570</v>
      </c>
      <c r="L825" s="7" t="s">
        <v>93</v>
      </c>
      <c r="M825" s="7" t="s">
        <v>194</v>
      </c>
      <c r="N825" s="7" t="n">
        <v>31</v>
      </c>
      <c r="O825" s="7" t="n">
        <v>3</v>
      </c>
    </row>
    <row r="826" customFormat="false" ht="15" hidden="false" customHeight="false" outlineLevel="0" collapsed="false">
      <c r="A826" s="7" t="s">
        <v>1676</v>
      </c>
      <c r="B826" s="10" t="n">
        <v>45764</v>
      </c>
      <c r="C826" s="7" t="s">
        <v>1677</v>
      </c>
      <c r="D826" s="7" t="s">
        <v>1678</v>
      </c>
      <c r="E826" s="7" t="s">
        <v>113</v>
      </c>
      <c r="F826" s="7" t="s">
        <v>101</v>
      </c>
      <c r="G826" s="7" t="s">
        <v>90</v>
      </c>
      <c r="H826" s="7" t="n">
        <v>3</v>
      </c>
      <c r="I826" s="11" t="n">
        <v>260</v>
      </c>
      <c r="J826" s="11" t="n">
        <v>40</v>
      </c>
      <c r="K826" s="11" t="n">
        <f aca="false">H826*I826-J826</f>
        <v>740</v>
      </c>
      <c r="L826" s="7" t="s">
        <v>88</v>
      </c>
      <c r="M826" s="7" t="s">
        <v>194</v>
      </c>
      <c r="N826" s="7" t="n">
        <v>39</v>
      </c>
      <c r="O826" s="7" t="n">
        <v>3</v>
      </c>
    </row>
    <row r="827" customFormat="false" ht="15" hidden="false" customHeight="false" outlineLevel="0" collapsed="false">
      <c r="A827" s="7" t="s">
        <v>4692</v>
      </c>
      <c r="B827" s="10" t="n">
        <v>45764</v>
      </c>
      <c r="C827" s="7" t="s">
        <v>588</v>
      </c>
      <c r="D827" s="7" t="s">
        <v>2346</v>
      </c>
      <c r="E827" s="7" t="s">
        <v>89</v>
      </c>
      <c r="F827" s="7" t="s">
        <v>86</v>
      </c>
      <c r="G827" s="7" t="s">
        <v>90</v>
      </c>
      <c r="H827" s="7" t="n">
        <v>3</v>
      </c>
      <c r="I827" s="11" t="n">
        <v>235</v>
      </c>
      <c r="J827" s="11" t="n">
        <v>0</v>
      </c>
      <c r="K827" s="11" t="n">
        <f aca="false">H827*I827-J827</f>
        <v>705</v>
      </c>
      <c r="L827" s="7" t="s">
        <v>103</v>
      </c>
      <c r="M827" s="7" t="s">
        <v>194</v>
      </c>
      <c r="N827" s="7" t="n">
        <v>42</v>
      </c>
      <c r="O827" s="7" t="n">
        <v>4</v>
      </c>
    </row>
    <row r="828" customFormat="false" ht="15" hidden="false" customHeight="false" outlineLevel="0" collapsed="false">
      <c r="A828" s="7" t="s">
        <v>6062</v>
      </c>
      <c r="B828" s="10" t="n">
        <v>45764</v>
      </c>
      <c r="C828" s="7" t="s">
        <v>1529</v>
      </c>
      <c r="D828" s="7" t="s">
        <v>2512</v>
      </c>
      <c r="E828" s="7" t="s">
        <v>113</v>
      </c>
      <c r="F828" s="7" t="s">
        <v>101</v>
      </c>
      <c r="G828" s="7" t="s">
        <v>90</v>
      </c>
      <c r="H828" s="7" t="n">
        <v>1</v>
      </c>
      <c r="I828" s="11" t="n">
        <v>210</v>
      </c>
      <c r="J828" s="11" t="n">
        <v>20</v>
      </c>
      <c r="K828" s="11" t="n">
        <f aca="false">H828*I828-J828</f>
        <v>190</v>
      </c>
      <c r="L828" s="7" t="s">
        <v>112</v>
      </c>
      <c r="M828" s="7" t="s">
        <v>194</v>
      </c>
      <c r="N828" s="7" t="n">
        <v>45</v>
      </c>
      <c r="O828" s="7"/>
    </row>
    <row r="829" customFormat="false" ht="15" hidden="false" customHeight="false" outlineLevel="0" collapsed="false">
      <c r="A829" s="7" t="s">
        <v>2717</v>
      </c>
      <c r="B829" s="10" t="n">
        <v>45764</v>
      </c>
      <c r="C829" s="7" t="s">
        <v>2602</v>
      </c>
      <c r="D829" s="7" t="s">
        <v>2718</v>
      </c>
      <c r="E829" s="7" t="s">
        <v>134</v>
      </c>
      <c r="F829" s="7" t="s">
        <v>110</v>
      </c>
      <c r="G829" s="7" t="s">
        <v>117</v>
      </c>
      <c r="H829" s="7" t="n">
        <v>3</v>
      </c>
      <c r="I829" s="11" t="n">
        <v>100</v>
      </c>
      <c r="J829" s="11" t="n">
        <v>0</v>
      </c>
      <c r="K829" s="11" t="n">
        <f aca="false">H829*I829-J829</f>
        <v>300</v>
      </c>
      <c r="L829" s="7" t="s">
        <v>133</v>
      </c>
      <c r="M829" s="7" t="s">
        <v>194</v>
      </c>
      <c r="N829" s="7" t="n">
        <v>42</v>
      </c>
      <c r="O829" s="7" t="n">
        <v>3</v>
      </c>
    </row>
    <row r="830" customFormat="false" ht="15" hidden="false" customHeight="false" outlineLevel="0" collapsed="false">
      <c r="A830" s="7" t="s">
        <v>3236</v>
      </c>
      <c r="B830" s="10" t="n">
        <v>45764</v>
      </c>
      <c r="C830" s="7" t="s">
        <v>1145</v>
      </c>
      <c r="D830" s="7" t="s">
        <v>3237</v>
      </c>
      <c r="E830" s="7" t="s">
        <v>89</v>
      </c>
      <c r="F830" s="7" t="s">
        <v>86</v>
      </c>
      <c r="G830" s="7" t="s">
        <v>90</v>
      </c>
      <c r="H830" s="7" t="n">
        <v>4</v>
      </c>
      <c r="I830" s="11" t="n">
        <v>245</v>
      </c>
      <c r="J830" s="11" t="n">
        <v>125</v>
      </c>
      <c r="K830" s="11" t="n">
        <f aca="false">H830*I830-J830</f>
        <v>855</v>
      </c>
      <c r="L830" s="7" t="s">
        <v>88</v>
      </c>
      <c r="M830" s="7" t="s">
        <v>238</v>
      </c>
      <c r="N830" s="7"/>
      <c r="O830" s="7"/>
    </row>
    <row r="831" customFormat="false" ht="15" hidden="false" customHeight="false" outlineLevel="0" collapsed="false">
      <c r="A831" s="7" t="s">
        <v>1073</v>
      </c>
      <c r="B831" s="10" t="n">
        <v>45764</v>
      </c>
      <c r="C831" s="7" t="s">
        <v>327</v>
      </c>
      <c r="D831" s="7" t="s">
        <v>1075</v>
      </c>
      <c r="E831" s="7" t="s">
        <v>161</v>
      </c>
      <c r="F831" s="7" t="s">
        <v>141</v>
      </c>
      <c r="G831" s="7" t="s">
        <v>117</v>
      </c>
      <c r="H831" s="7" t="n">
        <v>2</v>
      </c>
      <c r="I831" s="11" t="n">
        <v>175</v>
      </c>
      <c r="J831" s="11" t="n">
        <v>100</v>
      </c>
      <c r="K831" s="11" t="n">
        <f aca="false">H831*I831-J831</f>
        <v>250</v>
      </c>
      <c r="L831" s="7" t="s">
        <v>88</v>
      </c>
      <c r="M831" s="7" t="s">
        <v>194</v>
      </c>
      <c r="N831" s="7" t="n">
        <v>39</v>
      </c>
      <c r="O831" s="7" t="n">
        <v>3</v>
      </c>
    </row>
    <row r="832" customFormat="false" ht="15" hidden="false" customHeight="false" outlineLevel="0" collapsed="false">
      <c r="A832" s="7" t="s">
        <v>2474</v>
      </c>
      <c r="B832" s="10" t="n">
        <v>45764</v>
      </c>
      <c r="C832" s="7" t="s">
        <v>2475</v>
      </c>
      <c r="D832" s="7" t="s">
        <v>332</v>
      </c>
      <c r="E832" s="7" t="s">
        <v>126</v>
      </c>
      <c r="F832" s="7" t="s">
        <v>101</v>
      </c>
      <c r="G832" s="7" t="s">
        <v>105</v>
      </c>
      <c r="H832" s="7" t="n">
        <v>3</v>
      </c>
      <c r="I832" s="11" t="n">
        <v>260</v>
      </c>
      <c r="J832" s="11" t="n">
        <v>0</v>
      </c>
      <c r="K832" s="11" t="n">
        <f aca="false">H832*I832-J832</f>
        <v>780</v>
      </c>
      <c r="L832" s="7" t="s">
        <v>93</v>
      </c>
      <c r="M832" s="7" t="s">
        <v>194</v>
      </c>
      <c r="N832" s="7" t="n">
        <v>40</v>
      </c>
      <c r="O832" s="7" t="n">
        <v>3</v>
      </c>
    </row>
    <row r="833" customFormat="false" ht="15" hidden="false" customHeight="false" outlineLevel="0" collapsed="false">
      <c r="A833" s="7" t="s">
        <v>3795</v>
      </c>
      <c r="B833" s="10" t="n">
        <v>45765</v>
      </c>
      <c r="C833" s="7" t="s">
        <v>3160</v>
      </c>
      <c r="D833" s="7" t="s">
        <v>3796</v>
      </c>
      <c r="E833" s="7" t="s">
        <v>130</v>
      </c>
      <c r="F833" s="7" t="s">
        <v>110</v>
      </c>
      <c r="G833" s="7" t="s">
        <v>90</v>
      </c>
      <c r="H833" s="7" t="n">
        <v>3</v>
      </c>
      <c r="I833" s="11" t="n">
        <v>295</v>
      </c>
      <c r="J833" s="11" t="n">
        <v>75</v>
      </c>
      <c r="K833" s="11" t="n">
        <f aca="false">H833*I833-J833</f>
        <v>810</v>
      </c>
      <c r="L833" s="7" t="s">
        <v>112</v>
      </c>
      <c r="M833" s="7" t="s">
        <v>194</v>
      </c>
      <c r="N833" s="7" t="n">
        <v>36</v>
      </c>
      <c r="O833" s="7" t="n">
        <v>5</v>
      </c>
    </row>
    <row r="834" customFormat="false" ht="15" hidden="false" customHeight="false" outlineLevel="0" collapsed="false">
      <c r="A834" s="7" t="s">
        <v>5957</v>
      </c>
      <c r="B834" s="10" t="n">
        <v>45765</v>
      </c>
      <c r="C834" s="7" t="s">
        <v>3713</v>
      </c>
      <c r="D834" s="7" t="s">
        <v>2779</v>
      </c>
      <c r="E834" s="7" t="s">
        <v>122</v>
      </c>
      <c r="F834" s="7" t="s">
        <v>101</v>
      </c>
      <c r="G834" s="7" t="s">
        <v>123</v>
      </c>
      <c r="H834" s="7" t="n">
        <v>2</v>
      </c>
      <c r="I834" s="11" t="n">
        <v>235</v>
      </c>
      <c r="J834" s="11" t="n">
        <v>0</v>
      </c>
      <c r="K834" s="11" t="n">
        <f aca="false">H834*I834-J834</f>
        <v>470</v>
      </c>
      <c r="L834" s="7" t="s">
        <v>112</v>
      </c>
      <c r="M834" s="7" t="s">
        <v>194</v>
      </c>
      <c r="N834" s="7" t="n">
        <v>39</v>
      </c>
      <c r="O834" s="7" t="n">
        <v>3</v>
      </c>
    </row>
    <row r="835" customFormat="false" ht="15" hidden="false" customHeight="false" outlineLevel="0" collapsed="false">
      <c r="A835" s="7" t="s">
        <v>5087</v>
      </c>
      <c r="B835" s="10" t="n">
        <v>45765</v>
      </c>
      <c r="C835" s="7" t="s">
        <v>2921</v>
      </c>
      <c r="D835" s="7" t="s">
        <v>1782</v>
      </c>
      <c r="E835" s="7" t="s">
        <v>122</v>
      </c>
      <c r="F835" s="7" t="s">
        <v>101</v>
      </c>
      <c r="G835" s="7" t="s">
        <v>123</v>
      </c>
      <c r="H835" s="7" t="n">
        <v>2</v>
      </c>
      <c r="I835" s="11" t="n">
        <v>325</v>
      </c>
      <c r="J835" s="11" t="n">
        <v>75</v>
      </c>
      <c r="K835" s="11" t="n">
        <f aca="false">H835*I835-J835</f>
        <v>575</v>
      </c>
      <c r="L835" s="7" t="s">
        <v>103</v>
      </c>
      <c r="M835" s="7" t="s">
        <v>194</v>
      </c>
      <c r="N835" s="7" t="n">
        <v>46</v>
      </c>
      <c r="O835" s="7" t="n">
        <v>3</v>
      </c>
    </row>
    <row r="836" customFormat="false" ht="15" hidden="false" customHeight="false" outlineLevel="0" collapsed="false">
      <c r="A836" s="7" t="s">
        <v>216</v>
      </c>
      <c r="B836" s="10" t="n">
        <v>45765</v>
      </c>
      <c r="C836" s="7" t="s">
        <v>218</v>
      </c>
      <c r="D836" s="7" t="s">
        <v>219</v>
      </c>
      <c r="E836" s="7" t="s">
        <v>134</v>
      </c>
      <c r="F836" s="7" t="s">
        <v>110</v>
      </c>
      <c r="G836" s="7" t="s">
        <v>117</v>
      </c>
      <c r="H836" s="7" t="n">
        <v>1</v>
      </c>
      <c r="I836" s="11" t="n">
        <v>110</v>
      </c>
      <c r="J836" s="11" t="n">
        <v>0</v>
      </c>
      <c r="K836" s="11" t="n">
        <f aca="false">H836*I836-J836</f>
        <v>110</v>
      </c>
      <c r="L836" s="7" t="s">
        <v>93</v>
      </c>
      <c r="M836" s="7" t="s">
        <v>194</v>
      </c>
      <c r="N836" s="7" t="n">
        <v>34</v>
      </c>
      <c r="O836" s="7" t="n">
        <v>4</v>
      </c>
    </row>
    <row r="837" customFormat="false" ht="15" hidden="false" customHeight="false" outlineLevel="0" collapsed="false">
      <c r="A837" s="7" t="s">
        <v>5632</v>
      </c>
      <c r="B837" s="10" t="n">
        <v>45765</v>
      </c>
      <c r="C837" s="7" t="s">
        <v>2309</v>
      </c>
      <c r="D837" s="7" t="s">
        <v>5633</v>
      </c>
      <c r="E837" s="7" t="s">
        <v>104</v>
      </c>
      <c r="F837" s="7" t="s">
        <v>86</v>
      </c>
      <c r="G837" s="7" t="s">
        <v>105</v>
      </c>
      <c r="H837" s="7" t="n">
        <v>1</v>
      </c>
      <c r="I837" s="11" t="n">
        <v>180</v>
      </c>
      <c r="J837" s="11" t="n">
        <v>72</v>
      </c>
      <c r="K837" s="11" t="n">
        <f aca="false">H837*I837-J837</f>
        <v>108</v>
      </c>
      <c r="L837" s="7" t="s">
        <v>93</v>
      </c>
      <c r="M837" s="7" t="s">
        <v>194</v>
      </c>
      <c r="N837" s="7" t="n">
        <v>41</v>
      </c>
      <c r="O837" s="7" t="n">
        <v>5</v>
      </c>
    </row>
    <row r="838" customFormat="false" ht="15" hidden="false" customHeight="false" outlineLevel="0" collapsed="false">
      <c r="A838" s="7" t="s">
        <v>2561</v>
      </c>
      <c r="B838" s="10" t="n">
        <v>45765</v>
      </c>
      <c r="C838" s="7" t="s">
        <v>555</v>
      </c>
      <c r="D838" s="7" t="s">
        <v>2562</v>
      </c>
      <c r="E838" s="7" t="s">
        <v>162</v>
      </c>
      <c r="F838" s="7" t="s">
        <v>141</v>
      </c>
      <c r="G838" s="7" t="s">
        <v>117</v>
      </c>
      <c r="H838" s="7" t="n">
        <v>5</v>
      </c>
      <c r="I838" s="11" t="n">
        <v>95</v>
      </c>
      <c r="J838" s="11" t="n">
        <v>0</v>
      </c>
      <c r="K838" s="11" t="n">
        <f aca="false">H838*I838-J838</f>
        <v>475</v>
      </c>
      <c r="L838" s="7" t="s">
        <v>112</v>
      </c>
      <c r="M838" s="7" t="s">
        <v>194</v>
      </c>
      <c r="N838" s="7" t="n">
        <v>44</v>
      </c>
      <c r="O838" s="7" t="n">
        <v>2</v>
      </c>
    </row>
    <row r="839" customFormat="false" ht="15" hidden="false" customHeight="false" outlineLevel="0" collapsed="false">
      <c r="A839" s="7" t="s">
        <v>1642</v>
      </c>
      <c r="B839" s="10" t="n">
        <v>45765</v>
      </c>
      <c r="C839" s="7" t="s">
        <v>1643</v>
      </c>
      <c r="D839" s="7" t="s">
        <v>1462</v>
      </c>
      <c r="E839" s="7" t="s">
        <v>168</v>
      </c>
      <c r="F839" s="7" t="s">
        <v>146</v>
      </c>
      <c r="G839" s="7" t="s">
        <v>123</v>
      </c>
      <c r="H839" s="7" t="n">
        <v>2</v>
      </c>
      <c r="I839" s="11" t="n">
        <v>375</v>
      </c>
      <c r="J839" s="11" t="n">
        <v>0</v>
      </c>
      <c r="K839" s="11" t="n">
        <f aca="false">H839*I839-J839</f>
        <v>750</v>
      </c>
      <c r="L839" s="7" t="s">
        <v>88</v>
      </c>
      <c r="M839" s="7" t="s">
        <v>194</v>
      </c>
      <c r="N839" s="7" t="n">
        <v>24</v>
      </c>
      <c r="O839" s="7" t="n">
        <v>4</v>
      </c>
    </row>
    <row r="840" customFormat="false" ht="15" hidden="false" customHeight="false" outlineLevel="0" collapsed="false">
      <c r="A840" s="7" t="s">
        <v>3924</v>
      </c>
      <c r="B840" s="10" t="n">
        <v>45765</v>
      </c>
      <c r="C840" s="7" t="s">
        <v>2093</v>
      </c>
      <c r="D840" s="7" t="s">
        <v>3925</v>
      </c>
      <c r="E840" s="7" t="s">
        <v>148</v>
      </c>
      <c r="F840" s="7" t="s">
        <v>119</v>
      </c>
      <c r="G840" s="7" t="s">
        <v>123</v>
      </c>
      <c r="H840" s="7" t="n">
        <v>1</v>
      </c>
      <c r="I840" s="11" t="n">
        <v>340</v>
      </c>
      <c r="J840" s="11" t="n">
        <v>0</v>
      </c>
      <c r="K840" s="11" t="n">
        <f aca="false">H840*I840-J840</f>
        <v>340</v>
      </c>
      <c r="L840" s="7" t="s">
        <v>112</v>
      </c>
      <c r="M840" s="7" t="s">
        <v>194</v>
      </c>
      <c r="N840" s="7" t="n">
        <v>32</v>
      </c>
      <c r="O840" s="7" t="n">
        <v>5</v>
      </c>
    </row>
    <row r="841" customFormat="false" ht="15" hidden="false" customHeight="false" outlineLevel="0" collapsed="false">
      <c r="A841" s="7" t="s">
        <v>1978</v>
      </c>
      <c r="B841" s="10" t="n">
        <v>45765</v>
      </c>
      <c r="C841" s="7" t="s">
        <v>862</v>
      </c>
      <c r="D841" s="7" t="s">
        <v>1979</v>
      </c>
      <c r="E841" s="7" t="s">
        <v>168</v>
      </c>
      <c r="F841" s="7" t="s">
        <v>146</v>
      </c>
      <c r="G841" s="7" t="s">
        <v>123</v>
      </c>
      <c r="H841" s="7" t="n">
        <v>3</v>
      </c>
      <c r="I841" s="11" t="n">
        <v>365</v>
      </c>
      <c r="J841" s="11" t="n">
        <v>150</v>
      </c>
      <c r="K841" s="11" t="n">
        <f aca="false">H841*I841-J841</f>
        <v>945</v>
      </c>
      <c r="L841" s="7" t="s">
        <v>103</v>
      </c>
      <c r="M841" s="7" t="s">
        <v>194</v>
      </c>
      <c r="N841" s="7" t="n">
        <v>33</v>
      </c>
      <c r="O841" s="7" t="n">
        <v>5</v>
      </c>
    </row>
    <row r="842" customFormat="false" ht="15" hidden="false" customHeight="false" outlineLevel="0" collapsed="false">
      <c r="A842" s="7" t="s">
        <v>1763</v>
      </c>
      <c r="B842" s="10" t="n">
        <v>45765</v>
      </c>
      <c r="C842" s="7" t="s">
        <v>1764</v>
      </c>
      <c r="D842" s="7" t="s">
        <v>1765</v>
      </c>
      <c r="E842" s="7" t="s">
        <v>89</v>
      </c>
      <c r="F842" s="7" t="s">
        <v>86</v>
      </c>
      <c r="G842" s="7" t="s">
        <v>90</v>
      </c>
      <c r="H842" s="7" t="n">
        <v>5</v>
      </c>
      <c r="I842" s="11" t="n">
        <v>245</v>
      </c>
      <c r="J842" s="11" t="n">
        <v>20</v>
      </c>
      <c r="K842" s="11" t="n">
        <f aca="false">H842*I842-J842</f>
        <v>1205</v>
      </c>
      <c r="L842" s="7" t="s">
        <v>133</v>
      </c>
      <c r="M842" s="7" t="s">
        <v>194</v>
      </c>
      <c r="N842" s="7" t="n">
        <v>42</v>
      </c>
      <c r="O842" s="7" t="n">
        <v>5</v>
      </c>
    </row>
    <row r="843" customFormat="false" ht="15" hidden="false" customHeight="false" outlineLevel="0" collapsed="false">
      <c r="A843" s="7" t="s">
        <v>3418</v>
      </c>
      <c r="B843" s="10" t="n">
        <v>45765</v>
      </c>
      <c r="C843" s="7" t="s">
        <v>1688</v>
      </c>
      <c r="D843" s="7" t="s">
        <v>491</v>
      </c>
      <c r="E843" s="7" t="s">
        <v>138</v>
      </c>
      <c r="F843" s="7" t="s">
        <v>110</v>
      </c>
      <c r="G843" s="7" t="s">
        <v>139</v>
      </c>
      <c r="H843" s="7" t="n">
        <v>3</v>
      </c>
      <c r="I843" s="11" t="n">
        <v>175</v>
      </c>
      <c r="J843" s="11" t="n">
        <v>0</v>
      </c>
      <c r="K843" s="11" t="n">
        <f aca="false">H843*I843-J843</f>
        <v>525</v>
      </c>
      <c r="L843" s="7" t="s">
        <v>93</v>
      </c>
      <c r="M843" s="7" t="s">
        <v>194</v>
      </c>
      <c r="N843" s="7" t="n">
        <v>43</v>
      </c>
      <c r="O843" s="7" t="n">
        <v>5</v>
      </c>
    </row>
    <row r="844" customFormat="false" ht="15" hidden="false" customHeight="false" outlineLevel="0" collapsed="false">
      <c r="A844" s="7" t="s">
        <v>4343</v>
      </c>
      <c r="B844" s="10" t="n">
        <v>45765</v>
      </c>
      <c r="C844" s="7" t="s">
        <v>930</v>
      </c>
      <c r="D844" s="7" t="s">
        <v>1475</v>
      </c>
      <c r="E844" s="7" t="s">
        <v>104</v>
      </c>
      <c r="F844" s="7" t="s">
        <v>86</v>
      </c>
      <c r="G844" s="7" t="s">
        <v>105</v>
      </c>
      <c r="H844" s="7" t="n">
        <v>2</v>
      </c>
      <c r="I844" s="11" t="n">
        <v>235</v>
      </c>
      <c r="J844" s="11" t="n">
        <v>20</v>
      </c>
      <c r="K844" s="11" t="n">
        <f aca="false">H844*I844-J844</f>
        <v>450</v>
      </c>
      <c r="L844" s="7" t="s">
        <v>88</v>
      </c>
      <c r="M844" s="7" t="s">
        <v>194</v>
      </c>
      <c r="N844" s="7" t="n">
        <v>48</v>
      </c>
      <c r="O844" s="7" t="n">
        <v>4</v>
      </c>
    </row>
    <row r="845" customFormat="false" ht="15" hidden="false" customHeight="false" outlineLevel="0" collapsed="false">
      <c r="A845" s="7" t="s">
        <v>3280</v>
      </c>
      <c r="B845" s="10" t="n">
        <v>45765</v>
      </c>
      <c r="C845" s="7" t="s">
        <v>3281</v>
      </c>
      <c r="D845" s="7" t="s">
        <v>3282</v>
      </c>
      <c r="E845" s="7" t="s">
        <v>98</v>
      </c>
      <c r="F845" s="7" t="s">
        <v>86</v>
      </c>
      <c r="G845" s="7" t="s">
        <v>99</v>
      </c>
      <c r="H845" s="7" t="n">
        <v>1</v>
      </c>
      <c r="I845" s="11" t="n">
        <v>285</v>
      </c>
      <c r="J845" s="11" t="n">
        <v>50</v>
      </c>
      <c r="K845" s="11" t="n">
        <f aca="false">H845*I845-J845</f>
        <v>235</v>
      </c>
      <c r="L845" s="7" t="s">
        <v>121</v>
      </c>
      <c r="M845" s="7" t="s">
        <v>194</v>
      </c>
      <c r="N845" s="7" t="n">
        <v>43</v>
      </c>
      <c r="O845" s="7" t="n">
        <v>4</v>
      </c>
    </row>
    <row r="846" customFormat="false" ht="15" hidden="false" customHeight="false" outlineLevel="0" collapsed="false">
      <c r="A846" s="7" t="s">
        <v>3506</v>
      </c>
      <c r="B846" s="10" t="n">
        <v>45766</v>
      </c>
      <c r="C846" s="7" t="s">
        <v>361</v>
      </c>
      <c r="D846" s="7" t="s">
        <v>3507</v>
      </c>
      <c r="E846" s="7" t="s">
        <v>152</v>
      </c>
      <c r="F846" s="7" t="s">
        <v>128</v>
      </c>
      <c r="G846" s="7" t="s">
        <v>95</v>
      </c>
      <c r="H846" s="7" t="n">
        <v>2</v>
      </c>
      <c r="I846" s="11" t="n">
        <v>110</v>
      </c>
      <c r="J846" s="11" t="n">
        <v>0</v>
      </c>
      <c r="K846" s="11" t="n">
        <f aca="false">H846*I846-J846</f>
        <v>220</v>
      </c>
      <c r="L846" s="7" t="s">
        <v>133</v>
      </c>
      <c r="M846" s="7" t="s">
        <v>194</v>
      </c>
      <c r="N846" s="7" t="n">
        <v>25</v>
      </c>
      <c r="O846" s="7" t="n">
        <v>4</v>
      </c>
    </row>
    <row r="847" customFormat="false" ht="15" hidden="false" customHeight="false" outlineLevel="0" collapsed="false">
      <c r="A847" s="7" t="s">
        <v>734</v>
      </c>
      <c r="B847" s="10" t="n">
        <v>45766</v>
      </c>
      <c r="C847" s="7" t="s">
        <v>736</v>
      </c>
      <c r="D847" s="7" t="s">
        <v>737</v>
      </c>
      <c r="E847" s="7" t="s">
        <v>167</v>
      </c>
      <c r="F847" s="7" t="s">
        <v>146</v>
      </c>
      <c r="G847" s="7" t="s">
        <v>156</v>
      </c>
      <c r="H847" s="7" t="n">
        <v>4</v>
      </c>
      <c r="I847" s="11" t="n">
        <v>255</v>
      </c>
      <c r="J847" s="11" t="n">
        <v>100</v>
      </c>
      <c r="K847" s="11" t="n">
        <f aca="false">H847*I847-J847</f>
        <v>920</v>
      </c>
      <c r="L847" s="7" t="s">
        <v>121</v>
      </c>
      <c r="M847" s="7" t="s">
        <v>194</v>
      </c>
      <c r="N847" s="7" t="n">
        <v>36</v>
      </c>
      <c r="O847" s="7" t="n">
        <v>5</v>
      </c>
    </row>
    <row r="848" customFormat="false" ht="15" hidden="false" customHeight="false" outlineLevel="0" collapsed="false">
      <c r="A848" s="7" t="s">
        <v>663</v>
      </c>
      <c r="B848" s="10" t="n">
        <v>45766</v>
      </c>
      <c r="C848" s="7" t="s">
        <v>377</v>
      </c>
      <c r="D848" s="7" t="s">
        <v>665</v>
      </c>
      <c r="E848" s="7" t="s">
        <v>89</v>
      </c>
      <c r="F848" s="7" t="s">
        <v>86</v>
      </c>
      <c r="G848" s="7" t="s">
        <v>90</v>
      </c>
      <c r="H848" s="7" t="n">
        <v>2</v>
      </c>
      <c r="I848" s="11" t="n">
        <v>210</v>
      </c>
      <c r="J848" s="11" t="n">
        <v>0</v>
      </c>
      <c r="K848" s="11" t="n">
        <f aca="false">H848*I848-J848</f>
        <v>420</v>
      </c>
      <c r="L848" s="7" t="s">
        <v>88</v>
      </c>
      <c r="M848" s="7" t="s">
        <v>194</v>
      </c>
      <c r="N848" s="7" t="n">
        <v>43</v>
      </c>
      <c r="O848" s="7" t="n">
        <v>5</v>
      </c>
    </row>
    <row r="849" customFormat="false" ht="15" hidden="false" customHeight="false" outlineLevel="0" collapsed="false">
      <c r="A849" s="7" t="s">
        <v>4782</v>
      </c>
      <c r="B849" s="10" t="n">
        <v>45766</v>
      </c>
      <c r="C849" s="7" t="s">
        <v>4783</v>
      </c>
      <c r="D849" s="7" t="s">
        <v>293</v>
      </c>
      <c r="E849" s="7" t="s">
        <v>94</v>
      </c>
      <c r="F849" s="7" t="s">
        <v>86</v>
      </c>
      <c r="G849" s="7" t="s">
        <v>95</v>
      </c>
      <c r="H849" s="7" t="n">
        <v>3</v>
      </c>
      <c r="I849" s="11" t="n">
        <v>120</v>
      </c>
      <c r="J849" s="11" t="n">
        <v>30</v>
      </c>
      <c r="K849" s="11" t="n">
        <f aca="false">H849*I849-J849</f>
        <v>330</v>
      </c>
      <c r="L849" s="7" t="s">
        <v>112</v>
      </c>
      <c r="M849" s="7" t="s">
        <v>194</v>
      </c>
      <c r="N849" s="7" t="n">
        <v>48</v>
      </c>
      <c r="O849" s="7" t="n">
        <v>3</v>
      </c>
    </row>
    <row r="850" customFormat="false" ht="15" hidden="false" customHeight="false" outlineLevel="0" collapsed="false">
      <c r="A850" s="7" t="s">
        <v>5057</v>
      </c>
      <c r="B850" s="10" t="n">
        <v>45766</v>
      </c>
      <c r="C850" s="7" t="s">
        <v>5058</v>
      </c>
      <c r="D850" s="7" t="s">
        <v>2411</v>
      </c>
      <c r="E850" s="7" t="s">
        <v>152</v>
      </c>
      <c r="F850" s="7" t="s">
        <v>128</v>
      </c>
      <c r="G850" s="7" t="s">
        <v>95</v>
      </c>
      <c r="H850" s="7" t="n">
        <v>3</v>
      </c>
      <c r="I850" s="11" t="n">
        <v>100</v>
      </c>
      <c r="J850" s="11" t="n">
        <v>20</v>
      </c>
      <c r="K850" s="11" t="n">
        <f aca="false">H850*I850-J850</f>
        <v>280</v>
      </c>
      <c r="L850" s="7" t="s">
        <v>88</v>
      </c>
      <c r="M850" s="7" t="s">
        <v>194</v>
      </c>
      <c r="N850" s="7" t="n">
        <v>31</v>
      </c>
      <c r="O850" s="7" t="n">
        <v>3</v>
      </c>
    </row>
    <row r="851" customFormat="false" ht="15" hidden="false" customHeight="false" outlineLevel="0" collapsed="false">
      <c r="A851" s="7" t="s">
        <v>4932</v>
      </c>
      <c r="B851" s="10" t="n">
        <v>45766</v>
      </c>
      <c r="C851" s="7" t="s">
        <v>2602</v>
      </c>
      <c r="D851" s="7" t="s">
        <v>2807</v>
      </c>
      <c r="E851" s="7" t="s">
        <v>154</v>
      </c>
      <c r="F851" s="7" t="s">
        <v>128</v>
      </c>
      <c r="G851" s="7" t="s">
        <v>99</v>
      </c>
      <c r="H851" s="7" t="n">
        <v>3</v>
      </c>
      <c r="I851" s="11" t="n">
        <v>215</v>
      </c>
      <c r="J851" s="11" t="n">
        <v>75</v>
      </c>
      <c r="K851" s="11" t="n">
        <f aca="false">H851*I851-J851</f>
        <v>570</v>
      </c>
      <c r="L851" s="7" t="s">
        <v>133</v>
      </c>
      <c r="M851" s="7" t="s">
        <v>238</v>
      </c>
      <c r="N851" s="7"/>
      <c r="O851" s="7"/>
    </row>
    <row r="852" customFormat="false" ht="15" hidden="false" customHeight="false" outlineLevel="0" collapsed="false">
      <c r="A852" s="7" t="s">
        <v>937</v>
      </c>
      <c r="B852" s="10" t="n">
        <v>45767</v>
      </c>
      <c r="C852" s="7" t="s">
        <v>939</v>
      </c>
      <c r="D852" s="7" t="s">
        <v>940</v>
      </c>
      <c r="E852" s="7" t="s">
        <v>98</v>
      </c>
      <c r="F852" s="7" t="s">
        <v>86</v>
      </c>
      <c r="G852" s="7" t="s">
        <v>99</v>
      </c>
      <c r="H852" s="7" t="n">
        <v>2</v>
      </c>
      <c r="I852" s="11" t="n">
        <v>235</v>
      </c>
      <c r="J852" s="11" t="n">
        <v>20</v>
      </c>
      <c r="K852" s="11" t="n">
        <f aca="false">H852*I852-J852</f>
        <v>450</v>
      </c>
      <c r="L852" s="7" t="s">
        <v>121</v>
      </c>
      <c r="M852" s="7" t="s">
        <v>194</v>
      </c>
      <c r="N852" s="7" t="n">
        <v>38</v>
      </c>
      <c r="O852" s="7" t="n">
        <v>4</v>
      </c>
    </row>
    <row r="853" customFormat="false" ht="15" hidden="false" customHeight="false" outlineLevel="0" collapsed="false">
      <c r="A853" s="7" t="s">
        <v>4750</v>
      </c>
      <c r="B853" s="10" t="n">
        <v>45767</v>
      </c>
      <c r="C853" s="7" t="s">
        <v>4751</v>
      </c>
      <c r="D853" s="7" t="s">
        <v>2297</v>
      </c>
      <c r="E853" s="7" t="s">
        <v>113</v>
      </c>
      <c r="F853" s="7" t="s">
        <v>101</v>
      </c>
      <c r="G853" s="7" t="s">
        <v>90</v>
      </c>
      <c r="H853" s="7" t="n">
        <v>3</v>
      </c>
      <c r="I853" s="11" t="n">
        <v>235</v>
      </c>
      <c r="J853" s="11" t="n">
        <v>0</v>
      </c>
      <c r="K853" s="11" t="n">
        <f aca="false">H853*I853-J853</f>
        <v>705</v>
      </c>
      <c r="L853" s="7" t="s">
        <v>93</v>
      </c>
      <c r="M853" s="7" t="s">
        <v>194</v>
      </c>
      <c r="N853" s="7" t="n">
        <v>36</v>
      </c>
      <c r="O853" s="7" t="n">
        <v>3</v>
      </c>
    </row>
    <row r="854" customFormat="false" ht="15" hidden="false" customHeight="false" outlineLevel="0" collapsed="false">
      <c r="A854" s="7" t="s">
        <v>4944</v>
      </c>
      <c r="B854" s="10" t="n">
        <v>45767</v>
      </c>
      <c r="C854" s="7" t="s">
        <v>315</v>
      </c>
      <c r="D854" s="7" t="s">
        <v>1729</v>
      </c>
      <c r="E854" s="7" t="s">
        <v>165</v>
      </c>
      <c r="F854" s="7" t="s">
        <v>146</v>
      </c>
      <c r="G854" s="7" t="s">
        <v>90</v>
      </c>
      <c r="H854" s="7" t="n">
        <v>3</v>
      </c>
      <c r="I854" s="11" t="n">
        <v>250</v>
      </c>
      <c r="J854" s="11" t="n">
        <v>0</v>
      </c>
      <c r="K854" s="11" t="n">
        <f aca="false">H854*I854-J854</f>
        <v>750</v>
      </c>
      <c r="L854" s="7" t="s">
        <v>88</v>
      </c>
      <c r="M854" s="7" t="s">
        <v>194</v>
      </c>
      <c r="N854" s="7" t="n">
        <v>35</v>
      </c>
      <c r="O854" s="7" t="n">
        <v>3</v>
      </c>
    </row>
    <row r="855" customFormat="false" ht="15" hidden="false" customHeight="false" outlineLevel="0" collapsed="false">
      <c r="A855" s="7" t="s">
        <v>2065</v>
      </c>
      <c r="B855" s="10" t="n">
        <v>45767</v>
      </c>
      <c r="C855" s="7" t="s">
        <v>1688</v>
      </c>
      <c r="D855" s="7" t="s">
        <v>2066</v>
      </c>
      <c r="E855" s="7" t="s">
        <v>151</v>
      </c>
      <c r="F855" s="7" t="s">
        <v>128</v>
      </c>
      <c r="G855" s="7" t="s">
        <v>95</v>
      </c>
      <c r="H855" s="7" t="n">
        <v>1</v>
      </c>
      <c r="I855" s="11" t="n">
        <v>195</v>
      </c>
      <c r="J855" s="11" t="n">
        <v>78</v>
      </c>
      <c r="K855" s="11" t="n">
        <f aca="false">H855*I855-J855</f>
        <v>117</v>
      </c>
      <c r="L855" s="7" t="s">
        <v>103</v>
      </c>
      <c r="M855" s="7" t="s">
        <v>194</v>
      </c>
      <c r="N855" s="7" t="n">
        <v>35</v>
      </c>
      <c r="O855" s="7"/>
    </row>
    <row r="856" customFormat="false" ht="15" hidden="false" customHeight="false" outlineLevel="0" collapsed="false">
      <c r="A856" s="7" t="s">
        <v>4526</v>
      </c>
      <c r="B856" s="10" t="n">
        <v>45767</v>
      </c>
      <c r="C856" s="7" t="s">
        <v>2212</v>
      </c>
      <c r="D856" s="7" t="s">
        <v>3925</v>
      </c>
      <c r="E856" s="7" t="s">
        <v>161</v>
      </c>
      <c r="F856" s="7" t="s">
        <v>141</v>
      </c>
      <c r="G856" s="7" t="s">
        <v>117</v>
      </c>
      <c r="H856" s="7" t="n">
        <v>2</v>
      </c>
      <c r="I856" s="11" t="n">
        <v>155</v>
      </c>
      <c r="J856" s="11" t="n">
        <v>0</v>
      </c>
      <c r="K856" s="11" t="n">
        <f aca="false">H856*I856-J856</f>
        <v>310</v>
      </c>
      <c r="L856" s="7" t="s">
        <v>103</v>
      </c>
      <c r="M856" s="7" t="s">
        <v>194</v>
      </c>
      <c r="N856" s="7" t="n">
        <v>46</v>
      </c>
      <c r="O856" s="7" t="n">
        <v>4</v>
      </c>
    </row>
    <row r="857" customFormat="false" ht="15" hidden="false" customHeight="false" outlineLevel="0" collapsed="false">
      <c r="A857" s="7" t="s">
        <v>5941</v>
      </c>
      <c r="B857" s="10" t="n">
        <v>45767</v>
      </c>
      <c r="C857" s="7" t="s">
        <v>1211</v>
      </c>
      <c r="D857" s="7" t="s">
        <v>1254</v>
      </c>
      <c r="E857" s="7" t="s">
        <v>155</v>
      </c>
      <c r="F857" s="7" t="s">
        <v>128</v>
      </c>
      <c r="G857" s="7" t="s">
        <v>156</v>
      </c>
      <c r="H857" s="7" t="n">
        <v>3</v>
      </c>
      <c r="I857" s="11" t="n">
        <v>365</v>
      </c>
      <c r="J857" s="11" t="n">
        <v>125</v>
      </c>
      <c r="K857" s="11" t="n">
        <f aca="false">H857*I857-J857</f>
        <v>970</v>
      </c>
      <c r="L857" s="7" t="s">
        <v>121</v>
      </c>
      <c r="M857" s="7" t="s">
        <v>194</v>
      </c>
      <c r="N857" s="7" t="n">
        <v>38</v>
      </c>
      <c r="O857" s="7" t="n">
        <v>4</v>
      </c>
    </row>
    <row r="858" customFormat="false" ht="15" hidden="false" customHeight="false" outlineLevel="0" collapsed="false">
      <c r="A858" s="7" t="s">
        <v>5118</v>
      </c>
      <c r="B858" s="10" t="n">
        <v>45767</v>
      </c>
      <c r="C858" s="7" t="s">
        <v>2369</v>
      </c>
      <c r="D858" s="7" t="s">
        <v>5096</v>
      </c>
      <c r="E858" s="7" t="s">
        <v>164</v>
      </c>
      <c r="F858" s="7" t="s">
        <v>141</v>
      </c>
      <c r="G858" s="7" t="s">
        <v>150</v>
      </c>
      <c r="H858" s="7" t="n">
        <v>1</v>
      </c>
      <c r="I858" s="11" t="n">
        <v>160</v>
      </c>
      <c r="J858" s="11" t="n">
        <v>0</v>
      </c>
      <c r="K858" s="11" t="n">
        <f aca="false">H858*I858-J858</f>
        <v>160</v>
      </c>
      <c r="L858" s="7" t="s">
        <v>88</v>
      </c>
      <c r="M858" s="7" t="s">
        <v>194</v>
      </c>
      <c r="N858" s="7" t="n">
        <v>43</v>
      </c>
      <c r="O858" s="7" t="n">
        <v>3</v>
      </c>
    </row>
    <row r="859" customFormat="false" ht="15" hidden="false" customHeight="false" outlineLevel="0" collapsed="false">
      <c r="A859" s="7" t="s">
        <v>3931</v>
      </c>
      <c r="B859" s="10" t="n">
        <v>45767</v>
      </c>
      <c r="C859" s="7" t="s">
        <v>2917</v>
      </c>
      <c r="D859" s="7" t="s">
        <v>833</v>
      </c>
      <c r="E859" s="7" t="s">
        <v>94</v>
      </c>
      <c r="F859" s="7" t="s">
        <v>86</v>
      </c>
      <c r="G859" s="7" t="s">
        <v>95</v>
      </c>
      <c r="H859" s="7" t="n">
        <v>4</v>
      </c>
      <c r="I859" s="11" t="n">
        <v>145</v>
      </c>
      <c r="J859" s="11" t="n">
        <v>150</v>
      </c>
      <c r="K859" s="11" t="n">
        <f aca="false">H859*I859-J859</f>
        <v>430</v>
      </c>
      <c r="L859" s="7" t="s">
        <v>112</v>
      </c>
      <c r="M859" s="7" t="s">
        <v>194</v>
      </c>
      <c r="N859" s="7" t="n">
        <v>42</v>
      </c>
      <c r="O859" s="7" t="n">
        <v>5</v>
      </c>
    </row>
    <row r="860" customFormat="false" ht="15" hidden="false" customHeight="false" outlineLevel="0" collapsed="false">
      <c r="A860" s="7" t="s">
        <v>3920</v>
      </c>
      <c r="B860" s="10" t="n">
        <v>45767</v>
      </c>
      <c r="C860" s="7" t="s">
        <v>3921</v>
      </c>
      <c r="D860" s="7" t="s">
        <v>3922</v>
      </c>
      <c r="E860" s="7" t="s">
        <v>122</v>
      </c>
      <c r="F860" s="7" t="s">
        <v>101</v>
      </c>
      <c r="G860" s="7" t="s">
        <v>123</v>
      </c>
      <c r="H860" s="7" t="n">
        <v>3</v>
      </c>
      <c r="I860" s="11" t="n">
        <v>410</v>
      </c>
      <c r="J860" s="11" t="n">
        <v>150</v>
      </c>
      <c r="K860" s="11" t="n">
        <f aca="false">H860*I860-J860</f>
        <v>1080</v>
      </c>
      <c r="L860" s="7" t="s">
        <v>112</v>
      </c>
      <c r="M860" s="7" t="s">
        <v>194</v>
      </c>
      <c r="N860" s="7" t="n">
        <v>33</v>
      </c>
      <c r="O860" s="7" t="n">
        <v>4</v>
      </c>
    </row>
    <row r="861" customFormat="false" ht="15" hidden="false" customHeight="false" outlineLevel="0" collapsed="false">
      <c r="A861" s="7" t="s">
        <v>2338</v>
      </c>
      <c r="B861" s="10" t="n">
        <v>45768</v>
      </c>
      <c r="C861" s="7" t="s">
        <v>504</v>
      </c>
      <c r="D861" s="7" t="s">
        <v>2339</v>
      </c>
      <c r="E861" s="7" t="s">
        <v>116</v>
      </c>
      <c r="F861" s="7" t="s">
        <v>101</v>
      </c>
      <c r="G861" s="7" t="s">
        <v>117</v>
      </c>
      <c r="H861" s="7" t="n">
        <v>2</v>
      </c>
      <c r="I861" s="11" t="n">
        <v>135</v>
      </c>
      <c r="J861" s="11" t="n">
        <v>75</v>
      </c>
      <c r="K861" s="11" t="n">
        <f aca="false">H861*I861-J861</f>
        <v>195</v>
      </c>
      <c r="L861" s="7" t="s">
        <v>6170</v>
      </c>
      <c r="M861" s="7" t="s">
        <v>194</v>
      </c>
      <c r="N861" s="7" t="n">
        <v>51</v>
      </c>
      <c r="O861" s="7" t="n">
        <v>5</v>
      </c>
    </row>
    <row r="862" customFormat="false" ht="15" hidden="false" customHeight="false" outlineLevel="0" collapsed="false">
      <c r="A862" s="7" t="s">
        <v>5132</v>
      </c>
      <c r="B862" s="10" t="n">
        <v>45768</v>
      </c>
      <c r="C862" s="7" t="s">
        <v>1995</v>
      </c>
      <c r="D862" s="7" t="s">
        <v>1536</v>
      </c>
      <c r="E862" s="7" t="s">
        <v>122</v>
      </c>
      <c r="F862" s="7" t="s">
        <v>101</v>
      </c>
      <c r="G862" s="7" t="s">
        <v>123</v>
      </c>
      <c r="H862" s="7" t="n">
        <v>3</v>
      </c>
      <c r="I862" s="11" t="n">
        <v>320</v>
      </c>
      <c r="J862" s="11" t="n">
        <v>50</v>
      </c>
      <c r="K862" s="11" t="n">
        <f aca="false">H862*I862-J862</f>
        <v>910</v>
      </c>
      <c r="L862" s="7" t="s">
        <v>88</v>
      </c>
      <c r="M862" s="7" t="s">
        <v>194</v>
      </c>
      <c r="N862" s="7" t="n">
        <v>43</v>
      </c>
      <c r="O862" s="7" t="n">
        <v>3</v>
      </c>
    </row>
    <row r="863" customFormat="false" ht="15" hidden="false" customHeight="false" outlineLevel="0" collapsed="false">
      <c r="A863" s="7" t="s">
        <v>1531</v>
      </c>
      <c r="B863" s="10" t="n">
        <v>45768</v>
      </c>
      <c r="C863" s="7" t="s">
        <v>1423</v>
      </c>
      <c r="D863" s="7" t="s">
        <v>1533</v>
      </c>
      <c r="E863" s="7" t="s">
        <v>89</v>
      </c>
      <c r="F863" s="7" t="s">
        <v>86</v>
      </c>
      <c r="G863" s="7" t="s">
        <v>90</v>
      </c>
      <c r="H863" s="7" t="n">
        <v>1</v>
      </c>
      <c r="I863" s="11" t="n">
        <v>200</v>
      </c>
      <c r="J863" s="11" t="n">
        <v>30</v>
      </c>
      <c r="K863" s="11" t="n">
        <f aca="false">H863*I863-J863</f>
        <v>170</v>
      </c>
      <c r="L863" s="7" t="s">
        <v>88</v>
      </c>
      <c r="M863" s="7" t="s">
        <v>194</v>
      </c>
      <c r="N863" s="7" t="n">
        <v>42</v>
      </c>
      <c r="O863" s="7"/>
    </row>
    <row r="864" customFormat="false" ht="15" hidden="false" customHeight="false" outlineLevel="0" collapsed="false">
      <c r="A864" s="7" t="s">
        <v>5327</v>
      </c>
      <c r="B864" s="10" t="n">
        <v>45768</v>
      </c>
      <c r="C864" s="7" t="s">
        <v>1758</v>
      </c>
      <c r="D864" s="7" t="s">
        <v>5328</v>
      </c>
      <c r="E864" s="7" t="s">
        <v>130</v>
      </c>
      <c r="F864" s="7" t="s">
        <v>110</v>
      </c>
      <c r="G864" s="7" t="s">
        <v>90</v>
      </c>
      <c r="H864" s="7" t="n">
        <v>5</v>
      </c>
      <c r="I864" s="11" t="n">
        <v>265</v>
      </c>
      <c r="J864" s="11" t="n">
        <v>0</v>
      </c>
      <c r="K864" s="11" t="n">
        <f aca="false">H864*I864-J864</f>
        <v>1325</v>
      </c>
      <c r="L864" s="7" t="s">
        <v>103</v>
      </c>
      <c r="M864" s="7" t="s">
        <v>194</v>
      </c>
      <c r="N864" s="7" t="n">
        <v>43</v>
      </c>
      <c r="O864" s="7" t="n">
        <v>4</v>
      </c>
    </row>
    <row r="865" customFormat="false" ht="15" hidden="false" customHeight="false" outlineLevel="0" collapsed="false">
      <c r="A865" s="7" t="s">
        <v>3628</v>
      </c>
      <c r="B865" s="10" t="n">
        <v>45768</v>
      </c>
      <c r="C865" s="7" t="s">
        <v>1288</v>
      </c>
      <c r="D865" s="7" t="s">
        <v>2426</v>
      </c>
      <c r="E865" s="7" t="s">
        <v>149</v>
      </c>
      <c r="F865" s="7" t="s">
        <v>119</v>
      </c>
      <c r="G865" s="7" t="s">
        <v>150</v>
      </c>
      <c r="H865" s="7" t="n">
        <v>2</v>
      </c>
      <c r="I865" s="11" t="n">
        <v>140</v>
      </c>
      <c r="J865" s="11" t="n">
        <v>0</v>
      </c>
      <c r="K865" s="11" t="n">
        <f aca="false">H865*I865-J865</f>
        <v>280</v>
      </c>
      <c r="L865" s="7" t="s">
        <v>88</v>
      </c>
      <c r="M865" s="7" t="s">
        <v>194</v>
      </c>
      <c r="N865" s="7" t="n">
        <v>42</v>
      </c>
      <c r="O865" s="7" t="n">
        <v>5</v>
      </c>
    </row>
    <row r="866" customFormat="false" ht="15" hidden="false" customHeight="false" outlineLevel="0" collapsed="false">
      <c r="A866" s="7" t="s">
        <v>3987</v>
      </c>
      <c r="B866" s="10" t="n">
        <v>45768</v>
      </c>
      <c r="C866" s="7" t="s">
        <v>944</v>
      </c>
      <c r="D866" s="7" t="s">
        <v>1115</v>
      </c>
      <c r="E866" s="7" t="s">
        <v>130</v>
      </c>
      <c r="F866" s="7" t="s">
        <v>110</v>
      </c>
      <c r="G866" s="7" t="s">
        <v>90</v>
      </c>
      <c r="H866" s="7" t="n">
        <v>2</v>
      </c>
      <c r="I866" s="11" t="n">
        <v>280</v>
      </c>
      <c r="J866" s="11" t="n">
        <v>30</v>
      </c>
      <c r="K866" s="11" t="n">
        <f aca="false">H866*I866-J866</f>
        <v>530</v>
      </c>
      <c r="L866" s="7" t="s">
        <v>112</v>
      </c>
      <c r="M866" s="7" t="s">
        <v>238</v>
      </c>
      <c r="N866" s="7"/>
      <c r="O866" s="7"/>
    </row>
    <row r="867" customFormat="false" ht="15" hidden="false" customHeight="false" outlineLevel="0" collapsed="false">
      <c r="A867" s="7" t="s">
        <v>1558</v>
      </c>
      <c r="B867" s="10" t="n">
        <v>45769</v>
      </c>
      <c r="C867" s="7" t="s">
        <v>1559</v>
      </c>
      <c r="D867" s="7" t="s">
        <v>1033</v>
      </c>
      <c r="E867" s="7" t="s">
        <v>138</v>
      </c>
      <c r="F867" s="7" t="s">
        <v>110</v>
      </c>
      <c r="G867" s="7" t="s">
        <v>139</v>
      </c>
      <c r="H867" s="7" t="n">
        <v>2</v>
      </c>
      <c r="I867" s="11" t="n">
        <v>185</v>
      </c>
      <c r="J867" s="11" t="n">
        <v>0</v>
      </c>
      <c r="K867" s="11" t="n">
        <f aca="false">H867*I867-J867</f>
        <v>370</v>
      </c>
      <c r="L867" s="7" t="s">
        <v>112</v>
      </c>
      <c r="M867" s="7" t="s">
        <v>194</v>
      </c>
      <c r="N867" s="7" t="n">
        <v>37</v>
      </c>
      <c r="O867" s="7" t="n">
        <v>3</v>
      </c>
    </row>
    <row r="868" customFormat="false" ht="15" hidden="false" customHeight="false" outlineLevel="0" collapsed="false">
      <c r="A868" s="7" t="s">
        <v>4785</v>
      </c>
      <c r="B868" s="10" t="n">
        <v>45769</v>
      </c>
      <c r="C868" s="7" t="s">
        <v>4786</v>
      </c>
      <c r="D868" s="7" t="s">
        <v>4787</v>
      </c>
      <c r="E868" s="7" t="s">
        <v>149</v>
      </c>
      <c r="F868" s="7" t="s">
        <v>119</v>
      </c>
      <c r="G868" s="7" t="s">
        <v>150</v>
      </c>
      <c r="H868" s="7" t="n">
        <v>3</v>
      </c>
      <c r="I868" s="11" t="n">
        <v>160</v>
      </c>
      <c r="J868" s="11" t="n">
        <v>125</v>
      </c>
      <c r="K868" s="11" t="n">
        <f aca="false">H868*I868-J868</f>
        <v>355</v>
      </c>
      <c r="L868" s="7" t="s">
        <v>121</v>
      </c>
      <c r="M868" s="7" t="s">
        <v>238</v>
      </c>
      <c r="N868" s="7"/>
      <c r="O868" s="7"/>
    </row>
    <row r="869" customFormat="false" ht="15" hidden="false" customHeight="false" outlineLevel="0" collapsed="false">
      <c r="A869" s="7" t="s">
        <v>4111</v>
      </c>
      <c r="B869" s="10" t="n">
        <v>45769</v>
      </c>
      <c r="C869" s="7" t="s">
        <v>668</v>
      </c>
      <c r="D869" s="7" t="s">
        <v>4112</v>
      </c>
      <c r="E869" s="7" t="s">
        <v>149</v>
      </c>
      <c r="F869" s="7" t="s">
        <v>119</v>
      </c>
      <c r="G869" s="7" t="s">
        <v>150</v>
      </c>
      <c r="H869" s="7" t="n">
        <v>1</v>
      </c>
      <c r="I869" s="11" t="n">
        <v>160</v>
      </c>
      <c r="J869" s="11" t="n">
        <v>0</v>
      </c>
      <c r="K869" s="11" t="n">
        <f aca="false">H869*I869-J869</f>
        <v>160</v>
      </c>
      <c r="L869" s="7" t="s">
        <v>88</v>
      </c>
      <c r="M869" s="7" t="s">
        <v>194</v>
      </c>
      <c r="N869" s="7" t="n">
        <v>33</v>
      </c>
      <c r="O869" s="7" t="n">
        <v>4</v>
      </c>
    </row>
    <row r="870" customFormat="false" ht="15" hidden="false" customHeight="false" outlineLevel="0" collapsed="false">
      <c r="A870" s="7" t="s">
        <v>4934</v>
      </c>
      <c r="B870" s="10" t="n">
        <v>45769</v>
      </c>
      <c r="C870" s="7" t="s">
        <v>4935</v>
      </c>
      <c r="D870" s="7" t="s">
        <v>4936</v>
      </c>
      <c r="E870" s="7" t="s">
        <v>154</v>
      </c>
      <c r="F870" s="7" t="s">
        <v>128</v>
      </c>
      <c r="G870" s="7" t="s">
        <v>99</v>
      </c>
      <c r="H870" s="7" t="n">
        <v>2</v>
      </c>
      <c r="I870" s="11" t="n">
        <v>290</v>
      </c>
      <c r="J870" s="11" t="n">
        <v>20</v>
      </c>
      <c r="K870" s="11" t="n">
        <f aca="false">H870*I870-J870</f>
        <v>560</v>
      </c>
      <c r="L870" s="7" t="s">
        <v>93</v>
      </c>
      <c r="M870" s="7" t="s">
        <v>194</v>
      </c>
      <c r="N870" s="7" t="n">
        <v>43</v>
      </c>
      <c r="O870" s="7" t="n">
        <v>4</v>
      </c>
    </row>
    <row r="871" customFormat="false" ht="15" hidden="false" customHeight="false" outlineLevel="0" collapsed="false">
      <c r="A871" s="7" t="s">
        <v>4528</v>
      </c>
      <c r="B871" s="10" t="n">
        <v>45769</v>
      </c>
      <c r="C871" s="7" t="s">
        <v>2571</v>
      </c>
      <c r="D871" s="7" t="s">
        <v>2284</v>
      </c>
      <c r="E871" s="7" t="s">
        <v>104</v>
      </c>
      <c r="F871" s="7" t="s">
        <v>86</v>
      </c>
      <c r="G871" s="7" t="s">
        <v>105</v>
      </c>
      <c r="H871" s="7" t="n">
        <v>2</v>
      </c>
      <c r="I871" s="11" t="n">
        <v>210</v>
      </c>
      <c r="J871" s="11" t="n">
        <v>0</v>
      </c>
      <c r="K871" s="11" t="n">
        <f aca="false">H871*I871-J871</f>
        <v>420</v>
      </c>
      <c r="L871" s="7" t="s">
        <v>88</v>
      </c>
      <c r="M871" s="7" t="s">
        <v>194</v>
      </c>
      <c r="N871" s="7" t="n">
        <v>40</v>
      </c>
      <c r="O871" s="7" t="n">
        <v>3</v>
      </c>
    </row>
    <row r="872" customFormat="false" ht="15" hidden="false" customHeight="false" outlineLevel="0" collapsed="false">
      <c r="A872" s="7" t="s">
        <v>4529</v>
      </c>
      <c r="B872" s="10" t="n">
        <v>45769</v>
      </c>
      <c r="C872" s="7" t="s">
        <v>1784</v>
      </c>
      <c r="D872" s="7" t="s">
        <v>1459</v>
      </c>
      <c r="E872" s="7" t="s">
        <v>147</v>
      </c>
      <c r="F872" s="7" t="s">
        <v>119</v>
      </c>
      <c r="G872" s="7" t="s">
        <v>95</v>
      </c>
      <c r="H872" s="7" t="n">
        <v>2</v>
      </c>
      <c r="I872" s="11" t="n">
        <v>175</v>
      </c>
      <c r="J872" s="11" t="n">
        <v>0</v>
      </c>
      <c r="K872" s="11" t="n">
        <f aca="false">H872*I872-J872</f>
        <v>350</v>
      </c>
      <c r="L872" s="7" t="s">
        <v>93</v>
      </c>
      <c r="M872" s="7" t="s">
        <v>194</v>
      </c>
      <c r="N872" s="7" t="n">
        <v>39</v>
      </c>
      <c r="O872" s="7" t="n">
        <v>4</v>
      </c>
    </row>
    <row r="873" customFormat="false" ht="15" hidden="false" customHeight="false" outlineLevel="0" collapsed="false">
      <c r="A873" s="7" t="s">
        <v>344</v>
      </c>
      <c r="B873" s="10" t="n">
        <v>45769</v>
      </c>
      <c r="C873" s="7" t="s">
        <v>346</v>
      </c>
      <c r="D873" s="7" t="s">
        <v>347</v>
      </c>
      <c r="E873" s="7" t="s">
        <v>160</v>
      </c>
      <c r="F873" s="7" t="s">
        <v>136</v>
      </c>
      <c r="G873" s="7" t="s">
        <v>150</v>
      </c>
      <c r="H873" s="7" t="n">
        <v>1</v>
      </c>
      <c r="I873" s="11" t="n">
        <v>180</v>
      </c>
      <c r="J873" s="11" t="n">
        <v>72</v>
      </c>
      <c r="K873" s="11" t="n">
        <f aca="false">H873*I873-J873</f>
        <v>108</v>
      </c>
      <c r="L873" s="7" t="s">
        <v>103</v>
      </c>
      <c r="M873" s="7" t="s">
        <v>194</v>
      </c>
      <c r="N873" s="7" t="n">
        <v>36</v>
      </c>
      <c r="O873" s="7" t="n">
        <v>4</v>
      </c>
    </row>
    <row r="874" customFormat="false" ht="15" hidden="false" customHeight="false" outlineLevel="0" collapsed="false">
      <c r="A874" s="7" t="s">
        <v>909</v>
      </c>
      <c r="B874" s="10" t="n">
        <v>45769</v>
      </c>
      <c r="C874" s="7" t="s">
        <v>568</v>
      </c>
      <c r="D874" s="7" t="s">
        <v>910</v>
      </c>
      <c r="E874" s="7" t="s">
        <v>94</v>
      </c>
      <c r="F874" s="7" t="s">
        <v>86</v>
      </c>
      <c r="G874" s="7" t="s">
        <v>95</v>
      </c>
      <c r="H874" s="7" t="n">
        <v>2</v>
      </c>
      <c r="I874" s="11" t="n">
        <v>115</v>
      </c>
      <c r="J874" s="11" t="n">
        <v>0</v>
      </c>
      <c r="K874" s="11" t="n">
        <f aca="false">H874*I874-J874</f>
        <v>230</v>
      </c>
      <c r="L874" s="7" t="s">
        <v>112</v>
      </c>
      <c r="M874" s="7" t="s">
        <v>194</v>
      </c>
      <c r="N874" s="7" t="n">
        <v>42</v>
      </c>
      <c r="O874" s="7" t="n">
        <v>4</v>
      </c>
    </row>
    <row r="875" customFormat="false" ht="15" hidden="false" customHeight="false" outlineLevel="0" collapsed="false">
      <c r="A875" s="7" t="s">
        <v>1386</v>
      </c>
      <c r="B875" s="10" t="n">
        <v>45769</v>
      </c>
      <c r="C875" s="7" t="s">
        <v>1387</v>
      </c>
      <c r="D875" s="7" t="s">
        <v>673</v>
      </c>
      <c r="E875" s="7" t="s">
        <v>122</v>
      </c>
      <c r="F875" s="7" t="s">
        <v>101</v>
      </c>
      <c r="G875" s="7" t="s">
        <v>123</v>
      </c>
      <c r="H875" s="7" t="n">
        <v>3</v>
      </c>
      <c r="I875" s="11" t="n">
        <v>390</v>
      </c>
      <c r="J875" s="11" t="n">
        <v>30</v>
      </c>
      <c r="K875" s="11" t="n">
        <f aca="false">H875*I875-J875</f>
        <v>1140</v>
      </c>
      <c r="L875" s="7" t="s">
        <v>112</v>
      </c>
      <c r="M875" s="7" t="s">
        <v>194</v>
      </c>
      <c r="N875" s="7" t="n">
        <v>51</v>
      </c>
      <c r="O875" s="7" t="n">
        <v>5</v>
      </c>
    </row>
    <row r="876" customFormat="false" ht="15" hidden="false" customHeight="false" outlineLevel="0" collapsed="false">
      <c r="A876" s="7" t="s">
        <v>2471</v>
      </c>
      <c r="B876" s="10" t="n">
        <v>45769</v>
      </c>
      <c r="C876" s="7" t="s">
        <v>2472</v>
      </c>
      <c r="D876" s="7" t="s">
        <v>2473</v>
      </c>
      <c r="E876" s="7" t="s">
        <v>148</v>
      </c>
      <c r="F876" s="7" t="s">
        <v>119</v>
      </c>
      <c r="G876" s="7" t="s">
        <v>123</v>
      </c>
      <c r="H876" s="7" t="n">
        <v>2</v>
      </c>
      <c r="I876" s="11" t="n">
        <v>330</v>
      </c>
      <c r="J876" s="11" t="n">
        <v>0</v>
      </c>
      <c r="K876" s="11" t="n">
        <f aca="false">H876*I876-J876</f>
        <v>660</v>
      </c>
      <c r="L876" s="7" t="s">
        <v>93</v>
      </c>
      <c r="M876" s="7" t="s">
        <v>194</v>
      </c>
      <c r="N876" s="7" t="n">
        <v>34</v>
      </c>
      <c r="O876" s="7" t="n">
        <v>5</v>
      </c>
    </row>
    <row r="877" customFormat="false" ht="15" hidden="false" customHeight="false" outlineLevel="0" collapsed="false">
      <c r="A877" s="7" t="s">
        <v>4631</v>
      </c>
      <c r="B877" s="10" t="n">
        <v>45770</v>
      </c>
      <c r="C877" s="7" t="s">
        <v>1597</v>
      </c>
      <c r="D877" s="7" t="s">
        <v>867</v>
      </c>
      <c r="E877" s="7" t="s">
        <v>134</v>
      </c>
      <c r="F877" s="7" t="s">
        <v>110</v>
      </c>
      <c r="G877" s="7" t="s">
        <v>117</v>
      </c>
      <c r="H877" s="7" t="n">
        <v>1</v>
      </c>
      <c r="I877" s="11" t="n">
        <v>115</v>
      </c>
      <c r="J877" s="11" t="n">
        <v>0</v>
      </c>
      <c r="K877" s="11" t="n">
        <f aca="false">H877*I877-J877</f>
        <v>115</v>
      </c>
      <c r="L877" s="7" t="s">
        <v>88</v>
      </c>
      <c r="M877" s="7" t="s">
        <v>194</v>
      </c>
      <c r="N877" s="7" t="n">
        <v>44</v>
      </c>
      <c r="O877" s="7" t="n">
        <v>4</v>
      </c>
    </row>
    <row r="878" customFormat="false" ht="15" hidden="false" customHeight="false" outlineLevel="0" collapsed="false">
      <c r="A878" s="7" t="s">
        <v>5021</v>
      </c>
      <c r="B878" s="10" t="n">
        <v>45770</v>
      </c>
      <c r="C878" s="7" t="s">
        <v>2252</v>
      </c>
      <c r="D878" s="7" t="s">
        <v>5022</v>
      </c>
      <c r="E878" s="7" t="s">
        <v>89</v>
      </c>
      <c r="F878" s="7" t="s">
        <v>86</v>
      </c>
      <c r="G878" s="7" t="s">
        <v>90</v>
      </c>
      <c r="H878" s="7" t="n">
        <v>4</v>
      </c>
      <c r="I878" s="11" t="n">
        <v>225</v>
      </c>
      <c r="J878" s="11" t="n">
        <v>0</v>
      </c>
      <c r="K878" s="11" t="n">
        <f aca="false">H878*I878-J878</f>
        <v>900</v>
      </c>
      <c r="L878" s="7" t="s">
        <v>103</v>
      </c>
      <c r="M878" s="7" t="s">
        <v>194</v>
      </c>
      <c r="N878" s="7" t="n">
        <v>43</v>
      </c>
      <c r="O878" s="7" t="n">
        <v>5</v>
      </c>
    </row>
    <row r="879" customFormat="false" ht="15" hidden="false" customHeight="false" outlineLevel="0" collapsed="false">
      <c r="A879" s="7" t="s">
        <v>2307</v>
      </c>
      <c r="B879" s="10" t="n">
        <v>45770</v>
      </c>
      <c r="C879" s="7" t="s">
        <v>2309</v>
      </c>
      <c r="D879" s="7" t="s">
        <v>2310</v>
      </c>
      <c r="E879" s="7" t="s">
        <v>126</v>
      </c>
      <c r="F879" s="7" t="s">
        <v>101</v>
      </c>
      <c r="G879" s="7" t="s">
        <v>105</v>
      </c>
      <c r="H879" s="7" t="n">
        <v>4</v>
      </c>
      <c r="I879" s="11" t="n">
        <v>180</v>
      </c>
      <c r="J879" s="11" t="n">
        <v>150</v>
      </c>
      <c r="K879" s="11" t="n">
        <f aca="false">H879*I879-J879</f>
        <v>570</v>
      </c>
      <c r="L879" s="7" t="s">
        <v>88</v>
      </c>
      <c r="M879" s="7" t="s">
        <v>194</v>
      </c>
      <c r="N879" s="7" t="n">
        <v>58</v>
      </c>
      <c r="O879" s="7" t="n">
        <v>4</v>
      </c>
    </row>
    <row r="880" customFormat="false" ht="15" hidden="false" customHeight="false" outlineLevel="0" collapsed="false">
      <c r="A880" s="7" t="s">
        <v>5766</v>
      </c>
      <c r="B880" s="10" t="n">
        <v>45770</v>
      </c>
      <c r="C880" s="7" t="s">
        <v>5767</v>
      </c>
      <c r="D880" s="7" t="s">
        <v>316</v>
      </c>
      <c r="E880" s="7" t="s">
        <v>142</v>
      </c>
      <c r="F880" s="7" t="s">
        <v>110</v>
      </c>
      <c r="G880" s="7" t="s">
        <v>105</v>
      </c>
      <c r="H880" s="7" t="n">
        <v>3</v>
      </c>
      <c r="I880" s="11" t="n">
        <v>150</v>
      </c>
      <c r="J880" s="11" t="n">
        <v>0</v>
      </c>
      <c r="K880" s="11" t="n">
        <f aca="false">H880*I880-J880</f>
        <v>450</v>
      </c>
      <c r="L880" s="7" t="s">
        <v>88</v>
      </c>
      <c r="M880" s="7" t="s">
        <v>194</v>
      </c>
      <c r="N880" s="7" t="n">
        <v>46</v>
      </c>
      <c r="O880" s="7" t="n">
        <v>3</v>
      </c>
    </row>
    <row r="881" customFormat="false" ht="15" hidden="false" customHeight="false" outlineLevel="0" collapsed="false">
      <c r="A881" s="7" t="s">
        <v>2615</v>
      </c>
      <c r="B881" s="10" t="n">
        <v>45770</v>
      </c>
      <c r="C881" s="7" t="s">
        <v>1407</v>
      </c>
      <c r="D881" s="7" t="s">
        <v>1251</v>
      </c>
      <c r="E881" s="7" t="s">
        <v>94</v>
      </c>
      <c r="F881" s="7" t="s">
        <v>86</v>
      </c>
      <c r="G881" s="7" t="s">
        <v>95</v>
      </c>
      <c r="H881" s="7" t="n">
        <v>5</v>
      </c>
      <c r="I881" s="11" t="n">
        <v>100</v>
      </c>
      <c r="J881" s="11" t="n">
        <v>0</v>
      </c>
      <c r="K881" s="11" t="n">
        <f aca="false">H881*I881-J881</f>
        <v>500</v>
      </c>
      <c r="L881" s="7" t="s">
        <v>93</v>
      </c>
      <c r="M881" s="7" t="s">
        <v>194</v>
      </c>
      <c r="N881" s="7" t="n">
        <v>44</v>
      </c>
      <c r="O881" s="7" t="n">
        <v>3</v>
      </c>
    </row>
    <row r="882" customFormat="false" ht="15" hidden="false" customHeight="false" outlineLevel="0" collapsed="false">
      <c r="A882" s="7" t="s">
        <v>3037</v>
      </c>
      <c r="B882" s="10" t="n">
        <v>45770</v>
      </c>
      <c r="C882" s="7" t="s">
        <v>3038</v>
      </c>
      <c r="D882" s="7" t="s">
        <v>3039</v>
      </c>
      <c r="E882" s="7" t="s">
        <v>168</v>
      </c>
      <c r="F882" s="7" t="s">
        <v>146</v>
      </c>
      <c r="G882" s="7" t="s">
        <v>123</v>
      </c>
      <c r="H882" s="7" t="n">
        <v>1</v>
      </c>
      <c r="I882" s="11" t="n">
        <v>280</v>
      </c>
      <c r="J882" s="11" t="n">
        <v>112</v>
      </c>
      <c r="K882" s="11" t="n">
        <f aca="false">H882*I882-J882</f>
        <v>168</v>
      </c>
      <c r="L882" s="7" t="s">
        <v>93</v>
      </c>
      <c r="M882" s="7" t="s">
        <v>194</v>
      </c>
      <c r="N882" s="7" t="n">
        <v>32</v>
      </c>
      <c r="O882" s="7" t="n">
        <v>5</v>
      </c>
    </row>
    <row r="883" customFormat="false" ht="15" hidden="false" customHeight="false" outlineLevel="0" collapsed="false">
      <c r="A883" s="7" t="s">
        <v>3194</v>
      </c>
      <c r="B883" s="10" t="n">
        <v>45770</v>
      </c>
      <c r="C883" s="7" t="s">
        <v>1313</v>
      </c>
      <c r="D883" s="7" t="s">
        <v>3195</v>
      </c>
      <c r="E883" s="7" t="s">
        <v>163</v>
      </c>
      <c r="F883" s="7" t="s">
        <v>141</v>
      </c>
      <c r="G883" s="7" t="s">
        <v>99</v>
      </c>
      <c r="H883" s="7" t="n">
        <v>3</v>
      </c>
      <c r="I883" s="11" t="n">
        <v>295</v>
      </c>
      <c r="J883" s="11" t="n">
        <v>150</v>
      </c>
      <c r="K883" s="11" t="n">
        <f aca="false">H883*I883-J883</f>
        <v>735</v>
      </c>
      <c r="L883" s="7" t="s">
        <v>133</v>
      </c>
      <c r="M883" s="7" t="s">
        <v>194</v>
      </c>
      <c r="N883" s="7" t="n">
        <v>45</v>
      </c>
      <c r="O883" s="7" t="n">
        <v>4</v>
      </c>
    </row>
    <row r="884" customFormat="false" ht="15" hidden="false" customHeight="false" outlineLevel="0" collapsed="false">
      <c r="A884" s="7" t="s">
        <v>5435</v>
      </c>
      <c r="B884" s="10" t="n">
        <v>45770</v>
      </c>
      <c r="C884" s="7" t="s">
        <v>4741</v>
      </c>
      <c r="D884" s="7" t="s">
        <v>5436</v>
      </c>
      <c r="E884" s="7" t="s">
        <v>104</v>
      </c>
      <c r="F884" s="7" t="s">
        <v>86</v>
      </c>
      <c r="G884" s="7" t="s">
        <v>105</v>
      </c>
      <c r="H884" s="7" t="n">
        <v>2</v>
      </c>
      <c r="I884" s="11" t="n">
        <v>215</v>
      </c>
      <c r="J884" s="11" t="n">
        <v>0</v>
      </c>
      <c r="K884" s="11" t="n">
        <f aca="false">H884*I884-J884</f>
        <v>430</v>
      </c>
      <c r="L884" s="7" t="s">
        <v>88</v>
      </c>
      <c r="M884" s="7" t="s">
        <v>194</v>
      </c>
      <c r="N884" s="7" t="n">
        <v>44</v>
      </c>
      <c r="O884" s="7" t="n">
        <v>3</v>
      </c>
    </row>
    <row r="885" customFormat="false" ht="15" hidden="false" customHeight="false" outlineLevel="0" collapsed="false">
      <c r="A885" s="7" t="s">
        <v>4778</v>
      </c>
      <c r="B885" s="10" t="n">
        <v>45770</v>
      </c>
      <c r="C885" s="7" t="s">
        <v>232</v>
      </c>
      <c r="D885" s="7" t="s">
        <v>4780</v>
      </c>
      <c r="E885" s="7" t="s">
        <v>168</v>
      </c>
      <c r="F885" s="7" t="s">
        <v>146</v>
      </c>
      <c r="G885" s="7" t="s">
        <v>123</v>
      </c>
      <c r="H885" s="7" t="n">
        <v>4</v>
      </c>
      <c r="I885" s="11" t="n">
        <v>320</v>
      </c>
      <c r="J885" s="11" t="n">
        <v>30</v>
      </c>
      <c r="K885" s="11" t="n">
        <f aca="false">H885*I885-J885</f>
        <v>1250</v>
      </c>
      <c r="L885" s="7" t="s">
        <v>88</v>
      </c>
      <c r="M885" s="7" t="s">
        <v>194</v>
      </c>
      <c r="N885" s="7" t="n">
        <v>29</v>
      </c>
      <c r="O885" s="7" t="n">
        <v>3</v>
      </c>
    </row>
    <row r="886" customFormat="false" ht="15" hidden="false" customHeight="false" outlineLevel="0" collapsed="false">
      <c r="A886" s="7" t="s">
        <v>5228</v>
      </c>
      <c r="B886" s="10" t="n">
        <v>45770</v>
      </c>
      <c r="C886" s="7" t="s">
        <v>4591</v>
      </c>
      <c r="D886" s="7" t="s">
        <v>982</v>
      </c>
      <c r="E886" s="7" t="s">
        <v>98</v>
      </c>
      <c r="F886" s="7" t="s">
        <v>86</v>
      </c>
      <c r="G886" s="7" t="s">
        <v>99</v>
      </c>
      <c r="H886" s="7" t="n">
        <v>2</v>
      </c>
      <c r="I886" s="11" t="n">
        <v>330</v>
      </c>
      <c r="J886" s="11" t="n">
        <v>0</v>
      </c>
      <c r="K886" s="11" t="n">
        <f aca="false">H886*I886-J886</f>
        <v>660</v>
      </c>
      <c r="L886" s="7" t="s">
        <v>103</v>
      </c>
      <c r="M886" s="7" t="s">
        <v>194</v>
      </c>
      <c r="N886" s="7" t="n">
        <v>53</v>
      </c>
      <c r="O886" s="7" t="n">
        <v>5</v>
      </c>
    </row>
    <row r="887" customFormat="false" ht="15" hidden="false" customHeight="false" outlineLevel="0" collapsed="false">
      <c r="A887" s="7" t="s">
        <v>4724</v>
      </c>
      <c r="B887" s="10" t="n">
        <v>45770</v>
      </c>
      <c r="C887" s="7" t="s">
        <v>319</v>
      </c>
      <c r="D887" s="7" t="s">
        <v>1416</v>
      </c>
      <c r="E887" s="7" t="s">
        <v>126</v>
      </c>
      <c r="F887" s="7" t="s">
        <v>101</v>
      </c>
      <c r="G887" s="7" t="s">
        <v>105</v>
      </c>
      <c r="H887" s="7" t="n">
        <v>2</v>
      </c>
      <c r="I887" s="11" t="n">
        <v>245</v>
      </c>
      <c r="J887" s="11" t="n">
        <v>0</v>
      </c>
      <c r="K887" s="11" t="n">
        <f aca="false">H887*I887-J887</f>
        <v>490</v>
      </c>
      <c r="L887" s="7" t="s">
        <v>88</v>
      </c>
      <c r="M887" s="7" t="s">
        <v>238</v>
      </c>
      <c r="N887" s="7"/>
      <c r="O887" s="7"/>
    </row>
    <row r="888" customFormat="false" ht="15" hidden="false" customHeight="false" outlineLevel="0" collapsed="false">
      <c r="A888" s="7" t="s">
        <v>6152</v>
      </c>
      <c r="B888" s="10" t="n">
        <v>45770</v>
      </c>
      <c r="C888" s="7" t="s">
        <v>1593</v>
      </c>
      <c r="D888" s="7" t="s">
        <v>3569</v>
      </c>
      <c r="E888" s="7" t="s">
        <v>147</v>
      </c>
      <c r="F888" s="7" t="s">
        <v>119</v>
      </c>
      <c r="G888" s="7" t="s">
        <v>95</v>
      </c>
      <c r="H888" s="7" t="n">
        <v>1</v>
      </c>
      <c r="I888" s="11" t="n">
        <v>140</v>
      </c>
      <c r="J888" s="11" t="n">
        <v>0</v>
      </c>
      <c r="K888" s="11" t="n">
        <f aca="false">H888*I888-J888</f>
        <v>140</v>
      </c>
      <c r="L888" s="7" t="s">
        <v>93</v>
      </c>
      <c r="M888" s="7" t="s">
        <v>194</v>
      </c>
      <c r="N888" s="7" t="n">
        <v>35</v>
      </c>
      <c r="O888" s="7" t="n">
        <v>3</v>
      </c>
    </row>
    <row r="889" customFormat="false" ht="15" hidden="false" customHeight="false" outlineLevel="0" collapsed="false">
      <c r="A889" s="7" t="s">
        <v>2911</v>
      </c>
      <c r="B889" s="10" t="n">
        <v>45771</v>
      </c>
      <c r="C889" s="7" t="s">
        <v>2913</v>
      </c>
      <c r="D889" s="7" t="s">
        <v>2914</v>
      </c>
      <c r="E889" s="7" t="s">
        <v>130</v>
      </c>
      <c r="F889" s="7" t="s">
        <v>110</v>
      </c>
      <c r="G889" s="7" t="s">
        <v>90</v>
      </c>
      <c r="H889" s="7" t="n">
        <v>1</v>
      </c>
      <c r="I889" s="11" t="n">
        <v>310</v>
      </c>
      <c r="J889" s="11" t="n">
        <v>0</v>
      </c>
      <c r="K889" s="11" t="n">
        <f aca="false">H889*I889-J889</f>
        <v>310</v>
      </c>
      <c r="L889" s="7" t="s">
        <v>103</v>
      </c>
      <c r="M889" s="7" t="s">
        <v>194</v>
      </c>
      <c r="N889" s="7" t="n">
        <v>33</v>
      </c>
      <c r="O889" s="7" t="n">
        <v>4</v>
      </c>
    </row>
    <row r="890" customFormat="false" ht="15" hidden="false" customHeight="false" outlineLevel="0" collapsed="false">
      <c r="A890" s="7" t="s">
        <v>5316</v>
      </c>
      <c r="B890" s="10" t="n">
        <v>45771</v>
      </c>
      <c r="C890" s="7" t="s">
        <v>1812</v>
      </c>
      <c r="D890" s="7" t="s">
        <v>1493</v>
      </c>
      <c r="E890" s="7" t="s">
        <v>147</v>
      </c>
      <c r="F890" s="7" t="s">
        <v>119</v>
      </c>
      <c r="G890" s="7" t="s">
        <v>95</v>
      </c>
      <c r="H890" s="7" t="n">
        <v>3</v>
      </c>
      <c r="I890" s="11" t="n">
        <v>125</v>
      </c>
      <c r="J890" s="11" t="n">
        <v>0</v>
      </c>
      <c r="K890" s="11" t="n">
        <f aca="false">H890*I890-J890</f>
        <v>375</v>
      </c>
      <c r="L890" s="7" t="s">
        <v>88</v>
      </c>
      <c r="M890" s="7" t="s">
        <v>194</v>
      </c>
      <c r="N890" s="7" t="n">
        <v>36</v>
      </c>
      <c r="O890" s="7" t="n">
        <v>5</v>
      </c>
    </row>
    <row r="891" customFormat="false" ht="15" hidden="false" customHeight="false" outlineLevel="0" collapsed="false">
      <c r="A891" s="7" t="s">
        <v>5801</v>
      </c>
      <c r="B891" s="10" t="n">
        <v>45771</v>
      </c>
      <c r="C891" s="7" t="s">
        <v>3157</v>
      </c>
      <c r="D891" s="7" t="s">
        <v>4237</v>
      </c>
      <c r="E891" s="7" t="s">
        <v>130</v>
      </c>
      <c r="F891" s="7" t="s">
        <v>110</v>
      </c>
      <c r="G891" s="7" t="s">
        <v>90</v>
      </c>
      <c r="H891" s="7" t="n">
        <v>1</v>
      </c>
      <c r="I891" s="11" t="n">
        <v>215</v>
      </c>
      <c r="J891" s="11" t="n">
        <v>0</v>
      </c>
      <c r="K891" s="11" t="n">
        <f aca="false">H891*I891-J891</f>
        <v>215</v>
      </c>
      <c r="L891" s="7" t="s">
        <v>112</v>
      </c>
      <c r="M891" s="7" t="s">
        <v>194</v>
      </c>
      <c r="N891" s="7" t="n">
        <v>39</v>
      </c>
      <c r="O891" s="7" t="n">
        <v>4</v>
      </c>
    </row>
    <row r="892" customFormat="false" ht="15" hidden="false" customHeight="false" outlineLevel="0" collapsed="false">
      <c r="A892" s="7" t="s">
        <v>5736</v>
      </c>
      <c r="B892" s="10" t="n">
        <v>45771</v>
      </c>
      <c r="C892" s="7" t="s">
        <v>1204</v>
      </c>
      <c r="D892" s="7" t="s">
        <v>5376</v>
      </c>
      <c r="E892" s="7" t="s">
        <v>134</v>
      </c>
      <c r="F892" s="7" t="s">
        <v>110</v>
      </c>
      <c r="G892" s="7" t="s">
        <v>117</v>
      </c>
      <c r="H892" s="7" t="n">
        <v>3</v>
      </c>
      <c r="I892" s="11" t="n">
        <v>100</v>
      </c>
      <c r="J892" s="11" t="n">
        <v>0</v>
      </c>
      <c r="K892" s="11" t="n">
        <f aca="false">H892*I892-J892</f>
        <v>300</v>
      </c>
      <c r="L892" s="7" t="s">
        <v>88</v>
      </c>
      <c r="M892" s="7" t="s">
        <v>194</v>
      </c>
      <c r="N892" s="7" t="n">
        <v>35</v>
      </c>
      <c r="O892" s="7" t="n">
        <v>3</v>
      </c>
    </row>
    <row r="893" customFormat="false" ht="15" hidden="false" customHeight="false" outlineLevel="0" collapsed="false">
      <c r="A893" s="7" t="s">
        <v>5924</v>
      </c>
      <c r="B893" s="10" t="n">
        <v>45771</v>
      </c>
      <c r="C893" s="7" t="s">
        <v>306</v>
      </c>
      <c r="D893" s="7" t="s">
        <v>1521</v>
      </c>
      <c r="E893" s="7" t="s">
        <v>160</v>
      </c>
      <c r="F893" s="7" t="s">
        <v>136</v>
      </c>
      <c r="G893" s="7" t="s">
        <v>150</v>
      </c>
      <c r="H893" s="7" t="n">
        <v>1</v>
      </c>
      <c r="I893" s="11" t="n">
        <v>170</v>
      </c>
      <c r="J893" s="11" t="n">
        <v>30</v>
      </c>
      <c r="K893" s="11" t="n">
        <f aca="false">H893*I893-J893</f>
        <v>140</v>
      </c>
      <c r="L893" s="7" t="s">
        <v>88</v>
      </c>
      <c r="M893" s="7" t="s">
        <v>194</v>
      </c>
      <c r="N893" s="7" t="n">
        <v>31</v>
      </c>
      <c r="O893" s="7" t="n">
        <v>4</v>
      </c>
    </row>
    <row r="894" customFormat="false" ht="15" hidden="false" customHeight="false" outlineLevel="0" collapsed="false">
      <c r="A894" s="7" t="s">
        <v>5958</v>
      </c>
      <c r="B894" s="10" t="n">
        <v>45771</v>
      </c>
      <c r="C894" s="7" t="s">
        <v>1387</v>
      </c>
      <c r="D894" s="7" t="s">
        <v>5248</v>
      </c>
      <c r="E894" s="7" t="s">
        <v>134</v>
      </c>
      <c r="F894" s="7" t="s">
        <v>110</v>
      </c>
      <c r="G894" s="7" t="s">
        <v>117</v>
      </c>
      <c r="H894" s="7" t="n">
        <v>3</v>
      </c>
      <c r="I894" s="11" t="n">
        <v>100</v>
      </c>
      <c r="J894" s="11" t="n">
        <v>0</v>
      </c>
      <c r="K894" s="11" t="n">
        <f aca="false">H894*I894-J894</f>
        <v>300</v>
      </c>
      <c r="L894" s="7" t="s">
        <v>112</v>
      </c>
      <c r="M894" s="7" t="s">
        <v>194</v>
      </c>
      <c r="N894" s="7" t="n">
        <v>33</v>
      </c>
      <c r="O894" s="7" t="n">
        <v>4</v>
      </c>
    </row>
    <row r="895" customFormat="false" ht="15" hidden="false" customHeight="false" outlineLevel="0" collapsed="false">
      <c r="A895" s="7" t="s">
        <v>4771</v>
      </c>
      <c r="B895" s="10" t="n">
        <v>45771</v>
      </c>
      <c r="C895" s="7" t="s">
        <v>1517</v>
      </c>
      <c r="D895" s="7" t="s">
        <v>740</v>
      </c>
      <c r="E895" s="7" t="s">
        <v>168</v>
      </c>
      <c r="F895" s="7" t="s">
        <v>146</v>
      </c>
      <c r="G895" s="7" t="s">
        <v>123</v>
      </c>
      <c r="H895" s="7" t="n">
        <v>4</v>
      </c>
      <c r="I895" s="11" t="n">
        <v>295</v>
      </c>
      <c r="J895" s="11" t="n">
        <v>150</v>
      </c>
      <c r="K895" s="11" t="n">
        <f aca="false">H895*I895-J895</f>
        <v>1030</v>
      </c>
      <c r="L895" s="7" t="s">
        <v>88</v>
      </c>
      <c r="M895" s="7" t="s">
        <v>194</v>
      </c>
      <c r="N895" s="7" t="n">
        <v>35</v>
      </c>
      <c r="O895" s="7" t="n">
        <v>4</v>
      </c>
    </row>
    <row r="896" customFormat="false" ht="15" hidden="false" customHeight="false" outlineLevel="0" collapsed="false">
      <c r="A896" s="7" t="s">
        <v>3416</v>
      </c>
      <c r="B896" s="10" t="n">
        <v>45772</v>
      </c>
      <c r="C896" s="7" t="s">
        <v>1118</v>
      </c>
      <c r="D896" s="7" t="s">
        <v>1849</v>
      </c>
      <c r="E896" s="7" t="s">
        <v>113</v>
      </c>
      <c r="F896" s="7" t="s">
        <v>101</v>
      </c>
      <c r="G896" s="7" t="s">
        <v>90</v>
      </c>
      <c r="H896" s="7" t="n">
        <v>2</v>
      </c>
      <c r="I896" s="11" t="n">
        <v>280</v>
      </c>
      <c r="J896" s="11" t="n">
        <v>0</v>
      </c>
      <c r="K896" s="11" t="n">
        <f aca="false">H896*I896-J896</f>
        <v>560</v>
      </c>
      <c r="L896" s="7" t="s">
        <v>112</v>
      </c>
      <c r="M896" s="7" t="s">
        <v>194</v>
      </c>
      <c r="N896" s="7" t="n">
        <v>40</v>
      </c>
      <c r="O896" s="7" t="n">
        <v>3</v>
      </c>
    </row>
    <row r="897" customFormat="false" ht="15" hidden="false" customHeight="false" outlineLevel="0" collapsed="false">
      <c r="A897" s="7" t="s">
        <v>5934</v>
      </c>
      <c r="B897" s="10" t="n">
        <v>45772</v>
      </c>
      <c r="C897" s="7" t="s">
        <v>5675</v>
      </c>
      <c r="D897" s="7" t="s">
        <v>2411</v>
      </c>
      <c r="E897" s="7" t="s">
        <v>98</v>
      </c>
      <c r="F897" s="7" t="s">
        <v>86</v>
      </c>
      <c r="G897" s="7" t="s">
        <v>99</v>
      </c>
      <c r="H897" s="7" t="n">
        <v>4</v>
      </c>
      <c r="I897" s="11" t="n">
        <v>325</v>
      </c>
      <c r="J897" s="11" t="n">
        <v>0</v>
      </c>
      <c r="K897" s="11" t="n">
        <f aca="false">H897*I897-J897</f>
        <v>1300</v>
      </c>
      <c r="L897" s="7" t="s">
        <v>88</v>
      </c>
      <c r="M897" s="7" t="s">
        <v>194</v>
      </c>
      <c r="N897" s="7" t="n">
        <v>36</v>
      </c>
      <c r="O897" s="7" t="n">
        <v>4</v>
      </c>
    </row>
    <row r="898" customFormat="false" ht="15" hidden="false" customHeight="false" outlineLevel="0" collapsed="false">
      <c r="A898" s="7" t="s">
        <v>3975</v>
      </c>
      <c r="B898" s="10" t="n">
        <v>45772</v>
      </c>
      <c r="C898" s="7" t="s">
        <v>2860</v>
      </c>
      <c r="D898" s="7" t="s">
        <v>3977</v>
      </c>
      <c r="E898" s="7" t="s">
        <v>122</v>
      </c>
      <c r="F898" s="7" t="s">
        <v>101</v>
      </c>
      <c r="G898" s="7" t="s">
        <v>123</v>
      </c>
      <c r="H898" s="7" t="n">
        <v>2</v>
      </c>
      <c r="I898" s="11" t="n">
        <v>320</v>
      </c>
      <c r="J898" s="11" t="n">
        <v>0</v>
      </c>
      <c r="K898" s="11" t="n">
        <f aca="false">H898*I898-J898</f>
        <v>640</v>
      </c>
      <c r="L898" s="7" t="s">
        <v>93</v>
      </c>
      <c r="M898" s="7" t="s">
        <v>194</v>
      </c>
      <c r="N898" s="7" t="n">
        <v>47</v>
      </c>
      <c r="O898" s="7" t="n">
        <v>4</v>
      </c>
    </row>
    <row r="899" customFormat="false" ht="15" hidden="false" customHeight="false" outlineLevel="0" collapsed="false">
      <c r="A899" s="7" t="s">
        <v>5770</v>
      </c>
      <c r="B899" s="10" t="n">
        <v>45772</v>
      </c>
      <c r="C899" s="7" t="s">
        <v>2088</v>
      </c>
      <c r="D899" s="7" t="s">
        <v>2525</v>
      </c>
      <c r="E899" s="7" t="s">
        <v>154</v>
      </c>
      <c r="F899" s="7" t="s">
        <v>128</v>
      </c>
      <c r="G899" s="7" t="s">
        <v>99</v>
      </c>
      <c r="H899" s="7" t="n">
        <v>2</v>
      </c>
      <c r="I899" s="11" t="n">
        <v>225</v>
      </c>
      <c r="J899" s="11" t="n">
        <v>20</v>
      </c>
      <c r="K899" s="11" t="n">
        <f aca="false">H899*I899-J899</f>
        <v>430</v>
      </c>
      <c r="L899" s="7" t="s">
        <v>88</v>
      </c>
      <c r="M899" s="7" t="s">
        <v>238</v>
      </c>
      <c r="N899" s="7"/>
      <c r="O899" s="7"/>
    </row>
    <row r="900" customFormat="false" ht="15" hidden="false" customHeight="false" outlineLevel="0" collapsed="false">
      <c r="A900" s="7" t="s">
        <v>5885</v>
      </c>
      <c r="B900" s="10" t="n">
        <v>45772</v>
      </c>
      <c r="C900" s="7" t="s">
        <v>1412</v>
      </c>
      <c r="D900" s="7" t="s">
        <v>5483</v>
      </c>
      <c r="E900" s="7" t="s">
        <v>138</v>
      </c>
      <c r="F900" s="7" t="s">
        <v>110</v>
      </c>
      <c r="G900" s="7" t="s">
        <v>139</v>
      </c>
      <c r="H900" s="7" t="n">
        <v>1</v>
      </c>
      <c r="I900" s="11" t="n">
        <v>195</v>
      </c>
      <c r="J900" s="11" t="n">
        <v>0</v>
      </c>
      <c r="K900" s="11" t="n">
        <f aca="false">H900*I900-J900</f>
        <v>195</v>
      </c>
      <c r="L900" s="7" t="s">
        <v>88</v>
      </c>
      <c r="M900" s="7" t="s">
        <v>194</v>
      </c>
      <c r="N900" s="7" t="n">
        <v>42</v>
      </c>
      <c r="O900" s="7" t="n">
        <v>3</v>
      </c>
    </row>
    <row r="901" customFormat="false" ht="15" hidden="false" customHeight="false" outlineLevel="0" collapsed="false">
      <c r="A901" s="7" t="s">
        <v>4578</v>
      </c>
      <c r="B901" s="10" t="n">
        <v>45773</v>
      </c>
      <c r="C901" s="7" t="s">
        <v>4580</v>
      </c>
      <c r="D901" s="7" t="s">
        <v>4581</v>
      </c>
      <c r="E901" s="7" t="s">
        <v>104</v>
      </c>
      <c r="F901" s="7" t="s">
        <v>86</v>
      </c>
      <c r="G901" s="7" t="s">
        <v>105</v>
      </c>
      <c r="H901" s="7" t="n">
        <v>2</v>
      </c>
      <c r="I901" s="11" t="n">
        <v>215</v>
      </c>
      <c r="J901" s="11" t="n">
        <v>125</v>
      </c>
      <c r="K901" s="11" t="n">
        <f aca="false">H901*I901-J901</f>
        <v>305</v>
      </c>
      <c r="L901" s="7" t="s">
        <v>93</v>
      </c>
      <c r="M901" s="7" t="s">
        <v>194</v>
      </c>
      <c r="N901" s="7" t="n">
        <v>44</v>
      </c>
      <c r="O901" s="7" t="n">
        <v>3</v>
      </c>
    </row>
    <row r="902" customFormat="false" ht="15" hidden="false" customHeight="false" outlineLevel="0" collapsed="false">
      <c r="A902" s="7" t="s">
        <v>6161</v>
      </c>
      <c r="B902" s="10" t="n">
        <v>45773</v>
      </c>
      <c r="C902" s="7" t="s">
        <v>2573</v>
      </c>
      <c r="D902" s="7" t="s">
        <v>1661</v>
      </c>
      <c r="E902" s="7" t="s">
        <v>138</v>
      </c>
      <c r="F902" s="7" t="s">
        <v>110</v>
      </c>
      <c r="G902" s="7" t="s">
        <v>139</v>
      </c>
      <c r="H902" s="7" t="n">
        <v>1</v>
      </c>
      <c r="I902" s="11" t="n">
        <v>195</v>
      </c>
      <c r="J902" s="11" t="n">
        <v>40</v>
      </c>
      <c r="K902" s="11" t="n">
        <f aca="false">H902*I902-J902</f>
        <v>155</v>
      </c>
      <c r="L902" s="7" t="s">
        <v>112</v>
      </c>
      <c r="M902" s="7" t="s">
        <v>238</v>
      </c>
      <c r="N902" s="7"/>
      <c r="O902" s="7"/>
    </row>
    <row r="903" customFormat="false" ht="15" hidden="false" customHeight="false" outlineLevel="0" collapsed="false">
      <c r="A903" s="7" t="s">
        <v>2247</v>
      </c>
      <c r="B903" s="10" t="n">
        <v>45773</v>
      </c>
      <c r="C903" s="7" t="s">
        <v>2249</v>
      </c>
      <c r="D903" s="7" t="s">
        <v>1366</v>
      </c>
      <c r="E903" s="7" t="s">
        <v>113</v>
      </c>
      <c r="F903" s="7" t="s">
        <v>101</v>
      </c>
      <c r="G903" s="7" t="s">
        <v>90</v>
      </c>
      <c r="H903" s="7" t="n">
        <v>3</v>
      </c>
      <c r="I903" s="11" t="n">
        <v>310</v>
      </c>
      <c r="J903" s="11" t="n">
        <v>150</v>
      </c>
      <c r="K903" s="11" t="n">
        <f aca="false">H903*I903-J903</f>
        <v>780</v>
      </c>
      <c r="L903" s="7" t="s">
        <v>93</v>
      </c>
      <c r="M903" s="7" t="s">
        <v>194</v>
      </c>
      <c r="N903" s="7" t="n">
        <v>38</v>
      </c>
      <c r="O903" s="7" t="n">
        <v>2</v>
      </c>
    </row>
    <row r="904" customFormat="false" ht="15" hidden="false" customHeight="false" outlineLevel="0" collapsed="false">
      <c r="A904" s="7" t="s">
        <v>2534</v>
      </c>
      <c r="B904" s="10" t="n">
        <v>45774</v>
      </c>
      <c r="C904" s="7" t="s">
        <v>2536</v>
      </c>
      <c r="D904" s="7" t="s">
        <v>2537</v>
      </c>
      <c r="E904" s="7" t="s">
        <v>167</v>
      </c>
      <c r="F904" s="7" t="s">
        <v>146</v>
      </c>
      <c r="G904" s="7" t="s">
        <v>156</v>
      </c>
      <c r="H904" s="7" t="n">
        <v>2</v>
      </c>
      <c r="I904" s="11" t="n">
        <v>245</v>
      </c>
      <c r="J904" s="11" t="n">
        <v>0</v>
      </c>
      <c r="K904" s="11" t="n">
        <f aca="false">H904*I904-J904</f>
        <v>490</v>
      </c>
      <c r="L904" s="7" t="s">
        <v>88</v>
      </c>
      <c r="M904" s="7" t="s">
        <v>194</v>
      </c>
      <c r="N904" s="7" t="n">
        <v>28</v>
      </c>
      <c r="O904" s="7" t="n">
        <v>4</v>
      </c>
    </row>
    <row r="905" customFormat="false" ht="15" hidden="false" customHeight="false" outlineLevel="0" collapsed="false">
      <c r="A905" s="7" t="s">
        <v>5244</v>
      </c>
      <c r="B905" s="10" t="n">
        <v>45774</v>
      </c>
      <c r="C905" s="7" t="s">
        <v>595</v>
      </c>
      <c r="D905" s="7" t="s">
        <v>4871</v>
      </c>
      <c r="E905" s="7" t="s">
        <v>168</v>
      </c>
      <c r="F905" s="7" t="s">
        <v>146</v>
      </c>
      <c r="G905" s="7" t="s">
        <v>123</v>
      </c>
      <c r="H905" s="7" t="n">
        <v>2</v>
      </c>
      <c r="I905" s="11" t="n">
        <v>405</v>
      </c>
      <c r="J905" s="11" t="n">
        <v>30</v>
      </c>
      <c r="K905" s="11" t="n">
        <f aca="false">H905*I905-J905</f>
        <v>780</v>
      </c>
      <c r="L905" s="7" t="s">
        <v>121</v>
      </c>
      <c r="M905" s="7" t="s">
        <v>194</v>
      </c>
      <c r="N905" s="7" t="n">
        <v>37</v>
      </c>
      <c r="O905" s="7" t="n">
        <v>2</v>
      </c>
    </row>
    <row r="906" customFormat="false" ht="15" hidden="false" customHeight="false" outlineLevel="0" collapsed="false">
      <c r="A906" s="7" t="s">
        <v>4251</v>
      </c>
      <c r="B906" s="10" t="n">
        <v>45774</v>
      </c>
      <c r="C906" s="7" t="s">
        <v>651</v>
      </c>
      <c r="D906" s="7" t="s">
        <v>328</v>
      </c>
      <c r="E906" s="7" t="s">
        <v>89</v>
      </c>
      <c r="F906" s="7" t="s">
        <v>86</v>
      </c>
      <c r="G906" s="7" t="s">
        <v>90</v>
      </c>
      <c r="H906" s="7" t="n">
        <v>1</v>
      </c>
      <c r="I906" s="11" t="n">
        <v>220</v>
      </c>
      <c r="J906" s="11" t="n">
        <v>0</v>
      </c>
      <c r="K906" s="11" t="n">
        <f aca="false">H906*I906-J906</f>
        <v>220</v>
      </c>
      <c r="L906" s="7" t="s">
        <v>93</v>
      </c>
      <c r="M906" s="7" t="s">
        <v>194</v>
      </c>
      <c r="N906" s="7" t="n">
        <v>45</v>
      </c>
      <c r="O906" s="7" t="n">
        <v>4</v>
      </c>
    </row>
    <row r="907" customFormat="false" ht="15" hidden="false" customHeight="false" outlineLevel="0" collapsed="false">
      <c r="A907" s="7" t="s">
        <v>5617</v>
      </c>
      <c r="B907" s="10" t="n">
        <v>45774</v>
      </c>
      <c r="C907" s="7" t="s">
        <v>5619</v>
      </c>
      <c r="D907" s="7" t="s">
        <v>565</v>
      </c>
      <c r="E907" s="7" t="s">
        <v>154</v>
      </c>
      <c r="F907" s="7" t="s">
        <v>128</v>
      </c>
      <c r="G907" s="7" t="s">
        <v>99</v>
      </c>
      <c r="H907" s="7" t="n">
        <v>2</v>
      </c>
      <c r="I907" s="11" t="n">
        <v>200</v>
      </c>
      <c r="J907" s="11" t="n">
        <v>20</v>
      </c>
      <c r="K907" s="11" t="n">
        <f aca="false">H907*I907-J907</f>
        <v>380</v>
      </c>
      <c r="L907" s="7" t="s">
        <v>112</v>
      </c>
      <c r="M907" s="7" t="s">
        <v>194</v>
      </c>
      <c r="N907" s="7" t="n">
        <v>66</v>
      </c>
      <c r="O907" s="7" t="n">
        <v>3</v>
      </c>
    </row>
    <row r="908" customFormat="false" ht="15" hidden="false" customHeight="false" outlineLevel="0" collapsed="false">
      <c r="A908" s="7" t="s">
        <v>4615</v>
      </c>
      <c r="B908" s="10" t="n">
        <v>45774</v>
      </c>
      <c r="C908" s="7" t="s">
        <v>947</v>
      </c>
      <c r="D908" s="7" t="s">
        <v>4616</v>
      </c>
      <c r="E908" s="7" t="s">
        <v>160</v>
      </c>
      <c r="F908" s="7" t="s">
        <v>136</v>
      </c>
      <c r="G908" s="7" t="s">
        <v>150</v>
      </c>
      <c r="H908" s="7" t="n">
        <v>2</v>
      </c>
      <c r="I908" s="11" t="n">
        <v>165</v>
      </c>
      <c r="J908" s="11" t="n">
        <v>40</v>
      </c>
      <c r="K908" s="11" t="n">
        <f aca="false">H908*I908-J908</f>
        <v>290</v>
      </c>
      <c r="L908" s="7" t="s">
        <v>93</v>
      </c>
      <c r="M908" s="7" t="s">
        <v>194</v>
      </c>
      <c r="N908" s="7" t="n">
        <v>47</v>
      </c>
      <c r="O908" s="7" t="n">
        <v>3</v>
      </c>
    </row>
    <row r="909" customFormat="false" ht="15" hidden="false" customHeight="false" outlineLevel="0" collapsed="false">
      <c r="A909" s="7" t="s">
        <v>5495</v>
      </c>
      <c r="B909" s="10" t="n">
        <v>45774</v>
      </c>
      <c r="C909" s="7" t="s">
        <v>1758</v>
      </c>
      <c r="D909" s="7" t="s">
        <v>3630</v>
      </c>
      <c r="E909" s="7" t="s">
        <v>116</v>
      </c>
      <c r="F909" s="7" t="s">
        <v>101</v>
      </c>
      <c r="G909" s="7" t="s">
        <v>117</v>
      </c>
      <c r="H909" s="7" t="n">
        <v>3</v>
      </c>
      <c r="I909" s="11" t="n">
        <v>150</v>
      </c>
      <c r="J909" s="11" t="n">
        <v>0</v>
      </c>
      <c r="K909" s="11" t="n">
        <f aca="false">H909*I909-J909</f>
        <v>450</v>
      </c>
      <c r="L909" s="7" t="s">
        <v>88</v>
      </c>
      <c r="M909" s="7" t="s">
        <v>194</v>
      </c>
      <c r="N909" s="7" t="n">
        <v>57</v>
      </c>
      <c r="O909" s="7" t="n">
        <v>4</v>
      </c>
    </row>
    <row r="910" customFormat="false" ht="15" hidden="false" customHeight="false" outlineLevel="0" collapsed="false">
      <c r="A910" s="7" t="s">
        <v>3704</v>
      </c>
      <c r="B910" s="10" t="n">
        <v>45774</v>
      </c>
      <c r="C910" s="7" t="s">
        <v>3705</v>
      </c>
      <c r="D910" s="7" t="s">
        <v>3706</v>
      </c>
      <c r="E910" s="7" t="s">
        <v>89</v>
      </c>
      <c r="F910" s="7" t="s">
        <v>86</v>
      </c>
      <c r="G910" s="7" t="s">
        <v>90</v>
      </c>
      <c r="H910" s="7" t="n">
        <v>2</v>
      </c>
      <c r="I910" s="11" t="n">
        <v>245</v>
      </c>
      <c r="J910" s="11" t="n">
        <v>0</v>
      </c>
      <c r="K910" s="11" t="n">
        <f aca="false">H910*I910-J910</f>
        <v>490</v>
      </c>
      <c r="L910" s="7" t="s">
        <v>103</v>
      </c>
      <c r="M910" s="7" t="s">
        <v>238</v>
      </c>
      <c r="N910" s="7"/>
      <c r="O910" s="7"/>
    </row>
    <row r="911" customFormat="false" ht="15" hidden="false" customHeight="false" outlineLevel="0" collapsed="false">
      <c r="A911" s="7" t="s">
        <v>2575</v>
      </c>
      <c r="B911" s="10" t="n">
        <v>45774</v>
      </c>
      <c r="C911" s="7" t="s">
        <v>2576</v>
      </c>
      <c r="D911" s="7" t="s">
        <v>2577</v>
      </c>
      <c r="E911" s="7" t="s">
        <v>168</v>
      </c>
      <c r="F911" s="7" t="s">
        <v>146</v>
      </c>
      <c r="G911" s="7" t="s">
        <v>123</v>
      </c>
      <c r="H911" s="7" t="n">
        <v>1</v>
      </c>
      <c r="I911" s="11" t="n">
        <v>355</v>
      </c>
      <c r="J911" s="11" t="n">
        <v>75</v>
      </c>
      <c r="K911" s="11" t="n">
        <f aca="false">H911*I911-J911</f>
        <v>280</v>
      </c>
      <c r="L911" s="7" t="s">
        <v>88</v>
      </c>
      <c r="M911" s="7" t="s">
        <v>194</v>
      </c>
      <c r="N911" s="7" t="n">
        <v>38</v>
      </c>
      <c r="O911" s="7"/>
    </row>
    <row r="912" customFormat="false" ht="15" hidden="false" customHeight="false" outlineLevel="0" collapsed="false">
      <c r="A912" s="7" t="s">
        <v>2764</v>
      </c>
      <c r="B912" s="10" t="n">
        <v>45775</v>
      </c>
      <c r="C912" s="7" t="s">
        <v>2765</v>
      </c>
      <c r="D912" s="7" t="s">
        <v>237</v>
      </c>
      <c r="E912" s="7" t="s">
        <v>98</v>
      </c>
      <c r="F912" s="7" t="s">
        <v>86</v>
      </c>
      <c r="G912" s="7" t="s">
        <v>99</v>
      </c>
      <c r="H912" s="7" t="n">
        <v>3</v>
      </c>
      <c r="I912" s="11" t="n">
        <v>295</v>
      </c>
      <c r="J912" s="11" t="n">
        <v>0</v>
      </c>
      <c r="K912" s="11" t="n">
        <f aca="false">H912*I912-J912</f>
        <v>885</v>
      </c>
      <c r="L912" s="7" t="s">
        <v>133</v>
      </c>
      <c r="M912" s="7" t="s">
        <v>194</v>
      </c>
      <c r="N912" s="7" t="n">
        <v>39</v>
      </c>
      <c r="O912" s="7"/>
    </row>
    <row r="913" customFormat="false" ht="15" hidden="false" customHeight="false" outlineLevel="0" collapsed="false">
      <c r="A913" s="7" t="s">
        <v>3701</v>
      </c>
      <c r="B913" s="10" t="n">
        <v>45775</v>
      </c>
      <c r="C913" s="7" t="s">
        <v>2145</v>
      </c>
      <c r="D913" s="7" t="s">
        <v>1856</v>
      </c>
      <c r="E913" s="7" t="s">
        <v>122</v>
      </c>
      <c r="F913" s="7" t="s">
        <v>101</v>
      </c>
      <c r="G913" s="7" t="s">
        <v>123</v>
      </c>
      <c r="H913" s="7" t="n">
        <v>2</v>
      </c>
      <c r="I913" s="11" t="n">
        <v>460</v>
      </c>
      <c r="J913" s="11" t="n">
        <v>0</v>
      </c>
      <c r="K913" s="11" t="n">
        <f aca="false">H913*I913-J913</f>
        <v>920</v>
      </c>
      <c r="L913" s="7" t="s">
        <v>112</v>
      </c>
      <c r="M913" s="7" t="s">
        <v>194</v>
      </c>
      <c r="N913" s="7" t="n">
        <v>51</v>
      </c>
      <c r="O913" s="7" t="n">
        <v>4</v>
      </c>
    </row>
    <row r="914" customFormat="false" ht="15" hidden="false" customHeight="false" outlineLevel="0" collapsed="false">
      <c r="A914" s="7" t="s">
        <v>6095</v>
      </c>
      <c r="B914" s="10" t="n">
        <v>45775</v>
      </c>
      <c r="C914" s="7" t="s">
        <v>1054</v>
      </c>
      <c r="D914" s="7" t="s">
        <v>6096</v>
      </c>
      <c r="E914" s="7" t="s">
        <v>151</v>
      </c>
      <c r="F914" s="7" t="s">
        <v>128</v>
      </c>
      <c r="G914" s="7" t="s">
        <v>95</v>
      </c>
      <c r="H914" s="7" t="n">
        <v>3</v>
      </c>
      <c r="I914" s="11" t="n">
        <v>195</v>
      </c>
      <c r="J914" s="11" t="n">
        <v>150</v>
      </c>
      <c r="K914" s="11" t="n">
        <f aca="false">H914*I914-J914</f>
        <v>435</v>
      </c>
      <c r="L914" s="7" t="s">
        <v>88</v>
      </c>
      <c r="M914" s="7" t="s">
        <v>194</v>
      </c>
      <c r="N914" s="7" t="n">
        <v>37</v>
      </c>
      <c r="O914" s="7" t="n">
        <v>2</v>
      </c>
    </row>
    <row r="915" customFormat="false" ht="15" hidden="false" customHeight="false" outlineLevel="0" collapsed="false">
      <c r="A915" s="7" t="s">
        <v>3501</v>
      </c>
      <c r="B915" s="10" t="n">
        <v>45775</v>
      </c>
      <c r="C915" s="7" t="s">
        <v>2061</v>
      </c>
      <c r="D915" s="7" t="s">
        <v>3502</v>
      </c>
      <c r="E915" s="7" t="s">
        <v>122</v>
      </c>
      <c r="F915" s="7" t="s">
        <v>101</v>
      </c>
      <c r="G915" s="7" t="s">
        <v>123</v>
      </c>
      <c r="H915" s="7" t="n">
        <v>2</v>
      </c>
      <c r="I915" s="11" t="n">
        <v>295</v>
      </c>
      <c r="J915" s="11" t="n">
        <v>0</v>
      </c>
      <c r="K915" s="11" t="n">
        <f aca="false">H915*I915-J915</f>
        <v>590</v>
      </c>
      <c r="L915" s="7" t="s">
        <v>112</v>
      </c>
      <c r="M915" s="7" t="s">
        <v>194</v>
      </c>
      <c r="N915" s="7" t="n">
        <v>35</v>
      </c>
      <c r="O915" s="7" t="n">
        <v>4</v>
      </c>
    </row>
    <row r="916" customFormat="false" ht="15" hidden="false" customHeight="false" outlineLevel="0" collapsed="false">
      <c r="A916" s="7" t="s">
        <v>1270</v>
      </c>
      <c r="B916" s="10" t="n">
        <v>45775</v>
      </c>
      <c r="C916" s="7" t="s">
        <v>1271</v>
      </c>
      <c r="D916" s="7" t="s">
        <v>1272</v>
      </c>
      <c r="E916" s="7" t="s">
        <v>94</v>
      </c>
      <c r="F916" s="7" t="s">
        <v>86</v>
      </c>
      <c r="G916" s="7" t="s">
        <v>95</v>
      </c>
      <c r="H916" s="7" t="n">
        <v>1</v>
      </c>
      <c r="I916" s="11" t="n">
        <v>130</v>
      </c>
      <c r="J916" s="11" t="n">
        <v>52</v>
      </c>
      <c r="K916" s="11" t="n">
        <f aca="false">H916*I916-J916</f>
        <v>78</v>
      </c>
      <c r="L916" s="7" t="s">
        <v>93</v>
      </c>
      <c r="M916" s="7" t="s">
        <v>194</v>
      </c>
      <c r="N916" s="7" t="n">
        <v>42</v>
      </c>
      <c r="O916" s="7" t="n">
        <v>5</v>
      </c>
    </row>
    <row r="917" customFormat="false" ht="15" hidden="false" customHeight="false" outlineLevel="0" collapsed="false">
      <c r="A917" s="7" t="s">
        <v>4657</v>
      </c>
      <c r="B917" s="10" t="n">
        <v>45775</v>
      </c>
      <c r="C917" s="7" t="s">
        <v>3038</v>
      </c>
      <c r="D917" s="7" t="s">
        <v>3184</v>
      </c>
      <c r="E917" s="7" t="s">
        <v>160</v>
      </c>
      <c r="F917" s="7" t="s">
        <v>136</v>
      </c>
      <c r="G917" s="7" t="s">
        <v>150</v>
      </c>
      <c r="H917" s="7" t="n">
        <v>3</v>
      </c>
      <c r="I917" s="11" t="n">
        <v>185</v>
      </c>
      <c r="J917" s="11" t="n">
        <v>0</v>
      </c>
      <c r="K917" s="11" t="n">
        <f aca="false">H917*I917-J917</f>
        <v>555</v>
      </c>
      <c r="L917" s="7" t="s">
        <v>88</v>
      </c>
      <c r="M917" s="7" t="s">
        <v>194</v>
      </c>
      <c r="N917" s="7" t="n">
        <v>40</v>
      </c>
      <c r="O917" s="7" t="n">
        <v>4</v>
      </c>
    </row>
    <row r="918" customFormat="false" ht="15" hidden="false" customHeight="false" outlineLevel="0" collapsed="false">
      <c r="A918" s="7" t="s">
        <v>959</v>
      </c>
      <c r="B918" s="10" t="n">
        <v>45775</v>
      </c>
      <c r="C918" s="7" t="s">
        <v>961</v>
      </c>
      <c r="D918" s="7" t="s">
        <v>962</v>
      </c>
      <c r="E918" s="7" t="s">
        <v>160</v>
      </c>
      <c r="F918" s="7" t="s">
        <v>136</v>
      </c>
      <c r="G918" s="7" t="s">
        <v>150</v>
      </c>
      <c r="H918" s="7" t="n">
        <v>3</v>
      </c>
      <c r="I918" s="11" t="n">
        <v>175</v>
      </c>
      <c r="J918" s="11" t="n">
        <v>0</v>
      </c>
      <c r="K918" s="11" t="n">
        <f aca="false">H918*I918-J918</f>
        <v>525</v>
      </c>
      <c r="L918" s="7" t="s">
        <v>88</v>
      </c>
      <c r="M918" s="7" t="s">
        <v>194</v>
      </c>
      <c r="N918" s="7" t="n">
        <v>50</v>
      </c>
      <c r="O918" s="7" t="n">
        <v>4</v>
      </c>
    </row>
    <row r="919" customFormat="false" ht="15" hidden="false" customHeight="false" outlineLevel="0" collapsed="false">
      <c r="A919" s="7" t="s">
        <v>3403</v>
      </c>
      <c r="B919" s="10" t="n">
        <v>45775</v>
      </c>
      <c r="C919" s="7" t="s">
        <v>559</v>
      </c>
      <c r="D919" s="7" t="s">
        <v>538</v>
      </c>
      <c r="E919" s="7" t="s">
        <v>89</v>
      </c>
      <c r="F919" s="7" t="s">
        <v>86</v>
      </c>
      <c r="G919" s="7" t="s">
        <v>90</v>
      </c>
      <c r="H919" s="7" t="n">
        <v>1</v>
      </c>
      <c r="I919" s="11" t="n">
        <v>195</v>
      </c>
      <c r="J919" s="11" t="n">
        <v>0</v>
      </c>
      <c r="K919" s="11" t="n">
        <f aca="false">H919*I919-J919</f>
        <v>195</v>
      </c>
      <c r="L919" s="7" t="s">
        <v>93</v>
      </c>
      <c r="M919" s="7" t="s">
        <v>194</v>
      </c>
      <c r="N919" s="7" t="n">
        <v>36</v>
      </c>
      <c r="O919" s="7"/>
    </row>
    <row r="920" customFormat="false" ht="15" hidden="false" customHeight="false" outlineLevel="0" collapsed="false">
      <c r="A920" s="7" t="s">
        <v>5710</v>
      </c>
      <c r="B920" s="10" t="n">
        <v>45775</v>
      </c>
      <c r="C920" s="7" t="s">
        <v>3904</v>
      </c>
      <c r="D920" s="7" t="s">
        <v>2556</v>
      </c>
      <c r="E920" s="7" t="s">
        <v>104</v>
      </c>
      <c r="F920" s="7" t="s">
        <v>86</v>
      </c>
      <c r="G920" s="7" t="s">
        <v>105</v>
      </c>
      <c r="H920" s="7" t="n">
        <v>1</v>
      </c>
      <c r="I920" s="11" t="n">
        <v>180</v>
      </c>
      <c r="J920" s="11" t="n">
        <v>0</v>
      </c>
      <c r="K920" s="11" t="n">
        <f aca="false">H920*I920-J920</f>
        <v>180</v>
      </c>
      <c r="L920" s="7" t="s">
        <v>103</v>
      </c>
      <c r="M920" s="7" t="s">
        <v>194</v>
      </c>
      <c r="N920" s="7" t="n">
        <v>46</v>
      </c>
      <c r="O920" s="7" t="n">
        <v>4</v>
      </c>
    </row>
    <row r="921" customFormat="false" ht="15" hidden="false" customHeight="false" outlineLevel="0" collapsed="false">
      <c r="A921" s="7" t="s">
        <v>5811</v>
      </c>
      <c r="B921" s="10" t="n">
        <v>45775</v>
      </c>
      <c r="C921" s="7" t="s">
        <v>585</v>
      </c>
      <c r="D921" s="7" t="s">
        <v>3502</v>
      </c>
      <c r="E921" s="7" t="s">
        <v>113</v>
      </c>
      <c r="F921" s="7" t="s">
        <v>101</v>
      </c>
      <c r="G921" s="7" t="s">
        <v>90</v>
      </c>
      <c r="H921" s="7" t="n">
        <v>2</v>
      </c>
      <c r="I921" s="11" t="n">
        <v>185</v>
      </c>
      <c r="J921" s="11" t="n">
        <v>125</v>
      </c>
      <c r="K921" s="11" t="n">
        <f aca="false">H921*I921-J921</f>
        <v>245</v>
      </c>
      <c r="L921" s="7" t="s">
        <v>112</v>
      </c>
      <c r="M921" s="7" t="s">
        <v>238</v>
      </c>
      <c r="N921" s="7"/>
      <c r="O921" s="7"/>
    </row>
    <row r="922" customFormat="false" ht="15" hidden="false" customHeight="false" outlineLevel="0" collapsed="false">
      <c r="A922" s="7" t="s">
        <v>2002</v>
      </c>
      <c r="B922" s="10" t="n">
        <v>45776</v>
      </c>
      <c r="C922" s="7" t="s">
        <v>2003</v>
      </c>
      <c r="D922" s="7" t="s">
        <v>2004</v>
      </c>
      <c r="E922" s="7" t="s">
        <v>167</v>
      </c>
      <c r="F922" s="7" t="s">
        <v>146</v>
      </c>
      <c r="G922" s="7" t="s">
        <v>156</v>
      </c>
      <c r="H922" s="7" t="n">
        <v>1</v>
      </c>
      <c r="I922" s="11" t="n">
        <v>270</v>
      </c>
      <c r="J922" s="11" t="n">
        <v>0</v>
      </c>
      <c r="K922" s="11" t="n">
        <f aca="false">H922*I922-J922</f>
        <v>270</v>
      </c>
      <c r="L922" s="7" t="s">
        <v>88</v>
      </c>
      <c r="M922" s="7" t="s">
        <v>194</v>
      </c>
      <c r="N922" s="7" t="n">
        <v>21</v>
      </c>
      <c r="O922" s="7" t="n">
        <v>5</v>
      </c>
    </row>
    <row r="923" customFormat="false" ht="15" hidden="false" customHeight="false" outlineLevel="0" collapsed="false">
      <c r="A923" s="7" t="s">
        <v>5309</v>
      </c>
      <c r="B923" s="10" t="n">
        <v>45776</v>
      </c>
      <c r="C923" s="7" t="s">
        <v>1050</v>
      </c>
      <c r="D923" s="7" t="s">
        <v>1006</v>
      </c>
      <c r="E923" s="7" t="s">
        <v>149</v>
      </c>
      <c r="F923" s="7" t="s">
        <v>119</v>
      </c>
      <c r="G923" s="7" t="s">
        <v>150</v>
      </c>
      <c r="H923" s="7" t="n">
        <v>1</v>
      </c>
      <c r="I923" s="11" t="n">
        <v>200</v>
      </c>
      <c r="J923" s="11" t="n">
        <v>0</v>
      </c>
      <c r="K923" s="11" t="n">
        <f aca="false">H923*I923-J923</f>
        <v>200</v>
      </c>
      <c r="L923" s="7" t="s">
        <v>112</v>
      </c>
      <c r="M923" s="7" t="s">
        <v>238</v>
      </c>
      <c r="N923" s="7"/>
      <c r="O923" s="7"/>
    </row>
    <row r="924" customFormat="false" ht="15" hidden="false" customHeight="false" outlineLevel="0" collapsed="false">
      <c r="A924" s="7" t="s">
        <v>5443</v>
      </c>
      <c r="B924" s="10" t="n">
        <v>45776</v>
      </c>
      <c r="C924" s="7" t="s">
        <v>2390</v>
      </c>
      <c r="D924" s="7" t="s">
        <v>4535</v>
      </c>
      <c r="E924" s="7" t="s">
        <v>142</v>
      </c>
      <c r="F924" s="7" t="s">
        <v>110</v>
      </c>
      <c r="G924" s="7" t="s">
        <v>105</v>
      </c>
      <c r="H924" s="7" t="n">
        <v>1</v>
      </c>
      <c r="I924" s="11" t="n">
        <v>130</v>
      </c>
      <c r="J924" s="11" t="n">
        <v>0</v>
      </c>
      <c r="K924" s="11" t="n">
        <f aca="false">H924*I924-J924</f>
        <v>130</v>
      </c>
      <c r="L924" s="7" t="s">
        <v>112</v>
      </c>
      <c r="M924" s="7" t="s">
        <v>194</v>
      </c>
      <c r="N924" s="7" t="n">
        <v>35</v>
      </c>
      <c r="O924" s="7" t="n">
        <v>4</v>
      </c>
    </row>
    <row r="925" customFormat="false" ht="15" hidden="false" customHeight="false" outlineLevel="0" collapsed="false">
      <c r="A925" s="7" t="s">
        <v>5807</v>
      </c>
      <c r="B925" s="10" t="n">
        <v>45776</v>
      </c>
      <c r="C925" s="7" t="s">
        <v>5809</v>
      </c>
      <c r="D925" s="7" t="s">
        <v>5810</v>
      </c>
      <c r="E925" s="7" t="s">
        <v>113</v>
      </c>
      <c r="F925" s="7" t="s">
        <v>101</v>
      </c>
      <c r="G925" s="7" t="s">
        <v>90</v>
      </c>
      <c r="H925" s="7" t="n">
        <v>2</v>
      </c>
      <c r="I925" s="11" t="n">
        <v>275</v>
      </c>
      <c r="J925" s="11" t="n">
        <v>0</v>
      </c>
      <c r="K925" s="11" t="n">
        <f aca="false">H925*I925-J925</f>
        <v>550</v>
      </c>
      <c r="L925" s="7" t="s">
        <v>88</v>
      </c>
      <c r="M925" s="7" t="s">
        <v>194</v>
      </c>
      <c r="N925" s="7" t="n">
        <v>36</v>
      </c>
      <c r="O925" s="7" t="n">
        <v>3</v>
      </c>
    </row>
    <row r="926" customFormat="false" ht="15" hidden="false" customHeight="false" outlineLevel="0" collapsed="false">
      <c r="A926" s="7" t="s">
        <v>2222</v>
      </c>
      <c r="B926" s="10" t="n">
        <v>45776</v>
      </c>
      <c r="C926" s="7" t="s">
        <v>346</v>
      </c>
      <c r="D926" s="7" t="s">
        <v>307</v>
      </c>
      <c r="E926" s="7" t="s">
        <v>94</v>
      </c>
      <c r="F926" s="7" t="s">
        <v>86</v>
      </c>
      <c r="G926" s="7" t="s">
        <v>95</v>
      </c>
      <c r="H926" s="7" t="n">
        <v>3</v>
      </c>
      <c r="I926" s="11" t="n">
        <v>125</v>
      </c>
      <c r="J926" s="11" t="n">
        <v>0</v>
      </c>
      <c r="K926" s="11" t="n">
        <f aca="false">H926*I926-J926</f>
        <v>375</v>
      </c>
      <c r="L926" s="7" t="s">
        <v>112</v>
      </c>
      <c r="M926" s="7" t="s">
        <v>194</v>
      </c>
      <c r="N926" s="7" t="n">
        <v>41</v>
      </c>
      <c r="O926" s="7"/>
    </row>
    <row r="927" customFormat="false" ht="15" hidden="false" customHeight="false" outlineLevel="0" collapsed="false">
      <c r="A927" s="7" t="s">
        <v>6122</v>
      </c>
      <c r="B927" s="10" t="n">
        <v>45776</v>
      </c>
      <c r="C927" s="7" t="s">
        <v>1387</v>
      </c>
      <c r="D927" s="7" t="s">
        <v>1067</v>
      </c>
      <c r="E927" s="7" t="s">
        <v>104</v>
      </c>
      <c r="F927" s="7" t="s">
        <v>86</v>
      </c>
      <c r="G927" s="7" t="s">
        <v>105</v>
      </c>
      <c r="H927" s="7" t="n">
        <v>1</v>
      </c>
      <c r="I927" s="11" t="n">
        <v>235</v>
      </c>
      <c r="J927" s="11" t="n">
        <v>20</v>
      </c>
      <c r="K927" s="11" t="n">
        <f aca="false">H927*I927-J927</f>
        <v>215</v>
      </c>
      <c r="L927" s="7" t="s">
        <v>88</v>
      </c>
      <c r="M927" s="7" t="s">
        <v>194</v>
      </c>
      <c r="N927" s="7" t="n">
        <v>50</v>
      </c>
      <c r="O927" s="7"/>
    </row>
    <row r="928" customFormat="false" ht="15" hidden="false" customHeight="false" outlineLevel="0" collapsed="false">
      <c r="A928" s="7" t="s">
        <v>854</v>
      </c>
      <c r="B928" s="10" t="n">
        <v>45776</v>
      </c>
      <c r="C928" s="7" t="s">
        <v>856</v>
      </c>
      <c r="D928" s="7" t="s">
        <v>857</v>
      </c>
      <c r="E928" s="7" t="s">
        <v>138</v>
      </c>
      <c r="F928" s="7" t="s">
        <v>110</v>
      </c>
      <c r="G928" s="7" t="s">
        <v>139</v>
      </c>
      <c r="H928" s="7" t="n">
        <v>1</v>
      </c>
      <c r="I928" s="11" t="n">
        <v>215</v>
      </c>
      <c r="J928" s="11" t="n">
        <v>50</v>
      </c>
      <c r="K928" s="11" t="n">
        <f aca="false">H928*I928-J928</f>
        <v>165</v>
      </c>
      <c r="L928" s="7" t="s">
        <v>88</v>
      </c>
      <c r="M928" s="7" t="s">
        <v>238</v>
      </c>
      <c r="N928" s="7"/>
      <c r="O928" s="7"/>
    </row>
    <row r="929" customFormat="false" ht="15" hidden="false" customHeight="false" outlineLevel="0" collapsed="false">
      <c r="A929" s="7" t="s">
        <v>3467</v>
      </c>
      <c r="B929" s="10" t="n">
        <v>45777</v>
      </c>
      <c r="C929" s="7" t="s">
        <v>2187</v>
      </c>
      <c r="D929" s="7" t="s">
        <v>3468</v>
      </c>
      <c r="E929" s="7" t="s">
        <v>98</v>
      </c>
      <c r="F929" s="7" t="s">
        <v>86</v>
      </c>
      <c r="G929" s="7" t="s">
        <v>99</v>
      </c>
      <c r="H929" s="7" t="n">
        <v>1</v>
      </c>
      <c r="I929" s="11" t="n">
        <v>315</v>
      </c>
      <c r="J929" s="11" t="n">
        <v>50</v>
      </c>
      <c r="K929" s="11" t="n">
        <f aca="false">H929*I929-J929</f>
        <v>265</v>
      </c>
      <c r="L929" s="7" t="s">
        <v>112</v>
      </c>
      <c r="M929" s="7" t="s">
        <v>194</v>
      </c>
      <c r="N929" s="7" t="n">
        <v>28</v>
      </c>
      <c r="O929" s="7" t="n">
        <v>3</v>
      </c>
    </row>
    <row r="930" customFormat="false" ht="15" hidden="false" customHeight="false" outlineLevel="0" collapsed="false">
      <c r="A930" s="7" t="s">
        <v>1751</v>
      </c>
      <c r="B930" s="10" t="n">
        <v>45777</v>
      </c>
      <c r="C930" s="7" t="s">
        <v>1677</v>
      </c>
      <c r="D930" s="7" t="s">
        <v>1753</v>
      </c>
      <c r="E930" s="7" t="s">
        <v>104</v>
      </c>
      <c r="F930" s="7" t="s">
        <v>86</v>
      </c>
      <c r="G930" s="7" t="s">
        <v>105</v>
      </c>
      <c r="H930" s="7" t="n">
        <v>2</v>
      </c>
      <c r="I930" s="11" t="n">
        <v>230</v>
      </c>
      <c r="J930" s="11" t="n">
        <v>0</v>
      </c>
      <c r="K930" s="11" t="n">
        <f aca="false">H930*I930-J930</f>
        <v>460</v>
      </c>
      <c r="L930" s="7" t="s">
        <v>88</v>
      </c>
      <c r="M930" s="7" t="s">
        <v>194</v>
      </c>
      <c r="N930" s="7" t="n">
        <v>35</v>
      </c>
      <c r="O930" s="7" t="n">
        <v>4</v>
      </c>
    </row>
    <row r="931" customFormat="false" ht="15" hidden="false" customHeight="false" outlineLevel="0" collapsed="false">
      <c r="A931" s="7" t="s">
        <v>4421</v>
      </c>
      <c r="B931" s="10" t="n">
        <v>45777</v>
      </c>
      <c r="C931" s="7" t="s">
        <v>996</v>
      </c>
      <c r="D931" s="7" t="s">
        <v>4423</v>
      </c>
      <c r="E931" s="7" t="s">
        <v>116</v>
      </c>
      <c r="F931" s="7" t="s">
        <v>101</v>
      </c>
      <c r="G931" s="7" t="s">
        <v>117</v>
      </c>
      <c r="H931" s="7" t="n">
        <v>1</v>
      </c>
      <c r="I931" s="11" t="n">
        <v>125</v>
      </c>
      <c r="J931" s="11" t="n">
        <v>30</v>
      </c>
      <c r="K931" s="11" t="n">
        <f aca="false">H931*I931-J931</f>
        <v>95</v>
      </c>
      <c r="L931" s="7" t="s">
        <v>93</v>
      </c>
      <c r="M931" s="7" t="s">
        <v>194</v>
      </c>
      <c r="N931" s="7" t="n">
        <v>55</v>
      </c>
      <c r="O931" s="7" t="n">
        <v>5</v>
      </c>
    </row>
    <row r="932" customFormat="false" ht="15" hidden="false" customHeight="false" outlineLevel="0" collapsed="false">
      <c r="A932" s="7" t="s">
        <v>4700</v>
      </c>
      <c r="B932" s="10" t="n">
        <v>45777</v>
      </c>
      <c r="C932" s="7" t="s">
        <v>651</v>
      </c>
      <c r="D932" s="7" t="s">
        <v>3874</v>
      </c>
      <c r="E932" s="7" t="s">
        <v>166</v>
      </c>
      <c r="F932" s="7" t="s">
        <v>146</v>
      </c>
      <c r="G932" s="7" t="s">
        <v>117</v>
      </c>
      <c r="H932" s="7" t="n">
        <v>2</v>
      </c>
      <c r="I932" s="11" t="n">
        <v>90</v>
      </c>
      <c r="J932" s="11" t="n">
        <v>0</v>
      </c>
      <c r="K932" s="11" t="n">
        <f aca="false">H932*I932-J932</f>
        <v>180</v>
      </c>
      <c r="L932" s="7" t="s">
        <v>112</v>
      </c>
      <c r="M932" s="7" t="s">
        <v>194</v>
      </c>
      <c r="N932" s="7" t="n">
        <v>32</v>
      </c>
      <c r="O932" s="7" t="n">
        <v>4</v>
      </c>
    </row>
    <row r="933" customFormat="false" ht="15" hidden="false" customHeight="false" outlineLevel="0" collapsed="false">
      <c r="A933" s="7" t="s">
        <v>5721</v>
      </c>
      <c r="B933" s="10" t="n">
        <v>45777</v>
      </c>
      <c r="C933" s="7" t="s">
        <v>1211</v>
      </c>
      <c r="D933" s="7" t="s">
        <v>5722</v>
      </c>
      <c r="E933" s="7" t="s">
        <v>104</v>
      </c>
      <c r="F933" s="7" t="s">
        <v>86</v>
      </c>
      <c r="G933" s="7" t="s">
        <v>105</v>
      </c>
      <c r="H933" s="7" t="n">
        <v>2</v>
      </c>
      <c r="I933" s="11" t="n">
        <v>230</v>
      </c>
      <c r="J933" s="11" t="n">
        <v>30</v>
      </c>
      <c r="K933" s="11" t="n">
        <f aca="false">H933*I933-J933</f>
        <v>430</v>
      </c>
      <c r="L933" s="7" t="s">
        <v>88</v>
      </c>
      <c r="M933" s="7" t="s">
        <v>194</v>
      </c>
      <c r="N933" s="7" t="n">
        <v>29</v>
      </c>
      <c r="O933" s="7" t="n">
        <v>5</v>
      </c>
    </row>
    <row r="934" customFormat="false" ht="15" hidden="false" customHeight="false" outlineLevel="0" collapsed="false">
      <c r="A934" s="7" t="s">
        <v>4034</v>
      </c>
      <c r="B934" s="10" t="n">
        <v>45777</v>
      </c>
      <c r="C934" s="7" t="s">
        <v>716</v>
      </c>
      <c r="D934" s="7" t="s">
        <v>2697</v>
      </c>
      <c r="E934" s="7" t="s">
        <v>144</v>
      </c>
      <c r="F934" s="7" t="s">
        <v>119</v>
      </c>
      <c r="G934" s="7" t="s">
        <v>99</v>
      </c>
      <c r="H934" s="7" t="n">
        <v>1</v>
      </c>
      <c r="I934" s="11" t="n">
        <v>340</v>
      </c>
      <c r="J934" s="11" t="n">
        <v>20</v>
      </c>
      <c r="K934" s="11" t="n">
        <f aca="false">H934*I934-J934</f>
        <v>320</v>
      </c>
      <c r="L934" s="7" t="s">
        <v>88</v>
      </c>
      <c r="M934" s="7" t="s">
        <v>194</v>
      </c>
      <c r="N934" s="7" t="n">
        <v>46</v>
      </c>
      <c r="O934" s="7" t="n">
        <v>5</v>
      </c>
    </row>
    <row r="935" customFormat="false" ht="15" hidden="false" customHeight="false" outlineLevel="0" collapsed="false">
      <c r="A935" s="7" t="s">
        <v>5663</v>
      </c>
      <c r="B935" s="10" t="n">
        <v>45777</v>
      </c>
      <c r="C935" s="7" t="s">
        <v>1390</v>
      </c>
      <c r="D935" s="7" t="s">
        <v>1878</v>
      </c>
      <c r="E935" s="7" t="s">
        <v>130</v>
      </c>
      <c r="F935" s="7" t="s">
        <v>110</v>
      </c>
      <c r="G935" s="7" t="s">
        <v>90</v>
      </c>
      <c r="H935" s="7" t="n">
        <v>3</v>
      </c>
      <c r="I935" s="11" t="n">
        <v>295</v>
      </c>
      <c r="J935" s="11" t="n">
        <v>0</v>
      </c>
      <c r="K935" s="11" t="n">
        <f aca="false">H935*I935-J935</f>
        <v>885</v>
      </c>
      <c r="L935" s="7" t="s">
        <v>121</v>
      </c>
      <c r="M935" s="7" t="s">
        <v>194</v>
      </c>
      <c r="N935" s="7" t="n">
        <v>39</v>
      </c>
      <c r="O935" s="7" t="n">
        <v>5</v>
      </c>
    </row>
    <row r="936" customFormat="false" ht="15" hidden="false" customHeight="false" outlineLevel="0" collapsed="false">
      <c r="A936" s="7" t="s">
        <v>4366</v>
      </c>
      <c r="B936" s="10" t="n">
        <v>45778</v>
      </c>
      <c r="C936" s="7" t="s">
        <v>4367</v>
      </c>
      <c r="D936" s="7" t="s">
        <v>4368</v>
      </c>
      <c r="E936" s="7" t="s">
        <v>159</v>
      </c>
      <c r="F936" s="7" t="s">
        <v>136</v>
      </c>
      <c r="G936" s="7" t="s">
        <v>90</v>
      </c>
      <c r="H936" s="7" t="n">
        <v>2</v>
      </c>
      <c r="I936" s="11" t="n">
        <v>265</v>
      </c>
      <c r="J936" s="11" t="n">
        <v>75</v>
      </c>
      <c r="K936" s="11" t="n">
        <f aca="false">H936*I936-J936</f>
        <v>455</v>
      </c>
      <c r="L936" s="7" t="s">
        <v>133</v>
      </c>
      <c r="M936" s="7" t="s">
        <v>194</v>
      </c>
      <c r="N936" s="7" t="n">
        <v>48</v>
      </c>
      <c r="O936" s="7"/>
    </row>
    <row r="937" customFormat="false" ht="15" hidden="false" customHeight="false" outlineLevel="0" collapsed="false">
      <c r="A937" s="7" t="s">
        <v>4946</v>
      </c>
      <c r="B937" s="10" t="n">
        <v>45778</v>
      </c>
      <c r="C937" s="7" t="s">
        <v>1118</v>
      </c>
      <c r="D937" s="7" t="s">
        <v>1590</v>
      </c>
      <c r="E937" s="7" t="s">
        <v>147</v>
      </c>
      <c r="F937" s="7" t="s">
        <v>119</v>
      </c>
      <c r="G937" s="7" t="s">
        <v>95</v>
      </c>
      <c r="H937" s="7" t="n">
        <v>1</v>
      </c>
      <c r="I937" s="11" t="n">
        <v>145</v>
      </c>
      <c r="J937" s="11" t="n">
        <v>0</v>
      </c>
      <c r="K937" s="11" t="n">
        <f aca="false">H937*I937-J937</f>
        <v>145</v>
      </c>
      <c r="L937" s="7" t="s">
        <v>88</v>
      </c>
      <c r="M937" s="7" t="s">
        <v>194</v>
      </c>
      <c r="N937" s="7" t="n">
        <v>40</v>
      </c>
      <c r="O937" s="7" t="n">
        <v>5</v>
      </c>
    </row>
    <row r="938" customFormat="false" ht="15" hidden="false" customHeight="false" outlineLevel="0" collapsed="false">
      <c r="A938" s="7" t="s">
        <v>3414</v>
      </c>
      <c r="B938" s="10" t="n">
        <v>45778</v>
      </c>
      <c r="C938" s="7" t="s">
        <v>3415</v>
      </c>
      <c r="D938" s="7" t="s">
        <v>214</v>
      </c>
      <c r="E938" s="7" t="s">
        <v>149</v>
      </c>
      <c r="F938" s="7" t="s">
        <v>119</v>
      </c>
      <c r="G938" s="7" t="s">
        <v>150</v>
      </c>
      <c r="H938" s="7" t="n">
        <v>5</v>
      </c>
      <c r="I938" s="11" t="n">
        <v>130</v>
      </c>
      <c r="J938" s="11" t="n">
        <v>0</v>
      </c>
      <c r="K938" s="11" t="n">
        <f aca="false">H938*I938-J938</f>
        <v>650</v>
      </c>
      <c r="L938" s="7" t="s">
        <v>112</v>
      </c>
      <c r="M938" s="7" t="s">
        <v>194</v>
      </c>
      <c r="N938" s="7" t="n">
        <v>36</v>
      </c>
      <c r="O938" s="7"/>
    </row>
    <row r="939" customFormat="false" ht="15" hidden="false" customHeight="false" outlineLevel="0" collapsed="false">
      <c r="A939" s="7" t="s">
        <v>4954</v>
      </c>
      <c r="B939" s="10" t="n">
        <v>45778</v>
      </c>
      <c r="C939" s="7" t="s">
        <v>1330</v>
      </c>
      <c r="D939" s="7" t="s">
        <v>1990</v>
      </c>
      <c r="E939" s="7" t="s">
        <v>94</v>
      </c>
      <c r="F939" s="7" t="s">
        <v>86</v>
      </c>
      <c r="G939" s="7" t="s">
        <v>95</v>
      </c>
      <c r="H939" s="7" t="n">
        <v>1</v>
      </c>
      <c r="I939" s="11" t="n">
        <v>105</v>
      </c>
      <c r="J939" s="11" t="n">
        <v>30</v>
      </c>
      <c r="K939" s="11" t="n">
        <f aca="false">H939*I939-J939</f>
        <v>75</v>
      </c>
      <c r="L939" s="7" t="s">
        <v>88</v>
      </c>
      <c r="M939" s="7" t="s">
        <v>194</v>
      </c>
      <c r="N939" s="7" t="n">
        <v>52</v>
      </c>
      <c r="O939" s="7" t="n">
        <v>3</v>
      </c>
    </row>
    <row r="940" customFormat="false" ht="15" hidden="false" customHeight="false" outlineLevel="0" collapsed="false">
      <c r="A940" s="7" t="s">
        <v>4218</v>
      </c>
      <c r="B940" s="10" t="n">
        <v>45778</v>
      </c>
      <c r="C940" s="7" t="s">
        <v>2957</v>
      </c>
      <c r="D940" s="7" t="s">
        <v>1134</v>
      </c>
      <c r="E940" s="7" t="s">
        <v>142</v>
      </c>
      <c r="F940" s="7" t="s">
        <v>110</v>
      </c>
      <c r="G940" s="7" t="s">
        <v>105</v>
      </c>
      <c r="H940" s="7" t="n">
        <v>1</v>
      </c>
      <c r="I940" s="11" t="n">
        <v>155</v>
      </c>
      <c r="J940" s="11" t="n">
        <v>50</v>
      </c>
      <c r="K940" s="11" t="n">
        <f aca="false">H940*I940-J940</f>
        <v>105</v>
      </c>
      <c r="L940" s="7" t="s">
        <v>88</v>
      </c>
      <c r="M940" s="7" t="s">
        <v>194</v>
      </c>
      <c r="N940" s="7" t="n">
        <v>42</v>
      </c>
      <c r="O940" s="7" t="n">
        <v>5</v>
      </c>
    </row>
    <row r="941" customFormat="false" ht="15" hidden="false" customHeight="false" outlineLevel="0" collapsed="false">
      <c r="A941" s="7" t="s">
        <v>5861</v>
      </c>
      <c r="B941" s="10" t="n">
        <v>45778</v>
      </c>
      <c r="C941" s="7" t="s">
        <v>2508</v>
      </c>
      <c r="D941" s="7" t="s">
        <v>733</v>
      </c>
      <c r="E941" s="7" t="s">
        <v>159</v>
      </c>
      <c r="F941" s="7" t="s">
        <v>136</v>
      </c>
      <c r="G941" s="7" t="s">
        <v>90</v>
      </c>
      <c r="H941" s="7" t="n">
        <v>4</v>
      </c>
      <c r="I941" s="11" t="n">
        <v>285</v>
      </c>
      <c r="J941" s="11" t="n">
        <v>75</v>
      </c>
      <c r="K941" s="11" t="n">
        <f aca="false">H941*I941-J941</f>
        <v>1065</v>
      </c>
      <c r="L941" s="7" t="s">
        <v>88</v>
      </c>
      <c r="M941" s="7" t="s">
        <v>194</v>
      </c>
      <c r="N941" s="7" t="n">
        <v>35</v>
      </c>
      <c r="O941" s="7" t="n">
        <v>4</v>
      </c>
    </row>
    <row r="942" customFormat="false" ht="15" hidden="false" customHeight="false" outlineLevel="0" collapsed="false">
      <c r="A942" s="7" t="s">
        <v>2321</v>
      </c>
      <c r="B942" s="10" t="n">
        <v>45778</v>
      </c>
      <c r="C942" s="7" t="s">
        <v>638</v>
      </c>
      <c r="D942" s="7" t="s">
        <v>2057</v>
      </c>
      <c r="E942" s="7" t="s">
        <v>98</v>
      </c>
      <c r="F942" s="7" t="s">
        <v>86</v>
      </c>
      <c r="G942" s="7" t="s">
        <v>99</v>
      </c>
      <c r="H942" s="7" t="n">
        <v>3</v>
      </c>
      <c r="I942" s="11" t="n">
        <v>325</v>
      </c>
      <c r="J942" s="11" t="n">
        <v>125</v>
      </c>
      <c r="K942" s="11" t="n">
        <f aca="false">H942*I942-J942</f>
        <v>850</v>
      </c>
      <c r="L942" s="7" t="s">
        <v>88</v>
      </c>
      <c r="M942" s="7" t="s">
        <v>194</v>
      </c>
      <c r="N942" s="7" t="n">
        <v>37</v>
      </c>
      <c r="O942" s="7" t="n">
        <v>4</v>
      </c>
    </row>
    <row r="943" customFormat="false" ht="15" hidden="false" customHeight="false" outlineLevel="0" collapsed="false">
      <c r="A943" s="7" t="s">
        <v>5145</v>
      </c>
      <c r="B943" s="10" t="n">
        <v>45778</v>
      </c>
      <c r="C943" s="7" t="s">
        <v>5109</v>
      </c>
      <c r="D943" s="7" t="s">
        <v>5147</v>
      </c>
      <c r="E943" s="7" t="s">
        <v>130</v>
      </c>
      <c r="F943" s="7" t="s">
        <v>110</v>
      </c>
      <c r="G943" s="7" t="s">
        <v>90</v>
      </c>
      <c r="H943" s="7" t="n">
        <v>2</v>
      </c>
      <c r="I943" s="11" t="n">
        <v>295</v>
      </c>
      <c r="J943" s="11" t="n">
        <v>150</v>
      </c>
      <c r="K943" s="11" t="n">
        <f aca="false">H943*I943-J943</f>
        <v>440</v>
      </c>
      <c r="L943" s="7" t="s">
        <v>88</v>
      </c>
      <c r="M943" s="7" t="s">
        <v>194</v>
      </c>
      <c r="N943" s="7" t="n">
        <v>43</v>
      </c>
      <c r="O943" s="7" t="n">
        <v>5</v>
      </c>
    </row>
    <row r="944" customFormat="false" ht="15" hidden="false" customHeight="false" outlineLevel="0" collapsed="false">
      <c r="A944" s="7" t="s">
        <v>2433</v>
      </c>
      <c r="B944" s="10" t="n">
        <v>45778</v>
      </c>
      <c r="C944" s="7" t="s">
        <v>463</v>
      </c>
      <c r="D944" s="7" t="s">
        <v>905</v>
      </c>
      <c r="E944" s="7" t="s">
        <v>130</v>
      </c>
      <c r="F944" s="7" t="s">
        <v>110</v>
      </c>
      <c r="G944" s="7" t="s">
        <v>90</v>
      </c>
      <c r="H944" s="7" t="n">
        <v>5</v>
      </c>
      <c r="I944" s="11" t="n">
        <v>250</v>
      </c>
      <c r="J944" s="11" t="n">
        <v>0</v>
      </c>
      <c r="K944" s="11" t="n">
        <f aca="false">H944*I944-J944</f>
        <v>1250</v>
      </c>
      <c r="L944" s="7" t="s">
        <v>121</v>
      </c>
      <c r="M944" s="7" t="s">
        <v>194</v>
      </c>
      <c r="N944" s="7" t="n">
        <v>32</v>
      </c>
      <c r="O944" s="7" t="n">
        <v>5</v>
      </c>
    </row>
    <row r="945" customFormat="false" ht="15" hidden="false" customHeight="false" outlineLevel="0" collapsed="false">
      <c r="A945" s="7" t="s">
        <v>1417</v>
      </c>
      <c r="B945" s="10" t="n">
        <v>45779</v>
      </c>
      <c r="C945" s="7" t="s">
        <v>1419</v>
      </c>
      <c r="D945" s="7" t="s">
        <v>1420</v>
      </c>
      <c r="E945" s="7" t="s">
        <v>161</v>
      </c>
      <c r="F945" s="7" t="s">
        <v>141</v>
      </c>
      <c r="G945" s="7" t="s">
        <v>117</v>
      </c>
      <c r="H945" s="7" t="n">
        <v>3</v>
      </c>
      <c r="I945" s="11" t="n">
        <v>135</v>
      </c>
      <c r="J945" s="11" t="n">
        <v>40</v>
      </c>
      <c r="K945" s="11" t="n">
        <f aca="false">H945*I945-J945</f>
        <v>365</v>
      </c>
      <c r="L945" s="7" t="s">
        <v>103</v>
      </c>
      <c r="M945" s="7" t="s">
        <v>194</v>
      </c>
      <c r="N945" s="7" t="n">
        <v>40</v>
      </c>
      <c r="O945" s="7" t="n">
        <v>4</v>
      </c>
    </row>
    <row r="946" customFormat="false" ht="15" hidden="false" customHeight="false" outlineLevel="0" collapsed="false">
      <c r="A946" s="7" t="s">
        <v>5381</v>
      </c>
      <c r="B946" s="10" t="n">
        <v>45779</v>
      </c>
      <c r="C946" s="7" t="s">
        <v>386</v>
      </c>
      <c r="D946" s="7" t="s">
        <v>5382</v>
      </c>
      <c r="E946" s="7" t="s">
        <v>138</v>
      </c>
      <c r="F946" s="7" t="s">
        <v>110</v>
      </c>
      <c r="G946" s="7" t="s">
        <v>139</v>
      </c>
      <c r="H946" s="7" t="n">
        <v>5</v>
      </c>
      <c r="I946" s="11" t="n">
        <v>205</v>
      </c>
      <c r="J946" s="11" t="n">
        <v>20</v>
      </c>
      <c r="K946" s="11" t="n">
        <f aca="false">H946*I946-J946</f>
        <v>1005</v>
      </c>
      <c r="L946" s="7" t="s">
        <v>112</v>
      </c>
      <c r="M946" s="7" t="s">
        <v>238</v>
      </c>
      <c r="N946" s="7"/>
      <c r="O946" s="7"/>
    </row>
    <row r="947" customFormat="false" ht="15" hidden="false" customHeight="false" outlineLevel="0" collapsed="false">
      <c r="A947" s="7" t="s">
        <v>2460</v>
      </c>
      <c r="B947" s="10" t="n">
        <v>45779</v>
      </c>
      <c r="C947" s="7" t="s">
        <v>2176</v>
      </c>
      <c r="D947" s="7" t="s">
        <v>1110</v>
      </c>
      <c r="E947" s="7" t="s">
        <v>89</v>
      </c>
      <c r="F947" s="7" t="s">
        <v>86</v>
      </c>
      <c r="G947" s="7" t="s">
        <v>90</v>
      </c>
      <c r="H947" s="7" t="n">
        <v>2</v>
      </c>
      <c r="I947" s="11" t="n">
        <v>240</v>
      </c>
      <c r="J947" s="11" t="n">
        <v>0</v>
      </c>
      <c r="K947" s="11" t="n">
        <f aca="false">H947*I947-J947</f>
        <v>480</v>
      </c>
      <c r="L947" s="7" t="s">
        <v>93</v>
      </c>
      <c r="M947" s="7" t="s">
        <v>194</v>
      </c>
      <c r="N947" s="7" t="n">
        <v>47</v>
      </c>
      <c r="O947" s="7" t="n">
        <v>3</v>
      </c>
    </row>
    <row r="948" customFormat="false" ht="15" hidden="false" customHeight="false" outlineLevel="0" collapsed="false">
      <c r="A948" s="7" t="s">
        <v>4671</v>
      </c>
      <c r="B948" s="10" t="n">
        <v>45779</v>
      </c>
      <c r="C948" s="7" t="s">
        <v>2337</v>
      </c>
      <c r="D948" s="7" t="s">
        <v>3992</v>
      </c>
      <c r="E948" s="7" t="s">
        <v>104</v>
      </c>
      <c r="F948" s="7" t="s">
        <v>86</v>
      </c>
      <c r="G948" s="7" t="s">
        <v>105</v>
      </c>
      <c r="H948" s="7" t="n">
        <v>1</v>
      </c>
      <c r="I948" s="11" t="n">
        <v>225</v>
      </c>
      <c r="J948" s="11" t="n">
        <v>90</v>
      </c>
      <c r="K948" s="11" t="n">
        <f aca="false">H948*I948-J948</f>
        <v>135</v>
      </c>
      <c r="L948" s="7" t="s">
        <v>88</v>
      </c>
      <c r="M948" s="7" t="s">
        <v>194</v>
      </c>
      <c r="N948" s="7" t="n">
        <v>28</v>
      </c>
      <c r="O948" s="7" t="n">
        <v>4</v>
      </c>
    </row>
    <row r="949" customFormat="false" ht="15" hidden="false" customHeight="false" outlineLevel="0" collapsed="false">
      <c r="A949" s="7" t="s">
        <v>5780</v>
      </c>
      <c r="B949" s="10" t="n">
        <v>45779</v>
      </c>
      <c r="C949" s="7" t="s">
        <v>732</v>
      </c>
      <c r="D949" s="7" t="s">
        <v>5781</v>
      </c>
      <c r="E949" s="7" t="s">
        <v>126</v>
      </c>
      <c r="F949" s="7" t="s">
        <v>101</v>
      </c>
      <c r="G949" s="7" t="s">
        <v>105</v>
      </c>
      <c r="H949" s="7" t="n">
        <v>4</v>
      </c>
      <c r="I949" s="11" t="n">
        <v>230</v>
      </c>
      <c r="J949" s="11" t="n">
        <v>100</v>
      </c>
      <c r="K949" s="11" t="n">
        <f aca="false">H949*I949-J949</f>
        <v>820</v>
      </c>
      <c r="L949" s="7" t="s">
        <v>103</v>
      </c>
      <c r="M949" s="7" t="s">
        <v>194</v>
      </c>
      <c r="N949" s="7" t="n">
        <v>44</v>
      </c>
      <c r="O949" s="7" t="n">
        <v>5</v>
      </c>
    </row>
    <row r="950" customFormat="false" ht="15" hidden="false" customHeight="false" outlineLevel="0" collapsed="false">
      <c r="A950" s="7" t="s">
        <v>4699</v>
      </c>
      <c r="B950" s="10" t="n">
        <v>45779</v>
      </c>
      <c r="C950" s="7" t="s">
        <v>1688</v>
      </c>
      <c r="D950" s="7" t="s">
        <v>1216</v>
      </c>
      <c r="E950" s="7" t="s">
        <v>163</v>
      </c>
      <c r="F950" s="7" t="s">
        <v>141</v>
      </c>
      <c r="G950" s="7" t="s">
        <v>99</v>
      </c>
      <c r="H950" s="7" t="n">
        <v>1</v>
      </c>
      <c r="I950" s="11" t="n">
        <v>280</v>
      </c>
      <c r="J950" s="11" t="n">
        <v>75</v>
      </c>
      <c r="K950" s="11" t="n">
        <f aca="false">H950*I950-J950</f>
        <v>205</v>
      </c>
      <c r="L950" s="7" t="s">
        <v>133</v>
      </c>
      <c r="M950" s="7" t="s">
        <v>194</v>
      </c>
      <c r="N950" s="7" t="n">
        <v>33</v>
      </c>
      <c r="O950" s="7" t="n">
        <v>4</v>
      </c>
    </row>
    <row r="951" customFormat="false" ht="15" hidden="false" customHeight="false" outlineLevel="0" collapsed="false">
      <c r="A951" s="7" t="s">
        <v>5450</v>
      </c>
      <c r="B951" s="10" t="n">
        <v>45779</v>
      </c>
      <c r="C951" s="7" t="s">
        <v>1718</v>
      </c>
      <c r="D951" s="7" t="s">
        <v>5451</v>
      </c>
      <c r="E951" s="7" t="s">
        <v>94</v>
      </c>
      <c r="F951" s="7" t="s">
        <v>86</v>
      </c>
      <c r="G951" s="7" t="s">
        <v>95</v>
      </c>
      <c r="H951" s="7" t="n">
        <v>1</v>
      </c>
      <c r="I951" s="11" t="n">
        <v>120</v>
      </c>
      <c r="J951" s="11" t="n">
        <v>0</v>
      </c>
      <c r="K951" s="11" t="n">
        <f aca="false">H951*I951-J951</f>
        <v>120</v>
      </c>
      <c r="L951" s="7" t="s">
        <v>88</v>
      </c>
      <c r="M951" s="7" t="s">
        <v>194</v>
      </c>
      <c r="N951" s="7" t="n">
        <v>44</v>
      </c>
      <c r="O951" s="7" t="n">
        <v>4</v>
      </c>
    </row>
    <row r="952" customFormat="false" ht="15" hidden="false" customHeight="false" outlineLevel="0" collapsed="false">
      <c r="A952" s="7" t="s">
        <v>5719</v>
      </c>
      <c r="B952" s="10" t="n">
        <v>45779</v>
      </c>
      <c r="C952" s="7" t="s">
        <v>1920</v>
      </c>
      <c r="D952" s="7" t="s">
        <v>2988</v>
      </c>
      <c r="E952" s="7" t="s">
        <v>138</v>
      </c>
      <c r="F952" s="7" t="s">
        <v>110</v>
      </c>
      <c r="G952" s="7" t="s">
        <v>139</v>
      </c>
      <c r="H952" s="7" t="n">
        <v>2</v>
      </c>
      <c r="I952" s="11" t="n">
        <v>220</v>
      </c>
      <c r="J952" s="11" t="n">
        <v>0</v>
      </c>
      <c r="K952" s="11" t="n">
        <f aca="false">H952*I952-J952</f>
        <v>440</v>
      </c>
      <c r="L952" s="7" t="s">
        <v>121</v>
      </c>
      <c r="M952" s="7" t="s">
        <v>194</v>
      </c>
      <c r="N952" s="7" t="n">
        <v>34</v>
      </c>
      <c r="O952" s="7"/>
    </row>
    <row r="953" customFormat="false" ht="15" hidden="false" customHeight="false" outlineLevel="0" collapsed="false">
      <c r="A953" s="7" t="s">
        <v>3875</v>
      </c>
      <c r="B953" s="10" t="n">
        <v>45779</v>
      </c>
      <c r="C953" s="7" t="s">
        <v>443</v>
      </c>
      <c r="D953" s="7" t="s">
        <v>3876</v>
      </c>
      <c r="E953" s="7" t="s">
        <v>98</v>
      </c>
      <c r="F953" s="7" t="s">
        <v>86</v>
      </c>
      <c r="G953" s="7" t="s">
        <v>99</v>
      </c>
      <c r="H953" s="7" t="n">
        <v>2</v>
      </c>
      <c r="I953" s="11" t="n">
        <v>300</v>
      </c>
      <c r="J953" s="11" t="n">
        <v>0</v>
      </c>
      <c r="K953" s="11" t="n">
        <f aca="false">H953*I953-J953</f>
        <v>600</v>
      </c>
      <c r="L953" s="7" t="s">
        <v>121</v>
      </c>
      <c r="M953" s="7" t="s">
        <v>194</v>
      </c>
      <c r="N953" s="7"/>
      <c r="O953" s="7" t="n">
        <v>5</v>
      </c>
    </row>
    <row r="954" customFormat="false" ht="15" hidden="false" customHeight="false" outlineLevel="0" collapsed="false">
      <c r="A954" s="7" t="s">
        <v>2251</v>
      </c>
      <c r="B954" s="10" t="n">
        <v>45780</v>
      </c>
      <c r="C954" s="7" t="s">
        <v>2252</v>
      </c>
      <c r="D954" s="7" t="s">
        <v>2253</v>
      </c>
      <c r="E954" s="7" t="s">
        <v>113</v>
      </c>
      <c r="F954" s="7" t="s">
        <v>101</v>
      </c>
      <c r="G954" s="7" t="s">
        <v>90</v>
      </c>
      <c r="H954" s="7" t="n">
        <v>2</v>
      </c>
      <c r="I954" s="11" t="n">
        <v>195</v>
      </c>
      <c r="J954" s="11" t="n">
        <v>0</v>
      </c>
      <c r="K954" s="11" t="n">
        <f aca="false">H954*I954-J954</f>
        <v>390</v>
      </c>
      <c r="L954" s="7" t="s">
        <v>88</v>
      </c>
      <c r="M954" s="7" t="s">
        <v>194</v>
      </c>
      <c r="N954" s="7" t="n">
        <v>33</v>
      </c>
      <c r="O954" s="7" t="n">
        <v>3</v>
      </c>
    </row>
    <row r="955" customFormat="false" ht="15" hidden="false" customHeight="false" outlineLevel="0" collapsed="false">
      <c r="A955" s="7" t="s">
        <v>6041</v>
      </c>
      <c r="B955" s="10" t="n">
        <v>45780</v>
      </c>
      <c r="C955" s="7" t="s">
        <v>588</v>
      </c>
      <c r="D955" s="7" t="s">
        <v>690</v>
      </c>
      <c r="E955" s="7" t="s">
        <v>126</v>
      </c>
      <c r="F955" s="7" t="s">
        <v>101</v>
      </c>
      <c r="G955" s="7" t="s">
        <v>105</v>
      </c>
      <c r="H955" s="7" t="n">
        <v>2</v>
      </c>
      <c r="I955" s="11" t="n">
        <v>260</v>
      </c>
      <c r="J955" s="11" t="n">
        <v>50</v>
      </c>
      <c r="K955" s="11" t="n">
        <f aca="false">H955*I955-J955</f>
        <v>470</v>
      </c>
      <c r="L955" s="7" t="s">
        <v>88</v>
      </c>
      <c r="M955" s="7" t="s">
        <v>194</v>
      </c>
      <c r="N955" s="7" t="n">
        <v>47</v>
      </c>
      <c r="O955" s="7"/>
    </row>
    <row r="956" customFormat="false" ht="15" hidden="false" customHeight="false" outlineLevel="0" collapsed="false">
      <c r="A956" s="7" t="s">
        <v>2094</v>
      </c>
      <c r="B956" s="10" t="n">
        <v>45780</v>
      </c>
      <c r="C956" s="7" t="s">
        <v>724</v>
      </c>
      <c r="D956" s="7" t="s">
        <v>525</v>
      </c>
      <c r="E956" s="7" t="s">
        <v>163</v>
      </c>
      <c r="F956" s="7" t="s">
        <v>141</v>
      </c>
      <c r="G956" s="7" t="s">
        <v>99</v>
      </c>
      <c r="H956" s="7" t="n">
        <v>4</v>
      </c>
      <c r="I956" s="11" t="n">
        <v>280</v>
      </c>
      <c r="J956" s="11" t="n">
        <v>100</v>
      </c>
      <c r="K956" s="11" t="n">
        <f aca="false">H956*I956-J956</f>
        <v>1020</v>
      </c>
      <c r="L956" s="7" t="s">
        <v>93</v>
      </c>
      <c r="M956" s="7" t="s">
        <v>194</v>
      </c>
      <c r="N956" s="7" t="n">
        <v>47</v>
      </c>
      <c r="O956" s="7" t="n">
        <v>5</v>
      </c>
    </row>
    <row r="957" customFormat="false" ht="15" hidden="false" customHeight="false" outlineLevel="0" collapsed="false">
      <c r="A957" s="7" t="s">
        <v>4731</v>
      </c>
      <c r="B957" s="10" t="n">
        <v>45780</v>
      </c>
      <c r="C957" s="7" t="s">
        <v>1301</v>
      </c>
      <c r="D957" s="7" t="s">
        <v>3814</v>
      </c>
      <c r="E957" s="7" t="s">
        <v>138</v>
      </c>
      <c r="F957" s="7" t="s">
        <v>110</v>
      </c>
      <c r="G957" s="7" t="s">
        <v>139</v>
      </c>
      <c r="H957" s="7" t="n">
        <v>4</v>
      </c>
      <c r="I957" s="11" t="n">
        <v>165</v>
      </c>
      <c r="J957" s="11" t="n">
        <v>100</v>
      </c>
      <c r="K957" s="11" t="n">
        <f aca="false">H957*I957-J957</f>
        <v>560</v>
      </c>
      <c r="L957" s="7" t="s">
        <v>103</v>
      </c>
      <c r="M957" s="7" t="s">
        <v>194</v>
      </c>
      <c r="N957" s="7" t="n">
        <v>48</v>
      </c>
      <c r="O957" s="7" t="n">
        <v>2</v>
      </c>
    </row>
    <row r="958" customFormat="false" ht="15" hidden="false" customHeight="false" outlineLevel="0" collapsed="false">
      <c r="A958" s="7" t="s">
        <v>3997</v>
      </c>
      <c r="B958" s="10" t="n">
        <v>45781</v>
      </c>
      <c r="C958" s="7" t="s">
        <v>3450</v>
      </c>
      <c r="D958" s="7" t="s">
        <v>3998</v>
      </c>
      <c r="E958" s="7" t="s">
        <v>151</v>
      </c>
      <c r="F958" s="7" t="s">
        <v>128</v>
      </c>
      <c r="G958" s="7" t="s">
        <v>95</v>
      </c>
      <c r="H958" s="7" t="n">
        <v>3</v>
      </c>
      <c r="I958" s="11" t="n">
        <v>185</v>
      </c>
      <c r="J958" s="11" t="n">
        <v>0</v>
      </c>
      <c r="K958" s="11" t="n">
        <f aca="false">H958*I958-J958</f>
        <v>555</v>
      </c>
      <c r="L958" s="7" t="s">
        <v>112</v>
      </c>
      <c r="M958" s="7" t="s">
        <v>238</v>
      </c>
      <c r="N958" s="7"/>
      <c r="O958" s="7"/>
    </row>
    <row r="959" customFormat="false" ht="15" hidden="false" customHeight="false" outlineLevel="0" collapsed="false">
      <c r="A959" s="7" t="s">
        <v>2712</v>
      </c>
      <c r="B959" s="10" t="n">
        <v>45781</v>
      </c>
      <c r="C959" s="7" t="s">
        <v>2714</v>
      </c>
      <c r="D959" s="7" t="s">
        <v>491</v>
      </c>
      <c r="E959" s="7" t="s">
        <v>151</v>
      </c>
      <c r="F959" s="7" t="s">
        <v>128</v>
      </c>
      <c r="G959" s="7" t="s">
        <v>95</v>
      </c>
      <c r="H959" s="7" t="n">
        <v>1</v>
      </c>
      <c r="I959" s="11" t="n">
        <v>165</v>
      </c>
      <c r="J959" s="11" t="n">
        <v>66</v>
      </c>
      <c r="K959" s="11" t="n">
        <f aca="false">H959*I959-J959</f>
        <v>99</v>
      </c>
      <c r="L959" s="7" t="s">
        <v>112</v>
      </c>
      <c r="M959" s="7" t="s">
        <v>194</v>
      </c>
      <c r="N959" s="7" t="n">
        <v>38</v>
      </c>
      <c r="O959" s="7" t="n">
        <v>4</v>
      </c>
    </row>
    <row r="960" customFormat="false" ht="15" hidden="false" customHeight="false" outlineLevel="0" collapsed="false">
      <c r="A960" s="7" t="s">
        <v>3427</v>
      </c>
      <c r="B960" s="10" t="n">
        <v>45781</v>
      </c>
      <c r="C960" s="7" t="s">
        <v>2710</v>
      </c>
      <c r="D960" s="7" t="s">
        <v>3428</v>
      </c>
      <c r="E960" s="7" t="s">
        <v>144</v>
      </c>
      <c r="F960" s="7" t="s">
        <v>119</v>
      </c>
      <c r="G960" s="7" t="s">
        <v>99</v>
      </c>
      <c r="H960" s="7" t="n">
        <v>1</v>
      </c>
      <c r="I960" s="11" t="n">
        <v>310</v>
      </c>
      <c r="J960" s="11" t="n">
        <v>0</v>
      </c>
      <c r="K960" s="11" t="n">
        <f aca="false">H960*I960-J960</f>
        <v>310</v>
      </c>
      <c r="L960" s="7" t="s">
        <v>93</v>
      </c>
      <c r="M960" s="7" t="s">
        <v>194</v>
      </c>
      <c r="N960" s="7" t="n">
        <v>40</v>
      </c>
      <c r="O960" s="7" t="n">
        <v>4</v>
      </c>
    </row>
    <row r="961" customFormat="false" ht="15" hidden="false" customHeight="false" outlineLevel="0" collapsed="false">
      <c r="A961" s="7" t="s">
        <v>2956</v>
      </c>
      <c r="B961" s="10" t="n">
        <v>45781</v>
      </c>
      <c r="C961" s="7" t="s">
        <v>2957</v>
      </c>
      <c r="D961" s="7" t="s">
        <v>2958</v>
      </c>
      <c r="E961" s="7" t="s">
        <v>94</v>
      </c>
      <c r="F961" s="7" t="s">
        <v>86</v>
      </c>
      <c r="G961" s="7" t="s">
        <v>95</v>
      </c>
      <c r="H961" s="7" t="n">
        <v>1</v>
      </c>
      <c r="I961" s="11" t="n">
        <v>120</v>
      </c>
      <c r="J961" s="11" t="n">
        <v>0</v>
      </c>
      <c r="K961" s="11" t="n">
        <f aca="false">H961*I961-J961</f>
        <v>120</v>
      </c>
      <c r="L961" s="7" t="s">
        <v>133</v>
      </c>
      <c r="M961" s="7" t="s">
        <v>194</v>
      </c>
      <c r="N961" s="7" t="n">
        <v>52</v>
      </c>
      <c r="O961" s="7" t="n">
        <v>3</v>
      </c>
    </row>
    <row r="962" customFormat="false" ht="15" hidden="false" customHeight="false" outlineLevel="0" collapsed="false">
      <c r="A962" s="7" t="s">
        <v>4572</v>
      </c>
      <c r="B962" s="10" t="n">
        <v>45781</v>
      </c>
      <c r="C962" s="7" t="s">
        <v>1758</v>
      </c>
      <c r="D962" s="7" t="s">
        <v>4480</v>
      </c>
      <c r="E962" s="7" t="s">
        <v>126</v>
      </c>
      <c r="F962" s="7" t="s">
        <v>101</v>
      </c>
      <c r="G962" s="7" t="s">
        <v>105</v>
      </c>
      <c r="H962" s="7" t="n">
        <v>5</v>
      </c>
      <c r="I962" s="11" t="n">
        <v>240</v>
      </c>
      <c r="J962" s="11" t="n">
        <v>0</v>
      </c>
      <c r="K962" s="11" t="n">
        <f aca="false">H962*I962-J962</f>
        <v>1200</v>
      </c>
      <c r="L962" s="7" t="s">
        <v>93</v>
      </c>
      <c r="M962" s="7" t="s">
        <v>194</v>
      </c>
      <c r="N962" s="7" t="n">
        <v>40</v>
      </c>
      <c r="O962" s="7" t="n">
        <v>3</v>
      </c>
    </row>
    <row r="963" customFormat="false" ht="15" hidden="false" customHeight="false" outlineLevel="0" collapsed="false">
      <c r="A963" s="7" t="s">
        <v>4811</v>
      </c>
      <c r="B963" s="10" t="n">
        <v>45781</v>
      </c>
      <c r="C963" s="7" t="s">
        <v>1015</v>
      </c>
      <c r="D963" s="7" t="s">
        <v>3714</v>
      </c>
      <c r="E963" s="7" t="s">
        <v>104</v>
      </c>
      <c r="F963" s="7" t="s">
        <v>86</v>
      </c>
      <c r="G963" s="7" t="s">
        <v>105</v>
      </c>
      <c r="H963" s="7" t="n">
        <v>1</v>
      </c>
      <c r="I963" s="11" t="n">
        <v>215</v>
      </c>
      <c r="J963" s="11" t="n">
        <v>20</v>
      </c>
      <c r="K963" s="11" t="n">
        <f aca="false">H963*I963-J963</f>
        <v>195</v>
      </c>
      <c r="L963" s="7" t="s">
        <v>93</v>
      </c>
      <c r="M963" s="7" t="s">
        <v>194</v>
      </c>
      <c r="N963" s="7" t="n">
        <v>37</v>
      </c>
      <c r="O963" s="7" t="n">
        <v>2</v>
      </c>
    </row>
    <row r="964" customFormat="false" ht="15" hidden="false" customHeight="false" outlineLevel="0" collapsed="false">
      <c r="A964" s="7" t="s">
        <v>5372</v>
      </c>
      <c r="B964" s="10" t="n">
        <v>45782</v>
      </c>
      <c r="C964" s="7" t="s">
        <v>1809</v>
      </c>
      <c r="D964" s="7" t="s">
        <v>396</v>
      </c>
      <c r="E964" s="7" t="s">
        <v>113</v>
      </c>
      <c r="F964" s="7" t="s">
        <v>101</v>
      </c>
      <c r="G964" s="7" t="s">
        <v>90</v>
      </c>
      <c r="H964" s="7" t="n">
        <v>4</v>
      </c>
      <c r="I964" s="11" t="n">
        <v>300</v>
      </c>
      <c r="J964" s="11" t="n">
        <v>0</v>
      </c>
      <c r="K964" s="11" t="n">
        <f aca="false">H964*I964-J964</f>
        <v>1200</v>
      </c>
      <c r="L964" s="7" t="s">
        <v>133</v>
      </c>
      <c r="M964" s="7" t="s">
        <v>194</v>
      </c>
      <c r="N964" s="7" t="n">
        <v>42</v>
      </c>
      <c r="O964" s="7" t="n">
        <v>4</v>
      </c>
    </row>
    <row r="965" customFormat="false" ht="15" hidden="false" customHeight="false" outlineLevel="0" collapsed="false">
      <c r="A965" s="7" t="s">
        <v>2949</v>
      </c>
      <c r="B965" s="10" t="n">
        <v>45782</v>
      </c>
      <c r="C965" s="7" t="s">
        <v>2105</v>
      </c>
      <c r="D965" s="7" t="s">
        <v>2951</v>
      </c>
      <c r="E965" s="7" t="s">
        <v>147</v>
      </c>
      <c r="F965" s="7" t="s">
        <v>119</v>
      </c>
      <c r="G965" s="7" t="s">
        <v>95</v>
      </c>
      <c r="H965" s="7" t="n">
        <v>5</v>
      </c>
      <c r="I965" s="11" t="n">
        <v>150</v>
      </c>
      <c r="J965" s="11" t="n">
        <v>0</v>
      </c>
      <c r="K965" s="11" t="n">
        <f aca="false">H965*I965-J965</f>
        <v>750</v>
      </c>
      <c r="L965" s="7" t="s">
        <v>121</v>
      </c>
      <c r="M965" s="7" t="s">
        <v>194</v>
      </c>
      <c r="N965" s="7" t="n">
        <v>24</v>
      </c>
      <c r="O965" s="7"/>
    </row>
    <row r="966" customFormat="false" ht="15" hidden="false" customHeight="false" outlineLevel="0" collapsed="false">
      <c r="A966" s="7" t="s">
        <v>2396</v>
      </c>
      <c r="B966" s="10" t="n">
        <v>45782</v>
      </c>
      <c r="C966" s="7" t="s">
        <v>2398</v>
      </c>
      <c r="D966" s="7" t="s">
        <v>2399</v>
      </c>
      <c r="E966" s="7" t="s">
        <v>89</v>
      </c>
      <c r="F966" s="7" t="s">
        <v>86</v>
      </c>
      <c r="G966" s="7" t="s">
        <v>90</v>
      </c>
      <c r="H966" s="7" t="n">
        <v>1</v>
      </c>
      <c r="I966" s="11" t="n">
        <v>250</v>
      </c>
      <c r="J966" s="11" t="n">
        <v>20</v>
      </c>
      <c r="K966" s="11" t="n">
        <f aca="false">H966*I966-J966</f>
        <v>230</v>
      </c>
      <c r="L966" s="7" t="s">
        <v>88</v>
      </c>
      <c r="M966" s="7" t="s">
        <v>194</v>
      </c>
      <c r="N966" s="7" t="n">
        <v>40</v>
      </c>
      <c r="O966" s="7" t="n">
        <v>4</v>
      </c>
    </row>
    <row r="967" customFormat="false" ht="15" hidden="false" customHeight="false" outlineLevel="0" collapsed="false">
      <c r="A967" s="7" t="s">
        <v>894</v>
      </c>
      <c r="B967" s="10" t="n">
        <v>45782</v>
      </c>
      <c r="C967" s="7" t="s">
        <v>896</v>
      </c>
      <c r="D967" s="7" t="s">
        <v>897</v>
      </c>
      <c r="E967" s="7" t="s">
        <v>126</v>
      </c>
      <c r="F967" s="7" t="s">
        <v>101</v>
      </c>
      <c r="G967" s="7" t="s">
        <v>105</v>
      </c>
      <c r="H967" s="7" t="n">
        <v>1</v>
      </c>
      <c r="I967" s="11" t="n">
        <v>225</v>
      </c>
      <c r="J967" s="11" t="n">
        <v>0</v>
      </c>
      <c r="K967" s="11" t="n">
        <f aca="false">H967*I967-J967</f>
        <v>225</v>
      </c>
      <c r="L967" s="7" t="s">
        <v>121</v>
      </c>
      <c r="M967" s="7" t="s">
        <v>194</v>
      </c>
      <c r="N967" s="7" t="n">
        <v>43</v>
      </c>
      <c r="O967" s="7" t="n">
        <v>5</v>
      </c>
    </row>
    <row r="968" customFormat="false" ht="15" hidden="false" customHeight="false" outlineLevel="0" collapsed="false">
      <c r="A968" s="7" t="s">
        <v>3730</v>
      </c>
      <c r="B968" s="10" t="n">
        <v>45782</v>
      </c>
      <c r="C968" s="7" t="s">
        <v>1961</v>
      </c>
      <c r="D968" s="7" t="s">
        <v>1966</v>
      </c>
      <c r="E968" s="7" t="s">
        <v>147</v>
      </c>
      <c r="F968" s="7" t="s">
        <v>119</v>
      </c>
      <c r="G968" s="7" t="s">
        <v>95</v>
      </c>
      <c r="H968" s="7" t="n">
        <v>1</v>
      </c>
      <c r="I968" s="11" t="n">
        <v>165</v>
      </c>
      <c r="J968" s="11" t="n">
        <v>66</v>
      </c>
      <c r="K968" s="11" t="n">
        <f aca="false">H968*I968-J968</f>
        <v>99</v>
      </c>
      <c r="L968" s="7" t="s">
        <v>93</v>
      </c>
      <c r="M968" s="7" t="s">
        <v>194</v>
      </c>
      <c r="N968" s="7" t="n">
        <v>28</v>
      </c>
      <c r="O968" s="7" t="n">
        <v>2</v>
      </c>
    </row>
    <row r="969" customFormat="false" ht="15" hidden="false" customHeight="false" outlineLevel="0" collapsed="false">
      <c r="A969" s="7" t="s">
        <v>3254</v>
      </c>
      <c r="B969" s="10" t="n">
        <v>45782</v>
      </c>
      <c r="C969" s="7" t="s">
        <v>2289</v>
      </c>
      <c r="D969" s="7" t="s">
        <v>2258</v>
      </c>
      <c r="E969" s="7" t="s">
        <v>148</v>
      </c>
      <c r="F969" s="7" t="s">
        <v>119</v>
      </c>
      <c r="G969" s="7" t="s">
        <v>123</v>
      </c>
      <c r="H969" s="7" t="n">
        <v>1</v>
      </c>
      <c r="I969" s="11" t="n">
        <v>355</v>
      </c>
      <c r="J969" s="11" t="n">
        <v>50</v>
      </c>
      <c r="K969" s="11" t="n">
        <f aca="false">H969*I969-J969</f>
        <v>305</v>
      </c>
      <c r="L969" s="7" t="s">
        <v>121</v>
      </c>
      <c r="M969" s="7" t="s">
        <v>194</v>
      </c>
      <c r="N969" s="7" t="n">
        <v>34</v>
      </c>
      <c r="O969" s="7" t="n">
        <v>4</v>
      </c>
    </row>
    <row r="970" customFormat="false" ht="15" hidden="false" customHeight="false" outlineLevel="0" collapsed="false">
      <c r="A970" s="7" t="s">
        <v>5991</v>
      </c>
      <c r="B970" s="10" t="n">
        <v>45782</v>
      </c>
      <c r="C970" s="7" t="s">
        <v>4305</v>
      </c>
      <c r="D970" s="7" t="s">
        <v>4022</v>
      </c>
      <c r="E970" s="7" t="s">
        <v>113</v>
      </c>
      <c r="F970" s="7" t="s">
        <v>101</v>
      </c>
      <c r="G970" s="7" t="s">
        <v>90</v>
      </c>
      <c r="H970" s="7" t="n">
        <v>3</v>
      </c>
      <c r="I970" s="11" t="n">
        <v>235</v>
      </c>
      <c r="J970" s="11" t="n">
        <v>30</v>
      </c>
      <c r="K970" s="11" t="n">
        <f aca="false">H970*I970-J970</f>
        <v>675</v>
      </c>
      <c r="L970" s="7" t="s">
        <v>112</v>
      </c>
      <c r="M970" s="7" t="s">
        <v>194</v>
      </c>
      <c r="N970" s="7" t="n">
        <v>52</v>
      </c>
      <c r="O970" s="7" t="n">
        <v>3</v>
      </c>
    </row>
    <row r="971" customFormat="false" ht="15" hidden="false" customHeight="false" outlineLevel="0" collapsed="false">
      <c r="A971" s="7" t="s">
        <v>6079</v>
      </c>
      <c r="B971" s="10" t="n">
        <v>45783</v>
      </c>
      <c r="C971" s="7" t="s">
        <v>2266</v>
      </c>
      <c r="D971" s="7" t="s">
        <v>5361</v>
      </c>
      <c r="E971" s="7" t="s">
        <v>98</v>
      </c>
      <c r="F971" s="7" t="s">
        <v>86</v>
      </c>
      <c r="G971" s="7" t="s">
        <v>99</v>
      </c>
      <c r="H971" s="7" t="n">
        <v>3</v>
      </c>
      <c r="I971" s="11" t="n">
        <v>280</v>
      </c>
      <c r="J971" s="11" t="n">
        <v>0</v>
      </c>
      <c r="K971" s="11" t="n">
        <f aca="false">H971*I971-J971</f>
        <v>840</v>
      </c>
      <c r="L971" s="7" t="s">
        <v>88</v>
      </c>
      <c r="M971" s="7" t="s">
        <v>194</v>
      </c>
      <c r="N971" s="7" t="n">
        <v>29</v>
      </c>
      <c r="O971" s="7" t="n">
        <v>4</v>
      </c>
    </row>
    <row r="972" customFormat="false" ht="15" hidden="false" customHeight="false" outlineLevel="0" collapsed="false">
      <c r="A972" s="7" t="s">
        <v>5468</v>
      </c>
      <c r="B972" s="10" t="n">
        <v>45783</v>
      </c>
      <c r="C972" s="7" t="s">
        <v>3259</v>
      </c>
      <c r="D972" s="7" t="s">
        <v>1977</v>
      </c>
      <c r="E972" s="7" t="s">
        <v>113</v>
      </c>
      <c r="F972" s="7" t="s">
        <v>101</v>
      </c>
      <c r="G972" s="7" t="s">
        <v>90</v>
      </c>
      <c r="H972" s="7" t="n">
        <v>1</v>
      </c>
      <c r="I972" s="11" t="n">
        <v>225</v>
      </c>
      <c r="J972" s="11" t="n">
        <v>30</v>
      </c>
      <c r="K972" s="11" t="n">
        <f aca="false">H972*I972-J972</f>
        <v>195</v>
      </c>
      <c r="L972" s="7" t="s">
        <v>93</v>
      </c>
      <c r="M972" s="7" t="s">
        <v>194</v>
      </c>
      <c r="N972" s="7" t="n">
        <v>46</v>
      </c>
      <c r="O972" s="7" t="n">
        <v>3</v>
      </c>
    </row>
    <row r="973" customFormat="false" ht="15" hidden="false" customHeight="false" outlineLevel="0" collapsed="false">
      <c r="A973" s="7" t="s">
        <v>4597</v>
      </c>
      <c r="B973" s="10" t="n">
        <v>45783</v>
      </c>
      <c r="C973" s="7" t="s">
        <v>4149</v>
      </c>
      <c r="D973" s="7" t="s">
        <v>4237</v>
      </c>
      <c r="E973" s="7" t="s">
        <v>164</v>
      </c>
      <c r="F973" s="7" t="s">
        <v>141</v>
      </c>
      <c r="G973" s="7" t="s">
        <v>150</v>
      </c>
      <c r="H973" s="7" t="n">
        <v>2</v>
      </c>
      <c r="I973" s="11" t="n">
        <v>130</v>
      </c>
      <c r="J973" s="11" t="n">
        <v>0</v>
      </c>
      <c r="K973" s="11" t="n">
        <f aca="false">H973*I973-J973</f>
        <v>260</v>
      </c>
      <c r="L973" s="7" t="s">
        <v>121</v>
      </c>
      <c r="M973" s="7" t="s">
        <v>194</v>
      </c>
      <c r="N973" s="7" t="n">
        <v>31</v>
      </c>
      <c r="O973" s="7" t="n">
        <v>5</v>
      </c>
    </row>
    <row r="974" customFormat="false" ht="15" hidden="false" customHeight="false" outlineLevel="0" collapsed="false">
      <c r="A974" s="7" t="s">
        <v>963</v>
      </c>
      <c r="B974" s="10" t="n">
        <v>45783</v>
      </c>
      <c r="C974" s="7" t="s">
        <v>779</v>
      </c>
      <c r="D974" s="7" t="s">
        <v>965</v>
      </c>
      <c r="E974" s="7" t="s">
        <v>158</v>
      </c>
      <c r="F974" s="7" t="s">
        <v>136</v>
      </c>
      <c r="G974" s="7" t="s">
        <v>139</v>
      </c>
      <c r="H974" s="7" t="n">
        <v>2</v>
      </c>
      <c r="I974" s="11" t="n">
        <v>180</v>
      </c>
      <c r="J974" s="11" t="n">
        <v>0</v>
      </c>
      <c r="K974" s="11" t="n">
        <f aca="false">H974*I974-J974</f>
        <v>360</v>
      </c>
      <c r="L974" s="7" t="s">
        <v>103</v>
      </c>
      <c r="M974" s="7" t="s">
        <v>238</v>
      </c>
      <c r="N974" s="7"/>
      <c r="O974" s="7"/>
    </row>
    <row r="975" customFormat="false" ht="15" hidden="false" customHeight="false" outlineLevel="0" collapsed="false">
      <c r="A975" s="7" t="s">
        <v>5890</v>
      </c>
      <c r="B975" s="10" t="n">
        <v>45783</v>
      </c>
      <c r="C975" s="7" t="s">
        <v>1631</v>
      </c>
      <c r="D975" s="7" t="s">
        <v>316</v>
      </c>
      <c r="E975" s="7" t="s">
        <v>159</v>
      </c>
      <c r="F975" s="7" t="s">
        <v>136</v>
      </c>
      <c r="G975" s="7" t="s">
        <v>90</v>
      </c>
      <c r="H975" s="7" t="n">
        <v>1</v>
      </c>
      <c r="I975" s="11" t="n">
        <v>290</v>
      </c>
      <c r="J975" s="11" t="n">
        <v>0</v>
      </c>
      <c r="K975" s="11" t="n">
        <f aca="false">H975*I975-J975</f>
        <v>290</v>
      </c>
      <c r="L975" s="7" t="s">
        <v>112</v>
      </c>
      <c r="M975" s="7" t="s">
        <v>194</v>
      </c>
      <c r="N975" s="7" t="n">
        <v>45</v>
      </c>
      <c r="O975" s="7" t="n">
        <v>3</v>
      </c>
    </row>
    <row r="976" customFormat="false" ht="15" hidden="false" customHeight="false" outlineLevel="0" collapsed="false">
      <c r="A976" s="7" t="s">
        <v>3436</v>
      </c>
      <c r="B976" s="10" t="n">
        <v>45784</v>
      </c>
      <c r="C976" s="7" t="s">
        <v>3437</v>
      </c>
      <c r="D976" s="7" t="s">
        <v>3438</v>
      </c>
      <c r="E976" s="7" t="s">
        <v>89</v>
      </c>
      <c r="F976" s="7" t="s">
        <v>86</v>
      </c>
      <c r="G976" s="7" t="s">
        <v>90</v>
      </c>
      <c r="H976" s="7" t="n">
        <v>1</v>
      </c>
      <c r="I976" s="11" t="n">
        <v>210</v>
      </c>
      <c r="J976" s="11" t="n">
        <v>84</v>
      </c>
      <c r="K976" s="11" t="n">
        <f aca="false">H976*I976-J976</f>
        <v>126</v>
      </c>
      <c r="L976" s="7" t="s">
        <v>93</v>
      </c>
      <c r="M976" s="7" t="s">
        <v>194</v>
      </c>
      <c r="N976" s="7" t="n">
        <v>37</v>
      </c>
      <c r="O976" s="7" t="n">
        <v>5</v>
      </c>
    </row>
    <row r="977" customFormat="false" ht="15" hidden="false" customHeight="false" outlineLevel="0" collapsed="false">
      <c r="A977" s="7" t="s">
        <v>5688</v>
      </c>
      <c r="B977" s="10" t="n">
        <v>45784</v>
      </c>
      <c r="C977" s="7" t="s">
        <v>1745</v>
      </c>
      <c r="D977" s="7" t="s">
        <v>1299</v>
      </c>
      <c r="E977" s="7" t="s">
        <v>166</v>
      </c>
      <c r="F977" s="7" t="s">
        <v>146</v>
      </c>
      <c r="G977" s="7" t="s">
        <v>117</v>
      </c>
      <c r="H977" s="7" t="n">
        <v>3</v>
      </c>
      <c r="I977" s="11" t="n">
        <v>100</v>
      </c>
      <c r="J977" s="11" t="n">
        <v>0</v>
      </c>
      <c r="K977" s="11" t="n">
        <f aca="false">H977*I977-J977</f>
        <v>300</v>
      </c>
      <c r="L977" s="7" t="s">
        <v>112</v>
      </c>
      <c r="M977" s="7" t="s">
        <v>238</v>
      </c>
      <c r="N977" s="7"/>
      <c r="O977" s="7"/>
    </row>
    <row r="978" customFormat="false" ht="15" hidden="false" customHeight="false" outlineLevel="0" collapsed="false">
      <c r="A978" s="7" t="s">
        <v>2945</v>
      </c>
      <c r="B978" s="10" t="n">
        <v>45784</v>
      </c>
      <c r="C978" s="7" t="s">
        <v>2946</v>
      </c>
      <c r="D978" s="7" t="s">
        <v>2947</v>
      </c>
      <c r="E978" s="7" t="s">
        <v>98</v>
      </c>
      <c r="F978" s="7" t="s">
        <v>86</v>
      </c>
      <c r="G978" s="7" t="s">
        <v>99</v>
      </c>
      <c r="H978" s="7" t="n">
        <v>1</v>
      </c>
      <c r="I978" s="11" t="n">
        <v>255</v>
      </c>
      <c r="J978" s="11" t="n">
        <v>100</v>
      </c>
      <c r="K978" s="11" t="n">
        <f aca="false">H978*I978-J978</f>
        <v>155</v>
      </c>
      <c r="L978" s="7" t="s">
        <v>88</v>
      </c>
      <c r="M978" s="7" t="s">
        <v>194</v>
      </c>
      <c r="N978" s="7" t="n">
        <v>31</v>
      </c>
      <c r="O978" s="7" t="n">
        <v>4</v>
      </c>
    </row>
    <row r="979" customFormat="false" ht="15" hidden="false" customHeight="false" outlineLevel="0" collapsed="false">
      <c r="A979" s="7" t="s">
        <v>5630</v>
      </c>
      <c r="B979" s="10" t="n">
        <v>45784</v>
      </c>
      <c r="C979" s="7" t="s">
        <v>1191</v>
      </c>
      <c r="D979" s="7" t="s">
        <v>5631</v>
      </c>
      <c r="E979" s="7" t="s">
        <v>126</v>
      </c>
      <c r="F979" s="7" t="s">
        <v>101</v>
      </c>
      <c r="G979" s="7" t="s">
        <v>105</v>
      </c>
      <c r="H979" s="7" t="n">
        <v>3</v>
      </c>
      <c r="I979" s="11" t="n">
        <v>200</v>
      </c>
      <c r="J979" s="11" t="n">
        <v>30</v>
      </c>
      <c r="K979" s="11" t="n">
        <f aca="false">H979*I979-J979</f>
        <v>570</v>
      </c>
      <c r="L979" s="7" t="s">
        <v>88</v>
      </c>
      <c r="M979" s="7" t="s">
        <v>194</v>
      </c>
      <c r="N979" s="7" t="n">
        <v>41</v>
      </c>
      <c r="O979" s="7" t="n">
        <v>4</v>
      </c>
    </row>
    <row r="980" customFormat="false" ht="15" hidden="false" customHeight="false" outlineLevel="0" collapsed="false">
      <c r="A980" s="7" t="s">
        <v>5235</v>
      </c>
      <c r="B980" s="10" t="n">
        <v>45784</v>
      </c>
      <c r="C980" s="7" t="s">
        <v>284</v>
      </c>
      <c r="D980" s="7" t="s">
        <v>1333</v>
      </c>
      <c r="E980" s="7" t="s">
        <v>122</v>
      </c>
      <c r="F980" s="7" t="s">
        <v>101</v>
      </c>
      <c r="G980" s="7" t="s">
        <v>123</v>
      </c>
      <c r="H980" s="7" t="n">
        <v>2</v>
      </c>
      <c r="I980" s="11" t="n">
        <v>315</v>
      </c>
      <c r="J980" s="11" t="n">
        <v>20</v>
      </c>
      <c r="K980" s="11" t="n">
        <f aca="false">H980*I980-J980</f>
        <v>610</v>
      </c>
      <c r="L980" s="7" t="s">
        <v>88</v>
      </c>
      <c r="M980" s="7" t="s">
        <v>194</v>
      </c>
      <c r="N980" s="7" t="n">
        <v>29</v>
      </c>
      <c r="O980" s="7" t="n">
        <v>4</v>
      </c>
    </row>
    <row r="981" customFormat="false" ht="15" hidden="false" customHeight="false" outlineLevel="0" collapsed="false">
      <c r="A981" s="7" t="s">
        <v>5992</v>
      </c>
      <c r="B981" s="10" t="n">
        <v>45784</v>
      </c>
      <c r="C981" s="7" t="s">
        <v>651</v>
      </c>
      <c r="D981" s="7" t="s">
        <v>2220</v>
      </c>
      <c r="E981" s="7" t="s">
        <v>134</v>
      </c>
      <c r="F981" s="7" t="s">
        <v>110</v>
      </c>
      <c r="G981" s="7" t="s">
        <v>117</v>
      </c>
      <c r="H981" s="7" t="n">
        <v>3</v>
      </c>
      <c r="I981" s="11" t="n">
        <v>110</v>
      </c>
      <c r="J981" s="11" t="n">
        <v>0</v>
      </c>
      <c r="K981" s="11" t="n">
        <f aca="false">H981*I981-J981</f>
        <v>330</v>
      </c>
      <c r="L981" s="7" t="s">
        <v>103</v>
      </c>
      <c r="M981" s="7" t="s">
        <v>194</v>
      </c>
      <c r="N981" s="7" t="n">
        <v>36</v>
      </c>
      <c r="O981" s="7" t="n">
        <v>4</v>
      </c>
    </row>
    <row r="982" customFormat="false" ht="15" hidden="false" customHeight="false" outlineLevel="0" collapsed="false">
      <c r="A982" s="7" t="s">
        <v>6023</v>
      </c>
      <c r="B982" s="10" t="n">
        <v>45784</v>
      </c>
      <c r="C982" s="7" t="s">
        <v>776</v>
      </c>
      <c r="D982" s="7" t="s">
        <v>915</v>
      </c>
      <c r="E982" s="7" t="s">
        <v>149</v>
      </c>
      <c r="F982" s="7" t="s">
        <v>119</v>
      </c>
      <c r="G982" s="7" t="s">
        <v>150</v>
      </c>
      <c r="H982" s="7" t="n">
        <v>2</v>
      </c>
      <c r="I982" s="11" t="n">
        <v>175</v>
      </c>
      <c r="J982" s="11" t="n">
        <v>20</v>
      </c>
      <c r="K982" s="11" t="n">
        <f aca="false">H982*I982-J982</f>
        <v>330</v>
      </c>
      <c r="L982" s="7" t="s">
        <v>88</v>
      </c>
      <c r="M982" s="7" t="s">
        <v>194</v>
      </c>
      <c r="N982" s="7" t="n">
        <v>31</v>
      </c>
      <c r="O982" s="7" t="n">
        <v>5</v>
      </c>
    </row>
    <row r="983" customFormat="false" ht="15" hidden="false" customHeight="false" outlineLevel="0" collapsed="false">
      <c r="A983" s="7" t="s">
        <v>2745</v>
      </c>
      <c r="B983" s="10" t="n">
        <v>45784</v>
      </c>
      <c r="C983" s="7" t="s">
        <v>2033</v>
      </c>
      <c r="D983" s="7" t="s">
        <v>2746</v>
      </c>
      <c r="E983" s="7" t="s">
        <v>159</v>
      </c>
      <c r="F983" s="7" t="s">
        <v>136</v>
      </c>
      <c r="G983" s="7" t="s">
        <v>90</v>
      </c>
      <c r="H983" s="7" t="n">
        <v>2</v>
      </c>
      <c r="I983" s="11" t="n">
        <v>225</v>
      </c>
      <c r="J983" s="11" t="n">
        <v>30</v>
      </c>
      <c r="K983" s="11" t="n">
        <f aca="false">H983*I983-J983</f>
        <v>420</v>
      </c>
      <c r="L983" s="7" t="s">
        <v>121</v>
      </c>
      <c r="M983" s="7" t="s">
        <v>194</v>
      </c>
      <c r="N983" s="7" t="n">
        <v>25</v>
      </c>
      <c r="O983" s="7" t="n">
        <v>4</v>
      </c>
    </row>
    <row r="984" customFormat="false" ht="15" hidden="false" customHeight="false" outlineLevel="0" collapsed="false">
      <c r="A984" s="7" t="s">
        <v>3187</v>
      </c>
      <c r="B984" s="10" t="n">
        <v>45784</v>
      </c>
      <c r="C984" s="7" t="s">
        <v>1019</v>
      </c>
      <c r="D984" s="7" t="s">
        <v>2639</v>
      </c>
      <c r="E984" s="7" t="s">
        <v>144</v>
      </c>
      <c r="F984" s="7" t="s">
        <v>119</v>
      </c>
      <c r="G984" s="7" t="s">
        <v>99</v>
      </c>
      <c r="H984" s="7" t="n">
        <v>4</v>
      </c>
      <c r="I984" s="11" t="n">
        <v>345</v>
      </c>
      <c r="J984" s="11" t="n">
        <v>100</v>
      </c>
      <c r="K984" s="11" t="n">
        <f aca="false">H984*I984-J984</f>
        <v>1280</v>
      </c>
      <c r="L984" s="7" t="s">
        <v>88</v>
      </c>
      <c r="M984" s="7" t="s">
        <v>194</v>
      </c>
      <c r="N984" s="7" t="n">
        <v>43</v>
      </c>
      <c r="O984" s="7" t="n">
        <v>3</v>
      </c>
    </row>
    <row r="985" customFormat="false" ht="15" hidden="false" customHeight="false" outlineLevel="0" collapsed="false">
      <c r="A985" s="7" t="s">
        <v>5088</v>
      </c>
      <c r="B985" s="10" t="n">
        <v>45784</v>
      </c>
      <c r="C985" s="7" t="s">
        <v>391</v>
      </c>
      <c r="D985" s="7" t="s">
        <v>2306</v>
      </c>
      <c r="E985" s="7" t="s">
        <v>154</v>
      </c>
      <c r="F985" s="7" t="s">
        <v>128</v>
      </c>
      <c r="G985" s="7" t="s">
        <v>99</v>
      </c>
      <c r="H985" s="7" t="n">
        <v>2</v>
      </c>
      <c r="I985" s="11" t="n">
        <v>275</v>
      </c>
      <c r="J985" s="11" t="n">
        <v>100</v>
      </c>
      <c r="K985" s="11" t="n">
        <f aca="false">H985*I985-J985</f>
        <v>450</v>
      </c>
      <c r="L985" s="7" t="s">
        <v>88</v>
      </c>
      <c r="M985" s="7" t="s">
        <v>194</v>
      </c>
      <c r="N985" s="7" t="n">
        <v>42</v>
      </c>
      <c r="O985" s="7" t="n">
        <v>4</v>
      </c>
    </row>
    <row r="986" customFormat="false" ht="15" hidden="false" customHeight="false" outlineLevel="0" collapsed="false">
      <c r="A986" s="7" t="s">
        <v>1375</v>
      </c>
      <c r="B986" s="10" t="n">
        <v>45784</v>
      </c>
      <c r="C986" s="7" t="s">
        <v>1058</v>
      </c>
      <c r="D986" s="7" t="s">
        <v>1377</v>
      </c>
      <c r="E986" s="7" t="s">
        <v>116</v>
      </c>
      <c r="F986" s="7" t="s">
        <v>101</v>
      </c>
      <c r="G986" s="7" t="s">
        <v>117</v>
      </c>
      <c r="H986" s="7" t="n">
        <v>3</v>
      </c>
      <c r="I986" s="11" t="n">
        <v>125</v>
      </c>
      <c r="J986" s="11" t="n">
        <v>125</v>
      </c>
      <c r="K986" s="11" t="n">
        <f aca="false">H986*I986-J986</f>
        <v>250</v>
      </c>
      <c r="L986" s="7" t="s">
        <v>88</v>
      </c>
      <c r="M986" s="7" t="s">
        <v>194</v>
      </c>
      <c r="N986" s="7" t="n">
        <v>48</v>
      </c>
      <c r="O986" s="7" t="n">
        <v>5</v>
      </c>
    </row>
    <row r="987" customFormat="false" ht="15" hidden="false" customHeight="false" outlineLevel="0" collapsed="false">
      <c r="A987" s="7" t="s">
        <v>5922</v>
      </c>
      <c r="B987" s="10" t="n">
        <v>45784</v>
      </c>
      <c r="C987" s="7" t="s">
        <v>2583</v>
      </c>
      <c r="D987" s="7" t="s">
        <v>2326</v>
      </c>
      <c r="E987" s="7" t="s">
        <v>98</v>
      </c>
      <c r="F987" s="7" t="s">
        <v>86</v>
      </c>
      <c r="G987" s="7" t="s">
        <v>99</v>
      </c>
      <c r="H987" s="7" t="n">
        <v>4</v>
      </c>
      <c r="I987" s="11" t="n">
        <v>265</v>
      </c>
      <c r="J987" s="11" t="n">
        <v>0</v>
      </c>
      <c r="K987" s="11" t="n">
        <f aca="false">H987*I987-J987</f>
        <v>1060</v>
      </c>
      <c r="L987" s="7" t="s">
        <v>112</v>
      </c>
      <c r="M987" s="7" t="s">
        <v>194</v>
      </c>
      <c r="N987" s="7" t="n">
        <v>34</v>
      </c>
      <c r="O987" s="7" t="n">
        <v>5</v>
      </c>
    </row>
    <row r="988" customFormat="false" ht="15" hidden="false" customHeight="false" outlineLevel="0" collapsed="false">
      <c r="A988" s="7" t="s">
        <v>3559</v>
      </c>
      <c r="B988" s="10" t="n">
        <v>45785</v>
      </c>
      <c r="C988" s="7" t="s">
        <v>2514</v>
      </c>
      <c r="D988" s="7" t="s">
        <v>3560</v>
      </c>
      <c r="E988" s="7" t="s">
        <v>98</v>
      </c>
      <c r="F988" s="7" t="s">
        <v>86</v>
      </c>
      <c r="G988" s="7" t="s">
        <v>99</v>
      </c>
      <c r="H988" s="7" t="n">
        <v>2</v>
      </c>
      <c r="I988" s="11" t="n">
        <v>245</v>
      </c>
      <c r="J988" s="11" t="n">
        <v>75</v>
      </c>
      <c r="K988" s="11" t="n">
        <f aca="false">H988*I988-J988</f>
        <v>415</v>
      </c>
      <c r="L988" s="7" t="s">
        <v>88</v>
      </c>
      <c r="M988" s="7" t="s">
        <v>194</v>
      </c>
      <c r="N988" s="7" t="n">
        <v>39</v>
      </c>
      <c r="O988" s="7" t="n">
        <v>5</v>
      </c>
    </row>
    <row r="989" customFormat="false" ht="15" hidden="false" customHeight="false" outlineLevel="0" collapsed="false">
      <c r="A989" s="7" t="s">
        <v>4696</v>
      </c>
      <c r="B989" s="10" t="n">
        <v>45785</v>
      </c>
      <c r="C989" s="7" t="s">
        <v>3048</v>
      </c>
      <c r="D989" s="7" t="s">
        <v>2394</v>
      </c>
      <c r="E989" s="7" t="s">
        <v>89</v>
      </c>
      <c r="F989" s="7" t="s">
        <v>86</v>
      </c>
      <c r="G989" s="7" t="s">
        <v>90</v>
      </c>
      <c r="H989" s="7" t="n">
        <v>4</v>
      </c>
      <c r="I989" s="11" t="n">
        <v>250</v>
      </c>
      <c r="J989" s="11" t="n">
        <v>0</v>
      </c>
      <c r="K989" s="11" t="n">
        <f aca="false">H989*I989-J989</f>
        <v>1000</v>
      </c>
      <c r="L989" s="7" t="s">
        <v>93</v>
      </c>
      <c r="M989" s="7" t="s">
        <v>194</v>
      </c>
      <c r="N989" s="7" t="n">
        <v>45</v>
      </c>
      <c r="O989" s="7"/>
    </row>
    <row r="990" customFormat="false" ht="15" hidden="false" customHeight="false" outlineLevel="0" collapsed="false">
      <c r="A990" s="7" t="s">
        <v>4320</v>
      </c>
      <c r="B990" s="10" t="n">
        <v>45785</v>
      </c>
      <c r="C990" s="7" t="s">
        <v>581</v>
      </c>
      <c r="D990" s="7" t="s">
        <v>3908</v>
      </c>
      <c r="E990" s="7" t="s">
        <v>147</v>
      </c>
      <c r="F990" s="7" t="s">
        <v>119</v>
      </c>
      <c r="G990" s="7" t="s">
        <v>95</v>
      </c>
      <c r="H990" s="7" t="n">
        <v>3</v>
      </c>
      <c r="I990" s="11" t="n">
        <v>170</v>
      </c>
      <c r="J990" s="11" t="n">
        <v>20</v>
      </c>
      <c r="K990" s="11" t="n">
        <f aca="false">H990*I990-J990</f>
        <v>490</v>
      </c>
      <c r="L990" s="7" t="s">
        <v>112</v>
      </c>
      <c r="M990" s="7" t="s">
        <v>194</v>
      </c>
      <c r="N990" s="7" t="n">
        <v>31</v>
      </c>
      <c r="O990" s="7" t="n">
        <v>3</v>
      </c>
    </row>
    <row r="991" customFormat="false" ht="15" hidden="false" customHeight="false" outlineLevel="0" collapsed="false">
      <c r="A991" s="7" t="s">
        <v>1720</v>
      </c>
      <c r="B991" s="10" t="n">
        <v>45785</v>
      </c>
      <c r="C991" s="7" t="s">
        <v>1562</v>
      </c>
      <c r="D991" s="7" t="s">
        <v>1722</v>
      </c>
      <c r="E991" s="7" t="s">
        <v>104</v>
      </c>
      <c r="F991" s="7" t="s">
        <v>86</v>
      </c>
      <c r="G991" s="7" t="s">
        <v>105</v>
      </c>
      <c r="H991" s="7" t="n">
        <v>3</v>
      </c>
      <c r="I991" s="11" t="n">
        <v>210</v>
      </c>
      <c r="J991" s="11" t="n">
        <v>0</v>
      </c>
      <c r="K991" s="11" t="n">
        <f aca="false">H991*I991-J991</f>
        <v>630</v>
      </c>
      <c r="L991" s="7" t="s">
        <v>121</v>
      </c>
      <c r="M991" s="7" t="s">
        <v>194</v>
      </c>
      <c r="N991" s="7" t="n">
        <v>31</v>
      </c>
      <c r="O991" s="7" t="n">
        <v>4</v>
      </c>
    </row>
    <row r="992" customFormat="false" ht="15" hidden="false" customHeight="false" outlineLevel="0" collapsed="false">
      <c r="A992" s="7" t="s">
        <v>3464</v>
      </c>
      <c r="B992" s="10" t="n">
        <v>45785</v>
      </c>
      <c r="C992" s="7" t="s">
        <v>2756</v>
      </c>
      <c r="D992" s="7" t="s">
        <v>3465</v>
      </c>
      <c r="E992" s="7" t="s">
        <v>89</v>
      </c>
      <c r="F992" s="7" t="s">
        <v>86</v>
      </c>
      <c r="G992" s="7" t="s">
        <v>90</v>
      </c>
      <c r="H992" s="7" t="n">
        <v>2</v>
      </c>
      <c r="I992" s="11" t="n">
        <v>215</v>
      </c>
      <c r="J992" s="11" t="n">
        <v>0</v>
      </c>
      <c r="K992" s="11" t="n">
        <f aca="false">H992*I992-J992</f>
        <v>430</v>
      </c>
      <c r="L992" s="7" t="s">
        <v>88</v>
      </c>
      <c r="M992" s="7" t="s">
        <v>194</v>
      </c>
      <c r="N992" s="7" t="n">
        <v>46</v>
      </c>
      <c r="O992" s="7" t="n">
        <v>5</v>
      </c>
    </row>
    <row r="993" customFormat="false" ht="15" hidden="false" customHeight="false" outlineLevel="0" collapsed="false">
      <c r="A993" s="7" t="s">
        <v>5706</v>
      </c>
      <c r="B993" s="10" t="n">
        <v>45785</v>
      </c>
      <c r="C993" s="7" t="s">
        <v>4305</v>
      </c>
      <c r="D993" s="7" t="s">
        <v>4152</v>
      </c>
      <c r="E993" s="7" t="s">
        <v>98</v>
      </c>
      <c r="F993" s="7" t="s">
        <v>86</v>
      </c>
      <c r="G993" s="7" t="s">
        <v>99</v>
      </c>
      <c r="H993" s="7" t="n">
        <v>1</v>
      </c>
      <c r="I993" s="11" t="n">
        <v>285</v>
      </c>
      <c r="J993" s="11" t="n">
        <v>0</v>
      </c>
      <c r="K993" s="11" t="n">
        <f aca="false">H993*I993-J993</f>
        <v>285</v>
      </c>
      <c r="L993" s="7" t="s">
        <v>121</v>
      </c>
      <c r="M993" s="7" t="s">
        <v>194</v>
      </c>
      <c r="N993" s="7" t="n">
        <v>40</v>
      </c>
      <c r="O993" s="7"/>
    </row>
    <row r="994" customFormat="false" ht="15" hidden="false" customHeight="false" outlineLevel="0" collapsed="false">
      <c r="A994" s="7" t="s">
        <v>5288</v>
      </c>
      <c r="B994" s="10" t="n">
        <v>45786</v>
      </c>
      <c r="C994" s="7" t="s">
        <v>547</v>
      </c>
      <c r="D994" s="7" t="s">
        <v>4728</v>
      </c>
      <c r="E994" s="7" t="s">
        <v>116</v>
      </c>
      <c r="F994" s="7" t="s">
        <v>101</v>
      </c>
      <c r="G994" s="7" t="s">
        <v>117</v>
      </c>
      <c r="H994" s="7" t="n">
        <v>3</v>
      </c>
      <c r="I994" s="11" t="n">
        <v>140</v>
      </c>
      <c r="J994" s="11" t="n">
        <v>40</v>
      </c>
      <c r="K994" s="11" t="n">
        <f aca="false">H994*I994-J994</f>
        <v>380</v>
      </c>
      <c r="L994" s="7" t="s">
        <v>103</v>
      </c>
      <c r="M994" s="7" t="s">
        <v>194</v>
      </c>
      <c r="N994" s="7" t="n">
        <v>50</v>
      </c>
      <c r="O994" s="7" t="n">
        <v>4</v>
      </c>
    </row>
    <row r="995" customFormat="false" ht="15" hidden="false" customHeight="false" outlineLevel="0" collapsed="false">
      <c r="A995" s="7" t="s">
        <v>5579</v>
      </c>
      <c r="B995" s="10" t="n">
        <v>45786</v>
      </c>
      <c r="C995" s="7" t="s">
        <v>2410</v>
      </c>
      <c r="D995" s="7" t="s">
        <v>3761</v>
      </c>
      <c r="E995" s="7" t="s">
        <v>134</v>
      </c>
      <c r="F995" s="7" t="s">
        <v>110</v>
      </c>
      <c r="G995" s="7" t="s">
        <v>117</v>
      </c>
      <c r="H995" s="7" t="n">
        <v>1</v>
      </c>
      <c r="I995" s="11" t="n">
        <v>110</v>
      </c>
      <c r="J995" s="11" t="n">
        <v>0</v>
      </c>
      <c r="K995" s="11" t="n">
        <f aca="false">H995*I995-J995</f>
        <v>110</v>
      </c>
      <c r="L995" s="7" t="s">
        <v>103</v>
      </c>
      <c r="M995" s="7" t="s">
        <v>194</v>
      </c>
      <c r="N995" s="7" t="n">
        <v>54</v>
      </c>
      <c r="O995" s="7"/>
    </row>
    <row r="996" customFormat="false" ht="15" hidden="false" customHeight="false" outlineLevel="0" collapsed="false">
      <c r="A996" s="7" t="s">
        <v>4268</v>
      </c>
      <c r="B996" s="10" t="n">
        <v>45786</v>
      </c>
      <c r="C996" s="7" t="s">
        <v>4269</v>
      </c>
      <c r="D996" s="7" t="s">
        <v>2210</v>
      </c>
      <c r="E996" s="7" t="s">
        <v>144</v>
      </c>
      <c r="F996" s="7" t="s">
        <v>119</v>
      </c>
      <c r="G996" s="7" t="s">
        <v>99</v>
      </c>
      <c r="H996" s="7" t="n">
        <v>1</v>
      </c>
      <c r="I996" s="11" t="n">
        <v>305</v>
      </c>
      <c r="J996" s="11" t="n">
        <v>75</v>
      </c>
      <c r="K996" s="11" t="n">
        <f aca="false">H996*I996-J996</f>
        <v>230</v>
      </c>
      <c r="L996" s="7" t="s">
        <v>88</v>
      </c>
      <c r="M996" s="7" t="s">
        <v>194</v>
      </c>
      <c r="N996" s="7" t="n">
        <v>29</v>
      </c>
      <c r="O996" s="7" t="n">
        <v>5</v>
      </c>
    </row>
    <row r="997" customFormat="false" ht="15" hidden="false" customHeight="false" outlineLevel="0" collapsed="false">
      <c r="A997" s="7" t="s">
        <v>1950</v>
      </c>
      <c r="B997" s="10" t="n">
        <v>45786</v>
      </c>
      <c r="C997" s="7" t="s">
        <v>292</v>
      </c>
      <c r="D997" s="7" t="s">
        <v>1952</v>
      </c>
      <c r="E997" s="7" t="s">
        <v>98</v>
      </c>
      <c r="F997" s="7" t="s">
        <v>86</v>
      </c>
      <c r="G997" s="7" t="s">
        <v>99</v>
      </c>
      <c r="H997" s="7" t="n">
        <v>2</v>
      </c>
      <c r="I997" s="11" t="n">
        <v>275</v>
      </c>
      <c r="J997" s="11" t="n">
        <v>100</v>
      </c>
      <c r="K997" s="11" t="n">
        <f aca="false">H997*I997-J997</f>
        <v>450</v>
      </c>
      <c r="L997" s="7" t="s">
        <v>88</v>
      </c>
      <c r="M997" s="7" t="s">
        <v>194</v>
      </c>
      <c r="N997" s="7" t="n">
        <v>48</v>
      </c>
      <c r="O997" s="7" t="n">
        <v>5</v>
      </c>
    </row>
    <row r="998" customFormat="false" ht="15" hidden="false" customHeight="false" outlineLevel="0" collapsed="false">
      <c r="A998" s="7" t="s">
        <v>5193</v>
      </c>
      <c r="B998" s="10" t="n">
        <v>45786</v>
      </c>
      <c r="C998" s="7" t="s">
        <v>2076</v>
      </c>
      <c r="D998" s="7" t="s">
        <v>2256</v>
      </c>
      <c r="E998" s="7" t="s">
        <v>113</v>
      </c>
      <c r="F998" s="7" t="s">
        <v>101</v>
      </c>
      <c r="G998" s="7" t="s">
        <v>90</v>
      </c>
      <c r="H998" s="7" t="n">
        <v>3</v>
      </c>
      <c r="I998" s="11" t="n">
        <v>290</v>
      </c>
      <c r="J998" s="11" t="n">
        <v>0</v>
      </c>
      <c r="K998" s="11" t="n">
        <f aca="false">H998*I998-J998</f>
        <v>870</v>
      </c>
      <c r="L998" s="7" t="s">
        <v>93</v>
      </c>
      <c r="M998" s="7" t="s">
        <v>194</v>
      </c>
      <c r="N998" s="7" t="n">
        <v>51</v>
      </c>
      <c r="O998" s="7" t="n">
        <v>2</v>
      </c>
    </row>
    <row r="999" customFormat="false" ht="15" hidden="false" customHeight="false" outlineLevel="0" collapsed="false">
      <c r="A999" s="7" t="s">
        <v>3969</v>
      </c>
      <c r="B999" s="10" t="n">
        <v>45786</v>
      </c>
      <c r="C999" s="7" t="s">
        <v>3163</v>
      </c>
      <c r="D999" s="7" t="s">
        <v>3971</v>
      </c>
      <c r="E999" s="7" t="s">
        <v>165</v>
      </c>
      <c r="F999" s="7" t="s">
        <v>146</v>
      </c>
      <c r="G999" s="7" t="s">
        <v>90</v>
      </c>
      <c r="H999" s="7" t="n">
        <v>1</v>
      </c>
      <c r="I999" s="11" t="n">
        <v>210</v>
      </c>
      <c r="J999" s="11" t="n">
        <v>0</v>
      </c>
      <c r="K999" s="11" t="n">
        <f aca="false">H999*I999-J999</f>
        <v>210</v>
      </c>
      <c r="L999" s="7" t="s">
        <v>133</v>
      </c>
      <c r="M999" s="7" t="s">
        <v>194</v>
      </c>
      <c r="N999" s="7" t="n">
        <v>28</v>
      </c>
      <c r="O999" s="7" t="n">
        <v>4</v>
      </c>
    </row>
    <row r="1000" customFormat="false" ht="15" hidden="false" customHeight="false" outlineLevel="0" collapsed="false">
      <c r="A1000" s="7" t="s">
        <v>5797</v>
      </c>
      <c r="B1000" s="10" t="n">
        <v>45786</v>
      </c>
      <c r="C1000" s="7" t="s">
        <v>1340</v>
      </c>
      <c r="D1000" s="7" t="s">
        <v>5418</v>
      </c>
      <c r="E1000" s="7" t="s">
        <v>142</v>
      </c>
      <c r="F1000" s="7" t="s">
        <v>110</v>
      </c>
      <c r="G1000" s="7" t="s">
        <v>105</v>
      </c>
      <c r="H1000" s="7" t="n">
        <v>3</v>
      </c>
      <c r="I1000" s="11" t="n">
        <v>150</v>
      </c>
      <c r="J1000" s="11" t="n">
        <v>0</v>
      </c>
      <c r="K1000" s="11" t="n">
        <f aca="false">H1000*I1000-J1000</f>
        <v>450</v>
      </c>
      <c r="L1000" s="7" t="s">
        <v>88</v>
      </c>
      <c r="M1000" s="7" t="s">
        <v>194</v>
      </c>
      <c r="N1000" s="7" t="n">
        <v>28</v>
      </c>
      <c r="O1000" s="7" t="n">
        <v>5</v>
      </c>
    </row>
    <row r="1001" customFormat="false" ht="15" hidden="false" customHeight="false" outlineLevel="0" collapsed="false">
      <c r="A1001" s="7" t="s">
        <v>4853</v>
      </c>
      <c r="B1001" s="10" t="n">
        <v>45786</v>
      </c>
      <c r="C1001" s="7" t="s">
        <v>1886</v>
      </c>
      <c r="D1001" s="7" t="s">
        <v>4854</v>
      </c>
      <c r="E1001" s="7" t="s">
        <v>130</v>
      </c>
      <c r="F1001" s="7" t="s">
        <v>110</v>
      </c>
      <c r="G1001" s="7" t="s">
        <v>90</v>
      </c>
      <c r="H1001" s="7" t="n">
        <v>1</v>
      </c>
      <c r="I1001" s="11" t="n">
        <v>235</v>
      </c>
      <c r="J1001" s="11" t="n">
        <v>0</v>
      </c>
      <c r="K1001" s="11" t="n">
        <f aca="false">H1001*I1001-J1001</f>
        <v>235</v>
      </c>
      <c r="L1001" s="7" t="s">
        <v>93</v>
      </c>
      <c r="M1001" s="7" t="s">
        <v>194</v>
      </c>
      <c r="N1001" s="7" t="n">
        <v>45</v>
      </c>
      <c r="O1001" s="7" t="n">
        <v>5</v>
      </c>
    </row>
    <row r="1002" customFormat="false" ht="15" hidden="false" customHeight="false" outlineLevel="0" collapsed="false">
      <c r="A1002" s="7" t="s">
        <v>4058</v>
      </c>
      <c r="B1002" s="10" t="n">
        <v>45786</v>
      </c>
      <c r="C1002" s="7" t="s">
        <v>1523</v>
      </c>
      <c r="D1002" s="7" t="s">
        <v>922</v>
      </c>
      <c r="E1002" s="7" t="s">
        <v>161</v>
      </c>
      <c r="F1002" s="7" t="s">
        <v>141</v>
      </c>
      <c r="G1002" s="7" t="s">
        <v>117</v>
      </c>
      <c r="H1002" s="7" t="n">
        <v>4</v>
      </c>
      <c r="I1002" s="11" t="n">
        <v>145</v>
      </c>
      <c r="J1002" s="11" t="n">
        <v>0</v>
      </c>
      <c r="K1002" s="11" t="n">
        <f aca="false">H1002*I1002-J1002</f>
        <v>580</v>
      </c>
      <c r="L1002" s="7" t="s">
        <v>88</v>
      </c>
      <c r="M1002" s="7" t="s">
        <v>194</v>
      </c>
      <c r="N1002" s="7" t="n">
        <v>29</v>
      </c>
      <c r="O1002" s="7" t="n">
        <v>5</v>
      </c>
    </row>
    <row r="1003" customFormat="false" ht="15" hidden="false" customHeight="false" outlineLevel="0" collapsed="false">
      <c r="A1003" s="7" t="s">
        <v>1457</v>
      </c>
      <c r="B1003" s="10" t="n">
        <v>45787</v>
      </c>
      <c r="C1003" s="7" t="s">
        <v>263</v>
      </c>
      <c r="D1003" s="7" t="s">
        <v>1459</v>
      </c>
      <c r="E1003" s="7" t="s">
        <v>94</v>
      </c>
      <c r="F1003" s="7" t="s">
        <v>86</v>
      </c>
      <c r="G1003" s="7" t="s">
        <v>95</v>
      </c>
      <c r="H1003" s="7" t="n">
        <v>3</v>
      </c>
      <c r="I1003" s="11" t="n">
        <v>125</v>
      </c>
      <c r="J1003" s="11" t="n">
        <v>125</v>
      </c>
      <c r="K1003" s="11" t="n">
        <f aca="false">H1003*I1003-J1003</f>
        <v>250</v>
      </c>
      <c r="L1003" s="7" t="s">
        <v>112</v>
      </c>
      <c r="M1003" s="7" t="s">
        <v>194</v>
      </c>
      <c r="N1003" s="7" t="n">
        <v>34</v>
      </c>
      <c r="O1003" s="7" t="n">
        <v>4</v>
      </c>
    </row>
    <row r="1004" customFormat="false" ht="15" hidden="false" customHeight="false" outlineLevel="0" collapsed="false">
      <c r="A1004" s="7" t="s">
        <v>3168</v>
      </c>
      <c r="B1004" s="10" t="n">
        <v>45787</v>
      </c>
      <c r="C1004" s="7" t="s">
        <v>846</v>
      </c>
      <c r="D1004" s="7" t="s">
        <v>1366</v>
      </c>
      <c r="E1004" s="7" t="s">
        <v>113</v>
      </c>
      <c r="F1004" s="7" t="s">
        <v>101</v>
      </c>
      <c r="G1004" s="7" t="s">
        <v>90</v>
      </c>
      <c r="H1004" s="7" t="n">
        <v>1</v>
      </c>
      <c r="I1004" s="11" t="n">
        <v>260</v>
      </c>
      <c r="J1004" s="11" t="n">
        <v>0</v>
      </c>
      <c r="K1004" s="11" t="n">
        <f aca="false">H1004*I1004-J1004</f>
        <v>260</v>
      </c>
      <c r="L1004" s="7" t="s">
        <v>121</v>
      </c>
      <c r="M1004" s="7" t="s">
        <v>194</v>
      </c>
      <c r="N1004" s="7" t="n">
        <v>42</v>
      </c>
      <c r="O1004" s="7" t="n">
        <v>4</v>
      </c>
    </row>
    <row r="1005" customFormat="false" ht="15" hidden="false" customHeight="false" outlineLevel="0" collapsed="false">
      <c r="A1005" s="7" t="s">
        <v>5306</v>
      </c>
      <c r="B1005" s="10" t="n">
        <v>45787</v>
      </c>
      <c r="C1005" s="7" t="s">
        <v>470</v>
      </c>
      <c r="D1005" s="7" t="s">
        <v>5307</v>
      </c>
      <c r="E1005" s="7" t="s">
        <v>94</v>
      </c>
      <c r="F1005" s="7" t="s">
        <v>86</v>
      </c>
      <c r="G1005" s="7" t="s">
        <v>95</v>
      </c>
      <c r="H1005" s="7" t="n">
        <v>2</v>
      </c>
      <c r="I1005" s="11" t="n">
        <v>150</v>
      </c>
      <c r="J1005" s="11" t="n">
        <v>0</v>
      </c>
      <c r="K1005" s="11" t="n">
        <f aca="false">H1005*I1005-J1005</f>
        <v>300</v>
      </c>
      <c r="L1005" s="7" t="s">
        <v>112</v>
      </c>
      <c r="M1005" s="7" t="s">
        <v>194</v>
      </c>
      <c r="N1005" s="7" t="n">
        <v>32</v>
      </c>
      <c r="O1005" s="7" t="n">
        <v>5</v>
      </c>
    </row>
    <row r="1006" customFormat="false" ht="15" hidden="false" customHeight="false" outlineLevel="0" collapsed="false">
      <c r="A1006" s="7" t="s">
        <v>3778</v>
      </c>
      <c r="B1006" s="10" t="n">
        <v>45787</v>
      </c>
      <c r="C1006" s="7" t="s">
        <v>3415</v>
      </c>
      <c r="D1006" s="7" t="s">
        <v>3779</v>
      </c>
      <c r="E1006" s="7" t="s">
        <v>138</v>
      </c>
      <c r="F1006" s="7" t="s">
        <v>110</v>
      </c>
      <c r="G1006" s="7" t="s">
        <v>139</v>
      </c>
      <c r="H1006" s="7" t="n">
        <v>4</v>
      </c>
      <c r="I1006" s="11" t="n">
        <v>175</v>
      </c>
      <c r="J1006" s="11" t="n">
        <v>0</v>
      </c>
      <c r="K1006" s="11" t="n">
        <f aca="false">H1006*I1006-J1006</f>
        <v>700</v>
      </c>
      <c r="L1006" s="7" t="s">
        <v>93</v>
      </c>
      <c r="M1006" s="7" t="s">
        <v>194</v>
      </c>
      <c r="N1006" s="7" t="n">
        <v>41</v>
      </c>
      <c r="O1006" s="7" t="n">
        <v>2</v>
      </c>
    </row>
    <row r="1007" customFormat="false" ht="15" hidden="false" customHeight="false" outlineLevel="0" collapsed="false">
      <c r="A1007" s="7" t="s">
        <v>5433</v>
      </c>
      <c r="B1007" s="10" t="n">
        <v>45787</v>
      </c>
      <c r="C1007" s="7" t="s">
        <v>3690</v>
      </c>
      <c r="D1007" s="7" t="s">
        <v>4022</v>
      </c>
      <c r="E1007" s="7" t="s">
        <v>130</v>
      </c>
      <c r="F1007" s="7" t="s">
        <v>110</v>
      </c>
      <c r="G1007" s="7" t="s">
        <v>90</v>
      </c>
      <c r="H1007" s="7" t="n">
        <v>3</v>
      </c>
      <c r="I1007" s="11" t="n">
        <v>300</v>
      </c>
      <c r="J1007" s="11" t="n">
        <v>125</v>
      </c>
      <c r="K1007" s="11" t="n">
        <f aca="false">H1007*I1007-J1007</f>
        <v>775</v>
      </c>
      <c r="L1007" s="7" t="s">
        <v>93</v>
      </c>
      <c r="M1007" s="7" t="s">
        <v>194</v>
      </c>
      <c r="N1007" s="7" t="n">
        <v>48</v>
      </c>
      <c r="O1007" s="7" t="n">
        <v>4</v>
      </c>
    </row>
    <row r="1008" customFormat="false" ht="15" hidden="false" customHeight="false" outlineLevel="0" collapsed="false">
      <c r="A1008" s="7" t="s">
        <v>4906</v>
      </c>
      <c r="B1008" s="10" t="n">
        <v>45787</v>
      </c>
      <c r="C1008" s="7" t="s">
        <v>4907</v>
      </c>
      <c r="D1008" s="7" t="s">
        <v>658</v>
      </c>
      <c r="E1008" s="7" t="s">
        <v>154</v>
      </c>
      <c r="F1008" s="7" t="s">
        <v>128</v>
      </c>
      <c r="G1008" s="7" t="s">
        <v>99</v>
      </c>
      <c r="H1008" s="7" t="n">
        <v>1</v>
      </c>
      <c r="I1008" s="11" t="n">
        <v>220</v>
      </c>
      <c r="J1008" s="11" t="n">
        <v>0</v>
      </c>
      <c r="K1008" s="11" t="n">
        <f aca="false">H1008*I1008-J1008</f>
        <v>220</v>
      </c>
      <c r="L1008" s="7" t="s">
        <v>88</v>
      </c>
      <c r="M1008" s="7" t="s">
        <v>194</v>
      </c>
      <c r="N1008" s="7" t="n">
        <v>48</v>
      </c>
      <c r="O1008" s="7" t="n">
        <v>4</v>
      </c>
    </row>
    <row r="1009" customFormat="false" ht="15" hidden="false" customHeight="false" outlineLevel="0" collapsed="false">
      <c r="A1009" s="7" t="s">
        <v>3766</v>
      </c>
      <c r="B1009" s="10" t="n">
        <v>45787</v>
      </c>
      <c r="C1009" s="7" t="s">
        <v>3767</v>
      </c>
      <c r="D1009" s="7" t="s">
        <v>1513</v>
      </c>
      <c r="E1009" s="7" t="s">
        <v>144</v>
      </c>
      <c r="F1009" s="7" t="s">
        <v>119</v>
      </c>
      <c r="G1009" s="7" t="s">
        <v>99</v>
      </c>
      <c r="H1009" s="7" t="n">
        <v>2</v>
      </c>
      <c r="I1009" s="11" t="n">
        <v>340</v>
      </c>
      <c r="J1009" s="11" t="n">
        <v>125</v>
      </c>
      <c r="K1009" s="11" t="n">
        <f aca="false">H1009*I1009-J1009</f>
        <v>555</v>
      </c>
      <c r="L1009" s="7" t="s">
        <v>93</v>
      </c>
      <c r="M1009" s="7" t="s">
        <v>194</v>
      </c>
      <c r="N1009" s="7" t="n">
        <v>39</v>
      </c>
      <c r="O1009" s="7" t="n">
        <v>5</v>
      </c>
    </row>
    <row r="1010" customFormat="false" ht="15" hidden="false" customHeight="false" outlineLevel="0" collapsed="false">
      <c r="A1010" s="7" t="s">
        <v>2058</v>
      </c>
      <c r="B1010" s="10" t="n">
        <v>45787</v>
      </c>
      <c r="C1010" s="7" t="s">
        <v>474</v>
      </c>
      <c r="D1010" s="7" t="s">
        <v>2059</v>
      </c>
      <c r="E1010" s="7" t="s">
        <v>159</v>
      </c>
      <c r="F1010" s="7" t="s">
        <v>136</v>
      </c>
      <c r="G1010" s="7" t="s">
        <v>90</v>
      </c>
      <c r="H1010" s="7" t="n">
        <v>3</v>
      </c>
      <c r="I1010" s="11" t="n">
        <v>220</v>
      </c>
      <c r="J1010" s="11" t="n">
        <v>75</v>
      </c>
      <c r="K1010" s="11" t="n">
        <f aca="false">H1010*I1010-J1010</f>
        <v>585</v>
      </c>
      <c r="L1010" s="7" t="s">
        <v>88</v>
      </c>
      <c r="M1010" s="7" t="s">
        <v>194</v>
      </c>
      <c r="N1010" s="7" t="n">
        <v>33</v>
      </c>
      <c r="O1010" s="7" t="n">
        <v>4</v>
      </c>
    </row>
    <row r="1011" customFormat="false" ht="15" hidden="false" customHeight="false" outlineLevel="0" collapsed="false">
      <c r="A1011" s="7" t="s">
        <v>4753</v>
      </c>
      <c r="B1011" s="10" t="n">
        <v>45787</v>
      </c>
      <c r="C1011" s="7" t="s">
        <v>3038</v>
      </c>
      <c r="D1011" s="7" t="s">
        <v>1343</v>
      </c>
      <c r="E1011" s="7" t="s">
        <v>122</v>
      </c>
      <c r="F1011" s="7" t="s">
        <v>101</v>
      </c>
      <c r="G1011" s="7" t="s">
        <v>123</v>
      </c>
      <c r="H1011" s="7" t="n">
        <v>1</v>
      </c>
      <c r="I1011" s="11" t="n">
        <v>400</v>
      </c>
      <c r="J1011" s="11" t="n">
        <v>0</v>
      </c>
      <c r="K1011" s="11" t="n">
        <f aca="false">H1011*I1011-J1011</f>
        <v>400</v>
      </c>
      <c r="L1011" s="7" t="s">
        <v>112</v>
      </c>
      <c r="M1011" s="7" t="s">
        <v>194</v>
      </c>
      <c r="N1011" s="7" t="n">
        <v>44</v>
      </c>
      <c r="O1011" s="7" t="n">
        <v>5</v>
      </c>
    </row>
    <row r="1012" customFormat="false" ht="15" hidden="false" customHeight="false" outlineLevel="0" collapsed="false">
      <c r="A1012" s="7" t="s">
        <v>5215</v>
      </c>
      <c r="B1012" s="10" t="n">
        <v>45787</v>
      </c>
      <c r="C1012" s="7" t="s">
        <v>655</v>
      </c>
      <c r="D1012" s="7" t="s">
        <v>5216</v>
      </c>
      <c r="E1012" s="7" t="s">
        <v>113</v>
      </c>
      <c r="F1012" s="7" t="s">
        <v>101</v>
      </c>
      <c r="G1012" s="7" t="s">
        <v>90</v>
      </c>
      <c r="H1012" s="7" t="n">
        <v>5</v>
      </c>
      <c r="I1012" s="11" t="n">
        <v>270</v>
      </c>
      <c r="J1012" s="11" t="n">
        <v>150</v>
      </c>
      <c r="K1012" s="11" t="n">
        <f aca="false">H1012*I1012-J1012</f>
        <v>1200</v>
      </c>
      <c r="L1012" s="7" t="s">
        <v>103</v>
      </c>
      <c r="M1012" s="7" t="s">
        <v>194</v>
      </c>
      <c r="N1012" s="7" t="n">
        <v>28</v>
      </c>
      <c r="O1012" s="7" t="n">
        <v>2</v>
      </c>
    </row>
    <row r="1013" customFormat="false" ht="15" hidden="false" customHeight="false" outlineLevel="0" collapsed="false">
      <c r="A1013" s="7" t="s">
        <v>2871</v>
      </c>
      <c r="B1013" s="10" t="n">
        <v>45787</v>
      </c>
      <c r="C1013" s="7" t="s">
        <v>1501</v>
      </c>
      <c r="D1013" s="7" t="s">
        <v>673</v>
      </c>
      <c r="E1013" s="7" t="s">
        <v>98</v>
      </c>
      <c r="F1013" s="7" t="s">
        <v>86</v>
      </c>
      <c r="G1013" s="7" t="s">
        <v>99</v>
      </c>
      <c r="H1013" s="7" t="n">
        <v>4</v>
      </c>
      <c r="I1013" s="11" t="n">
        <v>235</v>
      </c>
      <c r="J1013" s="11" t="n">
        <v>0</v>
      </c>
      <c r="K1013" s="11" t="n">
        <f aca="false">H1013*I1013-J1013</f>
        <v>940</v>
      </c>
      <c r="L1013" s="7" t="s">
        <v>88</v>
      </c>
      <c r="M1013" s="7" t="s">
        <v>194</v>
      </c>
      <c r="N1013" s="7" t="n">
        <v>40</v>
      </c>
      <c r="O1013" s="7"/>
    </row>
    <row r="1014" customFormat="false" ht="15" hidden="false" customHeight="false" outlineLevel="0" collapsed="false">
      <c r="A1014" s="7" t="s">
        <v>3224</v>
      </c>
      <c r="B1014" s="10" t="n">
        <v>45788</v>
      </c>
      <c r="C1014" s="7" t="s">
        <v>2762</v>
      </c>
      <c r="D1014" s="7" t="s">
        <v>387</v>
      </c>
      <c r="E1014" s="7" t="s">
        <v>151</v>
      </c>
      <c r="F1014" s="7" t="s">
        <v>128</v>
      </c>
      <c r="G1014" s="7" t="s">
        <v>95</v>
      </c>
      <c r="H1014" s="7" t="n">
        <v>5</v>
      </c>
      <c r="I1014" s="11" t="n">
        <v>175</v>
      </c>
      <c r="J1014" s="11" t="n">
        <v>0</v>
      </c>
      <c r="K1014" s="11" t="n">
        <f aca="false">H1014*I1014-J1014</f>
        <v>875</v>
      </c>
      <c r="L1014" s="7" t="s">
        <v>121</v>
      </c>
      <c r="M1014" s="7" t="s">
        <v>194</v>
      </c>
      <c r="N1014" s="7" t="n">
        <v>25</v>
      </c>
      <c r="O1014" s="7" t="n">
        <v>4</v>
      </c>
    </row>
    <row r="1015" customFormat="false" ht="15" hidden="false" customHeight="false" outlineLevel="0" collapsed="false">
      <c r="A1015" s="7" t="s">
        <v>3516</v>
      </c>
      <c r="B1015" s="10" t="n">
        <v>45788</v>
      </c>
      <c r="C1015" s="7" t="s">
        <v>2663</v>
      </c>
      <c r="D1015" s="7" t="s">
        <v>3517</v>
      </c>
      <c r="E1015" s="7" t="s">
        <v>159</v>
      </c>
      <c r="F1015" s="7" t="s">
        <v>136</v>
      </c>
      <c r="G1015" s="7" t="s">
        <v>90</v>
      </c>
      <c r="H1015" s="7" t="n">
        <v>5</v>
      </c>
      <c r="I1015" s="11" t="n">
        <v>210</v>
      </c>
      <c r="J1015" s="11" t="n">
        <v>0</v>
      </c>
      <c r="K1015" s="11" t="n">
        <f aca="false">H1015*I1015-J1015</f>
        <v>1050</v>
      </c>
      <c r="L1015" s="7" t="s">
        <v>121</v>
      </c>
      <c r="M1015" s="7" t="s">
        <v>194</v>
      </c>
      <c r="N1015" s="7" t="n">
        <v>29</v>
      </c>
      <c r="O1015" s="7" t="n">
        <v>4</v>
      </c>
    </row>
    <row r="1016" customFormat="false" ht="15" hidden="false" customHeight="false" outlineLevel="0" collapsed="false">
      <c r="A1016" s="7" t="s">
        <v>5623</v>
      </c>
      <c r="B1016" s="10" t="n">
        <v>45788</v>
      </c>
      <c r="C1016" s="7" t="s">
        <v>218</v>
      </c>
      <c r="D1016" s="7" t="s">
        <v>5624</v>
      </c>
      <c r="E1016" s="7" t="s">
        <v>94</v>
      </c>
      <c r="F1016" s="7" t="s">
        <v>86</v>
      </c>
      <c r="G1016" s="7" t="s">
        <v>95</v>
      </c>
      <c r="H1016" s="7" t="n">
        <v>1</v>
      </c>
      <c r="I1016" s="11" t="n">
        <v>85</v>
      </c>
      <c r="J1016" s="11" t="n">
        <v>0</v>
      </c>
      <c r="K1016" s="11" t="n">
        <f aca="false">H1016*I1016-J1016</f>
        <v>85</v>
      </c>
      <c r="L1016" s="7" t="s">
        <v>133</v>
      </c>
      <c r="M1016" s="7" t="s">
        <v>194</v>
      </c>
      <c r="N1016" s="7" t="n">
        <v>42</v>
      </c>
      <c r="O1016" s="7" t="n">
        <v>3</v>
      </c>
    </row>
    <row r="1017" customFormat="false" ht="15" hidden="false" customHeight="false" outlineLevel="0" collapsed="false">
      <c r="A1017" s="7" t="s">
        <v>2547</v>
      </c>
      <c r="B1017" s="10" t="n">
        <v>45788</v>
      </c>
      <c r="C1017" s="7" t="s">
        <v>218</v>
      </c>
      <c r="D1017" s="7" t="s">
        <v>2549</v>
      </c>
      <c r="E1017" s="7" t="s">
        <v>168</v>
      </c>
      <c r="F1017" s="7" t="s">
        <v>146</v>
      </c>
      <c r="G1017" s="7" t="s">
        <v>123</v>
      </c>
      <c r="H1017" s="7" t="n">
        <v>4</v>
      </c>
      <c r="I1017" s="11" t="n">
        <v>245</v>
      </c>
      <c r="J1017" s="11" t="n">
        <v>0</v>
      </c>
      <c r="K1017" s="11" t="n">
        <f aca="false">H1017*I1017-J1017</f>
        <v>980</v>
      </c>
      <c r="L1017" s="7" t="s">
        <v>112</v>
      </c>
      <c r="M1017" s="7" t="s">
        <v>194</v>
      </c>
      <c r="N1017" s="7" t="n">
        <v>47</v>
      </c>
      <c r="O1017" s="7" t="n">
        <v>3</v>
      </c>
    </row>
    <row r="1018" customFormat="false" ht="15" hidden="false" customHeight="false" outlineLevel="0" collapsed="false">
      <c r="A1018" s="7" t="s">
        <v>4031</v>
      </c>
      <c r="B1018" s="10" t="n">
        <v>45788</v>
      </c>
      <c r="C1018" s="7" t="s">
        <v>2714</v>
      </c>
      <c r="D1018" s="7" t="s">
        <v>2220</v>
      </c>
      <c r="E1018" s="7" t="s">
        <v>154</v>
      </c>
      <c r="F1018" s="7" t="s">
        <v>128</v>
      </c>
      <c r="G1018" s="7" t="s">
        <v>99</v>
      </c>
      <c r="H1018" s="7" t="n">
        <v>2</v>
      </c>
      <c r="I1018" s="11" t="n">
        <v>240</v>
      </c>
      <c r="J1018" s="11" t="n">
        <v>0</v>
      </c>
      <c r="K1018" s="11" t="n">
        <f aca="false">H1018*I1018-J1018</f>
        <v>480</v>
      </c>
      <c r="L1018" s="7" t="s">
        <v>88</v>
      </c>
      <c r="M1018" s="7" t="s">
        <v>194</v>
      </c>
      <c r="N1018" s="7" t="n">
        <v>33</v>
      </c>
      <c r="O1018" s="7" t="n">
        <v>3</v>
      </c>
    </row>
    <row r="1019" customFormat="false" ht="15" hidden="false" customHeight="false" outlineLevel="0" collapsed="false">
      <c r="A1019" s="7" t="s">
        <v>2825</v>
      </c>
      <c r="B1019" s="10" t="n">
        <v>45788</v>
      </c>
      <c r="C1019" s="7" t="s">
        <v>474</v>
      </c>
      <c r="D1019" s="7" t="s">
        <v>2826</v>
      </c>
      <c r="E1019" s="7" t="s">
        <v>138</v>
      </c>
      <c r="F1019" s="7" t="s">
        <v>110</v>
      </c>
      <c r="G1019" s="7" t="s">
        <v>139</v>
      </c>
      <c r="H1019" s="7" t="n">
        <v>1</v>
      </c>
      <c r="I1019" s="11" t="n">
        <v>200</v>
      </c>
      <c r="J1019" s="11" t="n">
        <v>0</v>
      </c>
      <c r="K1019" s="11" t="n">
        <f aca="false">H1019*I1019-J1019</f>
        <v>200</v>
      </c>
      <c r="L1019" s="7" t="s">
        <v>88</v>
      </c>
      <c r="M1019" s="7" t="s">
        <v>238</v>
      </c>
      <c r="N1019" s="7"/>
      <c r="O1019" s="7"/>
    </row>
    <row r="1020" customFormat="false" ht="15" hidden="false" customHeight="false" outlineLevel="0" collapsed="false">
      <c r="A1020" s="7" t="s">
        <v>2935</v>
      </c>
      <c r="B1020" s="10" t="n">
        <v>45788</v>
      </c>
      <c r="C1020" s="7" t="s">
        <v>821</v>
      </c>
      <c r="D1020" s="7" t="s">
        <v>953</v>
      </c>
      <c r="E1020" s="7" t="s">
        <v>138</v>
      </c>
      <c r="F1020" s="7" t="s">
        <v>110</v>
      </c>
      <c r="G1020" s="7" t="s">
        <v>139</v>
      </c>
      <c r="H1020" s="7" t="n">
        <v>3</v>
      </c>
      <c r="I1020" s="11" t="n">
        <v>215</v>
      </c>
      <c r="J1020" s="11" t="n">
        <v>0</v>
      </c>
      <c r="K1020" s="11" t="n">
        <f aca="false">H1020*I1020-J1020</f>
        <v>645</v>
      </c>
      <c r="L1020" s="7" t="s">
        <v>103</v>
      </c>
      <c r="M1020" s="7" t="s">
        <v>194</v>
      </c>
      <c r="N1020" s="7" t="n">
        <v>33</v>
      </c>
      <c r="O1020" s="7" t="n">
        <v>5</v>
      </c>
    </row>
    <row r="1021" customFormat="false" ht="15" hidden="false" customHeight="false" outlineLevel="0" collapsed="false">
      <c r="A1021" s="7" t="s">
        <v>1040</v>
      </c>
      <c r="B1021" s="10" t="n">
        <v>45788</v>
      </c>
      <c r="C1021" s="7" t="s">
        <v>391</v>
      </c>
      <c r="D1021" s="7" t="s">
        <v>1042</v>
      </c>
      <c r="E1021" s="7" t="s">
        <v>144</v>
      </c>
      <c r="F1021" s="7" t="s">
        <v>119</v>
      </c>
      <c r="G1021" s="7" t="s">
        <v>99</v>
      </c>
      <c r="H1021" s="7" t="n">
        <v>2</v>
      </c>
      <c r="I1021" s="11" t="n">
        <v>275</v>
      </c>
      <c r="J1021" s="11" t="n">
        <v>0</v>
      </c>
      <c r="K1021" s="11" t="n">
        <f aca="false">H1021*I1021-J1021</f>
        <v>550</v>
      </c>
      <c r="L1021" s="7" t="s">
        <v>88</v>
      </c>
      <c r="M1021" s="7" t="s">
        <v>194</v>
      </c>
      <c r="N1021" s="7" t="n">
        <v>31</v>
      </c>
      <c r="O1021" s="7" t="n">
        <v>5</v>
      </c>
    </row>
    <row r="1022" customFormat="false" ht="15" hidden="false" customHeight="false" outlineLevel="0" collapsed="false">
      <c r="A1022" s="7" t="s">
        <v>3893</v>
      </c>
      <c r="B1022" s="10" t="n">
        <v>45788</v>
      </c>
      <c r="C1022" s="7" t="s">
        <v>3895</v>
      </c>
      <c r="D1022" s="7" t="s">
        <v>1031</v>
      </c>
      <c r="E1022" s="7" t="s">
        <v>161</v>
      </c>
      <c r="F1022" s="7" t="s">
        <v>141</v>
      </c>
      <c r="G1022" s="7" t="s">
        <v>117</v>
      </c>
      <c r="H1022" s="7" t="n">
        <v>3</v>
      </c>
      <c r="I1022" s="11" t="n">
        <v>145</v>
      </c>
      <c r="J1022" s="11" t="n">
        <v>0</v>
      </c>
      <c r="K1022" s="11" t="n">
        <f aca="false">H1022*I1022-J1022</f>
        <v>435</v>
      </c>
      <c r="L1022" s="7" t="s">
        <v>121</v>
      </c>
      <c r="M1022" s="7" t="s">
        <v>194</v>
      </c>
      <c r="N1022" s="7" t="n">
        <v>38</v>
      </c>
      <c r="O1022" s="7" t="n">
        <v>5</v>
      </c>
    </row>
    <row r="1023" customFormat="false" ht="15" hidden="false" customHeight="false" outlineLevel="0" collapsed="false">
      <c r="A1023" s="7" t="s">
        <v>3269</v>
      </c>
      <c r="B1023" s="10" t="n">
        <v>45789</v>
      </c>
      <c r="C1023" s="7" t="s">
        <v>3270</v>
      </c>
      <c r="D1023" s="7" t="s">
        <v>3271</v>
      </c>
      <c r="E1023" s="7" t="s">
        <v>113</v>
      </c>
      <c r="F1023" s="7" t="s">
        <v>101</v>
      </c>
      <c r="G1023" s="7" t="s">
        <v>90</v>
      </c>
      <c r="H1023" s="7" t="n">
        <v>1</v>
      </c>
      <c r="I1023" s="11" t="n">
        <v>240</v>
      </c>
      <c r="J1023" s="11" t="n">
        <v>96</v>
      </c>
      <c r="K1023" s="11" t="n">
        <f aca="false">H1023*I1023-J1023</f>
        <v>144</v>
      </c>
      <c r="L1023" s="7" t="s">
        <v>112</v>
      </c>
      <c r="M1023" s="7" t="s">
        <v>194</v>
      </c>
      <c r="N1023" s="7" t="n">
        <v>40</v>
      </c>
      <c r="O1023" s="7" t="n">
        <v>4</v>
      </c>
    </row>
    <row r="1024" customFormat="false" ht="15" hidden="false" customHeight="false" outlineLevel="0" collapsed="false">
      <c r="A1024" s="7" t="s">
        <v>6089</v>
      </c>
      <c r="B1024" s="10" t="n">
        <v>45789</v>
      </c>
      <c r="C1024" s="7" t="s">
        <v>755</v>
      </c>
      <c r="D1024" s="7" t="s">
        <v>3030</v>
      </c>
      <c r="E1024" s="7" t="s">
        <v>89</v>
      </c>
      <c r="F1024" s="7" t="s">
        <v>86</v>
      </c>
      <c r="G1024" s="7" t="s">
        <v>90</v>
      </c>
      <c r="H1024" s="7" t="n">
        <v>2</v>
      </c>
      <c r="I1024" s="11" t="n">
        <v>230</v>
      </c>
      <c r="J1024" s="11" t="n">
        <v>150</v>
      </c>
      <c r="K1024" s="11" t="n">
        <f aca="false">H1024*I1024-J1024</f>
        <v>310</v>
      </c>
      <c r="L1024" s="7" t="s">
        <v>112</v>
      </c>
      <c r="M1024" s="7" t="s">
        <v>194</v>
      </c>
      <c r="N1024" s="7" t="n">
        <v>45</v>
      </c>
      <c r="O1024" s="7" t="n">
        <v>3</v>
      </c>
    </row>
    <row r="1025" customFormat="false" ht="15" hidden="false" customHeight="false" outlineLevel="0" collapsed="false">
      <c r="A1025" s="7" t="s">
        <v>3258</v>
      </c>
      <c r="B1025" s="10" t="n">
        <v>45789</v>
      </c>
      <c r="C1025" s="7" t="s">
        <v>3259</v>
      </c>
      <c r="D1025" s="7" t="s">
        <v>1305</v>
      </c>
      <c r="E1025" s="7" t="s">
        <v>94</v>
      </c>
      <c r="F1025" s="7" t="s">
        <v>86</v>
      </c>
      <c r="G1025" s="7" t="s">
        <v>95</v>
      </c>
      <c r="H1025" s="7" t="n">
        <v>1</v>
      </c>
      <c r="I1025" s="11" t="n">
        <v>135</v>
      </c>
      <c r="J1025" s="11" t="n">
        <v>50</v>
      </c>
      <c r="K1025" s="11" t="n">
        <f aca="false">H1025*I1025-J1025</f>
        <v>85</v>
      </c>
      <c r="L1025" s="7" t="s">
        <v>88</v>
      </c>
      <c r="M1025" s="7" t="s">
        <v>194</v>
      </c>
      <c r="N1025" s="7" t="n">
        <v>37</v>
      </c>
      <c r="O1025" s="7" t="n">
        <v>5</v>
      </c>
    </row>
    <row r="1026" customFormat="false" ht="15" hidden="false" customHeight="false" outlineLevel="0" collapsed="false">
      <c r="A1026" s="7" t="s">
        <v>5144</v>
      </c>
      <c r="B1026" s="10" t="n">
        <v>45789</v>
      </c>
      <c r="C1026" s="7" t="s">
        <v>2923</v>
      </c>
      <c r="D1026" s="7" t="s">
        <v>3692</v>
      </c>
      <c r="E1026" s="7" t="s">
        <v>144</v>
      </c>
      <c r="F1026" s="7" t="s">
        <v>119</v>
      </c>
      <c r="G1026" s="7" t="s">
        <v>99</v>
      </c>
      <c r="H1026" s="7" t="n">
        <v>3</v>
      </c>
      <c r="I1026" s="11" t="n">
        <v>340</v>
      </c>
      <c r="J1026" s="11" t="n">
        <v>150</v>
      </c>
      <c r="K1026" s="11" t="n">
        <f aca="false">H1026*I1026-J1026</f>
        <v>870</v>
      </c>
      <c r="L1026" s="7" t="s">
        <v>88</v>
      </c>
      <c r="M1026" s="7" t="s">
        <v>194</v>
      </c>
      <c r="N1026" s="7" t="n">
        <v>45</v>
      </c>
      <c r="O1026" s="7" t="n">
        <v>3</v>
      </c>
    </row>
    <row r="1027" customFormat="false" ht="15" hidden="false" customHeight="false" outlineLevel="0" collapsed="false">
      <c r="A1027" s="7" t="s">
        <v>4912</v>
      </c>
      <c r="B1027" s="10" t="n">
        <v>45789</v>
      </c>
      <c r="C1027" s="7" t="s">
        <v>4297</v>
      </c>
      <c r="D1027" s="7" t="s">
        <v>3237</v>
      </c>
      <c r="E1027" s="7" t="s">
        <v>94</v>
      </c>
      <c r="F1027" s="7" t="s">
        <v>86</v>
      </c>
      <c r="G1027" s="7" t="s">
        <v>95</v>
      </c>
      <c r="H1027" s="7" t="n">
        <v>1</v>
      </c>
      <c r="I1027" s="11" t="n">
        <v>95</v>
      </c>
      <c r="J1027" s="11" t="n">
        <v>20</v>
      </c>
      <c r="K1027" s="11" t="n">
        <f aca="false">H1027*I1027-J1027</f>
        <v>75</v>
      </c>
      <c r="L1027" s="7" t="s">
        <v>133</v>
      </c>
      <c r="M1027" s="7" t="s">
        <v>194</v>
      </c>
      <c r="N1027" s="7" t="n">
        <v>44</v>
      </c>
      <c r="O1027" s="7" t="n">
        <v>5</v>
      </c>
    </row>
    <row r="1028" customFormat="false" ht="15" hidden="false" customHeight="false" outlineLevel="0" collapsed="false">
      <c r="A1028" s="7" t="s">
        <v>3698</v>
      </c>
      <c r="B1028" s="10" t="n">
        <v>45789</v>
      </c>
      <c r="C1028" s="7" t="s">
        <v>1137</v>
      </c>
      <c r="D1028" s="7" t="s">
        <v>3250</v>
      </c>
      <c r="E1028" s="7" t="s">
        <v>130</v>
      </c>
      <c r="F1028" s="7" t="s">
        <v>110</v>
      </c>
      <c r="G1028" s="7" t="s">
        <v>90</v>
      </c>
      <c r="H1028" s="7" t="n">
        <v>2</v>
      </c>
      <c r="I1028" s="11" t="n">
        <v>275</v>
      </c>
      <c r="J1028" s="11" t="n">
        <v>0</v>
      </c>
      <c r="K1028" s="11" t="n">
        <f aca="false">H1028*I1028-J1028</f>
        <v>550</v>
      </c>
      <c r="L1028" s="7" t="s">
        <v>93</v>
      </c>
      <c r="M1028" s="7" t="s">
        <v>194</v>
      </c>
      <c r="N1028" s="7" t="n">
        <v>38</v>
      </c>
      <c r="O1028" s="7" t="n">
        <v>5</v>
      </c>
    </row>
    <row r="1029" customFormat="false" ht="15" hidden="false" customHeight="false" outlineLevel="0" collapsed="false">
      <c r="A1029" s="7" t="s">
        <v>3232</v>
      </c>
      <c r="B1029" s="10" t="n">
        <v>45789</v>
      </c>
      <c r="C1029" s="7" t="s">
        <v>3234</v>
      </c>
      <c r="D1029" s="7" t="s">
        <v>2429</v>
      </c>
      <c r="E1029" s="7" t="s">
        <v>89</v>
      </c>
      <c r="F1029" s="7" t="s">
        <v>86</v>
      </c>
      <c r="G1029" s="7" t="s">
        <v>90</v>
      </c>
      <c r="H1029" s="7" t="n">
        <v>1</v>
      </c>
      <c r="I1029" s="11" t="n">
        <v>280</v>
      </c>
      <c r="J1029" s="11" t="n">
        <v>30</v>
      </c>
      <c r="K1029" s="11" t="n">
        <f aca="false">H1029*I1029-J1029</f>
        <v>250</v>
      </c>
      <c r="L1029" s="7" t="s">
        <v>93</v>
      </c>
      <c r="M1029" s="7" t="s">
        <v>194</v>
      </c>
      <c r="N1029" s="7" t="n">
        <v>34</v>
      </c>
      <c r="O1029" s="7"/>
    </row>
    <row r="1030" customFormat="false" ht="15" hidden="false" customHeight="false" outlineLevel="0" collapsed="false">
      <c r="A1030" s="7" t="s">
        <v>5042</v>
      </c>
      <c r="B1030" s="10" t="n">
        <v>45789</v>
      </c>
      <c r="C1030" s="7" t="s">
        <v>1817</v>
      </c>
      <c r="D1030" s="7" t="s">
        <v>2746</v>
      </c>
      <c r="E1030" s="7" t="s">
        <v>154</v>
      </c>
      <c r="F1030" s="7" t="s">
        <v>128</v>
      </c>
      <c r="G1030" s="7" t="s">
        <v>99</v>
      </c>
      <c r="H1030" s="7" t="n">
        <v>3</v>
      </c>
      <c r="I1030" s="11" t="n">
        <v>255</v>
      </c>
      <c r="J1030" s="11" t="n">
        <v>100</v>
      </c>
      <c r="K1030" s="11" t="n">
        <f aca="false">H1030*I1030-J1030</f>
        <v>665</v>
      </c>
      <c r="L1030" s="7" t="s">
        <v>112</v>
      </c>
      <c r="M1030" s="7" t="s">
        <v>194</v>
      </c>
      <c r="N1030" s="7" t="n">
        <v>26</v>
      </c>
      <c r="O1030" s="7" t="n">
        <v>3</v>
      </c>
    </row>
    <row r="1031" customFormat="false" ht="15" hidden="false" customHeight="false" outlineLevel="0" collapsed="false">
      <c r="A1031" s="7" t="s">
        <v>4359</v>
      </c>
      <c r="B1031" s="10" t="n">
        <v>45790</v>
      </c>
      <c r="C1031" s="7" t="s">
        <v>4360</v>
      </c>
      <c r="D1031" s="7" t="s">
        <v>4361</v>
      </c>
      <c r="E1031" s="7" t="s">
        <v>94</v>
      </c>
      <c r="F1031" s="7" t="s">
        <v>86</v>
      </c>
      <c r="G1031" s="7" t="s">
        <v>95</v>
      </c>
      <c r="H1031" s="7" t="n">
        <v>2</v>
      </c>
      <c r="I1031" s="11" t="n">
        <v>150</v>
      </c>
      <c r="J1031" s="11" t="n">
        <v>20</v>
      </c>
      <c r="K1031" s="11" t="n">
        <f aca="false">H1031*I1031-J1031</f>
        <v>280</v>
      </c>
      <c r="L1031" s="7" t="s">
        <v>88</v>
      </c>
      <c r="M1031" s="7" t="s">
        <v>194</v>
      </c>
      <c r="N1031" s="7" t="n">
        <v>30</v>
      </c>
      <c r="O1031" s="7" t="n">
        <v>4</v>
      </c>
    </row>
    <row r="1032" customFormat="false" ht="15" hidden="false" customHeight="false" outlineLevel="0" collapsed="false">
      <c r="A1032" s="7" t="s">
        <v>321</v>
      </c>
      <c r="B1032" s="10" t="n">
        <v>45790</v>
      </c>
      <c r="C1032" s="7" t="s">
        <v>323</v>
      </c>
      <c r="D1032" s="7" t="s">
        <v>324</v>
      </c>
      <c r="E1032" s="7" t="s">
        <v>159</v>
      </c>
      <c r="F1032" s="7" t="s">
        <v>136</v>
      </c>
      <c r="G1032" s="7" t="s">
        <v>90</v>
      </c>
      <c r="H1032" s="7" t="n">
        <v>2</v>
      </c>
      <c r="I1032" s="11" t="n">
        <v>245</v>
      </c>
      <c r="J1032" s="11" t="n">
        <v>125</v>
      </c>
      <c r="K1032" s="11" t="n">
        <f aca="false">H1032*I1032-J1032</f>
        <v>365</v>
      </c>
      <c r="L1032" s="7" t="s">
        <v>112</v>
      </c>
      <c r="M1032" s="7" t="s">
        <v>194</v>
      </c>
      <c r="N1032" s="7" t="n">
        <v>33</v>
      </c>
      <c r="O1032" s="7" t="n">
        <v>4</v>
      </c>
    </row>
    <row r="1033" customFormat="false" ht="15" hidden="false" customHeight="false" outlineLevel="0" collapsed="false">
      <c r="A1033" s="7" t="s">
        <v>5195</v>
      </c>
      <c r="B1033" s="10" t="n">
        <v>45790</v>
      </c>
      <c r="C1033" s="7" t="s">
        <v>241</v>
      </c>
      <c r="D1033" s="7" t="s">
        <v>3129</v>
      </c>
      <c r="E1033" s="7" t="s">
        <v>138</v>
      </c>
      <c r="F1033" s="7" t="s">
        <v>110</v>
      </c>
      <c r="G1033" s="7" t="s">
        <v>139</v>
      </c>
      <c r="H1033" s="7" t="n">
        <v>3</v>
      </c>
      <c r="I1033" s="11" t="n">
        <v>200</v>
      </c>
      <c r="J1033" s="11" t="n">
        <v>0</v>
      </c>
      <c r="K1033" s="11" t="n">
        <f aca="false">H1033*I1033-J1033</f>
        <v>600</v>
      </c>
      <c r="L1033" s="7" t="s">
        <v>103</v>
      </c>
      <c r="M1033" s="7" t="s">
        <v>194</v>
      </c>
      <c r="N1033" s="7" t="n">
        <v>31</v>
      </c>
      <c r="O1033" s="7" t="n">
        <v>5</v>
      </c>
    </row>
    <row r="1034" customFormat="false" ht="15" hidden="false" customHeight="false" outlineLevel="0" collapsed="false">
      <c r="A1034" s="7" t="s">
        <v>5403</v>
      </c>
      <c r="B1034" s="10" t="n">
        <v>45790</v>
      </c>
      <c r="C1034" s="7" t="s">
        <v>377</v>
      </c>
      <c r="D1034" s="7" t="s">
        <v>5404</v>
      </c>
      <c r="E1034" s="7" t="s">
        <v>134</v>
      </c>
      <c r="F1034" s="7" t="s">
        <v>110</v>
      </c>
      <c r="G1034" s="7" t="s">
        <v>117</v>
      </c>
      <c r="H1034" s="7" t="n">
        <v>3</v>
      </c>
      <c r="I1034" s="11" t="n">
        <v>110</v>
      </c>
      <c r="J1034" s="11" t="n">
        <v>0</v>
      </c>
      <c r="K1034" s="11" t="n">
        <f aca="false">H1034*I1034-J1034</f>
        <v>330</v>
      </c>
      <c r="L1034" s="7" t="s">
        <v>121</v>
      </c>
      <c r="M1034" s="7" t="s">
        <v>194</v>
      </c>
      <c r="N1034" s="7" t="n">
        <v>49</v>
      </c>
      <c r="O1034" s="7" t="n">
        <v>5</v>
      </c>
    </row>
    <row r="1035" customFormat="false" ht="15" hidden="false" customHeight="false" outlineLevel="0" collapsed="false">
      <c r="A1035" s="7" t="s">
        <v>2543</v>
      </c>
      <c r="B1035" s="10" t="n">
        <v>45790</v>
      </c>
      <c r="C1035" s="7" t="s">
        <v>1809</v>
      </c>
      <c r="D1035" s="7" t="s">
        <v>985</v>
      </c>
      <c r="E1035" s="7" t="s">
        <v>113</v>
      </c>
      <c r="F1035" s="7" t="s">
        <v>101</v>
      </c>
      <c r="G1035" s="7" t="s">
        <v>90</v>
      </c>
      <c r="H1035" s="7" t="n">
        <v>1</v>
      </c>
      <c r="I1035" s="11" t="n">
        <v>245</v>
      </c>
      <c r="J1035" s="11" t="n">
        <v>0</v>
      </c>
      <c r="K1035" s="11" t="n">
        <f aca="false">H1035*I1035-J1035</f>
        <v>245</v>
      </c>
      <c r="L1035" s="7" t="s">
        <v>112</v>
      </c>
      <c r="M1035" s="7" t="s">
        <v>238</v>
      </c>
      <c r="N1035" s="7"/>
      <c r="O1035" s="7"/>
    </row>
    <row r="1036" customFormat="false" ht="15" hidden="false" customHeight="false" outlineLevel="0" collapsed="false">
      <c r="A1036" s="7" t="s">
        <v>5595</v>
      </c>
      <c r="B1036" s="10" t="n">
        <v>45790</v>
      </c>
      <c r="C1036" s="7" t="s">
        <v>4353</v>
      </c>
      <c r="D1036" s="7" t="s">
        <v>5211</v>
      </c>
      <c r="E1036" s="7" t="s">
        <v>155</v>
      </c>
      <c r="F1036" s="7" t="s">
        <v>128</v>
      </c>
      <c r="G1036" s="7" t="s">
        <v>156</v>
      </c>
      <c r="H1036" s="7" t="n">
        <v>3</v>
      </c>
      <c r="I1036" s="11" t="n">
        <v>245</v>
      </c>
      <c r="J1036" s="11" t="n">
        <v>150</v>
      </c>
      <c r="K1036" s="11" t="n">
        <f aca="false">H1036*I1036-J1036</f>
        <v>585</v>
      </c>
      <c r="L1036" s="7" t="s">
        <v>88</v>
      </c>
      <c r="M1036" s="7" t="s">
        <v>194</v>
      </c>
      <c r="N1036" s="7" t="n">
        <v>47</v>
      </c>
      <c r="O1036" s="7" t="n">
        <v>4</v>
      </c>
    </row>
    <row r="1037" customFormat="false" ht="15" hidden="false" customHeight="false" outlineLevel="0" collapsed="false">
      <c r="A1037" s="7" t="s">
        <v>4542</v>
      </c>
      <c r="B1037" s="10" t="n">
        <v>45790</v>
      </c>
      <c r="C1037" s="7" t="s">
        <v>2659</v>
      </c>
      <c r="D1037" s="7" t="s">
        <v>4543</v>
      </c>
      <c r="E1037" s="7" t="s">
        <v>113</v>
      </c>
      <c r="F1037" s="7" t="s">
        <v>101</v>
      </c>
      <c r="G1037" s="7" t="s">
        <v>90</v>
      </c>
      <c r="H1037" s="7" t="n">
        <v>2</v>
      </c>
      <c r="I1037" s="11" t="n">
        <v>260</v>
      </c>
      <c r="J1037" s="11" t="n">
        <v>0</v>
      </c>
      <c r="K1037" s="11" t="n">
        <f aca="false">H1037*I1037-J1037</f>
        <v>520</v>
      </c>
      <c r="L1037" s="7" t="s">
        <v>88</v>
      </c>
      <c r="M1037" s="7" t="s">
        <v>194</v>
      </c>
      <c r="N1037" s="7" t="n">
        <v>47</v>
      </c>
      <c r="O1037" s="7" t="n">
        <v>5</v>
      </c>
    </row>
    <row r="1038" customFormat="false" ht="15" hidden="false" customHeight="false" outlineLevel="0" collapsed="false">
      <c r="A1038" s="7" t="s">
        <v>2354</v>
      </c>
      <c r="B1038" s="10" t="n">
        <v>45791</v>
      </c>
      <c r="C1038" s="7" t="s">
        <v>2355</v>
      </c>
      <c r="D1038" s="7" t="s">
        <v>2342</v>
      </c>
      <c r="E1038" s="7" t="s">
        <v>149</v>
      </c>
      <c r="F1038" s="7" t="s">
        <v>119</v>
      </c>
      <c r="G1038" s="7" t="s">
        <v>150</v>
      </c>
      <c r="H1038" s="7" t="n">
        <v>3</v>
      </c>
      <c r="I1038" s="11" t="n">
        <v>200</v>
      </c>
      <c r="J1038" s="11" t="n">
        <v>75</v>
      </c>
      <c r="K1038" s="11" t="n">
        <f aca="false">H1038*I1038-J1038</f>
        <v>525</v>
      </c>
      <c r="L1038" s="7" t="s">
        <v>88</v>
      </c>
      <c r="M1038" s="7" t="s">
        <v>194</v>
      </c>
      <c r="N1038" s="7" t="n">
        <v>28</v>
      </c>
      <c r="O1038" s="7" t="n">
        <v>3</v>
      </c>
    </row>
    <row r="1039" customFormat="false" ht="15" hidden="false" customHeight="false" outlineLevel="0" collapsed="false">
      <c r="A1039" s="7" t="s">
        <v>1468</v>
      </c>
      <c r="B1039" s="10" t="n">
        <v>45791</v>
      </c>
      <c r="C1039" s="7" t="s">
        <v>1128</v>
      </c>
      <c r="D1039" s="7" t="s">
        <v>1470</v>
      </c>
      <c r="E1039" s="7" t="s">
        <v>130</v>
      </c>
      <c r="F1039" s="7" t="s">
        <v>110</v>
      </c>
      <c r="G1039" s="7" t="s">
        <v>90</v>
      </c>
      <c r="H1039" s="7" t="n">
        <v>1</v>
      </c>
      <c r="I1039" s="11" t="n">
        <v>225</v>
      </c>
      <c r="J1039" s="11" t="n">
        <v>0</v>
      </c>
      <c r="K1039" s="11" t="n">
        <f aca="false">H1039*I1039-J1039</f>
        <v>225</v>
      </c>
      <c r="L1039" s="7" t="s">
        <v>88</v>
      </c>
      <c r="M1039" s="7" t="s">
        <v>194</v>
      </c>
      <c r="N1039" s="7" t="n">
        <v>29</v>
      </c>
      <c r="O1039" s="7" t="n">
        <v>2</v>
      </c>
    </row>
    <row r="1040" customFormat="false" ht="15" hidden="false" customHeight="false" outlineLevel="0" collapsed="false">
      <c r="A1040" s="7" t="s">
        <v>5155</v>
      </c>
      <c r="B1040" s="10" t="n">
        <v>45791</v>
      </c>
      <c r="C1040" s="7" t="s">
        <v>3487</v>
      </c>
      <c r="D1040" s="7" t="s">
        <v>2951</v>
      </c>
      <c r="E1040" s="7" t="s">
        <v>104</v>
      </c>
      <c r="F1040" s="7" t="s">
        <v>86</v>
      </c>
      <c r="G1040" s="7" t="s">
        <v>105</v>
      </c>
      <c r="H1040" s="7" t="n">
        <v>2</v>
      </c>
      <c r="I1040" s="11" t="n">
        <v>200</v>
      </c>
      <c r="J1040" s="11" t="n">
        <v>125</v>
      </c>
      <c r="K1040" s="11" t="n">
        <f aca="false">H1040*I1040-J1040</f>
        <v>275</v>
      </c>
      <c r="L1040" s="7" t="s">
        <v>103</v>
      </c>
      <c r="M1040" s="7" t="s">
        <v>194</v>
      </c>
      <c r="N1040" s="7" t="n">
        <v>46</v>
      </c>
      <c r="O1040" s="7" t="n">
        <v>3</v>
      </c>
    </row>
    <row r="1041" customFormat="false" ht="15" hidden="false" customHeight="false" outlineLevel="0" collapsed="false">
      <c r="A1041" s="7" t="s">
        <v>5061</v>
      </c>
      <c r="B1041" s="10" t="n">
        <v>45791</v>
      </c>
      <c r="C1041" s="7" t="s">
        <v>1215</v>
      </c>
      <c r="D1041" s="7" t="s">
        <v>908</v>
      </c>
      <c r="E1041" s="7" t="s">
        <v>154</v>
      </c>
      <c r="F1041" s="7" t="s">
        <v>128</v>
      </c>
      <c r="G1041" s="7" t="s">
        <v>99</v>
      </c>
      <c r="H1041" s="7" t="n">
        <v>1</v>
      </c>
      <c r="I1041" s="11" t="n">
        <v>235</v>
      </c>
      <c r="J1041" s="11" t="n">
        <v>94</v>
      </c>
      <c r="K1041" s="11" t="n">
        <f aca="false">H1041*I1041-J1041</f>
        <v>141</v>
      </c>
      <c r="L1041" s="7" t="s">
        <v>88</v>
      </c>
      <c r="M1041" s="7" t="s">
        <v>238</v>
      </c>
      <c r="N1041" s="7"/>
      <c r="O1041" s="7"/>
    </row>
    <row r="1042" customFormat="false" ht="15" hidden="false" customHeight="false" outlineLevel="0" collapsed="false">
      <c r="A1042" s="7" t="s">
        <v>1544</v>
      </c>
      <c r="B1042" s="10" t="n">
        <v>45791</v>
      </c>
      <c r="C1042" s="7" t="s">
        <v>1545</v>
      </c>
      <c r="D1042" s="7" t="s">
        <v>1546</v>
      </c>
      <c r="E1042" s="7" t="s">
        <v>98</v>
      </c>
      <c r="F1042" s="7" t="s">
        <v>86</v>
      </c>
      <c r="G1042" s="7" t="s">
        <v>99</v>
      </c>
      <c r="H1042" s="7" t="n">
        <v>1</v>
      </c>
      <c r="I1042" s="11" t="n">
        <v>295</v>
      </c>
      <c r="J1042" s="11" t="n">
        <v>0</v>
      </c>
      <c r="K1042" s="11" t="n">
        <f aca="false">H1042*I1042-J1042</f>
        <v>295</v>
      </c>
      <c r="L1042" s="7" t="s">
        <v>93</v>
      </c>
      <c r="M1042" s="7" t="s">
        <v>194</v>
      </c>
      <c r="N1042" s="7" t="n">
        <v>41</v>
      </c>
      <c r="O1042" s="7"/>
    </row>
    <row r="1043" customFormat="false" ht="15" hidden="false" customHeight="false" outlineLevel="0" collapsed="false">
      <c r="A1043" s="7" t="s">
        <v>2603</v>
      </c>
      <c r="B1043" s="10" t="n">
        <v>45791</v>
      </c>
      <c r="C1043" s="7" t="s">
        <v>2604</v>
      </c>
      <c r="D1043" s="7" t="s">
        <v>784</v>
      </c>
      <c r="E1043" s="7" t="s">
        <v>130</v>
      </c>
      <c r="F1043" s="7" t="s">
        <v>110</v>
      </c>
      <c r="G1043" s="7" t="s">
        <v>90</v>
      </c>
      <c r="H1043" s="7" t="n">
        <v>1</v>
      </c>
      <c r="I1043" s="11" t="n">
        <v>270</v>
      </c>
      <c r="J1043" s="11" t="n">
        <v>20</v>
      </c>
      <c r="K1043" s="11" t="n">
        <f aca="false">H1043*I1043-J1043</f>
        <v>250</v>
      </c>
      <c r="L1043" s="7" t="s">
        <v>112</v>
      </c>
      <c r="M1043" s="7" t="s">
        <v>194</v>
      </c>
      <c r="N1043" s="7" t="n">
        <v>40</v>
      </c>
      <c r="O1043" s="7" t="n">
        <v>3</v>
      </c>
    </row>
    <row r="1044" customFormat="false" ht="15" hidden="false" customHeight="false" outlineLevel="0" collapsed="false">
      <c r="A1044" s="7" t="s">
        <v>4233</v>
      </c>
      <c r="B1044" s="10" t="n">
        <v>45792</v>
      </c>
      <c r="C1044" s="7" t="s">
        <v>4234</v>
      </c>
      <c r="D1044" s="7" t="s">
        <v>343</v>
      </c>
      <c r="E1044" s="7" t="s">
        <v>164</v>
      </c>
      <c r="F1044" s="7" t="s">
        <v>141</v>
      </c>
      <c r="G1044" s="7" t="s">
        <v>150</v>
      </c>
      <c r="H1044" s="7" t="n">
        <v>2</v>
      </c>
      <c r="I1044" s="11" t="n">
        <v>140</v>
      </c>
      <c r="J1044" s="11" t="n">
        <v>20</v>
      </c>
      <c r="K1044" s="11" t="n">
        <f aca="false">H1044*I1044-J1044</f>
        <v>260</v>
      </c>
      <c r="L1044" s="7" t="s">
        <v>88</v>
      </c>
      <c r="M1044" s="7" t="s">
        <v>194</v>
      </c>
      <c r="N1044" s="7" t="n">
        <v>39</v>
      </c>
      <c r="O1044" s="7" t="n">
        <v>5</v>
      </c>
    </row>
    <row r="1045" customFormat="false" ht="15" hidden="false" customHeight="false" outlineLevel="0" collapsed="false">
      <c r="A1045" s="7" t="s">
        <v>3328</v>
      </c>
      <c r="B1045" s="10" t="n">
        <v>45792</v>
      </c>
      <c r="C1045" s="7" t="s">
        <v>679</v>
      </c>
      <c r="D1045" s="7" t="s">
        <v>3329</v>
      </c>
      <c r="E1045" s="7" t="s">
        <v>94</v>
      </c>
      <c r="F1045" s="7" t="s">
        <v>86</v>
      </c>
      <c r="G1045" s="7" t="s">
        <v>95</v>
      </c>
      <c r="H1045" s="7" t="n">
        <v>1</v>
      </c>
      <c r="I1045" s="11" t="n">
        <v>130</v>
      </c>
      <c r="J1045" s="11" t="n">
        <v>52</v>
      </c>
      <c r="K1045" s="11" t="n">
        <f aca="false">H1045*I1045-J1045</f>
        <v>78</v>
      </c>
      <c r="L1045" s="7" t="s">
        <v>88</v>
      </c>
      <c r="M1045" s="7" t="s">
        <v>194</v>
      </c>
      <c r="N1045" s="7" t="n">
        <v>29</v>
      </c>
      <c r="O1045" s="7" t="n">
        <v>3</v>
      </c>
    </row>
    <row r="1046" customFormat="false" ht="15" hidden="false" customHeight="false" outlineLevel="0" collapsed="false">
      <c r="A1046" s="7" t="s">
        <v>5701</v>
      </c>
      <c r="B1046" s="10" t="n">
        <v>45792</v>
      </c>
      <c r="C1046" s="7" t="s">
        <v>1250</v>
      </c>
      <c r="D1046" s="7" t="s">
        <v>2081</v>
      </c>
      <c r="E1046" s="7" t="s">
        <v>152</v>
      </c>
      <c r="F1046" s="7" t="s">
        <v>128</v>
      </c>
      <c r="G1046" s="7" t="s">
        <v>95</v>
      </c>
      <c r="H1046" s="7" t="n">
        <v>2</v>
      </c>
      <c r="I1046" s="11" t="n">
        <v>120</v>
      </c>
      <c r="J1046" s="11" t="n">
        <v>75</v>
      </c>
      <c r="K1046" s="11" t="n">
        <f aca="false">H1046*I1046-J1046</f>
        <v>165</v>
      </c>
      <c r="L1046" s="7" t="s">
        <v>88</v>
      </c>
      <c r="M1046" s="7" t="s">
        <v>194</v>
      </c>
      <c r="N1046" s="7" t="n">
        <v>36</v>
      </c>
      <c r="O1046" s="7" t="n">
        <v>3</v>
      </c>
    </row>
    <row r="1047" customFormat="false" ht="15" hidden="false" customHeight="false" outlineLevel="0" collapsed="false">
      <c r="A1047" s="7" t="s">
        <v>2637</v>
      </c>
      <c r="B1047" s="10" t="n">
        <v>45792</v>
      </c>
      <c r="C1047" s="7" t="s">
        <v>2638</v>
      </c>
      <c r="D1047" s="7" t="s">
        <v>2639</v>
      </c>
      <c r="E1047" s="7" t="s">
        <v>126</v>
      </c>
      <c r="F1047" s="7" t="s">
        <v>101</v>
      </c>
      <c r="G1047" s="7" t="s">
        <v>105</v>
      </c>
      <c r="H1047" s="7" t="n">
        <v>1</v>
      </c>
      <c r="I1047" s="11" t="n">
        <v>230</v>
      </c>
      <c r="J1047" s="11" t="n">
        <v>0</v>
      </c>
      <c r="K1047" s="11" t="n">
        <f aca="false">H1047*I1047-J1047</f>
        <v>230</v>
      </c>
      <c r="L1047" s="7" t="s">
        <v>133</v>
      </c>
      <c r="M1047" s="7" t="s">
        <v>194</v>
      </c>
      <c r="N1047" s="7" t="n">
        <v>47</v>
      </c>
      <c r="O1047" s="7"/>
    </row>
    <row r="1048" customFormat="false" ht="15" hidden="false" customHeight="false" outlineLevel="0" collapsed="false">
      <c r="A1048" s="7" t="s">
        <v>1789</v>
      </c>
      <c r="B1048" s="10" t="n">
        <v>45792</v>
      </c>
      <c r="C1048" s="7" t="s">
        <v>1791</v>
      </c>
      <c r="D1048" s="7" t="s">
        <v>1792</v>
      </c>
      <c r="E1048" s="7" t="s">
        <v>162</v>
      </c>
      <c r="F1048" s="7" t="s">
        <v>141</v>
      </c>
      <c r="G1048" s="7" t="s">
        <v>117</v>
      </c>
      <c r="H1048" s="7" t="n">
        <v>2</v>
      </c>
      <c r="I1048" s="11" t="n">
        <v>130</v>
      </c>
      <c r="J1048" s="11" t="n">
        <v>0</v>
      </c>
      <c r="K1048" s="11" t="n">
        <f aca="false">H1048*I1048-J1048</f>
        <v>260</v>
      </c>
      <c r="L1048" s="7" t="s">
        <v>112</v>
      </c>
      <c r="M1048" s="7" t="s">
        <v>194</v>
      </c>
      <c r="N1048" s="7" t="n">
        <v>39</v>
      </c>
      <c r="O1048" s="7" t="n">
        <v>5</v>
      </c>
    </row>
    <row r="1049" customFormat="false" ht="15" hidden="false" customHeight="false" outlineLevel="0" collapsed="false">
      <c r="A1049" s="7" t="s">
        <v>5304</v>
      </c>
      <c r="B1049" s="10" t="n">
        <v>45792</v>
      </c>
      <c r="C1049" s="7" t="s">
        <v>585</v>
      </c>
      <c r="D1049" s="7" t="s">
        <v>2902</v>
      </c>
      <c r="E1049" s="7" t="s">
        <v>165</v>
      </c>
      <c r="F1049" s="7" t="s">
        <v>146</v>
      </c>
      <c r="G1049" s="7" t="s">
        <v>90</v>
      </c>
      <c r="H1049" s="7" t="n">
        <v>2</v>
      </c>
      <c r="I1049" s="11" t="n">
        <v>230</v>
      </c>
      <c r="J1049" s="11" t="n">
        <v>150</v>
      </c>
      <c r="K1049" s="11" t="n">
        <f aca="false">H1049*I1049-J1049</f>
        <v>310</v>
      </c>
      <c r="L1049" s="7" t="s">
        <v>112</v>
      </c>
      <c r="M1049" s="7" t="s">
        <v>194</v>
      </c>
      <c r="N1049" s="7" t="n">
        <v>25</v>
      </c>
      <c r="O1049" s="7"/>
    </row>
    <row r="1050" customFormat="false" ht="15" hidden="false" customHeight="false" outlineLevel="0" collapsed="false">
      <c r="A1050" s="7" t="s">
        <v>1879</v>
      </c>
      <c r="B1050" s="10" t="n">
        <v>45792</v>
      </c>
      <c r="C1050" s="7" t="s">
        <v>1880</v>
      </c>
      <c r="D1050" s="7" t="s">
        <v>1881</v>
      </c>
      <c r="E1050" s="7" t="s">
        <v>89</v>
      </c>
      <c r="F1050" s="7" t="s">
        <v>86</v>
      </c>
      <c r="G1050" s="7" t="s">
        <v>90</v>
      </c>
      <c r="H1050" s="7" t="n">
        <v>5</v>
      </c>
      <c r="I1050" s="11" t="n">
        <v>200</v>
      </c>
      <c r="J1050" s="11" t="n">
        <v>125</v>
      </c>
      <c r="K1050" s="11" t="n">
        <f aca="false">H1050*I1050-J1050</f>
        <v>875</v>
      </c>
      <c r="L1050" s="7" t="s">
        <v>88</v>
      </c>
      <c r="M1050" s="7" t="s">
        <v>194</v>
      </c>
      <c r="N1050" s="7" t="n">
        <v>39</v>
      </c>
      <c r="O1050" s="7" t="n">
        <v>4</v>
      </c>
    </row>
    <row r="1051" customFormat="false" ht="15" hidden="false" customHeight="false" outlineLevel="0" collapsed="false">
      <c r="A1051" s="7" t="s">
        <v>5533</v>
      </c>
      <c r="B1051" s="10" t="n">
        <v>45793</v>
      </c>
      <c r="C1051" s="7" t="s">
        <v>5324</v>
      </c>
      <c r="D1051" s="7" t="s">
        <v>5534</v>
      </c>
      <c r="E1051" s="7" t="s">
        <v>159</v>
      </c>
      <c r="F1051" s="7" t="s">
        <v>136</v>
      </c>
      <c r="G1051" s="7" t="s">
        <v>90</v>
      </c>
      <c r="H1051" s="7" t="n">
        <v>2</v>
      </c>
      <c r="I1051" s="11" t="n">
        <v>235</v>
      </c>
      <c r="J1051" s="11" t="n">
        <v>0</v>
      </c>
      <c r="K1051" s="11" t="n">
        <f aca="false">H1051*I1051-J1051</f>
        <v>470</v>
      </c>
      <c r="L1051" s="7" t="s">
        <v>88</v>
      </c>
      <c r="M1051" s="7" t="s">
        <v>194</v>
      </c>
      <c r="N1051" s="7" t="n">
        <v>33</v>
      </c>
      <c r="O1051" s="7"/>
    </row>
    <row r="1052" customFormat="false" ht="15" hidden="false" customHeight="false" outlineLevel="0" collapsed="false">
      <c r="A1052" s="7" t="s">
        <v>4739</v>
      </c>
      <c r="B1052" s="10" t="n">
        <v>45793</v>
      </c>
      <c r="C1052" s="7" t="s">
        <v>1161</v>
      </c>
      <c r="D1052" s="7" t="s">
        <v>3329</v>
      </c>
      <c r="E1052" s="7" t="s">
        <v>94</v>
      </c>
      <c r="F1052" s="7" t="s">
        <v>86</v>
      </c>
      <c r="G1052" s="7" t="s">
        <v>95</v>
      </c>
      <c r="H1052" s="7" t="n">
        <v>3</v>
      </c>
      <c r="I1052" s="11" t="n">
        <v>105</v>
      </c>
      <c r="J1052" s="11" t="n">
        <v>0</v>
      </c>
      <c r="K1052" s="11" t="n">
        <f aca="false">H1052*I1052-J1052</f>
        <v>315</v>
      </c>
      <c r="L1052" s="7" t="s">
        <v>93</v>
      </c>
      <c r="M1052" s="7" t="s">
        <v>194</v>
      </c>
      <c r="N1052" s="7" t="n">
        <v>41</v>
      </c>
      <c r="O1052" s="7" t="n">
        <v>2</v>
      </c>
    </row>
    <row r="1053" customFormat="false" ht="15" hidden="false" customHeight="false" outlineLevel="0" collapsed="false">
      <c r="A1053" s="7" t="s">
        <v>916</v>
      </c>
      <c r="B1053" s="10" t="n">
        <v>45793</v>
      </c>
      <c r="C1053" s="7" t="s">
        <v>918</v>
      </c>
      <c r="D1053" s="7" t="s">
        <v>919</v>
      </c>
      <c r="E1053" s="7" t="s">
        <v>149</v>
      </c>
      <c r="F1053" s="7" t="s">
        <v>119</v>
      </c>
      <c r="G1053" s="7" t="s">
        <v>150</v>
      </c>
      <c r="H1053" s="7" t="n">
        <v>4</v>
      </c>
      <c r="I1053" s="11" t="n">
        <v>165</v>
      </c>
      <c r="J1053" s="11" t="n">
        <v>0</v>
      </c>
      <c r="K1053" s="11" t="n">
        <f aca="false">H1053*I1053-J1053</f>
        <v>660</v>
      </c>
      <c r="L1053" s="7" t="s">
        <v>112</v>
      </c>
      <c r="M1053" s="7" t="s">
        <v>194</v>
      </c>
      <c r="N1053" s="7" t="n">
        <v>44</v>
      </c>
      <c r="O1053" s="7" t="n">
        <v>3</v>
      </c>
    </row>
    <row r="1054" customFormat="false" ht="15" hidden="false" customHeight="false" outlineLevel="0" collapsed="false">
      <c r="A1054" s="7" t="s">
        <v>4179</v>
      </c>
      <c r="B1054" s="10" t="n">
        <v>45793</v>
      </c>
      <c r="C1054" s="7" t="s">
        <v>2255</v>
      </c>
      <c r="D1054" s="7" t="s">
        <v>4181</v>
      </c>
      <c r="E1054" s="7" t="s">
        <v>138</v>
      </c>
      <c r="F1054" s="7" t="s">
        <v>110</v>
      </c>
      <c r="G1054" s="7" t="s">
        <v>139</v>
      </c>
      <c r="H1054" s="7" t="n">
        <v>3</v>
      </c>
      <c r="I1054" s="11" t="n">
        <v>190</v>
      </c>
      <c r="J1054" s="11" t="n">
        <v>0</v>
      </c>
      <c r="K1054" s="11" t="n">
        <f aca="false">H1054*I1054-J1054</f>
        <v>570</v>
      </c>
      <c r="L1054" s="7" t="s">
        <v>93</v>
      </c>
      <c r="M1054" s="7" t="s">
        <v>194</v>
      </c>
      <c r="N1054" s="7" t="n">
        <v>45</v>
      </c>
      <c r="O1054" s="7" t="n">
        <v>5</v>
      </c>
    </row>
    <row r="1055" customFormat="false" ht="15" hidden="false" customHeight="false" outlineLevel="0" collapsed="false">
      <c r="A1055" s="7" t="s">
        <v>5422</v>
      </c>
      <c r="B1055" s="10" t="n">
        <v>45794</v>
      </c>
      <c r="C1055" s="7" t="s">
        <v>1626</v>
      </c>
      <c r="D1055" s="7" t="s">
        <v>5423</v>
      </c>
      <c r="E1055" s="7" t="s">
        <v>163</v>
      </c>
      <c r="F1055" s="7" t="s">
        <v>141</v>
      </c>
      <c r="G1055" s="7" t="s">
        <v>99</v>
      </c>
      <c r="H1055" s="7" t="n">
        <v>1</v>
      </c>
      <c r="I1055" s="11" t="n">
        <v>245</v>
      </c>
      <c r="J1055" s="11" t="n">
        <v>0</v>
      </c>
      <c r="K1055" s="11" t="n">
        <f aca="false">H1055*I1055-J1055</f>
        <v>245</v>
      </c>
      <c r="L1055" s="7" t="s">
        <v>88</v>
      </c>
      <c r="M1055" s="7" t="s">
        <v>194</v>
      </c>
      <c r="N1055" s="7" t="n">
        <v>38</v>
      </c>
      <c r="O1055" s="7" t="n">
        <v>2</v>
      </c>
    </row>
    <row r="1056" customFormat="false" ht="15" hidden="false" customHeight="false" outlineLevel="0" collapsed="false">
      <c r="A1056" s="7" t="s">
        <v>2783</v>
      </c>
      <c r="B1056" s="10" t="n">
        <v>45794</v>
      </c>
      <c r="C1056" s="7" t="s">
        <v>191</v>
      </c>
      <c r="D1056" s="7" t="s">
        <v>1777</v>
      </c>
      <c r="E1056" s="7" t="s">
        <v>167</v>
      </c>
      <c r="F1056" s="7" t="s">
        <v>146</v>
      </c>
      <c r="G1056" s="7" t="s">
        <v>156</v>
      </c>
      <c r="H1056" s="7" t="n">
        <v>2</v>
      </c>
      <c r="I1056" s="11" t="n">
        <v>300</v>
      </c>
      <c r="J1056" s="11" t="n">
        <v>100</v>
      </c>
      <c r="K1056" s="11" t="n">
        <f aca="false">H1056*I1056-J1056</f>
        <v>500</v>
      </c>
      <c r="L1056" s="7" t="s">
        <v>112</v>
      </c>
      <c r="M1056" s="7" t="s">
        <v>194</v>
      </c>
      <c r="N1056" s="7" t="n">
        <v>28</v>
      </c>
      <c r="O1056" s="7"/>
    </row>
    <row r="1057" customFormat="false" ht="15" hidden="false" customHeight="false" outlineLevel="0" collapsed="false">
      <c r="A1057" s="7" t="s">
        <v>933</v>
      </c>
      <c r="B1057" s="10" t="n">
        <v>45794</v>
      </c>
      <c r="C1057" s="7" t="s">
        <v>935</v>
      </c>
      <c r="D1057" s="7" t="s">
        <v>936</v>
      </c>
      <c r="E1057" s="7" t="s">
        <v>113</v>
      </c>
      <c r="F1057" s="7" t="s">
        <v>101</v>
      </c>
      <c r="G1057" s="7" t="s">
        <v>90</v>
      </c>
      <c r="H1057" s="7" t="n">
        <v>1</v>
      </c>
      <c r="I1057" s="11" t="n">
        <v>230</v>
      </c>
      <c r="J1057" s="11" t="n">
        <v>0</v>
      </c>
      <c r="K1057" s="11" t="n">
        <f aca="false">H1057*I1057-J1057</f>
        <v>230</v>
      </c>
      <c r="L1057" s="7" t="s">
        <v>88</v>
      </c>
      <c r="M1057" s="7" t="s">
        <v>194</v>
      </c>
      <c r="N1057" s="7" t="n">
        <v>44</v>
      </c>
      <c r="O1057" s="7" t="n">
        <v>2</v>
      </c>
    </row>
    <row r="1058" customFormat="false" ht="15" hidden="false" customHeight="false" outlineLevel="0" collapsed="false">
      <c r="A1058" s="7" t="s">
        <v>4582</v>
      </c>
      <c r="B1058" s="10" t="n">
        <v>45794</v>
      </c>
      <c r="C1058" s="7" t="s">
        <v>4261</v>
      </c>
      <c r="D1058" s="7" t="s">
        <v>2883</v>
      </c>
      <c r="E1058" s="7" t="s">
        <v>149</v>
      </c>
      <c r="F1058" s="7" t="s">
        <v>119</v>
      </c>
      <c r="G1058" s="7" t="s">
        <v>150</v>
      </c>
      <c r="H1058" s="7" t="n">
        <v>1</v>
      </c>
      <c r="I1058" s="11" t="n">
        <v>150</v>
      </c>
      <c r="J1058" s="11" t="n">
        <v>0</v>
      </c>
      <c r="K1058" s="11" t="n">
        <f aca="false">H1058*I1058-J1058</f>
        <v>150</v>
      </c>
      <c r="L1058" s="7" t="s">
        <v>112</v>
      </c>
      <c r="M1058" s="7" t="s">
        <v>194</v>
      </c>
      <c r="N1058" s="7" t="n">
        <v>40</v>
      </c>
      <c r="O1058" s="7" t="n">
        <v>5</v>
      </c>
    </row>
    <row r="1059" customFormat="false" ht="15" hidden="false" customHeight="false" outlineLevel="0" collapsed="false">
      <c r="A1059" s="7" t="s">
        <v>5605</v>
      </c>
      <c r="B1059" s="10" t="n">
        <v>45794</v>
      </c>
      <c r="C1059" s="7" t="s">
        <v>5606</v>
      </c>
      <c r="D1059" s="7" t="s">
        <v>1521</v>
      </c>
      <c r="E1059" s="7" t="s">
        <v>168</v>
      </c>
      <c r="F1059" s="7" t="s">
        <v>146</v>
      </c>
      <c r="G1059" s="7" t="s">
        <v>123</v>
      </c>
      <c r="H1059" s="7" t="n">
        <v>1</v>
      </c>
      <c r="I1059" s="11" t="n">
        <v>295</v>
      </c>
      <c r="J1059" s="11" t="n">
        <v>20</v>
      </c>
      <c r="K1059" s="11" t="n">
        <f aca="false">H1059*I1059-J1059</f>
        <v>275</v>
      </c>
      <c r="L1059" s="7" t="s">
        <v>88</v>
      </c>
      <c r="M1059" s="7" t="s">
        <v>194</v>
      </c>
      <c r="N1059" s="7" t="n">
        <v>28</v>
      </c>
      <c r="O1059" s="7" t="n">
        <v>4</v>
      </c>
    </row>
    <row r="1060" customFormat="false" ht="15" hidden="false" customHeight="false" outlineLevel="0" collapsed="false">
      <c r="A1060" s="7" t="s">
        <v>1662</v>
      </c>
      <c r="B1060" s="10" t="n">
        <v>45794</v>
      </c>
      <c r="C1060" s="7" t="s">
        <v>1664</v>
      </c>
      <c r="D1060" s="7" t="s">
        <v>1665</v>
      </c>
      <c r="E1060" s="7" t="s">
        <v>134</v>
      </c>
      <c r="F1060" s="7" t="s">
        <v>110</v>
      </c>
      <c r="G1060" s="7" t="s">
        <v>117</v>
      </c>
      <c r="H1060" s="7" t="n">
        <v>3</v>
      </c>
      <c r="I1060" s="11" t="n">
        <v>115</v>
      </c>
      <c r="J1060" s="11" t="n">
        <v>138</v>
      </c>
      <c r="K1060" s="11" t="n">
        <f aca="false">H1060*I1060-J1060</f>
        <v>207</v>
      </c>
      <c r="L1060" s="7" t="s">
        <v>93</v>
      </c>
      <c r="M1060" s="7" t="s">
        <v>194</v>
      </c>
      <c r="N1060" s="7" t="n">
        <v>32</v>
      </c>
      <c r="O1060" s="7" t="n">
        <v>4</v>
      </c>
    </row>
    <row r="1061" customFormat="false" ht="15" hidden="false" customHeight="false" outlineLevel="0" collapsed="false">
      <c r="A1061" s="7" t="s">
        <v>2120</v>
      </c>
      <c r="B1061" s="10" t="n">
        <v>45794</v>
      </c>
      <c r="C1061" s="7" t="s">
        <v>1379</v>
      </c>
      <c r="D1061" s="7" t="s">
        <v>589</v>
      </c>
      <c r="E1061" s="7" t="s">
        <v>98</v>
      </c>
      <c r="F1061" s="7" t="s">
        <v>86</v>
      </c>
      <c r="G1061" s="7" t="s">
        <v>99</v>
      </c>
      <c r="H1061" s="7" t="n">
        <v>5</v>
      </c>
      <c r="I1061" s="11" t="n">
        <v>275</v>
      </c>
      <c r="J1061" s="11" t="n">
        <v>0</v>
      </c>
      <c r="K1061" s="11" t="n">
        <f aca="false">H1061*I1061-J1061</f>
        <v>1375</v>
      </c>
      <c r="L1061" s="7" t="s">
        <v>88</v>
      </c>
      <c r="M1061" s="7" t="s">
        <v>194</v>
      </c>
      <c r="N1061" s="7" t="n">
        <v>46</v>
      </c>
      <c r="O1061" s="7" t="n">
        <v>4</v>
      </c>
    </row>
    <row r="1062" customFormat="false" ht="15" hidden="false" customHeight="false" outlineLevel="0" collapsed="false">
      <c r="A1062" s="7" t="s">
        <v>2157</v>
      </c>
      <c r="B1062" s="10" t="n">
        <v>45794</v>
      </c>
      <c r="C1062" s="7" t="s">
        <v>433</v>
      </c>
      <c r="D1062" s="7" t="s">
        <v>2158</v>
      </c>
      <c r="E1062" s="7" t="s">
        <v>126</v>
      </c>
      <c r="F1062" s="7" t="s">
        <v>101</v>
      </c>
      <c r="G1062" s="7" t="s">
        <v>105</v>
      </c>
      <c r="H1062" s="7" t="n">
        <v>2</v>
      </c>
      <c r="I1062" s="11" t="n">
        <v>190</v>
      </c>
      <c r="J1062" s="11" t="n">
        <v>0</v>
      </c>
      <c r="K1062" s="11" t="n">
        <f aca="false">H1062*I1062-J1062</f>
        <v>380</v>
      </c>
      <c r="L1062" s="7" t="s">
        <v>112</v>
      </c>
      <c r="M1062" s="7" t="s">
        <v>194</v>
      </c>
      <c r="N1062" s="7" t="n">
        <v>48</v>
      </c>
      <c r="O1062" s="7" t="n">
        <v>3</v>
      </c>
    </row>
    <row r="1063" customFormat="false" ht="15" hidden="false" customHeight="false" outlineLevel="0" collapsed="false">
      <c r="A1063" s="7" t="s">
        <v>2264</v>
      </c>
      <c r="B1063" s="10" t="n">
        <v>45794</v>
      </c>
      <c r="C1063" s="7" t="s">
        <v>1105</v>
      </c>
      <c r="D1063" s="7" t="s">
        <v>2117</v>
      </c>
      <c r="E1063" s="7" t="s">
        <v>168</v>
      </c>
      <c r="F1063" s="7" t="s">
        <v>146</v>
      </c>
      <c r="G1063" s="7" t="s">
        <v>123</v>
      </c>
      <c r="H1063" s="7" t="n">
        <v>4</v>
      </c>
      <c r="I1063" s="11" t="n">
        <v>295</v>
      </c>
      <c r="J1063" s="11" t="n">
        <v>40</v>
      </c>
      <c r="K1063" s="11" t="n">
        <f aca="false">H1063*I1063-J1063</f>
        <v>1140</v>
      </c>
      <c r="L1063" s="7" t="s">
        <v>93</v>
      </c>
      <c r="M1063" s="7" t="s">
        <v>194</v>
      </c>
      <c r="N1063" s="7" t="n">
        <v>31</v>
      </c>
      <c r="O1063" s="7" t="n">
        <v>3</v>
      </c>
    </row>
    <row r="1064" customFormat="false" ht="15" hidden="false" customHeight="false" outlineLevel="0" collapsed="false">
      <c r="A1064" s="7" t="s">
        <v>2674</v>
      </c>
      <c r="B1064" s="10" t="n">
        <v>45794</v>
      </c>
      <c r="C1064" s="7" t="s">
        <v>626</v>
      </c>
      <c r="D1064" s="7" t="s">
        <v>2172</v>
      </c>
      <c r="E1064" s="7" t="s">
        <v>98</v>
      </c>
      <c r="F1064" s="7" t="s">
        <v>86</v>
      </c>
      <c r="G1064" s="7" t="s">
        <v>99</v>
      </c>
      <c r="H1064" s="7" t="n">
        <v>2</v>
      </c>
      <c r="I1064" s="11" t="n">
        <v>300</v>
      </c>
      <c r="J1064" s="11" t="n">
        <v>150</v>
      </c>
      <c r="K1064" s="11" t="n">
        <f aca="false">H1064*I1064-J1064</f>
        <v>450</v>
      </c>
      <c r="L1064" s="7" t="s">
        <v>88</v>
      </c>
      <c r="M1064" s="7" t="s">
        <v>194</v>
      </c>
      <c r="N1064" s="7" t="n">
        <v>37</v>
      </c>
      <c r="O1064" s="7" t="n">
        <v>5</v>
      </c>
    </row>
    <row r="1065" customFormat="false" ht="15" hidden="false" customHeight="false" outlineLevel="0" collapsed="false">
      <c r="A1065" s="7" t="s">
        <v>1024</v>
      </c>
      <c r="B1065" s="10" t="n">
        <v>45795</v>
      </c>
      <c r="C1065" s="7" t="s">
        <v>1026</v>
      </c>
      <c r="D1065" s="7" t="s">
        <v>1027</v>
      </c>
      <c r="E1065" s="7" t="s">
        <v>94</v>
      </c>
      <c r="F1065" s="7" t="s">
        <v>86</v>
      </c>
      <c r="G1065" s="7" t="s">
        <v>95</v>
      </c>
      <c r="H1065" s="7" t="n">
        <v>2</v>
      </c>
      <c r="I1065" s="11" t="n">
        <v>100</v>
      </c>
      <c r="J1065" s="11" t="n">
        <v>50</v>
      </c>
      <c r="K1065" s="11" t="n">
        <f aca="false">H1065*I1065-J1065</f>
        <v>150</v>
      </c>
      <c r="L1065" s="7" t="s">
        <v>112</v>
      </c>
      <c r="M1065" s="7" t="s">
        <v>194</v>
      </c>
      <c r="N1065" s="7" t="n">
        <v>43</v>
      </c>
      <c r="O1065" s="7" t="n">
        <v>3</v>
      </c>
    </row>
    <row r="1066" customFormat="false" ht="15" hidden="false" customHeight="false" outlineLevel="0" collapsed="false">
      <c r="A1066" s="7" t="s">
        <v>4148</v>
      </c>
      <c r="B1066" s="10" t="n">
        <v>45795</v>
      </c>
      <c r="C1066" s="7" t="s">
        <v>4149</v>
      </c>
      <c r="D1066" s="7" t="s">
        <v>4150</v>
      </c>
      <c r="E1066" s="7" t="s">
        <v>151</v>
      </c>
      <c r="F1066" s="7" t="s">
        <v>128</v>
      </c>
      <c r="G1066" s="7" t="s">
        <v>95</v>
      </c>
      <c r="H1066" s="7" t="n">
        <v>1</v>
      </c>
      <c r="I1066" s="11" t="n">
        <v>190</v>
      </c>
      <c r="J1066" s="11" t="n">
        <v>0</v>
      </c>
      <c r="K1066" s="11" t="n">
        <f aca="false">H1066*I1066-J1066</f>
        <v>190</v>
      </c>
      <c r="L1066" s="7" t="s">
        <v>103</v>
      </c>
      <c r="M1066" s="7" t="s">
        <v>194</v>
      </c>
      <c r="N1066" s="7" t="n">
        <v>34</v>
      </c>
      <c r="O1066" s="7" t="n">
        <v>4</v>
      </c>
    </row>
    <row r="1067" customFormat="false" ht="15" hidden="false" customHeight="false" outlineLevel="0" collapsed="false">
      <c r="A1067" s="7" t="s">
        <v>3819</v>
      </c>
      <c r="B1067" s="10" t="n">
        <v>45795</v>
      </c>
      <c r="C1067" s="7" t="s">
        <v>236</v>
      </c>
      <c r="D1067" s="7" t="s">
        <v>3820</v>
      </c>
      <c r="E1067" s="7" t="s">
        <v>104</v>
      </c>
      <c r="F1067" s="7" t="s">
        <v>86</v>
      </c>
      <c r="G1067" s="7" t="s">
        <v>105</v>
      </c>
      <c r="H1067" s="7" t="n">
        <v>3</v>
      </c>
      <c r="I1067" s="11" t="n">
        <v>180</v>
      </c>
      <c r="J1067" s="11" t="n">
        <v>100</v>
      </c>
      <c r="K1067" s="11" t="n">
        <f aca="false">H1067*I1067-J1067</f>
        <v>440</v>
      </c>
      <c r="L1067" s="7" t="s">
        <v>88</v>
      </c>
      <c r="M1067" s="7" t="s">
        <v>238</v>
      </c>
      <c r="N1067" s="7"/>
      <c r="O1067" s="7"/>
    </row>
    <row r="1068" customFormat="false" ht="15" hidden="false" customHeight="false" outlineLevel="0" collapsed="false">
      <c r="A1068" s="7" t="s">
        <v>4104</v>
      </c>
      <c r="B1068" s="10" t="n">
        <v>45795</v>
      </c>
      <c r="C1068" s="7" t="s">
        <v>3163</v>
      </c>
      <c r="D1068" s="7" t="s">
        <v>2452</v>
      </c>
      <c r="E1068" s="7" t="s">
        <v>147</v>
      </c>
      <c r="F1068" s="7" t="s">
        <v>119</v>
      </c>
      <c r="G1068" s="7" t="s">
        <v>95</v>
      </c>
      <c r="H1068" s="7" t="n">
        <v>2</v>
      </c>
      <c r="I1068" s="11" t="n">
        <v>165</v>
      </c>
      <c r="J1068" s="11" t="n">
        <v>0</v>
      </c>
      <c r="K1068" s="11" t="n">
        <f aca="false">H1068*I1068-J1068</f>
        <v>330</v>
      </c>
      <c r="L1068" s="7" t="s">
        <v>93</v>
      </c>
      <c r="M1068" s="7" t="s">
        <v>194</v>
      </c>
      <c r="N1068" s="7" t="n">
        <v>31</v>
      </c>
      <c r="O1068" s="7" t="n">
        <v>5</v>
      </c>
    </row>
    <row r="1069" customFormat="false" ht="15" hidden="false" customHeight="false" outlineLevel="0" collapsed="false">
      <c r="A1069" s="7" t="s">
        <v>3116</v>
      </c>
      <c r="B1069" s="10" t="n">
        <v>45795</v>
      </c>
      <c r="C1069" s="7" t="s">
        <v>3118</v>
      </c>
      <c r="D1069" s="7" t="s">
        <v>2614</v>
      </c>
      <c r="E1069" s="7" t="s">
        <v>152</v>
      </c>
      <c r="F1069" s="7" t="s">
        <v>128</v>
      </c>
      <c r="G1069" s="7" t="s">
        <v>95</v>
      </c>
      <c r="H1069" s="7" t="n">
        <v>1</v>
      </c>
      <c r="I1069" s="11" t="n">
        <v>90</v>
      </c>
      <c r="J1069" s="11" t="n">
        <v>36</v>
      </c>
      <c r="K1069" s="11" t="n">
        <f aca="false">H1069*I1069-J1069</f>
        <v>54</v>
      </c>
      <c r="L1069" s="7" t="s">
        <v>88</v>
      </c>
      <c r="M1069" s="7" t="s">
        <v>194</v>
      </c>
      <c r="N1069" s="7" t="n">
        <v>33</v>
      </c>
      <c r="O1069" s="7" t="n">
        <v>5</v>
      </c>
    </row>
    <row r="1070" customFormat="false" ht="15" hidden="false" customHeight="false" outlineLevel="0" collapsed="false">
      <c r="A1070" s="7" t="s">
        <v>5857</v>
      </c>
      <c r="B1070" s="10" t="n">
        <v>45795</v>
      </c>
      <c r="C1070" s="7" t="s">
        <v>2853</v>
      </c>
      <c r="D1070" s="7" t="s">
        <v>4476</v>
      </c>
      <c r="E1070" s="7" t="s">
        <v>167</v>
      </c>
      <c r="F1070" s="7" t="s">
        <v>146</v>
      </c>
      <c r="G1070" s="7" t="s">
        <v>156</v>
      </c>
      <c r="H1070" s="7" t="n">
        <v>2</v>
      </c>
      <c r="I1070" s="11" t="n">
        <v>295</v>
      </c>
      <c r="J1070" s="11" t="n">
        <v>20</v>
      </c>
      <c r="K1070" s="11" t="n">
        <f aca="false">H1070*I1070-J1070</f>
        <v>570</v>
      </c>
      <c r="L1070" s="7" t="s">
        <v>93</v>
      </c>
      <c r="M1070" s="7" t="s">
        <v>194</v>
      </c>
      <c r="N1070" s="7" t="n">
        <v>29</v>
      </c>
      <c r="O1070" s="7" t="n">
        <v>5</v>
      </c>
    </row>
    <row r="1071" customFormat="false" ht="15" hidden="false" customHeight="false" outlineLevel="0" collapsed="false">
      <c r="A1071" s="7" t="s">
        <v>6150</v>
      </c>
      <c r="B1071" s="10" t="n">
        <v>45795</v>
      </c>
      <c r="C1071" s="7" t="s">
        <v>1635</v>
      </c>
      <c r="D1071" s="7" t="s">
        <v>5460</v>
      </c>
      <c r="E1071" s="7" t="s">
        <v>159</v>
      </c>
      <c r="F1071" s="7" t="s">
        <v>136</v>
      </c>
      <c r="G1071" s="7" t="s">
        <v>90</v>
      </c>
      <c r="H1071" s="7" t="n">
        <v>2</v>
      </c>
      <c r="I1071" s="11" t="n">
        <v>240</v>
      </c>
      <c r="J1071" s="11" t="n">
        <v>50</v>
      </c>
      <c r="K1071" s="11" t="n">
        <f aca="false">H1071*I1071-J1071</f>
        <v>430</v>
      </c>
      <c r="L1071" s="7" t="s">
        <v>112</v>
      </c>
      <c r="M1071" s="7" t="s">
        <v>238</v>
      </c>
      <c r="N1071" s="7"/>
      <c r="O1071" s="7"/>
    </row>
    <row r="1072" customFormat="false" ht="15" hidden="false" customHeight="false" outlineLevel="0" collapsed="false">
      <c r="A1072" s="7" t="s">
        <v>5260</v>
      </c>
      <c r="B1072" s="10" t="n">
        <v>45796</v>
      </c>
      <c r="C1072" s="7" t="s">
        <v>4171</v>
      </c>
      <c r="D1072" s="7" t="s">
        <v>5261</v>
      </c>
      <c r="E1072" s="7" t="s">
        <v>149</v>
      </c>
      <c r="F1072" s="7" t="s">
        <v>119</v>
      </c>
      <c r="G1072" s="7" t="s">
        <v>150</v>
      </c>
      <c r="H1072" s="7" t="n">
        <v>2</v>
      </c>
      <c r="I1072" s="11" t="n">
        <v>180</v>
      </c>
      <c r="J1072" s="11" t="n">
        <v>0</v>
      </c>
      <c r="K1072" s="11" t="n">
        <f aca="false">H1072*I1072-J1072</f>
        <v>360</v>
      </c>
      <c r="L1072" s="7" t="s">
        <v>88</v>
      </c>
      <c r="M1072" s="7" t="s">
        <v>238</v>
      </c>
      <c r="N1072" s="7"/>
      <c r="O1072" s="7"/>
    </row>
    <row r="1073" customFormat="false" ht="15" hidden="false" customHeight="false" outlineLevel="0" collapsed="false">
      <c r="A1073" s="7" t="s">
        <v>4961</v>
      </c>
      <c r="B1073" s="10" t="n">
        <v>45796</v>
      </c>
      <c r="C1073" s="7" t="s">
        <v>679</v>
      </c>
      <c r="D1073" s="7" t="s">
        <v>246</v>
      </c>
      <c r="E1073" s="7" t="s">
        <v>89</v>
      </c>
      <c r="F1073" s="7" t="s">
        <v>86</v>
      </c>
      <c r="G1073" s="7" t="s">
        <v>90</v>
      </c>
      <c r="H1073" s="7" t="n">
        <v>3</v>
      </c>
      <c r="I1073" s="11" t="n">
        <v>235</v>
      </c>
      <c r="J1073" s="11" t="n">
        <v>100</v>
      </c>
      <c r="K1073" s="11" t="n">
        <f aca="false">H1073*I1073-J1073</f>
        <v>605</v>
      </c>
      <c r="L1073" s="7" t="s">
        <v>121</v>
      </c>
      <c r="M1073" s="7" t="s">
        <v>194</v>
      </c>
      <c r="N1073" s="7" t="n">
        <v>39</v>
      </c>
      <c r="O1073" s="7" t="n">
        <v>5</v>
      </c>
    </row>
    <row r="1074" customFormat="false" ht="15" hidden="false" customHeight="false" outlineLevel="0" collapsed="false">
      <c r="A1074" s="7" t="s">
        <v>2071</v>
      </c>
      <c r="B1074" s="10" t="n">
        <v>45796</v>
      </c>
      <c r="C1074" s="7" t="s">
        <v>377</v>
      </c>
      <c r="D1074" s="7" t="s">
        <v>2072</v>
      </c>
      <c r="E1074" s="7" t="s">
        <v>160</v>
      </c>
      <c r="F1074" s="7" t="s">
        <v>136</v>
      </c>
      <c r="G1074" s="7" t="s">
        <v>150</v>
      </c>
      <c r="H1074" s="7" t="n">
        <v>5</v>
      </c>
      <c r="I1074" s="11" t="n">
        <v>200</v>
      </c>
      <c r="J1074" s="11" t="n">
        <v>0</v>
      </c>
      <c r="K1074" s="11" t="n">
        <f aca="false">H1074*I1074-J1074</f>
        <v>1000</v>
      </c>
      <c r="L1074" s="7" t="s">
        <v>121</v>
      </c>
      <c r="M1074" s="7" t="s">
        <v>194</v>
      </c>
      <c r="N1074" s="7" t="n">
        <v>37</v>
      </c>
      <c r="O1074" s="7" t="n">
        <v>3</v>
      </c>
    </row>
    <row r="1075" customFormat="false" ht="15" hidden="false" customHeight="false" outlineLevel="0" collapsed="false">
      <c r="A1075" s="7" t="s">
        <v>1451</v>
      </c>
      <c r="B1075" s="10" t="n">
        <v>45796</v>
      </c>
      <c r="C1075" s="7" t="s">
        <v>1452</v>
      </c>
      <c r="D1075" s="7" t="s">
        <v>1453</v>
      </c>
      <c r="E1075" s="7" t="s">
        <v>147</v>
      </c>
      <c r="F1075" s="7" t="s">
        <v>119</v>
      </c>
      <c r="G1075" s="7" t="s">
        <v>95</v>
      </c>
      <c r="H1075" s="7" t="n">
        <v>4</v>
      </c>
      <c r="I1075" s="11" t="n">
        <v>165</v>
      </c>
      <c r="J1075" s="11" t="n">
        <v>20</v>
      </c>
      <c r="K1075" s="11" t="n">
        <f aca="false">H1075*I1075-J1075</f>
        <v>640</v>
      </c>
      <c r="L1075" s="7" t="s">
        <v>133</v>
      </c>
      <c r="M1075" s="7" t="s">
        <v>194</v>
      </c>
      <c r="N1075" s="7" t="n">
        <v>47</v>
      </c>
      <c r="O1075" s="7" t="n">
        <v>3</v>
      </c>
    </row>
    <row r="1076" customFormat="false" ht="15" hidden="false" customHeight="false" outlineLevel="0" collapsed="false">
      <c r="A1076" s="7" t="s">
        <v>5173</v>
      </c>
      <c r="B1076" s="10" t="n">
        <v>45796</v>
      </c>
      <c r="C1076" s="7" t="s">
        <v>2602</v>
      </c>
      <c r="D1076" s="7" t="s">
        <v>4755</v>
      </c>
      <c r="E1076" s="7" t="s">
        <v>149</v>
      </c>
      <c r="F1076" s="7" t="s">
        <v>119</v>
      </c>
      <c r="G1076" s="7" t="s">
        <v>150</v>
      </c>
      <c r="H1076" s="7" t="n">
        <v>1</v>
      </c>
      <c r="I1076" s="11" t="n">
        <v>160</v>
      </c>
      <c r="J1076" s="11" t="n">
        <v>30</v>
      </c>
      <c r="K1076" s="11" t="n">
        <f aca="false">H1076*I1076-J1076</f>
        <v>130</v>
      </c>
      <c r="L1076" s="7" t="s">
        <v>88</v>
      </c>
      <c r="M1076" s="7" t="s">
        <v>194</v>
      </c>
      <c r="N1076" s="7" t="n">
        <v>32</v>
      </c>
      <c r="O1076" s="7" t="n">
        <v>3</v>
      </c>
    </row>
    <row r="1077" customFormat="false" ht="15" hidden="false" customHeight="false" outlineLevel="0" collapsed="false">
      <c r="A1077" s="7" t="s">
        <v>1863</v>
      </c>
      <c r="B1077" s="10" t="n">
        <v>45796</v>
      </c>
      <c r="C1077" s="7" t="s">
        <v>1864</v>
      </c>
      <c r="D1077" s="7" t="s">
        <v>1865</v>
      </c>
      <c r="E1077" s="7" t="s">
        <v>126</v>
      </c>
      <c r="F1077" s="7" t="s">
        <v>101</v>
      </c>
      <c r="G1077" s="7" t="s">
        <v>105</v>
      </c>
      <c r="H1077" s="7" t="n">
        <v>1</v>
      </c>
      <c r="I1077" s="11" t="n">
        <v>210</v>
      </c>
      <c r="J1077" s="11" t="n">
        <v>0</v>
      </c>
      <c r="K1077" s="11" t="n">
        <f aca="false">H1077*I1077-J1077</f>
        <v>210</v>
      </c>
      <c r="L1077" s="7" t="s">
        <v>88</v>
      </c>
      <c r="M1077" s="7" t="s">
        <v>194</v>
      </c>
      <c r="N1077" s="7" t="n">
        <v>30</v>
      </c>
      <c r="O1077" s="7" t="n">
        <v>4</v>
      </c>
    </row>
    <row r="1078" customFormat="false" ht="15" hidden="false" customHeight="false" outlineLevel="0" collapsed="false">
      <c r="A1078" s="7" t="s">
        <v>6145</v>
      </c>
      <c r="B1078" s="10" t="n">
        <v>45796</v>
      </c>
      <c r="C1078" s="7" t="s">
        <v>2064</v>
      </c>
      <c r="D1078" s="7" t="s">
        <v>1077</v>
      </c>
      <c r="E1078" s="7" t="s">
        <v>113</v>
      </c>
      <c r="F1078" s="7" t="s">
        <v>101</v>
      </c>
      <c r="G1078" s="7" t="s">
        <v>90</v>
      </c>
      <c r="H1078" s="7" t="n">
        <v>2</v>
      </c>
      <c r="I1078" s="11" t="n">
        <v>235</v>
      </c>
      <c r="J1078" s="11" t="n">
        <v>40</v>
      </c>
      <c r="K1078" s="11" t="n">
        <f aca="false">H1078*I1078-J1078</f>
        <v>430</v>
      </c>
      <c r="L1078" s="7" t="s">
        <v>88</v>
      </c>
      <c r="M1078" s="7" t="s">
        <v>194</v>
      </c>
      <c r="N1078" s="7" t="n">
        <v>39</v>
      </c>
      <c r="O1078" s="7"/>
    </row>
    <row r="1079" customFormat="false" ht="15" hidden="false" customHeight="false" outlineLevel="0" collapsed="false">
      <c r="A1079" s="7" t="s">
        <v>2933</v>
      </c>
      <c r="B1079" s="10" t="n">
        <v>45796</v>
      </c>
      <c r="C1079" s="7" t="s">
        <v>2644</v>
      </c>
      <c r="D1079" s="7" t="s">
        <v>2934</v>
      </c>
      <c r="E1079" s="7" t="s">
        <v>159</v>
      </c>
      <c r="F1079" s="7" t="s">
        <v>136</v>
      </c>
      <c r="G1079" s="7" t="s">
        <v>90</v>
      </c>
      <c r="H1079" s="7" t="n">
        <v>1</v>
      </c>
      <c r="I1079" s="11" t="n">
        <v>260</v>
      </c>
      <c r="J1079" s="11" t="n">
        <v>104</v>
      </c>
      <c r="K1079" s="11" t="n">
        <f aca="false">H1079*I1079-J1079</f>
        <v>156</v>
      </c>
      <c r="L1079" s="7" t="s">
        <v>93</v>
      </c>
      <c r="M1079" s="7" t="s">
        <v>194</v>
      </c>
      <c r="N1079" s="7" t="n">
        <v>42</v>
      </c>
      <c r="O1079" s="7"/>
    </row>
    <row r="1080" customFormat="false" ht="15" hidden="false" customHeight="false" outlineLevel="0" collapsed="false">
      <c r="A1080" s="7" t="s">
        <v>5858</v>
      </c>
      <c r="B1080" s="10" t="n">
        <v>45796</v>
      </c>
      <c r="C1080" s="7" t="s">
        <v>1211</v>
      </c>
      <c r="D1080" s="7" t="s">
        <v>5003</v>
      </c>
      <c r="E1080" s="7" t="s">
        <v>159</v>
      </c>
      <c r="F1080" s="7" t="s">
        <v>136</v>
      </c>
      <c r="G1080" s="7" t="s">
        <v>90</v>
      </c>
      <c r="H1080" s="7" t="n">
        <v>2</v>
      </c>
      <c r="I1080" s="11" t="n">
        <v>170</v>
      </c>
      <c r="J1080" s="11" t="n">
        <v>50</v>
      </c>
      <c r="K1080" s="11" t="n">
        <f aca="false">H1080*I1080-J1080</f>
        <v>290</v>
      </c>
      <c r="L1080" s="7" t="s">
        <v>88</v>
      </c>
      <c r="M1080" s="7" t="s">
        <v>238</v>
      </c>
      <c r="N1080" s="7"/>
      <c r="O1080" s="7"/>
    </row>
    <row r="1081" customFormat="false" ht="15" hidden="false" customHeight="false" outlineLevel="0" collapsed="false">
      <c r="A1081" s="7" t="s">
        <v>1311</v>
      </c>
      <c r="B1081" s="10" t="n">
        <v>45796</v>
      </c>
      <c r="C1081" s="7" t="s">
        <v>1313</v>
      </c>
      <c r="D1081" s="7" t="s">
        <v>1314</v>
      </c>
      <c r="E1081" s="7" t="s">
        <v>94</v>
      </c>
      <c r="F1081" s="7" t="s">
        <v>86</v>
      </c>
      <c r="G1081" s="7" t="s">
        <v>95</v>
      </c>
      <c r="H1081" s="7" t="n">
        <v>5</v>
      </c>
      <c r="I1081" s="11" t="n">
        <v>125</v>
      </c>
      <c r="J1081" s="11" t="n">
        <v>50</v>
      </c>
      <c r="K1081" s="11" t="n">
        <f aca="false">H1081*I1081-J1081</f>
        <v>575</v>
      </c>
      <c r="L1081" s="7" t="s">
        <v>93</v>
      </c>
      <c r="M1081" s="7" t="s">
        <v>194</v>
      </c>
      <c r="N1081" s="7" t="n">
        <v>38</v>
      </c>
      <c r="O1081" s="7" t="n">
        <v>4</v>
      </c>
    </row>
    <row r="1082" customFormat="false" ht="15" hidden="false" customHeight="false" outlineLevel="0" collapsed="false">
      <c r="A1082" s="7" t="s">
        <v>5645</v>
      </c>
      <c r="B1082" s="10" t="n">
        <v>45797</v>
      </c>
      <c r="C1082" s="7" t="s">
        <v>591</v>
      </c>
      <c r="D1082" s="7" t="s">
        <v>1590</v>
      </c>
      <c r="E1082" s="7" t="s">
        <v>113</v>
      </c>
      <c r="F1082" s="7" t="s">
        <v>101</v>
      </c>
      <c r="G1082" s="7" t="s">
        <v>90</v>
      </c>
      <c r="H1082" s="7" t="n">
        <v>1</v>
      </c>
      <c r="I1082" s="11" t="n">
        <v>255</v>
      </c>
      <c r="J1082" s="11" t="n">
        <v>30</v>
      </c>
      <c r="K1082" s="11" t="n">
        <f aca="false">H1082*I1082-J1082</f>
        <v>225</v>
      </c>
      <c r="L1082" s="7" t="s">
        <v>88</v>
      </c>
      <c r="M1082" s="7" t="s">
        <v>194</v>
      </c>
      <c r="N1082" s="7" t="n">
        <v>33</v>
      </c>
      <c r="O1082" s="7" t="n">
        <v>3</v>
      </c>
    </row>
    <row r="1083" customFormat="false" ht="15" hidden="false" customHeight="false" outlineLevel="0" collapsed="false">
      <c r="A1083" s="7" t="s">
        <v>3145</v>
      </c>
      <c r="B1083" s="10" t="n">
        <v>45797</v>
      </c>
      <c r="C1083" s="7" t="s">
        <v>2932</v>
      </c>
      <c r="D1083" s="7" t="s">
        <v>3146</v>
      </c>
      <c r="E1083" s="7" t="s">
        <v>130</v>
      </c>
      <c r="F1083" s="7" t="s">
        <v>110</v>
      </c>
      <c r="G1083" s="7" t="s">
        <v>90</v>
      </c>
      <c r="H1083" s="7" t="n">
        <v>2</v>
      </c>
      <c r="I1083" s="11" t="n">
        <v>175</v>
      </c>
      <c r="J1083" s="11" t="n">
        <v>0</v>
      </c>
      <c r="K1083" s="11" t="n">
        <f aca="false">H1083*I1083-J1083</f>
        <v>350</v>
      </c>
      <c r="L1083" s="7" t="s">
        <v>88</v>
      </c>
      <c r="M1083" s="7" t="s">
        <v>194</v>
      </c>
      <c r="N1083" s="7" t="n">
        <v>37</v>
      </c>
      <c r="O1083" s="7" t="n">
        <v>4</v>
      </c>
    </row>
    <row r="1084" customFormat="false" ht="15" hidden="false" customHeight="false" outlineLevel="0" collapsed="false">
      <c r="A1084" s="7" t="s">
        <v>5336</v>
      </c>
      <c r="B1084" s="10" t="n">
        <v>45797</v>
      </c>
      <c r="C1084" s="7" t="s">
        <v>555</v>
      </c>
      <c r="D1084" s="7" t="s">
        <v>1627</v>
      </c>
      <c r="E1084" s="7" t="s">
        <v>152</v>
      </c>
      <c r="F1084" s="7" t="s">
        <v>128</v>
      </c>
      <c r="G1084" s="7" t="s">
        <v>95</v>
      </c>
      <c r="H1084" s="7" t="n">
        <v>2</v>
      </c>
      <c r="I1084" s="11" t="n">
        <v>105</v>
      </c>
      <c r="J1084" s="11" t="n">
        <v>40</v>
      </c>
      <c r="K1084" s="11" t="n">
        <f aca="false">H1084*I1084-J1084</f>
        <v>170</v>
      </c>
      <c r="L1084" s="7" t="s">
        <v>103</v>
      </c>
      <c r="M1084" s="7" t="s">
        <v>194</v>
      </c>
      <c r="N1084" s="7" t="n">
        <v>34</v>
      </c>
      <c r="O1084" s="7" t="n">
        <v>5</v>
      </c>
    </row>
    <row r="1085" customFormat="false" ht="15" hidden="false" customHeight="false" outlineLevel="0" collapsed="false">
      <c r="A1085" s="7" t="s">
        <v>4328</v>
      </c>
      <c r="B1085" s="10" t="n">
        <v>45797</v>
      </c>
      <c r="C1085" s="7" t="s">
        <v>3460</v>
      </c>
      <c r="D1085" s="7" t="s">
        <v>1241</v>
      </c>
      <c r="E1085" s="7" t="s">
        <v>98</v>
      </c>
      <c r="F1085" s="7" t="s">
        <v>86</v>
      </c>
      <c r="G1085" s="7" t="s">
        <v>99</v>
      </c>
      <c r="H1085" s="7" t="n">
        <v>3</v>
      </c>
      <c r="I1085" s="11" t="n">
        <v>290</v>
      </c>
      <c r="J1085" s="11" t="n">
        <v>150</v>
      </c>
      <c r="K1085" s="11" t="n">
        <f aca="false">H1085*I1085-J1085</f>
        <v>720</v>
      </c>
      <c r="L1085" s="7" t="s">
        <v>93</v>
      </c>
      <c r="M1085" s="7" t="s">
        <v>194</v>
      </c>
      <c r="N1085" s="7" t="n">
        <v>44</v>
      </c>
      <c r="O1085" s="7"/>
    </row>
    <row r="1086" customFormat="false" ht="15" hidden="false" customHeight="false" outlineLevel="0" collapsed="false">
      <c r="A1086" s="7" t="s">
        <v>6075</v>
      </c>
      <c r="B1086" s="10" t="n">
        <v>45797</v>
      </c>
      <c r="C1086" s="7" t="s">
        <v>1336</v>
      </c>
      <c r="D1086" s="7" t="s">
        <v>631</v>
      </c>
      <c r="E1086" s="7" t="s">
        <v>122</v>
      </c>
      <c r="F1086" s="7" t="s">
        <v>101</v>
      </c>
      <c r="G1086" s="7" t="s">
        <v>123</v>
      </c>
      <c r="H1086" s="7" t="n">
        <v>1</v>
      </c>
      <c r="I1086" s="11" t="n">
        <v>385</v>
      </c>
      <c r="J1086" s="11" t="n">
        <v>0</v>
      </c>
      <c r="K1086" s="11" t="n">
        <f aca="false">H1086*I1086-J1086</f>
        <v>385</v>
      </c>
      <c r="L1086" s="7" t="s">
        <v>93</v>
      </c>
      <c r="M1086" s="7" t="s">
        <v>238</v>
      </c>
      <c r="N1086" s="7"/>
      <c r="O1086" s="7"/>
    </row>
    <row r="1087" customFormat="false" ht="15" hidden="false" customHeight="false" outlineLevel="0" collapsed="false">
      <c r="A1087" s="7" t="s">
        <v>4763</v>
      </c>
      <c r="B1087" s="10" t="n">
        <v>45797</v>
      </c>
      <c r="C1087" s="7" t="s">
        <v>280</v>
      </c>
      <c r="D1087" s="7" t="s">
        <v>905</v>
      </c>
      <c r="E1087" s="7" t="s">
        <v>134</v>
      </c>
      <c r="F1087" s="7" t="s">
        <v>110</v>
      </c>
      <c r="G1087" s="7" t="s">
        <v>117</v>
      </c>
      <c r="H1087" s="7" t="n">
        <v>4</v>
      </c>
      <c r="I1087" s="11" t="n">
        <v>135</v>
      </c>
      <c r="J1087" s="11" t="n">
        <v>0</v>
      </c>
      <c r="K1087" s="11" t="n">
        <f aca="false">H1087*I1087-J1087</f>
        <v>540</v>
      </c>
      <c r="L1087" s="7" t="s">
        <v>88</v>
      </c>
      <c r="M1087" s="7" t="s">
        <v>194</v>
      </c>
      <c r="N1087" s="7" t="n">
        <v>28</v>
      </c>
      <c r="O1087" s="7" t="n">
        <v>4</v>
      </c>
    </row>
    <row r="1088" customFormat="false" ht="15" hidden="false" customHeight="false" outlineLevel="0" collapsed="false">
      <c r="A1088" s="7" t="s">
        <v>2915</v>
      </c>
      <c r="B1088" s="10" t="n">
        <v>45797</v>
      </c>
      <c r="C1088" s="7" t="s">
        <v>2917</v>
      </c>
      <c r="D1088" s="7" t="s">
        <v>2918</v>
      </c>
      <c r="E1088" s="7" t="s">
        <v>163</v>
      </c>
      <c r="F1088" s="7" t="s">
        <v>141</v>
      </c>
      <c r="G1088" s="7" t="s">
        <v>99</v>
      </c>
      <c r="H1088" s="7" t="n">
        <v>3</v>
      </c>
      <c r="I1088" s="11" t="n">
        <v>300</v>
      </c>
      <c r="J1088" s="11" t="n">
        <v>75</v>
      </c>
      <c r="K1088" s="11" t="n">
        <f aca="false">H1088*I1088-J1088</f>
        <v>825</v>
      </c>
      <c r="L1088" s="7" t="s">
        <v>93</v>
      </c>
      <c r="M1088" s="7" t="s">
        <v>238</v>
      </c>
      <c r="N1088" s="7"/>
      <c r="O1088" s="7"/>
    </row>
    <row r="1089" customFormat="false" ht="15" hidden="false" customHeight="false" outlineLevel="0" collapsed="false">
      <c r="A1089" s="7" t="s">
        <v>5690</v>
      </c>
      <c r="B1089" s="10" t="n">
        <v>45798</v>
      </c>
      <c r="C1089" s="7" t="s">
        <v>486</v>
      </c>
      <c r="D1089" s="7" t="s">
        <v>4561</v>
      </c>
      <c r="E1089" s="7" t="s">
        <v>98</v>
      </c>
      <c r="F1089" s="7" t="s">
        <v>86</v>
      </c>
      <c r="G1089" s="7" t="s">
        <v>99</v>
      </c>
      <c r="H1089" s="7" t="n">
        <v>4</v>
      </c>
      <c r="I1089" s="11" t="n">
        <v>265</v>
      </c>
      <c r="J1089" s="11" t="n">
        <v>0</v>
      </c>
      <c r="K1089" s="11" t="n">
        <f aca="false">H1089*I1089-J1089</f>
        <v>1060</v>
      </c>
      <c r="L1089" s="7" t="s">
        <v>88</v>
      </c>
      <c r="M1089" s="7" t="s">
        <v>194</v>
      </c>
      <c r="N1089" s="7" t="n">
        <v>33</v>
      </c>
      <c r="O1089" s="7" t="n">
        <v>5</v>
      </c>
    </row>
    <row r="1090" customFormat="false" ht="15" hidden="false" customHeight="false" outlineLevel="0" collapsed="false">
      <c r="A1090" s="7" t="s">
        <v>3288</v>
      </c>
      <c r="B1090" s="10" t="n">
        <v>45798</v>
      </c>
      <c r="C1090" s="7" t="s">
        <v>3289</v>
      </c>
      <c r="D1090" s="7" t="s">
        <v>2052</v>
      </c>
      <c r="E1090" s="7" t="s">
        <v>122</v>
      </c>
      <c r="F1090" s="7" t="s">
        <v>101</v>
      </c>
      <c r="G1090" s="7" t="s">
        <v>123</v>
      </c>
      <c r="H1090" s="7" t="n">
        <v>3</v>
      </c>
      <c r="I1090" s="11" t="n">
        <v>385</v>
      </c>
      <c r="J1090" s="11" t="n">
        <v>125</v>
      </c>
      <c r="K1090" s="11" t="n">
        <f aca="false">H1090*I1090-J1090</f>
        <v>1030</v>
      </c>
      <c r="L1090" s="7" t="s">
        <v>112</v>
      </c>
      <c r="M1090" s="7" t="s">
        <v>194</v>
      </c>
      <c r="N1090" s="7" t="n">
        <v>50</v>
      </c>
      <c r="O1090" s="7" t="n">
        <v>3</v>
      </c>
    </row>
    <row r="1091" customFormat="false" ht="15" hidden="false" customHeight="false" outlineLevel="0" collapsed="false">
      <c r="A1091" s="7" t="s">
        <v>5800</v>
      </c>
      <c r="B1091" s="10" t="n">
        <v>45798</v>
      </c>
      <c r="C1091" s="7" t="s">
        <v>2439</v>
      </c>
      <c r="D1091" s="7" t="s">
        <v>5624</v>
      </c>
      <c r="E1091" s="7" t="s">
        <v>98</v>
      </c>
      <c r="F1091" s="7" t="s">
        <v>86</v>
      </c>
      <c r="G1091" s="7" t="s">
        <v>99</v>
      </c>
      <c r="H1091" s="7" t="n">
        <v>1</v>
      </c>
      <c r="I1091" s="11" t="n">
        <v>260</v>
      </c>
      <c r="J1091" s="11" t="n">
        <v>0</v>
      </c>
      <c r="K1091" s="11" t="n">
        <f aca="false">H1091*I1091-J1091</f>
        <v>260</v>
      </c>
      <c r="L1091" s="7" t="s">
        <v>88</v>
      </c>
      <c r="M1091" s="7" t="s">
        <v>194</v>
      </c>
      <c r="N1091" s="7" t="n">
        <v>40</v>
      </c>
      <c r="O1091" s="7" t="n">
        <v>5</v>
      </c>
    </row>
    <row r="1092" customFormat="false" ht="15" hidden="false" customHeight="false" outlineLevel="0" collapsed="false">
      <c r="A1092" s="7" t="s">
        <v>3230</v>
      </c>
      <c r="B1092" s="10" t="n">
        <v>45798</v>
      </c>
      <c r="C1092" s="7" t="s">
        <v>1058</v>
      </c>
      <c r="D1092" s="7" t="s">
        <v>2497</v>
      </c>
      <c r="E1092" s="7" t="s">
        <v>116</v>
      </c>
      <c r="F1092" s="7" t="s">
        <v>101</v>
      </c>
      <c r="G1092" s="7" t="s">
        <v>117</v>
      </c>
      <c r="H1092" s="7" t="n">
        <v>2</v>
      </c>
      <c r="I1092" s="11" t="n">
        <v>125</v>
      </c>
      <c r="J1092" s="11" t="n">
        <v>30</v>
      </c>
      <c r="K1092" s="11" t="n">
        <f aca="false">H1092*I1092-J1092</f>
        <v>220</v>
      </c>
      <c r="L1092" s="7" t="s">
        <v>93</v>
      </c>
      <c r="M1092" s="7" t="s">
        <v>194</v>
      </c>
      <c r="N1092" s="7" t="n">
        <v>45</v>
      </c>
      <c r="O1092" s="7" t="n">
        <v>2</v>
      </c>
    </row>
    <row r="1093" customFormat="false" ht="15" hidden="false" customHeight="false" outlineLevel="0" collapsed="false">
      <c r="A1093" s="7" t="s">
        <v>4295</v>
      </c>
      <c r="B1093" s="10" t="n">
        <v>45799</v>
      </c>
      <c r="C1093" s="7" t="s">
        <v>4297</v>
      </c>
      <c r="D1093" s="7" t="s">
        <v>4020</v>
      </c>
      <c r="E1093" s="7" t="s">
        <v>165</v>
      </c>
      <c r="F1093" s="7" t="s">
        <v>146</v>
      </c>
      <c r="G1093" s="7" t="s">
        <v>90</v>
      </c>
      <c r="H1093" s="7" t="n">
        <v>1</v>
      </c>
      <c r="I1093" s="11" t="n">
        <v>155</v>
      </c>
      <c r="J1093" s="11" t="n">
        <v>62</v>
      </c>
      <c r="K1093" s="11" t="n">
        <f aca="false">H1093*I1093-J1093</f>
        <v>93</v>
      </c>
      <c r="L1093" s="7" t="s">
        <v>88</v>
      </c>
      <c r="M1093" s="7" t="s">
        <v>194</v>
      </c>
      <c r="N1093" s="7" t="n">
        <v>48</v>
      </c>
      <c r="O1093" s="7" t="n">
        <v>5</v>
      </c>
    </row>
    <row r="1094" customFormat="false" ht="15" hidden="false" customHeight="false" outlineLevel="0" collapsed="false">
      <c r="A1094" s="7" t="s">
        <v>3514</v>
      </c>
      <c r="B1094" s="10" t="n">
        <v>45799</v>
      </c>
      <c r="C1094" s="7" t="s">
        <v>1910</v>
      </c>
      <c r="D1094" s="7" t="s">
        <v>1636</v>
      </c>
      <c r="E1094" s="7" t="s">
        <v>98</v>
      </c>
      <c r="F1094" s="7" t="s">
        <v>86</v>
      </c>
      <c r="G1094" s="7" t="s">
        <v>99</v>
      </c>
      <c r="H1094" s="7" t="n">
        <v>1</v>
      </c>
      <c r="I1094" s="11" t="n">
        <v>275</v>
      </c>
      <c r="J1094" s="11" t="n">
        <v>50</v>
      </c>
      <c r="K1094" s="11" t="n">
        <f aca="false">H1094*I1094-J1094</f>
        <v>225</v>
      </c>
      <c r="L1094" s="7" t="s">
        <v>88</v>
      </c>
      <c r="M1094" s="7" t="s">
        <v>194</v>
      </c>
      <c r="N1094" s="7" t="n">
        <v>48</v>
      </c>
      <c r="O1094" s="7" t="n">
        <v>5</v>
      </c>
    </row>
    <row r="1095" customFormat="false" ht="15" hidden="false" customHeight="false" outlineLevel="0" collapsed="false">
      <c r="A1095" s="7" t="s">
        <v>2089</v>
      </c>
      <c r="B1095" s="10" t="n">
        <v>45799</v>
      </c>
      <c r="C1095" s="7" t="s">
        <v>1137</v>
      </c>
      <c r="D1095" s="7" t="s">
        <v>2091</v>
      </c>
      <c r="E1095" s="7" t="s">
        <v>168</v>
      </c>
      <c r="F1095" s="7" t="s">
        <v>146</v>
      </c>
      <c r="G1095" s="7" t="s">
        <v>123</v>
      </c>
      <c r="H1095" s="7" t="n">
        <v>1</v>
      </c>
      <c r="I1095" s="11" t="n">
        <v>265</v>
      </c>
      <c r="J1095" s="11" t="n">
        <v>0</v>
      </c>
      <c r="K1095" s="11" t="n">
        <f aca="false">H1095*I1095-J1095</f>
        <v>265</v>
      </c>
      <c r="L1095" s="7" t="s">
        <v>88</v>
      </c>
      <c r="M1095" s="7" t="s">
        <v>194</v>
      </c>
      <c r="N1095" s="7" t="n">
        <v>22</v>
      </c>
      <c r="O1095" s="7" t="n">
        <v>3</v>
      </c>
    </row>
    <row r="1096" customFormat="false" ht="15" hidden="false" customHeight="false" outlineLevel="0" collapsed="false">
      <c r="A1096" s="7" t="s">
        <v>4942</v>
      </c>
      <c r="B1096" s="10" t="n">
        <v>45799</v>
      </c>
      <c r="C1096" s="7" t="s">
        <v>1864</v>
      </c>
      <c r="D1096" s="7" t="s">
        <v>4943</v>
      </c>
      <c r="E1096" s="7" t="s">
        <v>104</v>
      </c>
      <c r="F1096" s="7" t="s">
        <v>86</v>
      </c>
      <c r="G1096" s="7" t="s">
        <v>105</v>
      </c>
      <c r="H1096" s="7" t="n">
        <v>1</v>
      </c>
      <c r="I1096" s="11" t="n">
        <v>220</v>
      </c>
      <c r="J1096" s="11" t="n">
        <v>88</v>
      </c>
      <c r="K1096" s="11" t="n">
        <f aca="false">H1096*I1096-J1096</f>
        <v>132</v>
      </c>
      <c r="L1096" s="7" t="s">
        <v>88</v>
      </c>
      <c r="M1096" s="7" t="s">
        <v>194</v>
      </c>
      <c r="N1096" s="7" t="n">
        <v>32</v>
      </c>
      <c r="O1096" s="7" t="n">
        <v>4</v>
      </c>
    </row>
    <row r="1097" customFormat="false" ht="15" hidden="false" customHeight="false" outlineLevel="0" collapsed="false">
      <c r="A1097" s="7" t="s">
        <v>4976</v>
      </c>
      <c r="B1097" s="10" t="n">
        <v>45799</v>
      </c>
      <c r="C1097" s="7" t="s">
        <v>914</v>
      </c>
      <c r="D1097" s="7" t="s">
        <v>1484</v>
      </c>
      <c r="E1097" s="7" t="s">
        <v>160</v>
      </c>
      <c r="F1097" s="7" t="s">
        <v>136</v>
      </c>
      <c r="G1097" s="7" t="s">
        <v>150</v>
      </c>
      <c r="H1097" s="7" t="n">
        <v>4</v>
      </c>
      <c r="I1097" s="11" t="n">
        <v>195</v>
      </c>
      <c r="J1097" s="11" t="n">
        <v>50</v>
      </c>
      <c r="K1097" s="11" t="n">
        <f aca="false">H1097*I1097-J1097</f>
        <v>730</v>
      </c>
      <c r="L1097" s="7" t="s">
        <v>88</v>
      </c>
      <c r="M1097" s="7" t="s">
        <v>194</v>
      </c>
      <c r="N1097" s="7" t="n">
        <v>26</v>
      </c>
      <c r="O1097" s="7" t="n">
        <v>2</v>
      </c>
    </row>
    <row r="1098" customFormat="false" ht="15" hidden="false" customHeight="false" outlineLevel="0" collapsed="false">
      <c r="A1098" s="7" t="s">
        <v>3740</v>
      </c>
      <c r="B1098" s="10" t="n">
        <v>45799</v>
      </c>
      <c r="C1098" s="7" t="s">
        <v>2917</v>
      </c>
      <c r="D1098" s="7" t="s">
        <v>3454</v>
      </c>
      <c r="E1098" s="7" t="s">
        <v>130</v>
      </c>
      <c r="F1098" s="7" t="s">
        <v>110</v>
      </c>
      <c r="G1098" s="7" t="s">
        <v>90</v>
      </c>
      <c r="H1098" s="7" t="n">
        <v>1</v>
      </c>
      <c r="I1098" s="11" t="n">
        <v>235</v>
      </c>
      <c r="J1098" s="11" t="n">
        <v>0</v>
      </c>
      <c r="K1098" s="11" t="n">
        <f aca="false">H1098*I1098-J1098</f>
        <v>235</v>
      </c>
      <c r="L1098" s="7" t="s">
        <v>88</v>
      </c>
      <c r="M1098" s="7" t="s">
        <v>194</v>
      </c>
      <c r="N1098" s="7" t="n">
        <v>60</v>
      </c>
      <c r="O1098" s="7" t="n">
        <v>5</v>
      </c>
    </row>
    <row r="1099" customFormat="false" ht="15" hidden="false" customHeight="false" outlineLevel="0" collapsed="false">
      <c r="A1099" s="7" t="s">
        <v>4094</v>
      </c>
      <c r="B1099" s="10" t="n">
        <v>45799</v>
      </c>
      <c r="C1099" s="7" t="s">
        <v>437</v>
      </c>
      <c r="D1099" s="7" t="s">
        <v>2326</v>
      </c>
      <c r="E1099" s="7" t="s">
        <v>138</v>
      </c>
      <c r="F1099" s="7" t="s">
        <v>110</v>
      </c>
      <c r="G1099" s="7" t="s">
        <v>139</v>
      </c>
      <c r="H1099" s="7" t="n">
        <v>5</v>
      </c>
      <c r="I1099" s="11" t="n">
        <v>195</v>
      </c>
      <c r="J1099" s="11" t="n">
        <v>0</v>
      </c>
      <c r="K1099" s="11" t="n">
        <f aca="false">H1099*I1099-J1099</f>
        <v>975</v>
      </c>
      <c r="L1099" s="7" t="s">
        <v>93</v>
      </c>
      <c r="M1099" s="7" t="s">
        <v>194</v>
      </c>
      <c r="N1099" s="7" t="n">
        <v>39</v>
      </c>
      <c r="O1099" s="7" t="n">
        <v>5</v>
      </c>
    </row>
    <row r="1100" customFormat="false" ht="15" hidden="false" customHeight="false" outlineLevel="0" collapsed="false">
      <c r="A1100" s="7" t="s">
        <v>4479</v>
      </c>
      <c r="B1100" s="10" t="n">
        <v>45800</v>
      </c>
      <c r="C1100" s="7" t="s">
        <v>2901</v>
      </c>
      <c r="D1100" s="7" t="s">
        <v>4480</v>
      </c>
      <c r="E1100" s="7" t="s">
        <v>94</v>
      </c>
      <c r="F1100" s="7" t="s">
        <v>86</v>
      </c>
      <c r="G1100" s="7" t="s">
        <v>95</v>
      </c>
      <c r="H1100" s="7" t="n">
        <v>2</v>
      </c>
      <c r="I1100" s="11" t="n">
        <v>135</v>
      </c>
      <c r="J1100" s="11" t="n">
        <v>108</v>
      </c>
      <c r="K1100" s="11" t="n">
        <f aca="false">H1100*I1100-J1100</f>
        <v>162</v>
      </c>
      <c r="L1100" s="7" t="s">
        <v>121</v>
      </c>
      <c r="M1100" s="7" t="s">
        <v>194</v>
      </c>
      <c r="N1100" s="7" t="n">
        <v>44</v>
      </c>
      <c r="O1100" s="7" t="n">
        <v>4</v>
      </c>
    </row>
    <row r="1101" customFormat="false" ht="15" hidden="false" customHeight="false" outlineLevel="0" collapsed="false">
      <c r="A1101" s="7" t="s">
        <v>3019</v>
      </c>
      <c r="B1101" s="10" t="n">
        <v>45800</v>
      </c>
      <c r="C1101" s="7" t="s">
        <v>743</v>
      </c>
      <c r="D1101" s="7" t="s">
        <v>880</v>
      </c>
      <c r="E1101" s="7" t="s">
        <v>126</v>
      </c>
      <c r="F1101" s="7" t="s">
        <v>101</v>
      </c>
      <c r="G1101" s="7" t="s">
        <v>105</v>
      </c>
      <c r="H1101" s="7" t="n">
        <v>2</v>
      </c>
      <c r="I1101" s="11" t="n">
        <v>220</v>
      </c>
      <c r="J1101" s="11" t="n">
        <v>75</v>
      </c>
      <c r="K1101" s="11" t="n">
        <f aca="false">H1101*I1101-J1101</f>
        <v>365</v>
      </c>
      <c r="L1101" s="7" t="s">
        <v>88</v>
      </c>
      <c r="M1101" s="7" t="s">
        <v>194</v>
      </c>
      <c r="N1101" s="7" t="n">
        <v>46</v>
      </c>
      <c r="O1101" s="7" t="n">
        <v>2</v>
      </c>
    </row>
    <row r="1102" customFormat="false" ht="15" hidden="false" customHeight="false" outlineLevel="0" collapsed="false">
      <c r="A1102" s="7" t="s">
        <v>2723</v>
      </c>
      <c r="B1102" s="10" t="n">
        <v>45800</v>
      </c>
      <c r="C1102" s="7" t="s">
        <v>1779</v>
      </c>
      <c r="D1102" s="7" t="s">
        <v>2724</v>
      </c>
      <c r="E1102" s="7" t="s">
        <v>138</v>
      </c>
      <c r="F1102" s="7" t="s">
        <v>110</v>
      </c>
      <c r="G1102" s="7" t="s">
        <v>139</v>
      </c>
      <c r="H1102" s="7" t="n">
        <v>1</v>
      </c>
      <c r="I1102" s="11" t="n">
        <v>200</v>
      </c>
      <c r="J1102" s="11" t="n">
        <v>0</v>
      </c>
      <c r="K1102" s="11" t="n">
        <f aca="false">H1102*I1102-J1102</f>
        <v>200</v>
      </c>
      <c r="L1102" s="7" t="s">
        <v>93</v>
      </c>
      <c r="M1102" s="7" t="s">
        <v>194</v>
      </c>
      <c r="N1102" s="7" t="n">
        <v>43</v>
      </c>
      <c r="O1102" s="7" t="n">
        <v>2</v>
      </c>
    </row>
    <row r="1103" customFormat="false" ht="15" hidden="false" customHeight="false" outlineLevel="0" collapsed="false">
      <c r="A1103" s="7" t="s">
        <v>2243</v>
      </c>
      <c r="B1103" s="10" t="n">
        <v>45800</v>
      </c>
      <c r="C1103" s="7" t="s">
        <v>2245</v>
      </c>
      <c r="D1103" s="7" t="s">
        <v>2246</v>
      </c>
      <c r="E1103" s="7" t="s">
        <v>89</v>
      </c>
      <c r="F1103" s="7" t="s">
        <v>86</v>
      </c>
      <c r="G1103" s="7" t="s">
        <v>90</v>
      </c>
      <c r="H1103" s="7" t="n">
        <v>2</v>
      </c>
      <c r="I1103" s="11" t="n">
        <v>195</v>
      </c>
      <c r="J1103" s="11" t="n">
        <v>150</v>
      </c>
      <c r="K1103" s="11" t="n">
        <f aca="false">H1103*I1103-J1103</f>
        <v>240</v>
      </c>
      <c r="L1103" s="7" t="s">
        <v>88</v>
      </c>
      <c r="M1103" s="7" t="s">
        <v>194</v>
      </c>
      <c r="N1103" s="7" t="n">
        <v>40</v>
      </c>
      <c r="O1103" s="7" t="n">
        <v>4</v>
      </c>
    </row>
    <row r="1104" customFormat="false" ht="15" hidden="false" customHeight="false" outlineLevel="0" collapsed="false">
      <c r="A1104" s="7" t="s">
        <v>3818</v>
      </c>
      <c r="B1104" s="10" t="n">
        <v>45800</v>
      </c>
      <c r="C1104" s="7" t="s">
        <v>2289</v>
      </c>
      <c r="D1104" s="7" t="s">
        <v>2382</v>
      </c>
      <c r="E1104" s="7" t="s">
        <v>130</v>
      </c>
      <c r="F1104" s="7" t="s">
        <v>110</v>
      </c>
      <c r="G1104" s="7" t="s">
        <v>90</v>
      </c>
      <c r="H1104" s="7" t="n">
        <v>3</v>
      </c>
      <c r="I1104" s="11" t="n">
        <v>280</v>
      </c>
      <c r="J1104" s="11" t="n">
        <v>0</v>
      </c>
      <c r="K1104" s="11" t="n">
        <f aca="false">H1104*I1104-J1104</f>
        <v>840</v>
      </c>
      <c r="L1104" s="7" t="s">
        <v>112</v>
      </c>
      <c r="M1104" s="7" t="s">
        <v>194</v>
      </c>
      <c r="N1104" s="7" t="n">
        <v>31</v>
      </c>
      <c r="O1104" s="7" t="n">
        <v>3</v>
      </c>
    </row>
    <row r="1105" customFormat="false" ht="15" hidden="false" customHeight="false" outlineLevel="0" collapsed="false">
      <c r="A1105" s="7" t="s">
        <v>4078</v>
      </c>
      <c r="B1105" s="10" t="n">
        <v>45800</v>
      </c>
      <c r="C1105" s="7" t="s">
        <v>1620</v>
      </c>
      <c r="D1105" s="7" t="s">
        <v>2028</v>
      </c>
      <c r="E1105" s="7" t="s">
        <v>122</v>
      </c>
      <c r="F1105" s="7" t="s">
        <v>101</v>
      </c>
      <c r="G1105" s="7" t="s">
        <v>123</v>
      </c>
      <c r="H1105" s="7" t="n">
        <v>1</v>
      </c>
      <c r="I1105" s="11" t="n">
        <v>300</v>
      </c>
      <c r="J1105" s="11" t="n">
        <v>0</v>
      </c>
      <c r="K1105" s="11" t="n">
        <f aca="false">H1105*I1105-J1105</f>
        <v>300</v>
      </c>
      <c r="L1105" s="7" t="s">
        <v>93</v>
      </c>
      <c r="M1105" s="7" t="s">
        <v>194</v>
      </c>
      <c r="N1105" s="7" t="n">
        <v>38</v>
      </c>
      <c r="O1105" s="7" t="n">
        <v>3</v>
      </c>
    </row>
    <row r="1106" customFormat="false" ht="15" hidden="false" customHeight="false" outlineLevel="0" collapsed="false">
      <c r="A1106" s="7" t="s">
        <v>2924</v>
      </c>
      <c r="B1106" s="10" t="n">
        <v>45800</v>
      </c>
      <c r="C1106" s="7" t="s">
        <v>573</v>
      </c>
      <c r="D1106" s="7" t="s">
        <v>822</v>
      </c>
      <c r="E1106" s="7" t="s">
        <v>162</v>
      </c>
      <c r="F1106" s="7" t="s">
        <v>141</v>
      </c>
      <c r="G1106" s="7" t="s">
        <v>117</v>
      </c>
      <c r="H1106" s="7" t="n">
        <v>4</v>
      </c>
      <c r="I1106" s="11" t="n">
        <v>105</v>
      </c>
      <c r="J1106" s="11" t="n">
        <v>40</v>
      </c>
      <c r="K1106" s="11" t="n">
        <f aca="false">H1106*I1106-J1106</f>
        <v>380</v>
      </c>
      <c r="L1106" s="7" t="s">
        <v>121</v>
      </c>
      <c r="M1106" s="7" t="s">
        <v>238</v>
      </c>
      <c r="N1106" s="7"/>
      <c r="O1106" s="7"/>
    </row>
    <row r="1107" customFormat="false" ht="15" hidden="false" customHeight="false" outlineLevel="0" collapsed="false">
      <c r="A1107" s="7" t="s">
        <v>3649</v>
      </c>
      <c r="B1107" s="10" t="n">
        <v>45800</v>
      </c>
      <c r="C1107" s="7" t="s">
        <v>1545</v>
      </c>
      <c r="D1107" s="7" t="s">
        <v>1934</v>
      </c>
      <c r="E1107" s="7" t="s">
        <v>161</v>
      </c>
      <c r="F1107" s="7" t="s">
        <v>141</v>
      </c>
      <c r="G1107" s="7" t="s">
        <v>117</v>
      </c>
      <c r="H1107" s="7" t="n">
        <v>2</v>
      </c>
      <c r="I1107" s="11" t="n">
        <v>160</v>
      </c>
      <c r="J1107" s="11" t="n">
        <v>50</v>
      </c>
      <c r="K1107" s="11" t="n">
        <f aca="false">H1107*I1107-J1107</f>
        <v>270</v>
      </c>
      <c r="L1107" s="7" t="s">
        <v>88</v>
      </c>
      <c r="M1107" s="7" t="s">
        <v>194</v>
      </c>
      <c r="N1107" s="7" t="n">
        <v>32</v>
      </c>
      <c r="O1107" s="7" t="n">
        <v>4</v>
      </c>
    </row>
    <row r="1108" customFormat="false" ht="15" hidden="false" customHeight="false" outlineLevel="0" collapsed="false">
      <c r="A1108" s="7" t="s">
        <v>5859</v>
      </c>
      <c r="B1108" s="10" t="n">
        <v>45801</v>
      </c>
      <c r="C1108" s="7" t="s">
        <v>2600</v>
      </c>
      <c r="D1108" s="7" t="s">
        <v>2585</v>
      </c>
      <c r="E1108" s="7" t="s">
        <v>149</v>
      </c>
      <c r="F1108" s="7" t="s">
        <v>119</v>
      </c>
      <c r="G1108" s="7" t="s">
        <v>150</v>
      </c>
      <c r="H1108" s="7" t="n">
        <v>2</v>
      </c>
      <c r="I1108" s="11" t="n">
        <v>155</v>
      </c>
      <c r="J1108" s="11" t="n">
        <v>0</v>
      </c>
      <c r="K1108" s="11" t="n">
        <f aca="false">H1108*I1108-J1108</f>
        <v>310</v>
      </c>
      <c r="L1108" s="7" t="s">
        <v>88</v>
      </c>
      <c r="M1108" s="7" t="s">
        <v>194</v>
      </c>
      <c r="N1108" s="7" t="n">
        <v>43</v>
      </c>
      <c r="O1108" s="7" t="n">
        <v>5</v>
      </c>
    </row>
    <row r="1109" customFormat="false" ht="15" hidden="false" customHeight="false" outlineLevel="0" collapsed="false">
      <c r="A1109" s="7" t="s">
        <v>5517</v>
      </c>
      <c r="B1109" s="10" t="n">
        <v>45801</v>
      </c>
      <c r="C1109" s="7" t="s">
        <v>661</v>
      </c>
      <c r="D1109" s="7" t="s">
        <v>1031</v>
      </c>
      <c r="E1109" s="7" t="s">
        <v>94</v>
      </c>
      <c r="F1109" s="7" t="s">
        <v>86</v>
      </c>
      <c r="G1109" s="7" t="s">
        <v>95</v>
      </c>
      <c r="H1109" s="7" t="n">
        <v>1</v>
      </c>
      <c r="I1109" s="11" t="n">
        <v>115</v>
      </c>
      <c r="J1109" s="11" t="n">
        <v>40</v>
      </c>
      <c r="K1109" s="11" t="n">
        <f aca="false">H1109*I1109-J1109</f>
        <v>75</v>
      </c>
      <c r="L1109" s="7" t="s">
        <v>103</v>
      </c>
      <c r="M1109" s="7" t="s">
        <v>194</v>
      </c>
      <c r="N1109" s="7" t="n">
        <v>48</v>
      </c>
      <c r="O1109" s="7" t="n">
        <v>4</v>
      </c>
    </row>
    <row r="1110" customFormat="false" ht="15" hidden="false" customHeight="false" outlineLevel="0" collapsed="false">
      <c r="A1110" s="7" t="s">
        <v>5397</v>
      </c>
      <c r="B1110" s="10" t="n">
        <v>45801</v>
      </c>
      <c r="C1110" s="7" t="s">
        <v>1374</v>
      </c>
      <c r="D1110" s="7" t="s">
        <v>5398</v>
      </c>
      <c r="E1110" s="7" t="s">
        <v>130</v>
      </c>
      <c r="F1110" s="7" t="s">
        <v>110</v>
      </c>
      <c r="G1110" s="7" t="s">
        <v>90</v>
      </c>
      <c r="H1110" s="7" t="n">
        <v>4</v>
      </c>
      <c r="I1110" s="11" t="n">
        <v>245</v>
      </c>
      <c r="J1110" s="11" t="n">
        <v>50</v>
      </c>
      <c r="K1110" s="11" t="n">
        <f aca="false">H1110*I1110-J1110</f>
        <v>930</v>
      </c>
      <c r="L1110" s="7" t="s">
        <v>88</v>
      </c>
      <c r="M1110" s="7" t="s">
        <v>194</v>
      </c>
      <c r="N1110" s="7" t="n">
        <v>43</v>
      </c>
      <c r="O1110" s="7" t="n">
        <v>5</v>
      </c>
    </row>
    <row r="1111" customFormat="false" ht="15" hidden="false" customHeight="false" outlineLevel="0" collapsed="false">
      <c r="A1111" s="7" t="s">
        <v>3462</v>
      </c>
      <c r="B1111" s="10" t="n">
        <v>45801</v>
      </c>
      <c r="C1111" s="7" t="s">
        <v>543</v>
      </c>
      <c r="D1111" s="7" t="s">
        <v>662</v>
      </c>
      <c r="E1111" s="7" t="s">
        <v>130</v>
      </c>
      <c r="F1111" s="7" t="s">
        <v>110</v>
      </c>
      <c r="G1111" s="7" t="s">
        <v>90</v>
      </c>
      <c r="H1111" s="7" t="n">
        <v>2</v>
      </c>
      <c r="I1111" s="11" t="n">
        <v>225</v>
      </c>
      <c r="J1111" s="11" t="n">
        <v>0</v>
      </c>
      <c r="K1111" s="11" t="n">
        <f aca="false">H1111*I1111-J1111</f>
        <v>450</v>
      </c>
      <c r="L1111" s="7" t="s">
        <v>88</v>
      </c>
      <c r="M1111" s="7" t="s">
        <v>194</v>
      </c>
      <c r="N1111" s="7" t="n">
        <v>39</v>
      </c>
      <c r="O1111" s="7" t="n">
        <v>4</v>
      </c>
    </row>
    <row r="1112" customFormat="false" ht="15" hidden="false" customHeight="false" outlineLevel="0" collapsed="false">
      <c r="A1112" s="7" t="s">
        <v>3664</v>
      </c>
      <c r="B1112" s="10" t="n">
        <v>45801</v>
      </c>
      <c r="C1112" s="7" t="s">
        <v>232</v>
      </c>
      <c r="D1112" s="7" t="s">
        <v>1229</v>
      </c>
      <c r="E1112" s="7" t="s">
        <v>130</v>
      </c>
      <c r="F1112" s="7" t="s">
        <v>110</v>
      </c>
      <c r="G1112" s="7" t="s">
        <v>90</v>
      </c>
      <c r="H1112" s="7" t="n">
        <v>3</v>
      </c>
      <c r="I1112" s="11" t="n">
        <v>190</v>
      </c>
      <c r="J1112" s="11" t="n">
        <v>0</v>
      </c>
      <c r="K1112" s="11" t="n">
        <f aca="false">H1112*I1112-J1112</f>
        <v>570</v>
      </c>
      <c r="L1112" s="7" t="s">
        <v>88</v>
      </c>
      <c r="M1112" s="7" t="s">
        <v>194</v>
      </c>
      <c r="N1112" s="7" t="n">
        <v>38</v>
      </c>
      <c r="O1112" s="7" t="n">
        <v>4</v>
      </c>
    </row>
    <row r="1113" customFormat="false" ht="15" hidden="false" customHeight="false" outlineLevel="0" collapsed="false">
      <c r="A1113" s="7" t="s">
        <v>799</v>
      </c>
      <c r="B1113" s="10" t="n">
        <v>45801</v>
      </c>
      <c r="C1113" s="7" t="s">
        <v>801</v>
      </c>
      <c r="D1113" s="7" t="s">
        <v>552</v>
      </c>
      <c r="E1113" s="7" t="s">
        <v>134</v>
      </c>
      <c r="F1113" s="7" t="s">
        <v>110</v>
      </c>
      <c r="G1113" s="7" t="s">
        <v>117</v>
      </c>
      <c r="H1113" s="7" t="n">
        <v>1</v>
      </c>
      <c r="I1113" s="11" t="n">
        <v>130</v>
      </c>
      <c r="J1113" s="11" t="n">
        <v>52</v>
      </c>
      <c r="K1113" s="11" t="n">
        <f aca="false">H1113*I1113-J1113</f>
        <v>78</v>
      </c>
      <c r="L1113" s="7" t="s">
        <v>88</v>
      </c>
      <c r="M1113" s="7" t="s">
        <v>194</v>
      </c>
      <c r="N1113" s="7" t="n">
        <v>40</v>
      </c>
      <c r="O1113" s="7"/>
    </row>
    <row r="1114" customFormat="false" ht="15" hidden="false" customHeight="false" outlineLevel="0" collapsed="false">
      <c r="A1114" s="7" t="s">
        <v>2372</v>
      </c>
      <c r="B1114" s="10" t="n">
        <v>45801</v>
      </c>
      <c r="C1114" s="7" t="s">
        <v>573</v>
      </c>
      <c r="D1114" s="7" t="s">
        <v>2373</v>
      </c>
      <c r="E1114" s="7" t="s">
        <v>94</v>
      </c>
      <c r="F1114" s="7" t="s">
        <v>86</v>
      </c>
      <c r="G1114" s="7" t="s">
        <v>95</v>
      </c>
      <c r="H1114" s="7" t="n">
        <v>1</v>
      </c>
      <c r="I1114" s="11" t="n">
        <v>110</v>
      </c>
      <c r="J1114" s="11" t="n">
        <v>0</v>
      </c>
      <c r="K1114" s="11" t="n">
        <f aca="false">H1114*I1114-J1114</f>
        <v>110</v>
      </c>
      <c r="L1114" s="7" t="s">
        <v>133</v>
      </c>
      <c r="M1114" s="7" t="s">
        <v>194</v>
      </c>
      <c r="N1114" s="7" t="n">
        <v>45</v>
      </c>
      <c r="O1114" s="7"/>
    </row>
    <row r="1115" customFormat="false" ht="15" hidden="false" customHeight="false" outlineLevel="0" collapsed="false">
      <c r="A1115" s="7" t="s">
        <v>4069</v>
      </c>
      <c r="B1115" s="10" t="n">
        <v>45801</v>
      </c>
      <c r="C1115" s="7" t="s">
        <v>3870</v>
      </c>
      <c r="D1115" s="7" t="s">
        <v>4070</v>
      </c>
      <c r="E1115" s="7" t="s">
        <v>151</v>
      </c>
      <c r="F1115" s="7" t="s">
        <v>128</v>
      </c>
      <c r="G1115" s="7" t="s">
        <v>95</v>
      </c>
      <c r="H1115" s="7" t="n">
        <v>4</v>
      </c>
      <c r="I1115" s="11" t="n">
        <v>150</v>
      </c>
      <c r="J1115" s="11" t="n">
        <v>20</v>
      </c>
      <c r="K1115" s="11" t="n">
        <f aca="false">H1115*I1115-J1115</f>
        <v>580</v>
      </c>
      <c r="L1115" s="7" t="s">
        <v>88</v>
      </c>
      <c r="M1115" s="7" t="s">
        <v>194</v>
      </c>
      <c r="N1115" s="7" t="n">
        <v>25</v>
      </c>
      <c r="O1115" s="7" t="n">
        <v>3</v>
      </c>
    </row>
    <row r="1116" customFormat="false" ht="15" hidden="false" customHeight="false" outlineLevel="0" collapsed="false">
      <c r="A1116" s="7" t="s">
        <v>3539</v>
      </c>
      <c r="B1116" s="10" t="n">
        <v>45801</v>
      </c>
      <c r="C1116" s="7" t="s">
        <v>3540</v>
      </c>
      <c r="D1116" s="7" t="s">
        <v>3541</v>
      </c>
      <c r="E1116" s="7" t="s">
        <v>144</v>
      </c>
      <c r="F1116" s="7" t="s">
        <v>119</v>
      </c>
      <c r="G1116" s="7" t="s">
        <v>99</v>
      </c>
      <c r="H1116" s="7" t="n">
        <v>4</v>
      </c>
      <c r="I1116" s="11" t="n">
        <v>300</v>
      </c>
      <c r="J1116" s="11" t="n">
        <v>0</v>
      </c>
      <c r="K1116" s="11" t="n">
        <f aca="false">H1116*I1116-J1116</f>
        <v>1200</v>
      </c>
      <c r="L1116" s="7" t="s">
        <v>88</v>
      </c>
      <c r="M1116" s="7" t="s">
        <v>194</v>
      </c>
      <c r="N1116" s="7" t="n">
        <v>33</v>
      </c>
      <c r="O1116" s="7" t="n">
        <v>5</v>
      </c>
    </row>
    <row r="1117" customFormat="false" ht="15" hidden="false" customHeight="false" outlineLevel="0" collapsed="false">
      <c r="A1117" s="7" t="s">
        <v>4101</v>
      </c>
      <c r="B1117" s="10" t="n">
        <v>45801</v>
      </c>
      <c r="C1117" s="7" t="s">
        <v>2133</v>
      </c>
      <c r="D1117" s="7" t="s">
        <v>665</v>
      </c>
      <c r="E1117" s="7" t="s">
        <v>166</v>
      </c>
      <c r="F1117" s="7" t="s">
        <v>146</v>
      </c>
      <c r="G1117" s="7" t="s">
        <v>117</v>
      </c>
      <c r="H1117" s="7" t="n">
        <v>1</v>
      </c>
      <c r="I1117" s="11" t="n">
        <v>125</v>
      </c>
      <c r="J1117" s="11" t="n">
        <v>50</v>
      </c>
      <c r="K1117" s="11" t="n">
        <f aca="false">H1117*I1117-J1117</f>
        <v>75</v>
      </c>
      <c r="L1117" s="7" t="s">
        <v>88</v>
      </c>
      <c r="M1117" s="7" t="s">
        <v>194</v>
      </c>
      <c r="N1117" s="7" t="n">
        <v>33</v>
      </c>
      <c r="O1117" s="7" t="n">
        <v>5</v>
      </c>
    </row>
    <row r="1118" customFormat="false" ht="15" hidden="false" customHeight="false" outlineLevel="0" collapsed="false">
      <c r="A1118" s="7" t="s">
        <v>4081</v>
      </c>
      <c r="B1118" s="10" t="n">
        <v>45801</v>
      </c>
      <c r="C1118" s="7" t="s">
        <v>4082</v>
      </c>
      <c r="D1118" s="7" t="s">
        <v>3284</v>
      </c>
      <c r="E1118" s="7" t="s">
        <v>168</v>
      </c>
      <c r="F1118" s="7" t="s">
        <v>146</v>
      </c>
      <c r="G1118" s="7" t="s">
        <v>123</v>
      </c>
      <c r="H1118" s="7" t="n">
        <v>1</v>
      </c>
      <c r="I1118" s="11" t="n">
        <v>285</v>
      </c>
      <c r="J1118" s="11" t="n">
        <v>30</v>
      </c>
      <c r="K1118" s="11" t="n">
        <f aca="false">H1118*I1118-J1118</f>
        <v>255</v>
      </c>
      <c r="L1118" s="7" t="s">
        <v>88</v>
      </c>
      <c r="M1118" s="7" t="s">
        <v>194</v>
      </c>
      <c r="N1118" s="7" t="n">
        <v>23</v>
      </c>
      <c r="O1118" s="7" t="n">
        <v>4</v>
      </c>
    </row>
    <row r="1119" customFormat="false" ht="15" hidden="false" customHeight="false" outlineLevel="0" collapsed="false">
      <c r="A1119" s="7" t="s">
        <v>1522</v>
      </c>
      <c r="B1119" s="10" t="n">
        <v>45801</v>
      </c>
      <c r="C1119" s="7" t="s">
        <v>1523</v>
      </c>
      <c r="D1119" s="7" t="s">
        <v>1524</v>
      </c>
      <c r="E1119" s="7" t="s">
        <v>168</v>
      </c>
      <c r="F1119" s="7" t="s">
        <v>146</v>
      </c>
      <c r="G1119" s="7" t="s">
        <v>123</v>
      </c>
      <c r="H1119" s="7" t="n">
        <v>2</v>
      </c>
      <c r="I1119" s="11" t="n">
        <v>310</v>
      </c>
      <c r="J1119" s="11" t="n">
        <v>0</v>
      </c>
      <c r="K1119" s="11" t="n">
        <f aca="false">H1119*I1119-J1119</f>
        <v>620</v>
      </c>
      <c r="L1119" s="7" t="s">
        <v>88</v>
      </c>
      <c r="M1119" s="7" t="s">
        <v>194</v>
      </c>
      <c r="N1119" s="7" t="n">
        <v>24</v>
      </c>
      <c r="O1119" s="7" t="n">
        <v>4</v>
      </c>
    </row>
    <row r="1120" customFormat="false" ht="15" hidden="false" customHeight="false" outlineLevel="0" collapsed="false">
      <c r="A1120" s="7" t="s">
        <v>2380</v>
      </c>
      <c r="B1120" s="10" t="n">
        <v>45802</v>
      </c>
      <c r="C1120" s="7" t="s">
        <v>1791</v>
      </c>
      <c r="D1120" s="7" t="s">
        <v>2382</v>
      </c>
      <c r="E1120" s="7" t="s">
        <v>159</v>
      </c>
      <c r="F1120" s="7" t="s">
        <v>136</v>
      </c>
      <c r="G1120" s="7" t="s">
        <v>90</v>
      </c>
      <c r="H1120" s="7" t="n">
        <v>3</v>
      </c>
      <c r="I1120" s="11" t="n">
        <v>235</v>
      </c>
      <c r="J1120" s="11" t="n">
        <v>20</v>
      </c>
      <c r="K1120" s="11" t="n">
        <f aca="false">H1120*I1120-J1120</f>
        <v>685</v>
      </c>
      <c r="L1120" s="7" t="s">
        <v>88</v>
      </c>
      <c r="M1120" s="7" t="s">
        <v>194</v>
      </c>
      <c r="N1120" s="7" t="n">
        <v>32</v>
      </c>
      <c r="O1120" s="7" t="n">
        <v>4</v>
      </c>
    </row>
    <row r="1121" customFormat="false" ht="15" hidden="false" customHeight="false" outlineLevel="0" collapsed="false">
      <c r="A1121" s="7" t="s">
        <v>5638</v>
      </c>
      <c r="B1121" s="10" t="n">
        <v>45802</v>
      </c>
      <c r="C1121" s="7" t="s">
        <v>2502</v>
      </c>
      <c r="D1121" s="7" t="s">
        <v>5639</v>
      </c>
      <c r="E1121" s="7" t="s">
        <v>138</v>
      </c>
      <c r="F1121" s="7" t="s">
        <v>110</v>
      </c>
      <c r="G1121" s="7" t="s">
        <v>139</v>
      </c>
      <c r="H1121" s="7" t="n">
        <v>3</v>
      </c>
      <c r="I1121" s="11" t="n">
        <v>200</v>
      </c>
      <c r="J1121" s="11" t="n">
        <v>75</v>
      </c>
      <c r="K1121" s="11" t="n">
        <f aca="false">H1121*I1121-J1121</f>
        <v>525</v>
      </c>
      <c r="L1121" s="7" t="s">
        <v>88</v>
      </c>
      <c r="M1121" s="7" t="s">
        <v>194</v>
      </c>
      <c r="N1121" s="7" t="n">
        <v>46</v>
      </c>
      <c r="O1121" s="7" t="n">
        <v>3</v>
      </c>
    </row>
    <row r="1122" customFormat="false" ht="15" hidden="false" customHeight="false" outlineLevel="0" collapsed="false">
      <c r="A1122" s="7" t="s">
        <v>5640</v>
      </c>
      <c r="B1122" s="10" t="n">
        <v>45803</v>
      </c>
      <c r="C1122" s="7" t="s">
        <v>4644</v>
      </c>
      <c r="D1122" s="7" t="s">
        <v>1482</v>
      </c>
      <c r="E1122" s="7" t="s">
        <v>98</v>
      </c>
      <c r="F1122" s="7" t="s">
        <v>86</v>
      </c>
      <c r="G1122" s="7" t="s">
        <v>99</v>
      </c>
      <c r="H1122" s="7" t="n">
        <v>1</v>
      </c>
      <c r="I1122" s="11" t="n">
        <v>330</v>
      </c>
      <c r="J1122" s="11" t="n">
        <v>40</v>
      </c>
      <c r="K1122" s="11" t="n">
        <f aca="false">H1122*I1122-J1122</f>
        <v>290</v>
      </c>
      <c r="L1122" s="7" t="s">
        <v>88</v>
      </c>
      <c r="M1122" s="7" t="s">
        <v>194</v>
      </c>
      <c r="N1122" s="7" t="n">
        <v>33</v>
      </c>
      <c r="O1122" s="7" t="n">
        <v>5</v>
      </c>
    </row>
    <row r="1123" customFormat="false" ht="15" hidden="false" customHeight="false" outlineLevel="0" collapsed="false">
      <c r="A1123" s="7" t="s">
        <v>653</v>
      </c>
      <c r="B1123" s="10" t="n">
        <v>45803</v>
      </c>
      <c r="C1123" s="7" t="s">
        <v>655</v>
      </c>
      <c r="D1123" s="7" t="s">
        <v>635</v>
      </c>
      <c r="E1123" s="7" t="s">
        <v>113</v>
      </c>
      <c r="F1123" s="7" t="s">
        <v>101</v>
      </c>
      <c r="G1123" s="7" t="s">
        <v>90</v>
      </c>
      <c r="H1123" s="7" t="n">
        <v>2</v>
      </c>
      <c r="I1123" s="11" t="n">
        <v>235</v>
      </c>
      <c r="J1123" s="11" t="n">
        <v>0</v>
      </c>
      <c r="K1123" s="11" t="n">
        <f aca="false">H1123*I1123-J1123</f>
        <v>470</v>
      </c>
      <c r="L1123" s="7" t="s">
        <v>103</v>
      </c>
      <c r="M1123" s="7" t="s">
        <v>194</v>
      </c>
      <c r="N1123" s="7" t="n">
        <v>37</v>
      </c>
      <c r="O1123" s="7" t="n">
        <v>5</v>
      </c>
    </row>
    <row r="1124" customFormat="false" ht="15" hidden="false" customHeight="false" outlineLevel="0" collapsed="false">
      <c r="A1124" s="7" t="s">
        <v>5339</v>
      </c>
      <c r="B1124" s="10" t="n">
        <v>45803</v>
      </c>
      <c r="C1124" s="7" t="s">
        <v>2659</v>
      </c>
      <c r="D1124" s="7" t="s">
        <v>1655</v>
      </c>
      <c r="E1124" s="7" t="s">
        <v>161</v>
      </c>
      <c r="F1124" s="7" t="s">
        <v>141</v>
      </c>
      <c r="G1124" s="7" t="s">
        <v>117</v>
      </c>
      <c r="H1124" s="7" t="n">
        <v>2</v>
      </c>
      <c r="I1124" s="11" t="n">
        <v>125</v>
      </c>
      <c r="J1124" s="11" t="n">
        <v>0</v>
      </c>
      <c r="K1124" s="11" t="n">
        <f aca="false">H1124*I1124-J1124</f>
        <v>250</v>
      </c>
      <c r="L1124" s="7" t="s">
        <v>103</v>
      </c>
      <c r="M1124" s="7" t="s">
        <v>194</v>
      </c>
      <c r="N1124" s="7" t="n">
        <v>48</v>
      </c>
      <c r="O1124" s="7" t="n">
        <v>4</v>
      </c>
    </row>
    <row r="1125" customFormat="false" ht="15" hidden="false" customHeight="false" outlineLevel="0" collapsed="false">
      <c r="A1125" s="7" t="s">
        <v>2942</v>
      </c>
      <c r="B1125" s="10" t="n">
        <v>45803</v>
      </c>
      <c r="C1125" s="7" t="s">
        <v>209</v>
      </c>
      <c r="D1125" s="7" t="s">
        <v>2944</v>
      </c>
      <c r="E1125" s="7" t="s">
        <v>98</v>
      </c>
      <c r="F1125" s="7" t="s">
        <v>86</v>
      </c>
      <c r="G1125" s="7" t="s">
        <v>99</v>
      </c>
      <c r="H1125" s="7" t="n">
        <v>1</v>
      </c>
      <c r="I1125" s="11" t="n">
        <v>310</v>
      </c>
      <c r="J1125" s="11" t="n">
        <v>100</v>
      </c>
      <c r="K1125" s="11" t="n">
        <f aca="false">H1125*I1125-J1125</f>
        <v>210</v>
      </c>
      <c r="L1125" s="7" t="s">
        <v>88</v>
      </c>
      <c r="M1125" s="7" t="s">
        <v>194</v>
      </c>
      <c r="N1125" s="7" t="n">
        <v>38</v>
      </c>
      <c r="O1125" s="7" t="n">
        <v>5</v>
      </c>
    </row>
    <row r="1126" customFormat="false" ht="15" hidden="false" customHeight="false" outlineLevel="0" collapsed="false">
      <c r="A1126" s="7" t="s">
        <v>4867</v>
      </c>
      <c r="B1126" s="10" t="n">
        <v>45804</v>
      </c>
      <c r="C1126" s="7" t="s">
        <v>1586</v>
      </c>
      <c r="D1126" s="7" t="s">
        <v>2750</v>
      </c>
      <c r="E1126" s="7" t="s">
        <v>130</v>
      </c>
      <c r="F1126" s="7" t="s">
        <v>110</v>
      </c>
      <c r="G1126" s="7" t="s">
        <v>90</v>
      </c>
      <c r="H1126" s="7" t="n">
        <v>5</v>
      </c>
      <c r="I1126" s="11" t="n">
        <v>240</v>
      </c>
      <c r="J1126" s="11" t="n">
        <v>0</v>
      </c>
      <c r="K1126" s="11" t="n">
        <f aca="false">H1126*I1126-J1126</f>
        <v>1200</v>
      </c>
      <c r="L1126" s="7" t="s">
        <v>88</v>
      </c>
      <c r="M1126" s="7" t="s">
        <v>194</v>
      </c>
      <c r="N1126" s="7" t="n">
        <v>35</v>
      </c>
      <c r="O1126" s="7" t="n">
        <v>5</v>
      </c>
    </row>
    <row r="1127" customFormat="false" ht="15" hidden="false" customHeight="false" outlineLevel="0" collapsed="false">
      <c r="A1127" s="7" t="s">
        <v>5732</v>
      </c>
      <c r="B1127" s="10" t="n">
        <v>45804</v>
      </c>
      <c r="C1127" s="7" t="s">
        <v>3725</v>
      </c>
      <c r="D1127" s="7" t="s">
        <v>1141</v>
      </c>
      <c r="E1127" s="7" t="s">
        <v>98</v>
      </c>
      <c r="F1127" s="7" t="s">
        <v>86</v>
      </c>
      <c r="G1127" s="7" t="s">
        <v>99</v>
      </c>
      <c r="H1127" s="7" t="n">
        <v>4</v>
      </c>
      <c r="I1127" s="11" t="n">
        <v>335</v>
      </c>
      <c r="J1127" s="11" t="n">
        <v>150</v>
      </c>
      <c r="K1127" s="11" t="n">
        <f aca="false">H1127*I1127-J1127</f>
        <v>1190</v>
      </c>
      <c r="L1127" s="7" t="s">
        <v>88</v>
      </c>
      <c r="M1127" s="7" t="s">
        <v>194</v>
      </c>
      <c r="N1127" s="7" t="n">
        <v>39</v>
      </c>
      <c r="O1127" s="7"/>
    </row>
    <row r="1128" customFormat="false" ht="15" hidden="false" customHeight="false" outlineLevel="0" collapsed="false">
      <c r="A1128" s="7" t="s">
        <v>4822</v>
      </c>
      <c r="B1128" s="10" t="n">
        <v>45804</v>
      </c>
      <c r="C1128" s="7" t="s">
        <v>683</v>
      </c>
      <c r="D1128" s="7" t="s">
        <v>4823</v>
      </c>
      <c r="E1128" s="7" t="s">
        <v>98</v>
      </c>
      <c r="F1128" s="7" t="s">
        <v>86</v>
      </c>
      <c r="G1128" s="7" t="s">
        <v>99</v>
      </c>
      <c r="H1128" s="7" t="n">
        <v>1</v>
      </c>
      <c r="I1128" s="11" t="n">
        <v>230</v>
      </c>
      <c r="J1128" s="11" t="n">
        <v>0</v>
      </c>
      <c r="K1128" s="11" t="n">
        <f aca="false">H1128*I1128-J1128</f>
        <v>230</v>
      </c>
      <c r="L1128" s="7" t="s">
        <v>93</v>
      </c>
      <c r="M1128" s="7" t="s">
        <v>194</v>
      </c>
      <c r="N1128" s="7" t="n">
        <v>41</v>
      </c>
      <c r="O1128" s="7" t="n">
        <v>3</v>
      </c>
    </row>
    <row r="1129" customFormat="false" ht="15" hidden="false" customHeight="false" outlineLevel="0" collapsed="false">
      <c r="A1129" s="7" t="s">
        <v>4685</v>
      </c>
      <c r="B1129" s="10" t="n">
        <v>45804</v>
      </c>
      <c r="C1129" s="7" t="s">
        <v>2377</v>
      </c>
      <c r="D1129" s="7" t="s">
        <v>4686</v>
      </c>
      <c r="E1129" s="7" t="s">
        <v>158</v>
      </c>
      <c r="F1129" s="7" t="s">
        <v>136</v>
      </c>
      <c r="G1129" s="7" t="s">
        <v>139</v>
      </c>
      <c r="H1129" s="7" t="n">
        <v>2</v>
      </c>
      <c r="I1129" s="11" t="n">
        <v>175</v>
      </c>
      <c r="J1129" s="11" t="n">
        <v>125</v>
      </c>
      <c r="K1129" s="11" t="n">
        <f aca="false">H1129*I1129-J1129</f>
        <v>225</v>
      </c>
      <c r="L1129" s="7" t="s">
        <v>93</v>
      </c>
      <c r="M1129" s="7" t="s">
        <v>194</v>
      </c>
      <c r="N1129" s="7" t="n">
        <v>24</v>
      </c>
      <c r="O1129" s="7" t="n">
        <v>5</v>
      </c>
    </row>
    <row r="1130" customFormat="false" ht="15" hidden="false" customHeight="false" outlineLevel="0" collapsed="false">
      <c r="A1130" s="7" t="s">
        <v>354</v>
      </c>
      <c r="B1130" s="10" t="n">
        <v>45804</v>
      </c>
      <c r="C1130" s="7" t="s">
        <v>356</v>
      </c>
      <c r="D1130" s="7" t="s">
        <v>357</v>
      </c>
      <c r="E1130" s="7" t="s">
        <v>159</v>
      </c>
      <c r="F1130" s="7" t="s">
        <v>136</v>
      </c>
      <c r="G1130" s="7" t="s">
        <v>90</v>
      </c>
      <c r="H1130" s="7" t="n">
        <v>2</v>
      </c>
      <c r="I1130" s="11" t="n">
        <v>205</v>
      </c>
      <c r="J1130" s="11" t="n">
        <v>0</v>
      </c>
      <c r="K1130" s="11" t="n">
        <f aca="false">H1130*I1130-J1130</f>
        <v>410</v>
      </c>
      <c r="L1130" s="7" t="s">
        <v>103</v>
      </c>
      <c r="M1130" s="7" t="s">
        <v>194</v>
      </c>
      <c r="N1130" s="7" t="n">
        <v>33</v>
      </c>
      <c r="O1130" s="7" t="n">
        <v>5</v>
      </c>
    </row>
    <row r="1131" customFormat="false" ht="15" hidden="false" customHeight="false" outlineLevel="0" collapsed="false">
      <c r="A1131" s="7" t="s">
        <v>4508</v>
      </c>
      <c r="B1131" s="10" t="n">
        <v>45804</v>
      </c>
      <c r="C1131" s="7" t="s">
        <v>4509</v>
      </c>
      <c r="D1131" s="7" t="s">
        <v>4510</v>
      </c>
      <c r="E1131" s="7" t="s">
        <v>138</v>
      </c>
      <c r="F1131" s="7" t="s">
        <v>110</v>
      </c>
      <c r="G1131" s="7" t="s">
        <v>139</v>
      </c>
      <c r="H1131" s="7" t="n">
        <v>3</v>
      </c>
      <c r="I1131" s="11" t="n">
        <v>160</v>
      </c>
      <c r="J1131" s="11" t="n">
        <v>150</v>
      </c>
      <c r="K1131" s="11" t="n">
        <f aca="false">H1131*I1131-J1131</f>
        <v>330</v>
      </c>
      <c r="L1131" s="7" t="s">
        <v>103</v>
      </c>
      <c r="M1131" s="7" t="s">
        <v>194</v>
      </c>
      <c r="N1131" s="7" t="n">
        <v>25</v>
      </c>
      <c r="O1131" s="7" t="n">
        <v>4</v>
      </c>
    </row>
    <row r="1132" customFormat="false" ht="15" hidden="false" customHeight="false" outlineLevel="0" collapsed="false">
      <c r="A1132" s="7" t="s">
        <v>3162</v>
      </c>
      <c r="B1132" s="10" t="n">
        <v>45804</v>
      </c>
      <c r="C1132" s="7" t="s">
        <v>3163</v>
      </c>
      <c r="D1132" s="7" t="s">
        <v>3164</v>
      </c>
      <c r="E1132" s="7" t="s">
        <v>104</v>
      </c>
      <c r="F1132" s="7" t="s">
        <v>86</v>
      </c>
      <c r="G1132" s="7" t="s">
        <v>105</v>
      </c>
      <c r="H1132" s="7" t="n">
        <v>2</v>
      </c>
      <c r="I1132" s="11" t="n">
        <v>235</v>
      </c>
      <c r="J1132" s="11" t="n">
        <v>0</v>
      </c>
      <c r="K1132" s="11" t="n">
        <f aca="false">H1132*I1132-J1132</f>
        <v>470</v>
      </c>
      <c r="L1132" s="7" t="s">
        <v>88</v>
      </c>
      <c r="M1132" s="7" t="s">
        <v>194</v>
      </c>
      <c r="N1132" s="7" t="n">
        <v>42</v>
      </c>
      <c r="O1132" s="7" t="n">
        <v>4</v>
      </c>
    </row>
    <row r="1133" customFormat="false" ht="15" hidden="false" customHeight="false" outlineLevel="0" collapsed="false">
      <c r="A1133" s="7" t="s">
        <v>6076</v>
      </c>
      <c r="B1133" s="10" t="n">
        <v>45804</v>
      </c>
      <c r="C1133" s="7" t="s">
        <v>2508</v>
      </c>
      <c r="D1133" s="7" t="s">
        <v>1212</v>
      </c>
      <c r="E1133" s="7" t="s">
        <v>159</v>
      </c>
      <c r="F1133" s="7" t="s">
        <v>136</v>
      </c>
      <c r="G1133" s="7" t="s">
        <v>90</v>
      </c>
      <c r="H1133" s="7" t="n">
        <v>3</v>
      </c>
      <c r="I1133" s="11" t="n">
        <v>260</v>
      </c>
      <c r="J1133" s="11" t="n">
        <v>0</v>
      </c>
      <c r="K1133" s="11" t="n">
        <f aca="false">H1133*I1133-J1133</f>
        <v>780</v>
      </c>
      <c r="L1133" s="7" t="s">
        <v>88</v>
      </c>
      <c r="M1133" s="7" t="s">
        <v>194</v>
      </c>
      <c r="N1133" s="7" t="n">
        <v>21</v>
      </c>
      <c r="O1133" s="7" t="n">
        <v>4</v>
      </c>
    </row>
    <row r="1134" customFormat="false" ht="15" hidden="false" customHeight="false" outlineLevel="0" collapsed="false">
      <c r="A1134" s="7" t="s">
        <v>6037</v>
      </c>
      <c r="B1134" s="10" t="n">
        <v>45804</v>
      </c>
      <c r="C1134" s="7" t="s">
        <v>201</v>
      </c>
      <c r="D1134" s="7" t="s">
        <v>5838</v>
      </c>
      <c r="E1134" s="7" t="s">
        <v>147</v>
      </c>
      <c r="F1134" s="7" t="s">
        <v>119</v>
      </c>
      <c r="G1134" s="7" t="s">
        <v>95</v>
      </c>
      <c r="H1134" s="7" t="n">
        <v>2</v>
      </c>
      <c r="I1134" s="11" t="n">
        <v>155</v>
      </c>
      <c r="J1134" s="11" t="n">
        <v>124</v>
      </c>
      <c r="K1134" s="11" t="n">
        <f aca="false">H1134*I1134-J1134</f>
        <v>186</v>
      </c>
      <c r="L1134" s="7" t="s">
        <v>88</v>
      </c>
      <c r="M1134" s="7" t="s">
        <v>194</v>
      </c>
      <c r="N1134" s="7" t="n">
        <v>27</v>
      </c>
      <c r="O1134" s="7" t="n">
        <v>3</v>
      </c>
    </row>
    <row r="1135" customFormat="false" ht="15" hidden="false" customHeight="false" outlineLevel="0" collapsed="false">
      <c r="A1135" s="7" t="s">
        <v>4761</v>
      </c>
      <c r="B1135" s="10" t="n">
        <v>45804</v>
      </c>
      <c r="C1135" s="7" t="s">
        <v>3487</v>
      </c>
      <c r="D1135" s="7" t="s">
        <v>1612</v>
      </c>
      <c r="E1135" s="7" t="s">
        <v>147</v>
      </c>
      <c r="F1135" s="7" t="s">
        <v>119</v>
      </c>
      <c r="G1135" s="7" t="s">
        <v>95</v>
      </c>
      <c r="H1135" s="7" t="n">
        <v>2</v>
      </c>
      <c r="I1135" s="11" t="n">
        <v>135</v>
      </c>
      <c r="J1135" s="11" t="n">
        <v>0</v>
      </c>
      <c r="K1135" s="11" t="n">
        <f aca="false">H1135*I1135-J1135</f>
        <v>270</v>
      </c>
      <c r="L1135" s="7" t="s">
        <v>88</v>
      </c>
      <c r="M1135" s="7" t="s">
        <v>194</v>
      </c>
      <c r="N1135" s="7" t="n">
        <v>40</v>
      </c>
      <c r="O1135" s="7" t="n">
        <v>4</v>
      </c>
    </row>
    <row r="1136" customFormat="false" ht="15" hidden="false" customHeight="false" outlineLevel="0" collapsed="false">
      <c r="A1136" s="7" t="s">
        <v>1116</v>
      </c>
      <c r="B1136" s="10" t="n">
        <v>45804</v>
      </c>
      <c r="C1136" s="7" t="s">
        <v>227</v>
      </c>
      <c r="D1136" s="7" t="s">
        <v>922</v>
      </c>
      <c r="E1136" s="7" t="s">
        <v>104</v>
      </c>
      <c r="F1136" s="7" t="s">
        <v>86</v>
      </c>
      <c r="G1136" s="7" t="s">
        <v>105</v>
      </c>
      <c r="H1136" s="7" t="n">
        <v>3</v>
      </c>
      <c r="I1136" s="11" t="n">
        <v>230</v>
      </c>
      <c r="J1136" s="11" t="n">
        <v>0</v>
      </c>
      <c r="K1136" s="11" t="n">
        <f aca="false">H1136*I1136-J1136</f>
        <v>690</v>
      </c>
      <c r="L1136" s="7" t="s">
        <v>88</v>
      </c>
      <c r="M1136" s="7" t="s">
        <v>194</v>
      </c>
      <c r="N1136" s="7" t="n">
        <v>47</v>
      </c>
      <c r="O1136" s="7" t="n">
        <v>2</v>
      </c>
    </row>
    <row r="1137" customFormat="false" ht="15" hidden="false" customHeight="false" outlineLevel="0" collapsed="false">
      <c r="A1137" s="7" t="s">
        <v>3886</v>
      </c>
      <c r="B1137" s="10" t="n">
        <v>45804</v>
      </c>
      <c r="C1137" s="7" t="s">
        <v>3080</v>
      </c>
      <c r="D1137" s="7" t="s">
        <v>1435</v>
      </c>
      <c r="E1137" s="7" t="s">
        <v>122</v>
      </c>
      <c r="F1137" s="7" t="s">
        <v>101</v>
      </c>
      <c r="G1137" s="7" t="s">
        <v>123</v>
      </c>
      <c r="H1137" s="7" t="n">
        <v>5</v>
      </c>
      <c r="I1137" s="11" t="n">
        <v>335</v>
      </c>
      <c r="J1137" s="11" t="n">
        <v>0</v>
      </c>
      <c r="K1137" s="11" t="n">
        <f aca="false">H1137*I1137-J1137</f>
        <v>1675</v>
      </c>
      <c r="L1137" s="7" t="s">
        <v>112</v>
      </c>
      <c r="M1137" s="7" t="s">
        <v>194</v>
      </c>
      <c r="N1137" s="7" t="n">
        <v>40</v>
      </c>
      <c r="O1137" s="7" t="n">
        <v>5</v>
      </c>
    </row>
    <row r="1138" customFormat="false" ht="15" hidden="false" customHeight="false" outlineLevel="0" collapsed="false">
      <c r="A1138" s="7" t="s">
        <v>1222</v>
      </c>
      <c r="B1138" s="10" t="n">
        <v>45805</v>
      </c>
      <c r="C1138" s="7" t="s">
        <v>1224</v>
      </c>
      <c r="D1138" s="7" t="s">
        <v>1225</v>
      </c>
      <c r="E1138" s="7" t="s">
        <v>159</v>
      </c>
      <c r="F1138" s="7" t="s">
        <v>136</v>
      </c>
      <c r="G1138" s="7" t="s">
        <v>90</v>
      </c>
      <c r="H1138" s="7" t="n">
        <v>1</v>
      </c>
      <c r="I1138" s="11" t="n">
        <v>275</v>
      </c>
      <c r="J1138" s="11" t="n">
        <v>30</v>
      </c>
      <c r="K1138" s="11" t="n">
        <f aca="false">H1138*I1138-J1138</f>
        <v>245</v>
      </c>
      <c r="L1138" s="7" t="s">
        <v>88</v>
      </c>
      <c r="M1138" s="7" t="s">
        <v>194</v>
      </c>
      <c r="N1138" s="7" t="n">
        <v>37</v>
      </c>
      <c r="O1138" s="7" t="n">
        <v>5</v>
      </c>
    </row>
    <row r="1139" customFormat="false" ht="15" hidden="false" customHeight="false" outlineLevel="0" collapsed="false">
      <c r="A1139" s="7" t="s">
        <v>5420</v>
      </c>
      <c r="B1139" s="10" t="n">
        <v>45805</v>
      </c>
      <c r="C1139" s="7" t="s">
        <v>5421</v>
      </c>
      <c r="D1139" s="7" t="s">
        <v>569</v>
      </c>
      <c r="E1139" s="7" t="s">
        <v>158</v>
      </c>
      <c r="F1139" s="7" t="s">
        <v>136</v>
      </c>
      <c r="G1139" s="7" t="s">
        <v>139</v>
      </c>
      <c r="H1139" s="7" t="n">
        <v>1</v>
      </c>
      <c r="I1139" s="11" t="n">
        <v>265</v>
      </c>
      <c r="J1139" s="11" t="n">
        <v>106</v>
      </c>
      <c r="K1139" s="11" t="n">
        <f aca="false">H1139*I1139-J1139</f>
        <v>159</v>
      </c>
      <c r="L1139" s="7" t="s">
        <v>88</v>
      </c>
      <c r="M1139" s="7" t="s">
        <v>194</v>
      </c>
      <c r="N1139" s="7" t="n">
        <v>18</v>
      </c>
      <c r="O1139" s="7" t="n">
        <v>5</v>
      </c>
    </row>
    <row r="1140" customFormat="false" ht="15" hidden="false" customHeight="false" outlineLevel="0" collapsed="false">
      <c r="A1140" s="7" t="s">
        <v>6125</v>
      </c>
      <c r="B1140" s="10" t="n">
        <v>45805</v>
      </c>
      <c r="C1140" s="7" t="s">
        <v>886</v>
      </c>
      <c r="D1140" s="7" t="s">
        <v>6126</v>
      </c>
      <c r="E1140" s="7" t="s">
        <v>104</v>
      </c>
      <c r="F1140" s="7" t="s">
        <v>86</v>
      </c>
      <c r="G1140" s="7" t="s">
        <v>105</v>
      </c>
      <c r="H1140" s="7" t="n">
        <v>3</v>
      </c>
      <c r="I1140" s="11" t="n">
        <v>200</v>
      </c>
      <c r="J1140" s="11" t="n">
        <v>75</v>
      </c>
      <c r="K1140" s="11" t="n">
        <f aca="false">H1140*I1140-J1140</f>
        <v>525</v>
      </c>
      <c r="L1140" s="7" t="s">
        <v>103</v>
      </c>
      <c r="M1140" s="7" t="s">
        <v>194</v>
      </c>
      <c r="N1140" s="7" t="n">
        <v>42</v>
      </c>
      <c r="O1140" s="7" t="n">
        <v>3</v>
      </c>
    </row>
    <row r="1141" customFormat="false" ht="15" hidden="false" customHeight="false" outlineLevel="0" collapsed="false">
      <c r="A1141" s="7" t="s">
        <v>3299</v>
      </c>
      <c r="B1141" s="10" t="n">
        <v>45805</v>
      </c>
      <c r="C1141" s="7" t="s">
        <v>3300</v>
      </c>
      <c r="D1141" s="7" t="s">
        <v>2562</v>
      </c>
      <c r="E1141" s="7" t="s">
        <v>116</v>
      </c>
      <c r="F1141" s="7" t="s">
        <v>101</v>
      </c>
      <c r="G1141" s="7" t="s">
        <v>117</v>
      </c>
      <c r="H1141" s="7" t="n">
        <v>4</v>
      </c>
      <c r="I1141" s="11" t="n">
        <v>135</v>
      </c>
      <c r="J1141" s="11" t="n">
        <v>40</v>
      </c>
      <c r="K1141" s="11" t="n">
        <f aca="false">H1141*I1141-J1141</f>
        <v>500</v>
      </c>
      <c r="L1141" s="7" t="s">
        <v>121</v>
      </c>
      <c r="M1141" s="7" t="s">
        <v>194</v>
      </c>
      <c r="N1141" s="7" t="n">
        <v>37</v>
      </c>
      <c r="O1141" s="7"/>
    </row>
    <row r="1142" customFormat="false" ht="15" hidden="false" customHeight="false" outlineLevel="0" collapsed="false">
      <c r="A1142" s="7" t="s">
        <v>1804</v>
      </c>
      <c r="B1142" s="10" t="n">
        <v>45805</v>
      </c>
      <c r="C1142" s="7" t="s">
        <v>1805</v>
      </c>
      <c r="D1142" s="7" t="s">
        <v>1307</v>
      </c>
      <c r="E1142" s="7" t="s">
        <v>113</v>
      </c>
      <c r="F1142" s="7" t="s">
        <v>101</v>
      </c>
      <c r="G1142" s="7" t="s">
        <v>90</v>
      </c>
      <c r="H1142" s="7" t="n">
        <v>2</v>
      </c>
      <c r="I1142" s="11" t="n">
        <v>260</v>
      </c>
      <c r="J1142" s="11" t="n">
        <v>125</v>
      </c>
      <c r="K1142" s="11" t="n">
        <f aca="false">H1142*I1142-J1142</f>
        <v>395</v>
      </c>
      <c r="L1142" s="7" t="s">
        <v>103</v>
      </c>
      <c r="M1142" s="7" t="s">
        <v>194</v>
      </c>
      <c r="N1142" s="7" t="n">
        <v>34</v>
      </c>
      <c r="O1142" s="7" t="n">
        <v>3</v>
      </c>
    </row>
    <row r="1143" customFormat="false" ht="15" hidden="false" customHeight="false" outlineLevel="0" collapsed="false">
      <c r="A1143" s="7" t="s">
        <v>2789</v>
      </c>
      <c r="B1143" s="10" t="n">
        <v>45805</v>
      </c>
      <c r="C1143" s="7" t="s">
        <v>559</v>
      </c>
      <c r="D1143" s="7" t="s">
        <v>1088</v>
      </c>
      <c r="E1143" s="7" t="s">
        <v>161</v>
      </c>
      <c r="F1143" s="7" t="s">
        <v>141</v>
      </c>
      <c r="G1143" s="7" t="s">
        <v>117</v>
      </c>
      <c r="H1143" s="7" t="n">
        <v>1</v>
      </c>
      <c r="I1143" s="11" t="n">
        <v>135</v>
      </c>
      <c r="J1143" s="11" t="n">
        <v>0</v>
      </c>
      <c r="K1143" s="11" t="n">
        <f aca="false">H1143*I1143-J1143</f>
        <v>135</v>
      </c>
      <c r="L1143" s="7" t="s">
        <v>121</v>
      </c>
      <c r="M1143" s="7" t="s">
        <v>194</v>
      </c>
      <c r="N1143" s="7" t="n">
        <v>50</v>
      </c>
      <c r="O1143" s="7" t="n">
        <v>3</v>
      </c>
    </row>
    <row r="1144" customFormat="false" ht="15" hidden="false" customHeight="false" outlineLevel="0" collapsed="false">
      <c r="A1144" s="7" t="s">
        <v>2768</v>
      </c>
      <c r="B1144" s="10" t="n">
        <v>45805</v>
      </c>
      <c r="C1144" s="7" t="s">
        <v>930</v>
      </c>
      <c r="D1144" s="7" t="s">
        <v>1033</v>
      </c>
      <c r="E1144" s="7" t="s">
        <v>130</v>
      </c>
      <c r="F1144" s="7" t="s">
        <v>110</v>
      </c>
      <c r="G1144" s="7" t="s">
        <v>90</v>
      </c>
      <c r="H1144" s="7" t="n">
        <v>2</v>
      </c>
      <c r="I1144" s="11" t="n">
        <v>230</v>
      </c>
      <c r="J1144" s="11" t="n">
        <v>0</v>
      </c>
      <c r="K1144" s="11" t="n">
        <f aca="false">H1144*I1144-J1144</f>
        <v>460</v>
      </c>
      <c r="L1144" s="7" t="s">
        <v>88</v>
      </c>
      <c r="M1144" s="7" t="s">
        <v>194</v>
      </c>
      <c r="N1144" s="7" t="n">
        <v>41</v>
      </c>
      <c r="O1144" s="7" t="n">
        <v>3</v>
      </c>
    </row>
    <row r="1145" customFormat="false" ht="15" hidden="false" customHeight="false" outlineLevel="0" collapsed="false">
      <c r="A1145" s="7" t="s">
        <v>1439</v>
      </c>
      <c r="B1145" s="10" t="n">
        <v>45805</v>
      </c>
      <c r="C1145" s="7" t="s">
        <v>301</v>
      </c>
      <c r="D1145" s="7" t="s">
        <v>1440</v>
      </c>
      <c r="E1145" s="7" t="s">
        <v>126</v>
      </c>
      <c r="F1145" s="7" t="s">
        <v>101</v>
      </c>
      <c r="G1145" s="7" t="s">
        <v>105</v>
      </c>
      <c r="H1145" s="7" t="n">
        <v>4</v>
      </c>
      <c r="I1145" s="11" t="n">
        <v>215</v>
      </c>
      <c r="J1145" s="11" t="n">
        <v>30</v>
      </c>
      <c r="K1145" s="11" t="n">
        <f aca="false">H1145*I1145-J1145</f>
        <v>830</v>
      </c>
      <c r="L1145" s="7" t="s">
        <v>88</v>
      </c>
      <c r="M1145" s="7" t="s">
        <v>194</v>
      </c>
      <c r="N1145" s="7" t="n">
        <v>47</v>
      </c>
      <c r="O1145" s="7" t="n">
        <v>5</v>
      </c>
    </row>
    <row r="1146" customFormat="false" ht="15" hidden="false" customHeight="false" outlineLevel="0" collapsed="false">
      <c r="A1146" s="7" t="s">
        <v>1408</v>
      </c>
      <c r="B1146" s="10" t="n">
        <v>45805</v>
      </c>
      <c r="C1146" s="7" t="s">
        <v>1409</v>
      </c>
      <c r="D1146" s="7" t="s">
        <v>1410</v>
      </c>
      <c r="E1146" s="7" t="s">
        <v>138</v>
      </c>
      <c r="F1146" s="7" t="s">
        <v>110</v>
      </c>
      <c r="G1146" s="7" t="s">
        <v>139</v>
      </c>
      <c r="H1146" s="7" t="n">
        <v>1</v>
      </c>
      <c r="I1146" s="11" t="n">
        <v>215</v>
      </c>
      <c r="J1146" s="11" t="n">
        <v>75</v>
      </c>
      <c r="K1146" s="11" t="n">
        <f aca="false">H1146*I1146-J1146</f>
        <v>140</v>
      </c>
      <c r="L1146" s="7" t="s">
        <v>88</v>
      </c>
      <c r="M1146" s="7" t="s">
        <v>194</v>
      </c>
      <c r="N1146" s="7" t="n">
        <v>34</v>
      </c>
      <c r="O1146" s="7" t="n">
        <v>4</v>
      </c>
    </row>
    <row r="1147" customFormat="false" ht="15" hidden="false" customHeight="false" outlineLevel="0" collapsed="false">
      <c r="A1147" s="7" t="s">
        <v>3576</v>
      </c>
      <c r="B1147" s="10" t="n">
        <v>45805</v>
      </c>
      <c r="C1147" s="7" t="s">
        <v>3577</v>
      </c>
      <c r="D1147" s="7" t="s">
        <v>525</v>
      </c>
      <c r="E1147" s="7" t="s">
        <v>159</v>
      </c>
      <c r="F1147" s="7" t="s">
        <v>136</v>
      </c>
      <c r="G1147" s="7" t="s">
        <v>90</v>
      </c>
      <c r="H1147" s="7" t="n">
        <v>3</v>
      </c>
      <c r="I1147" s="11" t="n">
        <v>280</v>
      </c>
      <c r="J1147" s="11" t="n">
        <v>0</v>
      </c>
      <c r="K1147" s="11" t="n">
        <f aca="false">H1147*I1147-J1147</f>
        <v>840</v>
      </c>
      <c r="L1147" s="7" t="s">
        <v>93</v>
      </c>
      <c r="M1147" s="7" t="s">
        <v>194</v>
      </c>
      <c r="N1147" s="7" t="n">
        <v>29</v>
      </c>
      <c r="O1147" s="7"/>
    </row>
    <row r="1148" customFormat="false" ht="15" hidden="false" customHeight="false" outlineLevel="0" collapsed="false">
      <c r="A1148" s="7" t="s">
        <v>5184</v>
      </c>
      <c r="B1148" s="10" t="n">
        <v>45806</v>
      </c>
      <c r="C1148" s="7" t="s">
        <v>2155</v>
      </c>
      <c r="D1148" s="7" t="s">
        <v>2746</v>
      </c>
      <c r="E1148" s="7" t="s">
        <v>166</v>
      </c>
      <c r="F1148" s="7" t="s">
        <v>146</v>
      </c>
      <c r="G1148" s="7" t="s">
        <v>117</v>
      </c>
      <c r="H1148" s="7" t="n">
        <v>3</v>
      </c>
      <c r="I1148" s="11" t="n">
        <v>80</v>
      </c>
      <c r="J1148" s="11" t="n">
        <v>0</v>
      </c>
      <c r="K1148" s="11" t="n">
        <f aca="false">H1148*I1148-J1148</f>
        <v>240</v>
      </c>
      <c r="L1148" s="7" t="s">
        <v>88</v>
      </c>
      <c r="M1148" s="7" t="s">
        <v>194</v>
      </c>
      <c r="N1148" s="7" t="n">
        <v>20</v>
      </c>
      <c r="O1148" s="7" t="n">
        <v>3</v>
      </c>
    </row>
    <row r="1149" customFormat="false" ht="15" hidden="false" customHeight="false" outlineLevel="0" collapsed="false">
      <c r="A1149" s="7" t="s">
        <v>2332</v>
      </c>
      <c r="B1149" s="10" t="n">
        <v>45806</v>
      </c>
      <c r="C1149" s="7" t="s">
        <v>2138</v>
      </c>
      <c r="D1149" s="7" t="s">
        <v>2334</v>
      </c>
      <c r="E1149" s="7" t="s">
        <v>89</v>
      </c>
      <c r="F1149" s="7" t="s">
        <v>86</v>
      </c>
      <c r="G1149" s="7" t="s">
        <v>90</v>
      </c>
      <c r="H1149" s="7" t="n">
        <v>3</v>
      </c>
      <c r="I1149" s="11" t="n">
        <v>250</v>
      </c>
      <c r="J1149" s="11" t="n">
        <v>0</v>
      </c>
      <c r="K1149" s="11" t="n">
        <f aca="false">H1149*I1149-J1149</f>
        <v>750</v>
      </c>
      <c r="L1149" s="7" t="s">
        <v>88</v>
      </c>
      <c r="M1149" s="7" t="s">
        <v>194</v>
      </c>
      <c r="N1149" s="7" t="n">
        <v>45</v>
      </c>
      <c r="O1149" s="7" t="n">
        <v>3</v>
      </c>
    </row>
    <row r="1150" customFormat="false" ht="15" hidden="false" customHeight="false" outlineLevel="0" collapsed="false">
      <c r="A1150" s="7" t="s">
        <v>2971</v>
      </c>
      <c r="B1150" s="10" t="n">
        <v>45806</v>
      </c>
      <c r="C1150" s="7" t="s">
        <v>2138</v>
      </c>
      <c r="D1150" s="7" t="s">
        <v>2394</v>
      </c>
      <c r="E1150" s="7" t="s">
        <v>166</v>
      </c>
      <c r="F1150" s="7" t="s">
        <v>146</v>
      </c>
      <c r="G1150" s="7" t="s">
        <v>117</v>
      </c>
      <c r="H1150" s="7" t="n">
        <v>3</v>
      </c>
      <c r="I1150" s="11" t="n">
        <v>90</v>
      </c>
      <c r="J1150" s="11" t="n">
        <v>108</v>
      </c>
      <c r="K1150" s="11" t="n">
        <f aca="false">H1150*I1150-J1150</f>
        <v>162</v>
      </c>
      <c r="L1150" s="7" t="s">
        <v>103</v>
      </c>
      <c r="M1150" s="7" t="s">
        <v>194</v>
      </c>
      <c r="N1150" s="7" t="n">
        <v>32</v>
      </c>
      <c r="O1150" s="7" t="n">
        <v>2</v>
      </c>
    </row>
    <row r="1151" customFormat="false" ht="15" hidden="false" customHeight="false" outlineLevel="0" collapsed="false">
      <c r="A1151" s="7" t="s">
        <v>4550</v>
      </c>
      <c r="B1151" s="10" t="n">
        <v>45806</v>
      </c>
      <c r="C1151" s="7" t="s">
        <v>3378</v>
      </c>
      <c r="D1151" s="7" t="s">
        <v>4551</v>
      </c>
      <c r="E1151" s="7" t="s">
        <v>157</v>
      </c>
      <c r="F1151" s="7" t="s">
        <v>136</v>
      </c>
      <c r="G1151" s="7" t="s">
        <v>117</v>
      </c>
      <c r="H1151" s="7" t="n">
        <v>1</v>
      </c>
      <c r="I1151" s="11" t="n">
        <v>135</v>
      </c>
      <c r="J1151" s="11" t="n">
        <v>0</v>
      </c>
      <c r="K1151" s="11" t="n">
        <f aca="false">H1151*I1151-J1151</f>
        <v>135</v>
      </c>
      <c r="L1151" s="7" t="s">
        <v>112</v>
      </c>
      <c r="M1151" s="7" t="s">
        <v>238</v>
      </c>
      <c r="N1151" s="7"/>
      <c r="O1151" s="7"/>
    </row>
    <row r="1152" customFormat="false" ht="15" hidden="false" customHeight="false" outlineLevel="0" collapsed="false">
      <c r="A1152" s="7" t="s">
        <v>3508</v>
      </c>
      <c r="B1152" s="10" t="n">
        <v>45806</v>
      </c>
      <c r="C1152" s="7" t="s">
        <v>2033</v>
      </c>
      <c r="D1152" s="7" t="s">
        <v>1685</v>
      </c>
      <c r="E1152" s="7" t="s">
        <v>163</v>
      </c>
      <c r="F1152" s="7" t="s">
        <v>141</v>
      </c>
      <c r="G1152" s="7" t="s">
        <v>99</v>
      </c>
      <c r="H1152" s="7" t="n">
        <v>4</v>
      </c>
      <c r="I1152" s="11" t="n">
        <v>240</v>
      </c>
      <c r="J1152" s="11" t="n">
        <v>0</v>
      </c>
      <c r="K1152" s="11" t="n">
        <f aca="false">H1152*I1152-J1152</f>
        <v>960</v>
      </c>
      <c r="L1152" s="7" t="s">
        <v>88</v>
      </c>
      <c r="M1152" s="7" t="s">
        <v>194</v>
      </c>
      <c r="N1152" s="7" t="n">
        <v>41</v>
      </c>
      <c r="O1152" s="7" t="n">
        <v>5</v>
      </c>
    </row>
    <row r="1153" customFormat="false" ht="15" hidden="false" customHeight="false" outlineLevel="0" collapsed="false">
      <c r="A1153" s="7" t="s">
        <v>5571</v>
      </c>
      <c r="B1153" s="10" t="n">
        <v>45806</v>
      </c>
      <c r="C1153" s="7" t="s">
        <v>3346</v>
      </c>
      <c r="D1153" s="7" t="s">
        <v>4936</v>
      </c>
      <c r="E1153" s="7" t="s">
        <v>130</v>
      </c>
      <c r="F1153" s="7" t="s">
        <v>110</v>
      </c>
      <c r="G1153" s="7" t="s">
        <v>90</v>
      </c>
      <c r="H1153" s="7" t="n">
        <v>1</v>
      </c>
      <c r="I1153" s="11" t="n">
        <v>240</v>
      </c>
      <c r="J1153" s="11" t="n">
        <v>20</v>
      </c>
      <c r="K1153" s="11" t="n">
        <f aca="false">H1153*I1153-J1153</f>
        <v>220</v>
      </c>
      <c r="L1153" s="7" t="s">
        <v>103</v>
      </c>
      <c r="M1153" s="7" t="s">
        <v>194</v>
      </c>
      <c r="N1153" s="7" t="n">
        <v>26</v>
      </c>
      <c r="O1153" s="7" t="n">
        <v>5</v>
      </c>
    </row>
    <row r="1154" customFormat="false" ht="15" hidden="false" customHeight="false" outlineLevel="0" collapsed="false">
      <c r="A1154" s="7" t="s">
        <v>6104</v>
      </c>
      <c r="B1154" s="10" t="n">
        <v>45806</v>
      </c>
      <c r="C1154" s="7" t="s">
        <v>2856</v>
      </c>
      <c r="D1154" s="7" t="s">
        <v>4646</v>
      </c>
      <c r="E1154" s="7" t="s">
        <v>164</v>
      </c>
      <c r="F1154" s="7" t="s">
        <v>141</v>
      </c>
      <c r="G1154" s="7" t="s">
        <v>150</v>
      </c>
      <c r="H1154" s="7" t="n">
        <v>1</v>
      </c>
      <c r="I1154" s="11" t="n">
        <v>80</v>
      </c>
      <c r="J1154" s="11" t="n">
        <v>0</v>
      </c>
      <c r="K1154" s="11" t="n">
        <f aca="false">H1154*I1154-J1154</f>
        <v>80</v>
      </c>
      <c r="L1154" s="7" t="s">
        <v>88</v>
      </c>
      <c r="M1154" s="7" t="s">
        <v>194</v>
      </c>
      <c r="N1154" s="7" t="n">
        <v>38</v>
      </c>
      <c r="O1154" s="7" t="n">
        <v>4</v>
      </c>
    </row>
    <row r="1155" customFormat="false" ht="15" hidden="false" customHeight="false" outlineLevel="0" collapsed="false">
      <c r="A1155" s="7" t="s">
        <v>4170</v>
      </c>
      <c r="B1155" s="10" t="n">
        <v>45807</v>
      </c>
      <c r="C1155" s="7" t="s">
        <v>4171</v>
      </c>
      <c r="D1155" s="7" t="s">
        <v>1470</v>
      </c>
      <c r="E1155" s="7" t="s">
        <v>134</v>
      </c>
      <c r="F1155" s="7" t="s">
        <v>110</v>
      </c>
      <c r="G1155" s="7" t="s">
        <v>117</v>
      </c>
      <c r="H1155" s="7" t="n">
        <v>2</v>
      </c>
      <c r="I1155" s="11" t="n">
        <v>100</v>
      </c>
      <c r="J1155" s="11" t="n">
        <v>50</v>
      </c>
      <c r="K1155" s="11" t="n">
        <f aca="false">H1155*I1155-J1155</f>
        <v>150</v>
      </c>
      <c r="L1155" s="7" t="s">
        <v>103</v>
      </c>
      <c r="M1155" s="7" t="s">
        <v>194</v>
      </c>
      <c r="N1155" s="7" t="n">
        <v>35</v>
      </c>
      <c r="O1155" s="7" t="n">
        <v>5</v>
      </c>
    </row>
    <row r="1156" customFormat="false" ht="15" hidden="false" customHeight="false" outlineLevel="0" collapsed="false">
      <c r="A1156" s="7" t="s">
        <v>3938</v>
      </c>
      <c r="B1156" s="10" t="n">
        <v>45807</v>
      </c>
      <c r="C1156" s="7" t="s">
        <v>2138</v>
      </c>
      <c r="D1156" s="7" t="s">
        <v>3939</v>
      </c>
      <c r="E1156" s="7" t="s">
        <v>98</v>
      </c>
      <c r="F1156" s="7" t="s">
        <v>86</v>
      </c>
      <c r="G1156" s="7" t="s">
        <v>99</v>
      </c>
      <c r="H1156" s="7" t="n">
        <v>2</v>
      </c>
      <c r="I1156" s="11" t="n">
        <v>310</v>
      </c>
      <c r="J1156" s="11" t="n">
        <v>150</v>
      </c>
      <c r="K1156" s="11" t="n">
        <f aca="false">H1156*I1156-J1156</f>
        <v>470</v>
      </c>
      <c r="L1156" s="7" t="s">
        <v>93</v>
      </c>
      <c r="M1156" s="7" t="s">
        <v>194</v>
      </c>
      <c r="N1156" s="7" t="n">
        <v>42</v>
      </c>
      <c r="O1156" s="7" t="n">
        <v>4</v>
      </c>
    </row>
    <row r="1157" customFormat="false" ht="15" hidden="false" customHeight="false" outlineLevel="0" collapsed="false">
      <c r="A1157" s="7" t="s">
        <v>1328</v>
      </c>
      <c r="B1157" s="10" t="n">
        <v>45807</v>
      </c>
      <c r="C1157" s="7" t="s">
        <v>1330</v>
      </c>
      <c r="D1157" s="7" t="s">
        <v>1331</v>
      </c>
      <c r="E1157" s="7" t="s">
        <v>158</v>
      </c>
      <c r="F1157" s="7" t="s">
        <v>136</v>
      </c>
      <c r="G1157" s="7" t="s">
        <v>139</v>
      </c>
      <c r="H1157" s="7" t="n">
        <v>2</v>
      </c>
      <c r="I1157" s="11" t="n">
        <v>155</v>
      </c>
      <c r="J1157" s="11" t="n">
        <v>50</v>
      </c>
      <c r="K1157" s="11" t="n">
        <f aca="false">H1157*I1157-J1157</f>
        <v>260</v>
      </c>
      <c r="L1157" s="7" t="s">
        <v>103</v>
      </c>
      <c r="M1157" s="7" t="s">
        <v>194</v>
      </c>
      <c r="N1157" s="7" t="n">
        <v>34</v>
      </c>
      <c r="O1157" s="7" t="n">
        <v>4</v>
      </c>
    </row>
    <row r="1158" customFormat="false" ht="15" hidden="false" customHeight="false" outlineLevel="0" collapsed="false">
      <c r="A1158" s="7" t="s">
        <v>2178</v>
      </c>
      <c r="B1158" s="10" t="n">
        <v>45807</v>
      </c>
      <c r="C1158" s="7" t="s">
        <v>1219</v>
      </c>
      <c r="D1158" s="7" t="s">
        <v>2179</v>
      </c>
      <c r="E1158" s="7" t="s">
        <v>126</v>
      </c>
      <c r="F1158" s="7" t="s">
        <v>101</v>
      </c>
      <c r="G1158" s="7" t="s">
        <v>105</v>
      </c>
      <c r="H1158" s="7" t="n">
        <v>3</v>
      </c>
      <c r="I1158" s="11" t="n">
        <v>165</v>
      </c>
      <c r="J1158" s="11" t="n">
        <v>0</v>
      </c>
      <c r="K1158" s="11" t="n">
        <f aca="false">H1158*I1158-J1158</f>
        <v>495</v>
      </c>
      <c r="L1158" s="7" t="s">
        <v>88</v>
      </c>
      <c r="M1158" s="7" t="s">
        <v>194</v>
      </c>
      <c r="N1158" s="7" t="n">
        <v>40</v>
      </c>
      <c r="O1158" s="7" t="n">
        <v>4</v>
      </c>
    </row>
    <row r="1159" customFormat="false" ht="15" hidden="false" customHeight="false" outlineLevel="0" collapsed="false">
      <c r="A1159" s="7" t="s">
        <v>2739</v>
      </c>
      <c r="B1159" s="10" t="n">
        <v>45807</v>
      </c>
      <c r="C1159" s="7" t="s">
        <v>1784</v>
      </c>
      <c r="D1159" s="7" t="s">
        <v>2411</v>
      </c>
      <c r="E1159" s="7" t="s">
        <v>144</v>
      </c>
      <c r="F1159" s="7" t="s">
        <v>119</v>
      </c>
      <c r="G1159" s="7" t="s">
        <v>99</v>
      </c>
      <c r="H1159" s="7" t="n">
        <v>5</v>
      </c>
      <c r="I1159" s="11" t="n">
        <v>345</v>
      </c>
      <c r="J1159" s="11" t="n">
        <v>40</v>
      </c>
      <c r="K1159" s="11" t="n">
        <f aca="false">H1159*I1159-J1159</f>
        <v>1685</v>
      </c>
      <c r="L1159" s="7" t="s">
        <v>88</v>
      </c>
      <c r="M1159" s="7" t="s">
        <v>194</v>
      </c>
      <c r="N1159" s="7" t="n">
        <v>27</v>
      </c>
      <c r="O1159" s="7" t="n">
        <v>4</v>
      </c>
    </row>
    <row r="1160" customFormat="false" ht="15" hidden="false" customHeight="false" outlineLevel="0" collapsed="false">
      <c r="A1160" s="7" t="s">
        <v>5210</v>
      </c>
      <c r="B1160" s="10" t="n">
        <v>45807</v>
      </c>
      <c r="C1160" s="7" t="s">
        <v>213</v>
      </c>
      <c r="D1160" s="7" t="s">
        <v>5211</v>
      </c>
      <c r="E1160" s="7" t="s">
        <v>147</v>
      </c>
      <c r="F1160" s="7" t="s">
        <v>119</v>
      </c>
      <c r="G1160" s="7" t="s">
        <v>95</v>
      </c>
      <c r="H1160" s="7" t="n">
        <v>4</v>
      </c>
      <c r="I1160" s="11" t="n">
        <v>135</v>
      </c>
      <c r="J1160" s="11" t="n">
        <v>0</v>
      </c>
      <c r="K1160" s="11" t="n">
        <f aca="false">H1160*I1160-J1160</f>
        <v>540</v>
      </c>
      <c r="L1160" s="7" t="s">
        <v>103</v>
      </c>
      <c r="M1160" s="7" t="s">
        <v>194</v>
      </c>
      <c r="N1160" s="7" t="n">
        <v>40</v>
      </c>
      <c r="O1160" s="7" t="n">
        <v>5</v>
      </c>
    </row>
    <row r="1161" customFormat="false" ht="15" hidden="false" customHeight="false" outlineLevel="0" collapsed="false">
      <c r="A1161" s="7" t="s">
        <v>1689</v>
      </c>
      <c r="B1161" s="10" t="n">
        <v>45808</v>
      </c>
      <c r="C1161" s="7" t="s">
        <v>952</v>
      </c>
      <c r="D1161" s="7" t="s">
        <v>948</v>
      </c>
      <c r="E1161" s="7" t="s">
        <v>134</v>
      </c>
      <c r="F1161" s="7" t="s">
        <v>110</v>
      </c>
      <c r="G1161" s="7" t="s">
        <v>117</v>
      </c>
      <c r="H1161" s="7" t="n">
        <v>1</v>
      </c>
      <c r="I1161" s="11" t="n">
        <v>85</v>
      </c>
      <c r="J1161" s="11" t="n">
        <v>0</v>
      </c>
      <c r="K1161" s="11" t="n">
        <f aca="false">H1161*I1161-J1161</f>
        <v>85</v>
      </c>
      <c r="L1161" s="7" t="s">
        <v>121</v>
      </c>
      <c r="M1161" s="7" t="s">
        <v>194</v>
      </c>
      <c r="N1161" s="7" t="n">
        <v>34</v>
      </c>
      <c r="O1161" s="7" t="n">
        <v>4</v>
      </c>
    </row>
    <row r="1162" customFormat="false" ht="15" hidden="false" customHeight="false" outlineLevel="0" collapsed="false">
      <c r="A1162" s="7" t="s">
        <v>4923</v>
      </c>
      <c r="B1162" s="10" t="n">
        <v>45808</v>
      </c>
      <c r="C1162" s="7" t="s">
        <v>1741</v>
      </c>
      <c r="D1162" s="7" t="s">
        <v>4924</v>
      </c>
      <c r="E1162" s="7" t="s">
        <v>163</v>
      </c>
      <c r="F1162" s="7" t="s">
        <v>141</v>
      </c>
      <c r="G1162" s="7" t="s">
        <v>99</v>
      </c>
      <c r="H1162" s="7" t="n">
        <v>2</v>
      </c>
      <c r="I1162" s="11" t="n">
        <v>215</v>
      </c>
      <c r="J1162" s="11" t="n">
        <v>0</v>
      </c>
      <c r="K1162" s="11" t="n">
        <f aca="false">H1162*I1162-J1162</f>
        <v>430</v>
      </c>
      <c r="L1162" s="7" t="s">
        <v>121</v>
      </c>
      <c r="M1162" s="7" t="s">
        <v>194</v>
      </c>
      <c r="N1162" s="7" t="n">
        <v>35</v>
      </c>
      <c r="O1162" s="7" t="n">
        <v>1</v>
      </c>
    </row>
    <row r="1163" customFormat="false" ht="15" hidden="false" customHeight="false" outlineLevel="0" collapsed="false">
      <c r="A1163" s="7" t="s">
        <v>5921</v>
      </c>
      <c r="B1163" s="10" t="n">
        <v>45808</v>
      </c>
      <c r="C1163" s="7" t="s">
        <v>4383</v>
      </c>
      <c r="D1163" s="7" t="s">
        <v>4423</v>
      </c>
      <c r="E1163" s="7" t="s">
        <v>138</v>
      </c>
      <c r="F1163" s="7" t="s">
        <v>110</v>
      </c>
      <c r="G1163" s="7" t="s">
        <v>139</v>
      </c>
      <c r="H1163" s="7" t="n">
        <v>1</v>
      </c>
      <c r="I1163" s="11" t="n">
        <v>220</v>
      </c>
      <c r="J1163" s="11" t="n">
        <v>88</v>
      </c>
      <c r="K1163" s="11" t="n">
        <f aca="false">H1163*I1163-J1163</f>
        <v>132</v>
      </c>
      <c r="L1163" s="7" t="s">
        <v>88</v>
      </c>
      <c r="M1163" s="7" t="s">
        <v>194</v>
      </c>
      <c r="N1163" s="7" t="n">
        <v>30</v>
      </c>
      <c r="O1163" s="7" t="n">
        <v>3</v>
      </c>
    </row>
    <row r="1164" customFormat="false" ht="15" hidden="false" customHeight="false" outlineLevel="0" collapsed="false">
      <c r="A1164" s="7" t="s">
        <v>4916</v>
      </c>
      <c r="B1164" s="10" t="n">
        <v>45808</v>
      </c>
      <c r="C1164" s="7" t="s">
        <v>4917</v>
      </c>
      <c r="D1164" s="7" t="s">
        <v>1668</v>
      </c>
      <c r="E1164" s="7" t="s">
        <v>89</v>
      </c>
      <c r="F1164" s="7" t="s">
        <v>86</v>
      </c>
      <c r="G1164" s="7" t="s">
        <v>90</v>
      </c>
      <c r="H1164" s="7" t="n">
        <v>2</v>
      </c>
      <c r="I1164" s="11" t="n">
        <v>215</v>
      </c>
      <c r="J1164" s="11" t="n">
        <v>40</v>
      </c>
      <c r="K1164" s="11" t="n">
        <f aca="false">H1164*I1164-J1164</f>
        <v>390</v>
      </c>
      <c r="L1164" s="7" t="s">
        <v>112</v>
      </c>
      <c r="M1164" s="7" t="s">
        <v>194</v>
      </c>
      <c r="N1164" s="7" t="n">
        <v>53</v>
      </c>
      <c r="O1164" s="7" t="n">
        <v>2</v>
      </c>
    </row>
    <row r="1165" customFormat="false" ht="15" hidden="false" customHeight="false" outlineLevel="0" collapsed="false">
      <c r="A1165" s="7" t="s">
        <v>3897</v>
      </c>
      <c r="B1165" s="10" t="n">
        <v>45808</v>
      </c>
      <c r="C1165" s="7" t="s">
        <v>1830</v>
      </c>
      <c r="D1165" s="7" t="s">
        <v>843</v>
      </c>
      <c r="E1165" s="7" t="s">
        <v>142</v>
      </c>
      <c r="F1165" s="7" t="s">
        <v>110</v>
      </c>
      <c r="G1165" s="7" t="s">
        <v>105</v>
      </c>
      <c r="H1165" s="7" t="n">
        <v>1</v>
      </c>
      <c r="I1165" s="11" t="n">
        <v>170</v>
      </c>
      <c r="J1165" s="11" t="n">
        <v>0</v>
      </c>
      <c r="K1165" s="11" t="n">
        <f aca="false">H1165*I1165-J1165</f>
        <v>170</v>
      </c>
      <c r="L1165" s="7" t="s">
        <v>88</v>
      </c>
      <c r="M1165" s="7" t="s">
        <v>194</v>
      </c>
      <c r="N1165" s="7" t="n">
        <v>33</v>
      </c>
      <c r="O1165" s="7" t="n">
        <v>5</v>
      </c>
    </row>
    <row r="1166" customFormat="false" ht="15" hidden="false" customHeight="false" outlineLevel="0" collapsed="false">
      <c r="A1166" s="7" t="s">
        <v>3151</v>
      </c>
      <c r="B1166" s="10" t="n">
        <v>45808</v>
      </c>
      <c r="C1166" s="7" t="s">
        <v>3152</v>
      </c>
      <c r="D1166" s="7" t="s">
        <v>3153</v>
      </c>
      <c r="E1166" s="7" t="s">
        <v>144</v>
      </c>
      <c r="F1166" s="7" t="s">
        <v>119</v>
      </c>
      <c r="G1166" s="7" t="s">
        <v>99</v>
      </c>
      <c r="H1166" s="7" t="n">
        <v>3</v>
      </c>
      <c r="I1166" s="11" t="n">
        <v>280</v>
      </c>
      <c r="J1166" s="11" t="n">
        <v>125</v>
      </c>
      <c r="K1166" s="11" t="n">
        <f aca="false">H1166*I1166-J1166</f>
        <v>715</v>
      </c>
      <c r="L1166" s="7" t="s">
        <v>103</v>
      </c>
      <c r="M1166" s="7" t="s">
        <v>194</v>
      </c>
      <c r="N1166" s="7" t="n">
        <v>46</v>
      </c>
      <c r="O1166" s="7" t="n">
        <v>4</v>
      </c>
    </row>
    <row r="1167" customFormat="false" ht="15" hidden="false" customHeight="false" outlineLevel="0" collapsed="false">
      <c r="A1167" s="7" t="s">
        <v>1120</v>
      </c>
      <c r="B1167" s="10" t="n">
        <v>45808</v>
      </c>
      <c r="C1167" s="7" t="s">
        <v>655</v>
      </c>
      <c r="D1167" s="7" t="s">
        <v>1122</v>
      </c>
      <c r="E1167" s="7" t="s">
        <v>159</v>
      </c>
      <c r="F1167" s="7" t="s">
        <v>136</v>
      </c>
      <c r="G1167" s="7" t="s">
        <v>90</v>
      </c>
      <c r="H1167" s="7" t="n">
        <v>1</v>
      </c>
      <c r="I1167" s="11" t="n">
        <v>270</v>
      </c>
      <c r="J1167" s="11" t="n">
        <v>40</v>
      </c>
      <c r="K1167" s="11" t="n">
        <f aca="false">H1167*I1167-J1167</f>
        <v>230</v>
      </c>
      <c r="L1167" s="7" t="s">
        <v>112</v>
      </c>
      <c r="M1167" s="7" t="s">
        <v>194</v>
      </c>
      <c r="N1167" s="7" t="n">
        <v>33</v>
      </c>
      <c r="O1167" s="7" t="n">
        <v>5</v>
      </c>
    </row>
    <row r="1168" customFormat="false" ht="15" hidden="false" customHeight="false" outlineLevel="0" collapsed="false">
      <c r="A1168" s="7" t="s">
        <v>4993</v>
      </c>
      <c r="B1168" s="10" t="n">
        <v>45808</v>
      </c>
      <c r="C1168" s="7" t="s">
        <v>1358</v>
      </c>
      <c r="D1168" s="7" t="s">
        <v>4223</v>
      </c>
      <c r="E1168" s="7" t="s">
        <v>144</v>
      </c>
      <c r="F1168" s="7" t="s">
        <v>119</v>
      </c>
      <c r="G1168" s="7" t="s">
        <v>99</v>
      </c>
      <c r="H1168" s="7" t="n">
        <v>1</v>
      </c>
      <c r="I1168" s="11" t="n">
        <v>355</v>
      </c>
      <c r="J1168" s="11" t="n">
        <v>0</v>
      </c>
      <c r="K1168" s="11" t="n">
        <f aca="false">H1168*I1168-J1168</f>
        <v>355</v>
      </c>
      <c r="L1168" s="7" t="s">
        <v>133</v>
      </c>
      <c r="M1168" s="7" t="s">
        <v>194</v>
      </c>
      <c r="N1168" s="7" t="n">
        <v>36</v>
      </c>
      <c r="O1168" s="7"/>
    </row>
    <row r="1169" customFormat="false" ht="15" hidden="false" customHeight="false" outlineLevel="0" collapsed="false">
      <c r="A1169" s="7" t="s">
        <v>4014</v>
      </c>
      <c r="B1169" s="10" t="n">
        <v>45808</v>
      </c>
      <c r="C1169" s="7" t="s">
        <v>258</v>
      </c>
      <c r="D1169" s="7" t="s">
        <v>2153</v>
      </c>
      <c r="E1169" s="7" t="s">
        <v>89</v>
      </c>
      <c r="F1169" s="7" t="s">
        <v>86</v>
      </c>
      <c r="G1169" s="7" t="s">
        <v>90</v>
      </c>
      <c r="H1169" s="7" t="n">
        <v>3</v>
      </c>
      <c r="I1169" s="11" t="n">
        <v>230</v>
      </c>
      <c r="J1169" s="11" t="n">
        <v>20</v>
      </c>
      <c r="K1169" s="11" t="n">
        <f aca="false">H1169*I1169-J1169</f>
        <v>670</v>
      </c>
      <c r="L1169" s="7" t="s">
        <v>88</v>
      </c>
      <c r="M1169" s="7" t="s">
        <v>194</v>
      </c>
      <c r="N1169" s="7" t="n">
        <v>30</v>
      </c>
      <c r="O1169" s="7" t="n">
        <v>4</v>
      </c>
    </row>
    <row r="1170" customFormat="false" ht="15" hidden="false" customHeight="false" outlineLevel="0" collapsed="false">
      <c r="A1170" s="7" t="s">
        <v>2159</v>
      </c>
      <c r="B1170" s="10" t="n">
        <v>45808</v>
      </c>
      <c r="C1170" s="7" t="s">
        <v>2160</v>
      </c>
      <c r="D1170" s="7" t="s">
        <v>198</v>
      </c>
      <c r="E1170" s="7" t="s">
        <v>116</v>
      </c>
      <c r="F1170" s="7" t="s">
        <v>101</v>
      </c>
      <c r="G1170" s="7" t="s">
        <v>117</v>
      </c>
      <c r="H1170" s="7" t="n">
        <v>3</v>
      </c>
      <c r="I1170" s="11" t="n">
        <v>130</v>
      </c>
      <c r="J1170" s="11" t="n">
        <v>0</v>
      </c>
      <c r="K1170" s="11" t="n">
        <f aca="false">H1170*I1170-J1170</f>
        <v>390</v>
      </c>
      <c r="L1170" s="7" t="s">
        <v>88</v>
      </c>
      <c r="M1170" s="7" t="s">
        <v>194</v>
      </c>
      <c r="N1170" s="7" t="n">
        <v>51</v>
      </c>
      <c r="O1170" s="7" t="n">
        <v>4</v>
      </c>
    </row>
    <row r="1171" customFormat="false" ht="15" hidden="false" customHeight="false" outlineLevel="0" collapsed="false">
      <c r="A1171" s="7" t="s">
        <v>1890</v>
      </c>
      <c r="B1171" s="10" t="n">
        <v>45808</v>
      </c>
      <c r="C1171" s="7" t="s">
        <v>1412</v>
      </c>
      <c r="D1171" s="7" t="s">
        <v>1891</v>
      </c>
      <c r="E1171" s="7" t="s">
        <v>104</v>
      </c>
      <c r="F1171" s="7" t="s">
        <v>86</v>
      </c>
      <c r="G1171" s="7" t="s">
        <v>105</v>
      </c>
      <c r="H1171" s="7" t="n">
        <v>2</v>
      </c>
      <c r="I1171" s="11" t="n">
        <v>225</v>
      </c>
      <c r="J1171" s="11" t="n">
        <v>0</v>
      </c>
      <c r="K1171" s="11" t="n">
        <f aca="false">H1171*I1171-J1171</f>
        <v>450</v>
      </c>
      <c r="L1171" s="7" t="s">
        <v>103</v>
      </c>
      <c r="M1171" s="7" t="s">
        <v>194</v>
      </c>
      <c r="N1171" s="7" t="n">
        <v>40</v>
      </c>
      <c r="O1171" s="7" t="n">
        <v>3</v>
      </c>
    </row>
    <row r="1172" customFormat="false" ht="15" hidden="false" customHeight="false" outlineLevel="0" collapsed="false">
      <c r="A1172" s="7" t="s">
        <v>4594</v>
      </c>
      <c r="B1172" s="10" t="n">
        <v>45809</v>
      </c>
      <c r="C1172" s="7" t="s">
        <v>736</v>
      </c>
      <c r="D1172" s="7" t="s">
        <v>3282</v>
      </c>
      <c r="E1172" s="7" t="s">
        <v>168</v>
      </c>
      <c r="F1172" s="7" t="s">
        <v>146</v>
      </c>
      <c r="G1172" s="7" t="s">
        <v>123</v>
      </c>
      <c r="H1172" s="7" t="n">
        <v>2</v>
      </c>
      <c r="I1172" s="11" t="n">
        <v>280</v>
      </c>
      <c r="J1172" s="11" t="n">
        <v>100</v>
      </c>
      <c r="K1172" s="11" t="n">
        <f aca="false">H1172*I1172-J1172</f>
        <v>460</v>
      </c>
      <c r="L1172" s="7" t="s">
        <v>103</v>
      </c>
      <c r="M1172" s="7" t="s">
        <v>194</v>
      </c>
      <c r="N1172" s="7" t="n">
        <v>38</v>
      </c>
      <c r="O1172" s="7" t="n">
        <v>4</v>
      </c>
    </row>
    <row r="1173" customFormat="false" ht="15" hidden="false" customHeight="false" outlineLevel="0" collapsed="false">
      <c r="A1173" s="7" t="s">
        <v>4599</v>
      </c>
      <c r="B1173" s="10" t="n">
        <v>45809</v>
      </c>
      <c r="C1173" s="7" t="s">
        <v>2016</v>
      </c>
      <c r="D1173" s="7" t="s">
        <v>4600</v>
      </c>
      <c r="E1173" s="7" t="s">
        <v>98</v>
      </c>
      <c r="F1173" s="7" t="s">
        <v>86</v>
      </c>
      <c r="G1173" s="7" t="s">
        <v>99</v>
      </c>
      <c r="H1173" s="7" t="n">
        <v>5</v>
      </c>
      <c r="I1173" s="11" t="n">
        <v>320</v>
      </c>
      <c r="J1173" s="11" t="n">
        <v>0</v>
      </c>
      <c r="K1173" s="11" t="n">
        <f aca="false">H1173*I1173-J1173</f>
        <v>1600</v>
      </c>
      <c r="L1173" s="7" t="s">
        <v>88</v>
      </c>
      <c r="M1173" s="7" t="s">
        <v>194</v>
      </c>
      <c r="N1173" s="7" t="n">
        <v>38</v>
      </c>
      <c r="O1173" s="7" t="n">
        <v>4</v>
      </c>
    </row>
    <row r="1174" customFormat="false" ht="15" hidden="false" customHeight="false" outlineLevel="0" collapsed="false">
      <c r="A1174" s="7" t="s">
        <v>2165</v>
      </c>
      <c r="B1174" s="10" t="n">
        <v>45809</v>
      </c>
      <c r="C1174" s="7" t="s">
        <v>595</v>
      </c>
      <c r="D1174" s="7" t="s">
        <v>332</v>
      </c>
      <c r="E1174" s="7" t="s">
        <v>138</v>
      </c>
      <c r="F1174" s="7" t="s">
        <v>110</v>
      </c>
      <c r="G1174" s="7" t="s">
        <v>139</v>
      </c>
      <c r="H1174" s="7" t="n">
        <v>1</v>
      </c>
      <c r="I1174" s="11" t="n">
        <v>230</v>
      </c>
      <c r="J1174" s="11" t="n">
        <v>0</v>
      </c>
      <c r="K1174" s="11" t="n">
        <f aca="false">H1174*I1174-J1174</f>
        <v>230</v>
      </c>
      <c r="L1174" s="7" t="s">
        <v>121</v>
      </c>
      <c r="M1174" s="7" t="s">
        <v>238</v>
      </c>
      <c r="N1174" s="7"/>
      <c r="O1174" s="7"/>
    </row>
    <row r="1175" customFormat="false" ht="15" hidden="false" customHeight="false" outlineLevel="0" collapsed="false">
      <c r="A1175" s="7" t="s">
        <v>4598</v>
      </c>
      <c r="B1175" s="10" t="n">
        <v>45809</v>
      </c>
      <c r="C1175" s="7" t="s">
        <v>779</v>
      </c>
      <c r="D1175" s="7" t="s">
        <v>4339</v>
      </c>
      <c r="E1175" s="7" t="s">
        <v>98</v>
      </c>
      <c r="F1175" s="7" t="s">
        <v>86</v>
      </c>
      <c r="G1175" s="7" t="s">
        <v>99</v>
      </c>
      <c r="H1175" s="7" t="n">
        <v>1</v>
      </c>
      <c r="I1175" s="11" t="n">
        <v>245</v>
      </c>
      <c r="J1175" s="11" t="n">
        <v>98</v>
      </c>
      <c r="K1175" s="11" t="n">
        <f aca="false">H1175*I1175-J1175</f>
        <v>147</v>
      </c>
      <c r="L1175" s="7" t="s">
        <v>93</v>
      </c>
      <c r="M1175" s="7" t="s">
        <v>194</v>
      </c>
      <c r="N1175" s="7" t="n">
        <v>35</v>
      </c>
      <c r="O1175" s="7" t="n">
        <v>5</v>
      </c>
    </row>
    <row r="1176" customFormat="false" ht="15" hidden="false" customHeight="false" outlineLevel="0" collapsed="false">
      <c r="A1176" s="7" t="s">
        <v>3542</v>
      </c>
      <c r="B1176" s="10" t="n">
        <v>45809</v>
      </c>
      <c r="C1176" s="7" t="s">
        <v>1145</v>
      </c>
      <c r="D1176" s="7" t="s">
        <v>3543</v>
      </c>
      <c r="E1176" s="7" t="s">
        <v>89</v>
      </c>
      <c r="F1176" s="7" t="s">
        <v>86</v>
      </c>
      <c r="G1176" s="7" t="s">
        <v>90</v>
      </c>
      <c r="H1176" s="7" t="n">
        <v>2</v>
      </c>
      <c r="I1176" s="11" t="n">
        <v>210</v>
      </c>
      <c r="J1176" s="11" t="n">
        <v>50</v>
      </c>
      <c r="K1176" s="11" t="n">
        <f aca="false">H1176*I1176-J1176</f>
        <v>370</v>
      </c>
      <c r="L1176" s="7" t="s">
        <v>88</v>
      </c>
      <c r="M1176" s="7" t="s">
        <v>194</v>
      </c>
      <c r="N1176" s="7" t="n">
        <v>43</v>
      </c>
      <c r="O1176" s="7" t="n">
        <v>5</v>
      </c>
    </row>
    <row r="1177" customFormat="false" ht="15" hidden="false" customHeight="false" outlineLevel="0" collapsed="false">
      <c r="A1177" s="7" t="s">
        <v>4637</v>
      </c>
      <c r="B1177" s="10" t="n">
        <v>45809</v>
      </c>
      <c r="C1177" s="7" t="s">
        <v>709</v>
      </c>
      <c r="D1177" s="7" t="s">
        <v>922</v>
      </c>
      <c r="E1177" s="7" t="s">
        <v>138</v>
      </c>
      <c r="F1177" s="7" t="s">
        <v>110</v>
      </c>
      <c r="G1177" s="7" t="s">
        <v>139</v>
      </c>
      <c r="H1177" s="7" t="n">
        <v>2</v>
      </c>
      <c r="I1177" s="11" t="n">
        <v>205</v>
      </c>
      <c r="J1177" s="11" t="n">
        <v>0</v>
      </c>
      <c r="K1177" s="11" t="n">
        <f aca="false">H1177*I1177-J1177</f>
        <v>410</v>
      </c>
      <c r="L1177" s="7" t="s">
        <v>112</v>
      </c>
      <c r="M1177" s="7" t="s">
        <v>194</v>
      </c>
      <c r="N1177" s="7" t="n">
        <v>40</v>
      </c>
      <c r="O1177" s="7" t="n">
        <v>4</v>
      </c>
    </row>
    <row r="1178" customFormat="false" ht="15" hidden="false" customHeight="false" outlineLevel="0" collapsed="false">
      <c r="A1178" s="7" t="s">
        <v>4462</v>
      </c>
      <c r="B1178" s="10" t="n">
        <v>45809</v>
      </c>
      <c r="C1178" s="7" t="s">
        <v>1864</v>
      </c>
      <c r="D1178" s="7" t="s">
        <v>1981</v>
      </c>
      <c r="E1178" s="7" t="s">
        <v>160</v>
      </c>
      <c r="F1178" s="7" t="s">
        <v>136</v>
      </c>
      <c r="G1178" s="7" t="s">
        <v>150</v>
      </c>
      <c r="H1178" s="7" t="n">
        <v>1</v>
      </c>
      <c r="I1178" s="11" t="n">
        <v>145</v>
      </c>
      <c r="J1178" s="11" t="n">
        <v>0</v>
      </c>
      <c r="K1178" s="11" t="n">
        <f aca="false">H1178*I1178-J1178</f>
        <v>145</v>
      </c>
      <c r="L1178" s="7" t="s">
        <v>88</v>
      </c>
      <c r="M1178" s="7" t="s">
        <v>238</v>
      </c>
      <c r="N1178" s="7"/>
      <c r="O1178" s="7"/>
    </row>
    <row r="1179" customFormat="false" ht="15" hidden="false" customHeight="false" outlineLevel="0" collapsed="false">
      <c r="A1179" s="7" t="s">
        <v>5219</v>
      </c>
      <c r="B1179" s="10" t="n">
        <v>45809</v>
      </c>
      <c r="C1179" s="7" t="s">
        <v>258</v>
      </c>
      <c r="D1179" s="7" t="s">
        <v>4706</v>
      </c>
      <c r="E1179" s="7" t="s">
        <v>138</v>
      </c>
      <c r="F1179" s="7" t="s">
        <v>110</v>
      </c>
      <c r="G1179" s="7" t="s">
        <v>139</v>
      </c>
      <c r="H1179" s="7" t="n">
        <v>3</v>
      </c>
      <c r="I1179" s="11" t="n">
        <v>190</v>
      </c>
      <c r="J1179" s="11" t="n">
        <v>0</v>
      </c>
      <c r="K1179" s="11" t="n">
        <f aca="false">H1179*I1179-J1179</f>
        <v>570</v>
      </c>
      <c r="L1179" s="7" t="s">
        <v>88</v>
      </c>
      <c r="M1179" s="7" t="s">
        <v>194</v>
      </c>
      <c r="N1179" s="7" t="n">
        <v>48</v>
      </c>
      <c r="O1179" s="7" t="n">
        <v>4</v>
      </c>
    </row>
    <row r="1180" customFormat="false" ht="15" hidden="false" customHeight="false" outlineLevel="0" collapsed="false">
      <c r="A1180" s="7" t="s">
        <v>3099</v>
      </c>
      <c r="B1180" s="10" t="n">
        <v>45809</v>
      </c>
      <c r="C1180" s="7" t="s">
        <v>437</v>
      </c>
      <c r="D1180" s="7" t="s">
        <v>1792</v>
      </c>
      <c r="E1180" s="7" t="s">
        <v>144</v>
      </c>
      <c r="F1180" s="7" t="s">
        <v>119</v>
      </c>
      <c r="G1180" s="7" t="s">
        <v>99</v>
      </c>
      <c r="H1180" s="7" t="n">
        <v>1</v>
      </c>
      <c r="I1180" s="11" t="n">
        <v>280</v>
      </c>
      <c r="J1180" s="11" t="n">
        <v>0</v>
      </c>
      <c r="K1180" s="11" t="n">
        <f aca="false">H1180*I1180-J1180</f>
        <v>280</v>
      </c>
      <c r="L1180" s="7" t="s">
        <v>112</v>
      </c>
      <c r="M1180" s="7" t="s">
        <v>194</v>
      </c>
      <c r="N1180" s="7" t="n">
        <v>36</v>
      </c>
      <c r="O1180" s="7" t="n">
        <v>4</v>
      </c>
    </row>
    <row r="1181" customFormat="false" ht="15" hidden="false" customHeight="false" outlineLevel="0" collapsed="false">
      <c r="A1181" s="7" t="s">
        <v>1388</v>
      </c>
      <c r="B1181" s="10" t="n">
        <v>45809</v>
      </c>
      <c r="C1181" s="7" t="s">
        <v>1390</v>
      </c>
      <c r="D1181" s="7" t="s">
        <v>1059</v>
      </c>
      <c r="E1181" s="7" t="s">
        <v>165</v>
      </c>
      <c r="F1181" s="7" t="s">
        <v>146</v>
      </c>
      <c r="G1181" s="7" t="s">
        <v>90</v>
      </c>
      <c r="H1181" s="7" t="n">
        <v>1</v>
      </c>
      <c r="I1181" s="11" t="n">
        <v>205</v>
      </c>
      <c r="J1181" s="11" t="n">
        <v>82</v>
      </c>
      <c r="K1181" s="11" t="n">
        <f aca="false">H1181*I1181-J1181</f>
        <v>123</v>
      </c>
      <c r="L1181" s="7" t="s">
        <v>88</v>
      </c>
      <c r="M1181" s="7" t="s">
        <v>194</v>
      </c>
      <c r="N1181" s="7" t="n">
        <v>24</v>
      </c>
      <c r="O1181" s="7" t="n">
        <v>5</v>
      </c>
    </row>
    <row r="1182" customFormat="false" ht="15" hidden="false" customHeight="false" outlineLevel="0" collapsed="false">
      <c r="A1182" s="7" t="s">
        <v>5438</v>
      </c>
      <c r="B1182" s="10" t="n">
        <v>45810</v>
      </c>
      <c r="C1182" s="7" t="s">
        <v>5440</v>
      </c>
      <c r="D1182" s="7" t="s">
        <v>5404</v>
      </c>
      <c r="E1182" s="7" t="s">
        <v>163</v>
      </c>
      <c r="F1182" s="7" t="s">
        <v>141</v>
      </c>
      <c r="G1182" s="7" t="s">
        <v>99</v>
      </c>
      <c r="H1182" s="7" t="n">
        <v>1</v>
      </c>
      <c r="I1182" s="11" t="n">
        <v>245</v>
      </c>
      <c r="J1182" s="11" t="n">
        <v>50</v>
      </c>
      <c r="K1182" s="11" t="n">
        <f aca="false">H1182*I1182-J1182</f>
        <v>195</v>
      </c>
      <c r="L1182" s="7" t="s">
        <v>88</v>
      </c>
      <c r="M1182" s="7" t="s">
        <v>194</v>
      </c>
      <c r="N1182" s="7" t="n">
        <v>30</v>
      </c>
      <c r="O1182" s="7" t="n">
        <v>4</v>
      </c>
    </row>
    <row r="1183" customFormat="false" ht="15" hidden="false" customHeight="false" outlineLevel="0" collapsed="false">
      <c r="A1183" s="7" t="s">
        <v>1967</v>
      </c>
      <c r="B1183" s="10" t="n">
        <v>45810</v>
      </c>
      <c r="C1183" s="7" t="s">
        <v>724</v>
      </c>
      <c r="D1183" s="7" t="s">
        <v>1968</v>
      </c>
      <c r="E1183" s="7" t="s">
        <v>161</v>
      </c>
      <c r="F1183" s="7" t="s">
        <v>141</v>
      </c>
      <c r="G1183" s="7" t="s">
        <v>117</v>
      </c>
      <c r="H1183" s="7" t="n">
        <v>2</v>
      </c>
      <c r="I1183" s="11" t="n">
        <v>135</v>
      </c>
      <c r="J1183" s="11" t="n">
        <v>108</v>
      </c>
      <c r="K1183" s="11" t="n">
        <f aca="false">H1183*I1183-J1183</f>
        <v>162</v>
      </c>
      <c r="L1183" s="7" t="s">
        <v>88</v>
      </c>
      <c r="M1183" s="7" t="s">
        <v>194</v>
      </c>
      <c r="N1183" s="7" t="n">
        <v>41</v>
      </c>
      <c r="O1183" s="7" t="n">
        <v>5</v>
      </c>
    </row>
    <row r="1184" customFormat="false" ht="15" hidden="false" customHeight="false" outlineLevel="0" collapsed="false">
      <c r="A1184" s="7" t="s">
        <v>1463</v>
      </c>
      <c r="B1184" s="10" t="n">
        <v>45810</v>
      </c>
      <c r="C1184" s="7" t="s">
        <v>268</v>
      </c>
      <c r="D1184" s="7" t="s">
        <v>1464</v>
      </c>
      <c r="E1184" s="7" t="s">
        <v>138</v>
      </c>
      <c r="F1184" s="7" t="s">
        <v>110</v>
      </c>
      <c r="G1184" s="7" t="s">
        <v>139</v>
      </c>
      <c r="H1184" s="7" t="n">
        <v>3</v>
      </c>
      <c r="I1184" s="11" t="n">
        <v>200</v>
      </c>
      <c r="J1184" s="11" t="n">
        <v>0</v>
      </c>
      <c r="K1184" s="11" t="n">
        <f aca="false">H1184*I1184-J1184</f>
        <v>600</v>
      </c>
      <c r="L1184" s="7" t="s">
        <v>112</v>
      </c>
      <c r="M1184" s="7" t="s">
        <v>194</v>
      </c>
      <c r="N1184" s="7" t="n">
        <v>50</v>
      </c>
      <c r="O1184" s="7" t="n">
        <v>3</v>
      </c>
    </row>
    <row r="1185" customFormat="false" ht="15" hidden="false" customHeight="false" outlineLevel="0" collapsed="false">
      <c r="A1185" s="7" t="s">
        <v>5967</v>
      </c>
      <c r="B1185" s="10" t="n">
        <v>45810</v>
      </c>
      <c r="C1185" s="7" t="s">
        <v>1805</v>
      </c>
      <c r="D1185" s="7" t="s">
        <v>3532</v>
      </c>
      <c r="E1185" s="7" t="s">
        <v>122</v>
      </c>
      <c r="F1185" s="7" t="s">
        <v>101</v>
      </c>
      <c r="G1185" s="7" t="s">
        <v>123</v>
      </c>
      <c r="H1185" s="7" t="n">
        <v>1</v>
      </c>
      <c r="I1185" s="11" t="n">
        <v>390</v>
      </c>
      <c r="J1185" s="11" t="n">
        <v>30</v>
      </c>
      <c r="K1185" s="11" t="n">
        <f aca="false">H1185*I1185-J1185</f>
        <v>360</v>
      </c>
      <c r="L1185" s="7" t="s">
        <v>88</v>
      </c>
      <c r="M1185" s="7" t="s">
        <v>238</v>
      </c>
      <c r="N1185" s="7"/>
      <c r="O1185" s="7"/>
    </row>
    <row r="1186" customFormat="false" ht="15" hidden="false" customHeight="false" outlineLevel="0" collapsed="false">
      <c r="A1186" s="7" t="s">
        <v>207</v>
      </c>
      <c r="B1186" s="10" t="n">
        <v>45810</v>
      </c>
      <c r="C1186" s="7" t="s">
        <v>209</v>
      </c>
      <c r="D1186" s="7" t="s">
        <v>210</v>
      </c>
      <c r="E1186" s="7" t="s">
        <v>168</v>
      </c>
      <c r="F1186" s="7" t="s">
        <v>146</v>
      </c>
      <c r="G1186" s="7" t="s">
        <v>123</v>
      </c>
      <c r="H1186" s="7" t="n">
        <v>1</v>
      </c>
      <c r="I1186" s="11" t="n">
        <v>290</v>
      </c>
      <c r="J1186" s="11" t="n">
        <v>116</v>
      </c>
      <c r="K1186" s="11" t="n">
        <f aca="false">H1186*I1186-J1186</f>
        <v>174</v>
      </c>
      <c r="L1186" s="7" t="s">
        <v>112</v>
      </c>
      <c r="M1186" s="7" t="s">
        <v>194</v>
      </c>
      <c r="N1186" s="7" t="n">
        <v>30</v>
      </c>
      <c r="O1186" s="7"/>
    </row>
    <row r="1187" customFormat="false" ht="15" hidden="false" customHeight="false" outlineLevel="0" collapsed="false">
      <c r="A1187" s="7" t="s">
        <v>647</v>
      </c>
      <c r="B1187" s="10" t="n">
        <v>45810</v>
      </c>
      <c r="C1187" s="7" t="s">
        <v>649</v>
      </c>
      <c r="D1187" s="7" t="s">
        <v>589</v>
      </c>
      <c r="E1187" s="7" t="s">
        <v>130</v>
      </c>
      <c r="F1187" s="7" t="s">
        <v>110</v>
      </c>
      <c r="G1187" s="7" t="s">
        <v>90</v>
      </c>
      <c r="H1187" s="7" t="n">
        <v>4</v>
      </c>
      <c r="I1187" s="11" t="n">
        <v>315</v>
      </c>
      <c r="J1187" s="11" t="n">
        <v>0</v>
      </c>
      <c r="K1187" s="11" t="n">
        <f aca="false">H1187*I1187-J1187</f>
        <v>1260</v>
      </c>
      <c r="L1187" s="7" t="s">
        <v>88</v>
      </c>
      <c r="M1187" s="7" t="s">
        <v>194</v>
      </c>
      <c r="N1187" s="7" t="n">
        <v>35</v>
      </c>
      <c r="O1187" s="7" t="n">
        <v>5</v>
      </c>
    </row>
    <row r="1188" customFormat="false" ht="15" hidden="false" customHeight="false" outlineLevel="0" collapsed="false">
      <c r="A1188" s="7" t="s">
        <v>3405</v>
      </c>
      <c r="B1188" s="10" t="n">
        <v>45811</v>
      </c>
      <c r="C1188" s="7" t="s">
        <v>3406</v>
      </c>
      <c r="D1188" s="7" t="s">
        <v>198</v>
      </c>
      <c r="E1188" s="7" t="s">
        <v>149</v>
      </c>
      <c r="F1188" s="7" t="s">
        <v>119</v>
      </c>
      <c r="G1188" s="7" t="s">
        <v>150</v>
      </c>
      <c r="H1188" s="7" t="n">
        <v>2</v>
      </c>
      <c r="I1188" s="11" t="n">
        <v>165</v>
      </c>
      <c r="J1188" s="11" t="n">
        <v>50</v>
      </c>
      <c r="K1188" s="11" t="n">
        <f aca="false">H1188*I1188-J1188</f>
        <v>280</v>
      </c>
      <c r="L1188" s="7" t="s">
        <v>112</v>
      </c>
      <c r="M1188" s="7" t="s">
        <v>194</v>
      </c>
      <c r="N1188" s="7" t="n">
        <v>33</v>
      </c>
      <c r="O1188" s="7"/>
    </row>
    <row r="1189" customFormat="false" ht="15" hidden="false" customHeight="false" outlineLevel="0" collapsed="false">
      <c r="A1189" s="7" t="s">
        <v>5590</v>
      </c>
      <c r="B1189" s="10" t="n">
        <v>45811</v>
      </c>
      <c r="C1189" s="7" t="s">
        <v>5592</v>
      </c>
      <c r="D1189" s="7" t="s">
        <v>3184</v>
      </c>
      <c r="E1189" s="7" t="s">
        <v>161</v>
      </c>
      <c r="F1189" s="7" t="s">
        <v>141</v>
      </c>
      <c r="G1189" s="7" t="s">
        <v>117</v>
      </c>
      <c r="H1189" s="7" t="n">
        <v>4</v>
      </c>
      <c r="I1189" s="11" t="n">
        <v>155</v>
      </c>
      <c r="J1189" s="11" t="n">
        <v>150</v>
      </c>
      <c r="K1189" s="11" t="n">
        <f aca="false">H1189*I1189-J1189</f>
        <v>470</v>
      </c>
      <c r="L1189" s="7" t="s">
        <v>88</v>
      </c>
      <c r="M1189" s="7" t="s">
        <v>194</v>
      </c>
      <c r="N1189" s="7" t="n">
        <v>46</v>
      </c>
      <c r="O1189" s="7" t="n">
        <v>5</v>
      </c>
    </row>
    <row r="1190" customFormat="false" ht="15" hidden="false" customHeight="false" outlineLevel="0" collapsed="false">
      <c r="A1190" s="7" t="s">
        <v>5364</v>
      </c>
      <c r="B1190" s="10" t="n">
        <v>45811</v>
      </c>
      <c r="C1190" s="7" t="s">
        <v>2592</v>
      </c>
      <c r="D1190" s="7" t="s">
        <v>538</v>
      </c>
      <c r="E1190" s="7" t="s">
        <v>98</v>
      </c>
      <c r="F1190" s="7" t="s">
        <v>86</v>
      </c>
      <c r="G1190" s="7" t="s">
        <v>99</v>
      </c>
      <c r="H1190" s="7" t="n">
        <v>2</v>
      </c>
      <c r="I1190" s="11" t="n">
        <v>245</v>
      </c>
      <c r="J1190" s="11" t="n">
        <v>40</v>
      </c>
      <c r="K1190" s="11" t="n">
        <f aca="false">H1190*I1190-J1190</f>
        <v>450</v>
      </c>
      <c r="L1190" s="7" t="s">
        <v>88</v>
      </c>
      <c r="M1190" s="7" t="s">
        <v>194</v>
      </c>
      <c r="N1190" s="7" t="n">
        <v>36</v>
      </c>
      <c r="O1190" s="7" t="n">
        <v>5</v>
      </c>
    </row>
    <row r="1191" customFormat="false" ht="15" hidden="false" customHeight="false" outlineLevel="0" collapsed="false">
      <c r="A1191" s="7" t="s">
        <v>2164</v>
      </c>
      <c r="B1191" s="10" t="n">
        <v>45811</v>
      </c>
      <c r="C1191" s="7" t="s">
        <v>1684</v>
      </c>
      <c r="D1191" s="7" t="s">
        <v>1952</v>
      </c>
      <c r="E1191" s="7" t="s">
        <v>98</v>
      </c>
      <c r="F1191" s="7" t="s">
        <v>86</v>
      </c>
      <c r="G1191" s="7" t="s">
        <v>99</v>
      </c>
      <c r="H1191" s="7" t="n">
        <v>1</v>
      </c>
      <c r="I1191" s="11" t="n">
        <v>320</v>
      </c>
      <c r="J1191" s="11" t="n">
        <v>20</v>
      </c>
      <c r="K1191" s="11" t="n">
        <f aca="false">H1191*I1191-J1191</f>
        <v>300</v>
      </c>
      <c r="L1191" s="7" t="s">
        <v>121</v>
      </c>
      <c r="M1191" s="7" t="s">
        <v>194</v>
      </c>
      <c r="N1191" s="7" t="n">
        <v>35</v>
      </c>
      <c r="O1191" s="7" t="n">
        <v>5</v>
      </c>
    </row>
    <row r="1192" customFormat="false" ht="15" hidden="false" customHeight="false" outlineLevel="0" collapsed="false">
      <c r="A1192" s="7" t="s">
        <v>5778</v>
      </c>
      <c r="B1192" s="10" t="n">
        <v>45811</v>
      </c>
      <c r="C1192" s="7" t="s">
        <v>981</v>
      </c>
      <c r="D1192" s="7" t="s">
        <v>5779</v>
      </c>
      <c r="E1192" s="7" t="s">
        <v>116</v>
      </c>
      <c r="F1192" s="7" t="s">
        <v>101</v>
      </c>
      <c r="G1192" s="7" t="s">
        <v>117</v>
      </c>
      <c r="H1192" s="7" t="n">
        <v>1</v>
      </c>
      <c r="I1192" s="11" t="n">
        <v>140</v>
      </c>
      <c r="J1192" s="11" t="n">
        <v>0</v>
      </c>
      <c r="K1192" s="11" t="n">
        <f aca="false">H1192*I1192-J1192</f>
        <v>140</v>
      </c>
      <c r="L1192" s="7" t="s">
        <v>88</v>
      </c>
      <c r="M1192" s="7" t="s">
        <v>194</v>
      </c>
      <c r="N1192" s="7" t="n">
        <v>31</v>
      </c>
      <c r="O1192" s="7"/>
    </row>
    <row r="1193" customFormat="false" ht="15" hidden="false" customHeight="false" outlineLevel="0" collapsed="false">
      <c r="A1193" s="7" t="s">
        <v>4975</v>
      </c>
      <c r="B1193" s="10" t="n">
        <v>45811</v>
      </c>
      <c r="C1193" s="7" t="s">
        <v>1901</v>
      </c>
      <c r="D1193" s="7" t="s">
        <v>2973</v>
      </c>
      <c r="E1193" s="7" t="s">
        <v>151</v>
      </c>
      <c r="F1193" s="7" t="s">
        <v>128</v>
      </c>
      <c r="G1193" s="7" t="s">
        <v>95</v>
      </c>
      <c r="H1193" s="7" t="n">
        <v>1</v>
      </c>
      <c r="I1193" s="11" t="n">
        <v>190</v>
      </c>
      <c r="J1193" s="11" t="n">
        <v>76</v>
      </c>
      <c r="K1193" s="11" t="n">
        <f aca="false">H1193*I1193-J1193</f>
        <v>114</v>
      </c>
      <c r="L1193" s="7" t="s">
        <v>88</v>
      </c>
      <c r="M1193" s="7" t="s">
        <v>194</v>
      </c>
      <c r="N1193" s="7" t="n">
        <v>37</v>
      </c>
      <c r="O1193" s="7" t="n">
        <v>3</v>
      </c>
    </row>
    <row r="1194" customFormat="false" ht="15" hidden="false" customHeight="false" outlineLevel="0" collapsed="false">
      <c r="A1194" s="7" t="s">
        <v>266</v>
      </c>
      <c r="B1194" s="10" t="n">
        <v>45811</v>
      </c>
      <c r="C1194" s="7" t="s">
        <v>268</v>
      </c>
      <c r="D1194" s="7" t="s">
        <v>269</v>
      </c>
      <c r="E1194" s="7" t="s">
        <v>104</v>
      </c>
      <c r="F1194" s="7" t="s">
        <v>86</v>
      </c>
      <c r="G1194" s="7" t="s">
        <v>105</v>
      </c>
      <c r="H1194" s="7" t="n">
        <v>3</v>
      </c>
      <c r="I1194" s="11" t="n">
        <v>210</v>
      </c>
      <c r="J1194" s="11" t="n">
        <v>0</v>
      </c>
      <c r="K1194" s="11" t="n">
        <f aca="false">H1194*I1194-J1194</f>
        <v>630</v>
      </c>
      <c r="L1194" s="7" t="s">
        <v>88</v>
      </c>
      <c r="M1194" s="7" t="s">
        <v>194</v>
      </c>
      <c r="N1194" s="7" t="n">
        <v>49</v>
      </c>
      <c r="O1194" s="7" t="n">
        <v>3</v>
      </c>
    </row>
    <row r="1195" customFormat="false" ht="15" hidden="false" customHeight="false" outlineLevel="0" collapsed="false">
      <c r="A1195" s="7" t="s">
        <v>5476</v>
      </c>
      <c r="B1195" s="10" t="n">
        <v>45811</v>
      </c>
      <c r="C1195" s="7" t="s">
        <v>801</v>
      </c>
      <c r="D1195" s="7" t="s">
        <v>5477</v>
      </c>
      <c r="E1195" s="7" t="s">
        <v>94</v>
      </c>
      <c r="F1195" s="7" t="s">
        <v>86</v>
      </c>
      <c r="G1195" s="7" t="s">
        <v>95</v>
      </c>
      <c r="H1195" s="7" t="n">
        <v>1</v>
      </c>
      <c r="I1195" s="11" t="n">
        <v>130</v>
      </c>
      <c r="J1195" s="11" t="n">
        <v>30</v>
      </c>
      <c r="K1195" s="11" t="n">
        <f aca="false">H1195*I1195-J1195</f>
        <v>100</v>
      </c>
      <c r="L1195" s="7" t="s">
        <v>88</v>
      </c>
      <c r="M1195" s="7" t="s">
        <v>194</v>
      </c>
      <c r="N1195" s="7" t="n">
        <v>44</v>
      </c>
      <c r="O1195" s="7" t="n">
        <v>3</v>
      </c>
    </row>
    <row r="1196" customFormat="false" ht="15" hidden="false" customHeight="false" outlineLevel="0" collapsed="false">
      <c r="A1196" s="7" t="s">
        <v>1411</v>
      </c>
      <c r="B1196" s="10" t="n">
        <v>45811</v>
      </c>
      <c r="C1196" s="7" t="s">
        <v>1412</v>
      </c>
      <c r="D1196" s="7" t="s">
        <v>1401</v>
      </c>
      <c r="E1196" s="7" t="s">
        <v>152</v>
      </c>
      <c r="F1196" s="7" t="s">
        <v>128</v>
      </c>
      <c r="G1196" s="7" t="s">
        <v>95</v>
      </c>
      <c r="H1196" s="7" t="n">
        <v>1</v>
      </c>
      <c r="I1196" s="11" t="n">
        <v>105</v>
      </c>
      <c r="J1196" s="11" t="n">
        <v>20</v>
      </c>
      <c r="K1196" s="11" t="n">
        <f aca="false">H1196*I1196-J1196</f>
        <v>85</v>
      </c>
      <c r="L1196" s="7" t="s">
        <v>93</v>
      </c>
      <c r="M1196" s="7" t="s">
        <v>194</v>
      </c>
      <c r="N1196" s="7" t="n">
        <v>26</v>
      </c>
      <c r="O1196" s="7" t="n">
        <v>4</v>
      </c>
    </row>
    <row r="1197" customFormat="false" ht="15" hidden="false" customHeight="false" outlineLevel="0" collapsed="false">
      <c r="A1197" s="7" t="s">
        <v>6123</v>
      </c>
      <c r="B1197" s="10" t="n">
        <v>45811</v>
      </c>
      <c r="C1197" s="7" t="s">
        <v>6124</v>
      </c>
      <c r="D1197" s="7" t="s">
        <v>3706</v>
      </c>
      <c r="E1197" s="7" t="s">
        <v>89</v>
      </c>
      <c r="F1197" s="7" t="s">
        <v>86</v>
      </c>
      <c r="G1197" s="7" t="s">
        <v>90</v>
      </c>
      <c r="H1197" s="7" t="n">
        <v>2</v>
      </c>
      <c r="I1197" s="11" t="n">
        <v>285</v>
      </c>
      <c r="J1197" s="11" t="n">
        <v>150</v>
      </c>
      <c r="K1197" s="11" t="n">
        <f aca="false">H1197*I1197-J1197</f>
        <v>420</v>
      </c>
      <c r="L1197" s="7" t="s">
        <v>103</v>
      </c>
      <c r="M1197" s="7" t="s">
        <v>194</v>
      </c>
      <c r="N1197" s="7" t="n">
        <v>27</v>
      </c>
      <c r="O1197" s="7" t="n">
        <v>4</v>
      </c>
    </row>
    <row r="1198" customFormat="false" ht="15" hidden="false" customHeight="false" outlineLevel="0" collapsed="false">
      <c r="A1198" s="7" t="s">
        <v>3675</v>
      </c>
      <c r="B1198" s="10" t="n">
        <v>45812</v>
      </c>
      <c r="C1198" s="7" t="s">
        <v>3676</v>
      </c>
      <c r="D1198" s="7" t="s">
        <v>922</v>
      </c>
      <c r="E1198" s="7" t="s">
        <v>98</v>
      </c>
      <c r="F1198" s="7" t="s">
        <v>86</v>
      </c>
      <c r="G1198" s="7" t="s">
        <v>99</v>
      </c>
      <c r="H1198" s="7" t="n">
        <v>3</v>
      </c>
      <c r="I1198" s="11" t="n">
        <v>330</v>
      </c>
      <c r="J1198" s="11" t="n">
        <v>0</v>
      </c>
      <c r="K1198" s="11" t="n">
        <f aca="false">H1198*I1198-J1198</f>
        <v>990</v>
      </c>
      <c r="L1198" s="7" t="s">
        <v>103</v>
      </c>
      <c r="M1198" s="7" t="s">
        <v>194</v>
      </c>
      <c r="N1198" s="7" t="n">
        <v>33</v>
      </c>
      <c r="O1198" s="7" t="n">
        <v>4</v>
      </c>
    </row>
    <row r="1199" customFormat="false" ht="15" hidden="false" customHeight="false" outlineLevel="0" collapsed="false">
      <c r="A1199" s="7" t="s">
        <v>3185</v>
      </c>
      <c r="B1199" s="10" t="n">
        <v>45812</v>
      </c>
      <c r="C1199" s="7" t="s">
        <v>3186</v>
      </c>
      <c r="D1199" s="7" t="s">
        <v>2686</v>
      </c>
      <c r="E1199" s="7" t="s">
        <v>113</v>
      </c>
      <c r="F1199" s="7" t="s">
        <v>101</v>
      </c>
      <c r="G1199" s="7" t="s">
        <v>90</v>
      </c>
      <c r="H1199" s="7" t="n">
        <v>2</v>
      </c>
      <c r="I1199" s="11" t="n">
        <v>265</v>
      </c>
      <c r="J1199" s="11" t="n">
        <v>0</v>
      </c>
      <c r="K1199" s="11" t="n">
        <f aca="false">H1199*I1199-J1199</f>
        <v>530</v>
      </c>
      <c r="L1199" s="7" t="s">
        <v>88</v>
      </c>
      <c r="M1199" s="7" t="s">
        <v>194</v>
      </c>
      <c r="N1199" s="7" t="n">
        <v>35</v>
      </c>
      <c r="O1199" s="7"/>
    </row>
    <row r="1200" customFormat="false" ht="15" hidden="false" customHeight="false" outlineLevel="0" collapsed="false">
      <c r="A1200" s="7" t="s">
        <v>967</v>
      </c>
      <c r="B1200" s="10" t="n">
        <v>45812</v>
      </c>
      <c r="C1200" s="7" t="s">
        <v>969</v>
      </c>
      <c r="D1200" s="7" t="s">
        <v>970</v>
      </c>
      <c r="E1200" s="7" t="s">
        <v>94</v>
      </c>
      <c r="F1200" s="7" t="s">
        <v>86</v>
      </c>
      <c r="G1200" s="7" t="s">
        <v>95</v>
      </c>
      <c r="H1200" s="7" t="n">
        <v>3</v>
      </c>
      <c r="I1200" s="11" t="n">
        <v>140</v>
      </c>
      <c r="J1200" s="11" t="n">
        <v>0</v>
      </c>
      <c r="K1200" s="11" t="n">
        <f aca="false">H1200*I1200-J1200</f>
        <v>420</v>
      </c>
      <c r="L1200" s="7" t="s">
        <v>121</v>
      </c>
      <c r="M1200" s="7" t="s">
        <v>194</v>
      </c>
      <c r="N1200" s="7" t="n">
        <v>44</v>
      </c>
      <c r="O1200" s="7" t="n">
        <v>4</v>
      </c>
    </row>
    <row r="1201" customFormat="false" ht="15" hidden="false" customHeight="false" outlineLevel="0" collapsed="false">
      <c r="A1201" s="7" t="s">
        <v>2647</v>
      </c>
      <c r="B1201" s="10" t="n">
        <v>45813</v>
      </c>
      <c r="C1201" s="7" t="s">
        <v>1749</v>
      </c>
      <c r="D1201" s="7" t="s">
        <v>2648</v>
      </c>
      <c r="E1201" s="7" t="s">
        <v>138</v>
      </c>
      <c r="F1201" s="7" t="s">
        <v>110</v>
      </c>
      <c r="G1201" s="7" t="s">
        <v>139</v>
      </c>
      <c r="H1201" s="7" t="n">
        <v>3</v>
      </c>
      <c r="I1201" s="11" t="n">
        <v>160</v>
      </c>
      <c r="J1201" s="11" t="n">
        <v>0</v>
      </c>
      <c r="K1201" s="11" t="n">
        <f aca="false">H1201*I1201-J1201</f>
        <v>480</v>
      </c>
      <c r="L1201" s="7" t="s">
        <v>88</v>
      </c>
      <c r="M1201" s="7" t="s">
        <v>194</v>
      </c>
      <c r="N1201" s="7" t="n">
        <v>38</v>
      </c>
      <c r="O1201" s="7" t="n">
        <v>5</v>
      </c>
    </row>
    <row r="1202" customFormat="false" ht="15" hidden="false" customHeight="false" outlineLevel="0" collapsed="false">
      <c r="A1202" s="7" t="s">
        <v>4310</v>
      </c>
      <c r="B1202" s="10" t="n">
        <v>45813</v>
      </c>
      <c r="C1202" s="7" t="s">
        <v>4269</v>
      </c>
      <c r="D1202" s="7" t="s">
        <v>307</v>
      </c>
      <c r="E1202" s="7" t="s">
        <v>138</v>
      </c>
      <c r="F1202" s="7" t="s">
        <v>110</v>
      </c>
      <c r="G1202" s="7" t="s">
        <v>139</v>
      </c>
      <c r="H1202" s="7" t="n">
        <v>1</v>
      </c>
      <c r="I1202" s="11" t="n">
        <v>200</v>
      </c>
      <c r="J1202" s="11" t="n">
        <v>80</v>
      </c>
      <c r="K1202" s="11" t="n">
        <f aca="false">H1202*I1202-J1202</f>
        <v>120</v>
      </c>
      <c r="L1202" s="7" t="s">
        <v>88</v>
      </c>
      <c r="M1202" s="7" t="s">
        <v>194</v>
      </c>
      <c r="N1202" s="7" t="n">
        <v>39</v>
      </c>
      <c r="O1202" s="7" t="n">
        <v>3</v>
      </c>
    </row>
    <row r="1203" customFormat="false" ht="15" hidden="false" customHeight="false" outlineLevel="0" collapsed="false">
      <c r="A1203" s="7" t="s">
        <v>290</v>
      </c>
      <c r="B1203" s="10" t="n">
        <v>45813</v>
      </c>
      <c r="C1203" s="7" t="s">
        <v>292</v>
      </c>
      <c r="D1203" s="7" t="s">
        <v>293</v>
      </c>
      <c r="E1203" s="7" t="s">
        <v>138</v>
      </c>
      <c r="F1203" s="7" t="s">
        <v>110</v>
      </c>
      <c r="G1203" s="7" t="s">
        <v>139</v>
      </c>
      <c r="H1203" s="7" t="n">
        <v>1</v>
      </c>
      <c r="I1203" s="11" t="n">
        <v>170</v>
      </c>
      <c r="J1203" s="11" t="n">
        <v>68</v>
      </c>
      <c r="K1203" s="11" t="n">
        <f aca="false">H1203*I1203-J1203</f>
        <v>102</v>
      </c>
      <c r="L1203" s="7" t="s">
        <v>88</v>
      </c>
      <c r="M1203" s="7" t="s">
        <v>194</v>
      </c>
      <c r="N1203" s="7" t="n">
        <v>37</v>
      </c>
      <c r="O1203" s="7" t="n">
        <v>5</v>
      </c>
    </row>
    <row r="1204" customFormat="false" ht="15" hidden="false" customHeight="false" outlineLevel="0" collapsed="false">
      <c r="A1204" s="7" t="s">
        <v>3002</v>
      </c>
      <c r="B1204" s="10" t="n">
        <v>45813</v>
      </c>
      <c r="C1204" s="7" t="s">
        <v>3003</v>
      </c>
      <c r="D1204" s="7" t="s">
        <v>1570</v>
      </c>
      <c r="E1204" s="7" t="s">
        <v>142</v>
      </c>
      <c r="F1204" s="7" t="s">
        <v>110</v>
      </c>
      <c r="G1204" s="7" t="s">
        <v>105</v>
      </c>
      <c r="H1204" s="7" t="n">
        <v>2</v>
      </c>
      <c r="I1204" s="11" t="n">
        <v>170</v>
      </c>
      <c r="J1204" s="11" t="n">
        <v>0</v>
      </c>
      <c r="K1204" s="11" t="n">
        <f aca="false">H1204*I1204-J1204</f>
        <v>340</v>
      </c>
      <c r="L1204" s="7" t="s">
        <v>112</v>
      </c>
      <c r="M1204" s="7" t="s">
        <v>194</v>
      </c>
      <c r="N1204" s="7" t="n">
        <v>31</v>
      </c>
      <c r="O1204" s="7" t="n">
        <v>4</v>
      </c>
    </row>
    <row r="1205" customFormat="false" ht="15" hidden="false" customHeight="false" outlineLevel="0" collapsed="false">
      <c r="A1205" s="7" t="s">
        <v>3103</v>
      </c>
      <c r="B1205" s="10" t="n">
        <v>45813</v>
      </c>
      <c r="C1205" s="7" t="s">
        <v>1336</v>
      </c>
      <c r="D1205" s="7" t="s">
        <v>3104</v>
      </c>
      <c r="E1205" s="7" t="s">
        <v>149</v>
      </c>
      <c r="F1205" s="7" t="s">
        <v>119</v>
      </c>
      <c r="G1205" s="7" t="s">
        <v>150</v>
      </c>
      <c r="H1205" s="7" t="n">
        <v>4</v>
      </c>
      <c r="I1205" s="11" t="n">
        <v>155</v>
      </c>
      <c r="J1205" s="11" t="n">
        <v>0</v>
      </c>
      <c r="K1205" s="11" t="n">
        <f aca="false">H1205*I1205-J1205</f>
        <v>620</v>
      </c>
      <c r="L1205" s="7" t="s">
        <v>93</v>
      </c>
      <c r="M1205" s="7" t="s">
        <v>194</v>
      </c>
      <c r="N1205" s="7" t="n">
        <v>33</v>
      </c>
      <c r="O1205" s="7" t="n">
        <v>4</v>
      </c>
    </row>
    <row r="1206" customFormat="false" ht="15" hidden="false" customHeight="false" outlineLevel="0" collapsed="false">
      <c r="A1206" s="7" t="s">
        <v>5782</v>
      </c>
      <c r="B1206" s="10" t="n">
        <v>45813</v>
      </c>
      <c r="C1206" s="7" t="s">
        <v>478</v>
      </c>
      <c r="D1206" s="7" t="s">
        <v>5783</v>
      </c>
      <c r="E1206" s="7" t="s">
        <v>144</v>
      </c>
      <c r="F1206" s="7" t="s">
        <v>119</v>
      </c>
      <c r="G1206" s="7" t="s">
        <v>99</v>
      </c>
      <c r="H1206" s="7" t="n">
        <v>2</v>
      </c>
      <c r="I1206" s="11" t="n">
        <v>375</v>
      </c>
      <c r="J1206" s="11" t="n">
        <v>0</v>
      </c>
      <c r="K1206" s="11" t="n">
        <f aca="false">H1206*I1206-J1206</f>
        <v>750</v>
      </c>
      <c r="L1206" s="7" t="s">
        <v>112</v>
      </c>
      <c r="M1206" s="7" t="s">
        <v>194</v>
      </c>
      <c r="N1206" s="7" t="n">
        <v>47</v>
      </c>
      <c r="O1206" s="7" t="n">
        <v>3</v>
      </c>
    </row>
    <row r="1207" customFormat="false" ht="15" hidden="false" customHeight="false" outlineLevel="0" collapsed="false">
      <c r="A1207" s="7" t="s">
        <v>4317</v>
      </c>
      <c r="B1207" s="10" t="n">
        <v>45813</v>
      </c>
      <c r="C1207" s="7" t="s">
        <v>301</v>
      </c>
      <c r="D1207" s="7" t="s">
        <v>4318</v>
      </c>
      <c r="E1207" s="7" t="s">
        <v>130</v>
      </c>
      <c r="F1207" s="7" t="s">
        <v>110</v>
      </c>
      <c r="G1207" s="7" t="s">
        <v>90</v>
      </c>
      <c r="H1207" s="7" t="n">
        <v>2</v>
      </c>
      <c r="I1207" s="11" t="n">
        <v>230</v>
      </c>
      <c r="J1207" s="11" t="n">
        <v>100</v>
      </c>
      <c r="K1207" s="11" t="n">
        <f aca="false">H1207*I1207-J1207</f>
        <v>360</v>
      </c>
      <c r="L1207" s="7" t="s">
        <v>112</v>
      </c>
      <c r="M1207" s="7" t="s">
        <v>238</v>
      </c>
      <c r="N1207" s="7"/>
      <c r="O1207" s="7"/>
    </row>
    <row r="1208" customFormat="false" ht="15" hidden="false" customHeight="false" outlineLevel="0" collapsed="false">
      <c r="A1208" s="7" t="s">
        <v>2223</v>
      </c>
      <c r="B1208" s="10" t="n">
        <v>45813</v>
      </c>
      <c r="C1208" s="7" t="s">
        <v>2225</v>
      </c>
      <c r="D1208" s="7" t="s">
        <v>2226</v>
      </c>
      <c r="E1208" s="7" t="s">
        <v>149</v>
      </c>
      <c r="F1208" s="7" t="s">
        <v>119</v>
      </c>
      <c r="G1208" s="7" t="s">
        <v>150</v>
      </c>
      <c r="H1208" s="7" t="n">
        <v>1</v>
      </c>
      <c r="I1208" s="11" t="n">
        <v>175</v>
      </c>
      <c r="J1208" s="11" t="n">
        <v>0</v>
      </c>
      <c r="K1208" s="11" t="n">
        <f aca="false">H1208*I1208-J1208</f>
        <v>175</v>
      </c>
      <c r="L1208" s="7" t="s">
        <v>112</v>
      </c>
      <c r="M1208" s="7" t="s">
        <v>194</v>
      </c>
      <c r="N1208" s="7" t="n">
        <v>24</v>
      </c>
      <c r="O1208" s="7" t="n">
        <v>4</v>
      </c>
    </row>
    <row r="1209" customFormat="false" ht="15" hidden="false" customHeight="false" outlineLevel="0" collapsed="false">
      <c r="A1209" s="7" t="s">
        <v>4812</v>
      </c>
      <c r="B1209" s="10" t="n">
        <v>45814</v>
      </c>
      <c r="C1209" s="7" t="s">
        <v>4814</v>
      </c>
      <c r="D1209" s="7" t="s">
        <v>627</v>
      </c>
      <c r="E1209" s="7" t="s">
        <v>163</v>
      </c>
      <c r="F1209" s="7" t="s">
        <v>141</v>
      </c>
      <c r="G1209" s="7" t="s">
        <v>99</v>
      </c>
      <c r="H1209" s="7" t="n">
        <v>2</v>
      </c>
      <c r="I1209" s="11" t="n">
        <v>275</v>
      </c>
      <c r="J1209" s="11" t="n">
        <v>0</v>
      </c>
      <c r="K1209" s="11" t="n">
        <f aca="false">H1209*I1209-J1209</f>
        <v>550</v>
      </c>
      <c r="L1209" s="7" t="s">
        <v>112</v>
      </c>
      <c r="M1209" s="7" t="s">
        <v>194</v>
      </c>
      <c r="N1209" s="7" t="n">
        <v>28</v>
      </c>
      <c r="O1209" s="7" t="n">
        <v>5</v>
      </c>
    </row>
    <row r="1210" customFormat="false" ht="15" hidden="false" customHeight="false" outlineLevel="0" collapsed="false">
      <c r="A1210" s="7" t="s">
        <v>1203</v>
      </c>
      <c r="B1210" s="10" t="n">
        <v>45814</v>
      </c>
      <c r="C1210" s="7" t="s">
        <v>1204</v>
      </c>
      <c r="D1210" s="7" t="s">
        <v>1205</v>
      </c>
      <c r="E1210" s="7" t="s">
        <v>104</v>
      </c>
      <c r="F1210" s="7" t="s">
        <v>86</v>
      </c>
      <c r="G1210" s="7" t="s">
        <v>105</v>
      </c>
      <c r="H1210" s="7" t="n">
        <v>2</v>
      </c>
      <c r="I1210" s="11" t="n">
        <v>195</v>
      </c>
      <c r="J1210" s="11" t="n">
        <v>150</v>
      </c>
      <c r="K1210" s="11" t="n">
        <f aca="false">H1210*I1210-J1210</f>
        <v>240</v>
      </c>
      <c r="L1210" s="7" t="s">
        <v>112</v>
      </c>
      <c r="M1210" s="7" t="s">
        <v>238</v>
      </c>
      <c r="N1210" s="7"/>
      <c r="O1210" s="7"/>
    </row>
    <row r="1211" customFormat="false" ht="15" hidden="false" customHeight="false" outlineLevel="0" collapsed="false">
      <c r="A1211" s="7" t="s">
        <v>3051</v>
      </c>
      <c r="B1211" s="10" t="n">
        <v>45814</v>
      </c>
      <c r="C1211" s="7" t="s">
        <v>3052</v>
      </c>
      <c r="D1211" s="7" t="s">
        <v>586</v>
      </c>
      <c r="E1211" s="7" t="s">
        <v>134</v>
      </c>
      <c r="F1211" s="7" t="s">
        <v>110</v>
      </c>
      <c r="G1211" s="7" t="s">
        <v>117</v>
      </c>
      <c r="H1211" s="7" t="n">
        <v>4</v>
      </c>
      <c r="I1211" s="11" t="n">
        <v>105</v>
      </c>
      <c r="J1211" s="11" t="n">
        <v>0</v>
      </c>
      <c r="K1211" s="11" t="n">
        <f aca="false">H1211*I1211-J1211</f>
        <v>420</v>
      </c>
      <c r="L1211" s="7" t="s">
        <v>88</v>
      </c>
      <c r="M1211" s="7" t="s">
        <v>194</v>
      </c>
      <c r="N1211" s="7" t="n">
        <v>45</v>
      </c>
      <c r="O1211" s="7" t="n">
        <v>3</v>
      </c>
    </row>
    <row r="1212" customFormat="false" ht="15" hidden="false" customHeight="false" outlineLevel="0" collapsed="false">
      <c r="A1212" s="7" t="s">
        <v>389</v>
      </c>
      <c r="B1212" s="10" t="n">
        <v>45814</v>
      </c>
      <c r="C1212" s="7" t="s">
        <v>391</v>
      </c>
      <c r="D1212" s="7" t="s">
        <v>392</v>
      </c>
      <c r="E1212" s="7" t="s">
        <v>160</v>
      </c>
      <c r="F1212" s="7" t="s">
        <v>136</v>
      </c>
      <c r="G1212" s="7" t="s">
        <v>150</v>
      </c>
      <c r="H1212" s="7" t="n">
        <v>1</v>
      </c>
      <c r="I1212" s="11" t="n">
        <v>175</v>
      </c>
      <c r="J1212" s="11" t="n">
        <v>0</v>
      </c>
      <c r="K1212" s="11" t="n">
        <f aca="false">H1212*I1212-J1212</f>
        <v>175</v>
      </c>
      <c r="L1212" s="7" t="s">
        <v>6170</v>
      </c>
      <c r="M1212" s="7" t="s">
        <v>194</v>
      </c>
      <c r="N1212" s="7" t="n">
        <v>25</v>
      </c>
      <c r="O1212" s="7" t="n">
        <v>5</v>
      </c>
    </row>
    <row r="1213" customFormat="false" ht="15" hidden="false" customHeight="false" outlineLevel="0" collapsed="false">
      <c r="A1213" s="7" t="s">
        <v>5584</v>
      </c>
      <c r="B1213" s="10" t="n">
        <v>45814</v>
      </c>
      <c r="C1213" s="7" t="s">
        <v>258</v>
      </c>
      <c r="D1213" s="7" t="s">
        <v>250</v>
      </c>
      <c r="E1213" s="7" t="s">
        <v>134</v>
      </c>
      <c r="F1213" s="7" t="s">
        <v>110</v>
      </c>
      <c r="G1213" s="7" t="s">
        <v>117</v>
      </c>
      <c r="H1213" s="7" t="n">
        <v>2</v>
      </c>
      <c r="I1213" s="11" t="n">
        <v>115</v>
      </c>
      <c r="J1213" s="11" t="n">
        <v>0</v>
      </c>
      <c r="K1213" s="11" t="n">
        <f aca="false">H1213*I1213-J1213</f>
        <v>230</v>
      </c>
      <c r="L1213" s="7" t="s">
        <v>88</v>
      </c>
      <c r="M1213" s="7" t="s">
        <v>194</v>
      </c>
      <c r="N1213" s="7" t="n">
        <v>38</v>
      </c>
      <c r="O1213" s="7" t="n">
        <v>5</v>
      </c>
    </row>
    <row r="1214" customFormat="false" ht="15" hidden="false" customHeight="false" outlineLevel="0" collapsed="false">
      <c r="A1214" s="7" t="s">
        <v>3469</v>
      </c>
      <c r="B1214" s="10" t="n">
        <v>45815</v>
      </c>
      <c r="C1214" s="7" t="s">
        <v>263</v>
      </c>
      <c r="D1214" s="7" t="s">
        <v>1016</v>
      </c>
      <c r="E1214" s="7" t="s">
        <v>89</v>
      </c>
      <c r="F1214" s="7" t="s">
        <v>86</v>
      </c>
      <c r="G1214" s="7" t="s">
        <v>90</v>
      </c>
      <c r="H1214" s="7" t="n">
        <v>1</v>
      </c>
      <c r="I1214" s="11" t="n">
        <v>210</v>
      </c>
      <c r="J1214" s="11" t="n">
        <v>40</v>
      </c>
      <c r="K1214" s="11" t="n">
        <f aca="false">H1214*I1214-J1214</f>
        <v>170</v>
      </c>
      <c r="L1214" s="7" t="s">
        <v>88</v>
      </c>
      <c r="M1214" s="7" t="s">
        <v>194</v>
      </c>
      <c r="N1214" s="7" t="n">
        <v>39</v>
      </c>
      <c r="O1214" s="7" t="n">
        <v>4</v>
      </c>
    </row>
    <row r="1215" customFormat="false" ht="15" hidden="false" customHeight="false" outlineLevel="0" collapsed="false">
      <c r="A1215" s="7" t="s">
        <v>5265</v>
      </c>
      <c r="B1215" s="10" t="n">
        <v>45815</v>
      </c>
      <c r="C1215" s="7" t="s">
        <v>2607</v>
      </c>
      <c r="D1215" s="7" t="s">
        <v>1753</v>
      </c>
      <c r="E1215" s="7" t="s">
        <v>116</v>
      </c>
      <c r="F1215" s="7" t="s">
        <v>101</v>
      </c>
      <c r="G1215" s="7" t="s">
        <v>117</v>
      </c>
      <c r="H1215" s="7" t="n">
        <v>1</v>
      </c>
      <c r="I1215" s="11" t="n">
        <v>135</v>
      </c>
      <c r="J1215" s="11" t="n">
        <v>0</v>
      </c>
      <c r="K1215" s="11" t="n">
        <f aca="false">H1215*I1215-J1215</f>
        <v>135</v>
      </c>
      <c r="L1215" s="7" t="s">
        <v>93</v>
      </c>
      <c r="M1215" s="7" t="s">
        <v>194</v>
      </c>
      <c r="N1215" s="7" t="n">
        <v>35</v>
      </c>
      <c r="O1215" s="7" t="n">
        <v>5</v>
      </c>
    </row>
    <row r="1216" customFormat="false" ht="15" hidden="false" customHeight="false" outlineLevel="0" collapsed="false">
      <c r="A1216" s="7" t="s">
        <v>1942</v>
      </c>
      <c r="B1216" s="10" t="n">
        <v>45815</v>
      </c>
      <c r="C1216" s="7" t="s">
        <v>842</v>
      </c>
      <c r="D1216" s="7" t="s">
        <v>1944</v>
      </c>
      <c r="E1216" s="7" t="s">
        <v>126</v>
      </c>
      <c r="F1216" s="7" t="s">
        <v>101</v>
      </c>
      <c r="G1216" s="7" t="s">
        <v>105</v>
      </c>
      <c r="H1216" s="7" t="n">
        <v>1</v>
      </c>
      <c r="I1216" s="11" t="n">
        <v>175</v>
      </c>
      <c r="J1216" s="11" t="n">
        <v>20</v>
      </c>
      <c r="K1216" s="11" t="n">
        <f aca="false">H1216*I1216-J1216</f>
        <v>155</v>
      </c>
      <c r="L1216" s="7" t="s">
        <v>88</v>
      </c>
      <c r="M1216" s="7" t="s">
        <v>194</v>
      </c>
      <c r="N1216" s="7" t="n">
        <v>40</v>
      </c>
      <c r="O1216" s="7" t="n">
        <v>5</v>
      </c>
    </row>
    <row r="1217" customFormat="false" ht="15" hidden="false" customHeight="false" outlineLevel="0" collapsed="false">
      <c r="A1217" s="7" t="s">
        <v>5121</v>
      </c>
      <c r="B1217" s="10" t="n">
        <v>45815</v>
      </c>
      <c r="C1217" s="7" t="s">
        <v>4409</v>
      </c>
      <c r="D1217" s="7" t="s">
        <v>2429</v>
      </c>
      <c r="E1217" s="7" t="s">
        <v>94</v>
      </c>
      <c r="F1217" s="7" t="s">
        <v>86</v>
      </c>
      <c r="G1217" s="7" t="s">
        <v>95</v>
      </c>
      <c r="H1217" s="7" t="n">
        <v>4</v>
      </c>
      <c r="I1217" s="11" t="n">
        <v>155</v>
      </c>
      <c r="J1217" s="11" t="n">
        <v>0</v>
      </c>
      <c r="K1217" s="11" t="n">
        <f aca="false">H1217*I1217-J1217</f>
        <v>620</v>
      </c>
      <c r="L1217" s="7" t="s">
        <v>88</v>
      </c>
      <c r="M1217" s="7" t="s">
        <v>194</v>
      </c>
      <c r="N1217" s="7" t="n">
        <v>41</v>
      </c>
      <c r="O1217" s="7" t="n">
        <v>5</v>
      </c>
    </row>
    <row r="1218" customFormat="false" ht="15" hidden="false" customHeight="false" outlineLevel="0" collapsed="false">
      <c r="A1218" s="7" t="s">
        <v>2986</v>
      </c>
      <c r="B1218" s="10" t="n">
        <v>45816</v>
      </c>
      <c r="C1218" s="7" t="s">
        <v>2384</v>
      </c>
      <c r="D1218" s="7" t="s">
        <v>1504</v>
      </c>
      <c r="E1218" s="7" t="s">
        <v>160</v>
      </c>
      <c r="F1218" s="7" t="s">
        <v>136</v>
      </c>
      <c r="G1218" s="7" t="s">
        <v>150</v>
      </c>
      <c r="H1218" s="7" t="n">
        <v>3</v>
      </c>
      <c r="I1218" s="11" t="n">
        <v>195</v>
      </c>
      <c r="J1218" s="11" t="n">
        <v>0</v>
      </c>
      <c r="K1218" s="11" t="n">
        <f aca="false">H1218*I1218-J1218</f>
        <v>585</v>
      </c>
      <c r="L1218" s="7" t="s">
        <v>88</v>
      </c>
      <c r="M1218" s="7" t="s">
        <v>194</v>
      </c>
      <c r="N1218" s="7" t="n">
        <v>26</v>
      </c>
      <c r="O1218" s="7" t="n">
        <v>5</v>
      </c>
    </row>
    <row r="1219" customFormat="false" ht="15" hidden="false" customHeight="false" outlineLevel="0" collapsed="false">
      <c r="A1219" s="7" t="s">
        <v>6092</v>
      </c>
      <c r="B1219" s="10" t="n">
        <v>45816</v>
      </c>
      <c r="C1219" s="7" t="s">
        <v>1899</v>
      </c>
      <c r="D1219" s="7" t="s">
        <v>2399</v>
      </c>
      <c r="E1219" s="7" t="s">
        <v>98</v>
      </c>
      <c r="F1219" s="7" t="s">
        <v>86</v>
      </c>
      <c r="G1219" s="7" t="s">
        <v>99</v>
      </c>
      <c r="H1219" s="7" t="n">
        <v>1</v>
      </c>
      <c r="I1219" s="11" t="n">
        <v>295</v>
      </c>
      <c r="J1219" s="11" t="n">
        <v>20</v>
      </c>
      <c r="K1219" s="11" t="n">
        <f aca="false">H1219*I1219-J1219</f>
        <v>275</v>
      </c>
      <c r="L1219" s="7" t="s">
        <v>88</v>
      </c>
      <c r="M1219" s="7" t="s">
        <v>194</v>
      </c>
      <c r="N1219" s="7" t="n">
        <v>25</v>
      </c>
      <c r="O1219" s="7" t="n">
        <v>5</v>
      </c>
    </row>
    <row r="1220" customFormat="false" ht="15" hidden="false" customHeight="false" outlineLevel="0" collapsed="false">
      <c r="A1220" s="7" t="s">
        <v>2491</v>
      </c>
      <c r="B1220" s="10" t="n">
        <v>45816</v>
      </c>
      <c r="C1220" s="7" t="s">
        <v>2155</v>
      </c>
      <c r="D1220" s="7" t="s">
        <v>2493</v>
      </c>
      <c r="E1220" s="7" t="s">
        <v>159</v>
      </c>
      <c r="F1220" s="7" t="s">
        <v>136</v>
      </c>
      <c r="G1220" s="7" t="s">
        <v>90</v>
      </c>
      <c r="H1220" s="7" t="n">
        <v>1</v>
      </c>
      <c r="I1220" s="11" t="n">
        <v>205</v>
      </c>
      <c r="J1220" s="11" t="n">
        <v>0</v>
      </c>
      <c r="K1220" s="11" t="n">
        <f aca="false">H1220*I1220-J1220</f>
        <v>205</v>
      </c>
      <c r="L1220" s="7" t="s">
        <v>88</v>
      </c>
      <c r="M1220" s="7" t="s">
        <v>194</v>
      </c>
      <c r="N1220" s="7" t="n">
        <v>21</v>
      </c>
      <c r="O1220" s="7" t="n">
        <v>5</v>
      </c>
    </row>
    <row r="1221" customFormat="false" ht="15" hidden="false" customHeight="false" outlineLevel="0" collapsed="false">
      <c r="A1221" s="7" t="s">
        <v>5501</v>
      </c>
      <c r="B1221" s="10" t="n">
        <v>45816</v>
      </c>
      <c r="C1221" s="7" t="s">
        <v>4156</v>
      </c>
      <c r="D1221" s="7" t="s">
        <v>1536</v>
      </c>
      <c r="E1221" s="7" t="s">
        <v>130</v>
      </c>
      <c r="F1221" s="7" t="s">
        <v>110</v>
      </c>
      <c r="G1221" s="7" t="s">
        <v>90</v>
      </c>
      <c r="H1221" s="7" t="n">
        <v>3</v>
      </c>
      <c r="I1221" s="11" t="n">
        <v>265</v>
      </c>
      <c r="J1221" s="11" t="n">
        <v>0</v>
      </c>
      <c r="K1221" s="11" t="n">
        <f aca="false">H1221*I1221-J1221</f>
        <v>795</v>
      </c>
      <c r="L1221" s="7" t="s">
        <v>121</v>
      </c>
      <c r="M1221" s="7" t="s">
        <v>194</v>
      </c>
      <c r="N1221" s="7" t="n">
        <v>46</v>
      </c>
      <c r="O1221" s="7" t="n">
        <v>3</v>
      </c>
    </row>
    <row r="1222" customFormat="false" ht="15" hidden="false" customHeight="false" outlineLevel="0" collapsed="false">
      <c r="A1222" s="7" t="s">
        <v>3849</v>
      </c>
      <c r="B1222" s="10" t="n">
        <v>45816</v>
      </c>
      <c r="C1222" s="7" t="s">
        <v>3029</v>
      </c>
      <c r="D1222" s="7" t="s">
        <v>1115</v>
      </c>
      <c r="E1222" s="7" t="s">
        <v>122</v>
      </c>
      <c r="F1222" s="7" t="s">
        <v>101</v>
      </c>
      <c r="G1222" s="7" t="s">
        <v>123</v>
      </c>
      <c r="H1222" s="7" t="n">
        <v>1</v>
      </c>
      <c r="I1222" s="11" t="n">
        <v>375</v>
      </c>
      <c r="J1222" s="11" t="n">
        <v>0</v>
      </c>
      <c r="K1222" s="11" t="n">
        <f aca="false">H1222*I1222-J1222</f>
        <v>375</v>
      </c>
      <c r="L1222" s="7" t="s">
        <v>103</v>
      </c>
      <c r="M1222" s="7" t="s">
        <v>194</v>
      </c>
      <c r="N1222" s="7" t="n">
        <v>35</v>
      </c>
      <c r="O1222" s="7" t="n">
        <v>3</v>
      </c>
    </row>
    <row r="1223" customFormat="false" ht="15" hidden="false" customHeight="false" outlineLevel="0" collapsed="false">
      <c r="A1223" s="7" t="s">
        <v>5034</v>
      </c>
      <c r="B1223" s="10" t="n">
        <v>45816</v>
      </c>
      <c r="C1223" s="7" t="s">
        <v>1365</v>
      </c>
      <c r="D1223" s="7" t="s">
        <v>5036</v>
      </c>
      <c r="E1223" s="7" t="s">
        <v>155</v>
      </c>
      <c r="F1223" s="7" t="s">
        <v>128</v>
      </c>
      <c r="G1223" s="7" t="s">
        <v>156</v>
      </c>
      <c r="H1223" s="7" t="n">
        <v>1</v>
      </c>
      <c r="I1223" s="11" t="n">
        <v>295</v>
      </c>
      <c r="J1223" s="11" t="n">
        <v>118</v>
      </c>
      <c r="K1223" s="11" t="n">
        <f aca="false">H1223*I1223-J1223</f>
        <v>177</v>
      </c>
      <c r="L1223" s="7" t="s">
        <v>88</v>
      </c>
      <c r="M1223" s="7" t="s">
        <v>194</v>
      </c>
      <c r="N1223" s="7" t="n">
        <v>35</v>
      </c>
      <c r="O1223" s="7" t="n">
        <v>4</v>
      </c>
    </row>
    <row r="1224" customFormat="false" ht="15" hidden="false" customHeight="false" outlineLevel="0" collapsed="false">
      <c r="A1224" s="7" t="s">
        <v>6100</v>
      </c>
      <c r="B1224" s="10" t="n">
        <v>45816</v>
      </c>
      <c r="C1224" s="7" t="s">
        <v>5017</v>
      </c>
      <c r="D1224" s="7" t="s">
        <v>3792</v>
      </c>
      <c r="E1224" s="7" t="s">
        <v>149</v>
      </c>
      <c r="F1224" s="7" t="s">
        <v>119</v>
      </c>
      <c r="G1224" s="7" t="s">
        <v>150</v>
      </c>
      <c r="H1224" s="7" t="n">
        <v>2</v>
      </c>
      <c r="I1224" s="11" t="n">
        <v>165</v>
      </c>
      <c r="J1224" s="11" t="n">
        <v>0</v>
      </c>
      <c r="K1224" s="11" t="n">
        <f aca="false">H1224*I1224-J1224</f>
        <v>330</v>
      </c>
      <c r="L1224" s="7" t="s">
        <v>112</v>
      </c>
      <c r="M1224" s="7" t="s">
        <v>194</v>
      </c>
      <c r="N1224" s="7" t="n">
        <v>32</v>
      </c>
      <c r="O1224" s="7" t="n">
        <v>5</v>
      </c>
    </row>
    <row r="1225" customFormat="false" ht="15" hidden="false" customHeight="false" outlineLevel="0" collapsed="false">
      <c r="A1225" s="7" t="s">
        <v>5074</v>
      </c>
      <c r="B1225" s="10" t="n">
        <v>45816</v>
      </c>
      <c r="C1225" s="7" t="s">
        <v>3023</v>
      </c>
      <c r="D1225" s="7" t="s">
        <v>1705</v>
      </c>
      <c r="E1225" s="7" t="s">
        <v>167</v>
      </c>
      <c r="F1225" s="7" t="s">
        <v>146</v>
      </c>
      <c r="G1225" s="7" t="s">
        <v>156</v>
      </c>
      <c r="H1225" s="7" t="n">
        <v>1</v>
      </c>
      <c r="I1225" s="11" t="n">
        <v>190</v>
      </c>
      <c r="J1225" s="11" t="n">
        <v>76</v>
      </c>
      <c r="K1225" s="11" t="n">
        <f aca="false">H1225*I1225-J1225</f>
        <v>114</v>
      </c>
      <c r="L1225" s="7" t="s">
        <v>88</v>
      </c>
      <c r="M1225" s="7" t="s">
        <v>194</v>
      </c>
      <c r="N1225" s="7" t="n">
        <v>18</v>
      </c>
      <c r="O1225" s="7" t="n">
        <v>4</v>
      </c>
    </row>
    <row r="1226" customFormat="false" ht="15" hidden="false" customHeight="false" outlineLevel="0" collapsed="false">
      <c r="A1226" s="7" t="s">
        <v>4204</v>
      </c>
      <c r="B1226" s="10" t="n">
        <v>45816</v>
      </c>
      <c r="C1226" s="7" t="s">
        <v>301</v>
      </c>
      <c r="D1226" s="7" t="s">
        <v>392</v>
      </c>
      <c r="E1226" s="7" t="s">
        <v>116</v>
      </c>
      <c r="F1226" s="7" t="s">
        <v>101</v>
      </c>
      <c r="G1226" s="7" t="s">
        <v>117</v>
      </c>
      <c r="H1226" s="7" t="n">
        <v>1</v>
      </c>
      <c r="I1226" s="11" t="n">
        <v>165</v>
      </c>
      <c r="J1226" s="11" t="n">
        <v>20</v>
      </c>
      <c r="K1226" s="11" t="n">
        <f aca="false">H1226*I1226-J1226</f>
        <v>145</v>
      </c>
      <c r="L1226" s="7" t="s">
        <v>103</v>
      </c>
      <c r="M1226" s="7" t="s">
        <v>194</v>
      </c>
      <c r="N1226" s="7" t="n">
        <v>35</v>
      </c>
      <c r="O1226" s="7"/>
    </row>
    <row r="1227" customFormat="false" ht="15" hidden="false" customHeight="false" outlineLevel="0" collapsed="false">
      <c r="A1227" s="7" t="s">
        <v>2217</v>
      </c>
      <c r="B1227" s="10" t="n">
        <v>45817</v>
      </c>
      <c r="C1227" s="7" t="s">
        <v>2219</v>
      </c>
      <c r="D1227" s="7" t="s">
        <v>2220</v>
      </c>
      <c r="E1227" s="7" t="s">
        <v>148</v>
      </c>
      <c r="F1227" s="7" t="s">
        <v>119</v>
      </c>
      <c r="G1227" s="7" t="s">
        <v>123</v>
      </c>
      <c r="H1227" s="7" t="n">
        <v>1</v>
      </c>
      <c r="I1227" s="11" t="n">
        <v>365</v>
      </c>
      <c r="J1227" s="11" t="n">
        <v>125</v>
      </c>
      <c r="K1227" s="11" t="n">
        <f aca="false">H1227*I1227-J1227</f>
        <v>240</v>
      </c>
      <c r="L1227" s="7" t="s">
        <v>121</v>
      </c>
      <c r="M1227" s="7" t="s">
        <v>194</v>
      </c>
      <c r="N1227" s="7" t="n">
        <v>34</v>
      </c>
      <c r="O1227" s="7" t="n">
        <v>4</v>
      </c>
    </row>
    <row r="1228" customFormat="false" ht="15" hidden="false" customHeight="false" outlineLevel="0" collapsed="false">
      <c r="A1228" s="7" t="s">
        <v>2417</v>
      </c>
      <c r="B1228" s="10" t="n">
        <v>45817</v>
      </c>
      <c r="C1228" s="7" t="s">
        <v>588</v>
      </c>
      <c r="D1228" s="7" t="s">
        <v>2418</v>
      </c>
      <c r="E1228" s="7" t="s">
        <v>116</v>
      </c>
      <c r="F1228" s="7" t="s">
        <v>101</v>
      </c>
      <c r="G1228" s="7" t="s">
        <v>117</v>
      </c>
      <c r="H1228" s="7" t="n">
        <v>4</v>
      </c>
      <c r="I1228" s="11" t="n">
        <v>145</v>
      </c>
      <c r="J1228" s="11" t="n">
        <v>0</v>
      </c>
      <c r="K1228" s="11" t="n">
        <f aca="false">H1228*I1228-J1228</f>
        <v>580</v>
      </c>
      <c r="L1228" s="7" t="s">
        <v>121</v>
      </c>
      <c r="M1228" s="7" t="s">
        <v>194</v>
      </c>
      <c r="N1228" s="7" t="n">
        <v>46</v>
      </c>
      <c r="O1228" s="7" t="n">
        <v>4</v>
      </c>
    </row>
    <row r="1229" customFormat="false" ht="15" hidden="false" customHeight="false" outlineLevel="0" collapsed="false">
      <c r="A1229" s="7" t="s">
        <v>5402</v>
      </c>
      <c r="B1229" s="10" t="n">
        <v>45817</v>
      </c>
      <c r="C1229" s="7" t="s">
        <v>1589</v>
      </c>
      <c r="D1229" s="7" t="s">
        <v>3859</v>
      </c>
      <c r="E1229" s="7" t="s">
        <v>154</v>
      </c>
      <c r="F1229" s="7" t="s">
        <v>128</v>
      </c>
      <c r="G1229" s="7" t="s">
        <v>99</v>
      </c>
      <c r="H1229" s="7" t="n">
        <v>2</v>
      </c>
      <c r="I1229" s="11" t="n">
        <v>310</v>
      </c>
      <c r="J1229" s="11" t="n">
        <v>30</v>
      </c>
      <c r="K1229" s="11" t="n">
        <f aca="false">H1229*I1229-J1229</f>
        <v>590</v>
      </c>
      <c r="L1229" s="7" t="s">
        <v>88</v>
      </c>
      <c r="M1229" s="7" t="s">
        <v>194</v>
      </c>
      <c r="N1229" s="7" t="n">
        <v>30</v>
      </c>
      <c r="O1229" s="7"/>
    </row>
    <row r="1230" customFormat="false" ht="15" hidden="false" customHeight="false" outlineLevel="0" collapsed="false">
      <c r="A1230" s="7" t="s">
        <v>5959</v>
      </c>
      <c r="B1230" s="10" t="n">
        <v>45817</v>
      </c>
      <c r="C1230" s="7" t="s">
        <v>5677</v>
      </c>
      <c r="D1230" s="7" t="s">
        <v>5960</v>
      </c>
      <c r="E1230" s="7" t="s">
        <v>160</v>
      </c>
      <c r="F1230" s="7" t="s">
        <v>136</v>
      </c>
      <c r="G1230" s="7" t="s">
        <v>150</v>
      </c>
      <c r="H1230" s="7" t="n">
        <v>1</v>
      </c>
      <c r="I1230" s="11" t="n">
        <v>170</v>
      </c>
      <c r="J1230" s="11" t="n">
        <v>0</v>
      </c>
      <c r="K1230" s="11" t="n">
        <f aca="false">H1230*I1230-J1230</f>
        <v>170</v>
      </c>
      <c r="L1230" s="7" t="s">
        <v>88</v>
      </c>
      <c r="M1230" s="7" t="s">
        <v>194</v>
      </c>
      <c r="N1230" s="7" t="n">
        <v>32</v>
      </c>
      <c r="O1230" s="7" t="n">
        <v>5</v>
      </c>
    </row>
    <row r="1231" customFormat="false" ht="15" hidden="false" customHeight="false" outlineLevel="0" collapsed="false">
      <c r="A1231" s="7" t="s">
        <v>5893</v>
      </c>
      <c r="B1231" s="10" t="n">
        <v>45817</v>
      </c>
      <c r="C1231" s="7" t="s">
        <v>5708</v>
      </c>
      <c r="D1231" s="7" t="s">
        <v>5895</v>
      </c>
      <c r="E1231" s="7" t="s">
        <v>104</v>
      </c>
      <c r="F1231" s="7" t="s">
        <v>86</v>
      </c>
      <c r="G1231" s="7" t="s">
        <v>105</v>
      </c>
      <c r="H1231" s="7" t="n">
        <v>1</v>
      </c>
      <c r="I1231" s="11" t="n">
        <v>235</v>
      </c>
      <c r="J1231" s="11" t="n">
        <v>0</v>
      </c>
      <c r="K1231" s="11" t="n">
        <f aca="false">H1231*I1231-J1231</f>
        <v>235</v>
      </c>
      <c r="L1231" s="7" t="s">
        <v>88</v>
      </c>
      <c r="M1231" s="7" t="s">
        <v>194</v>
      </c>
      <c r="N1231" s="7" t="n">
        <v>34</v>
      </c>
      <c r="O1231" s="7" t="n">
        <v>4</v>
      </c>
    </row>
    <row r="1232" customFormat="false" ht="15" hidden="false" customHeight="false" outlineLevel="0" collapsed="false">
      <c r="A1232" s="7" t="s">
        <v>2839</v>
      </c>
      <c r="B1232" s="10" t="n">
        <v>45817</v>
      </c>
      <c r="C1232" s="7" t="s">
        <v>543</v>
      </c>
      <c r="D1232" s="7" t="s">
        <v>1573</v>
      </c>
      <c r="E1232" s="7" t="s">
        <v>104</v>
      </c>
      <c r="F1232" s="7" t="s">
        <v>86</v>
      </c>
      <c r="G1232" s="7" t="s">
        <v>105</v>
      </c>
      <c r="H1232" s="7" t="n">
        <v>1</v>
      </c>
      <c r="I1232" s="11" t="n">
        <v>210</v>
      </c>
      <c r="J1232" s="11" t="n">
        <v>0</v>
      </c>
      <c r="K1232" s="11" t="n">
        <f aca="false">H1232*I1232-J1232</f>
        <v>210</v>
      </c>
      <c r="L1232" s="7" t="s">
        <v>88</v>
      </c>
      <c r="M1232" s="7" t="s">
        <v>194</v>
      </c>
      <c r="N1232" s="7" t="n">
        <v>27</v>
      </c>
      <c r="O1232" s="7" t="n">
        <v>5</v>
      </c>
    </row>
    <row r="1233" customFormat="false" ht="15" hidden="false" customHeight="false" outlineLevel="0" collapsed="false">
      <c r="A1233" s="7" t="s">
        <v>3098</v>
      </c>
      <c r="B1233" s="10" t="n">
        <v>45817</v>
      </c>
      <c r="C1233" s="7" t="s">
        <v>619</v>
      </c>
      <c r="D1233" s="7" t="s">
        <v>857</v>
      </c>
      <c r="E1233" s="7" t="s">
        <v>126</v>
      </c>
      <c r="F1233" s="7" t="s">
        <v>101</v>
      </c>
      <c r="G1233" s="7" t="s">
        <v>105</v>
      </c>
      <c r="H1233" s="7" t="n">
        <v>2</v>
      </c>
      <c r="I1233" s="11" t="n">
        <v>255</v>
      </c>
      <c r="J1233" s="11" t="n">
        <v>150</v>
      </c>
      <c r="K1233" s="11" t="n">
        <f aca="false">H1233*I1233-J1233</f>
        <v>360</v>
      </c>
      <c r="L1233" s="7" t="s">
        <v>121</v>
      </c>
      <c r="M1233" s="7" t="s">
        <v>194</v>
      </c>
      <c r="N1233" s="7" t="n">
        <v>36</v>
      </c>
      <c r="O1233" s="7" t="n">
        <v>4</v>
      </c>
    </row>
    <row r="1234" customFormat="false" ht="15" hidden="false" customHeight="false" outlineLevel="0" collapsed="false">
      <c r="A1234" s="7" t="s">
        <v>6002</v>
      </c>
      <c r="B1234" s="10" t="n">
        <v>45817</v>
      </c>
      <c r="C1234" s="7" t="s">
        <v>2408</v>
      </c>
      <c r="D1234" s="7" t="s">
        <v>2811</v>
      </c>
      <c r="E1234" s="7" t="s">
        <v>116</v>
      </c>
      <c r="F1234" s="7" t="s">
        <v>101</v>
      </c>
      <c r="G1234" s="7" t="s">
        <v>117</v>
      </c>
      <c r="H1234" s="7" t="n">
        <v>2</v>
      </c>
      <c r="I1234" s="11" t="n">
        <v>125</v>
      </c>
      <c r="J1234" s="11" t="n">
        <v>40</v>
      </c>
      <c r="K1234" s="11" t="n">
        <f aca="false">H1234*I1234-J1234</f>
        <v>210</v>
      </c>
      <c r="L1234" s="7" t="s">
        <v>88</v>
      </c>
      <c r="M1234" s="7" t="s">
        <v>194</v>
      </c>
      <c r="N1234" s="7" t="n">
        <v>34</v>
      </c>
      <c r="O1234" s="7" t="n">
        <v>3</v>
      </c>
    </row>
    <row r="1235" customFormat="false" ht="15" hidden="false" customHeight="false" outlineLevel="0" collapsed="false">
      <c r="A1235" s="7" t="s">
        <v>5037</v>
      </c>
      <c r="B1235" s="10" t="n">
        <v>45817</v>
      </c>
      <c r="C1235" s="7" t="s">
        <v>5038</v>
      </c>
      <c r="D1235" s="7" t="s">
        <v>5036</v>
      </c>
      <c r="E1235" s="7" t="s">
        <v>164</v>
      </c>
      <c r="F1235" s="7" t="s">
        <v>141</v>
      </c>
      <c r="G1235" s="7" t="s">
        <v>150</v>
      </c>
      <c r="H1235" s="7" t="n">
        <v>2</v>
      </c>
      <c r="I1235" s="11" t="n">
        <v>120</v>
      </c>
      <c r="J1235" s="11" t="n">
        <v>30</v>
      </c>
      <c r="K1235" s="11" t="n">
        <f aca="false">H1235*I1235-J1235</f>
        <v>210</v>
      </c>
      <c r="L1235" s="7" t="s">
        <v>88</v>
      </c>
      <c r="M1235" s="7" t="s">
        <v>194</v>
      </c>
      <c r="N1235" s="7" t="n">
        <v>38</v>
      </c>
      <c r="O1235" s="7" t="n">
        <v>2</v>
      </c>
    </row>
    <row r="1236" customFormat="false" ht="15" hidden="false" customHeight="false" outlineLevel="0" collapsed="false">
      <c r="A1236" s="7" t="s">
        <v>4029</v>
      </c>
      <c r="B1236" s="10" t="n">
        <v>45818</v>
      </c>
      <c r="C1236" s="7" t="s">
        <v>3825</v>
      </c>
      <c r="D1236" s="7" t="s">
        <v>2639</v>
      </c>
      <c r="E1236" s="7" t="s">
        <v>113</v>
      </c>
      <c r="F1236" s="7" t="s">
        <v>101</v>
      </c>
      <c r="G1236" s="7" t="s">
        <v>90</v>
      </c>
      <c r="H1236" s="7" t="n">
        <v>1</v>
      </c>
      <c r="I1236" s="11" t="n">
        <v>260</v>
      </c>
      <c r="J1236" s="11" t="n">
        <v>0</v>
      </c>
      <c r="K1236" s="11" t="n">
        <f aca="false">H1236*I1236-J1236</f>
        <v>260</v>
      </c>
      <c r="L1236" s="7" t="s">
        <v>112</v>
      </c>
      <c r="M1236" s="7" t="s">
        <v>194</v>
      </c>
      <c r="N1236" s="7" t="n">
        <v>41</v>
      </c>
      <c r="O1236" s="7" t="n">
        <v>3</v>
      </c>
    </row>
    <row r="1237" customFormat="false" ht="15" hidden="false" customHeight="false" outlineLevel="0" collapsed="false">
      <c r="A1237" s="7" t="s">
        <v>3142</v>
      </c>
      <c r="B1237" s="10" t="n">
        <v>45818</v>
      </c>
      <c r="C1237" s="7" t="s">
        <v>686</v>
      </c>
      <c r="D1237" s="7" t="s">
        <v>3144</v>
      </c>
      <c r="E1237" s="7" t="s">
        <v>160</v>
      </c>
      <c r="F1237" s="7" t="s">
        <v>136</v>
      </c>
      <c r="G1237" s="7" t="s">
        <v>150</v>
      </c>
      <c r="H1237" s="7" t="n">
        <v>2</v>
      </c>
      <c r="I1237" s="11" t="n">
        <v>165</v>
      </c>
      <c r="J1237" s="11" t="n">
        <v>75</v>
      </c>
      <c r="K1237" s="11" t="n">
        <f aca="false">H1237*I1237-J1237</f>
        <v>255</v>
      </c>
      <c r="L1237" s="7" t="s">
        <v>88</v>
      </c>
      <c r="M1237" s="7" t="s">
        <v>194</v>
      </c>
      <c r="N1237" s="7" t="n">
        <v>41</v>
      </c>
      <c r="O1237" s="7" t="n">
        <v>4</v>
      </c>
    </row>
    <row r="1238" customFormat="false" ht="15" hidden="false" customHeight="false" outlineLevel="0" collapsed="false">
      <c r="A1238" s="7" t="s">
        <v>3470</v>
      </c>
      <c r="B1238" s="10" t="n">
        <v>45818</v>
      </c>
      <c r="C1238" s="7" t="s">
        <v>1624</v>
      </c>
      <c r="D1238" s="7" t="s">
        <v>3471</v>
      </c>
      <c r="E1238" s="7" t="s">
        <v>160</v>
      </c>
      <c r="F1238" s="7" t="s">
        <v>136</v>
      </c>
      <c r="G1238" s="7" t="s">
        <v>150</v>
      </c>
      <c r="H1238" s="7" t="n">
        <v>1</v>
      </c>
      <c r="I1238" s="11" t="n">
        <v>190</v>
      </c>
      <c r="J1238" s="11" t="n">
        <v>0</v>
      </c>
      <c r="K1238" s="11" t="n">
        <f aca="false">H1238*I1238-J1238</f>
        <v>190</v>
      </c>
      <c r="L1238" s="7" t="s">
        <v>88</v>
      </c>
      <c r="M1238" s="7" t="s">
        <v>194</v>
      </c>
      <c r="N1238" s="7" t="n">
        <v>46</v>
      </c>
      <c r="O1238" s="7" t="n">
        <v>4</v>
      </c>
    </row>
    <row r="1239" customFormat="false" ht="15" hidden="false" customHeight="false" outlineLevel="0" collapsed="false">
      <c r="A1239" s="7" t="s">
        <v>1296</v>
      </c>
      <c r="B1239" s="10" t="n">
        <v>45818</v>
      </c>
      <c r="C1239" s="7" t="s">
        <v>1298</v>
      </c>
      <c r="D1239" s="7" t="s">
        <v>1299</v>
      </c>
      <c r="E1239" s="7" t="s">
        <v>113</v>
      </c>
      <c r="F1239" s="7" t="s">
        <v>101</v>
      </c>
      <c r="G1239" s="7" t="s">
        <v>90</v>
      </c>
      <c r="H1239" s="7" t="n">
        <v>5</v>
      </c>
      <c r="I1239" s="11" t="n">
        <v>240</v>
      </c>
      <c r="J1239" s="11" t="n">
        <v>0</v>
      </c>
      <c r="K1239" s="11" t="n">
        <f aca="false">H1239*I1239-J1239</f>
        <v>1200</v>
      </c>
      <c r="L1239" s="7" t="s">
        <v>88</v>
      </c>
      <c r="M1239" s="7" t="s">
        <v>194</v>
      </c>
      <c r="N1239" s="7"/>
      <c r="O1239" s="7" t="n">
        <v>4</v>
      </c>
    </row>
    <row r="1240" customFormat="false" ht="15" hidden="false" customHeight="false" outlineLevel="0" collapsed="false">
      <c r="A1240" s="7" t="s">
        <v>4695</v>
      </c>
      <c r="B1240" s="10" t="n">
        <v>45819</v>
      </c>
      <c r="C1240" s="7" t="s">
        <v>223</v>
      </c>
      <c r="D1240" s="7" t="s">
        <v>2566</v>
      </c>
      <c r="E1240" s="7" t="s">
        <v>134</v>
      </c>
      <c r="F1240" s="7" t="s">
        <v>110</v>
      </c>
      <c r="G1240" s="7" t="s">
        <v>117</v>
      </c>
      <c r="H1240" s="7" t="n">
        <v>2</v>
      </c>
      <c r="I1240" s="11" t="n">
        <v>100</v>
      </c>
      <c r="J1240" s="11" t="n">
        <v>0</v>
      </c>
      <c r="K1240" s="11" t="n">
        <f aca="false">H1240*I1240-J1240</f>
        <v>200</v>
      </c>
      <c r="L1240" s="7" t="s">
        <v>103</v>
      </c>
      <c r="M1240" s="7" t="s">
        <v>238</v>
      </c>
      <c r="N1240" s="7"/>
      <c r="O1240" s="7"/>
    </row>
    <row r="1241" customFormat="false" ht="15" hidden="false" customHeight="false" outlineLevel="0" collapsed="false">
      <c r="A1241" s="7" t="s">
        <v>1038</v>
      </c>
      <c r="B1241" s="10" t="n">
        <v>45819</v>
      </c>
      <c r="C1241" s="7" t="s">
        <v>679</v>
      </c>
      <c r="D1241" s="7" t="s">
        <v>1039</v>
      </c>
      <c r="E1241" s="7" t="s">
        <v>165</v>
      </c>
      <c r="F1241" s="7" t="s">
        <v>146</v>
      </c>
      <c r="G1241" s="7" t="s">
        <v>90</v>
      </c>
      <c r="H1241" s="7" t="n">
        <v>1</v>
      </c>
      <c r="I1241" s="11" t="n">
        <v>180</v>
      </c>
      <c r="J1241" s="11" t="n">
        <v>20</v>
      </c>
      <c r="K1241" s="11" t="n">
        <f aca="false">H1241*I1241-J1241</f>
        <v>160</v>
      </c>
      <c r="L1241" s="7" t="s">
        <v>6170</v>
      </c>
      <c r="M1241" s="7" t="s">
        <v>194</v>
      </c>
      <c r="N1241" s="7" t="n">
        <v>30</v>
      </c>
      <c r="O1241" s="7" t="n">
        <v>3</v>
      </c>
    </row>
    <row r="1242" customFormat="false" ht="15" hidden="false" customHeight="false" outlineLevel="0" collapsed="false">
      <c r="A1242" s="7" t="s">
        <v>5182</v>
      </c>
      <c r="B1242" s="10" t="n">
        <v>45819</v>
      </c>
      <c r="C1242" s="7" t="s">
        <v>2202</v>
      </c>
      <c r="D1242" s="7" t="s">
        <v>3127</v>
      </c>
      <c r="E1242" s="7" t="s">
        <v>98</v>
      </c>
      <c r="F1242" s="7" t="s">
        <v>86</v>
      </c>
      <c r="G1242" s="7" t="s">
        <v>99</v>
      </c>
      <c r="H1242" s="7" t="n">
        <v>1</v>
      </c>
      <c r="I1242" s="11" t="n">
        <v>270</v>
      </c>
      <c r="J1242" s="11" t="n">
        <v>20</v>
      </c>
      <c r="K1242" s="11" t="n">
        <f aca="false">H1242*I1242-J1242</f>
        <v>250</v>
      </c>
      <c r="L1242" s="7" t="s">
        <v>103</v>
      </c>
      <c r="M1242" s="7" t="s">
        <v>194</v>
      </c>
      <c r="N1242" s="7" t="n">
        <v>34</v>
      </c>
      <c r="O1242" s="7" t="n">
        <v>5</v>
      </c>
    </row>
    <row r="1243" customFormat="false" ht="15" hidden="false" customHeight="false" outlineLevel="0" collapsed="false">
      <c r="A1243" s="7" t="s">
        <v>2553</v>
      </c>
      <c r="B1243" s="10" t="n">
        <v>45819</v>
      </c>
      <c r="C1243" s="7" t="s">
        <v>2024</v>
      </c>
      <c r="D1243" s="7" t="s">
        <v>2554</v>
      </c>
      <c r="E1243" s="7" t="s">
        <v>126</v>
      </c>
      <c r="F1243" s="7" t="s">
        <v>101</v>
      </c>
      <c r="G1243" s="7" t="s">
        <v>105</v>
      </c>
      <c r="H1243" s="7" t="n">
        <v>1</v>
      </c>
      <c r="I1243" s="11" t="n">
        <v>225</v>
      </c>
      <c r="J1243" s="11" t="n">
        <v>40</v>
      </c>
      <c r="K1243" s="11" t="n">
        <f aca="false">H1243*I1243-J1243</f>
        <v>185</v>
      </c>
      <c r="L1243" s="7" t="s">
        <v>121</v>
      </c>
      <c r="M1243" s="7" t="s">
        <v>194</v>
      </c>
      <c r="N1243" s="7" t="n">
        <v>38</v>
      </c>
      <c r="O1243" s="7" t="n">
        <v>5</v>
      </c>
    </row>
    <row r="1244" customFormat="false" ht="15" hidden="false" customHeight="false" outlineLevel="0" collapsed="false">
      <c r="A1244" s="7" t="s">
        <v>4050</v>
      </c>
      <c r="B1244" s="10" t="n">
        <v>45819</v>
      </c>
      <c r="C1244" s="7" t="s">
        <v>1145</v>
      </c>
      <c r="D1244" s="7" t="s">
        <v>2077</v>
      </c>
      <c r="E1244" s="7" t="s">
        <v>104</v>
      </c>
      <c r="F1244" s="7" t="s">
        <v>86</v>
      </c>
      <c r="G1244" s="7" t="s">
        <v>105</v>
      </c>
      <c r="H1244" s="7" t="n">
        <v>1</v>
      </c>
      <c r="I1244" s="11" t="n">
        <v>185</v>
      </c>
      <c r="J1244" s="11" t="n">
        <v>0</v>
      </c>
      <c r="K1244" s="11" t="n">
        <f aca="false">H1244*I1244-J1244</f>
        <v>185</v>
      </c>
      <c r="L1244" s="7" t="s">
        <v>112</v>
      </c>
      <c r="M1244" s="7" t="s">
        <v>194</v>
      </c>
      <c r="N1244" s="7" t="n">
        <v>37</v>
      </c>
      <c r="O1244" s="7" t="n">
        <v>4</v>
      </c>
    </row>
    <row r="1245" customFormat="false" ht="15" hidden="false" customHeight="false" outlineLevel="0" collapsed="false">
      <c r="A1245" s="7" t="s">
        <v>4727</v>
      </c>
      <c r="B1245" s="10" t="n">
        <v>45819</v>
      </c>
      <c r="C1245" s="7" t="s">
        <v>709</v>
      </c>
      <c r="D1245" s="7" t="s">
        <v>4728</v>
      </c>
      <c r="E1245" s="7" t="s">
        <v>122</v>
      </c>
      <c r="F1245" s="7" t="s">
        <v>101</v>
      </c>
      <c r="G1245" s="7" t="s">
        <v>123</v>
      </c>
      <c r="H1245" s="7" t="n">
        <v>4</v>
      </c>
      <c r="I1245" s="11" t="n">
        <v>320</v>
      </c>
      <c r="J1245" s="11" t="n">
        <v>125</v>
      </c>
      <c r="K1245" s="11" t="n">
        <f aca="false">H1245*I1245-J1245</f>
        <v>1155</v>
      </c>
      <c r="L1245" s="7" t="s">
        <v>103</v>
      </c>
      <c r="M1245" s="7" t="s">
        <v>194</v>
      </c>
      <c r="N1245" s="7" t="n">
        <v>44</v>
      </c>
      <c r="O1245" s="7" t="n">
        <v>3</v>
      </c>
    </row>
    <row r="1246" customFormat="false" ht="15" hidden="false" customHeight="false" outlineLevel="0" collapsed="false">
      <c r="A1246" s="7" t="s">
        <v>5735</v>
      </c>
      <c r="B1246" s="10" t="n">
        <v>45819</v>
      </c>
      <c r="C1246" s="7" t="s">
        <v>809</v>
      </c>
      <c r="D1246" s="7" t="s">
        <v>4690</v>
      </c>
      <c r="E1246" s="7" t="s">
        <v>134</v>
      </c>
      <c r="F1246" s="7" t="s">
        <v>110</v>
      </c>
      <c r="G1246" s="7" t="s">
        <v>117</v>
      </c>
      <c r="H1246" s="7" t="n">
        <v>3</v>
      </c>
      <c r="I1246" s="11" t="n">
        <v>85</v>
      </c>
      <c r="J1246" s="11" t="n">
        <v>50</v>
      </c>
      <c r="K1246" s="11" t="n">
        <f aca="false">H1246*I1246-J1246</f>
        <v>205</v>
      </c>
      <c r="L1246" s="7" t="s">
        <v>112</v>
      </c>
      <c r="M1246" s="7" t="s">
        <v>194</v>
      </c>
      <c r="N1246" s="7" t="n">
        <v>43</v>
      </c>
      <c r="O1246" s="7"/>
    </row>
    <row r="1247" customFormat="false" ht="15" hidden="false" customHeight="false" outlineLevel="0" collapsed="false">
      <c r="A1247" s="7" t="s">
        <v>3031</v>
      </c>
      <c r="B1247" s="10" t="n">
        <v>45819</v>
      </c>
      <c r="C1247" s="7" t="s">
        <v>2329</v>
      </c>
      <c r="D1247" s="7" t="s">
        <v>396</v>
      </c>
      <c r="E1247" s="7" t="s">
        <v>152</v>
      </c>
      <c r="F1247" s="7" t="s">
        <v>128</v>
      </c>
      <c r="G1247" s="7" t="s">
        <v>95</v>
      </c>
      <c r="H1247" s="7" t="n">
        <v>3</v>
      </c>
      <c r="I1247" s="11" t="n">
        <v>110</v>
      </c>
      <c r="J1247" s="11" t="n">
        <v>30</v>
      </c>
      <c r="K1247" s="11" t="n">
        <f aca="false">H1247*I1247-J1247</f>
        <v>300</v>
      </c>
      <c r="L1247" s="7" t="s">
        <v>88</v>
      </c>
      <c r="M1247" s="7" t="s">
        <v>194</v>
      </c>
      <c r="N1247" s="7" t="n">
        <v>56</v>
      </c>
      <c r="O1247" s="7" t="n">
        <v>2</v>
      </c>
    </row>
    <row r="1248" customFormat="false" ht="15" hidden="false" customHeight="false" outlineLevel="0" collapsed="false">
      <c r="A1248" s="7" t="s">
        <v>5494</v>
      </c>
      <c r="B1248" s="10" t="n">
        <v>45819</v>
      </c>
      <c r="C1248" s="7" t="s">
        <v>3487</v>
      </c>
      <c r="D1248" s="7" t="s">
        <v>1573</v>
      </c>
      <c r="E1248" s="7" t="s">
        <v>159</v>
      </c>
      <c r="F1248" s="7" t="s">
        <v>136</v>
      </c>
      <c r="G1248" s="7" t="s">
        <v>90</v>
      </c>
      <c r="H1248" s="7" t="n">
        <v>2</v>
      </c>
      <c r="I1248" s="11" t="n">
        <v>225</v>
      </c>
      <c r="J1248" s="11" t="n">
        <v>125</v>
      </c>
      <c r="K1248" s="11" t="n">
        <f aca="false">H1248*I1248-J1248</f>
        <v>325</v>
      </c>
      <c r="L1248" s="7" t="s">
        <v>88</v>
      </c>
      <c r="M1248" s="7" t="s">
        <v>194</v>
      </c>
      <c r="N1248" s="7" t="n">
        <v>35</v>
      </c>
      <c r="O1248" s="7" t="n">
        <v>4</v>
      </c>
    </row>
    <row r="1249" customFormat="false" ht="15" hidden="false" customHeight="false" outlineLevel="0" collapsed="false">
      <c r="A1249" s="7" t="s">
        <v>3915</v>
      </c>
      <c r="B1249" s="10" t="n">
        <v>45819</v>
      </c>
      <c r="C1249" s="7" t="s">
        <v>209</v>
      </c>
      <c r="D1249" s="7" t="s">
        <v>3205</v>
      </c>
      <c r="E1249" s="7" t="s">
        <v>94</v>
      </c>
      <c r="F1249" s="7" t="s">
        <v>86</v>
      </c>
      <c r="G1249" s="7" t="s">
        <v>95</v>
      </c>
      <c r="H1249" s="7" t="n">
        <v>1</v>
      </c>
      <c r="I1249" s="11" t="n">
        <v>115</v>
      </c>
      <c r="J1249" s="11" t="n">
        <v>0</v>
      </c>
      <c r="K1249" s="11" t="n">
        <f aca="false">H1249*I1249-J1249</f>
        <v>115</v>
      </c>
      <c r="L1249" s="7" t="s">
        <v>88</v>
      </c>
      <c r="M1249" s="7" t="s">
        <v>194</v>
      </c>
      <c r="N1249" s="7" t="n">
        <v>39</v>
      </c>
      <c r="O1249" s="7" t="n">
        <v>4</v>
      </c>
    </row>
    <row r="1250" customFormat="false" ht="15" hidden="false" customHeight="false" outlineLevel="0" collapsed="false">
      <c r="A1250" s="7" t="s">
        <v>4590</v>
      </c>
      <c r="B1250" s="10" t="n">
        <v>45819</v>
      </c>
      <c r="C1250" s="7" t="s">
        <v>4591</v>
      </c>
      <c r="D1250" s="7" t="s">
        <v>4159</v>
      </c>
      <c r="E1250" s="7" t="s">
        <v>113</v>
      </c>
      <c r="F1250" s="7" t="s">
        <v>101</v>
      </c>
      <c r="G1250" s="7" t="s">
        <v>90</v>
      </c>
      <c r="H1250" s="7" t="n">
        <v>1</v>
      </c>
      <c r="I1250" s="11" t="n">
        <v>255</v>
      </c>
      <c r="J1250" s="11" t="n">
        <v>102</v>
      </c>
      <c r="K1250" s="11" t="n">
        <f aca="false">H1250*I1250-J1250</f>
        <v>153</v>
      </c>
      <c r="L1250" s="7" t="s">
        <v>88</v>
      </c>
      <c r="M1250" s="7" t="s">
        <v>194</v>
      </c>
      <c r="N1250" s="7" t="n">
        <v>52</v>
      </c>
      <c r="O1250" s="7" t="n">
        <v>3</v>
      </c>
    </row>
    <row r="1251" customFormat="false" ht="15" hidden="false" customHeight="false" outlineLevel="0" collapsed="false">
      <c r="A1251" s="7" t="s">
        <v>714</v>
      </c>
      <c r="B1251" s="10" t="n">
        <v>45819</v>
      </c>
      <c r="C1251" s="7" t="s">
        <v>716</v>
      </c>
      <c r="D1251" s="7" t="s">
        <v>569</v>
      </c>
      <c r="E1251" s="7" t="s">
        <v>160</v>
      </c>
      <c r="F1251" s="7" t="s">
        <v>136</v>
      </c>
      <c r="G1251" s="7" t="s">
        <v>150</v>
      </c>
      <c r="H1251" s="7" t="n">
        <v>4</v>
      </c>
      <c r="I1251" s="11" t="n">
        <v>165</v>
      </c>
      <c r="J1251" s="11" t="n">
        <v>0</v>
      </c>
      <c r="K1251" s="11" t="n">
        <f aca="false">H1251*I1251-J1251</f>
        <v>660</v>
      </c>
      <c r="L1251" s="7" t="s">
        <v>112</v>
      </c>
      <c r="M1251" s="7" t="s">
        <v>238</v>
      </c>
      <c r="N1251" s="7"/>
      <c r="O1251" s="7"/>
    </row>
    <row r="1252" customFormat="false" ht="15" hidden="false" customHeight="false" outlineLevel="0" collapsed="false">
      <c r="A1252" s="7" t="s">
        <v>3534</v>
      </c>
      <c r="B1252" s="10" t="n">
        <v>45820</v>
      </c>
      <c r="C1252" s="7" t="s">
        <v>2155</v>
      </c>
      <c r="D1252" s="7" t="s">
        <v>2256</v>
      </c>
      <c r="E1252" s="7" t="s">
        <v>122</v>
      </c>
      <c r="F1252" s="7" t="s">
        <v>101</v>
      </c>
      <c r="G1252" s="7" t="s">
        <v>123</v>
      </c>
      <c r="H1252" s="7" t="n">
        <v>4</v>
      </c>
      <c r="I1252" s="11" t="n">
        <v>355</v>
      </c>
      <c r="J1252" s="11" t="n">
        <v>40</v>
      </c>
      <c r="K1252" s="11" t="n">
        <f aca="false">H1252*I1252-J1252</f>
        <v>1380</v>
      </c>
      <c r="L1252" s="7" t="s">
        <v>103</v>
      </c>
      <c r="M1252" s="7" t="s">
        <v>194</v>
      </c>
      <c r="N1252" s="7" t="n">
        <v>47</v>
      </c>
      <c r="O1252" s="7" t="n">
        <v>2</v>
      </c>
    </row>
    <row r="1253" customFormat="false" ht="15" hidden="false" customHeight="false" outlineLevel="0" collapsed="false">
      <c r="A1253" s="7" t="s">
        <v>4664</v>
      </c>
      <c r="B1253" s="10" t="n">
        <v>45820</v>
      </c>
      <c r="C1253" s="7" t="s">
        <v>1374</v>
      </c>
      <c r="D1253" s="7" t="s">
        <v>1742</v>
      </c>
      <c r="E1253" s="7" t="s">
        <v>130</v>
      </c>
      <c r="F1253" s="7" t="s">
        <v>110</v>
      </c>
      <c r="G1253" s="7" t="s">
        <v>90</v>
      </c>
      <c r="H1253" s="7" t="n">
        <v>5</v>
      </c>
      <c r="I1253" s="11" t="n">
        <v>230</v>
      </c>
      <c r="J1253" s="11" t="n">
        <v>0</v>
      </c>
      <c r="K1253" s="11" t="n">
        <f aca="false">H1253*I1253-J1253</f>
        <v>1150</v>
      </c>
      <c r="L1253" s="7" t="s">
        <v>88</v>
      </c>
      <c r="M1253" s="7" t="s">
        <v>194</v>
      </c>
      <c r="N1253" s="7" t="n">
        <v>50</v>
      </c>
      <c r="O1253" s="7" t="n">
        <v>5</v>
      </c>
    </row>
    <row r="1254" customFormat="false" ht="15" hidden="false" customHeight="false" outlineLevel="0" collapsed="false">
      <c r="A1254" s="7" t="s">
        <v>5100</v>
      </c>
      <c r="B1254" s="10" t="n">
        <v>45820</v>
      </c>
      <c r="C1254" s="7" t="s">
        <v>5101</v>
      </c>
      <c r="D1254" s="7" t="s">
        <v>5102</v>
      </c>
      <c r="E1254" s="7" t="s">
        <v>94</v>
      </c>
      <c r="F1254" s="7" t="s">
        <v>86</v>
      </c>
      <c r="G1254" s="7" t="s">
        <v>95</v>
      </c>
      <c r="H1254" s="7" t="n">
        <v>1</v>
      </c>
      <c r="I1254" s="11" t="n">
        <v>130</v>
      </c>
      <c r="J1254" s="11" t="n">
        <v>0</v>
      </c>
      <c r="K1254" s="11" t="n">
        <f aca="false">H1254*I1254-J1254</f>
        <v>130</v>
      </c>
      <c r="L1254" s="7" t="s">
        <v>88</v>
      </c>
      <c r="M1254" s="7" t="s">
        <v>238</v>
      </c>
      <c r="N1254" s="7"/>
      <c r="O1254" s="7"/>
    </row>
    <row r="1255" customFormat="false" ht="15" hidden="false" customHeight="false" outlineLevel="0" collapsed="false">
      <c r="A1255" s="7" t="s">
        <v>1245</v>
      </c>
      <c r="B1255" s="10" t="n">
        <v>45820</v>
      </c>
      <c r="C1255" s="7" t="s">
        <v>268</v>
      </c>
      <c r="D1255" s="7" t="s">
        <v>1247</v>
      </c>
      <c r="E1255" s="7" t="s">
        <v>160</v>
      </c>
      <c r="F1255" s="7" t="s">
        <v>136</v>
      </c>
      <c r="G1255" s="7" t="s">
        <v>150</v>
      </c>
      <c r="H1255" s="7" t="n">
        <v>1</v>
      </c>
      <c r="I1255" s="11" t="n">
        <v>195</v>
      </c>
      <c r="J1255" s="11" t="n">
        <v>0</v>
      </c>
      <c r="K1255" s="11" t="n">
        <f aca="false">H1255*I1255-J1255</f>
        <v>195</v>
      </c>
      <c r="L1255" s="7" t="s">
        <v>112</v>
      </c>
      <c r="M1255" s="7" t="s">
        <v>194</v>
      </c>
      <c r="N1255" s="7" t="n">
        <v>21</v>
      </c>
      <c r="O1255" s="7" t="n">
        <v>3</v>
      </c>
    </row>
    <row r="1256" customFormat="false" ht="15" hidden="false" customHeight="false" outlineLevel="0" collapsed="false">
      <c r="A1256" s="7" t="s">
        <v>5214</v>
      </c>
      <c r="B1256" s="10" t="n">
        <v>45820</v>
      </c>
      <c r="C1256" s="7" t="s">
        <v>1610</v>
      </c>
      <c r="D1256" s="7" t="s">
        <v>2682</v>
      </c>
      <c r="E1256" s="7" t="s">
        <v>104</v>
      </c>
      <c r="F1256" s="7" t="s">
        <v>86</v>
      </c>
      <c r="G1256" s="7" t="s">
        <v>105</v>
      </c>
      <c r="H1256" s="7" t="n">
        <v>2</v>
      </c>
      <c r="I1256" s="11" t="n">
        <v>180</v>
      </c>
      <c r="J1256" s="11" t="n">
        <v>0</v>
      </c>
      <c r="K1256" s="11" t="n">
        <f aca="false">H1256*I1256-J1256</f>
        <v>360</v>
      </c>
      <c r="L1256" s="7" t="s">
        <v>88</v>
      </c>
      <c r="M1256" s="7" t="s">
        <v>194</v>
      </c>
      <c r="N1256" s="7" t="n">
        <v>48</v>
      </c>
      <c r="O1256" s="7" t="n">
        <v>3</v>
      </c>
    </row>
    <row r="1257" customFormat="false" ht="15" hidden="false" customHeight="false" outlineLevel="0" collapsed="false">
      <c r="A1257" s="7" t="s">
        <v>3615</v>
      </c>
      <c r="B1257" s="10" t="n">
        <v>45821</v>
      </c>
      <c r="C1257" s="7" t="s">
        <v>3617</v>
      </c>
      <c r="D1257" s="7" t="s">
        <v>3381</v>
      </c>
      <c r="E1257" s="7" t="s">
        <v>149</v>
      </c>
      <c r="F1257" s="7" t="s">
        <v>119</v>
      </c>
      <c r="G1257" s="7" t="s">
        <v>150</v>
      </c>
      <c r="H1257" s="7" t="n">
        <v>2</v>
      </c>
      <c r="I1257" s="11" t="n">
        <v>175</v>
      </c>
      <c r="J1257" s="11" t="n">
        <v>140</v>
      </c>
      <c r="K1257" s="11" t="n">
        <f aca="false">H1257*I1257-J1257</f>
        <v>210</v>
      </c>
      <c r="L1257" s="7" t="s">
        <v>93</v>
      </c>
      <c r="M1257" s="7" t="s">
        <v>194</v>
      </c>
      <c r="N1257" s="7" t="n">
        <v>32</v>
      </c>
      <c r="O1257" s="7" t="n">
        <v>4</v>
      </c>
    </row>
    <row r="1258" customFormat="false" ht="15" hidden="false" customHeight="false" outlineLevel="0" collapsed="false">
      <c r="A1258" s="7" t="s">
        <v>4674</v>
      </c>
      <c r="B1258" s="10" t="n">
        <v>45821</v>
      </c>
      <c r="C1258" s="7" t="s">
        <v>2588</v>
      </c>
      <c r="D1258" s="7" t="s">
        <v>2994</v>
      </c>
      <c r="E1258" s="7" t="s">
        <v>94</v>
      </c>
      <c r="F1258" s="7" t="s">
        <v>86</v>
      </c>
      <c r="G1258" s="7" t="s">
        <v>95</v>
      </c>
      <c r="H1258" s="7" t="n">
        <v>1</v>
      </c>
      <c r="I1258" s="11" t="n">
        <v>125</v>
      </c>
      <c r="J1258" s="11" t="n">
        <v>0</v>
      </c>
      <c r="K1258" s="11" t="n">
        <f aca="false">H1258*I1258-J1258</f>
        <v>125</v>
      </c>
      <c r="L1258" s="7" t="s">
        <v>112</v>
      </c>
      <c r="M1258" s="7" t="s">
        <v>194</v>
      </c>
      <c r="N1258" s="7" t="n">
        <v>31</v>
      </c>
      <c r="O1258" s="7"/>
    </row>
    <row r="1259" customFormat="false" ht="15" hidden="false" customHeight="false" outlineLevel="0" collapsed="false">
      <c r="A1259" s="7" t="s">
        <v>2435</v>
      </c>
      <c r="B1259" s="10" t="n">
        <v>45821</v>
      </c>
      <c r="C1259" s="7" t="s">
        <v>2155</v>
      </c>
      <c r="D1259" s="7" t="s">
        <v>2437</v>
      </c>
      <c r="E1259" s="7" t="s">
        <v>113</v>
      </c>
      <c r="F1259" s="7" t="s">
        <v>101</v>
      </c>
      <c r="G1259" s="7" t="s">
        <v>90</v>
      </c>
      <c r="H1259" s="7" t="n">
        <v>2</v>
      </c>
      <c r="I1259" s="11" t="n">
        <v>260</v>
      </c>
      <c r="J1259" s="11" t="n">
        <v>0</v>
      </c>
      <c r="K1259" s="11" t="n">
        <f aca="false">H1259*I1259-J1259</f>
        <v>520</v>
      </c>
      <c r="L1259" s="7" t="s">
        <v>93</v>
      </c>
      <c r="M1259" s="7" t="s">
        <v>194</v>
      </c>
      <c r="N1259" s="7" t="n">
        <v>52</v>
      </c>
      <c r="O1259" s="7" t="n">
        <v>3</v>
      </c>
    </row>
    <row r="1260" customFormat="false" ht="15" hidden="false" customHeight="false" outlineLevel="0" collapsed="false">
      <c r="A1260" s="7" t="s">
        <v>4592</v>
      </c>
      <c r="B1260" s="10" t="n">
        <v>45821</v>
      </c>
      <c r="C1260" s="7" t="s">
        <v>4516</v>
      </c>
      <c r="D1260" s="7" t="s">
        <v>4593</v>
      </c>
      <c r="E1260" s="7" t="s">
        <v>98</v>
      </c>
      <c r="F1260" s="7" t="s">
        <v>86</v>
      </c>
      <c r="G1260" s="7" t="s">
        <v>99</v>
      </c>
      <c r="H1260" s="7" t="n">
        <v>2</v>
      </c>
      <c r="I1260" s="11" t="n">
        <v>285</v>
      </c>
      <c r="J1260" s="11" t="n">
        <v>40</v>
      </c>
      <c r="K1260" s="11" t="n">
        <f aca="false">H1260*I1260-J1260</f>
        <v>530</v>
      </c>
      <c r="L1260" s="7" t="s">
        <v>88</v>
      </c>
      <c r="M1260" s="7" t="s">
        <v>194</v>
      </c>
      <c r="N1260" s="7" t="n">
        <v>32</v>
      </c>
      <c r="O1260" s="7" t="n">
        <v>4</v>
      </c>
    </row>
    <row r="1261" customFormat="false" ht="15" hidden="false" customHeight="false" outlineLevel="0" collapsed="false">
      <c r="A1261" s="7" t="s">
        <v>5359</v>
      </c>
      <c r="B1261" s="10" t="n">
        <v>45821</v>
      </c>
      <c r="C1261" s="7" t="s">
        <v>2701</v>
      </c>
      <c r="D1261" s="7" t="s">
        <v>3971</v>
      </c>
      <c r="E1261" s="7" t="s">
        <v>126</v>
      </c>
      <c r="F1261" s="7" t="s">
        <v>101</v>
      </c>
      <c r="G1261" s="7" t="s">
        <v>105</v>
      </c>
      <c r="H1261" s="7" t="n">
        <v>1</v>
      </c>
      <c r="I1261" s="11" t="n">
        <v>200</v>
      </c>
      <c r="J1261" s="11" t="n">
        <v>80</v>
      </c>
      <c r="K1261" s="11" t="n">
        <f aca="false">H1261*I1261-J1261</f>
        <v>120</v>
      </c>
      <c r="L1261" s="7" t="s">
        <v>121</v>
      </c>
      <c r="M1261" s="7" t="s">
        <v>194</v>
      </c>
      <c r="N1261" s="7" t="n">
        <v>40</v>
      </c>
      <c r="O1261" s="7" t="n">
        <v>5</v>
      </c>
    </row>
    <row r="1262" customFormat="false" ht="15" hidden="false" customHeight="false" outlineLevel="0" collapsed="false">
      <c r="A1262" s="7" t="s">
        <v>2444</v>
      </c>
      <c r="B1262" s="10" t="n">
        <v>45821</v>
      </c>
      <c r="C1262" s="7" t="s">
        <v>2445</v>
      </c>
      <c r="D1262" s="7" t="s">
        <v>2446</v>
      </c>
      <c r="E1262" s="7" t="s">
        <v>144</v>
      </c>
      <c r="F1262" s="7" t="s">
        <v>119</v>
      </c>
      <c r="G1262" s="7" t="s">
        <v>99</v>
      </c>
      <c r="H1262" s="7" t="n">
        <v>1</v>
      </c>
      <c r="I1262" s="11" t="n">
        <v>305</v>
      </c>
      <c r="J1262" s="11" t="n">
        <v>122</v>
      </c>
      <c r="K1262" s="11" t="n">
        <f aca="false">H1262*I1262-J1262</f>
        <v>183</v>
      </c>
      <c r="L1262" s="7" t="s">
        <v>112</v>
      </c>
      <c r="M1262" s="7" t="s">
        <v>194</v>
      </c>
      <c r="N1262" s="7" t="n">
        <v>42</v>
      </c>
      <c r="O1262" s="7" t="n">
        <v>4</v>
      </c>
    </row>
    <row r="1263" customFormat="false" ht="15" hidden="false" customHeight="false" outlineLevel="0" collapsed="false">
      <c r="A1263" s="7" t="s">
        <v>3571</v>
      </c>
      <c r="B1263" s="10" t="n">
        <v>45821</v>
      </c>
      <c r="C1263" s="7" t="s">
        <v>3573</v>
      </c>
      <c r="D1263" s="7" t="s">
        <v>1678</v>
      </c>
      <c r="E1263" s="7" t="s">
        <v>151</v>
      </c>
      <c r="F1263" s="7" t="s">
        <v>128</v>
      </c>
      <c r="G1263" s="7" t="s">
        <v>95</v>
      </c>
      <c r="H1263" s="7" t="n">
        <v>4</v>
      </c>
      <c r="I1263" s="11" t="n">
        <v>195</v>
      </c>
      <c r="J1263" s="11" t="n">
        <v>0</v>
      </c>
      <c r="K1263" s="11" t="n">
        <f aca="false">H1263*I1263-J1263</f>
        <v>780</v>
      </c>
      <c r="L1263" s="7" t="s">
        <v>133</v>
      </c>
      <c r="M1263" s="7" t="s">
        <v>194</v>
      </c>
      <c r="N1263" s="7" t="n">
        <v>21</v>
      </c>
      <c r="O1263" s="7" t="n">
        <v>5</v>
      </c>
    </row>
    <row r="1264" customFormat="false" ht="15" hidden="false" customHeight="false" outlineLevel="0" collapsed="false">
      <c r="A1264" s="7" t="s">
        <v>4522</v>
      </c>
      <c r="B1264" s="10" t="n">
        <v>45821</v>
      </c>
      <c r="C1264" s="7" t="s">
        <v>2860</v>
      </c>
      <c r="D1264" s="7" t="s">
        <v>1954</v>
      </c>
      <c r="E1264" s="7" t="s">
        <v>94</v>
      </c>
      <c r="F1264" s="7" t="s">
        <v>86</v>
      </c>
      <c r="G1264" s="7" t="s">
        <v>95</v>
      </c>
      <c r="H1264" s="7" t="n">
        <v>1</v>
      </c>
      <c r="I1264" s="11" t="n">
        <v>110</v>
      </c>
      <c r="J1264" s="11" t="n">
        <v>44</v>
      </c>
      <c r="K1264" s="11" t="n">
        <f aca="false">H1264*I1264-J1264</f>
        <v>66</v>
      </c>
      <c r="L1264" s="7" t="s">
        <v>112</v>
      </c>
      <c r="M1264" s="7" t="s">
        <v>194</v>
      </c>
      <c r="N1264" s="7" t="n">
        <v>44</v>
      </c>
      <c r="O1264" s="7" t="n">
        <v>4</v>
      </c>
    </row>
    <row r="1265" customFormat="false" ht="15" hidden="false" customHeight="false" outlineLevel="0" collapsed="false">
      <c r="A1265" s="7" t="s">
        <v>5772</v>
      </c>
      <c r="B1265" s="10" t="n">
        <v>45822</v>
      </c>
      <c r="C1265" s="7" t="s">
        <v>992</v>
      </c>
      <c r="D1265" s="7" t="s">
        <v>900</v>
      </c>
      <c r="E1265" s="7" t="s">
        <v>160</v>
      </c>
      <c r="F1265" s="7" t="s">
        <v>136</v>
      </c>
      <c r="G1265" s="7" t="s">
        <v>150</v>
      </c>
      <c r="H1265" s="7" t="n">
        <v>1</v>
      </c>
      <c r="I1265" s="11" t="n">
        <v>160</v>
      </c>
      <c r="J1265" s="11" t="n">
        <v>20</v>
      </c>
      <c r="K1265" s="11" t="n">
        <f aca="false">H1265*I1265-J1265</f>
        <v>140</v>
      </c>
      <c r="L1265" s="7" t="s">
        <v>93</v>
      </c>
      <c r="M1265" s="7" t="s">
        <v>194</v>
      </c>
      <c r="N1265" s="7" t="n">
        <v>20</v>
      </c>
      <c r="O1265" s="7" t="n">
        <v>5</v>
      </c>
    </row>
    <row r="1266" customFormat="false" ht="15" hidden="false" customHeight="false" outlineLevel="0" collapsed="false">
      <c r="A1266" s="7" t="s">
        <v>5134</v>
      </c>
      <c r="B1266" s="10" t="n">
        <v>45822</v>
      </c>
      <c r="C1266" s="7" t="s">
        <v>577</v>
      </c>
      <c r="D1266" s="7" t="s">
        <v>4464</v>
      </c>
      <c r="E1266" s="7" t="s">
        <v>122</v>
      </c>
      <c r="F1266" s="7" t="s">
        <v>101</v>
      </c>
      <c r="G1266" s="7" t="s">
        <v>123</v>
      </c>
      <c r="H1266" s="7" t="n">
        <v>3</v>
      </c>
      <c r="I1266" s="11" t="n">
        <v>275</v>
      </c>
      <c r="J1266" s="11" t="n">
        <v>50</v>
      </c>
      <c r="K1266" s="11" t="n">
        <f aca="false">H1266*I1266-J1266</f>
        <v>775</v>
      </c>
      <c r="L1266" s="7" t="s">
        <v>88</v>
      </c>
      <c r="M1266" s="7" t="s">
        <v>194</v>
      </c>
      <c r="N1266" s="7" t="n">
        <v>33</v>
      </c>
      <c r="O1266" s="7" t="n">
        <v>4</v>
      </c>
    </row>
    <row r="1267" customFormat="false" ht="15" hidden="false" customHeight="false" outlineLevel="0" collapsed="false">
      <c r="A1267" s="7" t="s">
        <v>2675</v>
      </c>
      <c r="B1267" s="10" t="n">
        <v>45822</v>
      </c>
      <c r="C1267" s="7" t="s">
        <v>2676</v>
      </c>
      <c r="D1267" s="7" t="s">
        <v>2677</v>
      </c>
      <c r="E1267" s="7" t="s">
        <v>160</v>
      </c>
      <c r="F1267" s="7" t="s">
        <v>136</v>
      </c>
      <c r="G1267" s="7" t="s">
        <v>150</v>
      </c>
      <c r="H1267" s="7" t="n">
        <v>5</v>
      </c>
      <c r="I1267" s="11" t="n">
        <v>170</v>
      </c>
      <c r="J1267" s="11" t="n">
        <v>40</v>
      </c>
      <c r="K1267" s="11" t="n">
        <f aca="false">H1267*I1267-J1267</f>
        <v>810</v>
      </c>
      <c r="L1267" s="7" t="s">
        <v>112</v>
      </c>
      <c r="M1267" s="7" t="s">
        <v>194</v>
      </c>
      <c r="N1267" s="7" t="n">
        <v>34</v>
      </c>
      <c r="O1267" s="7" t="n">
        <v>3</v>
      </c>
    </row>
    <row r="1268" customFormat="false" ht="15" hidden="false" customHeight="false" outlineLevel="0" collapsed="false">
      <c r="A1268" s="7" t="s">
        <v>3382</v>
      </c>
      <c r="B1268" s="10" t="n">
        <v>45822</v>
      </c>
      <c r="C1268" s="7" t="s">
        <v>3383</v>
      </c>
      <c r="D1268" s="7" t="s">
        <v>3384</v>
      </c>
      <c r="E1268" s="7" t="s">
        <v>94</v>
      </c>
      <c r="F1268" s="7" t="s">
        <v>86</v>
      </c>
      <c r="G1268" s="7" t="s">
        <v>95</v>
      </c>
      <c r="H1268" s="7" t="n">
        <v>3</v>
      </c>
      <c r="I1268" s="11" t="n">
        <v>135</v>
      </c>
      <c r="J1268" s="11" t="n">
        <v>0</v>
      </c>
      <c r="K1268" s="11" t="n">
        <f aca="false">H1268*I1268-J1268</f>
        <v>405</v>
      </c>
      <c r="L1268" s="7" t="s">
        <v>88</v>
      </c>
      <c r="M1268" s="7" t="s">
        <v>194</v>
      </c>
      <c r="N1268" s="7" t="n">
        <v>45</v>
      </c>
      <c r="O1268" s="7" t="n">
        <v>3</v>
      </c>
    </row>
    <row r="1269" customFormat="false" ht="15" hidden="false" customHeight="false" outlineLevel="0" collapsed="false">
      <c r="A1269" s="7" t="s">
        <v>2213</v>
      </c>
      <c r="B1269" s="10" t="n">
        <v>45822</v>
      </c>
      <c r="C1269" s="7" t="s">
        <v>1387</v>
      </c>
      <c r="D1269" s="7" t="s">
        <v>2215</v>
      </c>
      <c r="E1269" s="7" t="s">
        <v>94</v>
      </c>
      <c r="F1269" s="7" t="s">
        <v>86</v>
      </c>
      <c r="G1269" s="7" t="s">
        <v>95</v>
      </c>
      <c r="H1269" s="7" t="n">
        <v>1</v>
      </c>
      <c r="I1269" s="11" t="n">
        <v>140</v>
      </c>
      <c r="J1269" s="11" t="n">
        <v>0</v>
      </c>
      <c r="K1269" s="11" t="n">
        <f aca="false">H1269*I1269-J1269</f>
        <v>140</v>
      </c>
      <c r="L1269" s="7" t="s">
        <v>88</v>
      </c>
      <c r="M1269" s="7" t="s">
        <v>194</v>
      </c>
      <c r="N1269" s="7" t="n">
        <v>54</v>
      </c>
      <c r="O1269" s="7" t="n">
        <v>3</v>
      </c>
    </row>
    <row r="1270" customFormat="false" ht="15" hidden="false" customHeight="false" outlineLevel="0" collapsed="false">
      <c r="A1270" s="7" t="s">
        <v>1174</v>
      </c>
      <c r="B1270" s="10" t="n">
        <v>45823</v>
      </c>
      <c r="C1270" s="7" t="s">
        <v>606</v>
      </c>
      <c r="D1270" s="7" t="s">
        <v>1176</v>
      </c>
      <c r="E1270" s="7" t="s">
        <v>159</v>
      </c>
      <c r="F1270" s="7" t="s">
        <v>136</v>
      </c>
      <c r="G1270" s="7" t="s">
        <v>90</v>
      </c>
      <c r="H1270" s="7" t="n">
        <v>2</v>
      </c>
      <c r="I1270" s="11" t="n">
        <v>275</v>
      </c>
      <c r="J1270" s="11" t="n">
        <v>30</v>
      </c>
      <c r="K1270" s="11" t="n">
        <f aca="false">H1270*I1270-J1270</f>
        <v>520</v>
      </c>
      <c r="L1270" s="7" t="s">
        <v>112</v>
      </c>
      <c r="M1270" s="7" t="s">
        <v>194</v>
      </c>
      <c r="N1270" s="7" t="n">
        <v>28</v>
      </c>
      <c r="O1270" s="7" t="n">
        <v>3</v>
      </c>
    </row>
    <row r="1271" customFormat="false" ht="15" hidden="false" customHeight="false" outlineLevel="0" collapsed="false">
      <c r="A1271" s="7" t="s">
        <v>5296</v>
      </c>
      <c r="B1271" s="10" t="n">
        <v>45823</v>
      </c>
      <c r="C1271" s="7" t="s">
        <v>3952</v>
      </c>
      <c r="D1271" s="7" t="s">
        <v>1678</v>
      </c>
      <c r="E1271" s="7" t="s">
        <v>142</v>
      </c>
      <c r="F1271" s="7" t="s">
        <v>110</v>
      </c>
      <c r="G1271" s="7" t="s">
        <v>105</v>
      </c>
      <c r="H1271" s="7" t="n">
        <v>1</v>
      </c>
      <c r="I1271" s="11" t="n">
        <v>160</v>
      </c>
      <c r="J1271" s="11" t="n">
        <v>0</v>
      </c>
      <c r="K1271" s="11" t="n">
        <f aca="false">H1271*I1271-J1271</f>
        <v>160</v>
      </c>
      <c r="L1271" s="7" t="s">
        <v>93</v>
      </c>
      <c r="M1271" s="7" t="s">
        <v>194</v>
      </c>
      <c r="N1271" s="7" t="n">
        <v>43</v>
      </c>
      <c r="O1271" s="7"/>
    </row>
    <row r="1272" customFormat="false" ht="15" hidden="false" customHeight="false" outlineLevel="0" collapsed="false">
      <c r="A1272" s="7" t="s">
        <v>4047</v>
      </c>
      <c r="B1272" s="10" t="n">
        <v>45823</v>
      </c>
      <c r="C1272" s="7" t="s">
        <v>310</v>
      </c>
      <c r="D1272" s="7" t="s">
        <v>1524</v>
      </c>
      <c r="E1272" s="7" t="s">
        <v>126</v>
      </c>
      <c r="F1272" s="7" t="s">
        <v>101</v>
      </c>
      <c r="G1272" s="7" t="s">
        <v>105</v>
      </c>
      <c r="H1272" s="7" t="n">
        <v>2</v>
      </c>
      <c r="I1272" s="11" t="n">
        <v>250</v>
      </c>
      <c r="J1272" s="11" t="n">
        <v>0</v>
      </c>
      <c r="K1272" s="11" t="n">
        <f aca="false">H1272*I1272-J1272</f>
        <v>500</v>
      </c>
      <c r="L1272" s="7" t="s">
        <v>103</v>
      </c>
      <c r="M1272" s="7" t="s">
        <v>194</v>
      </c>
      <c r="N1272" s="7" t="n">
        <v>44</v>
      </c>
      <c r="O1272" s="7" t="n">
        <v>4</v>
      </c>
    </row>
    <row r="1273" customFormat="false" ht="15" hidden="false" customHeight="false" outlineLevel="0" collapsed="false">
      <c r="A1273" s="7" t="s">
        <v>2078</v>
      </c>
      <c r="B1273" s="10" t="n">
        <v>45823</v>
      </c>
      <c r="C1273" s="7" t="s">
        <v>2080</v>
      </c>
      <c r="D1273" s="7" t="s">
        <v>2081</v>
      </c>
      <c r="E1273" s="7" t="s">
        <v>98</v>
      </c>
      <c r="F1273" s="7" t="s">
        <v>86</v>
      </c>
      <c r="G1273" s="7" t="s">
        <v>99</v>
      </c>
      <c r="H1273" s="7" t="n">
        <v>1</v>
      </c>
      <c r="I1273" s="11" t="n">
        <v>335</v>
      </c>
      <c r="J1273" s="11" t="n">
        <v>0</v>
      </c>
      <c r="K1273" s="11" t="n">
        <f aca="false">H1273*I1273-J1273</f>
        <v>335</v>
      </c>
      <c r="L1273" s="7" t="s">
        <v>88</v>
      </c>
      <c r="M1273" s="7" t="s">
        <v>194</v>
      </c>
      <c r="N1273" s="7" t="n">
        <v>56</v>
      </c>
      <c r="O1273" s="7" t="n">
        <v>4</v>
      </c>
    </row>
    <row r="1274" customFormat="false" ht="15" hidden="false" customHeight="false" outlineLevel="0" collapsed="false">
      <c r="A1274" s="7" t="s">
        <v>3477</v>
      </c>
      <c r="B1274" s="10" t="n">
        <v>45823</v>
      </c>
      <c r="C1274" s="7" t="s">
        <v>801</v>
      </c>
      <c r="D1274" s="7" t="s">
        <v>3479</v>
      </c>
      <c r="E1274" s="7" t="s">
        <v>126</v>
      </c>
      <c r="F1274" s="7" t="s">
        <v>101</v>
      </c>
      <c r="G1274" s="7" t="s">
        <v>105</v>
      </c>
      <c r="H1274" s="7" t="n">
        <v>1</v>
      </c>
      <c r="I1274" s="11" t="n">
        <v>195</v>
      </c>
      <c r="J1274" s="11" t="n">
        <v>78</v>
      </c>
      <c r="K1274" s="11" t="n">
        <f aca="false">H1274*I1274-J1274</f>
        <v>117</v>
      </c>
      <c r="L1274" s="7" t="s">
        <v>88</v>
      </c>
      <c r="M1274" s="7" t="s">
        <v>194</v>
      </c>
      <c r="N1274" s="7" t="n">
        <v>37</v>
      </c>
      <c r="O1274" s="7" t="n">
        <v>4</v>
      </c>
    </row>
    <row r="1275" customFormat="false" ht="15" hidden="false" customHeight="false" outlineLevel="0" collapsed="false">
      <c r="A1275" s="7" t="s">
        <v>5749</v>
      </c>
      <c r="B1275" s="10" t="n">
        <v>45824</v>
      </c>
      <c r="C1275" s="7" t="s">
        <v>428</v>
      </c>
      <c r="D1275" s="7" t="s">
        <v>1774</v>
      </c>
      <c r="E1275" s="7" t="s">
        <v>134</v>
      </c>
      <c r="F1275" s="7" t="s">
        <v>110</v>
      </c>
      <c r="G1275" s="7" t="s">
        <v>117</v>
      </c>
      <c r="H1275" s="7" t="n">
        <v>2</v>
      </c>
      <c r="I1275" s="11" t="n">
        <v>90</v>
      </c>
      <c r="J1275" s="11" t="n">
        <v>0</v>
      </c>
      <c r="K1275" s="11" t="n">
        <f aca="false">H1275*I1275-J1275</f>
        <v>180</v>
      </c>
      <c r="L1275" s="7" t="s">
        <v>88</v>
      </c>
      <c r="M1275" s="7" t="s">
        <v>194</v>
      </c>
      <c r="N1275" s="7" t="n">
        <v>31</v>
      </c>
      <c r="O1275" s="7" t="n">
        <v>3</v>
      </c>
    </row>
    <row r="1276" customFormat="false" ht="15" hidden="false" customHeight="false" outlineLevel="0" collapsed="false">
      <c r="A1276" s="7" t="s">
        <v>5828</v>
      </c>
      <c r="B1276" s="10" t="n">
        <v>45824</v>
      </c>
      <c r="C1276" s="7" t="s">
        <v>634</v>
      </c>
      <c r="D1276" s="7" t="s">
        <v>1042</v>
      </c>
      <c r="E1276" s="7" t="s">
        <v>159</v>
      </c>
      <c r="F1276" s="7" t="s">
        <v>136</v>
      </c>
      <c r="G1276" s="7" t="s">
        <v>90</v>
      </c>
      <c r="H1276" s="7" t="n">
        <v>2</v>
      </c>
      <c r="I1276" s="11" t="n">
        <v>240</v>
      </c>
      <c r="J1276" s="11" t="n">
        <v>0</v>
      </c>
      <c r="K1276" s="11" t="n">
        <f aca="false">H1276*I1276-J1276</f>
        <v>480</v>
      </c>
      <c r="L1276" s="7" t="s">
        <v>103</v>
      </c>
      <c r="M1276" s="7" t="s">
        <v>194</v>
      </c>
      <c r="N1276" s="7" t="n">
        <v>30</v>
      </c>
      <c r="O1276" s="7" t="n">
        <v>4</v>
      </c>
    </row>
    <row r="1277" customFormat="false" ht="15" hidden="false" customHeight="false" outlineLevel="0" collapsed="false">
      <c r="A1277" s="7" t="s">
        <v>4043</v>
      </c>
      <c r="B1277" s="10" t="n">
        <v>45824</v>
      </c>
      <c r="C1277" s="7" t="s">
        <v>2145</v>
      </c>
      <c r="D1277" s="7" t="s">
        <v>2464</v>
      </c>
      <c r="E1277" s="7" t="s">
        <v>138</v>
      </c>
      <c r="F1277" s="7" t="s">
        <v>110</v>
      </c>
      <c r="G1277" s="7" t="s">
        <v>139</v>
      </c>
      <c r="H1277" s="7" t="n">
        <v>1</v>
      </c>
      <c r="I1277" s="11" t="n">
        <v>235</v>
      </c>
      <c r="J1277" s="11" t="n">
        <v>0</v>
      </c>
      <c r="K1277" s="11" t="n">
        <f aca="false">H1277*I1277-J1277</f>
        <v>235</v>
      </c>
      <c r="L1277" s="7" t="s">
        <v>93</v>
      </c>
      <c r="M1277" s="7" t="s">
        <v>194</v>
      </c>
      <c r="N1277" s="7" t="n">
        <v>31</v>
      </c>
      <c r="O1277" s="7" t="n">
        <v>3</v>
      </c>
    </row>
    <row r="1278" customFormat="false" ht="15" hidden="false" customHeight="false" outlineLevel="0" collapsed="false">
      <c r="A1278" s="7" t="s">
        <v>2330</v>
      </c>
      <c r="B1278" s="10" t="n">
        <v>45824</v>
      </c>
      <c r="C1278" s="7" t="s">
        <v>1263</v>
      </c>
      <c r="D1278" s="7" t="s">
        <v>2331</v>
      </c>
      <c r="E1278" s="7" t="s">
        <v>130</v>
      </c>
      <c r="F1278" s="7" t="s">
        <v>110</v>
      </c>
      <c r="G1278" s="7" t="s">
        <v>90</v>
      </c>
      <c r="H1278" s="7" t="n">
        <v>4</v>
      </c>
      <c r="I1278" s="11" t="n">
        <v>250</v>
      </c>
      <c r="J1278" s="11" t="n">
        <v>50</v>
      </c>
      <c r="K1278" s="11" t="n">
        <f aca="false">H1278*I1278-J1278</f>
        <v>950</v>
      </c>
      <c r="L1278" s="7" t="s">
        <v>93</v>
      </c>
      <c r="M1278" s="7" t="s">
        <v>194</v>
      </c>
      <c r="N1278" s="7" t="n">
        <v>49</v>
      </c>
      <c r="O1278" s="7" t="n">
        <v>4</v>
      </c>
    </row>
    <row r="1279" customFormat="false" ht="15" hidden="false" customHeight="false" outlineLevel="0" collapsed="false">
      <c r="A1279" s="7" t="s">
        <v>1975</v>
      </c>
      <c r="B1279" s="10" t="n">
        <v>45824</v>
      </c>
      <c r="C1279" s="7" t="s">
        <v>1607</v>
      </c>
      <c r="D1279" s="7" t="s">
        <v>1977</v>
      </c>
      <c r="E1279" s="7" t="s">
        <v>113</v>
      </c>
      <c r="F1279" s="7" t="s">
        <v>101</v>
      </c>
      <c r="G1279" s="7" t="s">
        <v>90</v>
      </c>
      <c r="H1279" s="7" t="n">
        <v>3</v>
      </c>
      <c r="I1279" s="11" t="n">
        <v>260</v>
      </c>
      <c r="J1279" s="11" t="n">
        <v>0</v>
      </c>
      <c r="K1279" s="11" t="n">
        <f aca="false">H1279*I1279-J1279</f>
        <v>780</v>
      </c>
      <c r="L1279" s="7" t="s">
        <v>6170</v>
      </c>
      <c r="M1279" s="7" t="s">
        <v>194</v>
      </c>
      <c r="N1279" s="7" t="n">
        <v>37</v>
      </c>
      <c r="O1279" s="7" t="n">
        <v>2</v>
      </c>
    </row>
    <row r="1280" customFormat="false" ht="15" hidden="false" customHeight="false" outlineLevel="0" collapsed="false">
      <c r="A1280" s="7" t="s">
        <v>4743</v>
      </c>
      <c r="B1280" s="10" t="n">
        <v>45825</v>
      </c>
      <c r="C1280" s="7" t="s">
        <v>1741</v>
      </c>
      <c r="D1280" s="7" t="s">
        <v>2697</v>
      </c>
      <c r="E1280" s="7" t="s">
        <v>94</v>
      </c>
      <c r="F1280" s="7" t="s">
        <v>86</v>
      </c>
      <c r="G1280" s="7" t="s">
        <v>95</v>
      </c>
      <c r="H1280" s="7" t="n">
        <v>1</v>
      </c>
      <c r="I1280" s="11" t="n">
        <v>130</v>
      </c>
      <c r="J1280" s="11" t="n">
        <v>0</v>
      </c>
      <c r="K1280" s="11" t="n">
        <f aca="false">H1280*I1280-J1280</f>
        <v>130</v>
      </c>
      <c r="L1280" s="7" t="s">
        <v>88</v>
      </c>
      <c r="M1280" s="7" t="s">
        <v>194</v>
      </c>
      <c r="N1280" s="7" t="n">
        <v>47</v>
      </c>
      <c r="O1280" s="7" t="n">
        <v>5</v>
      </c>
    </row>
    <row r="1281" customFormat="false" ht="15" hidden="false" customHeight="false" outlineLevel="0" collapsed="false">
      <c r="A1281" s="7" t="s">
        <v>2930</v>
      </c>
      <c r="B1281" s="10" t="n">
        <v>45825</v>
      </c>
      <c r="C1281" s="7" t="s">
        <v>2932</v>
      </c>
      <c r="D1281" s="7" t="s">
        <v>1055</v>
      </c>
      <c r="E1281" s="7" t="s">
        <v>89</v>
      </c>
      <c r="F1281" s="7" t="s">
        <v>86</v>
      </c>
      <c r="G1281" s="7" t="s">
        <v>90</v>
      </c>
      <c r="H1281" s="7" t="n">
        <v>1</v>
      </c>
      <c r="I1281" s="11" t="n">
        <v>265</v>
      </c>
      <c r="J1281" s="11" t="n">
        <v>0</v>
      </c>
      <c r="K1281" s="11" t="n">
        <f aca="false">H1281*I1281-J1281</f>
        <v>265</v>
      </c>
      <c r="L1281" s="7" t="s">
        <v>88</v>
      </c>
      <c r="M1281" s="7" t="s">
        <v>194</v>
      </c>
      <c r="N1281" s="7" t="n">
        <v>28</v>
      </c>
      <c r="O1281" s="7" t="n">
        <v>5</v>
      </c>
    </row>
    <row r="1282" customFormat="false" ht="15" hidden="false" customHeight="false" outlineLevel="0" collapsed="false">
      <c r="A1282" s="7" t="s">
        <v>1744</v>
      </c>
      <c r="B1282" s="10" t="n">
        <v>45826</v>
      </c>
      <c r="C1282" s="7" t="s">
        <v>1745</v>
      </c>
      <c r="D1282" s="7" t="s">
        <v>1122</v>
      </c>
      <c r="E1282" s="7" t="s">
        <v>126</v>
      </c>
      <c r="F1282" s="7" t="s">
        <v>101</v>
      </c>
      <c r="G1282" s="7" t="s">
        <v>105</v>
      </c>
      <c r="H1282" s="7" t="n">
        <v>3</v>
      </c>
      <c r="I1282" s="11" t="n">
        <v>220</v>
      </c>
      <c r="J1282" s="11" t="n">
        <v>0</v>
      </c>
      <c r="K1282" s="11" t="n">
        <f aca="false">H1282*I1282-J1282</f>
        <v>660</v>
      </c>
      <c r="L1282" s="7" t="s">
        <v>88</v>
      </c>
      <c r="M1282" s="7" t="s">
        <v>194</v>
      </c>
      <c r="N1282" s="7" t="n">
        <v>35</v>
      </c>
      <c r="O1282" s="7" t="n">
        <v>3</v>
      </c>
    </row>
    <row r="1283" customFormat="false" ht="15" hidden="false" customHeight="false" outlineLevel="0" collapsed="false">
      <c r="A1283" s="7" t="s">
        <v>4628</v>
      </c>
      <c r="B1283" s="10" t="n">
        <v>45826</v>
      </c>
      <c r="C1283" s="7" t="s">
        <v>1830</v>
      </c>
      <c r="D1283" s="7" t="s">
        <v>4630</v>
      </c>
      <c r="E1283" s="7" t="s">
        <v>138</v>
      </c>
      <c r="F1283" s="7" t="s">
        <v>110</v>
      </c>
      <c r="G1283" s="7" t="s">
        <v>139</v>
      </c>
      <c r="H1283" s="7" t="n">
        <v>1</v>
      </c>
      <c r="I1283" s="11" t="n">
        <v>225</v>
      </c>
      <c r="J1283" s="11" t="n">
        <v>30</v>
      </c>
      <c r="K1283" s="11" t="n">
        <f aca="false">H1283*I1283-J1283</f>
        <v>195</v>
      </c>
      <c r="L1283" s="7" t="s">
        <v>121</v>
      </c>
      <c r="M1283" s="7" t="s">
        <v>194</v>
      </c>
      <c r="N1283" s="7" t="n">
        <v>35</v>
      </c>
      <c r="O1283" s="7" t="n">
        <v>4</v>
      </c>
    </row>
    <row r="1284" customFormat="false" ht="15" hidden="false" customHeight="false" outlineLevel="0" collapsed="false">
      <c r="A1284" s="7" t="s">
        <v>656</v>
      </c>
      <c r="B1284" s="10" t="n">
        <v>45826</v>
      </c>
      <c r="C1284" s="7" t="s">
        <v>478</v>
      </c>
      <c r="D1284" s="7" t="s">
        <v>658</v>
      </c>
      <c r="E1284" s="7" t="s">
        <v>154</v>
      </c>
      <c r="F1284" s="7" t="s">
        <v>128</v>
      </c>
      <c r="G1284" s="7" t="s">
        <v>99</v>
      </c>
      <c r="H1284" s="7" t="n">
        <v>1</v>
      </c>
      <c r="I1284" s="11" t="n">
        <v>290</v>
      </c>
      <c r="J1284" s="11" t="n">
        <v>0</v>
      </c>
      <c r="K1284" s="11" t="n">
        <f aca="false">H1284*I1284-J1284</f>
        <v>290</v>
      </c>
      <c r="L1284" s="7" t="s">
        <v>93</v>
      </c>
      <c r="M1284" s="7" t="s">
        <v>194</v>
      </c>
      <c r="N1284" s="7" t="n">
        <v>35</v>
      </c>
      <c r="O1284" s="7" t="n">
        <v>3</v>
      </c>
    </row>
    <row r="1285" customFormat="false" ht="15" hidden="false" customHeight="false" outlineLevel="0" collapsed="false">
      <c r="A1285" s="7" t="s">
        <v>4437</v>
      </c>
      <c r="B1285" s="10" t="n">
        <v>45827</v>
      </c>
      <c r="C1285" s="7" t="s">
        <v>2051</v>
      </c>
      <c r="D1285" s="7" t="s">
        <v>4438</v>
      </c>
      <c r="E1285" s="7" t="s">
        <v>94</v>
      </c>
      <c r="F1285" s="7" t="s">
        <v>86</v>
      </c>
      <c r="G1285" s="7" t="s">
        <v>95</v>
      </c>
      <c r="H1285" s="7" t="n">
        <v>1</v>
      </c>
      <c r="I1285" s="11" t="n">
        <v>135</v>
      </c>
      <c r="J1285" s="11" t="n">
        <v>0</v>
      </c>
      <c r="K1285" s="11" t="n">
        <f aca="false">H1285*I1285-J1285</f>
        <v>135</v>
      </c>
      <c r="L1285" s="7" t="s">
        <v>133</v>
      </c>
      <c r="M1285" s="7" t="s">
        <v>194</v>
      </c>
      <c r="N1285" s="7" t="n">
        <v>34</v>
      </c>
      <c r="O1285" s="7" t="n">
        <v>5</v>
      </c>
    </row>
    <row r="1286" customFormat="false" ht="15" hidden="false" customHeight="false" outlineLevel="0" collapsed="false">
      <c r="A1286" s="7" t="s">
        <v>6085</v>
      </c>
      <c r="B1286" s="10" t="n">
        <v>45827</v>
      </c>
      <c r="C1286" s="7" t="s">
        <v>534</v>
      </c>
      <c r="D1286" s="7" t="s">
        <v>4339</v>
      </c>
      <c r="E1286" s="7" t="s">
        <v>151</v>
      </c>
      <c r="F1286" s="7" t="s">
        <v>128</v>
      </c>
      <c r="G1286" s="7" t="s">
        <v>95</v>
      </c>
      <c r="H1286" s="7" t="n">
        <v>2</v>
      </c>
      <c r="I1286" s="11" t="n">
        <v>175</v>
      </c>
      <c r="J1286" s="11" t="n">
        <v>0</v>
      </c>
      <c r="K1286" s="11" t="n">
        <f aca="false">H1286*I1286-J1286</f>
        <v>350</v>
      </c>
      <c r="L1286" s="7" t="s">
        <v>103</v>
      </c>
      <c r="M1286" s="7" t="s">
        <v>194</v>
      </c>
      <c r="N1286" s="7" t="n">
        <v>32</v>
      </c>
      <c r="O1286" s="7" t="n">
        <v>3</v>
      </c>
    </row>
    <row r="1287" customFormat="false" ht="15" hidden="false" customHeight="false" outlineLevel="0" collapsed="false">
      <c r="A1287" s="7" t="s">
        <v>5926</v>
      </c>
      <c r="B1287" s="10" t="n">
        <v>45827</v>
      </c>
      <c r="C1287" s="7" t="s">
        <v>2268</v>
      </c>
      <c r="D1287" s="7" t="s">
        <v>5928</v>
      </c>
      <c r="E1287" s="7" t="s">
        <v>147</v>
      </c>
      <c r="F1287" s="7" t="s">
        <v>119</v>
      </c>
      <c r="G1287" s="7" t="s">
        <v>95</v>
      </c>
      <c r="H1287" s="7" t="n">
        <v>2</v>
      </c>
      <c r="I1287" s="11" t="n">
        <v>160</v>
      </c>
      <c r="J1287" s="11" t="n">
        <v>0</v>
      </c>
      <c r="K1287" s="11" t="n">
        <f aca="false">H1287*I1287-J1287</f>
        <v>320</v>
      </c>
      <c r="L1287" s="7" t="s">
        <v>88</v>
      </c>
      <c r="M1287" s="7" t="s">
        <v>238</v>
      </c>
      <c r="N1287" s="7"/>
      <c r="O1287" s="7"/>
    </row>
    <row r="1288" customFormat="false" ht="15" hidden="false" customHeight="false" outlineLevel="0" collapsed="false">
      <c r="A1288" s="7" t="s">
        <v>313</v>
      </c>
      <c r="B1288" s="10" t="n">
        <v>45827</v>
      </c>
      <c r="C1288" s="7" t="s">
        <v>315</v>
      </c>
      <c r="D1288" s="7" t="s">
        <v>316</v>
      </c>
      <c r="E1288" s="7" t="s">
        <v>159</v>
      </c>
      <c r="F1288" s="7" t="s">
        <v>136</v>
      </c>
      <c r="G1288" s="7" t="s">
        <v>90</v>
      </c>
      <c r="H1288" s="7" t="n">
        <v>1</v>
      </c>
      <c r="I1288" s="11" t="n">
        <v>255</v>
      </c>
      <c r="J1288" s="11" t="n">
        <v>102</v>
      </c>
      <c r="K1288" s="11" t="n">
        <f aca="false">H1288*I1288-J1288</f>
        <v>153</v>
      </c>
      <c r="L1288" s="7" t="s">
        <v>88</v>
      </c>
      <c r="M1288" s="7" t="s">
        <v>194</v>
      </c>
      <c r="N1288" s="7" t="n">
        <v>36</v>
      </c>
      <c r="O1288" s="7" t="n">
        <v>5</v>
      </c>
    </row>
    <row r="1289" customFormat="false" ht="15" hidden="false" customHeight="false" outlineLevel="0" collapsed="false">
      <c r="A1289" s="7" t="s">
        <v>2430</v>
      </c>
      <c r="B1289" s="10" t="n">
        <v>45827</v>
      </c>
      <c r="C1289" s="7" t="s">
        <v>2431</v>
      </c>
      <c r="D1289" s="7" t="s">
        <v>2432</v>
      </c>
      <c r="E1289" s="7" t="s">
        <v>126</v>
      </c>
      <c r="F1289" s="7" t="s">
        <v>101</v>
      </c>
      <c r="G1289" s="7" t="s">
        <v>105</v>
      </c>
      <c r="H1289" s="7" t="n">
        <v>1</v>
      </c>
      <c r="I1289" s="11" t="n">
        <v>235</v>
      </c>
      <c r="J1289" s="11" t="n">
        <v>0</v>
      </c>
      <c r="K1289" s="11" t="n">
        <f aca="false">H1289*I1289-J1289</f>
        <v>235</v>
      </c>
      <c r="L1289" s="7" t="s">
        <v>88</v>
      </c>
      <c r="M1289" s="7" t="s">
        <v>194</v>
      </c>
      <c r="N1289" s="7" t="n">
        <v>26</v>
      </c>
      <c r="O1289" s="7" t="n">
        <v>5</v>
      </c>
    </row>
    <row r="1290" customFormat="false" ht="15" hidden="false" customHeight="false" outlineLevel="0" collapsed="false">
      <c r="A1290" s="7" t="s">
        <v>5674</v>
      </c>
      <c r="B1290" s="10" t="n">
        <v>45827</v>
      </c>
      <c r="C1290" s="7" t="s">
        <v>5675</v>
      </c>
      <c r="D1290" s="7" t="s">
        <v>2677</v>
      </c>
      <c r="E1290" s="7" t="s">
        <v>142</v>
      </c>
      <c r="F1290" s="7" t="s">
        <v>110</v>
      </c>
      <c r="G1290" s="7" t="s">
        <v>105</v>
      </c>
      <c r="H1290" s="7" t="n">
        <v>1</v>
      </c>
      <c r="I1290" s="11" t="n">
        <v>165</v>
      </c>
      <c r="J1290" s="11" t="n">
        <v>0</v>
      </c>
      <c r="K1290" s="11" t="n">
        <f aca="false">H1290*I1290-J1290</f>
        <v>165</v>
      </c>
      <c r="L1290" s="7" t="s">
        <v>93</v>
      </c>
      <c r="M1290" s="7" t="s">
        <v>194</v>
      </c>
      <c r="N1290" s="7" t="n">
        <v>25</v>
      </c>
      <c r="O1290" s="7" t="n">
        <v>5</v>
      </c>
    </row>
    <row r="1291" customFormat="false" ht="15" hidden="false" customHeight="false" outlineLevel="0" collapsed="false">
      <c r="A1291" s="7" t="s">
        <v>1480</v>
      </c>
      <c r="B1291" s="10" t="n">
        <v>45827</v>
      </c>
      <c r="C1291" s="7" t="s">
        <v>1481</v>
      </c>
      <c r="D1291" s="7" t="s">
        <v>1482</v>
      </c>
      <c r="E1291" s="7" t="s">
        <v>147</v>
      </c>
      <c r="F1291" s="7" t="s">
        <v>119</v>
      </c>
      <c r="G1291" s="7" t="s">
        <v>95</v>
      </c>
      <c r="H1291" s="7" t="n">
        <v>2</v>
      </c>
      <c r="I1291" s="11" t="n">
        <v>155</v>
      </c>
      <c r="J1291" s="11" t="n">
        <v>0</v>
      </c>
      <c r="K1291" s="11" t="n">
        <f aca="false">H1291*I1291-J1291</f>
        <v>310</v>
      </c>
      <c r="L1291" s="7" t="s">
        <v>112</v>
      </c>
      <c r="M1291" s="7" t="s">
        <v>194</v>
      </c>
      <c r="N1291" s="7" t="n">
        <v>32</v>
      </c>
      <c r="O1291" s="7" t="n">
        <v>5</v>
      </c>
    </row>
    <row r="1292" customFormat="false" ht="15" hidden="false" customHeight="false" outlineLevel="0" collapsed="false">
      <c r="A1292" s="7" t="s">
        <v>5094</v>
      </c>
      <c r="B1292" s="10" t="n">
        <v>45827</v>
      </c>
      <c r="C1292" s="7" t="s">
        <v>4269</v>
      </c>
      <c r="D1292" s="7" t="s">
        <v>873</v>
      </c>
      <c r="E1292" s="7" t="s">
        <v>134</v>
      </c>
      <c r="F1292" s="7" t="s">
        <v>110</v>
      </c>
      <c r="G1292" s="7" t="s">
        <v>117</v>
      </c>
      <c r="H1292" s="7" t="n">
        <v>1</v>
      </c>
      <c r="I1292" s="11" t="n">
        <v>105</v>
      </c>
      <c r="J1292" s="11" t="n">
        <v>0</v>
      </c>
      <c r="K1292" s="11" t="n">
        <f aca="false">H1292*I1292-J1292</f>
        <v>105</v>
      </c>
      <c r="L1292" s="7" t="s">
        <v>88</v>
      </c>
      <c r="M1292" s="7" t="s">
        <v>194</v>
      </c>
      <c r="N1292" s="7" t="n">
        <v>39</v>
      </c>
      <c r="O1292" s="7" t="n">
        <v>5</v>
      </c>
    </row>
    <row r="1293" customFormat="false" ht="15" hidden="false" customHeight="false" outlineLevel="0" collapsed="false">
      <c r="A1293" s="7" t="s">
        <v>4067</v>
      </c>
      <c r="B1293" s="10" t="n">
        <v>45827</v>
      </c>
      <c r="C1293" s="7" t="s">
        <v>1674</v>
      </c>
      <c r="D1293" s="7" t="s">
        <v>4068</v>
      </c>
      <c r="E1293" s="7" t="s">
        <v>152</v>
      </c>
      <c r="F1293" s="7" t="s">
        <v>128</v>
      </c>
      <c r="G1293" s="7" t="s">
        <v>95</v>
      </c>
      <c r="H1293" s="7" t="n">
        <v>3</v>
      </c>
      <c r="I1293" s="11" t="n">
        <v>110</v>
      </c>
      <c r="J1293" s="11" t="n">
        <v>0</v>
      </c>
      <c r="K1293" s="11" t="n">
        <f aca="false">H1293*I1293-J1293</f>
        <v>330</v>
      </c>
      <c r="L1293" s="7" t="s">
        <v>88</v>
      </c>
      <c r="M1293" s="7" t="s">
        <v>194</v>
      </c>
      <c r="N1293" s="7" t="n">
        <v>31</v>
      </c>
      <c r="O1293" s="7" t="n">
        <v>5</v>
      </c>
    </row>
    <row r="1294" customFormat="false" ht="15" hidden="false" customHeight="false" outlineLevel="0" collapsed="false">
      <c r="A1294" s="7" t="s">
        <v>2605</v>
      </c>
      <c r="B1294" s="10" t="n">
        <v>45827</v>
      </c>
      <c r="C1294" s="7" t="s">
        <v>1137</v>
      </c>
      <c r="D1294" s="7" t="s">
        <v>2210</v>
      </c>
      <c r="E1294" s="7" t="s">
        <v>130</v>
      </c>
      <c r="F1294" s="7" t="s">
        <v>110</v>
      </c>
      <c r="G1294" s="7" t="s">
        <v>90</v>
      </c>
      <c r="H1294" s="7" t="n">
        <v>1</v>
      </c>
      <c r="I1294" s="11" t="n">
        <v>275</v>
      </c>
      <c r="J1294" s="11" t="n">
        <v>30</v>
      </c>
      <c r="K1294" s="11" t="n">
        <f aca="false">H1294*I1294-J1294</f>
        <v>245</v>
      </c>
      <c r="L1294" s="7" t="s">
        <v>88</v>
      </c>
      <c r="M1294" s="7" t="s">
        <v>194</v>
      </c>
      <c r="N1294" s="7" t="n">
        <v>39</v>
      </c>
      <c r="O1294" s="7" t="n">
        <v>4</v>
      </c>
    </row>
    <row r="1295" customFormat="false" ht="15" hidden="false" customHeight="false" outlineLevel="0" collapsed="false">
      <c r="A1295" s="7" t="s">
        <v>5246</v>
      </c>
      <c r="B1295" s="10" t="n">
        <v>45827</v>
      </c>
      <c r="C1295" s="7" t="s">
        <v>4540</v>
      </c>
      <c r="D1295" s="7" t="s">
        <v>2459</v>
      </c>
      <c r="E1295" s="7" t="s">
        <v>142</v>
      </c>
      <c r="F1295" s="7" t="s">
        <v>110</v>
      </c>
      <c r="G1295" s="7" t="s">
        <v>105</v>
      </c>
      <c r="H1295" s="7" t="n">
        <v>4</v>
      </c>
      <c r="I1295" s="11" t="n">
        <v>155</v>
      </c>
      <c r="J1295" s="11" t="n">
        <v>125</v>
      </c>
      <c r="K1295" s="11" t="n">
        <f aca="false">H1295*I1295-J1295</f>
        <v>495</v>
      </c>
      <c r="L1295" s="7" t="s">
        <v>93</v>
      </c>
      <c r="M1295" s="7" t="s">
        <v>194</v>
      </c>
      <c r="N1295" s="7" t="n">
        <v>46</v>
      </c>
      <c r="O1295" s="7"/>
    </row>
    <row r="1296" customFormat="false" ht="15" hidden="false" customHeight="false" outlineLevel="0" collapsed="false">
      <c r="A1296" s="7" t="s">
        <v>2766</v>
      </c>
      <c r="B1296" s="10" t="n">
        <v>45827</v>
      </c>
      <c r="C1296" s="7" t="s">
        <v>2767</v>
      </c>
      <c r="D1296" s="7" t="s">
        <v>1579</v>
      </c>
      <c r="E1296" s="7" t="s">
        <v>104</v>
      </c>
      <c r="F1296" s="7" t="s">
        <v>86</v>
      </c>
      <c r="G1296" s="7" t="s">
        <v>105</v>
      </c>
      <c r="H1296" s="7" t="n">
        <v>1</v>
      </c>
      <c r="I1296" s="11" t="n">
        <v>180</v>
      </c>
      <c r="J1296" s="11" t="n">
        <v>72</v>
      </c>
      <c r="K1296" s="11" t="n">
        <f aca="false">H1296*I1296-J1296</f>
        <v>108</v>
      </c>
      <c r="L1296" s="7" t="s">
        <v>112</v>
      </c>
      <c r="M1296" s="7" t="s">
        <v>194</v>
      </c>
      <c r="N1296" s="7" t="n">
        <v>33</v>
      </c>
      <c r="O1296" s="7"/>
    </row>
    <row r="1297" customFormat="false" ht="15" hidden="false" customHeight="false" outlineLevel="0" collapsed="false">
      <c r="A1297" s="7" t="s">
        <v>868</v>
      </c>
      <c r="B1297" s="10" t="n">
        <v>45827</v>
      </c>
      <c r="C1297" s="7" t="s">
        <v>870</v>
      </c>
      <c r="D1297" s="7" t="s">
        <v>701</v>
      </c>
      <c r="E1297" s="7" t="s">
        <v>104</v>
      </c>
      <c r="F1297" s="7" t="s">
        <v>86</v>
      </c>
      <c r="G1297" s="7" t="s">
        <v>105</v>
      </c>
      <c r="H1297" s="7" t="n">
        <v>1</v>
      </c>
      <c r="I1297" s="11" t="n">
        <v>240</v>
      </c>
      <c r="J1297" s="11" t="n">
        <v>0</v>
      </c>
      <c r="K1297" s="11" t="n">
        <f aca="false">H1297*I1297-J1297</f>
        <v>240</v>
      </c>
      <c r="L1297" s="7" t="s">
        <v>121</v>
      </c>
      <c r="M1297" s="7" t="s">
        <v>194</v>
      </c>
      <c r="N1297" s="7" t="n">
        <v>34</v>
      </c>
      <c r="O1297" s="7" t="n">
        <v>2</v>
      </c>
    </row>
    <row r="1298" customFormat="false" ht="15" hidden="false" customHeight="false" outlineLevel="0" collapsed="false">
      <c r="A1298" s="7" t="s">
        <v>3724</v>
      </c>
      <c r="B1298" s="10" t="n">
        <v>45828</v>
      </c>
      <c r="C1298" s="7" t="s">
        <v>3725</v>
      </c>
      <c r="D1298" s="7" t="s">
        <v>1801</v>
      </c>
      <c r="E1298" s="7" t="s">
        <v>94</v>
      </c>
      <c r="F1298" s="7" t="s">
        <v>86</v>
      </c>
      <c r="G1298" s="7" t="s">
        <v>95</v>
      </c>
      <c r="H1298" s="7" t="n">
        <v>1</v>
      </c>
      <c r="I1298" s="11" t="n">
        <v>120</v>
      </c>
      <c r="J1298" s="11" t="n">
        <v>40</v>
      </c>
      <c r="K1298" s="11" t="n">
        <f aca="false">H1298*I1298-J1298</f>
        <v>80</v>
      </c>
      <c r="L1298" s="7" t="s">
        <v>121</v>
      </c>
      <c r="M1298" s="7" t="s">
        <v>194</v>
      </c>
      <c r="N1298" s="7" t="n">
        <v>45</v>
      </c>
      <c r="O1298" s="7" t="n">
        <v>5</v>
      </c>
    </row>
    <row r="1299" customFormat="false" ht="15" hidden="false" customHeight="false" outlineLevel="0" collapsed="false">
      <c r="A1299" s="7" t="s">
        <v>5311</v>
      </c>
      <c r="B1299" s="10" t="n">
        <v>45828</v>
      </c>
      <c r="C1299" s="7" t="s">
        <v>755</v>
      </c>
      <c r="D1299" s="7" t="s">
        <v>2994</v>
      </c>
      <c r="E1299" s="7" t="s">
        <v>138</v>
      </c>
      <c r="F1299" s="7" t="s">
        <v>110</v>
      </c>
      <c r="G1299" s="7" t="s">
        <v>139</v>
      </c>
      <c r="H1299" s="7" t="n">
        <v>5</v>
      </c>
      <c r="I1299" s="11" t="n">
        <v>225</v>
      </c>
      <c r="J1299" s="11" t="n">
        <v>150</v>
      </c>
      <c r="K1299" s="11" t="n">
        <f aca="false">H1299*I1299-J1299</f>
        <v>975</v>
      </c>
      <c r="L1299" s="7" t="s">
        <v>88</v>
      </c>
      <c r="M1299" s="7" t="s">
        <v>194</v>
      </c>
      <c r="N1299" s="7" t="n">
        <v>42</v>
      </c>
      <c r="O1299" s="7" t="n">
        <v>5</v>
      </c>
    </row>
    <row r="1300" customFormat="false" ht="15" hidden="false" customHeight="false" outlineLevel="0" collapsed="false">
      <c r="A1300" s="7" t="s">
        <v>593</v>
      </c>
      <c r="B1300" s="10" t="n">
        <v>45828</v>
      </c>
      <c r="C1300" s="7" t="s">
        <v>595</v>
      </c>
      <c r="D1300" s="7" t="s">
        <v>596</v>
      </c>
      <c r="E1300" s="7" t="s">
        <v>122</v>
      </c>
      <c r="F1300" s="7" t="s">
        <v>101</v>
      </c>
      <c r="G1300" s="7" t="s">
        <v>123</v>
      </c>
      <c r="H1300" s="7" t="n">
        <v>2</v>
      </c>
      <c r="I1300" s="11" t="n">
        <v>360</v>
      </c>
      <c r="J1300" s="11" t="n">
        <v>30</v>
      </c>
      <c r="K1300" s="11" t="n">
        <f aca="false">H1300*I1300-J1300</f>
        <v>690</v>
      </c>
      <c r="L1300" s="7" t="s">
        <v>103</v>
      </c>
      <c r="M1300" s="7" t="s">
        <v>194</v>
      </c>
      <c r="N1300" s="7" t="n">
        <v>42</v>
      </c>
      <c r="O1300" s="7" t="n">
        <v>3</v>
      </c>
    </row>
    <row r="1301" customFormat="false" ht="15" hidden="false" customHeight="false" outlineLevel="0" collapsed="false">
      <c r="A1301" s="7" t="s">
        <v>1007</v>
      </c>
      <c r="B1301" s="10" t="n">
        <v>45828</v>
      </c>
      <c r="C1301" s="7" t="s">
        <v>1008</v>
      </c>
      <c r="D1301" s="7" t="s">
        <v>1009</v>
      </c>
      <c r="E1301" s="7" t="s">
        <v>134</v>
      </c>
      <c r="F1301" s="7" t="s">
        <v>110</v>
      </c>
      <c r="G1301" s="7" t="s">
        <v>117</v>
      </c>
      <c r="H1301" s="7" t="n">
        <v>5</v>
      </c>
      <c r="I1301" s="11" t="n">
        <v>100</v>
      </c>
      <c r="J1301" s="11" t="n">
        <v>50</v>
      </c>
      <c r="K1301" s="11" t="n">
        <f aca="false">H1301*I1301-J1301</f>
        <v>450</v>
      </c>
      <c r="L1301" s="7" t="s">
        <v>88</v>
      </c>
      <c r="M1301" s="7" t="s">
        <v>194</v>
      </c>
      <c r="N1301" s="7" t="n">
        <v>30</v>
      </c>
      <c r="O1301" s="7" t="n">
        <v>5</v>
      </c>
    </row>
    <row r="1302" customFormat="false" ht="15" hidden="false" customHeight="false" outlineLevel="0" collapsed="false">
      <c r="A1302" s="7" t="s">
        <v>4714</v>
      </c>
      <c r="B1302" s="10" t="n">
        <v>45828</v>
      </c>
      <c r="C1302" s="7" t="s">
        <v>4715</v>
      </c>
      <c r="D1302" s="7" t="s">
        <v>2918</v>
      </c>
      <c r="E1302" s="7" t="s">
        <v>148</v>
      </c>
      <c r="F1302" s="7" t="s">
        <v>119</v>
      </c>
      <c r="G1302" s="7" t="s">
        <v>123</v>
      </c>
      <c r="H1302" s="7" t="n">
        <v>2</v>
      </c>
      <c r="I1302" s="11" t="n">
        <v>325</v>
      </c>
      <c r="J1302" s="11" t="n">
        <v>125</v>
      </c>
      <c r="K1302" s="11" t="n">
        <f aca="false">H1302*I1302-J1302</f>
        <v>525</v>
      </c>
      <c r="L1302" s="7" t="s">
        <v>133</v>
      </c>
      <c r="M1302" s="7" t="s">
        <v>194</v>
      </c>
      <c r="N1302" s="7" t="n">
        <v>43</v>
      </c>
      <c r="O1302" s="7"/>
    </row>
    <row r="1303" customFormat="false" ht="15" hidden="false" customHeight="false" outlineLevel="0" collapsed="false">
      <c r="A1303" s="7" t="s">
        <v>3421</v>
      </c>
      <c r="B1303" s="10" t="n">
        <v>45829</v>
      </c>
      <c r="C1303" s="7" t="s">
        <v>3422</v>
      </c>
      <c r="D1303" s="7" t="s">
        <v>3423</v>
      </c>
      <c r="E1303" s="7" t="s">
        <v>138</v>
      </c>
      <c r="F1303" s="7" t="s">
        <v>110</v>
      </c>
      <c r="G1303" s="7" t="s">
        <v>139</v>
      </c>
      <c r="H1303" s="7" t="n">
        <v>1</v>
      </c>
      <c r="I1303" s="11" t="n">
        <v>165</v>
      </c>
      <c r="J1303" s="11" t="n">
        <v>0</v>
      </c>
      <c r="K1303" s="11" t="n">
        <f aca="false">H1303*I1303-J1303</f>
        <v>165</v>
      </c>
      <c r="L1303" s="7" t="s">
        <v>88</v>
      </c>
      <c r="M1303" s="7" t="s">
        <v>194</v>
      </c>
      <c r="N1303" s="7" t="n">
        <v>29</v>
      </c>
      <c r="O1303" s="7" t="n">
        <v>5</v>
      </c>
    </row>
    <row r="1304" customFormat="false" ht="15" hidden="false" customHeight="false" outlineLevel="0" collapsed="false">
      <c r="A1304" s="7" t="s">
        <v>4879</v>
      </c>
      <c r="B1304" s="10" t="n">
        <v>45829</v>
      </c>
      <c r="C1304" s="7" t="s">
        <v>218</v>
      </c>
      <c r="D1304" s="7" t="s">
        <v>1122</v>
      </c>
      <c r="E1304" s="7" t="s">
        <v>149</v>
      </c>
      <c r="F1304" s="7" t="s">
        <v>119</v>
      </c>
      <c r="G1304" s="7" t="s">
        <v>150</v>
      </c>
      <c r="H1304" s="7" t="n">
        <v>2</v>
      </c>
      <c r="I1304" s="11" t="n">
        <v>130</v>
      </c>
      <c r="J1304" s="11" t="n">
        <v>0</v>
      </c>
      <c r="K1304" s="11" t="n">
        <f aca="false">H1304*I1304-J1304</f>
        <v>260</v>
      </c>
      <c r="L1304" s="7" t="s">
        <v>93</v>
      </c>
      <c r="M1304" s="7" t="s">
        <v>194</v>
      </c>
      <c r="N1304" s="7" t="n">
        <v>39</v>
      </c>
      <c r="O1304" s="7"/>
    </row>
    <row r="1305" customFormat="false" ht="15" hidden="false" customHeight="false" outlineLevel="0" collapsed="false">
      <c r="A1305" s="7" t="s">
        <v>4790</v>
      </c>
      <c r="B1305" s="10" t="n">
        <v>45829</v>
      </c>
      <c r="C1305" s="7" t="s">
        <v>2358</v>
      </c>
      <c r="D1305" s="7" t="s">
        <v>2017</v>
      </c>
      <c r="E1305" s="7" t="s">
        <v>158</v>
      </c>
      <c r="F1305" s="7" t="s">
        <v>136</v>
      </c>
      <c r="G1305" s="7" t="s">
        <v>139</v>
      </c>
      <c r="H1305" s="7" t="n">
        <v>1</v>
      </c>
      <c r="I1305" s="11" t="n">
        <v>190</v>
      </c>
      <c r="J1305" s="11" t="n">
        <v>0</v>
      </c>
      <c r="K1305" s="11" t="n">
        <f aca="false">H1305*I1305-J1305</f>
        <v>190</v>
      </c>
      <c r="L1305" s="7" t="s">
        <v>121</v>
      </c>
      <c r="M1305" s="7" t="s">
        <v>194</v>
      </c>
      <c r="N1305" s="7" t="n">
        <v>41</v>
      </c>
      <c r="O1305" s="7" t="n">
        <v>5</v>
      </c>
    </row>
    <row r="1306" customFormat="false" ht="15" hidden="false" customHeight="false" outlineLevel="0" collapsed="false">
      <c r="A1306" s="7" t="s">
        <v>4404</v>
      </c>
      <c r="B1306" s="10" t="n">
        <v>45829</v>
      </c>
      <c r="C1306" s="7" t="s">
        <v>3728</v>
      </c>
      <c r="D1306" s="7" t="s">
        <v>1020</v>
      </c>
      <c r="E1306" s="7" t="s">
        <v>126</v>
      </c>
      <c r="F1306" s="7" t="s">
        <v>101</v>
      </c>
      <c r="G1306" s="7" t="s">
        <v>105</v>
      </c>
      <c r="H1306" s="7" t="n">
        <v>3</v>
      </c>
      <c r="I1306" s="11" t="n">
        <v>205</v>
      </c>
      <c r="J1306" s="11" t="n">
        <v>0</v>
      </c>
      <c r="K1306" s="11" t="n">
        <f aca="false">H1306*I1306-J1306</f>
        <v>615</v>
      </c>
      <c r="L1306" s="7" t="s">
        <v>88</v>
      </c>
      <c r="M1306" s="7" t="s">
        <v>194</v>
      </c>
      <c r="N1306" s="7" t="n">
        <v>44</v>
      </c>
      <c r="O1306" s="7" t="n">
        <v>4</v>
      </c>
    </row>
    <row r="1307" customFormat="false" ht="15" hidden="false" customHeight="false" outlineLevel="0" collapsed="false">
      <c r="A1307" s="7" t="s">
        <v>4435</v>
      </c>
      <c r="B1307" s="10" t="n">
        <v>45829</v>
      </c>
      <c r="C1307" s="7" t="s">
        <v>1219</v>
      </c>
      <c r="D1307" s="7" t="s">
        <v>4436</v>
      </c>
      <c r="E1307" s="7" t="s">
        <v>113</v>
      </c>
      <c r="F1307" s="7" t="s">
        <v>101</v>
      </c>
      <c r="G1307" s="7" t="s">
        <v>90</v>
      </c>
      <c r="H1307" s="7" t="n">
        <v>2</v>
      </c>
      <c r="I1307" s="11" t="n">
        <v>265</v>
      </c>
      <c r="J1307" s="11" t="n">
        <v>30</v>
      </c>
      <c r="K1307" s="11" t="n">
        <f aca="false">H1307*I1307-J1307</f>
        <v>500</v>
      </c>
      <c r="L1307" s="7" t="s">
        <v>93</v>
      </c>
      <c r="M1307" s="7" t="s">
        <v>194</v>
      </c>
      <c r="N1307" s="7" t="n">
        <v>35</v>
      </c>
      <c r="O1307" s="7" t="n">
        <v>5</v>
      </c>
    </row>
    <row r="1308" customFormat="false" ht="15" hidden="false" customHeight="false" outlineLevel="0" collapsed="false">
      <c r="A1308" s="7" t="s">
        <v>3625</v>
      </c>
      <c r="B1308" s="10" t="n">
        <v>45829</v>
      </c>
      <c r="C1308" s="7" t="s">
        <v>2076</v>
      </c>
      <c r="D1308" s="7" t="s">
        <v>3626</v>
      </c>
      <c r="E1308" s="7" t="s">
        <v>168</v>
      </c>
      <c r="F1308" s="7" t="s">
        <v>146</v>
      </c>
      <c r="G1308" s="7" t="s">
        <v>123</v>
      </c>
      <c r="H1308" s="7" t="n">
        <v>3</v>
      </c>
      <c r="I1308" s="11" t="n">
        <v>255</v>
      </c>
      <c r="J1308" s="11" t="n">
        <v>125</v>
      </c>
      <c r="K1308" s="11" t="n">
        <f aca="false">H1308*I1308-J1308</f>
        <v>640</v>
      </c>
      <c r="L1308" s="7" t="s">
        <v>133</v>
      </c>
      <c r="M1308" s="7" t="s">
        <v>194</v>
      </c>
      <c r="N1308" s="7" t="n">
        <v>31</v>
      </c>
      <c r="O1308" s="7" t="n">
        <v>4</v>
      </c>
    </row>
    <row r="1309" customFormat="false" ht="15" hidden="false" customHeight="false" outlineLevel="0" collapsed="false">
      <c r="A1309" s="7" t="s">
        <v>2526</v>
      </c>
      <c r="B1309" s="10" t="n">
        <v>45829</v>
      </c>
      <c r="C1309" s="7" t="s">
        <v>268</v>
      </c>
      <c r="D1309" s="7" t="s">
        <v>2528</v>
      </c>
      <c r="E1309" s="7" t="s">
        <v>130</v>
      </c>
      <c r="F1309" s="7" t="s">
        <v>110</v>
      </c>
      <c r="G1309" s="7" t="s">
        <v>90</v>
      </c>
      <c r="H1309" s="7" t="n">
        <v>2</v>
      </c>
      <c r="I1309" s="11" t="n">
        <v>245</v>
      </c>
      <c r="J1309" s="11" t="n">
        <v>20</v>
      </c>
      <c r="K1309" s="11" t="n">
        <f aca="false">H1309*I1309-J1309</f>
        <v>470</v>
      </c>
      <c r="L1309" s="7" t="s">
        <v>88</v>
      </c>
      <c r="M1309" s="7" t="s">
        <v>194</v>
      </c>
      <c r="N1309" s="7" t="n">
        <v>31</v>
      </c>
      <c r="O1309" s="7" t="n">
        <v>4</v>
      </c>
    </row>
    <row r="1310" customFormat="false" ht="15" hidden="false" customHeight="false" outlineLevel="0" collapsed="false">
      <c r="A1310" s="7" t="s">
        <v>4192</v>
      </c>
      <c r="B1310" s="10" t="n">
        <v>45829</v>
      </c>
      <c r="C1310" s="7" t="s">
        <v>433</v>
      </c>
      <c r="D1310" s="7" t="s">
        <v>1493</v>
      </c>
      <c r="E1310" s="7" t="s">
        <v>154</v>
      </c>
      <c r="F1310" s="7" t="s">
        <v>128</v>
      </c>
      <c r="G1310" s="7" t="s">
        <v>99</v>
      </c>
      <c r="H1310" s="7" t="n">
        <v>2</v>
      </c>
      <c r="I1310" s="11" t="n">
        <v>280</v>
      </c>
      <c r="J1310" s="11" t="n">
        <v>50</v>
      </c>
      <c r="K1310" s="11" t="n">
        <f aca="false">H1310*I1310-J1310</f>
        <v>510</v>
      </c>
      <c r="L1310" s="7" t="s">
        <v>93</v>
      </c>
      <c r="M1310" s="7" t="s">
        <v>194</v>
      </c>
      <c r="N1310" s="7" t="n">
        <v>52</v>
      </c>
      <c r="O1310" s="7" t="n">
        <v>4</v>
      </c>
    </row>
    <row r="1311" customFormat="false" ht="15" hidden="false" customHeight="false" outlineLevel="0" collapsed="false">
      <c r="A1311" s="7" t="s">
        <v>5829</v>
      </c>
      <c r="B1311" s="10" t="n">
        <v>45829</v>
      </c>
      <c r="C1311" s="7" t="s">
        <v>2516</v>
      </c>
      <c r="D1311" s="7" t="s">
        <v>4974</v>
      </c>
      <c r="E1311" s="7" t="s">
        <v>166</v>
      </c>
      <c r="F1311" s="7" t="s">
        <v>146</v>
      </c>
      <c r="G1311" s="7" t="s">
        <v>117</v>
      </c>
      <c r="H1311" s="7" t="n">
        <v>1</v>
      </c>
      <c r="I1311" s="11" t="n">
        <v>95</v>
      </c>
      <c r="J1311" s="11" t="n">
        <v>0</v>
      </c>
      <c r="K1311" s="11" t="n">
        <f aca="false">H1311*I1311-J1311</f>
        <v>95</v>
      </c>
      <c r="L1311" s="7" t="s">
        <v>88</v>
      </c>
      <c r="M1311" s="7" t="s">
        <v>238</v>
      </c>
      <c r="N1311" s="7"/>
      <c r="O1311" s="7"/>
    </row>
    <row r="1312" customFormat="false" ht="15" hidden="false" customHeight="false" outlineLevel="0" collapsed="false">
      <c r="A1312" s="7" t="s">
        <v>2948</v>
      </c>
      <c r="B1312" s="10" t="n">
        <v>45830</v>
      </c>
      <c r="C1312" s="7" t="s">
        <v>2187</v>
      </c>
      <c r="D1312" s="7" t="s">
        <v>1627</v>
      </c>
      <c r="E1312" s="7" t="s">
        <v>167</v>
      </c>
      <c r="F1312" s="7" t="s">
        <v>146</v>
      </c>
      <c r="G1312" s="7" t="s">
        <v>156</v>
      </c>
      <c r="H1312" s="7" t="n">
        <v>1</v>
      </c>
      <c r="I1312" s="11" t="n">
        <v>250</v>
      </c>
      <c r="J1312" s="11" t="n">
        <v>0</v>
      </c>
      <c r="K1312" s="11" t="n">
        <f aca="false">H1312*I1312-J1312</f>
        <v>250</v>
      </c>
      <c r="L1312" s="7" t="s">
        <v>112</v>
      </c>
      <c r="M1312" s="7" t="s">
        <v>194</v>
      </c>
      <c r="N1312" s="7" t="n">
        <v>20</v>
      </c>
      <c r="O1312" s="7" t="n">
        <v>3</v>
      </c>
    </row>
    <row r="1313" customFormat="false" ht="15" hidden="false" customHeight="false" outlineLevel="0" collapsed="false">
      <c r="A1313" s="7" t="s">
        <v>261</v>
      </c>
      <c r="B1313" s="10" t="n">
        <v>45830</v>
      </c>
      <c r="C1313" s="7" t="s">
        <v>263</v>
      </c>
      <c r="D1313" s="7" t="s">
        <v>264</v>
      </c>
      <c r="E1313" s="7" t="s">
        <v>158</v>
      </c>
      <c r="F1313" s="7" t="s">
        <v>136</v>
      </c>
      <c r="G1313" s="7" t="s">
        <v>139</v>
      </c>
      <c r="H1313" s="7" t="n">
        <v>4</v>
      </c>
      <c r="I1313" s="11" t="n">
        <v>235</v>
      </c>
      <c r="J1313" s="11" t="n">
        <v>0</v>
      </c>
      <c r="K1313" s="11" t="n">
        <f aca="false">H1313*I1313-J1313</f>
        <v>940</v>
      </c>
      <c r="L1313" s="7" t="s">
        <v>88</v>
      </c>
      <c r="M1313" s="7" t="s">
        <v>194</v>
      </c>
      <c r="N1313" s="7" t="n">
        <v>30</v>
      </c>
      <c r="O1313" s="7" t="n">
        <v>5</v>
      </c>
    </row>
    <row r="1314" customFormat="false" ht="15" hidden="false" customHeight="false" outlineLevel="0" collapsed="false">
      <c r="A1314" s="7" t="s">
        <v>1117</v>
      </c>
      <c r="B1314" s="10" t="n">
        <v>45830</v>
      </c>
      <c r="C1314" s="7" t="s">
        <v>1118</v>
      </c>
      <c r="D1314" s="7" t="s">
        <v>1119</v>
      </c>
      <c r="E1314" s="7" t="s">
        <v>122</v>
      </c>
      <c r="F1314" s="7" t="s">
        <v>101</v>
      </c>
      <c r="G1314" s="7" t="s">
        <v>123</v>
      </c>
      <c r="H1314" s="7" t="n">
        <v>1</v>
      </c>
      <c r="I1314" s="11" t="n">
        <v>325</v>
      </c>
      <c r="J1314" s="11" t="n">
        <v>0</v>
      </c>
      <c r="K1314" s="11" t="n">
        <f aca="false">H1314*I1314-J1314</f>
        <v>325</v>
      </c>
      <c r="L1314" s="7" t="s">
        <v>88</v>
      </c>
      <c r="M1314" s="7" t="s">
        <v>194</v>
      </c>
      <c r="N1314" s="7" t="n">
        <v>55</v>
      </c>
      <c r="O1314" s="7" t="n">
        <v>4</v>
      </c>
    </row>
    <row r="1315" customFormat="false" ht="15" hidden="false" customHeight="false" outlineLevel="0" collapsed="false">
      <c r="A1315" s="7" t="s">
        <v>5212</v>
      </c>
      <c r="B1315" s="10" t="n">
        <v>45830</v>
      </c>
      <c r="C1315" s="7" t="s">
        <v>2410</v>
      </c>
      <c r="D1315" s="7" t="s">
        <v>5213</v>
      </c>
      <c r="E1315" s="7" t="s">
        <v>164</v>
      </c>
      <c r="F1315" s="7" t="s">
        <v>141</v>
      </c>
      <c r="G1315" s="7" t="s">
        <v>150</v>
      </c>
      <c r="H1315" s="7" t="n">
        <v>5</v>
      </c>
      <c r="I1315" s="11" t="n">
        <v>155</v>
      </c>
      <c r="J1315" s="11" t="n">
        <v>30</v>
      </c>
      <c r="K1315" s="11" t="n">
        <f aca="false">H1315*I1315-J1315</f>
        <v>745</v>
      </c>
      <c r="L1315" s="7" t="s">
        <v>112</v>
      </c>
      <c r="M1315" s="7" t="s">
        <v>194</v>
      </c>
      <c r="N1315" s="7" t="n">
        <v>29</v>
      </c>
      <c r="O1315" s="7" t="n">
        <v>4</v>
      </c>
    </row>
    <row r="1316" customFormat="false" ht="15" hidden="false" customHeight="false" outlineLevel="0" collapsed="false">
      <c r="A1316" s="7" t="s">
        <v>4799</v>
      </c>
      <c r="B1316" s="10" t="n">
        <v>45830</v>
      </c>
      <c r="C1316" s="7" t="s">
        <v>1005</v>
      </c>
      <c r="D1316" s="7" t="s">
        <v>3990</v>
      </c>
      <c r="E1316" s="7" t="s">
        <v>154</v>
      </c>
      <c r="F1316" s="7" t="s">
        <v>128</v>
      </c>
      <c r="G1316" s="7" t="s">
        <v>99</v>
      </c>
      <c r="H1316" s="7" t="n">
        <v>2</v>
      </c>
      <c r="I1316" s="11" t="n">
        <v>290</v>
      </c>
      <c r="J1316" s="11" t="n">
        <v>30</v>
      </c>
      <c r="K1316" s="11" t="n">
        <f aca="false">H1316*I1316-J1316</f>
        <v>550</v>
      </c>
      <c r="L1316" s="7" t="s">
        <v>88</v>
      </c>
      <c r="M1316" s="7" t="s">
        <v>194</v>
      </c>
      <c r="N1316" s="7" t="n">
        <v>30</v>
      </c>
      <c r="O1316" s="7" t="n">
        <v>5</v>
      </c>
    </row>
    <row r="1317" customFormat="false" ht="15" hidden="false" customHeight="false" outlineLevel="0" collapsed="false">
      <c r="A1317" s="7" t="s">
        <v>6107</v>
      </c>
      <c r="B1317" s="10" t="n">
        <v>45830</v>
      </c>
      <c r="C1317" s="7" t="s">
        <v>2405</v>
      </c>
      <c r="D1317" s="7" t="s">
        <v>1459</v>
      </c>
      <c r="E1317" s="7" t="s">
        <v>138</v>
      </c>
      <c r="F1317" s="7" t="s">
        <v>110</v>
      </c>
      <c r="G1317" s="7" t="s">
        <v>139</v>
      </c>
      <c r="H1317" s="7" t="n">
        <v>3</v>
      </c>
      <c r="I1317" s="11" t="n">
        <v>190</v>
      </c>
      <c r="J1317" s="11" t="n">
        <v>0</v>
      </c>
      <c r="K1317" s="11" t="n">
        <f aca="false">H1317*I1317-J1317</f>
        <v>570</v>
      </c>
      <c r="L1317" s="7" t="s">
        <v>88</v>
      </c>
      <c r="M1317" s="7" t="s">
        <v>194</v>
      </c>
      <c r="N1317" s="7" t="n">
        <v>43</v>
      </c>
      <c r="O1317" s="7" t="n">
        <v>3</v>
      </c>
    </row>
    <row r="1318" customFormat="false" ht="15" hidden="false" customHeight="false" outlineLevel="0" collapsed="false">
      <c r="A1318" s="7" t="s">
        <v>4792</v>
      </c>
      <c r="B1318" s="10" t="n">
        <v>45830</v>
      </c>
      <c r="C1318" s="7" t="s">
        <v>3547</v>
      </c>
      <c r="D1318" s="7" t="s">
        <v>4521</v>
      </c>
      <c r="E1318" s="7" t="s">
        <v>104</v>
      </c>
      <c r="F1318" s="7" t="s">
        <v>86</v>
      </c>
      <c r="G1318" s="7" t="s">
        <v>105</v>
      </c>
      <c r="H1318" s="7" t="n">
        <v>2</v>
      </c>
      <c r="I1318" s="11" t="n">
        <v>230</v>
      </c>
      <c r="J1318" s="11" t="n">
        <v>0</v>
      </c>
      <c r="K1318" s="11" t="n">
        <f aca="false">H1318*I1318-J1318</f>
        <v>460</v>
      </c>
      <c r="L1318" s="7" t="s">
        <v>112</v>
      </c>
      <c r="M1318" s="7" t="s">
        <v>194</v>
      </c>
      <c r="N1318" s="7" t="n">
        <v>44</v>
      </c>
      <c r="O1318" s="7" t="n">
        <v>3</v>
      </c>
    </row>
    <row r="1319" customFormat="false" ht="15" hidden="false" customHeight="false" outlineLevel="0" collapsed="false">
      <c r="A1319" s="7" t="s">
        <v>4134</v>
      </c>
      <c r="B1319" s="10" t="n">
        <v>45830</v>
      </c>
      <c r="C1319" s="7" t="s">
        <v>1708</v>
      </c>
      <c r="D1319" s="7" t="s">
        <v>915</v>
      </c>
      <c r="E1319" s="7" t="s">
        <v>164</v>
      </c>
      <c r="F1319" s="7" t="s">
        <v>141</v>
      </c>
      <c r="G1319" s="7" t="s">
        <v>150</v>
      </c>
      <c r="H1319" s="7" t="n">
        <v>1</v>
      </c>
      <c r="I1319" s="11" t="n">
        <v>120</v>
      </c>
      <c r="J1319" s="11" t="n">
        <v>0</v>
      </c>
      <c r="K1319" s="11" t="n">
        <f aca="false">H1319*I1319-J1319</f>
        <v>120</v>
      </c>
      <c r="L1319" s="7" t="s">
        <v>103</v>
      </c>
      <c r="M1319" s="7" t="s">
        <v>194</v>
      </c>
      <c r="N1319" s="7" t="n">
        <v>34</v>
      </c>
      <c r="O1319" s="7" t="n">
        <v>4</v>
      </c>
    </row>
    <row r="1320" customFormat="false" ht="15" hidden="false" customHeight="false" outlineLevel="0" collapsed="false">
      <c r="A1320" s="7" t="s">
        <v>4075</v>
      </c>
      <c r="B1320" s="10" t="n">
        <v>45830</v>
      </c>
      <c r="C1320" s="7" t="s">
        <v>2969</v>
      </c>
      <c r="D1320" s="7" t="s">
        <v>4076</v>
      </c>
      <c r="E1320" s="7" t="s">
        <v>138</v>
      </c>
      <c r="F1320" s="7" t="s">
        <v>110</v>
      </c>
      <c r="G1320" s="7" t="s">
        <v>139</v>
      </c>
      <c r="H1320" s="7" t="n">
        <v>1</v>
      </c>
      <c r="I1320" s="11" t="n">
        <v>175</v>
      </c>
      <c r="J1320" s="11" t="n">
        <v>0</v>
      </c>
      <c r="K1320" s="11" t="n">
        <f aca="false">H1320*I1320-J1320</f>
        <v>175</v>
      </c>
      <c r="L1320" s="7" t="s">
        <v>88</v>
      </c>
      <c r="M1320" s="7" t="s">
        <v>194</v>
      </c>
      <c r="N1320" s="7" t="n">
        <v>34</v>
      </c>
      <c r="O1320" s="7" t="n">
        <v>4</v>
      </c>
    </row>
    <row r="1321" customFormat="false" ht="15" hidden="false" customHeight="false" outlineLevel="0" collapsed="false">
      <c r="A1321" s="7" t="s">
        <v>4725</v>
      </c>
      <c r="B1321" s="10" t="n">
        <v>45830</v>
      </c>
      <c r="C1321" s="7" t="s">
        <v>1228</v>
      </c>
      <c r="D1321" s="7" t="s">
        <v>4726</v>
      </c>
      <c r="E1321" s="7" t="s">
        <v>147</v>
      </c>
      <c r="F1321" s="7" t="s">
        <v>119</v>
      </c>
      <c r="G1321" s="7" t="s">
        <v>95</v>
      </c>
      <c r="H1321" s="7" t="n">
        <v>3</v>
      </c>
      <c r="I1321" s="11" t="n">
        <v>135</v>
      </c>
      <c r="J1321" s="11" t="n">
        <v>0</v>
      </c>
      <c r="K1321" s="11" t="n">
        <f aca="false">H1321*I1321-J1321</f>
        <v>405</v>
      </c>
      <c r="L1321" s="7" t="s">
        <v>93</v>
      </c>
      <c r="M1321" s="7" t="s">
        <v>194</v>
      </c>
      <c r="N1321" s="7" t="n">
        <v>30</v>
      </c>
      <c r="O1321" s="7" t="n">
        <v>4</v>
      </c>
    </row>
    <row r="1322" customFormat="false" ht="15" hidden="false" customHeight="false" outlineLevel="0" collapsed="false">
      <c r="A1322" s="7" t="s">
        <v>4627</v>
      </c>
      <c r="B1322" s="10" t="n">
        <v>45830</v>
      </c>
      <c r="C1322" s="7" t="s">
        <v>3682</v>
      </c>
      <c r="D1322" s="7" t="s">
        <v>1341</v>
      </c>
      <c r="E1322" s="7" t="s">
        <v>126</v>
      </c>
      <c r="F1322" s="7" t="s">
        <v>101</v>
      </c>
      <c r="G1322" s="7" t="s">
        <v>105</v>
      </c>
      <c r="H1322" s="7" t="n">
        <v>3</v>
      </c>
      <c r="I1322" s="11" t="n">
        <v>170</v>
      </c>
      <c r="J1322" s="11" t="n">
        <v>40</v>
      </c>
      <c r="K1322" s="11" t="n">
        <f aca="false">H1322*I1322-J1322</f>
        <v>470</v>
      </c>
      <c r="L1322" s="7" t="s">
        <v>88</v>
      </c>
      <c r="M1322" s="7" t="s">
        <v>194</v>
      </c>
      <c r="N1322" s="7" t="n">
        <v>30</v>
      </c>
      <c r="O1322" s="7"/>
    </row>
    <row r="1323" customFormat="false" ht="15" hidden="false" customHeight="false" outlineLevel="0" collapsed="false">
      <c r="A1323" s="7" t="s">
        <v>2959</v>
      </c>
      <c r="B1323" s="10" t="n">
        <v>45831</v>
      </c>
      <c r="C1323" s="7" t="s">
        <v>2219</v>
      </c>
      <c r="D1323" s="7" t="s">
        <v>2960</v>
      </c>
      <c r="E1323" s="7" t="s">
        <v>94</v>
      </c>
      <c r="F1323" s="7" t="s">
        <v>86</v>
      </c>
      <c r="G1323" s="7" t="s">
        <v>95</v>
      </c>
      <c r="H1323" s="7" t="n">
        <v>4</v>
      </c>
      <c r="I1323" s="11" t="n">
        <v>95</v>
      </c>
      <c r="J1323" s="11" t="n">
        <v>75</v>
      </c>
      <c r="K1323" s="11" t="n">
        <f aca="false">H1323*I1323-J1323</f>
        <v>305</v>
      </c>
      <c r="L1323" s="7" t="s">
        <v>88</v>
      </c>
      <c r="M1323" s="7" t="s">
        <v>194</v>
      </c>
      <c r="N1323" s="7" t="n">
        <v>39</v>
      </c>
      <c r="O1323" s="7" t="n">
        <v>3</v>
      </c>
    </row>
    <row r="1324" customFormat="false" ht="15" hidden="false" customHeight="false" outlineLevel="0" collapsed="false">
      <c r="A1324" s="7" t="s">
        <v>3738</v>
      </c>
      <c r="B1324" s="10" t="n">
        <v>45831</v>
      </c>
      <c r="C1324" s="7" t="s">
        <v>191</v>
      </c>
      <c r="D1324" s="7" t="s">
        <v>1020</v>
      </c>
      <c r="E1324" s="7" t="s">
        <v>161</v>
      </c>
      <c r="F1324" s="7" t="s">
        <v>141</v>
      </c>
      <c r="G1324" s="7" t="s">
        <v>117</v>
      </c>
      <c r="H1324" s="7" t="n">
        <v>4</v>
      </c>
      <c r="I1324" s="11" t="n">
        <v>110</v>
      </c>
      <c r="J1324" s="11" t="n">
        <v>20</v>
      </c>
      <c r="K1324" s="11" t="n">
        <f aca="false">H1324*I1324-J1324</f>
        <v>420</v>
      </c>
      <c r="L1324" s="7" t="s">
        <v>121</v>
      </c>
      <c r="M1324" s="7" t="s">
        <v>194</v>
      </c>
      <c r="N1324" s="7" t="n">
        <v>46</v>
      </c>
      <c r="O1324" s="7" t="n">
        <v>4</v>
      </c>
    </row>
    <row r="1325" customFormat="false" ht="15" hidden="false" customHeight="false" outlineLevel="0" collapsed="false">
      <c r="A1325" s="7" t="s">
        <v>6142</v>
      </c>
      <c r="B1325" s="10" t="n">
        <v>45831</v>
      </c>
      <c r="C1325" s="7" t="s">
        <v>1526</v>
      </c>
      <c r="D1325" s="7" t="s">
        <v>4292</v>
      </c>
      <c r="E1325" s="7" t="s">
        <v>138</v>
      </c>
      <c r="F1325" s="7" t="s">
        <v>110</v>
      </c>
      <c r="G1325" s="7" t="s">
        <v>139</v>
      </c>
      <c r="H1325" s="7" t="n">
        <v>4</v>
      </c>
      <c r="I1325" s="11" t="n">
        <v>155</v>
      </c>
      <c r="J1325" s="11" t="n">
        <v>75</v>
      </c>
      <c r="K1325" s="11" t="n">
        <f aca="false">H1325*I1325-J1325</f>
        <v>545</v>
      </c>
      <c r="L1325" s="7" t="s">
        <v>121</v>
      </c>
      <c r="M1325" s="7" t="s">
        <v>194</v>
      </c>
      <c r="N1325" s="7" t="n">
        <v>43</v>
      </c>
      <c r="O1325" s="7"/>
    </row>
    <row r="1326" customFormat="false" ht="15" hidden="false" customHeight="false" outlineLevel="0" collapsed="false">
      <c r="A1326" s="7" t="s">
        <v>4605</v>
      </c>
      <c r="B1326" s="10" t="n">
        <v>45831</v>
      </c>
      <c r="C1326" s="7" t="s">
        <v>4316</v>
      </c>
      <c r="D1326" s="7" t="s">
        <v>922</v>
      </c>
      <c r="E1326" s="7" t="s">
        <v>126</v>
      </c>
      <c r="F1326" s="7" t="s">
        <v>101</v>
      </c>
      <c r="G1326" s="7" t="s">
        <v>105</v>
      </c>
      <c r="H1326" s="7" t="n">
        <v>3</v>
      </c>
      <c r="I1326" s="11" t="n">
        <v>200</v>
      </c>
      <c r="J1326" s="11" t="n">
        <v>0</v>
      </c>
      <c r="K1326" s="11" t="n">
        <f aca="false">H1326*I1326-J1326</f>
        <v>600</v>
      </c>
      <c r="L1326" s="7" t="s">
        <v>103</v>
      </c>
      <c r="M1326" s="7" t="s">
        <v>194</v>
      </c>
      <c r="N1326" s="7" t="n">
        <v>36</v>
      </c>
      <c r="O1326" s="7" t="n">
        <v>4</v>
      </c>
    </row>
    <row r="1327" customFormat="false" ht="15" hidden="false" customHeight="false" outlineLevel="0" collapsed="false">
      <c r="A1327" s="7" t="s">
        <v>3651</v>
      </c>
      <c r="B1327" s="10" t="n">
        <v>45831</v>
      </c>
      <c r="C1327" s="7" t="s">
        <v>2027</v>
      </c>
      <c r="D1327" s="7" t="s">
        <v>2036</v>
      </c>
      <c r="E1327" s="7" t="s">
        <v>151</v>
      </c>
      <c r="F1327" s="7" t="s">
        <v>128</v>
      </c>
      <c r="G1327" s="7" t="s">
        <v>95</v>
      </c>
      <c r="H1327" s="7" t="n">
        <v>2</v>
      </c>
      <c r="I1327" s="11" t="n">
        <v>185</v>
      </c>
      <c r="J1327" s="11" t="n">
        <v>50</v>
      </c>
      <c r="K1327" s="11" t="n">
        <f aca="false">H1327*I1327-J1327</f>
        <v>320</v>
      </c>
      <c r="L1327" s="7" t="s">
        <v>88</v>
      </c>
      <c r="M1327" s="7" t="s">
        <v>194</v>
      </c>
      <c r="N1327" s="7" t="n">
        <v>25</v>
      </c>
      <c r="O1327" s="7"/>
    </row>
    <row r="1328" customFormat="false" ht="15" hidden="false" customHeight="false" outlineLevel="0" collapsed="false">
      <c r="A1328" s="7" t="s">
        <v>3092</v>
      </c>
      <c r="B1328" s="10" t="n">
        <v>45831</v>
      </c>
      <c r="C1328" s="7" t="s">
        <v>2064</v>
      </c>
      <c r="D1328" s="7" t="s">
        <v>953</v>
      </c>
      <c r="E1328" s="7" t="s">
        <v>130</v>
      </c>
      <c r="F1328" s="7" t="s">
        <v>110</v>
      </c>
      <c r="G1328" s="7" t="s">
        <v>90</v>
      </c>
      <c r="H1328" s="7" t="n">
        <v>3</v>
      </c>
      <c r="I1328" s="11" t="n">
        <v>240</v>
      </c>
      <c r="J1328" s="11" t="n">
        <v>40</v>
      </c>
      <c r="K1328" s="11" t="n">
        <f aca="false">H1328*I1328-J1328</f>
        <v>680</v>
      </c>
      <c r="L1328" s="7" t="s">
        <v>103</v>
      </c>
      <c r="M1328" s="7" t="s">
        <v>194</v>
      </c>
      <c r="N1328" s="7" t="n">
        <v>45</v>
      </c>
      <c r="O1328" s="7" t="n">
        <v>3</v>
      </c>
    </row>
    <row r="1329" customFormat="false" ht="15" hidden="false" customHeight="false" outlineLevel="0" collapsed="false">
      <c r="A1329" s="7" t="s">
        <v>2068</v>
      </c>
      <c r="B1329" s="10" t="n">
        <v>45831</v>
      </c>
      <c r="C1329" s="7" t="s">
        <v>201</v>
      </c>
      <c r="D1329" s="7" t="s">
        <v>2070</v>
      </c>
      <c r="E1329" s="7" t="s">
        <v>138</v>
      </c>
      <c r="F1329" s="7" t="s">
        <v>110</v>
      </c>
      <c r="G1329" s="7" t="s">
        <v>139</v>
      </c>
      <c r="H1329" s="7" t="n">
        <v>2</v>
      </c>
      <c r="I1329" s="11" t="n">
        <v>190</v>
      </c>
      <c r="J1329" s="11" t="n">
        <v>40</v>
      </c>
      <c r="K1329" s="11" t="n">
        <f aca="false">H1329*I1329-J1329</f>
        <v>340</v>
      </c>
      <c r="L1329" s="7" t="s">
        <v>88</v>
      </c>
      <c r="M1329" s="7" t="s">
        <v>194</v>
      </c>
      <c r="N1329" s="7" t="n">
        <v>49</v>
      </c>
      <c r="O1329" s="7" t="n">
        <v>3</v>
      </c>
    </row>
    <row r="1330" customFormat="false" ht="15" hidden="false" customHeight="false" outlineLevel="0" collapsed="false">
      <c r="A1330" s="7" t="s">
        <v>3803</v>
      </c>
      <c r="B1330" s="10" t="n">
        <v>45832</v>
      </c>
      <c r="C1330" s="7" t="s">
        <v>1604</v>
      </c>
      <c r="D1330" s="7" t="s">
        <v>3804</v>
      </c>
      <c r="E1330" s="7" t="s">
        <v>138</v>
      </c>
      <c r="F1330" s="7" t="s">
        <v>110</v>
      </c>
      <c r="G1330" s="7" t="s">
        <v>139</v>
      </c>
      <c r="H1330" s="7" t="n">
        <v>2</v>
      </c>
      <c r="I1330" s="11" t="n">
        <v>195</v>
      </c>
      <c r="J1330" s="11" t="n">
        <v>20</v>
      </c>
      <c r="K1330" s="11" t="n">
        <f aca="false">H1330*I1330-J1330</f>
        <v>370</v>
      </c>
      <c r="L1330" s="7" t="s">
        <v>88</v>
      </c>
      <c r="M1330" s="7" t="s">
        <v>194</v>
      </c>
      <c r="N1330" s="7" t="n">
        <v>48</v>
      </c>
      <c r="O1330" s="7" t="n">
        <v>2</v>
      </c>
    </row>
    <row r="1331" customFormat="false" ht="15" hidden="false" customHeight="false" outlineLevel="0" collapsed="false">
      <c r="A1331" s="7" t="s">
        <v>3901</v>
      </c>
      <c r="B1331" s="10" t="n">
        <v>45832</v>
      </c>
      <c r="C1331" s="7" t="s">
        <v>486</v>
      </c>
      <c r="D1331" s="7" t="s">
        <v>857</v>
      </c>
      <c r="E1331" s="7" t="s">
        <v>148</v>
      </c>
      <c r="F1331" s="7" t="s">
        <v>119</v>
      </c>
      <c r="G1331" s="7" t="s">
        <v>123</v>
      </c>
      <c r="H1331" s="7" t="n">
        <v>1</v>
      </c>
      <c r="I1331" s="11" t="n">
        <v>315</v>
      </c>
      <c r="J1331" s="11" t="n">
        <v>0</v>
      </c>
      <c r="K1331" s="11" t="n">
        <f aca="false">H1331*I1331-J1331</f>
        <v>315</v>
      </c>
      <c r="L1331" s="7" t="s">
        <v>88</v>
      </c>
      <c r="M1331" s="7" t="s">
        <v>194</v>
      </c>
      <c r="N1331" s="7" t="n">
        <v>39</v>
      </c>
      <c r="O1331" s="7" t="n">
        <v>5</v>
      </c>
    </row>
    <row r="1332" customFormat="false" ht="15" hidden="false" customHeight="false" outlineLevel="0" collapsed="false">
      <c r="A1332" s="7" t="s">
        <v>5995</v>
      </c>
      <c r="B1332" s="10" t="n">
        <v>45832</v>
      </c>
      <c r="C1332" s="7" t="s">
        <v>5543</v>
      </c>
      <c r="D1332" s="7" t="s">
        <v>1661</v>
      </c>
      <c r="E1332" s="7" t="s">
        <v>126</v>
      </c>
      <c r="F1332" s="7" t="s">
        <v>101</v>
      </c>
      <c r="G1332" s="7" t="s">
        <v>105</v>
      </c>
      <c r="H1332" s="7" t="n">
        <v>3</v>
      </c>
      <c r="I1332" s="11" t="n">
        <v>225</v>
      </c>
      <c r="J1332" s="11" t="n">
        <v>20</v>
      </c>
      <c r="K1332" s="11" t="n">
        <f aca="false">H1332*I1332-J1332</f>
        <v>655</v>
      </c>
      <c r="L1332" s="7" t="s">
        <v>88</v>
      </c>
      <c r="M1332" s="7" t="s">
        <v>194</v>
      </c>
      <c r="N1332" s="7" t="n">
        <v>56</v>
      </c>
      <c r="O1332" s="7" t="n">
        <v>3</v>
      </c>
    </row>
    <row r="1333" customFormat="false" ht="15" hidden="false" customHeight="false" outlineLevel="0" collapsed="false">
      <c r="A1333" s="7" t="s">
        <v>5408</v>
      </c>
      <c r="B1333" s="10" t="n">
        <v>45832</v>
      </c>
      <c r="C1333" s="7" t="s">
        <v>3253</v>
      </c>
      <c r="D1333" s="7" t="s">
        <v>2043</v>
      </c>
      <c r="E1333" s="7" t="s">
        <v>104</v>
      </c>
      <c r="F1333" s="7" t="s">
        <v>86</v>
      </c>
      <c r="G1333" s="7" t="s">
        <v>105</v>
      </c>
      <c r="H1333" s="7" t="n">
        <v>1</v>
      </c>
      <c r="I1333" s="11" t="n">
        <v>225</v>
      </c>
      <c r="J1333" s="11" t="n">
        <v>40</v>
      </c>
      <c r="K1333" s="11" t="n">
        <f aca="false">H1333*I1333-J1333</f>
        <v>185</v>
      </c>
      <c r="L1333" s="7" t="s">
        <v>112</v>
      </c>
      <c r="M1333" s="7" t="s">
        <v>194</v>
      </c>
      <c r="N1333" s="7" t="n">
        <v>40</v>
      </c>
      <c r="O1333" s="7" t="n">
        <v>5</v>
      </c>
    </row>
    <row r="1334" customFormat="false" ht="15" hidden="false" customHeight="false" outlineLevel="0" collapsed="false">
      <c r="A1334" s="7" t="s">
        <v>3677</v>
      </c>
      <c r="B1334" s="10" t="n">
        <v>45832</v>
      </c>
      <c r="C1334" s="7" t="s">
        <v>2545</v>
      </c>
      <c r="D1334" s="7" t="s">
        <v>2077</v>
      </c>
      <c r="E1334" s="7" t="s">
        <v>157</v>
      </c>
      <c r="F1334" s="7" t="s">
        <v>136</v>
      </c>
      <c r="G1334" s="7" t="s">
        <v>117</v>
      </c>
      <c r="H1334" s="7" t="n">
        <v>2</v>
      </c>
      <c r="I1334" s="11" t="n">
        <v>110</v>
      </c>
      <c r="J1334" s="11" t="n">
        <v>30</v>
      </c>
      <c r="K1334" s="11" t="n">
        <f aca="false">H1334*I1334-J1334</f>
        <v>190</v>
      </c>
      <c r="L1334" s="7" t="s">
        <v>93</v>
      </c>
      <c r="M1334" s="7" t="s">
        <v>194</v>
      </c>
      <c r="N1334" s="7" t="n">
        <v>30</v>
      </c>
      <c r="O1334" s="7" t="n">
        <v>4</v>
      </c>
    </row>
    <row r="1335" customFormat="false" ht="15" hidden="false" customHeight="false" outlineLevel="0" collapsed="false">
      <c r="A1335" s="7" t="s">
        <v>5692</v>
      </c>
      <c r="B1335" s="10" t="n">
        <v>45832</v>
      </c>
      <c r="C1335" s="7" t="s">
        <v>1784</v>
      </c>
      <c r="D1335" s="7" t="s">
        <v>5693</v>
      </c>
      <c r="E1335" s="7" t="s">
        <v>94</v>
      </c>
      <c r="F1335" s="7" t="s">
        <v>86</v>
      </c>
      <c r="G1335" s="7" t="s">
        <v>95</v>
      </c>
      <c r="H1335" s="7" t="n">
        <v>1</v>
      </c>
      <c r="I1335" s="11" t="n">
        <v>110</v>
      </c>
      <c r="J1335" s="11" t="n">
        <v>0</v>
      </c>
      <c r="K1335" s="11" t="n">
        <f aca="false">H1335*I1335-J1335</f>
        <v>110</v>
      </c>
      <c r="L1335" s="7" t="s">
        <v>88</v>
      </c>
      <c r="M1335" s="7" t="s">
        <v>194</v>
      </c>
      <c r="N1335" s="7" t="n">
        <v>36</v>
      </c>
      <c r="O1335" s="7"/>
    </row>
    <row r="1336" customFormat="false" ht="15" hidden="false" customHeight="false" outlineLevel="0" collapsed="false">
      <c r="A1336" s="7" t="s">
        <v>4890</v>
      </c>
      <c r="B1336" s="10" t="n">
        <v>45832</v>
      </c>
      <c r="C1336" s="7" t="s">
        <v>622</v>
      </c>
      <c r="D1336" s="7" t="s">
        <v>4891</v>
      </c>
      <c r="E1336" s="7" t="s">
        <v>98</v>
      </c>
      <c r="F1336" s="7" t="s">
        <v>86</v>
      </c>
      <c r="G1336" s="7" t="s">
        <v>99</v>
      </c>
      <c r="H1336" s="7" t="n">
        <v>1</v>
      </c>
      <c r="I1336" s="11" t="n">
        <v>285</v>
      </c>
      <c r="J1336" s="11" t="n">
        <v>0</v>
      </c>
      <c r="K1336" s="11" t="n">
        <f aca="false">H1336*I1336-J1336</f>
        <v>285</v>
      </c>
      <c r="L1336" s="7" t="s">
        <v>88</v>
      </c>
      <c r="M1336" s="7" t="s">
        <v>194</v>
      </c>
      <c r="N1336" s="7" t="n">
        <v>33</v>
      </c>
      <c r="O1336" s="7" t="n">
        <v>5</v>
      </c>
    </row>
    <row r="1337" customFormat="false" ht="15" hidden="false" customHeight="false" outlineLevel="0" collapsed="false">
      <c r="A1337" s="7" t="s">
        <v>4527</v>
      </c>
      <c r="B1337" s="10" t="n">
        <v>45832</v>
      </c>
      <c r="C1337" s="7" t="s">
        <v>2205</v>
      </c>
      <c r="D1337" s="7" t="s">
        <v>487</v>
      </c>
      <c r="E1337" s="7" t="s">
        <v>94</v>
      </c>
      <c r="F1337" s="7" t="s">
        <v>86</v>
      </c>
      <c r="G1337" s="7" t="s">
        <v>95</v>
      </c>
      <c r="H1337" s="7" t="n">
        <v>3</v>
      </c>
      <c r="I1337" s="11" t="n">
        <v>120</v>
      </c>
      <c r="J1337" s="11" t="n">
        <v>0</v>
      </c>
      <c r="K1337" s="11" t="n">
        <f aca="false">H1337*I1337-J1337</f>
        <v>360</v>
      </c>
      <c r="L1337" s="7" t="s">
        <v>88</v>
      </c>
      <c r="M1337" s="7" t="s">
        <v>194</v>
      </c>
      <c r="N1337" s="7" t="n">
        <v>37</v>
      </c>
      <c r="O1337" s="7" t="n">
        <v>3</v>
      </c>
    </row>
    <row r="1338" customFormat="false" ht="15" hidden="false" customHeight="false" outlineLevel="0" collapsed="false">
      <c r="A1338" s="7" t="s">
        <v>5188</v>
      </c>
      <c r="B1338" s="10" t="n">
        <v>45832</v>
      </c>
      <c r="C1338" s="7" t="s">
        <v>1317</v>
      </c>
      <c r="D1338" s="7" t="s">
        <v>4000</v>
      </c>
      <c r="E1338" s="7" t="s">
        <v>104</v>
      </c>
      <c r="F1338" s="7" t="s">
        <v>86</v>
      </c>
      <c r="G1338" s="7" t="s">
        <v>105</v>
      </c>
      <c r="H1338" s="7" t="n">
        <v>3</v>
      </c>
      <c r="I1338" s="11" t="n">
        <v>230</v>
      </c>
      <c r="J1338" s="11" t="n">
        <v>20</v>
      </c>
      <c r="K1338" s="11" t="n">
        <f aca="false">H1338*I1338-J1338</f>
        <v>670</v>
      </c>
      <c r="L1338" s="7" t="s">
        <v>112</v>
      </c>
      <c r="M1338" s="7" t="s">
        <v>194</v>
      </c>
      <c r="N1338" s="7" t="n">
        <v>38</v>
      </c>
      <c r="O1338" s="7" t="n">
        <v>3</v>
      </c>
    </row>
    <row r="1339" customFormat="false" ht="15" hidden="false" customHeight="false" outlineLevel="0" collapsed="false">
      <c r="A1339" s="7" t="s">
        <v>3374</v>
      </c>
      <c r="B1339" s="10" t="n">
        <v>45832</v>
      </c>
      <c r="C1339" s="7" t="s">
        <v>3346</v>
      </c>
      <c r="D1339" s="7" t="s">
        <v>1738</v>
      </c>
      <c r="E1339" s="7" t="s">
        <v>116</v>
      </c>
      <c r="F1339" s="7" t="s">
        <v>101</v>
      </c>
      <c r="G1339" s="7" t="s">
        <v>117</v>
      </c>
      <c r="H1339" s="7" t="n">
        <v>2</v>
      </c>
      <c r="I1339" s="11" t="n">
        <v>125</v>
      </c>
      <c r="J1339" s="11" t="n">
        <v>75</v>
      </c>
      <c r="K1339" s="11" t="n">
        <f aca="false">H1339*I1339-J1339</f>
        <v>175</v>
      </c>
      <c r="L1339" s="7" t="s">
        <v>133</v>
      </c>
      <c r="M1339" s="7" t="s">
        <v>194</v>
      </c>
      <c r="N1339" s="7" t="n">
        <v>41</v>
      </c>
      <c r="O1339" s="7" t="n">
        <v>5</v>
      </c>
    </row>
    <row r="1340" customFormat="false" ht="15" hidden="false" customHeight="false" outlineLevel="0" collapsed="false">
      <c r="A1340" s="7" t="s">
        <v>1965</v>
      </c>
      <c r="B1340" s="10" t="n">
        <v>45832</v>
      </c>
      <c r="C1340" s="7" t="s">
        <v>573</v>
      </c>
      <c r="D1340" s="7" t="s">
        <v>1966</v>
      </c>
      <c r="E1340" s="7" t="s">
        <v>104</v>
      </c>
      <c r="F1340" s="7" t="s">
        <v>86</v>
      </c>
      <c r="G1340" s="7" t="s">
        <v>105</v>
      </c>
      <c r="H1340" s="7" t="n">
        <v>1</v>
      </c>
      <c r="I1340" s="11" t="n">
        <v>200</v>
      </c>
      <c r="J1340" s="11" t="n">
        <v>0</v>
      </c>
      <c r="K1340" s="11" t="n">
        <f aca="false">H1340*I1340-J1340</f>
        <v>200</v>
      </c>
      <c r="L1340" s="7" t="s">
        <v>112</v>
      </c>
      <c r="M1340" s="7" t="s">
        <v>194</v>
      </c>
      <c r="N1340" s="7" t="n">
        <v>41</v>
      </c>
      <c r="O1340" s="7" t="n">
        <v>5</v>
      </c>
    </row>
    <row r="1341" customFormat="false" ht="15" hidden="false" customHeight="false" outlineLevel="0" collapsed="false">
      <c r="A1341" s="7" t="s">
        <v>2771</v>
      </c>
      <c r="B1341" s="10" t="n">
        <v>45832</v>
      </c>
      <c r="C1341" s="7" t="s">
        <v>2475</v>
      </c>
      <c r="D1341" s="7" t="s">
        <v>2772</v>
      </c>
      <c r="E1341" s="7" t="s">
        <v>94</v>
      </c>
      <c r="F1341" s="7" t="s">
        <v>86</v>
      </c>
      <c r="G1341" s="7" t="s">
        <v>95</v>
      </c>
      <c r="H1341" s="7" t="n">
        <v>3</v>
      </c>
      <c r="I1341" s="11" t="n">
        <v>90</v>
      </c>
      <c r="J1341" s="11" t="n">
        <v>0</v>
      </c>
      <c r="K1341" s="11" t="n">
        <f aca="false">H1341*I1341-J1341</f>
        <v>270</v>
      </c>
      <c r="L1341" s="7" t="s">
        <v>88</v>
      </c>
      <c r="M1341" s="7" t="s">
        <v>194</v>
      </c>
      <c r="N1341" s="7" t="n">
        <v>42</v>
      </c>
      <c r="O1341" s="7" t="n">
        <v>1</v>
      </c>
    </row>
    <row r="1342" customFormat="false" ht="15" hidden="false" customHeight="false" outlineLevel="0" collapsed="false">
      <c r="A1342" s="7" t="s">
        <v>5529</v>
      </c>
      <c r="B1342" s="10" t="n">
        <v>45833</v>
      </c>
      <c r="C1342" s="7" t="s">
        <v>4571</v>
      </c>
      <c r="D1342" s="7" t="s">
        <v>2411</v>
      </c>
      <c r="E1342" s="7" t="s">
        <v>154</v>
      </c>
      <c r="F1342" s="7" t="s">
        <v>128</v>
      </c>
      <c r="G1342" s="7" t="s">
        <v>99</v>
      </c>
      <c r="H1342" s="7" t="n">
        <v>2</v>
      </c>
      <c r="I1342" s="11" t="n">
        <v>295</v>
      </c>
      <c r="J1342" s="11" t="n">
        <v>50</v>
      </c>
      <c r="K1342" s="11" t="n">
        <f aca="false">H1342*I1342-J1342</f>
        <v>540</v>
      </c>
      <c r="L1342" s="7" t="s">
        <v>93</v>
      </c>
      <c r="M1342" s="7" t="s">
        <v>194</v>
      </c>
      <c r="N1342" s="7" t="n">
        <v>30</v>
      </c>
      <c r="O1342" s="7" t="n">
        <v>4</v>
      </c>
    </row>
    <row r="1343" customFormat="false" ht="15" hidden="false" customHeight="false" outlineLevel="0" collapsed="false">
      <c r="A1343" s="7" t="s">
        <v>1334</v>
      </c>
      <c r="B1343" s="10" t="n">
        <v>45833</v>
      </c>
      <c r="C1343" s="7" t="s">
        <v>1336</v>
      </c>
      <c r="D1343" s="7" t="s">
        <v>1337</v>
      </c>
      <c r="E1343" s="7" t="s">
        <v>138</v>
      </c>
      <c r="F1343" s="7" t="s">
        <v>110</v>
      </c>
      <c r="G1343" s="7" t="s">
        <v>139</v>
      </c>
      <c r="H1343" s="7" t="n">
        <v>5</v>
      </c>
      <c r="I1343" s="11" t="n">
        <v>165</v>
      </c>
      <c r="J1343" s="11" t="n">
        <v>0</v>
      </c>
      <c r="K1343" s="11" t="n">
        <f aca="false">H1343*I1343-J1343</f>
        <v>825</v>
      </c>
      <c r="L1343" s="7" t="s">
        <v>88</v>
      </c>
      <c r="M1343" s="7" t="s">
        <v>194</v>
      </c>
      <c r="N1343" s="7" t="n">
        <v>37</v>
      </c>
      <c r="O1343" s="7" t="n">
        <v>3</v>
      </c>
    </row>
    <row r="1344" customFormat="false" ht="15" hidden="false" customHeight="false" outlineLevel="0" collapsed="false">
      <c r="A1344" s="7" t="s">
        <v>4918</v>
      </c>
      <c r="B1344" s="10" t="n">
        <v>45833</v>
      </c>
      <c r="C1344" s="7" t="s">
        <v>1211</v>
      </c>
      <c r="D1344" s="7" t="s">
        <v>3212</v>
      </c>
      <c r="E1344" s="7" t="s">
        <v>94</v>
      </c>
      <c r="F1344" s="7" t="s">
        <v>86</v>
      </c>
      <c r="G1344" s="7" t="s">
        <v>95</v>
      </c>
      <c r="H1344" s="7" t="n">
        <v>1</v>
      </c>
      <c r="I1344" s="11" t="n">
        <v>130</v>
      </c>
      <c r="J1344" s="11" t="n">
        <v>52</v>
      </c>
      <c r="K1344" s="11" t="n">
        <f aca="false">H1344*I1344-J1344</f>
        <v>78</v>
      </c>
      <c r="L1344" s="7" t="s">
        <v>112</v>
      </c>
      <c r="M1344" s="7" t="s">
        <v>194</v>
      </c>
      <c r="N1344" s="7" t="n">
        <v>43</v>
      </c>
      <c r="O1344" s="7" t="n">
        <v>5</v>
      </c>
    </row>
    <row r="1345" customFormat="false" ht="15" hidden="false" customHeight="false" outlineLevel="0" collapsed="false">
      <c r="A1345" s="7" t="s">
        <v>4006</v>
      </c>
      <c r="B1345" s="10" t="n">
        <v>45834</v>
      </c>
      <c r="C1345" s="7" t="s">
        <v>4007</v>
      </c>
      <c r="D1345" s="7" t="s">
        <v>4008</v>
      </c>
      <c r="E1345" s="7" t="s">
        <v>94</v>
      </c>
      <c r="F1345" s="7" t="s">
        <v>86</v>
      </c>
      <c r="G1345" s="7" t="s">
        <v>95</v>
      </c>
      <c r="H1345" s="7" t="n">
        <v>2</v>
      </c>
      <c r="I1345" s="11" t="n">
        <v>115</v>
      </c>
      <c r="J1345" s="11" t="n">
        <v>50</v>
      </c>
      <c r="K1345" s="11" t="n">
        <f aca="false">H1345*I1345-J1345</f>
        <v>180</v>
      </c>
      <c r="L1345" s="7" t="s">
        <v>88</v>
      </c>
      <c r="M1345" s="7" t="s">
        <v>194</v>
      </c>
      <c r="N1345" s="7" t="n">
        <v>55</v>
      </c>
      <c r="O1345" s="7" t="n">
        <v>4</v>
      </c>
    </row>
    <row r="1346" customFormat="false" ht="15" hidden="false" customHeight="false" outlineLevel="0" collapsed="false">
      <c r="A1346" s="7" t="s">
        <v>2997</v>
      </c>
      <c r="B1346" s="10" t="n">
        <v>45834</v>
      </c>
      <c r="C1346" s="7" t="s">
        <v>1520</v>
      </c>
      <c r="D1346" s="7" t="s">
        <v>2066</v>
      </c>
      <c r="E1346" s="7" t="s">
        <v>168</v>
      </c>
      <c r="F1346" s="7" t="s">
        <v>146</v>
      </c>
      <c r="G1346" s="7" t="s">
        <v>123</v>
      </c>
      <c r="H1346" s="7" t="n">
        <v>4</v>
      </c>
      <c r="I1346" s="11" t="n">
        <v>330</v>
      </c>
      <c r="J1346" s="11" t="n">
        <v>0</v>
      </c>
      <c r="K1346" s="11" t="n">
        <f aca="false">H1346*I1346-J1346</f>
        <v>1320</v>
      </c>
      <c r="L1346" s="7" t="s">
        <v>88</v>
      </c>
      <c r="M1346" s="7" t="s">
        <v>194</v>
      </c>
      <c r="N1346" s="7" t="n">
        <v>27</v>
      </c>
      <c r="O1346" s="7" t="n">
        <v>3</v>
      </c>
    </row>
    <row r="1347" customFormat="false" ht="15" hidden="false" customHeight="false" outlineLevel="0" collapsed="false">
      <c r="A1347" s="7" t="s">
        <v>6159</v>
      </c>
      <c r="B1347" s="10" t="n">
        <v>45834</v>
      </c>
      <c r="C1347" s="7" t="s">
        <v>3029</v>
      </c>
      <c r="D1347" s="7" t="s">
        <v>1504</v>
      </c>
      <c r="E1347" s="7" t="s">
        <v>161</v>
      </c>
      <c r="F1347" s="7" t="s">
        <v>141</v>
      </c>
      <c r="G1347" s="7" t="s">
        <v>117</v>
      </c>
      <c r="H1347" s="7" t="n">
        <v>2</v>
      </c>
      <c r="I1347" s="11" t="n">
        <v>140</v>
      </c>
      <c r="J1347" s="11" t="n">
        <v>0</v>
      </c>
      <c r="K1347" s="11" t="n">
        <f aca="false">H1347*I1347-J1347</f>
        <v>280</v>
      </c>
      <c r="L1347" s="7" t="s">
        <v>88</v>
      </c>
      <c r="M1347" s="7" t="s">
        <v>194</v>
      </c>
      <c r="N1347" s="7" t="n">
        <v>30</v>
      </c>
      <c r="O1347" s="7" t="n">
        <v>5</v>
      </c>
    </row>
    <row r="1348" customFormat="false" ht="15" hidden="false" customHeight="false" outlineLevel="0" collapsed="false">
      <c r="A1348" s="7" t="s">
        <v>6115</v>
      </c>
      <c r="B1348" s="10" t="n">
        <v>45834</v>
      </c>
      <c r="C1348" s="7" t="s">
        <v>254</v>
      </c>
      <c r="D1348" s="7" t="s">
        <v>2614</v>
      </c>
      <c r="E1348" s="7" t="s">
        <v>122</v>
      </c>
      <c r="F1348" s="7" t="s">
        <v>101</v>
      </c>
      <c r="G1348" s="7" t="s">
        <v>123</v>
      </c>
      <c r="H1348" s="7" t="n">
        <v>1</v>
      </c>
      <c r="I1348" s="11" t="n">
        <v>230</v>
      </c>
      <c r="J1348" s="11" t="n">
        <v>0</v>
      </c>
      <c r="K1348" s="11" t="n">
        <f aca="false">H1348*I1348-J1348</f>
        <v>230</v>
      </c>
      <c r="L1348" s="7" t="s">
        <v>121</v>
      </c>
      <c r="M1348" s="7" t="s">
        <v>238</v>
      </c>
      <c r="N1348" s="7"/>
      <c r="O1348" s="7"/>
    </row>
    <row r="1349" customFormat="false" ht="15" hidden="false" customHeight="false" outlineLevel="0" collapsed="false">
      <c r="A1349" s="7" t="s">
        <v>1213</v>
      </c>
      <c r="B1349" s="10" t="n">
        <v>45834</v>
      </c>
      <c r="C1349" s="7" t="s">
        <v>1215</v>
      </c>
      <c r="D1349" s="7" t="s">
        <v>1216</v>
      </c>
      <c r="E1349" s="7" t="s">
        <v>159</v>
      </c>
      <c r="F1349" s="7" t="s">
        <v>136</v>
      </c>
      <c r="G1349" s="7" t="s">
        <v>90</v>
      </c>
      <c r="H1349" s="7" t="n">
        <v>1</v>
      </c>
      <c r="I1349" s="11" t="n">
        <v>295</v>
      </c>
      <c r="J1349" s="11" t="n">
        <v>0</v>
      </c>
      <c r="K1349" s="11" t="n">
        <f aca="false">H1349*I1349-J1349</f>
        <v>295</v>
      </c>
      <c r="L1349" s="7" t="s">
        <v>93</v>
      </c>
      <c r="M1349" s="7" t="s">
        <v>194</v>
      </c>
      <c r="N1349" s="7" t="n">
        <v>31</v>
      </c>
      <c r="O1349" s="7" t="n">
        <v>4</v>
      </c>
    </row>
    <row r="1350" customFormat="false" ht="15" hidden="false" customHeight="false" outlineLevel="0" collapsed="false">
      <c r="A1350" s="7" t="s">
        <v>3343</v>
      </c>
      <c r="B1350" s="10" t="n">
        <v>45834</v>
      </c>
      <c r="C1350" s="7" t="s">
        <v>3344</v>
      </c>
      <c r="D1350" s="7" t="s">
        <v>985</v>
      </c>
      <c r="E1350" s="7" t="s">
        <v>149</v>
      </c>
      <c r="F1350" s="7" t="s">
        <v>119</v>
      </c>
      <c r="G1350" s="7" t="s">
        <v>150</v>
      </c>
      <c r="H1350" s="7" t="n">
        <v>1</v>
      </c>
      <c r="I1350" s="11" t="n">
        <v>190</v>
      </c>
      <c r="J1350" s="11" t="n">
        <v>0</v>
      </c>
      <c r="K1350" s="11" t="n">
        <f aca="false">H1350*I1350-J1350</f>
        <v>190</v>
      </c>
      <c r="L1350" s="7" t="s">
        <v>112</v>
      </c>
      <c r="M1350" s="7" t="s">
        <v>194</v>
      </c>
      <c r="N1350" s="7" t="n">
        <v>26</v>
      </c>
      <c r="O1350" s="7" t="n">
        <v>4</v>
      </c>
    </row>
    <row r="1351" customFormat="false" ht="15" hidden="false" customHeight="false" outlineLevel="0" collapsed="false">
      <c r="A1351" s="7" t="s">
        <v>3366</v>
      </c>
      <c r="B1351" s="10" t="n">
        <v>45835</v>
      </c>
      <c r="C1351" s="7" t="s">
        <v>2743</v>
      </c>
      <c r="D1351" s="7" t="s">
        <v>357</v>
      </c>
      <c r="E1351" s="7" t="s">
        <v>138</v>
      </c>
      <c r="F1351" s="7" t="s">
        <v>110</v>
      </c>
      <c r="G1351" s="7" t="s">
        <v>139</v>
      </c>
      <c r="H1351" s="7" t="n">
        <v>2</v>
      </c>
      <c r="I1351" s="11" t="n">
        <v>185</v>
      </c>
      <c r="J1351" s="11" t="n">
        <v>0</v>
      </c>
      <c r="K1351" s="11" t="n">
        <f aca="false">H1351*I1351-J1351</f>
        <v>370</v>
      </c>
      <c r="L1351" s="7" t="s">
        <v>88</v>
      </c>
      <c r="M1351" s="7" t="s">
        <v>194</v>
      </c>
      <c r="N1351" s="7" t="n">
        <v>55</v>
      </c>
      <c r="O1351" s="7" t="n">
        <v>5</v>
      </c>
    </row>
    <row r="1352" customFormat="false" ht="15" hidden="false" customHeight="false" outlineLevel="0" collapsed="false">
      <c r="A1352" s="7" t="s">
        <v>2613</v>
      </c>
      <c r="B1352" s="10" t="n">
        <v>45835</v>
      </c>
      <c r="C1352" s="7" t="s">
        <v>1285</v>
      </c>
      <c r="D1352" s="7" t="s">
        <v>2614</v>
      </c>
      <c r="E1352" s="7" t="s">
        <v>134</v>
      </c>
      <c r="F1352" s="7" t="s">
        <v>110</v>
      </c>
      <c r="G1352" s="7" t="s">
        <v>117</v>
      </c>
      <c r="H1352" s="7" t="n">
        <v>1</v>
      </c>
      <c r="I1352" s="11" t="n">
        <v>85</v>
      </c>
      <c r="J1352" s="11" t="n">
        <v>0</v>
      </c>
      <c r="K1352" s="11" t="n">
        <f aca="false">H1352*I1352-J1352</f>
        <v>85</v>
      </c>
      <c r="L1352" s="7" t="s">
        <v>112</v>
      </c>
      <c r="M1352" s="7" t="s">
        <v>194</v>
      </c>
      <c r="N1352" s="7" t="n">
        <v>34</v>
      </c>
      <c r="O1352" s="7" t="n">
        <v>5</v>
      </c>
    </row>
    <row r="1353" customFormat="false" ht="15" hidden="false" customHeight="false" outlineLevel="0" collapsed="false">
      <c r="A1353" s="7" t="s">
        <v>5698</v>
      </c>
      <c r="B1353" s="10" t="n">
        <v>45835</v>
      </c>
      <c r="C1353" s="7" t="s">
        <v>524</v>
      </c>
      <c r="D1353" s="7" t="s">
        <v>5165</v>
      </c>
      <c r="E1353" s="7" t="s">
        <v>164</v>
      </c>
      <c r="F1353" s="7" t="s">
        <v>141</v>
      </c>
      <c r="G1353" s="7" t="s">
        <v>150</v>
      </c>
      <c r="H1353" s="7" t="n">
        <v>2</v>
      </c>
      <c r="I1353" s="11" t="n">
        <v>115</v>
      </c>
      <c r="J1353" s="11" t="n">
        <v>50</v>
      </c>
      <c r="K1353" s="11" t="n">
        <f aca="false">H1353*I1353-J1353</f>
        <v>180</v>
      </c>
      <c r="L1353" s="7" t="s">
        <v>103</v>
      </c>
      <c r="M1353" s="7" t="s">
        <v>194</v>
      </c>
      <c r="N1353" s="7" t="n">
        <v>30</v>
      </c>
      <c r="O1353" s="7" t="n">
        <v>5</v>
      </c>
    </row>
    <row r="1354" customFormat="false" ht="15" hidden="false" customHeight="false" outlineLevel="0" collapsed="false">
      <c r="A1354" s="7" t="s">
        <v>2578</v>
      </c>
      <c r="B1354" s="10" t="n">
        <v>45835</v>
      </c>
      <c r="C1354" s="7" t="s">
        <v>310</v>
      </c>
      <c r="D1354" s="7" t="s">
        <v>2580</v>
      </c>
      <c r="E1354" s="7" t="s">
        <v>126</v>
      </c>
      <c r="F1354" s="7" t="s">
        <v>101</v>
      </c>
      <c r="G1354" s="7" t="s">
        <v>105</v>
      </c>
      <c r="H1354" s="7" t="n">
        <v>5</v>
      </c>
      <c r="I1354" s="11" t="n">
        <v>230</v>
      </c>
      <c r="J1354" s="11" t="n">
        <v>125</v>
      </c>
      <c r="K1354" s="11" t="n">
        <f aca="false">H1354*I1354-J1354</f>
        <v>1025</v>
      </c>
      <c r="L1354" s="7" t="s">
        <v>88</v>
      </c>
      <c r="M1354" s="7" t="s">
        <v>194</v>
      </c>
      <c r="N1354" s="7" t="n">
        <v>35</v>
      </c>
      <c r="O1354" s="7" t="n">
        <v>4</v>
      </c>
    </row>
    <row r="1355" customFormat="false" ht="15" hidden="false" customHeight="false" outlineLevel="0" collapsed="false">
      <c r="A1355" s="7" t="s">
        <v>4369</v>
      </c>
      <c r="B1355" s="10" t="n">
        <v>45835</v>
      </c>
      <c r="C1355" s="7" t="s">
        <v>327</v>
      </c>
      <c r="D1355" s="7" t="s">
        <v>4370</v>
      </c>
      <c r="E1355" s="7" t="s">
        <v>160</v>
      </c>
      <c r="F1355" s="7" t="s">
        <v>136</v>
      </c>
      <c r="G1355" s="7" t="s">
        <v>150</v>
      </c>
      <c r="H1355" s="7" t="n">
        <v>5</v>
      </c>
      <c r="I1355" s="11" t="n">
        <v>195</v>
      </c>
      <c r="J1355" s="11" t="n">
        <v>75</v>
      </c>
      <c r="K1355" s="11" t="n">
        <f aca="false">H1355*I1355-J1355</f>
        <v>900</v>
      </c>
      <c r="L1355" s="7" t="s">
        <v>133</v>
      </c>
      <c r="M1355" s="7" t="s">
        <v>194</v>
      </c>
      <c r="N1355" s="7" t="n">
        <v>38</v>
      </c>
      <c r="O1355" s="7" t="n">
        <v>3</v>
      </c>
    </row>
    <row r="1356" customFormat="false" ht="15" hidden="false" customHeight="false" outlineLevel="0" collapsed="false">
      <c r="A1356" s="7" t="s">
        <v>3242</v>
      </c>
      <c r="B1356" s="10" t="n">
        <v>45835</v>
      </c>
      <c r="C1356" s="7" t="s">
        <v>1983</v>
      </c>
      <c r="D1356" s="7" t="s">
        <v>3148</v>
      </c>
      <c r="E1356" s="7" t="s">
        <v>130</v>
      </c>
      <c r="F1356" s="7" t="s">
        <v>110</v>
      </c>
      <c r="G1356" s="7" t="s">
        <v>90</v>
      </c>
      <c r="H1356" s="7" t="n">
        <v>1</v>
      </c>
      <c r="I1356" s="11" t="n">
        <v>215</v>
      </c>
      <c r="J1356" s="11" t="n">
        <v>75</v>
      </c>
      <c r="K1356" s="11" t="n">
        <f aca="false">H1356*I1356-J1356</f>
        <v>140</v>
      </c>
      <c r="L1356" s="7" t="s">
        <v>88</v>
      </c>
      <c r="M1356" s="7" t="s">
        <v>194</v>
      </c>
      <c r="N1356" s="7" t="n">
        <v>47</v>
      </c>
      <c r="O1356" s="7" t="n">
        <v>4</v>
      </c>
    </row>
    <row r="1357" customFormat="false" ht="15" hidden="false" customHeight="false" outlineLevel="0" collapsed="false">
      <c r="A1357" s="7" t="s">
        <v>532</v>
      </c>
      <c r="B1357" s="10" t="n">
        <v>45836</v>
      </c>
      <c r="C1357" s="7" t="s">
        <v>534</v>
      </c>
      <c r="D1357" s="7" t="s">
        <v>535</v>
      </c>
      <c r="E1357" s="7" t="s">
        <v>158</v>
      </c>
      <c r="F1357" s="7" t="s">
        <v>136</v>
      </c>
      <c r="G1357" s="7" t="s">
        <v>139</v>
      </c>
      <c r="H1357" s="7" t="n">
        <v>1</v>
      </c>
      <c r="I1357" s="11" t="n">
        <v>225</v>
      </c>
      <c r="J1357" s="11" t="n">
        <v>20</v>
      </c>
      <c r="K1357" s="11" t="n">
        <f aca="false">H1357*I1357-J1357</f>
        <v>205</v>
      </c>
      <c r="L1357" s="7" t="s">
        <v>93</v>
      </c>
      <c r="M1357" s="7" t="s">
        <v>194</v>
      </c>
      <c r="N1357" s="7" t="n">
        <v>35</v>
      </c>
      <c r="O1357" s="7" t="n">
        <v>4</v>
      </c>
    </row>
    <row r="1358" customFormat="false" ht="15" hidden="false" customHeight="false" outlineLevel="0" collapsed="false">
      <c r="A1358" s="7" t="s">
        <v>5563</v>
      </c>
      <c r="B1358" s="10" t="n">
        <v>45836</v>
      </c>
      <c r="C1358" s="7" t="s">
        <v>559</v>
      </c>
      <c r="D1358" s="7" t="s">
        <v>2072</v>
      </c>
      <c r="E1358" s="7" t="s">
        <v>157</v>
      </c>
      <c r="F1358" s="7" t="s">
        <v>136</v>
      </c>
      <c r="G1358" s="7" t="s">
        <v>117</v>
      </c>
      <c r="H1358" s="7" t="n">
        <v>2</v>
      </c>
      <c r="I1358" s="11" t="n">
        <v>105</v>
      </c>
      <c r="J1358" s="11" t="n">
        <v>75</v>
      </c>
      <c r="K1358" s="11" t="n">
        <f aca="false">H1358*I1358-J1358</f>
        <v>135</v>
      </c>
      <c r="L1358" s="7" t="s">
        <v>93</v>
      </c>
      <c r="M1358" s="7" t="s">
        <v>194</v>
      </c>
      <c r="N1358" s="7" t="n">
        <v>38</v>
      </c>
      <c r="O1358" s="7" t="n">
        <v>2</v>
      </c>
    </row>
    <row r="1359" customFormat="false" ht="15" hidden="false" customHeight="false" outlineLevel="0" collapsed="false">
      <c r="A1359" s="7" t="s">
        <v>2515</v>
      </c>
      <c r="B1359" s="10" t="n">
        <v>45836</v>
      </c>
      <c r="C1359" s="7" t="s">
        <v>2516</v>
      </c>
      <c r="D1359" s="7" t="s">
        <v>2179</v>
      </c>
      <c r="E1359" s="7" t="s">
        <v>160</v>
      </c>
      <c r="F1359" s="7" t="s">
        <v>136</v>
      </c>
      <c r="G1359" s="7" t="s">
        <v>150</v>
      </c>
      <c r="H1359" s="7" t="n">
        <v>1</v>
      </c>
      <c r="I1359" s="11" t="n">
        <v>190</v>
      </c>
      <c r="J1359" s="11" t="n">
        <v>76</v>
      </c>
      <c r="K1359" s="11" t="n">
        <f aca="false">H1359*I1359-J1359</f>
        <v>114</v>
      </c>
      <c r="L1359" s="7" t="s">
        <v>93</v>
      </c>
      <c r="M1359" s="7" t="s">
        <v>194</v>
      </c>
      <c r="N1359" s="7" t="n">
        <v>51</v>
      </c>
      <c r="O1359" s="7" t="n">
        <v>3</v>
      </c>
    </row>
    <row r="1360" customFormat="false" ht="15" hidden="false" customHeight="false" outlineLevel="0" collapsed="false">
      <c r="A1360" s="7" t="s">
        <v>3096</v>
      </c>
      <c r="B1360" s="10" t="n">
        <v>45837</v>
      </c>
      <c r="C1360" s="7" t="s">
        <v>3097</v>
      </c>
      <c r="D1360" s="7" t="s">
        <v>1979</v>
      </c>
      <c r="E1360" s="7" t="s">
        <v>116</v>
      </c>
      <c r="F1360" s="7" t="s">
        <v>101</v>
      </c>
      <c r="G1360" s="7" t="s">
        <v>117</v>
      </c>
      <c r="H1360" s="7" t="n">
        <v>1</v>
      </c>
      <c r="I1360" s="11" t="n">
        <v>150</v>
      </c>
      <c r="J1360" s="11" t="n">
        <v>60</v>
      </c>
      <c r="K1360" s="11" t="n">
        <f aca="false">H1360*I1360-J1360</f>
        <v>90</v>
      </c>
      <c r="L1360" s="7" t="s">
        <v>88</v>
      </c>
      <c r="M1360" s="7" t="s">
        <v>194</v>
      </c>
      <c r="N1360" s="7" t="n">
        <v>42</v>
      </c>
      <c r="O1360" s="7" t="n">
        <v>3</v>
      </c>
    </row>
    <row r="1361" customFormat="false" ht="15" hidden="false" customHeight="false" outlineLevel="0" collapsed="false">
      <c r="A1361" s="7" t="s">
        <v>5295</v>
      </c>
      <c r="B1361" s="10" t="n">
        <v>45837</v>
      </c>
      <c r="C1361" s="7" t="s">
        <v>1486</v>
      </c>
      <c r="D1361" s="7" t="s">
        <v>3737</v>
      </c>
      <c r="E1361" s="7" t="s">
        <v>126</v>
      </c>
      <c r="F1361" s="7" t="s">
        <v>101</v>
      </c>
      <c r="G1361" s="7" t="s">
        <v>105</v>
      </c>
      <c r="H1361" s="7" t="n">
        <v>1</v>
      </c>
      <c r="I1361" s="11" t="n">
        <v>210</v>
      </c>
      <c r="J1361" s="11" t="n">
        <v>0</v>
      </c>
      <c r="K1361" s="11" t="n">
        <f aca="false">H1361*I1361-J1361</f>
        <v>210</v>
      </c>
      <c r="L1361" s="7" t="s">
        <v>88</v>
      </c>
      <c r="M1361" s="7" t="s">
        <v>194</v>
      </c>
      <c r="N1361" s="7" t="n">
        <v>27</v>
      </c>
      <c r="O1361" s="7" t="n">
        <v>5</v>
      </c>
    </row>
    <row r="1362" customFormat="false" ht="15" hidden="false" customHeight="false" outlineLevel="0" collapsed="false">
      <c r="A1362" s="7" t="s">
        <v>3292</v>
      </c>
      <c r="B1362" s="10" t="n">
        <v>45837</v>
      </c>
      <c r="C1362" s="7" t="s">
        <v>759</v>
      </c>
      <c r="D1362" s="7" t="s">
        <v>1331</v>
      </c>
      <c r="E1362" s="7" t="s">
        <v>130</v>
      </c>
      <c r="F1362" s="7" t="s">
        <v>110</v>
      </c>
      <c r="G1362" s="7" t="s">
        <v>90</v>
      </c>
      <c r="H1362" s="7" t="n">
        <v>5</v>
      </c>
      <c r="I1362" s="11" t="n">
        <v>275</v>
      </c>
      <c r="J1362" s="11" t="n">
        <v>0</v>
      </c>
      <c r="K1362" s="11" t="n">
        <f aca="false">H1362*I1362-J1362</f>
        <v>1375</v>
      </c>
      <c r="L1362" s="7" t="s">
        <v>88</v>
      </c>
      <c r="M1362" s="7" t="s">
        <v>194</v>
      </c>
      <c r="N1362" s="7" t="n">
        <v>34</v>
      </c>
      <c r="O1362" s="7"/>
    </row>
    <row r="1363" customFormat="false" ht="15" hidden="false" customHeight="false" outlineLevel="0" collapsed="false">
      <c r="A1363" s="7" t="s">
        <v>4299</v>
      </c>
      <c r="B1363" s="10" t="n">
        <v>45837</v>
      </c>
      <c r="C1363" s="7" t="s">
        <v>1901</v>
      </c>
      <c r="D1363" s="7" t="s">
        <v>1846</v>
      </c>
      <c r="E1363" s="7" t="s">
        <v>163</v>
      </c>
      <c r="F1363" s="7" t="s">
        <v>141</v>
      </c>
      <c r="G1363" s="7" t="s">
        <v>99</v>
      </c>
      <c r="H1363" s="7" t="n">
        <v>1</v>
      </c>
      <c r="I1363" s="11" t="n">
        <v>210</v>
      </c>
      <c r="J1363" s="11" t="n">
        <v>40</v>
      </c>
      <c r="K1363" s="11" t="n">
        <f aca="false">H1363*I1363-J1363</f>
        <v>170</v>
      </c>
      <c r="L1363" s="7" t="s">
        <v>88</v>
      </c>
      <c r="M1363" s="7" t="s">
        <v>194</v>
      </c>
      <c r="N1363" s="7" t="n">
        <v>42</v>
      </c>
      <c r="O1363" s="7"/>
    </row>
    <row r="1364" customFormat="false" ht="15" hidden="false" customHeight="false" outlineLevel="0" collapsed="false">
      <c r="A1364" s="7" t="s">
        <v>2928</v>
      </c>
      <c r="B1364" s="10" t="n">
        <v>45837</v>
      </c>
      <c r="C1364" s="7" t="s">
        <v>2402</v>
      </c>
      <c r="D1364" s="7" t="s">
        <v>2929</v>
      </c>
      <c r="E1364" s="7" t="s">
        <v>126</v>
      </c>
      <c r="F1364" s="7" t="s">
        <v>101</v>
      </c>
      <c r="G1364" s="7" t="s">
        <v>105</v>
      </c>
      <c r="H1364" s="7" t="n">
        <v>2</v>
      </c>
      <c r="I1364" s="11" t="n">
        <v>250</v>
      </c>
      <c r="J1364" s="11" t="n">
        <v>75</v>
      </c>
      <c r="K1364" s="11" t="n">
        <f aca="false">H1364*I1364-J1364</f>
        <v>425</v>
      </c>
      <c r="L1364" s="7" t="s">
        <v>112</v>
      </c>
      <c r="M1364" s="7" t="s">
        <v>194</v>
      </c>
      <c r="N1364" s="7" t="n">
        <v>47</v>
      </c>
      <c r="O1364" s="7" t="n">
        <v>4</v>
      </c>
    </row>
    <row r="1365" customFormat="false" ht="15" hidden="false" customHeight="false" outlineLevel="0" collapsed="false">
      <c r="A1365" s="7" t="s">
        <v>1929</v>
      </c>
      <c r="B1365" s="10" t="n">
        <v>45837</v>
      </c>
      <c r="C1365" s="7" t="s">
        <v>1842</v>
      </c>
      <c r="D1365" s="7" t="s">
        <v>1931</v>
      </c>
      <c r="E1365" s="7" t="s">
        <v>104</v>
      </c>
      <c r="F1365" s="7" t="s">
        <v>86</v>
      </c>
      <c r="G1365" s="7" t="s">
        <v>105</v>
      </c>
      <c r="H1365" s="7" t="n">
        <v>1</v>
      </c>
      <c r="I1365" s="11" t="n">
        <v>195</v>
      </c>
      <c r="J1365" s="11" t="n">
        <v>0</v>
      </c>
      <c r="K1365" s="11" t="n">
        <f aca="false">H1365*I1365-J1365</f>
        <v>195</v>
      </c>
      <c r="L1365" s="7" t="s">
        <v>103</v>
      </c>
      <c r="M1365" s="7" t="s">
        <v>194</v>
      </c>
      <c r="N1365" s="7" t="n">
        <v>43</v>
      </c>
      <c r="O1365" s="7" t="n">
        <v>4</v>
      </c>
    </row>
    <row r="1366" customFormat="false" ht="15" hidden="false" customHeight="false" outlineLevel="0" collapsed="false">
      <c r="A1366" s="7" t="s">
        <v>1013</v>
      </c>
      <c r="B1366" s="10" t="n">
        <v>45837</v>
      </c>
      <c r="C1366" s="7" t="s">
        <v>1015</v>
      </c>
      <c r="D1366" s="7" t="s">
        <v>1016</v>
      </c>
      <c r="E1366" s="7" t="s">
        <v>144</v>
      </c>
      <c r="F1366" s="7" t="s">
        <v>119</v>
      </c>
      <c r="G1366" s="7" t="s">
        <v>99</v>
      </c>
      <c r="H1366" s="7" t="n">
        <v>2</v>
      </c>
      <c r="I1366" s="11" t="n">
        <v>310</v>
      </c>
      <c r="J1366" s="11" t="n">
        <v>150</v>
      </c>
      <c r="K1366" s="11" t="n">
        <f aca="false">H1366*I1366-J1366</f>
        <v>470</v>
      </c>
      <c r="L1366" s="7" t="s">
        <v>88</v>
      </c>
      <c r="M1366" s="7" t="s">
        <v>194</v>
      </c>
      <c r="N1366" s="7" t="n">
        <v>29</v>
      </c>
      <c r="O1366" s="7" t="n">
        <v>3</v>
      </c>
    </row>
    <row r="1367" customFormat="false" ht="15" hidden="false" customHeight="false" outlineLevel="0" collapsed="false">
      <c r="A1367" s="7" t="s">
        <v>5179</v>
      </c>
      <c r="B1367" s="10" t="n">
        <v>45837</v>
      </c>
      <c r="C1367" s="7" t="s">
        <v>5066</v>
      </c>
      <c r="D1367" s="7" t="s">
        <v>5165</v>
      </c>
      <c r="E1367" s="7" t="s">
        <v>104</v>
      </c>
      <c r="F1367" s="7" t="s">
        <v>86</v>
      </c>
      <c r="G1367" s="7" t="s">
        <v>105</v>
      </c>
      <c r="H1367" s="7" t="n">
        <v>2</v>
      </c>
      <c r="I1367" s="11" t="n">
        <v>230</v>
      </c>
      <c r="J1367" s="11" t="n">
        <v>0</v>
      </c>
      <c r="K1367" s="11" t="n">
        <f aca="false">H1367*I1367-J1367</f>
        <v>460</v>
      </c>
      <c r="L1367" s="7" t="s">
        <v>121</v>
      </c>
      <c r="M1367" s="7" t="s">
        <v>194</v>
      </c>
      <c r="N1367" s="7" t="n">
        <v>37</v>
      </c>
      <c r="O1367" s="7" t="n">
        <v>4</v>
      </c>
    </row>
    <row r="1368" customFormat="false" ht="15" hidden="false" customHeight="false" outlineLevel="0" collapsed="false">
      <c r="A1368" s="7" t="s">
        <v>4426</v>
      </c>
      <c r="B1368" s="10" t="n">
        <v>45837</v>
      </c>
      <c r="C1368" s="7" t="s">
        <v>1654</v>
      </c>
      <c r="D1368" s="7" t="s">
        <v>4427</v>
      </c>
      <c r="E1368" s="7" t="s">
        <v>113</v>
      </c>
      <c r="F1368" s="7" t="s">
        <v>101</v>
      </c>
      <c r="G1368" s="7" t="s">
        <v>90</v>
      </c>
      <c r="H1368" s="7" t="n">
        <v>2</v>
      </c>
      <c r="I1368" s="11" t="n">
        <v>260</v>
      </c>
      <c r="J1368" s="11" t="n">
        <v>40</v>
      </c>
      <c r="K1368" s="11" t="n">
        <f aca="false">H1368*I1368-J1368</f>
        <v>480</v>
      </c>
      <c r="L1368" s="7" t="s">
        <v>103</v>
      </c>
      <c r="M1368" s="7" t="s">
        <v>194</v>
      </c>
      <c r="N1368" s="7" t="n">
        <v>56</v>
      </c>
      <c r="O1368" s="7" t="n">
        <v>4</v>
      </c>
    </row>
    <row r="1369" customFormat="false" ht="15" hidden="false" customHeight="false" outlineLevel="0" collapsed="false">
      <c r="A1369" s="7" t="s">
        <v>1988</v>
      </c>
      <c r="B1369" s="10" t="n">
        <v>45838</v>
      </c>
      <c r="C1369" s="7" t="s">
        <v>1684</v>
      </c>
      <c r="D1369" s="7" t="s">
        <v>1990</v>
      </c>
      <c r="E1369" s="7" t="s">
        <v>149</v>
      </c>
      <c r="F1369" s="7" t="s">
        <v>119</v>
      </c>
      <c r="G1369" s="7" t="s">
        <v>150</v>
      </c>
      <c r="H1369" s="7" t="n">
        <v>1</v>
      </c>
      <c r="I1369" s="11" t="n">
        <v>135</v>
      </c>
      <c r="J1369" s="11" t="n">
        <v>0</v>
      </c>
      <c r="K1369" s="11" t="n">
        <f aca="false">H1369*I1369-J1369</f>
        <v>135</v>
      </c>
      <c r="L1369" s="7" t="s">
        <v>133</v>
      </c>
      <c r="M1369" s="7" t="s">
        <v>194</v>
      </c>
      <c r="N1369" s="7" t="n">
        <v>27</v>
      </c>
      <c r="O1369" s="7" t="n">
        <v>4</v>
      </c>
    </row>
    <row r="1370" customFormat="false" ht="15" hidden="false" customHeight="false" outlineLevel="0" collapsed="false">
      <c r="A1370" s="7" t="s">
        <v>2371</v>
      </c>
      <c r="B1370" s="10" t="n">
        <v>45838</v>
      </c>
      <c r="C1370" s="7" t="s">
        <v>1449</v>
      </c>
      <c r="D1370" s="7" t="s">
        <v>1705</v>
      </c>
      <c r="E1370" s="7" t="s">
        <v>134</v>
      </c>
      <c r="F1370" s="7" t="s">
        <v>110</v>
      </c>
      <c r="G1370" s="7" t="s">
        <v>117</v>
      </c>
      <c r="H1370" s="7" t="n">
        <v>3</v>
      </c>
      <c r="I1370" s="11" t="n">
        <v>120</v>
      </c>
      <c r="J1370" s="11" t="n">
        <v>20</v>
      </c>
      <c r="K1370" s="11" t="n">
        <f aca="false">H1370*I1370-J1370</f>
        <v>340</v>
      </c>
      <c r="L1370" s="7" t="s">
        <v>88</v>
      </c>
      <c r="M1370" s="7" t="s">
        <v>194</v>
      </c>
      <c r="N1370" s="7" t="n">
        <v>44</v>
      </c>
      <c r="O1370" s="7" t="n">
        <v>3</v>
      </c>
    </row>
    <row r="1371" customFormat="false" ht="15" hidden="false" customHeight="false" outlineLevel="0" collapsed="false">
      <c r="A1371" s="7" t="s">
        <v>2993</v>
      </c>
      <c r="B1371" s="10" t="n">
        <v>45838</v>
      </c>
      <c r="C1371" s="7" t="s">
        <v>2390</v>
      </c>
      <c r="D1371" s="7" t="s">
        <v>2994</v>
      </c>
      <c r="E1371" s="7" t="s">
        <v>161</v>
      </c>
      <c r="F1371" s="7" t="s">
        <v>141</v>
      </c>
      <c r="G1371" s="7" t="s">
        <v>117</v>
      </c>
      <c r="H1371" s="7" t="n">
        <v>1</v>
      </c>
      <c r="I1371" s="11" t="n">
        <v>125</v>
      </c>
      <c r="J1371" s="11" t="n">
        <v>0</v>
      </c>
      <c r="K1371" s="11" t="n">
        <f aca="false">H1371*I1371-J1371</f>
        <v>125</v>
      </c>
      <c r="L1371" s="7" t="s">
        <v>88</v>
      </c>
      <c r="M1371" s="7" t="s">
        <v>194</v>
      </c>
      <c r="N1371" s="7" t="n">
        <v>50</v>
      </c>
      <c r="O1371" s="7" t="n">
        <v>5</v>
      </c>
    </row>
    <row r="1372" customFormat="false" ht="15" hidden="false" customHeight="false" outlineLevel="0" collapsed="false">
      <c r="A1372" s="7" t="s">
        <v>3556</v>
      </c>
      <c r="B1372" s="10" t="n">
        <v>45838</v>
      </c>
      <c r="C1372" s="7" t="s">
        <v>2921</v>
      </c>
      <c r="D1372" s="7" t="s">
        <v>3195</v>
      </c>
      <c r="E1372" s="7" t="s">
        <v>116</v>
      </c>
      <c r="F1372" s="7" t="s">
        <v>101</v>
      </c>
      <c r="G1372" s="7" t="s">
        <v>117</v>
      </c>
      <c r="H1372" s="7" t="n">
        <v>3</v>
      </c>
      <c r="I1372" s="11" t="n">
        <v>130</v>
      </c>
      <c r="J1372" s="11" t="n">
        <v>30</v>
      </c>
      <c r="K1372" s="11" t="n">
        <f aca="false">H1372*I1372-J1372</f>
        <v>360</v>
      </c>
      <c r="L1372" s="7" t="s">
        <v>88</v>
      </c>
      <c r="M1372" s="7" t="s">
        <v>194</v>
      </c>
      <c r="N1372" s="7" t="n">
        <v>36</v>
      </c>
      <c r="O1372" s="7" t="n">
        <v>4</v>
      </c>
    </row>
    <row r="1373" customFormat="false" ht="15" hidden="false" customHeight="false" outlineLevel="0" collapsed="false">
      <c r="A1373" s="7" t="s">
        <v>2816</v>
      </c>
      <c r="B1373" s="10" t="n">
        <v>45838</v>
      </c>
      <c r="C1373" s="7" t="s">
        <v>2817</v>
      </c>
      <c r="D1373" s="7" t="s">
        <v>2818</v>
      </c>
      <c r="E1373" s="7" t="s">
        <v>168</v>
      </c>
      <c r="F1373" s="7" t="s">
        <v>146</v>
      </c>
      <c r="G1373" s="7" t="s">
        <v>123</v>
      </c>
      <c r="H1373" s="7" t="n">
        <v>3</v>
      </c>
      <c r="I1373" s="11" t="n">
        <v>290</v>
      </c>
      <c r="J1373" s="11" t="n">
        <v>125</v>
      </c>
      <c r="K1373" s="11" t="n">
        <f aca="false">H1373*I1373-J1373</f>
        <v>745</v>
      </c>
      <c r="L1373" s="7" t="s">
        <v>93</v>
      </c>
      <c r="M1373" s="7" t="s">
        <v>194</v>
      </c>
      <c r="N1373" s="7" t="n">
        <v>44</v>
      </c>
      <c r="O1373" s="7" t="n">
        <v>5</v>
      </c>
    </row>
    <row r="1374" customFormat="false" ht="15" hidden="false" customHeight="false" outlineLevel="0" collapsed="false">
      <c r="A1374" s="7" t="s">
        <v>5312</v>
      </c>
      <c r="B1374" s="10" t="n">
        <v>45838</v>
      </c>
      <c r="C1374" s="7" t="s">
        <v>447</v>
      </c>
      <c r="D1374" s="7" t="s">
        <v>4533</v>
      </c>
      <c r="E1374" s="7" t="s">
        <v>130</v>
      </c>
      <c r="F1374" s="7" t="s">
        <v>110</v>
      </c>
      <c r="G1374" s="7" t="s">
        <v>90</v>
      </c>
      <c r="H1374" s="7" t="n">
        <v>2</v>
      </c>
      <c r="I1374" s="11" t="n">
        <v>225</v>
      </c>
      <c r="J1374" s="11" t="n">
        <v>0</v>
      </c>
      <c r="K1374" s="11" t="n">
        <f aca="false">H1374*I1374-J1374</f>
        <v>450</v>
      </c>
      <c r="L1374" s="7" t="s">
        <v>103</v>
      </c>
      <c r="M1374" s="7" t="s">
        <v>194</v>
      </c>
      <c r="N1374" s="7" t="n">
        <v>51</v>
      </c>
      <c r="O1374" s="7" t="n">
        <v>4</v>
      </c>
    </row>
    <row r="1375" customFormat="false" ht="15" hidden="false" customHeight="false" outlineLevel="0" collapsed="false">
      <c r="A1375" s="7" t="s">
        <v>5625</v>
      </c>
      <c r="B1375" s="10" t="n">
        <v>45838</v>
      </c>
      <c r="C1375" s="7" t="s">
        <v>3895</v>
      </c>
      <c r="D1375" s="7" t="s">
        <v>4809</v>
      </c>
      <c r="E1375" s="7" t="s">
        <v>168</v>
      </c>
      <c r="F1375" s="7" t="s">
        <v>146</v>
      </c>
      <c r="G1375" s="7" t="s">
        <v>123</v>
      </c>
      <c r="H1375" s="7" t="n">
        <v>1</v>
      </c>
      <c r="I1375" s="11" t="n">
        <v>295</v>
      </c>
      <c r="J1375" s="11" t="n">
        <v>0</v>
      </c>
      <c r="K1375" s="11" t="n">
        <f aca="false">H1375*I1375-J1375</f>
        <v>295</v>
      </c>
      <c r="L1375" s="7" t="s">
        <v>88</v>
      </c>
      <c r="M1375" s="7" t="s">
        <v>194</v>
      </c>
      <c r="N1375" s="7" t="n">
        <v>30</v>
      </c>
      <c r="O1375" s="7" t="n">
        <v>5</v>
      </c>
    </row>
    <row r="1376" customFormat="false" ht="15" hidden="false" customHeight="false" outlineLevel="0" collapsed="false">
      <c r="A1376" s="7" t="s">
        <v>2586</v>
      </c>
      <c r="B1376" s="10" t="n">
        <v>45839</v>
      </c>
      <c r="C1376" s="7" t="s">
        <v>2588</v>
      </c>
      <c r="D1376" s="7" t="s">
        <v>2589</v>
      </c>
      <c r="E1376" s="7" t="s">
        <v>154</v>
      </c>
      <c r="F1376" s="7" t="s">
        <v>128</v>
      </c>
      <c r="G1376" s="7" t="s">
        <v>99</v>
      </c>
      <c r="H1376" s="7" t="n">
        <v>3</v>
      </c>
      <c r="I1376" s="11" t="n">
        <v>240</v>
      </c>
      <c r="J1376" s="11" t="n">
        <v>0</v>
      </c>
      <c r="K1376" s="11" t="n">
        <f aca="false">H1376*I1376-J1376</f>
        <v>720</v>
      </c>
      <c r="L1376" s="7" t="s">
        <v>112</v>
      </c>
      <c r="M1376" s="7" t="s">
        <v>194</v>
      </c>
      <c r="N1376" s="7" t="n">
        <v>30</v>
      </c>
      <c r="O1376" s="7" t="n">
        <v>4</v>
      </c>
    </row>
    <row r="1377" customFormat="false" ht="15" hidden="false" customHeight="false" outlineLevel="0" collapsed="false">
      <c r="A1377" s="7" t="s">
        <v>2625</v>
      </c>
      <c r="B1377" s="10" t="n">
        <v>45839</v>
      </c>
      <c r="C1377" s="7" t="s">
        <v>697</v>
      </c>
      <c r="D1377" s="7" t="s">
        <v>1661</v>
      </c>
      <c r="E1377" s="7" t="s">
        <v>130</v>
      </c>
      <c r="F1377" s="7" t="s">
        <v>110</v>
      </c>
      <c r="G1377" s="7" t="s">
        <v>90</v>
      </c>
      <c r="H1377" s="7" t="n">
        <v>3</v>
      </c>
      <c r="I1377" s="11" t="n">
        <v>285</v>
      </c>
      <c r="J1377" s="11" t="n">
        <v>0</v>
      </c>
      <c r="K1377" s="11" t="n">
        <f aca="false">H1377*I1377-J1377</f>
        <v>855</v>
      </c>
      <c r="L1377" s="7" t="s">
        <v>88</v>
      </c>
      <c r="M1377" s="7" t="s">
        <v>194</v>
      </c>
      <c r="N1377" s="7" t="n">
        <v>33</v>
      </c>
      <c r="O1377" s="7" t="n">
        <v>3</v>
      </c>
    </row>
    <row r="1378" customFormat="false" ht="15" hidden="false" customHeight="false" outlineLevel="0" collapsed="false">
      <c r="A1378" s="7" t="s">
        <v>4857</v>
      </c>
      <c r="B1378" s="10" t="n">
        <v>45839</v>
      </c>
      <c r="C1378" s="7" t="s">
        <v>686</v>
      </c>
      <c r="D1378" s="7" t="s">
        <v>2459</v>
      </c>
      <c r="E1378" s="7" t="s">
        <v>149</v>
      </c>
      <c r="F1378" s="7" t="s">
        <v>119</v>
      </c>
      <c r="G1378" s="7" t="s">
        <v>150</v>
      </c>
      <c r="H1378" s="7" t="n">
        <v>3</v>
      </c>
      <c r="I1378" s="11" t="n">
        <v>190</v>
      </c>
      <c r="J1378" s="11" t="n">
        <v>0</v>
      </c>
      <c r="K1378" s="11" t="n">
        <f aca="false">H1378*I1378-J1378</f>
        <v>570</v>
      </c>
      <c r="L1378" s="7" t="s">
        <v>133</v>
      </c>
      <c r="M1378" s="7" t="s">
        <v>194</v>
      </c>
      <c r="N1378" s="7" t="n">
        <v>39</v>
      </c>
      <c r="O1378" s="7" t="n">
        <v>5</v>
      </c>
    </row>
    <row r="1379" customFormat="false" ht="15" hidden="false" customHeight="false" outlineLevel="0" collapsed="false">
      <c r="A1379" s="7" t="s">
        <v>5793</v>
      </c>
      <c r="B1379" s="10" t="n">
        <v>45840</v>
      </c>
      <c r="C1379" s="7" t="s">
        <v>3415</v>
      </c>
      <c r="D1379" s="7" t="s">
        <v>3761</v>
      </c>
      <c r="E1379" s="7" t="s">
        <v>138</v>
      </c>
      <c r="F1379" s="7" t="s">
        <v>110</v>
      </c>
      <c r="G1379" s="7" t="s">
        <v>139</v>
      </c>
      <c r="H1379" s="7" t="n">
        <v>2</v>
      </c>
      <c r="I1379" s="11" t="n">
        <v>230</v>
      </c>
      <c r="J1379" s="11" t="n">
        <v>0</v>
      </c>
      <c r="K1379" s="11" t="n">
        <f aca="false">H1379*I1379-J1379</f>
        <v>460</v>
      </c>
      <c r="L1379" s="7" t="s">
        <v>93</v>
      </c>
      <c r="M1379" s="7" t="s">
        <v>194</v>
      </c>
      <c r="N1379" s="7" t="n">
        <v>41</v>
      </c>
      <c r="O1379" s="7" t="n">
        <v>4</v>
      </c>
    </row>
    <row r="1380" customFormat="false" ht="15" hidden="false" customHeight="false" outlineLevel="0" collapsed="false">
      <c r="A1380" s="7" t="s">
        <v>3985</v>
      </c>
      <c r="B1380" s="10" t="n">
        <v>45840</v>
      </c>
      <c r="C1380" s="7" t="s">
        <v>2456</v>
      </c>
      <c r="D1380" s="7" t="s">
        <v>908</v>
      </c>
      <c r="E1380" s="7" t="s">
        <v>94</v>
      </c>
      <c r="F1380" s="7" t="s">
        <v>86</v>
      </c>
      <c r="G1380" s="7" t="s">
        <v>95</v>
      </c>
      <c r="H1380" s="7" t="n">
        <v>3</v>
      </c>
      <c r="I1380" s="11" t="n">
        <v>135</v>
      </c>
      <c r="J1380" s="11" t="n">
        <v>30</v>
      </c>
      <c r="K1380" s="11" t="n">
        <f aca="false">H1380*I1380-J1380</f>
        <v>375</v>
      </c>
      <c r="L1380" s="7" t="s">
        <v>93</v>
      </c>
      <c r="M1380" s="7" t="s">
        <v>194</v>
      </c>
      <c r="N1380" s="7" t="n">
        <v>36</v>
      </c>
      <c r="O1380" s="7"/>
    </row>
    <row r="1381" customFormat="false" ht="15" hidden="false" customHeight="false" outlineLevel="0" collapsed="false">
      <c r="A1381" s="7" t="s">
        <v>4781</v>
      </c>
      <c r="B1381" s="10" t="n">
        <v>45840</v>
      </c>
      <c r="C1381" s="7" t="s">
        <v>213</v>
      </c>
      <c r="D1381" s="7" t="s">
        <v>2034</v>
      </c>
      <c r="E1381" s="7" t="s">
        <v>147</v>
      </c>
      <c r="F1381" s="7" t="s">
        <v>119</v>
      </c>
      <c r="G1381" s="7" t="s">
        <v>95</v>
      </c>
      <c r="H1381" s="7" t="n">
        <v>3</v>
      </c>
      <c r="I1381" s="11" t="n">
        <v>130</v>
      </c>
      <c r="J1381" s="11" t="n">
        <v>0</v>
      </c>
      <c r="K1381" s="11" t="n">
        <f aca="false">H1381*I1381-J1381</f>
        <v>390</v>
      </c>
      <c r="L1381" s="7" t="s">
        <v>121</v>
      </c>
      <c r="M1381" s="7" t="s">
        <v>194</v>
      </c>
      <c r="N1381" s="7" t="n">
        <v>42</v>
      </c>
      <c r="O1381" s="7"/>
    </row>
    <row r="1382" customFormat="false" ht="15" hidden="false" customHeight="false" outlineLevel="0" collapsed="false">
      <c r="A1382" s="7" t="s">
        <v>5715</v>
      </c>
      <c r="B1382" s="10" t="n">
        <v>45840</v>
      </c>
      <c r="C1382" s="7" t="s">
        <v>232</v>
      </c>
      <c r="D1382" s="7" t="s">
        <v>2086</v>
      </c>
      <c r="E1382" s="7" t="s">
        <v>154</v>
      </c>
      <c r="F1382" s="7" t="s">
        <v>128</v>
      </c>
      <c r="G1382" s="7" t="s">
        <v>99</v>
      </c>
      <c r="H1382" s="7" t="n">
        <v>5</v>
      </c>
      <c r="I1382" s="11" t="n">
        <v>270</v>
      </c>
      <c r="J1382" s="11" t="n">
        <v>20</v>
      </c>
      <c r="K1382" s="11" t="n">
        <f aca="false">H1382*I1382-J1382</f>
        <v>1330</v>
      </c>
      <c r="L1382" s="7" t="s">
        <v>121</v>
      </c>
      <c r="M1382" s="7" t="s">
        <v>194</v>
      </c>
      <c r="N1382" s="7" t="n">
        <v>27</v>
      </c>
      <c r="O1382" s="7" t="n">
        <v>3</v>
      </c>
    </row>
    <row r="1383" customFormat="false" ht="15" hidden="false" customHeight="false" outlineLevel="0" collapsed="false">
      <c r="A1383" s="7" t="s">
        <v>4108</v>
      </c>
      <c r="B1383" s="10" t="n">
        <v>45840</v>
      </c>
      <c r="C1383" s="7" t="s">
        <v>2856</v>
      </c>
      <c r="D1383" s="7" t="s">
        <v>744</v>
      </c>
      <c r="E1383" s="7" t="s">
        <v>89</v>
      </c>
      <c r="F1383" s="7" t="s">
        <v>86</v>
      </c>
      <c r="G1383" s="7" t="s">
        <v>90</v>
      </c>
      <c r="H1383" s="7" t="n">
        <v>5</v>
      </c>
      <c r="I1383" s="11" t="n">
        <v>205</v>
      </c>
      <c r="J1383" s="11" t="n">
        <v>30</v>
      </c>
      <c r="K1383" s="11" t="n">
        <f aca="false">H1383*I1383-J1383</f>
        <v>995</v>
      </c>
      <c r="L1383" s="7" t="s">
        <v>88</v>
      </c>
      <c r="M1383" s="7" t="s">
        <v>194</v>
      </c>
      <c r="N1383" s="7" t="n">
        <v>49</v>
      </c>
      <c r="O1383" s="7" t="n">
        <v>4</v>
      </c>
    </row>
    <row r="1384" customFormat="false" ht="15" hidden="false" customHeight="false" outlineLevel="0" collapsed="false">
      <c r="A1384" s="7" t="s">
        <v>2790</v>
      </c>
      <c r="B1384" s="10" t="n">
        <v>45841</v>
      </c>
      <c r="C1384" s="7" t="s">
        <v>2791</v>
      </c>
      <c r="D1384" s="7" t="s">
        <v>2792</v>
      </c>
      <c r="E1384" s="7" t="s">
        <v>168</v>
      </c>
      <c r="F1384" s="7" t="s">
        <v>146</v>
      </c>
      <c r="G1384" s="7" t="s">
        <v>123</v>
      </c>
      <c r="H1384" s="7" t="n">
        <v>1</v>
      </c>
      <c r="I1384" s="11" t="n">
        <v>350</v>
      </c>
      <c r="J1384" s="11" t="n">
        <v>30</v>
      </c>
      <c r="K1384" s="11" t="n">
        <f aca="false">H1384*I1384-J1384</f>
        <v>320</v>
      </c>
      <c r="L1384" s="7" t="s">
        <v>88</v>
      </c>
      <c r="M1384" s="7" t="s">
        <v>194</v>
      </c>
      <c r="N1384" s="7" t="n">
        <v>22</v>
      </c>
      <c r="O1384" s="7" t="n">
        <v>4</v>
      </c>
    </row>
    <row r="1385" customFormat="false" ht="15" hidden="false" customHeight="false" outlineLevel="0" collapsed="false">
      <c r="A1385" s="7" t="s">
        <v>5777</v>
      </c>
      <c r="B1385" s="10" t="n">
        <v>45841</v>
      </c>
      <c r="C1385" s="7" t="s">
        <v>2266</v>
      </c>
      <c r="D1385" s="7" t="s">
        <v>4415</v>
      </c>
      <c r="E1385" s="7" t="s">
        <v>104</v>
      </c>
      <c r="F1385" s="7" t="s">
        <v>86</v>
      </c>
      <c r="G1385" s="7" t="s">
        <v>105</v>
      </c>
      <c r="H1385" s="7" t="n">
        <v>3</v>
      </c>
      <c r="I1385" s="11" t="n">
        <v>210</v>
      </c>
      <c r="J1385" s="11" t="n">
        <v>0</v>
      </c>
      <c r="K1385" s="11" t="n">
        <f aca="false">H1385*I1385-J1385</f>
        <v>630</v>
      </c>
      <c r="L1385" s="7" t="s">
        <v>133</v>
      </c>
      <c r="M1385" s="7" t="s">
        <v>194</v>
      </c>
      <c r="N1385" s="7" t="n">
        <v>39</v>
      </c>
      <c r="O1385" s="7"/>
    </row>
    <row r="1386" customFormat="false" ht="15" hidden="false" customHeight="false" outlineLevel="0" collapsed="false">
      <c r="A1386" s="7" t="s">
        <v>4518</v>
      </c>
      <c r="B1386" s="10" t="n">
        <v>45841</v>
      </c>
      <c r="C1386" s="7" t="s">
        <v>1812</v>
      </c>
      <c r="D1386" s="7" t="s">
        <v>4100</v>
      </c>
      <c r="E1386" s="7" t="s">
        <v>130</v>
      </c>
      <c r="F1386" s="7" t="s">
        <v>110</v>
      </c>
      <c r="G1386" s="7" t="s">
        <v>90</v>
      </c>
      <c r="H1386" s="7" t="n">
        <v>5</v>
      </c>
      <c r="I1386" s="11" t="n">
        <v>255</v>
      </c>
      <c r="J1386" s="11" t="n">
        <v>100</v>
      </c>
      <c r="K1386" s="11" t="n">
        <f aca="false">H1386*I1386-J1386</f>
        <v>1175</v>
      </c>
      <c r="L1386" s="7" t="s">
        <v>93</v>
      </c>
      <c r="M1386" s="7" t="s">
        <v>194</v>
      </c>
      <c r="N1386" s="7" t="n">
        <v>36</v>
      </c>
      <c r="O1386" s="7" t="n">
        <v>5</v>
      </c>
    </row>
    <row r="1387" customFormat="false" ht="15" hidden="false" customHeight="false" outlineLevel="0" collapsed="false">
      <c r="A1387" s="7" t="s">
        <v>2237</v>
      </c>
      <c r="B1387" s="10" t="n">
        <v>45841</v>
      </c>
      <c r="C1387" s="7" t="s">
        <v>1812</v>
      </c>
      <c r="D1387" s="7" t="s">
        <v>2238</v>
      </c>
      <c r="E1387" s="7" t="s">
        <v>142</v>
      </c>
      <c r="F1387" s="7" t="s">
        <v>110</v>
      </c>
      <c r="G1387" s="7" t="s">
        <v>105</v>
      </c>
      <c r="H1387" s="7" t="n">
        <v>1</v>
      </c>
      <c r="I1387" s="11" t="n">
        <v>155</v>
      </c>
      <c r="J1387" s="11" t="n">
        <v>62</v>
      </c>
      <c r="K1387" s="11" t="n">
        <f aca="false">H1387*I1387-J1387</f>
        <v>93</v>
      </c>
      <c r="L1387" s="7" t="s">
        <v>121</v>
      </c>
      <c r="M1387" s="7" t="s">
        <v>194</v>
      </c>
      <c r="N1387" s="7" t="n">
        <v>43</v>
      </c>
      <c r="O1387" s="7" t="n">
        <v>4</v>
      </c>
    </row>
    <row r="1388" customFormat="false" ht="15" hidden="false" customHeight="false" outlineLevel="0" collapsed="false">
      <c r="A1388" s="7" t="s">
        <v>3980</v>
      </c>
      <c r="B1388" s="10" t="n">
        <v>45841</v>
      </c>
      <c r="C1388" s="7" t="s">
        <v>2882</v>
      </c>
      <c r="D1388" s="7" t="s">
        <v>2622</v>
      </c>
      <c r="E1388" s="7" t="s">
        <v>154</v>
      </c>
      <c r="F1388" s="7" t="s">
        <v>128</v>
      </c>
      <c r="G1388" s="7" t="s">
        <v>99</v>
      </c>
      <c r="H1388" s="7" t="n">
        <v>2</v>
      </c>
      <c r="I1388" s="11" t="n">
        <v>325</v>
      </c>
      <c r="J1388" s="11" t="n">
        <v>75</v>
      </c>
      <c r="K1388" s="11" t="n">
        <f aca="false">H1388*I1388-J1388</f>
        <v>575</v>
      </c>
      <c r="L1388" s="7" t="s">
        <v>112</v>
      </c>
      <c r="M1388" s="7" t="s">
        <v>194</v>
      </c>
      <c r="N1388" s="7" t="n">
        <v>40</v>
      </c>
      <c r="O1388" s="7" t="n">
        <v>3</v>
      </c>
    </row>
    <row r="1389" customFormat="false" ht="15" hidden="false" customHeight="false" outlineLevel="0" collapsed="false">
      <c r="A1389" s="7" t="s">
        <v>771</v>
      </c>
      <c r="B1389" s="10" t="n">
        <v>45841</v>
      </c>
      <c r="C1389" s="7" t="s">
        <v>772</v>
      </c>
      <c r="D1389" s="7" t="s">
        <v>773</v>
      </c>
      <c r="E1389" s="7" t="s">
        <v>149</v>
      </c>
      <c r="F1389" s="7" t="s">
        <v>119</v>
      </c>
      <c r="G1389" s="7" t="s">
        <v>150</v>
      </c>
      <c r="H1389" s="7" t="n">
        <v>3</v>
      </c>
      <c r="I1389" s="11" t="n">
        <v>180</v>
      </c>
      <c r="J1389" s="11" t="n">
        <v>0</v>
      </c>
      <c r="K1389" s="11" t="n">
        <f aca="false">H1389*I1389-J1389</f>
        <v>540</v>
      </c>
      <c r="L1389" s="7" t="s">
        <v>103</v>
      </c>
      <c r="M1389" s="7" t="s">
        <v>194</v>
      </c>
      <c r="N1389" s="7" t="n">
        <v>23</v>
      </c>
      <c r="O1389" s="7" t="n">
        <v>5</v>
      </c>
    </row>
    <row r="1390" customFormat="false" ht="15" hidden="false" customHeight="false" outlineLevel="0" collapsed="false">
      <c r="A1390" s="7" t="s">
        <v>6105</v>
      </c>
      <c r="B1390" s="10" t="n">
        <v>45841</v>
      </c>
      <c r="C1390" s="7" t="s">
        <v>1761</v>
      </c>
      <c r="D1390" s="7" t="s">
        <v>1333</v>
      </c>
      <c r="E1390" s="7" t="s">
        <v>126</v>
      </c>
      <c r="F1390" s="7" t="s">
        <v>101</v>
      </c>
      <c r="G1390" s="7" t="s">
        <v>105</v>
      </c>
      <c r="H1390" s="7" t="n">
        <v>1</v>
      </c>
      <c r="I1390" s="11" t="n">
        <v>210</v>
      </c>
      <c r="J1390" s="11" t="n">
        <v>75</v>
      </c>
      <c r="K1390" s="11" t="n">
        <f aca="false">H1390*I1390-J1390</f>
        <v>135</v>
      </c>
      <c r="L1390" s="7" t="s">
        <v>88</v>
      </c>
      <c r="M1390" s="7" t="s">
        <v>238</v>
      </c>
      <c r="N1390" s="7"/>
      <c r="O1390" s="7"/>
    </row>
    <row r="1391" customFormat="false" ht="15" hidden="false" customHeight="false" outlineLevel="0" collapsed="false">
      <c r="A1391" s="7" t="s">
        <v>1483</v>
      </c>
      <c r="B1391" s="10" t="n">
        <v>45841</v>
      </c>
      <c r="C1391" s="7" t="s">
        <v>1301</v>
      </c>
      <c r="D1391" s="7" t="s">
        <v>1484</v>
      </c>
      <c r="E1391" s="7" t="s">
        <v>126</v>
      </c>
      <c r="F1391" s="7" t="s">
        <v>101</v>
      </c>
      <c r="G1391" s="7" t="s">
        <v>105</v>
      </c>
      <c r="H1391" s="7" t="n">
        <v>3</v>
      </c>
      <c r="I1391" s="11" t="n">
        <v>210</v>
      </c>
      <c r="J1391" s="11" t="n">
        <v>75</v>
      </c>
      <c r="K1391" s="11" t="n">
        <f aca="false">H1391*I1391-J1391</f>
        <v>555</v>
      </c>
      <c r="L1391" s="7" t="s">
        <v>121</v>
      </c>
      <c r="M1391" s="7" t="s">
        <v>194</v>
      </c>
      <c r="N1391" s="7" t="n">
        <v>49</v>
      </c>
      <c r="O1391" s="7" t="n">
        <v>3</v>
      </c>
    </row>
    <row r="1392" customFormat="false" ht="15" hidden="false" customHeight="false" outlineLevel="0" collapsed="false">
      <c r="A1392" s="7" t="s">
        <v>363</v>
      </c>
      <c r="B1392" s="10" t="n">
        <v>45841</v>
      </c>
      <c r="C1392" s="7" t="s">
        <v>365</v>
      </c>
      <c r="D1392" s="7" t="s">
        <v>366</v>
      </c>
      <c r="E1392" s="7" t="s">
        <v>138</v>
      </c>
      <c r="F1392" s="7" t="s">
        <v>110</v>
      </c>
      <c r="G1392" s="7" t="s">
        <v>139</v>
      </c>
      <c r="H1392" s="7" t="n">
        <v>2</v>
      </c>
      <c r="I1392" s="11" t="n">
        <v>240</v>
      </c>
      <c r="J1392" s="11" t="n">
        <v>30</v>
      </c>
      <c r="K1392" s="11" t="n">
        <f aca="false">H1392*I1392-J1392</f>
        <v>450</v>
      </c>
      <c r="L1392" s="7" t="s">
        <v>112</v>
      </c>
      <c r="M1392" s="7" t="s">
        <v>194</v>
      </c>
      <c r="N1392" s="7" t="n">
        <v>32</v>
      </c>
      <c r="O1392" s="7" t="n">
        <v>3</v>
      </c>
    </row>
    <row r="1393" customFormat="false" ht="15" hidden="false" customHeight="false" outlineLevel="0" collapsed="false">
      <c r="A1393" s="7" t="s">
        <v>3006</v>
      </c>
      <c r="B1393" s="10" t="n">
        <v>45842</v>
      </c>
      <c r="C1393" s="7" t="s">
        <v>534</v>
      </c>
      <c r="D1393" s="7" t="s">
        <v>2424</v>
      </c>
      <c r="E1393" s="7" t="s">
        <v>168</v>
      </c>
      <c r="F1393" s="7" t="s">
        <v>146</v>
      </c>
      <c r="G1393" s="7" t="s">
        <v>123</v>
      </c>
      <c r="H1393" s="7" t="n">
        <v>2</v>
      </c>
      <c r="I1393" s="11" t="n">
        <v>315</v>
      </c>
      <c r="J1393" s="11" t="n">
        <v>40</v>
      </c>
      <c r="K1393" s="11" t="n">
        <f aca="false">H1393*I1393-J1393</f>
        <v>590</v>
      </c>
      <c r="L1393" s="7" t="s">
        <v>88</v>
      </c>
      <c r="M1393" s="7" t="s">
        <v>194</v>
      </c>
      <c r="N1393" s="7" t="n">
        <v>27</v>
      </c>
      <c r="O1393" s="7" t="n">
        <v>5</v>
      </c>
    </row>
    <row r="1394" customFormat="false" ht="15" hidden="false" customHeight="false" outlineLevel="0" collapsed="false">
      <c r="A1394" s="7" t="s">
        <v>4928</v>
      </c>
      <c r="B1394" s="10" t="n">
        <v>45842</v>
      </c>
      <c r="C1394" s="7" t="s">
        <v>759</v>
      </c>
      <c r="D1394" s="7" t="s">
        <v>658</v>
      </c>
      <c r="E1394" s="7" t="s">
        <v>122</v>
      </c>
      <c r="F1394" s="7" t="s">
        <v>101</v>
      </c>
      <c r="G1394" s="7" t="s">
        <v>123</v>
      </c>
      <c r="H1394" s="7" t="n">
        <v>1</v>
      </c>
      <c r="I1394" s="11" t="n">
        <v>300</v>
      </c>
      <c r="J1394" s="11" t="n">
        <v>0</v>
      </c>
      <c r="K1394" s="11" t="n">
        <f aca="false">H1394*I1394-J1394</f>
        <v>300</v>
      </c>
      <c r="L1394" s="7" t="s">
        <v>88</v>
      </c>
      <c r="M1394" s="7" t="s">
        <v>194</v>
      </c>
      <c r="N1394" s="7" t="n">
        <v>32</v>
      </c>
      <c r="O1394" s="7" t="n">
        <v>5</v>
      </c>
    </row>
    <row r="1395" customFormat="false" ht="15" hidden="false" customHeight="false" outlineLevel="0" collapsed="false">
      <c r="A1395" s="7" t="s">
        <v>1350</v>
      </c>
      <c r="B1395" s="10" t="n">
        <v>45842</v>
      </c>
      <c r="C1395" s="7" t="s">
        <v>415</v>
      </c>
      <c r="D1395" s="7" t="s">
        <v>1352</v>
      </c>
      <c r="E1395" s="7" t="s">
        <v>130</v>
      </c>
      <c r="F1395" s="7" t="s">
        <v>110</v>
      </c>
      <c r="G1395" s="7" t="s">
        <v>90</v>
      </c>
      <c r="H1395" s="7" t="n">
        <v>2</v>
      </c>
      <c r="I1395" s="11" t="n">
        <v>210</v>
      </c>
      <c r="J1395" s="11" t="n">
        <v>20</v>
      </c>
      <c r="K1395" s="11" t="n">
        <f aca="false">H1395*I1395-J1395</f>
        <v>400</v>
      </c>
      <c r="L1395" s="7" t="s">
        <v>93</v>
      </c>
      <c r="M1395" s="7" t="s">
        <v>194</v>
      </c>
      <c r="N1395" s="7" t="n">
        <v>40</v>
      </c>
      <c r="O1395" s="7" t="n">
        <v>3</v>
      </c>
    </row>
    <row r="1396" customFormat="false" ht="15" hidden="false" customHeight="false" outlineLevel="0" collapsed="false">
      <c r="A1396" s="7" t="s">
        <v>3858</v>
      </c>
      <c r="B1396" s="10" t="n">
        <v>45842</v>
      </c>
      <c r="C1396" s="7" t="s">
        <v>327</v>
      </c>
      <c r="D1396" s="7" t="s">
        <v>3859</v>
      </c>
      <c r="E1396" s="7" t="s">
        <v>104</v>
      </c>
      <c r="F1396" s="7" t="s">
        <v>86</v>
      </c>
      <c r="G1396" s="7" t="s">
        <v>105</v>
      </c>
      <c r="H1396" s="7" t="n">
        <v>1</v>
      </c>
      <c r="I1396" s="11" t="n">
        <v>200</v>
      </c>
      <c r="J1396" s="11" t="n">
        <v>0</v>
      </c>
      <c r="K1396" s="11" t="n">
        <f aca="false">H1396*I1396-J1396</f>
        <v>200</v>
      </c>
      <c r="L1396" s="7" t="s">
        <v>88</v>
      </c>
      <c r="M1396" s="7" t="s">
        <v>238</v>
      </c>
      <c r="N1396" s="7"/>
      <c r="O1396" s="7"/>
    </row>
    <row r="1397" customFormat="false" ht="15" hidden="false" customHeight="false" outlineLevel="0" collapsed="false">
      <c r="A1397" s="7" t="s">
        <v>2611</v>
      </c>
      <c r="B1397" s="10" t="n">
        <v>45842</v>
      </c>
      <c r="C1397" s="7" t="s">
        <v>1764</v>
      </c>
      <c r="D1397" s="7" t="s">
        <v>2612</v>
      </c>
      <c r="E1397" s="7" t="s">
        <v>148</v>
      </c>
      <c r="F1397" s="7" t="s">
        <v>119</v>
      </c>
      <c r="G1397" s="7" t="s">
        <v>123</v>
      </c>
      <c r="H1397" s="7" t="n">
        <v>4</v>
      </c>
      <c r="I1397" s="11" t="n">
        <v>335</v>
      </c>
      <c r="J1397" s="11" t="n">
        <v>20</v>
      </c>
      <c r="K1397" s="11" t="n">
        <f aca="false">H1397*I1397-J1397</f>
        <v>1320</v>
      </c>
      <c r="L1397" s="7" t="s">
        <v>88</v>
      </c>
      <c r="M1397" s="7" t="s">
        <v>194</v>
      </c>
      <c r="N1397" s="7" t="n">
        <v>28</v>
      </c>
      <c r="O1397" s="7" t="n">
        <v>5</v>
      </c>
    </row>
    <row r="1398" customFormat="false" ht="15" hidden="false" customHeight="false" outlineLevel="0" collapsed="false">
      <c r="A1398" s="7" t="s">
        <v>1982</v>
      </c>
      <c r="B1398" s="10" t="n">
        <v>45842</v>
      </c>
      <c r="C1398" s="7" t="s">
        <v>1983</v>
      </c>
      <c r="D1398" s="7" t="s">
        <v>1225</v>
      </c>
      <c r="E1398" s="7" t="s">
        <v>104</v>
      </c>
      <c r="F1398" s="7" t="s">
        <v>86</v>
      </c>
      <c r="G1398" s="7" t="s">
        <v>105</v>
      </c>
      <c r="H1398" s="7" t="n">
        <v>3</v>
      </c>
      <c r="I1398" s="11" t="n">
        <v>235</v>
      </c>
      <c r="J1398" s="11" t="n">
        <v>0</v>
      </c>
      <c r="K1398" s="11" t="n">
        <f aca="false">H1398*I1398-J1398</f>
        <v>705</v>
      </c>
      <c r="L1398" s="7" t="s">
        <v>88</v>
      </c>
      <c r="M1398" s="7" t="s">
        <v>194</v>
      </c>
      <c r="N1398" s="7" t="n">
        <v>57</v>
      </c>
      <c r="O1398" s="7" t="n">
        <v>3</v>
      </c>
    </row>
    <row r="1399" customFormat="false" ht="15" hidden="false" customHeight="false" outlineLevel="0" collapsed="false">
      <c r="A1399" s="7" t="s">
        <v>5812</v>
      </c>
      <c r="B1399" s="10" t="n">
        <v>45842</v>
      </c>
      <c r="C1399" s="7" t="s">
        <v>2292</v>
      </c>
      <c r="D1399" s="7" t="s">
        <v>4223</v>
      </c>
      <c r="E1399" s="7" t="s">
        <v>148</v>
      </c>
      <c r="F1399" s="7" t="s">
        <v>119</v>
      </c>
      <c r="G1399" s="7" t="s">
        <v>123</v>
      </c>
      <c r="H1399" s="7" t="n">
        <v>1</v>
      </c>
      <c r="I1399" s="11" t="n">
        <v>300</v>
      </c>
      <c r="J1399" s="11" t="n">
        <v>30</v>
      </c>
      <c r="K1399" s="11" t="n">
        <f aca="false">H1399*I1399-J1399</f>
        <v>270</v>
      </c>
      <c r="L1399" s="7" t="s">
        <v>88</v>
      </c>
      <c r="M1399" s="7" t="s">
        <v>194</v>
      </c>
      <c r="N1399" s="7" t="n">
        <v>40</v>
      </c>
      <c r="O1399" s="7" t="n">
        <v>4</v>
      </c>
    </row>
    <row r="1400" customFormat="false" ht="15" hidden="false" customHeight="false" outlineLevel="0" collapsed="false">
      <c r="A1400" s="7" t="s">
        <v>3480</v>
      </c>
      <c r="B1400" s="10" t="n">
        <v>45842</v>
      </c>
      <c r="C1400" s="7" t="s">
        <v>201</v>
      </c>
      <c r="D1400" s="7" t="s">
        <v>1738</v>
      </c>
      <c r="E1400" s="7" t="s">
        <v>168</v>
      </c>
      <c r="F1400" s="7" t="s">
        <v>146</v>
      </c>
      <c r="G1400" s="7" t="s">
        <v>123</v>
      </c>
      <c r="H1400" s="7" t="n">
        <v>3</v>
      </c>
      <c r="I1400" s="11" t="n">
        <v>355</v>
      </c>
      <c r="J1400" s="11" t="n">
        <v>0</v>
      </c>
      <c r="K1400" s="11" t="n">
        <f aca="false">H1400*I1400-J1400</f>
        <v>1065</v>
      </c>
      <c r="L1400" s="7" t="s">
        <v>88</v>
      </c>
      <c r="M1400" s="7" t="s">
        <v>194</v>
      </c>
      <c r="N1400" s="7" t="n">
        <v>35</v>
      </c>
      <c r="O1400" s="7" t="n">
        <v>4</v>
      </c>
    </row>
    <row r="1401" customFormat="false" ht="15" hidden="false" customHeight="false" outlineLevel="0" collapsed="false">
      <c r="A1401" s="7" t="s">
        <v>3829</v>
      </c>
      <c r="B1401" s="10" t="n">
        <v>45842</v>
      </c>
      <c r="C1401" s="7" t="s">
        <v>3346</v>
      </c>
      <c r="D1401" s="7" t="s">
        <v>1705</v>
      </c>
      <c r="E1401" s="7" t="s">
        <v>126</v>
      </c>
      <c r="F1401" s="7" t="s">
        <v>101</v>
      </c>
      <c r="G1401" s="7" t="s">
        <v>105</v>
      </c>
      <c r="H1401" s="7" t="n">
        <v>2</v>
      </c>
      <c r="I1401" s="11" t="n">
        <v>205</v>
      </c>
      <c r="J1401" s="11" t="n">
        <v>0</v>
      </c>
      <c r="K1401" s="11" t="n">
        <f aca="false">H1401*I1401-J1401</f>
        <v>410</v>
      </c>
      <c r="L1401" s="7" t="s">
        <v>88</v>
      </c>
      <c r="M1401" s="7" t="s">
        <v>194</v>
      </c>
      <c r="N1401" s="7" t="n">
        <v>48</v>
      </c>
      <c r="O1401" s="7" t="n">
        <v>2</v>
      </c>
    </row>
    <row r="1402" customFormat="false" ht="15" hidden="false" customHeight="false" outlineLevel="0" collapsed="false">
      <c r="A1402" s="7" t="s">
        <v>5291</v>
      </c>
      <c r="B1402" s="10" t="n">
        <v>45843</v>
      </c>
      <c r="C1402" s="7" t="s">
        <v>284</v>
      </c>
      <c r="D1402" s="7" t="s">
        <v>797</v>
      </c>
      <c r="E1402" s="7" t="s">
        <v>113</v>
      </c>
      <c r="F1402" s="7" t="s">
        <v>101</v>
      </c>
      <c r="G1402" s="7" t="s">
        <v>90</v>
      </c>
      <c r="H1402" s="7" t="n">
        <v>4</v>
      </c>
      <c r="I1402" s="11" t="n">
        <v>280</v>
      </c>
      <c r="J1402" s="11" t="n">
        <v>0</v>
      </c>
      <c r="K1402" s="11" t="n">
        <f aca="false">H1402*I1402-J1402</f>
        <v>1120</v>
      </c>
      <c r="L1402" s="7" t="s">
        <v>93</v>
      </c>
      <c r="M1402" s="7" t="s">
        <v>194</v>
      </c>
      <c r="N1402" s="7" t="n">
        <v>39</v>
      </c>
      <c r="O1402" s="7" t="n">
        <v>4</v>
      </c>
    </row>
    <row r="1403" customFormat="false" ht="15" hidden="false" customHeight="false" outlineLevel="0" collapsed="false">
      <c r="A1403" s="7" t="s">
        <v>3497</v>
      </c>
      <c r="B1403" s="10" t="n">
        <v>45843</v>
      </c>
      <c r="C1403" s="7" t="s">
        <v>3259</v>
      </c>
      <c r="D1403" s="7" t="s">
        <v>810</v>
      </c>
      <c r="E1403" s="7" t="s">
        <v>142</v>
      </c>
      <c r="F1403" s="7" t="s">
        <v>110</v>
      </c>
      <c r="G1403" s="7" t="s">
        <v>105</v>
      </c>
      <c r="H1403" s="7" t="n">
        <v>2</v>
      </c>
      <c r="I1403" s="11" t="n">
        <v>145</v>
      </c>
      <c r="J1403" s="11" t="n">
        <v>50</v>
      </c>
      <c r="K1403" s="11" t="n">
        <f aca="false">H1403*I1403-J1403</f>
        <v>240</v>
      </c>
      <c r="L1403" s="7" t="s">
        <v>88</v>
      </c>
      <c r="M1403" s="7" t="s">
        <v>194</v>
      </c>
      <c r="N1403" s="7" t="n">
        <v>35</v>
      </c>
      <c r="O1403" s="7"/>
    </row>
    <row r="1404" customFormat="false" ht="15" hidden="false" customHeight="false" outlineLevel="0" collapsed="false">
      <c r="A1404" s="7" t="s">
        <v>2972</v>
      </c>
      <c r="B1404" s="10" t="n">
        <v>45843</v>
      </c>
      <c r="C1404" s="7" t="s">
        <v>1809</v>
      </c>
      <c r="D1404" s="7" t="s">
        <v>2973</v>
      </c>
      <c r="E1404" s="7" t="s">
        <v>113</v>
      </c>
      <c r="F1404" s="7" t="s">
        <v>101</v>
      </c>
      <c r="G1404" s="7" t="s">
        <v>90</v>
      </c>
      <c r="H1404" s="7" t="n">
        <v>1</v>
      </c>
      <c r="I1404" s="11" t="n">
        <v>215</v>
      </c>
      <c r="J1404" s="11" t="n">
        <v>0</v>
      </c>
      <c r="K1404" s="11" t="n">
        <f aca="false">H1404*I1404-J1404</f>
        <v>215</v>
      </c>
      <c r="L1404" s="7" t="s">
        <v>103</v>
      </c>
      <c r="M1404" s="7" t="s">
        <v>194</v>
      </c>
      <c r="N1404" s="7" t="n">
        <v>38</v>
      </c>
      <c r="O1404" s="7" t="n">
        <v>3</v>
      </c>
    </row>
    <row r="1405" customFormat="false" ht="15" hidden="false" customHeight="false" outlineLevel="0" collapsed="false">
      <c r="A1405" s="7" t="s">
        <v>1492</v>
      </c>
      <c r="B1405" s="10" t="n">
        <v>45843</v>
      </c>
      <c r="C1405" s="7" t="s">
        <v>675</v>
      </c>
      <c r="D1405" s="7" t="s">
        <v>1493</v>
      </c>
      <c r="E1405" s="7" t="s">
        <v>165</v>
      </c>
      <c r="F1405" s="7" t="s">
        <v>146</v>
      </c>
      <c r="G1405" s="7" t="s">
        <v>90</v>
      </c>
      <c r="H1405" s="7" t="n">
        <v>1</v>
      </c>
      <c r="I1405" s="11" t="n">
        <v>195</v>
      </c>
      <c r="J1405" s="11" t="n">
        <v>40</v>
      </c>
      <c r="K1405" s="11" t="n">
        <f aca="false">H1405*I1405-J1405</f>
        <v>155</v>
      </c>
      <c r="L1405" s="7" t="s">
        <v>103</v>
      </c>
      <c r="M1405" s="7" t="s">
        <v>194</v>
      </c>
      <c r="N1405" s="7" t="n">
        <v>36</v>
      </c>
      <c r="O1405" s="7" t="n">
        <v>2</v>
      </c>
    </row>
    <row r="1406" customFormat="false" ht="15" hidden="false" customHeight="false" outlineLevel="0" collapsed="false">
      <c r="A1406" s="7" t="s">
        <v>4648</v>
      </c>
      <c r="B1406" s="10" t="n">
        <v>45843</v>
      </c>
      <c r="C1406" s="7" t="s">
        <v>2202</v>
      </c>
      <c r="D1406" s="7" t="s">
        <v>1881</v>
      </c>
      <c r="E1406" s="7" t="s">
        <v>126</v>
      </c>
      <c r="F1406" s="7" t="s">
        <v>101</v>
      </c>
      <c r="G1406" s="7" t="s">
        <v>105</v>
      </c>
      <c r="H1406" s="7" t="n">
        <v>1</v>
      </c>
      <c r="I1406" s="11" t="n">
        <v>235</v>
      </c>
      <c r="J1406" s="11" t="n">
        <v>0</v>
      </c>
      <c r="K1406" s="11" t="n">
        <f aca="false">H1406*I1406-J1406</f>
        <v>235</v>
      </c>
      <c r="L1406" s="7" t="s">
        <v>112</v>
      </c>
      <c r="M1406" s="7" t="s">
        <v>194</v>
      </c>
      <c r="N1406" s="7" t="n">
        <v>35</v>
      </c>
      <c r="O1406" s="7" t="n">
        <v>3</v>
      </c>
    </row>
    <row r="1407" customFormat="false" ht="15" hidden="false" customHeight="false" outlineLevel="0" collapsed="false">
      <c r="A1407" s="7" t="s">
        <v>3613</v>
      </c>
      <c r="B1407" s="10" t="n">
        <v>45843</v>
      </c>
      <c r="C1407" s="7" t="s">
        <v>2393</v>
      </c>
      <c r="D1407" s="7" t="s">
        <v>3331</v>
      </c>
      <c r="E1407" s="7" t="s">
        <v>89</v>
      </c>
      <c r="F1407" s="7" t="s">
        <v>86</v>
      </c>
      <c r="G1407" s="7" t="s">
        <v>90</v>
      </c>
      <c r="H1407" s="7" t="n">
        <v>2</v>
      </c>
      <c r="I1407" s="11" t="n">
        <v>255</v>
      </c>
      <c r="J1407" s="11" t="n">
        <v>0</v>
      </c>
      <c r="K1407" s="11" t="n">
        <f aca="false">H1407*I1407-J1407</f>
        <v>510</v>
      </c>
      <c r="L1407" s="7" t="s">
        <v>121</v>
      </c>
      <c r="M1407" s="7" t="s">
        <v>194</v>
      </c>
      <c r="N1407" s="7" t="n">
        <v>50</v>
      </c>
      <c r="O1407" s="7" t="n">
        <v>2</v>
      </c>
    </row>
    <row r="1408" customFormat="false" ht="15" hidden="false" customHeight="false" outlineLevel="0" collapsed="false">
      <c r="A1408" s="7" t="s">
        <v>3950</v>
      </c>
      <c r="B1408" s="10" t="n">
        <v>45843</v>
      </c>
      <c r="C1408" s="7" t="s">
        <v>3728</v>
      </c>
      <c r="D1408" s="7" t="s">
        <v>3150</v>
      </c>
      <c r="E1408" s="7" t="s">
        <v>159</v>
      </c>
      <c r="F1408" s="7" t="s">
        <v>136</v>
      </c>
      <c r="G1408" s="7" t="s">
        <v>90</v>
      </c>
      <c r="H1408" s="7" t="n">
        <v>2</v>
      </c>
      <c r="I1408" s="11" t="n">
        <v>190</v>
      </c>
      <c r="J1408" s="11" t="n">
        <v>40</v>
      </c>
      <c r="K1408" s="11" t="n">
        <f aca="false">H1408*I1408-J1408</f>
        <v>340</v>
      </c>
      <c r="L1408" s="7" t="s">
        <v>121</v>
      </c>
      <c r="M1408" s="7" t="s">
        <v>194</v>
      </c>
      <c r="N1408" s="7" t="n">
        <v>31</v>
      </c>
      <c r="O1408" s="7" t="n">
        <v>2</v>
      </c>
    </row>
    <row r="1409" customFormat="false" ht="15" hidden="false" customHeight="false" outlineLevel="0" collapsed="false">
      <c r="A1409" s="7" t="s">
        <v>2847</v>
      </c>
      <c r="B1409" s="10" t="n">
        <v>45843</v>
      </c>
      <c r="C1409" s="7" t="s">
        <v>2848</v>
      </c>
      <c r="D1409" s="7" t="s">
        <v>2849</v>
      </c>
      <c r="E1409" s="7" t="s">
        <v>94</v>
      </c>
      <c r="F1409" s="7" t="s">
        <v>86</v>
      </c>
      <c r="G1409" s="7" t="s">
        <v>95</v>
      </c>
      <c r="H1409" s="7" t="n">
        <v>2</v>
      </c>
      <c r="I1409" s="11" t="n">
        <v>115</v>
      </c>
      <c r="J1409" s="11" t="n">
        <v>0</v>
      </c>
      <c r="K1409" s="11" t="n">
        <f aca="false">H1409*I1409-J1409</f>
        <v>230</v>
      </c>
      <c r="L1409" s="7" t="s">
        <v>93</v>
      </c>
      <c r="M1409" s="7" t="s">
        <v>194</v>
      </c>
      <c r="N1409" s="7" t="n">
        <v>41</v>
      </c>
      <c r="O1409" s="7" t="n">
        <v>5</v>
      </c>
    </row>
    <row r="1410" customFormat="false" ht="15" hidden="false" customHeight="false" outlineLevel="0" collapsed="false">
      <c r="A1410" s="7" t="s">
        <v>1143</v>
      </c>
      <c r="B1410" s="10" t="n">
        <v>45843</v>
      </c>
      <c r="C1410" s="7" t="s">
        <v>1145</v>
      </c>
      <c r="D1410" s="7" t="s">
        <v>1146</v>
      </c>
      <c r="E1410" s="7" t="s">
        <v>130</v>
      </c>
      <c r="F1410" s="7" t="s">
        <v>110</v>
      </c>
      <c r="G1410" s="7" t="s">
        <v>90</v>
      </c>
      <c r="H1410" s="7" t="n">
        <v>1</v>
      </c>
      <c r="I1410" s="11" t="n">
        <v>275</v>
      </c>
      <c r="J1410" s="11" t="n">
        <v>0</v>
      </c>
      <c r="K1410" s="11" t="n">
        <f aca="false">H1410*I1410-J1410</f>
        <v>275</v>
      </c>
      <c r="L1410" s="7" t="s">
        <v>93</v>
      </c>
      <c r="M1410" s="7" t="s">
        <v>194</v>
      </c>
      <c r="N1410" s="7" t="n">
        <v>32</v>
      </c>
      <c r="O1410" s="7" t="n">
        <v>4</v>
      </c>
    </row>
    <row r="1411" customFormat="false" ht="15" hidden="false" customHeight="false" outlineLevel="0" collapsed="false">
      <c r="A1411" s="7" t="s">
        <v>4207</v>
      </c>
      <c r="B1411" s="10" t="n">
        <v>45843</v>
      </c>
      <c r="C1411" s="7" t="s">
        <v>4208</v>
      </c>
      <c r="D1411" s="7" t="s">
        <v>1658</v>
      </c>
      <c r="E1411" s="7" t="s">
        <v>161</v>
      </c>
      <c r="F1411" s="7" t="s">
        <v>141</v>
      </c>
      <c r="G1411" s="7" t="s">
        <v>117</v>
      </c>
      <c r="H1411" s="7" t="n">
        <v>3</v>
      </c>
      <c r="I1411" s="11" t="n">
        <v>130</v>
      </c>
      <c r="J1411" s="11" t="n">
        <v>0</v>
      </c>
      <c r="K1411" s="11" t="n">
        <f aca="false">H1411*I1411-J1411</f>
        <v>390</v>
      </c>
      <c r="L1411" s="7" t="s">
        <v>88</v>
      </c>
      <c r="M1411" s="7" t="s">
        <v>194</v>
      </c>
      <c r="N1411" s="7" t="n">
        <v>26</v>
      </c>
      <c r="O1411" s="7" t="n">
        <v>5</v>
      </c>
    </row>
    <row r="1412" customFormat="false" ht="15" hidden="false" customHeight="false" outlineLevel="0" collapsed="false">
      <c r="A1412" s="7" t="s">
        <v>4381</v>
      </c>
      <c r="B1412" s="10" t="n">
        <v>45843</v>
      </c>
      <c r="C1412" s="7" t="s">
        <v>280</v>
      </c>
      <c r="D1412" s="7" t="s">
        <v>2910</v>
      </c>
      <c r="E1412" s="7" t="s">
        <v>154</v>
      </c>
      <c r="F1412" s="7" t="s">
        <v>128</v>
      </c>
      <c r="G1412" s="7" t="s">
        <v>99</v>
      </c>
      <c r="H1412" s="7" t="n">
        <v>2</v>
      </c>
      <c r="I1412" s="11" t="n">
        <v>290</v>
      </c>
      <c r="J1412" s="11" t="n">
        <v>125</v>
      </c>
      <c r="K1412" s="11" t="n">
        <f aca="false">H1412*I1412-J1412</f>
        <v>455</v>
      </c>
      <c r="L1412" s="7" t="s">
        <v>112</v>
      </c>
      <c r="M1412" s="7" t="s">
        <v>238</v>
      </c>
      <c r="N1412" s="7"/>
      <c r="O1412" s="7"/>
    </row>
    <row r="1413" customFormat="false" ht="15" hidden="false" customHeight="false" outlineLevel="0" collapsed="false">
      <c r="A1413" s="7" t="s">
        <v>6077</v>
      </c>
      <c r="B1413" s="10" t="n">
        <v>45844</v>
      </c>
      <c r="C1413" s="7" t="s">
        <v>634</v>
      </c>
      <c r="D1413" s="7" t="s">
        <v>1000</v>
      </c>
      <c r="E1413" s="7" t="s">
        <v>104</v>
      </c>
      <c r="F1413" s="7" t="s">
        <v>86</v>
      </c>
      <c r="G1413" s="7" t="s">
        <v>105</v>
      </c>
      <c r="H1413" s="7" t="n">
        <v>2</v>
      </c>
      <c r="I1413" s="11" t="n">
        <v>160</v>
      </c>
      <c r="J1413" s="11" t="n">
        <v>0</v>
      </c>
      <c r="K1413" s="11" t="n">
        <f aca="false">H1413*I1413-J1413</f>
        <v>320</v>
      </c>
      <c r="L1413" s="7" t="s">
        <v>93</v>
      </c>
      <c r="M1413" s="7" t="s">
        <v>194</v>
      </c>
      <c r="N1413" s="7" t="n">
        <v>38</v>
      </c>
      <c r="O1413" s="7" t="n">
        <v>3</v>
      </c>
    </row>
    <row r="1414" customFormat="false" ht="15" hidden="false" customHeight="false" outlineLevel="0" collapsed="false">
      <c r="A1414" s="7" t="s">
        <v>5855</v>
      </c>
      <c r="B1414" s="10" t="n">
        <v>45844</v>
      </c>
      <c r="C1414" s="7" t="s">
        <v>3033</v>
      </c>
      <c r="D1414" s="7" t="s">
        <v>2532</v>
      </c>
      <c r="E1414" s="7" t="s">
        <v>165</v>
      </c>
      <c r="F1414" s="7" t="s">
        <v>146</v>
      </c>
      <c r="G1414" s="7" t="s">
        <v>90</v>
      </c>
      <c r="H1414" s="7" t="n">
        <v>1</v>
      </c>
      <c r="I1414" s="11" t="n">
        <v>240</v>
      </c>
      <c r="J1414" s="11" t="n">
        <v>30</v>
      </c>
      <c r="K1414" s="11" t="n">
        <f aca="false">H1414*I1414-J1414</f>
        <v>210</v>
      </c>
      <c r="L1414" s="7" t="s">
        <v>103</v>
      </c>
      <c r="M1414" s="7" t="s">
        <v>194</v>
      </c>
      <c r="N1414" s="7" t="n">
        <v>29</v>
      </c>
      <c r="O1414" s="7" t="n">
        <v>4</v>
      </c>
    </row>
    <row r="1415" customFormat="false" ht="15" hidden="false" customHeight="false" outlineLevel="0" collapsed="false">
      <c r="A1415" s="7" t="s">
        <v>3279</v>
      </c>
      <c r="B1415" s="10" t="n">
        <v>45844</v>
      </c>
      <c r="C1415" s="7" t="s">
        <v>3163</v>
      </c>
      <c r="D1415" s="7" t="s">
        <v>740</v>
      </c>
      <c r="E1415" s="7" t="s">
        <v>161</v>
      </c>
      <c r="F1415" s="7" t="s">
        <v>141</v>
      </c>
      <c r="G1415" s="7" t="s">
        <v>117</v>
      </c>
      <c r="H1415" s="7" t="n">
        <v>4</v>
      </c>
      <c r="I1415" s="11" t="n">
        <v>150</v>
      </c>
      <c r="J1415" s="11" t="n">
        <v>40</v>
      </c>
      <c r="K1415" s="11" t="n">
        <f aca="false">H1415*I1415-J1415</f>
        <v>560</v>
      </c>
      <c r="L1415" s="7" t="s">
        <v>88</v>
      </c>
      <c r="M1415" s="7" t="s">
        <v>194</v>
      </c>
      <c r="N1415" s="7" t="n">
        <v>36</v>
      </c>
      <c r="O1415" s="7" t="n">
        <v>5</v>
      </c>
    </row>
    <row r="1416" customFormat="false" ht="15" hidden="false" customHeight="false" outlineLevel="0" collapsed="false">
      <c r="A1416" s="7" t="s">
        <v>2581</v>
      </c>
      <c r="B1416" s="10" t="n">
        <v>45844</v>
      </c>
      <c r="C1416" s="7" t="s">
        <v>2583</v>
      </c>
      <c r="D1416" s="7" t="s">
        <v>2326</v>
      </c>
      <c r="E1416" s="7" t="s">
        <v>113</v>
      </c>
      <c r="F1416" s="7" t="s">
        <v>101</v>
      </c>
      <c r="G1416" s="7" t="s">
        <v>90</v>
      </c>
      <c r="H1416" s="7" t="n">
        <v>2</v>
      </c>
      <c r="I1416" s="11" t="n">
        <v>250</v>
      </c>
      <c r="J1416" s="11" t="n">
        <v>0</v>
      </c>
      <c r="K1416" s="11" t="n">
        <f aca="false">H1416*I1416-J1416</f>
        <v>500</v>
      </c>
      <c r="L1416" s="7" t="s">
        <v>88</v>
      </c>
      <c r="M1416" s="7" t="s">
        <v>194</v>
      </c>
      <c r="N1416" s="7" t="n">
        <v>32</v>
      </c>
      <c r="O1416" s="7"/>
    </row>
    <row r="1417" customFormat="false" ht="15" hidden="false" customHeight="false" outlineLevel="0" collapsed="false">
      <c r="A1417" s="7" t="s">
        <v>1596</v>
      </c>
      <c r="B1417" s="10" t="n">
        <v>45845</v>
      </c>
      <c r="C1417" s="7" t="s">
        <v>1597</v>
      </c>
      <c r="D1417" s="7" t="s">
        <v>1598</v>
      </c>
      <c r="E1417" s="7" t="s">
        <v>94</v>
      </c>
      <c r="F1417" s="7" t="s">
        <v>86</v>
      </c>
      <c r="G1417" s="7" t="s">
        <v>95</v>
      </c>
      <c r="H1417" s="7" t="n">
        <v>2</v>
      </c>
      <c r="I1417" s="11" t="n">
        <v>100</v>
      </c>
      <c r="J1417" s="11" t="n">
        <v>0</v>
      </c>
      <c r="K1417" s="11" t="n">
        <f aca="false">H1417*I1417-J1417</f>
        <v>200</v>
      </c>
      <c r="L1417" s="7" t="s">
        <v>112</v>
      </c>
      <c r="M1417" s="7" t="s">
        <v>194</v>
      </c>
      <c r="N1417" s="7" t="n">
        <v>34</v>
      </c>
      <c r="O1417" s="7" t="n">
        <v>5</v>
      </c>
    </row>
    <row r="1418" customFormat="false" ht="15" hidden="false" customHeight="false" outlineLevel="0" collapsed="false">
      <c r="A1418" s="7" t="s">
        <v>3296</v>
      </c>
      <c r="B1418" s="10" t="n">
        <v>45845</v>
      </c>
      <c r="C1418" s="7" t="s">
        <v>470</v>
      </c>
      <c r="D1418" s="7" t="s">
        <v>2256</v>
      </c>
      <c r="E1418" s="7" t="s">
        <v>167</v>
      </c>
      <c r="F1418" s="7" t="s">
        <v>146</v>
      </c>
      <c r="G1418" s="7" t="s">
        <v>156</v>
      </c>
      <c r="H1418" s="7" t="n">
        <v>2</v>
      </c>
      <c r="I1418" s="11" t="n">
        <v>255</v>
      </c>
      <c r="J1418" s="11" t="n">
        <v>0</v>
      </c>
      <c r="K1418" s="11" t="n">
        <f aca="false">H1418*I1418-J1418</f>
        <v>510</v>
      </c>
      <c r="L1418" s="7" t="s">
        <v>103</v>
      </c>
      <c r="M1418" s="7" t="s">
        <v>194</v>
      </c>
      <c r="N1418" s="7" t="n">
        <v>19</v>
      </c>
      <c r="O1418" s="7" t="n">
        <v>4</v>
      </c>
    </row>
    <row r="1419" customFormat="false" ht="15" hidden="false" customHeight="false" outlineLevel="0" collapsed="false">
      <c r="A1419" s="7" t="s">
        <v>954</v>
      </c>
      <c r="B1419" s="10" t="n">
        <v>45845</v>
      </c>
      <c r="C1419" s="7" t="s">
        <v>588</v>
      </c>
      <c r="D1419" s="7" t="s">
        <v>956</v>
      </c>
      <c r="E1419" s="7" t="s">
        <v>138</v>
      </c>
      <c r="F1419" s="7" t="s">
        <v>110</v>
      </c>
      <c r="G1419" s="7" t="s">
        <v>139</v>
      </c>
      <c r="H1419" s="7" t="n">
        <v>2</v>
      </c>
      <c r="I1419" s="11" t="n">
        <v>165</v>
      </c>
      <c r="J1419" s="11" t="n">
        <v>50</v>
      </c>
      <c r="K1419" s="11" t="n">
        <f aca="false">H1419*I1419-J1419</f>
        <v>280</v>
      </c>
      <c r="L1419" s="7" t="s">
        <v>93</v>
      </c>
      <c r="M1419" s="7" t="s">
        <v>194</v>
      </c>
      <c r="N1419" s="7" t="n">
        <v>38</v>
      </c>
      <c r="O1419" s="7" t="n">
        <v>5</v>
      </c>
    </row>
    <row r="1420" customFormat="false" ht="15" hidden="false" customHeight="false" outlineLevel="0" collapsed="false">
      <c r="A1420" s="7" t="s">
        <v>5242</v>
      </c>
      <c r="B1420" s="10" t="n">
        <v>45845</v>
      </c>
      <c r="C1420" s="7" t="s">
        <v>2271</v>
      </c>
      <c r="D1420" s="7" t="s">
        <v>1705</v>
      </c>
      <c r="E1420" s="7" t="s">
        <v>138</v>
      </c>
      <c r="F1420" s="7" t="s">
        <v>110</v>
      </c>
      <c r="G1420" s="7" t="s">
        <v>139</v>
      </c>
      <c r="H1420" s="7" t="n">
        <v>2</v>
      </c>
      <c r="I1420" s="11" t="n">
        <v>225</v>
      </c>
      <c r="J1420" s="11" t="n">
        <v>125</v>
      </c>
      <c r="K1420" s="11" t="n">
        <f aca="false">H1420*I1420-J1420</f>
        <v>325</v>
      </c>
      <c r="L1420" s="7" t="s">
        <v>112</v>
      </c>
      <c r="M1420" s="7" t="s">
        <v>194</v>
      </c>
      <c r="N1420" s="7" t="n">
        <v>46</v>
      </c>
      <c r="O1420" s="7" t="n">
        <v>4</v>
      </c>
    </row>
    <row r="1421" customFormat="false" ht="15" hidden="false" customHeight="false" outlineLevel="0" collapsed="false">
      <c r="A1421" s="7" t="s">
        <v>2053</v>
      </c>
      <c r="B1421" s="10" t="n">
        <v>45845</v>
      </c>
      <c r="C1421" s="7" t="s">
        <v>839</v>
      </c>
      <c r="D1421" s="7" t="s">
        <v>2054</v>
      </c>
      <c r="E1421" s="7" t="s">
        <v>154</v>
      </c>
      <c r="F1421" s="7" t="s">
        <v>128</v>
      </c>
      <c r="G1421" s="7" t="s">
        <v>99</v>
      </c>
      <c r="H1421" s="7" t="n">
        <v>1</v>
      </c>
      <c r="I1421" s="11" t="n">
        <v>220</v>
      </c>
      <c r="J1421" s="11" t="n">
        <v>0</v>
      </c>
      <c r="K1421" s="11" t="n">
        <f aca="false">H1421*I1421-J1421</f>
        <v>220</v>
      </c>
      <c r="L1421" s="7" t="s">
        <v>112</v>
      </c>
      <c r="M1421" s="7" t="s">
        <v>238</v>
      </c>
      <c r="N1421" s="7"/>
      <c r="O1421" s="7"/>
    </row>
    <row r="1422" customFormat="false" ht="15" hidden="false" customHeight="false" outlineLevel="0" collapsed="false">
      <c r="A1422" s="7" t="s">
        <v>2199</v>
      </c>
      <c r="B1422" s="10" t="n">
        <v>45845</v>
      </c>
      <c r="C1422" s="7" t="s">
        <v>213</v>
      </c>
      <c r="D1422" s="7" t="s">
        <v>2200</v>
      </c>
      <c r="E1422" s="7" t="s">
        <v>165</v>
      </c>
      <c r="F1422" s="7" t="s">
        <v>146</v>
      </c>
      <c r="G1422" s="7" t="s">
        <v>90</v>
      </c>
      <c r="H1422" s="7" t="n">
        <v>1</v>
      </c>
      <c r="I1422" s="11" t="n">
        <v>185</v>
      </c>
      <c r="J1422" s="11" t="n">
        <v>0</v>
      </c>
      <c r="K1422" s="11" t="n">
        <f aca="false">H1422*I1422-J1422</f>
        <v>185</v>
      </c>
      <c r="L1422" s="7" t="s">
        <v>133</v>
      </c>
      <c r="M1422" s="7" t="s">
        <v>194</v>
      </c>
      <c r="N1422" s="7" t="n">
        <v>31</v>
      </c>
      <c r="O1422" s="7" t="n">
        <v>3</v>
      </c>
    </row>
    <row r="1423" customFormat="false" ht="15" hidden="false" customHeight="false" outlineLevel="0" collapsed="false">
      <c r="A1423" s="7" t="s">
        <v>5314</v>
      </c>
      <c r="B1423" s="10" t="n">
        <v>45845</v>
      </c>
      <c r="C1423" s="7" t="s">
        <v>2263</v>
      </c>
      <c r="D1423" s="7" t="s">
        <v>5315</v>
      </c>
      <c r="E1423" s="7" t="s">
        <v>113</v>
      </c>
      <c r="F1423" s="7" t="s">
        <v>101</v>
      </c>
      <c r="G1423" s="7" t="s">
        <v>90</v>
      </c>
      <c r="H1423" s="7" t="n">
        <v>2</v>
      </c>
      <c r="I1423" s="11" t="n">
        <v>220</v>
      </c>
      <c r="J1423" s="11" t="n">
        <v>100</v>
      </c>
      <c r="K1423" s="11" t="n">
        <f aca="false">H1423*I1423-J1423</f>
        <v>340</v>
      </c>
      <c r="L1423" s="7" t="s">
        <v>88</v>
      </c>
      <c r="M1423" s="7" t="s">
        <v>194</v>
      </c>
      <c r="N1423" s="7" t="n">
        <v>42</v>
      </c>
      <c r="O1423" s="7"/>
    </row>
    <row r="1424" customFormat="false" ht="15" hidden="false" customHeight="false" outlineLevel="0" collapsed="false">
      <c r="A1424" s="7" t="s">
        <v>3550</v>
      </c>
      <c r="B1424" s="10" t="n">
        <v>45845</v>
      </c>
      <c r="C1424" s="7" t="s">
        <v>573</v>
      </c>
      <c r="D1424" s="7" t="s">
        <v>3552</v>
      </c>
      <c r="E1424" s="7" t="s">
        <v>94</v>
      </c>
      <c r="F1424" s="7" t="s">
        <v>86</v>
      </c>
      <c r="G1424" s="7" t="s">
        <v>95</v>
      </c>
      <c r="H1424" s="7" t="n">
        <v>5</v>
      </c>
      <c r="I1424" s="11" t="n">
        <v>120</v>
      </c>
      <c r="J1424" s="11" t="n">
        <v>0</v>
      </c>
      <c r="K1424" s="11" t="n">
        <f aca="false">H1424*I1424-J1424</f>
        <v>600</v>
      </c>
      <c r="L1424" s="7" t="s">
        <v>103</v>
      </c>
      <c r="M1424" s="7" t="s">
        <v>194</v>
      </c>
      <c r="N1424" s="7" t="n">
        <v>36</v>
      </c>
      <c r="O1424" s="7" t="n">
        <v>5</v>
      </c>
    </row>
    <row r="1425" customFormat="false" ht="15" hidden="false" customHeight="false" outlineLevel="0" collapsed="false">
      <c r="A1425" s="7" t="s">
        <v>5886</v>
      </c>
      <c r="B1425" s="10" t="n">
        <v>45846</v>
      </c>
      <c r="C1425" s="7" t="s">
        <v>4856</v>
      </c>
      <c r="D1425" s="7" t="s">
        <v>4098</v>
      </c>
      <c r="E1425" s="7" t="s">
        <v>89</v>
      </c>
      <c r="F1425" s="7" t="s">
        <v>86</v>
      </c>
      <c r="G1425" s="7" t="s">
        <v>90</v>
      </c>
      <c r="H1425" s="7" t="n">
        <v>2</v>
      </c>
      <c r="I1425" s="11" t="n">
        <v>185</v>
      </c>
      <c r="J1425" s="11" t="n">
        <v>0</v>
      </c>
      <c r="K1425" s="11" t="n">
        <f aca="false">H1425*I1425-J1425</f>
        <v>370</v>
      </c>
      <c r="L1425" s="7" t="s">
        <v>6170</v>
      </c>
      <c r="M1425" s="7" t="s">
        <v>194</v>
      </c>
      <c r="N1425" s="7" t="n">
        <v>46</v>
      </c>
      <c r="O1425" s="7" t="n">
        <v>4</v>
      </c>
    </row>
    <row r="1426" customFormat="false" ht="15" hidden="false" customHeight="false" outlineLevel="0" collapsed="false">
      <c r="A1426" s="7" t="s">
        <v>5391</v>
      </c>
      <c r="B1426" s="10" t="n">
        <v>45846</v>
      </c>
      <c r="C1426" s="7" t="s">
        <v>759</v>
      </c>
      <c r="D1426" s="7" t="s">
        <v>4181</v>
      </c>
      <c r="E1426" s="7" t="s">
        <v>160</v>
      </c>
      <c r="F1426" s="7" t="s">
        <v>136</v>
      </c>
      <c r="G1426" s="7" t="s">
        <v>150</v>
      </c>
      <c r="H1426" s="7" t="n">
        <v>1</v>
      </c>
      <c r="I1426" s="11" t="n">
        <v>180</v>
      </c>
      <c r="J1426" s="11" t="n">
        <v>0</v>
      </c>
      <c r="K1426" s="11" t="n">
        <f aca="false">H1426*I1426-J1426</f>
        <v>180</v>
      </c>
      <c r="L1426" s="7" t="s">
        <v>121</v>
      </c>
      <c r="M1426" s="7" t="s">
        <v>194</v>
      </c>
      <c r="N1426" s="7" t="n">
        <v>30</v>
      </c>
      <c r="O1426" s="7" t="n">
        <v>5</v>
      </c>
    </row>
    <row r="1427" customFormat="false" ht="15" hidden="false" customHeight="false" outlineLevel="0" collapsed="false">
      <c r="A1427" s="7" t="s">
        <v>2510</v>
      </c>
      <c r="B1427" s="10" t="n">
        <v>45846</v>
      </c>
      <c r="C1427" s="7" t="s">
        <v>1631</v>
      </c>
      <c r="D1427" s="7" t="s">
        <v>2028</v>
      </c>
      <c r="E1427" s="7" t="s">
        <v>142</v>
      </c>
      <c r="F1427" s="7" t="s">
        <v>110</v>
      </c>
      <c r="G1427" s="7" t="s">
        <v>105</v>
      </c>
      <c r="H1427" s="7" t="n">
        <v>2</v>
      </c>
      <c r="I1427" s="11" t="n">
        <v>145</v>
      </c>
      <c r="J1427" s="11" t="n">
        <v>75</v>
      </c>
      <c r="K1427" s="11" t="n">
        <f aca="false">H1427*I1427-J1427</f>
        <v>215</v>
      </c>
      <c r="L1427" s="7" t="s">
        <v>121</v>
      </c>
      <c r="M1427" s="7" t="s">
        <v>194</v>
      </c>
      <c r="N1427" s="7" t="n">
        <v>42</v>
      </c>
      <c r="O1427" s="7" t="n">
        <v>5</v>
      </c>
    </row>
    <row r="1428" customFormat="false" ht="15" hidden="false" customHeight="false" outlineLevel="0" collapsed="false">
      <c r="A1428" s="7" t="s">
        <v>1903</v>
      </c>
      <c r="B1428" s="10" t="n">
        <v>45846</v>
      </c>
      <c r="C1428" s="7" t="s">
        <v>976</v>
      </c>
      <c r="D1428" s="7" t="s">
        <v>1905</v>
      </c>
      <c r="E1428" s="7" t="s">
        <v>98</v>
      </c>
      <c r="F1428" s="7" t="s">
        <v>86</v>
      </c>
      <c r="G1428" s="7" t="s">
        <v>99</v>
      </c>
      <c r="H1428" s="7" t="n">
        <v>2</v>
      </c>
      <c r="I1428" s="11" t="n">
        <v>255</v>
      </c>
      <c r="J1428" s="11" t="n">
        <v>30</v>
      </c>
      <c r="K1428" s="11" t="n">
        <f aca="false">H1428*I1428-J1428</f>
        <v>480</v>
      </c>
      <c r="L1428" s="7" t="s">
        <v>103</v>
      </c>
      <c r="M1428" s="7" t="s">
        <v>194</v>
      </c>
      <c r="N1428" s="7" t="n">
        <v>45</v>
      </c>
      <c r="O1428" s="7" t="n">
        <v>5</v>
      </c>
    </row>
    <row r="1429" customFormat="false" ht="15" hidden="false" customHeight="false" outlineLevel="0" collapsed="false">
      <c r="A1429" s="7" t="s">
        <v>2482</v>
      </c>
      <c r="B1429" s="10" t="n">
        <v>45847</v>
      </c>
      <c r="C1429" s="7" t="s">
        <v>1140</v>
      </c>
      <c r="D1429" s="7" t="s">
        <v>2483</v>
      </c>
      <c r="E1429" s="7" t="s">
        <v>138</v>
      </c>
      <c r="F1429" s="7" t="s">
        <v>110</v>
      </c>
      <c r="G1429" s="7" t="s">
        <v>139</v>
      </c>
      <c r="H1429" s="7" t="n">
        <v>5</v>
      </c>
      <c r="I1429" s="11" t="n">
        <v>205</v>
      </c>
      <c r="J1429" s="11" t="n">
        <v>30</v>
      </c>
      <c r="K1429" s="11" t="n">
        <f aca="false">H1429*I1429-J1429</f>
        <v>995</v>
      </c>
      <c r="L1429" s="7" t="s">
        <v>103</v>
      </c>
      <c r="M1429" s="7" t="s">
        <v>194</v>
      </c>
      <c r="N1429" s="7" t="n">
        <v>39</v>
      </c>
      <c r="O1429" s="7" t="n">
        <v>3</v>
      </c>
    </row>
    <row r="1430" customFormat="false" ht="15" hidden="false" customHeight="false" outlineLevel="0" collapsed="false">
      <c r="A1430" s="7" t="s">
        <v>6149</v>
      </c>
      <c r="B1430" s="10" t="n">
        <v>45847</v>
      </c>
      <c r="C1430" s="7" t="s">
        <v>1626</v>
      </c>
      <c r="D1430" s="7" t="s">
        <v>5003</v>
      </c>
      <c r="E1430" s="7" t="s">
        <v>122</v>
      </c>
      <c r="F1430" s="7" t="s">
        <v>101</v>
      </c>
      <c r="G1430" s="7" t="s">
        <v>123</v>
      </c>
      <c r="H1430" s="7" t="n">
        <v>3</v>
      </c>
      <c r="I1430" s="11" t="n">
        <v>320</v>
      </c>
      <c r="J1430" s="11" t="n">
        <v>100</v>
      </c>
      <c r="K1430" s="11" t="n">
        <f aca="false">H1430*I1430-J1430</f>
        <v>860</v>
      </c>
      <c r="L1430" s="7" t="s">
        <v>88</v>
      </c>
      <c r="M1430" s="7" t="s">
        <v>194</v>
      </c>
      <c r="N1430" s="7" t="n">
        <v>42</v>
      </c>
      <c r="O1430" s="7" t="n">
        <v>3</v>
      </c>
    </row>
    <row r="1431" customFormat="false" ht="15" hidden="false" customHeight="false" outlineLevel="0" collapsed="false">
      <c r="A1431" s="7" t="s">
        <v>3367</v>
      </c>
      <c r="B1431" s="10" t="n">
        <v>45847</v>
      </c>
      <c r="C1431" s="7" t="s">
        <v>1168</v>
      </c>
      <c r="D1431" s="7" t="s">
        <v>3369</v>
      </c>
      <c r="E1431" s="7" t="s">
        <v>116</v>
      </c>
      <c r="F1431" s="7" t="s">
        <v>101</v>
      </c>
      <c r="G1431" s="7" t="s">
        <v>117</v>
      </c>
      <c r="H1431" s="7" t="n">
        <v>5</v>
      </c>
      <c r="I1431" s="11" t="n">
        <v>120</v>
      </c>
      <c r="J1431" s="11" t="n">
        <v>0</v>
      </c>
      <c r="K1431" s="11" t="n">
        <f aca="false">H1431*I1431-J1431</f>
        <v>600</v>
      </c>
      <c r="L1431" s="7" t="s">
        <v>88</v>
      </c>
      <c r="M1431" s="7" t="s">
        <v>194</v>
      </c>
      <c r="N1431" s="7" t="n">
        <v>51</v>
      </c>
      <c r="O1431" s="7" t="n">
        <v>2</v>
      </c>
    </row>
    <row r="1432" customFormat="false" ht="15" hidden="false" customHeight="false" outlineLevel="0" collapsed="false">
      <c r="A1432" s="7" t="s">
        <v>517</v>
      </c>
      <c r="B1432" s="10" t="n">
        <v>45847</v>
      </c>
      <c r="C1432" s="7" t="s">
        <v>519</v>
      </c>
      <c r="D1432" s="7" t="s">
        <v>520</v>
      </c>
      <c r="E1432" s="7" t="s">
        <v>130</v>
      </c>
      <c r="F1432" s="7" t="s">
        <v>110</v>
      </c>
      <c r="G1432" s="7" t="s">
        <v>90</v>
      </c>
      <c r="H1432" s="7" t="n">
        <v>2</v>
      </c>
      <c r="I1432" s="11" t="n">
        <v>255</v>
      </c>
      <c r="J1432" s="11" t="n">
        <v>0</v>
      </c>
      <c r="K1432" s="11" t="n">
        <f aca="false">H1432*I1432-J1432</f>
        <v>510</v>
      </c>
      <c r="L1432" s="7" t="s">
        <v>88</v>
      </c>
      <c r="M1432" s="7" t="s">
        <v>194</v>
      </c>
      <c r="N1432" s="7" t="n">
        <v>40</v>
      </c>
      <c r="O1432" s="7"/>
    </row>
    <row r="1433" customFormat="false" ht="15" hidden="false" customHeight="false" outlineLevel="0" collapsed="false">
      <c r="A1433" s="7" t="s">
        <v>1696</v>
      </c>
      <c r="B1433" s="10" t="n">
        <v>45847</v>
      </c>
      <c r="C1433" s="7" t="s">
        <v>1414</v>
      </c>
      <c r="D1433" s="7" t="s">
        <v>1148</v>
      </c>
      <c r="E1433" s="7" t="s">
        <v>138</v>
      </c>
      <c r="F1433" s="7" t="s">
        <v>110</v>
      </c>
      <c r="G1433" s="7" t="s">
        <v>139</v>
      </c>
      <c r="H1433" s="7" t="n">
        <v>3</v>
      </c>
      <c r="I1433" s="11" t="n">
        <v>255</v>
      </c>
      <c r="J1433" s="11" t="n">
        <v>40</v>
      </c>
      <c r="K1433" s="11" t="n">
        <f aca="false">H1433*I1433-J1433</f>
        <v>725</v>
      </c>
      <c r="L1433" s="7" t="s">
        <v>112</v>
      </c>
      <c r="M1433" s="7" t="s">
        <v>194</v>
      </c>
      <c r="N1433" s="7" t="n">
        <v>45</v>
      </c>
      <c r="O1433" s="7" t="n">
        <v>3</v>
      </c>
    </row>
    <row r="1434" customFormat="false" ht="15" hidden="false" customHeight="false" outlineLevel="0" collapsed="false">
      <c r="A1434" s="7" t="s">
        <v>5910</v>
      </c>
      <c r="B1434" s="10" t="n">
        <v>45847</v>
      </c>
      <c r="C1434" s="7" t="s">
        <v>1211</v>
      </c>
      <c r="D1434" s="7" t="s">
        <v>948</v>
      </c>
      <c r="E1434" s="7" t="s">
        <v>144</v>
      </c>
      <c r="F1434" s="7" t="s">
        <v>119</v>
      </c>
      <c r="G1434" s="7" t="s">
        <v>99</v>
      </c>
      <c r="H1434" s="7" t="n">
        <v>2</v>
      </c>
      <c r="I1434" s="11" t="n">
        <v>370</v>
      </c>
      <c r="J1434" s="11" t="n">
        <v>40</v>
      </c>
      <c r="K1434" s="11" t="n">
        <f aca="false">H1434*I1434-J1434</f>
        <v>700</v>
      </c>
      <c r="L1434" s="7" t="s">
        <v>121</v>
      </c>
      <c r="M1434" s="7" t="s">
        <v>194</v>
      </c>
      <c r="N1434" s="7" t="n">
        <v>39</v>
      </c>
      <c r="O1434" s="7" t="n">
        <v>5</v>
      </c>
    </row>
    <row r="1435" customFormat="false" ht="15" hidden="false" customHeight="false" outlineLevel="0" collapsed="false">
      <c r="A1435" s="7" t="s">
        <v>5082</v>
      </c>
      <c r="B1435" s="10" t="n">
        <v>45847</v>
      </c>
      <c r="C1435" s="7" t="s">
        <v>3346</v>
      </c>
      <c r="D1435" s="7" t="s">
        <v>784</v>
      </c>
      <c r="E1435" s="7" t="s">
        <v>148</v>
      </c>
      <c r="F1435" s="7" t="s">
        <v>119</v>
      </c>
      <c r="G1435" s="7" t="s">
        <v>123</v>
      </c>
      <c r="H1435" s="7" t="n">
        <v>2</v>
      </c>
      <c r="I1435" s="11" t="n">
        <v>370</v>
      </c>
      <c r="J1435" s="11" t="n">
        <v>150</v>
      </c>
      <c r="K1435" s="11" t="n">
        <f aca="false">H1435*I1435-J1435</f>
        <v>590</v>
      </c>
      <c r="L1435" s="7" t="s">
        <v>88</v>
      </c>
      <c r="M1435" s="7" t="s">
        <v>194</v>
      </c>
      <c r="N1435" s="7" t="n">
        <v>46</v>
      </c>
      <c r="O1435" s="7" t="n">
        <v>4</v>
      </c>
    </row>
    <row r="1436" customFormat="false" ht="15" hidden="false" customHeight="false" outlineLevel="0" collapsed="false">
      <c r="A1436" s="7" t="s">
        <v>5996</v>
      </c>
      <c r="B1436" s="10" t="n">
        <v>45847</v>
      </c>
      <c r="C1436" s="7" t="s">
        <v>4591</v>
      </c>
      <c r="D1436" s="7" t="s">
        <v>2177</v>
      </c>
      <c r="E1436" s="7" t="s">
        <v>94</v>
      </c>
      <c r="F1436" s="7" t="s">
        <v>86</v>
      </c>
      <c r="G1436" s="7" t="s">
        <v>95</v>
      </c>
      <c r="H1436" s="7" t="n">
        <v>2</v>
      </c>
      <c r="I1436" s="11" t="n">
        <v>130</v>
      </c>
      <c r="J1436" s="11" t="n">
        <v>50</v>
      </c>
      <c r="K1436" s="11" t="n">
        <f aca="false">H1436*I1436-J1436</f>
        <v>210</v>
      </c>
      <c r="L1436" s="7" t="s">
        <v>88</v>
      </c>
      <c r="M1436" s="7" t="s">
        <v>194</v>
      </c>
      <c r="N1436" s="7" t="n">
        <v>28</v>
      </c>
      <c r="O1436" s="7" t="n">
        <v>4</v>
      </c>
    </row>
    <row r="1437" customFormat="false" ht="15" hidden="false" customHeight="false" outlineLevel="0" collapsed="false">
      <c r="A1437" s="7" t="s">
        <v>393</v>
      </c>
      <c r="B1437" s="10" t="n">
        <v>45847</v>
      </c>
      <c r="C1437" s="7" t="s">
        <v>395</v>
      </c>
      <c r="D1437" s="7" t="s">
        <v>396</v>
      </c>
      <c r="E1437" s="7" t="s">
        <v>116</v>
      </c>
      <c r="F1437" s="7" t="s">
        <v>101</v>
      </c>
      <c r="G1437" s="7" t="s">
        <v>117</v>
      </c>
      <c r="H1437" s="7" t="n">
        <v>2</v>
      </c>
      <c r="I1437" s="11" t="n">
        <v>150</v>
      </c>
      <c r="J1437" s="11" t="n">
        <v>0</v>
      </c>
      <c r="K1437" s="11" t="n">
        <f aca="false">H1437*I1437-J1437</f>
        <v>300</v>
      </c>
      <c r="L1437" s="7" t="s">
        <v>93</v>
      </c>
      <c r="M1437" s="7" t="s">
        <v>194</v>
      </c>
      <c r="N1437" s="7" t="n">
        <v>49</v>
      </c>
      <c r="O1437" s="7" t="n">
        <v>5</v>
      </c>
    </row>
    <row r="1438" customFormat="false" ht="15" hidden="false" customHeight="false" outlineLevel="0" collapsed="false">
      <c r="A1438" s="7" t="s">
        <v>3568</v>
      </c>
      <c r="B1438" s="10" t="n">
        <v>45847</v>
      </c>
      <c r="C1438" s="7" t="s">
        <v>3268</v>
      </c>
      <c r="D1438" s="7" t="s">
        <v>3569</v>
      </c>
      <c r="E1438" s="7" t="s">
        <v>161</v>
      </c>
      <c r="F1438" s="7" t="s">
        <v>141</v>
      </c>
      <c r="G1438" s="7" t="s">
        <v>117</v>
      </c>
      <c r="H1438" s="7" t="n">
        <v>1</v>
      </c>
      <c r="I1438" s="11" t="n">
        <v>120</v>
      </c>
      <c r="J1438" s="11" t="n">
        <v>48</v>
      </c>
      <c r="K1438" s="11" t="n">
        <f aca="false">H1438*I1438-J1438</f>
        <v>72</v>
      </c>
      <c r="L1438" s="7" t="s">
        <v>93</v>
      </c>
      <c r="M1438" s="7" t="s">
        <v>194</v>
      </c>
      <c r="N1438" s="7" t="n">
        <v>41</v>
      </c>
      <c r="O1438" s="7" t="n">
        <v>5</v>
      </c>
    </row>
    <row r="1439" customFormat="false" ht="15" hidden="false" customHeight="false" outlineLevel="0" collapsed="false">
      <c r="A1439" s="7" t="s">
        <v>5308</v>
      </c>
      <c r="B1439" s="10" t="n">
        <v>45847</v>
      </c>
      <c r="C1439" s="7" t="s">
        <v>1523</v>
      </c>
      <c r="D1439" s="7" t="s">
        <v>370</v>
      </c>
      <c r="E1439" s="7" t="s">
        <v>144</v>
      </c>
      <c r="F1439" s="7" t="s">
        <v>119</v>
      </c>
      <c r="G1439" s="7" t="s">
        <v>99</v>
      </c>
      <c r="H1439" s="7" t="n">
        <v>2</v>
      </c>
      <c r="I1439" s="11" t="n">
        <v>310</v>
      </c>
      <c r="J1439" s="11" t="n">
        <v>100</v>
      </c>
      <c r="K1439" s="11" t="n">
        <f aca="false">H1439*I1439-J1439</f>
        <v>520</v>
      </c>
      <c r="L1439" s="7" t="s">
        <v>88</v>
      </c>
      <c r="M1439" s="7" t="s">
        <v>194</v>
      </c>
      <c r="N1439" s="7" t="n">
        <v>20</v>
      </c>
      <c r="O1439" s="7" t="n">
        <v>4</v>
      </c>
    </row>
    <row r="1440" customFormat="false" ht="15" hidden="false" customHeight="false" outlineLevel="0" collapsed="false">
      <c r="A1440" s="7" t="s">
        <v>5310</v>
      </c>
      <c r="B1440" s="10" t="n">
        <v>45848</v>
      </c>
      <c r="C1440" s="7" t="s">
        <v>4644</v>
      </c>
      <c r="D1440" s="7" t="s">
        <v>471</v>
      </c>
      <c r="E1440" s="7" t="s">
        <v>151</v>
      </c>
      <c r="F1440" s="7" t="s">
        <v>128</v>
      </c>
      <c r="G1440" s="7" t="s">
        <v>95</v>
      </c>
      <c r="H1440" s="7" t="n">
        <v>2</v>
      </c>
      <c r="I1440" s="11" t="n">
        <v>195</v>
      </c>
      <c r="J1440" s="11" t="n">
        <v>0</v>
      </c>
      <c r="K1440" s="11" t="n">
        <f aca="false">H1440*I1440-J1440</f>
        <v>390</v>
      </c>
      <c r="L1440" s="7" t="s">
        <v>133</v>
      </c>
      <c r="M1440" s="7" t="s">
        <v>194</v>
      </c>
      <c r="N1440" s="7" t="n">
        <v>41</v>
      </c>
      <c r="O1440" s="7" t="n">
        <v>3</v>
      </c>
    </row>
    <row r="1441" customFormat="false" ht="15" hidden="false" customHeight="false" outlineLevel="0" collapsed="false">
      <c r="A1441" s="7" t="s">
        <v>3536</v>
      </c>
      <c r="B1441" s="10" t="n">
        <v>45848</v>
      </c>
      <c r="C1441" s="7" t="s">
        <v>3537</v>
      </c>
      <c r="D1441" s="7" t="s">
        <v>3538</v>
      </c>
      <c r="E1441" s="7" t="s">
        <v>98</v>
      </c>
      <c r="F1441" s="7" t="s">
        <v>86</v>
      </c>
      <c r="G1441" s="7" t="s">
        <v>99</v>
      </c>
      <c r="H1441" s="7" t="n">
        <v>2</v>
      </c>
      <c r="I1441" s="11" t="n">
        <v>245</v>
      </c>
      <c r="J1441" s="11" t="n">
        <v>50</v>
      </c>
      <c r="K1441" s="11" t="n">
        <f aca="false">H1441*I1441-J1441</f>
        <v>440</v>
      </c>
      <c r="L1441" s="7" t="s">
        <v>88</v>
      </c>
      <c r="M1441" s="7" t="s">
        <v>194</v>
      </c>
      <c r="N1441" s="7" t="n">
        <v>40</v>
      </c>
      <c r="O1441" s="7" t="n">
        <v>5</v>
      </c>
    </row>
    <row r="1442" customFormat="false" ht="15" hidden="false" customHeight="false" outlineLevel="0" collapsed="false">
      <c r="A1442" s="7" t="s">
        <v>5629</v>
      </c>
      <c r="B1442" s="10" t="n">
        <v>45848</v>
      </c>
      <c r="C1442" s="7" t="s">
        <v>1054</v>
      </c>
      <c r="D1442" s="7" t="s">
        <v>3746</v>
      </c>
      <c r="E1442" s="7" t="s">
        <v>164</v>
      </c>
      <c r="F1442" s="7" t="s">
        <v>141</v>
      </c>
      <c r="G1442" s="7" t="s">
        <v>150</v>
      </c>
      <c r="H1442" s="7" t="n">
        <v>2</v>
      </c>
      <c r="I1442" s="11" t="n">
        <v>145</v>
      </c>
      <c r="J1442" s="11" t="n">
        <v>40</v>
      </c>
      <c r="K1442" s="11" t="n">
        <f aca="false">H1442*I1442-J1442</f>
        <v>250</v>
      </c>
      <c r="L1442" s="7" t="s">
        <v>88</v>
      </c>
      <c r="M1442" s="7" t="s">
        <v>194</v>
      </c>
      <c r="N1442" s="7" t="n">
        <v>41</v>
      </c>
      <c r="O1442" s="7" t="n">
        <v>3</v>
      </c>
    </row>
    <row r="1443" customFormat="false" ht="15" hidden="false" customHeight="false" outlineLevel="0" collapsed="false">
      <c r="A1443" s="7" t="s">
        <v>3653</v>
      </c>
      <c r="B1443" s="10" t="n">
        <v>45848</v>
      </c>
      <c r="C1443" s="7" t="s">
        <v>969</v>
      </c>
      <c r="D1443" s="7" t="s">
        <v>3654</v>
      </c>
      <c r="E1443" s="7" t="s">
        <v>163</v>
      </c>
      <c r="F1443" s="7" t="s">
        <v>141</v>
      </c>
      <c r="G1443" s="7" t="s">
        <v>99</v>
      </c>
      <c r="H1443" s="7" t="n">
        <v>2</v>
      </c>
      <c r="I1443" s="11" t="n">
        <v>265</v>
      </c>
      <c r="J1443" s="11" t="n">
        <v>40</v>
      </c>
      <c r="K1443" s="11" t="n">
        <f aca="false">H1443*I1443-J1443</f>
        <v>490</v>
      </c>
      <c r="L1443" s="7" t="s">
        <v>88</v>
      </c>
      <c r="M1443" s="7" t="s">
        <v>194</v>
      </c>
      <c r="N1443" s="7" t="n">
        <v>39</v>
      </c>
      <c r="O1443" s="7" t="n">
        <v>5</v>
      </c>
    </row>
    <row r="1444" customFormat="false" ht="15" hidden="false" customHeight="false" outlineLevel="0" collapsed="false">
      <c r="A1444" s="7" t="s">
        <v>3691</v>
      </c>
      <c r="B1444" s="10" t="n">
        <v>45848</v>
      </c>
      <c r="C1444" s="7" t="s">
        <v>2696</v>
      </c>
      <c r="D1444" s="7" t="s">
        <v>3692</v>
      </c>
      <c r="E1444" s="7" t="s">
        <v>144</v>
      </c>
      <c r="F1444" s="7" t="s">
        <v>119</v>
      </c>
      <c r="G1444" s="7" t="s">
        <v>99</v>
      </c>
      <c r="H1444" s="7" t="n">
        <v>2</v>
      </c>
      <c r="I1444" s="11" t="n">
        <v>290</v>
      </c>
      <c r="J1444" s="11" t="n">
        <v>0</v>
      </c>
      <c r="K1444" s="11" t="n">
        <f aca="false">H1444*I1444-J1444</f>
        <v>580</v>
      </c>
      <c r="L1444" s="7" t="s">
        <v>93</v>
      </c>
      <c r="M1444" s="7" t="s">
        <v>238</v>
      </c>
      <c r="N1444" s="7"/>
      <c r="O1444" s="7"/>
    </row>
    <row r="1445" customFormat="false" ht="15" hidden="false" customHeight="false" outlineLevel="0" collapsed="false">
      <c r="A1445" s="7" t="s">
        <v>2319</v>
      </c>
      <c r="B1445" s="10" t="n">
        <v>45848</v>
      </c>
      <c r="C1445" s="7" t="s">
        <v>2263</v>
      </c>
      <c r="D1445" s="7" t="s">
        <v>988</v>
      </c>
      <c r="E1445" s="7" t="s">
        <v>104</v>
      </c>
      <c r="F1445" s="7" t="s">
        <v>86</v>
      </c>
      <c r="G1445" s="7" t="s">
        <v>105</v>
      </c>
      <c r="H1445" s="7" t="n">
        <v>1</v>
      </c>
      <c r="I1445" s="11" t="n">
        <v>225</v>
      </c>
      <c r="J1445" s="11" t="n">
        <v>0</v>
      </c>
      <c r="K1445" s="11" t="n">
        <f aca="false">H1445*I1445-J1445</f>
        <v>225</v>
      </c>
      <c r="L1445" s="7" t="s">
        <v>103</v>
      </c>
      <c r="M1445" s="7" t="s">
        <v>194</v>
      </c>
      <c r="N1445" s="7" t="n">
        <v>55</v>
      </c>
      <c r="O1445" s="7" t="n">
        <v>3</v>
      </c>
    </row>
    <row r="1446" customFormat="false" ht="15" hidden="false" customHeight="false" outlineLevel="0" collapsed="false">
      <c r="A1446" s="7" t="s">
        <v>6108</v>
      </c>
      <c r="B1446" s="10" t="n">
        <v>45849</v>
      </c>
      <c r="C1446" s="7" t="s">
        <v>3183</v>
      </c>
      <c r="D1446" s="7" t="s">
        <v>2796</v>
      </c>
      <c r="E1446" s="7" t="s">
        <v>134</v>
      </c>
      <c r="F1446" s="7" t="s">
        <v>110</v>
      </c>
      <c r="G1446" s="7" t="s">
        <v>117</v>
      </c>
      <c r="H1446" s="7" t="n">
        <v>2</v>
      </c>
      <c r="I1446" s="11" t="n">
        <v>120</v>
      </c>
      <c r="J1446" s="11" t="n">
        <v>0</v>
      </c>
      <c r="K1446" s="11" t="n">
        <f aca="false">H1446*I1446-J1446</f>
        <v>240</v>
      </c>
      <c r="L1446" s="7" t="s">
        <v>133</v>
      </c>
      <c r="M1446" s="7" t="s">
        <v>194</v>
      </c>
      <c r="N1446" s="7" t="n">
        <v>47</v>
      </c>
      <c r="O1446" s="7" t="n">
        <v>5</v>
      </c>
    </row>
    <row r="1447" customFormat="false" ht="15" hidden="false" customHeight="false" outlineLevel="0" collapsed="false">
      <c r="A1447" s="7" t="s">
        <v>5254</v>
      </c>
      <c r="B1447" s="10" t="n">
        <v>45849</v>
      </c>
      <c r="C1447" s="7" t="s">
        <v>1280</v>
      </c>
      <c r="D1447" s="7" t="s">
        <v>2786</v>
      </c>
      <c r="E1447" s="7" t="s">
        <v>89</v>
      </c>
      <c r="F1447" s="7" t="s">
        <v>86</v>
      </c>
      <c r="G1447" s="7" t="s">
        <v>90</v>
      </c>
      <c r="H1447" s="7" t="n">
        <v>1</v>
      </c>
      <c r="I1447" s="11" t="n">
        <v>240</v>
      </c>
      <c r="J1447" s="11" t="n">
        <v>40</v>
      </c>
      <c r="K1447" s="11" t="n">
        <f aca="false">H1447*I1447-J1447</f>
        <v>200</v>
      </c>
      <c r="L1447" s="7" t="s">
        <v>93</v>
      </c>
      <c r="M1447" s="7" t="s">
        <v>194</v>
      </c>
      <c r="N1447" s="7" t="n">
        <v>42</v>
      </c>
      <c r="O1447" s="7"/>
    </row>
    <row r="1448" customFormat="false" ht="15" hidden="false" customHeight="false" outlineLevel="0" collapsed="false">
      <c r="A1448" s="7" t="s">
        <v>5802</v>
      </c>
      <c r="B1448" s="10" t="n">
        <v>45849</v>
      </c>
      <c r="C1448" s="7" t="s">
        <v>2923</v>
      </c>
      <c r="D1448" s="7" t="s">
        <v>5803</v>
      </c>
      <c r="E1448" s="7" t="s">
        <v>89</v>
      </c>
      <c r="F1448" s="7" t="s">
        <v>86</v>
      </c>
      <c r="G1448" s="7" t="s">
        <v>90</v>
      </c>
      <c r="H1448" s="7" t="n">
        <v>1</v>
      </c>
      <c r="I1448" s="11" t="n">
        <v>230</v>
      </c>
      <c r="J1448" s="11" t="n">
        <v>0</v>
      </c>
      <c r="K1448" s="11" t="n">
        <f aca="false">H1448*I1448-J1448</f>
        <v>230</v>
      </c>
      <c r="L1448" s="7" t="s">
        <v>93</v>
      </c>
      <c r="M1448" s="7" t="s">
        <v>194</v>
      </c>
      <c r="N1448" s="7" t="n">
        <v>35</v>
      </c>
      <c r="O1448" s="7" t="n">
        <v>3</v>
      </c>
    </row>
    <row r="1449" customFormat="false" ht="15" hidden="false" customHeight="false" outlineLevel="0" collapsed="false">
      <c r="A1449" s="7" t="s">
        <v>3155</v>
      </c>
      <c r="B1449" s="10" t="n">
        <v>45849</v>
      </c>
      <c r="C1449" s="7" t="s">
        <v>3157</v>
      </c>
      <c r="D1449" s="7" t="s">
        <v>3158</v>
      </c>
      <c r="E1449" s="7" t="s">
        <v>113</v>
      </c>
      <c r="F1449" s="7" t="s">
        <v>101</v>
      </c>
      <c r="G1449" s="7" t="s">
        <v>90</v>
      </c>
      <c r="H1449" s="7" t="n">
        <v>3</v>
      </c>
      <c r="I1449" s="11" t="n">
        <v>240</v>
      </c>
      <c r="J1449" s="11" t="n">
        <v>0</v>
      </c>
      <c r="K1449" s="11" t="n">
        <f aca="false">H1449*I1449-J1449</f>
        <v>720</v>
      </c>
      <c r="L1449" s="7" t="s">
        <v>103</v>
      </c>
      <c r="M1449" s="7" t="s">
        <v>194</v>
      </c>
      <c r="N1449" s="7"/>
      <c r="O1449" s="7" t="n">
        <v>3</v>
      </c>
    </row>
    <row r="1450" customFormat="false" ht="15" hidden="false" customHeight="false" outlineLevel="0" collapsed="false">
      <c r="A1450" s="7" t="s">
        <v>3509</v>
      </c>
      <c r="B1450" s="10" t="n">
        <v>45849</v>
      </c>
      <c r="C1450" s="7" t="s">
        <v>3510</v>
      </c>
      <c r="D1450" s="7" t="s">
        <v>471</v>
      </c>
      <c r="E1450" s="7" t="s">
        <v>144</v>
      </c>
      <c r="F1450" s="7" t="s">
        <v>119</v>
      </c>
      <c r="G1450" s="7" t="s">
        <v>99</v>
      </c>
      <c r="H1450" s="7" t="n">
        <v>1</v>
      </c>
      <c r="I1450" s="11" t="n">
        <v>295</v>
      </c>
      <c r="J1450" s="11" t="n">
        <v>118</v>
      </c>
      <c r="K1450" s="11" t="n">
        <f aca="false">H1450*I1450-J1450</f>
        <v>177</v>
      </c>
      <c r="L1450" s="7" t="s">
        <v>88</v>
      </c>
      <c r="M1450" s="7" t="s">
        <v>194</v>
      </c>
      <c r="N1450" s="7" t="n">
        <v>20</v>
      </c>
      <c r="O1450" s="7" t="n">
        <v>5</v>
      </c>
    </row>
    <row r="1451" customFormat="false" ht="15" hidden="false" customHeight="false" outlineLevel="0" collapsed="false">
      <c r="A1451" s="7" t="s">
        <v>3380</v>
      </c>
      <c r="B1451" s="10" t="n">
        <v>45849</v>
      </c>
      <c r="C1451" s="7" t="s">
        <v>382</v>
      </c>
      <c r="D1451" s="7" t="s">
        <v>3381</v>
      </c>
      <c r="E1451" s="7" t="s">
        <v>122</v>
      </c>
      <c r="F1451" s="7" t="s">
        <v>101</v>
      </c>
      <c r="G1451" s="7" t="s">
        <v>123</v>
      </c>
      <c r="H1451" s="7" t="n">
        <v>1</v>
      </c>
      <c r="I1451" s="11" t="n">
        <v>395</v>
      </c>
      <c r="J1451" s="11" t="n">
        <v>0</v>
      </c>
      <c r="K1451" s="11" t="n">
        <f aca="false">H1451*I1451-J1451</f>
        <v>395</v>
      </c>
      <c r="L1451" s="7" t="s">
        <v>88</v>
      </c>
      <c r="M1451" s="7" t="s">
        <v>194</v>
      </c>
      <c r="N1451" s="7" t="n">
        <v>28</v>
      </c>
      <c r="O1451" s="7" t="n">
        <v>4</v>
      </c>
    </row>
    <row r="1452" customFormat="false" ht="15" hidden="false" customHeight="false" outlineLevel="0" collapsed="false">
      <c r="A1452" s="7" t="s">
        <v>3419</v>
      </c>
      <c r="B1452" s="10" t="n">
        <v>45849</v>
      </c>
      <c r="C1452" s="7" t="s">
        <v>258</v>
      </c>
      <c r="D1452" s="7" t="s">
        <v>3420</v>
      </c>
      <c r="E1452" s="7" t="s">
        <v>89</v>
      </c>
      <c r="F1452" s="7" t="s">
        <v>86</v>
      </c>
      <c r="G1452" s="7" t="s">
        <v>90</v>
      </c>
      <c r="H1452" s="7" t="n">
        <v>1</v>
      </c>
      <c r="I1452" s="11" t="n">
        <v>185</v>
      </c>
      <c r="J1452" s="11" t="n">
        <v>20</v>
      </c>
      <c r="K1452" s="11" t="n">
        <f aca="false">H1452*I1452-J1452</f>
        <v>165</v>
      </c>
      <c r="L1452" s="7" t="s">
        <v>88</v>
      </c>
      <c r="M1452" s="7" t="s">
        <v>194</v>
      </c>
      <c r="N1452" s="7" t="n">
        <v>32</v>
      </c>
      <c r="O1452" s="7" t="n">
        <v>5</v>
      </c>
    </row>
    <row r="1453" customFormat="false" ht="15" hidden="false" customHeight="false" outlineLevel="0" collapsed="false">
      <c r="A1453" s="7" t="s">
        <v>5223</v>
      </c>
      <c r="B1453" s="10" t="n">
        <v>45849</v>
      </c>
      <c r="C1453" s="7" t="s">
        <v>3564</v>
      </c>
      <c r="D1453" s="7" t="s">
        <v>5224</v>
      </c>
      <c r="E1453" s="7" t="s">
        <v>134</v>
      </c>
      <c r="F1453" s="7" t="s">
        <v>110</v>
      </c>
      <c r="G1453" s="7" t="s">
        <v>117</v>
      </c>
      <c r="H1453" s="7" t="n">
        <v>4</v>
      </c>
      <c r="I1453" s="11" t="n">
        <v>105</v>
      </c>
      <c r="J1453" s="11" t="n">
        <v>0</v>
      </c>
      <c r="K1453" s="11" t="n">
        <f aca="false">H1453*I1453-J1453</f>
        <v>420</v>
      </c>
      <c r="L1453" s="7" t="s">
        <v>88</v>
      </c>
      <c r="M1453" s="7" t="s">
        <v>194</v>
      </c>
      <c r="N1453" s="7" t="n">
        <v>37</v>
      </c>
      <c r="O1453" s="7" t="n">
        <v>5</v>
      </c>
    </row>
    <row r="1454" customFormat="false" ht="15" hidden="false" customHeight="false" outlineLevel="0" collapsed="false">
      <c r="A1454" s="7" t="s">
        <v>1585</v>
      </c>
      <c r="B1454" s="10" t="n">
        <v>45850</v>
      </c>
      <c r="C1454" s="7" t="s">
        <v>1586</v>
      </c>
      <c r="D1454" s="7" t="s">
        <v>1587</v>
      </c>
      <c r="E1454" s="7" t="s">
        <v>94</v>
      </c>
      <c r="F1454" s="7" t="s">
        <v>86</v>
      </c>
      <c r="G1454" s="7" t="s">
        <v>95</v>
      </c>
      <c r="H1454" s="7" t="n">
        <v>4</v>
      </c>
      <c r="I1454" s="11" t="n">
        <v>120</v>
      </c>
      <c r="J1454" s="11" t="n">
        <v>100</v>
      </c>
      <c r="K1454" s="11" t="n">
        <f aca="false">H1454*I1454-J1454</f>
        <v>380</v>
      </c>
      <c r="L1454" s="7" t="s">
        <v>103</v>
      </c>
      <c r="M1454" s="7" t="s">
        <v>194</v>
      </c>
      <c r="N1454" s="7" t="n">
        <v>37</v>
      </c>
      <c r="O1454" s="7"/>
    </row>
    <row r="1455" customFormat="false" ht="15" hidden="false" customHeight="false" outlineLevel="0" collapsed="false">
      <c r="A1455" s="7" t="s">
        <v>5714</v>
      </c>
      <c r="B1455" s="10" t="n">
        <v>45850</v>
      </c>
      <c r="C1455" s="7" t="s">
        <v>455</v>
      </c>
      <c r="D1455" s="7" t="s">
        <v>2043</v>
      </c>
      <c r="E1455" s="7" t="s">
        <v>152</v>
      </c>
      <c r="F1455" s="7" t="s">
        <v>128</v>
      </c>
      <c r="G1455" s="7" t="s">
        <v>95</v>
      </c>
      <c r="H1455" s="7" t="n">
        <v>1</v>
      </c>
      <c r="I1455" s="11" t="n">
        <v>100</v>
      </c>
      <c r="J1455" s="11" t="n">
        <v>0</v>
      </c>
      <c r="K1455" s="11" t="n">
        <f aca="false">H1455*I1455-J1455</f>
        <v>100</v>
      </c>
      <c r="L1455" s="7" t="s">
        <v>103</v>
      </c>
      <c r="M1455" s="7" t="s">
        <v>194</v>
      </c>
      <c r="N1455" s="7" t="n">
        <v>33</v>
      </c>
      <c r="O1455" s="7" t="n">
        <v>3</v>
      </c>
    </row>
    <row r="1456" customFormat="false" ht="15" hidden="false" customHeight="false" outlineLevel="0" collapsed="false">
      <c r="A1456" s="7" t="s">
        <v>794</v>
      </c>
      <c r="B1456" s="10" t="n">
        <v>45850</v>
      </c>
      <c r="C1456" s="7" t="s">
        <v>796</v>
      </c>
      <c r="D1456" s="7" t="s">
        <v>797</v>
      </c>
      <c r="E1456" s="7" t="s">
        <v>158</v>
      </c>
      <c r="F1456" s="7" t="s">
        <v>136</v>
      </c>
      <c r="G1456" s="7" t="s">
        <v>139</v>
      </c>
      <c r="H1456" s="7" t="n">
        <v>5</v>
      </c>
      <c r="I1456" s="11" t="n">
        <v>170</v>
      </c>
      <c r="J1456" s="11" t="n">
        <v>20</v>
      </c>
      <c r="K1456" s="11" t="n">
        <f aca="false">H1456*I1456-J1456</f>
        <v>830</v>
      </c>
      <c r="L1456" s="7" t="s">
        <v>112</v>
      </c>
      <c r="M1456" s="7" t="s">
        <v>194</v>
      </c>
      <c r="N1456" s="7" t="n">
        <v>39</v>
      </c>
      <c r="O1456" s="7" t="n">
        <v>4</v>
      </c>
    </row>
    <row r="1457" customFormat="false" ht="15" hidden="false" customHeight="false" outlineLevel="0" collapsed="false">
      <c r="A1457" s="7" t="s">
        <v>5083</v>
      </c>
      <c r="B1457" s="10" t="n">
        <v>45850</v>
      </c>
      <c r="C1457" s="7" t="s">
        <v>4225</v>
      </c>
      <c r="D1457" s="7" t="s">
        <v>5084</v>
      </c>
      <c r="E1457" s="7" t="s">
        <v>94</v>
      </c>
      <c r="F1457" s="7" t="s">
        <v>86</v>
      </c>
      <c r="G1457" s="7" t="s">
        <v>95</v>
      </c>
      <c r="H1457" s="7" t="n">
        <v>2</v>
      </c>
      <c r="I1457" s="11" t="n">
        <v>105</v>
      </c>
      <c r="J1457" s="11" t="n">
        <v>84</v>
      </c>
      <c r="K1457" s="11" t="n">
        <f aca="false">H1457*I1457-J1457</f>
        <v>126</v>
      </c>
      <c r="L1457" s="7" t="s">
        <v>88</v>
      </c>
      <c r="M1457" s="7" t="s">
        <v>194</v>
      </c>
      <c r="N1457" s="7" t="n">
        <v>50</v>
      </c>
      <c r="O1457" s="7"/>
    </row>
    <row r="1458" customFormat="false" ht="15" hidden="false" customHeight="false" outlineLevel="0" collapsed="false">
      <c r="A1458" s="7" t="s">
        <v>1252</v>
      </c>
      <c r="B1458" s="10" t="n">
        <v>45850</v>
      </c>
      <c r="C1458" s="7" t="s">
        <v>1253</v>
      </c>
      <c r="D1458" s="7" t="s">
        <v>1254</v>
      </c>
      <c r="E1458" s="7" t="s">
        <v>104</v>
      </c>
      <c r="F1458" s="7" t="s">
        <v>86</v>
      </c>
      <c r="G1458" s="7" t="s">
        <v>105</v>
      </c>
      <c r="H1458" s="7" t="n">
        <v>2</v>
      </c>
      <c r="I1458" s="11" t="n">
        <v>210</v>
      </c>
      <c r="J1458" s="11" t="n">
        <v>50</v>
      </c>
      <c r="K1458" s="11" t="n">
        <f aca="false">H1458*I1458-J1458</f>
        <v>370</v>
      </c>
      <c r="L1458" s="7" t="s">
        <v>93</v>
      </c>
      <c r="M1458" s="7" t="s">
        <v>194</v>
      </c>
      <c r="N1458" s="7" t="n">
        <v>42</v>
      </c>
      <c r="O1458" s="7" t="n">
        <v>3</v>
      </c>
    </row>
    <row r="1459" customFormat="false" ht="15" hidden="false" customHeight="false" outlineLevel="0" collapsed="false">
      <c r="A1459" s="7" t="s">
        <v>6130</v>
      </c>
      <c r="B1459" s="10" t="n">
        <v>45850</v>
      </c>
      <c r="C1459" s="7" t="s">
        <v>2696</v>
      </c>
      <c r="D1459" s="7" t="s">
        <v>6132</v>
      </c>
      <c r="E1459" s="7" t="s">
        <v>138</v>
      </c>
      <c r="F1459" s="7" t="s">
        <v>110</v>
      </c>
      <c r="G1459" s="7" t="s">
        <v>139</v>
      </c>
      <c r="H1459" s="7" t="n">
        <v>3</v>
      </c>
      <c r="I1459" s="11" t="n">
        <v>130</v>
      </c>
      <c r="J1459" s="11" t="n">
        <v>0</v>
      </c>
      <c r="K1459" s="11" t="n">
        <f aca="false">H1459*I1459-J1459</f>
        <v>390</v>
      </c>
      <c r="L1459" s="7" t="s">
        <v>88</v>
      </c>
      <c r="M1459" s="7" t="s">
        <v>194</v>
      </c>
      <c r="N1459" s="7" t="n">
        <v>39</v>
      </c>
      <c r="O1459" s="7" t="n">
        <v>4</v>
      </c>
    </row>
    <row r="1460" customFormat="false" ht="15" hidden="false" customHeight="false" outlineLevel="0" collapsed="false">
      <c r="A1460" s="7" t="s">
        <v>3641</v>
      </c>
      <c r="B1460" s="10" t="n">
        <v>45850</v>
      </c>
      <c r="C1460" s="7" t="s">
        <v>1340</v>
      </c>
      <c r="D1460" s="7" t="s">
        <v>1621</v>
      </c>
      <c r="E1460" s="7" t="s">
        <v>116</v>
      </c>
      <c r="F1460" s="7" t="s">
        <v>101</v>
      </c>
      <c r="G1460" s="7" t="s">
        <v>117</v>
      </c>
      <c r="H1460" s="7" t="n">
        <v>1</v>
      </c>
      <c r="I1460" s="11" t="n">
        <v>120</v>
      </c>
      <c r="J1460" s="11" t="n">
        <v>48</v>
      </c>
      <c r="K1460" s="11" t="n">
        <f aca="false">H1460*I1460-J1460</f>
        <v>72</v>
      </c>
      <c r="L1460" s="7" t="s">
        <v>121</v>
      </c>
      <c r="M1460" s="7" t="s">
        <v>194</v>
      </c>
      <c r="N1460" s="7" t="n">
        <v>47</v>
      </c>
      <c r="O1460" s="7" t="n">
        <v>4</v>
      </c>
    </row>
    <row r="1461" customFormat="false" ht="15" hidden="false" customHeight="false" outlineLevel="0" collapsed="false">
      <c r="A1461" s="7" t="s">
        <v>4410</v>
      </c>
      <c r="B1461" s="10" t="n">
        <v>45850</v>
      </c>
      <c r="C1461" s="7" t="s">
        <v>3456</v>
      </c>
      <c r="D1461" s="7" t="s">
        <v>1556</v>
      </c>
      <c r="E1461" s="7" t="s">
        <v>138</v>
      </c>
      <c r="F1461" s="7" t="s">
        <v>110</v>
      </c>
      <c r="G1461" s="7" t="s">
        <v>139</v>
      </c>
      <c r="H1461" s="7" t="n">
        <v>1</v>
      </c>
      <c r="I1461" s="11" t="n">
        <v>165</v>
      </c>
      <c r="J1461" s="11" t="n">
        <v>0</v>
      </c>
      <c r="K1461" s="11" t="n">
        <f aca="false">H1461*I1461-J1461</f>
        <v>165</v>
      </c>
      <c r="L1461" s="7" t="s">
        <v>112</v>
      </c>
      <c r="M1461" s="7" t="s">
        <v>194</v>
      </c>
      <c r="N1461" s="7" t="n">
        <v>40</v>
      </c>
      <c r="O1461" s="7" t="n">
        <v>5</v>
      </c>
    </row>
    <row r="1462" customFormat="false" ht="15" hidden="false" customHeight="false" outlineLevel="0" collapsed="false">
      <c r="A1462" s="7" t="s">
        <v>3274</v>
      </c>
      <c r="B1462" s="10" t="n">
        <v>45850</v>
      </c>
      <c r="C1462" s="7" t="s">
        <v>443</v>
      </c>
      <c r="D1462" s="7" t="s">
        <v>3275</v>
      </c>
      <c r="E1462" s="7" t="s">
        <v>138</v>
      </c>
      <c r="F1462" s="7" t="s">
        <v>110</v>
      </c>
      <c r="G1462" s="7" t="s">
        <v>139</v>
      </c>
      <c r="H1462" s="7" t="n">
        <v>5</v>
      </c>
      <c r="I1462" s="11" t="n">
        <v>225</v>
      </c>
      <c r="J1462" s="11" t="n">
        <v>75</v>
      </c>
      <c r="K1462" s="11" t="n">
        <f aca="false">H1462*I1462-J1462</f>
        <v>1050</v>
      </c>
      <c r="L1462" s="7" t="s">
        <v>88</v>
      </c>
      <c r="M1462" s="7" t="s">
        <v>194</v>
      </c>
      <c r="N1462" s="7" t="n">
        <v>43</v>
      </c>
      <c r="O1462" s="7" t="n">
        <v>4</v>
      </c>
    </row>
    <row r="1463" customFormat="false" ht="15" hidden="false" customHeight="false" outlineLevel="0" collapsed="false">
      <c r="A1463" s="7" t="s">
        <v>1139</v>
      </c>
      <c r="B1463" s="10" t="n">
        <v>45851</v>
      </c>
      <c r="C1463" s="7" t="s">
        <v>1140</v>
      </c>
      <c r="D1463" s="7" t="s">
        <v>1141</v>
      </c>
      <c r="E1463" s="7" t="s">
        <v>126</v>
      </c>
      <c r="F1463" s="7" t="s">
        <v>101</v>
      </c>
      <c r="G1463" s="7" t="s">
        <v>105</v>
      </c>
      <c r="H1463" s="7" t="n">
        <v>3</v>
      </c>
      <c r="I1463" s="11" t="n">
        <v>205</v>
      </c>
      <c r="J1463" s="11" t="n">
        <v>0</v>
      </c>
      <c r="K1463" s="11" t="n">
        <f aca="false">H1463*I1463-J1463</f>
        <v>615</v>
      </c>
      <c r="L1463" s="7" t="s">
        <v>88</v>
      </c>
      <c r="M1463" s="7" t="s">
        <v>194</v>
      </c>
      <c r="N1463" s="7" t="n">
        <v>41</v>
      </c>
      <c r="O1463" s="7" t="n">
        <v>5</v>
      </c>
    </row>
    <row r="1464" customFormat="false" ht="15" hidden="false" customHeight="false" outlineLevel="0" collapsed="false">
      <c r="A1464" s="7" t="s">
        <v>439</v>
      </c>
      <c r="B1464" s="10" t="n">
        <v>45851</v>
      </c>
      <c r="C1464" s="7" t="s">
        <v>440</v>
      </c>
      <c r="D1464" s="7" t="s">
        <v>404</v>
      </c>
      <c r="E1464" s="7" t="s">
        <v>94</v>
      </c>
      <c r="F1464" s="7" t="s">
        <v>86</v>
      </c>
      <c r="G1464" s="7" t="s">
        <v>95</v>
      </c>
      <c r="H1464" s="7" t="n">
        <v>5</v>
      </c>
      <c r="I1464" s="11" t="n">
        <v>120</v>
      </c>
      <c r="J1464" s="11" t="n">
        <v>40</v>
      </c>
      <c r="K1464" s="11" t="n">
        <f aca="false">H1464*I1464-J1464</f>
        <v>560</v>
      </c>
      <c r="L1464" s="7" t="s">
        <v>112</v>
      </c>
      <c r="M1464" s="7" t="s">
        <v>194</v>
      </c>
      <c r="N1464" s="7" t="n">
        <v>34</v>
      </c>
      <c r="O1464" s="7" t="n">
        <v>4</v>
      </c>
    </row>
    <row r="1465" customFormat="false" ht="15" hidden="false" customHeight="false" outlineLevel="0" collapsed="false">
      <c r="A1465" s="7" t="s">
        <v>4896</v>
      </c>
      <c r="B1465" s="10" t="n">
        <v>45851</v>
      </c>
      <c r="C1465" s="7" t="s">
        <v>846</v>
      </c>
      <c r="D1465" s="7" t="s">
        <v>214</v>
      </c>
      <c r="E1465" s="7" t="s">
        <v>157</v>
      </c>
      <c r="F1465" s="7" t="s">
        <v>136</v>
      </c>
      <c r="G1465" s="7" t="s">
        <v>117</v>
      </c>
      <c r="H1465" s="7" t="n">
        <v>1</v>
      </c>
      <c r="I1465" s="11" t="n">
        <v>125</v>
      </c>
      <c r="J1465" s="11" t="n">
        <v>50</v>
      </c>
      <c r="K1465" s="11" t="n">
        <f aca="false">H1465*I1465-J1465</f>
        <v>75</v>
      </c>
      <c r="L1465" s="7" t="s">
        <v>112</v>
      </c>
      <c r="M1465" s="7" t="s">
        <v>194</v>
      </c>
      <c r="N1465" s="7" t="n">
        <v>30</v>
      </c>
      <c r="O1465" s="7" t="n">
        <v>5</v>
      </c>
    </row>
    <row r="1466" customFormat="false" ht="15" hidden="false" customHeight="false" outlineLevel="0" collapsed="false">
      <c r="A1466" s="7" t="s">
        <v>3843</v>
      </c>
      <c r="B1466" s="10" t="n">
        <v>45851</v>
      </c>
      <c r="C1466" s="7" t="s">
        <v>2105</v>
      </c>
      <c r="D1466" s="7" t="s">
        <v>1119</v>
      </c>
      <c r="E1466" s="7" t="s">
        <v>94</v>
      </c>
      <c r="F1466" s="7" t="s">
        <v>86</v>
      </c>
      <c r="G1466" s="7" t="s">
        <v>95</v>
      </c>
      <c r="H1466" s="7" t="n">
        <v>1</v>
      </c>
      <c r="I1466" s="11" t="n">
        <v>110</v>
      </c>
      <c r="J1466" s="11" t="n">
        <v>44</v>
      </c>
      <c r="K1466" s="11" t="n">
        <f aca="false">H1466*I1466-J1466</f>
        <v>66</v>
      </c>
      <c r="L1466" s="7" t="s">
        <v>133</v>
      </c>
      <c r="M1466" s="7" t="s">
        <v>194</v>
      </c>
      <c r="N1466" s="7" t="n">
        <v>42</v>
      </c>
      <c r="O1466" s="7" t="n">
        <v>4</v>
      </c>
    </row>
    <row r="1467" customFormat="false" ht="15" hidden="false" customHeight="false" outlineLevel="0" collapsed="false">
      <c r="A1467" s="7" t="s">
        <v>5568</v>
      </c>
      <c r="B1467" s="10" t="n">
        <v>45851</v>
      </c>
      <c r="C1467" s="7" t="s">
        <v>2699</v>
      </c>
      <c r="D1467" s="7" t="s">
        <v>491</v>
      </c>
      <c r="E1467" s="7" t="s">
        <v>94</v>
      </c>
      <c r="F1467" s="7" t="s">
        <v>86</v>
      </c>
      <c r="G1467" s="7" t="s">
        <v>95</v>
      </c>
      <c r="H1467" s="7" t="n">
        <v>5</v>
      </c>
      <c r="I1467" s="11" t="n">
        <v>105</v>
      </c>
      <c r="J1467" s="11" t="n">
        <v>40</v>
      </c>
      <c r="K1467" s="11" t="n">
        <f aca="false">H1467*I1467-J1467</f>
        <v>485</v>
      </c>
      <c r="L1467" s="7" t="s">
        <v>88</v>
      </c>
      <c r="M1467" s="7" t="s">
        <v>194</v>
      </c>
      <c r="N1467" s="7" t="n">
        <v>41</v>
      </c>
      <c r="O1467" s="7" t="n">
        <v>3</v>
      </c>
    </row>
    <row r="1468" customFormat="false" ht="15" hidden="false" customHeight="false" outlineLevel="0" collapsed="false">
      <c r="A1468" s="7" t="s">
        <v>299</v>
      </c>
      <c r="B1468" s="10" t="n">
        <v>45851</v>
      </c>
      <c r="C1468" s="7" t="s">
        <v>301</v>
      </c>
      <c r="D1468" s="7" t="s">
        <v>302</v>
      </c>
      <c r="E1468" s="7" t="s">
        <v>157</v>
      </c>
      <c r="F1468" s="7" t="s">
        <v>136</v>
      </c>
      <c r="G1468" s="7" t="s">
        <v>117</v>
      </c>
      <c r="H1468" s="7" t="n">
        <v>1</v>
      </c>
      <c r="I1468" s="11" t="n">
        <v>100</v>
      </c>
      <c r="J1468" s="11" t="n">
        <v>0</v>
      </c>
      <c r="K1468" s="11" t="n">
        <f aca="false">H1468*I1468-J1468</f>
        <v>100</v>
      </c>
      <c r="L1468" s="7" t="s">
        <v>103</v>
      </c>
      <c r="M1468" s="7" t="s">
        <v>194</v>
      </c>
      <c r="N1468" s="7" t="n">
        <v>34</v>
      </c>
      <c r="O1468" s="7" t="n">
        <v>3</v>
      </c>
    </row>
    <row r="1469" customFormat="false" ht="15" hidden="false" customHeight="false" outlineLevel="0" collapsed="false">
      <c r="A1469" s="7" t="s">
        <v>375</v>
      </c>
      <c r="B1469" s="10" t="n">
        <v>45852</v>
      </c>
      <c r="C1469" s="7" t="s">
        <v>377</v>
      </c>
      <c r="D1469" s="7" t="s">
        <v>378</v>
      </c>
      <c r="E1469" s="7" t="s">
        <v>167</v>
      </c>
      <c r="F1469" s="7" t="s">
        <v>146</v>
      </c>
      <c r="G1469" s="7" t="s">
        <v>156</v>
      </c>
      <c r="H1469" s="7" t="n">
        <v>4</v>
      </c>
      <c r="I1469" s="11" t="n">
        <v>210</v>
      </c>
      <c r="J1469" s="11" t="n">
        <v>0</v>
      </c>
      <c r="K1469" s="11" t="n">
        <f aca="false">H1469*I1469-J1469</f>
        <v>840</v>
      </c>
      <c r="L1469" s="7" t="s">
        <v>93</v>
      </c>
      <c r="M1469" s="7" t="s">
        <v>194</v>
      </c>
      <c r="N1469" s="7" t="n">
        <v>32</v>
      </c>
      <c r="O1469" s="7" t="n">
        <v>1</v>
      </c>
    </row>
    <row r="1470" customFormat="false" ht="15" hidden="false" customHeight="false" outlineLevel="0" collapsed="false">
      <c r="A1470" s="7" t="s">
        <v>4651</v>
      </c>
      <c r="B1470" s="10" t="n">
        <v>45852</v>
      </c>
      <c r="C1470" s="7" t="s">
        <v>1280</v>
      </c>
      <c r="D1470" s="7" t="s">
        <v>2682</v>
      </c>
      <c r="E1470" s="7" t="s">
        <v>157</v>
      </c>
      <c r="F1470" s="7" t="s">
        <v>136</v>
      </c>
      <c r="G1470" s="7" t="s">
        <v>117</v>
      </c>
      <c r="H1470" s="7" t="n">
        <v>1</v>
      </c>
      <c r="I1470" s="11" t="n">
        <v>120</v>
      </c>
      <c r="J1470" s="11" t="n">
        <v>0</v>
      </c>
      <c r="K1470" s="11" t="n">
        <f aca="false">H1470*I1470-J1470</f>
        <v>120</v>
      </c>
      <c r="L1470" s="7" t="s">
        <v>88</v>
      </c>
      <c r="M1470" s="7" t="s">
        <v>238</v>
      </c>
      <c r="N1470" s="7"/>
      <c r="O1470" s="7"/>
    </row>
    <row r="1471" customFormat="false" ht="15" hidden="false" customHeight="false" outlineLevel="0" collapsed="false">
      <c r="A1471" s="7" t="s">
        <v>6044</v>
      </c>
      <c r="B1471" s="10" t="n">
        <v>45852</v>
      </c>
      <c r="C1471" s="7" t="s">
        <v>2676</v>
      </c>
      <c r="D1471" s="7" t="s">
        <v>4457</v>
      </c>
      <c r="E1471" s="7" t="s">
        <v>113</v>
      </c>
      <c r="F1471" s="7" t="s">
        <v>101</v>
      </c>
      <c r="G1471" s="7" t="s">
        <v>90</v>
      </c>
      <c r="H1471" s="7" t="n">
        <v>2</v>
      </c>
      <c r="I1471" s="11" t="n">
        <v>275</v>
      </c>
      <c r="J1471" s="11" t="n">
        <v>20</v>
      </c>
      <c r="K1471" s="11" t="n">
        <f aca="false">H1471*I1471-J1471</f>
        <v>530</v>
      </c>
      <c r="L1471" s="7" t="s">
        <v>88</v>
      </c>
      <c r="M1471" s="7" t="s">
        <v>194</v>
      </c>
      <c r="N1471" s="7" t="n">
        <v>37</v>
      </c>
      <c r="O1471" s="7" t="n">
        <v>4</v>
      </c>
    </row>
    <row r="1472" customFormat="false" ht="15" hidden="false" customHeight="false" outlineLevel="0" collapsed="false">
      <c r="A1472" s="7" t="s">
        <v>5298</v>
      </c>
      <c r="B1472" s="10" t="n">
        <v>45852</v>
      </c>
      <c r="C1472" s="7" t="s">
        <v>1529</v>
      </c>
      <c r="D1472" s="7" t="s">
        <v>471</v>
      </c>
      <c r="E1472" s="7" t="s">
        <v>130</v>
      </c>
      <c r="F1472" s="7" t="s">
        <v>110</v>
      </c>
      <c r="G1472" s="7" t="s">
        <v>90</v>
      </c>
      <c r="H1472" s="7" t="n">
        <v>2</v>
      </c>
      <c r="I1472" s="11" t="n">
        <v>230</v>
      </c>
      <c r="J1472" s="11" t="n">
        <v>0</v>
      </c>
      <c r="K1472" s="11" t="n">
        <f aca="false">H1472*I1472-J1472</f>
        <v>460</v>
      </c>
      <c r="L1472" s="7" t="s">
        <v>88</v>
      </c>
      <c r="M1472" s="7" t="s">
        <v>194</v>
      </c>
      <c r="N1472" s="7" t="n">
        <v>35</v>
      </c>
      <c r="O1472" s="7" t="n">
        <v>5</v>
      </c>
    </row>
    <row r="1473" customFormat="false" ht="15" hidden="false" customHeight="false" outlineLevel="0" collapsed="false">
      <c r="A1473" s="7" t="s">
        <v>5627</v>
      </c>
      <c r="B1473" s="10" t="n">
        <v>45852</v>
      </c>
      <c r="C1473" s="7" t="s">
        <v>2691</v>
      </c>
      <c r="D1473" s="7" t="s">
        <v>1543</v>
      </c>
      <c r="E1473" s="7" t="s">
        <v>126</v>
      </c>
      <c r="F1473" s="7" t="s">
        <v>101</v>
      </c>
      <c r="G1473" s="7" t="s">
        <v>105</v>
      </c>
      <c r="H1473" s="7" t="n">
        <v>3</v>
      </c>
      <c r="I1473" s="11" t="n">
        <v>235</v>
      </c>
      <c r="J1473" s="11" t="n">
        <v>0</v>
      </c>
      <c r="K1473" s="11" t="n">
        <f aca="false">H1473*I1473-J1473</f>
        <v>705</v>
      </c>
      <c r="L1473" s="7" t="s">
        <v>88</v>
      </c>
      <c r="M1473" s="7" t="s">
        <v>194</v>
      </c>
      <c r="N1473" s="7" t="n">
        <v>53</v>
      </c>
      <c r="O1473" s="7" t="n">
        <v>5</v>
      </c>
    </row>
    <row r="1474" customFormat="false" ht="15" hidden="false" customHeight="false" outlineLevel="0" collapsed="false">
      <c r="A1474" s="7" t="s">
        <v>5652</v>
      </c>
      <c r="B1474" s="10" t="n">
        <v>45852</v>
      </c>
      <c r="C1474" s="7" t="s">
        <v>5653</v>
      </c>
      <c r="D1474" s="7" t="s">
        <v>2459</v>
      </c>
      <c r="E1474" s="7" t="s">
        <v>157</v>
      </c>
      <c r="F1474" s="7" t="s">
        <v>136</v>
      </c>
      <c r="G1474" s="7" t="s">
        <v>117</v>
      </c>
      <c r="H1474" s="7" t="n">
        <v>1</v>
      </c>
      <c r="I1474" s="11" t="n">
        <v>115</v>
      </c>
      <c r="J1474" s="11" t="n">
        <v>46</v>
      </c>
      <c r="K1474" s="11" t="n">
        <f aca="false">H1474*I1474-J1474</f>
        <v>69</v>
      </c>
      <c r="L1474" s="7" t="s">
        <v>112</v>
      </c>
      <c r="M1474" s="7" t="s">
        <v>194</v>
      </c>
      <c r="N1474" s="7" t="n">
        <v>17</v>
      </c>
      <c r="O1474" s="7" t="n">
        <v>5</v>
      </c>
    </row>
    <row r="1475" customFormat="false" ht="15" hidden="false" customHeight="false" outlineLevel="0" collapsed="false">
      <c r="A1475" s="7" t="s">
        <v>2962</v>
      </c>
      <c r="B1475" s="10" t="n">
        <v>45852</v>
      </c>
      <c r="C1475" s="7" t="s">
        <v>2963</v>
      </c>
      <c r="D1475" s="7" t="s">
        <v>2964</v>
      </c>
      <c r="E1475" s="7" t="s">
        <v>167</v>
      </c>
      <c r="F1475" s="7" t="s">
        <v>146</v>
      </c>
      <c r="G1475" s="7" t="s">
        <v>156</v>
      </c>
      <c r="H1475" s="7" t="n">
        <v>1</v>
      </c>
      <c r="I1475" s="11" t="n">
        <v>280</v>
      </c>
      <c r="J1475" s="11" t="n">
        <v>50</v>
      </c>
      <c r="K1475" s="11" t="n">
        <f aca="false">H1475*I1475-J1475</f>
        <v>230</v>
      </c>
      <c r="L1475" s="7" t="s">
        <v>133</v>
      </c>
      <c r="M1475" s="7" t="s">
        <v>194</v>
      </c>
      <c r="N1475" s="7" t="n">
        <v>23</v>
      </c>
      <c r="O1475" s="7" t="n">
        <v>3</v>
      </c>
    </row>
    <row r="1476" customFormat="false" ht="15" hidden="false" customHeight="false" outlineLevel="0" collapsed="false">
      <c r="A1476" s="7" t="s">
        <v>5186</v>
      </c>
      <c r="B1476" s="10" t="n">
        <v>45852</v>
      </c>
      <c r="C1476" s="7" t="s">
        <v>1737</v>
      </c>
      <c r="D1476" s="7" t="s">
        <v>2642</v>
      </c>
      <c r="E1476" s="7" t="s">
        <v>154</v>
      </c>
      <c r="F1476" s="7" t="s">
        <v>128</v>
      </c>
      <c r="G1476" s="7" t="s">
        <v>99</v>
      </c>
      <c r="H1476" s="7" t="n">
        <v>1</v>
      </c>
      <c r="I1476" s="11" t="n">
        <v>225</v>
      </c>
      <c r="J1476" s="11" t="n">
        <v>40</v>
      </c>
      <c r="K1476" s="11" t="n">
        <f aca="false">H1476*I1476-J1476</f>
        <v>185</v>
      </c>
      <c r="L1476" s="7" t="s">
        <v>88</v>
      </c>
      <c r="M1476" s="7" t="s">
        <v>194</v>
      </c>
      <c r="N1476" s="7" t="n">
        <v>26</v>
      </c>
      <c r="O1476" s="7" t="n">
        <v>2</v>
      </c>
    </row>
    <row r="1477" customFormat="false" ht="15" hidden="false" customHeight="false" outlineLevel="0" collapsed="false">
      <c r="A1477" s="7" t="s">
        <v>5152</v>
      </c>
      <c r="B1477" s="10" t="n">
        <v>45852</v>
      </c>
      <c r="C1477" s="7" t="s">
        <v>1983</v>
      </c>
      <c r="D1477" s="7" t="s">
        <v>2537</v>
      </c>
      <c r="E1477" s="7" t="s">
        <v>116</v>
      </c>
      <c r="F1477" s="7" t="s">
        <v>101</v>
      </c>
      <c r="G1477" s="7" t="s">
        <v>117</v>
      </c>
      <c r="H1477" s="7" t="n">
        <v>1</v>
      </c>
      <c r="I1477" s="11" t="n">
        <v>110</v>
      </c>
      <c r="J1477" s="11" t="n">
        <v>0</v>
      </c>
      <c r="K1477" s="11" t="n">
        <f aca="false">H1477*I1477-J1477</f>
        <v>110</v>
      </c>
      <c r="L1477" s="7" t="s">
        <v>103</v>
      </c>
      <c r="M1477" s="7" t="s">
        <v>194</v>
      </c>
      <c r="N1477" s="7" t="n">
        <v>47</v>
      </c>
      <c r="O1477" s="7" t="n">
        <v>3</v>
      </c>
    </row>
    <row r="1478" customFormat="false" ht="15" hidden="false" customHeight="false" outlineLevel="0" collapsed="false">
      <c r="A1478" s="7" t="s">
        <v>4723</v>
      </c>
      <c r="B1478" s="10" t="n">
        <v>45852</v>
      </c>
      <c r="C1478" s="7" t="s">
        <v>276</v>
      </c>
      <c r="D1478" s="7" t="s">
        <v>2418</v>
      </c>
      <c r="E1478" s="7" t="s">
        <v>168</v>
      </c>
      <c r="F1478" s="7" t="s">
        <v>146</v>
      </c>
      <c r="G1478" s="7" t="s">
        <v>123</v>
      </c>
      <c r="H1478" s="7" t="n">
        <v>1</v>
      </c>
      <c r="I1478" s="11" t="n">
        <v>335</v>
      </c>
      <c r="J1478" s="11" t="n">
        <v>0</v>
      </c>
      <c r="K1478" s="11" t="n">
        <f aca="false">H1478*I1478-J1478</f>
        <v>335</v>
      </c>
      <c r="L1478" s="7" t="s">
        <v>88</v>
      </c>
      <c r="M1478" s="7" t="s">
        <v>194</v>
      </c>
      <c r="N1478" s="7" t="n">
        <v>30</v>
      </c>
      <c r="O1478" s="7" t="n">
        <v>3</v>
      </c>
    </row>
    <row r="1479" customFormat="false" ht="15" hidden="false" customHeight="false" outlineLevel="0" collapsed="false">
      <c r="A1479" s="7" t="s">
        <v>929</v>
      </c>
      <c r="B1479" s="10" t="n">
        <v>45852</v>
      </c>
      <c r="C1479" s="7" t="s">
        <v>930</v>
      </c>
      <c r="D1479" s="7" t="s">
        <v>931</v>
      </c>
      <c r="E1479" s="7" t="s">
        <v>126</v>
      </c>
      <c r="F1479" s="7" t="s">
        <v>101</v>
      </c>
      <c r="G1479" s="7" t="s">
        <v>105</v>
      </c>
      <c r="H1479" s="7" t="n">
        <v>1</v>
      </c>
      <c r="I1479" s="11" t="n">
        <v>240</v>
      </c>
      <c r="J1479" s="11" t="n">
        <v>0</v>
      </c>
      <c r="K1479" s="11" t="n">
        <f aca="false">H1479*I1479-J1479</f>
        <v>240</v>
      </c>
      <c r="L1479" s="7" t="s">
        <v>88</v>
      </c>
      <c r="M1479" s="7" t="s">
        <v>194</v>
      </c>
      <c r="N1479" s="7" t="n">
        <v>44</v>
      </c>
      <c r="O1479" s="7"/>
    </row>
    <row r="1480" customFormat="false" ht="15" hidden="false" customHeight="false" outlineLevel="0" collapsed="false">
      <c r="A1480" s="7" t="s">
        <v>4393</v>
      </c>
      <c r="B1480" s="10" t="n">
        <v>45853</v>
      </c>
      <c r="C1480" s="7" t="s">
        <v>3013</v>
      </c>
      <c r="D1480" s="7" t="s">
        <v>4394</v>
      </c>
      <c r="E1480" s="7" t="s">
        <v>151</v>
      </c>
      <c r="F1480" s="7" t="s">
        <v>128</v>
      </c>
      <c r="G1480" s="7" t="s">
        <v>95</v>
      </c>
      <c r="H1480" s="7" t="n">
        <v>1</v>
      </c>
      <c r="I1480" s="11" t="n">
        <v>215</v>
      </c>
      <c r="J1480" s="11" t="n">
        <v>75</v>
      </c>
      <c r="K1480" s="11" t="n">
        <f aca="false">H1480*I1480-J1480</f>
        <v>140</v>
      </c>
      <c r="L1480" s="7" t="s">
        <v>88</v>
      </c>
      <c r="M1480" s="7" t="s">
        <v>194</v>
      </c>
      <c r="N1480" s="7" t="n">
        <v>25</v>
      </c>
      <c r="O1480" s="7"/>
    </row>
    <row r="1481" customFormat="false" ht="15" hidden="false" customHeight="false" outlineLevel="0" collapsed="false">
      <c r="A1481" s="7" t="s">
        <v>4428</v>
      </c>
      <c r="B1481" s="10" t="n">
        <v>45853</v>
      </c>
      <c r="C1481" s="7" t="s">
        <v>4429</v>
      </c>
      <c r="D1481" s="7" t="s">
        <v>273</v>
      </c>
      <c r="E1481" s="7" t="s">
        <v>154</v>
      </c>
      <c r="F1481" s="7" t="s">
        <v>128</v>
      </c>
      <c r="G1481" s="7" t="s">
        <v>99</v>
      </c>
      <c r="H1481" s="7" t="n">
        <v>4</v>
      </c>
      <c r="I1481" s="11" t="n">
        <v>260</v>
      </c>
      <c r="J1481" s="11" t="n">
        <v>100</v>
      </c>
      <c r="K1481" s="11" t="n">
        <f aca="false">H1481*I1481-J1481</f>
        <v>940</v>
      </c>
      <c r="L1481" s="7" t="s">
        <v>103</v>
      </c>
      <c r="M1481" s="7" t="s">
        <v>194</v>
      </c>
      <c r="N1481" s="7" t="n">
        <v>32</v>
      </c>
      <c r="O1481" s="7" t="n">
        <v>3</v>
      </c>
    </row>
    <row r="1482" customFormat="false" ht="15" hidden="false" customHeight="false" outlineLevel="0" collapsed="false">
      <c r="A1482" s="7" t="s">
        <v>3124</v>
      </c>
      <c r="B1482" s="10" t="n">
        <v>45853</v>
      </c>
      <c r="C1482" s="7" t="s">
        <v>1050</v>
      </c>
      <c r="D1482" s="7" t="s">
        <v>3125</v>
      </c>
      <c r="E1482" s="7" t="s">
        <v>122</v>
      </c>
      <c r="F1482" s="7" t="s">
        <v>101</v>
      </c>
      <c r="G1482" s="7" t="s">
        <v>123</v>
      </c>
      <c r="H1482" s="7" t="n">
        <v>2</v>
      </c>
      <c r="I1482" s="11" t="n">
        <v>305</v>
      </c>
      <c r="J1482" s="11" t="n">
        <v>20</v>
      </c>
      <c r="K1482" s="11" t="n">
        <f aca="false">H1482*I1482-J1482</f>
        <v>590</v>
      </c>
      <c r="L1482" s="7" t="s">
        <v>112</v>
      </c>
      <c r="M1482" s="7" t="s">
        <v>194</v>
      </c>
      <c r="N1482" s="7" t="n">
        <v>40</v>
      </c>
      <c r="O1482" s="7" t="n">
        <v>4</v>
      </c>
    </row>
    <row r="1483" customFormat="false" ht="15" hidden="false" customHeight="false" outlineLevel="0" collapsed="false">
      <c r="A1483" s="7" t="s">
        <v>4455</v>
      </c>
      <c r="B1483" s="10" t="n">
        <v>45853</v>
      </c>
      <c r="C1483" s="7" t="s">
        <v>3083</v>
      </c>
      <c r="D1483" s="7" t="s">
        <v>2826</v>
      </c>
      <c r="E1483" s="7" t="s">
        <v>163</v>
      </c>
      <c r="F1483" s="7" t="s">
        <v>141</v>
      </c>
      <c r="G1483" s="7" t="s">
        <v>99</v>
      </c>
      <c r="H1483" s="7" t="n">
        <v>1</v>
      </c>
      <c r="I1483" s="11" t="n">
        <v>235</v>
      </c>
      <c r="J1483" s="11" t="n">
        <v>0</v>
      </c>
      <c r="K1483" s="11" t="n">
        <f aca="false">H1483*I1483-J1483</f>
        <v>235</v>
      </c>
      <c r="L1483" s="7" t="s">
        <v>88</v>
      </c>
      <c r="M1483" s="7" t="s">
        <v>194</v>
      </c>
      <c r="N1483" s="7" t="n">
        <v>29</v>
      </c>
      <c r="O1483" s="7"/>
    </row>
    <row r="1484" customFormat="false" ht="15" hidden="false" customHeight="false" outlineLevel="0" collapsed="false">
      <c r="A1484" s="7" t="s">
        <v>4227</v>
      </c>
      <c r="B1484" s="10" t="n">
        <v>45853</v>
      </c>
      <c r="C1484" s="7" t="s">
        <v>3300</v>
      </c>
      <c r="D1484" s="7" t="s">
        <v>2731</v>
      </c>
      <c r="E1484" s="7" t="s">
        <v>163</v>
      </c>
      <c r="F1484" s="7" t="s">
        <v>141</v>
      </c>
      <c r="G1484" s="7" t="s">
        <v>99</v>
      </c>
      <c r="H1484" s="7" t="n">
        <v>5</v>
      </c>
      <c r="I1484" s="11" t="n">
        <v>320</v>
      </c>
      <c r="J1484" s="11" t="n">
        <v>150</v>
      </c>
      <c r="K1484" s="11" t="n">
        <f aca="false">H1484*I1484-J1484</f>
        <v>1450</v>
      </c>
      <c r="L1484" s="7" t="s">
        <v>93</v>
      </c>
      <c r="M1484" s="7" t="s">
        <v>194</v>
      </c>
      <c r="N1484" s="7" t="n">
        <v>36</v>
      </c>
      <c r="O1484" s="7"/>
    </row>
    <row r="1485" customFormat="false" ht="15" hidden="false" customHeight="false" outlineLevel="0" collapsed="false">
      <c r="A1485" s="7" t="s">
        <v>3548</v>
      </c>
      <c r="B1485" s="10" t="n">
        <v>45853</v>
      </c>
      <c r="C1485" s="7" t="s">
        <v>346</v>
      </c>
      <c r="D1485" s="7" t="s">
        <v>721</v>
      </c>
      <c r="E1485" s="7" t="s">
        <v>104</v>
      </c>
      <c r="F1485" s="7" t="s">
        <v>86</v>
      </c>
      <c r="G1485" s="7" t="s">
        <v>105</v>
      </c>
      <c r="H1485" s="7" t="n">
        <v>1</v>
      </c>
      <c r="I1485" s="11" t="n">
        <v>210</v>
      </c>
      <c r="J1485" s="11" t="n">
        <v>30</v>
      </c>
      <c r="K1485" s="11" t="n">
        <f aca="false">H1485*I1485-J1485</f>
        <v>180</v>
      </c>
      <c r="L1485" s="7" t="s">
        <v>112</v>
      </c>
      <c r="M1485" s="7" t="s">
        <v>194</v>
      </c>
      <c r="N1485" s="7" t="n">
        <v>41</v>
      </c>
      <c r="O1485" s="7" t="n">
        <v>4</v>
      </c>
    </row>
    <row r="1486" customFormat="false" ht="15" hidden="false" customHeight="false" outlineLevel="0" collapsed="false">
      <c r="A1486" s="7" t="s">
        <v>1315</v>
      </c>
      <c r="B1486" s="10" t="n">
        <v>45853</v>
      </c>
      <c r="C1486" s="7" t="s">
        <v>1317</v>
      </c>
      <c r="D1486" s="7" t="s">
        <v>1318</v>
      </c>
      <c r="E1486" s="7" t="s">
        <v>94</v>
      </c>
      <c r="F1486" s="7" t="s">
        <v>86</v>
      </c>
      <c r="G1486" s="7" t="s">
        <v>95</v>
      </c>
      <c r="H1486" s="7" t="n">
        <v>2</v>
      </c>
      <c r="I1486" s="11" t="n">
        <v>110</v>
      </c>
      <c r="J1486" s="11" t="n">
        <v>0</v>
      </c>
      <c r="K1486" s="11" t="n">
        <f aca="false">H1486*I1486-J1486</f>
        <v>220</v>
      </c>
      <c r="L1486" s="7" t="s">
        <v>88</v>
      </c>
      <c r="M1486" s="7" t="s">
        <v>194</v>
      </c>
      <c r="N1486" s="7" t="n">
        <v>35</v>
      </c>
      <c r="O1486" s="7" t="n">
        <v>4</v>
      </c>
    </row>
    <row r="1487" customFormat="false" ht="15" hidden="false" customHeight="false" outlineLevel="0" collapsed="false">
      <c r="A1487" s="7" t="s">
        <v>2952</v>
      </c>
      <c r="B1487" s="10" t="n">
        <v>45853</v>
      </c>
      <c r="C1487" s="7" t="s">
        <v>1501</v>
      </c>
      <c r="D1487" s="7" t="s">
        <v>2953</v>
      </c>
      <c r="E1487" s="7" t="s">
        <v>94</v>
      </c>
      <c r="F1487" s="7" t="s">
        <v>86</v>
      </c>
      <c r="G1487" s="7" t="s">
        <v>95</v>
      </c>
      <c r="H1487" s="7" t="n">
        <v>2</v>
      </c>
      <c r="I1487" s="11" t="n">
        <v>145</v>
      </c>
      <c r="J1487" s="11" t="n">
        <v>40</v>
      </c>
      <c r="K1487" s="11" t="n">
        <f aca="false">H1487*I1487-J1487</f>
        <v>250</v>
      </c>
      <c r="L1487" s="7" t="s">
        <v>112</v>
      </c>
      <c r="M1487" s="7" t="s">
        <v>194</v>
      </c>
      <c r="N1487" s="7" t="n">
        <v>49</v>
      </c>
      <c r="O1487" s="7" t="n">
        <v>5</v>
      </c>
    </row>
    <row r="1488" customFormat="false" ht="15" hidden="false" customHeight="false" outlineLevel="0" collapsed="false">
      <c r="A1488" s="7" t="s">
        <v>1571</v>
      </c>
      <c r="B1488" s="10" t="n">
        <v>45853</v>
      </c>
      <c r="C1488" s="7" t="s">
        <v>1572</v>
      </c>
      <c r="D1488" s="7" t="s">
        <v>1573</v>
      </c>
      <c r="E1488" s="7" t="s">
        <v>167</v>
      </c>
      <c r="F1488" s="7" t="s">
        <v>146</v>
      </c>
      <c r="G1488" s="7" t="s">
        <v>156</v>
      </c>
      <c r="H1488" s="7" t="n">
        <v>2</v>
      </c>
      <c r="I1488" s="11" t="n">
        <v>265</v>
      </c>
      <c r="J1488" s="11" t="n">
        <v>0</v>
      </c>
      <c r="K1488" s="11" t="n">
        <f aca="false">H1488*I1488-J1488</f>
        <v>530</v>
      </c>
      <c r="L1488" s="7" t="s">
        <v>88</v>
      </c>
      <c r="M1488" s="7" t="s">
        <v>194</v>
      </c>
      <c r="N1488" s="7" t="n">
        <v>36</v>
      </c>
      <c r="O1488" s="7" t="n">
        <v>3</v>
      </c>
    </row>
    <row r="1489" customFormat="false" ht="15" hidden="false" customHeight="false" outlineLevel="0" collapsed="false">
      <c r="A1489" s="7" t="s">
        <v>4018</v>
      </c>
      <c r="B1489" s="10" t="n">
        <v>45853</v>
      </c>
      <c r="C1489" s="7" t="s">
        <v>331</v>
      </c>
      <c r="D1489" s="7" t="s">
        <v>1051</v>
      </c>
      <c r="E1489" s="7" t="s">
        <v>113</v>
      </c>
      <c r="F1489" s="7" t="s">
        <v>101</v>
      </c>
      <c r="G1489" s="7" t="s">
        <v>90</v>
      </c>
      <c r="H1489" s="7" t="n">
        <v>1</v>
      </c>
      <c r="I1489" s="11" t="n">
        <v>220</v>
      </c>
      <c r="J1489" s="11" t="n">
        <v>40</v>
      </c>
      <c r="K1489" s="11" t="n">
        <f aca="false">H1489*I1489-J1489</f>
        <v>180</v>
      </c>
      <c r="L1489" s="7" t="s">
        <v>121</v>
      </c>
      <c r="M1489" s="7" t="s">
        <v>194</v>
      </c>
      <c r="N1489" s="7" t="n">
        <v>47</v>
      </c>
      <c r="O1489" s="7" t="n">
        <v>4</v>
      </c>
    </row>
    <row r="1490" customFormat="false" ht="15" hidden="false" customHeight="false" outlineLevel="0" collapsed="false">
      <c r="A1490" s="7" t="s">
        <v>4966</v>
      </c>
      <c r="B1490" s="10" t="n">
        <v>45854</v>
      </c>
      <c r="C1490" s="7" t="s">
        <v>3566</v>
      </c>
      <c r="D1490" s="7" t="s">
        <v>438</v>
      </c>
      <c r="E1490" s="7" t="s">
        <v>104</v>
      </c>
      <c r="F1490" s="7" t="s">
        <v>86</v>
      </c>
      <c r="G1490" s="7" t="s">
        <v>105</v>
      </c>
      <c r="H1490" s="7" t="n">
        <v>1</v>
      </c>
      <c r="I1490" s="11" t="n">
        <v>210</v>
      </c>
      <c r="J1490" s="11" t="n">
        <v>0</v>
      </c>
      <c r="K1490" s="11" t="n">
        <f aca="false">H1490*I1490-J1490</f>
        <v>210</v>
      </c>
      <c r="L1490" s="7" t="s">
        <v>103</v>
      </c>
      <c r="M1490" s="7" t="s">
        <v>194</v>
      </c>
      <c r="N1490" s="7" t="n">
        <v>33</v>
      </c>
      <c r="O1490" s="7" t="n">
        <v>3</v>
      </c>
    </row>
    <row r="1491" customFormat="false" ht="15" hidden="false" customHeight="false" outlineLevel="0" collapsed="false">
      <c r="A1491" s="7" t="s">
        <v>4880</v>
      </c>
      <c r="B1491" s="10" t="n">
        <v>45854</v>
      </c>
      <c r="C1491" s="7" t="s">
        <v>1256</v>
      </c>
      <c r="D1491" s="7" t="s">
        <v>491</v>
      </c>
      <c r="E1491" s="7" t="s">
        <v>98</v>
      </c>
      <c r="F1491" s="7" t="s">
        <v>86</v>
      </c>
      <c r="G1491" s="7" t="s">
        <v>99</v>
      </c>
      <c r="H1491" s="7" t="n">
        <v>1</v>
      </c>
      <c r="I1491" s="11" t="n">
        <v>225</v>
      </c>
      <c r="J1491" s="11" t="n">
        <v>0</v>
      </c>
      <c r="K1491" s="11" t="n">
        <f aca="false">H1491*I1491-J1491</f>
        <v>225</v>
      </c>
      <c r="L1491" s="7" t="s">
        <v>88</v>
      </c>
      <c r="M1491" s="7" t="s">
        <v>194</v>
      </c>
      <c r="N1491" s="7" t="n">
        <v>35</v>
      </c>
      <c r="O1491" s="7" t="n">
        <v>5</v>
      </c>
    </row>
    <row r="1492" customFormat="false" ht="15" hidden="false" customHeight="false" outlineLevel="0" collapsed="false">
      <c r="A1492" s="7" t="s">
        <v>5867</v>
      </c>
      <c r="B1492" s="10" t="n">
        <v>45854</v>
      </c>
      <c r="C1492" s="7" t="s">
        <v>2696</v>
      </c>
      <c r="D1492" s="7" t="s">
        <v>4864</v>
      </c>
      <c r="E1492" s="7" t="s">
        <v>113</v>
      </c>
      <c r="F1492" s="7" t="s">
        <v>101</v>
      </c>
      <c r="G1492" s="7" t="s">
        <v>90</v>
      </c>
      <c r="H1492" s="7" t="n">
        <v>1</v>
      </c>
      <c r="I1492" s="11" t="n">
        <v>255</v>
      </c>
      <c r="J1492" s="11" t="n">
        <v>100</v>
      </c>
      <c r="K1492" s="11" t="n">
        <f aca="false">H1492*I1492-J1492</f>
        <v>155</v>
      </c>
      <c r="L1492" s="7" t="s">
        <v>88</v>
      </c>
      <c r="M1492" s="7" t="s">
        <v>194</v>
      </c>
      <c r="N1492" s="7" t="n">
        <v>44</v>
      </c>
      <c r="O1492" s="7" t="n">
        <v>5</v>
      </c>
    </row>
    <row r="1493" customFormat="false" ht="15" hidden="false" customHeight="false" outlineLevel="0" collapsed="false">
      <c r="A1493" s="7" t="s">
        <v>2736</v>
      </c>
      <c r="B1493" s="10" t="n">
        <v>45854</v>
      </c>
      <c r="C1493" s="7" t="s">
        <v>1788</v>
      </c>
      <c r="D1493" s="7" t="s">
        <v>2738</v>
      </c>
      <c r="E1493" s="7" t="s">
        <v>144</v>
      </c>
      <c r="F1493" s="7" t="s">
        <v>119</v>
      </c>
      <c r="G1493" s="7" t="s">
        <v>99</v>
      </c>
      <c r="H1493" s="7" t="n">
        <v>3</v>
      </c>
      <c r="I1493" s="11" t="n">
        <v>275</v>
      </c>
      <c r="J1493" s="11" t="n">
        <v>50</v>
      </c>
      <c r="K1493" s="11" t="n">
        <f aca="false">H1493*I1493-J1493</f>
        <v>775</v>
      </c>
      <c r="L1493" s="7" t="s">
        <v>112</v>
      </c>
      <c r="M1493" s="7" t="s">
        <v>194</v>
      </c>
      <c r="N1493" s="7" t="n">
        <v>35</v>
      </c>
      <c r="O1493" s="7"/>
    </row>
    <row r="1494" customFormat="false" ht="15" hidden="false" customHeight="false" outlineLevel="0" collapsed="false">
      <c r="A1494" s="7" t="s">
        <v>2005</v>
      </c>
      <c r="B1494" s="10" t="n">
        <v>45854</v>
      </c>
      <c r="C1494" s="7" t="s">
        <v>2007</v>
      </c>
      <c r="D1494" s="7" t="s">
        <v>2008</v>
      </c>
      <c r="E1494" s="7" t="s">
        <v>130</v>
      </c>
      <c r="F1494" s="7" t="s">
        <v>110</v>
      </c>
      <c r="G1494" s="7" t="s">
        <v>90</v>
      </c>
      <c r="H1494" s="7" t="n">
        <v>3</v>
      </c>
      <c r="I1494" s="11" t="n">
        <v>265</v>
      </c>
      <c r="J1494" s="11" t="n">
        <v>100</v>
      </c>
      <c r="K1494" s="11" t="n">
        <f aca="false">H1494*I1494-J1494</f>
        <v>695</v>
      </c>
      <c r="L1494" s="7" t="s">
        <v>103</v>
      </c>
      <c r="M1494" s="7" t="s">
        <v>194</v>
      </c>
      <c r="N1494" s="7" t="n">
        <v>32</v>
      </c>
      <c r="O1494" s="7" t="n">
        <v>5</v>
      </c>
    </row>
    <row r="1495" customFormat="false" ht="15" hidden="false" customHeight="false" outlineLevel="0" collapsed="false">
      <c r="A1495" s="7" t="s">
        <v>4144</v>
      </c>
      <c r="B1495" s="10" t="n">
        <v>45855</v>
      </c>
      <c r="C1495" s="7" t="s">
        <v>1164</v>
      </c>
      <c r="D1495" s="7" t="s">
        <v>1110</v>
      </c>
      <c r="E1495" s="7" t="s">
        <v>130</v>
      </c>
      <c r="F1495" s="7" t="s">
        <v>110</v>
      </c>
      <c r="G1495" s="7" t="s">
        <v>90</v>
      </c>
      <c r="H1495" s="7" t="n">
        <v>2</v>
      </c>
      <c r="I1495" s="11" t="n">
        <v>205</v>
      </c>
      <c r="J1495" s="11" t="n">
        <v>0</v>
      </c>
      <c r="K1495" s="11" t="n">
        <f aca="false">H1495*I1495-J1495</f>
        <v>410</v>
      </c>
      <c r="L1495" s="7" t="s">
        <v>88</v>
      </c>
      <c r="M1495" s="7" t="s">
        <v>194</v>
      </c>
      <c r="N1495" s="7" t="n">
        <v>30</v>
      </c>
      <c r="O1495" s="7" t="n">
        <v>4</v>
      </c>
    </row>
    <row r="1496" customFormat="false" ht="15" hidden="false" customHeight="false" outlineLevel="0" collapsed="false">
      <c r="A1496" s="7" t="s">
        <v>2777</v>
      </c>
      <c r="B1496" s="10" t="n">
        <v>45855</v>
      </c>
      <c r="C1496" s="7" t="s">
        <v>2778</v>
      </c>
      <c r="D1496" s="7" t="s">
        <v>2779</v>
      </c>
      <c r="E1496" s="7" t="s">
        <v>113</v>
      </c>
      <c r="F1496" s="7" t="s">
        <v>101</v>
      </c>
      <c r="G1496" s="7" t="s">
        <v>90</v>
      </c>
      <c r="H1496" s="7" t="n">
        <v>2</v>
      </c>
      <c r="I1496" s="11" t="n">
        <v>265</v>
      </c>
      <c r="J1496" s="11" t="n">
        <v>75</v>
      </c>
      <c r="K1496" s="11" t="n">
        <f aca="false">H1496*I1496-J1496</f>
        <v>455</v>
      </c>
      <c r="L1496" s="7" t="s">
        <v>133</v>
      </c>
      <c r="M1496" s="7" t="s">
        <v>194</v>
      </c>
      <c r="N1496" s="7" t="n">
        <v>52</v>
      </c>
      <c r="O1496" s="7" t="n">
        <v>3</v>
      </c>
    </row>
    <row r="1497" customFormat="false" ht="15" hidden="false" customHeight="false" outlineLevel="0" collapsed="false">
      <c r="A1497" s="7" t="s">
        <v>819</v>
      </c>
      <c r="B1497" s="10" t="n">
        <v>45855</v>
      </c>
      <c r="C1497" s="7" t="s">
        <v>821</v>
      </c>
      <c r="D1497" s="7" t="s">
        <v>822</v>
      </c>
      <c r="E1497" s="7" t="s">
        <v>144</v>
      </c>
      <c r="F1497" s="7" t="s">
        <v>119</v>
      </c>
      <c r="G1497" s="7" t="s">
        <v>99</v>
      </c>
      <c r="H1497" s="7" t="n">
        <v>1</v>
      </c>
      <c r="I1497" s="11" t="n">
        <v>240</v>
      </c>
      <c r="J1497" s="11" t="n">
        <v>40</v>
      </c>
      <c r="K1497" s="11" t="n">
        <f aca="false">H1497*I1497-J1497</f>
        <v>200</v>
      </c>
      <c r="L1497" s="7" t="s">
        <v>93</v>
      </c>
      <c r="M1497" s="7" t="s">
        <v>194</v>
      </c>
      <c r="N1497" s="7" t="n">
        <v>39</v>
      </c>
      <c r="O1497" s="7" t="n">
        <v>5</v>
      </c>
    </row>
    <row r="1498" customFormat="false" ht="15" hidden="false" customHeight="false" outlineLevel="0" collapsed="false">
      <c r="A1498" s="7" t="s">
        <v>5676</v>
      </c>
      <c r="B1498" s="10" t="n">
        <v>45855</v>
      </c>
      <c r="C1498" s="7" t="s">
        <v>5677</v>
      </c>
      <c r="D1498" s="7" t="s">
        <v>482</v>
      </c>
      <c r="E1498" s="7" t="s">
        <v>126</v>
      </c>
      <c r="F1498" s="7" t="s">
        <v>101</v>
      </c>
      <c r="G1498" s="7" t="s">
        <v>105</v>
      </c>
      <c r="H1498" s="7" t="n">
        <v>3</v>
      </c>
      <c r="I1498" s="11" t="n">
        <v>195</v>
      </c>
      <c r="J1498" s="11" t="n">
        <v>0</v>
      </c>
      <c r="K1498" s="11" t="n">
        <f aca="false">H1498*I1498-J1498</f>
        <v>585</v>
      </c>
      <c r="L1498" s="7" t="s">
        <v>112</v>
      </c>
      <c r="M1498" s="7" t="s">
        <v>194</v>
      </c>
      <c r="N1498" s="7" t="n">
        <v>47</v>
      </c>
      <c r="O1498" s="7" t="n">
        <v>3</v>
      </c>
    </row>
    <row r="1499" customFormat="false" ht="15" hidden="false" customHeight="false" outlineLevel="0" collapsed="false">
      <c r="A1499" s="7" t="s">
        <v>450</v>
      </c>
      <c r="B1499" s="10" t="n">
        <v>45855</v>
      </c>
      <c r="C1499" s="7" t="s">
        <v>452</v>
      </c>
      <c r="D1499" s="7" t="s">
        <v>453</v>
      </c>
      <c r="E1499" s="7" t="s">
        <v>134</v>
      </c>
      <c r="F1499" s="7" t="s">
        <v>110</v>
      </c>
      <c r="G1499" s="7" t="s">
        <v>117</v>
      </c>
      <c r="H1499" s="7" t="n">
        <v>1</v>
      </c>
      <c r="I1499" s="11" t="n">
        <v>120</v>
      </c>
      <c r="J1499" s="11" t="n">
        <v>0</v>
      </c>
      <c r="K1499" s="11" t="n">
        <f aca="false">H1499*I1499-J1499</f>
        <v>120</v>
      </c>
      <c r="L1499" s="7" t="s">
        <v>93</v>
      </c>
      <c r="M1499" s="7" t="s">
        <v>194</v>
      </c>
      <c r="N1499" s="7" t="n">
        <v>51</v>
      </c>
      <c r="O1499" s="7" t="n">
        <v>5</v>
      </c>
    </row>
    <row r="1500" customFormat="false" ht="15" hidden="false" customHeight="false" outlineLevel="0" collapsed="false">
      <c r="A1500" s="7" t="s">
        <v>4606</v>
      </c>
      <c r="B1500" s="10" t="n">
        <v>45855</v>
      </c>
      <c r="C1500" s="7" t="s">
        <v>1313</v>
      </c>
      <c r="D1500" s="7" t="s">
        <v>673</v>
      </c>
      <c r="E1500" s="7" t="s">
        <v>113</v>
      </c>
      <c r="F1500" s="7" t="s">
        <v>101</v>
      </c>
      <c r="G1500" s="7" t="s">
        <v>90</v>
      </c>
      <c r="H1500" s="7" t="n">
        <v>4</v>
      </c>
      <c r="I1500" s="11" t="n">
        <v>240</v>
      </c>
      <c r="J1500" s="11" t="n">
        <v>75</v>
      </c>
      <c r="K1500" s="11" t="n">
        <f aca="false">H1500*I1500-J1500</f>
        <v>885</v>
      </c>
      <c r="L1500" s="7" t="s">
        <v>88</v>
      </c>
      <c r="M1500" s="7" t="s">
        <v>194</v>
      </c>
      <c r="N1500" s="7" t="n">
        <v>54</v>
      </c>
      <c r="O1500" s="7" t="n">
        <v>2</v>
      </c>
    </row>
    <row r="1501" customFormat="false" ht="15" hidden="false" customHeight="false" outlineLevel="0" collapsed="false">
      <c r="A1501" s="7" t="s">
        <v>3785</v>
      </c>
      <c r="B1501" s="10" t="n">
        <v>45855</v>
      </c>
      <c r="C1501" s="7" t="s">
        <v>1933</v>
      </c>
      <c r="D1501" s="7" t="s">
        <v>3786</v>
      </c>
      <c r="E1501" s="7" t="s">
        <v>98</v>
      </c>
      <c r="F1501" s="7" t="s">
        <v>86</v>
      </c>
      <c r="G1501" s="7" t="s">
        <v>99</v>
      </c>
      <c r="H1501" s="7" t="n">
        <v>1</v>
      </c>
      <c r="I1501" s="11" t="n">
        <v>270</v>
      </c>
      <c r="J1501" s="11" t="n">
        <v>50</v>
      </c>
      <c r="K1501" s="11" t="n">
        <f aca="false">H1501*I1501-J1501</f>
        <v>220</v>
      </c>
      <c r="L1501" s="7" t="s">
        <v>103</v>
      </c>
      <c r="M1501" s="7" t="s">
        <v>194</v>
      </c>
      <c r="N1501" s="7" t="n">
        <v>29</v>
      </c>
      <c r="O1501" s="7" t="n">
        <v>5</v>
      </c>
    </row>
    <row r="1502" customFormat="false" ht="15" hidden="false" customHeight="false" outlineLevel="0" collapsed="false">
      <c r="A1502" s="7" t="s">
        <v>5227</v>
      </c>
      <c r="B1502" s="10" t="n">
        <v>45855</v>
      </c>
      <c r="C1502" s="7" t="s">
        <v>2160</v>
      </c>
      <c r="D1502" s="7" t="s">
        <v>4244</v>
      </c>
      <c r="E1502" s="7" t="s">
        <v>138</v>
      </c>
      <c r="F1502" s="7" t="s">
        <v>110</v>
      </c>
      <c r="G1502" s="7" t="s">
        <v>139</v>
      </c>
      <c r="H1502" s="7" t="n">
        <v>2</v>
      </c>
      <c r="I1502" s="11" t="n">
        <v>170</v>
      </c>
      <c r="J1502" s="11" t="n">
        <v>0</v>
      </c>
      <c r="K1502" s="11" t="n">
        <f aca="false">H1502*I1502-J1502</f>
        <v>340</v>
      </c>
      <c r="L1502" s="7" t="s">
        <v>121</v>
      </c>
      <c r="M1502" s="7" t="s">
        <v>194</v>
      </c>
      <c r="N1502" s="7" t="n">
        <v>40</v>
      </c>
      <c r="O1502" s="7" t="n">
        <v>5</v>
      </c>
    </row>
    <row r="1503" customFormat="false" ht="15" hidden="false" customHeight="false" outlineLevel="0" collapsed="false">
      <c r="A1503" s="7" t="s">
        <v>3466</v>
      </c>
      <c r="B1503" s="10" t="n">
        <v>45855</v>
      </c>
      <c r="C1503" s="7" t="s">
        <v>209</v>
      </c>
      <c r="D1503" s="7" t="s">
        <v>1302</v>
      </c>
      <c r="E1503" s="7" t="s">
        <v>89</v>
      </c>
      <c r="F1503" s="7" t="s">
        <v>86</v>
      </c>
      <c r="G1503" s="7" t="s">
        <v>90</v>
      </c>
      <c r="H1503" s="7" t="n">
        <v>1</v>
      </c>
      <c r="I1503" s="11" t="n">
        <v>190</v>
      </c>
      <c r="J1503" s="11" t="n">
        <v>0</v>
      </c>
      <c r="K1503" s="11" t="n">
        <f aca="false">H1503*I1503-J1503</f>
        <v>190</v>
      </c>
      <c r="L1503" s="7" t="s">
        <v>88</v>
      </c>
      <c r="M1503" s="7" t="s">
        <v>194</v>
      </c>
      <c r="N1503" s="7" t="n">
        <v>34</v>
      </c>
      <c r="O1503" s="7" t="n">
        <v>5</v>
      </c>
    </row>
    <row r="1504" customFormat="false" ht="15" hidden="false" customHeight="false" outlineLevel="0" collapsed="false">
      <c r="A1504" s="7" t="s">
        <v>2749</v>
      </c>
      <c r="B1504" s="10" t="n">
        <v>45856</v>
      </c>
      <c r="C1504" s="7" t="s">
        <v>1030</v>
      </c>
      <c r="D1504" s="7" t="s">
        <v>2750</v>
      </c>
      <c r="E1504" s="7" t="s">
        <v>160</v>
      </c>
      <c r="F1504" s="7" t="s">
        <v>136</v>
      </c>
      <c r="G1504" s="7" t="s">
        <v>150</v>
      </c>
      <c r="H1504" s="7" t="n">
        <v>4</v>
      </c>
      <c r="I1504" s="11" t="n">
        <v>185</v>
      </c>
      <c r="J1504" s="11" t="n">
        <v>20</v>
      </c>
      <c r="K1504" s="11" t="n">
        <f aca="false">H1504*I1504-J1504</f>
        <v>720</v>
      </c>
      <c r="L1504" s="7" t="s">
        <v>88</v>
      </c>
      <c r="M1504" s="7" t="s">
        <v>194</v>
      </c>
      <c r="N1504" s="7" t="n">
        <v>34</v>
      </c>
      <c r="O1504" s="7" t="n">
        <v>5</v>
      </c>
    </row>
    <row r="1505" customFormat="false" ht="15" hidden="false" customHeight="false" outlineLevel="0" collapsed="false">
      <c r="A1505" s="7" t="s">
        <v>5056</v>
      </c>
      <c r="B1505" s="10" t="n">
        <v>45856</v>
      </c>
      <c r="C1505" s="7" t="s">
        <v>606</v>
      </c>
      <c r="D1505" s="7" t="s">
        <v>956</v>
      </c>
      <c r="E1505" s="7" t="s">
        <v>130</v>
      </c>
      <c r="F1505" s="7" t="s">
        <v>110</v>
      </c>
      <c r="G1505" s="7" t="s">
        <v>90</v>
      </c>
      <c r="H1505" s="7" t="n">
        <v>3</v>
      </c>
      <c r="I1505" s="11" t="n">
        <v>250</v>
      </c>
      <c r="J1505" s="11" t="n">
        <v>40</v>
      </c>
      <c r="K1505" s="11" t="n">
        <f aca="false">H1505*I1505-J1505</f>
        <v>710</v>
      </c>
      <c r="L1505" s="7" t="s">
        <v>88</v>
      </c>
      <c r="M1505" s="7" t="s">
        <v>194</v>
      </c>
      <c r="N1505" s="7"/>
      <c r="O1505" s="7" t="n">
        <v>2</v>
      </c>
    </row>
    <row r="1506" customFormat="false" ht="15" hidden="false" customHeight="false" outlineLevel="0" collapsed="false">
      <c r="A1506" s="7" t="s">
        <v>384</v>
      </c>
      <c r="B1506" s="10" t="n">
        <v>45856</v>
      </c>
      <c r="C1506" s="7" t="s">
        <v>386</v>
      </c>
      <c r="D1506" s="7" t="s">
        <v>387</v>
      </c>
      <c r="E1506" s="7" t="s">
        <v>159</v>
      </c>
      <c r="F1506" s="7" t="s">
        <v>136</v>
      </c>
      <c r="G1506" s="7" t="s">
        <v>90</v>
      </c>
      <c r="H1506" s="7" t="n">
        <v>1</v>
      </c>
      <c r="I1506" s="11" t="n">
        <v>235</v>
      </c>
      <c r="J1506" s="11" t="n">
        <v>0</v>
      </c>
      <c r="K1506" s="11" t="n">
        <f aca="false">H1506*I1506-J1506</f>
        <v>235</v>
      </c>
      <c r="L1506" s="7" t="s">
        <v>88</v>
      </c>
      <c r="M1506" s="7" t="s">
        <v>238</v>
      </c>
      <c r="N1506" s="7"/>
      <c r="O1506" s="7"/>
    </row>
    <row r="1507" customFormat="false" ht="15" hidden="false" customHeight="false" outlineLevel="0" collapsed="false">
      <c r="A1507" s="7" t="s">
        <v>4740</v>
      </c>
      <c r="B1507" s="10" t="n">
        <v>45856</v>
      </c>
      <c r="C1507" s="7" t="s">
        <v>4741</v>
      </c>
      <c r="D1507" s="7" t="s">
        <v>4742</v>
      </c>
      <c r="E1507" s="7" t="s">
        <v>149</v>
      </c>
      <c r="F1507" s="7" t="s">
        <v>119</v>
      </c>
      <c r="G1507" s="7" t="s">
        <v>150</v>
      </c>
      <c r="H1507" s="7" t="n">
        <v>2</v>
      </c>
      <c r="I1507" s="11" t="n">
        <v>160</v>
      </c>
      <c r="J1507" s="11" t="n">
        <v>0</v>
      </c>
      <c r="K1507" s="11" t="n">
        <f aca="false">H1507*I1507-J1507</f>
        <v>320</v>
      </c>
      <c r="L1507" s="7" t="s">
        <v>88</v>
      </c>
      <c r="M1507" s="7" t="s">
        <v>194</v>
      </c>
      <c r="N1507" s="7" t="n">
        <v>37</v>
      </c>
      <c r="O1507" s="7"/>
    </row>
    <row r="1508" customFormat="false" ht="15" hidden="false" customHeight="false" outlineLevel="0" collapsed="false">
      <c r="A1508" s="7" t="s">
        <v>4784</v>
      </c>
      <c r="B1508" s="10" t="n">
        <v>45857</v>
      </c>
      <c r="C1508" s="7" t="s">
        <v>3008</v>
      </c>
      <c r="D1508" s="7" t="s">
        <v>2988</v>
      </c>
      <c r="E1508" s="7" t="s">
        <v>89</v>
      </c>
      <c r="F1508" s="7" t="s">
        <v>86</v>
      </c>
      <c r="G1508" s="7" t="s">
        <v>90</v>
      </c>
      <c r="H1508" s="7" t="n">
        <v>1</v>
      </c>
      <c r="I1508" s="11" t="n">
        <v>200</v>
      </c>
      <c r="J1508" s="11" t="n">
        <v>40</v>
      </c>
      <c r="K1508" s="11" t="n">
        <f aca="false">H1508*I1508-J1508</f>
        <v>160</v>
      </c>
      <c r="L1508" s="7" t="s">
        <v>88</v>
      </c>
      <c r="M1508" s="7" t="s">
        <v>194</v>
      </c>
      <c r="N1508" s="7" t="n">
        <v>45</v>
      </c>
      <c r="O1508" s="7" t="n">
        <v>5</v>
      </c>
    </row>
    <row r="1509" customFormat="false" ht="15" hidden="false" customHeight="false" outlineLevel="0" collapsed="false">
      <c r="A1509" s="7" t="s">
        <v>4775</v>
      </c>
      <c r="B1509" s="10" t="n">
        <v>45857</v>
      </c>
      <c r="C1509" s="7" t="s">
        <v>2266</v>
      </c>
      <c r="D1509" s="7" t="s">
        <v>2540</v>
      </c>
      <c r="E1509" s="7" t="s">
        <v>113</v>
      </c>
      <c r="F1509" s="7" t="s">
        <v>101</v>
      </c>
      <c r="G1509" s="7" t="s">
        <v>90</v>
      </c>
      <c r="H1509" s="7" t="n">
        <v>2</v>
      </c>
      <c r="I1509" s="11" t="n">
        <v>210</v>
      </c>
      <c r="J1509" s="11" t="n">
        <v>0</v>
      </c>
      <c r="K1509" s="11" t="n">
        <f aca="false">H1509*I1509-J1509</f>
        <v>420</v>
      </c>
      <c r="L1509" s="7" t="s">
        <v>88</v>
      </c>
      <c r="M1509" s="7" t="s">
        <v>194</v>
      </c>
      <c r="N1509" s="7" t="n">
        <v>35</v>
      </c>
      <c r="O1509" s="7" t="n">
        <v>3</v>
      </c>
    </row>
    <row r="1510" customFormat="false" ht="15" hidden="false" customHeight="false" outlineLevel="0" collapsed="false">
      <c r="A1510" s="7" t="s">
        <v>632</v>
      </c>
      <c r="B1510" s="10" t="n">
        <v>45857</v>
      </c>
      <c r="C1510" s="7" t="s">
        <v>634</v>
      </c>
      <c r="D1510" s="7" t="s">
        <v>635</v>
      </c>
      <c r="E1510" s="7" t="s">
        <v>98</v>
      </c>
      <c r="F1510" s="7" t="s">
        <v>86</v>
      </c>
      <c r="G1510" s="7" t="s">
        <v>99</v>
      </c>
      <c r="H1510" s="7" t="n">
        <v>2</v>
      </c>
      <c r="I1510" s="11" t="n">
        <v>350</v>
      </c>
      <c r="J1510" s="11" t="n">
        <v>150</v>
      </c>
      <c r="K1510" s="11" t="n">
        <f aca="false">H1510*I1510-J1510</f>
        <v>550</v>
      </c>
      <c r="L1510" s="7" t="s">
        <v>93</v>
      </c>
      <c r="M1510" s="7" t="s">
        <v>194</v>
      </c>
      <c r="N1510" s="7" t="n">
        <v>44</v>
      </c>
      <c r="O1510" s="7" t="n">
        <v>3</v>
      </c>
    </row>
    <row r="1511" customFormat="false" ht="15" hidden="false" customHeight="false" outlineLevel="0" collapsed="false">
      <c r="A1511" s="7" t="s">
        <v>2897</v>
      </c>
      <c r="B1511" s="10" t="n">
        <v>45857</v>
      </c>
      <c r="C1511" s="7" t="s">
        <v>2898</v>
      </c>
      <c r="D1511" s="7" t="s">
        <v>206</v>
      </c>
      <c r="E1511" s="7" t="s">
        <v>130</v>
      </c>
      <c r="F1511" s="7" t="s">
        <v>110</v>
      </c>
      <c r="G1511" s="7" t="s">
        <v>90</v>
      </c>
      <c r="H1511" s="7" t="n">
        <v>2</v>
      </c>
      <c r="I1511" s="11" t="n">
        <v>305</v>
      </c>
      <c r="J1511" s="11" t="n">
        <v>30</v>
      </c>
      <c r="K1511" s="11" t="n">
        <f aca="false">H1511*I1511-J1511</f>
        <v>580</v>
      </c>
      <c r="L1511" s="7" t="s">
        <v>112</v>
      </c>
      <c r="M1511" s="7" t="s">
        <v>194</v>
      </c>
      <c r="N1511" s="7" t="n">
        <v>47</v>
      </c>
      <c r="O1511" s="7" t="n">
        <v>4</v>
      </c>
    </row>
    <row r="1512" customFormat="false" ht="15" hidden="false" customHeight="false" outlineLevel="0" collapsed="false">
      <c r="A1512" s="7" t="s">
        <v>3720</v>
      </c>
      <c r="B1512" s="10" t="n">
        <v>45857</v>
      </c>
      <c r="C1512" s="7" t="s">
        <v>1194</v>
      </c>
      <c r="D1512" s="7" t="s">
        <v>3721</v>
      </c>
      <c r="E1512" s="7" t="s">
        <v>126</v>
      </c>
      <c r="F1512" s="7" t="s">
        <v>101</v>
      </c>
      <c r="G1512" s="7" t="s">
        <v>105</v>
      </c>
      <c r="H1512" s="7" t="n">
        <v>2</v>
      </c>
      <c r="I1512" s="11" t="n">
        <v>185</v>
      </c>
      <c r="J1512" s="11" t="n">
        <v>0</v>
      </c>
      <c r="K1512" s="11" t="n">
        <f aca="false">H1512*I1512-J1512</f>
        <v>370</v>
      </c>
      <c r="L1512" s="7" t="s">
        <v>88</v>
      </c>
      <c r="M1512" s="7" t="s">
        <v>238</v>
      </c>
      <c r="N1512" s="7"/>
      <c r="O1512" s="7"/>
    </row>
    <row r="1513" customFormat="false" ht="15" hidden="false" customHeight="false" outlineLevel="0" collapsed="false">
      <c r="A1513" s="7" t="s">
        <v>3837</v>
      </c>
      <c r="B1513" s="10" t="n">
        <v>45858</v>
      </c>
      <c r="C1513" s="7" t="s">
        <v>508</v>
      </c>
      <c r="D1513" s="7" t="s">
        <v>2452</v>
      </c>
      <c r="E1513" s="7" t="s">
        <v>167</v>
      </c>
      <c r="F1513" s="7" t="s">
        <v>146</v>
      </c>
      <c r="G1513" s="7" t="s">
        <v>156</v>
      </c>
      <c r="H1513" s="7" t="n">
        <v>3</v>
      </c>
      <c r="I1513" s="11" t="n">
        <v>285</v>
      </c>
      <c r="J1513" s="11" t="n">
        <v>100</v>
      </c>
      <c r="K1513" s="11" t="n">
        <f aca="false">H1513*I1513-J1513</f>
        <v>755</v>
      </c>
      <c r="L1513" s="7" t="s">
        <v>112</v>
      </c>
      <c r="M1513" s="7" t="s">
        <v>194</v>
      </c>
      <c r="N1513" s="7" t="n">
        <v>36</v>
      </c>
      <c r="O1513" s="7" t="n">
        <v>3</v>
      </c>
    </row>
    <row r="1514" customFormat="false" ht="15" hidden="false" customHeight="false" outlineLevel="0" collapsed="false">
      <c r="A1514" s="7" t="s">
        <v>4760</v>
      </c>
      <c r="B1514" s="10" t="n">
        <v>45858</v>
      </c>
      <c r="C1514" s="7" t="s">
        <v>3728</v>
      </c>
      <c r="D1514" s="7" t="s">
        <v>1966</v>
      </c>
      <c r="E1514" s="7" t="s">
        <v>158</v>
      </c>
      <c r="F1514" s="7" t="s">
        <v>136</v>
      </c>
      <c r="G1514" s="7" t="s">
        <v>139</v>
      </c>
      <c r="H1514" s="7" t="n">
        <v>2</v>
      </c>
      <c r="I1514" s="11" t="n">
        <v>200</v>
      </c>
      <c r="J1514" s="11" t="n">
        <v>0</v>
      </c>
      <c r="K1514" s="11" t="n">
        <f aca="false">H1514*I1514-J1514</f>
        <v>400</v>
      </c>
      <c r="L1514" s="7" t="s">
        <v>88</v>
      </c>
      <c r="M1514" s="7" t="s">
        <v>194</v>
      </c>
      <c r="N1514" s="7"/>
      <c r="O1514" s="7" t="n">
        <v>4</v>
      </c>
    </row>
    <row r="1515" customFormat="false" ht="15" hidden="false" customHeight="false" outlineLevel="0" collapsed="false">
      <c r="A1515" s="7" t="s">
        <v>1630</v>
      </c>
      <c r="B1515" s="10" t="n">
        <v>45858</v>
      </c>
      <c r="C1515" s="7" t="s">
        <v>1631</v>
      </c>
      <c r="D1515" s="7" t="s">
        <v>1632</v>
      </c>
      <c r="E1515" s="7" t="s">
        <v>148</v>
      </c>
      <c r="F1515" s="7" t="s">
        <v>119</v>
      </c>
      <c r="G1515" s="7" t="s">
        <v>123</v>
      </c>
      <c r="H1515" s="7" t="n">
        <v>2</v>
      </c>
      <c r="I1515" s="11" t="n">
        <v>315</v>
      </c>
      <c r="J1515" s="11" t="n">
        <v>0</v>
      </c>
      <c r="K1515" s="11" t="n">
        <f aca="false">H1515*I1515-J1515</f>
        <v>630</v>
      </c>
      <c r="L1515" s="7" t="s">
        <v>88</v>
      </c>
      <c r="M1515" s="7" t="s">
        <v>194</v>
      </c>
      <c r="N1515" s="7" t="n">
        <v>37</v>
      </c>
      <c r="O1515" s="7" t="n">
        <v>3</v>
      </c>
    </row>
    <row r="1516" customFormat="false" ht="15" hidden="false" customHeight="false" outlineLevel="0" collapsed="false">
      <c r="A1516" s="7" t="s">
        <v>2259</v>
      </c>
      <c r="B1516" s="10" t="n">
        <v>45858</v>
      </c>
      <c r="C1516" s="7" t="s">
        <v>2260</v>
      </c>
      <c r="D1516" s="7" t="s">
        <v>2086</v>
      </c>
      <c r="E1516" s="7" t="s">
        <v>157</v>
      </c>
      <c r="F1516" s="7" t="s">
        <v>136</v>
      </c>
      <c r="G1516" s="7" t="s">
        <v>117</v>
      </c>
      <c r="H1516" s="7" t="n">
        <v>1</v>
      </c>
      <c r="I1516" s="11" t="n">
        <v>120</v>
      </c>
      <c r="J1516" s="11" t="n">
        <v>30</v>
      </c>
      <c r="K1516" s="11" t="n">
        <f aca="false">H1516*I1516-J1516</f>
        <v>90</v>
      </c>
      <c r="L1516" s="7" t="s">
        <v>103</v>
      </c>
      <c r="M1516" s="7" t="s">
        <v>194</v>
      </c>
      <c r="N1516" s="7" t="n">
        <v>31</v>
      </c>
      <c r="O1516" s="7" t="n">
        <v>5</v>
      </c>
    </row>
    <row r="1517" customFormat="false" ht="15" hidden="false" customHeight="false" outlineLevel="0" collapsed="false">
      <c r="A1517" s="7" t="s">
        <v>458</v>
      </c>
      <c r="B1517" s="10" t="n">
        <v>45858</v>
      </c>
      <c r="C1517" s="7" t="s">
        <v>460</v>
      </c>
      <c r="D1517" s="7" t="s">
        <v>461</v>
      </c>
      <c r="E1517" s="7" t="s">
        <v>94</v>
      </c>
      <c r="F1517" s="7" t="s">
        <v>86</v>
      </c>
      <c r="G1517" s="7" t="s">
        <v>95</v>
      </c>
      <c r="H1517" s="7" t="n">
        <v>1</v>
      </c>
      <c r="I1517" s="11" t="n">
        <v>130</v>
      </c>
      <c r="J1517" s="11" t="n">
        <v>52</v>
      </c>
      <c r="K1517" s="11" t="n">
        <f aca="false">H1517*I1517-J1517</f>
        <v>78</v>
      </c>
      <c r="L1517" s="7" t="s">
        <v>93</v>
      </c>
      <c r="M1517" s="7" t="s">
        <v>194</v>
      </c>
      <c r="N1517" s="7" t="n">
        <v>33</v>
      </c>
      <c r="O1517" s="7" t="n">
        <v>3</v>
      </c>
    </row>
    <row r="1518" customFormat="false" ht="15" hidden="false" customHeight="false" outlineLevel="0" collapsed="false">
      <c r="A1518" s="7" t="s">
        <v>5111</v>
      </c>
      <c r="B1518" s="10" t="n">
        <v>45858</v>
      </c>
      <c r="C1518" s="7" t="s">
        <v>5112</v>
      </c>
      <c r="D1518" s="7" t="s">
        <v>5113</v>
      </c>
      <c r="E1518" s="7" t="s">
        <v>126</v>
      </c>
      <c r="F1518" s="7" t="s">
        <v>101</v>
      </c>
      <c r="G1518" s="7" t="s">
        <v>105</v>
      </c>
      <c r="H1518" s="7" t="n">
        <v>3</v>
      </c>
      <c r="I1518" s="11" t="n">
        <v>265</v>
      </c>
      <c r="J1518" s="11" t="n">
        <v>150</v>
      </c>
      <c r="K1518" s="11" t="n">
        <f aca="false">H1518*I1518-J1518</f>
        <v>645</v>
      </c>
      <c r="L1518" s="7" t="s">
        <v>88</v>
      </c>
      <c r="M1518" s="7" t="s">
        <v>194</v>
      </c>
      <c r="N1518" s="7" t="n">
        <v>49</v>
      </c>
      <c r="O1518" s="7" t="n">
        <v>4</v>
      </c>
    </row>
    <row r="1519" customFormat="false" ht="15" hidden="false" customHeight="false" outlineLevel="0" collapsed="false">
      <c r="A1519" s="7" t="s">
        <v>1887</v>
      </c>
      <c r="B1519" s="10" t="n">
        <v>45859</v>
      </c>
      <c r="C1519" s="7" t="s">
        <v>1889</v>
      </c>
      <c r="D1519" s="7" t="s">
        <v>277</v>
      </c>
      <c r="E1519" s="7" t="s">
        <v>122</v>
      </c>
      <c r="F1519" s="7" t="s">
        <v>101</v>
      </c>
      <c r="G1519" s="7" t="s">
        <v>123</v>
      </c>
      <c r="H1519" s="7" t="n">
        <v>2</v>
      </c>
      <c r="I1519" s="11" t="n">
        <v>375</v>
      </c>
      <c r="J1519" s="11" t="n">
        <v>0</v>
      </c>
      <c r="K1519" s="11" t="n">
        <f aca="false">H1519*I1519-J1519</f>
        <v>750</v>
      </c>
      <c r="L1519" s="7" t="s">
        <v>103</v>
      </c>
      <c r="M1519" s="7" t="s">
        <v>194</v>
      </c>
      <c r="N1519" s="7" t="n">
        <v>40</v>
      </c>
      <c r="O1519" s="7" t="n">
        <v>4</v>
      </c>
    </row>
    <row r="1520" customFormat="false" ht="15" hidden="false" customHeight="false" outlineLevel="0" collapsed="false">
      <c r="A1520" s="7" t="s">
        <v>5305</v>
      </c>
      <c r="B1520" s="10" t="n">
        <v>45859</v>
      </c>
      <c r="C1520" s="7" t="s">
        <v>2202</v>
      </c>
      <c r="D1520" s="7" t="s">
        <v>3820</v>
      </c>
      <c r="E1520" s="7" t="s">
        <v>151</v>
      </c>
      <c r="F1520" s="7" t="s">
        <v>128</v>
      </c>
      <c r="G1520" s="7" t="s">
        <v>95</v>
      </c>
      <c r="H1520" s="7" t="n">
        <v>1</v>
      </c>
      <c r="I1520" s="11" t="n">
        <v>175</v>
      </c>
      <c r="J1520" s="11" t="n">
        <v>0</v>
      </c>
      <c r="K1520" s="11" t="n">
        <f aca="false">H1520*I1520-J1520</f>
        <v>175</v>
      </c>
      <c r="L1520" s="7" t="s">
        <v>88</v>
      </c>
      <c r="M1520" s="7" t="s">
        <v>194</v>
      </c>
      <c r="N1520" s="7" t="n">
        <v>37</v>
      </c>
      <c r="O1520" s="7" t="n">
        <v>4</v>
      </c>
    </row>
    <row r="1521" customFormat="false" ht="15" hidden="false" customHeight="false" outlineLevel="0" collapsed="false">
      <c r="A1521" s="7" t="s">
        <v>502</v>
      </c>
      <c r="B1521" s="10" t="n">
        <v>45859</v>
      </c>
      <c r="C1521" s="7" t="s">
        <v>504</v>
      </c>
      <c r="D1521" s="7" t="s">
        <v>505</v>
      </c>
      <c r="E1521" s="7" t="s">
        <v>130</v>
      </c>
      <c r="F1521" s="7" t="s">
        <v>110</v>
      </c>
      <c r="G1521" s="7" t="s">
        <v>90</v>
      </c>
      <c r="H1521" s="7" t="n">
        <v>1</v>
      </c>
      <c r="I1521" s="11" t="n">
        <v>295</v>
      </c>
      <c r="J1521" s="11" t="n">
        <v>100</v>
      </c>
      <c r="K1521" s="11" t="n">
        <f aca="false">H1521*I1521-J1521</f>
        <v>195</v>
      </c>
      <c r="L1521" s="7" t="s">
        <v>88</v>
      </c>
      <c r="M1521" s="7" t="s">
        <v>194</v>
      </c>
      <c r="N1521" s="7" t="n">
        <v>36</v>
      </c>
      <c r="O1521" s="7" t="n">
        <v>4</v>
      </c>
    </row>
    <row r="1522" customFormat="false" ht="15" hidden="false" customHeight="false" outlineLevel="0" collapsed="false">
      <c r="A1522" s="7" t="s">
        <v>3872</v>
      </c>
      <c r="B1522" s="10" t="n">
        <v>45859</v>
      </c>
      <c r="C1522" s="7" t="s">
        <v>1036</v>
      </c>
      <c r="D1522" s="7" t="s">
        <v>3502</v>
      </c>
      <c r="E1522" s="7" t="s">
        <v>98</v>
      </c>
      <c r="F1522" s="7" t="s">
        <v>86</v>
      </c>
      <c r="G1522" s="7" t="s">
        <v>99</v>
      </c>
      <c r="H1522" s="7" t="n">
        <v>1</v>
      </c>
      <c r="I1522" s="11" t="n">
        <v>295</v>
      </c>
      <c r="J1522" s="11" t="n">
        <v>0</v>
      </c>
      <c r="K1522" s="11" t="n">
        <f aca="false">H1522*I1522-J1522</f>
        <v>295</v>
      </c>
      <c r="L1522" s="7" t="s">
        <v>88</v>
      </c>
      <c r="M1522" s="7" t="s">
        <v>194</v>
      </c>
      <c r="N1522" s="7" t="n">
        <v>29</v>
      </c>
      <c r="O1522" s="7" t="n">
        <v>5</v>
      </c>
    </row>
    <row r="1523" customFormat="false" ht="15" hidden="false" customHeight="false" outlineLevel="0" collapsed="false">
      <c r="A1523" s="7" t="s">
        <v>5232</v>
      </c>
      <c r="B1523" s="10" t="n">
        <v>45859</v>
      </c>
      <c r="C1523" s="7" t="s">
        <v>5233</v>
      </c>
      <c r="D1523" s="7" t="s">
        <v>2618</v>
      </c>
      <c r="E1523" s="7" t="s">
        <v>94</v>
      </c>
      <c r="F1523" s="7" t="s">
        <v>86</v>
      </c>
      <c r="G1523" s="7" t="s">
        <v>95</v>
      </c>
      <c r="H1523" s="7" t="n">
        <v>3</v>
      </c>
      <c r="I1523" s="11" t="n">
        <v>135</v>
      </c>
      <c r="J1523" s="11" t="n">
        <v>150</v>
      </c>
      <c r="K1523" s="11" t="n">
        <f aca="false">H1523*I1523-J1523</f>
        <v>255</v>
      </c>
      <c r="L1523" s="7" t="s">
        <v>103</v>
      </c>
      <c r="M1523" s="7" t="s">
        <v>194</v>
      </c>
      <c r="N1523" s="7" t="n">
        <v>58</v>
      </c>
      <c r="O1523" s="7" t="n">
        <v>3</v>
      </c>
    </row>
    <row r="1524" customFormat="false" ht="15" hidden="false" customHeight="false" outlineLevel="0" collapsed="false">
      <c r="A1524" s="7" t="s">
        <v>3412</v>
      </c>
      <c r="B1524" s="10" t="n">
        <v>45859</v>
      </c>
      <c r="C1524" s="7" t="s">
        <v>2542</v>
      </c>
      <c r="D1524" s="7" t="s">
        <v>3413</v>
      </c>
      <c r="E1524" s="7" t="s">
        <v>168</v>
      </c>
      <c r="F1524" s="7" t="s">
        <v>146</v>
      </c>
      <c r="G1524" s="7" t="s">
        <v>123</v>
      </c>
      <c r="H1524" s="7" t="n">
        <v>1</v>
      </c>
      <c r="I1524" s="11" t="n">
        <v>360</v>
      </c>
      <c r="J1524" s="11" t="n">
        <v>100</v>
      </c>
      <c r="K1524" s="11" t="n">
        <f aca="false">H1524*I1524-J1524</f>
        <v>260</v>
      </c>
      <c r="L1524" s="7" t="s">
        <v>103</v>
      </c>
      <c r="M1524" s="7" t="s">
        <v>194</v>
      </c>
      <c r="N1524" s="7" t="n">
        <v>25</v>
      </c>
      <c r="O1524" s="7" t="n">
        <v>4</v>
      </c>
    </row>
    <row r="1525" customFormat="false" ht="15" hidden="false" customHeight="false" outlineLevel="0" collapsed="false">
      <c r="A1525" s="7" t="s">
        <v>4212</v>
      </c>
      <c r="B1525" s="10" t="n">
        <v>45859</v>
      </c>
      <c r="C1525" s="7" t="s">
        <v>559</v>
      </c>
      <c r="D1525" s="7" t="s">
        <v>613</v>
      </c>
      <c r="E1525" s="7" t="s">
        <v>159</v>
      </c>
      <c r="F1525" s="7" t="s">
        <v>136</v>
      </c>
      <c r="G1525" s="7" t="s">
        <v>90</v>
      </c>
      <c r="H1525" s="7" t="n">
        <v>1</v>
      </c>
      <c r="I1525" s="11" t="n">
        <v>275</v>
      </c>
      <c r="J1525" s="11" t="n">
        <v>0</v>
      </c>
      <c r="K1525" s="11" t="n">
        <f aca="false">H1525*I1525-J1525</f>
        <v>275</v>
      </c>
      <c r="L1525" s="7" t="s">
        <v>112</v>
      </c>
      <c r="M1525" s="7" t="s">
        <v>194</v>
      </c>
      <c r="N1525" s="7" t="n">
        <v>43</v>
      </c>
      <c r="O1525" s="7" t="n">
        <v>4</v>
      </c>
    </row>
    <row r="1526" customFormat="false" ht="15" hidden="false" customHeight="false" outlineLevel="0" collapsed="false">
      <c r="A1526" s="7" t="s">
        <v>4689</v>
      </c>
      <c r="B1526" s="10" t="n">
        <v>45859</v>
      </c>
      <c r="C1526" s="7" t="s">
        <v>2083</v>
      </c>
      <c r="D1526" s="7" t="s">
        <v>4690</v>
      </c>
      <c r="E1526" s="7" t="s">
        <v>147</v>
      </c>
      <c r="F1526" s="7" t="s">
        <v>119</v>
      </c>
      <c r="G1526" s="7" t="s">
        <v>95</v>
      </c>
      <c r="H1526" s="7" t="n">
        <v>3</v>
      </c>
      <c r="I1526" s="11" t="n">
        <v>155</v>
      </c>
      <c r="J1526" s="11" t="n">
        <v>0</v>
      </c>
      <c r="K1526" s="11" t="n">
        <f aca="false">H1526*I1526-J1526</f>
        <v>465</v>
      </c>
      <c r="L1526" s="7" t="s">
        <v>93</v>
      </c>
      <c r="M1526" s="7" t="s">
        <v>194</v>
      </c>
      <c r="N1526" s="7" t="n">
        <v>31</v>
      </c>
      <c r="O1526" s="7" t="n">
        <v>5</v>
      </c>
    </row>
    <row r="1527" customFormat="false" ht="15" hidden="false" customHeight="false" outlineLevel="0" collapsed="false">
      <c r="A1527" s="7" t="s">
        <v>4275</v>
      </c>
      <c r="B1527" s="10" t="n">
        <v>45860</v>
      </c>
      <c r="C1527" s="7" t="s">
        <v>2966</v>
      </c>
      <c r="D1527" s="7" t="s">
        <v>4237</v>
      </c>
      <c r="E1527" s="7" t="s">
        <v>168</v>
      </c>
      <c r="F1527" s="7" t="s">
        <v>146</v>
      </c>
      <c r="G1527" s="7" t="s">
        <v>123</v>
      </c>
      <c r="H1527" s="7" t="n">
        <v>2</v>
      </c>
      <c r="I1527" s="11" t="n">
        <v>335</v>
      </c>
      <c r="J1527" s="11" t="n">
        <v>40</v>
      </c>
      <c r="K1527" s="11" t="n">
        <f aca="false">H1527*I1527-J1527</f>
        <v>630</v>
      </c>
      <c r="L1527" s="7" t="s">
        <v>103</v>
      </c>
      <c r="M1527" s="7" t="s">
        <v>194</v>
      </c>
      <c r="N1527" s="7" t="n">
        <v>30</v>
      </c>
      <c r="O1527" s="7" t="n">
        <v>3</v>
      </c>
    </row>
    <row r="1528" customFormat="false" ht="15" hidden="false" customHeight="false" outlineLevel="0" collapsed="false">
      <c r="A1528" s="7" t="s">
        <v>5655</v>
      </c>
      <c r="B1528" s="10" t="n">
        <v>45860</v>
      </c>
      <c r="C1528" s="7" t="s">
        <v>634</v>
      </c>
      <c r="D1528" s="7" t="s">
        <v>5656</v>
      </c>
      <c r="E1528" s="7" t="s">
        <v>144</v>
      </c>
      <c r="F1528" s="7" t="s">
        <v>119</v>
      </c>
      <c r="G1528" s="7" t="s">
        <v>99</v>
      </c>
      <c r="H1528" s="7" t="n">
        <v>2</v>
      </c>
      <c r="I1528" s="11" t="n">
        <v>330</v>
      </c>
      <c r="J1528" s="11" t="n">
        <v>0</v>
      </c>
      <c r="K1528" s="11" t="n">
        <f aca="false">H1528*I1528-J1528</f>
        <v>660</v>
      </c>
      <c r="L1528" s="7" t="s">
        <v>88</v>
      </c>
      <c r="M1528" s="7" t="s">
        <v>194</v>
      </c>
      <c r="N1528" s="7" t="n">
        <v>36</v>
      </c>
      <c r="O1528" s="7" t="n">
        <v>5</v>
      </c>
    </row>
    <row r="1529" customFormat="false" ht="15" hidden="false" customHeight="false" outlineLevel="0" collapsed="false">
      <c r="A1529" s="7" t="s">
        <v>5763</v>
      </c>
      <c r="B1529" s="10" t="n">
        <v>45860</v>
      </c>
      <c r="C1529" s="7" t="s">
        <v>3209</v>
      </c>
      <c r="D1529" s="7" t="s">
        <v>5615</v>
      </c>
      <c r="E1529" s="7" t="s">
        <v>113</v>
      </c>
      <c r="F1529" s="7" t="s">
        <v>101</v>
      </c>
      <c r="G1529" s="7" t="s">
        <v>90</v>
      </c>
      <c r="H1529" s="7" t="n">
        <v>2</v>
      </c>
      <c r="I1529" s="11" t="n">
        <v>155</v>
      </c>
      <c r="J1529" s="11" t="n">
        <v>0</v>
      </c>
      <c r="K1529" s="11" t="n">
        <f aca="false">H1529*I1529-J1529</f>
        <v>310</v>
      </c>
      <c r="L1529" s="7" t="s">
        <v>93</v>
      </c>
      <c r="M1529" s="7" t="s">
        <v>194</v>
      </c>
      <c r="N1529" s="7" t="n">
        <v>50</v>
      </c>
      <c r="O1529" s="7" t="n">
        <v>3</v>
      </c>
    </row>
    <row r="1530" customFormat="false" ht="15" hidden="false" customHeight="false" outlineLevel="0" collapsed="false">
      <c r="A1530" s="7" t="s">
        <v>4607</v>
      </c>
      <c r="B1530" s="10" t="n">
        <v>45860</v>
      </c>
      <c r="C1530" s="7" t="s">
        <v>4026</v>
      </c>
      <c r="D1530" s="7" t="s">
        <v>4386</v>
      </c>
      <c r="E1530" s="7" t="s">
        <v>104</v>
      </c>
      <c r="F1530" s="7" t="s">
        <v>86</v>
      </c>
      <c r="G1530" s="7" t="s">
        <v>105</v>
      </c>
      <c r="H1530" s="7" t="n">
        <v>3</v>
      </c>
      <c r="I1530" s="11" t="n">
        <v>210</v>
      </c>
      <c r="J1530" s="11" t="n">
        <v>50</v>
      </c>
      <c r="K1530" s="11" t="n">
        <f aca="false">H1530*I1530-J1530</f>
        <v>580</v>
      </c>
      <c r="L1530" s="7" t="s">
        <v>121</v>
      </c>
      <c r="M1530" s="7" t="s">
        <v>194</v>
      </c>
      <c r="N1530" s="7" t="n">
        <v>54</v>
      </c>
      <c r="O1530" s="7" t="n">
        <v>4</v>
      </c>
    </row>
    <row r="1531" customFormat="false" ht="15" hidden="false" customHeight="false" outlineLevel="0" collapsed="false">
      <c r="A1531" s="7" t="s">
        <v>3306</v>
      </c>
      <c r="B1531" s="10" t="n">
        <v>45860</v>
      </c>
      <c r="C1531" s="7" t="s">
        <v>1880</v>
      </c>
      <c r="D1531" s="7" t="s">
        <v>3308</v>
      </c>
      <c r="E1531" s="7" t="s">
        <v>104</v>
      </c>
      <c r="F1531" s="7" t="s">
        <v>86</v>
      </c>
      <c r="G1531" s="7" t="s">
        <v>105</v>
      </c>
      <c r="H1531" s="7" t="n">
        <v>4</v>
      </c>
      <c r="I1531" s="11" t="n">
        <v>205</v>
      </c>
      <c r="J1531" s="11" t="n">
        <v>0</v>
      </c>
      <c r="K1531" s="11" t="n">
        <f aca="false">H1531*I1531-J1531</f>
        <v>820</v>
      </c>
      <c r="L1531" s="7" t="s">
        <v>103</v>
      </c>
      <c r="M1531" s="7" t="s">
        <v>194</v>
      </c>
      <c r="N1531" s="7" t="n">
        <v>43</v>
      </c>
      <c r="O1531" s="7" t="n">
        <v>4</v>
      </c>
    </row>
    <row r="1532" customFormat="false" ht="15" hidden="false" customHeight="false" outlineLevel="0" collapsed="false">
      <c r="A1532" s="7" t="s">
        <v>4336</v>
      </c>
      <c r="B1532" s="10" t="n">
        <v>45860</v>
      </c>
      <c r="C1532" s="7" t="s">
        <v>4337</v>
      </c>
      <c r="D1532" s="7" t="s">
        <v>2589</v>
      </c>
      <c r="E1532" s="7" t="s">
        <v>122</v>
      </c>
      <c r="F1532" s="7" t="s">
        <v>101</v>
      </c>
      <c r="G1532" s="7" t="s">
        <v>123</v>
      </c>
      <c r="H1532" s="7" t="n">
        <v>3</v>
      </c>
      <c r="I1532" s="11" t="n">
        <v>240</v>
      </c>
      <c r="J1532" s="11" t="n">
        <v>20</v>
      </c>
      <c r="K1532" s="11" t="n">
        <f aca="false">H1532*I1532-J1532</f>
        <v>700</v>
      </c>
      <c r="L1532" s="7" t="s">
        <v>88</v>
      </c>
      <c r="M1532" s="7" t="s">
        <v>194</v>
      </c>
      <c r="N1532" s="7" t="n">
        <v>44</v>
      </c>
      <c r="O1532" s="7" t="n">
        <v>2</v>
      </c>
    </row>
    <row r="1533" customFormat="false" ht="15" hidden="false" customHeight="false" outlineLevel="0" collapsed="false">
      <c r="A1533" s="7" t="s">
        <v>1613</v>
      </c>
      <c r="B1533" s="10" t="n">
        <v>45861</v>
      </c>
      <c r="C1533" s="7" t="s">
        <v>1615</v>
      </c>
      <c r="D1533" s="7" t="s">
        <v>396</v>
      </c>
      <c r="E1533" s="7" t="s">
        <v>104</v>
      </c>
      <c r="F1533" s="7" t="s">
        <v>86</v>
      </c>
      <c r="G1533" s="7" t="s">
        <v>105</v>
      </c>
      <c r="H1533" s="7" t="n">
        <v>4</v>
      </c>
      <c r="I1533" s="11" t="n">
        <v>245</v>
      </c>
      <c r="J1533" s="11" t="n">
        <v>100</v>
      </c>
      <c r="K1533" s="11" t="n">
        <f aca="false">H1533*I1533-J1533</f>
        <v>880</v>
      </c>
      <c r="L1533" s="7" t="s">
        <v>103</v>
      </c>
      <c r="M1533" s="7" t="s">
        <v>194</v>
      </c>
      <c r="N1533" s="7" t="n">
        <v>24</v>
      </c>
      <c r="O1533" s="7" t="n">
        <v>4</v>
      </c>
    </row>
    <row r="1534" customFormat="false" ht="15" hidden="false" customHeight="false" outlineLevel="0" collapsed="false">
      <c r="A1534" s="7" t="s">
        <v>5678</v>
      </c>
      <c r="B1534" s="10" t="n">
        <v>45861</v>
      </c>
      <c r="C1534" s="7" t="s">
        <v>644</v>
      </c>
      <c r="D1534" s="7" t="s">
        <v>370</v>
      </c>
      <c r="E1534" s="7" t="s">
        <v>89</v>
      </c>
      <c r="F1534" s="7" t="s">
        <v>86</v>
      </c>
      <c r="G1534" s="7" t="s">
        <v>90</v>
      </c>
      <c r="H1534" s="7" t="n">
        <v>2</v>
      </c>
      <c r="I1534" s="11" t="n">
        <v>180</v>
      </c>
      <c r="J1534" s="11" t="n">
        <v>0</v>
      </c>
      <c r="K1534" s="11" t="n">
        <f aca="false">H1534*I1534-J1534</f>
        <v>360</v>
      </c>
      <c r="L1534" s="7" t="s">
        <v>121</v>
      </c>
      <c r="M1534" s="7" t="s">
        <v>194</v>
      </c>
      <c r="N1534" s="7" t="n">
        <v>35</v>
      </c>
      <c r="O1534" s="7" t="n">
        <v>4</v>
      </c>
    </row>
    <row r="1535" customFormat="false" ht="15" hidden="false" customHeight="false" outlineLevel="0" collapsed="false">
      <c r="A1535" s="7" t="s">
        <v>5276</v>
      </c>
      <c r="B1535" s="10" t="n">
        <v>45861</v>
      </c>
      <c r="C1535" s="7" t="s">
        <v>5277</v>
      </c>
      <c r="D1535" s="7" t="s">
        <v>843</v>
      </c>
      <c r="E1535" s="7" t="s">
        <v>94</v>
      </c>
      <c r="F1535" s="7" t="s">
        <v>86</v>
      </c>
      <c r="G1535" s="7" t="s">
        <v>95</v>
      </c>
      <c r="H1535" s="7" t="n">
        <v>1</v>
      </c>
      <c r="I1535" s="11" t="n">
        <v>130</v>
      </c>
      <c r="J1535" s="11" t="n">
        <v>52</v>
      </c>
      <c r="K1535" s="11" t="n">
        <f aca="false">H1535*I1535-J1535</f>
        <v>78</v>
      </c>
      <c r="L1535" s="7" t="s">
        <v>93</v>
      </c>
      <c r="M1535" s="7" t="s">
        <v>194</v>
      </c>
      <c r="N1535" s="7" t="n">
        <v>41</v>
      </c>
      <c r="O1535" s="7" t="n">
        <v>5</v>
      </c>
    </row>
    <row r="1536" customFormat="false" ht="15" hidden="false" customHeight="false" outlineLevel="0" collapsed="false">
      <c r="A1536" s="7" t="s">
        <v>3855</v>
      </c>
      <c r="B1536" s="10" t="n">
        <v>45861</v>
      </c>
      <c r="C1536" s="7" t="s">
        <v>1610</v>
      </c>
      <c r="D1536" s="7" t="s">
        <v>3654</v>
      </c>
      <c r="E1536" s="7" t="s">
        <v>126</v>
      </c>
      <c r="F1536" s="7" t="s">
        <v>101</v>
      </c>
      <c r="G1536" s="7" t="s">
        <v>105</v>
      </c>
      <c r="H1536" s="7" t="n">
        <v>1</v>
      </c>
      <c r="I1536" s="11" t="n">
        <v>190</v>
      </c>
      <c r="J1536" s="11" t="n">
        <v>50</v>
      </c>
      <c r="K1536" s="11" t="n">
        <f aca="false">H1536*I1536-J1536</f>
        <v>140</v>
      </c>
      <c r="L1536" s="7" t="s">
        <v>121</v>
      </c>
      <c r="M1536" s="7" t="s">
        <v>194</v>
      </c>
      <c r="N1536" s="7" t="n">
        <v>50</v>
      </c>
      <c r="O1536" s="7" t="n">
        <v>5</v>
      </c>
    </row>
    <row r="1537" customFormat="false" ht="15" hidden="false" customHeight="false" outlineLevel="0" collapsed="false">
      <c r="A1537" s="7" t="s">
        <v>4878</v>
      </c>
      <c r="B1537" s="10" t="n">
        <v>45861</v>
      </c>
      <c r="C1537" s="7" t="s">
        <v>2472</v>
      </c>
      <c r="D1537" s="7" t="s">
        <v>2879</v>
      </c>
      <c r="E1537" s="7" t="s">
        <v>154</v>
      </c>
      <c r="F1537" s="7" t="s">
        <v>128</v>
      </c>
      <c r="G1537" s="7" t="s">
        <v>99</v>
      </c>
      <c r="H1537" s="7" t="n">
        <v>3</v>
      </c>
      <c r="I1537" s="11" t="n">
        <v>265</v>
      </c>
      <c r="J1537" s="11" t="n">
        <v>0</v>
      </c>
      <c r="K1537" s="11" t="n">
        <f aca="false">H1537*I1537-J1537</f>
        <v>795</v>
      </c>
      <c r="L1537" s="7" t="s">
        <v>112</v>
      </c>
      <c r="M1537" s="7" t="s">
        <v>194</v>
      </c>
      <c r="N1537" s="7" t="n">
        <v>32</v>
      </c>
      <c r="O1537" s="7" t="n">
        <v>5</v>
      </c>
    </row>
    <row r="1538" customFormat="false" ht="15" hidden="false" customHeight="false" outlineLevel="0" collapsed="false">
      <c r="A1538" s="7" t="s">
        <v>4791</v>
      </c>
      <c r="B1538" s="10" t="n">
        <v>45862</v>
      </c>
      <c r="C1538" s="7" t="s">
        <v>2202</v>
      </c>
      <c r="D1538" s="7" t="s">
        <v>1777</v>
      </c>
      <c r="E1538" s="7" t="s">
        <v>155</v>
      </c>
      <c r="F1538" s="7" t="s">
        <v>128</v>
      </c>
      <c r="G1538" s="7" t="s">
        <v>156</v>
      </c>
      <c r="H1538" s="7" t="n">
        <v>2</v>
      </c>
      <c r="I1538" s="11" t="n">
        <v>260</v>
      </c>
      <c r="J1538" s="11" t="n">
        <v>0</v>
      </c>
      <c r="K1538" s="11" t="n">
        <f aca="false">H1538*I1538-J1538</f>
        <v>520</v>
      </c>
      <c r="L1538" s="7" t="s">
        <v>88</v>
      </c>
      <c r="M1538" s="7" t="s">
        <v>194</v>
      </c>
      <c r="N1538" s="7" t="n">
        <v>37</v>
      </c>
      <c r="O1538" s="7" t="n">
        <v>5</v>
      </c>
    </row>
    <row r="1539" customFormat="false" ht="15" hidden="false" customHeight="false" outlineLevel="0" collapsed="false">
      <c r="A1539" s="7" t="s">
        <v>5651</v>
      </c>
      <c r="B1539" s="10" t="n">
        <v>45862</v>
      </c>
      <c r="C1539" s="7" t="s">
        <v>602</v>
      </c>
      <c r="D1539" s="7" t="s">
        <v>4543</v>
      </c>
      <c r="E1539" s="7" t="s">
        <v>160</v>
      </c>
      <c r="F1539" s="7" t="s">
        <v>136</v>
      </c>
      <c r="G1539" s="7" t="s">
        <v>150</v>
      </c>
      <c r="H1539" s="7" t="n">
        <v>1</v>
      </c>
      <c r="I1539" s="11" t="n">
        <v>170</v>
      </c>
      <c r="J1539" s="11" t="n">
        <v>0</v>
      </c>
      <c r="K1539" s="11" t="n">
        <f aca="false">H1539*I1539-J1539</f>
        <v>170</v>
      </c>
      <c r="L1539" s="7" t="s">
        <v>93</v>
      </c>
      <c r="M1539" s="7" t="s">
        <v>194</v>
      </c>
      <c r="N1539" s="7" t="n">
        <v>38</v>
      </c>
      <c r="O1539" s="7" t="n">
        <v>4</v>
      </c>
    </row>
    <row r="1540" customFormat="false" ht="15" hidden="false" customHeight="false" outlineLevel="0" collapsed="false">
      <c r="A1540" s="7" t="s">
        <v>2681</v>
      </c>
      <c r="B1540" s="10" t="n">
        <v>45862</v>
      </c>
      <c r="C1540" s="7" t="s">
        <v>2125</v>
      </c>
      <c r="D1540" s="7" t="s">
        <v>2682</v>
      </c>
      <c r="E1540" s="7" t="s">
        <v>160</v>
      </c>
      <c r="F1540" s="7" t="s">
        <v>136</v>
      </c>
      <c r="G1540" s="7" t="s">
        <v>150</v>
      </c>
      <c r="H1540" s="7" t="n">
        <v>2</v>
      </c>
      <c r="I1540" s="11" t="n">
        <v>190</v>
      </c>
      <c r="J1540" s="11" t="n">
        <v>40</v>
      </c>
      <c r="K1540" s="11" t="n">
        <f aca="false">H1540*I1540-J1540</f>
        <v>340</v>
      </c>
      <c r="L1540" s="7" t="s">
        <v>88</v>
      </c>
      <c r="M1540" s="7" t="s">
        <v>194</v>
      </c>
      <c r="N1540" s="7" t="n">
        <v>36</v>
      </c>
      <c r="O1540" s="7" t="n">
        <v>5</v>
      </c>
    </row>
    <row r="1541" customFormat="false" ht="15" hidden="false" customHeight="false" outlineLevel="0" collapsed="false">
      <c r="A1541" s="7" t="s">
        <v>5746</v>
      </c>
      <c r="B1541" s="10" t="n">
        <v>45862</v>
      </c>
      <c r="C1541" s="7" t="s">
        <v>686</v>
      </c>
      <c r="D1541" s="7" t="s">
        <v>1668</v>
      </c>
      <c r="E1541" s="7" t="s">
        <v>104</v>
      </c>
      <c r="F1541" s="7" t="s">
        <v>86</v>
      </c>
      <c r="G1541" s="7" t="s">
        <v>105</v>
      </c>
      <c r="H1541" s="7" t="n">
        <v>1</v>
      </c>
      <c r="I1541" s="11" t="n">
        <v>205</v>
      </c>
      <c r="J1541" s="11" t="n">
        <v>0</v>
      </c>
      <c r="K1541" s="11" t="n">
        <f aca="false">H1541*I1541-J1541</f>
        <v>205</v>
      </c>
      <c r="L1541" s="7" t="s">
        <v>88</v>
      </c>
      <c r="M1541" s="7" t="s">
        <v>194</v>
      </c>
      <c r="N1541" s="7" t="n">
        <v>37</v>
      </c>
      <c r="O1541" s="7" t="n">
        <v>4</v>
      </c>
    </row>
    <row r="1542" customFormat="false" ht="15" hidden="false" customHeight="false" outlineLevel="0" collapsed="false">
      <c r="A1542" s="7" t="s">
        <v>5834</v>
      </c>
      <c r="B1542" s="10" t="n">
        <v>45862</v>
      </c>
      <c r="C1542" s="7" t="s">
        <v>568</v>
      </c>
      <c r="D1542" s="7" t="s">
        <v>1459</v>
      </c>
      <c r="E1542" s="7" t="s">
        <v>161</v>
      </c>
      <c r="F1542" s="7" t="s">
        <v>141</v>
      </c>
      <c r="G1542" s="7" t="s">
        <v>117</v>
      </c>
      <c r="H1542" s="7" t="n">
        <v>1</v>
      </c>
      <c r="I1542" s="11" t="n">
        <v>150</v>
      </c>
      <c r="J1542" s="11" t="n">
        <v>0</v>
      </c>
      <c r="K1542" s="11" t="n">
        <f aca="false">H1542*I1542-J1542</f>
        <v>150</v>
      </c>
      <c r="L1542" s="7" t="s">
        <v>112</v>
      </c>
      <c r="M1542" s="7" t="s">
        <v>194</v>
      </c>
      <c r="N1542" s="7" t="n">
        <v>28</v>
      </c>
      <c r="O1542" s="7" t="n">
        <v>4</v>
      </c>
    </row>
    <row r="1543" customFormat="false" ht="15" hidden="false" customHeight="false" outlineLevel="0" collapsed="false">
      <c r="A1543" s="7" t="s">
        <v>4926</v>
      </c>
      <c r="B1543" s="10" t="n">
        <v>45862</v>
      </c>
      <c r="C1543" s="7" t="s">
        <v>1624</v>
      </c>
      <c r="D1543" s="7" t="s">
        <v>4244</v>
      </c>
      <c r="E1543" s="7" t="s">
        <v>130</v>
      </c>
      <c r="F1543" s="7" t="s">
        <v>110</v>
      </c>
      <c r="G1543" s="7" t="s">
        <v>90</v>
      </c>
      <c r="H1543" s="7" t="n">
        <v>2</v>
      </c>
      <c r="I1543" s="11" t="n">
        <v>200</v>
      </c>
      <c r="J1543" s="11" t="n">
        <v>0</v>
      </c>
      <c r="K1543" s="11" t="n">
        <f aca="false">H1543*I1543-J1543</f>
        <v>400</v>
      </c>
      <c r="L1543" s="7" t="s">
        <v>88</v>
      </c>
      <c r="M1543" s="7" t="s">
        <v>194</v>
      </c>
      <c r="N1543" s="7" t="n">
        <v>43</v>
      </c>
      <c r="O1543" s="7" t="n">
        <v>2</v>
      </c>
    </row>
    <row r="1544" customFormat="false" ht="15" hidden="false" customHeight="false" outlineLevel="0" collapsed="false">
      <c r="A1544" s="7" t="s">
        <v>5879</v>
      </c>
      <c r="B1544" s="10" t="n">
        <v>45862</v>
      </c>
      <c r="C1544" s="7" t="s">
        <v>1788</v>
      </c>
      <c r="D1544" s="7" t="s">
        <v>544</v>
      </c>
      <c r="E1544" s="7" t="s">
        <v>130</v>
      </c>
      <c r="F1544" s="7" t="s">
        <v>110</v>
      </c>
      <c r="G1544" s="7" t="s">
        <v>90</v>
      </c>
      <c r="H1544" s="7" t="n">
        <v>2</v>
      </c>
      <c r="I1544" s="11" t="n">
        <v>225</v>
      </c>
      <c r="J1544" s="11" t="n">
        <v>30</v>
      </c>
      <c r="K1544" s="11" t="n">
        <f aca="false">H1544*I1544-J1544</f>
        <v>420</v>
      </c>
      <c r="L1544" s="7" t="s">
        <v>88</v>
      </c>
      <c r="M1544" s="7" t="s">
        <v>194</v>
      </c>
      <c r="N1544" s="7" t="n">
        <v>29</v>
      </c>
      <c r="O1544" s="7" t="n">
        <v>3</v>
      </c>
    </row>
    <row r="1545" customFormat="false" ht="15" hidden="false" customHeight="false" outlineLevel="0" collapsed="false">
      <c r="A1545" s="7" t="s">
        <v>1666</v>
      </c>
      <c r="B1545" s="10" t="n">
        <v>45862</v>
      </c>
      <c r="C1545" s="7" t="s">
        <v>1133</v>
      </c>
      <c r="D1545" s="7" t="s">
        <v>1668</v>
      </c>
      <c r="E1545" s="7" t="s">
        <v>94</v>
      </c>
      <c r="F1545" s="7" t="s">
        <v>86</v>
      </c>
      <c r="G1545" s="7" t="s">
        <v>95</v>
      </c>
      <c r="H1545" s="7" t="n">
        <v>2</v>
      </c>
      <c r="I1545" s="11" t="n">
        <v>125</v>
      </c>
      <c r="J1545" s="11" t="n">
        <v>0</v>
      </c>
      <c r="K1545" s="11" t="n">
        <f aca="false">H1545*I1545-J1545</f>
        <v>250</v>
      </c>
      <c r="L1545" s="7" t="s">
        <v>88</v>
      </c>
      <c r="M1545" s="7" t="s">
        <v>194</v>
      </c>
      <c r="N1545" s="7" t="n">
        <v>49</v>
      </c>
      <c r="O1545" s="7" t="n">
        <v>3</v>
      </c>
    </row>
    <row r="1546" customFormat="false" ht="15" hidden="false" customHeight="false" outlineLevel="0" collapsed="false">
      <c r="A1546" s="7" t="s">
        <v>5564</v>
      </c>
      <c r="B1546" s="10" t="n">
        <v>45862</v>
      </c>
      <c r="C1546" s="7" t="s">
        <v>1842</v>
      </c>
      <c r="D1546" s="7" t="s">
        <v>438</v>
      </c>
      <c r="E1546" s="7" t="s">
        <v>113</v>
      </c>
      <c r="F1546" s="7" t="s">
        <v>101</v>
      </c>
      <c r="G1546" s="7" t="s">
        <v>90</v>
      </c>
      <c r="H1546" s="7" t="n">
        <v>1</v>
      </c>
      <c r="I1546" s="11" t="n">
        <v>295</v>
      </c>
      <c r="J1546" s="11" t="n">
        <v>0</v>
      </c>
      <c r="K1546" s="11" t="n">
        <f aca="false">H1546*I1546-J1546</f>
        <v>295</v>
      </c>
      <c r="L1546" s="7" t="s">
        <v>93</v>
      </c>
      <c r="M1546" s="7" t="s">
        <v>238</v>
      </c>
      <c r="N1546" s="7"/>
      <c r="O1546" s="7"/>
    </row>
    <row r="1547" customFormat="false" ht="15" hidden="false" customHeight="false" outlineLevel="0" collapsed="false">
      <c r="A1547" s="7" t="s">
        <v>4773</v>
      </c>
      <c r="B1547" s="10" t="n">
        <v>45862</v>
      </c>
      <c r="C1547" s="7" t="s">
        <v>4026</v>
      </c>
      <c r="D1547" s="7" t="s">
        <v>4774</v>
      </c>
      <c r="E1547" s="7" t="s">
        <v>159</v>
      </c>
      <c r="F1547" s="7" t="s">
        <v>136</v>
      </c>
      <c r="G1547" s="7" t="s">
        <v>90</v>
      </c>
      <c r="H1547" s="7" t="n">
        <v>2</v>
      </c>
      <c r="I1547" s="11" t="n">
        <v>200</v>
      </c>
      <c r="J1547" s="11" t="n">
        <v>0</v>
      </c>
      <c r="K1547" s="11" t="n">
        <f aca="false">H1547*I1547-J1547</f>
        <v>400</v>
      </c>
      <c r="L1547" s="7" t="s">
        <v>112</v>
      </c>
      <c r="M1547" s="7" t="s">
        <v>238</v>
      </c>
      <c r="N1547" s="7"/>
      <c r="O1547" s="7"/>
    </row>
    <row r="1548" customFormat="false" ht="15" hidden="false" customHeight="false" outlineLevel="0" collapsed="false">
      <c r="A1548" s="7" t="s">
        <v>1082</v>
      </c>
      <c r="B1548" s="10" t="n">
        <v>45863</v>
      </c>
      <c r="C1548" s="7" t="s">
        <v>1084</v>
      </c>
      <c r="D1548" s="7" t="s">
        <v>915</v>
      </c>
      <c r="E1548" s="7" t="s">
        <v>130</v>
      </c>
      <c r="F1548" s="7" t="s">
        <v>110</v>
      </c>
      <c r="G1548" s="7" t="s">
        <v>90</v>
      </c>
      <c r="H1548" s="7" t="n">
        <v>1</v>
      </c>
      <c r="I1548" s="11" t="n">
        <v>255</v>
      </c>
      <c r="J1548" s="11" t="n">
        <v>50</v>
      </c>
      <c r="K1548" s="11" t="n">
        <f aca="false">H1548*I1548-J1548</f>
        <v>205</v>
      </c>
      <c r="L1548" s="7" t="s">
        <v>93</v>
      </c>
      <c r="M1548" s="7" t="s">
        <v>194</v>
      </c>
      <c r="N1548" s="7" t="n">
        <v>44</v>
      </c>
      <c r="O1548" s="7" t="n">
        <v>4</v>
      </c>
    </row>
    <row r="1549" customFormat="false" ht="15" hidden="false" customHeight="false" outlineLevel="0" collapsed="false">
      <c r="A1549" s="7" t="s">
        <v>4385</v>
      </c>
      <c r="B1549" s="10" t="n">
        <v>45863</v>
      </c>
      <c r="C1549" s="7" t="s">
        <v>697</v>
      </c>
      <c r="D1549" s="7" t="s">
        <v>4386</v>
      </c>
      <c r="E1549" s="7" t="s">
        <v>98</v>
      </c>
      <c r="F1549" s="7" t="s">
        <v>86</v>
      </c>
      <c r="G1549" s="7" t="s">
        <v>99</v>
      </c>
      <c r="H1549" s="7" t="n">
        <v>1</v>
      </c>
      <c r="I1549" s="11" t="n">
        <v>260</v>
      </c>
      <c r="J1549" s="11" t="n">
        <v>0</v>
      </c>
      <c r="K1549" s="11" t="n">
        <f aca="false">H1549*I1549-J1549</f>
        <v>260</v>
      </c>
      <c r="L1549" s="7" t="s">
        <v>88</v>
      </c>
      <c r="M1549" s="7" t="s">
        <v>194</v>
      </c>
      <c r="N1549" s="7" t="n">
        <v>49</v>
      </c>
      <c r="O1549" s="7" t="n">
        <v>5</v>
      </c>
    </row>
    <row r="1550" customFormat="false" ht="15" hidden="false" customHeight="false" outlineLevel="0" collapsed="false">
      <c r="A1550" s="7" t="s">
        <v>1847</v>
      </c>
      <c r="B1550" s="10" t="n">
        <v>45863</v>
      </c>
      <c r="C1550" s="7" t="s">
        <v>1526</v>
      </c>
      <c r="D1550" s="7" t="s">
        <v>1849</v>
      </c>
      <c r="E1550" s="7" t="s">
        <v>167</v>
      </c>
      <c r="F1550" s="7" t="s">
        <v>146</v>
      </c>
      <c r="G1550" s="7" t="s">
        <v>156</v>
      </c>
      <c r="H1550" s="7" t="n">
        <v>4</v>
      </c>
      <c r="I1550" s="11" t="n">
        <v>290</v>
      </c>
      <c r="J1550" s="11" t="n">
        <v>0</v>
      </c>
      <c r="K1550" s="11" t="n">
        <f aca="false">H1550*I1550-J1550</f>
        <v>1160</v>
      </c>
      <c r="L1550" s="7" t="s">
        <v>93</v>
      </c>
      <c r="M1550" s="7" t="s">
        <v>194</v>
      </c>
      <c r="N1550" s="7" t="n">
        <v>36</v>
      </c>
      <c r="O1550" s="7" t="n">
        <v>4</v>
      </c>
    </row>
    <row r="1551" customFormat="false" ht="15" hidden="false" customHeight="false" outlineLevel="0" collapsed="false">
      <c r="A1551" s="7" t="s">
        <v>3453</v>
      </c>
      <c r="B1551" s="10" t="n">
        <v>45863</v>
      </c>
      <c r="C1551" s="7" t="s">
        <v>1109</v>
      </c>
      <c r="D1551" s="7" t="s">
        <v>3454</v>
      </c>
      <c r="E1551" s="7" t="s">
        <v>130</v>
      </c>
      <c r="F1551" s="7" t="s">
        <v>110</v>
      </c>
      <c r="G1551" s="7" t="s">
        <v>90</v>
      </c>
      <c r="H1551" s="7" t="n">
        <v>2</v>
      </c>
      <c r="I1551" s="11" t="n">
        <v>225</v>
      </c>
      <c r="J1551" s="11" t="n">
        <v>125</v>
      </c>
      <c r="K1551" s="11" t="n">
        <f aca="false">H1551*I1551-J1551</f>
        <v>325</v>
      </c>
      <c r="L1551" s="7" t="s">
        <v>88</v>
      </c>
      <c r="M1551" s="7" t="s">
        <v>194</v>
      </c>
      <c r="N1551" s="7" t="n">
        <v>41</v>
      </c>
      <c r="O1551" s="7" t="n">
        <v>3</v>
      </c>
    </row>
    <row r="1552" customFormat="false" ht="15" hidden="false" customHeight="false" outlineLevel="0" collapsed="false">
      <c r="A1552" s="7" t="s">
        <v>1876</v>
      </c>
      <c r="B1552" s="10" t="n">
        <v>45864</v>
      </c>
      <c r="C1552" s="7" t="s">
        <v>1877</v>
      </c>
      <c r="D1552" s="7" t="s">
        <v>1878</v>
      </c>
      <c r="E1552" s="7" t="s">
        <v>130</v>
      </c>
      <c r="F1552" s="7" t="s">
        <v>110</v>
      </c>
      <c r="G1552" s="7" t="s">
        <v>90</v>
      </c>
      <c r="H1552" s="7" t="n">
        <v>2</v>
      </c>
      <c r="I1552" s="11" t="n">
        <v>330</v>
      </c>
      <c r="J1552" s="11" t="n">
        <v>0</v>
      </c>
      <c r="K1552" s="11" t="n">
        <f aca="false">H1552*I1552-J1552</f>
        <v>660</v>
      </c>
      <c r="L1552" s="7" t="s">
        <v>88</v>
      </c>
      <c r="M1552" s="7" t="s">
        <v>194</v>
      </c>
      <c r="N1552" s="7" t="n">
        <v>24</v>
      </c>
      <c r="O1552" s="7" t="n">
        <v>4</v>
      </c>
    </row>
    <row r="1553" customFormat="false" ht="15" hidden="false" customHeight="false" outlineLevel="0" collapsed="false">
      <c r="A1553" s="7" t="s">
        <v>5170</v>
      </c>
      <c r="B1553" s="10" t="n">
        <v>45864</v>
      </c>
      <c r="C1553" s="7" t="s">
        <v>1820</v>
      </c>
      <c r="D1553" s="7" t="s">
        <v>3584</v>
      </c>
      <c r="E1553" s="7" t="s">
        <v>167</v>
      </c>
      <c r="F1553" s="7" t="s">
        <v>146</v>
      </c>
      <c r="G1553" s="7" t="s">
        <v>156</v>
      </c>
      <c r="H1553" s="7" t="n">
        <v>1</v>
      </c>
      <c r="I1553" s="11" t="n">
        <v>265</v>
      </c>
      <c r="J1553" s="11" t="n">
        <v>0</v>
      </c>
      <c r="K1553" s="11" t="n">
        <f aca="false">H1553*I1553-J1553</f>
        <v>265</v>
      </c>
      <c r="L1553" s="7" t="s">
        <v>121</v>
      </c>
      <c r="M1553" s="7" t="s">
        <v>194</v>
      </c>
      <c r="N1553" s="7" t="n">
        <v>29</v>
      </c>
      <c r="O1553" s="7" t="n">
        <v>4</v>
      </c>
    </row>
    <row r="1554" customFormat="false" ht="15" hidden="false" customHeight="false" outlineLevel="0" collapsed="false">
      <c r="A1554" s="7" t="s">
        <v>1239</v>
      </c>
      <c r="B1554" s="10" t="n">
        <v>45864</v>
      </c>
      <c r="C1554" s="7" t="s">
        <v>661</v>
      </c>
      <c r="D1554" s="7" t="s">
        <v>1241</v>
      </c>
      <c r="E1554" s="7" t="s">
        <v>122</v>
      </c>
      <c r="F1554" s="7" t="s">
        <v>101</v>
      </c>
      <c r="G1554" s="7" t="s">
        <v>123</v>
      </c>
      <c r="H1554" s="7" t="n">
        <v>2</v>
      </c>
      <c r="I1554" s="11" t="n">
        <v>375</v>
      </c>
      <c r="J1554" s="11" t="n">
        <v>0</v>
      </c>
      <c r="K1554" s="11" t="n">
        <f aca="false">H1554*I1554-J1554</f>
        <v>750</v>
      </c>
      <c r="L1554" s="7" t="s">
        <v>88</v>
      </c>
      <c r="M1554" s="7" t="s">
        <v>194</v>
      </c>
      <c r="N1554" s="7" t="n">
        <v>41</v>
      </c>
      <c r="O1554" s="7" t="n">
        <v>2</v>
      </c>
    </row>
    <row r="1555" customFormat="false" ht="15" hidden="false" customHeight="false" outlineLevel="0" collapsed="false">
      <c r="A1555" s="7" t="s">
        <v>2293</v>
      </c>
      <c r="B1555" s="10" t="n">
        <v>45864</v>
      </c>
      <c r="C1555" s="7" t="s">
        <v>1715</v>
      </c>
      <c r="D1555" s="7" t="s">
        <v>228</v>
      </c>
      <c r="E1555" s="7" t="s">
        <v>138</v>
      </c>
      <c r="F1555" s="7" t="s">
        <v>110</v>
      </c>
      <c r="G1555" s="7" t="s">
        <v>139</v>
      </c>
      <c r="H1555" s="7" t="n">
        <v>2</v>
      </c>
      <c r="I1555" s="11" t="n">
        <v>210</v>
      </c>
      <c r="J1555" s="11" t="n">
        <v>0</v>
      </c>
      <c r="K1555" s="11" t="n">
        <f aca="false">H1555*I1555-J1555</f>
        <v>420</v>
      </c>
      <c r="L1555" s="7" t="s">
        <v>93</v>
      </c>
      <c r="M1555" s="7" t="s">
        <v>194</v>
      </c>
      <c r="N1555" s="7" t="n">
        <v>33</v>
      </c>
      <c r="O1555" s="7" t="n">
        <v>5</v>
      </c>
    </row>
    <row r="1556" customFormat="false" ht="15" hidden="false" customHeight="false" outlineLevel="0" collapsed="false">
      <c r="A1556" s="7" t="s">
        <v>3472</v>
      </c>
      <c r="B1556" s="10" t="n">
        <v>45864</v>
      </c>
      <c r="C1556" s="7" t="s">
        <v>1852</v>
      </c>
      <c r="D1556" s="7" t="s">
        <v>3473</v>
      </c>
      <c r="E1556" s="7" t="s">
        <v>134</v>
      </c>
      <c r="F1556" s="7" t="s">
        <v>110</v>
      </c>
      <c r="G1556" s="7" t="s">
        <v>117</v>
      </c>
      <c r="H1556" s="7" t="n">
        <v>2</v>
      </c>
      <c r="I1556" s="11" t="n">
        <v>115</v>
      </c>
      <c r="J1556" s="11" t="n">
        <v>0</v>
      </c>
      <c r="K1556" s="11" t="n">
        <f aca="false">H1556*I1556-J1556</f>
        <v>230</v>
      </c>
      <c r="L1556" s="7" t="s">
        <v>121</v>
      </c>
      <c r="M1556" s="7" t="s">
        <v>194</v>
      </c>
      <c r="N1556" s="7" t="n">
        <v>36</v>
      </c>
      <c r="O1556" s="7" t="n">
        <v>3</v>
      </c>
    </row>
    <row r="1557" customFormat="false" ht="15" hidden="false" customHeight="false" outlineLevel="0" collapsed="false">
      <c r="A1557" s="7" t="s">
        <v>5650</v>
      </c>
      <c r="B1557" s="10" t="n">
        <v>45864</v>
      </c>
      <c r="C1557" s="7" t="s">
        <v>581</v>
      </c>
      <c r="D1557" s="7" t="s">
        <v>5261</v>
      </c>
      <c r="E1557" s="7" t="s">
        <v>148</v>
      </c>
      <c r="F1557" s="7" t="s">
        <v>119</v>
      </c>
      <c r="G1557" s="7" t="s">
        <v>123</v>
      </c>
      <c r="H1557" s="7" t="n">
        <v>1</v>
      </c>
      <c r="I1557" s="11" t="n">
        <v>410</v>
      </c>
      <c r="J1557" s="11" t="n">
        <v>40</v>
      </c>
      <c r="K1557" s="11" t="n">
        <f aca="false">H1557*I1557-J1557</f>
        <v>370</v>
      </c>
      <c r="L1557" s="7" t="s">
        <v>93</v>
      </c>
      <c r="M1557" s="7" t="s">
        <v>194</v>
      </c>
      <c r="N1557" s="7" t="n">
        <v>26</v>
      </c>
      <c r="O1557" s="7" t="n">
        <v>4</v>
      </c>
    </row>
    <row r="1558" customFormat="false" ht="15" hidden="false" customHeight="false" outlineLevel="0" collapsed="false">
      <c r="A1558" s="7" t="s">
        <v>3983</v>
      </c>
      <c r="B1558" s="10" t="n">
        <v>45864</v>
      </c>
      <c r="C1558" s="7" t="s">
        <v>3209</v>
      </c>
      <c r="D1558" s="7" t="s">
        <v>3984</v>
      </c>
      <c r="E1558" s="7" t="s">
        <v>161</v>
      </c>
      <c r="F1558" s="7" t="s">
        <v>141</v>
      </c>
      <c r="G1558" s="7" t="s">
        <v>117</v>
      </c>
      <c r="H1558" s="7" t="n">
        <v>4</v>
      </c>
      <c r="I1558" s="11" t="n">
        <v>150</v>
      </c>
      <c r="J1558" s="11" t="n">
        <v>30</v>
      </c>
      <c r="K1558" s="11" t="n">
        <f aca="false">H1558*I1558-J1558</f>
        <v>570</v>
      </c>
      <c r="L1558" s="7" t="s">
        <v>93</v>
      </c>
      <c r="M1558" s="7" t="s">
        <v>194</v>
      </c>
      <c r="N1558" s="7" t="n">
        <v>48</v>
      </c>
      <c r="O1558" s="7" t="n">
        <v>3</v>
      </c>
    </row>
    <row r="1559" customFormat="false" ht="15" hidden="false" customHeight="false" outlineLevel="0" collapsed="false">
      <c r="A1559" s="7" t="s">
        <v>1841</v>
      </c>
      <c r="B1559" s="10" t="n">
        <v>45864</v>
      </c>
      <c r="C1559" s="7" t="s">
        <v>1842</v>
      </c>
      <c r="D1559" s="7" t="s">
        <v>1236</v>
      </c>
      <c r="E1559" s="7" t="s">
        <v>130</v>
      </c>
      <c r="F1559" s="7" t="s">
        <v>110</v>
      </c>
      <c r="G1559" s="7" t="s">
        <v>90</v>
      </c>
      <c r="H1559" s="7" t="n">
        <v>2</v>
      </c>
      <c r="I1559" s="11" t="n">
        <v>210</v>
      </c>
      <c r="J1559" s="11" t="n">
        <v>0</v>
      </c>
      <c r="K1559" s="11" t="n">
        <f aca="false">H1559*I1559-J1559</f>
        <v>420</v>
      </c>
      <c r="L1559" s="7" t="s">
        <v>112</v>
      </c>
      <c r="M1559" s="7" t="s">
        <v>194</v>
      </c>
      <c r="N1559" s="7" t="n">
        <v>43</v>
      </c>
      <c r="O1559" s="7" t="n">
        <v>4</v>
      </c>
    </row>
    <row r="1560" customFormat="false" ht="15" hidden="false" customHeight="false" outlineLevel="0" collapsed="false">
      <c r="A1560" s="7" t="s">
        <v>4302</v>
      </c>
      <c r="B1560" s="10" t="n">
        <v>45864</v>
      </c>
      <c r="C1560" s="7" t="s">
        <v>4026</v>
      </c>
      <c r="D1560" s="7" t="s">
        <v>905</v>
      </c>
      <c r="E1560" s="7" t="s">
        <v>116</v>
      </c>
      <c r="F1560" s="7" t="s">
        <v>101</v>
      </c>
      <c r="G1560" s="7" t="s">
        <v>117</v>
      </c>
      <c r="H1560" s="7" t="n">
        <v>5</v>
      </c>
      <c r="I1560" s="11" t="n">
        <v>125</v>
      </c>
      <c r="J1560" s="11" t="n">
        <v>125</v>
      </c>
      <c r="K1560" s="11" t="n">
        <f aca="false">H1560*I1560-J1560</f>
        <v>500</v>
      </c>
      <c r="L1560" s="7" t="s">
        <v>88</v>
      </c>
      <c r="M1560" s="7" t="s">
        <v>194</v>
      </c>
      <c r="N1560" s="7" t="n">
        <v>50</v>
      </c>
      <c r="O1560" s="7" t="n">
        <v>5</v>
      </c>
    </row>
    <row r="1561" customFormat="false" ht="15" hidden="false" customHeight="false" outlineLevel="0" collapsed="false">
      <c r="A1561" s="7" t="s">
        <v>1182</v>
      </c>
      <c r="B1561" s="10" t="n">
        <v>45864</v>
      </c>
      <c r="C1561" s="7" t="s">
        <v>1184</v>
      </c>
      <c r="D1561" s="7" t="s">
        <v>1185</v>
      </c>
      <c r="E1561" s="7" t="s">
        <v>126</v>
      </c>
      <c r="F1561" s="7" t="s">
        <v>101</v>
      </c>
      <c r="G1561" s="7" t="s">
        <v>105</v>
      </c>
      <c r="H1561" s="7" t="n">
        <v>3</v>
      </c>
      <c r="I1561" s="11" t="n">
        <v>230</v>
      </c>
      <c r="J1561" s="11" t="n">
        <v>30</v>
      </c>
      <c r="K1561" s="11" t="n">
        <f aca="false">H1561*I1561-J1561</f>
        <v>660</v>
      </c>
      <c r="L1561" s="7" t="s">
        <v>103</v>
      </c>
      <c r="M1561" s="7" t="s">
        <v>194</v>
      </c>
      <c r="N1561" s="7" t="n">
        <v>34</v>
      </c>
      <c r="O1561" s="7"/>
    </row>
    <row r="1562" customFormat="false" ht="15" hidden="false" customHeight="false" outlineLevel="0" collapsed="false">
      <c r="A1562" s="7" t="s">
        <v>4865</v>
      </c>
      <c r="B1562" s="10" t="n">
        <v>45865</v>
      </c>
      <c r="C1562" s="7" t="s">
        <v>606</v>
      </c>
      <c r="D1562" s="7" t="s">
        <v>4866</v>
      </c>
      <c r="E1562" s="7" t="s">
        <v>122</v>
      </c>
      <c r="F1562" s="7" t="s">
        <v>101</v>
      </c>
      <c r="G1562" s="7" t="s">
        <v>123</v>
      </c>
      <c r="H1562" s="7" t="n">
        <v>3</v>
      </c>
      <c r="I1562" s="11" t="n">
        <v>415</v>
      </c>
      <c r="J1562" s="11" t="n">
        <v>40</v>
      </c>
      <c r="K1562" s="11" t="n">
        <f aca="false">H1562*I1562-J1562</f>
        <v>1205</v>
      </c>
      <c r="L1562" s="7" t="s">
        <v>103</v>
      </c>
      <c r="M1562" s="7" t="s">
        <v>194</v>
      </c>
      <c r="N1562" s="7" t="n">
        <v>31</v>
      </c>
      <c r="O1562" s="7" t="n">
        <v>4</v>
      </c>
    </row>
    <row r="1563" customFormat="false" ht="15" hidden="false" customHeight="false" outlineLevel="0" collapsed="false">
      <c r="A1563" s="7" t="s">
        <v>3035</v>
      </c>
      <c r="B1563" s="10" t="n">
        <v>45865</v>
      </c>
      <c r="C1563" s="7" t="s">
        <v>3036</v>
      </c>
      <c r="D1563" s="7" t="s">
        <v>915</v>
      </c>
      <c r="E1563" s="7" t="s">
        <v>104</v>
      </c>
      <c r="F1563" s="7" t="s">
        <v>86</v>
      </c>
      <c r="G1563" s="7" t="s">
        <v>105</v>
      </c>
      <c r="H1563" s="7" t="n">
        <v>1</v>
      </c>
      <c r="I1563" s="11" t="n">
        <v>205</v>
      </c>
      <c r="J1563" s="11" t="n">
        <v>0</v>
      </c>
      <c r="K1563" s="11" t="n">
        <f aca="false">H1563*I1563-J1563</f>
        <v>205</v>
      </c>
      <c r="L1563" s="7" t="s">
        <v>112</v>
      </c>
      <c r="M1563" s="7" t="s">
        <v>194</v>
      </c>
      <c r="N1563" s="7" t="n">
        <v>43</v>
      </c>
      <c r="O1563" s="7"/>
    </row>
    <row r="1564" customFormat="false" ht="15" hidden="false" customHeight="false" outlineLevel="0" collapsed="false">
      <c r="A1564" s="7" t="s">
        <v>4768</v>
      </c>
      <c r="B1564" s="10" t="n">
        <v>45865</v>
      </c>
      <c r="C1564" s="7" t="s">
        <v>2607</v>
      </c>
      <c r="D1564" s="7" t="s">
        <v>2750</v>
      </c>
      <c r="E1564" s="7" t="s">
        <v>94</v>
      </c>
      <c r="F1564" s="7" t="s">
        <v>86</v>
      </c>
      <c r="G1564" s="7" t="s">
        <v>95</v>
      </c>
      <c r="H1564" s="7" t="n">
        <v>2</v>
      </c>
      <c r="I1564" s="11" t="n">
        <v>140</v>
      </c>
      <c r="J1564" s="11" t="n">
        <v>0</v>
      </c>
      <c r="K1564" s="11" t="n">
        <f aca="false">H1564*I1564-J1564</f>
        <v>280</v>
      </c>
      <c r="L1564" s="7" t="s">
        <v>93</v>
      </c>
      <c r="M1564" s="7" t="s">
        <v>194</v>
      </c>
      <c r="N1564" s="7" t="n">
        <v>38</v>
      </c>
      <c r="O1564" s="7" t="n">
        <v>5</v>
      </c>
    </row>
    <row r="1565" customFormat="false" ht="15" hidden="false" customHeight="false" outlineLevel="0" collapsed="false">
      <c r="A1565" s="7" t="s">
        <v>600</v>
      </c>
      <c r="B1565" s="10" t="n">
        <v>45865</v>
      </c>
      <c r="C1565" s="7" t="s">
        <v>602</v>
      </c>
      <c r="D1565" s="7" t="s">
        <v>603</v>
      </c>
      <c r="E1565" s="7" t="s">
        <v>154</v>
      </c>
      <c r="F1565" s="7" t="s">
        <v>128</v>
      </c>
      <c r="G1565" s="7" t="s">
        <v>99</v>
      </c>
      <c r="H1565" s="7" t="n">
        <v>3</v>
      </c>
      <c r="I1565" s="11" t="n">
        <v>235</v>
      </c>
      <c r="J1565" s="11" t="n">
        <v>40</v>
      </c>
      <c r="K1565" s="11" t="n">
        <f aca="false">H1565*I1565-J1565</f>
        <v>665</v>
      </c>
      <c r="L1565" s="7" t="s">
        <v>88</v>
      </c>
      <c r="M1565" s="7" t="s">
        <v>194</v>
      </c>
      <c r="N1565" s="7" t="n">
        <v>39</v>
      </c>
      <c r="O1565" s="7" t="n">
        <v>3</v>
      </c>
    </row>
    <row r="1566" customFormat="false" ht="15" hidden="false" customHeight="false" outlineLevel="0" collapsed="false">
      <c r="A1566" s="7" t="s">
        <v>5496</v>
      </c>
      <c r="B1566" s="10" t="n">
        <v>45865</v>
      </c>
      <c r="C1566" s="7" t="s">
        <v>862</v>
      </c>
      <c r="D1566" s="7" t="s">
        <v>5497</v>
      </c>
      <c r="E1566" s="7" t="s">
        <v>159</v>
      </c>
      <c r="F1566" s="7" t="s">
        <v>136</v>
      </c>
      <c r="G1566" s="7" t="s">
        <v>90</v>
      </c>
      <c r="H1566" s="7" t="n">
        <v>2</v>
      </c>
      <c r="I1566" s="11" t="n">
        <v>215</v>
      </c>
      <c r="J1566" s="11" t="n">
        <v>0</v>
      </c>
      <c r="K1566" s="11" t="n">
        <f aca="false">H1566*I1566-J1566</f>
        <v>430</v>
      </c>
      <c r="L1566" s="7" t="s">
        <v>133</v>
      </c>
      <c r="M1566" s="7" t="s">
        <v>194</v>
      </c>
      <c r="N1566" s="7" t="n">
        <v>35</v>
      </c>
      <c r="O1566" s="7" t="n">
        <v>5</v>
      </c>
    </row>
    <row r="1567" customFormat="false" ht="15" hidden="false" customHeight="false" outlineLevel="0" collapsed="false">
      <c r="A1567" s="7" t="s">
        <v>1644</v>
      </c>
      <c r="B1567" s="10" t="n">
        <v>45865</v>
      </c>
      <c r="C1567" s="7" t="s">
        <v>327</v>
      </c>
      <c r="D1567" s="7" t="s">
        <v>1646</v>
      </c>
      <c r="E1567" s="7" t="s">
        <v>116</v>
      </c>
      <c r="F1567" s="7" t="s">
        <v>101</v>
      </c>
      <c r="G1567" s="7" t="s">
        <v>117</v>
      </c>
      <c r="H1567" s="7" t="n">
        <v>1</v>
      </c>
      <c r="I1567" s="11" t="n">
        <v>155</v>
      </c>
      <c r="J1567" s="11" t="n">
        <v>30</v>
      </c>
      <c r="K1567" s="11" t="n">
        <f aca="false">H1567*I1567-J1567</f>
        <v>125</v>
      </c>
      <c r="L1567" s="7" t="s">
        <v>88</v>
      </c>
      <c r="M1567" s="7" t="s">
        <v>194</v>
      </c>
      <c r="N1567" s="7" t="n">
        <v>32</v>
      </c>
      <c r="O1567" s="7" t="n">
        <v>3</v>
      </c>
    </row>
    <row r="1568" customFormat="false" ht="15" hidden="false" customHeight="false" outlineLevel="0" collapsed="false">
      <c r="A1568" s="7" t="s">
        <v>2865</v>
      </c>
      <c r="B1568" s="10" t="n">
        <v>45865</v>
      </c>
      <c r="C1568" s="7" t="s">
        <v>2088</v>
      </c>
      <c r="D1568" s="7" t="s">
        <v>2866</v>
      </c>
      <c r="E1568" s="7" t="s">
        <v>113</v>
      </c>
      <c r="F1568" s="7" t="s">
        <v>101</v>
      </c>
      <c r="G1568" s="7" t="s">
        <v>90</v>
      </c>
      <c r="H1568" s="7" t="n">
        <v>3</v>
      </c>
      <c r="I1568" s="11" t="n">
        <v>215</v>
      </c>
      <c r="J1568" s="11" t="n">
        <v>0</v>
      </c>
      <c r="K1568" s="11" t="n">
        <f aca="false">H1568*I1568-J1568</f>
        <v>645</v>
      </c>
      <c r="L1568" s="7" t="s">
        <v>88</v>
      </c>
      <c r="M1568" s="7" t="s">
        <v>194</v>
      </c>
      <c r="N1568" s="7" t="n">
        <v>49</v>
      </c>
      <c r="O1568" s="7" t="n">
        <v>3</v>
      </c>
    </row>
    <row r="1569" customFormat="false" ht="15" hidden="false" customHeight="false" outlineLevel="0" collapsed="false">
      <c r="A1569" s="7" t="s">
        <v>4562</v>
      </c>
      <c r="B1569" s="10" t="n">
        <v>45865</v>
      </c>
      <c r="C1569" s="7" t="s">
        <v>1761</v>
      </c>
      <c r="D1569" s="7" t="s">
        <v>4563</v>
      </c>
      <c r="E1569" s="7" t="s">
        <v>160</v>
      </c>
      <c r="F1569" s="7" t="s">
        <v>136</v>
      </c>
      <c r="G1569" s="7" t="s">
        <v>150</v>
      </c>
      <c r="H1569" s="7" t="n">
        <v>1</v>
      </c>
      <c r="I1569" s="11" t="n">
        <v>200</v>
      </c>
      <c r="J1569" s="11" t="n">
        <v>50</v>
      </c>
      <c r="K1569" s="11" t="n">
        <f aca="false">H1569*I1569-J1569</f>
        <v>150</v>
      </c>
      <c r="L1569" s="7" t="s">
        <v>88</v>
      </c>
      <c r="M1569" s="7" t="s">
        <v>194</v>
      </c>
      <c r="N1569" s="7" t="n">
        <v>26</v>
      </c>
      <c r="O1569" s="7" t="n">
        <v>4</v>
      </c>
    </row>
    <row r="1570" customFormat="false" ht="15" hidden="false" customHeight="false" outlineLevel="0" collapsed="false">
      <c r="A1570" s="7" t="s">
        <v>2855</v>
      </c>
      <c r="B1570" s="10" t="n">
        <v>45865</v>
      </c>
      <c r="C1570" s="7" t="s">
        <v>2856</v>
      </c>
      <c r="D1570" s="7" t="s">
        <v>1931</v>
      </c>
      <c r="E1570" s="7" t="s">
        <v>94</v>
      </c>
      <c r="F1570" s="7" t="s">
        <v>86</v>
      </c>
      <c r="G1570" s="7" t="s">
        <v>95</v>
      </c>
      <c r="H1570" s="7" t="n">
        <v>4</v>
      </c>
      <c r="I1570" s="11" t="n">
        <v>130</v>
      </c>
      <c r="J1570" s="11" t="n">
        <v>100</v>
      </c>
      <c r="K1570" s="11" t="n">
        <f aca="false">H1570*I1570-J1570</f>
        <v>420</v>
      </c>
      <c r="L1570" s="7" t="s">
        <v>103</v>
      </c>
      <c r="M1570" s="7" t="s">
        <v>194</v>
      </c>
      <c r="N1570" s="7" t="n">
        <v>46</v>
      </c>
      <c r="O1570" s="7" t="n">
        <v>5</v>
      </c>
    </row>
    <row r="1571" customFormat="false" ht="15" hidden="false" customHeight="false" outlineLevel="0" collapsed="false">
      <c r="A1571" s="7" t="s">
        <v>3586</v>
      </c>
      <c r="B1571" s="10" t="n">
        <v>45865</v>
      </c>
      <c r="C1571" s="7" t="s">
        <v>3587</v>
      </c>
      <c r="D1571" s="7" t="s">
        <v>3588</v>
      </c>
      <c r="E1571" s="7" t="s">
        <v>89</v>
      </c>
      <c r="F1571" s="7" t="s">
        <v>86</v>
      </c>
      <c r="G1571" s="7" t="s">
        <v>90</v>
      </c>
      <c r="H1571" s="7" t="n">
        <v>4</v>
      </c>
      <c r="I1571" s="11" t="n">
        <v>190</v>
      </c>
      <c r="J1571" s="11" t="n">
        <v>50</v>
      </c>
      <c r="K1571" s="11" t="n">
        <f aca="false">H1571*I1571-J1571</f>
        <v>710</v>
      </c>
      <c r="L1571" s="7" t="s">
        <v>121</v>
      </c>
      <c r="M1571" s="7" t="s">
        <v>194</v>
      </c>
      <c r="N1571" s="7" t="n">
        <v>48</v>
      </c>
      <c r="O1571" s="7" t="n">
        <v>4</v>
      </c>
    </row>
    <row r="1572" customFormat="false" ht="15" hidden="false" customHeight="false" outlineLevel="0" collapsed="false">
      <c r="A1572" s="7" t="s">
        <v>3618</v>
      </c>
      <c r="B1572" s="10" t="n">
        <v>45866</v>
      </c>
      <c r="C1572" s="7" t="s">
        <v>1809</v>
      </c>
      <c r="D1572" s="7" t="s">
        <v>922</v>
      </c>
      <c r="E1572" s="7" t="s">
        <v>159</v>
      </c>
      <c r="F1572" s="7" t="s">
        <v>136</v>
      </c>
      <c r="G1572" s="7" t="s">
        <v>90</v>
      </c>
      <c r="H1572" s="7" t="n">
        <v>2</v>
      </c>
      <c r="I1572" s="11" t="n">
        <v>265</v>
      </c>
      <c r="J1572" s="11" t="n">
        <v>0</v>
      </c>
      <c r="K1572" s="11" t="n">
        <f aca="false">H1572*I1572-J1572</f>
        <v>530</v>
      </c>
      <c r="L1572" s="7" t="s">
        <v>112</v>
      </c>
      <c r="M1572" s="7" t="s">
        <v>194</v>
      </c>
      <c r="N1572" s="7" t="n">
        <v>32</v>
      </c>
      <c r="O1572" s="7" t="n">
        <v>4</v>
      </c>
    </row>
    <row r="1573" customFormat="false" ht="15" hidden="false" customHeight="false" outlineLevel="0" collapsed="false">
      <c r="A1573" s="7" t="s">
        <v>4002</v>
      </c>
      <c r="B1573" s="10" t="n">
        <v>45866</v>
      </c>
      <c r="C1573" s="7" t="s">
        <v>4004</v>
      </c>
      <c r="D1573" s="7" t="s">
        <v>1801</v>
      </c>
      <c r="E1573" s="7" t="s">
        <v>154</v>
      </c>
      <c r="F1573" s="7" t="s">
        <v>128</v>
      </c>
      <c r="G1573" s="7" t="s">
        <v>99</v>
      </c>
      <c r="H1573" s="7" t="n">
        <v>5</v>
      </c>
      <c r="I1573" s="11" t="n">
        <v>280</v>
      </c>
      <c r="J1573" s="11" t="n">
        <v>150</v>
      </c>
      <c r="K1573" s="11" t="n">
        <f aca="false">H1573*I1573-J1573</f>
        <v>1250</v>
      </c>
      <c r="L1573" s="7" t="s">
        <v>93</v>
      </c>
      <c r="M1573" s="7" t="s">
        <v>238</v>
      </c>
      <c r="N1573" s="7"/>
      <c r="O1573" s="7"/>
    </row>
    <row r="1574" customFormat="false" ht="15" hidden="false" customHeight="false" outlineLevel="0" collapsed="false">
      <c r="A1574" s="7" t="s">
        <v>3772</v>
      </c>
      <c r="B1574" s="10" t="n">
        <v>45866</v>
      </c>
      <c r="C1574" s="7" t="s">
        <v>1379</v>
      </c>
      <c r="D1574" s="7" t="s">
        <v>2918</v>
      </c>
      <c r="E1574" s="7" t="s">
        <v>161</v>
      </c>
      <c r="F1574" s="7" t="s">
        <v>141</v>
      </c>
      <c r="G1574" s="7" t="s">
        <v>117</v>
      </c>
      <c r="H1574" s="7" t="n">
        <v>1</v>
      </c>
      <c r="I1574" s="11" t="n">
        <v>160</v>
      </c>
      <c r="J1574" s="11" t="n">
        <v>0</v>
      </c>
      <c r="K1574" s="11" t="n">
        <f aca="false">H1574*I1574-J1574</f>
        <v>160</v>
      </c>
      <c r="L1574" s="7" t="s">
        <v>88</v>
      </c>
      <c r="M1574" s="7" t="s">
        <v>194</v>
      </c>
      <c r="N1574" s="7" t="n">
        <v>36</v>
      </c>
      <c r="O1574" s="7" t="n">
        <v>3</v>
      </c>
    </row>
    <row r="1575" customFormat="false" ht="15" hidden="false" customHeight="false" outlineLevel="0" collapsed="false">
      <c r="A1575" s="7" t="s">
        <v>6164</v>
      </c>
      <c r="B1575" s="10" t="n">
        <v>45866</v>
      </c>
      <c r="C1575" s="7" t="s">
        <v>1562</v>
      </c>
      <c r="D1575" s="7" t="s">
        <v>2411</v>
      </c>
      <c r="E1575" s="7" t="s">
        <v>151</v>
      </c>
      <c r="F1575" s="7" t="s">
        <v>128</v>
      </c>
      <c r="G1575" s="7" t="s">
        <v>95</v>
      </c>
      <c r="H1575" s="7" t="n">
        <v>1</v>
      </c>
      <c r="I1575" s="11" t="n">
        <v>245</v>
      </c>
      <c r="J1575" s="11" t="n">
        <v>0</v>
      </c>
      <c r="K1575" s="11" t="n">
        <f aca="false">H1575*I1575-J1575</f>
        <v>245</v>
      </c>
      <c r="L1575" s="7" t="s">
        <v>88</v>
      </c>
      <c r="M1575" s="7" t="s">
        <v>194</v>
      </c>
      <c r="N1575" s="7" t="n">
        <v>32</v>
      </c>
      <c r="O1575" s="7"/>
    </row>
    <row r="1576" customFormat="false" ht="15" hidden="false" customHeight="false" outlineLevel="0" collapsed="false">
      <c r="A1576" s="7" t="s">
        <v>4675</v>
      </c>
      <c r="B1576" s="10" t="n">
        <v>45866</v>
      </c>
      <c r="C1576" s="7" t="s">
        <v>1842</v>
      </c>
      <c r="D1576" s="7" t="s">
        <v>4677</v>
      </c>
      <c r="E1576" s="7" t="s">
        <v>130</v>
      </c>
      <c r="F1576" s="7" t="s">
        <v>110</v>
      </c>
      <c r="G1576" s="7" t="s">
        <v>90</v>
      </c>
      <c r="H1576" s="7" t="n">
        <v>3</v>
      </c>
      <c r="I1576" s="11" t="n">
        <v>260</v>
      </c>
      <c r="J1576" s="11" t="n">
        <v>50</v>
      </c>
      <c r="K1576" s="11" t="n">
        <f aca="false">H1576*I1576-J1576</f>
        <v>730</v>
      </c>
      <c r="L1576" s="7" t="s">
        <v>88</v>
      </c>
      <c r="M1576" s="7" t="s">
        <v>194</v>
      </c>
      <c r="N1576" s="7" t="n">
        <v>37</v>
      </c>
      <c r="O1576" s="7" t="n">
        <v>3</v>
      </c>
    </row>
    <row r="1577" customFormat="false" ht="15" hidden="false" customHeight="false" outlineLevel="0" collapsed="false">
      <c r="A1577" s="7" t="s">
        <v>5680</v>
      </c>
      <c r="B1577" s="10" t="n">
        <v>45866</v>
      </c>
      <c r="C1577" s="7" t="s">
        <v>573</v>
      </c>
      <c r="D1577" s="7" t="s">
        <v>2052</v>
      </c>
      <c r="E1577" s="7" t="s">
        <v>116</v>
      </c>
      <c r="F1577" s="7" t="s">
        <v>101</v>
      </c>
      <c r="G1577" s="7" t="s">
        <v>117</v>
      </c>
      <c r="H1577" s="7" t="n">
        <v>3</v>
      </c>
      <c r="I1577" s="11" t="n">
        <v>150</v>
      </c>
      <c r="J1577" s="11" t="n">
        <v>0</v>
      </c>
      <c r="K1577" s="11" t="n">
        <f aca="false">H1577*I1577-J1577</f>
        <v>450</v>
      </c>
      <c r="L1577" s="7" t="s">
        <v>121</v>
      </c>
      <c r="M1577" s="7" t="s">
        <v>194</v>
      </c>
      <c r="N1577" s="7" t="n">
        <v>43</v>
      </c>
      <c r="O1577" s="7" t="n">
        <v>5</v>
      </c>
    </row>
    <row r="1578" customFormat="false" ht="15" hidden="false" customHeight="false" outlineLevel="0" collapsed="false">
      <c r="A1578" s="7" t="s">
        <v>4852</v>
      </c>
      <c r="B1578" s="10" t="n">
        <v>45867</v>
      </c>
      <c r="C1578" s="7" t="s">
        <v>1552</v>
      </c>
      <c r="D1578" s="7" t="s">
        <v>728</v>
      </c>
      <c r="E1578" s="7" t="s">
        <v>122</v>
      </c>
      <c r="F1578" s="7" t="s">
        <v>101</v>
      </c>
      <c r="G1578" s="7" t="s">
        <v>123</v>
      </c>
      <c r="H1578" s="7" t="n">
        <v>4</v>
      </c>
      <c r="I1578" s="11" t="n">
        <v>425</v>
      </c>
      <c r="J1578" s="11" t="n">
        <v>0</v>
      </c>
      <c r="K1578" s="11" t="n">
        <f aca="false">H1578*I1578-J1578</f>
        <v>1700</v>
      </c>
      <c r="L1578" s="7" t="s">
        <v>88</v>
      </c>
      <c r="M1578" s="7" t="s">
        <v>194</v>
      </c>
      <c r="N1578" s="7" t="n">
        <v>37</v>
      </c>
      <c r="O1578" s="7" t="n">
        <v>4</v>
      </c>
    </row>
    <row r="1579" customFormat="false" ht="15" hidden="false" customHeight="false" outlineLevel="0" collapsed="false">
      <c r="A1579" s="7" t="s">
        <v>5940</v>
      </c>
      <c r="B1579" s="10" t="n">
        <v>45867</v>
      </c>
      <c r="C1579" s="7" t="s">
        <v>1684</v>
      </c>
      <c r="D1579" s="7" t="s">
        <v>192</v>
      </c>
      <c r="E1579" s="7" t="s">
        <v>122</v>
      </c>
      <c r="F1579" s="7" t="s">
        <v>101</v>
      </c>
      <c r="G1579" s="7" t="s">
        <v>123</v>
      </c>
      <c r="H1579" s="7" t="n">
        <v>1</v>
      </c>
      <c r="I1579" s="11" t="n">
        <v>385</v>
      </c>
      <c r="J1579" s="11" t="n">
        <v>40</v>
      </c>
      <c r="K1579" s="11" t="n">
        <f aca="false">H1579*I1579-J1579</f>
        <v>345</v>
      </c>
      <c r="L1579" s="7" t="s">
        <v>93</v>
      </c>
      <c r="M1579" s="7" t="s">
        <v>194</v>
      </c>
      <c r="N1579" s="7" t="n">
        <v>39</v>
      </c>
      <c r="O1579" s="7" t="n">
        <v>1</v>
      </c>
    </row>
    <row r="1580" customFormat="false" ht="15" hidden="false" customHeight="false" outlineLevel="0" collapsed="false">
      <c r="A1580" s="7" t="s">
        <v>2099</v>
      </c>
      <c r="B1580" s="10" t="n">
        <v>45867</v>
      </c>
      <c r="C1580" s="7" t="s">
        <v>1779</v>
      </c>
      <c r="D1580" s="7" t="s">
        <v>2100</v>
      </c>
      <c r="E1580" s="7" t="s">
        <v>168</v>
      </c>
      <c r="F1580" s="7" t="s">
        <v>146</v>
      </c>
      <c r="G1580" s="7" t="s">
        <v>123</v>
      </c>
      <c r="H1580" s="7" t="n">
        <v>1</v>
      </c>
      <c r="I1580" s="11" t="n">
        <v>310</v>
      </c>
      <c r="J1580" s="11" t="n">
        <v>0</v>
      </c>
      <c r="K1580" s="11" t="n">
        <f aca="false">H1580*I1580-J1580</f>
        <v>310</v>
      </c>
      <c r="L1580" s="7" t="s">
        <v>133</v>
      </c>
      <c r="M1580" s="7" t="s">
        <v>194</v>
      </c>
      <c r="N1580" s="7" t="n">
        <v>29</v>
      </c>
      <c r="O1580" s="7" t="n">
        <v>5</v>
      </c>
    </row>
    <row r="1581" customFormat="false" ht="15" hidden="false" customHeight="false" outlineLevel="0" collapsed="false">
      <c r="A1581" s="7" t="s">
        <v>1248</v>
      </c>
      <c r="B1581" s="10" t="n">
        <v>45867</v>
      </c>
      <c r="C1581" s="7" t="s">
        <v>1250</v>
      </c>
      <c r="D1581" s="7" t="s">
        <v>1251</v>
      </c>
      <c r="E1581" s="7" t="s">
        <v>148</v>
      </c>
      <c r="F1581" s="7" t="s">
        <v>119</v>
      </c>
      <c r="G1581" s="7" t="s">
        <v>123</v>
      </c>
      <c r="H1581" s="7" t="n">
        <v>2</v>
      </c>
      <c r="I1581" s="11" t="n">
        <v>350</v>
      </c>
      <c r="J1581" s="11" t="n">
        <v>20</v>
      </c>
      <c r="K1581" s="11" t="n">
        <f aca="false">H1581*I1581-J1581</f>
        <v>680</v>
      </c>
      <c r="L1581" s="7" t="s">
        <v>103</v>
      </c>
      <c r="M1581" s="7" t="s">
        <v>194</v>
      </c>
      <c r="N1581" s="7" t="n">
        <v>25</v>
      </c>
      <c r="O1581" s="7" t="n">
        <v>5</v>
      </c>
    </row>
    <row r="1582" customFormat="false" ht="15" hidden="false" customHeight="false" outlineLevel="0" collapsed="false">
      <c r="A1582" s="7" t="s">
        <v>4066</v>
      </c>
      <c r="B1582" s="10" t="n">
        <v>45867</v>
      </c>
      <c r="C1582" s="7" t="s">
        <v>2573</v>
      </c>
      <c r="D1582" s="7" t="s">
        <v>1146</v>
      </c>
      <c r="E1582" s="7" t="s">
        <v>116</v>
      </c>
      <c r="F1582" s="7" t="s">
        <v>101</v>
      </c>
      <c r="G1582" s="7" t="s">
        <v>117</v>
      </c>
      <c r="H1582" s="7" t="n">
        <v>1</v>
      </c>
      <c r="I1582" s="11" t="n">
        <v>90</v>
      </c>
      <c r="J1582" s="11" t="n">
        <v>36</v>
      </c>
      <c r="K1582" s="11" t="n">
        <f aca="false">H1582*I1582-J1582</f>
        <v>54</v>
      </c>
      <c r="L1582" s="7" t="s">
        <v>93</v>
      </c>
      <c r="M1582" s="7" t="s">
        <v>238</v>
      </c>
      <c r="N1582" s="7"/>
      <c r="O1582" s="7"/>
    </row>
    <row r="1583" customFormat="false" ht="15" hidden="false" customHeight="false" outlineLevel="0" collapsed="false">
      <c r="A1583" s="7" t="s">
        <v>1999</v>
      </c>
      <c r="B1583" s="10" t="n">
        <v>45867</v>
      </c>
      <c r="C1583" s="7" t="s">
        <v>2000</v>
      </c>
      <c r="D1583" s="7" t="s">
        <v>2001</v>
      </c>
      <c r="E1583" s="7" t="s">
        <v>94</v>
      </c>
      <c r="F1583" s="7" t="s">
        <v>86</v>
      </c>
      <c r="G1583" s="7" t="s">
        <v>95</v>
      </c>
      <c r="H1583" s="7" t="n">
        <v>2</v>
      </c>
      <c r="I1583" s="11" t="n">
        <v>125</v>
      </c>
      <c r="J1583" s="11" t="n">
        <v>40</v>
      </c>
      <c r="K1583" s="11" t="n">
        <f aca="false">H1583*I1583-J1583</f>
        <v>210</v>
      </c>
      <c r="L1583" s="7" t="s">
        <v>93</v>
      </c>
      <c r="M1583" s="7" t="s">
        <v>194</v>
      </c>
      <c r="N1583" s="7" t="n">
        <v>27</v>
      </c>
      <c r="O1583" s="7" t="n">
        <v>4</v>
      </c>
    </row>
    <row r="1584" customFormat="false" ht="15" hidden="false" customHeight="false" outlineLevel="0" collapsed="false">
      <c r="A1584" s="7" t="s">
        <v>5847</v>
      </c>
      <c r="B1584" s="10" t="n">
        <v>45867</v>
      </c>
      <c r="C1584" s="7" t="s">
        <v>5848</v>
      </c>
      <c r="D1584" s="7" t="s">
        <v>2286</v>
      </c>
      <c r="E1584" s="7" t="s">
        <v>113</v>
      </c>
      <c r="F1584" s="7" t="s">
        <v>101</v>
      </c>
      <c r="G1584" s="7" t="s">
        <v>90</v>
      </c>
      <c r="H1584" s="7" t="n">
        <v>3</v>
      </c>
      <c r="I1584" s="11" t="n">
        <v>215</v>
      </c>
      <c r="J1584" s="11" t="n">
        <v>0</v>
      </c>
      <c r="K1584" s="11" t="n">
        <f aca="false">H1584*I1584-J1584</f>
        <v>645</v>
      </c>
      <c r="L1584" s="7" t="s">
        <v>88</v>
      </c>
      <c r="M1584" s="7" t="s">
        <v>194</v>
      </c>
      <c r="N1584" s="7" t="n">
        <v>37</v>
      </c>
      <c r="O1584" s="7" t="n">
        <v>5</v>
      </c>
    </row>
    <row r="1585" customFormat="false" ht="15" hidden="false" customHeight="false" outlineLevel="0" collapsed="false">
      <c r="A1585" s="7" t="s">
        <v>5449</v>
      </c>
      <c r="B1585" s="10" t="n">
        <v>45867</v>
      </c>
      <c r="C1585" s="7" t="s">
        <v>411</v>
      </c>
      <c r="D1585" s="7" t="s">
        <v>948</v>
      </c>
      <c r="E1585" s="7" t="s">
        <v>148</v>
      </c>
      <c r="F1585" s="7" t="s">
        <v>119</v>
      </c>
      <c r="G1585" s="7" t="s">
        <v>123</v>
      </c>
      <c r="H1585" s="7" t="n">
        <v>2</v>
      </c>
      <c r="I1585" s="11" t="n">
        <v>295</v>
      </c>
      <c r="J1585" s="11" t="n">
        <v>100</v>
      </c>
      <c r="K1585" s="11" t="n">
        <f aca="false">H1585*I1585-J1585</f>
        <v>490</v>
      </c>
      <c r="L1585" s="7" t="s">
        <v>88</v>
      </c>
      <c r="M1585" s="7" t="s">
        <v>194</v>
      </c>
      <c r="N1585" s="7" t="n">
        <v>28</v>
      </c>
      <c r="O1585" s="7"/>
    </row>
    <row r="1586" customFormat="false" ht="15" hidden="false" customHeight="false" outlineLevel="0" collapsed="false">
      <c r="A1586" s="7" t="s">
        <v>2759</v>
      </c>
      <c r="B1586" s="10" t="n">
        <v>45867</v>
      </c>
      <c r="C1586" s="7" t="s">
        <v>411</v>
      </c>
      <c r="D1586" s="7" t="s">
        <v>1254</v>
      </c>
      <c r="E1586" s="7" t="s">
        <v>104</v>
      </c>
      <c r="F1586" s="7" t="s">
        <v>86</v>
      </c>
      <c r="G1586" s="7" t="s">
        <v>105</v>
      </c>
      <c r="H1586" s="7" t="n">
        <v>2</v>
      </c>
      <c r="I1586" s="11" t="n">
        <v>195</v>
      </c>
      <c r="J1586" s="11" t="n">
        <v>75</v>
      </c>
      <c r="K1586" s="11" t="n">
        <f aca="false">H1586*I1586-J1586</f>
        <v>315</v>
      </c>
      <c r="L1586" s="7" t="s">
        <v>112</v>
      </c>
      <c r="M1586" s="7" t="s">
        <v>238</v>
      </c>
      <c r="N1586" s="7"/>
      <c r="O1586" s="7"/>
    </row>
    <row r="1587" customFormat="false" ht="15" hidden="false" customHeight="false" outlineLevel="0" collapsed="false">
      <c r="A1587" s="7" t="s">
        <v>3102</v>
      </c>
      <c r="B1587" s="10" t="n">
        <v>45867</v>
      </c>
      <c r="C1587" s="7" t="s">
        <v>1456</v>
      </c>
      <c r="D1587" s="7" t="s">
        <v>2994</v>
      </c>
      <c r="E1587" s="7" t="s">
        <v>130</v>
      </c>
      <c r="F1587" s="7" t="s">
        <v>110</v>
      </c>
      <c r="G1587" s="7" t="s">
        <v>90</v>
      </c>
      <c r="H1587" s="7" t="n">
        <v>5</v>
      </c>
      <c r="I1587" s="11" t="n">
        <v>250</v>
      </c>
      <c r="J1587" s="11" t="n">
        <v>0</v>
      </c>
      <c r="K1587" s="11" t="n">
        <f aca="false">H1587*I1587-J1587</f>
        <v>1250</v>
      </c>
      <c r="L1587" s="7" t="s">
        <v>112</v>
      </c>
      <c r="M1587" s="7" t="s">
        <v>194</v>
      </c>
      <c r="N1587" s="7" t="n">
        <v>23</v>
      </c>
      <c r="O1587" s="7"/>
    </row>
    <row r="1588" customFormat="false" ht="15" hidden="false" customHeight="false" outlineLevel="0" collapsed="false">
      <c r="A1588" s="7" t="s">
        <v>4589</v>
      </c>
      <c r="B1588" s="10" t="n">
        <v>45867</v>
      </c>
      <c r="C1588" s="7" t="s">
        <v>306</v>
      </c>
      <c r="D1588" s="7" t="s">
        <v>733</v>
      </c>
      <c r="E1588" s="7" t="s">
        <v>154</v>
      </c>
      <c r="F1588" s="7" t="s">
        <v>128</v>
      </c>
      <c r="G1588" s="7" t="s">
        <v>99</v>
      </c>
      <c r="H1588" s="7" t="n">
        <v>2</v>
      </c>
      <c r="I1588" s="11" t="n">
        <v>265</v>
      </c>
      <c r="J1588" s="11" t="n">
        <v>20</v>
      </c>
      <c r="K1588" s="11" t="n">
        <f aca="false">H1588*I1588-J1588</f>
        <v>510</v>
      </c>
      <c r="L1588" s="7" t="s">
        <v>93</v>
      </c>
      <c r="M1588" s="7" t="s">
        <v>194</v>
      </c>
      <c r="N1588" s="7" t="n">
        <v>39</v>
      </c>
      <c r="O1588" s="7" t="n">
        <v>4</v>
      </c>
    </row>
    <row r="1589" customFormat="false" ht="15" hidden="false" customHeight="false" outlineLevel="0" collapsed="false">
      <c r="A1589" s="7" t="s">
        <v>1786</v>
      </c>
      <c r="B1589" s="10" t="n">
        <v>45867</v>
      </c>
      <c r="C1589" s="7" t="s">
        <v>1788</v>
      </c>
      <c r="D1589" s="7" t="s">
        <v>997</v>
      </c>
      <c r="E1589" s="7" t="s">
        <v>138</v>
      </c>
      <c r="F1589" s="7" t="s">
        <v>110</v>
      </c>
      <c r="G1589" s="7" t="s">
        <v>139</v>
      </c>
      <c r="H1589" s="7" t="n">
        <v>3</v>
      </c>
      <c r="I1589" s="11" t="n">
        <v>210</v>
      </c>
      <c r="J1589" s="11" t="n">
        <v>0</v>
      </c>
      <c r="K1589" s="11" t="n">
        <f aca="false">H1589*I1589-J1589</f>
        <v>630</v>
      </c>
      <c r="L1589" s="7" t="s">
        <v>93</v>
      </c>
      <c r="M1589" s="7" t="s">
        <v>194</v>
      </c>
      <c r="N1589" s="7" t="n">
        <v>30</v>
      </c>
      <c r="O1589" s="7" t="n">
        <v>5</v>
      </c>
    </row>
    <row r="1590" customFormat="false" ht="15" hidden="false" customHeight="false" outlineLevel="0" collapsed="false">
      <c r="A1590" s="7" t="s">
        <v>5139</v>
      </c>
      <c r="B1590" s="10" t="n">
        <v>45868</v>
      </c>
      <c r="C1590" s="7" t="s">
        <v>5140</v>
      </c>
      <c r="D1590" s="7" t="s">
        <v>725</v>
      </c>
      <c r="E1590" s="7" t="s">
        <v>126</v>
      </c>
      <c r="F1590" s="7" t="s">
        <v>101</v>
      </c>
      <c r="G1590" s="7" t="s">
        <v>105</v>
      </c>
      <c r="H1590" s="7" t="n">
        <v>2</v>
      </c>
      <c r="I1590" s="11" t="n">
        <v>220</v>
      </c>
      <c r="J1590" s="11" t="n">
        <v>0</v>
      </c>
      <c r="K1590" s="11" t="n">
        <f aca="false">H1590*I1590-J1590</f>
        <v>440</v>
      </c>
      <c r="L1590" s="7" t="s">
        <v>88</v>
      </c>
      <c r="M1590" s="7" t="s">
        <v>194</v>
      </c>
      <c r="N1590" s="7" t="n">
        <v>38</v>
      </c>
      <c r="O1590" s="7" t="n">
        <v>3</v>
      </c>
    </row>
    <row r="1591" customFormat="false" ht="15" hidden="false" customHeight="false" outlineLevel="0" collapsed="false">
      <c r="A1591" s="7" t="s">
        <v>506</v>
      </c>
      <c r="B1591" s="10" t="n">
        <v>45868</v>
      </c>
      <c r="C1591" s="7" t="s">
        <v>508</v>
      </c>
      <c r="D1591" s="7" t="s">
        <v>509</v>
      </c>
      <c r="E1591" s="7" t="s">
        <v>158</v>
      </c>
      <c r="F1591" s="7" t="s">
        <v>136</v>
      </c>
      <c r="G1591" s="7" t="s">
        <v>139</v>
      </c>
      <c r="H1591" s="7" t="n">
        <v>2</v>
      </c>
      <c r="I1591" s="11" t="n">
        <v>185</v>
      </c>
      <c r="J1591" s="11" t="n">
        <v>40</v>
      </c>
      <c r="K1591" s="11" t="n">
        <f aca="false">H1591*I1591-J1591</f>
        <v>330</v>
      </c>
      <c r="L1591" s="7" t="s">
        <v>88</v>
      </c>
      <c r="M1591" s="7" t="s">
        <v>194</v>
      </c>
      <c r="N1591" s="7" t="n">
        <v>38</v>
      </c>
      <c r="O1591" s="7" t="n">
        <v>4</v>
      </c>
    </row>
    <row r="1592" customFormat="false" ht="15" hidden="false" customHeight="false" outlineLevel="0" collapsed="false">
      <c r="A1592" s="7" t="s">
        <v>5530</v>
      </c>
      <c r="B1592" s="10" t="n">
        <v>45868</v>
      </c>
      <c r="C1592" s="7" t="s">
        <v>4516</v>
      </c>
      <c r="D1592" s="7" t="s">
        <v>5531</v>
      </c>
      <c r="E1592" s="7" t="s">
        <v>142</v>
      </c>
      <c r="F1592" s="7" t="s">
        <v>110</v>
      </c>
      <c r="G1592" s="7" t="s">
        <v>105</v>
      </c>
      <c r="H1592" s="7" t="n">
        <v>3</v>
      </c>
      <c r="I1592" s="11" t="n">
        <v>150</v>
      </c>
      <c r="J1592" s="11" t="n">
        <v>75</v>
      </c>
      <c r="K1592" s="11" t="n">
        <f aca="false">H1592*I1592-J1592</f>
        <v>375</v>
      </c>
      <c r="L1592" s="7" t="s">
        <v>88</v>
      </c>
      <c r="M1592" s="7" t="s">
        <v>194</v>
      </c>
      <c r="N1592" s="7" t="n">
        <v>32</v>
      </c>
      <c r="O1592" s="7" t="n">
        <v>4</v>
      </c>
    </row>
    <row r="1593" customFormat="false" ht="15" hidden="false" customHeight="false" outlineLevel="0" collapsed="false">
      <c r="A1593" s="7" t="s">
        <v>4626</v>
      </c>
      <c r="B1593" s="10" t="n">
        <v>45868</v>
      </c>
      <c r="C1593" s="7" t="s">
        <v>331</v>
      </c>
      <c r="D1593" s="7" t="s">
        <v>1777</v>
      </c>
      <c r="E1593" s="7" t="s">
        <v>149</v>
      </c>
      <c r="F1593" s="7" t="s">
        <v>119</v>
      </c>
      <c r="G1593" s="7" t="s">
        <v>150</v>
      </c>
      <c r="H1593" s="7" t="n">
        <v>1</v>
      </c>
      <c r="I1593" s="11" t="n">
        <v>185</v>
      </c>
      <c r="J1593" s="11" t="n">
        <v>30</v>
      </c>
      <c r="K1593" s="11" t="n">
        <f aca="false">H1593*I1593-J1593</f>
        <v>155</v>
      </c>
      <c r="L1593" s="7" t="s">
        <v>88</v>
      </c>
      <c r="M1593" s="7" t="s">
        <v>194</v>
      </c>
      <c r="N1593" s="7" t="n">
        <v>20</v>
      </c>
      <c r="O1593" s="7" t="n">
        <v>3</v>
      </c>
    </row>
    <row r="1594" customFormat="false" ht="15" hidden="false" customHeight="false" outlineLevel="0" collapsed="false">
      <c r="A1594" s="7" t="s">
        <v>3823</v>
      </c>
      <c r="B1594" s="10" t="n">
        <v>45869</v>
      </c>
      <c r="C1594" s="7" t="s">
        <v>3825</v>
      </c>
      <c r="D1594" s="7" t="s">
        <v>3826</v>
      </c>
      <c r="E1594" s="7" t="s">
        <v>138</v>
      </c>
      <c r="F1594" s="7" t="s">
        <v>110</v>
      </c>
      <c r="G1594" s="7" t="s">
        <v>139</v>
      </c>
      <c r="H1594" s="7" t="n">
        <v>3</v>
      </c>
      <c r="I1594" s="11" t="n">
        <v>210</v>
      </c>
      <c r="J1594" s="11" t="n">
        <v>50</v>
      </c>
      <c r="K1594" s="11" t="n">
        <f aca="false">H1594*I1594-J1594</f>
        <v>580</v>
      </c>
      <c r="L1594" s="7" t="s">
        <v>88</v>
      </c>
      <c r="M1594" s="7" t="s">
        <v>194</v>
      </c>
      <c r="N1594" s="7" t="n">
        <v>34</v>
      </c>
      <c r="O1594" s="7" t="n">
        <v>5</v>
      </c>
    </row>
    <row r="1595" customFormat="false" ht="15" hidden="false" customHeight="false" outlineLevel="0" collapsed="false">
      <c r="A1595" s="7" t="s">
        <v>5095</v>
      </c>
      <c r="B1595" s="10" t="n">
        <v>45869</v>
      </c>
      <c r="C1595" s="7" t="s">
        <v>1023</v>
      </c>
      <c r="D1595" s="7" t="s">
        <v>5096</v>
      </c>
      <c r="E1595" s="7" t="s">
        <v>163</v>
      </c>
      <c r="F1595" s="7" t="s">
        <v>141</v>
      </c>
      <c r="G1595" s="7" t="s">
        <v>99</v>
      </c>
      <c r="H1595" s="7" t="n">
        <v>2</v>
      </c>
      <c r="I1595" s="11" t="n">
        <v>255</v>
      </c>
      <c r="J1595" s="11" t="n">
        <v>0</v>
      </c>
      <c r="K1595" s="11" t="n">
        <f aca="false">H1595*I1595-J1595</f>
        <v>510</v>
      </c>
      <c r="L1595" s="7" t="s">
        <v>88</v>
      </c>
      <c r="M1595" s="7" t="s">
        <v>194</v>
      </c>
      <c r="N1595" s="7" t="n">
        <v>34</v>
      </c>
      <c r="O1595" s="7" t="n">
        <v>4</v>
      </c>
    </row>
    <row r="1596" customFormat="false" ht="15" hidden="false" customHeight="false" outlineLevel="0" collapsed="false">
      <c r="A1596" s="7" t="s">
        <v>5245</v>
      </c>
      <c r="B1596" s="10" t="n">
        <v>45869</v>
      </c>
      <c r="C1596" s="7" t="s">
        <v>1692</v>
      </c>
      <c r="D1596" s="7" t="s">
        <v>2139</v>
      </c>
      <c r="E1596" s="7" t="s">
        <v>130</v>
      </c>
      <c r="F1596" s="7" t="s">
        <v>110</v>
      </c>
      <c r="G1596" s="7" t="s">
        <v>90</v>
      </c>
      <c r="H1596" s="7" t="n">
        <v>1</v>
      </c>
      <c r="I1596" s="11" t="n">
        <v>255</v>
      </c>
      <c r="J1596" s="11" t="n">
        <v>50</v>
      </c>
      <c r="K1596" s="11" t="n">
        <f aca="false">H1596*I1596-J1596</f>
        <v>205</v>
      </c>
      <c r="L1596" s="7" t="s">
        <v>88</v>
      </c>
      <c r="M1596" s="7" t="s">
        <v>194</v>
      </c>
      <c r="N1596" s="7" t="n">
        <v>29</v>
      </c>
      <c r="O1596" s="7" t="n">
        <v>5</v>
      </c>
    </row>
    <row r="1597" customFormat="false" ht="15" hidden="false" customHeight="false" outlineLevel="0" collapsed="false">
      <c r="A1597" s="7" t="s">
        <v>2671</v>
      </c>
      <c r="B1597" s="10" t="n">
        <v>45869</v>
      </c>
      <c r="C1597" s="7" t="s">
        <v>2672</v>
      </c>
      <c r="D1597" s="7" t="s">
        <v>1115</v>
      </c>
      <c r="E1597" s="7" t="s">
        <v>130</v>
      </c>
      <c r="F1597" s="7" t="s">
        <v>110</v>
      </c>
      <c r="G1597" s="7" t="s">
        <v>90</v>
      </c>
      <c r="H1597" s="7" t="n">
        <v>2</v>
      </c>
      <c r="I1597" s="11" t="n">
        <v>250</v>
      </c>
      <c r="J1597" s="11" t="n">
        <v>50</v>
      </c>
      <c r="K1597" s="11" t="n">
        <f aca="false">H1597*I1597-J1597</f>
        <v>450</v>
      </c>
      <c r="L1597" s="7" t="s">
        <v>88</v>
      </c>
      <c r="M1597" s="7" t="s">
        <v>194</v>
      </c>
      <c r="N1597" s="7" t="n">
        <v>45</v>
      </c>
      <c r="O1597" s="7" t="n">
        <v>5</v>
      </c>
    </row>
    <row r="1598" customFormat="false" ht="15" hidden="false" customHeight="false" outlineLevel="0" collapsed="false">
      <c r="A1598" s="7" t="s">
        <v>3648</v>
      </c>
      <c r="B1598" s="10" t="n">
        <v>45869</v>
      </c>
      <c r="C1598" s="7" t="s">
        <v>2048</v>
      </c>
      <c r="D1598" s="7" t="s">
        <v>2589</v>
      </c>
      <c r="E1598" s="7" t="s">
        <v>98</v>
      </c>
      <c r="F1598" s="7" t="s">
        <v>86</v>
      </c>
      <c r="G1598" s="7" t="s">
        <v>99</v>
      </c>
      <c r="H1598" s="7" t="n">
        <v>1</v>
      </c>
      <c r="I1598" s="11" t="n">
        <v>210</v>
      </c>
      <c r="J1598" s="11" t="n">
        <v>0</v>
      </c>
      <c r="K1598" s="11" t="n">
        <f aca="false">H1598*I1598-J1598</f>
        <v>210</v>
      </c>
      <c r="L1598" s="7" t="s">
        <v>88</v>
      </c>
      <c r="M1598" s="7" t="s">
        <v>194</v>
      </c>
      <c r="N1598" s="7" t="n">
        <v>35</v>
      </c>
      <c r="O1598" s="7" t="n">
        <v>4</v>
      </c>
    </row>
    <row r="1599" customFormat="false" ht="15" hidden="false" customHeight="false" outlineLevel="0" collapsed="false">
      <c r="A1599" s="7" t="s">
        <v>3546</v>
      </c>
      <c r="B1599" s="10" t="n">
        <v>45869</v>
      </c>
      <c r="C1599" s="7" t="s">
        <v>3547</v>
      </c>
      <c r="D1599" s="7" t="s">
        <v>725</v>
      </c>
      <c r="E1599" s="7" t="s">
        <v>149</v>
      </c>
      <c r="F1599" s="7" t="s">
        <v>119</v>
      </c>
      <c r="G1599" s="7" t="s">
        <v>150</v>
      </c>
      <c r="H1599" s="7" t="n">
        <v>2</v>
      </c>
      <c r="I1599" s="11" t="n">
        <v>165</v>
      </c>
      <c r="J1599" s="11" t="n">
        <v>0</v>
      </c>
      <c r="K1599" s="11" t="n">
        <f aca="false">H1599*I1599-J1599</f>
        <v>330</v>
      </c>
      <c r="L1599" s="7" t="s">
        <v>112</v>
      </c>
      <c r="M1599" s="7" t="s">
        <v>194</v>
      </c>
      <c r="N1599" s="7" t="n">
        <v>35</v>
      </c>
      <c r="O1599" s="7" t="n">
        <v>4</v>
      </c>
    </row>
    <row r="1600" customFormat="false" ht="15" hidden="false" customHeight="false" outlineLevel="0" collapsed="false">
      <c r="A1600" s="7" t="s">
        <v>1515</v>
      </c>
      <c r="B1600" s="10" t="n">
        <v>45869</v>
      </c>
      <c r="C1600" s="7" t="s">
        <v>1517</v>
      </c>
      <c r="D1600" s="7" t="s">
        <v>1518</v>
      </c>
      <c r="E1600" s="7" t="s">
        <v>104</v>
      </c>
      <c r="F1600" s="7" t="s">
        <v>86</v>
      </c>
      <c r="G1600" s="7" t="s">
        <v>105</v>
      </c>
      <c r="H1600" s="7" t="n">
        <v>2</v>
      </c>
      <c r="I1600" s="11" t="n">
        <v>175</v>
      </c>
      <c r="J1600" s="11" t="n">
        <v>140</v>
      </c>
      <c r="K1600" s="11" t="n">
        <f aca="false">H1600*I1600-J1600</f>
        <v>210</v>
      </c>
      <c r="L1600" s="7" t="s">
        <v>88</v>
      </c>
      <c r="M1600" s="7" t="s">
        <v>194</v>
      </c>
      <c r="N1600" s="7" t="n">
        <v>47</v>
      </c>
      <c r="O1600" s="7" t="n">
        <v>5</v>
      </c>
    </row>
    <row r="1601" customFormat="false" ht="15" hidden="false" customHeight="false" outlineLevel="0" collapsed="false">
      <c r="A1601" s="7" t="s">
        <v>5839</v>
      </c>
      <c r="B1601" s="10" t="n">
        <v>45870</v>
      </c>
      <c r="C1601" s="7" t="s">
        <v>3632</v>
      </c>
      <c r="D1601" s="7" t="s">
        <v>206</v>
      </c>
      <c r="E1601" s="7" t="s">
        <v>147</v>
      </c>
      <c r="F1601" s="7" t="s">
        <v>119</v>
      </c>
      <c r="G1601" s="7" t="s">
        <v>95</v>
      </c>
      <c r="H1601" s="7" t="n">
        <v>2</v>
      </c>
      <c r="I1601" s="11" t="n">
        <v>145</v>
      </c>
      <c r="J1601" s="11" t="n">
        <v>0</v>
      </c>
      <c r="K1601" s="11" t="n">
        <f aca="false">H1601*I1601-J1601</f>
        <v>290</v>
      </c>
      <c r="L1601" s="7" t="s">
        <v>112</v>
      </c>
      <c r="M1601" s="7" t="s">
        <v>194</v>
      </c>
      <c r="N1601" s="7" t="n">
        <v>37</v>
      </c>
      <c r="O1601" s="7" t="n">
        <v>4</v>
      </c>
    </row>
    <row r="1602" customFormat="false" ht="15" hidden="false" customHeight="false" outlineLevel="0" collapsed="false">
      <c r="A1602" s="7" t="s">
        <v>2427</v>
      </c>
      <c r="B1602" s="10" t="n">
        <v>45870</v>
      </c>
      <c r="C1602" s="7" t="s">
        <v>2125</v>
      </c>
      <c r="D1602" s="7" t="s">
        <v>2429</v>
      </c>
      <c r="E1602" s="7" t="s">
        <v>152</v>
      </c>
      <c r="F1602" s="7" t="s">
        <v>128</v>
      </c>
      <c r="G1602" s="7" t="s">
        <v>95</v>
      </c>
      <c r="H1602" s="7" t="n">
        <v>1</v>
      </c>
      <c r="I1602" s="11" t="n">
        <v>105</v>
      </c>
      <c r="J1602" s="11" t="n">
        <v>0</v>
      </c>
      <c r="K1602" s="11" t="n">
        <f aca="false">H1602*I1602-J1602</f>
        <v>105</v>
      </c>
      <c r="L1602" s="7" t="s">
        <v>121</v>
      </c>
      <c r="M1602" s="7" t="s">
        <v>194</v>
      </c>
      <c r="N1602" s="7" t="n">
        <v>34</v>
      </c>
      <c r="O1602" s="7" t="n">
        <v>4</v>
      </c>
    </row>
    <row r="1603" customFormat="false" ht="15" hidden="false" customHeight="false" outlineLevel="0" collapsed="false">
      <c r="A1603" s="7" t="s">
        <v>3900</v>
      </c>
      <c r="B1603" s="10" t="n">
        <v>45870</v>
      </c>
      <c r="C1603" s="7" t="s">
        <v>1664</v>
      </c>
      <c r="D1603" s="7" t="s">
        <v>374</v>
      </c>
      <c r="E1603" s="7" t="s">
        <v>154</v>
      </c>
      <c r="F1603" s="7" t="s">
        <v>128</v>
      </c>
      <c r="G1603" s="7" t="s">
        <v>99</v>
      </c>
      <c r="H1603" s="7" t="n">
        <v>5</v>
      </c>
      <c r="I1603" s="11" t="n">
        <v>285</v>
      </c>
      <c r="J1603" s="11" t="n">
        <v>75</v>
      </c>
      <c r="K1603" s="11" t="n">
        <f aca="false">H1603*I1603-J1603</f>
        <v>1350</v>
      </c>
      <c r="L1603" s="7" t="s">
        <v>88</v>
      </c>
      <c r="M1603" s="7" t="s">
        <v>194</v>
      </c>
      <c r="N1603" s="7" t="n">
        <v>18</v>
      </c>
      <c r="O1603" s="7" t="n">
        <v>5</v>
      </c>
    </row>
    <row r="1604" customFormat="false" ht="15" hidden="false" customHeight="false" outlineLevel="0" collapsed="false">
      <c r="A1604" s="7" t="s">
        <v>4870</v>
      </c>
      <c r="B1604" s="10" t="n">
        <v>45870</v>
      </c>
      <c r="C1604" s="7" t="s">
        <v>927</v>
      </c>
      <c r="D1604" s="7" t="s">
        <v>4871</v>
      </c>
      <c r="E1604" s="7" t="s">
        <v>138</v>
      </c>
      <c r="F1604" s="7" t="s">
        <v>110</v>
      </c>
      <c r="G1604" s="7" t="s">
        <v>139</v>
      </c>
      <c r="H1604" s="7" t="n">
        <v>2</v>
      </c>
      <c r="I1604" s="11" t="n">
        <v>190</v>
      </c>
      <c r="J1604" s="11" t="n">
        <v>0</v>
      </c>
      <c r="K1604" s="11" t="n">
        <f aca="false">H1604*I1604-J1604</f>
        <v>380</v>
      </c>
      <c r="L1604" s="7" t="s">
        <v>88</v>
      </c>
      <c r="M1604" s="7" t="s">
        <v>194</v>
      </c>
      <c r="N1604" s="7" t="n">
        <v>34</v>
      </c>
      <c r="O1604" s="7" t="n">
        <v>4</v>
      </c>
    </row>
    <row r="1605" customFormat="false" ht="15" hidden="false" customHeight="false" outlineLevel="0" collapsed="false">
      <c r="A1605" s="7" t="s">
        <v>4091</v>
      </c>
      <c r="B1605" s="10" t="n">
        <v>45870</v>
      </c>
      <c r="C1605" s="7" t="s">
        <v>4092</v>
      </c>
      <c r="D1605" s="7" t="s">
        <v>4093</v>
      </c>
      <c r="E1605" s="7" t="s">
        <v>126</v>
      </c>
      <c r="F1605" s="7" t="s">
        <v>101</v>
      </c>
      <c r="G1605" s="7" t="s">
        <v>105</v>
      </c>
      <c r="H1605" s="7" t="n">
        <v>3</v>
      </c>
      <c r="I1605" s="11" t="n">
        <v>230</v>
      </c>
      <c r="J1605" s="11" t="n">
        <v>0</v>
      </c>
      <c r="K1605" s="11" t="n">
        <f aca="false">H1605*I1605-J1605</f>
        <v>690</v>
      </c>
      <c r="L1605" s="7" t="s">
        <v>93</v>
      </c>
      <c r="M1605" s="7" t="s">
        <v>194</v>
      </c>
      <c r="N1605" s="7" t="n">
        <v>30</v>
      </c>
      <c r="O1605" s="7" t="n">
        <v>4</v>
      </c>
    </row>
    <row r="1606" customFormat="false" ht="15" hidden="false" customHeight="false" outlineLevel="0" collapsed="false">
      <c r="A1606" s="7" t="s">
        <v>1436</v>
      </c>
      <c r="B1606" s="10" t="n">
        <v>45871</v>
      </c>
      <c r="C1606" s="7" t="s">
        <v>1438</v>
      </c>
      <c r="D1606" s="7" t="s">
        <v>1059</v>
      </c>
      <c r="E1606" s="7" t="s">
        <v>168</v>
      </c>
      <c r="F1606" s="7" t="s">
        <v>146</v>
      </c>
      <c r="G1606" s="7" t="s">
        <v>123</v>
      </c>
      <c r="H1606" s="7" t="n">
        <v>5</v>
      </c>
      <c r="I1606" s="11" t="n">
        <v>350</v>
      </c>
      <c r="J1606" s="11" t="n">
        <v>40</v>
      </c>
      <c r="K1606" s="11" t="n">
        <f aca="false">H1606*I1606-J1606</f>
        <v>1710</v>
      </c>
      <c r="L1606" s="7" t="s">
        <v>88</v>
      </c>
      <c r="M1606" s="7" t="s">
        <v>194</v>
      </c>
      <c r="N1606" s="7" t="n">
        <v>22</v>
      </c>
      <c r="O1606" s="7" t="n">
        <v>5</v>
      </c>
    </row>
    <row r="1607" customFormat="false" ht="15" hidden="false" customHeight="false" outlineLevel="0" collapsed="false">
      <c r="A1607" s="7" t="s">
        <v>4504</v>
      </c>
      <c r="B1607" s="10" t="n">
        <v>45871</v>
      </c>
      <c r="C1607" s="7" t="s">
        <v>3566</v>
      </c>
      <c r="D1607" s="7" t="s">
        <v>4064</v>
      </c>
      <c r="E1607" s="7" t="s">
        <v>126</v>
      </c>
      <c r="F1607" s="7" t="s">
        <v>101</v>
      </c>
      <c r="G1607" s="7" t="s">
        <v>105</v>
      </c>
      <c r="H1607" s="7" t="n">
        <v>2</v>
      </c>
      <c r="I1607" s="11" t="n">
        <v>220</v>
      </c>
      <c r="J1607" s="11" t="n">
        <v>150</v>
      </c>
      <c r="K1607" s="11" t="n">
        <f aca="false">H1607*I1607-J1607</f>
        <v>290</v>
      </c>
      <c r="L1607" s="7" t="s">
        <v>121</v>
      </c>
      <c r="M1607" s="7" t="s">
        <v>194</v>
      </c>
      <c r="N1607" s="7" t="n">
        <v>53</v>
      </c>
      <c r="O1607" s="7" t="n">
        <v>4</v>
      </c>
    </row>
    <row r="1608" customFormat="false" ht="15" hidden="false" customHeight="false" outlineLevel="0" collapsed="false">
      <c r="A1608" s="7" t="s">
        <v>5368</v>
      </c>
      <c r="B1608" s="10" t="n">
        <v>45871</v>
      </c>
      <c r="C1608" s="7" t="s">
        <v>1795</v>
      </c>
      <c r="D1608" s="7" t="s">
        <v>1796</v>
      </c>
      <c r="E1608" s="7" t="s">
        <v>116</v>
      </c>
      <c r="F1608" s="7" t="s">
        <v>101</v>
      </c>
      <c r="G1608" s="7" t="s">
        <v>117</v>
      </c>
      <c r="H1608" s="7" t="n">
        <v>1</v>
      </c>
      <c r="I1608" s="11" t="n">
        <v>165</v>
      </c>
      <c r="J1608" s="11" t="n">
        <v>40</v>
      </c>
      <c r="K1608" s="11" t="n">
        <f aca="false">H1608*I1608-J1608</f>
        <v>125</v>
      </c>
      <c r="L1608" s="7" t="s">
        <v>93</v>
      </c>
      <c r="M1608" s="7" t="s">
        <v>194</v>
      </c>
      <c r="N1608" s="7" t="n">
        <v>50</v>
      </c>
      <c r="O1608" s="7" t="n">
        <v>3</v>
      </c>
    </row>
    <row r="1609" customFormat="false" ht="15" hidden="false" customHeight="false" outlineLevel="0" collapsed="false">
      <c r="A1609" s="7" t="s">
        <v>5703</v>
      </c>
      <c r="B1609" s="10" t="n">
        <v>45871</v>
      </c>
      <c r="C1609" s="7" t="s">
        <v>2923</v>
      </c>
      <c r="D1609" s="7" t="s">
        <v>3974</v>
      </c>
      <c r="E1609" s="7" t="s">
        <v>89</v>
      </c>
      <c r="F1609" s="7" t="s">
        <v>86</v>
      </c>
      <c r="G1609" s="7" t="s">
        <v>90</v>
      </c>
      <c r="H1609" s="7" t="n">
        <v>2</v>
      </c>
      <c r="I1609" s="11" t="n">
        <v>210</v>
      </c>
      <c r="J1609" s="11" t="n">
        <v>0</v>
      </c>
      <c r="K1609" s="11" t="n">
        <f aca="false">H1609*I1609-J1609</f>
        <v>420</v>
      </c>
      <c r="L1609" s="7" t="s">
        <v>93</v>
      </c>
      <c r="M1609" s="7" t="s">
        <v>194</v>
      </c>
      <c r="N1609" s="7" t="n">
        <v>38</v>
      </c>
      <c r="O1609" s="7" t="n">
        <v>5</v>
      </c>
    </row>
    <row r="1610" customFormat="false" ht="15" hidden="false" customHeight="false" outlineLevel="0" collapsed="false">
      <c r="A1610" s="7" t="s">
        <v>6160</v>
      </c>
      <c r="B1610" s="10" t="n">
        <v>45871</v>
      </c>
      <c r="C1610" s="7" t="s">
        <v>4225</v>
      </c>
      <c r="D1610" s="7" t="s">
        <v>2509</v>
      </c>
      <c r="E1610" s="7" t="s">
        <v>116</v>
      </c>
      <c r="F1610" s="7" t="s">
        <v>101</v>
      </c>
      <c r="G1610" s="7" t="s">
        <v>117</v>
      </c>
      <c r="H1610" s="7" t="n">
        <v>3</v>
      </c>
      <c r="I1610" s="11" t="n">
        <v>125</v>
      </c>
      <c r="J1610" s="11" t="n">
        <v>20</v>
      </c>
      <c r="K1610" s="11" t="n">
        <f aca="false">H1610*I1610-J1610</f>
        <v>355</v>
      </c>
      <c r="L1610" s="7" t="s">
        <v>103</v>
      </c>
      <c r="M1610" s="7" t="s">
        <v>194</v>
      </c>
      <c r="N1610" s="7" t="n">
        <v>46</v>
      </c>
      <c r="O1610" s="7"/>
    </row>
    <row r="1611" customFormat="false" ht="15" hidden="false" customHeight="false" outlineLevel="0" collapsed="false">
      <c r="A1611" s="7" t="s">
        <v>5054</v>
      </c>
      <c r="B1611" s="10" t="n">
        <v>45871</v>
      </c>
      <c r="C1611" s="7" t="s">
        <v>4346</v>
      </c>
      <c r="D1611" s="7" t="s">
        <v>3840</v>
      </c>
      <c r="E1611" s="7" t="s">
        <v>122</v>
      </c>
      <c r="F1611" s="7" t="s">
        <v>101</v>
      </c>
      <c r="G1611" s="7" t="s">
        <v>123</v>
      </c>
      <c r="H1611" s="7" t="n">
        <v>2</v>
      </c>
      <c r="I1611" s="11" t="n">
        <v>370</v>
      </c>
      <c r="J1611" s="11" t="n">
        <v>0</v>
      </c>
      <c r="K1611" s="11" t="n">
        <f aca="false">H1611*I1611-J1611</f>
        <v>740</v>
      </c>
      <c r="L1611" s="7" t="s">
        <v>88</v>
      </c>
      <c r="M1611" s="7" t="s">
        <v>194</v>
      </c>
      <c r="N1611" s="7" t="n">
        <v>43</v>
      </c>
      <c r="O1611" s="7" t="n">
        <v>4</v>
      </c>
    </row>
    <row r="1612" customFormat="false" ht="15" hidden="false" customHeight="false" outlineLevel="0" collapsed="false">
      <c r="A1612" s="7" t="s">
        <v>5993</v>
      </c>
      <c r="B1612" s="10" t="n">
        <v>45871</v>
      </c>
      <c r="C1612" s="7" t="s">
        <v>5809</v>
      </c>
      <c r="D1612" s="7" t="s">
        <v>552</v>
      </c>
      <c r="E1612" s="7" t="s">
        <v>122</v>
      </c>
      <c r="F1612" s="7" t="s">
        <v>101</v>
      </c>
      <c r="G1612" s="7" t="s">
        <v>123</v>
      </c>
      <c r="H1612" s="7" t="n">
        <v>2</v>
      </c>
      <c r="I1612" s="11" t="n">
        <v>270</v>
      </c>
      <c r="J1612" s="11" t="n">
        <v>0</v>
      </c>
      <c r="K1612" s="11" t="n">
        <f aca="false">H1612*I1612-J1612</f>
        <v>540</v>
      </c>
      <c r="L1612" s="7" t="s">
        <v>93</v>
      </c>
      <c r="M1612" s="7" t="s">
        <v>194</v>
      </c>
      <c r="N1612" s="7" t="n">
        <v>48</v>
      </c>
      <c r="O1612" s="7" t="n">
        <v>2</v>
      </c>
    </row>
    <row r="1613" customFormat="false" ht="15" hidden="false" customHeight="false" outlineLevel="0" collapsed="false">
      <c r="A1613" s="7" t="s">
        <v>2895</v>
      </c>
      <c r="B1613" s="10" t="n">
        <v>45871</v>
      </c>
      <c r="C1613" s="7" t="s">
        <v>2337</v>
      </c>
      <c r="D1613" s="7" t="s">
        <v>2896</v>
      </c>
      <c r="E1613" s="7" t="s">
        <v>160</v>
      </c>
      <c r="F1613" s="7" t="s">
        <v>136</v>
      </c>
      <c r="G1613" s="7" t="s">
        <v>150</v>
      </c>
      <c r="H1613" s="7" t="n">
        <v>3</v>
      </c>
      <c r="I1613" s="11" t="n">
        <v>185</v>
      </c>
      <c r="J1613" s="11" t="n">
        <v>0</v>
      </c>
      <c r="K1613" s="11" t="n">
        <f aca="false">H1613*I1613-J1613</f>
        <v>555</v>
      </c>
      <c r="L1613" s="7" t="s">
        <v>103</v>
      </c>
      <c r="M1613" s="7" t="s">
        <v>194</v>
      </c>
      <c r="N1613" s="7" t="n">
        <v>30</v>
      </c>
      <c r="O1613" s="7" t="n">
        <v>4</v>
      </c>
    </row>
    <row r="1614" customFormat="false" ht="15" hidden="false" customHeight="false" outlineLevel="0" collapsed="false">
      <c r="A1614" s="7" t="s">
        <v>2551</v>
      </c>
      <c r="B1614" s="10" t="n">
        <v>45872</v>
      </c>
      <c r="C1614" s="7" t="s">
        <v>2552</v>
      </c>
      <c r="D1614" s="7" t="s">
        <v>2334</v>
      </c>
      <c r="E1614" s="7" t="s">
        <v>134</v>
      </c>
      <c r="F1614" s="7" t="s">
        <v>110</v>
      </c>
      <c r="G1614" s="7" t="s">
        <v>117</v>
      </c>
      <c r="H1614" s="7" t="n">
        <v>3</v>
      </c>
      <c r="I1614" s="11" t="n">
        <v>100</v>
      </c>
      <c r="J1614" s="11" t="n">
        <v>0</v>
      </c>
      <c r="K1614" s="11" t="n">
        <f aca="false">H1614*I1614-J1614</f>
        <v>300</v>
      </c>
      <c r="L1614" s="7" t="s">
        <v>88</v>
      </c>
      <c r="M1614" s="7" t="s">
        <v>194</v>
      </c>
      <c r="N1614" s="7" t="n">
        <v>37</v>
      </c>
      <c r="O1614" s="7"/>
    </row>
    <row r="1615" customFormat="false" ht="15" hidden="false" customHeight="false" outlineLevel="0" collapsed="false">
      <c r="A1615" s="7" t="s">
        <v>3777</v>
      </c>
      <c r="B1615" s="10" t="n">
        <v>45872</v>
      </c>
      <c r="C1615" s="7" t="s">
        <v>846</v>
      </c>
      <c r="D1615" s="7" t="s">
        <v>2134</v>
      </c>
      <c r="E1615" s="7" t="s">
        <v>134</v>
      </c>
      <c r="F1615" s="7" t="s">
        <v>110</v>
      </c>
      <c r="G1615" s="7" t="s">
        <v>117</v>
      </c>
      <c r="H1615" s="7" t="n">
        <v>2</v>
      </c>
      <c r="I1615" s="11" t="n">
        <v>110</v>
      </c>
      <c r="J1615" s="11" t="n">
        <v>30</v>
      </c>
      <c r="K1615" s="11" t="n">
        <f aca="false">H1615*I1615-J1615</f>
        <v>190</v>
      </c>
      <c r="L1615" s="7" t="s">
        <v>88</v>
      </c>
      <c r="M1615" s="7" t="s">
        <v>194</v>
      </c>
      <c r="N1615" s="7" t="n">
        <v>29</v>
      </c>
      <c r="O1615" s="7" t="n">
        <v>5</v>
      </c>
    </row>
    <row r="1616" customFormat="false" ht="15" hidden="false" customHeight="false" outlineLevel="0" collapsed="false">
      <c r="A1616" s="7" t="s">
        <v>4733</v>
      </c>
      <c r="B1616" s="10" t="n">
        <v>45872</v>
      </c>
      <c r="C1616" s="7" t="s">
        <v>2978</v>
      </c>
      <c r="D1616" s="7" t="s">
        <v>302</v>
      </c>
      <c r="E1616" s="7" t="s">
        <v>122</v>
      </c>
      <c r="F1616" s="7" t="s">
        <v>101</v>
      </c>
      <c r="G1616" s="7" t="s">
        <v>123</v>
      </c>
      <c r="H1616" s="7" t="n">
        <v>2</v>
      </c>
      <c r="I1616" s="11" t="n">
        <v>255</v>
      </c>
      <c r="J1616" s="11" t="n">
        <v>100</v>
      </c>
      <c r="K1616" s="11" t="n">
        <f aca="false">H1616*I1616-J1616</f>
        <v>410</v>
      </c>
      <c r="L1616" s="7" t="s">
        <v>112</v>
      </c>
      <c r="M1616" s="7" t="s">
        <v>194</v>
      </c>
      <c r="N1616" s="7" t="n">
        <v>50</v>
      </c>
      <c r="O1616" s="7" t="n">
        <v>4</v>
      </c>
    </row>
    <row r="1617" customFormat="false" ht="15" hidden="false" customHeight="false" outlineLevel="0" collapsed="false">
      <c r="A1617" s="7" t="s">
        <v>4338</v>
      </c>
      <c r="B1617" s="10" t="n">
        <v>45872</v>
      </c>
      <c r="C1617" s="7" t="s">
        <v>1708</v>
      </c>
      <c r="D1617" s="7" t="s">
        <v>4339</v>
      </c>
      <c r="E1617" s="7" t="s">
        <v>165</v>
      </c>
      <c r="F1617" s="7" t="s">
        <v>146</v>
      </c>
      <c r="G1617" s="7" t="s">
        <v>90</v>
      </c>
      <c r="H1617" s="7" t="n">
        <v>2</v>
      </c>
      <c r="I1617" s="11" t="n">
        <v>250</v>
      </c>
      <c r="J1617" s="11" t="n">
        <v>150</v>
      </c>
      <c r="K1617" s="11" t="n">
        <f aca="false">H1617*I1617-J1617</f>
        <v>350</v>
      </c>
      <c r="L1617" s="7" t="s">
        <v>112</v>
      </c>
      <c r="M1617" s="7" t="s">
        <v>194</v>
      </c>
      <c r="N1617" s="7" t="n">
        <v>30</v>
      </c>
      <c r="O1617" s="7" t="n">
        <v>5</v>
      </c>
    </row>
    <row r="1618" customFormat="false" ht="15" hidden="false" customHeight="false" outlineLevel="0" collapsed="false">
      <c r="A1618" s="7" t="s">
        <v>2555</v>
      </c>
      <c r="B1618" s="10" t="n">
        <v>45872</v>
      </c>
      <c r="C1618" s="7" t="s">
        <v>2033</v>
      </c>
      <c r="D1618" s="7" t="s">
        <v>2556</v>
      </c>
      <c r="E1618" s="7" t="s">
        <v>134</v>
      </c>
      <c r="F1618" s="7" t="s">
        <v>110</v>
      </c>
      <c r="G1618" s="7" t="s">
        <v>117</v>
      </c>
      <c r="H1618" s="7" t="n">
        <v>4</v>
      </c>
      <c r="I1618" s="11" t="n">
        <v>140</v>
      </c>
      <c r="J1618" s="11" t="n">
        <v>0</v>
      </c>
      <c r="K1618" s="11" t="n">
        <f aca="false">H1618*I1618-J1618</f>
        <v>560</v>
      </c>
      <c r="L1618" s="7" t="s">
        <v>112</v>
      </c>
      <c r="M1618" s="7" t="s">
        <v>194</v>
      </c>
      <c r="N1618" s="7" t="n">
        <v>44</v>
      </c>
      <c r="O1618" s="7" t="n">
        <v>5</v>
      </c>
    </row>
    <row r="1619" customFormat="false" ht="15" hidden="false" customHeight="false" outlineLevel="0" collapsed="false">
      <c r="A1619" s="7" t="s">
        <v>5099</v>
      </c>
      <c r="B1619" s="10" t="n">
        <v>45872</v>
      </c>
      <c r="C1619" s="7" t="s">
        <v>1066</v>
      </c>
      <c r="D1619" s="7" t="s">
        <v>922</v>
      </c>
      <c r="E1619" s="7" t="s">
        <v>160</v>
      </c>
      <c r="F1619" s="7" t="s">
        <v>136</v>
      </c>
      <c r="G1619" s="7" t="s">
        <v>150</v>
      </c>
      <c r="H1619" s="7" t="n">
        <v>1</v>
      </c>
      <c r="I1619" s="11" t="n">
        <v>175</v>
      </c>
      <c r="J1619" s="11" t="n">
        <v>0</v>
      </c>
      <c r="K1619" s="11" t="n">
        <f aca="false">H1619*I1619-J1619</f>
        <v>175</v>
      </c>
      <c r="L1619" s="7" t="s">
        <v>88</v>
      </c>
      <c r="M1619" s="7" t="s">
        <v>238</v>
      </c>
      <c r="N1619" s="7"/>
      <c r="O1619" s="7"/>
    </row>
    <row r="1620" customFormat="false" ht="15" hidden="false" customHeight="false" outlineLevel="0" collapsed="false">
      <c r="A1620" s="7" t="s">
        <v>2751</v>
      </c>
      <c r="B1620" s="10" t="n">
        <v>45872</v>
      </c>
      <c r="C1620" s="7" t="s">
        <v>268</v>
      </c>
      <c r="D1620" s="7" t="s">
        <v>2532</v>
      </c>
      <c r="E1620" s="7" t="s">
        <v>130</v>
      </c>
      <c r="F1620" s="7" t="s">
        <v>110</v>
      </c>
      <c r="G1620" s="7" t="s">
        <v>90</v>
      </c>
      <c r="H1620" s="7" t="n">
        <v>2</v>
      </c>
      <c r="I1620" s="11" t="n">
        <v>240</v>
      </c>
      <c r="J1620" s="11" t="n">
        <v>20</v>
      </c>
      <c r="K1620" s="11" t="n">
        <f aca="false">H1620*I1620-J1620</f>
        <v>460</v>
      </c>
      <c r="L1620" s="7" t="s">
        <v>112</v>
      </c>
      <c r="M1620" s="7" t="s">
        <v>194</v>
      </c>
      <c r="N1620" s="7" t="n">
        <v>47</v>
      </c>
      <c r="O1620" s="7" t="n">
        <v>3</v>
      </c>
    </row>
    <row r="1621" customFormat="false" ht="15" hidden="false" customHeight="false" outlineLevel="0" collapsed="false">
      <c r="A1621" s="7" t="s">
        <v>1882</v>
      </c>
      <c r="B1621" s="10" t="n">
        <v>45872</v>
      </c>
      <c r="C1621" s="7" t="s">
        <v>1336</v>
      </c>
      <c r="D1621" s="7" t="s">
        <v>867</v>
      </c>
      <c r="E1621" s="7" t="s">
        <v>126</v>
      </c>
      <c r="F1621" s="7" t="s">
        <v>101</v>
      </c>
      <c r="G1621" s="7" t="s">
        <v>105</v>
      </c>
      <c r="H1621" s="7" t="n">
        <v>4</v>
      </c>
      <c r="I1621" s="11" t="n">
        <v>240</v>
      </c>
      <c r="J1621" s="11" t="n">
        <v>20</v>
      </c>
      <c r="K1621" s="11" t="n">
        <f aca="false">H1621*I1621-J1621</f>
        <v>940</v>
      </c>
      <c r="L1621" s="7" t="s">
        <v>88</v>
      </c>
      <c r="M1621" s="7" t="s">
        <v>194</v>
      </c>
      <c r="N1621" s="7" t="n">
        <v>39</v>
      </c>
      <c r="O1621" s="7"/>
    </row>
    <row r="1622" customFormat="false" ht="15" hidden="false" customHeight="false" outlineLevel="0" collapsed="false">
      <c r="A1622" s="7" t="s">
        <v>3495</v>
      </c>
      <c r="B1622" s="10" t="n">
        <v>45873</v>
      </c>
      <c r="C1622" s="7" t="s">
        <v>3496</v>
      </c>
      <c r="D1622" s="7" t="s">
        <v>2577</v>
      </c>
      <c r="E1622" s="7" t="s">
        <v>116</v>
      </c>
      <c r="F1622" s="7" t="s">
        <v>101</v>
      </c>
      <c r="G1622" s="7" t="s">
        <v>117</v>
      </c>
      <c r="H1622" s="7" t="n">
        <v>3</v>
      </c>
      <c r="I1622" s="11" t="n">
        <v>150</v>
      </c>
      <c r="J1622" s="11" t="n">
        <v>0</v>
      </c>
      <c r="K1622" s="11" t="n">
        <f aca="false">H1622*I1622-J1622</f>
        <v>450</v>
      </c>
      <c r="L1622" s="7" t="s">
        <v>88</v>
      </c>
      <c r="M1622" s="7" t="s">
        <v>194</v>
      </c>
      <c r="N1622" s="7" t="n">
        <v>47</v>
      </c>
      <c r="O1622" s="7" t="n">
        <v>5</v>
      </c>
    </row>
    <row r="1623" customFormat="false" ht="15" hidden="false" customHeight="false" outlineLevel="0" collapsed="false">
      <c r="A1623" s="7" t="s">
        <v>5945</v>
      </c>
      <c r="B1623" s="10" t="n">
        <v>45873</v>
      </c>
      <c r="C1623" s="7" t="s">
        <v>5946</v>
      </c>
      <c r="D1623" s="7" t="s">
        <v>5947</v>
      </c>
      <c r="E1623" s="7" t="s">
        <v>147</v>
      </c>
      <c r="F1623" s="7" t="s">
        <v>119</v>
      </c>
      <c r="G1623" s="7" t="s">
        <v>95</v>
      </c>
      <c r="H1623" s="7" t="n">
        <v>3</v>
      </c>
      <c r="I1623" s="11" t="n">
        <v>120</v>
      </c>
      <c r="J1623" s="11" t="n">
        <v>30</v>
      </c>
      <c r="K1623" s="11" t="n">
        <f aca="false">H1623*I1623-J1623</f>
        <v>330</v>
      </c>
      <c r="L1623" s="7" t="s">
        <v>112</v>
      </c>
      <c r="M1623" s="7" t="s">
        <v>194</v>
      </c>
      <c r="N1623" s="7" t="n">
        <v>36</v>
      </c>
      <c r="O1623" s="7"/>
    </row>
    <row r="1624" customFormat="false" ht="15" hidden="false" customHeight="false" outlineLevel="0" collapsed="false">
      <c r="A1624" s="7" t="s">
        <v>2476</v>
      </c>
      <c r="B1624" s="10" t="n">
        <v>45873</v>
      </c>
      <c r="C1624" s="7" t="s">
        <v>1325</v>
      </c>
      <c r="D1624" s="7" t="s">
        <v>2477</v>
      </c>
      <c r="E1624" s="7" t="s">
        <v>98</v>
      </c>
      <c r="F1624" s="7" t="s">
        <v>86</v>
      </c>
      <c r="G1624" s="7" t="s">
        <v>99</v>
      </c>
      <c r="H1624" s="7" t="n">
        <v>1</v>
      </c>
      <c r="I1624" s="11" t="n">
        <v>315</v>
      </c>
      <c r="J1624" s="11" t="n">
        <v>125</v>
      </c>
      <c r="K1624" s="11" t="n">
        <f aca="false">H1624*I1624-J1624</f>
        <v>190</v>
      </c>
      <c r="L1624" s="7" t="s">
        <v>112</v>
      </c>
      <c r="M1624" s="7" t="s">
        <v>194</v>
      </c>
      <c r="N1624" s="7" t="n">
        <v>49</v>
      </c>
      <c r="O1624" s="7" t="n">
        <v>4</v>
      </c>
    </row>
    <row r="1625" customFormat="false" ht="15" hidden="false" customHeight="false" outlineLevel="0" collapsed="false">
      <c r="A1625" s="7" t="s">
        <v>5607</v>
      </c>
      <c r="B1625" s="10" t="n">
        <v>45873</v>
      </c>
      <c r="C1625" s="7" t="s">
        <v>4540</v>
      </c>
      <c r="D1625" s="7" t="s">
        <v>3687</v>
      </c>
      <c r="E1625" s="7" t="s">
        <v>134</v>
      </c>
      <c r="F1625" s="7" t="s">
        <v>110</v>
      </c>
      <c r="G1625" s="7" t="s">
        <v>117</v>
      </c>
      <c r="H1625" s="7" t="n">
        <v>2</v>
      </c>
      <c r="I1625" s="11" t="n">
        <v>105</v>
      </c>
      <c r="J1625" s="11" t="n">
        <v>84</v>
      </c>
      <c r="K1625" s="11" t="n">
        <f aca="false">H1625*I1625-J1625</f>
        <v>126</v>
      </c>
      <c r="L1625" s="7" t="s">
        <v>121</v>
      </c>
      <c r="M1625" s="7" t="s">
        <v>194</v>
      </c>
      <c r="N1625" s="7" t="n">
        <v>29</v>
      </c>
      <c r="O1625" s="7" t="n">
        <v>5</v>
      </c>
    </row>
    <row r="1626" customFormat="false" ht="15" hidden="false" customHeight="false" outlineLevel="0" collapsed="false">
      <c r="A1626" s="7" t="s">
        <v>6072</v>
      </c>
      <c r="B1626" s="10" t="n">
        <v>45873</v>
      </c>
      <c r="C1626" s="7" t="s">
        <v>2033</v>
      </c>
      <c r="D1626" s="7" t="s">
        <v>1093</v>
      </c>
      <c r="E1626" s="7" t="s">
        <v>144</v>
      </c>
      <c r="F1626" s="7" t="s">
        <v>119</v>
      </c>
      <c r="G1626" s="7" t="s">
        <v>99</v>
      </c>
      <c r="H1626" s="7" t="n">
        <v>3</v>
      </c>
      <c r="I1626" s="11" t="n">
        <v>275</v>
      </c>
      <c r="J1626" s="11" t="n">
        <v>150</v>
      </c>
      <c r="K1626" s="11" t="n">
        <f aca="false">H1626*I1626-J1626</f>
        <v>675</v>
      </c>
      <c r="L1626" s="7" t="s">
        <v>88</v>
      </c>
      <c r="M1626" s="7" t="s">
        <v>194</v>
      </c>
      <c r="N1626" s="7" t="n">
        <v>35</v>
      </c>
      <c r="O1626" s="7" t="n">
        <v>3</v>
      </c>
    </row>
    <row r="1627" customFormat="false" ht="15" hidden="false" customHeight="false" outlineLevel="0" collapsed="false">
      <c r="A1627" s="7" t="s">
        <v>4874</v>
      </c>
      <c r="B1627" s="10" t="n">
        <v>45873</v>
      </c>
      <c r="C1627" s="7" t="s">
        <v>2508</v>
      </c>
      <c r="D1627" s="7" t="s">
        <v>4875</v>
      </c>
      <c r="E1627" s="7" t="s">
        <v>116</v>
      </c>
      <c r="F1627" s="7" t="s">
        <v>101</v>
      </c>
      <c r="G1627" s="7" t="s">
        <v>117</v>
      </c>
      <c r="H1627" s="7" t="n">
        <v>2</v>
      </c>
      <c r="I1627" s="11" t="n">
        <v>145</v>
      </c>
      <c r="J1627" s="11" t="n">
        <v>0</v>
      </c>
      <c r="K1627" s="11" t="n">
        <f aca="false">H1627*I1627-J1627</f>
        <v>290</v>
      </c>
      <c r="L1627" s="7" t="s">
        <v>112</v>
      </c>
      <c r="M1627" s="7" t="s">
        <v>194</v>
      </c>
      <c r="N1627" s="7" t="n">
        <v>51</v>
      </c>
      <c r="O1627" s="7" t="n">
        <v>4</v>
      </c>
    </row>
    <row r="1628" customFormat="false" ht="15" hidden="false" customHeight="false" outlineLevel="0" collapsed="false">
      <c r="A1628" s="7" t="s">
        <v>1499</v>
      </c>
      <c r="B1628" s="10" t="n">
        <v>45873</v>
      </c>
      <c r="C1628" s="7" t="s">
        <v>1501</v>
      </c>
      <c r="D1628" s="7" t="s">
        <v>1447</v>
      </c>
      <c r="E1628" s="7" t="s">
        <v>152</v>
      </c>
      <c r="F1628" s="7" t="s">
        <v>128</v>
      </c>
      <c r="G1628" s="7" t="s">
        <v>95</v>
      </c>
      <c r="H1628" s="7" t="n">
        <v>1</v>
      </c>
      <c r="I1628" s="11" t="n">
        <v>120</v>
      </c>
      <c r="J1628" s="11" t="n">
        <v>40</v>
      </c>
      <c r="K1628" s="11" t="n">
        <f aca="false">H1628*I1628-J1628</f>
        <v>80</v>
      </c>
      <c r="L1628" s="7" t="s">
        <v>93</v>
      </c>
      <c r="M1628" s="7" t="s">
        <v>194</v>
      </c>
      <c r="N1628" s="7" t="n">
        <v>41</v>
      </c>
      <c r="O1628" s="7" t="n">
        <v>3</v>
      </c>
    </row>
    <row r="1629" customFormat="false" ht="15" hidden="false" customHeight="false" outlineLevel="0" collapsed="false">
      <c r="A1629" s="7" t="s">
        <v>5845</v>
      </c>
      <c r="B1629" s="10" t="n">
        <v>45874</v>
      </c>
      <c r="C1629" s="7" t="s">
        <v>5846</v>
      </c>
      <c r="D1629" s="7" t="s">
        <v>890</v>
      </c>
      <c r="E1629" s="7" t="s">
        <v>149</v>
      </c>
      <c r="F1629" s="7" t="s">
        <v>119</v>
      </c>
      <c r="G1629" s="7" t="s">
        <v>150</v>
      </c>
      <c r="H1629" s="7" t="n">
        <v>2</v>
      </c>
      <c r="I1629" s="11" t="n">
        <v>165</v>
      </c>
      <c r="J1629" s="11" t="n">
        <v>0</v>
      </c>
      <c r="K1629" s="11" t="n">
        <f aca="false">H1629*I1629-J1629</f>
        <v>330</v>
      </c>
      <c r="L1629" s="7" t="s">
        <v>121</v>
      </c>
      <c r="M1629" s="7" t="s">
        <v>194</v>
      </c>
      <c r="N1629" s="7" t="n">
        <v>31</v>
      </c>
      <c r="O1629" s="7" t="n">
        <v>3</v>
      </c>
    </row>
    <row r="1630" customFormat="false" ht="15" hidden="false" customHeight="false" outlineLevel="0" collapsed="false">
      <c r="A1630" s="7" t="s">
        <v>2867</v>
      </c>
      <c r="B1630" s="10" t="n">
        <v>45874</v>
      </c>
      <c r="C1630" s="7" t="s">
        <v>1091</v>
      </c>
      <c r="D1630" s="7" t="s">
        <v>1952</v>
      </c>
      <c r="E1630" s="7" t="s">
        <v>98</v>
      </c>
      <c r="F1630" s="7" t="s">
        <v>86</v>
      </c>
      <c r="G1630" s="7" t="s">
        <v>99</v>
      </c>
      <c r="H1630" s="7" t="n">
        <v>2</v>
      </c>
      <c r="I1630" s="11" t="n">
        <v>240</v>
      </c>
      <c r="J1630" s="11" t="n">
        <v>100</v>
      </c>
      <c r="K1630" s="11" t="n">
        <f aca="false">H1630*I1630-J1630</f>
        <v>380</v>
      </c>
      <c r="L1630" s="7" t="s">
        <v>88</v>
      </c>
      <c r="M1630" s="7" t="s">
        <v>194</v>
      </c>
      <c r="N1630" s="7" t="n">
        <v>42</v>
      </c>
      <c r="O1630" s="7" t="n">
        <v>5</v>
      </c>
    </row>
    <row r="1631" customFormat="false" ht="15" hidden="false" customHeight="false" outlineLevel="0" collapsed="false">
      <c r="A1631" s="7" t="s">
        <v>5654</v>
      </c>
      <c r="B1631" s="10" t="n">
        <v>45874</v>
      </c>
      <c r="C1631" s="7" t="s">
        <v>2800</v>
      </c>
      <c r="D1631" s="7" t="s">
        <v>1556</v>
      </c>
      <c r="E1631" s="7" t="s">
        <v>116</v>
      </c>
      <c r="F1631" s="7" t="s">
        <v>101</v>
      </c>
      <c r="G1631" s="7" t="s">
        <v>117</v>
      </c>
      <c r="H1631" s="7" t="n">
        <v>2</v>
      </c>
      <c r="I1631" s="11" t="n">
        <v>125</v>
      </c>
      <c r="J1631" s="11" t="n">
        <v>0</v>
      </c>
      <c r="K1631" s="11" t="n">
        <f aca="false">H1631*I1631-J1631</f>
        <v>250</v>
      </c>
      <c r="L1631" s="7" t="s">
        <v>121</v>
      </c>
      <c r="M1631" s="7" t="s">
        <v>194</v>
      </c>
      <c r="N1631" s="7" t="n">
        <v>32</v>
      </c>
      <c r="O1631" s="7" t="n">
        <v>5</v>
      </c>
    </row>
    <row r="1632" customFormat="false" ht="15" hidden="false" customHeight="false" outlineLevel="0" collapsed="false">
      <c r="A1632" s="7" t="s">
        <v>1048</v>
      </c>
      <c r="B1632" s="10" t="n">
        <v>45874</v>
      </c>
      <c r="C1632" s="7" t="s">
        <v>1050</v>
      </c>
      <c r="D1632" s="7" t="s">
        <v>1051</v>
      </c>
      <c r="E1632" s="7" t="s">
        <v>152</v>
      </c>
      <c r="F1632" s="7" t="s">
        <v>128</v>
      </c>
      <c r="G1632" s="7" t="s">
        <v>95</v>
      </c>
      <c r="H1632" s="7" t="n">
        <v>1</v>
      </c>
      <c r="I1632" s="11" t="n">
        <v>100</v>
      </c>
      <c r="J1632" s="11" t="n">
        <v>0</v>
      </c>
      <c r="K1632" s="11" t="n">
        <f aca="false">H1632*I1632-J1632</f>
        <v>100</v>
      </c>
      <c r="L1632" s="7" t="s">
        <v>93</v>
      </c>
      <c r="M1632" s="7" t="s">
        <v>194</v>
      </c>
      <c r="N1632" s="7" t="n">
        <v>42</v>
      </c>
      <c r="O1632" s="7" t="n">
        <v>4</v>
      </c>
    </row>
    <row r="1633" customFormat="false" ht="15" hidden="false" customHeight="false" outlineLevel="0" collapsed="false">
      <c r="A1633" s="7" t="s">
        <v>5862</v>
      </c>
      <c r="B1633" s="10" t="n">
        <v>45874</v>
      </c>
      <c r="C1633" s="7" t="s">
        <v>3400</v>
      </c>
      <c r="D1633" s="7" t="s">
        <v>610</v>
      </c>
      <c r="E1633" s="7" t="s">
        <v>98</v>
      </c>
      <c r="F1633" s="7" t="s">
        <v>86</v>
      </c>
      <c r="G1633" s="7" t="s">
        <v>99</v>
      </c>
      <c r="H1633" s="7" t="n">
        <v>1</v>
      </c>
      <c r="I1633" s="11" t="n">
        <v>270</v>
      </c>
      <c r="J1633" s="11" t="n">
        <v>100</v>
      </c>
      <c r="K1633" s="11" t="n">
        <f aca="false">H1633*I1633-J1633</f>
        <v>170</v>
      </c>
      <c r="L1633" s="7" t="s">
        <v>88</v>
      </c>
      <c r="M1633" s="7" t="s">
        <v>194</v>
      </c>
      <c r="N1633" s="7" t="n">
        <v>41</v>
      </c>
      <c r="O1633" s="7" t="n">
        <v>4</v>
      </c>
    </row>
    <row r="1634" customFormat="false" ht="15" hidden="false" customHeight="false" outlineLevel="0" collapsed="false">
      <c r="A1634" s="7" t="s">
        <v>5247</v>
      </c>
      <c r="B1634" s="10" t="n">
        <v>45874</v>
      </c>
      <c r="C1634" s="7" t="s">
        <v>3378</v>
      </c>
      <c r="D1634" s="7" t="s">
        <v>5248</v>
      </c>
      <c r="E1634" s="7" t="s">
        <v>94</v>
      </c>
      <c r="F1634" s="7" t="s">
        <v>86</v>
      </c>
      <c r="G1634" s="7" t="s">
        <v>95</v>
      </c>
      <c r="H1634" s="7" t="n">
        <v>2</v>
      </c>
      <c r="I1634" s="11" t="n">
        <v>105</v>
      </c>
      <c r="J1634" s="11" t="n">
        <v>0</v>
      </c>
      <c r="K1634" s="11" t="n">
        <f aca="false">H1634*I1634-J1634</f>
        <v>210</v>
      </c>
      <c r="L1634" s="7" t="s">
        <v>112</v>
      </c>
      <c r="M1634" s="7" t="s">
        <v>194</v>
      </c>
      <c r="N1634" s="7" t="n">
        <v>36</v>
      </c>
      <c r="O1634" s="7" t="n">
        <v>4</v>
      </c>
    </row>
    <row r="1635" customFormat="false" ht="15" hidden="false" customHeight="false" outlineLevel="0" collapsed="false">
      <c r="A1635" s="7" t="s">
        <v>5896</v>
      </c>
      <c r="B1635" s="10" t="n">
        <v>45874</v>
      </c>
      <c r="C1635" s="7" t="s">
        <v>1145</v>
      </c>
      <c r="D1635" s="7" t="s">
        <v>2077</v>
      </c>
      <c r="E1635" s="7" t="s">
        <v>151</v>
      </c>
      <c r="F1635" s="7" t="s">
        <v>128</v>
      </c>
      <c r="G1635" s="7" t="s">
        <v>95</v>
      </c>
      <c r="H1635" s="7" t="n">
        <v>1</v>
      </c>
      <c r="I1635" s="11" t="n">
        <v>195</v>
      </c>
      <c r="J1635" s="11" t="n">
        <v>0</v>
      </c>
      <c r="K1635" s="11" t="n">
        <f aca="false">H1635*I1635-J1635</f>
        <v>195</v>
      </c>
      <c r="L1635" s="7" t="s">
        <v>88</v>
      </c>
      <c r="M1635" s="7" t="s">
        <v>194</v>
      </c>
      <c r="N1635" s="7" t="n">
        <v>33</v>
      </c>
      <c r="O1635" s="7" t="n">
        <v>3</v>
      </c>
    </row>
    <row r="1636" customFormat="false" ht="15" hidden="false" customHeight="false" outlineLevel="0" collapsed="false">
      <c r="A1636" s="7" t="s">
        <v>4284</v>
      </c>
      <c r="B1636" s="10" t="n">
        <v>45874</v>
      </c>
      <c r="C1636" s="7" t="s">
        <v>1358</v>
      </c>
      <c r="D1636" s="7" t="s">
        <v>4285</v>
      </c>
      <c r="E1636" s="7" t="s">
        <v>157</v>
      </c>
      <c r="F1636" s="7" t="s">
        <v>136</v>
      </c>
      <c r="G1636" s="7" t="s">
        <v>117</v>
      </c>
      <c r="H1636" s="7" t="n">
        <v>2</v>
      </c>
      <c r="I1636" s="11" t="n">
        <v>105</v>
      </c>
      <c r="J1636" s="11" t="n">
        <v>0</v>
      </c>
      <c r="K1636" s="11" t="n">
        <f aca="false">H1636*I1636-J1636</f>
        <v>210</v>
      </c>
      <c r="L1636" s="7" t="s">
        <v>88</v>
      </c>
      <c r="M1636" s="7" t="s">
        <v>194</v>
      </c>
      <c r="N1636" s="7" t="n">
        <v>30</v>
      </c>
      <c r="O1636" s="7" t="n">
        <v>3</v>
      </c>
    </row>
    <row r="1637" customFormat="false" ht="15" hidden="false" customHeight="false" outlineLevel="0" collapsed="false">
      <c r="A1637" s="7" t="s">
        <v>4681</v>
      </c>
      <c r="B1637" s="10" t="n">
        <v>45875</v>
      </c>
      <c r="C1637" s="7" t="s">
        <v>2869</v>
      </c>
      <c r="D1637" s="7" t="s">
        <v>4683</v>
      </c>
      <c r="E1637" s="7" t="s">
        <v>168</v>
      </c>
      <c r="F1637" s="7" t="s">
        <v>146</v>
      </c>
      <c r="G1637" s="7" t="s">
        <v>123</v>
      </c>
      <c r="H1637" s="7" t="n">
        <v>2</v>
      </c>
      <c r="I1637" s="11" t="n">
        <v>345</v>
      </c>
      <c r="J1637" s="11" t="n">
        <v>0</v>
      </c>
      <c r="K1637" s="11" t="n">
        <f aca="false">H1637*I1637-J1637</f>
        <v>690</v>
      </c>
      <c r="L1637" s="7" t="s">
        <v>93</v>
      </c>
      <c r="M1637" s="7" t="s">
        <v>194</v>
      </c>
      <c r="N1637" s="7" t="n">
        <v>24</v>
      </c>
      <c r="O1637" s="7" t="n">
        <v>4</v>
      </c>
    </row>
    <row r="1638" customFormat="false" ht="15" hidden="false" customHeight="false" outlineLevel="0" collapsed="false">
      <c r="A1638" s="7" t="s">
        <v>4274</v>
      </c>
      <c r="B1638" s="10" t="n">
        <v>45875</v>
      </c>
      <c r="C1638" s="7" t="s">
        <v>2454</v>
      </c>
      <c r="D1638" s="7" t="s">
        <v>1977</v>
      </c>
      <c r="E1638" s="7" t="s">
        <v>160</v>
      </c>
      <c r="F1638" s="7" t="s">
        <v>136</v>
      </c>
      <c r="G1638" s="7" t="s">
        <v>150</v>
      </c>
      <c r="H1638" s="7" t="n">
        <v>1</v>
      </c>
      <c r="I1638" s="11" t="n">
        <v>205</v>
      </c>
      <c r="J1638" s="11" t="n">
        <v>0</v>
      </c>
      <c r="K1638" s="11" t="n">
        <f aca="false">H1638*I1638-J1638</f>
        <v>205</v>
      </c>
      <c r="L1638" s="7" t="s">
        <v>88</v>
      </c>
      <c r="M1638" s="7" t="s">
        <v>194</v>
      </c>
      <c r="N1638" s="7" t="n">
        <v>28</v>
      </c>
      <c r="O1638" s="7" t="n">
        <v>5</v>
      </c>
    </row>
    <row r="1639" customFormat="false" ht="15" hidden="false" customHeight="false" outlineLevel="0" collapsed="false">
      <c r="A1639" s="7" t="s">
        <v>5405</v>
      </c>
      <c r="B1639" s="10" t="n">
        <v>45875</v>
      </c>
      <c r="C1639" s="7" t="s">
        <v>1419</v>
      </c>
      <c r="D1639" s="7" t="s">
        <v>281</v>
      </c>
      <c r="E1639" s="7" t="s">
        <v>144</v>
      </c>
      <c r="F1639" s="7" t="s">
        <v>119</v>
      </c>
      <c r="G1639" s="7" t="s">
        <v>99</v>
      </c>
      <c r="H1639" s="7" t="n">
        <v>1</v>
      </c>
      <c r="I1639" s="11" t="n">
        <v>345</v>
      </c>
      <c r="J1639" s="11" t="n">
        <v>0</v>
      </c>
      <c r="K1639" s="11" t="n">
        <f aca="false">H1639*I1639-J1639</f>
        <v>345</v>
      </c>
      <c r="L1639" s="7" t="s">
        <v>88</v>
      </c>
      <c r="M1639" s="7" t="s">
        <v>194</v>
      </c>
      <c r="N1639" s="7" t="n">
        <v>28</v>
      </c>
      <c r="O1639" s="7" t="n">
        <v>4</v>
      </c>
    </row>
    <row r="1640" customFormat="false" ht="15" hidden="false" customHeight="false" outlineLevel="0" collapsed="false">
      <c r="A1640" s="7" t="s">
        <v>5815</v>
      </c>
      <c r="B1640" s="10" t="n">
        <v>45875</v>
      </c>
      <c r="C1640" s="7" t="s">
        <v>2398</v>
      </c>
      <c r="D1640" s="7" t="s">
        <v>4248</v>
      </c>
      <c r="E1640" s="7" t="s">
        <v>149</v>
      </c>
      <c r="F1640" s="7" t="s">
        <v>119</v>
      </c>
      <c r="G1640" s="7" t="s">
        <v>150</v>
      </c>
      <c r="H1640" s="7" t="n">
        <v>1</v>
      </c>
      <c r="I1640" s="11" t="n">
        <v>170</v>
      </c>
      <c r="J1640" s="11" t="n">
        <v>0</v>
      </c>
      <c r="K1640" s="11" t="n">
        <f aca="false">H1640*I1640-J1640</f>
        <v>170</v>
      </c>
      <c r="L1640" s="7" t="s">
        <v>88</v>
      </c>
      <c r="M1640" s="7" t="s">
        <v>194</v>
      </c>
      <c r="N1640" s="7" t="n">
        <v>34</v>
      </c>
      <c r="O1640" s="7" t="n">
        <v>4</v>
      </c>
    </row>
    <row r="1641" customFormat="false" ht="15" hidden="false" customHeight="false" outlineLevel="0" collapsed="false">
      <c r="A1641" s="7" t="s">
        <v>3503</v>
      </c>
      <c r="B1641" s="10" t="n">
        <v>45875</v>
      </c>
      <c r="C1641" s="7" t="s">
        <v>1054</v>
      </c>
      <c r="D1641" s="7" t="s">
        <v>3505</v>
      </c>
      <c r="E1641" s="7" t="s">
        <v>168</v>
      </c>
      <c r="F1641" s="7" t="s">
        <v>146</v>
      </c>
      <c r="G1641" s="7" t="s">
        <v>123</v>
      </c>
      <c r="H1641" s="7" t="n">
        <v>2</v>
      </c>
      <c r="I1641" s="11" t="n">
        <v>270</v>
      </c>
      <c r="J1641" s="11" t="n">
        <v>150</v>
      </c>
      <c r="K1641" s="11" t="n">
        <f aca="false">H1641*I1641-J1641</f>
        <v>390</v>
      </c>
      <c r="L1641" s="7" t="s">
        <v>112</v>
      </c>
      <c r="M1641" s="7" t="s">
        <v>194</v>
      </c>
      <c r="N1641" s="7" t="n">
        <v>43</v>
      </c>
      <c r="O1641" s="7" t="n">
        <v>3</v>
      </c>
    </row>
    <row r="1642" customFormat="false" ht="15" hidden="false" customHeight="false" outlineLevel="0" collapsed="false">
      <c r="A1642" s="7" t="s">
        <v>4458</v>
      </c>
      <c r="B1642" s="10" t="n">
        <v>45875</v>
      </c>
      <c r="C1642" s="7" t="s">
        <v>1805</v>
      </c>
      <c r="D1642" s="7" t="s">
        <v>2934</v>
      </c>
      <c r="E1642" s="7" t="s">
        <v>104</v>
      </c>
      <c r="F1642" s="7" t="s">
        <v>86</v>
      </c>
      <c r="G1642" s="7" t="s">
        <v>105</v>
      </c>
      <c r="H1642" s="7" t="n">
        <v>1</v>
      </c>
      <c r="I1642" s="11" t="n">
        <v>205</v>
      </c>
      <c r="J1642" s="11" t="n">
        <v>0</v>
      </c>
      <c r="K1642" s="11" t="n">
        <f aca="false">H1642*I1642-J1642</f>
        <v>205</v>
      </c>
      <c r="L1642" s="7" t="s">
        <v>112</v>
      </c>
      <c r="M1642" s="7" t="s">
        <v>194</v>
      </c>
      <c r="N1642" s="7" t="n">
        <v>49</v>
      </c>
      <c r="O1642" s="7" t="n">
        <v>4</v>
      </c>
    </row>
    <row r="1643" customFormat="false" ht="15" hidden="false" customHeight="false" outlineLevel="0" collapsed="false">
      <c r="A1643" s="7" t="s">
        <v>4635</v>
      </c>
      <c r="B1643" s="10" t="n">
        <v>45875</v>
      </c>
      <c r="C1643" s="7" t="s">
        <v>1412</v>
      </c>
      <c r="D1643" s="7" t="s">
        <v>4636</v>
      </c>
      <c r="E1643" s="7" t="s">
        <v>130</v>
      </c>
      <c r="F1643" s="7" t="s">
        <v>110</v>
      </c>
      <c r="G1643" s="7" t="s">
        <v>90</v>
      </c>
      <c r="H1643" s="7" t="n">
        <v>2</v>
      </c>
      <c r="I1643" s="11" t="n">
        <v>280</v>
      </c>
      <c r="J1643" s="11" t="n">
        <v>20</v>
      </c>
      <c r="K1643" s="11" t="n">
        <f aca="false">H1643*I1643-J1643</f>
        <v>540</v>
      </c>
      <c r="L1643" s="7" t="s">
        <v>88</v>
      </c>
      <c r="M1643" s="7" t="s">
        <v>194</v>
      </c>
      <c r="N1643" s="7" t="n">
        <v>52</v>
      </c>
      <c r="O1643" s="7" t="n">
        <v>3</v>
      </c>
    </row>
    <row r="1644" customFormat="false" ht="15" hidden="false" customHeight="false" outlineLevel="0" collapsed="false">
      <c r="A1644" s="7" t="s">
        <v>2189</v>
      </c>
      <c r="B1644" s="10" t="n">
        <v>45876</v>
      </c>
      <c r="C1644" s="7" t="s">
        <v>2191</v>
      </c>
      <c r="D1644" s="7" t="s">
        <v>2192</v>
      </c>
      <c r="E1644" s="7" t="s">
        <v>154</v>
      </c>
      <c r="F1644" s="7" t="s">
        <v>128</v>
      </c>
      <c r="G1644" s="7" t="s">
        <v>99</v>
      </c>
      <c r="H1644" s="7" t="n">
        <v>2</v>
      </c>
      <c r="I1644" s="11" t="n">
        <v>210</v>
      </c>
      <c r="J1644" s="11" t="n">
        <v>0</v>
      </c>
      <c r="K1644" s="11" t="n">
        <f aca="false">H1644*I1644-J1644</f>
        <v>420</v>
      </c>
      <c r="L1644" s="7" t="s">
        <v>112</v>
      </c>
      <c r="M1644" s="7" t="s">
        <v>194</v>
      </c>
      <c r="N1644" s="7" t="n">
        <v>28</v>
      </c>
      <c r="O1644" s="7" t="n">
        <v>4</v>
      </c>
    </row>
    <row r="1645" customFormat="false" ht="15" hidden="false" customHeight="false" outlineLevel="0" collapsed="false">
      <c r="A1645" s="7" t="s">
        <v>2709</v>
      </c>
      <c r="B1645" s="10" t="n">
        <v>45876</v>
      </c>
      <c r="C1645" s="7" t="s">
        <v>2710</v>
      </c>
      <c r="D1645" s="7" t="s">
        <v>1755</v>
      </c>
      <c r="E1645" s="7" t="s">
        <v>160</v>
      </c>
      <c r="F1645" s="7" t="s">
        <v>136</v>
      </c>
      <c r="G1645" s="7" t="s">
        <v>150</v>
      </c>
      <c r="H1645" s="7" t="n">
        <v>1</v>
      </c>
      <c r="I1645" s="11" t="n">
        <v>205</v>
      </c>
      <c r="J1645" s="11" t="n">
        <v>0</v>
      </c>
      <c r="K1645" s="11" t="n">
        <f aca="false">H1645*I1645-J1645</f>
        <v>205</v>
      </c>
      <c r="L1645" s="7" t="s">
        <v>88</v>
      </c>
      <c r="M1645" s="7" t="s">
        <v>194</v>
      </c>
      <c r="N1645" s="7" t="n">
        <v>23</v>
      </c>
      <c r="O1645" s="7" t="n">
        <v>3</v>
      </c>
    </row>
    <row r="1646" customFormat="false" ht="15" hidden="false" customHeight="false" outlineLevel="0" collapsed="false">
      <c r="A1646" s="7" t="s">
        <v>4921</v>
      </c>
      <c r="B1646" s="10" t="n">
        <v>45876</v>
      </c>
      <c r="C1646" s="7" t="s">
        <v>3003</v>
      </c>
      <c r="D1646" s="7" t="s">
        <v>4922</v>
      </c>
      <c r="E1646" s="7" t="s">
        <v>98</v>
      </c>
      <c r="F1646" s="7" t="s">
        <v>86</v>
      </c>
      <c r="G1646" s="7" t="s">
        <v>99</v>
      </c>
      <c r="H1646" s="7" t="n">
        <v>1</v>
      </c>
      <c r="I1646" s="11" t="n">
        <v>315</v>
      </c>
      <c r="J1646" s="11" t="n">
        <v>0</v>
      </c>
      <c r="K1646" s="11" t="n">
        <f aca="false">H1646*I1646-J1646</f>
        <v>315</v>
      </c>
      <c r="L1646" s="7" t="s">
        <v>93</v>
      </c>
      <c r="M1646" s="7" t="s">
        <v>194</v>
      </c>
      <c r="N1646" s="7" t="n">
        <v>26</v>
      </c>
      <c r="O1646" s="7"/>
    </row>
    <row r="1647" customFormat="false" ht="15" hidden="false" customHeight="false" outlineLevel="0" collapsed="false">
      <c r="A1647" s="7" t="s">
        <v>5485</v>
      </c>
      <c r="B1647" s="10" t="n">
        <v>45876</v>
      </c>
      <c r="C1647" s="7" t="s">
        <v>5486</v>
      </c>
      <c r="D1647" s="7" t="s">
        <v>1803</v>
      </c>
      <c r="E1647" s="7" t="s">
        <v>144</v>
      </c>
      <c r="F1647" s="7" t="s">
        <v>119</v>
      </c>
      <c r="G1647" s="7" t="s">
        <v>99</v>
      </c>
      <c r="H1647" s="7" t="n">
        <v>4</v>
      </c>
      <c r="I1647" s="11" t="n">
        <v>335</v>
      </c>
      <c r="J1647" s="11" t="n">
        <v>30</v>
      </c>
      <c r="K1647" s="11" t="n">
        <f aca="false">H1647*I1647-J1647</f>
        <v>1310</v>
      </c>
      <c r="L1647" s="7" t="s">
        <v>103</v>
      </c>
      <c r="M1647" s="7" t="s">
        <v>194</v>
      </c>
      <c r="N1647" s="7" t="n">
        <v>32</v>
      </c>
      <c r="O1647" s="7"/>
    </row>
    <row r="1648" customFormat="false" ht="15" hidden="false" customHeight="false" outlineLevel="0" collapsed="false">
      <c r="A1648" s="7" t="s">
        <v>2343</v>
      </c>
      <c r="B1648" s="10" t="n">
        <v>45876</v>
      </c>
      <c r="C1648" s="7" t="s">
        <v>870</v>
      </c>
      <c r="D1648" s="7" t="s">
        <v>965</v>
      </c>
      <c r="E1648" s="7" t="s">
        <v>122</v>
      </c>
      <c r="F1648" s="7" t="s">
        <v>101</v>
      </c>
      <c r="G1648" s="7" t="s">
        <v>123</v>
      </c>
      <c r="H1648" s="7" t="n">
        <v>3</v>
      </c>
      <c r="I1648" s="11" t="n">
        <v>350</v>
      </c>
      <c r="J1648" s="11" t="n">
        <v>0</v>
      </c>
      <c r="K1648" s="11" t="n">
        <f aca="false">H1648*I1648-J1648</f>
        <v>1050</v>
      </c>
      <c r="L1648" s="7" t="s">
        <v>93</v>
      </c>
      <c r="M1648" s="7" t="s">
        <v>194</v>
      </c>
      <c r="N1648" s="7" t="n">
        <v>48</v>
      </c>
      <c r="O1648" s="7" t="n">
        <v>3</v>
      </c>
    </row>
    <row r="1649" customFormat="false" ht="15" hidden="false" customHeight="false" outlineLevel="0" collapsed="false">
      <c r="A1649" s="7" t="s">
        <v>4734</v>
      </c>
      <c r="B1649" s="10" t="n">
        <v>45877</v>
      </c>
      <c r="C1649" s="7" t="s">
        <v>4735</v>
      </c>
      <c r="D1649" s="7" t="s">
        <v>482</v>
      </c>
      <c r="E1649" s="7" t="s">
        <v>130</v>
      </c>
      <c r="F1649" s="7" t="s">
        <v>110</v>
      </c>
      <c r="G1649" s="7" t="s">
        <v>90</v>
      </c>
      <c r="H1649" s="7" t="n">
        <v>2</v>
      </c>
      <c r="I1649" s="11" t="n">
        <v>255</v>
      </c>
      <c r="J1649" s="11" t="n">
        <v>0</v>
      </c>
      <c r="K1649" s="11" t="n">
        <f aca="false">H1649*I1649-J1649</f>
        <v>510</v>
      </c>
      <c r="L1649" s="7" t="s">
        <v>88</v>
      </c>
      <c r="M1649" s="7" t="s">
        <v>194</v>
      </c>
      <c r="N1649" s="7" t="n">
        <v>31</v>
      </c>
      <c r="O1649" s="7"/>
    </row>
    <row r="1650" customFormat="false" ht="15" hidden="false" customHeight="false" outlineLevel="0" collapsed="false">
      <c r="A1650" s="7" t="s">
        <v>1460</v>
      </c>
      <c r="B1650" s="10" t="n">
        <v>45877</v>
      </c>
      <c r="C1650" s="7" t="s">
        <v>1269</v>
      </c>
      <c r="D1650" s="7" t="s">
        <v>1093</v>
      </c>
      <c r="E1650" s="7" t="s">
        <v>104</v>
      </c>
      <c r="F1650" s="7" t="s">
        <v>86</v>
      </c>
      <c r="G1650" s="7" t="s">
        <v>105</v>
      </c>
      <c r="H1650" s="7" t="n">
        <v>2</v>
      </c>
      <c r="I1650" s="11" t="n">
        <v>190</v>
      </c>
      <c r="J1650" s="11" t="n">
        <v>40</v>
      </c>
      <c r="K1650" s="11" t="n">
        <f aca="false">H1650*I1650-J1650</f>
        <v>340</v>
      </c>
      <c r="L1650" s="7" t="s">
        <v>88</v>
      </c>
      <c r="M1650" s="7" t="s">
        <v>194</v>
      </c>
      <c r="N1650" s="7" t="n">
        <v>36</v>
      </c>
      <c r="O1650" s="7" t="n">
        <v>4</v>
      </c>
    </row>
    <row r="1651" customFormat="false" ht="15" hidden="false" customHeight="false" outlineLevel="0" collapsed="false">
      <c r="A1651" s="7" t="s">
        <v>468</v>
      </c>
      <c r="B1651" s="10" t="n">
        <v>45877</v>
      </c>
      <c r="C1651" s="7" t="s">
        <v>470</v>
      </c>
      <c r="D1651" s="7" t="s">
        <v>471</v>
      </c>
      <c r="E1651" s="7" t="s">
        <v>113</v>
      </c>
      <c r="F1651" s="7" t="s">
        <v>101</v>
      </c>
      <c r="G1651" s="7" t="s">
        <v>90</v>
      </c>
      <c r="H1651" s="7" t="n">
        <v>4</v>
      </c>
      <c r="I1651" s="11" t="n">
        <v>225</v>
      </c>
      <c r="J1651" s="11" t="n">
        <v>100</v>
      </c>
      <c r="K1651" s="11" t="n">
        <f aca="false">H1651*I1651-J1651</f>
        <v>800</v>
      </c>
      <c r="L1651" s="7" t="s">
        <v>121</v>
      </c>
      <c r="M1651" s="7" t="s">
        <v>194</v>
      </c>
      <c r="N1651" s="7" t="n">
        <v>41</v>
      </c>
      <c r="O1651" s="7" t="n">
        <v>2</v>
      </c>
    </row>
    <row r="1652" customFormat="false" ht="15" hidden="false" customHeight="false" outlineLevel="0" collapsed="false">
      <c r="A1652" s="7" t="s">
        <v>1690</v>
      </c>
      <c r="B1652" s="10" t="n">
        <v>45877</v>
      </c>
      <c r="C1652" s="7" t="s">
        <v>1692</v>
      </c>
      <c r="D1652" s="7" t="s">
        <v>662</v>
      </c>
      <c r="E1652" s="7" t="s">
        <v>134</v>
      </c>
      <c r="F1652" s="7" t="s">
        <v>110</v>
      </c>
      <c r="G1652" s="7" t="s">
        <v>117</v>
      </c>
      <c r="H1652" s="7" t="n">
        <v>1</v>
      </c>
      <c r="I1652" s="11" t="n">
        <v>95</v>
      </c>
      <c r="J1652" s="11" t="n">
        <v>30</v>
      </c>
      <c r="K1652" s="11" t="n">
        <f aca="false">H1652*I1652-J1652</f>
        <v>65</v>
      </c>
      <c r="L1652" s="7" t="s">
        <v>88</v>
      </c>
      <c r="M1652" s="7" t="s">
        <v>194</v>
      </c>
      <c r="N1652" s="7" t="n">
        <v>42</v>
      </c>
      <c r="O1652" s="7"/>
    </row>
    <row r="1653" customFormat="false" ht="15" hidden="false" customHeight="false" outlineLevel="0" collapsed="false">
      <c r="A1653" s="7" t="s">
        <v>2954</v>
      </c>
      <c r="B1653" s="10" t="n">
        <v>45877</v>
      </c>
      <c r="C1653" s="7" t="s">
        <v>258</v>
      </c>
      <c r="D1653" s="7" t="s">
        <v>2955</v>
      </c>
      <c r="E1653" s="7" t="s">
        <v>98</v>
      </c>
      <c r="F1653" s="7" t="s">
        <v>86</v>
      </c>
      <c r="G1653" s="7" t="s">
        <v>99</v>
      </c>
      <c r="H1653" s="7" t="n">
        <v>1</v>
      </c>
      <c r="I1653" s="11" t="n">
        <v>290</v>
      </c>
      <c r="J1653" s="11" t="n">
        <v>20</v>
      </c>
      <c r="K1653" s="11" t="n">
        <f aca="false">H1653*I1653-J1653</f>
        <v>270</v>
      </c>
      <c r="L1653" s="7" t="s">
        <v>88</v>
      </c>
      <c r="M1653" s="7" t="s">
        <v>194</v>
      </c>
      <c r="N1653" s="7" t="n">
        <v>49</v>
      </c>
      <c r="O1653" s="7" t="n">
        <v>4</v>
      </c>
    </row>
    <row r="1654" customFormat="false" ht="15" hidden="false" customHeight="false" outlineLevel="0" collapsed="false">
      <c r="A1654" s="7" t="s">
        <v>6099</v>
      </c>
      <c r="B1654" s="10" t="n">
        <v>45878</v>
      </c>
      <c r="C1654" s="7" t="s">
        <v>755</v>
      </c>
      <c r="D1654" s="7" t="s">
        <v>4996</v>
      </c>
      <c r="E1654" s="7" t="s">
        <v>164</v>
      </c>
      <c r="F1654" s="7" t="s">
        <v>141</v>
      </c>
      <c r="G1654" s="7" t="s">
        <v>150</v>
      </c>
      <c r="H1654" s="7" t="n">
        <v>4</v>
      </c>
      <c r="I1654" s="11" t="n">
        <v>115</v>
      </c>
      <c r="J1654" s="11" t="n">
        <v>30</v>
      </c>
      <c r="K1654" s="11" t="n">
        <f aca="false">H1654*I1654-J1654</f>
        <v>430</v>
      </c>
      <c r="L1654" s="7" t="s">
        <v>93</v>
      </c>
      <c r="M1654" s="7" t="s">
        <v>194</v>
      </c>
      <c r="N1654" s="7" t="n">
        <v>41</v>
      </c>
      <c r="O1654" s="7" t="n">
        <v>3</v>
      </c>
    </row>
    <row r="1655" customFormat="false" ht="15" hidden="false" customHeight="false" outlineLevel="0" collapsed="false">
      <c r="A1655" s="7" t="s">
        <v>2720</v>
      </c>
      <c r="B1655" s="10" t="n">
        <v>45878</v>
      </c>
      <c r="C1655" s="7" t="s">
        <v>1486</v>
      </c>
      <c r="D1655" s="7" t="s">
        <v>2722</v>
      </c>
      <c r="E1655" s="7" t="s">
        <v>163</v>
      </c>
      <c r="F1655" s="7" t="s">
        <v>141</v>
      </c>
      <c r="G1655" s="7" t="s">
        <v>99</v>
      </c>
      <c r="H1655" s="7" t="n">
        <v>2</v>
      </c>
      <c r="I1655" s="11" t="n">
        <v>285</v>
      </c>
      <c r="J1655" s="11" t="n">
        <v>0</v>
      </c>
      <c r="K1655" s="11" t="n">
        <f aca="false">H1655*I1655-J1655</f>
        <v>570</v>
      </c>
      <c r="L1655" s="7" t="s">
        <v>88</v>
      </c>
      <c r="M1655" s="7" t="s">
        <v>238</v>
      </c>
      <c r="N1655" s="7"/>
      <c r="O1655" s="7"/>
    </row>
    <row r="1656" customFormat="false" ht="15" hidden="false" customHeight="false" outlineLevel="0" collapsed="false">
      <c r="A1656" s="7" t="s">
        <v>5375</v>
      </c>
      <c r="B1656" s="10" t="n">
        <v>45878</v>
      </c>
      <c r="C1656" s="7" t="s">
        <v>2271</v>
      </c>
      <c r="D1656" s="7" t="s">
        <v>5376</v>
      </c>
      <c r="E1656" s="7" t="s">
        <v>161</v>
      </c>
      <c r="F1656" s="7" t="s">
        <v>141</v>
      </c>
      <c r="G1656" s="7" t="s">
        <v>117</v>
      </c>
      <c r="H1656" s="7" t="n">
        <v>4</v>
      </c>
      <c r="I1656" s="11" t="n">
        <v>145</v>
      </c>
      <c r="J1656" s="11" t="n">
        <v>0</v>
      </c>
      <c r="K1656" s="11" t="n">
        <f aca="false">H1656*I1656-J1656</f>
        <v>580</v>
      </c>
      <c r="L1656" s="7" t="s">
        <v>88</v>
      </c>
      <c r="M1656" s="7" t="s">
        <v>194</v>
      </c>
      <c r="N1656" s="7" t="n">
        <v>46</v>
      </c>
      <c r="O1656" s="7" t="n">
        <v>3</v>
      </c>
    </row>
    <row r="1657" customFormat="false" ht="15" hidden="false" customHeight="false" outlineLevel="0" collapsed="false">
      <c r="A1657" s="7" t="s">
        <v>4573</v>
      </c>
      <c r="B1657" s="10" t="n">
        <v>45878</v>
      </c>
      <c r="C1657" s="7" t="s">
        <v>2405</v>
      </c>
      <c r="D1657" s="7" t="s">
        <v>620</v>
      </c>
      <c r="E1657" s="7" t="s">
        <v>113</v>
      </c>
      <c r="F1657" s="7" t="s">
        <v>101</v>
      </c>
      <c r="G1657" s="7" t="s">
        <v>90</v>
      </c>
      <c r="H1657" s="7" t="n">
        <v>2</v>
      </c>
      <c r="I1657" s="11" t="n">
        <v>260</v>
      </c>
      <c r="J1657" s="11" t="n">
        <v>0</v>
      </c>
      <c r="K1657" s="11" t="n">
        <f aca="false">H1657*I1657-J1657</f>
        <v>520</v>
      </c>
      <c r="L1657" s="7" t="s">
        <v>103</v>
      </c>
      <c r="M1657" s="7" t="s">
        <v>194</v>
      </c>
      <c r="N1657" s="7" t="n">
        <v>53</v>
      </c>
      <c r="O1657" s="7" t="n">
        <v>5</v>
      </c>
    </row>
    <row r="1658" customFormat="false" ht="15" hidden="false" customHeight="false" outlineLevel="0" collapsed="false">
      <c r="A1658" s="7" t="s">
        <v>5020</v>
      </c>
      <c r="B1658" s="10" t="n">
        <v>45878</v>
      </c>
      <c r="C1658" s="7" t="s">
        <v>979</v>
      </c>
      <c r="D1658" s="7" t="s">
        <v>2589</v>
      </c>
      <c r="E1658" s="7" t="s">
        <v>130</v>
      </c>
      <c r="F1658" s="7" t="s">
        <v>110</v>
      </c>
      <c r="G1658" s="7" t="s">
        <v>90</v>
      </c>
      <c r="H1658" s="7" t="n">
        <v>3</v>
      </c>
      <c r="I1658" s="11" t="n">
        <v>245</v>
      </c>
      <c r="J1658" s="11" t="n">
        <v>0</v>
      </c>
      <c r="K1658" s="11" t="n">
        <f aca="false">H1658*I1658-J1658</f>
        <v>735</v>
      </c>
      <c r="L1658" s="7" t="s">
        <v>103</v>
      </c>
      <c r="M1658" s="7" t="s">
        <v>194</v>
      </c>
      <c r="N1658" s="7" t="n">
        <v>36</v>
      </c>
      <c r="O1658" s="7" t="n">
        <v>2</v>
      </c>
    </row>
    <row r="1659" customFormat="false" ht="15" hidden="false" customHeight="false" outlineLevel="0" collapsed="false">
      <c r="A1659" s="7" t="s">
        <v>3064</v>
      </c>
      <c r="B1659" s="10" t="n">
        <v>45878</v>
      </c>
      <c r="C1659" s="7" t="s">
        <v>2978</v>
      </c>
      <c r="D1659" s="7" t="s">
        <v>3065</v>
      </c>
      <c r="E1659" s="7" t="s">
        <v>162</v>
      </c>
      <c r="F1659" s="7" t="s">
        <v>141</v>
      </c>
      <c r="G1659" s="7" t="s">
        <v>117</v>
      </c>
      <c r="H1659" s="7" t="n">
        <v>4</v>
      </c>
      <c r="I1659" s="11" t="n">
        <v>110</v>
      </c>
      <c r="J1659" s="11" t="n">
        <v>50</v>
      </c>
      <c r="K1659" s="11" t="n">
        <f aca="false">H1659*I1659-J1659</f>
        <v>390</v>
      </c>
      <c r="L1659" s="7" t="s">
        <v>88</v>
      </c>
      <c r="M1659" s="7" t="s">
        <v>194</v>
      </c>
      <c r="N1659" s="7" t="n">
        <v>38</v>
      </c>
      <c r="O1659" s="7" t="n">
        <v>4</v>
      </c>
    </row>
    <row r="1660" customFormat="false" ht="15" hidden="false" customHeight="false" outlineLevel="0" collapsed="false">
      <c r="A1660" s="7" t="s">
        <v>1275</v>
      </c>
      <c r="B1660" s="10" t="n">
        <v>45878</v>
      </c>
      <c r="C1660" s="7" t="s">
        <v>1277</v>
      </c>
      <c r="D1660" s="7" t="s">
        <v>1278</v>
      </c>
      <c r="E1660" s="7" t="s">
        <v>94</v>
      </c>
      <c r="F1660" s="7" t="s">
        <v>86</v>
      </c>
      <c r="G1660" s="7" t="s">
        <v>95</v>
      </c>
      <c r="H1660" s="7" t="n">
        <v>2</v>
      </c>
      <c r="I1660" s="11" t="n">
        <v>145</v>
      </c>
      <c r="J1660" s="11" t="n">
        <v>0</v>
      </c>
      <c r="K1660" s="11" t="n">
        <f aca="false">H1660*I1660-J1660</f>
        <v>290</v>
      </c>
      <c r="L1660" s="7" t="s">
        <v>103</v>
      </c>
      <c r="M1660" s="7" t="s">
        <v>194</v>
      </c>
      <c r="N1660" s="7" t="n">
        <v>54</v>
      </c>
      <c r="O1660" s="7" t="n">
        <v>5</v>
      </c>
    </row>
    <row r="1661" customFormat="false" ht="15" hidden="false" customHeight="false" outlineLevel="0" collapsed="false">
      <c r="A1661" s="7" t="s">
        <v>5011</v>
      </c>
      <c r="B1661" s="10" t="n">
        <v>45879</v>
      </c>
      <c r="C1661" s="7" t="s">
        <v>5012</v>
      </c>
      <c r="D1661" s="7" t="s">
        <v>2639</v>
      </c>
      <c r="E1661" s="7" t="s">
        <v>160</v>
      </c>
      <c r="F1661" s="7" t="s">
        <v>136</v>
      </c>
      <c r="G1661" s="7" t="s">
        <v>150</v>
      </c>
      <c r="H1661" s="7" t="n">
        <v>5</v>
      </c>
      <c r="I1661" s="11" t="n">
        <v>190</v>
      </c>
      <c r="J1661" s="11" t="n">
        <v>40</v>
      </c>
      <c r="K1661" s="11" t="n">
        <f aca="false">H1661*I1661-J1661</f>
        <v>910</v>
      </c>
      <c r="L1661" s="7" t="s">
        <v>93</v>
      </c>
      <c r="M1661" s="7" t="s">
        <v>194</v>
      </c>
      <c r="N1661" s="7" t="n">
        <v>30</v>
      </c>
      <c r="O1661" s="7" t="n">
        <v>5</v>
      </c>
    </row>
    <row r="1662" customFormat="false" ht="15" hidden="false" customHeight="false" outlineLevel="0" collapsed="false">
      <c r="A1662" s="7" t="s">
        <v>3440</v>
      </c>
      <c r="B1662" s="10" t="n">
        <v>45879</v>
      </c>
      <c r="C1662" s="7" t="s">
        <v>1692</v>
      </c>
      <c r="D1662" s="7" t="s">
        <v>2339</v>
      </c>
      <c r="E1662" s="7" t="s">
        <v>155</v>
      </c>
      <c r="F1662" s="7" t="s">
        <v>128</v>
      </c>
      <c r="G1662" s="7" t="s">
        <v>156</v>
      </c>
      <c r="H1662" s="7" t="n">
        <v>1</v>
      </c>
      <c r="I1662" s="11" t="n">
        <v>365</v>
      </c>
      <c r="J1662" s="11" t="n">
        <v>0</v>
      </c>
      <c r="K1662" s="11" t="n">
        <f aca="false">H1662*I1662-J1662</f>
        <v>365</v>
      </c>
      <c r="L1662" s="7" t="s">
        <v>133</v>
      </c>
      <c r="M1662" s="7" t="s">
        <v>194</v>
      </c>
      <c r="N1662" s="7" t="n">
        <v>37</v>
      </c>
      <c r="O1662" s="7" t="n">
        <v>5</v>
      </c>
    </row>
    <row r="1663" customFormat="false" ht="15" hidden="false" customHeight="false" outlineLevel="0" collapsed="false">
      <c r="A1663" s="7" t="s">
        <v>5973</v>
      </c>
      <c r="B1663" s="10" t="n">
        <v>45879</v>
      </c>
      <c r="C1663" s="7" t="s">
        <v>2733</v>
      </c>
      <c r="D1663" s="7" t="s">
        <v>4263</v>
      </c>
      <c r="E1663" s="7" t="s">
        <v>126</v>
      </c>
      <c r="F1663" s="7" t="s">
        <v>101</v>
      </c>
      <c r="G1663" s="7" t="s">
        <v>105</v>
      </c>
      <c r="H1663" s="7" t="n">
        <v>2</v>
      </c>
      <c r="I1663" s="11" t="n">
        <v>260</v>
      </c>
      <c r="J1663" s="11" t="n">
        <v>20</v>
      </c>
      <c r="K1663" s="11" t="n">
        <f aca="false">H1663*I1663-J1663</f>
        <v>500</v>
      </c>
      <c r="L1663" s="7" t="s">
        <v>88</v>
      </c>
      <c r="M1663" s="7" t="s">
        <v>194</v>
      </c>
      <c r="N1663" s="7" t="n">
        <v>47</v>
      </c>
      <c r="O1663" s="7" t="n">
        <v>4</v>
      </c>
    </row>
    <row r="1664" customFormat="false" ht="15" hidden="false" customHeight="false" outlineLevel="0" collapsed="false">
      <c r="A1664" s="7" t="s">
        <v>3601</v>
      </c>
      <c r="B1664" s="10" t="n">
        <v>45880</v>
      </c>
      <c r="C1664" s="7" t="s">
        <v>3603</v>
      </c>
      <c r="D1664" s="7" t="s">
        <v>2452</v>
      </c>
      <c r="E1664" s="7" t="s">
        <v>142</v>
      </c>
      <c r="F1664" s="7" t="s">
        <v>110</v>
      </c>
      <c r="G1664" s="7" t="s">
        <v>105</v>
      </c>
      <c r="H1664" s="7" t="n">
        <v>3</v>
      </c>
      <c r="I1664" s="11" t="n">
        <v>150</v>
      </c>
      <c r="J1664" s="11" t="n">
        <v>100</v>
      </c>
      <c r="K1664" s="11" t="n">
        <f aca="false">H1664*I1664-J1664</f>
        <v>350</v>
      </c>
      <c r="L1664" s="7" t="s">
        <v>133</v>
      </c>
      <c r="M1664" s="7" t="s">
        <v>194</v>
      </c>
      <c r="N1664" s="7" t="n">
        <v>45</v>
      </c>
      <c r="O1664" s="7" t="n">
        <v>5</v>
      </c>
    </row>
    <row r="1665" customFormat="false" ht="15" hidden="false" customHeight="false" outlineLevel="0" collapsed="false">
      <c r="A1665" s="7" t="s">
        <v>2037</v>
      </c>
      <c r="B1665" s="10" t="n">
        <v>45880</v>
      </c>
      <c r="C1665" s="7" t="s">
        <v>2038</v>
      </c>
      <c r="D1665" s="7" t="s">
        <v>2039</v>
      </c>
      <c r="E1665" s="7" t="s">
        <v>89</v>
      </c>
      <c r="F1665" s="7" t="s">
        <v>86</v>
      </c>
      <c r="G1665" s="7" t="s">
        <v>90</v>
      </c>
      <c r="H1665" s="7" t="n">
        <v>1</v>
      </c>
      <c r="I1665" s="11" t="n">
        <v>205</v>
      </c>
      <c r="J1665" s="11" t="n">
        <v>82</v>
      </c>
      <c r="K1665" s="11" t="n">
        <f aca="false">H1665*I1665-J1665</f>
        <v>123</v>
      </c>
      <c r="L1665" s="7" t="s">
        <v>88</v>
      </c>
      <c r="M1665" s="7" t="s">
        <v>194</v>
      </c>
      <c r="N1665" s="7" t="n">
        <v>45</v>
      </c>
      <c r="O1665" s="7" t="n">
        <v>3</v>
      </c>
    </row>
    <row r="1666" customFormat="false" ht="15" hidden="false" customHeight="false" outlineLevel="0" collapsed="false">
      <c r="A1666" s="7" t="s">
        <v>2809</v>
      </c>
      <c r="B1666" s="10" t="n">
        <v>45880</v>
      </c>
      <c r="C1666" s="7" t="s">
        <v>2810</v>
      </c>
      <c r="D1666" s="7" t="s">
        <v>2811</v>
      </c>
      <c r="E1666" s="7" t="s">
        <v>154</v>
      </c>
      <c r="F1666" s="7" t="s">
        <v>128</v>
      </c>
      <c r="G1666" s="7" t="s">
        <v>99</v>
      </c>
      <c r="H1666" s="7" t="n">
        <v>4</v>
      </c>
      <c r="I1666" s="11" t="n">
        <v>280</v>
      </c>
      <c r="J1666" s="11" t="n">
        <v>50</v>
      </c>
      <c r="K1666" s="11" t="n">
        <f aca="false">H1666*I1666-J1666</f>
        <v>1070</v>
      </c>
      <c r="L1666" s="7" t="s">
        <v>133</v>
      </c>
      <c r="M1666" s="7" t="s">
        <v>194</v>
      </c>
      <c r="N1666" s="7" t="n">
        <v>26</v>
      </c>
      <c r="O1666" s="7" t="n">
        <v>4</v>
      </c>
    </row>
    <row r="1667" customFormat="false" ht="15" hidden="false" customHeight="false" outlineLevel="0" collapsed="false">
      <c r="A1667" s="7" t="s">
        <v>1367</v>
      </c>
      <c r="B1667" s="10" t="n">
        <v>45880</v>
      </c>
      <c r="C1667" s="7" t="s">
        <v>306</v>
      </c>
      <c r="D1667" s="7" t="s">
        <v>1369</v>
      </c>
      <c r="E1667" s="7" t="s">
        <v>116</v>
      </c>
      <c r="F1667" s="7" t="s">
        <v>101</v>
      </c>
      <c r="G1667" s="7" t="s">
        <v>117</v>
      </c>
      <c r="H1667" s="7" t="n">
        <v>1</v>
      </c>
      <c r="I1667" s="11" t="n">
        <v>105</v>
      </c>
      <c r="J1667" s="11" t="n">
        <v>0</v>
      </c>
      <c r="K1667" s="11" t="n">
        <f aca="false">H1667*I1667-J1667</f>
        <v>105</v>
      </c>
      <c r="L1667" s="7" t="s">
        <v>121</v>
      </c>
      <c r="M1667" s="7" t="s">
        <v>194</v>
      </c>
      <c r="N1667" s="7" t="n">
        <v>39</v>
      </c>
      <c r="O1667" s="7" t="n">
        <v>4</v>
      </c>
    </row>
    <row r="1668" customFormat="false" ht="15" hidden="false" customHeight="false" outlineLevel="0" collapsed="false">
      <c r="A1668" s="7" t="s">
        <v>4459</v>
      </c>
      <c r="B1668" s="10" t="n">
        <v>45880</v>
      </c>
      <c r="C1668" s="7" t="s">
        <v>2083</v>
      </c>
      <c r="D1668" s="7" t="s">
        <v>2887</v>
      </c>
      <c r="E1668" s="7" t="s">
        <v>160</v>
      </c>
      <c r="F1668" s="7" t="s">
        <v>136</v>
      </c>
      <c r="G1668" s="7" t="s">
        <v>150</v>
      </c>
      <c r="H1668" s="7" t="n">
        <v>3</v>
      </c>
      <c r="I1668" s="11" t="n">
        <v>180</v>
      </c>
      <c r="J1668" s="11" t="n">
        <v>0</v>
      </c>
      <c r="K1668" s="11" t="n">
        <f aca="false">H1668*I1668-J1668</f>
        <v>540</v>
      </c>
      <c r="L1668" s="7" t="s">
        <v>88</v>
      </c>
      <c r="M1668" s="7" t="s">
        <v>194</v>
      </c>
      <c r="N1668" s="7" t="n">
        <v>40</v>
      </c>
      <c r="O1668" s="7" t="n">
        <v>5</v>
      </c>
    </row>
    <row r="1669" customFormat="false" ht="15" hidden="false" customHeight="false" outlineLevel="0" collapsed="false">
      <c r="A1669" s="7" t="s">
        <v>4758</v>
      </c>
      <c r="B1669" s="10" t="n">
        <v>45880</v>
      </c>
      <c r="C1669" s="7" t="s">
        <v>4759</v>
      </c>
      <c r="D1669" s="7" t="s">
        <v>3759</v>
      </c>
      <c r="E1669" s="7" t="s">
        <v>113</v>
      </c>
      <c r="F1669" s="7" t="s">
        <v>101</v>
      </c>
      <c r="G1669" s="7" t="s">
        <v>90</v>
      </c>
      <c r="H1669" s="7" t="n">
        <v>2</v>
      </c>
      <c r="I1669" s="11" t="n">
        <v>290</v>
      </c>
      <c r="J1669" s="11" t="n">
        <v>50</v>
      </c>
      <c r="K1669" s="11" t="n">
        <f aca="false">H1669*I1669-J1669</f>
        <v>530</v>
      </c>
      <c r="L1669" s="7" t="s">
        <v>88</v>
      </c>
      <c r="M1669" s="7" t="s">
        <v>194</v>
      </c>
      <c r="N1669" s="7" t="n">
        <v>54</v>
      </c>
      <c r="O1669" s="7" t="n">
        <v>2</v>
      </c>
    </row>
    <row r="1670" customFormat="false" ht="15" hidden="false" customHeight="false" outlineLevel="0" collapsed="false">
      <c r="A1670" s="7" t="s">
        <v>5334</v>
      </c>
      <c r="B1670" s="10" t="n">
        <v>45881</v>
      </c>
      <c r="C1670" s="7" t="s">
        <v>2791</v>
      </c>
      <c r="D1670" s="7" t="s">
        <v>2885</v>
      </c>
      <c r="E1670" s="7" t="s">
        <v>167</v>
      </c>
      <c r="F1670" s="7" t="s">
        <v>146</v>
      </c>
      <c r="G1670" s="7" t="s">
        <v>156</v>
      </c>
      <c r="H1670" s="7" t="n">
        <v>2</v>
      </c>
      <c r="I1670" s="11" t="n">
        <v>265</v>
      </c>
      <c r="J1670" s="11" t="n">
        <v>20</v>
      </c>
      <c r="K1670" s="11" t="n">
        <f aca="false">H1670*I1670-J1670</f>
        <v>510</v>
      </c>
      <c r="L1670" s="7" t="s">
        <v>112</v>
      </c>
      <c r="M1670" s="7" t="s">
        <v>194</v>
      </c>
      <c r="N1670" s="7" t="n">
        <v>29</v>
      </c>
      <c r="O1670" s="7" t="n">
        <v>4</v>
      </c>
    </row>
    <row r="1671" customFormat="false" ht="15" hidden="false" customHeight="false" outlineLevel="0" collapsed="false">
      <c r="A1671" s="7" t="s">
        <v>4015</v>
      </c>
      <c r="B1671" s="10" t="n">
        <v>45881</v>
      </c>
      <c r="C1671" s="7" t="s">
        <v>4016</v>
      </c>
      <c r="D1671" s="7" t="s">
        <v>530</v>
      </c>
      <c r="E1671" s="7" t="s">
        <v>98</v>
      </c>
      <c r="F1671" s="7" t="s">
        <v>86</v>
      </c>
      <c r="G1671" s="7" t="s">
        <v>99</v>
      </c>
      <c r="H1671" s="7" t="n">
        <v>3</v>
      </c>
      <c r="I1671" s="11" t="n">
        <v>275</v>
      </c>
      <c r="J1671" s="11" t="n">
        <v>50</v>
      </c>
      <c r="K1671" s="11" t="n">
        <f aca="false">H1671*I1671-J1671</f>
        <v>775</v>
      </c>
      <c r="L1671" s="7" t="s">
        <v>133</v>
      </c>
      <c r="M1671" s="7" t="s">
        <v>238</v>
      </c>
      <c r="N1671" s="7"/>
      <c r="O1671" s="7"/>
    </row>
    <row r="1672" customFormat="false" ht="15" hidden="false" customHeight="false" outlineLevel="0" collapsed="false">
      <c r="A1672" s="7" t="s">
        <v>1046</v>
      </c>
      <c r="B1672" s="10" t="n">
        <v>45881</v>
      </c>
      <c r="C1672" s="7" t="s">
        <v>315</v>
      </c>
      <c r="D1672" s="7" t="s">
        <v>1047</v>
      </c>
      <c r="E1672" s="7" t="s">
        <v>113</v>
      </c>
      <c r="F1672" s="7" t="s">
        <v>101</v>
      </c>
      <c r="G1672" s="7" t="s">
        <v>90</v>
      </c>
      <c r="H1672" s="7" t="n">
        <v>1</v>
      </c>
      <c r="I1672" s="11" t="n">
        <v>240</v>
      </c>
      <c r="J1672" s="11" t="n">
        <v>0</v>
      </c>
      <c r="K1672" s="11" t="n">
        <f aca="false">H1672*I1672-J1672</f>
        <v>240</v>
      </c>
      <c r="L1672" s="7" t="s">
        <v>88</v>
      </c>
      <c r="M1672" s="7" t="s">
        <v>238</v>
      </c>
      <c r="N1672" s="7"/>
      <c r="O1672" s="7"/>
    </row>
    <row r="1673" customFormat="false" ht="15" hidden="false" customHeight="false" outlineLevel="0" collapsed="false">
      <c r="A1673" s="7" t="s">
        <v>2908</v>
      </c>
      <c r="B1673" s="10" t="n">
        <v>45881</v>
      </c>
      <c r="C1673" s="7" t="s">
        <v>2468</v>
      </c>
      <c r="D1673" s="7" t="s">
        <v>2910</v>
      </c>
      <c r="E1673" s="7" t="s">
        <v>155</v>
      </c>
      <c r="F1673" s="7" t="s">
        <v>128</v>
      </c>
      <c r="G1673" s="7" t="s">
        <v>156</v>
      </c>
      <c r="H1673" s="7" t="n">
        <v>2</v>
      </c>
      <c r="I1673" s="11" t="n">
        <v>290</v>
      </c>
      <c r="J1673" s="11" t="n">
        <v>150</v>
      </c>
      <c r="K1673" s="11" t="n">
        <f aca="false">H1673*I1673-J1673</f>
        <v>430</v>
      </c>
      <c r="L1673" s="7" t="s">
        <v>121</v>
      </c>
      <c r="M1673" s="7" t="s">
        <v>194</v>
      </c>
      <c r="N1673" s="7" t="n">
        <v>26</v>
      </c>
      <c r="O1673" s="7" t="n">
        <v>5</v>
      </c>
    </row>
    <row r="1674" customFormat="false" ht="15" hidden="false" customHeight="false" outlineLevel="0" collapsed="false">
      <c r="A1674" s="7" t="s">
        <v>611</v>
      </c>
      <c r="B1674" s="10" t="n">
        <v>45881</v>
      </c>
      <c r="C1674" s="7" t="s">
        <v>415</v>
      </c>
      <c r="D1674" s="7" t="s">
        <v>613</v>
      </c>
      <c r="E1674" s="7" t="s">
        <v>142</v>
      </c>
      <c r="F1674" s="7" t="s">
        <v>110</v>
      </c>
      <c r="G1674" s="7" t="s">
        <v>105</v>
      </c>
      <c r="H1674" s="7" t="n">
        <v>3</v>
      </c>
      <c r="I1674" s="11" t="n">
        <v>125</v>
      </c>
      <c r="J1674" s="11" t="n">
        <v>0</v>
      </c>
      <c r="K1674" s="11" t="n">
        <f aca="false">H1674*I1674-J1674</f>
        <v>375</v>
      </c>
      <c r="L1674" s="7" t="s">
        <v>88</v>
      </c>
      <c r="M1674" s="7" t="s">
        <v>194</v>
      </c>
      <c r="N1674" s="7" t="n">
        <v>45</v>
      </c>
      <c r="O1674" s="7" t="n">
        <v>3</v>
      </c>
    </row>
    <row r="1675" customFormat="false" ht="15" hidden="false" customHeight="false" outlineLevel="0" collapsed="false">
      <c r="A1675" s="7" t="s">
        <v>2169</v>
      </c>
      <c r="B1675" s="10" t="n">
        <v>45881</v>
      </c>
      <c r="C1675" s="7" t="s">
        <v>630</v>
      </c>
      <c r="D1675" s="7" t="s">
        <v>2170</v>
      </c>
      <c r="E1675" s="7" t="s">
        <v>134</v>
      </c>
      <c r="F1675" s="7" t="s">
        <v>110</v>
      </c>
      <c r="G1675" s="7" t="s">
        <v>117</v>
      </c>
      <c r="H1675" s="7" t="n">
        <v>5</v>
      </c>
      <c r="I1675" s="11" t="n">
        <v>80</v>
      </c>
      <c r="J1675" s="11" t="n">
        <v>0</v>
      </c>
      <c r="K1675" s="11" t="n">
        <f aca="false">H1675*I1675-J1675</f>
        <v>400</v>
      </c>
      <c r="L1675" s="7" t="s">
        <v>88</v>
      </c>
      <c r="M1675" s="7" t="s">
        <v>194</v>
      </c>
      <c r="N1675" s="7" t="n">
        <v>42</v>
      </c>
      <c r="O1675" s="7" t="n">
        <v>5</v>
      </c>
    </row>
    <row r="1676" customFormat="false" ht="15" hidden="false" customHeight="false" outlineLevel="0" collapsed="false">
      <c r="A1676" s="7" t="s">
        <v>5597</v>
      </c>
      <c r="B1676" s="10" t="n">
        <v>45881</v>
      </c>
      <c r="C1676" s="7" t="s">
        <v>5599</v>
      </c>
      <c r="D1676" s="7" t="s">
        <v>2988</v>
      </c>
      <c r="E1676" s="7" t="s">
        <v>167</v>
      </c>
      <c r="F1676" s="7" t="s">
        <v>146</v>
      </c>
      <c r="G1676" s="7" t="s">
        <v>156</v>
      </c>
      <c r="H1676" s="7" t="n">
        <v>4</v>
      </c>
      <c r="I1676" s="11" t="n">
        <v>295</v>
      </c>
      <c r="J1676" s="11" t="n">
        <v>0</v>
      </c>
      <c r="K1676" s="11" t="n">
        <f aca="false">H1676*I1676-J1676</f>
        <v>1180</v>
      </c>
      <c r="L1676" s="7" t="s">
        <v>88</v>
      </c>
      <c r="M1676" s="7" t="s">
        <v>194</v>
      </c>
      <c r="N1676" s="7" t="n">
        <v>31</v>
      </c>
      <c r="O1676" s="7" t="n">
        <v>3</v>
      </c>
    </row>
    <row r="1677" customFormat="false" ht="15" hidden="false" customHeight="false" outlineLevel="0" collapsed="false">
      <c r="A1677" s="7" t="s">
        <v>5378</v>
      </c>
      <c r="B1677" s="10" t="n">
        <v>45882</v>
      </c>
      <c r="C1677" s="7" t="s">
        <v>5379</v>
      </c>
      <c r="D1677" s="7" t="s">
        <v>4588</v>
      </c>
      <c r="E1677" s="7" t="s">
        <v>159</v>
      </c>
      <c r="F1677" s="7" t="s">
        <v>136</v>
      </c>
      <c r="G1677" s="7" t="s">
        <v>90</v>
      </c>
      <c r="H1677" s="7" t="n">
        <v>2</v>
      </c>
      <c r="I1677" s="11" t="n">
        <v>200</v>
      </c>
      <c r="J1677" s="11" t="n">
        <v>100</v>
      </c>
      <c r="K1677" s="11" t="n">
        <f aca="false">H1677*I1677-J1677</f>
        <v>300</v>
      </c>
      <c r="L1677" s="7" t="s">
        <v>112</v>
      </c>
      <c r="M1677" s="7" t="s">
        <v>194</v>
      </c>
      <c r="N1677" s="7" t="n">
        <v>18</v>
      </c>
      <c r="O1677" s="7" t="n">
        <v>4</v>
      </c>
    </row>
    <row r="1678" customFormat="false" ht="15" hidden="false" customHeight="false" outlineLevel="0" collapsed="false">
      <c r="A1678" s="7" t="s">
        <v>5550</v>
      </c>
      <c r="B1678" s="10" t="n">
        <v>45882</v>
      </c>
      <c r="C1678" s="7" t="s">
        <v>1795</v>
      </c>
      <c r="D1678" s="7" t="s">
        <v>3379</v>
      </c>
      <c r="E1678" s="7" t="s">
        <v>89</v>
      </c>
      <c r="F1678" s="7" t="s">
        <v>86</v>
      </c>
      <c r="G1678" s="7" t="s">
        <v>90</v>
      </c>
      <c r="H1678" s="7" t="n">
        <v>2</v>
      </c>
      <c r="I1678" s="11" t="n">
        <v>255</v>
      </c>
      <c r="J1678" s="11" t="n">
        <v>40</v>
      </c>
      <c r="K1678" s="11" t="n">
        <f aca="false">H1678*I1678-J1678</f>
        <v>470</v>
      </c>
      <c r="L1678" s="7" t="s">
        <v>103</v>
      </c>
      <c r="M1678" s="7" t="s">
        <v>194</v>
      </c>
      <c r="N1678" s="7" t="n">
        <v>41</v>
      </c>
      <c r="O1678" s="7" t="n">
        <v>4</v>
      </c>
    </row>
    <row r="1679" customFormat="false" ht="15" hidden="false" customHeight="false" outlineLevel="0" collapsed="false">
      <c r="A1679" s="7" t="s">
        <v>5989</v>
      </c>
      <c r="B1679" s="10" t="n">
        <v>45882</v>
      </c>
      <c r="C1679" s="7" t="s">
        <v>1374</v>
      </c>
      <c r="D1679" s="7" t="s">
        <v>1220</v>
      </c>
      <c r="E1679" s="7" t="s">
        <v>147</v>
      </c>
      <c r="F1679" s="7" t="s">
        <v>119</v>
      </c>
      <c r="G1679" s="7" t="s">
        <v>95</v>
      </c>
      <c r="H1679" s="7" t="n">
        <v>2</v>
      </c>
      <c r="I1679" s="11" t="n">
        <v>105</v>
      </c>
      <c r="J1679" s="11" t="n">
        <v>0</v>
      </c>
      <c r="K1679" s="11" t="n">
        <f aca="false">H1679*I1679-J1679</f>
        <v>210</v>
      </c>
      <c r="L1679" s="7" t="s">
        <v>112</v>
      </c>
      <c r="M1679" s="7" t="s">
        <v>194</v>
      </c>
      <c r="N1679" s="7" t="n">
        <v>36</v>
      </c>
      <c r="O1679" s="7"/>
    </row>
    <row r="1680" customFormat="false" ht="15" hidden="false" customHeight="false" outlineLevel="0" collapsed="false">
      <c r="A1680" s="7" t="s">
        <v>5282</v>
      </c>
      <c r="B1680" s="10" t="n">
        <v>45882</v>
      </c>
      <c r="C1680" s="7" t="s">
        <v>825</v>
      </c>
      <c r="D1680" s="7" t="s">
        <v>1954</v>
      </c>
      <c r="E1680" s="7" t="s">
        <v>138</v>
      </c>
      <c r="F1680" s="7" t="s">
        <v>110</v>
      </c>
      <c r="G1680" s="7" t="s">
        <v>139</v>
      </c>
      <c r="H1680" s="7" t="n">
        <v>4</v>
      </c>
      <c r="I1680" s="11" t="n">
        <v>175</v>
      </c>
      <c r="J1680" s="11" t="n">
        <v>0</v>
      </c>
      <c r="K1680" s="11" t="n">
        <f aca="false">H1680*I1680-J1680</f>
        <v>700</v>
      </c>
      <c r="L1680" s="7" t="s">
        <v>103</v>
      </c>
      <c r="M1680" s="7" t="s">
        <v>194</v>
      </c>
      <c r="N1680" s="7" t="n">
        <v>47</v>
      </c>
      <c r="O1680" s="7" t="n">
        <v>5</v>
      </c>
    </row>
    <row r="1681" customFormat="false" ht="15" hidden="false" customHeight="false" outlineLevel="0" collapsed="false">
      <c r="A1681" s="7" t="s">
        <v>5734</v>
      </c>
      <c r="B1681" s="10" t="n">
        <v>45882</v>
      </c>
      <c r="C1681" s="7" t="s">
        <v>602</v>
      </c>
      <c r="D1681" s="7" t="s">
        <v>3624</v>
      </c>
      <c r="E1681" s="7" t="s">
        <v>147</v>
      </c>
      <c r="F1681" s="7" t="s">
        <v>119</v>
      </c>
      <c r="G1681" s="7" t="s">
        <v>95</v>
      </c>
      <c r="H1681" s="7" t="n">
        <v>2</v>
      </c>
      <c r="I1681" s="11" t="n">
        <v>150</v>
      </c>
      <c r="J1681" s="11" t="n">
        <v>120</v>
      </c>
      <c r="K1681" s="11" t="n">
        <f aca="false">H1681*I1681-J1681</f>
        <v>180</v>
      </c>
      <c r="L1681" s="7" t="s">
        <v>88</v>
      </c>
      <c r="M1681" s="7" t="s">
        <v>194</v>
      </c>
      <c r="N1681" s="7" t="n">
        <v>31</v>
      </c>
      <c r="O1681" s="7" t="n">
        <v>3</v>
      </c>
    </row>
    <row r="1682" customFormat="false" ht="15" hidden="false" customHeight="false" outlineLevel="0" collapsed="false">
      <c r="A1682" s="7" t="s">
        <v>1837</v>
      </c>
      <c r="B1682" s="10" t="n">
        <v>45882</v>
      </c>
      <c r="C1682" s="7" t="s">
        <v>1838</v>
      </c>
      <c r="D1682" s="7" t="s">
        <v>224</v>
      </c>
      <c r="E1682" s="7" t="s">
        <v>147</v>
      </c>
      <c r="F1682" s="7" t="s">
        <v>119</v>
      </c>
      <c r="G1682" s="7" t="s">
        <v>95</v>
      </c>
      <c r="H1682" s="7" t="n">
        <v>1</v>
      </c>
      <c r="I1682" s="11" t="n">
        <v>150</v>
      </c>
      <c r="J1682" s="11" t="n">
        <v>60</v>
      </c>
      <c r="K1682" s="11" t="n">
        <f aca="false">H1682*I1682-J1682</f>
        <v>90</v>
      </c>
      <c r="L1682" s="7" t="s">
        <v>88</v>
      </c>
      <c r="M1682" s="7" t="s">
        <v>194</v>
      </c>
      <c r="N1682" s="7" t="n">
        <v>35</v>
      </c>
      <c r="O1682" s="7" t="n">
        <v>5</v>
      </c>
    </row>
    <row r="1683" customFormat="false" ht="15" hidden="false" customHeight="false" outlineLevel="0" collapsed="false">
      <c r="A1683" s="7" t="s">
        <v>1017</v>
      </c>
      <c r="B1683" s="10" t="n">
        <v>45882</v>
      </c>
      <c r="C1683" s="7" t="s">
        <v>1019</v>
      </c>
      <c r="D1683" s="7" t="s">
        <v>1020</v>
      </c>
      <c r="E1683" s="7" t="s">
        <v>89</v>
      </c>
      <c r="F1683" s="7" t="s">
        <v>86</v>
      </c>
      <c r="G1683" s="7" t="s">
        <v>90</v>
      </c>
      <c r="H1683" s="7" t="n">
        <v>1</v>
      </c>
      <c r="I1683" s="11" t="n">
        <v>195</v>
      </c>
      <c r="J1683" s="11" t="n">
        <v>0</v>
      </c>
      <c r="K1683" s="11" t="n">
        <f aca="false">H1683*I1683-J1683</f>
        <v>195</v>
      </c>
      <c r="L1683" s="7" t="s">
        <v>88</v>
      </c>
      <c r="M1683" s="7" t="s">
        <v>194</v>
      </c>
      <c r="N1683" s="7" t="n">
        <v>46</v>
      </c>
      <c r="O1683" s="7" t="n">
        <v>3</v>
      </c>
    </row>
    <row r="1684" customFormat="false" ht="15" hidden="false" customHeight="false" outlineLevel="0" collapsed="false">
      <c r="A1684" s="7" t="s">
        <v>5840</v>
      </c>
      <c r="B1684" s="10" t="n">
        <v>45882</v>
      </c>
      <c r="C1684" s="7" t="s">
        <v>2756</v>
      </c>
      <c r="D1684" s="7" t="s">
        <v>1352</v>
      </c>
      <c r="E1684" s="7" t="s">
        <v>165</v>
      </c>
      <c r="F1684" s="7" t="s">
        <v>146</v>
      </c>
      <c r="G1684" s="7" t="s">
        <v>90</v>
      </c>
      <c r="H1684" s="7" t="n">
        <v>1</v>
      </c>
      <c r="I1684" s="11" t="n">
        <v>195</v>
      </c>
      <c r="J1684" s="11" t="n">
        <v>78</v>
      </c>
      <c r="K1684" s="11" t="n">
        <f aca="false">H1684*I1684-J1684</f>
        <v>117</v>
      </c>
      <c r="L1684" s="7" t="s">
        <v>112</v>
      </c>
      <c r="M1684" s="7" t="s">
        <v>194</v>
      </c>
      <c r="N1684" s="7" t="n">
        <v>40</v>
      </c>
      <c r="O1684" s="7" t="n">
        <v>3</v>
      </c>
    </row>
    <row r="1685" customFormat="false" ht="15" hidden="false" customHeight="false" outlineLevel="0" collapsed="false">
      <c r="A1685" s="7" t="s">
        <v>5709</v>
      </c>
      <c r="B1685" s="10" t="n">
        <v>45882</v>
      </c>
      <c r="C1685" s="7" t="s">
        <v>976</v>
      </c>
      <c r="D1685" s="7" t="s">
        <v>4244</v>
      </c>
      <c r="E1685" s="7" t="s">
        <v>158</v>
      </c>
      <c r="F1685" s="7" t="s">
        <v>136</v>
      </c>
      <c r="G1685" s="7" t="s">
        <v>139</v>
      </c>
      <c r="H1685" s="7" t="n">
        <v>1</v>
      </c>
      <c r="I1685" s="11" t="n">
        <v>205</v>
      </c>
      <c r="J1685" s="11" t="n">
        <v>0</v>
      </c>
      <c r="K1685" s="11" t="n">
        <f aca="false">H1685*I1685-J1685</f>
        <v>205</v>
      </c>
      <c r="L1685" s="7" t="s">
        <v>112</v>
      </c>
      <c r="M1685" s="7" t="s">
        <v>194</v>
      </c>
      <c r="N1685" s="7" t="n">
        <v>34</v>
      </c>
      <c r="O1685" s="7" t="n">
        <v>5</v>
      </c>
    </row>
    <row r="1686" customFormat="false" ht="15" hidden="false" customHeight="false" outlineLevel="0" collapsed="false">
      <c r="A1686" s="7" t="s">
        <v>1679</v>
      </c>
      <c r="B1686" s="10" t="n">
        <v>45882</v>
      </c>
      <c r="C1686" s="7" t="s">
        <v>1215</v>
      </c>
      <c r="D1686" s="7" t="s">
        <v>1681</v>
      </c>
      <c r="E1686" s="7" t="s">
        <v>160</v>
      </c>
      <c r="F1686" s="7" t="s">
        <v>136</v>
      </c>
      <c r="G1686" s="7" t="s">
        <v>150</v>
      </c>
      <c r="H1686" s="7" t="n">
        <v>3</v>
      </c>
      <c r="I1686" s="11" t="n">
        <v>150</v>
      </c>
      <c r="J1686" s="11" t="n">
        <v>50</v>
      </c>
      <c r="K1686" s="11" t="n">
        <f aca="false">H1686*I1686-J1686</f>
        <v>400</v>
      </c>
      <c r="L1686" s="7" t="s">
        <v>6170</v>
      </c>
      <c r="M1686" s="7" t="s">
        <v>194</v>
      </c>
      <c r="N1686" s="7" t="n">
        <v>35</v>
      </c>
      <c r="O1686" s="7" t="n">
        <v>4</v>
      </c>
    </row>
    <row r="1687" customFormat="false" ht="15" hidden="false" customHeight="false" outlineLevel="0" collapsed="false">
      <c r="A1687" s="7" t="s">
        <v>5014</v>
      </c>
      <c r="B1687" s="10" t="n">
        <v>45883</v>
      </c>
      <c r="C1687" s="7" t="s">
        <v>1449</v>
      </c>
      <c r="D1687" s="7" t="s">
        <v>2342</v>
      </c>
      <c r="E1687" s="7" t="s">
        <v>149</v>
      </c>
      <c r="F1687" s="7" t="s">
        <v>119</v>
      </c>
      <c r="G1687" s="7" t="s">
        <v>150</v>
      </c>
      <c r="H1687" s="7" t="n">
        <v>2</v>
      </c>
      <c r="I1687" s="11" t="n">
        <v>160</v>
      </c>
      <c r="J1687" s="11" t="n">
        <v>75</v>
      </c>
      <c r="K1687" s="11" t="n">
        <f aca="false">H1687*I1687-J1687</f>
        <v>245</v>
      </c>
      <c r="L1687" s="7" t="s">
        <v>88</v>
      </c>
      <c r="M1687" s="7" t="s">
        <v>194</v>
      </c>
      <c r="N1687" s="7" t="n">
        <v>23</v>
      </c>
      <c r="O1687" s="7" t="n">
        <v>5</v>
      </c>
    </row>
    <row r="1688" customFormat="false" ht="15" hidden="false" customHeight="false" outlineLevel="0" collapsed="false">
      <c r="A1688" s="7" t="s">
        <v>3760</v>
      </c>
      <c r="B1688" s="10" t="n">
        <v>45883</v>
      </c>
      <c r="C1688" s="7" t="s">
        <v>634</v>
      </c>
      <c r="D1688" s="7" t="s">
        <v>3761</v>
      </c>
      <c r="E1688" s="7" t="s">
        <v>148</v>
      </c>
      <c r="F1688" s="7" t="s">
        <v>119</v>
      </c>
      <c r="G1688" s="7" t="s">
        <v>123</v>
      </c>
      <c r="H1688" s="7" t="n">
        <v>4</v>
      </c>
      <c r="I1688" s="11" t="n">
        <v>350</v>
      </c>
      <c r="J1688" s="11" t="n">
        <v>30</v>
      </c>
      <c r="K1688" s="11" t="n">
        <f aca="false">H1688*I1688-J1688</f>
        <v>1370</v>
      </c>
      <c r="L1688" s="7" t="s">
        <v>88</v>
      </c>
      <c r="M1688" s="7" t="s">
        <v>194</v>
      </c>
      <c r="N1688" s="7" t="n">
        <v>26</v>
      </c>
      <c r="O1688" s="7" t="n">
        <v>5</v>
      </c>
    </row>
    <row r="1689" customFormat="false" ht="15" hidden="false" customHeight="false" outlineLevel="0" collapsed="false">
      <c r="A1689" s="7" t="s">
        <v>1669</v>
      </c>
      <c r="B1689" s="10" t="n">
        <v>45883</v>
      </c>
      <c r="C1689" s="7" t="s">
        <v>1671</v>
      </c>
      <c r="D1689" s="7" t="s">
        <v>1672</v>
      </c>
      <c r="E1689" s="7" t="s">
        <v>138</v>
      </c>
      <c r="F1689" s="7" t="s">
        <v>110</v>
      </c>
      <c r="G1689" s="7" t="s">
        <v>139</v>
      </c>
      <c r="H1689" s="7" t="n">
        <v>3</v>
      </c>
      <c r="I1689" s="11" t="n">
        <v>195</v>
      </c>
      <c r="J1689" s="11" t="n">
        <v>50</v>
      </c>
      <c r="K1689" s="11" t="n">
        <f aca="false">H1689*I1689-J1689</f>
        <v>535</v>
      </c>
      <c r="L1689" s="7" t="s">
        <v>88</v>
      </c>
      <c r="M1689" s="7" t="s">
        <v>194</v>
      </c>
      <c r="N1689" s="7" t="n">
        <v>43</v>
      </c>
      <c r="O1689" s="7" t="n">
        <v>2</v>
      </c>
    </row>
    <row r="1690" customFormat="false" ht="15" hidden="false" customHeight="false" outlineLevel="0" collapsed="false">
      <c r="A1690" s="7" t="s">
        <v>5963</v>
      </c>
      <c r="B1690" s="10" t="n">
        <v>45883</v>
      </c>
      <c r="C1690" s="7" t="s">
        <v>2696</v>
      </c>
      <c r="D1690" s="7" t="s">
        <v>4423</v>
      </c>
      <c r="E1690" s="7" t="s">
        <v>113</v>
      </c>
      <c r="F1690" s="7" t="s">
        <v>101</v>
      </c>
      <c r="G1690" s="7" t="s">
        <v>90</v>
      </c>
      <c r="H1690" s="7" t="n">
        <v>2</v>
      </c>
      <c r="I1690" s="11" t="n">
        <v>235</v>
      </c>
      <c r="J1690" s="11" t="n">
        <v>20</v>
      </c>
      <c r="K1690" s="11" t="n">
        <f aca="false">H1690*I1690-J1690</f>
        <v>450</v>
      </c>
      <c r="L1690" s="7" t="s">
        <v>88</v>
      </c>
      <c r="M1690" s="7" t="s">
        <v>194</v>
      </c>
      <c r="N1690" s="7" t="n">
        <v>39</v>
      </c>
      <c r="O1690" s="7" t="n">
        <v>5</v>
      </c>
    </row>
    <row r="1691" customFormat="false" ht="15" hidden="false" customHeight="false" outlineLevel="0" collapsed="false">
      <c r="A1691" s="7" t="s">
        <v>1940</v>
      </c>
      <c r="B1691" s="10" t="n">
        <v>45883</v>
      </c>
      <c r="C1691" s="7" t="s">
        <v>1941</v>
      </c>
      <c r="D1691" s="7" t="s">
        <v>680</v>
      </c>
      <c r="E1691" s="7" t="s">
        <v>113</v>
      </c>
      <c r="F1691" s="7" t="s">
        <v>101</v>
      </c>
      <c r="G1691" s="7" t="s">
        <v>90</v>
      </c>
      <c r="H1691" s="7" t="n">
        <v>1</v>
      </c>
      <c r="I1691" s="11" t="n">
        <v>225</v>
      </c>
      <c r="J1691" s="11" t="n">
        <v>0</v>
      </c>
      <c r="K1691" s="11" t="n">
        <f aca="false">H1691*I1691-J1691</f>
        <v>225</v>
      </c>
      <c r="L1691" s="7" t="s">
        <v>93</v>
      </c>
      <c r="M1691" s="7" t="s">
        <v>238</v>
      </c>
      <c r="N1691" s="7"/>
      <c r="O1691" s="7"/>
    </row>
    <row r="1692" customFormat="false" ht="15" hidden="false" customHeight="false" outlineLevel="0" collapsed="false">
      <c r="A1692" s="7" t="s">
        <v>3266</v>
      </c>
      <c r="B1692" s="10" t="n">
        <v>45883</v>
      </c>
      <c r="C1692" s="7" t="s">
        <v>3268</v>
      </c>
      <c r="D1692" s="7" t="s">
        <v>3055</v>
      </c>
      <c r="E1692" s="7" t="s">
        <v>161</v>
      </c>
      <c r="F1692" s="7" t="s">
        <v>141</v>
      </c>
      <c r="G1692" s="7" t="s">
        <v>117</v>
      </c>
      <c r="H1692" s="7" t="n">
        <v>3</v>
      </c>
      <c r="I1692" s="11" t="n">
        <v>125</v>
      </c>
      <c r="J1692" s="11" t="n">
        <v>100</v>
      </c>
      <c r="K1692" s="11" t="n">
        <f aca="false">H1692*I1692-J1692</f>
        <v>275</v>
      </c>
      <c r="L1692" s="7" t="s">
        <v>88</v>
      </c>
      <c r="M1692" s="7" t="s">
        <v>194</v>
      </c>
      <c r="N1692" s="7" t="n">
        <v>38</v>
      </c>
      <c r="O1692" s="7" t="n">
        <v>5</v>
      </c>
    </row>
    <row r="1693" customFormat="false" ht="15" hidden="false" customHeight="false" outlineLevel="0" collapsed="false">
      <c r="A1693" s="7" t="s">
        <v>5520</v>
      </c>
      <c r="B1693" s="10" t="n">
        <v>45883</v>
      </c>
      <c r="C1693" s="7" t="s">
        <v>437</v>
      </c>
      <c r="D1693" s="7" t="s">
        <v>4436</v>
      </c>
      <c r="E1693" s="7" t="s">
        <v>168</v>
      </c>
      <c r="F1693" s="7" t="s">
        <v>146</v>
      </c>
      <c r="G1693" s="7" t="s">
        <v>123</v>
      </c>
      <c r="H1693" s="7" t="n">
        <v>4</v>
      </c>
      <c r="I1693" s="11" t="n">
        <v>260</v>
      </c>
      <c r="J1693" s="11" t="n">
        <v>0</v>
      </c>
      <c r="K1693" s="11" t="n">
        <f aca="false">H1693*I1693-J1693</f>
        <v>1040</v>
      </c>
      <c r="L1693" s="7" t="s">
        <v>93</v>
      </c>
      <c r="M1693" s="7" t="s">
        <v>194</v>
      </c>
      <c r="N1693" s="7" t="n">
        <v>40</v>
      </c>
      <c r="O1693" s="7" t="n">
        <v>5</v>
      </c>
    </row>
    <row r="1694" customFormat="false" ht="15" hidden="false" customHeight="false" outlineLevel="0" collapsed="false">
      <c r="A1694" s="7" t="s">
        <v>3815</v>
      </c>
      <c r="B1694" s="10" t="n">
        <v>45884</v>
      </c>
      <c r="C1694" s="7" t="s">
        <v>1684</v>
      </c>
      <c r="D1694" s="7" t="s">
        <v>3816</v>
      </c>
      <c r="E1694" s="7" t="s">
        <v>138</v>
      </c>
      <c r="F1694" s="7" t="s">
        <v>110</v>
      </c>
      <c r="G1694" s="7" t="s">
        <v>139</v>
      </c>
      <c r="H1694" s="7" t="n">
        <v>4</v>
      </c>
      <c r="I1694" s="11" t="n">
        <v>200</v>
      </c>
      <c r="J1694" s="11" t="n">
        <v>150</v>
      </c>
      <c r="K1694" s="11" t="n">
        <f aca="false">H1694*I1694-J1694</f>
        <v>650</v>
      </c>
      <c r="L1694" s="7" t="s">
        <v>88</v>
      </c>
      <c r="M1694" s="7" t="s">
        <v>194</v>
      </c>
      <c r="N1694" s="7" t="n">
        <v>31</v>
      </c>
      <c r="O1694" s="7" t="n">
        <v>4</v>
      </c>
    </row>
    <row r="1695" customFormat="false" ht="15" hidden="false" customHeight="false" outlineLevel="0" collapsed="false">
      <c r="A1695" s="7" t="s">
        <v>4548</v>
      </c>
      <c r="B1695" s="10" t="n">
        <v>45884</v>
      </c>
      <c r="C1695" s="7" t="s">
        <v>1250</v>
      </c>
      <c r="D1695" s="7" t="s">
        <v>4549</v>
      </c>
      <c r="E1695" s="7" t="s">
        <v>157</v>
      </c>
      <c r="F1695" s="7" t="s">
        <v>136</v>
      </c>
      <c r="G1695" s="7" t="s">
        <v>117</v>
      </c>
      <c r="H1695" s="7" t="n">
        <v>1</v>
      </c>
      <c r="I1695" s="11" t="n">
        <v>125</v>
      </c>
      <c r="J1695" s="11" t="n">
        <v>40</v>
      </c>
      <c r="K1695" s="11" t="n">
        <f aca="false">H1695*I1695-J1695</f>
        <v>85</v>
      </c>
      <c r="L1695" s="7" t="s">
        <v>103</v>
      </c>
      <c r="M1695" s="7" t="s">
        <v>194</v>
      </c>
      <c r="N1695" s="7" t="n">
        <v>33</v>
      </c>
      <c r="O1695" s="7" t="n">
        <v>2</v>
      </c>
    </row>
    <row r="1696" customFormat="false" ht="15" hidden="false" customHeight="false" outlineLevel="0" collapsed="false">
      <c r="A1696" s="7" t="s">
        <v>6118</v>
      </c>
      <c r="B1696" s="10" t="n">
        <v>45884</v>
      </c>
      <c r="C1696" s="7" t="s">
        <v>1384</v>
      </c>
      <c r="D1696" s="7" t="s">
        <v>6119</v>
      </c>
      <c r="E1696" s="7" t="s">
        <v>113</v>
      </c>
      <c r="F1696" s="7" t="s">
        <v>101</v>
      </c>
      <c r="G1696" s="7" t="s">
        <v>90</v>
      </c>
      <c r="H1696" s="7" t="n">
        <v>2</v>
      </c>
      <c r="I1696" s="11" t="n">
        <v>340</v>
      </c>
      <c r="J1696" s="11" t="n">
        <v>40</v>
      </c>
      <c r="K1696" s="11" t="n">
        <f aca="false">H1696*I1696-J1696</f>
        <v>640</v>
      </c>
      <c r="L1696" s="7" t="s">
        <v>88</v>
      </c>
      <c r="M1696" s="7" t="s">
        <v>194</v>
      </c>
      <c r="N1696" s="7" t="n">
        <v>50</v>
      </c>
      <c r="O1696" s="7" t="n">
        <v>4</v>
      </c>
    </row>
    <row r="1697" customFormat="false" ht="15" hidden="false" customHeight="false" outlineLevel="0" collapsed="false">
      <c r="A1697" s="7" t="s">
        <v>3475</v>
      </c>
      <c r="B1697" s="10" t="n">
        <v>45884</v>
      </c>
      <c r="C1697" s="7" t="s">
        <v>191</v>
      </c>
      <c r="D1697" s="7" t="s">
        <v>1833</v>
      </c>
      <c r="E1697" s="7" t="s">
        <v>98</v>
      </c>
      <c r="F1697" s="7" t="s">
        <v>86</v>
      </c>
      <c r="G1697" s="7" t="s">
        <v>99</v>
      </c>
      <c r="H1697" s="7" t="n">
        <v>1</v>
      </c>
      <c r="I1697" s="11" t="n">
        <v>280</v>
      </c>
      <c r="J1697" s="11" t="n">
        <v>0</v>
      </c>
      <c r="K1697" s="11" t="n">
        <f aca="false">H1697*I1697-J1697</f>
        <v>280</v>
      </c>
      <c r="L1697" s="7" t="s">
        <v>103</v>
      </c>
      <c r="M1697" s="7" t="s">
        <v>194</v>
      </c>
      <c r="N1697" s="7" t="n">
        <v>36</v>
      </c>
      <c r="O1697" s="7" t="n">
        <v>5</v>
      </c>
    </row>
    <row r="1698" customFormat="false" ht="15" hidden="false" customHeight="false" outlineLevel="0" collapsed="false">
      <c r="A1698" s="7" t="s">
        <v>3845</v>
      </c>
      <c r="B1698" s="10" t="n">
        <v>45884</v>
      </c>
      <c r="C1698" s="7" t="s">
        <v>686</v>
      </c>
      <c r="D1698" s="7" t="s">
        <v>1232</v>
      </c>
      <c r="E1698" s="7" t="s">
        <v>130</v>
      </c>
      <c r="F1698" s="7" t="s">
        <v>110</v>
      </c>
      <c r="G1698" s="7" t="s">
        <v>90</v>
      </c>
      <c r="H1698" s="7" t="n">
        <v>1</v>
      </c>
      <c r="I1698" s="11" t="n">
        <v>235</v>
      </c>
      <c r="J1698" s="11" t="n">
        <v>0</v>
      </c>
      <c r="K1698" s="11" t="n">
        <f aca="false">H1698*I1698-J1698</f>
        <v>235</v>
      </c>
      <c r="L1698" s="7" t="s">
        <v>103</v>
      </c>
      <c r="M1698" s="7" t="s">
        <v>194</v>
      </c>
      <c r="N1698" s="7" t="n">
        <v>40</v>
      </c>
      <c r="O1698" s="7" t="n">
        <v>4</v>
      </c>
    </row>
    <row r="1699" customFormat="false" ht="15" hidden="false" customHeight="false" outlineLevel="0" collapsed="false">
      <c r="A1699" s="7" t="s">
        <v>1560</v>
      </c>
      <c r="B1699" s="10" t="n">
        <v>45884</v>
      </c>
      <c r="C1699" s="7" t="s">
        <v>1562</v>
      </c>
      <c r="D1699" s="7" t="s">
        <v>1563</v>
      </c>
      <c r="E1699" s="7" t="s">
        <v>122</v>
      </c>
      <c r="F1699" s="7" t="s">
        <v>101</v>
      </c>
      <c r="G1699" s="7" t="s">
        <v>123</v>
      </c>
      <c r="H1699" s="7" t="n">
        <v>1</v>
      </c>
      <c r="I1699" s="11" t="n">
        <v>405</v>
      </c>
      <c r="J1699" s="11" t="n">
        <v>0</v>
      </c>
      <c r="K1699" s="11" t="n">
        <f aca="false">H1699*I1699-J1699</f>
        <v>405</v>
      </c>
      <c r="L1699" s="7" t="s">
        <v>103</v>
      </c>
      <c r="M1699" s="7" t="s">
        <v>194</v>
      </c>
      <c r="N1699" s="7" t="n">
        <v>38</v>
      </c>
      <c r="O1699" s="7" t="n">
        <v>3</v>
      </c>
    </row>
    <row r="1700" customFormat="false" ht="15" hidden="false" customHeight="false" outlineLevel="0" collapsed="false">
      <c r="A1700" s="7" t="s">
        <v>2386</v>
      </c>
      <c r="B1700" s="10" t="n">
        <v>45884</v>
      </c>
      <c r="C1700" s="7" t="s">
        <v>213</v>
      </c>
      <c r="D1700" s="7" t="s">
        <v>2122</v>
      </c>
      <c r="E1700" s="7" t="s">
        <v>130</v>
      </c>
      <c r="F1700" s="7" t="s">
        <v>110</v>
      </c>
      <c r="G1700" s="7" t="s">
        <v>90</v>
      </c>
      <c r="H1700" s="7" t="n">
        <v>2</v>
      </c>
      <c r="I1700" s="11" t="n">
        <v>265</v>
      </c>
      <c r="J1700" s="11" t="n">
        <v>0</v>
      </c>
      <c r="K1700" s="11" t="n">
        <f aca="false">H1700*I1700-J1700</f>
        <v>530</v>
      </c>
      <c r="L1700" s="7" t="s">
        <v>112</v>
      </c>
      <c r="M1700" s="7" t="s">
        <v>238</v>
      </c>
      <c r="N1700" s="7"/>
      <c r="O1700" s="7"/>
    </row>
    <row r="1701" customFormat="false" ht="15" hidden="false" customHeight="false" outlineLevel="0" collapsed="false">
      <c r="A1701" s="7" t="s">
        <v>4290</v>
      </c>
      <c r="B1701" s="10" t="n">
        <v>45884</v>
      </c>
      <c r="C1701" s="7" t="s">
        <v>1572</v>
      </c>
      <c r="D1701" s="7" t="s">
        <v>1491</v>
      </c>
      <c r="E1701" s="7" t="s">
        <v>98</v>
      </c>
      <c r="F1701" s="7" t="s">
        <v>86</v>
      </c>
      <c r="G1701" s="7" t="s">
        <v>99</v>
      </c>
      <c r="H1701" s="7" t="n">
        <v>4</v>
      </c>
      <c r="I1701" s="11" t="n">
        <v>295</v>
      </c>
      <c r="J1701" s="11" t="n">
        <v>0</v>
      </c>
      <c r="K1701" s="11" t="n">
        <f aca="false">H1701*I1701-J1701</f>
        <v>1180</v>
      </c>
      <c r="L1701" s="7" t="s">
        <v>88</v>
      </c>
      <c r="M1701" s="7" t="s">
        <v>194</v>
      </c>
      <c r="N1701" s="7" t="n">
        <v>52</v>
      </c>
      <c r="O1701" s="7" t="n">
        <v>5</v>
      </c>
    </row>
    <row r="1702" customFormat="false" ht="15" hidden="false" customHeight="false" outlineLevel="0" collapsed="false">
      <c r="A1702" s="7" t="s">
        <v>5965</v>
      </c>
      <c r="B1702" s="10" t="n">
        <v>45885</v>
      </c>
      <c r="C1702" s="7" t="s">
        <v>5966</v>
      </c>
      <c r="D1702" s="7" t="s">
        <v>1232</v>
      </c>
      <c r="E1702" s="7" t="s">
        <v>130</v>
      </c>
      <c r="F1702" s="7" t="s">
        <v>110</v>
      </c>
      <c r="G1702" s="7" t="s">
        <v>90</v>
      </c>
      <c r="H1702" s="7" t="n">
        <v>2</v>
      </c>
      <c r="I1702" s="11" t="n">
        <v>300</v>
      </c>
      <c r="J1702" s="11" t="n">
        <v>125</v>
      </c>
      <c r="K1702" s="11" t="n">
        <f aca="false">H1702*I1702-J1702</f>
        <v>475</v>
      </c>
      <c r="L1702" s="7" t="s">
        <v>88</v>
      </c>
      <c r="M1702" s="7" t="s">
        <v>194</v>
      </c>
      <c r="N1702" s="7" t="n">
        <v>35</v>
      </c>
      <c r="O1702" s="7" t="n">
        <v>4</v>
      </c>
    </row>
    <row r="1703" customFormat="false" ht="15" hidden="false" customHeight="false" outlineLevel="0" collapsed="false">
      <c r="A1703" s="7" t="s">
        <v>5060</v>
      </c>
      <c r="B1703" s="10" t="n">
        <v>45885</v>
      </c>
      <c r="C1703" s="7" t="s">
        <v>3097</v>
      </c>
      <c r="D1703" s="7" t="s">
        <v>1621</v>
      </c>
      <c r="E1703" s="7" t="s">
        <v>116</v>
      </c>
      <c r="F1703" s="7" t="s">
        <v>101</v>
      </c>
      <c r="G1703" s="7" t="s">
        <v>117</v>
      </c>
      <c r="H1703" s="7" t="n">
        <v>2</v>
      </c>
      <c r="I1703" s="11" t="n">
        <v>125</v>
      </c>
      <c r="J1703" s="11" t="n">
        <v>40</v>
      </c>
      <c r="K1703" s="11" t="n">
        <f aca="false">H1703*I1703-J1703</f>
        <v>210</v>
      </c>
      <c r="L1703" s="7" t="s">
        <v>112</v>
      </c>
      <c r="M1703" s="7" t="s">
        <v>194</v>
      </c>
      <c r="N1703" s="7" t="n">
        <v>56</v>
      </c>
      <c r="O1703" s="7"/>
    </row>
    <row r="1704" customFormat="false" ht="15" hidden="false" customHeight="false" outlineLevel="0" collapsed="false">
      <c r="A1704" s="7" t="s">
        <v>4927</v>
      </c>
      <c r="B1704" s="10" t="n">
        <v>45885</v>
      </c>
      <c r="C1704" s="7" t="s">
        <v>403</v>
      </c>
      <c r="D1704" s="7" t="s">
        <v>1343</v>
      </c>
      <c r="E1704" s="7" t="s">
        <v>104</v>
      </c>
      <c r="F1704" s="7" t="s">
        <v>86</v>
      </c>
      <c r="G1704" s="7" t="s">
        <v>105</v>
      </c>
      <c r="H1704" s="7" t="n">
        <v>4</v>
      </c>
      <c r="I1704" s="11" t="n">
        <v>205</v>
      </c>
      <c r="J1704" s="11" t="n">
        <v>0</v>
      </c>
      <c r="K1704" s="11" t="n">
        <f aca="false">H1704*I1704-J1704</f>
        <v>820</v>
      </c>
      <c r="L1704" s="7" t="s">
        <v>88</v>
      </c>
      <c r="M1704" s="7" t="s">
        <v>194</v>
      </c>
      <c r="N1704" s="7" t="n">
        <v>45</v>
      </c>
      <c r="O1704" s="7" t="n">
        <v>5</v>
      </c>
    </row>
    <row r="1705" customFormat="false" ht="15" hidden="false" customHeight="false" outlineLevel="0" collapsed="false">
      <c r="A1705" s="7" t="s">
        <v>5457</v>
      </c>
      <c r="B1705" s="10" t="n">
        <v>45885</v>
      </c>
      <c r="C1705" s="7" t="s">
        <v>3713</v>
      </c>
      <c r="D1705" s="7" t="s">
        <v>3874</v>
      </c>
      <c r="E1705" s="7" t="s">
        <v>94</v>
      </c>
      <c r="F1705" s="7" t="s">
        <v>86</v>
      </c>
      <c r="G1705" s="7" t="s">
        <v>95</v>
      </c>
      <c r="H1705" s="7" t="n">
        <v>1</v>
      </c>
      <c r="I1705" s="11" t="n">
        <v>145</v>
      </c>
      <c r="J1705" s="11" t="n">
        <v>0</v>
      </c>
      <c r="K1705" s="11" t="n">
        <f aca="false">H1705*I1705-J1705</f>
        <v>145</v>
      </c>
      <c r="L1705" s="7" t="s">
        <v>88</v>
      </c>
      <c r="M1705" s="7" t="s">
        <v>194</v>
      </c>
      <c r="N1705" s="7" t="n">
        <v>52</v>
      </c>
      <c r="O1705" s="7" t="n">
        <v>3</v>
      </c>
    </row>
    <row r="1706" customFormat="false" ht="15" hidden="false" customHeight="false" outlineLevel="0" collapsed="false">
      <c r="A1706" s="7" t="s">
        <v>5725</v>
      </c>
      <c r="B1706" s="10" t="n">
        <v>45885</v>
      </c>
      <c r="C1706" s="7" t="s">
        <v>1250</v>
      </c>
      <c r="D1706" s="7" t="s">
        <v>4862</v>
      </c>
      <c r="E1706" s="7" t="s">
        <v>113</v>
      </c>
      <c r="F1706" s="7" t="s">
        <v>101</v>
      </c>
      <c r="G1706" s="7" t="s">
        <v>90</v>
      </c>
      <c r="H1706" s="7" t="n">
        <v>1</v>
      </c>
      <c r="I1706" s="11" t="n">
        <v>310</v>
      </c>
      <c r="J1706" s="11" t="n">
        <v>75</v>
      </c>
      <c r="K1706" s="11" t="n">
        <f aca="false">H1706*I1706-J1706</f>
        <v>235</v>
      </c>
      <c r="L1706" s="7" t="s">
        <v>88</v>
      </c>
      <c r="M1706" s="7" t="s">
        <v>194</v>
      </c>
      <c r="N1706" s="7" t="n">
        <v>45</v>
      </c>
      <c r="O1706" s="7" t="n">
        <v>4</v>
      </c>
    </row>
    <row r="1707" customFormat="false" ht="15" hidden="false" customHeight="false" outlineLevel="0" collapsed="false">
      <c r="A1707" s="7" t="s">
        <v>1147</v>
      </c>
      <c r="B1707" s="10" t="n">
        <v>45885</v>
      </c>
      <c r="C1707" s="7" t="s">
        <v>661</v>
      </c>
      <c r="D1707" s="7" t="s">
        <v>1148</v>
      </c>
      <c r="E1707" s="7" t="s">
        <v>144</v>
      </c>
      <c r="F1707" s="7" t="s">
        <v>119</v>
      </c>
      <c r="G1707" s="7" t="s">
        <v>99</v>
      </c>
      <c r="H1707" s="7" t="n">
        <v>3</v>
      </c>
      <c r="I1707" s="11" t="n">
        <v>345</v>
      </c>
      <c r="J1707" s="11" t="n">
        <v>125</v>
      </c>
      <c r="K1707" s="11" t="n">
        <f aca="false">H1707*I1707-J1707</f>
        <v>910</v>
      </c>
      <c r="L1707" s="7" t="s">
        <v>88</v>
      </c>
      <c r="M1707" s="7" t="s">
        <v>194</v>
      </c>
      <c r="N1707" s="7" t="n">
        <v>31</v>
      </c>
      <c r="O1707" s="7"/>
    </row>
    <row r="1708" customFormat="false" ht="15" hidden="false" customHeight="false" outlineLevel="0" collapsed="false">
      <c r="A1708" s="7" t="s">
        <v>5804</v>
      </c>
      <c r="B1708" s="10" t="n">
        <v>45885</v>
      </c>
      <c r="C1708" s="7" t="s">
        <v>1615</v>
      </c>
      <c r="D1708" s="7" t="s">
        <v>1000</v>
      </c>
      <c r="E1708" s="7" t="s">
        <v>126</v>
      </c>
      <c r="F1708" s="7" t="s">
        <v>101</v>
      </c>
      <c r="G1708" s="7" t="s">
        <v>105</v>
      </c>
      <c r="H1708" s="7" t="n">
        <v>3</v>
      </c>
      <c r="I1708" s="11" t="n">
        <v>225</v>
      </c>
      <c r="J1708" s="11" t="n">
        <v>20</v>
      </c>
      <c r="K1708" s="11" t="n">
        <f aca="false">H1708*I1708-J1708</f>
        <v>655</v>
      </c>
      <c r="L1708" s="7" t="s">
        <v>112</v>
      </c>
      <c r="M1708" s="7" t="s">
        <v>194</v>
      </c>
      <c r="N1708" s="7" t="n">
        <v>42</v>
      </c>
      <c r="O1708" s="7" t="n">
        <v>3</v>
      </c>
    </row>
    <row r="1709" customFormat="false" ht="15" hidden="false" customHeight="false" outlineLevel="0" collapsed="false">
      <c r="A1709" s="7" t="s">
        <v>1853</v>
      </c>
      <c r="B1709" s="10" t="n">
        <v>45885</v>
      </c>
      <c r="C1709" s="7" t="s">
        <v>1855</v>
      </c>
      <c r="D1709" s="7" t="s">
        <v>1856</v>
      </c>
      <c r="E1709" s="7" t="s">
        <v>134</v>
      </c>
      <c r="F1709" s="7" t="s">
        <v>110</v>
      </c>
      <c r="G1709" s="7" t="s">
        <v>117</v>
      </c>
      <c r="H1709" s="7" t="n">
        <v>1</v>
      </c>
      <c r="I1709" s="11" t="n">
        <v>90</v>
      </c>
      <c r="J1709" s="11" t="n">
        <v>0</v>
      </c>
      <c r="K1709" s="11" t="n">
        <f aca="false">H1709*I1709-J1709</f>
        <v>90</v>
      </c>
      <c r="L1709" s="7" t="s">
        <v>88</v>
      </c>
      <c r="M1709" s="7" t="s">
        <v>194</v>
      </c>
      <c r="N1709" s="7" t="n">
        <v>51</v>
      </c>
      <c r="O1709" s="7" t="n">
        <v>5</v>
      </c>
    </row>
    <row r="1710" customFormat="false" ht="15" hidden="false" customHeight="false" outlineLevel="0" collapsed="false">
      <c r="A1710" s="7" t="s">
        <v>5837</v>
      </c>
      <c r="B1710" s="10" t="n">
        <v>45885</v>
      </c>
      <c r="C1710" s="7" t="s">
        <v>1781</v>
      </c>
      <c r="D1710" s="7" t="s">
        <v>5838</v>
      </c>
      <c r="E1710" s="7" t="s">
        <v>94</v>
      </c>
      <c r="F1710" s="7" t="s">
        <v>86</v>
      </c>
      <c r="G1710" s="7" t="s">
        <v>95</v>
      </c>
      <c r="H1710" s="7" t="n">
        <v>1</v>
      </c>
      <c r="I1710" s="11" t="n">
        <v>130</v>
      </c>
      <c r="J1710" s="11" t="n">
        <v>0</v>
      </c>
      <c r="K1710" s="11" t="n">
        <f aca="false">H1710*I1710-J1710</f>
        <v>130</v>
      </c>
      <c r="L1710" s="7" t="s">
        <v>112</v>
      </c>
      <c r="M1710" s="7" t="s">
        <v>194</v>
      </c>
      <c r="N1710" s="7" t="n">
        <v>46</v>
      </c>
      <c r="O1710" s="7" t="n">
        <v>4</v>
      </c>
    </row>
    <row r="1711" customFormat="false" ht="15" hidden="false" customHeight="false" outlineLevel="0" collapsed="false">
      <c r="A1711" s="7" t="s">
        <v>4411</v>
      </c>
      <c r="B1711" s="10" t="n">
        <v>45885</v>
      </c>
      <c r="C1711" s="7" t="s">
        <v>1015</v>
      </c>
      <c r="D1711" s="7" t="s">
        <v>565</v>
      </c>
      <c r="E1711" s="7" t="s">
        <v>122</v>
      </c>
      <c r="F1711" s="7" t="s">
        <v>101</v>
      </c>
      <c r="G1711" s="7" t="s">
        <v>123</v>
      </c>
      <c r="H1711" s="7" t="n">
        <v>2</v>
      </c>
      <c r="I1711" s="11" t="n">
        <v>360</v>
      </c>
      <c r="J1711" s="11" t="n">
        <v>40</v>
      </c>
      <c r="K1711" s="11" t="n">
        <f aca="false">H1711*I1711-J1711</f>
        <v>680</v>
      </c>
      <c r="L1711" s="7" t="s">
        <v>88</v>
      </c>
      <c r="M1711" s="7" t="s">
        <v>194</v>
      </c>
      <c r="N1711" s="7" t="n">
        <v>40</v>
      </c>
      <c r="O1711" s="7" t="n">
        <v>3</v>
      </c>
    </row>
    <row r="1712" customFormat="false" ht="15" hidden="false" customHeight="false" outlineLevel="0" collapsed="false">
      <c r="A1712" s="7" t="s">
        <v>624</v>
      </c>
      <c r="B1712" s="10" t="n">
        <v>45885</v>
      </c>
      <c r="C1712" s="7" t="s">
        <v>626</v>
      </c>
      <c r="D1712" s="7" t="s">
        <v>627</v>
      </c>
      <c r="E1712" s="7" t="s">
        <v>98</v>
      </c>
      <c r="F1712" s="7" t="s">
        <v>86</v>
      </c>
      <c r="G1712" s="7" t="s">
        <v>99</v>
      </c>
      <c r="H1712" s="7" t="n">
        <v>3</v>
      </c>
      <c r="I1712" s="11" t="n">
        <v>215</v>
      </c>
      <c r="J1712" s="11" t="n">
        <v>0</v>
      </c>
      <c r="K1712" s="11" t="n">
        <f aca="false">H1712*I1712-J1712</f>
        <v>645</v>
      </c>
      <c r="L1712" s="7" t="s">
        <v>103</v>
      </c>
      <c r="M1712" s="7" t="s">
        <v>194</v>
      </c>
      <c r="N1712" s="7" t="n">
        <v>43</v>
      </c>
      <c r="O1712" s="7" t="n">
        <v>4</v>
      </c>
    </row>
    <row r="1713" customFormat="false" ht="15" hidden="false" customHeight="false" outlineLevel="0" collapsed="false">
      <c r="A1713" s="7" t="s">
        <v>5453</v>
      </c>
      <c r="B1713" s="10" t="n">
        <v>45886</v>
      </c>
      <c r="C1713" s="7" t="s">
        <v>5454</v>
      </c>
      <c r="D1713" s="7" t="s">
        <v>2448</v>
      </c>
      <c r="E1713" s="7" t="s">
        <v>130</v>
      </c>
      <c r="F1713" s="7" t="s">
        <v>110</v>
      </c>
      <c r="G1713" s="7" t="s">
        <v>90</v>
      </c>
      <c r="H1713" s="7" t="n">
        <v>2</v>
      </c>
      <c r="I1713" s="11" t="n">
        <v>225</v>
      </c>
      <c r="J1713" s="11" t="n">
        <v>0</v>
      </c>
      <c r="K1713" s="11" t="n">
        <f aca="false">H1713*I1713-J1713</f>
        <v>450</v>
      </c>
      <c r="L1713" s="7" t="s">
        <v>112</v>
      </c>
      <c r="M1713" s="7" t="s">
        <v>238</v>
      </c>
      <c r="N1713" s="7"/>
      <c r="O1713" s="7"/>
    </row>
    <row r="1714" customFormat="false" ht="15" hidden="false" customHeight="false" outlineLevel="0" collapsed="false">
      <c r="A1714" s="7" t="s">
        <v>2181</v>
      </c>
      <c r="B1714" s="10" t="n">
        <v>45886</v>
      </c>
      <c r="C1714" s="7" t="s">
        <v>419</v>
      </c>
      <c r="D1714" s="7" t="s">
        <v>2183</v>
      </c>
      <c r="E1714" s="7" t="s">
        <v>158</v>
      </c>
      <c r="F1714" s="7" t="s">
        <v>136</v>
      </c>
      <c r="G1714" s="7" t="s">
        <v>139</v>
      </c>
      <c r="H1714" s="7" t="n">
        <v>2</v>
      </c>
      <c r="I1714" s="11" t="n">
        <v>190</v>
      </c>
      <c r="J1714" s="11" t="n">
        <v>0</v>
      </c>
      <c r="K1714" s="11" t="n">
        <f aca="false">H1714*I1714-J1714</f>
        <v>380</v>
      </c>
      <c r="L1714" s="7" t="s">
        <v>88</v>
      </c>
      <c r="M1714" s="7" t="s">
        <v>194</v>
      </c>
      <c r="N1714" s="7" t="n">
        <v>24</v>
      </c>
      <c r="O1714" s="7" t="n">
        <v>2</v>
      </c>
    </row>
    <row r="1715" customFormat="false" ht="15" hidden="false" customHeight="false" outlineLevel="0" collapsed="false">
      <c r="A1715" s="7" t="s">
        <v>3108</v>
      </c>
      <c r="B1715" s="10" t="n">
        <v>45886</v>
      </c>
      <c r="C1715" s="7" t="s">
        <v>883</v>
      </c>
      <c r="D1715" s="7" t="s">
        <v>3109</v>
      </c>
      <c r="E1715" s="7" t="s">
        <v>144</v>
      </c>
      <c r="F1715" s="7" t="s">
        <v>119</v>
      </c>
      <c r="G1715" s="7" t="s">
        <v>99</v>
      </c>
      <c r="H1715" s="7" t="n">
        <v>3</v>
      </c>
      <c r="I1715" s="11" t="n">
        <v>315</v>
      </c>
      <c r="J1715" s="11" t="n">
        <v>100</v>
      </c>
      <c r="K1715" s="11" t="n">
        <f aca="false">H1715*I1715-J1715</f>
        <v>845</v>
      </c>
      <c r="L1715" s="7" t="s">
        <v>88</v>
      </c>
      <c r="M1715" s="7" t="s">
        <v>194</v>
      </c>
      <c r="N1715" s="7" t="n">
        <v>40</v>
      </c>
      <c r="O1715" s="7"/>
    </row>
    <row r="1716" customFormat="false" ht="15" hidden="false" customHeight="false" outlineLevel="0" collapsed="false">
      <c r="A1716" s="7" t="s">
        <v>4640</v>
      </c>
      <c r="B1716" s="10" t="n">
        <v>45886</v>
      </c>
      <c r="C1716" s="7" t="s">
        <v>2061</v>
      </c>
      <c r="D1716" s="7" t="s">
        <v>1479</v>
      </c>
      <c r="E1716" s="7" t="s">
        <v>142</v>
      </c>
      <c r="F1716" s="7" t="s">
        <v>110</v>
      </c>
      <c r="G1716" s="7" t="s">
        <v>105</v>
      </c>
      <c r="H1716" s="7" t="n">
        <v>3</v>
      </c>
      <c r="I1716" s="11" t="n">
        <v>150</v>
      </c>
      <c r="J1716" s="11" t="n">
        <v>125</v>
      </c>
      <c r="K1716" s="11" t="n">
        <f aca="false">H1716*I1716-J1716</f>
        <v>325</v>
      </c>
      <c r="L1716" s="7" t="s">
        <v>6170</v>
      </c>
      <c r="M1716" s="7" t="s">
        <v>194</v>
      </c>
      <c r="N1716" s="7" t="n">
        <v>37</v>
      </c>
      <c r="O1716" s="7" t="n">
        <v>5</v>
      </c>
    </row>
    <row r="1717" customFormat="false" ht="15" hidden="false" customHeight="false" outlineLevel="0" collapsed="false">
      <c r="A1717" s="7" t="s">
        <v>5148</v>
      </c>
      <c r="B1717" s="10" t="n">
        <v>45886</v>
      </c>
      <c r="C1717" s="7" t="s">
        <v>5149</v>
      </c>
      <c r="D1717" s="7" t="s">
        <v>2192</v>
      </c>
      <c r="E1717" s="7" t="s">
        <v>126</v>
      </c>
      <c r="F1717" s="7" t="s">
        <v>101</v>
      </c>
      <c r="G1717" s="7" t="s">
        <v>105</v>
      </c>
      <c r="H1717" s="7" t="n">
        <v>1</v>
      </c>
      <c r="I1717" s="11" t="n">
        <v>280</v>
      </c>
      <c r="J1717" s="11" t="n">
        <v>112</v>
      </c>
      <c r="K1717" s="11" t="n">
        <f aca="false">H1717*I1717-J1717</f>
        <v>168</v>
      </c>
      <c r="L1717" s="7" t="s">
        <v>88</v>
      </c>
      <c r="M1717" s="7" t="s">
        <v>194</v>
      </c>
      <c r="N1717" s="7" t="n">
        <v>32</v>
      </c>
      <c r="O1717" s="7"/>
    </row>
    <row r="1718" customFormat="false" ht="15" hidden="false" customHeight="false" outlineLevel="0" collapsed="false">
      <c r="A1718" s="7" t="s">
        <v>2550</v>
      </c>
      <c r="B1718" s="10" t="n">
        <v>45886</v>
      </c>
      <c r="C1718" s="7" t="s">
        <v>2278</v>
      </c>
      <c r="D1718" s="7" t="s">
        <v>1385</v>
      </c>
      <c r="E1718" s="7" t="s">
        <v>138</v>
      </c>
      <c r="F1718" s="7" t="s">
        <v>110</v>
      </c>
      <c r="G1718" s="7" t="s">
        <v>139</v>
      </c>
      <c r="H1718" s="7" t="n">
        <v>3</v>
      </c>
      <c r="I1718" s="11" t="n">
        <v>235</v>
      </c>
      <c r="J1718" s="11" t="n">
        <v>150</v>
      </c>
      <c r="K1718" s="11" t="n">
        <f aca="false">H1718*I1718-J1718</f>
        <v>555</v>
      </c>
      <c r="L1718" s="7" t="s">
        <v>93</v>
      </c>
      <c r="M1718" s="7" t="s">
        <v>194</v>
      </c>
      <c r="N1718" s="7" t="n">
        <v>53</v>
      </c>
      <c r="O1718" s="7" t="n">
        <v>4</v>
      </c>
    </row>
    <row r="1719" customFormat="false" ht="15" hidden="false" customHeight="false" outlineLevel="0" collapsed="false">
      <c r="A1719" s="7" t="s">
        <v>5679</v>
      </c>
      <c r="B1719" s="10" t="n">
        <v>45886</v>
      </c>
      <c r="C1719" s="7" t="s">
        <v>817</v>
      </c>
      <c r="D1719" s="7" t="s">
        <v>1801</v>
      </c>
      <c r="E1719" s="7" t="s">
        <v>104</v>
      </c>
      <c r="F1719" s="7" t="s">
        <v>86</v>
      </c>
      <c r="G1719" s="7" t="s">
        <v>105</v>
      </c>
      <c r="H1719" s="7" t="n">
        <v>5</v>
      </c>
      <c r="I1719" s="11" t="n">
        <v>215</v>
      </c>
      <c r="J1719" s="11" t="n">
        <v>0</v>
      </c>
      <c r="K1719" s="11" t="n">
        <f aca="false">H1719*I1719-J1719</f>
        <v>1075</v>
      </c>
      <c r="L1719" s="7" t="s">
        <v>88</v>
      </c>
      <c r="M1719" s="7" t="s">
        <v>194</v>
      </c>
      <c r="N1719" s="7" t="n">
        <v>47</v>
      </c>
      <c r="O1719" s="7" t="n">
        <v>4</v>
      </c>
    </row>
    <row r="1720" customFormat="false" ht="15" hidden="false" customHeight="false" outlineLevel="0" collapsed="false">
      <c r="A1720" s="7" t="s">
        <v>2862</v>
      </c>
      <c r="B1720" s="10" t="n">
        <v>45886</v>
      </c>
      <c r="C1720" s="7" t="s">
        <v>1578</v>
      </c>
      <c r="D1720" s="7" t="s">
        <v>2863</v>
      </c>
      <c r="E1720" s="7" t="s">
        <v>161</v>
      </c>
      <c r="F1720" s="7" t="s">
        <v>141</v>
      </c>
      <c r="G1720" s="7" t="s">
        <v>117</v>
      </c>
      <c r="H1720" s="7" t="n">
        <v>2</v>
      </c>
      <c r="I1720" s="11" t="n">
        <v>125</v>
      </c>
      <c r="J1720" s="11" t="n">
        <v>0</v>
      </c>
      <c r="K1720" s="11" t="n">
        <f aca="false">H1720*I1720-J1720</f>
        <v>250</v>
      </c>
      <c r="L1720" s="7" t="s">
        <v>112</v>
      </c>
      <c r="M1720" s="7" t="s">
        <v>194</v>
      </c>
      <c r="N1720" s="7" t="n">
        <v>36</v>
      </c>
      <c r="O1720" s="7" t="n">
        <v>4</v>
      </c>
    </row>
    <row r="1721" customFormat="false" ht="15" hidden="false" customHeight="false" outlineLevel="0" collapsed="false">
      <c r="A1721" s="7" t="s">
        <v>3787</v>
      </c>
      <c r="B1721" s="10" t="n">
        <v>45887</v>
      </c>
      <c r="C1721" s="7" t="s">
        <v>3789</v>
      </c>
      <c r="D1721" s="7" t="s">
        <v>1668</v>
      </c>
      <c r="E1721" s="7" t="s">
        <v>144</v>
      </c>
      <c r="F1721" s="7" t="s">
        <v>119</v>
      </c>
      <c r="G1721" s="7" t="s">
        <v>99</v>
      </c>
      <c r="H1721" s="7" t="n">
        <v>1</v>
      </c>
      <c r="I1721" s="11" t="n">
        <v>280</v>
      </c>
      <c r="J1721" s="11" t="n">
        <v>0</v>
      </c>
      <c r="K1721" s="11" t="n">
        <f aca="false">H1721*I1721-J1721</f>
        <v>280</v>
      </c>
      <c r="L1721" s="7" t="s">
        <v>112</v>
      </c>
      <c r="M1721" s="7" t="s">
        <v>194</v>
      </c>
      <c r="N1721" s="7" t="n">
        <v>35</v>
      </c>
      <c r="O1721" s="7" t="n">
        <v>5</v>
      </c>
    </row>
    <row r="1722" customFormat="false" ht="15" hidden="false" customHeight="false" outlineLevel="0" collapsed="false">
      <c r="A1722" s="7" t="s">
        <v>2040</v>
      </c>
      <c r="B1722" s="10" t="n">
        <v>45887</v>
      </c>
      <c r="C1722" s="7" t="s">
        <v>2042</v>
      </c>
      <c r="D1722" s="7" t="s">
        <v>2043</v>
      </c>
      <c r="E1722" s="7" t="s">
        <v>94</v>
      </c>
      <c r="F1722" s="7" t="s">
        <v>86</v>
      </c>
      <c r="G1722" s="7" t="s">
        <v>95</v>
      </c>
      <c r="H1722" s="7" t="n">
        <v>2</v>
      </c>
      <c r="I1722" s="11" t="n">
        <v>115</v>
      </c>
      <c r="J1722" s="11" t="n">
        <v>0</v>
      </c>
      <c r="K1722" s="11" t="n">
        <f aca="false">H1722*I1722-J1722</f>
        <v>230</v>
      </c>
      <c r="L1722" s="7" t="s">
        <v>93</v>
      </c>
      <c r="M1722" s="7" t="s">
        <v>194</v>
      </c>
      <c r="N1722" s="7" t="n">
        <v>40</v>
      </c>
      <c r="O1722" s="7" t="n">
        <v>4</v>
      </c>
    </row>
    <row r="1723" customFormat="false" ht="15" hidden="false" customHeight="false" outlineLevel="0" collapsed="false">
      <c r="A1723" s="7" t="s">
        <v>4819</v>
      </c>
      <c r="B1723" s="10" t="n">
        <v>45887</v>
      </c>
      <c r="C1723" s="7" t="s">
        <v>1737</v>
      </c>
      <c r="D1723" s="7" t="s">
        <v>1493</v>
      </c>
      <c r="E1723" s="7" t="s">
        <v>89</v>
      </c>
      <c r="F1723" s="7" t="s">
        <v>86</v>
      </c>
      <c r="G1723" s="7" t="s">
        <v>90</v>
      </c>
      <c r="H1723" s="7" t="n">
        <v>3</v>
      </c>
      <c r="I1723" s="11" t="n">
        <v>230</v>
      </c>
      <c r="J1723" s="11" t="n">
        <v>20</v>
      </c>
      <c r="K1723" s="11" t="n">
        <f aca="false">H1723*I1723-J1723</f>
        <v>670</v>
      </c>
      <c r="L1723" s="7" t="s">
        <v>112</v>
      </c>
      <c r="M1723" s="7" t="s">
        <v>194</v>
      </c>
      <c r="N1723" s="7" t="n">
        <v>45</v>
      </c>
      <c r="O1723" s="7" t="n">
        <v>5</v>
      </c>
    </row>
    <row r="1724" customFormat="false" ht="15" hidden="false" customHeight="false" outlineLevel="0" collapsed="false">
      <c r="A1724" s="7" t="s">
        <v>5393</v>
      </c>
      <c r="B1724" s="10" t="n">
        <v>45887</v>
      </c>
      <c r="C1724" s="7" t="s">
        <v>2439</v>
      </c>
      <c r="D1724" s="7" t="s">
        <v>4646</v>
      </c>
      <c r="E1724" s="7" t="s">
        <v>94</v>
      </c>
      <c r="F1724" s="7" t="s">
        <v>86</v>
      </c>
      <c r="G1724" s="7" t="s">
        <v>95</v>
      </c>
      <c r="H1724" s="7" t="n">
        <v>2</v>
      </c>
      <c r="I1724" s="11" t="n">
        <v>125</v>
      </c>
      <c r="J1724" s="11" t="n">
        <v>100</v>
      </c>
      <c r="K1724" s="11" t="n">
        <f aca="false">H1724*I1724-J1724</f>
        <v>150</v>
      </c>
      <c r="L1724" s="7" t="s">
        <v>88</v>
      </c>
      <c r="M1724" s="7" t="s">
        <v>194</v>
      </c>
      <c r="N1724" s="7" t="n">
        <v>48</v>
      </c>
      <c r="O1724" s="7" t="n">
        <v>4</v>
      </c>
    </row>
    <row r="1725" customFormat="false" ht="15" hidden="false" customHeight="false" outlineLevel="0" collapsed="false">
      <c r="A1725" s="7" t="s">
        <v>2891</v>
      </c>
      <c r="B1725" s="10" t="n">
        <v>45887</v>
      </c>
      <c r="C1725" s="7" t="s">
        <v>573</v>
      </c>
      <c r="D1725" s="7" t="s">
        <v>2892</v>
      </c>
      <c r="E1725" s="7" t="s">
        <v>168</v>
      </c>
      <c r="F1725" s="7" t="s">
        <v>146</v>
      </c>
      <c r="G1725" s="7" t="s">
        <v>123</v>
      </c>
      <c r="H1725" s="7" t="n">
        <v>4</v>
      </c>
      <c r="I1725" s="11" t="n">
        <v>305</v>
      </c>
      <c r="J1725" s="11" t="n">
        <v>100</v>
      </c>
      <c r="K1725" s="11" t="n">
        <f aca="false">H1725*I1725-J1725</f>
        <v>1120</v>
      </c>
      <c r="L1725" s="7" t="s">
        <v>112</v>
      </c>
      <c r="M1725" s="7" t="s">
        <v>194</v>
      </c>
      <c r="N1725" s="7" t="n">
        <v>22</v>
      </c>
      <c r="O1725" s="7" t="n">
        <v>3</v>
      </c>
    </row>
    <row r="1726" customFormat="false" ht="15" hidden="false" customHeight="false" outlineLevel="0" collapsed="false">
      <c r="A1726" s="7" t="s">
        <v>2703</v>
      </c>
      <c r="B1726" s="10" t="n">
        <v>45887</v>
      </c>
      <c r="C1726" s="7" t="s">
        <v>2705</v>
      </c>
      <c r="D1726" s="7" t="s">
        <v>2706</v>
      </c>
      <c r="E1726" s="7" t="s">
        <v>134</v>
      </c>
      <c r="F1726" s="7" t="s">
        <v>110</v>
      </c>
      <c r="G1726" s="7" t="s">
        <v>117</v>
      </c>
      <c r="H1726" s="7" t="n">
        <v>1</v>
      </c>
      <c r="I1726" s="11" t="n">
        <v>115</v>
      </c>
      <c r="J1726" s="11" t="n">
        <v>0</v>
      </c>
      <c r="K1726" s="11" t="n">
        <f aca="false">H1726*I1726-J1726</f>
        <v>115</v>
      </c>
      <c r="L1726" s="7" t="s">
        <v>103</v>
      </c>
      <c r="M1726" s="7" t="s">
        <v>194</v>
      </c>
      <c r="N1726" s="7" t="n">
        <v>36</v>
      </c>
      <c r="O1726" s="7" t="n">
        <v>3</v>
      </c>
    </row>
    <row r="1727" customFormat="false" ht="15" hidden="false" customHeight="false" outlineLevel="0" collapsed="false">
      <c r="A1727" s="7" t="s">
        <v>4888</v>
      </c>
      <c r="B1727" s="10" t="n">
        <v>45887</v>
      </c>
      <c r="C1727" s="7" t="s">
        <v>4889</v>
      </c>
      <c r="D1727" s="7" t="s">
        <v>3278</v>
      </c>
      <c r="E1727" s="7" t="s">
        <v>160</v>
      </c>
      <c r="F1727" s="7" t="s">
        <v>136</v>
      </c>
      <c r="G1727" s="7" t="s">
        <v>150</v>
      </c>
      <c r="H1727" s="7" t="n">
        <v>2</v>
      </c>
      <c r="I1727" s="11" t="n">
        <v>185</v>
      </c>
      <c r="J1727" s="11" t="n">
        <v>40</v>
      </c>
      <c r="K1727" s="11" t="n">
        <f aca="false">H1727*I1727-J1727</f>
        <v>330</v>
      </c>
      <c r="L1727" s="7" t="s">
        <v>112</v>
      </c>
      <c r="M1727" s="7" t="s">
        <v>194</v>
      </c>
      <c r="N1727" s="7" t="n">
        <v>34</v>
      </c>
      <c r="O1727" s="7" t="n">
        <v>4</v>
      </c>
    </row>
    <row r="1728" customFormat="false" ht="15" hidden="false" customHeight="false" outlineLevel="0" collapsed="false">
      <c r="A1728" s="7" t="s">
        <v>3176</v>
      </c>
      <c r="B1728" s="10" t="n">
        <v>45888</v>
      </c>
      <c r="C1728" s="7" t="s">
        <v>3178</v>
      </c>
      <c r="D1728" s="7" t="s">
        <v>3094</v>
      </c>
      <c r="E1728" s="7" t="s">
        <v>113</v>
      </c>
      <c r="F1728" s="7" t="s">
        <v>101</v>
      </c>
      <c r="G1728" s="7" t="s">
        <v>90</v>
      </c>
      <c r="H1728" s="7" t="n">
        <v>2</v>
      </c>
      <c r="I1728" s="11" t="n">
        <v>270</v>
      </c>
      <c r="J1728" s="11" t="n">
        <v>0</v>
      </c>
      <c r="K1728" s="11" t="n">
        <f aca="false">H1728*I1728-J1728</f>
        <v>540</v>
      </c>
      <c r="L1728" s="7" t="s">
        <v>133</v>
      </c>
      <c r="M1728" s="7" t="s">
        <v>194</v>
      </c>
      <c r="N1728" s="7" t="n">
        <v>43</v>
      </c>
      <c r="O1728" s="7" t="n">
        <v>2</v>
      </c>
    </row>
    <row r="1729" customFormat="false" ht="15" hidden="false" customHeight="false" outlineLevel="0" collapsed="false">
      <c r="A1729" s="7" t="s">
        <v>6014</v>
      </c>
      <c r="B1729" s="10" t="n">
        <v>45888</v>
      </c>
      <c r="C1729" s="7" t="s">
        <v>5930</v>
      </c>
      <c r="D1729" s="7" t="s">
        <v>2077</v>
      </c>
      <c r="E1729" s="7" t="s">
        <v>138</v>
      </c>
      <c r="F1729" s="7" t="s">
        <v>110</v>
      </c>
      <c r="G1729" s="7" t="s">
        <v>139</v>
      </c>
      <c r="H1729" s="7" t="n">
        <v>2</v>
      </c>
      <c r="I1729" s="11" t="n">
        <v>220</v>
      </c>
      <c r="J1729" s="11" t="n">
        <v>0</v>
      </c>
      <c r="K1729" s="11" t="n">
        <f aca="false">H1729*I1729-J1729</f>
        <v>440</v>
      </c>
      <c r="L1729" s="7" t="s">
        <v>112</v>
      </c>
      <c r="M1729" s="7" t="s">
        <v>194</v>
      </c>
      <c r="N1729" s="7" t="n">
        <v>31</v>
      </c>
      <c r="O1729" s="7" t="n">
        <v>5</v>
      </c>
    </row>
    <row r="1730" customFormat="false" ht="15" hidden="false" customHeight="false" outlineLevel="0" collapsed="false">
      <c r="A1730" s="7" t="s">
        <v>3439</v>
      </c>
      <c r="B1730" s="10" t="n">
        <v>45888</v>
      </c>
      <c r="C1730" s="7" t="s">
        <v>2830</v>
      </c>
      <c r="D1730" s="7" t="s">
        <v>3058</v>
      </c>
      <c r="E1730" s="7" t="s">
        <v>113</v>
      </c>
      <c r="F1730" s="7" t="s">
        <v>101</v>
      </c>
      <c r="G1730" s="7" t="s">
        <v>90</v>
      </c>
      <c r="H1730" s="7" t="n">
        <v>1</v>
      </c>
      <c r="I1730" s="11" t="n">
        <v>235</v>
      </c>
      <c r="J1730" s="11" t="n">
        <v>0</v>
      </c>
      <c r="K1730" s="11" t="n">
        <f aca="false">H1730*I1730-J1730</f>
        <v>235</v>
      </c>
      <c r="L1730" s="7" t="s">
        <v>112</v>
      </c>
      <c r="M1730" s="7" t="s">
        <v>194</v>
      </c>
      <c r="N1730" s="7" t="n">
        <v>41</v>
      </c>
      <c r="O1730" s="7" t="n">
        <v>4</v>
      </c>
    </row>
    <row r="1731" customFormat="false" ht="15" hidden="false" customHeight="false" outlineLevel="0" collapsed="false">
      <c r="A1731" s="7" t="s">
        <v>2698</v>
      </c>
      <c r="B1731" s="10" t="n">
        <v>45888</v>
      </c>
      <c r="C1731" s="7" t="s">
        <v>2699</v>
      </c>
      <c r="D1731" s="7" t="s">
        <v>1902</v>
      </c>
      <c r="E1731" s="7" t="s">
        <v>149</v>
      </c>
      <c r="F1731" s="7" t="s">
        <v>119</v>
      </c>
      <c r="G1731" s="7" t="s">
        <v>150</v>
      </c>
      <c r="H1731" s="7" t="n">
        <v>2</v>
      </c>
      <c r="I1731" s="11" t="n">
        <v>165</v>
      </c>
      <c r="J1731" s="11" t="n">
        <v>20</v>
      </c>
      <c r="K1731" s="11" t="n">
        <f aca="false">H1731*I1731-J1731</f>
        <v>310</v>
      </c>
      <c r="L1731" s="7" t="s">
        <v>88</v>
      </c>
      <c r="M1731" s="7" t="s">
        <v>238</v>
      </c>
      <c r="N1731" s="7"/>
      <c r="O1731" s="7"/>
    </row>
    <row r="1732" customFormat="false" ht="15" hidden="false" customHeight="false" outlineLevel="0" collapsed="false">
      <c r="A1732" s="7" t="s">
        <v>3317</v>
      </c>
      <c r="B1732" s="10" t="n">
        <v>45888</v>
      </c>
      <c r="C1732" s="7" t="s">
        <v>2325</v>
      </c>
      <c r="D1732" s="7" t="s">
        <v>520</v>
      </c>
      <c r="E1732" s="7" t="s">
        <v>104</v>
      </c>
      <c r="F1732" s="7" t="s">
        <v>86</v>
      </c>
      <c r="G1732" s="7" t="s">
        <v>105</v>
      </c>
      <c r="H1732" s="7" t="n">
        <v>1</v>
      </c>
      <c r="I1732" s="11" t="n">
        <v>260</v>
      </c>
      <c r="J1732" s="11" t="n">
        <v>0</v>
      </c>
      <c r="K1732" s="11" t="n">
        <f aca="false">H1732*I1732-J1732</f>
        <v>260</v>
      </c>
      <c r="L1732" s="7" t="s">
        <v>88</v>
      </c>
      <c r="M1732" s="7" t="s">
        <v>194</v>
      </c>
      <c r="N1732" s="7" t="n">
        <v>30</v>
      </c>
      <c r="O1732" s="7" t="n">
        <v>4</v>
      </c>
    </row>
    <row r="1733" customFormat="false" ht="15" hidden="false" customHeight="false" outlineLevel="0" collapsed="false">
      <c r="A1733" s="7" t="s">
        <v>3350</v>
      </c>
      <c r="B1733" s="10" t="n">
        <v>45888</v>
      </c>
      <c r="C1733" s="7" t="s">
        <v>310</v>
      </c>
      <c r="D1733" s="7" t="s">
        <v>1821</v>
      </c>
      <c r="E1733" s="7" t="s">
        <v>113</v>
      </c>
      <c r="F1733" s="7" t="s">
        <v>101</v>
      </c>
      <c r="G1733" s="7" t="s">
        <v>90</v>
      </c>
      <c r="H1733" s="7" t="n">
        <v>4</v>
      </c>
      <c r="I1733" s="11" t="n">
        <v>230</v>
      </c>
      <c r="J1733" s="11" t="n">
        <v>0</v>
      </c>
      <c r="K1733" s="11" t="n">
        <f aca="false">H1733*I1733-J1733</f>
        <v>920</v>
      </c>
      <c r="L1733" s="7" t="s">
        <v>88</v>
      </c>
      <c r="M1733" s="7" t="s">
        <v>194</v>
      </c>
      <c r="N1733" s="7" t="n">
        <v>46</v>
      </c>
      <c r="O1733" s="7" t="n">
        <v>4</v>
      </c>
    </row>
    <row r="1734" customFormat="false" ht="15" hidden="false" customHeight="false" outlineLevel="0" collapsed="false">
      <c r="A1734" s="7" t="s">
        <v>2149</v>
      </c>
      <c r="B1734" s="10" t="n">
        <v>45888</v>
      </c>
      <c r="C1734" s="7" t="s">
        <v>1791</v>
      </c>
      <c r="D1734" s="7" t="s">
        <v>2151</v>
      </c>
      <c r="E1734" s="7" t="s">
        <v>158</v>
      </c>
      <c r="F1734" s="7" t="s">
        <v>136</v>
      </c>
      <c r="G1734" s="7" t="s">
        <v>139</v>
      </c>
      <c r="H1734" s="7" t="n">
        <v>2</v>
      </c>
      <c r="I1734" s="11" t="n">
        <v>205</v>
      </c>
      <c r="J1734" s="11" t="n">
        <v>0</v>
      </c>
      <c r="K1734" s="11" t="n">
        <f aca="false">H1734*I1734-J1734</f>
        <v>410</v>
      </c>
      <c r="L1734" s="7" t="s">
        <v>112</v>
      </c>
      <c r="M1734" s="7" t="s">
        <v>194</v>
      </c>
      <c r="N1734" s="7" t="n">
        <v>34</v>
      </c>
      <c r="O1734" s="7" t="n">
        <v>4</v>
      </c>
    </row>
    <row r="1735" customFormat="false" ht="15" hidden="false" customHeight="false" outlineLevel="0" collapsed="false">
      <c r="A1735" s="7" t="s">
        <v>5202</v>
      </c>
      <c r="B1735" s="10" t="n">
        <v>45888</v>
      </c>
      <c r="C1735" s="7" t="s">
        <v>1400</v>
      </c>
      <c r="D1735" s="7" t="s">
        <v>1146</v>
      </c>
      <c r="E1735" s="7" t="s">
        <v>89</v>
      </c>
      <c r="F1735" s="7" t="s">
        <v>86</v>
      </c>
      <c r="G1735" s="7" t="s">
        <v>90</v>
      </c>
      <c r="H1735" s="7" t="n">
        <v>5</v>
      </c>
      <c r="I1735" s="11" t="n">
        <v>205</v>
      </c>
      <c r="J1735" s="11" t="n">
        <v>0</v>
      </c>
      <c r="K1735" s="11" t="n">
        <f aca="false">H1735*I1735-J1735</f>
        <v>1025</v>
      </c>
      <c r="L1735" s="7" t="s">
        <v>88</v>
      </c>
      <c r="M1735" s="7" t="s">
        <v>194</v>
      </c>
      <c r="N1735" s="7" t="n">
        <v>45</v>
      </c>
      <c r="O1735" s="7" t="n">
        <v>5</v>
      </c>
    </row>
    <row r="1736" customFormat="false" ht="15" hidden="false" customHeight="false" outlineLevel="0" collapsed="false">
      <c r="A1736" s="7" t="s">
        <v>4048</v>
      </c>
      <c r="B1736" s="10" t="n">
        <v>45888</v>
      </c>
      <c r="C1736" s="7" t="s">
        <v>1211</v>
      </c>
      <c r="D1736" s="7" t="s">
        <v>4049</v>
      </c>
      <c r="E1736" s="7" t="s">
        <v>138</v>
      </c>
      <c r="F1736" s="7" t="s">
        <v>110</v>
      </c>
      <c r="G1736" s="7" t="s">
        <v>139</v>
      </c>
      <c r="H1736" s="7" t="n">
        <v>2</v>
      </c>
      <c r="I1736" s="11" t="n">
        <v>155</v>
      </c>
      <c r="J1736" s="11" t="n">
        <v>40</v>
      </c>
      <c r="K1736" s="11" t="n">
        <f aca="false">H1736*I1736-J1736</f>
        <v>270</v>
      </c>
      <c r="L1736" s="7" t="s">
        <v>112</v>
      </c>
      <c r="M1736" s="7" t="s">
        <v>238</v>
      </c>
      <c r="N1736" s="7"/>
      <c r="O1736" s="7"/>
    </row>
    <row r="1737" customFormat="false" ht="15" hidden="false" customHeight="false" outlineLevel="0" collapsed="false">
      <c r="A1737" s="7" t="s">
        <v>3040</v>
      </c>
      <c r="B1737" s="10" t="n">
        <v>45889</v>
      </c>
      <c r="C1737" s="7" t="s">
        <v>3041</v>
      </c>
      <c r="D1737" s="7" t="s">
        <v>3042</v>
      </c>
      <c r="E1737" s="7" t="s">
        <v>149</v>
      </c>
      <c r="F1737" s="7" t="s">
        <v>119</v>
      </c>
      <c r="G1737" s="7" t="s">
        <v>150</v>
      </c>
      <c r="H1737" s="7" t="n">
        <v>2</v>
      </c>
      <c r="I1737" s="11" t="n">
        <v>170</v>
      </c>
      <c r="J1737" s="11" t="n">
        <v>50</v>
      </c>
      <c r="K1737" s="11" t="n">
        <f aca="false">H1737*I1737-J1737</f>
        <v>290</v>
      </c>
      <c r="L1737" s="7" t="s">
        <v>88</v>
      </c>
      <c r="M1737" s="7" t="s">
        <v>194</v>
      </c>
      <c r="N1737" s="7" t="n">
        <v>42</v>
      </c>
      <c r="O1737" s="7"/>
    </row>
    <row r="1738" customFormat="false" ht="15" hidden="false" customHeight="false" outlineLevel="0" collapsed="false">
      <c r="A1738" s="7" t="s">
        <v>3782</v>
      </c>
      <c r="B1738" s="10" t="n">
        <v>45889</v>
      </c>
      <c r="C1738" s="7" t="s">
        <v>2901</v>
      </c>
      <c r="D1738" s="7" t="s">
        <v>2748</v>
      </c>
      <c r="E1738" s="7" t="s">
        <v>142</v>
      </c>
      <c r="F1738" s="7" t="s">
        <v>110</v>
      </c>
      <c r="G1738" s="7" t="s">
        <v>105</v>
      </c>
      <c r="H1738" s="7" t="n">
        <v>2</v>
      </c>
      <c r="I1738" s="11" t="n">
        <v>170</v>
      </c>
      <c r="J1738" s="11" t="n">
        <v>75</v>
      </c>
      <c r="K1738" s="11" t="n">
        <f aca="false">H1738*I1738-J1738</f>
        <v>265</v>
      </c>
      <c r="L1738" s="7" t="s">
        <v>93</v>
      </c>
      <c r="M1738" s="7" t="s">
        <v>194</v>
      </c>
      <c r="N1738" s="7" t="n">
        <v>32</v>
      </c>
      <c r="O1738" s="7" t="n">
        <v>4</v>
      </c>
    </row>
    <row r="1739" customFormat="false" ht="15" hidden="false" customHeight="false" outlineLevel="0" collapsed="false">
      <c r="A1739" s="7" t="s">
        <v>3391</v>
      </c>
      <c r="B1739" s="10" t="n">
        <v>45889</v>
      </c>
      <c r="C1739" s="7" t="s">
        <v>2377</v>
      </c>
      <c r="D1739" s="7" t="s">
        <v>3392</v>
      </c>
      <c r="E1739" s="7" t="s">
        <v>164</v>
      </c>
      <c r="F1739" s="7" t="s">
        <v>141</v>
      </c>
      <c r="G1739" s="7" t="s">
        <v>150</v>
      </c>
      <c r="H1739" s="7" t="n">
        <v>2</v>
      </c>
      <c r="I1739" s="11" t="n">
        <v>155</v>
      </c>
      <c r="J1739" s="11" t="n">
        <v>0</v>
      </c>
      <c r="K1739" s="11" t="n">
        <f aca="false">H1739*I1739-J1739</f>
        <v>310</v>
      </c>
      <c r="L1739" s="7" t="s">
        <v>121</v>
      </c>
      <c r="M1739" s="7" t="s">
        <v>194</v>
      </c>
      <c r="N1739" s="7" t="n">
        <v>44</v>
      </c>
      <c r="O1739" s="7" t="n">
        <v>5</v>
      </c>
    </row>
    <row r="1740" customFormat="false" ht="15" hidden="false" customHeight="false" outlineLevel="0" collapsed="false">
      <c r="A1740" s="7" t="s">
        <v>5256</v>
      </c>
      <c r="B1740" s="10" t="n">
        <v>45889</v>
      </c>
      <c r="C1740" s="7" t="s">
        <v>241</v>
      </c>
      <c r="D1740" s="7" t="s">
        <v>5257</v>
      </c>
      <c r="E1740" s="7" t="s">
        <v>138</v>
      </c>
      <c r="F1740" s="7" t="s">
        <v>110</v>
      </c>
      <c r="G1740" s="7" t="s">
        <v>139</v>
      </c>
      <c r="H1740" s="7" t="n">
        <v>3</v>
      </c>
      <c r="I1740" s="11" t="n">
        <v>185</v>
      </c>
      <c r="J1740" s="11" t="n">
        <v>75</v>
      </c>
      <c r="K1740" s="11" t="n">
        <f aca="false">H1740*I1740-J1740</f>
        <v>480</v>
      </c>
      <c r="L1740" s="7" t="s">
        <v>121</v>
      </c>
      <c r="M1740" s="7" t="s">
        <v>194</v>
      </c>
      <c r="N1740" s="7" t="n">
        <v>34</v>
      </c>
      <c r="O1740" s="7"/>
    </row>
    <row r="1741" customFormat="false" ht="15" hidden="false" customHeight="false" outlineLevel="0" collapsed="false">
      <c r="A1741" s="7" t="s">
        <v>2656</v>
      </c>
      <c r="B1741" s="10" t="n">
        <v>45889</v>
      </c>
      <c r="C1741" s="7" t="s">
        <v>2398</v>
      </c>
      <c r="D1741" s="7" t="s">
        <v>2657</v>
      </c>
      <c r="E1741" s="7" t="s">
        <v>89</v>
      </c>
      <c r="F1741" s="7" t="s">
        <v>86</v>
      </c>
      <c r="G1741" s="7" t="s">
        <v>90</v>
      </c>
      <c r="H1741" s="7" t="n">
        <v>3</v>
      </c>
      <c r="I1741" s="11" t="n">
        <v>220</v>
      </c>
      <c r="J1741" s="11" t="n">
        <v>150</v>
      </c>
      <c r="K1741" s="11" t="n">
        <f aca="false">H1741*I1741-J1741</f>
        <v>510</v>
      </c>
      <c r="L1741" s="7" t="s">
        <v>112</v>
      </c>
      <c r="M1741" s="7" t="s">
        <v>194</v>
      </c>
      <c r="N1741" s="7" t="n">
        <v>60</v>
      </c>
      <c r="O1741" s="7" t="n">
        <v>3</v>
      </c>
    </row>
    <row r="1742" customFormat="false" ht="15" hidden="false" customHeight="false" outlineLevel="0" collapsed="false">
      <c r="A1742" s="7" t="s">
        <v>5024</v>
      </c>
      <c r="B1742" s="10" t="n">
        <v>45889</v>
      </c>
      <c r="C1742" s="7" t="s">
        <v>3963</v>
      </c>
      <c r="D1742" s="7" t="s">
        <v>5026</v>
      </c>
      <c r="E1742" s="7" t="s">
        <v>154</v>
      </c>
      <c r="F1742" s="7" t="s">
        <v>128</v>
      </c>
      <c r="G1742" s="7" t="s">
        <v>99</v>
      </c>
      <c r="H1742" s="7" t="n">
        <v>2</v>
      </c>
      <c r="I1742" s="11" t="n">
        <v>225</v>
      </c>
      <c r="J1742" s="11" t="n">
        <v>0</v>
      </c>
      <c r="K1742" s="11" t="n">
        <f aca="false">H1742*I1742-J1742</f>
        <v>450</v>
      </c>
      <c r="L1742" s="7" t="s">
        <v>88</v>
      </c>
      <c r="M1742" s="7" t="s">
        <v>194</v>
      </c>
      <c r="N1742" s="7" t="n">
        <v>34</v>
      </c>
      <c r="O1742" s="7" t="n">
        <v>3</v>
      </c>
    </row>
    <row r="1743" customFormat="false" ht="15" hidden="false" customHeight="false" outlineLevel="0" collapsed="false">
      <c r="A1743" s="7" t="s">
        <v>562</v>
      </c>
      <c r="B1743" s="10" t="n">
        <v>45889</v>
      </c>
      <c r="C1743" s="7" t="s">
        <v>564</v>
      </c>
      <c r="D1743" s="7" t="s">
        <v>565</v>
      </c>
      <c r="E1743" s="7" t="s">
        <v>126</v>
      </c>
      <c r="F1743" s="7" t="s">
        <v>101</v>
      </c>
      <c r="G1743" s="7" t="s">
        <v>105</v>
      </c>
      <c r="H1743" s="7" t="n">
        <v>1</v>
      </c>
      <c r="I1743" s="11" t="n">
        <v>210</v>
      </c>
      <c r="J1743" s="11" t="n">
        <v>0</v>
      </c>
      <c r="K1743" s="11" t="n">
        <f aca="false">H1743*I1743-J1743</f>
        <v>210</v>
      </c>
      <c r="L1743" s="7" t="s">
        <v>133</v>
      </c>
      <c r="M1743" s="7" t="s">
        <v>194</v>
      </c>
      <c r="N1743" s="7" t="n">
        <v>38</v>
      </c>
      <c r="O1743" s="7" t="n">
        <v>5</v>
      </c>
    </row>
    <row r="1744" customFormat="false" ht="15" hidden="false" customHeight="false" outlineLevel="0" collapsed="false">
      <c r="A1744" s="7" t="s">
        <v>1909</v>
      </c>
      <c r="B1744" s="10" t="n">
        <v>45889</v>
      </c>
      <c r="C1744" s="7" t="s">
        <v>1910</v>
      </c>
      <c r="D1744" s="7" t="s">
        <v>1911</v>
      </c>
      <c r="E1744" s="7" t="s">
        <v>138</v>
      </c>
      <c r="F1744" s="7" t="s">
        <v>110</v>
      </c>
      <c r="G1744" s="7" t="s">
        <v>139</v>
      </c>
      <c r="H1744" s="7" t="n">
        <v>1</v>
      </c>
      <c r="I1744" s="11" t="n">
        <v>205</v>
      </c>
      <c r="J1744" s="11" t="n">
        <v>0</v>
      </c>
      <c r="K1744" s="11" t="n">
        <f aca="false">H1744*I1744-J1744</f>
        <v>205</v>
      </c>
      <c r="L1744" s="7" t="s">
        <v>88</v>
      </c>
      <c r="M1744" s="7" t="s">
        <v>194</v>
      </c>
      <c r="N1744" s="7" t="n">
        <v>36</v>
      </c>
      <c r="O1744" s="7" t="n">
        <v>3</v>
      </c>
    </row>
    <row r="1745" customFormat="false" ht="15" hidden="false" customHeight="false" outlineLevel="0" collapsed="false">
      <c r="A1745" s="7" t="s">
        <v>946</v>
      </c>
      <c r="B1745" s="10" t="n">
        <v>45889</v>
      </c>
      <c r="C1745" s="7" t="s">
        <v>947</v>
      </c>
      <c r="D1745" s="7" t="s">
        <v>948</v>
      </c>
      <c r="E1745" s="7" t="s">
        <v>130</v>
      </c>
      <c r="F1745" s="7" t="s">
        <v>110</v>
      </c>
      <c r="G1745" s="7" t="s">
        <v>90</v>
      </c>
      <c r="H1745" s="7" t="n">
        <v>1</v>
      </c>
      <c r="I1745" s="11" t="n">
        <v>240</v>
      </c>
      <c r="J1745" s="11" t="n">
        <v>0</v>
      </c>
      <c r="K1745" s="11" t="n">
        <f aca="false">H1745*I1745-J1745</f>
        <v>240</v>
      </c>
      <c r="L1745" s="7" t="s">
        <v>88</v>
      </c>
      <c r="M1745" s="7" t="s">
        <v>194</v>
      </c>
      <c r="N1745" s="7" t="n">
        <v>38</v>
      </c>
      <c r="O1745" s="7" t="n">
        <v>4</v>
      </c>
    </row>
    <row r="1746" customFormat="false" ht="15" hidden="false" customHeight="false" outlineLevel="0" collapsed="false">
      <c r="A1746" s="7" t="s">
        <v>3771</v>
      </c>
      <c r="B1746" s="10" t="n">
        <v>45889</v>
      </c>
      <c r="C1746" s="7" t="s">
        <v>2699</v>
      </c>
      <c r="D1746" s="7" t="s">
        <v>658</v>
      </c>
      <c r="E1746" s="7" t="s">
        <v>98</v>
      </c>
      <c r="F1746" s="7" t="s">
        <v>86</v>
      </c>
      <c r="G1746" s="7" t="s">
        <v>99</v>
      </c>
      <c r="H1746" s="7" t="n">
        <v>1</v>
      </c>
      <c r="I1746" s="11" t="n">
        <v>270</v>
      </c>
      <c r="J1746" s="11" t="n">
        <v>100</v>
      </c>
      <c r="K1746" s="11" t="n">
        <f aca="false">H1746*I1746-J1746</f>
        <v>170</v>
      </c>
      <c r="L1746" s="7" t="s">
        <v>88</v>
      </c>
      <c r="M1746" s="7" t="s">
        <v>194</v>
      </c>
      <c r="N1746" s="7" t="n">
        <v>29</v>
      </c>
      <c r="O1746" s="7" t="n">
        <v>5</v>
      </c>
    </row>
    <row r="1747" customFormat="false" ht="15" hidden="false" customHeight="false" outlineLevel="0" collapsed="false">
      <c r="A1747" s="7" t="s">
        <v>778</v>
      </c>
      <c r="B1747" s="10" t="n">
        <v>45889</v>
      </c>
      <c r="C1747" s="7" t="s">
        <v>779</v>
      </c>
      <c r="D1747" s="7" t="s">
        <v>780</v>
      </c>
      <c r="E1747" s="7" t="s">
        <v>98</v>
      </c>
      <c r="F1747" s="7" t="s">
        <v>86</v>
      </c>
      <c r="G1747" s="7" t="s">
        <v>99</v>
      </c>
      <c r="H1747" s="7" t="n">
        <v>4</v>
      </c>
      <c r="I1747" s="11" t="n">
        <v>260</v>
      </c>
      <c r="J1747" s="11" t="n">
        <v>0</v>
      </c>
      <c r="K1747" s="11" t="n">
        <f aca="false">H1747*I1747-J1747</f>
        <v>1040</v>
      </c>
      <c r="L1747" s="7" t="s">
        <v>121</v>
      </c>
      <c r="M1747" s="7" t="s">
        <v>194</v>
      </c>
      <c r="N1747" s="7" t="n">
        <v>22</v>
      </c>
      <c r="O1747" s="7" t="n">
        <v>4</v>
      </c>
    </row>
    <row r="1748" customFormat="false" ht="15" hidden="false" customHeight="false" outlineLevel="0" collapsed="false">
      <c r="A1748" s="7" t="s">
        <v>1473</v>
      </c>
      <c r="B1748" s="10" t="n">
        <v>45889</v>
      </c>
      <c r="C1748" s="7" t="s">
        <v>1474</v>
      </c>
      <c r="D1748" s="7" t="s">
        <v>1475</v>
      </c>
      <c r="E1748" s="7" t="s">
        <v>122</v>
      </c>
      <c r="F1748" s="7" t="s">
        <v>101</v>
      </c>
      <c r="G1748" s="7" t="s">
        <v>123</v>
      </c>
      <c r="H1748" s="7" t="n">
        <v>1</v>
      </c>
      <c r="I1748" s="11" t="n">
        <v>330</v>
      </c>
      <c r="J1748" s="11" t="n">
        <v>0</v>
      </c>
      <c r="K1748" s="11" t="n">
        <f aca="false">H1748*I1748-J1748</f>
        <v>330</v>
      </c>
      <c r="L1748" s="7" t="s">
        <v>112</v>
      </c>
      <c r="M1748" s="7" t="s">
        <v>194</v>
      </c>
      <c r="N1748" s="7" t="n">
        <v>40</v>
      </c>
      <c r="O1748" s="7" t="n">
        <v>3</v>
      </c>
    </row>
    <row r="1749" customFormat="false" ht="15" hidden="false" customHeight="false" outlineLevel="0" collapsed="false">
      <c r="A1749" s="7" t="s">
        <v>567</v>
      </c>
      <c r="B1749" s="10" t="n">
        <v>45889</v>
      </c>
      <c r="C1749" s="7" t="s">
        <v>568</v>
      </c>
      <c r="D1749" s="7" t="s">
        <v>569</v>
      </c>
      <c r="E1749" s="7" t="s">
        <v>122</v>
      </c>
      <c r="F1749" s="7" t="s">
        <v>101</v>
      </c>
      <c r="G1749" s="7" t="s">
        <v>123</v>
      </c>
      <c r="H1749" s="7" t="n">
        <v>3</v>
      </c>
      <c r="I1749" s="11" t="n">
        <v>300</v>
      </c>
      <c r="J1749" s="11" t="n">
        <v>0</v>
      </c>
      <c r="K1749" s="11" t="n">
        <f aca="false">H1749*I1749-J1749</f>
        <v>900</v>
      </c>
      <c r="L1749" s="7" t="s">
        <v>88</v>
      </c>
      <c r="M1749" s="7" t="s">
        <v>194</v>
      </c>
      <c r="N1749" s="7" t="n">
        <v>47</v>
      </c>
      <c r="O1749" s="7" t="n">
        <v>3</v>
      </c>
    </row>
    <row r="1750" customFormat="false" ht="15" hidden="false" customHeight="false" outlineLevel="0" collapsed="false">
      <c r="A1750" s="7" t="s">
        <v>695</v>
      </c>
      <c r="B1750" s="10" t="n">
        <v>45890</v>
      </c>
      <c r="C1750" s="7" t="s">
        <v>697</v>
      </c>
      <c r="D1750" s="7" t="s">
        <v>698</v>
      </c>
      <c r="E1750" s="7" t="s">
        <v>160</v>
      </c>
      <c r="F1750" s="7" t="s">
        <v>136</v>
      </c>
      <c r="G1750" s="7" t="s">
        <v>150</v>
      </c>
      <c r="H1750" s="7" t="n">
        <v>3</v>
      </c>
      <c r="I1750" s="11" t="n">
        <v>165</v>
      </c>
      <c r="J1750" s="11" t="n">
        <v>0</v>
      </c>
      <c r="K1750" s="11" t="n">
        <f aca="false">H1750*I1750-J1750</f>
        <v>495</v>
      </c>
      <c r="L1750" s="7" t="s">
        <v>103</v>
      </c>
      <c r="M1750" s="7" t="s">
        <v>194</v>
      </c>
      <c r="N1750" s="7" t="n">
        <v>35</v>
      </c>
      <c r="O1750" s="7" t="n">
        <v>4</v>
      </c>
    </row>
    <row r="1751" customFormat="false" ht="15" hidden="false" customHeight="false" outlineLevel="0" collapsed="false">
      <c r="A1751" s="7" t="s">
        <v>3914</v>
      </c>
      <c r="B1751" s="10" t="n">
        <v>45890</v>
      </c>
      <c r="C1751" s="7" t="s">
        <v>2410</v>
      </c>
      <c r="D1751" s="7" t="s">
        <v>2885</v>
      </c>
      <c r="E1751" s="7" t="s">
        <v>160</v>
      </c>
      <c r="F1751" s="7" t="s">
        <v>136</v>
      </c>
      <c r="G1751" s="7" t="s">
        <v>150</v>
      </c>
      <c r="H1751" s="7" t="n">
        <v>3</v>
      </c>
      <c r="I1751" s="11" t="n">
        <v>210</v>
      </c>
      <c r="J1751" s="11" t="n">
        <v>0</v>
      </c>
      <c r="K1751" s="11" t="n">
        <f aca="false">H1751*I1751-J1751</f>
        <v>630</v>
      </c>
      <c r="L1751" s="7" t="s">
        <v>112</v>
      </c>
      <c r="M1751" s="7" t="s">
        <v>194</v>
      </c>
      <c r="N1751" s="7" t="n">
        <v>36</v>
      </c>
      <c r="O1751" s="7" t="n">
        <v>5</v>
      </c>
    </row>
    <row r="1752" customFormat="false" ht="15" hidden="false" customHeight="false" outlineLevel="0" collapsed="false">
      <c r="A1752" s="7" t="s">
        <v>6042</v>
      </c>
      <c r="B1752" s="10" t="n">
        <v>45890</v>
      </c>
      <c r="C1752" s="7" t="s">
        <v>555</v>
      </c>
      <c r="D1752" s="7" t="s">
        <v>6043</v>
      </c>
      <c r="E1752" s="7" t="s">
        <v>142</v>
      </c>
      <c r="F1752" s="7" t="s">
        <v>110</v>
      </c>
      <c r="G1752" s="7" t="s">
        <v>105</v>
      </c>
      <c r="H1752" s="7" t="n">
        <v>3</v>
      </c>
      <c r="I1752" s="11" t="n">
        <v>160</v>
      </c>
      <c r="J1752" s="11" t="n">
        <v>150</v>
      </c>
      <c r="K1752" s="11" t="n">
        <f aca="false">H1752*I1752-J1752</f>
        <v>330</v>
      </c>
      <c r="L1752" s="7" t="s">
        <v>88</v>
      </c>
      <c r="M1752" s="7" t="s">
        <v>194</v>
      </c>
      <c r="N1752" s="7" t="n">
        <v>44</v>
      </c>
      <c r="O1752" s="7" t="n">
        <v>2</v>
      </c>
    </row>
    <row r="1753" customFormat="false" ht="15" hidden="false" customHeight="false" outlineLevel="0" collapsed="false">
      <c r="A1753" s="7" t="s">
        <v>3896</v>
      </c>
      <c r="B1753" s="10" t="n">
        <v>45890</v>
      </c>
      <c r="C1753" s="7" t="s">
        <v>1407</v>
      </c>
      <c r="D1753" s="7" t="s">
        <v>3384</v>
      </c>
      <c r="E1753" s="7" t="s">
        <v>104</v>
      </c>
      <c r="F1753" s="7" t="s">
        <v>86</v>
      </c>
      <c r="G1753" s="7" t="s">
        <v>105</v>
      </c>
      <c r="H1753" s="7" t="n">
        <v>4</v>
      </c>
      <c r="I1753" s="11" t="n">
        <v>190</v>
      </c>
      <c r="J1753" s="11" t="n">
        <v>75</v>
      </c>
      <c r="K1753" s="11" t="n">
        <f aca="false">H1753*I1753-J1753</f>
        <v>685</v>
      </c>
      <c r="L1753" s="7" t="s">
        <v>88</v>
      </c>
      <c r="M1753" s="7" t="s">
        <v>194</v>
      </c>
      <c r="N1753" s="7" t="n">
        <v>47</v>
      </c>
      <c r="O1753" s="7" t="n">
        <v>5</v>
      </c>
    </row>
    <row r="1754" customFormat="false" ht="15" hidden="false" customHeight="false" outlineLevel="0" collapsed="false">
      <c r="A1754" s="7" t="s">
        <v>4090</v>
      </c>
      <c r="B1754" s="10" t="n">
        <v>45890</v>
      </c>
      <c r="C1754" s="7" t="s">
        <v>3163</v>
      </c>
      <c r="D1754" s="7" t="s">
        <v>2849</v>
      </c>
      <c r="E1754" s="7" t="s">
        <v>144</v>
      </c>
      <c r="F1754" s="7" t="s">
        <v>119</v>
      </c>
      <c r="G1754" s="7" t="s">
        <v>99</v>
      </c>
      <c r="H1754" s="7" t="n">
        <v>1</v>
      </c>
      <c r="I1754" s="11" t="n">
        <v>310</v>
      </c>
      <c r="J1754" s="11" t="n">
        <v>20</v>
      </c>
      <c r="K1754" s="11" t="n">
        <f aca="false">H1754*I1754-J1754</f>
        <v>290</v>
      </c>
      <c r="L1754" s="7" t="s">
        <v>88</v>
      </c>
      <c r="M1754" s="7" t="s">
        <v>194</v>
      </c>
      <c r="N1754" s="7" t="n">
        <v>42</v>
      </c>
      <c r="O1754" s="7" t="n">
        <v>4</v>
      </c>
    </row>
    <row r="1755" customFormat="false" ht="15" hidden="false" customHeight="false" outlineLevel="0" collapsed="false">
      <c r="A1755" s="7" t="s">
        <v>5755</v>
      </c>
      <c r="B1755" s="10" t="n">
        <v>45890</v>
      </c>
      <c r="C1755" s="7" t="s">
        <v>2853</v>
      </c>
      <c r="D1755" s="7" t="s">
        <v>5756</v>
      </c>
      <c r="E1755" s="7" t="s">
        <v>104</v>
      </c>
      <c r="F1755" s="7" t="s">
        <v>86</v>
      </c>
      <c r="G1755" s="7" t="s">
        <v>105</v>
      </c>
      <c r="H1755" s="7" t="n">
        <v>1</v>
      </c>
      <c r="I1755" s="11" t="n">
        <v>185</v>
      </c>
      <c r="J1755" s="11" t="n">
        <v>40</v>
      </c>
      <c r="K1755" s="11" t="n">
        <f aca="false">H1755*I1755-J1755</f>
        <v>145</v>
      </c>
      <c r="L1755" s="7" t="s">
        <v>112</v>
      </c>
      <c r="M1755" s="7" t="s">
        <v>194</v>
      </c>
      <c r="N1755" s="7" t="n">
        <v>49</v>
      </c>
      <c r="O1755" s="7" t="n">
        <v>5</v>
      </c>
    </row>
    <row r="1756" customFormat="false" ht="15" hidden="false" customHeight="false" outlineLevel="0" collapsed="false">
      <c r="A1756" s="7" t="s">
        <v>5900</v>
      </c>
      <c r="B1756" s="10" t="n">
        <v>45890</v>
      </c>
      <c r="C1756" s="7" t="s">
        <v>1133</v>
      </c>
      <c r="D1756" s="7" t="s">
        <v>5902</v>
      </c>
      <c r="E1756" s="7" t="s">
        <v>164</v>
      </c>
      <c r="F1756" s="7" t="s">
        <v>141</v>
      </c>
      <c r="G1756" s="7" t="s">
        <v>150</v>
      </c>
      <c r="H1756" s="7" t="n">
        <v>2</v>
      </c>
      <c r="I1756" s="11" t="n">
        <v>145</v>
      </c>
      <c r="J1756" s="11" t="n">
        <v>100</v>
      </c>
      <c r="K1756" s="11" t="n">
        <f aca="false">H1756*I1756-J1756</f>
        <v>190</v>
      </c>
      <c r="L1756" s="7" t="s">
        <v>112</v>
      </c>
      <c r="M1756" s="7" t="s">
        <v>194</v>
      </c>
      <c r="N1756" s="7" t="n">
        <v>34</v>
      </c>
      <c r="O1756" s="7" t="n">
        <v>4</v>
      </c>
    </row>
    <row r="1757" customFormat="false" ht="15" hidden="false" customHeight="false" outlineLevel="0" collapsed="false">
      <c r="A1757" s="7" t="s">
        <v>5142</v>
      </c>
      <c r="B1757" s="10" t="n">
        <v>45890</v>
      </c>
      <c r="C1757" s="7" t="s">
        <v>1080</v>
      </c>
      <c r="D1757" s="7" t="s">
        <v>5143</v>
      </c>
      <c r="E1757" s="7" t="s">
        <v>144</v>
      </c>
      <c r="F1757" s="7" t="s">
        <v>119</v>
      </c>
      <c r="G1757" s="7" t="s">
        <v>99</v>
      </c>
      <c r="H1757" s="7" t="n">
        <v>1</v>
      </c>
      <c r="I1757" s="11" t="n">
        <v>320</v>
      </c>
      <c r="J1757" s="11" t="n">
        <v>20</v>
      </c>
      <c r="K1757" s="11" t="n">
        <f aca="false">H1757*I1757-J1757</f>
        <v>300</v>
      </c>
      <c r="L1757" s="7" t="s">
        <v>88</v>
      </c>
      <c r="M1757" s="7" t="s">
        <v>194</v>
      </c>
      <c r="N1757" s="7" t="n">
        <v>40</v>
      </c>
      <c r="O1757" s="7" t="n">
        <v>5</v>
      </c>
    </row>
    <row r="1758" customFormat="false" ht="15" hidden="false" customHeight="false" outlineLevel="0" collapsed="false">
      <c r="A1758" s="7" t="s">
        <v>3026</v>
      </c>
      <c r="B1758" s="10" t="n">
        <v>45891</v>
      </c>
      <c r="C1758" s="7" t="s">
        <v>1486</v>
      </c>
      <c r="D1758" s="7" t="s">
        <v>3027</v>
      </c>
      <c r="E1758" s="7" t="s">
        <v>138</v>
      </c>
      <c r="F1758" s="7" t="s">
        <v>110</v>
      </c>
      <c r="G1758" s="7" t="s">
        <v>139</v>
      </c>
      <c r="H1758" s="7" t="n">
        <v>2</v>
      </c>
      <c r="I1758" s="11" t="n">
        <v>175</v>
      </c>
      <c r="J1758" s="11" t="n">
        <v>20</v>
      </c>
      <c r="K1758" s="11" t="n">
        <f aca="false">H1758*I1758-J1758</f>
        <v>330</v>
      </c>
      <c r="L1758" s="7" t="s">
        <v>88</v>
      </c>
      <c r="M1758" s="7" t="s">
        <v>194</v>
      </c>
      <c r="N1758" s="7" t="n">
        <v>38</v>
      </c>
      <c r="O1758" s="7" t="n">
        <v>5</v>
      </c>
    </row>
    <row r="1759" customFormat="false" ht="15" hidden="false" customHeight="false" outlineLevel="0" collapsed="false">
      <c r="A1759" s="7" t="s">
        <v>3130</v>
      </c>
      <c r="B1759" s="10" t="n">
        <v>45891</v>
      </c>
      <c r="C1759" s="7" t="s">
        <v>675</v>
      </c>
      <c r="D1759" s="7" t="s">
        <v>3131</v>
      </c>
      <c r="E1759" s="7" t="s">
        <v>138</v>
      </c>
      <c r="F1759" s="7" t="s">
        <v>110</v>
      </c>
      <c r="G1759" s="7" t="s">
        <v>139</v>
      </c>
      <c r="H1759" s="7" t="n">
        <v>3</v>
      </c>
      <c r="I1759" s="11" t="n">
        <v>190</v>
      </c>
      <c r="J1759" s="11" t="n">
        <v>125</v>
      </c>
      <c r="K1759" s="11" t="n">
        <f aca="false">H1759*I1759-J1759</f>
        <v>445</v>
      </c>
      <c r="L1759" s="7" t="s">
        <v>88</v>
      </c>
      <c r="M1759" s="7" t="s">
        <v>194</v>
      </c>
      <c r="N1759" s="7"/>
      <c r="O1759" s="7"/>
    </row>
    <row r="1760" customFormat="false" ht="15" hidden="false" customHeight="false" outlineLevel="0" collapsed="false">
      <c r="A1760" s="7" t="s">
        <v>5008</v>
      </c>
      <c r="B1760" s="10" t="n">
        <v>45891</v>
      </c>
      <c r="C1760" s="7" t="s">
        <v>4516</v>
      </c>
      <c r="D1760" s="7" t="s">
        <v>3871</v>
      </c>
      <c r="E1760" s="7" t="s">
        <v>126</v>
      </c>
      <c r="F1760" s="7" t="s">
        <v>101</v>
      </c>
      <c r="G1760" s="7" t="s">
        <v>105</v>
      </c>
      <c r="H1760" s="7" t="n">
        <v>1</v>
      </c>
      <c r="I1760" s="11" t="n">
        <v>155</v>
      </c>
      <c r="J1760" s="11" t="n">
        <v>0</v>
      </c>
      <c r="K1760" s="11" t="n">
        <f aca="false">H1760*I1760-J1760</f>
        <v>155</v>
      </c>
      <c r="L1760" s="7" t="s">
        <v>112</v>
      </c>
      <c r="M1760" s="7" t="s">
        <v>194</v>
      </c>
      <c r="N1760" s="7" t="n">
        <v>53</v>
      </c>
      <c r="O1760" s="7" t="n">
        <v>4</v>
      </c>
    </row>
    <row r="1761" customFormat="false" ht="15" hidden="false" customHeight="false" outlineLevel="0" collapsed="false">
      <c r="A1761" s="7" t="s">
        <v>1303</v>
      </c>
      <c r="B1761" s="10" t="n">
        <v>45891</v>
      </c>
      <c r="C1761" s="7" t="s">
        <v>762</v>
      </c>
      <c r="D1761" s="7" t="s">
        <v>1305</v>
      </c>
      <c r="E1761" s="7" t="s">
        <v>104</v>
      </c>
      <c r="F1761" s="7" t="s">
        <v>86</v>
      </c>
      <c r="G1761" s="7" t="s">
        <v>105</v>
      </c>
      <c r="H1761" s="7" t="n">
        <v>5</v>
      </c>
      <c r="I1761" s="11" t="n">
        <v>230</v>
      </c>
      <c r="J1761" s="11" t="n">
        <v>75</v>
      </c>
      <c r="K1761" s="11" t="n">
        <f aca="false">H1761*I1761-J1761</f>
        <v>1075</v>
      </c>
      <c r="L1761" s="7" t="s">
        <v>88</v>
      </c>
      <c r="M1761" s="7" t="s">
        <v>194</v>
      </c>
      <c r="N1761" s="7" t="n">
        <v>46</v>
      </c>
      <c r="O1761" s="7" t="n">
        <v>5</v>
      </c>
    </row>
    <row r="1762" customFormat="false" ht="15" hidden="false" customHeight="false" outlineLevel="0" collapsed="false">
      <c r="A1762" s="7" t="s">
        <v>2558</v>
      </c>
      <c r="B1762" s="10" t="n">
        <v>45891</v>
      </c>
      <c r="C1762" s="7" t="s">
        <v>2559</v>
      </c>
      <c r="D1762" s="7" t="s">
        <v>2426</v>
      </c>
      <c r="E1762" s="7" t="s">
        <v>104</v>
      </c>
      <c r="F1762" s="7" t="s">
        <v>86</v>
      </c>
      <c r="G1762" s="7" t="s">
        <v>105</v>
      </c>
      <c r="H1762" s="7" t="n">
        <v>1</v>
      </c>
      <c r="I1762" s="11" t="n">
        <v>230</v>
      </c>
      <c r="J1762" s="11" t="n">
        <v>0</v>
      </c>
      <c r="K1762" s="11" t="n">
        <f aca="false">H1762*I1762-J1762</f>
        <v>230</v>
      </c>
      <c r="L1762" s="7" t="s">
        <v>112</v>
      </c>
      <c r="M1762" s="7" t="s">
        <v>238</v>
      </c>
      <c r="N1762" s="7"/>
      <c r="O1762" s="7"/>
    </row>
    <row r="1763" customFormat="false" ht="15" hidden="false" customHeight="false" outlineLevel="0" collapsed="false">
      <c r="A1763" s="7" t="s">
        <v>4493</v>
      </c>
      <c r="B1763" s="10" t="n">
        <v>45891</v>
      </c>
      <c r="C1763" s="7" t="s">
        <v>4312</v>
      </c>
      <c r="D1763" s="7" t="s">
        <v>4494</v>
      </c>
      <c r="E1763" s="7" t="s">
        <v>89</v>
      </c>
      <c r="F1763" s="7" t="s">
        <v>86</v>
      </c>
      <c r="G1763" s="7" t="s">
        <v>90</v>
      </c>
      <c r="H1763" s="7" t="n">
        <v>1</v>
      </c>
      <c r="I1763" s="11" t="n">
        <v>205</v>
      </c>
      <c r="J1763" s="11" t="n">
        <v>0</v>
      </c>
      <c r="K1763" s="11" t="n">
        <f aca="false">H1763*I1763-J1763</f>
        <v>205</v>
      </c>
      <c r="L1763" s="7" t="s">
        <v>112</v>
      </c>
      <c r="M1763" s="7" t="s">
        <v>194</v>
      </c>
      <c r="N1763" s="7" t="n">
        <v>54</v>
      </c>
      <c r="O1763" s="7" t="n">
        <v>4</v>
      </c>
    </row>
    <row r="1764" customFormat="false" ht="15" hidden="false" customHeight="false" outlineLevel="0" collapsed="false">
      <c r="A1764" s="7" t="s">
        <v>5553</v>
      </c>
      <c r="B1764" s="10" t="n">
        <v>45892</v>
      </c>
      <c r="C1764" s="7" t="s">
        <v>5554</v>
      </c>
      <c r="D1764" s="7" t="s">
        <v>3212</v>
      </c>
      <c r="E1764" s="7" t="s">
        <v>113</v>
      </c>
      <c r="F1764" s="7" t="s">
        <v>101</v>
      </c>
      <c r="G1764" s="7" t="s">
        <v>90</v>
      </c>
      <c r="H1764" s="7" t="n">
        <v>4</v>
      </c>
      <c r="I1764" s="11" t="n">
        <v>260</v>
      </c>
      <c r="J1764" s="11" t="n">
        <v>40</v>
      </c>
      <c r="K1764" s="11" t="n">
        <f aca="false">H1764*I1764-J1764</f>
        <v>1000</v>
      </c>
      <c r="L1764" s="7" t="s">
        <v>88</v>
      </c>
      <c r="M1764" s="7" t="s">
        <v>194</v>
      </c>
      <c r="N1764" s="7" t="n">
        <v>52</v>
      </c>
      <c r="O1764" s="7" t="n">
        <v>2</v>
      </c>
    </row>
    <row r="1765" customFormat="false" ht="15" hidden="false" customHeight="false" outlineLevel="0" collapsed="false">
      <c r="A1765" s="7" t="s">
        <v>3578</v>
      </c>
      <c r="B1765" s="10" t="n">
        <v>45892</v>
      </c>
      <c r="C1765" s="7" t="s">
        <v>2781</v>
      </c>
      <c r="D1765" s="7" t="s">
        <v>3579</v>
      </c>
      <c r="E1765" s="7" t="s">
        <v>134</v>
      </c>
      <c r="F1765" s="7" t="s">
        <v>110</v>
      </c>
      <c r="G1765" s="7" t="s">
        <v>117</v>
      </c>
      <c r="H1765" s="7" t="n">
        <v>2</v>
      </c>
      <c r="I1765" s="11" t="n">
        <v>125</v>
      </c>
      <c r="J1765" s="11" t="n">
        <v>0</v>
      </c>
      <c r="K1765" s="11" t="n">
        <f aca="false">H1765*I1765-J1765</f>
        <v>250</v>
      </c>
      <c r="L1765" s="7" t="s">
        <v>93</v>
      </c>
      <c r="M1765" s="7" t="s">
        <v>194</v>
      </c>
      <c r="N1765" s="7" t="n">
        <v>31</v>
      </c>
      <c r="O1765" s="7" t="n">
        <v>5</v>
      </c>
    </row>
    <row r="1766" customFormat="false" ht="15" hidden="false" customHeight="false" outlineLevel="0" collapsed="false">
      <c r="A1766" s="7" t="s">
        <v>4967</v>
      </c>
      <c r="B1766" s="10" t="n">
        <v>45892</v>
      </c>
      <c r="C1766" s="7" t="s">
        <v>512</v>
      </c>
      <c r="D1766" s="7" t="s">
        <v>3438</v>
      </c>
      <c r="E1766" s="7" t="s">
        <v>104</v>
      </c>
      <c r="F1766" s="7" t="s">
        <v>86</v>
      </c>
      <c r="G1766" s="7" t="s">
        <v>105</v>
      </c>
      <c r="H1766" s="7" t="n">
        <v>4</v>
      </c>
      <c r="I1766" s="11" t="n">
        <v>190</v>
      </c>
      <c r="J1766" s="11" t="n">
        <v>0</v>
      </c>
      <c r="K1766" s="11" t="n">
        <f aca="false">H1766*I1766-J1766</f>
        <v>760</v>
      </c>
      <c r="L1766" s="7" t="s">
        <v>112</v>
      </c>
      <c r="M1766" s="7" t="s">
        <v>194</v>
      </c>
      <c r="N1766" s="7" t="n">
        <v>41</v>
      </c>
      <c r="O1766" s="7" t="n">
        <v>3</v>
      </c>
    </row>
    <row r="1767" customFormat="false" ht="15" hidden="false" customHeight="false" outlineLevel="0" collapsed="false">
      <c r="A1767" s="7" t="s">
        <v>4210</v>
      </c>
      <c r="B1767" s="10" t="n">
        <v>45892</v>
      </c>
      <c r="C1767" s="7" t="s">
        <v>2064</v>
      </c>
      <c r="D1767" s="7" t="s">
        <v>3271</v>
      </c>
      <c r="E1767" s="7" t="s">
        <v>113</v>
      </c>
      <c r="F1767" s="7" t="s">
        <v>101</v>
      </c>
      <c r="G1767" s="7" t="s">
        <v>90</v>
      </c>
      <c r="H1767" s="7" t="n">
        <v>3</v>
      </c>
      <c r="I1767" s="11" t="n">
        <v>260</v>
      </c>
      <c r="J1767" s="11" t="n">
        <v>50</v>
      </c>
      <c r="K1767" s="11" t="n">
        <f aca="false">H1767*I1767-J1767</f>
        <v>730</v>
      </c>
      <c r="L1767" s="7" t="s">
        <v>88</v>
      </c>
      <c r="M1767" s="7" t="s">
        <v>194</v>
      </c>
      <c r="N1767" s="7" t="n">
        <v>36</v>
      </c>
      <c r="O1767" s="7" t="n">
        <v>5</v>
      </c>
    </row>
    <row r="1768" customFormat="false" ht="15" hidden="false" customHeight="false" outlineLevel="0" collapsed="false">
      <c r="A1768" s="7" t="s">
        <v>3376</v>
      </c>
      <c r="B1768" s="10" t="n">
        <v>45892</v>
      </c>
      <c r="C1768" s="7" t="s">
        <v>686</v>
      </c>
      <c r="D1768" s="7" t="s">
        <v>293</v>
      </c>
      <c r="E1768" s="7" t="s">
        <v>142</v>
      </c>
      <c r="F1768" s="7" t="s">
        <v>110</v>
      </c>
      <c r="G1768" s="7" t="s">
        <v>105</v>
      </c>
      <c r="H1768" s="7" t="n">
        <v>2</v>
      </c>
      <c r="I1768" s="11" t="n">
        <v>165</v>
      </c>
      <c r="J1768" s="11" t="n">
        <v>0</v>
      </c>
      <c r="K1768" s="11" t="n">
        <f aca="false">H1768*I1768-J1768</f>
        <v>330</v>
      </c>
      <c r="L1768" s="7" t="s">
        <v>103</v>
      </c>
      <c r="M1768" s="7" t="s">
        <v>194</v>
      </c>
      <c r="N1768" s="7" t="n">
        <v>34</v>
      </c>
      <c r="O1768" s="7" t="n">
        <v>5</v>
      </c>
    </row>
    <row r="1769" customFormat="false" ht="15" hidden="false" customHeight="false" outlineLevel="0" collapsed="false">
      <c r="A1769" s="7" t="s">
        <v>1633</v>
      </c>
      <c r="B1769" s="10" t="n">
        <v>45892</v>
      </c>
      <c r="C1769" s="7" t="s">
        <v>1635</v>
      </c>
      <c r="D1769" s="7" t="s">
        <v>1636</v>
      </c>
      <c r="E1769" s="7" t="s">
        <v>98</v>
      </c>
      <c r="F1769" s="7" t="s">
        <v>86</v>
      </c>
      <c r="G1769" s="7" t="s">
        <v>99</v>
      </c>
      <c r="H1769" s="7" t="n">
        <v>3</v>
      </c>
      <c r="I1769" s="11" t="n">
        <v>295</v>
      </c>
      <c r="J1769" s="11" t="n">
        <v>0</v>
      </c>
      <c r="K1769" s="11" t="n">
        <f aca="false">H1769*I1769-J1769</f>
        <v>885</v>
      </c>
      <c r="L1769" s="7" t="s">
        <v>88</v>
      </c>
      <c r="M1769" s="7" t="s">
        <v>194</v>
      </c>
      <c r="N1769" s="7" t="n">
        <v>53</v>
      </c>
      <c r="O1769" s="7" t="n">
        <v>4</v>
      </c>
    </row>
    <row r="1770" customFormat="false" ht="15" hidden="false" customHeight="false" outlineLevel="0" collapsed="false">
      <c r="A1770" s="7" t="s">
        <v>5832</v>
      </c>
      <c r="B1770" s="10" t="n">
        <v>45892</v>
      </c>
      <c r="C1770" s="7" t="s">
        <v>1635</v>
      </c>
      <c r="D1770" s="7" t="s">
        <v>4342</v>
      </c>
      <c r="E1770" s="7" t="s">
        <v>142</v>
      </c>
      <c r="F1770" s="7" t="s">
        <v>110</v>
      </c>
      <c r="G1770" s="7" t="s">
        <v>105</v>
      </c>
      <c r="H1770" s="7" t="n">
        <v>4</v>
      </c>
      <c r="I1770" s="11" t="n">
        <v>190</v>
      </c>
      <c r="J1770" s="11" t="n">
        <v>30</v>
      </c>
      <c r="K1770" s="11" t="n">
        <f aca="false">H1770*I1770-J1770</f>
        <v>730</v>
      </c>
      <c r="L1770" s="7" t="s">
        <v>121</v>
      </c>
      <c r="M1770" s="7" t="s">
        <v>194</v>
      </c>
      <c r="N1770" s="7" t="n">
        <v>47</v>
      </c>
      <c r="O1770" s="7" t="n">
        <v>4</v>
      </c>
    </row>
    <row r="1771" customFormat="false" ht="15" hidden="false" customHeight="false" outlineLevel="0" collapsed="false">
      <c r="A1771" s="7" t="s">
        <v>682</v>
      </c>
      <c r="B1771" s="10" t="n">
        <v>45893</v>
      </c>
      <c r="C1771" s="7" t="s">
        <v>683</v>
      </c>
      <c r="D1771" s="7" t="s">
        <v>684</v>
      </c>
      <c r="E1771" s="7" t="s">
        <v>142</v>
      </c>
      <c r="F1771" s="7" t="s">
        <v>110</v>
      </c>
      <c r="G1771" s="7" t="s">
        <v>105</v>
      </c>
      <c r="H1771" s="7" t="n">
        <v>1</v>
      </c>
      <c r="I1771" s="11" t="n">
        <v>155</v>
      </c>
      <c r="J1771" s="11" t="n">
        <v>0</v>
      </c>
      <c r="K1771" s="11" t="n">
        <f aca="false">H1771*I1771-J1771</f>
        <v>155</v>
      </c>
      <c r="L1771" s="7" t="s">
        <v>88</v>
      </c>
      <c r="M1771" s="7" t="s">
        <v>194</v>
      </c>
      <c r="N1771" s="7" t="n">
        <v>32</v>
      </c>
      <c r="O1771" s="7" t="n">
        <v>5</v>
      </c>
    </row>
    <row r="1772" customFormat="false" ht="15" hidden="false" customHeight="false" outlineLevel="0" collapsed="false">
      <c r="A1772" s="7" t="s">
        <v>3332</v>
      </c>
      <c r="B1772" s="10" t="n">
        <v>45893</v>
      </c>
      <c r="C1772" s="7" t="s">
        <v>315</v>
      </c>
      <c r="D1772" s="7" t="s">
        <v>3065</v>
      </c>
      <c r="E1772" s="7" t="s">
        <v>167</v>
      </c>
      <c r="F1772" s="7" t="s">
        <v>146</v>
      </c>
      <c r="G1772" s="7" t="s">
        <v>156</v>
      </c>
      <c r="H1772" s="7" t="n">
        <v>3</v>
      </c>
      <c r="I1772" s="11" t="n">
        <v>255</v>
      </c>
      <c r="J1772" s="11" t="n">
        <v>75</v>
      </c>
      <c r="K1772" s="11" t="n">
        <f aca="false">H1772*I1772-J1772</f>
        <v>690</v>
      </c>
      <c r="L1772" s="7" t="s">
        <v>93</v>
      </c>
      <c r="M1772" s="7" t="s">
        <v>194</v>
      </c>
      <c r="N1772" s="7" t="n">
        <v>40</v>
      </c>
      <c r="O1772" s="7" t="n">
        <v>4</v>
      </c>
    </row>
    <row r="1773" customFormat="false" ht="15" hidden="false" customHeight="false" outlineLevel="0" collapsed="false">
      <c r="A1773" s="7" t="s">
        <v>2725</v>
      </c>
      <c r="B1773" s="10" t="n">
        <v>45893</v>
      </c>
      <c r="C1773" s="7" t="s">
        <v>839</v>
      </c>
      <c r="D1773" s="7" t="s">
        <v>497</v>
      </c>
      <c r="E1773" s="7" t="s">
        <v>134</v>
      </c>
      <c r="F1773" s="7" t="s">
        <v>110</v>
      </c>
      <c r="G1773" s="7" t="s">
        <v>117</v>
      </c>
      <c r="H1773" s="7" t="n">
        <v>4</v>
      </c>
      <c r="I1773" s="11" t="n">
        <v>100</v>
      </c>
      <c r="J1773" s="11" t="n">
        <v>0</v>
      </c>
      <c r="K1773" s="11" t="n">
        <f aca="false">H1773*I1773-J1773</f>
        <v>400</v>
      </c>
      <c r="L1773" s="7" t="s">
        <v>112</v>
      </c>
      <c r="M1773" s="7" t="s">
        <v>194</v>
      </c>
      <c r="N1773" s="7" t="n">
        <v>55</v>
      </c>
      <c r="O1773" s="7" t="n">
        <v>5</v>
      </c>
    </row>
    <row r="1774" customFormat="false" ht="15" hidden="false" customHeight="false" outlineLevel="0" collapsed="false">
      <c r="A1774" s="7" t="s">
        <v>4035</v>
      </c>
      <c r="B1774" s="10" t="n">
        <v>45893</v>
      </c>
      <c r="C1774" s="7" t="s">
        <v>817</v>
      </c>
      <c r="D1774" s="7" t="s">
        <v>4036</v>
      </c>
      <c r="E1774" s="7" t="s">
        <v>126</v>
      </c>
      <c r="F1774" s="7" t="s">
        <v>101</v>
      </c>
      <c r="G1774" s="7" t="s">
        <v>105</v>
      </c>
      <c r="H1774" s="7" t="n">
        <v>4</v>
      </c>
      <c r="I1774" s="11" t="n">
        <v>245</v>
      </c>
      <c r="J1774" s="11" t="n">
        <v>0</v>
      </c>
      <c r="K1774" s="11" t="n">
        <f aca="false">H1774*I1774-J1774</f>
        <v>980</v>
      </c>
      <c r="L1774" s="7" t="s">
        <v>112</v>
      </c>
      <c r="M1774" s="7" t="s">
        <v>194</v>
      </c>
      <c r="N1774" s="7" t="n">
        <v>45</v>
      </c>
      <c r="O1774" s="7" t="n">
        <v>5</v>
      </c>
    </row>
    <row r="1775" customFormat="false" ht="15" hidden="false" customHeight="false" outlineLevel="0" collapsed="false">
      <c r="A1775" s="7" t="s">
        <v>5743</v>
      </c>
      <c r="B1775" s="10" t="n">
        <v>45893</v>
      </c>
      <c r="C1775" s="7" t="s">
        <v>2904</v>
      </c>
      <c r="D1775" s="7" t="s">
        <v>192</v>
      </c>
      <c r="E1775" s="7" t="s">
        <v>165</v>
      </c>
      <c r="F1775" s="7" t="s">
        <v>146</v>
      </c>
      <c r="G1775" s="7" t="s">
        <v>90</v>
      </c>
      <c r="H1775" s="7" t="n">
        <v>4</v>
      </c>
      <c r="I1775" s="11" t="n">
        <v>205</v>
      </c>
      <c r="J1775" s="11" t="n">
        <v>125</v>
      </c>
      <c r="K1775" s="11" t="n">
        <f aca="false">H1775*I1775-J1775</f>
        <v>695</v>
      </c>
      <c r="L1775" s="7" t="s">
        <v>6170</v>
      </c>
      <c r="M1775" s="7" t="s">
        <v>238</v>
      </c>
      <c r="N1775" s="7"/>
      <c r="O1775" s="7"/>
    </row>
    <row r="1776" customFormat="false" ht="15" hidden="false" customHeight="false" outlineLevel="0" collapsed="false">
      <c r="A1776" s="7" t="s">
        <v>1857</v>
      </c>
      <c r="B1776" s="10" t="n">
        <v>45894</v>
      </c>
      <c r="C1776" s="7" t="s">
        <v>1858</v>
      </c>
      <c r="D1776" s="7" t="s">
        <v>1859</v>
      </c>
      <c r="E1776" s="7" t="s">
        <v>89</v>
      </c>
      <c r="F1776" s="7" t="s">
        <v>86</v>
      </c>
      <c r="G1776" s="7" t="s">
        <v>90</v>
      </c>
      <c r="H1776" s="7" t="n">
        <v>1</v>
      </c>
      <c r="I1776" s="11" t="n">
        <v>220</v>
      </c>
      <c r="J1776" s="11" t="n">
        <v>40</v>
      </c>
      <c r="K1776" s="11" t="n">
        <f aca="false">H1776*I1776-J1776</f>
        <v>180</v>
      </c>
      <c r="L1776" s="7" t="s">
        <v>88</v>
      </c>
      <c r="M1776" s="7" t="s">
        <v>194</v>
      </c>
      <c r="N1776" s="7" t="n">
        <v>41</v>
      </c>
      <c r="O1776" s="7" t="n">
        <v>4</v>
      </c>
    </row>
    <row r="1777" customFormat="false" ht="15" hidden="false" customHeight="false" outlineLevel="0" collapsed="false">
      <c r="A1777" s="7" t="s">
        <v>426</v>
      </c>
      <c r="B1777" s="10" t="n">
        <v>45894</v>
      </c>
      <c r="C1777" s="7" t="s">
        <v>428</v>
      </c>
      <c r="D1777" s="7" t="s">
        <v>429</v>
      </c>
      <c r="E1777" s="7" t="s">
        <v>116</v>
      </c>
      <c r="F1777" s="7" t="s">
        <v>101</v>
      </c>
      <c r="G1777" s="7" t="s">
        <v>117</v>
      </c>
      <c r="H1777" s="7" t="n">
        <v>1</v>
      </c>
      <c r="I1777" s="11" t="n">
        <v>120</v>
      </c>
      <c r="J1777" s="11" t="n">
        <v>0</v>
      </c>
      <c r="K1777" s="11" t="n">
        <f aca="false">H1777*I1777-J1777</f>
        <v>120</v>
      </c>
      <c r="L1777" s="7" t="s">
        <v>88</v>
      </c>
      <c r="M1777" s="7" t="s">
        <v>194</v>
      </c>
      <c r="N1777" s="7" t="n">
        <v>48</v>
      </c>
      <c r="O1777" s="7" t="n">
        <v>3</v>
      </c>
    </row>
    <row r="1778" customFormat="false" ht="15" hidden="false" customHeight="false" outlineLevel="0" collapsed="false">
      <c r="A1778" s="7" t="s">
        <v>5430</v>
      </c>
      <c r="B1778" s="10" t="n">
        <v>45894</v>
      </c>
      <c r="C1778" s="7" t="s">
        <v>2202</v>
      </c>
      <c r="D1778" s="7" t="s">
        <v>456</v>
      </c>
      <c r="E1778" s="7" t="s">
        <v>94</v>
      </c>
      <c r="F1778" s="7" t="s">
        <v>86</v>
      </c>
      <c r="G1778" s="7" t="s">
        <v>95</v>
      </c>
      <c r="H1778" s="7" t="n">
        <v>2</v>
      </c>
      <c r="I1778" s="11" t="n">
        <v>105</v>
      </c>
      <c r="J1778" s="11" t="n">
        <v>0</v>
      </c>
      <c r="K1778" s="11" t="n">
        <f aca="false">H1778*I1778-J1778</f>
        <v>210</v>
      </c>
      <c r="L1778" s="7" t="s">
        <v>88</v>
      </c>
      <c r="M1778" s="7" t="s">
        <v>194</v>
      </c>
      <c r="N1778" s="7" t="n">
        <v>35</v>
      </c>
      <c r="O1778" s="7" t="n">
        <v>3</v>
      </c>
    </row>
    <row r="1779" customFormat="false" ht="15" hidden="false" customHeight="false" outlineLevel="0" collapsed="false">
      <c r="A1779" s="7" t="s">
        <v>1748</v>
      </c>
      <c r="B1779" s="10" t="n">
        <v>45894</v>
      </c>
      <c r="C1779" s="7" t="s">
        <v>1749</v>
      </c>
      <c r="D1779" s="7" t="s">
        <v>1750</v>
      </c>
      <c r="E1779" s="7" t="s">
        <v>126</v>
      </c>
      <c r="F1779" s="7" t="s">
        <v>101</v>
      </c>
      <c r="G1779" s="7" t="s">
        <v>105</v>
      </c>
      <c r="H1779" s="7" t="n">
        <v>3</v>
      </c>
      <c r="I1779" s="11" t="n">
        <v>230</v>
      </c>
      <c r="J1779" s="11" t="n">
        <v>0</v>
      </c>
      <c r="K1779" s="11" t="n">
        <f aca="false">H1779*I1779-J1779</f>
        <v>690</v>
      </c>
      <c r="L1779" s="7" t="s">
        <v>6170</v>
      </c>
      <c r="M1779" s="7" t="s">
        <v>194</v>
      </c>
      <c r="N1779" s="7" t="n">
        <v>39</v>
      </c>
      <c r="O1779" s="7"/>
    </row>
    <row r="1780" customFormat="false" ht="15" hidden="false" customHeight="false" outlineLevel="0" collapsed="false">
      <c r="A1780" s="7" t="s">
        <v>549</v>
      </c>
      <c r="B1780" s="10" t="n">
        <v>45894</v>
      </c>
      <c r="C1780" s="7" t="s">
        <v>551</v>
      </c>
      <c r="D1780" s="7" t="s">
        <v>552</v>
      </c>
      <c r="E1780" s="7" t="s">
        <v>126</v>
      </c>
      <c r="F1780" s="7" t="s">
        <v>101</v>
      </c>
      <c r="G1780" s="7" t="s">
        <v>105</v>
      </c>
      <c r="H1780" s="7" t="n">
        <v>1</v>
      </c>
      <c r="I1780" s="11" t="n">
        <v>250</v>
      </c>
      <c r="J1780" s="11" t="n">
        <v>50</v>
      </c>
      <c r="K1780" s="11" t="n">
        <f aca="false">H1780*I1780-J1780</f>
        <v>200</v>
      </c>
      <c r="L1780" s="7" t="s">
        <v>133</v>
      </c>
      <c r="M1780" s="7" t="s">
        <v>194</v>
      </c>
      <c r="N1780" s="7" t="n">
        <v>43</v>
      </c>
      <c r="O1780" s="7" t="n">
        <v>4</v>
      </c>
    </row>
    <row r="1781" customFormat="false" ht="15" hidden="false" customHeight="false" outlineLevel="0" collapsed="false">
      <c r="A1781" s="7" t="s">
        <v>5573</v>
      </c>
      <c r="B1781" s="10" t="n">
        <v>45894</v>
      </c>
      <c r="C1781" s="7" t="s">
        <v>3046</v>
      </c>
      <c r="D1781" s="7" t="s">
        <v>2697</v>
      </c>
      <c r="E1781" s="7" t="s">
        <v>134</v>
      </c>
      <c r="F1781" s="7" t="s">
        <v>110</v>
      </c>
      <c r="G1781" s="7" t="s">
        <v>117</v>
      </c>
      <c r="H1781" s="7" t="n">
        <v>3</v>
      </c>
      <c r="I1781" s="11" t="n">
        <v>120</v>
      </c>
      <c r="J1781" s="11" t="n">
        <v>144</v>
      </c>
      <c r="K1781" s="11" t="n">
        <f aca="false">H1781*I1781-J1781</f>
        <v>216</v>
      </c>
      <c r="L1781" s="7" t="s">
        <v>88</v>
      </c>
      <c r="M1781" s="7" t="s">
        <v>194</v>
      </c>
      <c r="N1781" s="7" t="n">
        <v>35</v>
      </c>
      <c r="O1781" s="7" t="n">
        <v>4</v>
      </c>
    </row>
    <row r="1782" customFormat="false" ht="15" hidden="false" customHeight="false" outlineLevel="0" collapsed="false">
      <c r="A1782" s="7" t="s">
        <v>2828</v>
      </c>
      <c r="B1782" s="10" t="n">
        <v>45894</v>
      </c>
      <c r="C1782" s="7" t="s">
        <v>1578</v>
      </c>
      <c r="D1782" s="7" t="s">
        <v>2724</v>
      </c>
      <c r="E1782" s="7" t="s">
        <v>134</v>
      </c>
      <c r="F1782" s="7" t="s">
        <v>110</v>
      </c>
      <c r="G1782" s="7" t="s">
        <v>117</v>
      </c>
      <c r="H1782" s="7" t="n">
        <v>1</v>
      </c>
      <c r="I1782" s="11" t="n">
        <v>120</v>
      </c>
      <c r="J1782" s="11" t="n">
        <v>0</v>
      </c>
      <c r="K1782" s="11" t="n">
        <f aca="false">H1782*I1782-J1782</f>
        <v>120</v>
      </c>
      <c r="L1782" s="7" t="s">
        <v>103</v>
      </c>
      <c r="M1782" s="7" t="s">
        <v>194</v>
      </c>
      <c r="N1782" s="7" t="n">
        <v>37</v>
      </c>
      <c r="O1782" s="7" t="n">
        <v>4</v>
      </c>
    </row>
    <row r="1783" customFormat="false" ht="15" hidden="false" customHeight="false" outlineLevel="0" collapsed="false">
      <c r="A1783" s="7" t="s">
        <v>1866</v>
      </c>
      <c r="B1783" s="10" t="n">
        <v>45894</v>
      </c>
      <c r="C1783" s="7" t="s">
        <v>1243</v>
      </c>
      <c r="D1783" s="7" t="s">
        <v>1867</v>
      </c>
      <c r="E1783" s="7" t="s">
        <v>113</v>
      </c>
      <c r="F1783" s="7" t="s">
        <v>101</v>
      </c>
      <c r="G1783" s="7" t="s">
        <v>90</v>
      </c>
      <c r="H1783" s="7" t="n">
        <v>1</v>
      </c>
      <c r="I1783" s="11" t="n">
        <v>260</v>
      </c>
      <c r="J1783" s="11" t="n">
        <v>0</v>
      </c>
      <c r="K1783" s="11" t="n">
        <f aca="false">H1783*I1783-J1783</f>
        <v>260</v>
      </c>
      <c r="L1783" s="7" t="s">
        <v>88</v>
      </c>
      <c r="M1783" s="7" t="s">
        <v>194</v>
      </c>
      <c r="N1783" s="7" t="n">
        <v>50</v>
      </c>
      <c r="O1783" s="7" t="n">
        <v>5</v>
      </c>
    </row>
    <row r="1784" customFormat="false" ht="15" hidden="false" customHeight="false" outlineLevel="0" collapsed="false">
      <c r="A1784" s="7" t="s">
        <v>4319</v>
      </c>
      <c r="B1784" s="10" t="n">
        <v>45894</v>
      </c>
      <c r="C1784" s="7" t="s">
        <v>1654</v>
      </c>
      <c r="D1784" s="7" t="s">
        <v>2226</v>
      </c>
      <c r="E1784" s="7" t="s">
        <v>168</v>
      </c>
      <c r="F1784" s="7" t="s">
        <v>146</v>
      </c>
      <c r="G1784" s="7" t="s">
        <v>123</v>
      </c>
      <c r="H1784" s="7" t="n">
        <v>1</v>
      </c>
      <c r="I1784" s="11" t="n">
        <v>380</v>
      </c>
      <c r="J1784" s="11" t="n">
        <v>125</v>
      </c>
      <c r="K1784" s="11" t="n">
        <f aca="false">H1784*I1784-J1784</f>
        <v>255</v>
      </c>
      <c r="L1784" s="7" t="s">
        <v>88</v>
      </c>
      <c r="M1784" s="7" t="s">
        <v>194</v>
      </c>
      <c r="N1784" s="7" t="n">
        <v>26</v>
      </c>
      <c r="O1784" s="7" t="n">
        <v>4</v>
      </c>
    </row>
    <row r="1785" customFormat="false" ht="15" hidden="false" customHeight="false" outlineLevel="0" collapsed="false">
      <c r="A1785" s="7" t="s">
        <v>3325</v>
      </c>
      <c r="B1785" s="10" t="n">
        <v>45895</v>
      </c>
      <c r="C1785" s="7" t="s">
        <v>3326</v>
      </c>
      <c r="D1785" s="7" t="s">
        <v>3327</v>
      </c>
      <c r="E1785" s="7" t="s">
        <v>116</v>
      </c>
      <c r="F1785" s="7" t="s">
        <v>101</v>
      </c>
      <c r="G1785" s="7" t="s">
        <v>117</v>
      </c>
      <c r="H1785" s="7" t="n">
        <v>2</v>
      </c>
      <c r="I1785" s="11" t="n">
        <v>130</v>
      </c>
      <c r="J1785" s="11" t="n">
        <v>0</v>
      </c>
      <c r="K1785" s="11" t="n">
        <f aca="false">H1785*I1785-J1785</f>
        <v>260</v>
      </c>
      <c r="L1785" s="7" t="s">
        <v>133</v>
      </c>
      <c r="M1785" s="7" t="s">
        <v>194</v>
      </c>
      <c r="N1785" s="7" t="n">
        <v>41</v>
      </c>
      <c r="O1785" s="7" t="n">
        <v>3</v>
      </c>
    </row>
    <row r="1786" customFormat="false" ht="15" hidden="false" customHeight="false" outlineLevel="0" collapsed="false">
      <c r="A1786" s="7" t="s">
        <v>2161</v>
      </c>
      <c r="B1786" s="10" t="n">
        <v>45895</v>
      </c>
      <c r="C1786" s="7" t="s">
        <v>1280</v>
      </c>
      <c r="D1786" s="7" t="s">
        <v>2163</v>
      </c>
      <c r="E1786" s="7" t="s">
        <v>155</v>
      </c>
      <c r="F1786" s="7" t="s">
        <v>128</v>
      </c>
      <c r="G1786" s="7" t="s">
        <v>156</v>
      </c>
      <c r="H1786" s="7" t="n">
        <v>3</v>
      </c>
      <c r="I1786" s="11" t="n">
        <v>305</v>
      </c>
      <c r="J1786" s="11" t="n">
        <v>100</v>
      </c>
      <c r="K1786" s="11" t="n">
        <f aca="false">H1786*I1786-J1786</f>
        <v>815</v>
      </c>
      <c r="L1786" s="7" t="s">
        <v>88</v>
      </c>
      <c r="M1786" s="7" t="s">
        <v>194</v>
      </c>
      <c r="N1786" s="7" t="n">
        <v>40</v>
      </c>
      <c r="O1786" s="7" t="n">
        <v>4</v>
      </c>
    </row>
    <row r="1787" customFormat="false" ht="15" hidden="false" customHeight="false" outlineLevel="0" collapsed="false">
      <c r="A1787" s="7" t="s">
        <v>5103</v>
      </c>
      <c r="B1787" s="10" t="n">
        <v>45895</v>
      </c>
      <c r="C1787" s="7" t="s">
        <v>3774</v>
      </c>
      <c r="D1787" s="7" t="s">
        <v>552</v>
      </c>
      <c r="E1787" s="7" t="s">
        <v>163</v>
      </c>
      <c r="F1787" s="7" t="s">
        <v>141</v>
      </c>
      <c r="G1787" s="7" t="s">
        <v>99</v>
      </c>
      <c r="H1787" s="7" t="n">
        <v>1</v>
      </c>
      <c r="I1787" s="11" t="n">
        <v>230</v>
      </c>
      <c r="J1787" s="11" t="n">
        <v>0</v>
      </c>
      <c r="K1787" s="11" t="n">
        <f aca="false">H1787*I1787-J1787</f>
        <v>230</v>
      </c>
      <c r="L1787" s="7" t="s">
        <v>88</v>
      </c>
      <c r="M1787" s="7" t="s">
        <v>194</v>
      </c>
      <c r="N1787" s="7" t="n">
        <v>38</v>
      </c>
      <c r="O1787" s="7" t="n">
        <v>5</v>
      </c>
    </row>
    <row r="1788" customFormat="false" ht="15" hidden="false" customHeight="false" outlineLevel="0" collapsed="false">
      <c r="A1788" s="7" t="s">
        <v>4601</v>
      </c>
      <c r="B1788" s="10" t="n">
        <v>45895</v>
      </c>
      <c r="C1788" s="7" t="s">
        <v>4602</v>
      </c>
      <c r="D1788" s="7" t="s">
        <v>277</v>
      </c>
      <c r="E1788" s="7" t="s">
        <v>158</v>
      </c>
      <c r="F1788" s="7" t="s">
        <v>136</v>
      </c>
      <c r="G1788" s="7" t="s">
        <v>139</v>
      </c>
      <c r="H1788" s="7" t="n">
        <v>3</v>
      </c>
      <c r="I1788" s="11" t="n">
        <v>185</v>
      </c>
      <c r="J1788" s="11" t="n">
        <v>0</v>
      </c>
      <c r="K1788" s="11" t="n">
        <f aca="false">H1788*I1788-J1788</f>
        <v>555</v>
      </c>
      <c r="L1788" s="7" t="s">
        <v>93</v>
      </c>
      <c r="M1788" s="7" t="s">
        <v>194</v>
      </c>
      <c r="N1788" s="7" t="n">
        <v>36</v>
      </c>
      <c r="O1788" s="7" t="n">
        <v>4</v>
      </c>
    </row>
    <row r="1789" customFormat="false" ht="15" hidden="false" customHeight="false" outlineLevel="0" collapsed="false">
      <c r="A1789" s="7" t="s">
        <v>2280</v>
      </c>
      <c r="B1789" s="10" t="n">
        <v>45895</v>
      </c>
      <c r="C1789" s="7" t="s">
        <v>568</v>
      </c>
      <c r="D1789" s="7" t="s">
        <v>1039</v>
      </c>
      <c r="E1789" s="7" t="s">
        <v>149</v>
      </c>
      <c r="F1789" s="7" t="s">
        <v>119</v>
      </c>
      <c r="G1789" s="7" t="s">
        <v>150</v>
      </c>
      <c r="H1789" s="7" t="n">
        <v>2</v>
      </c>
      <c r="I1789" s="11" t="n">
        <v>160</v>
      </c>
      <c r="J1789" s="11" t="n">
        <v>128</v>
      </c>
      <c r="K1789" s="11" t="n">
        <f aca="false">H1789*I1789-J1789</f>
        <v>192</v>
      </c>
      <c r="L1789" s="7" t="s">
        <v>112</v>
      </c>
      <c r="M1789" s="7" t="s">
        <v>194</v>
      </c>
      <c r="N1789" s="7" t="n">
        <v>39</v>
      </c>
      <c r="O1789" s="7" t="n">
        <v>3</v>
      </c>
    </row>
    <row r="1790" customFormat="false" ht="15" hidden="false" customHeight="false" outlineLevel="0" collapsed="false">
      <c r="A1790" s="7" t="s">
        <v>5670</v>
      </c>
      <c r="B1790" s="10" t="n">
        <v>45895</v>
      </c>
      <c r="C1790" s="7" t="s">
        <v>1624</v>
      </c>
      <c r="D1790" s="7" t="s">
        <v>1261</v>
      </c>
      <c r="E1790" s="7" t="s">
        <v>158</v>
      </c>
      <c r="F1790" s="7" t="s">
        <v>136</v>
      </c>
      <c r="G1790" s="7" t="s">
        <v>139</v>
      </c>
      <c r="H1790" s="7" t="n">
        <v>1</v>
      </c>
      <c r="I1790" s="11" t="n">
        <v>195</v>
      </c>
      <c r="J1790" s="11" t="n">
        <v>50</v>
      </c>
      <c r="K1790" s="11" t="n">
        <f aca="false">H1790*I1790-J1790</f>
        <v>145</v>
      </c>
      <c r="L1790" s="7" t="s">
        <v>103</v>
      </c>
      <c r="M1790" s="7" t="s">
        <v>194</v>
      </c>
      <c r="N1790" s="7" t="n">
        <v>39</v>
      </c>
      <c r="O1790" s="7" t="n">
        <v>5</v>
      </c>
    </row>
    <row r="1791" customFormat="false" ht="15" hidden="false" customHeight="false" outlineLevel="0" collapsed="false">
      <c r="A1791" s="7" t="s">
        <v>2989</v>
      </c>
      <c r="B1791" s="10" t="n">
        <v>45896</v>
      </c>
      <c r="C1791" s="7" t="s">
        <v>1899</v>
      </c>
      <c r="D1791" s="7" t="s">
        <v>2990</v>
      </c>
      <c r="E1791" s="7" t="s">
        <v>130</v>
      </c>
      <c r="F1791" s="7" t="s">
        <v>110</v>
      </c>
      <c r="G1791" s="7" t="s">
        <v>90</v>
      </c>
      <c r="H1791" s="7" t="n">
        <v>4</v>
      </c>
      <c r="I1791" s="11" t="n">
        <v>250</v>
      </c>
      <c r="J1791" s="11" t="n">
        <v>0</v>
      </c>
      <c r="K1791" s="11" t="n">
        <f aca="false">H1791*I1791-J1791</f>
        <v>1000</v>
      </c>
      <c r="L1791" s="7" t="s">
        <v>112</v>
      </c>
      <c r="M1791" s="7" t="s">
        <v>194</v>
      </c>
      <c r="N1791" s="7" t="n">
        <v>45</v>
      </c>
      <c r="O1791" s="7" t="n">
        <v>4</v>
      </c>
    </row>
    <row r="1792" customFormat="false" ht="15" hidden="false" customHeight="false" outlineLevel="0" collapsed="false">
      <c r="A1792" s="7" t="s">
        <v>5536</v>
      </c>
      <c r="B1792" s="10" t="n">
        <v>45896</v>
      </c>
      <c r="C1792" s="7" t="s">
        <v>1539</v>
      </c>
      <c r="D1792" s="7" t="s">
        <v>5537</v>
      </c>
      <c r="E1792" s="7" t="s">
        <v>154</v>
      </c>
      <c r="F1792" s="7" t="s">
        <v>128</v>
      </c>
      <c r="G1792" s="7" t="s">
        <v>99</v>
      </c>
      <c r="H1792" s="7" t="n">
        <v>3</v>
      </c>
      <c r="I1792" s="11" t="n">
        <v>285</v>
      </c>
      <c r="J1792" s="11" t="n">
        <v>30</v>
      </c>
      <c r="K1792" s="11" t="n">
        <f aca="false">H1792*I1792-J1792</f>
        <v>825</v>
      </c>
      <c r="L1792" s="7" t="s">
        <v>103</v>
      </c>
      <c r="M1792" s="7" t="s">
        <v>194</v>
      </c>
      <c r="N1792" s="7" t="n">
        <v>22</v>
      </c>
      <c r="O1792" s="7" t="n">
        <v>4</v>
      </c>
    </row>
    <row r="1793" customFormat="false" ht="15" hidden="false" customHeight="false" outlineLevel="0" collapsed="false">
      <c r="A1793" s="7" t="s">
        <v>5724</v>
      </c>
      <c r="B1793" s="10" t="n">
        <v>45896</v>
      </c>
      <c r="C1793" s="7" t="s">
        <v>2607</v>
      </c>
      <c r="D1793" s="7" t="s">
        <v>3847</v>
      </c>
      <c r="E1793" s="7" t="s">
        <v>130</v>
      </c>
      <c r="F1793" s="7" t="s">
        <v>110</v>
      </c>
      <c r="G1793" s="7" t="s">
        <v>90</v>
      </c>
      <c r="H1793" s="7" t="n">
        <v>4</v>
      </c>
      <c r="I1793" s="11" t="n">
        <v>250</v>
      </c>
      <c r="J1793" s="11" t="n">
        <v>150</v>
      </c>
      <c r="K1793" s="11" t="n">
        <f aca="false">H1793*I1793-J1793</f>
        <v>850</v>
      </c>
      <c r="L1793" s="7" t="s">
        <v>88</v>
      </c>
      <c r="M1793" s="7" t="s">
        <v>194</v>
      </c>
      <c r="N1793" s="7" t="n">
        <v>39</v>
      </c>
      <c r="O1793" s="7" t="n">
        <v>3</v>
      </c>
    </row>
    <row r="1794" customFormat="false" ht="15" hidden="false" customHeight="false" outlineLevel="0" collapsed="false">
      <c r="A1794" s="7" t="s">
        <v>522</v>
      </c>
      <c r="B1794" s="10" t="n">
        <v>45896</v>
      </c>
      <c r="C1794" s="7" t="s">
        <v>524</v>
      </c>
      <c r="D1794" s="7" t="s">
        <v>525</v>
      </c>
      <c r="E1794" s="7" t="s">
        <v>144</v>
      </c>
      <c r="F1794" s="7" t="s">
        <v>119</v>
      </c>
      <c r="G1794" s="7" t="s">
        <v>99</v>
      </c>
      <c r="H1794" s="7" t="n">
        <v>2</v>
      </c>
      <c r="I1794" s="11" t="n">
        <v>275</v>
      </c>
      <c r="J1794" s="11" t="n">
        <v>20</v>
      </c>
      <c r="K1794" s="11" t="n">
        <f aca="false">H1794*I1794-J1794</f>
        <v>530</v>
      </c>
      <c r="L1794" s="7" t="s">
        <v>103</v>
      </c>
      <c r="M1794" s="7" t="s">
        <v>194</v>
      </c>
      <c r="N1794" s="7" t="n">
        <v>18</v>
      </c>
      <c r="O1794" s="7" t="n">
        <v>4</v>
      </c>
    </row>
    <row r="1795" customFormat="false" ht="15" hidden="false" customHeight="false" outlineLevel="0" collapsed="false">
      <c r="A1795" s="7" t="s">
        <v>4017</v>
      </c>
      <c r="B1795" s="10" t="n">
        <v>45896</v>
      </c>
      <c r="C1795" s="7" t="s">
        <v>825</v>
      </c>
      <c r="D1795" s="7" t="s">
        <v>645</v>
      </c>
      <c r="E1795" s="7" t="s">
        <v>98</v>
      </c>
      <c r="F1795" s="7" t="s">
        <v>86</v>
      </c>
      <c r="G1795" s="7" t="s">
        <v>99</v>
      </c>
      <c r="H1795" s="7" t="n">
        <v>4</v>
      </c>
      <c r="I1795" s="11" t="n">
        <v>240</v>
      </c>
      <c r="J1795" s="11" t="n">
        <v>150</v>
      </c>
      <c r="K1795" s="11" t="n">
        <f aca="false">H1795*I1795-J1795</f>
        <v>810</v>
      </c>
      <c r="L1795" s="7" t="s">
        <v>88</v>
      </c>
      <c r="M1795" s="7" t="s">
        <v>194</v>
      </c>
      <c r="N1795" s="7" t="n">
        <v>42</v>
      </c>
      <c r="O1795" s="7" t="n">
        <v>3</v>
      </c>
    </row>
    <row r="1796" customFormat="false" ht="15" hidden="false" customHeight="false" outlineLevel="0" collapsed="false">
      <c r="A1796" s="7" t="s">
        <v>1206</v>
      </c>
      <c r="B1796" s="10" t="n">
        <v>45896</v>
      </c>
      <c r="C1796" s="7" t="s">
        <v>551</v>
      </c>
      <c r="D1796" s="7" t="s">
        <v>1207</v>
      </c>
      <c r="E1796" s="7" t="s">
        <v>98</v>
      </c>
      <c r="F1796" s="7" t="s">
        <v>86</v>
      </c>
      <c r="G1796" s="7" t="s">
        <v>99</v>
      </c>
      <c r="H1796" s="7" t="n">
        <v>3</v>
      </c>
      <c r="I1796" s="11" t="n">
        <v>290</v>
      </c>
      <c r="J1796" s="11" t="n">
        <v>0</v>
      </c>
      <c r="K1796" s="11" t="n">
        <f aca="false">H1796*I1796-J1796</f>
        <v>870</v>
      </c>
      <c r="L1796" s="7" t="s">
        <v>93</v>
      </c>
      <c r="M1796" s="7" t="s">
        <v>194</v>
      </c>
      <c r="N1796" s="7" t="n">
        <v>33</v>
      </c>
      <c r="O1796" s="7" t="n">
        <v>4</v>
      </c>
    </row>
    <row r="1797" customFormat="false" ht="15" hidden="false" customHeight="false" outlineLevel="0" collapsed="false">
      <c r="A1797" s="7" t="s">
        <v>5961</v>
      </c>
      <c r="B1797" s="10" t="n">
        <v>45896</v>
      </c>
      <c r="C1797" s="7" t="s">
        <v>862</v>
      </c>
      <c r="D1797" s="7" t="s">
        <v>5480</v>
      </c>
      <c r="E1797" s="7" t="s">
        <v>130</v>
      </c>
      <c r="F1797" s="7" t="s">
        <v>110</v>
      </c>
      <c r="G1797" s="7" t="s">
        <v>90</v>
      </c>
      <c r="H1797" s="7" t="n">
        <v>2</v>
      </c>
      <c r="I1797" s="11" t="n">
        <v>245</v>
      </c>
      <c r="J1797" s="11" t="n">
        <v>75</v>
      </c>
      <c r="K1797" s="11" t="n">
        <f aca="false">H1797*I1797-J1797</f>
        <v>415</v>
      </c>
      <c r="L1797" s="7" t="s">
        <v>93</v>
      </c>
      <c r="M1797" s="7" t="s">
        <v>194</v>
      </c>
      <c r="N1797" s="7" t="n">
        <v>36</v>
      </c>
      <c r="O1797" s="7" t="n">
        <v>5</v>
      </c>
    </row>
    <row r="1798" customFormat="false" ht="15" hidden="false" customHeight="false" outlineLevel="0" collapsed="false">
      <c r="A1798" s="7" t="s">
        <v>5091</v>
      </c>
      <c r="B1798" s="10" t="n">
        <v>45896</v>
      </c>
      <c r="C1798" s="7" t="s">
        <v>1805</v>
      </c>
      <c r="D1798" s="7" t="s">
        <v>1333</v>
      </c>
      <c r="E1798" s="7" t="s">
        <v>151</v>
      </c>
      <c r="F1798" s="7" t="s">
        <v>128</v>
      </c>
      <c r="G1798" s="7" t="s">
        <v>95</v>
      </c>
      <c r="H1798" s="7" t="n">
        <v>4</v>
      </c>
      <c r="I1798" s="11" t="n">
        <v>135</v>
      </c>
      <c r="J1798" s="11" t="n">
        <v>75</v>
      </c>
      <c r="K1798" s="11" t="n">
        <f aca="false">H1798*I1798-J1798</f>
        <v>465</v>
      </c>
      <c r="L1798" s="7" t="s">
        <v>88</v>
      </c>
      <c r="M1798" s="7" t="s">
        <v>194</v>
      </c>
      <c r="N1798" s="7" t="n">
        <v>31</v>
      </c>
      <c r="O1798" s="7" t="n">
        <v>4</v>
      </c>
    </row>
    <row r="1799" customFormat="false" ht="15" hidden="false" customHeight="false" outlineLevel="0" collapsed="false">
      <c r="A1799" s="7" t="s">
        <v>6046</v>
      </c>
      <c r="B1799" s="10" t="n">
        <v>45896</v>
      </c>
      <c r="C1799" s="7" t="s">
        <v>213</v>
      </c>
      <c r="D1799" s="7" t="s">
        <v>4998</v>
      </c>
      <c r="E1799" s="7" t="s">
        <v>89</v>
      </c>
      <c r="F1799" s="7" t="s">
        <v>86</v>
      </c>
      <c r="G1799" s="7" t="s">
        <v>90</v>
      </c>
      <c r="H1799" s="7" t="n">
        <v>1</v>
      </c>
      <c r="I1799" s="11" t="n">
        <v>195</v>
      </c>
      <c r="J1799" s="11" t="n">
        <v>75</v>
      </c>
      <c r="K1799" s="11" t="n">
        <f aca="false">H1799*I1799-J1799</f>
        <v>120</v>
      </c>
      <c r="L1799" s="7" t="s">
        <v>88</v>
      </c>
      <c r="M1799" s="7" t="s">
        <v>194</v>
      </c>
      <c r="N1799" s="7" t="n">
        <v>42</v>
      </c>
      <c r="O1799" s="7" t="n">
        <v>4</v>
      </c>
    </row>
    <row r="1800" customFormat="false" ht="15" hidden="false" customHeight="false" outlineLevel="0" collapsed="false">
      <c r="A1800" s="7" t="s">
        <v>5107</v>
      </c>
      <c r="B1800" s="10" t="n">
        <v>45896</v>
      </c>
      <c r="C1800" s="7" t="s">
        <v>1153</v>
      </c>
      <c r="D1800" s="7" t="s">
        <v>1902</v>
      </c>
      <c r="E1800" s="7" t="s">
        <v>134</v>
      </c>
      <c r="F1800" s="7" t="s">
        <v>110</v>
      </c>
      <c r="G1800" s="7" t="s">
        <v>117</v>
      </c>
      <c r="H1800" s="7" t="n">
        <v>2</v>
      </c>
      <c r="I1800" s="11" t="n">
        <v>120</v>
      </c>
      <c r="J1800" s="11" t="n">
        <v>96</v>
      </c>
      <c r="K1800" s="11" t="n">
        <f aca="false">H1800*I1800-J1800</f>
        <v>144</v>
      </c>
      <c r="L1800" s="7" t="s">
        <v>88</v>
      </c>
      <c r="M1800" s="7" t="s">
        <v>194</v>
      </c>
      <c r="N1800" s="7" t="n">
        <v>53</v>
      </c>
      <c r="O1800" s="7" t="n">
        <v>4</v>
      </c>
    </row>
    <row r="1801" customFormat="false" ht="15" hidden="false" customHeight="false" outlineLevel="0" collapsed="false">
      <c r="A1801" s="7" t="s">
        <v>5541</v>
      </c>
      <c r="B1801" s="10" t="n">
        <v>45897</v>
      </c>
      <c r="C1801" s="7" t="s">
        <v>4856</v>
      </c>
      <c r="D1801" s="7" t="s">
        <v>2279</v>
      </c>
      <c r="E1801" s="7" t="s">
        <v>165</v>
      </c>
      <c r="F1801" s="7" t="s">
        <v>146</v>
      </c>
      <c r="G1801" s="7" t="s">
        <v>90</v>
      </c>
      <c r="H1801" s="7" t="n">
        <v>1</v>
      </c>
      <c r="I1801" s="11" t="n">
        <v>210</v>
      </c>
      <c r="J1801" s="11" t="n">
        <v>20</v>
      </c>
      <c r="K1801" s="11" t="n">
        <f aca="false">H1801*I1801-J1801</f>
        <v>190</v>
      </c>
      <c r="L1801" s="7" t="s">
        <v>112</v>
      </c>
      <c r="M1801" s="7" t="s">
        <v>194</v>
      </c>
      <c r="N1801" s="7" t="n">
        <v>20</v>
      </c>
      <c r="O1801" s="7" t="n">
        <v>3</v>
      </c>
    </row>
    <row r="1802" customFormat="false" ht="15" hidden="false" customHeight="false" outlineLevel="0" collapsed="false">
      <c r="A1802" s="7" t="s">
        <v>1537</v>
      </c>
      <c r="B1802" s="10" t="n">
        <v>45897</v>
      </c>
      <c r="C1802" s="7" t="s">
        <v>1539</v>
      </c>
      <c r="D1802" s="7" t="s">
        <v>416</v>
      </c>
      <c r="E1802" s="7" t="s">
        <v>98</v>
      </c>
      <c r="F1802" s="7" t="s">
        <v>86</v>
      </c>
      <c r="G1802" s="7" t="s">
        <v>99</v>
      </c>
      <c r="H1802" s="7" t="n">
        <v>2</v>
      </c>
      <c r="I1802" s="11" t="n">
        <v>265</v>
      </c>
      <c r="J1802" s="11" t="n">
        <v>0</v>
      </c>
      <c r="K1802" s="11" t="n">
        <f aca="false">H1802*I1802-J1802</f>
        <v>530</v>
      </c>
      <c r="L1802" s="7" t="s">
        <v>103</v>
      </c>
      <c r="M1802" s="7" t="s">
        <v>194</v>
      </c>
      <c r="N1802" s="7" t="n">
        <v>46</v>
      </c>
      <c r="O1802" s="7" t="n">
        <v>3</v>
      </c>
    </row>
    <row r="1803" customFormat="false" ht="15" hidden="false" customHeight="false" outlineLevel="0" collapsed="false">
      <c r="A1803" s="7" t="s">
        <v>5431</v>
      </c>
      <c r="B1803" s="10" t="n">
        <v>45897</v>
      </c>
      <c r="C1803" s="7" t="s">
        <v>5432</v>
      </c>
      <c r="D1803" s="7" t="s">
        <v>1070</v>
      </c>
      <c r="E1803" s="7" t="s">
        <v>116</v>
      </c>
      <c r="F1803" s="7" t="s">
        <v>101</v>
      </c>
      <c r="G1803" s="7" t="s">
        <v>117</v>
      </c>
      <c r="H1803" s="7" t="n">
        <v>4</v>
      </c>
      <c r="I1803" s="11" t="n">
        <v>135</v>
      </c>
      <c r="J1803" s="11" t="n">
        <v>0</v>
      </c>
      <c r="K1803" s="11" t="n">
        <f aca="false">H1803*I1803-J1803</f>
        <v>540</v>
      </c>
      <c r="L1803" s="7" t="s">
        <v>103</v>
      </c>
      <c r="M1803" s="7" t="s">
        <v>194</v>
      </c>
      <c r="N1803" s="7" t="n">
        <v>45</v>
      </c>
      <c r="O1803" s="7" t="n">
        <v>4</v>
      </c>
    </row>
    <row r="1804" customFormat="false" ht="15" hidden="false" customHeight="false" outlineLevel="0" collapsed="false">
      <c r="A1804" s="7" t="s">
        <v>6049</v>
      </c>
      <c r="B1804" s="10" t="n">
        <v>45897</v>
      </c>
      <c r="C1804" s="7" t="s">
        <v>1118</v>
      </c>
      <c r="D1804" s="7" t="s">
        <v>6050</v>
      </c>
      <c r="E1804" s="7" t="s">
        <v>157</v>
      </c>
      <c r="F1804" s="7" t="s">
        <v>136</v>
      </c>
      <c r="G1804" s="7" t="s">
        <v>117</v>
      </c>
      <c r="H1804" s="7" t="n">
        <v>1</v>
      </c>
      <c r="I1804" s="11" t="n">
        <v>135</v>
      </c>
      <c r="J1804" s="11" t="n">
        <v>40</v>
      </c>
      <c r="K1804" s="11" t="n">
        <f aca="false">H1804*I1804-J1804</f>
        <v>95</v>
      </c>
      <c r="L1804" s="7" t="s">
        <v>103</v>
      </c>
      <c r="M1804" s="7" t="s">
        <v>194</v>
      </c>
      <c r="N1804" s="7" t="n">
        <v>18</v>
      </c>
      <c r="O1804" s="7" t="n">
        <v>3</v>
      </c>
    </row>
    <row r="1805" customFormat="false" ht="15" hidden="false" customHeight="false" outlineLevel="0" collapsed="false">
      <c r="A1805" s="7" t="s">
        <v>4669</v>
      </c>
      <c r="B1805" s="10" t="n">
        <v>45897</v>
      </c>
      <c r="C1805" s="7" t="s">
        <v>644</v>
      </c>
      <c r="D1805" s="7" t="s">
        <v>4566</v>
      </c>
      <c r="E1805" s="7" t="s">
        <v>126</v>
      </c>
      <c r="F1805" s="7" t="s">
        <v>101</v>
      </c>
      <c r="G1805" s="7" t="s">
        <v>105</v>
      </c>
      <c r="H1805" s="7" t="n">
        <v>3</v>
      </c>
      <c r="I1805" s="11" t="n">
        <v>205</v>
      </c>
      <c r="J1805" s="11" t="n">
        <v>0</v>
      </c>
      <c r="K1805" s="11" t="n">
        <f aca="false">H1805*I1805-J1805</f>
        <v>615</v>
      </c>
      <c r="L1805" s="7" t="s">
        <v>112</v>
      </c>
      <c r="M1805" s="7" t="s">
        <v>194</v>
      </c>
      <c r="N1805" s="7" t="n">
        <v>28</v>
      </c>
      <c r="O1805" s="7" t="n">
        <v>4</v>
      </c>
    </row>
    <row r="1806" customFormat="false" ht="15" hidden="false" customHeight="false" outlineLevel="0" collapsed="false">
      <c r="A1806" s="7" t="s">
        <v>3535</v>
      </c>
      <c r="B1806" s="10" t="n">
        <v>45897</v>
      </c>
      <c r="C1806" s="7" t="s">
        <v>1957</v>
      </c>
      <c r="D1806" s="7" t="s">
        <v>2054</v>
      </c>
      <c r="E1806" s="7" t="s">
        <v>160</v>
      </c>
      <c r="F1806" s="7" t="s">
        <v>136</v>
      </c>
      <c r="G1806" s="7" t="s">
        <v>150</v>
      </c>
      <c r="H1806" s="7" t="n">
        <v>3</v>
      </c>
      <c r="I1806" s="11" t="n">
        <v>135</v>
      </c>
      <c r="J1806" s="11" t="n">
        <v>0</v>
      </c>
      <c r="K1806" s="11" t="n">
        <f aca="false">H1806*I1806-J1806</f>
        <v>405</v>
      </c>
      <c r="L1806" s="7" t="s">
        <v>112</v>
      </c>
      <c r="M1806" s="7" t="s">
        <v>194</v>
      </c>
      <c r="N1806" s="7" t="n">
        <v>40</v>
      </c>
      <c r="O1806" s="7" t="n">
        <v>3</v>
      </c>
    </row>
    <row r="1807" customFormat="false" ht="15" hidden="false" customHeight="false" outlineLevel="0" collapsed="false">
      <c r="A1807" s="7" t="s">
        <v>5969</v>
      </c>
      <c r="B1807" s="10" t="n">
        <v>45897</v>
      </c>
      <c r="C1807" s="7" t="s">
        <v>825</v>
      </c>
      <c r="D1807" s="7" t="s">
        <v>5970</v>
      </c>
      <c r="E1807" s="7" t="s">
        <v>167</v>
      </c>
      <c r="F1807" s="7" t="s">
        <v>146</v>
      </c>
      <c r="G1807" s="7" t="s">
        <v>156</v>
      </c>
      <c r="H1807" s="7" t="n">
        <v>3</v>
      </c>
      <c r="I1807" s="11" t="n">
        <v>295</v>
      </c>
      <c r="J1807" s="11" t="n">
        <v>50</v>
      </c>
      <c r="K1807" s="11" t="n">
        <f aca="false">H1807*I1807-J1807</f>
        <v>835</v>
      </c>
      <c r="L1807" s="7" t="s">
        <v>88</v>
      </c>
      <c r="M1807" s="7" t="s">
        <v>194</v>
      </c>
      <c r="N1807" s="7" t="n">
        <v>36</v>
      </c>
      <c r="O1807" s="7" t="n">
        <v>4</v>
      </c>
    </row>
    <row r="1808" customFormat="false" ht="15" hidden="false" customHeight="false" outlineLevel="0" collapsed="false">
      <c r="A1808" s="7" t="s">
        <v>3432</v>
      </c>
      <c r="B1808" s="10" t="n">
        <v>45897</v>
      </c>
      <c r="C1808" s="7" t="s">
        <v>1101</v>
      </c>
      <c r="D1808" s="7" t="s">
        <v>3433</v>
      </c>
      <c r="E1808" s="7" t="s">
        <v>94</v>
      </c>
      <c r="F1808" s="7" t="s">
        <v>86</v>
      </c>
      <c r="G1808" s="7" t="s">
        <v>95</v>
      </c>
      <c r="H1808" s="7" t="n">
        <v>5</v>
      </c>
      <c r="I1808" s="11" t="n">
        <v>145</v>
      </c>
      <c r="J1808" s="11" t="n">
        <v>0</v>
      </c>
      <c r="K1808" s="11" t="n">
        <f aca="false">H1808*I1808-J1808</f>
        <v>725</v>
      </c>
      <c r="L1808" s="7" t="s">
        <v>112</v>
      </c>
      <c r="M1808" s="7" t="s">
        <v>194</v>
      </c>
      <c r="N1808" s="7" t="n">
        <v>47</v>
      </c>
      <c r="O1808" s="7" t="n">
        <v>3</v>
      </c>
    </row>
    <row r="1809" customFormat="false" ht="15" hidden="false" customHeight="false" outlineLevel="0" collapsed="false">
      <c r="A1809" s="7" t="s">
        <v>3309</v>
      </c>
      <c r="B1809" s="10" t="n">
        <v>45897</v>
      </c>
      <c r="C1809" s="7" t="s">
        <v>976</v>
      </c>
      <c r="D1809" s="7" t="s">
        <v>1840</v>
      </c>
      <c r="E1809" s="7" t="s">
        <v>113</v>
      </c>
      <c r="F1809" s="7" t="s">
        <v>101</v>
      </c>
      <c r="G1809" s="7" t="s">
        <v>90</v>
      </c>
      <c r="H1809" s="7" t="n">
        <v>2</v>
      </c>
      <c r="I1809" s="11" t="n">
        <v>245</v>
      </c>
      <c r="J1809" s="11" t="n">
        <v>0</v>
      </c>
      <c r="K1809" s="11" t="n">
        <f aca="false">H1809*I1809-J1809</f>
        <v>490</v>
      </c>
      <c r="L1809" s="7" t="s">
        <v>88</v>
      </c>
      <c r="M1809" s="7" t="s">
        <v>194</v>
      </c>
      <c r="N1809" s="7" t="n">
        <v>46</v>
      </c>
      <c r="O1809" s="7" t="n">
        <v>4</v>
      </c>
    </row>
    <row r="1810" customFormat="false" ht="15" hidden="false" customHeight="false" outlineLevel="0" collapsed="false">
      <c r="A1810" s="7" t="s">
        <v>1577</v>
      </c>
      <c r="B1810" s="10" t="n">
        <v>45897</v>
      </c>
      <c r="C1810" s="7" t="s">
        <v>1578</v>
      </c>
      <c r="D1810" s="7" t="s">
        <v>1579</v>
      </c>
      <c r="E1810" s="7" t="s">
        <v>116</v>
      </c>
      <c r="F1810" s="7" t="s">
        <v>101</v>
      </c>
      <c r="G1810" s="7" t="s">
        <v>117</v>
      </c>
      <c r="H1810" s="7" t="n">
        <v>3</v>
      </c>
      <c r="I1810" s="11" t="n">
        <v>125</v>
      </c>
      <c r="J1810" s="11" t="n">
        <v>0</v>
      </c>
      <c r="K1810" s="11" t="n">
        <f aca="false">H1810*I1810-J1810</f>
        <v>375</v>
      </c>
      <c r="L1810" s="7" t="s">
        <v>88</v>
      </c>
      <c r="M1810" s="7" t="s">
        <v>194</v>
      </c>
      <c r="N1810" s="7" t="n">
        <v>42</v>
      </c>
      <c r="O1810" s="7" t="n">
        <v>4</v>
      </c>
    </row>
    <row r="1811" customFormat="false" ht="15" hidden="false" customHeight="false" outlineLevel="0" collapsed="false">
      <c r="A1811" s="7" t="s">
        <v>5971</v>
      </c>
      <c r="B1811" s="10" t="n">
        <v>45898</v>
      </c>
      <c r="C1811" s="7" t="s">
        <v>3041</v>
      </c>
      <c r="D1811" s="7" t="s">
        <v>4835</v>
      </c>
      <c r="E1811" s="7" t="s">
        <v>116</v>
      </c>
      <c r="F1811" s="7" t="s">
        <v>101</v>
      </c>
      <c r="G1811" s="7" t="s">
        <v>117</v>
      </c>
      <c r="H1811" s="7" t="n">
        <v>2</v>
      </c>
      <c r="I1811" s="11" t="n">
        <v>145</v>
      </c>
      <c r="J1811" s="11" t="n">
        <v>100</v>
      </c>
      <c r="K1811" s="11" t="n">
        <f aca="false">H1811*I1811-J1811</f>
        <v>190</v>
      </c>
      <c r="L1811" s="7" t="s">
        <v>88</v>
      </c>
      <c r="M1811" s="7" t="s">
        <v>194</v>
      </c>
      <c r="N1811" s="7" t="n">
        <v>38</v>
      </c>
      <c r="O1811" s="7" t="n">
        <v>4</v>
      </c>
    </row>
    <row r="1812" customFormat="false" ht="15" hidden="false" customHeight="false" outlineLevel="0" collapsed="false">
      <c r="A1812" s="7" t="s">
        <v>3678</v>
      </c>
      <c r="B1812" s="10" t="n">
        <v>45898</v>
      </c>
      <c r="C1812" s="7" t="s">
        <v>1151</v>
      </c>
      <c r="D1812" s="7" t="s">
        <v>1735</v>
      </c>
      <c r="E1812" s="7" t="s">
        <v>122</v>
      </c>
      <c r="F1812" s="7" t="s">
        <v>101</v>
      </c>
      <c r="G1812" s="7" t="s">
        <v>123</v>
      </c>
      <c r="H1812" s="7" t="n">
        <v>4</v>
      </c>
      <c r="I1812" s="11" t="n">
        <v>380</v>
      </c>
      <c r="J1812" s="11" t="n">
        <v>100</v>
      </c>
      <c r="K1812" s="11" t="n">
        <f aca="false">H1812*I1812-J1812</f>
        <v>1420</v>
      </c>
      <c r="L1812" s="7" t="s">
        <v>103</v>
      </c>
      <c r="M1812" s="7" t="s">
        <v>194</v>
      </c>
      <c r="N1812" s="7" t="n">
        <v>61</v>
      </c>
      <c r="O1812" s="7" t="n">
        <v>3</v>
      </c>
    </row>
    <row r="1813" customFormat="false" ht="15" hidden="false" customHeight="false" outlineLevel="0" collapsed="false">
      <c r="A1813" s="7" t="s">
        <v>5913</v>
      </c>
      <c r="B1813" s="10" t="n">
        <v>45898</v>
      </c>
      <c r="C1813" s="7" t="s">
        <v>3383</v>
      </c>
      <c r="D1813" s="7" t="s">
        <v>4543</v>
      </c>
      <c r="E1813" s="7" t="s">
        <v>138</v>
      </c>
      <c r="F1813" s="7" t="s">
        <v>110</v>
      </c>
      <c r="G1813" s="7" t="s">
        <v>139</v>
      </c>
      <c r="H1813" s="7" t="n">
        <v>2</v>
      </c>
      <c r="I1813" s="11" t="n">
        <v>150</v>
      </c>
      <c r="J1813" s="11" t="n">
        <v>40</v>
      </c>
      <c r="K1813" s="11" t="n">
        <f aca="false">H1813*I1813-J1813</f>
        <v>260</v>
      </c>
      <c r="L1813" s="7" t="s">
        <v>88</v>
      </c>
      <c r="M1813" s="7" t="s">
        <v>194</v>
      </c>
      <c r="N1813" s="7" t="n">
        <v>27</v>
      </c>
      <c r="O1813" s="7" t="n">
        <v>3</v>
      </c>
    </row>
    <row r="1814" customFormat="false" ht="15" hidden="false" customHeight="false" outlineLevel="0" collapsed="false">
      <c r="A1814" s="7" t="s">
        <v>3066</v>
      </c>
      <c r="B1814" s="10" t="n">
        <v>45898</v>
      </c>
      <c r="C1814" s="7" t="s">
        <v>999</v>
      </c>
      <c r="D1814" s="7" t="s">
        <v>2464</v>
      </c>
      <c r="E1814" s="7" t="s">
        <v>113</v>
      </c>
      <c r="F1814" s="7" t="s">
        <v>101</v>
      </c>
      <c r="G1814" s="7" t="s">
        <v>90</v>
      </c>
      <c r="H1814" s="7" t="n">
        <v>2</v>
      </c>
      <c r="I1814" s="11" t="n">
        <v>235</v>
      </c>
      <c r="J1814" s="11" t="n">
        <v>0</v>
      </c>
      <c r="K1814" s="11" t="n">
        <f aca="false">H1814*I1814-J1814</f>
        <v>470</v>
      </c>
      <c r="L1814" s="7" t="s">
        <v>88</v>
      </c>
      <c r="M1814" s="7" t="s">
        <v>194</v>
      </c>
      <c r="N1814" s="7" t="n">
        <v>39</v>
      </c>
      <c r="O1814" s="7" t="n">
        <v>3</v>
      </c>
    </row>
    <row r="1815" customFormat="false" ht="15" hidden="false" customHeight="false" outlineLevel="0" collapsed="false">
      <c r="A1815" s="7" t="s">
        <v>4235</v>
      </c>
      <c r="B1815" s="10" t="n">
        <v>45899</v>
      </c>
      <c r="C1815" s="7" t="s">
        <v>1586</v>
      </c>
      <c r="D1815" s="7" t="s">
        <v>4237</v>
      </c>
      <c r="E1815" s="7" t="s">
        <v>104</v>
      </c>
      <c r="F1815" s="7" t="s">
        <v>86</v>
      </c>
      <c r="G1815" s="7" t="s">
        <v>105</v>
      </c>
      <c r="H1815" s="7" t="n">
        <v>1</v>
      </c>
      <c r="I1815" s="11" t="n">
        <v>235</v>
      </c>
      <c r="J1815" s="11" t="n">
        <v>0</v>
      </c>
      <c r="K1815" s="11" t="n">
        <f aca="false">H1815*I1815-J1815</f>
        <v>235</v>
      </c>
      <c r="L1815" s="7" t="s">
        <v>88</v>
      </c>
      <c r="M1815" s="7" t="s">
        <v>194</v>
      </c>
      <c r="N1815" s="7" t="n">
        <v>31</v>
      </c>
      <c r="O1815" s="7" t="n">
        <v>5</v>
      </c>
    </row>
    <row r="1816" customFormat="false" ht="15" hidden="false" customHeight="false" outlineLevel="0" collapsed="false">
      <c r="A1816" s="7" t="s">
        <v>3940</v>
      </c>
      <c r="B1816" s="10" t="n">
        <v>45899</v>
      </c>
      <c r="C1816" s="7" t="s">
        <v>3415</v>
      </c>
      <c r="D1816" s="7" t="s">
        <v>2589</v>
      </c>
      <c r="E1816" s="7" t="s">
        <v>147</v>
      </c>
      <c r="F1816" s="7" t="s">
        <v>119</v>
      </c>
      <c r="G1816" s="7" t="s">
        <v>95</v>
      </c>
      <c r="H1816" s="7" t="n">
        <v>2</v>
      </c>
      <c r="I1816" s="11" t="n">
        <v>140</v>
      </c>
      <c r="J1816" s="11" t="n">
        <v>0</v>
      </c>
      <c r="K1816" s="11" t="n">
        <f aca="false">H1816*I1816-J1816</f>
        <v>280</v>
      </c>
      <c r="L1816" s="7" t="s">
        <v>88</v>
      </c>
      <c r="M1816" s="7" t="s">
        <v>194</v>
      </c>
      <c r="N1816" s="7" t="n">
        <v>38</v>
      </c>
      <c r="O1816" s="7" t="n">
        <v>4</v>
      </c>
    </row>
    <row r="1817" customFormat="false" ht="15" hidden="false" customHeight="false" outlineLevel="0" collapsed="false">
      <c r="A1817" s="7" t="s">
        <v>3221</v>
      </c>
      <c r="B1817" s="10" t="n">
        <v>45899</v>
      </c>
      <c r="C1817" s="7" t="s">
        <v>862</v>
      </c>
      <c r="D1817" s="7" t="s">
        <v>2318</v>
      </c>
      <c r="E1817" s="7" t="s">
        <v>134</v>
      </c>
      <c r="F1817" s="7" t="s">
        <v>110</v>
      </c>
      <c r="G1817" s="7" t="s">
        <v>117</v>
      </c>
      <c r="H1817" s="7" t="n">
        <v>2</v>
      </c>
      <c r="I1817" s="11" t="n">
        <v>100</v>
      </c>
      <c r="J1817" s="11" t="n">
        <v>0</v>
      </c>
      <c r="K1817" s="11" t="n">
        <f aca="false">H1817*I1817-J1817</f>
        <v>200</v>
      </c>
      <c r="L1817" s="7" t="s">
        <v>133</v>
      </c>
      <c r="M1817" s="7" t="s">
        <v>194</v>
      </c>
      <c r="N1817" s="7" t="n">
        <v>49</v>
      </c>
      <c r="O1817" s="7" t="n">
        <v>3</v>
      </c>
    </row>
    <row r="1818" customFormat="false" ht="15" hidden="false" customHeight="false" outlineLevel="0" collapsed="false">
      <c r="A1818" s="7" t="s">
        <v>5059</v>
      </c>
      <c r="B1818" s="10" t="n">
        <v>45899</v>
      </c>
      <c r="C1818" s="7" t="s">
        <v>2088</v>
      </c>
      <c r="D1818" s="7" t="s">
        <v>2334</v>
      </c>
      <c r="E1818" s="7" t="s">
        <v>130</v>
      </c>
      <c r="F1818" s="7" t="s">
        <v>110</v>
      </c>
      <c r="G1818" s="7" t="s">
        <v>90</v>
      </c>
      <c r="H1818" s="7" t="n">
        <v>1</v>
      </c>
      <c r="I1818" s="11" t="n">
        <v>265</v>
      </c>
      <c r="J1818" s="11" t="n">
        <v>100</v>
      </c>
      <c r="K1818" s="11" t="n">
        <f aca="false">H1818*I1818-J1818</f>
        <v>165</v>
      </c>
      <c r="L1818" s="7" t="s">
        <v>121</v>
      </c>
      <c r="M1818" s="7" t="s">
        <v>194</v>
      </c>
      <c r="N1818" s="7" t="n">
        <v>55</v>
      </c>
      <c r="O1818" s="7" t="n">
        <v>4</v>
      </c>
    </row>
    <row r="1819" customFormat="false" ht="15" hidden="false" customHeight="false" outlineLevel="0" collapsed="false">
      <c r="A1819" s="7" t="s">
        <v>6017</v>
      </c>
      <c r="B1819" s="10" t="n">
        <v>45899</v>
      </c>
      <c r="C1819" s="7" t="s">
        <v>3564</v>
      </c>
      <c r="D1819" s="7" t="s">
        <v>843</v>
      </c>
      <c r="E1819" s="7" t="s">
        <v>151</v>
      </c>
      <c r="F1819" s="7" t="s">
        <v>128</v>
      </c>
      <c r="G1819" s="7" t="s">
        <v>95</v>
      </c>
      <c r="H1819" s="7" t="n">
        <v>2</v>
      </c>
      <c r="I1819" s="11" t="n">
        <v>210</v>
      </c>
      <c r="J1819" s="11" t="n">
        <v>125</v>
      </c>
      <c r="K1819" s="11" t="n">
        <f aca="false">H1819*I1819-J1819</f>
        <v>295</v>
      </c>
      <c r="L1819" s="7" t="s">
        <v>93</v>
      </c>
      <c r="M1819" s="7" t="s">
        <v>194</v>
      </c>
      <c r="N1819" s="7" t="n">
        <v>42</v>
      </c>
      <c r="O1819" s="7" t="n">
        <v>5</v>
      </c>
    </row>
    <row r="1820" customFormat="false" ht="15" hidden="false" customHeight="false" outlineLevel="0" collapsed="false">
      <c r="A1820" s="7" t="s">
        <v>5762</v>
      </c>
      <c r="B1820" s="10" t="n">
        <v>45900</v>
      </c>
      <c r="C1820" s="7" t="s">
        <v>3036</v>
      </c>
      <c r="D1820" s="7" t="s">
        <v>620</v>
      </c>
      <c r="E1820" s="7" t="s">
        <v>163</v>
      </c>
      <c r="F1820" s="7" t="s">
        <v>141</v>
      </c>
      <c r="G1820" s="7" t="s">
        <v>99</v>
      </c>
      <c r="H1820" s="7" t="n">
        <v>4</v>
      </c>
      <c r="I1820" s="11" t="n">
        <v>285</v>
      </c>
      <c r="J1820" s="11" t="n">
        <v>150</v>
      </c>
      <c r="K1820" s="11" t="n">
        <f aca="false">H1820*I1820-J1820</f>
        <v>990</v>
      </c>
      <c r="L1820" s="7" t="s">
        <v>133</v>
      </c>
      <c r="M1820" s="7" t="s">
        <v>194</v>
      </c>
      <c r="N1820" s="7" t="n">
        <v>42</v>
      </c>
      <c r="O1820" s="7" t="n">
        <v>4</v>
      </c>
    </row>
    <row r="1821" customFormat="false" ht="15" hidden="false" customHeight="false" outlineLevel="0" collapsed="false">
      <c r="A1821" s="7" t="s">
        <v>6061</v>
      </c>
      <c r="B1821" s="10" t="n">
        <v>45900</v>
      </c>
      <c r="C1821" s="7" t="s">
        <v>2358</v>
      </c>
      <c r="D1821" s="7" t="s">
        <v>2792</v>
      </c>
      <c r="E1821" s="7" t="s">
        <v>104</v>
      </c>
      <c r="F1821" s="7" t="s">
        <v>86</v>
      </c>
      <c r="G1821" s="7" t="s">
        <v>105</v>
      </c>
      <c r="H1821" s="7" t="n">
        <v>5</v>
      </c>
      <c r="I1821" s="11" t="n">
        <v>230</v>
      </c>
      <c r="J1821" s="11" t="n">
        <v>30</v>
      </c>
      <c r="K1821" s="11" t="n">
        <f aca="false">H1821*I1821-J1821</f>
        <v>1120</v>
      </c>
      <c r="L1821" s="7" t="s">
        <v>112</v>
      </c>
      <c r="M1821" s="7" t="s">
        <v>194</v>
      </c>
      <c r="N1821" s="7" t="n">
        <v>40</v>
      </c>
      <c r="O1821" s="7" t="n">
        <v>4</v>
      </c>
    </row>
    <row r="1822" customFormat="false" ht="15" hidden="false" customHeight="false" outlineLevel="0" collapsed="false">
      <c r="A1822" s="7" t="s">
        <v>5078</v>
      </c>
      <c r="B1822" s="10" t="n">
        <v>45900</v>
      </c>
      <c r="C1822" s="7" t="s">
        <v>3300</v>
      </c>
      <c r="D1822" s="7" t="s">
        <v>2595</v>
      </c>
      <c r="E1822" s="7" t="s">
        <v>113</v>
      </c>
      <c r="F1822" s="7" t="s">
        <v>101</v>
      </c>
      <c r="G1822" s="7" t="s">
        <v>90</v>
      </c>
      <c r="H1822" s="7" t="n">
        <v>3</v>
      </c>
      <c r="I1822" s="11" t="n">
        <v>225</v>
      </c>
      <c r="J1822" s="11" t="n">
        <v>30</v>
      </c>
      <c r="K1822" s="11" t="n">
        <f aca="false">H1822*I1822-J1822</f>
        <v>645</v>
      </c>
      <c r="L1822" s="7" t="s">
        <v>88</v>
      </c>
      <c r="M1822" s="7" t="s">
        <v>194</v>
      </c>
      <c r="N1822" s="7" t="n">
        <v>42</v>
      </c>
      <c r="O1822" s="7" t="n">
        <v>3</v>
      </c>
    </row>
    <row r="1823" customFormat="false" ht="15" hidden="false" customHeight="false" outlineLevel="0" collapsed="false">
      <c r="A1823" s="7" t="s">
        <v>4604</v>
      </c>
      <c r="B1823" s="10" t="n">
        <v>45900</v>
      </c>
      <c r="C1823" s="7" t="s">
        <v>327</v>
      </c>
      <c r="D1823" s="7" t="s">
        <v>1141</v>
      </c>
      <c r="E1823" s="7" t="s">
        <v>116</v>
      </c>
      <c r="F1823" s="7" t="s">
        <v>101</v>
      </c>
      <c r="G1823" s="7" t="s">
        <v>117</v>
      </c>
      <c r="H1823" s="7" t="n">
        <v>2</v>
      </c>
      <c r="I1823" s="11" t="n">
        <v>135</v>
      </c>
      <c r="J1823" s="11" t="n">
        <v>40</v>
      </c>
      <c r="K1823" s="11" t="n">
        <f aca="false">H1823*I1823-J1823</f>
        <v>230</v>
      </c>
      <c r="L1823" s="7" t="s">
        <v>93</v>
      </c>
      <c r="M1823" s="7" t="s">
        <v>194</v>
      </c>
      <c r="N1823" s="7" t="n">
        <v>38</v>
      </c>
      <c r="O1823" s="7" t="n">
        <v>3</v>
      </c>
    </row>
    <row r="1824" customFormat="false" ht="15" hidden="false" customHeight="false" outlineLevel="0" collapsed="false">
      <c r="A1824" s="7" t="s">
        <v>5813</v>
      </c>
      <c r="B1824" s="10" t="n">
        <v>45900</v>
      </c>
      <c r="C1824" s="7" t="s">
        <v>3163</v>
      </c>
      <c r="D1824" s="7" t="s">
        <v>3148</v>
      </c>
      <c r="E1824" s="7" t="s">
        <v>126</v>
      </c>
      <c r="F1824" s="7" t="s">
        <v>101</v>
      </c>
      <c r="G1824" s="7" t="s">
        <v>105</v>
      </c>
      <c r="H1824" s="7" t="n">
        <v>2</v>
      </c>
      <c r="I1824" s="11" t="n">
        <v>235</v>
      </c>
      <c r="J1824" s="11" t="n">
        <v>100</v>
      </c>
      <c r="K1824" s="11" t="n">
        <f aca="false">H1824*I1824-J1824</f>
        <v>370</v>
      </c>
      <c r="L1824" s="7" t="s">
        <v>88</v>
      </c>
      <c r="M1824" s="7" t="s">
        <v>194</v>
      </c>
      <c r="N1824" s="7" t="n">
        <v>47</v>
      </c>
      <c r="O1824" s="7" t="n">
        <v>5</v>
      </c>
    </row>
    <row r="1825" customFormat="false" ht="15" hidden="false" customHeight="false" outlineLevel="0" collapsed="false">
      <c r="A1825" s="7" t="s">
        <v>1656</v>
      </c>
      <c r="B1825" s="10" t="n">
        <v>45900</v>
      </c>
      <c r="C1825" s="7" t="s">
        <v>1640</v>
      </c>
      <c r="D1825" s="7" t="s">
        <v>1658</v>
      </c>
      <c r="E1825" s="7" t="s">
        <v>89</v>
      </c>
      <c r="F1825" s="7" t="s">
        <v>86</v>
      </c>
      <c r="G1825" s="7" t="s">
        <v>90</v>
      </c>
      <c r="H1825" s="7" t="n">
        <v>2</v>
      </c>
      <c r="I1825" s="11" t="n">
        <v>285</v>
      </c>
      <c r="J1825" s="11" t="n">
        <v>0</v>
      </c>
      <c r="K1825" s="11" t="n">
        <f aca="false">H1825*I1825-J1825</f>
        <v>570</v>
      </c>
      <c r="L1825" s="7" t="s">
        <v>88</v>
      </c>
      <c r="M1825" s="7" t="s">
        <v>194</v>
      </c>
      <c r="N1825" s="7" t="n">
        <v>35</v>
      </c>
      <c r="O1825" s="7" t="n">
        <v>3</v>
      </c>
    </row>
    <row r="1826" customFormat="false" ht="15" hidden="false" customHeight="false" outlineLevel="0" collapsed="false">
      <c r="A1826" s="7" t="s">
        <v>4259</v>
      </c>
      <c r="B1826" s="10" t="n">
        <v>45900</v>
      </c>
      <c r="C1826" s="7" t="s">
        <v>2088</v>
      </c>
      <c r="D1826" s="7" t="s">
        <v>2635</v>
      </c>
      <c r="E1826" s="7" t="s">
        <v>138</v>
      </c>
      <c r="F1826" s="7" t="s">
        <v>110</v>
      </c>
      <c r="G1826" s="7" t="s">
        <v>139</v>
      </c>
      <c r="H1826" s="7" t="n">
        <v>1</v>
      </c>
      <c r="I1826" s="11" t="n">
        <v>185</v>
      </c>
      <c r="J1826" s="11" t="n">
        <v>50</v>
      </c>
      <c r="K1826" s="11" t="n">
        <f aca="false">H1826*I1826-J1826</f>
        <v>135</v>
      </c>
      <c r="L1826" s="7" t="s">
        <v>103</v>
      </c>
      <c r="M1826" s="7" t="s">
        <v>238</v>
      </c>
      <c r="N1826" s="7"/>
      <c r="O1826" s="7"/>
    </row>
    <row r="1827" customFormat="false" ht="15" hidden="false" customHeight="false" outlineLevel="0" collapsed="false">
      <c r="A1827" s="7" t="s">
        <v>6081</v>
      </c>
      <c r="B1827" s="10" t="n">
        <v>45900</v>
      </c>
      <c r="C1827" s="7" t="s">
        <v>2853</v>
      </c>
      <c r="D1827" s="7" t="s">
        <v>6082</v>
      </c>
      <c r="E1827" s="7" t="s">
        <v>113</v>
      </c>
      <c r="F1827" s="7" t="s">
        <v>101</v>
      </c>
      <c r="G1827" s="7" t="s">
        <v>90</v>
      </c>
      <c r="H1827" s="7" t="n">
        <v>2</v>
      </c>
      <c r="I1827" s="11" t="n">
        <v>240</v>
      </c>
      <c r="J1827" s="11" t="n">
        <v>40</v>
      </c>
      <c r="K1827" s="11" t="n">
        <f aca="false">H1827*I1827-J1827</f>
        <v>440</v>
      </c>
      <c r="L1827" s="7" t="s">
        <v>88</v>
      </c>
      <c r="M1827" s="7" t="s">
        <v>194</v>
      </c>
      <c r="N1827" s="7" t="n">
        <v>51</v>
      </c>
      <c r="O1827" s="7" t="n">
        <v>4</v>
      </c>
    </row>
    <row r="1828" customFormat="false" ht="15" hidden="false" customHeight="false" outlineLevel="0" collapsed="false">
      <c r="A1828" s="7" t="s">
        <v>5661</v>
      </c>
      <c r="B1828" s="10" t="n">
        <v>45900</v>
      </c>
      <c r="C1828" s="7" t="s">
        <v>1624</v>
      </c>
      <c r="D1828" s="7" t="s">
        <v>5662</v>
      </c>
      <c r="E1828" s="7" t="s">
        <v>130</v>
      </c>
      <c r="F1828" s="7" t="s">
        <v>110</v>
      </c>
      <c r="G1828" s="7" t="s">
        <v>90</v>
      </c>
      <c r="H1828" s="7" t="n">
        <v>1</v>
      </c>
      <c r="I1828" s="11" t="n">
        <v>225</v>
      </c>
      <c r="J1828" s="11" t="n">
        <v>0</v>
      </c>
      <c r="K1828" s="11" t="n">
        <f aca="false">H1828*I1828-J1828</f>
        <v>225</v>
      </c>
      <c r="L1828" s="7" t="s">
        <v>112</v>
      </c>
      <c r="M1828" s="7" t="s">
        <v>238</v>
      </c>
      <c r="N1828" s="7"/>
      <c r="O1828" s="7"/>
    </row>
    <row r="1829" customFormat="false" ht="15" hidden="false" customHeight="false" outlineLevel="0" collapsed="false">
      <c r="A1829" s="7" t="s">
        <v>5419</v>
      </c>
      <c r="B1829" s="10" t="n">
        <v>45900</v>
      </c>
      <c r="C1829" s="7" t="s">
        <v>1501</v>
      </c>
      <c r="D1829" s="7" t="s">
        <v>1968</v>
      </c>
      <c r="E1829" s="7" t="s">
        <v>138</v>
      </c>
      <c r="F1829" s="7" t="s">
        <v>110</v>
      </c>
      <c r="G1829" s="7" t="s">
        <v>139</v>
      </c>
      <c r="H1829" s="7" t="n">
        <v>2</v>
      </c>
      <c r="I1829" s="11" t="n">
        <v>195</v>
      </c>
      <c r="J1829" s="11" t="n">
        <v>100</v>
      </c>
      <c r="K1829" s="11" t="n">
        <f aca="false">H1829*I1829-J1829</f>
        <v>290</v>
      </c>
      <c r="L1829" s="7" t="s">
        <v>112</v>
      </c>
      <c r="M1829" s="7" t="s">
        <v>194</v>
      </c>
      <c r="N1829" s="7" t="n">
        <v>40</v>
      </c>
      <c r="O1829" s="7" t="n">
        <v>5</v>
      </c>
    </row>
    <row r="1830" customFormat="false" ht="15" hidden="false" customHeight="false" outlineLevel="0" collapsed="false">
      <c r="A1830" s="7" t="s">
        <v>3362</v>
      </c>
      <c r="B1830" s="10" t="n">
        <v>45900</v>
      </c>
      <c r="C1830" s="7" t="s">
        <v>1058</v>
      </c>
      <c r="D1830" s="7" t="s">
        <v>1727</v>
      </c>
      <c r="E1830" s="7" t="s">
        <v>104</v>
      </c>
      <c r="F1830" s="7" t="s">
        <v>86</v>
      </c>
      <c r="G1830" s="7" t="s">
        <v>105</v>
      </c>
      <c r="H1830" s="7" t="n">
        <v>4</v>
      </c>
      <c r="I1830" s="11" t="n">
        <v>265</v>
      </c>
      <c r="J1830" s="11" t="n">
        <v>30</v>
      </c>
      <c r="K1830" s="11" t="n">
        <f aca="false">H1830*I1830-J1830</f>
        <v>1030</v>
      </c>
      <c r="L1830" s="7" t="s">
        <v>112</v>
      </c>
      <c r="M1830" s="7" t="s">
        <v>194</v>
      </c>
      <c r="N1830" s="7" t="n">
        <v>45</v>
      </c>
      <c r="O1830" s="7" t="n">
        <v>4</v>
      </c>
    </row>
    <row r="1831" customFormat="false" ht="15" hidden="false" customHeight="false" outlineLevel="0" collapsed="false">
      <c r="A1831" s="7" t="s">
        <v>3610</v>
      </c>
      <c r="B1831" s="10" t="n">
        <v>45900</v>
      </c>
      <c r="C1831" s="7" t="s">
        <v>3487</v>
      </c>
      <c r="D1831" s="7" t="s">
        <v>1401</v>
      </c>
      <c r="E1831" s="7" t="s">
        <v>161</v>
      </c>
      <c r="F1831" s="7" t="s">
        <v>141</v>
      </c>
      <c r="G1831" s="7" t="s">
        <v>117</v>
      </c>
      <c r="H1831" s="7" t="n">
        <v>2</v>
      </c>
      <c r="I1831" s="11" t="n">
        <v>140</v>
      </c>
      <c r="J1831" s="11" t="n">
        <v>0</v>
      </c>
      <c r="K1831" s="11" t="n">
        <f aca="false">H1831*I1831-J1831</f>
        <v>280</v>
      </c>
      <c r="L1831" s="7" t="s">
        <v>112</v>
      </c>
      <c r="M1831" s="7" t="s">
        <v>194</v>
      </c>
      <c r="N1831" s="7" t="n">
        <v>45</v>
      </c>
      <c r="O1831" s="7" t="n">
        <v>3</v>
      </c>
    </row>
    <row r="1832" customFormat="false" ht="15" hidden="false" customHeight="false" outlineLevel="0" collapsed="false">
      <c r="A1832" s="7" t="s">
        <v>3215</v>
      </c>
      <c r="B1832" s="10" t="n">
        <v>45901</v>
      </c>
      <c r="C1832" s="7" t="s">
        <v>675</v>
      </c>
      <c r="D1832" s="7" t="s">
        <v>224</v>
      </c>
      <c r="E1832" s="7" t="s">
        <v>98</v>
      </c>
      <c r="F1832" s="7" t="s">
        <v>86</v>
      </c>
      <c r="G1832" s="7" t="s">
        <v>99</v>
      </c>
      <c r="H1832" s="7" t="n">
        <v>2</v>
      </c>
      <c r="I1832" s="11" t="n">
        <v>265</v>
      </c>
      <c r="J1832" s="11" t="n">
        <v>0</v>
      </c>
      <c r="K1832" s="11" t="n">
        <f aca="false">H1832*I1832-J1832</f>
        <v>530</v>
      </c>
      <c r="L1832" s="7" t="s">
        <v>112</v>
      </c>
      <c r="M1832" s="7" t="s">
        <v>238</v>
      </c>
      <c r="N1832" s="7"/>
      <c r="O1832" s="7"/>
    </row>
    <row r="1833" customFormat="false" ht="15" hidden="false" customHeight="false" outlineLevel="0" collapsed="false">
      <c r="A1833" s="7" t="s">
        <v>2227</v>
      </c>
      <c r="B1833" s="10" t="n">
        <v>45901</v>
      </c>
      <c r="C1833" s="7" t="s">
        <v>1838</v>
      </c>
      <c r="D1833" s="7" t="s">
        <v>2228</v>
      </c>
      <c r="E1833" s="7" t="s">
        <v>126</v>
      </c>
      <c r="F1833" s="7" t="s">
        <v>101</v>
      </c>
      <c r="G1833" s="7" t="s">
        <v>105</v>
      </c>
      <c r="H1833" s="7" t="n">
        <v>1</v>
      </c>
      <c r="I1833" s="11" t="n">
        <v>205</v>
      </c>
      <c r="J1833" s="11" t="n">
        <v>0</v>
      </c>
      <c r="K1833" s="11" t="n">
        <f aca="false">H1833*I1833-J1833</f>
        <v>205</v>
      </c>
      <c r="L1833" s="7" t="s">
        <v>103</v>
      </c>
      <c r="M1833" s="7" t="s">
        <v>194</v>
      </c>
      <c r="N1833" s="7" t="n">
        <v>44</v>
      </c>
      <c r="O1833" s="7" t="n">
        <v>3</v>
      </c>
    </row>
    <row r="1834" customFormat="false" ht="15" hidden="false" customHeight="false" outlineLevel="0" collapsed="false">
      <c r="A1834" s="7" t="s">
        <v>3557</v>
      </c>
      <c r="B1834" s="10" t="n">
        <v>45901</v>
      </c>
      <c r="C1834" s="7" t="s">
        <v>3247</v>
      </c>
      <c r="D1834" s="7" t="s">
        <v>3558</v>
      </c>
      <c r="E1834" s="7" t="s">
        <v>160</v>
      </c>
      <c r="F1834" s="7" t="s">
        <v>136</v>
      </c>
      <c r="G1834" s="7" t="s">
        <v>150</v>
      </c>
      <c r="H1834" s="7" t="n">
        <v>1</v>
      </c>
      <c r="I1834" s="11" t="n">
        <v>175</v>
      </c>
      <c r="J1834" s="11" t="n">
        <v>0</v>
      </c>
      <c r="K1834" s="11" t="n">
        <f aca="false">H1834*I1834-J1834</f>
        <v>175</v>
      </c>
      <c r="L1834" s="7" t="s">
        <v>88</v>
      </c>
      <c r="M1834" s="7" t="s">
        <v>194</v>
      </c>
      <c r="N1834" s="7" t="n">
        <v>40</v>
      </c>
      <c r="O1834" s="7"/>
    </row>
    <row r="1835" customFormat="false" ht="15" hidden="false" customHeight="false" outlineLevel="0" collapsed="false">
      <c r="A1835" s="7" t="s">
        <v>4077</v>
      </c>
      <c r="B1835" s="10" t="n">
        <v>45901</v>
      </c>
      <c r="C1835" s="7" t="s">
        <v>1631</v>
      </c>
      <c r="D1835" s="7" t="s">
        <v>784</v>
      </c>
      <c r="E1835" s="7" t="s">
        <v>163</v>
      </c>
      <c r="F1835" s="7" t="s">
        <v>141</v>
      </c>
      <c r="G1835" s="7" t="s">
        <v>99</v>
      </c>
      <c r="H1835" s="7" t="n">
        <v>2</v>
      </c>
      <c r="I1835" s="11" t="n">
        <v>190</v>
      </c>
      <c r="J1835" s="11" t="n">
        <v>0</v>
      </c>
      <c r="K1835" s="11" t="n">
        <f aca="false">H1835*I1835-J1835</f>
        <v>380</v>
      </c>
      <c r="L1835" s="7" t="s">
        <v>88</v>
      </c>
      <c r="M1835" s="7" t="s">
        <v>194</v>
      </c>
      <c r="N1835" s="7" t="n">
        <v>54</v>
      </c>
      <c r="O1835" s="7" t="n">
        <v>3</v>
      </c>
    </row>
    <row r="1836" customFormat="false" ht="15" hidden="false" customHeight="false" outlineLevel="0" collapsed="false">
      <c r="A1836" s="7" t="s">
        <v>858</v>
      </c>
      <c r="B1836" s="10" t="n">
        <v>45901</v>
      </c>
      <c r="C1836" s="7" t="s">
        <v>258</v>
      </c>
      <c r="D1836" s="7" t="s">
        <v>860</v>
      </c>
      <c r="E1836" s="7" t="s">
        <v>164</v>
      </c>
      <c r="F1836" s="7" t="s">
        <v>141</v>
      </c>
      <c r="G1836" s="7" t="s">
        <v>150</v>
      </c>
      <c r="H1836" s="7" t="n">
        <v>2</v>
      </c>
      <c r="I1836" s="11" t="n">
        <v>115</v>
      </c>
      <c r="J1836" s="11" t="n">
        <v>30</v>
      </c>
      <c r="K1836" s="11" t="n">
        <f aca="false">H1836*I1836-J1836</f>
        <v>200</v>
      </c>
      <c r="L1836" s="7" t="s">
        <v>88</v>
      </c>
      <c r="M1836" s="7" t="s">
        <v>194</v>
      </c>
      <c r="N1836" s="7" t="n">
        <v>52</v>
      </c>
      <c r="O1836" s="7" t="n">
        <v>4</v>
      </c>
    </row>
    <row r="1837" customFormat="false" ht="15" hidden="false" customHeight="false" outlineLevel="0" collapsed="false">
      <c r="A1837" s="7" t="s">
        <v>3570</v>
      </c>
      <c r="B1837" s="10" t="n">
        <v>45901</v>
      </c>
      <c r="C1837" s="7" t="s">
        <v>2260</v>
      </c>
      <c r="D1837" s="7" t="s">
        <v>2682</v>
      </c>
      <c r="E1837" s="7" t="s">
        <v>130</v>
      </c>
      <c r="F1837" s="7" t="s">
        <v>110</v>
      </c>
      <c r="G1837" s="7" t="s">
        <v>90</v>
      </c>
      <c r="H1837" s="7" t="n">
        <v>2</v>
      </c>
      <c r="I1837" s="11" t="n">
        <v>275</v>
      </c>
      <c r="J1837" s="11" t="n">
        <v>0</v>
      </c>
      <c r="K1837" s="11" t="n">
        <f aca="false">H1837*I1837-J1837</f>
        <v>550</v>
      </c>
      <c r="L1837" s="7" t="s">
        <v>88</v>
      </c>
      <c r="M1837" s="7" t="s">
        <v>194</v>
      </c>
      <c r="N1837" s="7" t="n">
        <v>52</v>
      </c>
      <c r="O1837" s="7" t="n">
        <v>3</v>
      </c>
    </row>
    <row r="1838" customFormat="false" ht="15" hidden="false" customHeight="false" outlineLevel="0" collapsed="false">
      <c r="A1838" s="7" t="s">
        <v>4439</v>
      </c>
      <c r="B1838" s="10" t="n">
        <v>45901</v>
      </c>
      <c r="C1838" s="7" t="s">
        <v>4440</v>
      </c>
      <c r="D1838" s="7" t="s">
        <v>2008</v>
      </c>
      <c r="E1838" s="7" t="s">
        <v>116</v>
      </c>
      <c r="F1838" s="7" t="s">
        <v>101</v>
      </c>
      <c r="G1838" s="7" t="s">
        <v>117</v>
      </c>
      <c r="H1838" s="7" t="n">
        <v>3</v>
      </c>
      <c r="I1838" s="11" t="n">
        <v>145</v>
      </c>
      <c r="J1838" s="11" t="n">
        <v>0</v>
      </c>
      <c r="K1838" s="11" t="n">
        <f aca="false">H1838*I1838-J1838</f>
        <v>435</v>
      </c>
      <c r="L1838" s="7" t="s">
        <v>121</v>
      </c>
      <c r="M1838" s="7" t="s">
        <v>194</v>
      </c>
      <c r="N1838" s="7" t="n">
        <v>58</v>
      </c>
      <c r="O1838" s="7" t="n">
        <v>2</v>
      </c>
    </row>
    <row r="1839" customFormat="false" ht="15" hidden="false" customHeight="false" outlineLevel="0" collapsed="false">
      <c r="A1839" s="7" t="s">
        <v>3607</v>
      </c>
      <c r="B1839" s="10" t="n">
        <v>45902</v>
      </c>
      <c r="C1839" s="7" t="s">
        <v>3608</v>
      </c>
      <c r="D1839" s="7" t="s">
        <v>3609</v>
      </c>
      <c r="E1839" s="7" t="s">
        <v>157</v>
      </c>
      <c r="F1839" s="7" t="s">
        <v>136</v>
      </c>
      <c r="G1839" s="7" t="s">
        <v>117</v>
      </c>
      <c r="H1839" s="7" t="n">
        <v>1</v>
      </c>
      <c r="I1839" s="11" t="n">
        <v>125</v>
      </c>
      <c r="J1839" s="11" t="n">
        <v>30</v>
      </c>
      <c r="K1839" s="11" t="n">
        <f aca="false">H1839*I1839-J1839</f>
        <v>95</v>
      </c>
      <c r="L1839" s="7" t="s">
        <v>88</v>
      </c>
      <c r="M1839" s="7" t="s">
        <v>194</v>
      </c>
      <c r="N1839" s="7" t="n">
        <v>38</v>
      </c>
      <c r="O1839" s="7" t="n">
        <v>2</v>
      </c>
    </row>
    <row r="1840" customFormat="false" ht="15" hidden="false" customHeight="false" outlineLevel="0" collapsed="false">
      <c r="A1840" s="7" t="s">
        <v>5697</v>
      </c>
      <c r="B1840" s="10" t="n">
        <v>45902</v>
      </c>
      <c r="C1840" s="7" t="s">
        <v>3029</v>
      </c>
      <c r="D1840" s="7" t="s">
        <v>5497</v>
      </c>
      <c r="E1840" s="7" t="s">
        <v>160</v>
      </c>
      <c r="F1840" s="7" t="s">
        <v>136</v>
      </c>
      <c r="G1840" s="7" t="s">
        <v>150</v>
      </c>
      <c r="H1840" s="7" t="n">
        <v>1</v>
      </c>
      <c r="I1840" s="11" t="n">
        <v>185</v>
      </c>
      <c r="J1840" s="11" t="n">
        <v>0</v>
      </c>
      <c r="K1840" s="11" t="n">
        <f aca="false">H1840*I1840-J1840</f>
        <v>185</v>
      </c>
      <c r="L1840" s="7" t="s">
        <v>103</v>
      </c>
      <c r="M1840" s="7" t="s">
        <v>194</v>
      </c>
      <c r="N1840" s="7" t="n">
        <v>45</v>
      </c>
      <c r="O1840" s="7" t="n">
        <v>5</v>
      </c>
    </row>
    <row r="1841" customFormat="false" ht="15" hidden="false" customHeight="false" outlineLevel="0" collapsed="false">
      <c r="A1841" s="7" t="s">
        <v>4603</v>
      </c>
      <c r="B1841" s="10" t="n">
        <v>45902</v>
      </c>
      <c r="C1841" s="7" t="s">
        <v>3209</v>
      </c>
      <c r="D1841" s="7" t="s">
        <v>2585</v>
      </c>
      <c r="E1841" s="7" t="s">
        <v>94</v>
      </c>
      <c r="F1841" s="7" t="s">
        <v>86</v>
      </c>
      <c r="G1841" s="7" t="s">
        <v>95</v>
      </c>
      <c r="H1841" s="7" t="n">
        <v>3</v>
      </c>
      <c r="I1841" s="11" t="n">
        <v>135</v>
      </c>
      <c r="J1841" s="11" t="n">
        <v>150</v>
      </c>
      <c r="K1841" s="11" t="n">
        <f aca="false">H1841*I1841-J1841</f>
        <v>255</v>
      </c>
      <c r="L1841" s="7" t="s">
        <v>88</v>
      </c>
      <c r="M1841" s="7" t="s">
        <v>194</v>
      </c>
      <c r="N1841" s="7" t="n">
        <v>36</v>
      </c>
      <c r="O1841" s="7" t="n">
        <v>4</v>
      </c>
    </row>
    <row r="1842" customFormat="false" ht="15" hidden="false" customHeight="false" outlineLevel="0" collapsed="false">
      <c r="A1842" s="7" t="s">
        <v>5122</v>
      </c>
      <c r="B1842" s="10" t="n">
        <v>45902</v>
      </c>
      <c r="C1842" s="7" t="s">
        <v>638</v>
      </c>
      <c r="D1842" s="7" t="s">
        <v>3804</v>
      </c>
      <c r="E1842" s="7" t="s">
        <v>122</v>
      </c>
      <c r="F1842" s="7" t="s">
        <v>101</v>
      </c>
      <c r="G1842" s="7" t="s">
        <v>123</v>
      </c>
      <c r="H1842" s="7" t="n">
        <v>2</v>
      </c>
      <c r="I1842" s="11" t="n">
        <v>395</v>
      </c>
      <c r="J1842" s="11" t="n">
        <v>0</v>
      </c>
      <c r="K1842" s="11" t="n">
        <f aca="false">H1842*I1842-J1842</f>
        <v>790</v>
      </c>
      <c r="L1842" s="7" t="s">
        <v>93</v>
      </c>
      <c r="M1842" s="7" t="s">
        <v>194</v>
      </c>
      <c r="N1842" s="7" t="n">
        <v>67</v>
      </c>
      <c r="O1842" s="7" t="n">
        <v>4</v>
      </c>
    </row>
    <row r="1843" customFormat="false" ht="15" hidden="false" customHeight="false" outlineLevel="0" collapsed="false">
      <c r="A1843" s="7" t="s">
        <v>2282</v>
      </c>
      <c r="B1843" s="10" t="n">
        <v>45902</v>
      </c>
      <c r="C1843" s="7" t="s">
        <v>1215</v>
      </c>
      <c r="D1843" s="7" t="s">
        <v>2284</v>
      </c>
      <c r="E1843" s="7" t="s">
        <v>160</v>
      </c>
      <c r="F1843" s="7" t="s">
        <v>136</v>
      </c>
      <c r="G1843" s="7" t="s">
        <v>150</v>
      </c>
      <c r="H1843" s="7" t="n">
        <v>1</v>
      </c>
      <c r="I1843" s="11" t="n">
        <v>155</v>
      </c>
      <c r="J1843" s="11" t="n">
        <v>50</v>
      </c>
      <c r="K1843" s="11" t="n">
        <f aca="false">H1843*I1843-J1843</f>
        <v>105</v>
      </c>
      <c r="L1843" s="7" t="s">
        <v>88</v>
      </c>
      <c r="M1843" s="7" t="s">
        <v>194</v>
      </c>
      <c r="N1843" s="7" t="n">
        <v>33</v>
      </c>
      <c r="O1843" s="7" t="n">
        <v>5</v>
      </c>
    </row>
    <row r="1844" customFormat="false" ht="15" hidden="false" customHeight="false" outlineLevel="0" collapsed="false">
      <c r="A1844" s="7" t="s">
        <v>571</v>
      </c>
      <c r="B1844" s="10" t="n">
        <v>45902</v>
      </c>
      <c r="C1844" s="7" t="s">
        <v>573</v>
      </c>
      <c r="D1844" s="7" t="s">
        <v>574</v>
      </c>
      <c r="E1844" s="7" t="s">
        <v>134</v>
      </c>
      <c r="F1844" s="7" t="s">
        <v>110</v>
      </c>
      <c r="G1844" s="7" t="s">
        <v>117</v>
      </c>
      <c r="H1844" s="7" t="n">
        <v>1</v>
      </c>
      <c r="I1844" s="11" t="n">
        <v>105</v>
      </c>
      <c r="J1844" s="11" t="n">
        <v>0</v>
      </c>
      <c r="K1844" s="11" t="n">
        <f aca="false">H1844*I1844-J1844</f>
        <v>105</v>
      </c>
      <c r="L1844" s="7" t="s">
        <v>88</v>
      </c>
      <c r="M1844" s="7" t="s">
        <v>194</v>
      </c>
      <c r="N1844" s="7" t="n">
        <v>41</v>
      </c>
      <c r="O1844" s="7" t="n">
        <v>5</v>
      </c>
    </row>
    <row r="1845" customFormat="false" ht="15" hidden="false" customHeight="false" outlineLevel="0" collapsed="false">
      <c r="A1845" s="7" t="s">
        <v>5221</v>
      </c>
      <c r="B1845" s="10" t="n">
        <v>45903</v>
      </c>
      <c r="C1845" s="7" t="s">
        <v>3758</v>
      </c>
      <c r="D1845" s="7" t="s">
        <v>3284</v>
      </c>
      <c r="E1845" s="7" t="s">
        <v>130</v>
      </c>
      <c r="F1845" s="7" t="s">
        <v>110</v>
      </c>
      <c r="G1845" s="7" t="s">
        <v>90</v>
      </c>
      <c r="H1845" s="7" t="n">
        <v>1</v>
      </c>
      <c r="I1845" s="11" t="n">
        <v>280</v>
      </c>
      <c r="J1845" s="11" t="n">
        <v>0</v>
      </c>
      <c r="K1845" s="11" t="n">
        <f aca="false">H1845*I1845-J1845</f>
        <v>280</v>
      </c>
      <c r="L1845" s="7" t="s">
        <v>88</v>
      </c>
      <c r="M1845" s="7" t="s">
        <v>194</v>
      </c>
      <c r="N1845" s="7" t="n">
        <v>42</v>
      </c>
      <c r="O1845" s="7" t="n">
        <v>4</v>
      </c>
    </row>
    <row r="1846" customFormat="false" ht="15" hidden="false" customHeight="false" outlineLevel="0" collapsed="false">
      <c r="A1846" s="7" t="s">
        <v>1089</v>
      </c>
      <c r="B1846" s="10" t="n">
        <v>45903</v>
      </c>
      <c r="C1846" s="7" t="s">
        <v>1091</v>
      </c>
      <c r="D1846" s="7" t="s">
        <v>784</v>
      </c>
      <c r="E1846" s="7" t="s">
        <v>155</v>
      </c>
      <c r="F1846" s="7" t="s">
        <v>128</v>
      </c>
      <c r="G1846" s="7" t="s">
        <v>156</v>
      </c>
      <c r="H1846" s="7" t="n">
        <v>2</v>
      </c>
      <c r="I1846" s="11" t="n">
        <v>260</v>
      </c>
      <c r="J1846" s="11" t="n">
        <v>20</v>
      </c>
      <c r="K1846" s="11" t="n">
        <f aca="false">H1846*I1846-J1846</f>
        <v>500</v>
      </c>
      <c r="L1846" s="7" t="s">
        <v>103</v>
      </c>
      <c r="M1846" s="7" t="s">
        <v>194</v>
      </c>
      <c r="N1846" s="7" t="n">
        <v>35</v>
      </c>
      <c r="O1846" s="7" t="n">
        <v>5</v>
      </c>
    </row>
    <row r="1847" customFormat="false" ht="15" hidden="false" customHeight="false" outlineLevel="0" collapsed="false">
      <c r="A1847" s="7" t="s">
        <v>5659</v>
      </c>
      <c r="B1847" s="10" t="n">
        <v>45903</v>
      </c>
      <c r="C1847" s="7" t="s">
        <v>5660</v>
      </c>
      <c r="D1847" s="7" t="s">
        <v>1039</v>
      </c>
      <c r="E1847" s="7" t="s">
        <v>168</v>
      </c>
      <c r="F1847" s="7" t="s">
        <v>146</v>
      </c>
      <c r="G1847" s="7" t="s">
        <v>123</v>
      </c>
      <c r="H1847" s="7" t="n">
        <v>1</v>
      </c>
      <c r="I1847" s="11" t="n">
        <v>315</v>
      </c>
      <c r="J1847" s="11" t="n">
        <v>0</v>
      </c>
      <c r="K1847" s="11" t="n">
        <f aca="false">H1847*I1847-J1847</f>
        <v>315</v>
      </c>
      <c r="L1847" s="7" t="s">
        <v>103</v>
      </c>
      <c r="M1847" s="7" t="s">
        <v>194</v>
      </c>
      <c r="N1847" s="7" t="n">
        <v>33</v>
      </c>
      <c r="O1847" s="7" t="n">
        <v>4</v>
      </c>
    </row>
    <row r="1848" customFormat="false" ht="15" hidden="false" customHeight="false" outlineLevel="0" collapsed="false">
      <c r="A1848" s="7" t="s">
        <v>3324</v>
      </c>
      <c r="B1848" s="10" t="n">
        <v>45903</v>
      </c>
      <c r="C1848" s="7" t="s">
        <v>2539</v>
      </c>
      <c r="D1848" s="7" t="s">
        <v>1553</v>
      </c>
      <c r="E1848" s="7" t="s">
        <v>138</v>
      </c>
      <c r="F1848" s="7" t="s">
        <v>110</v>
      </c>
      <c r="G1848" s="7" t="s">
        <v>139</v>
      </c>
      <c r="H1848" s="7" t="n">
        <v>5</v>
      </c>
      <c r="I1848" s="11" t="n">
        <v>195</v>
      </c>
      <c r="J1848" s="11" t="n">
        <v>0</v>
      </c>
      <c r="K1848" s="11" t="n">
        <f aca="false">H1848*I1848-J1848</f>
        <v>975</v>
      </c>
      <c r="L1848" s="7" t="s">
        <v>112</v>
      </c>
      <c r="M1848" s="7" t="s">
        <v>194</v>
      </c>
      <c r="N1848" s="7" t="n">
        <v>42</v>
      </c>
      <c r="O1848" s="7" t="n">
        <v>4</v>
      </c>
    </row>
    <row r="1849" customFormat="false" ht="15" hidden="false" customHeight="false" outlineLevel="0" collapsed="false">
      <c r="A1849" s="7" t="s">
        <v>5333</v>
      </c>
      <c r="B1849" s="10" t="n">
        <v>45903</v>
      </c>
      <c r="C1849" s="7" t="s">
        <v>2202</v>
      </c>
      <c r="D1849" s="7" t="s">
        <v>1020</v>
      </c>
      <c r="E1849" s="7" t="s">
        <v>144</v>
      </c>
      <c r="F1849" s="7" t="s">
        <v>119</v>
      </c>
      <c r="G1849" s="7" t="s">
        <v>99</v>
      </c>
      <c r="H1849" s="7" t="n">
        <v>2</v>
      </c>
      <c r="I1849" s="11" t="n">
        <v>315</v>
      </c>
      <c r="J1849" s="11" t="n">
        <v>0</v>
      </c>
      <c r="K1849" s="11" t="n">
        <f aca="false">H1849*I1849-J1849</f>
        <v>630</v>
      </c>
      <c r="L1849" s="7" t="s">
        <v>88</v>
      </c>
      <c r="M1849" s="7" t="s">
        <v>194</v>
      </c>
      <c r="N1849" s="7" t="n">
        <v>35</v>
      </c>
      <c r="O1849" s="7" t="n">
        <v>5</v>
      </c>
    </row>
    <row r="1850" customFormat="false" ht="15" hidden="false" customHeight="false" outlineLevel="0" collapsed="false">
      <c r="A1850" s="7" t="s">
        <v>1372</v>
      </c>
      <c r="B1850" s="10" t="n">
        <v>45903</v>
      </c>
      <c r="C1850" s="7" t="s">
        <v>1374</v>
      </c>
      <c r="D1850" s="7" t="s">
        <v>784</v>
      </c>
      <c r="E1850" s="7" t="s">
        <v>147</v>
      </c>
      <c r="F1850" s="7" t="s">
        <v>119</v>
      </c>
      <c r="G1850" s="7" t="s">
        <v>95</v>
      </c>
      <c r="H1850" s="7" t="n">
        <v>2</v>
      </c>
      <c r="I1850" s="11" t="n">
        <v>140</v>
      </c>
      <c r="J1850" s="11" t="n">
        <v>112</v>
      </c>
      <c r="K1850" s="11" t="n">
        <f aca="false">H1850*I1850-J1850</f>
        <v>168</v>
      </c>
      <c r="L1850" s="7" t="s">
        <v>88</v>
      </c>
      <c r="M1850" s="7" t="s">
        <v>194</v>
      </c>
      <c r="N1850" s="7" t="n">
        <v>32</v>
      </c>
      <c r="O1850" s="7" t="n">
        <v>4</v>
      </c>
    </row>
    <row r="1851" customFormat="false" ht="15" hidden="false" customHeight="false" outlineLevel="0" collapsed="false">
      <c r="A1851" s="7" t="s">
        <v>4844</v>
      </c>
      <c r="B1851" s="10" t="n">
        <v>45903</v>
      </c>
      <c r="C1851" s="7" t="s">
        <v>2770</v>
      </c>
      <c r="D1851" s="7" t="s">
        <v>4436</v>
      </c>
      <c r="E1851" s="7" t="s">
        <v>130</v>
      </c>
      <c r="F1851" s="7" t="s">
        <v>110</v>
      </c>
      <c r="G1851" s="7" t="s">
        <v>90</v>
      </c>
      <c r="H1851" s="7" t="n">
        <v>2</v>
      </c>
      <c r="I1851" s="11" t="n">
        <v>275</v>
      </c>
      <c r="J1851" s="11" t="n">
        <v>50</v>
      </c>
      <c r="K1851" s="11" t="n">
        <f aca="false">H1851*I1851-J1851</f>
        <v>500</v>
      </c>
      <c r="L1851" s="7" t="s">
        <v>88</v>
      </c>
      <c r="M1851" s="7" t="s">
        <v>194</v>
      </c>
      <c r="N1851" s="7" t="n">
        <v>38</v>
      </c>
      <c r="O1851" s="7" t="n">
        <v>5</v>
      </c>
    </row>
    <row r="1852" customFormat="false" ht="15" hidden="false" customHeight="false" outlineLevel="0" collapsed="false">
      <c r="A1852" s="7" t="s">
        <v>3745</v>
      </c>
      <c r="B1852" s="10" t="n">
        <v>45903</v>
      </c>
      <c r="C1852" s="7" t="s">
        <v>292</v>
      </c>
      <c r="D1852" s="7" t="s">
        <v>3746</v>
      </c>
      <c r="E1852" s="7" t="s">
        <v>142</v>
      </c>
      <c r="F1852" s="7" t="s">
        <v>110</v>
      </c>
      <c r="G1852" s="7" t="s">
        <v>105</v>
      </c>
      <c r="H1852" s="7" t="n">
        <v>1</v>
      </c>
      <c r="I1852" s="11" t="n">
        <v>120</v>
      </c>
      <c r="J1852" s="11" t="n">
        <v>0</v>
      </c>
      <c r="K1852" s="11" t="n">
        <f aca="false">H1852*I1852-J1852</f>
        <v>120</v>
      </c>
      <c r="L1852" s="7" t="s">
        <v>133</v>
      </c>
      <c r="M1852" s="7" t="s">
        <v>194</v>
      </c>
      <c r="N1852" s="7" t="n">
        <v>33</v>
      </c>
      <c r="O1852" s="7" t="n">
        <v>5</v>
      </c>
    </row>
    <row r="1853" customFormat="false" ht="15" hidden="false" customHeight="false" outlineLevel="0" collapsed="false">
      <c r="A1853" s="7" t="s">
        <v>5769</v>
      </c>
      <c r="B1853" s="10" t="n">
        <v>45903</v>
      </c>
      <c r="C1853" s="7" t="s">
        <v>5181</v>
      </c>
      <c r="D1853" s="7" t="s">
        <v>1931</v>
      </c>
      <c r="E1853" s="7" t="s">
        <v>113</v>
      </c>
      <c r="F1853" s="7" t="s">
        <v>101</v>
      </c>
      <c r="G1853" s="7" t="s">
        <v>90</v>
      </c>
      <c r="H1853" s="7" t="n">
        <v>2</v>
      </c>
      <c r="I1853" s="11" t="n">
        <v>220</v>
      </c>
      <c r="J1853" s="11" t="n">
        <v>0</v>
      </c>
      <c r="K1853" s="11" t="n">
        <f aca="false">H1853*I1853-J1853</f>
        <v>440</v>
      </c>
      <c r="L1853" s="7" t="s">
        <v>88</v>
      </c>
      <c r="M1853" s="7" t="s">
        <v>194</v>
      </c>
      <c r="N1853" s="7" t="n">
        <v>40</v>
      </c>
      <c r="O1853" s="7"/>
    </row>
    <row r="1854" customFormat="false" ht="15" hidden="false" customHeight="false" outlineLevel="0" collapsed="false">
      <c r="A1854" s="7" t="s">
        <v>1963</v>
      </c>
      <c r="B1854" s="10" t="n">
        <v>45903</v>
      </c>
      <c r="C1854" s="7" t="s">
        <v>1523</v>
      </c>
      <c r="D1854" s="7" t="s">
        <v>1777</v>
      </c>
      <c r="E1854" s="7" t="s">
        <v>113</v>
      </c>
      <c r="F1854" s="7" t="s">
        <v>101</v>
      </c>
      <c r="G1854" s="7" t="s">
        <v>90</v>
      </c>
      <c r="H1854" s="7" t="n">
        <v>2</v>
      </c>
      <c r="I1854" s="11" t="n">
        <v>245</v>
      </c>
      <c r="J1854" s="11" t="n">
        <v>0</v>
      </c>
      <c r="K1854" s="11" t="n">
        <f aca="false">H1854*I1854-J1854</f>
        <v>490</v>
      </c>
      <c r="L1854" s="7" t="s">
        <v>88</v>
      </c>
      <c r="M1854" s="7" t="s">
        <v>194</v>
      </c>
      <c r="N1854" s="7" t="n">
        <v>46</v>
      </c>
      <c r="O1854" s="7" t="n">
        <v>4</v>
      </c>
    </row>
    <row r="1855" customFormat="false" ht="15" hidden="false" customHeight="false" outlineLevel="0" collapsed="false">
      <c r="A1855" s="7" t="s">
        <v>4375</v>
      </c>
      <c r="B1855" s="10" t="n">
        <v>45904</v>
      </c>
      <c r="C1855" s="7" t="s">
        <v>3725</v>
      </c>
      <c r="D1855" s="7" t="s">
        <v>2077</v>
      </c>
      <c r="E1855" s="7" t="s">
        <v>94</v>
      </c>
      <c r="F1855" s="7" t="s">
        <v>86</v>
      </c>
      <c r="G1855" s="7" t="s">
        <v>95</v>
      </c>
      <c r="H1855" s="7" t="n">
        <v>1</v>
      </c>
      <c r="I1855" s="11" t="n">
        <v>125</v>
      </c>
      <c r="J1855" s="11" t="n">
        <v>0</v>
      </c>
      <c r="K1855" s="11" t="n">
        <f aca="false">H1855*I1855-J1855</f>
        <v>125</v>
      </c>
      <c r="L1855" s="7" t="s">
        <v>112</v>
      </c>
      <c r="M1855" s="7" t="s">
        <v>194</v>
      </c>
      <c r="N1855" s="7" t="n">
        <v>36</v>
      </c>
      <c r="O1855" s="7" t="n">
        <v>4</v>
      </c>
    </row>
    <row r="1856" customFormat="false" ht="15" hidden="false" customHeight="false" outlineLevel="0" collapsed="false">
      <c r="A1856" s="7" t="s">
        <v>5515</v>
      </c>
      <c r="B1856" s="10" t="n">
        <v>45904</v>
      </c>
      <c r="C1856" s="7" t="s">
        <v>1745</v>
      </c>
      <c r="D1856" s="7" t="s">
        <v>2744</v>
      </c>
      <c r="E1856" s="7" t="s">
        <v>122</v>
      </c>
      <c r="F1856" s="7" t="s">
        <v>101</v>
      </c>
      <c r="G1856" s="7" t="s">
        <v>123</v>
      </c>
      <c r="H1856" s="7" t="n">
        <v>1</v>
      </c>
      <c r="I1856" s="11" t="n">
        <v>390</v>
      </c>
      <c r="J1856" s="11" t="n">
        <v>0</v>
      </c>
      <c r="K1856" s="11" t="n">
        <f aca="false">H1856*I1856-J1856</f>
        <v>390</v>
      </c>
      <c r="L1856" s="7" t="s">
        <v>121</v>
      </c>
      <c r="M1856" s="7" t="s">
        <v>194</v>
      </c>
      <c r="N1856" s="7" t="n">
        <v>40</v>
      </c>
      <c r="O1856" s="7" t="n">
        <v>5</v>
      </c>
    </row>
    <row r="1857" customFormat="false" ht="15" hidden="false" customHeight="false" outlineLevel="0" collapsed="false">
      <c r="A1857" s="7" t="s">
        <v>5320</v>
      </c>
      <c r="B1857" s="10" t="n">
        <v>45904</v>
      </c>
      <c r="C1857" s="7" t="s">
        <v>2521</v>
      </c>
      <c r="D1857" s="7" t="s">
        <v>623</v>
      </c>
      <c r="E1857" s="7" t="s">
        <v>94</v>
      </c>
      <c r="F1857" s="7" t="s">
        <v>86</v>
      </c>
      <c r="G1857" s="7" t="s">
        <v>95</v>
      </c>
      <c r="H1857" s="7" t="n">
        <v>4</v>
      </c>
      <c r="I1857" s="11" t="n">
        <v>100</v>
      </c>
      <c r="J1857" s="11" t="n">
        <v>0</v>
      </c>
      <c r="K1857" s="11" t="n">
        <f aca="false">H1857*I1857-J1857</f>
        <v>400</v>
      </c>
      <c r="L1857" s="7" t="s">
        <v>93</v>
      </c>
      <c r="M1857" s="7" t="s">
        <v>194</v>
      </c>
      <c r="N1857" s="7" t="n">
        <v>39</v>
      </c>
      <c r="O1857" s="7" t="n">
        <v>3</v>
      </c>
    </row>
    <row r="1858" customFormat="false" ht="15" hidden="false" customHeight="false" outlineLevel="0" collapsed="false">
      <c r="A1858" s="7" t="s">
        <v>4704</v>
      </c>
      <c r="B1858" s="10" t="n">
        <v>45904</v>
      </c>
      <c r="C1858" s="7" t="s">
        <v>1005</v>
      </c>
      <c r="D1858" s="7" t="s">
        <v>4138</v>
      </c>
      <c r="E1858" s="7" t="s">
        <v>122</v>
      </c>
      <c r="F1858" s="7" t="s">
        <v>101</v>
      </c>
      <c r="G1858" s="7" t="s">
        <v>123</v>
      </c>
      <c r="H1858" s="7" t="n">
        <v>3</v>
      </c>
      <c r="I1858" s="11" t="n">
        <v>440</v>
      </c>
      <c r="J1858" s="11" t="n">
        <v>100</v>
      </c>
      <c r="K1858" s="11" t="n">
        <f aca="false">H1858*I1858-J1858</f>
        <v>1220</v>
      </c>
      <c r="L1858" s="7" t="s">
        <v>103</v>
      </c>
      <c r="M1858" s="7" t="s">
        <v>194</v>
      </c>
      <c r="N1858" s="7" t="n">
        <v>36</v>
      </c>
      <c r="O1858" s="7" t="n">
        <v>4</v>
      </c>
    </row>
    <row r="1859" customFormat="false" ht="15" hidden="false" customHeight="false" outlineLevel="0" collapsed="false">
      <c r="A1859" s="7" t="s">
        <v>3106</v>
      </c>
      <c r="B1859" s="10" t="n">
        <v>45904</v>
      </c>
      <c r="C1859" s="7" t="s">
        <v>1957</v>
      </c>
      <c r="D1859" s="7" t="s">
        <v>3107</v>
      </c>
      <c r="E1859" s="7" t="s">
        <v>130</v>
      </c>
      <c r="F1859" s="7" t="s">
        <v>110</v>
      </c>
      <c r="G1859" s="7" t="s">
        <v>90</v>
      </c>
      <c r="H1859" s="7" t="n">
        <v>1</v>
      </c>
      <c r="I1859" s="11" t="n">
        <v>235</v>
      </c>
      <c r="J1859" s="11" t="n">
        <v>0</v>
      </c>
      <c r="K1859" s="11" t="n">
        <f aca="false">H1859*I1859-J1859</f>
        <v>235</v>
      </c>
      <c r="L1859" s="7" t="s">
        <v>93</v>
      </c>
      <c r="M1859" s="7" t="s">
        <v>194</v>
      </c>
      <c r="N1859" s="7" t="n">
        <v>40</v>
      </c>
      <c r="O1859" s="7"/>
    </row>
    <row r="1860" customFormat="false" ht="15" hidden="false" customHeight="false" outlineLevel="0" collapsed="false">
      <c r="A1860" s="7" t="s">
        <v>2356</v>
      </c>
      <c r="B1860" s="10" t="n">
        <v>45904</v>
      </c>
      <c r="C1860" s="7" t="s">
        <v>2358</v>
      </c>
      <c r="D1860" s="7" t="s">
        <v>2359</v>
      </c>
      <c r="E1860" s="7" t="s">
        <v>138</v>
      </c>
      <c r="F1860" s="7" t="s">
        <v>110</v>
      </c>
      <c r="G1860" s="7" t="s">
        <v>139</v>
      </c>
      <c r="H1860" s="7" t="n">
        <v>2</v>
      </c>
      <c r="I1860" s="11" t="n">
        <v>180</v>
      </c>
      <c r="J1860" s="11" t="n">
        <v>0</v>
      </c>
      <c r="K1860" s="11" t="n">
        <f aca="false">H1860*I1860-J1860</f>
        <v>360</v>
      </c>
      <c r="L1860" s="7" t="s">
        <v>88</v>
      </c>
      <c r="M1860" s="7" t="s">
        <v>194</v>
      </c>
      <c r="N1860" s="7" t="n">
        <v>48</v>
      </c>
      <c r="O1860" s="7" t="n">
        <v>4</v>
      </c>
    </row>
    <row r="1861" customFormat="false" ht="15" hidden="false" customHeight="false" outlineLevel="0" collapsed="false">
      <c r="A1861" s="7" t="s">
        <v>5505</v>
      </c>
      <c r="B1861" s="10" t="n">
        <v>45904</v>
      </c>
      <c r="C1861" s="7" t="s">
        <v>1443</v>
      </c>
      <c r="D1861" s="7" t="s">
        <v>2256</v>
      </c>
      <c r="E1861" s="7" t="s">
        <v>159</v>
      </c>
      <c r="F1861" s="7" t="s">
        <v>136</v>
      </c>
      <c r="G1861" s="7" t="s">
        <v>90</v>
      </c>
      <c r="H1861" s="7" t="n">
        <v>4</v>
      </c>
      <c r="I1861" s="11" t="n">
        <v>260</v>
      </c>
      <c r="J1861" s="11" t="n">
        <v>0</v>
      </c>
      <c r="K1861" s="11" t="n">
        <f aca="false">H1861*I1861-J1861</f>
        <v>1040</v>
      </c>
      <c r="L1861" s="7" t="s">
        <v>88</v>
      </c>
      <c r="M1861" s="7" t="s">
        <v>194</v>
      </c>
      <c r="N1861" s="7" t="n">
        <v>43</v>
      </c>
      <c r="O1861" s="7" t="n">
        <v>5</v>
      </c>
    </row>
    <row r="1862" customFormat="false" ht="15" hidden="false" customHeight="false" outlineLevel="0" collapsed="false">
      <c r="A1862" s="7" t="s">
        <v>2467</v>
      </c>
      <c r="B1862" s="10" t="n">
        <v>45904</v>
      </c>
      <c r="C1862" s="7" t="s">
        <v>2468</v>
      </c>
      <c r="D1862" s="7" t="s">
        <v>2469</v>
      </c>
      <c r="E1862" s="7" t="s">
        <v>154</v>
      </c>
      <c r="F1862" s="7" t="s">
        <v>128</v>
      </c>
      <c r="G1862" s="7" t="s">
        <v>99</v>
      </c>
      <c r="H1862" s="7" t="n">
        <v>2</v>
      </c>
      <c r="I1862" s="11" t="n">
        <v>170</v>
      </c>
      <c r="J1862" s="11" t="n">
        <v>50</v>
      </c>
      <c r="K1862" s="11" t="n">
        <f aca="false">H1862*I1862-J1862</f>
        <v>290</v>
      </c>
      <c r="L1862" s="7" t="s">
        <v>103</v>
      </c>
      <c r="M1862" s="7" t="s">
        <v>194</v>
      </c>
      <c r="N1862" s="7" t="n">
        <v>29</v>
      </c>
      <c r="O1862" s="7" t="n">
        <v>3</v>
      </c>
    </row>
    <row r="1863" customFormat="false" ht="15" hidden="false" customHeight="false" outlineLevel="0" collapsed="false">
      <c r="A1863" s="7" t="s">
        <v>2643</v>
      </c>
      <c r="B1863" s="10" t="n">
        <v>45904</v>
      </c>
      <c r="C1863" s="7" t="s">
        <v>2644</v>
      </c>
      <c r="D1863" s="7" t="s">
        <v>641</v>
      </c>
      <c r="E1863" s="7" t="s">
        <v>152</v>
      </c>
      <c r="F1863" s="7" t="s">
        <v>128</v>
      </c>
      <c r="G1863" s="7" t="s">
        <v>95</v>
      </c>
      <c r="H1863" s="7" t="n">
        <v>4</v>
      </c>
      <c r="I1863" s="11" t="n">
        <v>95</v>
      </c>
      <c r="J1863" s="11" t="n">
        <v>0</v>
      </c>
      <c r="K1863" s="11" t="n">
        <f aca="false">H1863*I1863-J1863</f>
        <v>380</v>
      </c>
      <c r="L1863" s="7" t="s">
        <v>93</v>
      </c>
      <c r="M1863" s="7" t="s">
        <v>238</v>
      </c>
      <c r="N1863" s="7"/>
      <c r="O1863" s="7"/>
    </row>
    <row r="1864" customFormat="false" ht="15" hidden="false" customHeight="false" outlineLevel="0" collapsed="false">
      <c r="A1864" s="7" t="s">
        <v>304</v>
      </c>
      <c r="B1864" s="10" t="n">
        <v>45904</v>
      </c>
      <c r="C1864" s="7" t="s">
        <v>306</v>
      </c>
      <c r="D1864" s="7" t="s">
        <v>307</v>
      </c>
      <c r="E1864" s="7" t="s">
        <v>158</v>
      </c>
      <c r="F1864" s="7" t="s">
        <v>136</v>
      </c>
      <c r="G1864" s="7" t="s">
        <v>139</v>
      </c>
      <c r="H1864" s="7" t="n">
        <v>3</v>
      </c>
      <c r="I1864" s="11" t="n">
        <v>200</v>
      </c>
      <c r="J1864" s="11" t="n">
        <v>0</v>
      </c>
      <c r="K1864" s="11" t="n">
        <f aca="false">H1864*I1864-J1864</f>
        <v>600</v>
      </c>
      <c r="L1864" s="7" t="s">
        <v>88</v>
      </c>
      <c r="M1864" s="7" t="s">
        <v>194</v>
      </c>
      <c r="N1864" s="7" t="n">
        <v>32</v>
      </c>
      <c r="O1864" s="7"/>
    </row>
    <row r="1865" customFormat="false" ht="15" hidden="false" customHeight="false" outlineLevel="0" collapsed="false">
      <c r="A1865" s="7" t="s">
        <v>2530</v>
      </c>
      <c r="B1865" s="10" t="n">
        <v>45904</v>
      </c>
      <c r="C1865" s="7" t="s">
        <v>2083</v>
      </c>
      <c r="D1865" s="7" t="s">
        <v>1405</v>
      </c>
      <c r="E1865" s="7" t="s">
        <v>130</v>
      </c>
      <c r="F1865" s="7" t="s">
        <v>110</v>
      </c>
      <c r="G1865" s="7" t="s">
        <v>90</v>
      </c>
      <c r="H1865" s="7" t="n">
        <v>2</v>
      </c>
      <c r="I1865" s="11" t="n">
        <v>200</v>
      </c>
      <c r="J1865" s="11" t="n">
        <v>75</v>
      </c>
      <c r="K1865" s="11" t="n">
        <f aca="false">H1865*I1865-J1865</f>
        <v>325</v>
      </c>
      <c r="L1865" s="7" t="s">
        <v>88</v>
      </c>
      <c r="M1865" s="7" t="s">
        <v>194</v>
      </c>
      <c r="N1865" s="7" t="n">
        <v>63</v>
      </c>
      <c r="O1865" s="7" t="n">
        <v>4</v>
      </c>
    </row>
    <row r="1866" customFormat="false" ht="15" hidden="false" customHeight="false" outlineLevel="0" collapsed="false">
      <c r="A1866" s="7" t="s">
        <v>5198</v>
      </c>
      <c r="B1866" s="10" t="n">
        <v>45904</v>
      </c>
      <c r="C1866" s="7" t="s">
        <v>3489</v>
      </c>
      <c r="D1866" s="7" t="s">
        <v>2127</v>
      </c>
      <c r="E1866" s="7" t="s">
        <v>138</v>
      </c>
      <c r="F1866" s="7" t="s">
        <v>110</v>
      </c>
      <c r="G1866" s="7" t="s">
        <v>139</v>
      </c>
      <c r="H1866" s="7" t="n">
        <v>1</v>
      </c>
      <c r="I1866" s="11" t="n">
        <v>200</v>
      </c>
      <c r="J1866" s="11" t="n">
        <v>0</v>
      </c>
      <c r="K1866" s="11" t="n">
        <f aca="false">H1866*I1866-J1866</f>
        <v>200</v>
      </c>
      <c r="L1866" s="7" t="s">
        <v>103</v>
      </c>
      <c r="M1866" s="7" t="s">
        <v>194</v>
      </c>
      <c r="N1866" s="7" t="n">
        <v>48</v>
      </c>
      <c r="O1866" s="7" t="n">
        <v>5</v>
      </c>
    </row>
    <row r="1867" customFormat="false" ht="15" hidden="false" customHeight="false" outlineLevel="0" collapsed="false">
      <c r="A1867" s="7" t="s">
        <v>3093</v>
      </c>
      <c r="B1867" s="10" t="n">
        <v>45904</v>
      </c>
      <c r="C1867" s="7" t="s">
        <v>1635</v>
      </c>
      <c r="D1867" s="7" t="s">
        <v>3094</v>
      </c>
      <c r="E1867" s="7" t="s">
        <v>154</v>
      </c>
      <c r="F1867" s="7" t="s">
        <v>128</v>
      </c>
      <c r="G1867" s="7" t="s">
        <v>99</v>
      </c>
      <c r="H1867" s="7" t="n">
        <v>1</v>
      </c>
      <c r="I1867" s="11" t="n">
        <v>280</v>
      </c>
      <c r="J1867" s="11" t="n">
        <v>0</v>
      </c>
      <c r="K1867" s="11" t="n">
        <f aca="false">H1867*I1867-J1867</f>
        <v>280</v>
      </c>
      <c r="L1867" s="7" t="s">
        <v>112</v>
      </c>
      <c r="M1867" s="7" t="s">
        <v>194</v>
      </c>
      <c r="N1867" s="7" t="n">
        <v>39</v>
      </c>
      <c r="O1867" s="7"/>
    </row>
    <row r="1868" customFormat="false" ht="15" hidden="false" customHeight="false" outlineLevel="0" collapsed="false">
      <c r="A1868" s="7" t="s">
        <v>3210</v>
      </c>
      <c r="B1868" s="10" t="n">
        <v>45905</v>
      </c>
      <c r="C1868" s="7" t="s">
        <v>3211</v>
      </c>
      <c r="D1868" s="7" t="s">
        <v>3212</v>
      </c>
      <c r="E1868" s="7" t="s">
        <v>113</v>
      </c>
      <c r="F1868" s="7" t="s">
        <v>101</v>
      </c>
      <c r="G1868" s="7" t="s">
        <v>90</v>
      </c>
      <c r="H1868" s="7" t="n">
        <v>3</v>
      </c>
      <c r="I1868" s="11" t="n">
        <v>225</v>
      </c>
      <c r="J1868" s="11" t="n">
        <v>0</v>
      </c>
      <c r="K1868" s="11" t="n">
        <f aca="false">H1868*I1868-J1868</f>
        <v>675</v>
      </c>
      <c r="L1868" s="7" t="s">
        <v>103</v>
      </c>
      <c r="M1868" s="7" t="s">
        <v>194</v>
      </c>
      <c r="N1868" s="7" t="n">
        <v>41</v>
      </c>
      <c r="O1868" s="7" t="n">
        <v>4</v>
      </c>
    </row>
    <row r="1869" customFormat="false" ht="15" hidden="false" customHeight="false" outlineLevel="0" collapsed="false">
      <c r="A1869" s="7" t="s">
        <v>4919</v>
      </c>
      <c r="B1869" s="10" t="n">
        <v>45905</v>
      </c>
      <c r="C1869" s="7" t="s">
        <v>1586</v>
      </c>
      <c r="D1869" s="7" t="s">
        <v>2172</v>
      </c>
      <c r="E1869" s="7" t="s">
        <v>113</v>
      </c>
      <c r="F1869" s="7" t="s">
        <v>101</v>
      </c>
      <c r="G1869" s="7" t="s">
        <v>90</v>
      </c>
      <c r="H1869" s="7" t="n">
        <v>2</v>
      </c>
      <c r="I1869" s="11" t="n">
        <v>250</v>
      </c>
      <c r="J1869" s="11" t="n">
        <v>0</v>
      </c>
      <c r="K1869" s="11" t="n">
        <f aca="false">H1869*I1869-J1869</f>
        <v>500</v>
      </c>
      <c r="L1869" s="7" t="s">
        <v>88</v>
      </c>
      <c r="M1869" s="7" t="s">
        <v>194</v>
      </c>
      <c r="N1869" s="7" t="n">
        <v>43</v>
      </c>
      <c r="O1869" s="7" t="n">
        <v>4</v>
      </c>
    </row>
    <row r="1870" customFormat="false" ht="15" hidden="false" customHeight="false" outlineLevel="0" collapsed="false">
      <c r="A1870" s="7" t="s">
        <v>6006</v>
      </c>
      <c r="B1870" s="10" t="n">
        <v>45905</v>
      </c>
      <c r="C1870" s="7" t="s">
        <v>3605</v>
      </c>
      <c r="D1870" s="7" t="s">
        <v>5124</v>
      </c>
      <c r="E1870" s="7" t="s">
        <v>130</v>
      </c>
      <c r="F1870" s="7" t="s">
        <v>110</v>
      </c>
      <c r="G1870" s="7" t="s">
        <v>90</v>
      </c>
      <c r="H1870" s="7" t="n">
        <v>3</v>
      </c>
      <c r="I1870" s="11" t="n">
        <v>255</v>
      </c>
      <c r="J1870" s="11" t="n">
        <v>20</v>
      </c>
      <c r="K1870" s="11" t="n">
        <f aca="false">H1870*I1870-J1870</f>
        <v>745</v>
      </c>
      <c r="L1870" s="7" t="s">
        <v>103</v>
      </c>
      <c r="M1870" s="7" t="s">
        <v>194</v>
      </c>
      <c r="N1870" s="7" t="n">
        <v>33</v>
      </c>
      <c r="O1870" s="7" t="n">
        <v>3</v>
      </c>
    </row>
    <row r="1871" customFormat="false" ht="15" hidden="false" customHeight="false" outlineLevel="0" collapsed="false">
      <c r="A1871" s="7" t="s">
        <v>5621</v>
      </c>
      <c r="B1871" s="10" t="n">
        <v>45905</v>
      </c>
      <c r="C1871" s="7" t="s">
        <v>191</v>
      </c>
      <c r="D1871" s="7" t="s">
        <v>4322</v>
      </c>
      <c r="E1871" s="7" t="s">
        <v>138</v>
      </c>
      <c r="F1871" s="7" t="s">
        <v>110</v>
      </c>
      <c r="G1871" s="7" t="s">
        <v>139</v>
      </c>
      <c r="H1871" s="7" t="n">
        <v>3</v>
      </c>
      <c r="I1871" s="11" t="n">
        <v>225</v>
      </c>
      <c r="J1871" s="11" t="n">
        <v>0</v>
      </c>
      <c r="K1871" s="11" t="n">
        <f aca="false">H1871*I1871-J1871</f>
        <v>675</v>
      </c>
      <c r="L1871" s="7" t="s">
        <v>121</v>
      </c>
      <c r="M1871" s="7" t="s">
        <v>194</v>
      </c>
      <c r="N1871" s="7" t="n">
        <v>32</v>
      </c>
      <c r="O1871" s="7" t="n">
        <v>5</v>
      </c>
    </row>
    <row r="1872" customFormat="false" ht="15" hidden="false" customHeight="false" outlineLevel="0" collapsed="false">
      <c r="A1872" s="7" t="s">
        <v>4441</v>
      </c>
      <c r="B1872" s="10" t="n">
        <v>45905</v>
      </c>
      <c r="C1872" s="7" t="s">
        <v>4383</v>
      </c>
      <c r="D1872" s="7" t="s">
        <v>2990</v>
      </c>
      <c r="E1872" s="7" t="s">
        <v>138</v>
      </c>
      <c r="F1872" s="7" t="s">
        <v>110</v>
      </c>
      <c r="G1872" s="7" t="s">
        <v>139</v>
      </c>
      <c r="H1872" s="7" t="n">
        <v>1</v>
      </c>
      <c r="I1872" s="11" t="n">
        <v>210</v>
      </c>
      <c r="J1872" s="11" t="n">
        <v>50</v>
      </c>
      <c r="K1872" s="11" t="n">
        <f aca="false">H1872*I1872-J1872</f>
        <v>160</v>
      </c>
      <c r="L1872" s="7" t="s">
        <v>93</v>
      </c>
      <c r="M1872" s="7" t="s">
        <v>194</v>
      </c>
      <c r="N1872" s="7" t="n">
        <v>50</v>
      </c>
      <c r="O1872" s="7" t="n">
        <v>3</v>
      </c>
    </row>
    <row r="1873" customFormat="false" ht="15" hidden="false" customHeight="false" outlineLevel="0" collapsed="false">
      <c r="A1873" s="7" t="s">
        <v>4413</v>
      </c>
      <c r="B1873" s="10" t="n">
        <v>45905</v>
      </c>
      <c r="C1873" s="7" t="s">
        <v>249</v>
      </c>
      <c r="D1873" s="7" t="s">
        <v>3635</v>
      </c>
      <c r="E1873" s="7" t="s">
        <v>164</v>
      </c>
      <c r="F1873" s="7" t="s">
        <v>141</v>
      </c>
      <c r="G1873" s="7" t="s">
        <v>150</v>
      </c>
      <c r="H1873" s="7" t="n">
        <v>1</v>
      </c>
      <c r="I1873" s="11" t="n">
        <v>115</v>
      </c>
      <c r="J1873" s="11" t="n">
        <v>46</v>
      </c>
      <c r="K1873" s="11" t="n">
        <f aca="false">H1873*I1873-J1873</f>
        <v>69</v>
      </c>
      <c r="L1873" s="7" t="s">
        <v>103</v>
      </c>
      <c r="M1873" s="7" t="s">
        <v>194</v>
      </c>
      <c r="N1873" s="7" t="n">
        <v>43</v>
      </c>
      <c r="O1873" s="7"/>
    </row>
    <row r="1874" customFormat="false" ht="15" hidden="false" customHeight="false" outlineLevel="0" collapsed="false">
      <c r="A1874" s="7" t="s">
        <v>4985</v>
      </c>
      <c r="B1874" s="10" t="n">
        <v>45905</v>
      </c>
      <c r="C1874" s="7" t="s">
        <v>1737</v>
      </c>
      <c r="D1874" s="7" t="s">
        <v>2750</v>
      </c>
      <c r="E1874" s="7" t="s">
        <v>138</v>
      </c>
      <c r="F1874" s="7" t="s">
        <v>110</v>
      </c>
      <c r="G1874" s="7" t="s">
        <v>139</v>
      </c>
      <c r="H1874" s="7" t="n">
        <v>1</v>
      </c>
      <c r="I1874" s="11" t="n">
        <v>180</v>
      </c>
      <c r="J1874" s="11" t="n">
        <v>50</v>
      </c>
      <c r="K1874" s="11" t="n">
        <f aca="false">H1874*I1874-J1874</f>
        <v>130</v>
      </c>
      <c r="L1874" s="7" t="s">
        <v>121</v>
      </c>
      <c r="M1874" s="7" t="s">
        <v>194</v>
      </c>
      <c r="N1874" s="7" t="n">
        <v>36</v>
      </c>
      <c r="O1874" s="7" t="n">
        <v>5</v>
      </c>
    </row>
    <row r="1875" customFormat="false" ht="15" hidden="false" customHeight="false" outlineLevel="0" collapsed="false">
      <c r="A1875" s="7" t="s">
        <v>4850</v>
      </c>
      <c r="B1875" s="10" t="n">
        <v>45905</v>
      </c>
      <c r="C1875" s="7" t="s">
        <v>2088</v>
      </c>
      <c r="D1875" s="7" t="s">
        <v>4851</v>
      </c>
      <c r="E1875" s="7" t="s">
        <v>148</v>
      </c>
      <c r="F1875" s="7" t="s">
        <v>119</v>
      </c>
      <c r="G1875" s="7" t="s">
        <v>123</v>
      </c>
      <c r="H1875" s="7" t="n">
        <v>1</v>
      </c>
      <c r="I1875" s="11" t="n">
        <v>345</v>
      </c>
      <c r="J1875" s="11" t="n">
        <v>125</v>
      </c>
      <c r="K1875" s="11" t="n">
        <f aca="false">H1875*I1875-J1875</f>
        <v>220</v>
      </c>
      <c r="L1875" s="7" t="s">
        <v>93</v>
      </c>
      <c r="M1875" s="7" t="s">
        <v>194</v>
      </c>
      <c r="N1875" s="7" t="n">
        <v>29</v>
      </c>
      <c r="O1875" s="7" t="n">
        <v>2</v>
      </c>
    </row>
    <row r="1876" customFormat="false" ht="15" hidden="false" customHeight="false" outlineLevel="0" collapsed="false">
      <c r="A1876" s="7" t="s">
        <v>2567</v>
      </c>
      <c r="B1876" s="10" t="n">
        <v>45905</v>
      </c>
      <c r="C1876" s="7" t="s">
        <v>619</v>
      </c>
      <c r="D1876" s="7" t="s">
        <v>1966</v>
      </c>
      <c r="E1876" s="7" t="s">
        <v>94</v>
      </c>
      <c r="F1876" s="7" t="s">
        <v>86</v>
      </c>
      <c r="G1876" s="7" t="s">
        <v>95</v>
      </c>
      <c r="H1876" s="7" t="n">
        <v>2</v>
      </c>
      <c r="I1876" s="11" t="n">
        <v>125</v>
      </c>
      <c r="J1876" s="11" t="n">
        <v>0</v>
      </c>
      <c r="K1876" s="11" t="n">
        <f aca="false">H1876*I1876-J1876</f>
        <v>250</v>
      </c>
      <c r="L1876" s="7" t="s">
        <v>93</v>
      </c>
      <c r="M1876" s="7" t="s">
        <v>238</v>
      </c>
      <c r="N1876" s="7"/>
      <c r="O1876" s="7"/>
    </row>
    <row r="1877" customFormat="false" ht="15" hidden="false" customHeight="false" outlineLevel="0" collapsed="false">
      <c r="A1877" s="7" t="s">
        <v>950</v>
      </c>
      <c r="B1877" s="10" t="n">
        <v>45906</v>
      </c>
      <c r="C1877" s="7" t="s">
        <v>952</v>
      </c>
      <c r="D1877" s="7" t="s">
        <v>953</v>
      </c>
      <c r="E1877" s="7" t="s">
        <v>130</v>
      </c>
      <c r="F1877" s="7" t="s">
        <v>110</v>
      </c>
      <c r="G1877" s="7" t="s">
        <v>90</v>
      </c>
      <c r="H1877" s="7" t="n">
        <v>1</v>
      </c>
      <c r="I1877" s="11" t="n">
        <v>280</v>
      </c>
      <c r="J1877" s="11" t="n">
        <v>20</v>
      </c>
      <c r="K1877" s="11" t="n">
        <f aca="false">H1877*I1877-J1877</f>
        <v>260</v>
      </c>
      <c r="L1877" s="7" t="s">
        <v>88</v>
      </c>
      <c r="M1877" s="7" t="s">
        <v>194</v>
      </c>
      <c r="N1877" s="7" t="n">
        <v>51</v>
      </c>
      <c r="O1877" s="7" t="n">
        <v>5</v>
      </c>
    </row>
    <row r="1878" customFormat="false" ht="15" hidden="false" customHeight="false" outlineLevel="0" collapsed="false">
      <c r="A1878" s="7" t="s">
        <v>4511</v>
      </c>
      <c r="B1878" s="10" t="n">
        <v>45906</v>
      </c>
      <c r="C1878" s="7" t="s">
        <v>886</v>
      </c>
      <c r="D1878" s="7" t="s">
        <v>3569</v>
      </c>
      <c r="E1878" s="7" t="s">
        <v>147</v>
      </c>
      <c r="F1878" s="7" t="s">
        <v>119</v>
      </c>
      <c r="G1878" s="7" t="s">
        <v>95</v>
      </c>
      <c r="H1878" s="7" t="n">
        <v>2</v>
      </c>
      <c r="I1878" s="11" t="n">
        <v>180</v>
      </c>
      <c r="J1878" s="11" t="n">
        <v>40</v>
      </c>
      <c r="K1878" s="11" t="n">
        <f aca="false">H1878*I1878-J1878</f>
        <v>320</v>
      </c>
      <c r="L1878" s="7" t="s">
        <v>112</v>
      </c>
      <c r="M1878" s="7" t="s">
        <v>194</v>
      </c>
      <c r="N1878" s="7" t="n">
        <v>34</v>
      </c>
      <c r="O1878" s="7"/>
    </row>
    <row r="1879" customFormat="false" ht="15" hidden="false" customHeight="false" outlineLevel="0" collapsed="false">
      <c r="A1879" s="7" t="s">
        <v>4970</v>
      </c>
      <c r="B1879" s="10" t="n">
        <v>45906</v>
      </c>
      <c r="C1879" s="7" t="s">
        <v>4971</v>
      </c>
      <c r="D1879" s="7" t="s">
        <v>3961</v>
      </c>
      <c r="E1879" s="7" t="s">
        <v>126</v>
      </c>
      <c r="F1879" s="7" t="s">
        <v>101</v>
      </c>
      <c r="G1879" s="7" t="s">
        <v>105</v>
      </c>
      <c r="H1879" s="7" t="n">
        <v>2</v>
      </c>
      <c r="I1879" s="11" t="n">
        <v>160</v>
      </c>
      <c r="J1879" s="11" t="n">
        <v>0</v>
      </c>
      <c r="K1879" s="11" t="n">
        <f aca="false">H1879*I1879-J1879</f>
        <v>320</v>
      </c>
      <c r="L1879" s="7" t="s">
        <v>88</v>
      </c>
      <c r="M1879" s="7" t="s">
        <v>194</v>
      </c>
      <c r="N1879" s="7" t="n">
        <v>47</v>
      </c>
      <c r="O1879" s="7"/>
    </row>
    <row r="1880" customFormat="false" ht="15" hidden="false" customHeight="false" outlineLevel="0" collapsed="false">
      <c r="A1880" s="7" t="s">
        <v>3953</v>
      </c>
      <c r="B1880" s="10" t="n">
        <v>45906</v>
      </c>
      <c r="C1880" s="7" t="s">
        <v>1737</v>
      </c>
      <c r="D1880" s="7" t="s">
        <v>2117</v>
      </c>
      <c r="E1880" s="7" t="s">
        <v>152</v>
      </c>
      <c r="F1880" s="7" t="s">
        <v>128</v>
      </c>
      <c r="G1880" s="7" t="s">
        <v>95</v>
      </c>
      <c r="H1880" s="7" t="n">
        <v>1</v>
      </c>
      <c r="I1880" s="11" t="n">
        <v>100</v>
      </c>
      <c r="J1880" s="11" t="n">
        <v>0</v>
      </c>
      <c r="K1880" s="11" t="n">
        <f aca="false">H1880*I1880-J1880</f>
        <v>100</v>
      </c>
      <c r="L1880" s="7" t="s">
        <v>112</v>
      </c>
      <c r="M1880" s="7" t="s">
        <v>194</v>
      </c>
      <c r="N1880" s="7" t="n">
        <v>38</v>
      </c>
      <c r="O1880" s="7" t="n">
        <v>4</v>
      </c>
    </row>
    <row r="1881" customFormat="false" ht="15" hidden="false" customHeight="false" outlineLevel="0" collapsed="false">
      <c r="A1881" s="7" t="s">
        <v>6148</v>
      </c>
      <c r="B1881" s="10" t="n">
        <v>45906</v>
      </c>
      <c r="C1881" s="7" t="s">
        <v>2957</v>
      </c>
      <c r="D1881" s="7" t="s">
        <v>1081</v>
      </c>
      <c r="E1881" s="7" t="s">
        <v>98</v>
      </c>
      <c r="F1881" s="7" t="s">
        <v>86</v>
      </c>
      <c r="G1881" s="7" t="s">
        <v>99</v>
      </c>
      <c r="H1881" s="7" t="n">
        <v>4</v>
      </c>
      <c r="I1881" s="11" t="n">
        <v>225</v>
      </c>
      <c r="J1881" s="11" t="n">
        <v>40</v>
      </c>
      <c r="K1881" s="11" t="n">
        <f aca="false">H1881*I1881-J1881</f>
        <v>860</v>
      </c>
      <c r="L1881" s="7" t="s">
        <v>88</v>
      </c>
      <c r="M1881" s="7" t="s">
        <v>194</v>
      </c>
      <c r="N1881" s="7" t="n">
        <v>43</v>
      </c>
      <c r="O1881" s="7" t="n">
        <v>4</v>
      </c>
    </row>
    <row r="1882" customFormat="false" ht="15" hidden="false" customHeight="false" outlineLevel="0" collapsed="false">
      <c r="A1882" s="7" t="s">
        <v>1441</v>
      </c>
      <c r="B1882" s="10" t="n">
        <v>45906</v>
      </c>
      <c r="C1882" s="7" t="s">
        <v>630</v>
      </c>
      <c r="D1882" s="7" t="s">
        <v>766</v>
      </c>
      <c r="E1882" s="7" t="s">
        <v>89</v>
      </c>
      <c r="F1882" s="7" t="s">
        <v>86</v>
      </c>
      <c r="G1882" s="7" t="s">
        <v>90</v>
      </c>
      <c r="H1882" s="7" t="n">
        <v>3</v>
      </c>
      <c r="I1882" s="11" t="n">
        <v>195</v>
      </c>
      <c r="J1882" s="11" t="n">
        <v>30</v>
      </c>
      <c r="K1882" s="11" t="n">
        <f aca="false">H1882*I1882-J1882</f>
        <v>555</v>
      </c>
      <c r="L1882" s="7" t="s">
        <v>112</v>
      </c>
      <c r="M1882" s="7" t="s">
        <v>194</v>
      </c>
      <c r="N1882" s="7" t="n">
        <v>39</v>
      </c>
      <c r="O1882" s="7" t="n">
        <v>4</v>
      </c>
    </row>
    <row r="1883" customFormat="false" ht="15" hidden="false" customHeight="false" outlineLevel="0" collapsed="false">
      <c r="A1883" s="7" t="s">
        <v>3225</v>
      </c>
      <c r="B1883" s="10" t="n">
        <v>45906</v>
      </c>
      <c r="C1883" s="7" t="s">
        <v>1430</v>
      </c>
      <c r="D1883" s="7" t="s">
        <v>2370</v>
      </c>
      <c r="E1883" s="7" t="s">
        <v>154</v>
      </c>
      <c r="F1883" s="7" t="s">
        <v>128</v>
      </c>
      <c r="G1883" s="7" t="s">
        <v>99</v>
      </c>
      <c r="H1883" s="7" t="n">
        <v>2</v>
      </c>
      <c r="I1883" s="11" t="n">
        <v>265</v>
      </c>
      <c r="J1883" s="11" t="n">
        <v>0</v>
      </c>
      <c r="K1883" s="11" t="n">
        <f aca="false">H1883*I1883-J1883</f>
        <v>530</v>
      </c>
      <c r="L1883" s="7" t="s">
        <v>88</v>
      </c>
      <c r="M1883" s="7" t="s">
        <v>194</v>
      </c>
      <c r="N1883" s="7" t="n">
        <v>34</v>
      </c>
      <c r="O1883" s="7" t="n">
        <v>3</v>
      </c>
    </row>
    <row r="1884" customFormat="false" ht="15" hidden="false" customHeight="false" outlineLevel="0" collapsed="false">
      <c r="A1884" s="7" t="s">
        <v>583</v>
      </c>
      <c r="B1884" s="10" t="n">
        <v>45906</v>
      </c>
      <c r="C1884" s="7" t="s">
        <v>585</v>
      </c>
      <c r="D1884" s="7" t="s">
        <v>586</v>
      </c>
      <c r="E1884" s="7" t="s">
        <v>98</v>
      </c>
      <c r="F1884" s="7" t="s">
        <v>86</v>
      </c>
      <c r="G1884" s="7" t="s">
        <v>99</v>
      </c>
      <c r="H1884" s="7" t="n">
        <v>1</v>
      </c>
      <c r="I1884" s="11" t="n">
        <v>315</v>
      </c>
      <c r="J1884" s="11" t="n">
        <v>0</v>
      </c>
      <c r="K1884" s="11" t="n">
        <f aca="false">H1884*I1884-J1884</f>
        <v>315</v>
      </c>
      <c r="L1884" s="7" t="s">
        <v>88</v>
      </c>
      <c r="M1884" s="7" t="s">
        <v>194</v>
      </c>
      <c r="N1884" s="7" t="n">
        <v>43</v>
      </c>
      <c r="O1884" s="7" t="n">
        <v>4</v>
      </c>
    </row>
    <row r="1885" customFormat="false" ht="15" hidden="false" customHeight="false" outlineLevel="0" collapsed="false">
      <c r="A1885" s="7" t="s">
        <v>4110</v>
      </c>
      <c r="B1885" s="10" t="n">
        <v>45907</v>
      </c>
      <c r="C1885" s="7" t="s">
        <v>1692</v>
      </c>
      <c r="D1885" s="7" t="s">
        <v>2589</v>
      </c>
      <c r="E1885" s="7" t="s">
        <v>94</v>
      </c>
      <c r="F1885" s="7" t="s">
        <v>86</v>
      </c>
      <c r="G1885" s="7" t="s">
        <v>95</v>
      </c>
      <c r="H1885" s="7" t="n">
        <v>4</v>
      </c>
      <c r="I1885" s="11" t="n">
        <v>105</v>
      </c>
      <c r="J1885" s="11" t="n">
        <v>0</v>
      </c>
      <c r="K1885" s="11" t="n">
        <f aca="false">H1885*I1885-J1885</f>
        <v>420</v>
      </c>
      <c r="L1885" s="7" t="s">
        <v>88</v>
      </c>
      <c r="M1885" s="7" t="s">
        <v>194</v>
      </c>
      <c r="N1885" s="7" t="n">
        <v>34</v>
      </c>
      <c r="O1885" s="7" t="n">
        <v>4</v>
      </c>
    </row>
    <row r="1886" customFormat="false" ht="15" hidden="false" customHeight="false" outlineLevel="0" collapsed="false">
      <c r="A1886" s="7" t="s">
        <v>5194</v>
      </c>
      <c r="B1886" s="10" t="n">
        <v>45907</v>
      </c>
      <c r="C1886" s="7" t="s">
        <v>2743</v>
      </c>
      <c r="D1886" s="7" t="s">
        <v>3308</v>
      </c>
      <c r="E1886" s="7" t="s">
        <v>98</v>
      </c>
      <c r="F1886" s="7" t="s">
        <v>86</v>
      </c>
      <c r="G1886" s="7" t="s">
        <v>99</v>
      </c>
      <c r="H1886" s="7" t="n">
        <v>5</v>
      </c>
      <c r="I1886" s="11" t="n">
        <v>290</v>
      </c>
      <c r="J1886" s="11" t="n">
        <v>0</v>
      </c>
      <c r="K1886" s="11" t="n">
        <f aca="false">H1886*I1886-J1886</f>
        <v>1450</v>
      </c>
      <c r="L1886" s="7" t="s">
        <v>112</v>
      </c>
      <c r="M1886" s="7" t="s">
        <v>194</v>
      </c>
      <c r="N1886" s="7" t="n">
        <v>57</v>
      </c>
      <c r="O1886" s="7" t="n">
        <v>3</v>
      </c>
    </row>
    <row r="1887" customFormat="false" ht="15" hidden="false" customHeight="false" outlineLevel="0" collapsed="false">
      <c r="A1887" s="7" t="s">
        <v>2101</v>
      </c>
      <c r="B1887" s="10" t="n">
        <v>45907</v>
      </c>
      <c r="C1887" s="7" t="s">
        <v>1330</v>
      </c>
      <c r="D1887" s="7" t="s">
        <v>814</v>
      </c>
      <c r="E1887" s="7" t="s">
        <v>163</v>
      </c>
      <c r="F1887" s="7" t="s">
        <v>141</v>
      </c>
      <c r="G1887" s="7" t="s">
        <v>99</v>
      </c>
      <c r="H1887" s="7" t="n">
        <v>1</v>
      </c>
      <c r="I1887" s="11" t="n">
        <v>195</v>
      </c>
      <c r="J1887" s="11" t="n">
        <v>78</v>
      </c>
      <c r="K1887" s="11" t="n">
        <f aca="false">H1887*I1887-J1887</f>
        <v>117</v>
      </c>
      <c r="L1887" s="7" t="s">
        <v>112</v>
      </c>
      <c r="M1887" s="7" t="s">
        <v>238</v>
      </c>
      <c r="N1887" s="7"/>
      <c r="O1887" s="7"/>
    </row>
    <row r="1888" customFormat="false" ht="15" hidden="false" customHeight="false" outlineLevel="0" collapsed="false">
      <c r="A1888" s="7" t="s">
        <v>3854</v>
      </c>
      <c r="B1888" s="10" t="n">
        <v>45907</v>
      </c>
      <c r="C1888" s="7" t="s">
        <v>1325</v>
      </c>
      <c r="D1888" s="7" t="s">
        <v>1729</v>
      </c>
      <c r="E1888" s="7" t="s">
        <v>158</v>
      </c>
      <c r="F1888" s="7" t="s">
        <v>136</v>
      </c>
      <c r="G1888" s="7" t="s">
        <v>139</v>
      </c>
      <c r="H1888" s="7" t="n">
        <v>4</v>
      </c>
      <c r="I1888" s="11" t="n">
        <v>195</v>
      </c>
      <c r="J1888" s="11" t="n">
        <v>125</v>
      </c>
      <c r="K1888" s="11" t="n">
        <f aca="false">H1888*I1888-J1888</f>
        <v>655</v>
      </c>
      <c r="L1888" s="7" t="s">
        <v>93</v>
      </c>
      <c r="M1888" s="7" t="s">
        <v>194</v>
      </c>
      <c r="N1888" s="7" t="n">
        <v>30</v>
      </c>
      <c r="O1888" s="7" t="n">
        <v>3</v>
      </c>
    </row>
    <row r="1889" customFormat="false" ht="15" hidden="false" customHeight="false" outlineLevel="0" collapsed="false">
      <c r="A1889" s="7" t="s">
        <v>5856</v>
      </c>
      <c r="B1889" s="10" t="n">
        <v>45907</v>
      </c>
      <c r="C1889" s="7" t="s">
        <v>5582</v>
      </c>
      <c r="D1889" s="7" t="s">
        <v>3710</v>
      </c>
      <c r="E1889" s="7" t="s">
        <v>144</v>
      </c>
      <c r="F1889" s="7" t="s">
        <v>119</v>
      </c>
      <c r="G1889" s="7" t="s">
        <v>99</v>
      </c>
      <c r="H1889" s="7" t="n">
        <v>2</v>
      </c>
      <c r="I1889" s="11" t="n">
        <v>295</v>
      </c>
      <c r="J1889" s="11" t="n">
        <v>150</v>
      </c>
      <c r="K1889" s="11" t="n">
        <f aca="false">H1889*I1889-J1889</f>
        <v>440</v>
      </c>
      <c r="L1889" s="7" t="s">
        <v>93</v>
      </c>
      <c r="M1889" s="7" t="s">
        <v>194</v>
      </c>
      <c r="N1889" s="7" t="n">
        <v>26</v>
      </c>
      <c r="O1889" s="7" t="n">
        <v>4</v>
      </c>
    </row>
    <row r="1890" customFormat="false" ht="15" hidden="false" customHeight="false" outlineLevel="0" collapsed="false">
      <c r="A1890" s="7" t="s">
        <v>4331</v>
      </c>
      <c r="B1890" s="10" t="n">
        <v>45907</v>
      </c>
      <c r="C1890" s="7" t="s">
        <v>2402</v>
      </c>
      <c r="D1890" s="7" t="s">
        <v>505</v>
      </c>
      <c r="E1890" s="7" t="s">
        <v>160</v>
      </c>
      <c r="F1890" s="7" t="s">
        <v>136</v>
      </c>
      <c r="G1890" s="7" t="s">
        <v>150</v>
      </c>
      <c r="H1890" s="7" t="n">
        <v>1</v>
      </c>
      <c r="I1890" s="11" t="n">
        <v>200</v>
      </c>
      <c r="J1890" s="11" t="n">
        <v>50</v>
      </c>
      <c r="K1890" s="11" t="n">
        <f aca="false">H1890*I1890-J1890</f>
        <v>150</v>
      </c>
      <c r="L1890" s="7" t="s">
        <v>112</v>
      </c>
      <c r="M1890" s="7" t="s">
        <v>194</v>
      </c>
      <c r="N1890" s="7" t="n">
        <v>36</v>
      </c>
      <c r="O1890" s="7" t="n">
        <v>5</v>
      </c>
    </row>
    <row r="1891" customFormat="false" ht="15" hidden="false" customHeight="false" outlineLevel="0" collapsed="false">
      <c r="A1891" s="7" t="s">
        <v>3293</v>
      </c>
      <c r="B1891" s="10" t="n">
        <v>45907</v>
      </c>
      <c r="C1891" s="7" t="s">
        <v>1704</v>
      </c>
      <c r="D1891" s="7" t="s">
        <v>3295</v>
      </c>
      <c r="E1891" s="7" t="s">
        <v>149</v>
      </c>
      <c r="F1891" s="7" t="s">
        <v>119</v>
      </c>
      <c r="G1891" s="7" t="s">
        <v>150</v>
      </c>
      <c r="H1891" s="7" t="n">
        <v>2</v>
      </c>
      <c r="I1891" s="11" t="n">
        <v>185</v>
      </c>
      <c r="J1891" s="11" t="n">
        <v>100</v>
      </c>
      <c r="K1891" s="11" t="n">
        <f aca="false">H1891*I1891-J1891</f>
        <v>270</v>
      </c>
      <c r="L1891" s="7" t="s">
        <v>88</v>
      </c>
      <c r="M1891" s="7" t="s">
        <v>194</v>
      </c>
      <c r="N1891" s="7" t="n">
        <v>41</v>
      </c>
      <c r="O1891" s="7" t="n">
        <v>4</v>
      </c>
    </row>
    <row r="1892" customFormat="false" ht="15" hidden="false" customHeight="false" outlineLevel="0" collapsed="false">
      <c r="A1892" s="7" t="s">
        <v>4873</v>
      </c>
      <c r="B1892" s="10" t="n">
        <v>45908</v>
      </c>
      <c r="C1892" s="7" t="s">
        <v>2676</v>
      </c>
      <c r="D1892" s="7" t="s">
        <v>1401</v>
      </c>
      <c r="E1892" s="7" t="s">
        <v>126</v>
      </c>
      <c r="F1892" s="7" t="s">
        <v>101</v>
      </c>
      <c r="G1892" s="7" t="s">
        <v>105</v>
      </c>
      <c r="H1892" s="7" t="n">
        <v>1</v>
      </c>
      <c r="I1892" s="11" t="n">
        <v>195</v>
      </c>
      <c r="J1892" s="11" t="n">
        <v>0</v>
      </c>
      <c r="K1892" s="11" t="n">
        <f aca="false">H1892*I1892-J1892</f>
        <v>195</v>
      </c>
      <c r="L1892" s="7" t="s">
        <v>88</v>
      </c>
      <c r="M1892" s="7" t="s">
        <v>194</v>
      </c>
      <c r="N1892" s="7" t="n">
        <v>34</v>
      </c>
      <c r="O1892" s="7" t="n">
        <v>4</v>
      </c>
    </row>
    <row r="1893" customFormat="false" ht="15" hidden="false" customHeight="false" outlineLevel="0" collapsed="false">
      <c r="A1893" s="7" t="s">
        <v>6036</v>
      </c>
      <c r="B1893" s="10" t="n">
        <v>45908</v>
      </c>
      <c r="C1893" s="7" t="s">
        <v>1643</v>
      </c>
      <c r="D1893" s="7" t="s">
        <v>3104</v>
      </c>
      <c r="E1893" s="7" t="s">
        <v>155</v>
      </c>
      <c r="F1893" s="7" t="s">
        <v>128</v>
      </c>
      <c r="G1893" s="7" t="s">
        <v>156</v>
      </c>
      <c r="H1893" s="7" t="n">
        <v>1</v>
      </c>
      <c r="I1893" s="11" t="n">
        <v>340</v>
      </c>
      <c r="J1893" s="11" t="n">
        <v>0</v>
      </c>
      <c r="K1893" s="11" t="n">
        <f aca="false">H1893*I1893-J1893</f>
        <v>340</v>
      </c>
      <c r="L1893" s="7" t="s">
        <v>103</v>
      </c>
      <c r="M1893" s="7" t="s">
        <v>194</v>
      </c>
      <c r="N1893" s="7" t="n">
        <v>32</v>
      </c>
      <c r="O1893" s="7" t="n">
        <v>4</v>
      </c>
    </row>
    <row r="1894" customFormat="false" ht="15" hidden="false" customHeight="false" outlineLevel="0" collapsed="false">
      <c r="A1894" s="7" t="s">
        <v>878</v>
      </c>
      <c r="B1894" s="10" t="n">
        <v>45908</v>
      </c>
      <c r="C1894" s="7" t="s">
        <v>258</v>
      </c>
      <c r="D1894" s="7" t="s">
        <v>880</v>
      </c>
      <c r="E1894" s="7" t="s">
        <v>104</v>
      </c>
      <c r="F1894" s="7" t="s">
        <v>86</v>
      </c>
      <c r="G1894" s="7" t="s">
        <v>105</v>
      </c>
      <c r="H1894" s="7" t="n">
        <v>5</v>
      </c>
      <c r="I1894" s="11" t="n">
        <v>215</v>
      </c>
      <c r="J1894" s="11" t="n">
        <v>100</v>
      </c>
      <c r="K1894" s="11" t="n">
        <f aca="false">H1894*I1894-J1894</f>
        <v>975</v>
      </c>
      <c r="L1894" s="7" t="s">
        <v>88</v>
      </c>
      <c r="M1894" s="7" t="s">
        <v>194</v>
      </c>
      <c r="N1894" s="7" t="n">
        <v>44</v>
      </c>
      <c r="O1894" s="7" t="n">
        <v>4</v>
      </c>
    </row>
    <row r="1895" customFormat="false" ht="15" hidden="false" customHeight="false" outlineLevel="0" collapsed="false">
      <c r="A1895" s="7" t="s">
        <v>5278</v>
      </c>
      <c r="B1895" s="10" t="n">
        <v>45909</v>
      </c>
      <c r="C1895" s="7" t="s">
        <v>5280</v>
      </c>
      <c r="D1895" s="7" t="s">
        <v>1097</v>
      </c>
      <c r="E1895" s="7" t="s">
        <v>130</v>
      </c>
      <c r="F1895" s="7" t="s">
        <v>110</v>
      </c>
      <c r="G1895" s="7" t="s">
        <v>90</v>
      </c>
      <c r="H1895" s="7" t="n">
        <v>3</v>
      </c>
      <c r="I1895" s="11" t="n">
        <v>185</v>
      </c>
      <c r="J1895" s="11" t="n">
        <v>30</v>
      </c>
      <c r="K1895" s="11" t="n">
        <f aca="false">H1895*I1895-J1895</f>
        <v>525</v>
      </c>
      <c r="L1895" s="7" t="s">
        <v>93</v>
      </c>
      <c r="M1895" s="7" t="s">
        <v>194</v>
      </c>
      <c r="N1895" s="7" t="n">
        <v>38</v>
      </c>
      <c r="O1895" s="7" t="n">
        <v>4</v>
      </c>
    </row>
    <row r="1896" customFormat="false" ht="15" hidden="false" customHeight="false" outlineLevel="0" collapsed="false">
      <c r="A1896" s="7" t="s">
        <v>6054</v>
      </c>
      <c r="B1896" s="10" t="n">
        <v>45909</v>
      </c>
      <c r="C1896" s="7" t="s">
        <v>4080</v>
      </c>
      <c r="D1896" s="7" t="s">
        <v>4683</v>
      </c>
      <c r="E1896" s="7" t="s">
        <v>142</v>
      </c>
      <c r="F1896" s="7" t="s">
        <v>110</v>
      </c>
      <c r="G1896" s="7" t="s">
        <v>105</v>
      </c>
      <c r="H1896" s="7" t="n">
        <v>1</v>
      </c>
      <c r="I1896" s="11" t="n">
        <v>205</v>
      </c>
      <c r="J1896" s="11" t="n">
        <v>0</v>
      </c>
      <c r="K1896" s="11" t="n">
        <f aca="false">H1896*I1896-J1896</f>
        <v>205</v>
      </c>
      <c r="L1896" s="7" t="s">
        <v>93</v>
      </c>
      <c r="M1896" s="7" t="s">
        <v>194</v>
      </c>
      <c r="N1896" s="7" t="n">
        <v>43</v>
      </c>
      <c r="O1896" s="7" t="n">
        <v>3</v>
      </c>
    </row>
    <row r="1897" customFormat="false" ht="15" hidden="false" customHeight="false" outlineLevel="0" collapsed="false">
      <c r="A1897" s="7" t="s">
        <v>3219</v>
      </c>
      <c r="B1897" s="10" t="n">
        <v>45909</v>
      </c>
      <c r="C1897" s="7" t="s">
        <v>1250</v>
      </c>
      <c r="D1897" s="7" t="s">
        <v>530</v>
      </c>
      <c r="E1897" s="7" t="s">
        <v>130</v>
      </c>
      <c r="F1897" s="7" t="s">
        <v>110</v>
      </c>
      <c r="G1897" s="7" t="s">
        <v>90</v>
      </c>
      <c r="H1897" s="7" t="n">
        <v>3</v>
      </c>
      <c r="I1897" s="11" t="n">
        <v>275</v>
      </c>
      <c r="J1897" s="11" t="n">
        <v>100</v>
      </c>
      <c r="K1897" s="11" t="n">
        <f aca="false">H1897*I1897-J1897</f>
        <v>725</v>
      </c>
      <c r="L1897" s="7" t="s">
        <v>103</v>
      </c>
      <c r="M1897" s="7" t="s">
        <v>194</v>
      </c>
      <c r="N1897" s="7" t="n">
        <v>42</v>
      </c>
      <c r="O1897" s="7" t="n">
        <v>4</v>
      </c>
    </row>
    <row r="1898" customFormat="false" ht="15" hidden="false" customHeight="false" outlineLevel="0" collapsed="false">
      <c r="A1898" s="7" t="s">
        <v>4477</v>
      </c>
      <c r="B1898" s="10" t="n">
        <v>45909</v>
      </c>
      <c r="C1898" s="7" t="s">
        <v>2672</v>
      </c>
      <c r="D1898" s="7" t="s">
        <v>4478</v>
      </c>
      <c r="E1898" s="7" t="s">
        <v>113</v>
      </c>
      <c r="F1898" s="7" t="s">
        <v>101</v>
      </c>
      <c r="G1898" s="7" t="s">
        <v>90</v>
      </c>
      <c r="H1898" s="7" t="n">
        <v>2</v>
      </c>
      <c r="I1898" s="11" t="n">
        <v>250</v>
      </c>
      <c r="J1898" s="11" t="n">
        <v>150</v>
      </c>
      <c r="K1898" s="11" t="n">
        <f aca="false">H1898*I1898-J1898</f>
        <v>350</v>
      </c>
      <c r="L1898" s="7" t="s">
        <v>93</v>
      </c>
      <c r="M1898" s="7" t="s">
        <v>194</v>
      </c>
      <c r="N1898" s="7" t="n">
        <v>39</v>
      </c>
      <c r="O1898" s="7" t="n">
        <v>3</v>
      </c>
    </row>
    <row r="1899" customFormat="false" ht="15" hidden="false" customHeight="false" outlineLevel="0" collapsed="false">
      <c r="A1899" s="7" t="s">
        <v>2103</v>
      </c>
      <c r="B1899" s="10" t="n">
        <v>45909</v>
      </c>
      <c r="C1899" s="7" t="s">
        <v>2105</v>
      </c>
      <c r="D1899" s="7" t="s">
        <v>2100</v>
      </c>
      <c r="E1899" s="7" t="s">
        <v>89</v>
      </c>
      <c r="F1899" s="7" t="s">
        <v>86</v>
      </c>
      <c r="G1899" s="7" t="s">
        <v>90</v>
      </c>
      <c r="H1899" s="7" t="n">
        <v>4</v>
      </c>
      <c r="I1899" s="11" t="n">
        <v>230</v>
      </c>
      <c r="J1899" s="11" t="n">
        <v>0</v>
      </c>
      <c r="K1899" s="11" t="n">
        <f aca="false">H1899*I1899-J1899</f>
        <v>920</v>
      </c>
      <c r="L1899" s="7" t="s">
        <v>133</v>
      </c>
      <c r="M1899" s="7" t="s">
        <v>194</v>
      </c>
      <c r="N1899" s="7" t="n">
        <v>45</v>
      </c>
      <c r="O1899" s="7"/>
    </row>
    <row r="1900" customFormat="false" ht="15" hidden="false" customHeight="false" outlineLevel="0" collapsed="false">
      <c r="A1900" s="7" t="s">
        <v>4217</v>
      </c>
      <c r="B1900" s="10" t="n">
        <v>45909</v>
      </c>
      <c r="C1900" s="7" t="s">
        <v>2235</v>
      </c>
      <c r="D1900" s="7" t="s">
        <v>2163</v>
      </c>
      <c r="E1900" s="7" t="s">
        <v>130</v>
      </c>
      <c r="F1900" s="7" t="s">
        <v>110</v>
      </c>
      <c r="G1900" s="7" t="s">
        <v>90</v>
      </c>
      <c r="H1900" s="7" t="n">
        <v>2</v>
      </c>
      <c r="I1900" s="11" t="n">
        <v>255</v>
      </c>
      <c r="J1900" s="11" t="n">
        <v>0</v>
      </c>
      <c r="K1900" s="11" t="n">
        <f aca="false">H1900*I1900-J1900</f>
        <v>510</v>
      </c>
      <c r="L1900" s="7" t="s">
        <v>112</v>
      </c>
      <c r="M1900" s="7" t="s">
        <v>194</v>
      </c>
      <c r="N1900" s="7" t="n">
        <v>33</v>
      </c>
      <c r="O1900" s="7" t="n">
        <v>5</v>
      </c>
    </row>
    <row r="1901" customFormat="false" ht="15" hidden="false" customHeight="false" outlineLevel="0" collapsed="false">
      <c r="A1901" s="7" t="s">
        <v>4097</v>
      </c>
      <c r="B1901" s="10" t="n">
        <v>45909</v>
      </c>
      <c r="C1901" s="7" t="s">
        <v>4004</v>
      </c>
      <c r="D1901" s="7" t="s">
        <v>4098</v>
      </c>
      <c r="E1901" s="7" t="s">
        <v>149</v>
      </c>
      <c r="F1901" s="7" t="s">
        <v>119</v>
      </c>
      <c r="G1901" s="7" t="s">
        <v>150</v>
      </c>
      <c r="H1901" s="7" t="n">
        <v>1</v>
      </c>
      <c r="I1901" s="11" t="n">
        <v>185</v>
      </c>
      <c r="J1901" s="11" t="n">
        <v>50</v>
      </c>
      <c r="K1901" s="11" t="n">
        <f aca="false">H1901*I1901-J1901</f>
        <v>135</v>
      </c>
      <c r="L1901" s="7" t="s">
        <v>88</v>
      </c>
      <c r="M1901" s="7" t="s">
        <v>194</v>
      </c>
      <c r="N1901" s="7" t="n">
        <v>48</v>
      </c>
      <c r="O1901" s="7" t="n">
        <v>5</v>
      </c>
    </row>
    <row r="1902" customFormat="false" ht="15" hidden="false" customHeight="false" outlineLevel="0" collapsed="false">
      <c r="A1902" s="7" t="s">
        <v>5768</v>
      </c>
      <c r="B1902" s="10" t="n">
        <v>45909</v>
      </c>
      <c r="C1902" s="7" t="s">
        <v>5233</v>
      </c>
      <c r="D1902" s="7" t="s">
        <v>2614</v>
      </c>
      <c r="E1902" s="7" t="s">
        <v>154</v>
      </c>
      <c r="F1902" s="7" t="s">
        <v>128</v>
      </c>
      <c r="G1902" s="7" t="s">
        <v>99</v>
      </c>
      <c r="H1902" s="7" t="n">
        <v>2</v>
      </c>
      <c r="I1902" s="11" t="n">
        <v>250</v>
      </c>
      <c r="J1902" s="11" t="n">
        <v>40</v>
      </c>
      <c r="K1902" s="11" t="n">
        <f aca="false">H1902*I1902-J1902</f>
        <v>460</v>
      </c>
      <c r="L1902" s="7" t="s">
        <v>88</v>
      </c>
      <c r="M1902" s="7" t="s">
        <v>194</v>
      </c>
      <c r="N1902" s="7" t="n">
        <v>39</v>
      </c>
      <c r="O1902" s="7"/>
    </row>
    <row r="1903" customFormat="false" ht="15" hidden="false" customHeight="false" outlineLevel="0" collapsed="false">
      <c r="A1903" s="7" t="s">
        <v>2670</v>
      </c>
      <c r="B1903" s="10" t="n">
        <v>45909</v>
      </c>
      <c r="C1903" s="7" t="s">
        <v>769</v>
      </c>
      <c r="D1903" s="7" t="s">
        <v>2017</v>
      </c>
      <c r="E1903" s="7" t="s">
        <v>113</v>
      </c>
      <c r="F1903" s="7" t="s">
        <v>101</v>
      </c>
      <c r="G1903" s="7" t="s">
        <v>90</v>
      </c>
      <c r="H1903" s="7" t="n">
        <v>1</v>
      </c>
      <c r="I1903" s="11" t="n">
        <v>235</v>
      </c>
      <c r="J1903" s="11" t="n">
        <v>40</v>
      </c>
      <c r="K1903" s="11" t="n">
        <f aca="false">H1903*I1903-J1903</f>
        <v>195</v>
      </c>
      <c r="L1903" s="7" t="s">
        <v>88</v>
      </c>
      <c r="M1903" s="7" t="s">
        <v>194</v>
      </c>
      <c r="N1903" s="7" t="n">
        <v>47</v>
      </c>
      <c r="O1903" s="7" t="n">
        <v>3</v>
      </c>
    </row>
    <row r="1904" customFormat="false" ht="15" hidden="false" customHeight="false" outlineLevel="0" collapsed="false">
      <c r="A1904" s="7" t="s">
        <v>5559</v>
      </c>
      <c r="B1904" s="10" t="n">
        <v>45909</v>
      </c>
      <c r="C1904" s="7" t="s">
        <v>3540</v>
      </c>
      <c r="D1904" s="7" t="s">
        <v>5560</v>
      </c>
      <c r="E1904" s="7" t="s">
        <v>94</v>
      </c>
      <c r="F1904" s="7" t="s">
        <v>86</v>
      </c>
      <c r="G1904" s="7" t="s">
        <v>95</v>
      </c>
      <c r="H1904" s="7" t="n">
        <v>3</v>
      </c>
      <c r="I1904" s="11" t="n">
        <v>125</v>
      </c>
      <c r="J1904" s="11" t="n">
        <v>0</v>
      </c>
      <c r="K1904" s="11" t="n">
        <f aca="false">H1904*I1904-J1904</f>
        <v>375</v>
      </c>
      <c r="L1904" s="7" t="s">
        <v>112</v>
      </c>
      <c r="M1904" s="7" t="s">
        <v>238</v>
      </c>
      <c r="N1904" s="7"/>
      <c r="O1904" s="7"/>
    </row>
    <row r="1905" customFormat="false" ht="15" hidden="false" customHeight="false" outlineLevel="0" collapsed="false">
      <c r="A1905" s="7" t="s">
        <v>4956</v>
      </c>
      <c r="B1905" s="10" t="n">
        <v>45910</v>
      </c>
      <c r="C1905" s="7" t="s">
        <v>4957</v>
      </c>
      <c r="D1905" s="7" t="s">
        <v>339</v>
      </c>
      <c r="E1905" s="7" t="s">
        <v>144</v>
      </c>
      <c r="F1905" s="7" t="s">
        <v>119</v>
      </c>
      <c r="G1905" s="7" t="s">
        <v>99</v>
      </c>
      <c r="H1905" s="7" t="n">
        <v>2</v>
      </c>
      <c r="I1905" s="11" t="n">
        <v>260</v>
      </c>
      <c r="J1905" s="11" t="n">
        <v>20</v>
      </c>
      <c r="K1905" s="11" t="n">
        <f aca="false">H1905*I1905-J1905</f>
        <v>500</v>
      </c>
      <c r="L1905" s="7" t="s">
        <v>93</v>
      </c>
      <c r="M1905" s="7" t="s">
        <v>194</v>
      </c>
      <c r="N1905" s="7" t="n">
        <v>38</v>
      </c>
      <c r="O1905" s="7" t="n">
        <v>3</v>
      </c>
    </row>
    <row r="1906" customFormat="false" ht="15" hidden="false" customHeight="false" outlineLevel="0" collapsed="false">
      <c r="A1906" s="7" t="s">
        <v>3694</v>
      </c>
      <c r="B1906" s="10" t="n">
        <v>45910</v>
      </c>
      <c r="C1906" s="7" t="s">
        <v>3605</v>
      </c>
      <c r="D1906" s="7" t="s">
        <v>3696</v>
      </c>
      <c r="E1906" s="7" t="s">
        <v>94</v>
      </c>
      <c r="F1906" s="7" t="s">
        <v>86</v>
      </c>
      <c r="G1906" s="7" t="s">
        <v>95</v>
      </c>
      <c r="H1906" s="7" t="n">
        <v>3</v>
      </c>
      <c r="I1906" s="11" t="n">
        <v>110</v>
      </c>
      <c r="J1906" s="11" t="n">
        <v>0</v>
      </c>
      <c r="K1906" s="11" t="n">
        <f aca="false">H1906*I1906-J1906</f>
        <v>330</v>
      </c>
      <c r="L1906" s="7" t="s">
        <v>93</v>
      </c>
      <c r="M1906" s="7" t="s">
        <v>194</v>
      </c>
      <c r="N1906" s="7" t="n">
        <v>41</v>
      </c>
      <c r="O1906" s="7" t="n">
        <v>3</v>
      </c>
    </row>
    <row r="1907" customFormat="false" ht="15" hidden="false" customHeight="false" outlineLevel="0" collapsed="false">
      <c r="A1907" s="7" t="s">
        <v>4157</v>
      </c>
      <c r="B1907" s="10" t="n">
        <v>45910</v>
      </c>
      <c r="C1907" s="7" t="s">
        <v>2393</v>
      </c>
      <c r="D1907" s="7" t="s">
        <v>1815</v>
      </c>
      <c r="E1907" s="7" t="s">
        <v>113</v>
      </c>
      <c r="F1907" s="7" t="s">
        <v>101</v>
      </c>
      <c r="G1907" s="7" t="s">
        <v>90</v>
      </c>
      <c r="H1907" s="7" t="n">
        <v>3</v>
      </c>
      <c r="I1907" s="11" t="n">
        <v>250</v>
      </c>
      <c r="J1907" s="11" t="n">
        <v>0</v>
      </c>
      <c r="K1907" s="11" t="n">
        <f aca="false">H1907*I1907-J1907</f>
        <v>750</v>
      </c>
      <c r="L1907" s="7" t="s">
        <v>88</v>
      </c>
      <c r="M1907" s="7" t="s">
        <v>194</v>
      </c>
      <c r="N1907" s="7" t="n">
        <v>51</v>
      </c>
      <c r="O1907" s="7" t="n">
        <v>4</v>
      </c>
    </row>
    <row r="1908" customFormat="false" ht="15" hidden="false" customHeight="false" outlineLevel="0" collapsed="false">
      <c r="A1908" s="7" t="s">
        <v>3708</v>
      </c>
      <c r="B1908" s="10" t="n">
        <v>45910</v>
      </c>
      <c r="C1908" s="7" t="s">
        <v>3709</v>
      </c>
      <c r="D1908" s="7" t="s">
        <v>3710</v>
      </c>
      <c r="E1908" s="7" t="s">
        <v>94</v>
      </c>
      <c r="F1908" s="7" t="s">
        <v>86</v>
      </c>
      <c r="G1908" s="7" t="s">
        <v>95</v>
      </c>
      <c r="H1908" s="7" t="n">
        <v>5</v>
      </c>
      <c r="I1908" s="11" t="n">
        <v>155</v>
      </c>
      <c r="J1908" s="11" t="n">
        <v>50</v>
      </c>
      <c r="K1908" s="11" t="n">
        <f aca="false">H1908*I1908-J1908</f>
        <v>725</v>
      </c>
      <c r="L1908" s="7" t="s">
        <v>88</v>
      </c>
      <c r="M1908" s="7" t="s">
        <v>194</v>
      </c>
      <c r="N1908" s="7" t="n">
        <v>37</v>
      </c>
      <c r="O1908" s="7" t="n">
        <v>4</v>
      </c>
    </row>
    <row r="1909" customFormat="false" ht="15" hidden="false" customHeight="false" outlineLevel="0" collapsed="false">
      <c r="A1909" s="7" t="s">
        <v>5955</v>
      </c>
      <c r="B1909" s="10" t="n">
        <v>45910</v>
      </c>
      <c r="C1909" s="7" t="s">
        <v>3289</v>
      </c>
      <c r="D1909" s="7" t="s">
        <v>2279</v>
      </c>
      <c r="E1909" s="7" t="s">
        <v>160</v>
      </c>
      <c r="F1909" s="7" t="s">
        <v>136</v>
      </c>
      <c r="G1909" s="7" t="s">
        <v>150</v>
      </c>
      <c r="H1909" s="7" t="n">
        <v>1</v>
      </c>
      <c r="I1909" s="11" t="n">
        <v>175</v>
      </c>
      <c r="J1909" s="11" t="n">
        <v>50</v>
      </c>
      <c r="K1909" s="11" t="n">
        <f aca="false">H1909*I1909-J1909</f>
        <v>125</v>
      </c>
      <c r="L1909" s="7" t="s">
        <v>133</v>
      </c>
      <c r="M1909" s="7" t="s">
        <v>238</v>
      </c>
      <c r="N1909" s="7"/>
      <c r="O1909" s="7"/>
    </row>
    <row r="1910" customFormat="false" ht="15" hidden="false" customHeight="false" outlineLevel="0" collapsed="false">
      <c r="A1910" s="7" t="s">
        <v>4470</v>
      </c>
      <c r="B1910" s="10" t="n">
        <v>45910</v>
      </c>
      <c r="C1910" s="7" t="s">
        <v>2033</v>
      </c>
      <c r="D1910" s="7" t="s">
        <v>4368</v>
      </c>
      <c r="E1910" s="7" t="s">
        <v>113</v>
      </c>
      <c r="F1910" s="7" t="s">
        <v>101</v>
      </c>
      <c r="G1910" s="7" t="s">
        <v>90</v>
      </c>
      <c r="H1910" s="7" t="n">
        <v>1</v>
      </c>
      <c r="I1910" s="11" t="n">
        <v>250</v>
      </c>
      <c r="J1910" s="11" t="n">
        <v>0</v>
      </c>
      <c r="K1910" s="11" t="n">
        <f aca="false">H1910*I1910-J1910</f>
        <v>250</v>
      </c>
      <c r="L1910" s="7" t="s">
        <v>88</v>
      </c>
      <c r="M1910" s="7" t="s">
        <v>194</v>
      </c>
      <c r="N1910" s="7" t="n">
        <v>50</v>
      </c>
      <c r="O1910" s="7" t="n">
        <v>4</v>
      </c>
    </row>
    <row r="1911" customFormat="false" ht="15" hidden="false" customHeight="false" outlineLevel="0" collapsed="false">
      <c r="A1911" s="7" t="s">
        <v>5263</v>
      </c>
      <c r="B1911" s="10" t="n">
        <v>45910</v>
      </c>
      <c r="C1911" s="7" t="s">
        <v>1474</v>
      </c>
      <c r="D1911" s="7" t="s">
        <v>840</v>
      </c>
      <c r="E1911" s="7" t="s">
        <v>138</v>
      </c>
      <c r="F1911" s="7" t="s">
        <v>110</v>
      </c>
      <c r="G1911" s="7" t="s">
        <v>139</v>
      </c>
      <c r="H1911" s="7" t="n">
        <v>3</v>
      </c>
      <c r="I1911" s="11" t="n">
        <v>195</v>
      </c>
      <c r="J1911" s="11" t="n">
        <v>0</v>
      </c>
      <c r="K1911" s="11" t="n">
        <f aca="false">H1911*I1911-J1911</f>
        <v>585</v>
      </c>
      <c r="L1911" s="7" t="s">
        <v>88</v>
      </c>
      <c r="M1911" s="7" t="s">
        <v>194</v>
      </c>
      <c r="N1911" s="7" t="n">
        <v>42</v>
      </c>
      <c r="O1911" s="7"/>
    </row>
    <row r="1912" customFormat="false" ht="15" hidden="false" customHeight="false" outlineLevel="0" collapsed="false">
      <c r="A1912" s="7" t="s">
        <v>6116</v>
      </c>
      <c r="B1912" s="10" t="n">
        <v>45910</v>
      </c>
      <c r="C1912" s="7" t="s">
        <v>1704</v>
      </c>
      <c r="D1912" s="7" t="s">
        <v>5000</v>
      </c>
      <c r="E1912" s="7" t="s">
        <v>98</v>
      </c>
      <c r="F1912" s="7" t="s">
        <v>86</v>
      </c>
      <c r="G1912" s="7" t="s">
        <v>99</v>
      </c>
      <c r="H1912" s="7" t="n">
        <v>2</v>
      </c>
      <c r="I1912" s="11" t="n">
        <v>235</v>
      </c>
      <c r="J1912" s="11" t="n">
        <v>150</v>
      </c>
      <c r="K1912" s="11" t="n">
        <f aca="false">H1912*I1912-J1912</f>
        <v>320</v>
      </c>
      <c r="L1912" s="7" t="s">
        <v>103</v>
      </c>
      <c r="M1912" s="7" t="s">
        <v>238</v>
      </c>
      <c r="N1912" s="7"/>
      <c r="O1912" s="7"/>
    </row>
    <row r="1913" customFormat="false" ht="15" hidden="false" customHeight="false" outlineLevel="0" collapsed="false">
      <c r="A1913" s="7" t="s">
        <v>5243</v>
      </c>
      <c r="B1913" s="10" t="n">
        <v>45910</v>
      </c>
      <c r="C1913" s="7" t="s">
        <v>4312</v>
      </c>
      <c r="D1913" s="7" t="s">
        <v>665</v>
      </c>
      <c r="E1913" s="7" t="s">
        <v>164</v>
      </c>
      <c r="F1913" s="7" t="s">
        <v>141</v>
      </c>
      <c r="G1913" s="7" t="s">
        <v>150</v>
      </c>
      <c r="H1913" s="7" t="n">
        <v>1</v>
      </c>
      <c r="I1913" s="11" t="n">
        <v>145</v>
      </c>
      <c r="J1913" s="11" t="n">
        <v>0</v>
      </c>
      <c r="K1913" s="11" t="n">
        <f aca="false">H1913*I1913-J1913</f>
        <v>145</v>
      </c>
      <c r="L1913" s="7" t="s">
        <v>93</v>
      </c>
      <c r="M1913" s="7" t="s">
        <v>194</v>
      </c>
      <c r="N1913" s="7" t="n">
        <v>40</v>
      </c>
      <c r="O1913" s="7" t="n">
        <v>4</v>
      </c>
    </row>
    <row r="1914" customFormat="false" ht="15" hidden="false" customHeight="false" outlineLevel="0" collapsed="false">
      <c r="A1914" s="7" t="s">
        <v>4311</v>
      </c>
      <c r="B1914" s="10" t="n">
        <v>45910</v>
      </c>
      <c r="C1914" s="7" t="s">
        <v>4312</v>
      </c>
      <c r="D1914" s="7" t="s">
        <v>4313</v>
      </c>
      <c r="E1914" s="7" t="s">
        <v>149</v>
      </c>
      <c r="F1914" s="7" t="s">
        <v>119</v>
      </c>
      <c r="G1914" s="7" t="s">
        <v>150</v>
      </c>
      <c r="H1914" s="7" t="n">
        <v>1</v>
      </c>
      <c r="I1914" s="11" t="n">
        <v>165</v>
      </c>
      <c r="J1914" s="11" t="n">
        <v>66</v>
      </c>
      <c r="K1914" s="11" t="n">
        <f aca="false">H1914*I1914-J1914</f>
        <v>99</v>
      </c>
      <c r="L1914" s="7" t="s">
        <v>88</v>
      </c>
      <c r="M1914" s="7" t="s">
        <v>194</v>
      </c>
      <c r="N1914" s="7" t="n">
        <v>29</v>
      </c>
      <c r="O1914" s="7" t="n">
        <v>5</v>
      </c>
    </row>
    <row r="1915" customFormat="false" ht="15" hidden="false" customHeight="false" outlineLevel="0" collapsed="false">
      <c r="A1915" s="7" t="s">
        <v>6009</v>
      </c>
      <c r="B1915" s="10" t="n">
        <v>45911</v>
      </c>
      <c r="C1915" s="7" t="s">
        <v>6010</v>
      </c>
      <c r="D1915" s="7" t="s">
        <v>4128</v>
      </c>
      <c r="E1915" s="7" t="s">
        <v>142</v>
      </c>
      <c r="F1915" s="7" t="s">
        <v>110</v>
      </c>
      <c r="G1915" s="7" t="s">
        <v>105</v>
      </c>
      <c r="H1915" s="7" t="n">
        <v>1</v>
      </c>
      <c r="I1915" s="11" t="n">
        <v>190</v>
      </c>
      <c r="J1915" s="11" t="n">
        <v>0</v>
      </c>
      <c r="K1915" s="11" t="n">
        <f aca="false">H1915*I1915-J1915</f>
        <v>190</v>
      </c>
      <c r="L1915" s="7" t="s">
        <v>103</v>
      </c>
      <c r="M1915" s="7" t="s">
        <v>194</v>
      </c>
      <c r="N1915" s="7" t="n">
        <v>40</v>
      </c>
      <c r="O1915" s="7" t="n">
        <v>2</v>
      </c>
    </row>
    <row r="1916" customFormat="false" ht="15" hidden="false" customHeight="false" outlineLevel="0" collapsed="false">
      <c r="A1916" s="7" t="s">
        <v>1186</v>
      </c>
      <c r="B1916" s="10" t="n">
        <v>45911</v>
      </c>
      <c r="C1916" s="7" t="s">
        <v>697</v>
      </c>
      <c r="D1916" s="7" t="s">
        <v>1188</v>
      </c>
      <c r="E1916" s="7" t="s">
        <v>159</v>
      </c>
      <c r="F1916" s="7" t="s">
        <v>136</v>
      </c>
      <c r="G1916" s="7" t="s">
        <v>90</v>
      </c>
      <c r="H1916" s="7" t="n">
        <v>1</v>
      </c>
      <c r="I1916" s="11" t="n">
        <v>220</v>
      </c>
      <c r="J1916" s="11" t="n">
        <v>0</v>
      </c>
      <c r="K1916" s="11" t="n">
        <f aca="false">H1916*I1916-J1916</f>
        <v>220</v>
      </c>
      <c r="L1916" s="7" t="s">
        <v>93</v>
      </c>
      <c r="M1916" s="7" t="s">
        <v>194</v>
      </c>
      <c r="N1916" s="7" t="n">
        <v>45</v>
      </c>
      <c r="O1916" s="7" t="n">
        <v>4</v>
      </c>
    </row>
    <row r="1917" customFormat="false" ht="15" hidden="false" customHeight="false" outlineLevel="0" collapsed="false">
      <c r="A1917" s="7" t="s">
        <v>5616</v>
      </c>
      <c r="B1917" s="10" t="n">
        <v>45911</v>
      </c>
      <c r="C1917" s="7" t="s">
        <v>4278</v>
      </c>
      <c r="D1917" s="7" t="s">
        <v>5213</v>
      </c>
      <c r="E1917" s="7" t="s">
        <v>138</v>
      </c>
      <c r="F1917" s="7" t="s">
        <v>110</v>
      </c>
      <c r="G1917" s="7" t="s">
        <v>139</v>
      </c>
      <c r="H1917" s="7" t="n">
        <v>2</v>
      </c>
      <c r="I1917" s="11" t="n">
        <v>175</v>
      </c>
      <c r="J1917" s="11" t="n">
        <v>140</v>
      </c>
      <c r="K1917" s="11" t="n">
        <f aca="false">H1917*I1917-J1917</f>
        <v>210</v>
      </c>
      <c r="L1917" s="7" t="s">
        <v>88</v>
      </c>
      <c r="M1917" s="7" t="s">
        <v>194</v>
      </c>
      <c r="N1917" s="7" t="n">
        <v>51</v>
      </c>
      <c r="O1917" s="7" t="n">
        <v>4</v>
      </c>
    </row>
    <row r="1918" customFormat="false" ht="15" hidden="false" customHeight="false" outlineLevel="0" collapsed="false">
      <c r="A1918" s="7" t="s">
        <v>2084</v>
      </c>
      <c r="B1918" s="10" t="n">
        <v>45911</v>
      </c>
      <c r="C1918" s="7" t="s">
        <v>1161</v>
      </c>
      <c r="D1918" s="7" t="s">
        <v>919</v>
      </c>
      <c r="E1918" s="7" t="s">
        <v>160</v>
      </c>
      <c r="F1918" s="7" t="s">
        <v>136</v>
      </c>
      <c r="G1918" s="7" t="s">
        <v>150</v>
      </c>
      <c r="H1918" s="7" t="n">
        <v>1</v>
      </c>
      <c r="I1918" s="11" t="n">
        <v>210</v>
      </c>
      <c r="J1918" s="11" t="n">
        <v>0</v>
      </c>
      <c r="K1918" s="11" t="n">
        <f aca="false">H1918*I1918-J1918</f>
        <v>210</v>
      </c>
      <c r="L1918" s="7" t="s">
        <v>93</v>
      </c>
      <c r="M1918" s="7" t="s">
        <v>194</v>
      </c>
      <c r="N1918" s="7" t="n">
        <v>36</v>
      </c>
      <c r="O1918" s="7" t="n">
        <v>3</v>
      </c>
    </row>
    <row r="1919" customFormat="false" ht="15" hidden="false" customHeight="false" outlineLevel="0" collapsed="false">
      <c r="A1919" s="7" t="s">
        <v>3348</v>
      </c>
      <c r="B1919" s="10" t="n">
        <v>45911</v>
      </c>
      <c r="C1919" s="7" t="s">
        <v>3349</v>
      </c>
      <c r="D1919" s="7" t="s">
        <v>2823</v>
      </c>
      <c r="E1919" s="7" t="s">
        <v>126</v>
      </c>
      <c r="F1919" s="7" t="s">
        <v>101</v>
      </c>
      <c r="G1919" s="7" t="s">
        <v>105</v>
      </c>
      <c r="H1919" s="7" t="n">
        <v>3</v>
      </c>
      <c r="I1919" s="11" t="n">
        <v>215</v>
      </c>
      <c r="J1919" s="11" t="n">
        <v>150</v>
      </c>
      <c r="K1919" s="11" t="n">
        <f aca="false">H1919*I1919-J1919</f>
        <v>495</v>
      </c>
      <c r="L1919" s="7" t="s">
        <v>93</v>
      </c>
      <c r="M1919" s="7" t="s">
        <v>194</v>
      </c>
      <c r="N1919" s="7" t="n">
        <v>42</v>
      </c>
      <c r="O1919" s="7" t="n">
        <v>3</v>
      </c>
    </row>
    <row r="1920" customFormat="false" ht="15" hidden="false" customHeight="false" outlineLevel="0" collapsed="false">
      <c r="A1920" s="7" t="s">
        <v>3032</v>
      </c>
      <c r="B1920" s="10" t="n">
        <v>45911</v>
      </c>
      <c r="C1920" s="7" t="s">
        <v>3033</v>
      </c>
      <c r="D1920" s="7" t="s">
        <v>3034</v>
      </c>
      <c r="E1920" s="7" t="s">
        <v>113</v>
      </c>
      <c r="F1920" s="7" t="s">
        <v>101</v>
      </c>
      <c r="G1920" s="7" t="s">
        <v>90</v>
      </c>
      <c r="H1920" s="7" t="n">
        <v>1</v>
      </c>
      <c r="I1920" s="11" t="n">
        <v>255</v>
      </c>
      <c r="J1920" s="11" t="n">
        <v>0</v>
      </c>
      <c r="K1920" s="11" t="n">
        <f aca="false">H1920*I1920-J1920</f>
        <v>255</v>
      </c>
      <c r="L1920" s="7" t="s">
        <v>88</v>
      </c>
      <c r="M1920" s="7" t="s">
        <v>194</v>
      </c>
      <c r="N1920" s="7" t="n">
        <v>53</v>
      </c>
      <c r="O1920" s="7"/>
    </row>
    <row r="1921" customFormat="false" ht="15" hidden="false" customHeight="false" outlineLevel="0" collapsed="false">
      <c r="A1921" s="7" t="s">
        <v>5948</v>
      </c>
      <c r="B1921" s="10" t="n">
        <v>45911</v>
      </c>
      <c r="C1921" s="7" t="s">
        <v>2559</v>
      </c>
      <c r="D1921" s="7" t="s">
        <v>1366</v>
      </c>
      <c r="E1921" s="7" t="s">
        <v>154</v>
      </c>
      <c r="F1921" s="7" t="s">
        <v>128</v>
      </c>
      <c r="G1921" s="7" t="s">
        <v>99</v>
      </c>
      <c r="H1921" s="7" t="n">
        <v>3</v>
      </c>
      <c r="I1921" s="11" t="n">
        <v>325</v>
      </c>
      <c r="J1921" s="11" t="n">
        <v>40</v>
      </c>
      <c r="K1921" s="11" t="n">
        <f aca="false">H1921*I1921-J1921</f>
        <v>935</v>
      </c>
      <c r="L1921" s="7" t="s">
        <v>112</v>
      </c>
      <c r="M1921" s="7" t="s">
        <v>238</v>
      </c>
      <c r="N1921" s="7"/>
      <c r="O1921" s="7"/>
    </row>
    <row r="1922" customFormat="false" ht="15" hidden="false" customHeight="false" outlineLevel="0" collapsed="false">
      <c r="A1922" s="7" t="s">
        <v>3561</v>
      </c>
      <c r="B1922" s="10" t="n">
        <v>45911</v>
      </c>
      <c r="C1922" s="7" t="s">
        <v>809</v>
      </c>
      <c r="D1922" s="7" t="s">
        <v>2153</v>
      </c>
      <c r="E1922" s="7" t="s">
        <v>89</v>
      </c>
      <c r="F1922" s="7" t="s">
        <v>86</v>
      </c>
      <c r="G1922" s="7" t="s">
        <v>90</v>
      </c>
      <c r="H1922" s="7" t="n">
        <v>2</v>
      </c>
      <c r="I1922" s="11" t="n">
        <v>275</v>
      </c>
      <c r="J1922" s="11" t="n">
        <v>30</v>
      </c>
      <c r="K1922" s="11" t="n">
        <f aca="false">H1922*I1922-J1922</f>
        <v>520</v>
      </c>
      <c r="L1922" s="7" t="s">
        <v>121</v>
      </c>
      <c r="M1922" s="7" t="s">
        <v>194</v>
      </c>
      <c r="N1922" s="7" t="n">
        <v>53</v>
      </c>
      <c r="O1922" s="7" t="n">
        <v>4</v>
      </c>
    </row>
    <row r="1923" customFormat="false" ht="15" hidden="false" customHeight="false" outlineLevel="0" collapsed="false">
      <c r="A1923" s="7" t="s">
        <v>3290</v>
      </c>
      <c r="B1923" s="10" t="n">
        <v>45912</v>
      </c>
      <c r="C1923" s="7" t="s">
        <v>3291</v>
      </c>
      <c r="D1923" s="7" t="s">
        <v>339</v>
      </c>
      <c r="E1923" s="7" t="s">
        <v>158</v>
      </c>
      <c r="F1923" s="7" t="s">
        <v>136</v>
      </c>
      <c r="G1923" s="7" t="s">
        <v>139</v>
      </c>
      <c r="H1923" s="7" t="n">
        <v>2</v>
      </c>
      <c r="I1923" s="11" t="n">
        <v>210</v>
      </c>
      <c r="J1923" s="11" t="n">
        <v>0</v>
      </c>
      <c r="K1923" s="11" t="n">
        <f aca="false">H1923*I1923-J1923</f>
        <v>420</v>
      </c>
      <c r="L1923" s="7" t="s">
        <v>121</v>
      </c>
      <c r="M1923" s="7" t="s">
        <v>194</v>
      </c>
      <c r="N1923" s="7" t="n">
        <v>20</v>
      </c>
      <c r="O1923" s="7" t="n">
        <v>5</v>
      </c>
    </row>
    <row r="1924" customFormat="false" ht="15" hidden="false" customHeight="false" outlineLevel="0" collapsed="false">
      <c r="A1924" s="7" t="s">
        <v>3768</v>
      </c>
      <c r="B1924" s="10" t="n">
        <v>45912</v>
      </c>
      <c r="C1924" s="7" t="s">
        <v>3769</v>
      </c>
      <c r="D1924" s="7" t="s">
        <v>3027</v>
      </c>
      <c r="E1924" s="7" t="s">
        <v>158</v>
      </c>
      <c r="F1924" s="7" t="s">
        <v>136</v>
      </c>
      <c r="G1924" s="7" t="s">
        <v>139</v>
      </c>
      <c r="H1924" s="7" t="n">
        <v>2</v>
      </c>
      <c r="I1924" s="11" t="n">
        <v>210</v>
      </c>
      <c r="J1924" s="11" t="n">
        <v>0</v>
      </c>
      <c r="K1924" s="11" t="n">
        <f aca="false">H1924*I1924-J1924</f>
        <v>420</v>
      </c>
      <c r="L1924" s="7" t="s">
        <v>112</v>
      </c>
      <c r="M1924" s="7" t="s">
        <v>194</v>
      </c>
      <c r="N1924" s="7" t="n">
        <v>37</v>
      </c>
      <c r="O1924" s="7" t="n">
        <v>4</v>
      </c>
    </row>
    <row r="1925" customFormat="false" ht="15" hidden="false" customHeight="false" outlineLevel="0" collapsed="false">
      <c r="A1925" s="7" t="s">
        <v>5286</v>
      </c>
      <c r="B1925" s="10" t="n">
        <v>45912</v>
      </c>
      <c r="C1925" s="7" t="s">
        <v>1626</v>
      </c>
      <c r="D1925" s="7" t="s">
        <v>737</v>
      </c>
      <c r="E1925" s="7" t="s">
        <v>89</v>
      </c>
      <c r="F1925" s="7" t="s">
        <v>86</v>
      </c>
      <c r="G1925" s="7" t="s">
        <v>90</v>
      </c>
      <c r="H1925" s="7" t="n">
        <v>1</v>
      </c>
      <c r="I1925" s="11" t="n">
        <v>255</v>
      </c>
      <c r="J1925" s="11" t="n">
        <v>100</v>
      </c>
      <c r="K1925" s="11" t="n">
        <f aca="false">H1925*I1925-J1925</f>
        <v>155</v>
      </c>
      <c r="L1925" s="7" t="s">
        <v>93</v>
      </c>
      <c r="M1925" s="7" t="s">
        <v>194</v>
      </c>
      <c r="N1925" s="7" t="n">
        <v>46</v>
      </c>
      <c r="O1925" s="7" t="n">
        <v>4</v>
      </c>
    </row>
    <row r="1926" customFormat="false" ht="15" hidden="false" customHeight="false" outlineLevel="0" collapsed="false">
      <c r="A1926" s="7" t="s">
        <v>932</v>
      </c>
      <c r="B1926" s="10" t="n">
        <v>45912</v>
      </c>
      <c r="C1926" s="7" t="s">
        <v>486</v>
      </c>
      <c r="D1926" s="7" t="s">
        <v>857</v>
      </c>
      <c r="E1926" s="7" t="s">
        <v>160</v>
      </c>
      <c r="F1926" s="7" t="s">
        <v>136</v>
      </c>
      <c r="G1926" s="7" t="s">
        <v>150</v>
      </c>
      <c r="H1926" s="7" t="n">
        <v>1</v>
      </c>
      <c r="I1926" s="11" t="n">
        <v>215</v>
      </c>
      <c r="J1926" s="11" t="n">
        <v>0</v>
      </c>
      <c r="K1926" s="11" t="n">
        <f aca="false">H1926*I1926-J1926</f>
        <v>215</v>
      </c>
      <c r="L1926" s="7" t="s">
        <v>112</v>
      </c>
      <c r="M1926" s="7" t="s">
        <v>194</v>
      </c>
      <c r="N1926" s="7" t="n">
        <v>41</v>
      </c>
      <c r="O1926" s="7" t="n">
        <v>3</v>
      </c>
    </row>
    <row r="1927" customFormat="false" ht="15" hidden="false" customHeight="false" outlineLevel="0" collapsed="false">
      <c r="A1927" s="7" t="s">
        <v>802</v>
      </c>
      <c r="B1927" s="10" t="n">
        <v>45912</v>
      </c>
      <c r="C1927" s="7" t="s">
        <v>804</v>
      </c>
      <c r="D1927" s="7" t="s">
        <v>805</v>
      </c>
      <c r="E1927" s="7" t="s">
        <v>154</v>
      </c>
      <c r="F1927" s="7" t="s">
        <v>128</v>
      </c>
      <c r="G1927" s="7" t="s">
        <v>99</v>
      </c>
      <c r="H1927" s="7" t="n">
        <v>1</v>
      </c>
      <c r="I1927" s="11" t="n">
        <v>270</v>
      </c>
      <c r="J1927" s="11" t="n">
        <v>0</v>
      </c>
      <c r="K1927" s="11" t="n">
        <f aca="false">H1927*I1927-J1927</f>
        <v>270</v>
      </c>
      <c r="L1927" s="7" t="s">
        <v>93</v>
      </c>
      <c r="M1927" s="7" t="s">
        <v>194</v>
      </c>
      <c r="N1927" s="7" t="n">
        <v>35</v>
      </c>
      <c r="O1927" s="7" t="n">
        <v>3</v>
      </c>
    </row>
    <row r="1928" customFormat="false" ht="15" hidden="false" customHeight="false" outlineLevel="0" collapsed="false">
      <c r="A1928" s="7" t="s">
        <v>4868</v>
      </c>
      <c r="B1928" s="10" t="n">
        <v>45912</v>
      </c>
      <c r="C1928" s="7" t="s">
        <v>3046</v>
      </c>
      <c r="D1928" s="7" t="s">
        <v>4869</v>
      </c>
      <c r="E1928" s="7" t="s">
        <v>130</v>
      </c>
      <c r="F1928" s="7" t="s">
        <v>110</v>
      </c>
      <c r="G1928" s="7" t="s">
        <v>90</v>
      </c>
      <c r="H1928" s="7" t="n">
        <v>1</v>
      </c>
      <c r="I1928" s="11" t="n">
        <v>275</v>
      </c>
      <c r="J1928" s="11" t="n">
        <v>40</v>
      </c>
      <c r="K1928" s="11" t="n">
        <f aca="false">H1928*I1928-J1928</f>
        <v>235</v>
      </c>
      <c r="L1928" s="7" t="s">
        <v>88</v>
      </c>
      <c r="M1928" s="7" t="s">
        <v>194</v>
      </c>
      <c r="N1928" s="7" t="n">
        <v>38</v>
      </c>
      <c r="O1928" s="7" t="n">
        <v>5</v>
      </c>
    </row>
    <row r="1929" customFormat="false" ht="15" hidden="false" customHeight="false" outlineLevel="0" collapsed="false">
      <c r="A1929" s="7" t="s">
        <v>608</v>
      </c>
      <c r="B1929" s="10" t="n">
        <v>45912</v>
      </c>
      <c r="C1929" s="7" t="s">
        <v>346</v>
      </c>
      <c r="D1929" s="7" t="s">
        <v>610</v>
      </c>
      <c r="E1929" s="7" t="s">
        <v>149</v>
      </c>
      <c r="F1929" s="7" t="s">
        <v>119</v>
      </c>
      <c r="G1929" s="7" t="s">
        <v>150</v>
      </c>
      <c r="H1929" s="7" t="n">
        <v>1</v>
      </c>
      <c r="I1929" s="11" t="n">
        <v>180</v>
      </c>
      <c r="J1929" s="11" t="n">
        <v>0</v>
      </c>
      <c r="K1929" s="11" t="n">
        <f aca="false">H1929*I1929-J1929</f>
        <v>180</v>
      </c>
      <c r="L1929" s="7" t="s">
        <v>103</v>
      </c>
      <c r="M1929" s="7" t="s">
        <v>194</v>
      </c>
      <c r="N1929" s="7" t="n">
        <v>36</v>
      </c>
      <c r="O1929" s="7" t="n">
        <v>2</v>
      </c>
    </row>
    <row r="1930" customFormat="false" ht="15" hidden="false" customHeight="false" outlineLevel="0" collapsed="false">
      <c r="A1930" s="7" t="s">
        <v>2147</v>
      </c>
      <c r="B1930" s="10" t="n">
        <v>45912</v>
      </c>
      <c r="C1930" s="7" t="s">
        <v>346</v>
      </c>
      <c r="D1930" s="7" t="s">
        <v>2148</v>
      </c>
      <c r="E1930" s="7" t="s">
        <v>98</v>
      </c>
      <c r="F1930" s="7" t="s">
        <v>86</v>
      </c>
      <c r="G1930" s="7" t="s">
        <v>99</v>
      </c>
      <c r="H1930" s="7" t="n">
        <v>1</v>
      </c>
      <c r="I1930" s="11" t="n">
        <v>270</v>
      </c>
      <c r="J1930" s="11" t="n">
        <v>0</v>
      </c>
      <c r="K1930" s="11" t="n">
        <f aca="false">H1930*I1930-J1930</f>
        <v>270</v>
      </c>
      <c r="L1930" s="7" t="s">
        <v>88</v>
      </c>
      <c r="M1930" s="7" t="s">
        <v>194</v>
      </c>
      <c r="N1930" s="7" t="n">
        <v>39</v>
      </c>
      <c r="O1930" s="7" t="n">
        <v>5</v>
      </c>
    </row>
    <row r="1931" customFormat="false" ht="15" hidden="false" customHeight="false" outlineLevel="0" collapsed="false">
      <c r="A1931" s="7" t="s">
        <v>5821</v>
      </c>
      <c r="B1931" s="10" t="n">
        <v>45912</v>
      </c>
      <c r="C1931" s="7" t="s">
        <v>1263</v>
      </c>
      <c r="D1931" s="7" t="s">
        <v>3034</v>
      </c>
      <c r="E1931" s="7" t="s">
        <v>161</v>
      </c>
      <c r="F1931" s="7" t="s">
        <v>141</v>
      </c>
      <c r="G1931" s="7" t="s">
        <v>117</v>
      </c>
      <c r="H1931" s="7" t="n">
        <v>1</v>
      </c>
      <c r="I1931" s="11" t="n">
        <v>160</v>
      </c>
      <c r="J1931" s="11" t="n">
        <v>0</v>
      </c>
      <c r="K1931" s="11" t="n">
        <f aca="false">H1931*I1931-J1931</f>
        <v>160</v>
      </c>
      <c r="L1931" s="7" t="s">
        <v>112</v>
      </c>
      <c r="M1931" s="7" t="s">
        <v>194</v>
      </c>
      <c r="N1931" s="7" t="n">
        <v>32</v>
      </c>
      <c r="O1931" s="7" t="n">
        <v>4</v>
      </c>
    </row>
    <row r="1932" customFormat="false" ht="15" hidden="false" customHeight="false" outlineLevel="0" collapsed="false">
      <c r="A1932" s="7" t="s">
        <v>3731</v>
      </c>
      <c r="B1932" s="10" t="n">
        <v>45912</v>
      </c>
      <c r="C1932" s="7" t="s">
        <v>1387</v>
      </c>
      <c r="D1932" s="7" t="s">
        <v>3732</v>
      </c>
      <c r="E1932" s="7" t="s">
        <v>149</v>
      </c>
      <c r="F1932" s="7" t="s">
        <v>119</v>
      </c>
      <c r="G1932" s="7" t="s">
        <v>150</v>
      </c>
      <c r="H1932" s="7" t="n">
        <v>1</v>
      </c>
      <c r="I1932" s="11" t="n">
        <v>180</v>
      </c>
      <c r="J1932" s="11" t="n">
        <v>72</v>
      </c>
      <c r="K1932" s="11" t="n">
        <f aca="false">H1932*I1932-J1932</f>
        <v>108</v>
      </c>
      <c r="L1932" s="7" t="s">
        <v>103</v>
      </c>
      <c r="M1932" s="7" t="s">
        <v>194</v>
      </c>
      <c r="N1932" s="7" t="n">
        <v>38</v>
      </c>
      <c r="O1932" s="7"/>
    </row>
    <row r="1933" customFormat="false" ht="15" hidden="false" customHeight="false" outlineLevel="0" collapsed="false">
      <c r="A1933" s="7" t="s">
        <v>4030</v>
      </c>
      <c r="B1933" s="10" t="n">
        <v>45912</v>
      </c>
      <c r="C1933" s="7" t="s">
        <v>2369</v>
      </c>
      <c r="D1933" s="7" t="s">
        <v>1016</v>
      </c>
      <c r="E1933" s="7" t="s">
        <v>144</v>
      </c>
      <c r="F1933" s="7" t="s">
        <v>119</v>
      </c>
      <c r="G1933" s="7" t="s">
        <v>99</v>
      </c>
      <c r="H1933" s="7" t="n">
        <v>1</v>
      </c>
      <c r="I1933" s="11" t="n">
        <v>275</v>
      </c>
      <c r="J1933" s="11" t="n">
        <v>50</v>
      </c>
      <c r="K1933" s="11" t="n">
        <f aca="false">H1933*I1933-J1933</f>
        <v>225</v>
      </c>
      <c r="L1933" s="7" t="s">
        <v>112</v>
      </c>
      <c r="M1933" s="7" t="s">
        <v>194</v>
      </c>
      <c r="N1933" s="7" t="n">
        <v>39</v>
      </c>
      <c r="O1933" s="7" t="n">
        <v>4</v>
      </c>
    </row>
    <row r="1934" customFormat="false" ht="15" hidden="false" customHeight="false" outlineLevel="0" collapsed="false">
      <c r="A1934" s="7" t="s">
        <v>5065</v>
      </c>
      <c r="B1934" s="10" t="n">
        <v>45912</v>
      </c>
      <c r="C1934" s="7" t="s">
        <v>5066</v>
      </c>
      <c r="D1934" s="7" t="s">
        <v>3381</v>
      </c>
      <c r="E1934" s="7" t="s">
        <v>94</v>
      </c>
      <c r="F1934" s="7" t="s">
        <v>86</v>
      </c>
      <c r="G1934" s="7" t="s">
        <v>95</v>
      </c>
      <c r="H1934" s="7" t="n">
        <v>1</v>
      </c>
      <c r="I1934" s="11" t="n">
        <v>125</v>
      </c>
      <c r="J1934" s="11" t="n">
        <v>0</v>
      </c>
      <c r="K1934" s="11" t="n">
        <f aca="false">H1934*I1934-J1934</f>
        <v>125</v>
      </c>
      <c r="L1934" s="7" t="s">
        <v>88</v>
      </c>
      <c r="M1934" s="7" t="s">
        <v>194</v>
      </c>
      <c r="N1934" s="7" t="n">
        <v>47</v>
      </c>
      <c r="O1934" s="7" t="n">
        <v>4</v>
      </c>
    </row>
    <row r="1935" customFormat="false" ht="15" hidden="false" customHeight="false" outlineLevel="0" collapsed="false">
      <c r="A1935" s="7" t="s">
        <v>4231</v>
      </c>
      <c r="B1935" s="10" t="n">
        <v>45913</v>
      </c>
      <c r="C1935" s="7" t="s">
        <v>2901</v>
      </c>
      <c r="D1935" s="7" t="s">
        <v>4232</v>
      </c>
      <c r="E1935" s="7" t="s">
        <v>168</v>
      </c>
      <c r="F1935" s="7" t="s">
        <v>146</v>
      </c>
      <c r="G1935" s="7" t="s">
        <v>123</v>
      </c>
      <c r="H1935" s="7" t="n">
        <v>2</v>
      </c>
      <c r="I1935" s="11" t="n">
        <v>325</v>
      </c>
      <c r="J1935" s="11" t="n">
        <v>0</v>
      </c>
      <c r="K1935" s="11" t="n">
        <f aca="false">H1935*I1935-J1935</f>
        <v>650</v>
      </c>
      <c r="L1935" s="7" t="s">
        <v>88</v>
      </c>
      <c r="M1935" s="7" t="s">
        <v>194</v>
      </c>
      <c r="N1935" s="7" t="n">
        <v>39</v>
      </c>
      <c r="O1935" s="7" t="n">
        <v>5</v>
      </c>
    </row>
    <row r="1936" customFormat="false" ht="15" hidden="false" customHeight="false" outlineLevel="0" collapsed="false">
      <c r="A1936" s="7" t="s">
        <v>4155</v>
      </c>
      <c r="B1936" s="10" t="n">
        <v>45913</v>
      </c>
      <c r="C1936" s="7" t="s">
        <v>4156</v>
      </c>
      <c r="D1936" s="7" t="s">
        <v>1818</v>
      </c>
      <c r="E1936" s="7" t="s">
        <v>138</v>
      </c>
      <c r="F1936" s="7" t="s">
        <v>110</v>
      </c>
      <c r="G1936" s="7" t="s">
        <v>139</v>
      </c>
      <c r="H1936" s="7" t="n">
        <v>2</v>
      </c>
      <c r="I1936" s="11" t="n">
        <v>200</v>
      </c>
      <c r="J1936" s="11" t="n">
        <v>20</v>
      </c>
      <c r="K1936" s="11" t="n">
        <f aca="false">H1936*I1936-J1936</f>
        <v>380</v>
      </c>
      <c r="L1936" s="7" t="s">
        <v>112</v>
      </c>
      <c r="M1936" s="7" t="s">
        <v>238</v>
      </c>
      <c r="N1936" s="7"/>
      <c r="O1936" s="7"/>
    </row>
    <row r="1937" customFormat="false" ht="15" hidden="false" customHeight="false" outlineLevel="0" collapsed="false">
      <c r="A1937" s="7" t="s">
        <v>5168</v>
      </c>
      <c r="B1937" s="10" t="n">
        <v>45913</v>
      </c>
      <c r="C1937" s="7" t="s">
        <v>5169</v>
      </c>
      <c r="D1937" s="7" t="s">
        <v>544</v>
      </c>
      <c r="E1937" s="7" t="s">
        <v>149</v>
      </c>
      <c r="F1937" s="7" t="s">
        <v>119</v>
      </c>
      <c r="G1937" s="7" t="s">
        <v>150</v>
      </c>
      <c r="H1937" s="7" t="n">
        <v>4</v>
      </c>
      <c r="I1937" s="11" t="n">
        <v>150</v>
      </c>
      <c r="J1937" s="11" t="n">
        <v>0</v>
      </c>
      <c r="K1937" s="11" t="n">
        <f aca="false">H1937*I1937-J1937</f>
        <v>600</v>
      </c>
      <c r="L1937" s="7" t="s">
        <v>88</v>
      </c>
      <c r="M1937" s="7" t="s">
        <v>194</v>
      </c>
      <c r="N1937" s="7" t="n">
        <v>40</v>
      </c>
      <c r="O1937" s="7"/>
    </row>
    <row r="1938" customFormat="false" ht="15" hidden="false" customHeight="false" outlineLevel="0" collapsed="false">
      <c r="A1938" s="7" t="s">
        <v>1135</v>
      </c>
      <c r="B1938" s="10" t="n">
        <v>45913</v>
      </c>
      <c r="C1938" s="7" t="s">
        <v>1137</v>
      </c>
      <c r="D1938" s="7" t="s">
        <v>1138</v>
      </c>
      <c r="E1938" s="7" t="s">
        <v>138</v>
      </c>
      <c r="F1938" s="7" t="s">
        <v>110</v>
      </c>
      <c r="G1938" s="7" t="s">
        <v>139</v>
      </c>
      <c r="H1938" s="7" t="n">
        <v>3</v>
      </c>
      <c r="I1938" s="11" t="n">
        <v>185</v>
      </c>
      <c r="J1938" s="11" t="n">
        <v>20</v>
      </c>
      <c r="K1938" s="11" t="n">
        <f aca="false">H1938*I1938-J1938</f>
        <v>535</v>
      </c>
      <c r="L1938" s="7" t="s">
        <v>112</v>
      </c>
      <c r="M1938" s="7" t="s">
        <v>194</v>
      </c>
      <c r="N1938" s="7" t="n">
        <v>29</v>
      </c>
      <c r="O1938" s="7" t="n">
        <v>3</v>
      </c>
    </row>
    <row r="1939" customFormat="false" ht="15" hidden="false" customHeight="false" outlineLevel="0" collapsed="false">
      <c r="A1939" s="7" t="s">
        <v>3073</v>
      </c>
      <c r="B1939" s="10" t="n">
        <v>45913</v>
      </c>
      <c r="C1939" s="7" t="s">
        <v>1852</v>
      </c>
      <c r="D1939" s="7" t="s">
        <v>3074</v>
      </c>
      <c r="E1939" s="7" t="s">
        <v>138</v>
      </c>
      <c r="F1939" s="7" t="s">
        <v>110</v>
      </c>
      <c r="G1939" s="7" t="s">
        <v>139</v>
      </c>
      <c r="H1939" s="7" t="n">
        <v>1</v>
      </c>
      <c r="I1939" s="11" t="n">
        <v>170</v>
      </c>
      <c r="J1939" s="11" t="n">
        <v>0</v>
      </c>
      <c r="K1939" s="11" t="n">
        <f aca="false">H1939*I1939-J1939</f>
        <v>170</v>
      </c>
      <c r="L1939" s="7" t="s">
        <v>93</v>
      </c>
      <c r="M1939" s="7" t="s">
        <v>194</v>
      </c>
      <c r="N1939" s="7" t="n">
        <v>41</v>
      </c>
      <c r="O1939" s="7" t="n">
        <v>4</v>
      </c>
    </row>
    <row r="1940" customFormat="false" ht="15" hidden="false" customHeight="false" outlineLevel="0" collapsed="false">
      <c r="A1940" s="7" t="s">
        <v>3401</v>
      </c>
      <c r="B1940" s="10" t="n">
        <v>45913</v>
      </c>
      <c r="C1940" s="7" t="s">
        <v>3402</v>
      </c>
      <c r="D1940" s="7" t="s">
        <v>3127</v>
      </c>
      <c r="E1940" s="7" t="s">
        <v>122</v>
      </c>
      <c r="F1940" s="7" t="s">
        <v>101</v>
      </c>
      <c r="G1940" s="7" t="s">
        <v>123</v>
      </c>
      <c r="H1940" s="7" t="n">
        <v>2</v>
      </c>
      <c r="I1940" s="11" t="n">
        <v>345</v>
      </c>
      <c r="J1940" s="11" t="n">
        <v>0</v>
      </c>
      <c r="K1940" s="11" t="n">
        <f aca="false">H1940*I1940-J1940</f>
        <v>690</v>
      </c>
      <c r="L1940" s="7" t="s">
        <v>88</v>
      </c>
      <c r="M1940" s="7" t="s">
        <v>194</v>
      </c>
      <c r="N1940" s="7" t="n">
        <v>34</v>
      </c>
      <c r="O1940" s="7" t="n">
        <v>4</v>
      </c>
    </row>
    <row r="1941" customFormat="false" ht="15" hidden="false" customHeight="false" outlineLevel="0" collapsed="false">
      <c r="A1941" s="7" t="s">
        <v>614</v>
      </c>
      <c r="B1941" s="10" t="n">
        <v>45914</v>
      </c>
      <c r="C1941" s="7" t="s">
        <v>616</v>
      </c>
      <c r="D1941" s="7" t="s">
        <v>617</v>
      </c>
      <c r="E1941" s="7" t="s">
        <v>147</v>
      </c>
      <c r="F1941" s="7" t="s">
        <v>119</v>
      </c>
      <c r="G1941" s="7" t="s">
        <v>95</v>
      </c>
      <c r="H1941" s="7" t="n">
        <v>3</v>
      </c>
      <c r="I1941" s="11" t="n">
        <v>130</v>
      </c>
      <c r="J1941" s="11" t="n">
        <v>0</v>
      </c>
      <c r="K1941" s="11" t="n">
        <f aca="false">H1941*I1941-J1941</f>
        <v>390</v>
      </c>
      <c r="L1941" s="7" t="s">
        <v>88</v>
      </c>
      <c r="M1941" s="7" t="s">
        <v>194</v>
      </c>
      <c r="N1941" s="7" t="n">
        <v>36</v>
      </c>
      <c r="O1941" s="7" t="n">
        <v>3</v>
      </c>
    </row>
    <row r="1942" customFormat="false" ht="15" hidden="false" customHeight="false" outlineLevel="0" collapsed="false">
      <c r="A1942" s="7" t="s">
        <v>5464</v>
      </c>
      <c r="B1942" s="10" t="n">
        <v>45914</v>
      </c>
      <c r="C1942" s="7" t="s">
        <v>1539</v>
      </c>
      <c r="D1942" s="7" t="s">
        <v>4618</v>
      </c>
      <c r="E1942" s="7" t="s">
        <v>116</v>
      </c>
      <c r="F1942" s="7" t="s">
        <v>101</v>
      </c>
      <c r="G1942" s="7" t="s">
        <v>117</v>
      </c>
      <c r="H1942" s="7" t="n">
        <v>4</v>
      </c>
      <c r="I1942" s="11" t="n">
        <v>130</v>
      </c>
      <c r="J1942" s="11" t="n">
        <v>50</v>
      </c>
      <c r="K1942" s="11" t="n">
        <f aca="false">H1942*I1942-J1942</f>
        <v>470</v>
      </c>
      <c r="L1942" s="7" t="s">
        <v>88</v>
      </c>
      <c r="M1942" s="7" t="s">
        <v>194</v>
      </c>
      <c r="N1942" s="7" t="n">
        <v>55</v>
      </c>
      <c r="O1942" s="7" t="n">
        <v>3</v>
      </c>
    </row>
    <row r="1943" customFormat="false" ht="15" hidden="false" customHeight="false" outlineLevel="0" collapsed="false">
      <c r="A1943" s="7" t="s">
        <v>5539</v>
      </c>
      <c r="B1943" s="10" t="n">
        <v>45914</v>
      </c>
      <c r="C1943" s="7" t="s">
        <v>1812</v>
      </c>
      <c r="D1943" s="7" t="s">
        <v>5540</v>
      </c>
      <c r="E1943" s="7" t="s">
        <v>94</v>
      </c>
      <c r="F1943" s="7" t="s">
        <v>86</v>
      </c>
      <c r="G1943" s="7" t="s">
        <v>95</v>
      </c>
      <c r="H1943" s="7" t="n">
        <v>1</v>
      </c>
      <c r="I1943" s="11" t="n">
        <v>135</v>
      </c>
      <c r="J1943" s="11" t="n">
        <v>0</v>
      </c>
      <c r="K1943" s="11" t="n">
        <f aca="false">H1943*I1943-J1943</f>
        <v>135</v>
      </c>
      <c r="L1943" s="7" t="s">
        <v>88</v>
      </c>
      <c r="M1943" s="7" t="s">
        <v>194</v>
      </c>
      <c r="N1943" s="7" t="n">
        <v>42</v>
      </c>
      <c r="O1943" s="7" t="n">
        <v>2</v>
      </c>
    </row>
    <row r="1944" customFormat="false" ht="15" hidden="false" customHeight="false" outlineLevel="0" collapsed="false">
      <c r="A1944" s="7" t="s">
        <v>4839</v>
      </c>
      <c r="B1944" s="10" t="n">
        <v>45914</v>
      </c>
      <c r="C1944" s="7" t="s">
        <v>796</v>
      </c>
      <c r="D1944" s="7" t="s">
        <v>2179</v>
      </c>
      <c r="E1944" s="7" t="s">
        <v>155</v>
      </c>
      <c r="F1944" s="7" t="s">
        <v>128</v>
      </c>
      <c r="G1944" s="7" t="s">
        <v>156</v>
      </c>
      <c r="H1944" s="7" t="n">
        <v>2</v>
      </c>
      <c r="I1944" s="11" t="n">
        <v>240</v>
      </c>
      <c r="J1944" s="11" t="n">
        <v>150</v>
      </c>
      <c r="K1944" s="11" t="n">
        <f aca="false">H1944*I1944-J1944</f>
        <v>330</v>
      </c>
      <c r="L1944" s="7" t="s">
        <v>88</v>
      </c>
      <c r="M1944" s="7" t="s">
        <v>194</v>
      </c>
      <c r="N1944" s="7" t="n">
        <v>19</v>
      </c>
      <c r="O1944" s="7" t="n">
        <v>4</v>
      </c>
    </row>
    <row r="1945" customFormat="false" ht="15" hidden="false" customHeight="false" outlineLevel="0" collapsed="false">
      <c r="A1945" s="7" t="s">
        <v>5461</v>
      </c>
      <c r="B1945" s="10" t="n">
        <v>45914</v>
      </c>
      <c r="C1945" s="7" t="s">
        <v>5462</v>
      </c>
      <c r="D1945" s="7" t="s">
        <v>5463</v>
      </c>
      <c r="E1945" s="7" t="s">
        <v>154</v>
      </c>
      <c r="F1945" s="7" t="s">
        <v>128</v>
      </c>
      <c r="G1945" s="7" t="s">
        <v>99</v>
      </c>
      <c r="H1945" s="7" t="n">
        <v>1</v>
      </c>
      <c r="I1945" s="11" t="n">
        <v>295</v>
      </c>
      <c r="J1945" s="11" t="n">
        <v>118</v>
      </c>
      <c r="K1945" s="11" t="n">
        <f aca="false">H1945*I1945-J1945</f>
        <v>177</v>
      </c>
      <c r="L1945" s="7" t="s">
        <v>103</v>
      </c>
      <c r="M1945" s="7" t="s">
        <v>194</v>
      </c>
      <c r="N1945" s="7" t="n">
        <v>22</v>
      </c>
      <c r="O1945" s="7" t="n">
        <v>5</v>
      </c>
    </row>
    <row r="1946" customFormat="false" ht="15" hidden="false" customHeight="false" outlineLevel="0" collapsed="false">
      <c r="A1946" s="7" t="s">
        <v>3707</v>
      </c>
      <c r="B1946" s="10" t="n">
        <v>45914</v>
      </c>
      <c r="C1946" s="7" t="s">
        <v>2076</v>
      </c>
      <c r="D1946" s="7" t="s">
        <v>1347</v>
      </c>
      <c r="E1946" s="7" t="s">
        <v>159</v>
      </c>
      <c r="F1946" s="7" t="s">
        <v>136</v>
      </c>
      <c r="G1946" s="7" t="s">
        <v>90</v>
      </c>
      <c r="H1946" s="7" t="n">
        <v>3</v>
      </c>
      <c r="I1946" s="11" t="n">
        <v>235</v>
      </c>
      <c r="J1946" s="11" t="n">
        <v>40</v>
      </c>
      <c r="K1946" s="11" t="n">
        <f aca="false">H1946*I1946-J1946</f>
        <v>665</v>
      </c>
      <c r="L1946" s="7" t="s">
        <v>112</v>
      </c>
      <c r="M1946" s="7" t="s">
        <v>194</v>
      </c>
      <c r="N1946" s="7" t="n">
        <v>33</v>
      </c>
      <c r="O1946" s="7"/>
    </row>
    <row r="1947" customFormat="false" ht="15" hidden="false" customHeight="false" outlineLevel="0" collapsed="false">
      <c r="A1947" s="7" t="s">
        <v>5561</v>
      </c>
      <c r="B1947" s="10" t="n">
        <v>45914</v>
      </c>
      <c r="C1947" s="7" t="s">
        <v>2957</v>
      </c>
      <c r="D1947" s="7" t="s">
        <v>5562</v>
      </c>
      <c r="E1947" s="7" t="s">
        <v>116</v>
      </c>
      <c r="F1947" s="7" t="s">
        <v>101</v>
      </c>
      <c r="G1947" s="7" t="s">
        <v>117</v>
      </c>
      <c r="H1947" s="7" t="n">
        <v>1</v>
      </c>
      <c r="I1947" s="11" t="n">
        <v>120</v>
      </c>
      <c r="J1947" s="11" t="n">
        <v>0</v>
      </c>
      <c r="K1947" s="11" t="n">
        <f aca="false">H1947*I1947-J1947</f>
        <v>120</v>
      </c>
      <c r="L1947" s="7" t="s">
        <v>93</v>
      </c>
      <c r="M1947" s="7" t="s">
        <v>194</v>
      </c>
      <c r="N1947" s="7" t="n">
        <v>55</v>
      </c>
      <c r="O1947" s="7" t="n">
        <v>4</v>
      </c>
    </row>
    <row r="1948" customFormat="false" ht="15" hidden="false" customHeight="false" outlineLevel="0" collapsed="false">
      <c r="A1948" s="7" t="s">
        <v>1099</v>
      </c>
      <c r="B1948" s="10" t="n">
        <v>45914</v>
      </c>
      <c r="C1948" s="7" t="s">
        <v>1101</v>
      </c>
      <c r="D1948" s="7" t="s">
        <v>1102</v>
      </c>
      <c r="E1948" s="7" t="s">
        <v>89</v>
      </c>
      <c r="F1948" s="7" t="s">
        <v>86</v>
      </c>
      <c r="G1948" s="7" t="s">
        <v>90</v>
      </c>
      <c r="H1948" s="7" t="n">
        <v>3</v>
      </c>
      <c r="I1948" s="11" t="n">
        <v>195</v>
      </c>
      <c r="J1948" s="11" t="n">
        <v>50</v>
      </c>
      <c r="K1948" s="11" t="n">
        <f aca="false">H1948*I1948-J1948</f>
        <v>535</v>
      </c>
      <c r="L1948" s="7" t="s">
        <v>88</v>
      </c>
      <c r="M1948" s="7" t="s">
        <v>194</v>
      </c>
      <c r="N1948" s="7" t="n">
        <v>40</v>
      </c>
      <c r="O1948" s="7"/>
    </row>
    <row r="1949" customFormat="false" ht="15" hidden="false" customHeight="false" outlineLevel="0" collapsed="false">
      <c r="A1949" s="7" t="s">
        <v>1273</v>
      </c>
      <c r="B1949" s="10" t="n">
        <v>45914</v>
      </c>
      <c r="C1949" s="7" t="s">
        <v>1274</v>
      </c>
      <c r="D1949" s="7" t="s">
        <v>242</v>
      </c>
      <c r="E1949" s="7" t="s">
        <v>168</v>
      </c>
      <c r="F1949" s="7" t="s">
        <v>146</v>
      </c>
      <c r="G1949" s="7" t="s">
        <v>123</v>
      </c>
      <c r="H1949" s="7" t="n">
        <v>1</v>
      </c>
      <c r="I1949" s="11" t="n">
        <v>365</v>
      </c>
      <c r="J1949" s="11" t="n">
        <v>0</v>
      </c>
      <c r="K1949" s="11" t="n">
        <f aca="false">H1949*I1949-J1949</f>
        <v>365</v>
      </c>
      <c r="L1949" s="7" t="s">
        <v>88</v>
      </c>
      <c r="M1949" s="7" t="s">
        <v>194</v>
      </c>
      <c r="N1949" s="7" t="n">
        <v>34</v>
      </c>
      <c r="O1949" s="7" t="n">
        <v>4</v>
      </c>
    </row>
    <row r="1950" customFormat="false" ht="15" hidden="false" customHeight="false" outlineLevel="0" collapsed="false">
      <c r="A1950" s="7" t="s">
        <v>4655</v>
      </c>
      <c r="B1950" s="10" t="n">
        <v>45915</v>
      </c>
      <c r="C1950" s="7" t="s">
        <v>1542</v>
      </c>
      <c r="D1950" s="7" t="s">
        <v>255</v>
      </c>
      <c r="E1950" s="7" t="s">
        <v>94</v>
      </c>
      <c r="F1950" s="7" t="s">
        <v>86</v>
      </c>
      <c r="G1950" s="7" t="s">
        <v>95</v>
      </c>
      <c r="H1950" s="7" t="n">
        <v>4</v>
      </c>
      <c r="I1950" s="11" t="n">
        <v>125</v>
      </c>
      <c r="J1950" s="11" t="n">
        <v>40</v>
      </c>
      <c r="K1950" s="11" t="n">
        <f aca="false">H1950*I1950-J1950</f>
        <v>460</v>
      </c>
      <c r="L1950" s="7" t="s">
        <v>103</v>
      </c>
      <c r="M1950" s="7" t="s">
        <v>194</v>
      </c>
      <c r="N1950" s="7" t="n">
        <v>41</v>
      </c>
      <c r="O1950" s="7" t="n">
        <v>3</v>
      </c>
    </row>
    <row r="1951" customFormat="false" ht="15" hidden="false" customHeight="false" outlineLevel="0" collapsed="false">
      <c r="A1951" s="7" t="s">
        <v>1844</v>
      </c>
      <c r="B1951" s="10" t="n">
        <v>45915</v>
      </c>
      <c r="C1951" s="7" t="s">
        <v>1112</v>
      </c>
      <c r="D1951" s="7" t="s">
        <v>1846</v>
      </c>
      <c r="E1951" s="7" t="s">
        <v>89</v>
      </c>
      <c r="F1951" s="7" t="s">
        <v>86</v>
      </c>
      <c r="G1951" s="7" t="s">
        <v>90</v>
      </c>
      <c r="H1951" s="7" t="n">
        <v>3</v>
      </c>
      <c r="I1951" s="11" t="n">
        <v>245</v>
      </c>
      <c r="J1951" s="11" t="n">
        <v>0</v>
      </c>
      <c r="K1951" s="11" t="n">
        <f aca="false">H1951*I1951-J1951</f>
        <v>735</v>
      </c>
      <c r="L1951" s="7" t="s">
        <v>121</v>
      </c>
      <c r="M1951" s="7" t="s">
        <v>238</v>
      </c>
      <c r="N1951" s="7"/>
      <c r="O1951" s="7"/>
    </row>
    <row r="1952" customFormat="false" ht="15" hidden="false" customHeight="false" outlineLevel="0" collapsed="false">
      <c r="A1952" s="7" t="s">
        <v>5932</v>
      </c>
      <c r="B1952" s="10" t="n">
        <v>45915</v>
      </c>
      <c r="C1952" s="7" t="s">
        <v>377</v>
      </c>
      <c r="D1952" s="7" t="s">
        <v>1289</v>
      </c>
      <c r="E1952" s="7" t="s">
        <v>144</v>
      </c>
      <c r="F1952" s="7" t="s">
        <v>119</v>
      </c>
      <c r="G1952" s="7" t="s">
        <v>99</v>
      </c>
      <c r="H1952" s="7" t="n">
        <v>2</v>
      </c>
      <c r="I1952" s="11" t="n">
        <v>315</v>
      </c>
      <c r="J1952" s="11" t="n">
        <v>20</v>
      </c>
      <c r="K1952" s="11" t="n">
        <f aca="false">H1952*I1952-J1952</f>
        <v>610</v>
      </c>
      <c r="L1952" s="7" t="s">
        <v>121</v>
      </c>
      <c r="M1952" s="7" t="s">
        <v>194</v>
      </c>
      <c r="N1952" s="7" t="n">
        <v>46</v>
      </c>
      <c r="O1952" s="7" t="n">
        <v>4</v>
      </c>
    </row>
    <row r="1953" customFormat="false" ht="15" hidden="false" customHeight="false" outlineLevel="0" collapsed="false">
      <c r="A1953" s="7" t="s">
        <v>5744</v>
      </c>
      <c r="B1953" s="10" t="n">
        <v>45915</v>
      </c>
      <c r="C1953" s="7" t="s">
        <v>5159</v>
      </c>
      <c r="D1953" s="7" t="s">
        <v>3706</v>
      </c>
      <c r="E1953" s="7" t="s">
        <v>126</v>
      </c>
      <c r="F1953" s="7" t="s">
        <v>101</v>
      </c>
      <c r="G1953" s="7" t="s">
        <v>105</v>
      </c>
      <c r="H1953" s="7" t="n">
        <v>5</v>
      </c>
      <c r="I1953" s="11" t="n">
        <v>190</v>
      </c>
      <c r="J1953" s="11" t="n">
        <v>150</v>
      </c>
      <c r="K1953" s="11" t="n">
        <f aca="false">H1953*I1953-J1953</f>
        <v>800</v>
      </c>
      <c r="L1953" s="7" t="s">
        <v>112</v>
      </c>
      <c r="M1953" s="7" t="s">
        <v>194</v>
      </c>
      <c r="N1953" s="7" t="n">
        <v>41</v>
      </c>
      <c r="O1953" s="7" t="n">
        <v>4</v>
      </c>
    </row>
    <row r="1954" customFormat="false" ht="15" hidden="false" customHeight="false" outlineLevel="0" collapsed="false">
      <c r="A1954" s="7" t="s">
        <v>4315</v>
      </c>
      <c r="B1954" s="10" t="n">
        <v>45915</v>
      </c>
      <c r="C1954" s="7" t="s">
        <v>4316</v>
      </c>
      <c r="D1954" s="7" t="s">
        <v>1302</v>
      </c>
      <c r="E1954" s="7" t="s">
        <v>89</v>
      </c>
      <c r="F1954" s="7" t="s">
        <v>86</v>
      </c>
      <c r="G1954" s="7" t="s">
        <v>90</v>
      </c>
      <c r="H1954" s="7" t="n">
        <v>1</v>
      </c>
      <c r="I1954" s="11" t="n">
        <v>230</v>
      </c>
      <c r="J1954" s="11" t="n">
        <v>0</v>
      </c>
      <c r="K1954" s="11" t="n">
        <f aca="false">H1954*I1954-J1954</f>
        <v>230</v>
      </c>
      <c r="L1954" s="7" t="s">
        <v>103</v>
      </c>
      <c r="M1954" s="7" t="s">
        <v>194</v>
      </c>
      <c r="N1954" s="7" t="n">
        <v>38</v>
      </c>
      <c r="O1954" s="7" t="n">
        <v>5</v>
      </c>
    </row>
    <row r="1955" customFormat="false" ht="15" hidden="false" customHeight="false" outlineLevel="0" collapsed="false">
      <c r="A1955" s="7" t="s">
        <v>5089</v>
      </c>
      <c r="B1955" s="10" t="n">
        <v>45916</v>
      </c>
      <c r="C1955" s="7" t="s">
        <v>2000</v>
      </c>
      <c r="D1955" s="7" t="s">
        <v>5090</v>
      </c>
      <c r="E1955" s="7" t="s">
        <v>126</v>
      </c>
      <c r="F1955" s="7" t="s">
        <v>101</v>
      </c>
      <c r="G1955" s="7" t="s">
        <v>105</v>
      </c>
      <c r="H1955" s="7" t="n">
        <v>3</v>
      </c>
      <c r="I1955" s="11" t="n">
        <v>190</v>
      </c>
      <c r="J1955" s="11" t="n">
        <v>40</v>
      </c>
      <c r="K1955" s="11" t="n">
        <f aca="false">H1955*I1955-J1955</f>
        <v>530</v>
      </c>
      <c r="L1955" s="7" t="s">
        <v>112</v>
      </c>
      <c r="M1955" s="7" t="s">
        <v>194</v>
      </c>
      <c r="N1955" s="7" t="n">
        <v>36</v>
      </c>
      <c r="O1955" s="7" t="n">
        <v>2</v>
      </c>
    </row>
    <row r="1956" customFormat="false" ht="15" hidden="false" customHeight="false" outlineLevel="0" collapsed="false">
      <c r="A1956" s="7" t="s">
        <v>3866</v>
      </c>
      <c r="B1956" s="10" t="n">
        <v>45916</v>
      </c>
      <c r="C1956" s="7" t="s">
        <v>732</v>
      </c>
      <c r="D1956" s="7" t="s">
        <v>652</v>
      </c>
      <c r="E1956" s="7" t="s">
        <v>126</v>
      </c>
      <c r="F1956" s="7" t="s">
        <v>101</v>
      </c>
      <c r="G1956" s="7" t="s">
        <v>105</v>
      </c>
      <c r="H1956" s="7" t="n">
        <v>2</v>
      </c>
      <c r="I1956" s="11" t="n">
        <v>240</v>
      </c>
      <c r="J1956" s="11" t="n">
        <v>125</v>
      </c>
      <c r="K1956" s="11" t="n">
        <f aca="false">H1956*I1956-J1956</f>
        <v>355</v>
      </c>
      <c r="L1956" s="7" t="s">
        <v>112</v>
      </c>
      <c r="M1956" s="7" t="s">
        <v>194</v>
      </c>
      <c r="N1956" s="7" t="n">
        <v>45</v>
      </c>
      <c r="O1956" s="7" t="n">
        <v>5</v>
      </c>
    </row>
    <row r="1957" customFormat="false" ht="15" hidden="false" customHeight="false" outlineLevel="0" collapsed="false">
      <c r="A1957" s="7" t="s">
        <v>4757</v>
      </c>
      <c r="B1957" s="10" t="n">
        <v>45916</v>
      </c>
      <c r="C1957" s="7" t="s">
        <v>839</v>
      </c>
      <c r="D1957" s="7" t="s">
        <v>1447</v>
      </c>
      <c r="E1957" s="7" t="s">
        <v>138</v>
      </c>
      <c r="F1957" s="7" t="s">
        <v>110</v>
      </c>
      <c r="G1957" s="7" t="s">
        <v>139</v>
      </c>
      <c r="H1957" s="7" t="n">
        <v>4</v>
      </c>
      <c r="I1957" s="11" t="n">
        <v>205</v>
      </c>
      <c r="J1957" s="11" t="n">
        <v>150</v>
      </c>
      <c r="K1957" s="11" t="n">
        <f aca="false">H1957*I1957-J1957</f>
        <v>670</v>
      </c>
      <c r="L1957" s="7" t="s">
        <v>112</v>
      </c>
      <c r="M1957" s="7" t="s">
        <v>194</v>
      </c>
      <c r="N1957" s="7" t="n">
        <v>29</v>
      </c>
      <c r="O1957" s="7" t="n">
        <v>3</v>
      </c>
    </row>
    <row r="1958" customFormat="false" ht="15" hidden="false" customHeight="false" outlineLevel="0" collapsed="false">
      <c r="A1958" s="7" t="s">
        <v>5029</v>
      </c>
      <c r="B1958" s="10" t="n">
        <v>45916</v>
      </c>
      <c r="C1958" s="7" t="s">
        <v>1387</v>
      </c>
      <c r="D1958" s="7" t="s">
        <v>4940</v>
      </c>
      <c r="E1958" s="7" t="s">
        <v>154</v>
      </c>
      <c r="F1958" s="7" t="s">
        <v>128</v>
      </c>
      <c r="G1958" s="7" t="s">
        <v>99</v>
      </c>
      <c r="H1958" s="7" t="n">
        <v>1</v>
      </c>
      <c r="I1958" s="11" t="n">
        <v>255</v>
      </c>
      <c r="J1958" s="11" t="n">
        <v>50</v>
      </c>
      <c r="K1958" s="11" t="n">
        <f aca="false">H1958*I1958-J1958</f>
        <v>205</v>
      </c>
      <c r="L1958" s="7" t="s">
        <v>121</v>
      </c>
      <c r="M1958" s="7" t="s">
        <v>194</v>
      </c>
      <c r="N1958" s="7" t="n">
        <v>44</v>
      </c>
      <c r="O1958" s="7" t="n">
        <v>3</v>
      </c>
    </row>
    <row r="1959" customFormat="false" ht="15" hidden="false" customHeight="false" outlineLevel="0" collapsed="false">
      <c r="A1959" s="7" t="s">
        <v>225</v>
      </c>
      <c r="B1959" s="10" t="n">
        <v>45916</v>
      </c>
      <c r="C1959" s="7" t="s">
        <v>227</v>
      </c>
      <c r="D1959" s="7" t="s">
        <v>228</v>
      </c>
      <c r="E1959" s="7" t="s">
        <v>122</v>
      </c>
      <c r="F1959" s="7" t="s">
        <v>101</v>
      </c>
      <c r="G1959" s="7" t="s">
        <v>123</v>
      </c>
      <c r="H1959" s="7" t="n">
        <v>5</v>
      </c>
      <c r="I1959" s="11" t="n">
        <v>295</v>
      </c>
      <c r="J1959" s="11" t="n">
        <v>30</v>
      </c>
      <c r="K1959" s="11" t="n">
        <f aca="false">H1959*I1959-J1959</f>
        <v>1445</v>
      </c>
      <c r="L1959" s="7" t="s">
        <v>88</v>
      </c>
      <c r="M1959" s="7" t="s">
        <v>194</v>
      </c>
      <c r="N1959" s="7" t="n">
        <v>46</v>
      </c>
      <c r="O1959" s="7" t="n">
        <v>3</v>
      </c>
    </row>
    <row r="1960" customFormat="false" ht="15" hidden="false" customHeight="false" outlineLevel="0" collapsed="false">
      <c r="A1960" s="7" t="s">
        <v>6078</v>
      </c>
      <c r="B1960" s="10" t="n">
        <v>45916</v>
      </c>
      <c r="C1960" s="7" t="s">
        <v>4215</v>
      </c>
      <c r="D1960" s="7" t="s">
        <v>2043</v>
      </c>
      <c r="E1960" s="7" t="s">
        <v>130</v>
      </c>
      <c r="F1960" s="7" t="s">
        <v>110</v>
      </c>
      <c r="G1960" s="7" t="s">
        <v>90</v>
      </c>
      <c r="H1960" s="7" t="n">
        <v>3</v>
      </c>
      <c r="I1960" s="11" t="n">
        <v>265</v>
      </c>
      <c r="J1960" s="11" t="n">
        <v>40</v>
      </c>
      <c r="K1960" s="11" t="n">
        <f aca="false">H1960*I1960-J1960</f>
        <v>755</v>
      </c>
      <c r="L1960" s="7" t="s">
        <v>112</v>
      </c>
      <c r="M1960" s="7" t="s">
        <v>194</v>
      </c>
      <c r="N1960" s="7" t="n">
        <v>42</v>
      </c>
      <c r="O1960" s="7" t="n">
        <v>4</v>
      </c>
    </row>
    <row r="1961" customFormat="false" ht="15" hidden="false" customHeight="false" outlineLevel="0" collapsed="false">
      <c r="A1961" s="7" t="s">
        <v>1488</v>
      </c>
      <c r="B1961" s="10" t="n">
        <v>45917</v>
      </c>
      <c r="C1961" s="7" t="s">
        <v>1490</v>
      </c>
      <c r="D1961" s="7" t="s">
        <v>1491</v>
      </c>
      <c r="E1961" s="7" t="s">
        <v>138</v>
      </c>
      <c r="F1961" s="7" t="s">
        <v>110</v>
      </c>
      <c r="G1961" s="7" t="s">
        <v>139</v>
      </c>
      <c r="H1961" s="7" t="n">
        <v>2</v>
      </c>
      <c r="I1961" s="11" t="n">
        <v>205</v>
      </c>
      <c r="J1961" s="11" t="n">
        <v>125</v>
      </c>
      <c r="K1961" s="11" t="n">
        <f aca="false">H1961*I1961-J1961</f>
        <v>285</v>
      </c>
      <c r="L1961" s="7" t="s">
        <v>121</v>
      </c>
      <c r="M1961" s="7" t="s">
        <v>238</v>
      </c>
      <c r="N1961" s="7"/>
      <c r="O1961" s="7"/>
    </row>
    <row r="1962" customFormat="false" ht="15" hidden="false" customHeight="false" outlineLevel="0" collapsed="false">
      <c r="A1962" s="7" t="s">
        <v>4222</v>
      </c>
      <c r="B1962" s="10" t="n">
        <v>45917</v>
      </c>
      <c r="C1962" s="7" t="s">
        <v>1830</v>
      </c>
      <c r="D1962" s="7" t="s">
        <v>4223</v>
      </c>
      <c r="E1962" s="7" t="s">
        <v>116</v>
      </c>
      <c r="F1962" s="7" t="s">
        <v>101</v>
      </c>
      <c r="G1962" s="7" t="s">
        <v>117</v>
      </c>
      <c r="H1962" s="7" t="n">
        <v>3</v>
      </c>
      <c r="I1962" s="11" t="n">
        <v>115</v>
      </c>
      <c r="J1962" s="11" t="n">
        <v>30</v>
      </c>
      <c r="K1962" s="11" t="n">
        <f aca="false">H1962*I1962-J1962</f>
        <v>315</v>
      </c>
      <c r="L1962" s="7" t="s">
        <v>121</v>
      </c>
      <c r="M1962" s="7" t="s">
        <v>194</v>
      </c>
      <c r="N1962" s="7" t="n">
        <v>43</v>
      </c>
      <c r="O1962" s="7" t="n">
        <v>4</v>
      </c>
    </row>
    <row r="1963" customFormat="false" ht="15" hidden="false" customHeight="false" outlineLevel="0" collapsed="false">
      <c r="A1963" s="7" t="s">
        <v>3016</v>
      </c>
      <c r="B1963" s="10" t="n">
        <v>45917</v>
      </c>
      <c r="C1963" s="7" t="s">
        <v>1194</v>
      </c>
      <c r="D1963" s="7" t="s">
        <v>3017</v>
      </c>
      <c r="E1963" s="7" t="s">
        <v>94</v>
      </c>
      <c r="F1963" s="7" t="s">
        <v>86</v>
      </c>
      <c r="G1963" s="7" t="s">
        <v>95</v>
      </c>
      <c r="H1963" s="7" t="n">
        <v>3</v>
      </c>
      <c r="I1963" s="11" t="n">
        <v>150</v>
      </c>
      <c r="J1963" s="11" t="n">
        <v>0</v>
      </c>
      <c r="K1963" s="11" t="n">
        <f aca="false">H1963*I1963-J1963</f>
        <v>450</v>
      </c>
      <c r="L1963" s="7" t="s">
        <v>112</v>
      </c>
      <c r="M1963" s="7" t="s">
        <v>194</v>
      </c>
      <c r="N1963" s="7" t="n">
        <v>34</v>
      </c>
      <c r="O1963" s="7" t="n">
        <v>4</v>
      </c>
    </row>
    <row r="1964" customFormat="false" ht="15" hidden="false" customHeight="false" outlineLevel="0" collapsed="false">
      <c r="A1964" s="7" t="s">
        <v>5918</v>
      </c>
      <c r="B1964" s="10" t="n">
        <v>45917</v>
      </c>
      <c r="C1964" s="7" t="s">
        <v>490</v>
      </c>
      <c r="D1964" s="7" t="s">
        <v>5920</v>
      </c>
      <c r="E1964" s="7" t="s">
        <v>94</v>
      </c>
      <c r="F1964" s="7" t="s">
        <v>86</v>
      </c>
      <c r="G1964" s="7" t="s">
        <v>95</v>
      </c>
      <c r="H1964" s="7" t="n">
        <v>3</v>
      </c>
      <c r="I1964" s="11" t="n">
        <v>120</v>
      </c>
      <c r="J1964" s="11" t="n">
        <v>40</v>
      </c>
      <c r="K1964" s="11" t="n">
        <f aca="false">H1964*I1964-J1964</f>
        <v>320</v>
      </c>
      <c r="L1964" s="7" t="s">
        <v>112</v>
      </c>
      <c r="M1964" s="7" t="s">
        <v>194</v>
      </c>
      <c r="N1964" s="7" t="n">
        <v>45</v>
      </c>
      <c r="O1964" s="7"/>
    </row>
    <row r="1965" customFormat="false" ht="15" hidden="false" customHeight="false" outlineLevel="0" collapsed="false">
      <c r="A1965" s="7" t="s">
        <v>3634</v>
      </c>
      <c r="B1965" s="10" t="n">
        <v>45917</v>
      </c>
      <c r="C1965" s="7" t="s">
        <v>2439</v>
      </c>
      <c r="D1965" s="7" t="s">
        <v>3635</v>
      </c>
      <c r="E1965" s="7" t="s">
        <v>142</v>
      </c>
      <c r="F1965" s="7" t="s">
        <v>110</v>
      </c>
      <c r="G1965" s="7" t="s">
        <v>105</v>
      </c>
      <c r="H1965" s="7" t="n">
        <v>3</v>
      </c>
      <c r="I1965" s="11" t="n">
        <v>140</v>
      </c>
      <c r="J1965" s="11" t="n">
        <v>0</v>
      </c>
      <c r="K1965" s="11" t="n">
        <f aca="false">H1965*I1965-J1965</f>
        <v>420</v>
      </c>
      <c r="L1965" s="7" t="s">
        <v>103</v>
      </c>
      <c r="M1965" s="7" t="s">
        <v>194</v>
      </c>
      <c r="N1965" s="7" t="n">
        <v>47</v>
      </c>
      <c r="O1965" s="7" t="n">
        <v>5</v>
      </c>
    </row>
    <row r="1966" customFormat="false" ht="15" hidden="false" customHeight="false" outlineLevel="0" collapsed="false">
      <c r="A1966" s="7" t="s">
        <v>5657</v>
      </c>
      <c r="B1966" s="10" t="n">
        <v>45917</v>
      </c>
      <c r="C1966" s="7" t="s">
        <v>1640</v>
      </c>
      <c r="D1966" s="7" t="s">
        <v>3335</v>
      </c>
      <c r="E1966" s="7" t="s">
        <v>144</v>
      </c>
      <c r="F1966" s="7" t="s">
        <v>119</v>
      </c>
      <c r="G1966" s="7" t="s">
        <v>99</v>
      </c>
      <c r="H1966" s="7" t="n">
        <v>4</v>
      </c>
      <c r="I1966" s="11" t="n">
        <v>300</v>
      </c>
      <c r="J1966" s="11" t="n">
        <v>0</v>
      </c>
      <c r="K1966" s="11" t="n">
        <f aca="false">H1966*I1966-J1966</f>
        <v>1200</v>
      </c>
      <c r="L1966" s="7" t="s">
        <v>121</v>
      </c>
      <c r="M1966" s="7" t="s">
        <v>194</v>
      </c>
      <c r="N1966" s="7" t="n">
        <v>33</v>
      </c>
      <c r="O1966" s="7" t="n">
        <v>4</v>
      </c>
    </row>
    <row r="1967" customFormat="false" ht="15" hidden="false" customHeight="false" outlineLevel="0" collapsed="false">
      <c r="A1967" s="7" t="s">
        <v>3923</v>
      </c>
      <c r="B1967" s="10" t="n">
        <v>45917</v>
      </c>
      <c r="C1967" s="7" t="s">
        <v>306</v>
      </c>
      <c r="D1967" s="7" t="s">
        <v>2483</v>
      </c>
      <c r="E1967" s="7" t="s">
        <v>142</v>
      </c>
      <c r="F1967" s="7" t="s">
        <v>110</v>
      </c>
      <c r="G1967" s="7" t="s">
        <v>105</v>
      </c>
      <c r="H1967" s="7" t="n">
        <v>2</v>
      </c>
      <c r="I1967" s="11" t="n">
        <v>160</v>
      </c>
      <c r="J1967" s="11" t="n">
        <v>50</v>
      </c>
      <c r="K1967" s="11" t="n">
        <f aca="false">H1967*I1967-J1967</f>
        <v>270</v>
      </c>
      <c r="L1967" s="7" t="s">
        <v>88</v>
      </c>
      <c r="M1967" s="7" t="s">
        <v>194</v>
      </c>
      <c r="N1967" s="7" t="n">
        <v>48</v>
      </c>
      <c r="O1967" s="7" t="n">
        <v>5</v>
      </c>
    </row>
    <row r="1968" customFormat="false" ht="15" hidden="false" customHeight="false" outlineLevel="0" collapsed="false">
      <c r="A1968" s="7" t="s">
        <v>4901</v>
      </c>
      <c r="B1968" s="10" t="n">
        <v>45917</v>
      </c>
      <c r="C1968" s="7" t="s">
        <v>1607</v>
      </c>
      <c r="D1968" s="7" t="s">
        <v>4902</v>
      </c>
      <c r="E1968" s="7" t="s">
        <v>104</v>
      </c>
      <c r="F1968" s="7" t="s">
        <v>86</v>
      </c>
      <c r="G1968" s="7" t="s">
        <v>105</v>
      </c>
      <c r="H1968" s="7" t="n">
        <v>2</v>
      </c>
      <c r="I1968" s="11" t="n">
        <v>210</v>
      </c>
      <c r="J1968" s="11" t="n">
        <v>0</v>
      </c>
      <c r="K1968" s="11" t="n">
        <f aca="false">H1968*I1968-J1968</f>
        <v>420</v>
      </c>
      <c r="L1968" s="7" t="s">
        <v>121</v>
      </c>
      <c r="M1968" s="7" t="s">
        <v>194</v>
      </c>
      <c r="N1968" s="7" t="n">
        <v>31</v>
      </c>
      <c r="O1968" s="7"/>
    </row>
    <row r="1969" customFormat="false" ht="15" hidden="false" customHeight="false" outlineLevel="0" collapsed="false">
      <c r="A1969" s="7" t="s">
        <v>5741</v>
      </c>
      <c r="B1969" s="10" t="n">
        <v>45918</v>
      </c>
      <c r="C1969" s="7" t="s">
        <v>4417</v>
      </c>
      <c r="D1969" s="7" t="s">
        <v>5575</v>
      </c>
      <c r="E1969" s="7" t="s">
        <v>159</v>
      </c>
      <c r="F1969" s="7" t="s">
        <v>136</v>
      </c>
      <c r="G1969" s="7" t="s">
        <v>90</v>
      </c>
      <c r="H1969" s="7" t="n">
        <v>1</v>
      </c>
      <c r="I1969" s="11" t="n">
        <v>195</v>
      </c>
      <c r="J1969" s="11" t="n">
        <v>0</v>
      </c>
      <c r="K1969" s="11" t="n">
        <f aca="false">H1969*I1969-J1969</f>
        <v>195</v>
      </c>
      <c r="L1969" s="7" t="s">
        <v>88</v>
      </c>
      <c r="M1969" s="7" t="s">
        <v>194</v>
      </c>
      <c r="N1969" s="7" t="n">
        <v>21</v>
      </c>
      <c r="O1969" s="7" t="n">
        <v>4</v>
      </c>
    </row>
    <row r="1970" customFormat="false" ht="15" hidden="false" customHeight="false" outlineLevel="0" collapsed="false">
      <c r="A1970" s="7" t="s">
        <v>4620</v>
      </c>
      <c r="B1970" s="10" t="n">
        <v>45918</v>
      </c>
      <c r="C1970" s="7" t="s">
        <v>1795</v>
      </c>
      <c r="D1970" s="7" t="s">
        <v>3984</v>
      </c>
      <c r="E1970" s="7" t="s">
        <v>138</v>
      </c>
      <c r="F1970" s="7" t="s">
        <v>110</v>
      </c>
      <c r="G1970" s="7" t="s">
        <v>139</v>
      </c>
      <c r="H1970" s="7" t="n">
        <v>4</v>
      </c>
      <c r="I1970" s="11" t="n">
        <v>175</v>
      </c>
      <c r="J1970" s="11" t="n">
        <v>0</v>
      </c>
      <c r="K1970" s="11" t="n">
        <f aca="false">H1970*I1970-J1970</f>
        <v>700</v>
      </c>
      <c r="L1970" s="7" t="s">
        <v>112</v>
      </c>
      <c r="M1970" s="7" t="s">
        <v>194</v>
      </c>
      <c r="N1970" s="7" t="n">
        <v>39</v>
      </c>
      <c r="O1970" s="7" t="n">
        <v>5</v>
      </c>
    </row>
    <row r="1971" customFormat="false" ht="15" hidden="false" customHeight="false" outlineLevel="0" collapsed="false">
      <c r="A1971" s="7" t="s">
        <v>5292</v>
      </c>
      <c r="B1971" s="10" t="n">
        <v>45918</v>
      </c>
      <c r="C1971" s="7" t="s">
        <v>2781</v>
      </c>
      <c r="D1971" s="7" t="s">
        <v>5294</v>
      </c>
      <c r="E1971" s="7" t="s">
        <v>161</v>
      </c>
      <c r="F1971" s="7" t="s">
        <v>141</v>
      </c>
      <c r="G1971" s="7" t="s">
        <v>117</v>
      </c>
      <c r="H1971" s="7" t="n">
        <v>1</v>
      </c>
      <c r="I1971" s="11" t="n">
        <v>155</v>
      </c>
      <c r="J1971" s="11" t="n">
        <v>62</v>
      </c>
      <c r="K1971" s="11" t="n">
        <f aca="false">H1971*I1971-J1971</f>
        <v>93</v>
      </c>
      <c r="L1971" s="7" t="s">
        <v>112</v>
      </c>
      <c r="M1971" s="7" t="s">
        <v>194</v>
      </c>
      <c r="N1971" s="7" t="n">
        <v>39</v>
      </c>
      <c r="O1971" s="7"/>
    </row>
    <row r="1972" customFormat="false" ht="15" hidden="false" customHeight="false" outlineLevel="0" collapsed="false">
      <c r="A1972" s="7" t="s">
        <v>3882</v>
      </c>
      <c r="B1972" s="10" t="n">
        <v>45918</v>
      </c>
      <c r="C1972" s="7" t="s">
        <v>3378</v>
      </c>
      <c r="D1972" s="7" t="s">
        <v>1397</v>
      </c>
      <c r="E1972" s="7" t="s">
        <v>159</v>
      </c>
      <c r="F1972" s="7" t="s">
        <v>136</v>
      </c>
      <c r="G1972" s="7" t="s">
        <v>90</v>
      </c>
      <c r="H1972" s="7" t="n">
        <v>1</v>
      </c>
      <c r="I1972" s="11" t="n">
        <v>250</v>
      </c>
      <c r="J1972" s="11" t="n">
        <v>0</v>
      </c>
      <c r="K1972" s="11" t="n">
        <f aca="false">H1972*I1972-J1972</f>
        <v>250</v>
      </c>
      <c r="L1972" s="7" t="s">
        <v>93</v>
      </c>
      <c r="M1972" s="7" t="s">
        <v>194</v>
      </c>
      <c r="N1972" s="7" t="n">
        <v>35</v>
      </c>
      <c r="O1972" s="7"/>
    </row>
    <row r="1973" customFormat="false" ht="15" hidden="false" customHeight="false" outlineLevel="0" collapsed="false">
      <c r="A1973" s="7" t="s">
        <v>2961</v>
      </c>
      <c r="B1973" s="10" t="n">
        <v>45918</v>
      </c>
      <c r="C1973" s="7" t="s">
        <v>249</v>
      </c>
      <c r="D1973" s="7" t="s">
        <v>2077</v>
      </c>
      <c r="E1973" s="7" t="s">
        <v>138</v>
      </c>
      <c r="F1973" s="7" t="s">
        <v>110</v>
      </c>
      <c r="G1973" s="7" t="s">
        <v>139</v>
      </c>
      <c r="H1973" s="7" t="n">
        <v>3</v>
      </c>
      <c r="I1973" s="11" t="n">
        <v>220</v>
      </c>
      <c r="J1973" s="11" t="n">
        <v>125</v>
      </c>
      <c r="K1973" s="11" t="n">
        <f aca="false">H1973*I1973-J1973</f>
        <v>535</v>
      </c>
      <c r="L1973" s="7" t="s">
        <v>88</v>
      </c>
      <c r="M1973" s="7" t="s">
        <v>194</v>
      </c>
      <c r="N1973" s="7" t="n">
        <v>47</v>
      </c>
      <c r="O1973" s="7" t="n">
        <v>4</v>
      </c>
    </row>
    <row r="1974" customFormat="false" ht="15" hidden="false" customHeight="false" outlineLevel="0" collapsed="false">
      <c r="A1974" s="7" t="s">
        <v>3251</v>
      </c>
      <c r="B1974" s="10" t="n">
        <v>45918</v>
      </c>
      <c r="C1974" s="7" t="s">
        <v>1674</v>
      </c>
      <c r="D1974" s="7" t="s">
        <v>2554</v>
      </c>
      <c r="E1974" s="7" t="s">
        <v>160</v>
      </c>
      <c r="F1974" s="7" t="s">
        <v>136</v>
      </c>
      <c r="G1974" s="7" t="s">
        <v>150</v>
      </c>
      <c r="H1974" s="7" t="n">
        <v>1</v>
      </c>
      <c r="I1974" s="11" t="n">
        <v>150</v>
      </c>
      <c r="J1974" s="11" t="n">
        <v>0</v>
      </c>
      <c r="K1974" s="11" t="n">
        <f aca="false">H1974*I1974-J1974</f>
        <v>150</v>
      </c>
      <c r="L1974" s="7" t="s">
        <v>88</v>
      </c>
      <c r="M1974" s="7" t="s">
        <v>194</v>
      </c>
      <c r="N1974" s="7" t="n">
        <v>20</v>
      </c>
      <c r="O1974" s="7" t="n">
        <v>5</v>
      </c>
    </row>
    <row r="1975" customFormat="false" ht="15" hidden="false" customHeight="false" outlineLevel="0" collapsed="false">
      <c r="A1975" s="7" t="s">
        <v>5844</v>
      </c>
      <c r="B1975" s="10" t="n">
        <v>45918</v>
      </c>
      <c r="C1975" s="7" t="s">
        <v>2337</v>
      </c>
      <c r="D1975" s="7" t="s">
        <v>2951</v>
      </c>
      <c r="E1975" s="7" t="s">
        <v>148</v>
      </c>
      <c r="F1975" s="7" t="s">
        <v>119</v>
      </c>
      <c r="G1975" s="7" t="s">
        <v>123</v>
      </c>
      <c r="H1975" s="7" t="n">
        <v>1</v>
      </c>
      <c r="I1975" s="11" t="n">
        <v>235</v>
      </c>
      <c r="J1975" s="11" t="n">
        <v>50</v>
      </c>
      <c r="K1975" s="11" t="n">
        <f aca="false">H1975*I1975-J1975</f>
        <v>185</v>
      </c>
      <c r="L1975" s="7" t="s">
        <v>88</v>
      </c>
      <c r="M1975" s="7" t="s">
        <v>194</v>
      </c>
      <c r="N1975" s="7" t="n">
        <v>43</v>
      </c>
      <c r="O1975" s="7" t="n">
        <v>5</v>
      </c>
    </row>
    <row r="1976" customFormat="false" ht="15" hidden="false" customHeight="false" outlineLevel="0" collapsed="false">
      <c r="A1976" s="7" t="s">
        <v>3171</v>
      </c>
      <c r="B1976" s="10" t="n">
        <v>45918</v>
      </c>
      <c r="C1976" s="7" t="s">
        <v>709</v>
      </c>
      <c r="D1976" s="7" t="s">
        <v>357</v>
      </c>
      <c r="E1976" s="7" t="s">
        <v>116</v>
      </c>
      <c r="F1976" s="7" t="s">
        <v>101</v>
      </c>
      <c r="G1976" s="7" t="s">
        <v>117</v>
      </c>
      <c r="H1976" s="7" t="n">
        <v>1</v>
      </c>
      <c r="I1976" s="11" t="n">
        <v>140</v>
      </c>
      <c r="J1976" s="11" t="n">
        <v>56</v>
      </c>
      <c r="K1976" s="11" t="n">
        <f aca="false">H1976*I1976-J1976</f>
        <v>84</v>
      </c>
      <c r="L1976" s="7" t="s">
        <v>88</v>
      </c>
      <c r="M1976" s="7" t="s">
        <v>194</v>
      </c>
      <c r="N1976" s="7" t="n">
        <v>35</v>
      </c>
      <c r="O1976" s="7" t="n">
        <v>3</v>
      </c>
    </row>
    <row r="1977" customFormat="false" ht="15" hidden="false" customHeight="false" outlineLevel="0" collapsed="false">
      <c r="A1977" s="7" t="s">
        <v>3499</v>
      </c>
      <c r="B1977" s="10" t="n">
        <v>45918</v>
      </c>
      <c r="C1977" s="7" t="s">
        <v>1414</v>
      </c>
      <c r="D1977" s="7" t="s">
        <v>3500</v>
      </c>
      <c r="E1977" s="7" t="s">
        <v>138</v>
      </c>
      <c r="F1977" s="7" t="s">
        <v>110</v>
      </c>
      <c r="G1977" s="7" t="s">
        <v>139</v>
      </c>
      <c r="H1977" s="7" t="n">
        <v>2</v>
      </c>
      <c r="I1977" s="11" t="n">
        <v>200</v>
      </c>
      <c r="J1977" s="11" t="n">
        <v>0</v>
      </c>
      <c r="K1977" s="11" t="n">
        <f aca="false">H1977*I1977-J1977</f>
        <v>400</v>
      </c>
      <c r="L1977" s="7" t="s">
        <v>88</v>
      </c>
      <c r="M1977" s="7" t="s">
        <v>194</v>
      </c>
      <c r="N1977" s="7" t="n">
        <v>38</v>
      </c>
      <c r="O1977" s="7" t="n">
        <v>5</v>
      </c>
    </row>
    <row r="1978" customFormat="false" ht="15" hidden="false" customHeight="false" outlineLevel="0" collapsed="false">
      <c r="A1978" s="7" t="s">
        <v>4483</v>
      </c>
      <c r="B1978" s="10" t="n">
        <v>45918</v>
      </c>
      <c r="C1978" s="7" t="s">
        <v>433</v>
      </c>
      <c r="D1978" s="7" t="s">
        <v>997</v>
      </c>
      <c r="E1978" s="7" t="s">
        <v>130</v>
      </c>
      <c r="F1978" s="7" t="s">
        <v>110</v>
      </c>
      <c r="G1978" s="7" t="s">
        <v>90</v>
      </c>
      <c r="H1978" s="7" t="n">
        <v>3</v>
      </c>
      <c r="I1978" s="11" t="n">
        <v>195</v>
      </c>
      <c r="J1978" s="11" t="n">
        <v>100</v>
      </c>
      <c r="K1978" s="11" t="n">
        <f aca="false">H1978*I1978-J1978</f>
        <v>485</v>
      </c>
      <c r="L1978" s="7" t="s">
        <v>88</v>
      </c>
      <c r="M1978" s="7" t="s">
        <v>194</v>
      </c>
      <c r="N1978" s="7" t="n">
        <v>37</v>
      </c>
      <c r="O1978" s="7" t="n">
        <v>5</v>
      </c>
    </row>
    <row r="1979" customFormat="false" ht="15" hidden="false" customHeight="false" outlineLevel="0" collapsed="false">
      <c r="A1979" s="7" t="s">
        <v>2087</v>
      </c>
      <c r="B1979" s="10" t="n">
        <v>45918</v>
      </c>
      <c r="C1979" s="7" t="s">
        <v>2088</v>
      </c>
      <c r="D1979" s="7" t="s">
        <v>1632</v>
      </c>
      <c r="E1979" s="7" t="s">
        <v>138</v>
      </c>
      <c r="F1979" s="7" t="s">
        <v>110</v>
      </c>
      <c r="G1979" s="7" t="s">
        <v>139</v>
      </c>
      <c r="H1979" s="7" t="n">
        <v>2</v>
      </c>
      <c r="I1979" s="11" t="n">
        <v>165</v>
      </c>
      <c r="J1979" s="11" t="n">
        <v>0</v>
      </c>
      <c r="K1979" s="11" t="n">
        <f aca="false">H1979*I1979-J1979</f>
        <v>330</v>
      </c>
      <c r="L1979" s="7" t="s">
        <v>93</v>
      </c>
      <c r="M1979" s="7" t="s">
        <v>194</v>
      </c>
      <c r="N1979" s="7" t="n">
        <v>46</v>
      </c>
      <c r="O1979" s="7" t="n">
        <v>4</v>
      </c>
    </row>
    <row r="1980" customFormat="false" ht="15" hidden="false" customHeight="false" outlineLevel="0" collapsed="false">
      <c r="A1980" s="7" t="s">
        <v>1728</v>
      </c>
      <c r="B1980" s="10" t="n">
        <v>45918</v>
      </c>
      <c r="C1980" s="7" t="s">
        <v>686</v>
      </c>
      <c r="D1980" s="7" t="s">
        <v>1729</v>
      </c>
      <c r="E1980" s="7" t="s">
        <v>116</v>
      </c>
      <c r="F1980" s="7" t="s">
        <v>101</v>
      </c>
      <c r="G1980" s="7" t="s">
        <v>117</v>
      </c>
      <c r="H1980" s="7" t="n">
        <v>3</v>
      </c>
      <c r="I1980" s="11" t="n">
        <v>100</v>
      </c>
      <c r="J1980" s="11" t="n">
        <v>0</v>
      </c>
      <c r="K1980" s="11" t="n">
        <f aca="false">H1980*I1980-J1980</f>
        <v>300</v>
      </c>
      <c r="L1980" s="7" t="s">
        <v>103</v>
      </c>
      <c r="M1980" s="7" t="s">
        <v>194</v>
      </c>
      <c r="N1980" s="7" t="n">
        <v>44</v>
      </c>
      <c r="O1980" s="7" t="n">
        <v>3</v>
      </c>
    </row>
    <row r="1981" customFormat="false" ht="15" hidden="false" customHeight="false" outlineLevel="0" collapsed="false">
      <c r="A1981" s="7" t="s">
        <v>6151</v>
      </c>
      <c r="B1981" s="10" t="n">
        <v>45918</v>
      </c>
      <c r="C1981" s="7" t="s">
        <v>365</v>
      </c>
      <c r="D1981" s="7" t="s">
        <v>4488</v>
      </c>
      <c r="E1981" s="7" t="s">
        <v>157</v>
      </c>
      <c r="F1981" s="7" t="s">
        <v>136</v>
      </c>
      <c r="G1981" s="7" t="s">
        <v>117</v>
      </c>
      <c r="H1981" s="7" t="n">
        <v>4</v>
      </c>
      <c r="I1981" s="11" t="n">
        <v>110</v>
      </c>
      <c r="J1981" s="11" t="n">
        <v>125</v>
      </c>
      <c r="K1981" s="11" t="n">
        <f aca="false">H1981*I1981-J1981</f>
        <v>315</v>
      </c>
      <c r="L1981" s="7" t="s">
        <v>112</v>
      </c>
      <c r="M1981" s="7" t="s">
        <v>194</v>
      </c>
      <c r="N1981" s="7" t="n">
        <v>51</v>
      </c>
      <c r="O1981" s="7" t="n">
        <v>3</v>
      </c>
    </row>
    <row r="1982" customFormat="false" ht="15" hidden="false" customHeight="false" outlineLevel="0" collapsed="false">
      <c r="A1982" s="7" t="s">
        <v>1534</v>
      </c>
      <c r="B1982" s="10" t="n">
        <v>45918</v>
      </c>
      <c r="C1982" s="7" t="s">
        <v>870</v>
      </c>
      <c r="D1982" s="7" t="s">
        <v>1536</v>
      </c>
      <c r="E1982" s="7" t="s">
        <v>130</v>
      </c>
      <c r="F1982" s="7" t="s">
        <v>110</v>
      </c>
      <c r="G1982" s="7" t="s">
        <v>90</v>
      </c>
      <c r="H1982" s="7" t="n">
        <v>4</v>
      </c>
      <c r="I1982" s="11" t="n">
        <v>250</v>
      </c>
      <c r="J1982" s="11" t="n">
        <v>0</v>
      </c>
      <c r="K1982" s="11" t="n">
        <f aca="false">H1982*I1982-J1982</f>
        <v>1000</v>
      </c>
      <c r="L1982" s="7" t="s">
        <v>93</v>
      </c>
      <c r="M1982" s="7" t="s">
        <v>194</v>
      </c>
      <c r="N1982" s="7" t="n">
        <v>53</v>
      </c>
      <c r="O1982" s="7" t="n">
        <v>4</v>
      </c>
    </row>
    <row r="1983" customFormat="false" ht="15" hidden="false" customHeight="false" outlineLevel="0" collapsed="false">
      <c r="A1983" s="7" t="s">
        <v>4107</v>
      </c>
      <c r="B1983" s="10" t="n">
        <v>45919</v>
      </c>
      <c r="C1983" s="7" t="s">
        <v>3918</v>
      </c>
      <c r="D1983" s="7" t="s">
        <v>1655</v>
      </c>
      <c r="E1983" s="7" t="s">
        <v>116</v>
      </c>
      <c r="F1983" s="7" t="s">
        <v>101</v>
      </c>
      <c r="G1983" s="7" t="s">
        <v>117</v>
      </c>
      <c r="H1983" s="7" t="n">
        <v>1</v>
      </c>
      <c r="I1983" s="11" t="n">
        <v>160</v>
      </c>
      <c r="J1983" s="11" t="n">
        <v>64</v>
      </c>
      <c r="K1983" s="11" t="n">
        <f aca="false">H1983*I1983-J1983</f>
        <v>96</v>
      </c>
      <c r="L1983" s="7" t="s">
        <v>121</v>
      </c>
      <c r="M1983" s="7" t="s">
        <v>194</v>
      </c>
      <c r="N1983" s="7" t="n">
        <v>42</v>
      </c>
      <c r="O1983" s="7"/>
    </row>
    <row r="1984" customFormat="false" ht="15" hidden="false" customHeight="false" outlineLevel="0" collapsed="false">
      <c r="A1984" s="7" t="s">
        <v>5883</v>
      </c>
      <c r="B1984" s="10" t="n">
        <v>45919</v>
      </c>
      <c r="C1984" s="7" t="s">
        <v>3725</v>
      </c>
      <c r="D1984" s="7" t="s">
        <v>1416</v>
      </c>
      <c r="E1984" s="7" t="s">
        <v>160</v>
      </c>
      <c r="F1984" s="7" t="s">
        <v>136</v>
      </c>
      <c r="G1984" s="7" t="s">
        <v>150</v>
      </c>
      <c r="H1984" s="7" t="n">
        <v>1</v>
      </c>
      <c r="I1984" s="11" t="n">
        <v>180</v>
      </c>
      <c r="J1984" s="11" t="n">
        <v>0</v>
      </c>
      <c r="K1984" s="11" t="n">
        <f aca="false">H1984*I1984-J1984</f>
        <v>180</v>
      </c>
      <c r="L1984" s="7" t="s">
        <v>121</v>
      </c>
      <c r="M1984" s="7" t="s">
        <v>238</v>
      </c>
      <c r="N1984" s="7"/>
      <c r="O1984" s="7"/>
    </row>
    <row r="1985" customFormat="false" ht="15" hidden="false" customHeight="false" outlineLevel="0" collapsed="false">
      <c r="A1985" s="7" t="s">
        <v>6027</v>
      </c>
      <c r="B1985" s="10" t="n">
        <v>45919</v>
      </c>
      <c r="C1985" s="7" t="s">
        <v>759</v>
      </c>
      <c r="D1985" s="7" t="s">
        <v>1337</v>
      </c>
      <c r="E1985" s="7" t="s">
        <v>138</v>
      </c>
      <c r="F1985" s="7" t="s">
        <v>110</v>
      </c>
      <c r="G1985" s="7" t="s">
        <v>139</v>
      </c>
      <c r="H1985" s="7" t="n">
        <v>3</v>
      </c>
      <c r="I1985" s="11" t="n">
        <v>200</v>
      </c>
      <c r="J1985" s="11" t="n">
        <v>50</v>
      </c>
      <c r="K1985" s="11" t="n">
        <f aca="false">H1985*I1985-J1985</f>
        <v>550</v>
      </c>
      <c r="L1985" s="7" t="s">
        <v>88</v>
      </c>
      <c r="M1985" s="7" t="s">
        <v>194</v>
      </c>
      <c r="N1985" s="7" t="n">
        <v>56</v>
      </c>
      <c r="O1985" s="7" t="n">
        <v>4</v>
      </c>
    </row>
    <row r="1986" customFormat="false" ht="15" hidden="false" customHeight="false" outlineLevel="0" collapsed="false">
      <c r="A1986" s="7" t="s">
        <v>2409</v>
      </c>
      <c r="B1986" s="10" t="n">
        <v>45919</v>
      </c>
      <c r="C1986" s="7" t="s">
        <v>2410</v>
      </c>
      <c r="D1986" s="7" t="s">
        <v>2411</v>
      </c>
      <c r="E1986" s="7" t="s">
        <v>98</v>
      </c>
      <c r="F1986" s="7" t="s">
        <v>86</v>
      </c>
      <c r="G1986" s="7" t="s">
        <v>99</v>
      </c>
      <c r="H1986" s="7" t="n">
        <v>3</v>
      </c>
      <c r="I1986" s="11" t="n">
        <v>215</v>
      </c>
      <c r="J1986" s="11" t="n">
        <v>0</v>
      </c>
      <c r="K1986" s="11" t="n">
        <f aca="false">H1986*I1986-J1986</f>
        <v>645</v>
      </c>
      <c r="L1986" s="7" t="s">
        <v>6170</v>
      </c>
      <c r="M1986" s="7" t="s">
        <v>194</v>
      </c>
      <c r="N1986" s="7" t="n">
        <v>36</v>
      </c>
      <c r="O1986" s="7" t="n">
        <v>4</v>
      </c>
    </row>
    <row r="1987" customFormat="false" ht="15" hidden="false" customHeight="false" outlineLevel="0" collapsed="false">
      <c r="A1987" s="7" t="s">
        <v>4514</v>
      </c>
      <c r="B1987" s="10" t="n">
        <v>45919</v>
      </c>
      <c r="C1987" s="7" t="s">
        <v>2963</v>
      </c>
      <c r="D1987" s="7" t="s">
        <v>3139</v>
      </c>
      <c r="E1987" s="7" t="s">
        <v>148</v>
      </c>
      <c r="F1987" s="7" t="s">
        <v>119</v>
      </c>
      <c r="G1987" s="7" t="s">
        <v>123</v>
      </c>
      <c r="H1987" s="7" t="n">
        <v>2</v>
      </c>
      <c r="I1987" s="11" t="n">
        <v>325</v>
      </c>
      <c r="J1987" s="11" t="n">
        <v>150</v>
      </c>
      <c r="K1987" s="11" t="n">
        <f aca="false">H1987*I1987-J1987</f>
        <v>500</v>
      </c>
      <c r="L1987" s="7" t="s">
        <v>88</v>
      </c>
      <c r="M1987" s="7" t="s">
        <v>194</v>
      </c>
      <c r="N1987" s="7" t="n">
        <v>16</v>
      </c>
      <c r="O1987" s="7" t="n">
        <v>5</v>
      </c>
    </row>
    <row r="1988" customFormat="false" ht="15" hidden="false" customHeight="false" outlineLevel="0" collapsed="false">
      <c r="A1988" s="7" t="s">
        <v>5516</v>
      </c>
      <c r="B1988" s="10" t="n">
        <v>45919</v>
      </c>
      <c r="C1988" s="7" t="s">
        <v>1983</v>
      </c>
      <c r="D1988" s="7" t="s">
        <v>1974</v>
      </c>
      <c r="E1988" s="7" t="s">
        <v>126</v>
      </c>
      <c r="F1988" s="7" t="s">
        <v>101</v>
      </c>
      <c r="G1988" s="7" t="s">
        <v>105</v>
      </c>
      <c r="H1988" s="7" t="n">
        <v>1</v>
      </c>
      <c r="I1988" s="11" t="n">
        <v>255</v>
      </c>
      <c r="J1988" s="11" t="n">
        <v>50</v>
      </c>
      <c r="K1988" s="11" t="n">
        <f aca="false">H1988*I1988-J1988</f>
        <v>205</v>
      </c>
      <c r="L1988" s="7" t="s">
        <v>93</v>
      </c>
      <c r="M1988" s="7" t="s">
        <v>194</v>
      </c>
      <c r="N1988" s="7" t="n">
        <v>43</v>
      </c>
      <c r="O1988" s="7" t="n">
        <v>5</v>
      </c>
    </row>
    <row r="1989" customFormat="false" ht="15" hidden="false" customHeight="false" outlineLevel="0" collapsed="false">
      <c r="A1989" s="7" t="s">
        <v>2422</v>
      </c>
      <c r="B1989" s="10" t="n">
        <v>45919</v>
      </c>
      <c r="C1989" s="7" t="s">
        <v>254</v>
      </c>
      <c r="D1989" s="7" t="s">
        <v>2424</v>
      </c>
      <c r="E1989" s="7" t="s">
        <v>94</v>
      </c>
      <c r="F1989" s="7" t="s">
        <v>86</v>
      </c>
      <c r="G1989" s="7" t="s">
        <v>95</v>
      </c>
      <c r="H1989" s="7" t="n">
        <v>1</v>
      </c>
      <c r="I1989" s="11" t="n">
        <v>130</v>
      </c>
      <c r="J1989" s="11" t="n">
        <v>0</v>
      </c>
      <c r="K1989" s="11" t="n">
        <f aca="false">H1989*I1989-J1989</f>
        <v>130</v>
      </c>
      <c r="L1989" s="7" t="s">
        <v>93</v>
      </c>
      <c r="M1989" s="7" t="s">
        <v>194</v>
      </c>
      <c r="N1989" s="7" t="n">
        <v>39</v>
      </c>
      <c r="O1989" s="7" t="n">
        <v>5</v>
      </c>
    </row>
    <row r="1990" customFormat="false" ht="15" hidden="false" customHeight="false" outlineLevel="0" collapsed="false">
      <c r="A1990" s="7" t="s">
        <v>1945</v>
      </c>
      <c r="B1990" s="10" t="n">
        <v>45919</v>
      </c>
      <c r="C1990" s="7" t="s">
        <v>1387</v>
      </c>
      <c r="D1990" s="7" t="s">
        <v>1947</v>
      </c>
      <c r="E1990" s="7" t="s">
        <v>94</v>
      </c>
      <c r="F1990" s="7" t="s">
        <v>86</v>
      </c>
      <c r="G1990" s="7" t="s">
        <v>95</v>
      </c>
      <c r="H1990" s="7" t="n">
        <v>3</v>
      </c>
      <c r="I1990" s="11" t="n">
        <v>125</v>
      </c>
      <c r="J1990" s="11" t="n">
        <v>0</v>
      </c>
      <c r="K1990" s="11" t="n">
        <f aca="false">H1990*I1990-J1990</f>
        <v>375</v>
      </c>
      <c r="L1990" s="7" t="s">
        <v>93</v>
      </c>
      <c r="M1990" s="7" t="s">
        <v>194</v>
      </c>
      <c r="N1990" s="7" t="n">
        <v>34</v>
      </c>
      <c r="O1990" s="7" t="n">
        <v>2</v>
      </c>
    </row>
    <row r="1991" customFormat="false" ht="15" hidden="false" customHeight="false" outlineLevel="0" collapsed="false">
      <c r="A1991" s="7" t="s">
        <v>5870</v>
      </c>
      <c r="B1991" s="10" t="n">
        <v>45920</v>
      </c>
      <c r="C1991" s="7" t="s">
        <v>2800</v>
      </c>
      <c r="D1991" s="7" t="s">
        <v>4100</v>
      </c>
      <c r="E1991" s="7" t="s">
        <v>98</v>
      </c>
      <c r="F1991" s="7" t="s">
        <v>86</v>
      </c>
      <c r="G1991" s="7" t="s">
        <v>99</v>
      </c>
      <c r="H1991" s="7" t="n">
        <v>1</v>
      </c>
      <c r="I1991" s="11" t="n">
        <v>245</v>
      </c>
      <c r="J1991" s="11" t="n">
        <v>40</v>
      </c>
      <c r="K1991" s="11" t="n">
        <f aca="false">H1991*I1991-J1991</f>
        <v>205</v>
      </c>
      <c r="L1991" s="7" t="s">
        <v>121</v>
      </c>
      <c r="M1991" s="7" t="s">
        <v>194</v>
      </c>
      <c r="N1991" s="7" t="n">
        <v>31</v>
      </c>
      <c r="O1991" s="7" t="n">
        <v>5</v>
      </c>
    </row>
    <row r="1992" customFormat="false" ht="15" hidden="false" customHeight="false" outlineLevel="0" collapsed="false">
      <c r="A1992" s="7" t="s">
        <v>4555</v>
      </c>
      <c r="B1992" s="10" t="n">
        <v>45920</v>
      </c>
      <c r="C1992" s="7" t="s">
        <v>1449</v>
      </c>
      <c r="D1992" s="7" t="s">
        <v>4557</v>
      </c>
      <c r="E1992" s="7" t="s">
        <v>138</v>
      </c>
      <c r="F1992" s="7" t="s">
        <v>110</v>
      </c>
      <c r="G1992" s="7" t="s">
        <v>139</v>
      </c>
      <c r="H1992" s="7" t="n">
        <v>1</v>
      </c>
      <c r="I1992" s="11" t="n">
        <v>155</v>
      </c>
      <c r="J1992" s="11" t="n">
        <v>30</v>
      </c>
      <c r="K1992" s="11" t="n">
        <f aca="false">H1992*I1992-J1992</f>
        <v>125</v>
      </c>
      <c r="L1992" s="7" t="s">
        <v>88</v>
      </c>
      <c r="M1992" s="7" t="s">
        <v>194</v>
      </c>
      <c r="N1992" s="7" t="n">
        <v>38</v>
      </c>
      <c r="O1992" s="7" t="n">
        <v>3</v>
      </c>
    </row>
    <row r="1993" customFormat="false" ht="15" hidden="false" customHeight="false" outlineLevel="0" collapsed="false">
      <c r="A1993" s="7" t="s">
        <v>5669</v>
      </c>
      <c r="B1993" s="10" t="n">
        <v>45920</v>
      </c>
      <c r="C1993" s="7" t="s">
        <v>796</v>
      </c>
      <c r="D1993" s="7" t="s">
        <v>3114</v>
      </c>
      <c r="E1993" s="7" t="s">
        <v>134</v>
      </c>
      <c r="F1993" s="7" t="s">
        <v>110</v>
      </c>
      <c r="G1993" s="7" t="s">
        <v>117</v>
      </c>
      <c r="H1993" s="7" t="n">
        <v>1</v>
      </c>
      <c r="I1993" s="11" t="n">
        <v>100</v>
      </c>
      <c r="J1993" s="11" t="n">
        <v>0</v>
      </c>
      <c r="K1993" s="11" t="n">
        <f aca="false">H1993*I1993-J1993</f>
        <v>100</v>
      </c>
      <c r="L1993" s="7" t="s">
        <v>103</v>
      </c>
      <c r="M1993" s="7" t="s">
        <v>194</v>
      </c>
      <c r="N1993" s="7" t="n">
        <v>38</v>
      </c>
      <c r="O1993" s="7" t="n">
        <v>4</v>
      </c>
    </row>
    <row r="1994" customFormat="false" ht="15" hidden="false" customHeight="false" outlineLevel="0" collapsed="false">
      <c r="A1994" s="7" t="s">
        <v>3650</v>
      </c>
      <c r="B1994" s="10" t="n">
        <v>45920</v>
      </c>
      <c r="C1994" s="7" t="s">
        <v>1864</v>
      </c>
      <c r="D1994" s="7" t="s">
        <v>1782</v>
      </c>
      <c r="E1994" s="7" t="s">
        <v>126</v>
      </c>
      <c r="F1994" s="7" t="s">
        <v>101</v>
      </c>
      <c r="G1994" s="7" t="s">
        <v>105</v>
      </c>
      <c r="H1994" s="7" t="n">
        <v>3</v>
      </c>
      <c r="I1994" s="11" t="n">
        <v>235</v>
      </c>
      <c r="J1994" s="11" t="n">
        <v>40</v>
      </c>
      <c r="K1994" s="11" t="n">
        <f aca="false">H1994*I1994-J1994</f>
        <v>665</v>
      </c>
      <c r="L1994" s="7" t="s">
        <v>93</v>
      </c>
      <c r="M1994" s="7" t="s">
        <v>194</v>
      </c>
      <c r="N1994" s="7" t="n">
        <v>42</v>
      </c>
      <c r="O1994" s="7" t="n">
        <v>5</v>
      </c>
    </row>
    <row r="1995" customFormat="false" ht="15" hidden="false" customHeight="false" outlineLevel="0" collapsed="false">
      <c r="A1995" s="7" t="s">
        <v>1255</v>
      </c>
      <c r="B1995" s="10" t="n">
        <v>45920</v>
      </c>
      <c r="C1995" s="7" t="s">
        <v>1256</v>
      </c>
      <c r="D1995" s="7" t="s">
        <v>1257</v>
      </c>
      <c r="E1995" s="7" t="s">
        <v>98</v>
      </c>
      <c r="F1995" s="7" t="s">
        <v>86</v>
      </c>
      <c r="G1995" s="7" t="s">
        <v>99</v>
      </c>
      <c r="H1995" s="7" t="n">
        <v>1</v>
      </c>
      <c r="I1995" s="11" t="n">
        <v>280</v>
      </c>
      <c r="J1995" s="11" t="n">
        <v>100</v>
      </c>
      <c r="K1995" s="11" t="n">
        <f aca="false">H1995*I1995-J1995</f>
        <v>180</v>
      </c>
      <c r="L1995" s="7" t="s">
        <v>88</v>
      </c>
      <c r="M1995" s="7" t="s">
        <v>194</v>
      </c>
      <c r="N1995" s="7" t="n">
        <v>47</v>
      </c>
      <c r="O1995" s="7" t="n">
        <v>4</v>
      </c>
    </row>
    <row r="1996" customFormat="false" ht="15" hidden="false" customHeight="false" outlineLevel="0" collapsed="false">
      <c r="A1996" s="7" t="s">
        <v>536</v>
      </c>
      <c r="B1996" s="10" t="n">
        <v>45920</v>
      </c>
      <c r="C1996" s="7" t="s">
        <v>213</v>
      </c>
      <c r="D1996" s="7" t="s">
        <v>538</v>
      </c>
      <c r="E1996" s="7" t="s">
        <v>122</v>
      </c>
      <c r="F1996" s="7" t="s">
        <v>101</v>
      </c>
      <c r="G1996" s="7" t="s">
        <v>123</v>
      </c>
      <c r="H1996" s="7" t="n">
        <v>3</v>
      </c>
      <c r="I1996" s="11" t="n">
        <v>395</v>
      </c>
      <c r="J1996" s="11" t="n">
        <v>0</v>
      </c>
      <c r="K1996" s="11" t="n">
        <f aca="false">H1996*I1996-J1996</f>
        <v>1185</v>
      </c>
      <c r="L1996" s="7" t="s">
        <v>88</v>
      </c>
      <c r="M1996" s="7" t="s">
        <v>194</v>
      </c>
      <c r="N1996" s="7" t="n">
        <v>36</v>
      </c>
      <c r="O1996" s="7" t="n">
        <v>5</v>
      </c>
    </row>
    <row r="1997" customFormat="false" ht="15" hidden="false" customHeight="false" outlineLevel="0" collapsed="false">
      <c r="A1997" s="7" t="s">
        <v>5340</v>
      </c>
      <c r="B1997" s="10" t="n">
        <v>45920</v>
      </c>
      <c r="C1997" s="7" t="s">
        <v>3080</v>
      </c>
      <c r="D1997" s="7" t="s">
        <v>1244</v>
      </c>
      <c r="E1997" s="7" t="s">
        <v>165</v>
      </c>
      <c r="F1997" s="7" t="s">
        <v>146</v>
      </c>
      <c r="G1997" s="7" t="s">
        <v>90</v>
      </c>
      <c r="H1997" s="7" t="n">
        <v>2</v>
      </c>
      <c r="I1997" s="11" t="n">
        <v>220</v>
      </c>
      <c r="J1997" s="11" t="n">
        <v>0</v>
      </c>
      <c r="K1997" s="11" t="n">
        <f aca="false">H1997*I1997-J1997</f>
        <v>440</v>
      </c>
      <c r="L1997" s="7" t="s">
        <v>121</v>
      </c>
      <c r="M1997" s="7" t="s">
        <v>194</v>
      </c>
      <c r="N1997" s="7" t="n">
        <v>24</v>
      </c>
      <c r="O1997" s="7" t="n">
        <v>5</v>
      </c>
    </row>
    <row r="1998" customFormat="false" ht="15" hidden="false" customHeight="false" outlineLevel="0" collapsed="false">
      <c r="A1998" s="7" t="s">
        <v>2544</v>
      </c>
      <c r="B1998" s="10" t="n">
        <v>45921</v>
      </c>
      <c r="C1998" s="7" t="s">
        <v>2545</v>
      </c>
      <c r="D1998" s="7" t="s">
        <v>2546</v>
      </c>
      <c r="E1998" s="7" t="s">
        <v>98</v>
      </c>
      <c r="F1998" s="7" t="s">
        <v>86</v>
      </c>
      <c r="G1998" s="7" t="s">
        <v>99</v>
      </c>
      <c r="H1998" s="7" t="n">
        <v>1</v>
      </c>
      <c r="I1998" s="11" t="n">
        <v>285</v>
      </c>
      <c r="J1998" s="11" t="n">
        <v>75</v>
      </c>
      <c r="K1998" s="11" t="n">
        <f aca="false">H1998*I1998-J1998</f>
        <v>210</v>
      </c>
      <c r="L1998" s="7" t="s">
        <v>103</v>
      </c>
      <c r="M1998" s="7" t="s">
        <v>194</v>
      </c>
      <c r="N1998" s="7" t="n">
        <v>38</v>
      </c>
      <c r="O1998" s="7" t="n">
        <v>5</v>
      </c>
    </row>
    <row r="1999" customFormat="false" ht="15" hidden="false" customHeight="false" outlineLevel="0" collapsed="false">
      <c r="A1999" s="7" t="s">
        <v>1356</v>
      </c>
      <c r="B1999" s="10" t="n">
        <v>45921</v>
      </c>
      <c r="C1999" s="7" t="s">
        <v>1358</v>
      </c>
      <c r="D1999" s="7" t="s">
        <v>1359</v>
      </c>
      <c r="E1999" s="7" t="s">
        <v>142</v>
      </c>
      <c r="F1999" s="7" t="s">
        <v>110</v>
      </c>
      <c r="G1999" s="7" t="s">
        <v>105</v>
      </c>
      <c r="H1999" s="7" t="n">
        <v>2</v>
      </c>
      <c r="I1999" s="11" t="n">
        <v>195</v>
      </c>
      <c r="J1999" s="11" t="n">
        <v>0</v>
      </c>
      <c r="K1999" s="11" t="n">
        <f aca="false">H1999*I1999-J1999</f>
        <v>390</v>
      </c>
      <c r="L1999" s="7" t="s">
        <v>133</v>
      </c>
      <c r="M1999" s="7" t="s">
        <v>194</v>
      </c>
      <c r="N1999" s="7" t="n">
        <v>35</v>
      </c>
      <c r="O1999" s="7" t="n">
        <v>5</v>
      </c>
    </row>
    <row r="2000" customFormat="false" ht="15" hidden="false" customHeight="false" outlineLevel="0" collapsed="false">
      <c r="A2000" s="7" t="s">
        <v>1816</v>
      </c>
      <c r="B2000" s="10" t="n">
        <v>45921</v>
      </c>
      <c r="C2000" s="7" t="s">
        <v>1817</v>
      </c>
      <c r="D2000" s="7" t="s">
        <v>1818</v>
      </c>
      <c r="E2000" s="7" t="s">
        <v>104</v>
      </c>
      <c r="F2000" s="7" t="s">
        <v>86</v>
      </c>
      <c r="G2000" s="7" t="s">
        <v>105</v>
      </c>
      <c r="H2000" s="7" t="n">
        <v>2</v>
      </c>
      <c r="I2000" s="11" t="n">
        <v>230</v>
      </c>
      <c r="J2000" s="11" t="n">
        <v>0</v>
      </c>
      <c r="K2000" s="11" t="n">
        <f aca="false">H2000*I2000-J2000</f>
        <v>460</v>
      </c>
      <c r="L2000" s="7" t="s">
        <v>103</v>
      </c>
      <c r="M2000" s="7" t="s">
        <v>194</v>
      </c>
      <c r="N2000" s="7" t="n">
        <v>26</v>
      </c>
      <c r="O2000" s="7" t="n">
        <v>4</v>
      </c>
    </row>
    <row r="2001" customFormat="false" ht="15" hidden="false" customHeight="false" outlineLevel="0" collapsed="false">
      <c r="A2001" s="7" t="s">
        <v>5484</v>
      </c>
      <c r="B2001" s="10" t="n">
        <v>45921</v>
      </c>
      <c r="C2001" s="7" t="s">
        <v>3346</v>
      </c>
      <c r="D2001" s="7" t="s">
        <v>582</v>
      </c>
      <c r="E2001" s="7" t="s">
        <v>157</v>
      </c>
      <c r="F2001" s="7" t="s">
        <v>136</v>
      </c>
      <c r="G2001" s="7" t="s">
        <v>117</v>
      </c>
      <c r="H2001" s="7" t="n">
        <v>1</v>
      </c>
      <c r="I2001" s="11" t="n">
        <v>120</v>
      </c>
      <c r="J2001" s="11" t="n">
        <v>0</v>
      </c>
      <c r="K2001" s="11" t="n">
        <f aca="false">H2001*I2001-J2001</f>
        <v>120</v>
      </c>
      <c r="L2001" s="7" t="s">
        <v>88</v>
      </c>
      <c r="M2001" s="7" t="s">
        <v>194</v>
      </c>
      <c r="N2001" s="7" t="n">
        <v>39</v>
      </c>
      <c r="O2001" s="7" t="n">
        <v>4</v>
      </c>
    </row>
    <row r="2002" customFormat="false" ht="15" hidden="false" customHeight="false" outlineLevel="0" collapsed="false">
      <c r="A2002" s="7" t="s">
        <v>1609</v>
      </c>
      <c r="B2002" s="10" t="n">
        <v>45921</v>
      </c>
      <c r="C2002" s="7" t="s">
        <v>1610</v>
      </c>
      <c r="D2002" s="7" t="s">
        <v>206</v>
      </c>
      <c r="E2002" s="7" t="s">
        <v>151</v>
      </c>
      <c r="F2002" s="7" t="s">
        <v>128</v>
      </c>
      <c r="G2002" s="7" t="s">
        <v>95</v>
      </c>
      <c r="H2002" s="7" t="n">
        <v>3</v>
      </c>
      <c r="I2002" s="11" t="n">
        <v>160</v>
      </c>
      <c r="J2002" s="11" t="n">
        <v>0</v>
      </c>
      <c r="K2002" s="11" t="n">
        <f aca="false">H2002*I2002-J2002</f>
        <v>480</v>
      </c>
      <c r="L2002" s="7" t="s">
        <v>88</v>
      </c>
      <c r="M2002" s="7" t="s">
        <v>194</v>
      </c>
      <c r="N2002" s="7" t="n">
        <v>15</v>
      </c>
      <c r="O2002" s="7" t="n">
        <v>5</v>
      </c>
    </row>
    <row r="2003" customFormat="false" ht="15" hidden="false" customHeight="false" outlineLevel="0" collapsed="false">
      <c r="A2003" s="7" t="s">
        <v>6055</v>
      </c>
      <c r="B2003" s="10" t="n">
        <v>45921</v>
      </c>
      <c r="C2003" s="7" t="s">
        <v>395</v>
      </c>
      <c r="D2003" s="7" t="s">
        <v>3111</v>
      </c>
      <c r="E2003" s="7" t="s">
        <v>113</v>
      </c>
      <c r="F2003" s="7" t="s">
        <v>101</v>
      </c>
      <c r="G2003" s="7" t="s">
        <v>90</v>
      </c>
      <c r="H2003" s="7" t="n">
        <v>1</v>
      </c>
      <c r="I2003" s="11" t="n">
        <v>255</v>
      </c>
      <c r="J2003" s="11" t="n">
        <v>0</v>
      </c>
      <c r="K2003" s="11" t="n">
        <f aca="false">H2003*I2003-J2003</f>
        <v>255</v>
      </c>
      <c r="L2003" s="7" t="s">
        <v>88</v>
      </c>
      <c r="M2003" s="7" t="s">
        <v>194</v>
      </c>
      <c r="N2003" s="7" t="n">
        <v>46</v>
      </c>
      <c r="O2003" s="7"/>
    </row>
    <row r="2004" customFormat="false" ht="15" hidden="false" customHeight="false" outlineLevel="0" collapsed="false">
      <c r="A2004" s="7" t="s">
        <v>1730</v>
      </c>
      <c r="B2004" s="10" t="n">
        <v>45921</v>
      </c>
      <c r="C2004" s="7" t="s">
        <v>1277</v>
      </c>
      <c r="D2004" s="7" t="s">
        <v>1731</v>
      </c>
      <c r="E2004" s="7" t="s">
        <v>168</v>
      </c>
      <c r="F2004" s="7" t="s">
        <v>146</v>
      </c>
      <c r="G2004" s="7" t="s">
        <v>123</v>
      </c>
      <c r="H2004" s="7" t="n">
        <v>3</v>
      </c>
      <c r="I2004" s="11" t="n">
        <v>355</v>
      </c>
      <c r="J2004" s="11" t="n">
        <v>30</v>
      </c>
      <c r="K2004" s="11" t="n">
        <f aca="false">H2004*I2004-J2004</f>
        <v>1035</v>
      </c>
      <c r="L2004" s="7" t="s">
        <v>88</v>
      </c>
      <c r="M2004" s="7" t="s">
        <v>194</v>
      </c>
      <c r="N2004" s="7" t="n">
        <v>32</v>
      </c>
      <c r="O2004" s="7" t="n">
        <v>5</v>
      </c>
    </row>
    <row r="2005" customFormat="false" ht="15" hidden="false" customHeight="false" outlineLevel="0" collapsed="false">
      <c r="A2005" s="7" t="s">
        <v>5911</v>
      </c>
      <c r="B2005" s="10" t="n">
        <v>45922</v>
      </c>
      <c r="C2005" s="7" t="s">
        <v>5912</v>
      </c>
      <c r="D2005" s="7" t="s">
        <v>3828</v>
      </c>
      <c r="E2005" s="7" t="s">
        <v>134</v>
      </c>
      <c r="F2005" s="7" t="s">
        <v>110</v>
      </c>
      <c r="G2005" s="7" t="s">
        <v>117</v>
      </c>
      <c r="H2005" s="7" t="n">
        <v>1</v>
      </c>
      <c r="I2005" s="11" t="n">
        <v>105</v>
      </c>
      <c r="J2005" s="11" t="n">
        <v>0</v>
      </c>
      <c r="K2005" s="11" t="n">
        <f aca="false">H2005*I2005-J2005</f>
        <v>105</v>
      </c>
      <c r="L2005" s="7" t="s">
        <v>88</v>
      </c>
      <c r="M2005" s="7" t="s">
        <v>194</v>
      </c>
      <c r="N2005" s="7" t="n">
        <v>30</v>
      </c>
      <c r="O2005" s="7"/>
    </row>
    <row r="2006" customFormat="false" ht="15" hidden="false" customHeight="false" outlineLevel="0" collapsed="false">
      <c r="A2006" s="7" t="s">
        <v>2794</v>
      </c>
      <c r="B2006" s="10" t="n">
        <v>45922</v>
      </c>
      <c r="C2006" s="7" t="s">
        <v>1520</v>
      </c>
      <c r="D2006" s="7" t="s">
        <v>2796</v>
      </c>
      <c r="E2006" s="7" t="s">
        <v>126</v>
      </c>
      <c r="F2006" s="7" t="s">
        <v>101</v>
      </c>
      <c r="G2006" s="7" t="s">
        <v>105</v>
      </c>
      <c r="H2006" s="7" t="n">
        <v>3</v>
      </c>
      <c r="I2006" s="11" t="n">
        <v>215</v>
      </c>
      <c r="J2006" s="11" t="n">
        <v>100</v>
      </c>
      <c r="K2006" s="11" t="n">
        <f aca="false">H2006*I2006-J2006</f>
        <v>545</v>
      </c>
      <c r="L2006" s="7" t="s">
        <v>112</v>
      </c>
      <c r="M2006" s="7" t="s">
        <v>194</v>
      </c>
      <c r="N2006" s="7" t="n">
        <v>48</v>
      </c>
      <c r="O2006" s="7" t="n">
        <v>3</v>
      </c>
    </row>
    <row r="2007" customFormat="false" ht="15" hidden="false" customHeight="false" outlineLevel="0" collapsed="false">
      <c r="A2007" s="7" t="s">
        <v>4552</v>
      </c>
      <c r="B2007" s="10" t="n">
        <v>45922</v>
      </c>
      <c r="C2007" s="7" t="s">
        <v>2398</v>
      </c>
      <c r="D2007" s="7" t="s">
        <v>2477</v>
      </c>
      <c r="E2007" s="7" t="s">
        <v>134</v>
      </c>
      <c r="F2007" s="7" t="s">
        <v>110</v>
      </c>
      <c r="G2007" s="7" t="s">
        <v>117</v>
      </c>
      <c r="H2007" s="7" t="n">
        <v>4</v>
      </c>
      <c r="I2007" s="11" t="n">
        <v>105</v>
      </c>
      <c r="J2007" s="11" t="n">
        <v>20</v>
      </c>
      <c r="K2007" s="11" t="n">
        <f aca="false">H2007*I2007-J2007</f>
        <v>400</v>
      </c>
      <c r="L2007" s="7" t="s">
        <v>88</v>
      </c>
      <c r="M2007" s="7" t="s">
        <v>194</v>
      </c>
      <c r="N2007" s="7" t="n">
        <v>48</v>
      </c>
      <c r="O2007" s="7" t="n">
        <v>5</v>
      </c>
    </row>
    <row r="2008" customFormat="false" ht="15" hidden="false" customHeight="false" outlineLevel="0" collapsed="false">
      <c r="A2008" s="7" t="s">
        <v>5929</v>
      </c>
      <c r="B2008" s="10" t="n">
        <v>45922</v>
      </c>
      <c r="C2008" s="7" t="s">
        <v>5930</v>
      </c>
      <c r="D2008" s="7" t="s">
        <v>1169</v>
      </c>
      <c r="E2008" s="7" t="s">
        <v>138</v>
      </c>
      <c r="F2008" s="7" t="s">
        <v>110</v>
      </c>
      <c r="G2008" s="7" t="s">
        <v>139</v>
      </c>
      <c r="H2008" s="7" t="n">
        <v>2</v>
      </c>
      <c r="I2008" s="11" t="n">
        <v>195</v>
      </c>
      <c r="J2008" s="11" t="n">
        <v>150</v>
      </c>
      <c r="K2008" s="11" t="n">
        <f aca="false">H2008*I2008-J2008</f>
        <v>240</v>
      </c>
      <c r="L2008" s="7" t="s">
        <v>88</v>
      </c>
      <c r="M2008" s="7" t="s">
        <v>194</v>
      </c>
      <c r="N2008" s="7" t="n">
        <v>34</v>
      </c>
      <c r="O2008" s="7" t="n">
        <v>3</v>
      </c>
    </row>
    <row r="2009" customFormat="false" ht="15" hidden="false" customHeight="false" outlineLevel="0" collapsed="false">
      <c r="A2009" s="7" t="s">
        <v>3936</v>
      </c>
      <c r="B2009" s="10" t="n">
        <v>45922</v>
      </c>
      <c r="C2009" s="7" t="s">
        <v>668</v>
      </c>
      <c r="D2009" s="7" t="s">
        <v>2188</v>
      </c>
      <c r="E2009" s="7" t="s">
        <v>168</v>
      </c>
      <c r="F2009" s="7" t="s">
        <v>146</v>
      </c>
      <c r="G2009" s="7" t="s">
        <v>123</v>
      </c>
      <c r="H2009" s="7" t="n">
        <v>3</v>
      </c>
      <c r="I2009" s="11" t="n">
        <v>250</v>
      </c>
      <c r="J2009" s="11" t="n">
        <v>50</v>
      </c>
      <c r="K2009" s="11" t="n">
        <f aca="false">H2009*I2009-J2009</f>
        <v>700</v>
      </c>
      <c r="L2009" s="7" t="s">
        <v>133</v>
      </c>
      <c r="M2009" s="7" t="s">
        <v>194</v>
      </c>
      <c r="N2009" s="7" t="n">
        <v>33</v>
      </c>
      <c r="O2009" s="7" t="n">
        <v>3</v>
      </c>
    </row>
    <row r="2010" customFormat="false" ht="15" hidden="false" customHeight="false" outlineLevel="0" collapsed="false">
      <c r="A2010" s="7" t="s">
        <v>4054</v>
      </c>
      <c r="B2010" s="10" t="n">
        <v>45922</v>
      </c>
      <c r="C2010" s="7" t="s">
        <v>4055</v>
      </c>
      <c r="D2010" s="7" t="s">
        <v>3237</v>
      </c>
      <c r="E2010" s="7" t="s">
        <v>113</v>
      </c>
      <c r="F2010" s="7" t="s">
        <v>101</v>
      </c>
      <c r="G2010" s="7" t="s">
        <v>90</v>
      </c>
      <c r="H2010" s="7" t="n">
        <v>2</v>
      </c>
      <c r="I2010" s="11" t="n">
        <v>190</v>
      </c>
      <c r="J2010" s="11" t="n">
        <v>125</v>
      </c>
      <c r="K2010" s="11" t="n">
        <f aca="false">H2010*I2010-J2010</f>
        <v>255</v>
      </c>
      <c r="L2010" s="7" t="s">
        <v>121</v>
      </c>
      <c r="M2010" s="7" t="s">
        <v>194</v>
      </c>
      <c r="N2010" s="7" t="n">
        <v>50</v>
      </c>
      <c r="O2010" s="7" t="n">
        <v>4</v>
      </c>
    </row>
    <row r="2011" customFormat="false" ht="15" hidden="false" customHeight="false" outlineLevel="0" collapsed="false">
      <c r="A2011" s="7" t="s">
        <v>3338</v>
      </c>
      <c r="B2011" s="10" t="n">
        <v>45922</v>
      </c>
      <c r="C2011" s="7" t="s">
        <v>1764</v>
      </c>
      <c r="D2011" s="7" t="s">
        <v>3027</v>
      </c>
      <c r="E2011" s="7" t="s">
        <v>130</v>
      </c>
      <c r="F2011" s="7" t="s">
        <v>110</v>
      </c>
      <c r="G2011" s="7" t="s">
        <v>90</v>
      </c>
      <c r="H2011" s="7" t="n">
        <v>2</v>
      </c>
      <c r="I2011" s="11" t="n">
        <v>275</v>
      </c>
      <c r="J2011" s="11" t="n">
        <v>0</v>
      </c>
      <c r="K2011" s="11" t="n">
        <f aca="false">H2011*I2011-J2011</f>
        <v>550</v>
      </c>
      <c r="L2011" s="7" t="s">
        <v>88</v>
      </c>
      <c r="M2011" s="7" t="s">
        <v>194</v>
      </c>
      <c r="N2011" s="7" t="n">
        <v>44</v>
      </c>
      <c r="O2011" s="7" t="n">
        <v>2</v>
      </c>
    </row>
    <row r="2012" customFormat="false" ht="15" hidden="false" customHeight="false" outlineLevel="0" collapsed="false">
      <c r="A2012" s="7" t="s">
        <v>3799</v>
      </c>
      <c r="B2012" s="10" t="n">
        <v>45922</v>
      </c>
      <c r="C2012" s="7" t="s">
        <v>914</v>
      </c>
      <c r="D2012" s="7" t="s">
        <v>908</v>
      </c>
      <c r="E2012" s="7" t="s">
        <v>167</v>
      </c>
      <c r="F2012" s="7" t="s">
        <v>146</v>
      </c>
      <c r="G2012" s="7" t="s">
        <v>156</v>
      </c>
      <c r="H2012" s="7" t="n">
        <v>5</v>
      </c>
      <c r="I2012" s="11" t="n">
        <v>205</v>
      </c>
      <c r="J2012" s="11" t="n">
        <v>0</v>
      </c>
      <c r="K2012" s="11" t="n">
        <f aca="false">H2012*I2012-J2012</f>
        <v>1025</v>
      </c>
      <c r="L2012" s="7" t="s">
        <v>93</v>
      </c>
      <c r="M2012" s="7" t="s">
        <v>194</v>
      </c>
      <c r="N2012" s="7" t="n">
        <v>43</v>
      </c>
      <c r="O2012" s="7" t="n">
        <v>3</v>
      </c>
    </row>
    <row r="2013" customFormat="false" ht="15" hidden="false" customHeight="false" outlineLevel="0" collapsed="false">
      <c r="A2013" s="7" t="s">
        <v>3345</v>
      </c>
      <c r="B2013" s="10" t="n">
        <v>45922</v>
      </c>
      <c r="C2013" s="7" t="s">
        <v>3346</v>
      </c>
      <c r="D2013" s="7" t="s">
        <v>3347</v>
      </c>
      <c r="E2013" s="7" t="s">
        <v>122</v>
      </c>
      <c r="F2013" s="7" t="s">
        <v>101</v>
      </c>
      <c r="G2013" s="7" t="s">
        <v>123</v>
      </c>
      <c r="H2013" s="7" t="n">
        <v>5</v>
      </c>
      <c r="I2013" s="11" t="n">
        <v>285</v>
      </c>
      <c r="J2013" s="11" t="n">
        <v>150</v>
      </c>
      <c r="K2013" s="11" t="n">
        <f aca="false">H2013*I2013-J2013</f>
        <v>1275</v>
      </c>
      <c r="L2013" s="7" t="s">
        <v>88</v>
      </c>
      <c r="M2013" s="7" t="s">
        <v>194</v>
      </c>
      <c r="N2013" s="7" t="n">
        <v>52</v>
      </c>
      <c r="O2013" s="7" t="n">
        <v>4</v>
      </c>
    </row>
    <row r="2014" customFormat="false" ht="15" hidden="false" customHeight="false" outlineLevel="0" collapsed="false">
      <c r="A2014" s="7" t="s">
        <v>2812</v>
      </c>
      <c r="B2014" s="10" t="n">
        <v>45922</v>
      </c>
      <c r="C2014" s="7" t="s">
        <v>1880</v>
      </c>
      <c r="D2014" s="7" t="s">
        <v>214</v>
      </c>
      <c r="E2014" s="7" t="s">
        <v>130</v>
      </c>
      <c r="F2014" s="7" t="s">
        <v>110</v>
      </c>
      <c r="G2014" s="7" t="s">
        <v>90</v>
      </c>
      <c r="H2014" s="7" t="n">
        <v>3</v>
      </c>
      <c r="I2014" s="11" t="n">
        <v>250</v>
      </c>
      <c r="J2014" s="11" t="n">
        <v>150</v>
      </c>
      <c r="K2014" s="11" t="n">
        <f aca="false">H2014*I2014-J2014</f>
        <v>600</v>
      </c>
      <c r="L2014" s="7" t="s">
        <v>88</v>
      </c>
      <c r="M2014" s="7" t="s">
        <v>194</v>
      </c>
      <c r="N2014" s="7" t="n">
        <v>42</v>
      </c>
      <c r="O2014" s="7" t="n">
        <v>5</v>
      </c>
    </row>
    <row r="2015" customFormat="false" ht="15" hidden="false" customHeight="false" outlineLevel="0" collapsed="false">
      <c r="A2015" s="7" t="s">
        <v>4487</v>
      </c>
      <c r="B2015" s="10" t="n">
        <v>45923</v>
      </c>
      <c r="C2015" s="7" t="s">
        <v>679</v>
      </c>
      <c r="D2015" s="7" t="s">
        <v>4488</v>
      </c>
      <c r="E2015" s="7" t="s">
        <v>122</v>
      </c>
      <c r="F2015" s="7" t="s">
        <v>101</v>
      </c>
      <c r="G2015" s="7" t="s">
        <v>123</v>
      </c>
      <c r="H2015" s="7" t="n">
        <v>4</v>
      </c>
      <c r="I2015" s="11" t="n">
        <v>390</v>
      </c>
      <c r="J2015" s="11" t="n">
        <v>0</v>
      </c>
      <c r="K2015" s="11" t="n">
        <f aca="false">H2015*I2015-J2015</f>
        <v>1560</v>
      </c>
      <c r="L2015" s="7" t="s">
        <v>93</v>
      </c>
      <c r="M2015" s="7" t="s">
        <v>194</v>
      </c>
      <c r="N2015" s="7" t="n">
        <v>42</v>
      </c>
      <c r="O2015" s="7" t="n">
        <v>3</v>
      </c>
    </row>
    <row r="2016" customFormat="false" ht="15" hidden="false" customHeight="false" outlineLevel="0" collapsed="false">
      <c r="A2016" s="7" t="s">
        <v>4088</v>
      </c>
      <c r="B2016" s="10" t="n">
        <v>45923</v>
      </c>
      <c r="C2016" s="7" t="s">
        <v>2317</v>
      </c>
      <c r="D2016" s="7" t="s">
        <v>3228</v>
      </c>
      <c r="E2016" s="7" t="s">
        <v>142</v>
      </c>
      <c r="F2016" s="7" t="s">
        <v>110</v>
      </c>
      <c r="G2016" s="7" t="s">
        <v>105</v>
      </c>
      <c r="H2016" s="7" t="n">
        <v>2</v>
      </c>
      <c r="I2016" s="11" t="n">
        <v>155</v>
      </c>
      <c r="J2016" s="11" t="n">
        <v>0</v>
      </c>
      <c r="K2016" s="11" t="n">
        <f aca="false">H2016*I2016-J2016</f>
        <v>310</v>
      </c>
      <c r="L2016" s="7" t="s">
        <v>88</v>
      </c>
      <c r="M2016" s="7" t="s">
        <v>194</v>
      </c>
      <c r="N2016" s="7" t="n">
        <v>38</v>
      </c>
      <c r="O2016" s="7" t="n">
        <v>3</v>
      </c>
    </row>
    <row r="2017" customFormat="false" ht="15" hidden="false" customHeight="false" outlineLevel="0" collapsed="false">
      <c r="A2017" s="7" t="s">
        <v>5565</v>
      </c>
      <c r="B2017" s="10" t="n">
        <v>45923</v>
      </c>
      <c r="C2017" s="7" t="s">
        <v>3709</v>
      </c>
      <c r="D2017" s="7" t="s">
        <v>2004</v>
      </c>
      <c r="E2017" s="7" t="s">
        <v>154</v>
      </c>
      <c r="F2017" s="7" t="s">
        <v>128</v>
      </c>
      <c r="G2017" s="7" t="s">
        <v>99</v>
      </c>
      <c r="H2017" s="7" t="n">
        <v>2</v>
      </c>
      <c r="I2017" s="11" t="n">
        <v>220</v>
      </c>
      <c r="J2017" s="11" t="n">
        <v>0</v>
      </c>
      <c r="K2017" s="11" t="n">
        <f aca="false">H2017*I2017-J2017</f>
        <v>440</v>
      </c>
      <c r="L2017" s="7" t="s">
        <v>93</v>
      </c>
      <c r="M2017" s="7" t="s">
        <v>194</v>
      </c>
      <c r="N2017" s="7" t="n">
        <v>40</v>
      </c>
      <c r="O2017" s="7" t="n">
        <v>3</v>
      </c>
    </row>
    <row r="2018" customFormat="false" ht="15" hidden="false" customHeight="false" outlineLevel="0" collapsed="false">
      <c r="A2018" s="7" t="s">
        <v>4678</v>
      </c>
      <c r="B2018" s="10" t="n">
        <v>45923</v>
      </c>
      <c r="C2018" s="7" t="s">
        <v>4679</v>
      </c>
      <c r="D2018" s="7" t="s">
        <v>4680</v>
      </c>
      <c r="E2018" s="7" t="s">
        <v>122</v>
      </c>
      <c r="F2018" s="7" t="s">
        <v>101</v>
      </c>
      <c r="G2018" s="7" t="s">
        <v>123</v>
      </c>
      <c r="H2018" s="7" t="n">
        <v>2</v>
      </c>
      <c r="I2018" s="11" t="n">
        <v>420</v>
      </c>
      <c r="J2018" s="11" t="n">
        <v>0</v>
      </c>
      <c r="K2018" s="11" t="n">
        <f aca="false">H2018*I2018-J2018</f>
        <v>840</v>
      </c>
      <c r="L2018" s="7" t="s">
        <v>112</v>
      </c>
      <c r="M2018" s="7" t="s">
        <v>194</v>
      </c>
      <c r="N2018" s="7" t="n">
        <v>41</v>
      </c>
      <c r="O2018" s="7" t="n">
        <v>4</v>
      </c>
    </row>
    <row r="2019" customFormat="false" ht="15" hidden="false" customHeight="false" outlineLevel="0" collapsed="false">
      <c r="A2019" s="7" t="s">
        <v>2695</v>
      </c>
      <c r="B2019" s="10" t="n">
        <v>45923</v>
      </c>
      <c r="C2019" s="7" t="s">
        <v>2696</v>
      </c>
      <c r="D2019" s="7" t="s">
        <v>2697</v>
      </c>
      <c r="E2019" s="7" t="s">
        <v>89</v>
      </c>
      <c r="F2019" s="7" t="s">
        <v>86</v>
      </c>
      <c r="G2019" s="7" t="s">
        <v>90</v>
      </c>
      <c r="H2019" s="7" t="n">
        <v>1</v>
      </c>
      <c r="I2019" s="11" t="n">
        <v>180</v>
      </c>
      <c r="J2019" s="11" t="n">
        <v>72</v>
      </c>
      <c r="K2019" s="11" t="n">
        <f aca="false">H2019*I2019-J2019</f>
        <v>108</v>
      </c>
      <c r="L2019" s="7" t="s">
        <v>88</v>
      </c>
      <c r="M2019" s="7" t="s">
        <v>194</v>
      </c>
      <c r="N2019" s="7" t="n">
        <v>58</v>
      </c>
      <c r="O2019" s="7" t="n">
        <v>2</v>
      </c>
    </row>
    <row r="2020" customFormat="false" ht="15" hidden="false" customHeight="false" outlineLevel="0" collapsed="false">
      <c r="A2020" s="7" t="s">
        <v>2075</v>
      </c>
      <c r="B2020" s="10" t="n">
        <v>45923</v>
      </c>
      <c r="C2020" s="7" t="s">
        <v>2076</v>
      </c>
      <c r="D2020" s="7" t="s">
        <v>2077</v>
      </c>
      <c r="E2020" s="7" t="s">
        <v>104</v>
      </c>
      <c r="F2020" s="7" t="s">
        <v>86</v>
      </c>
      <c r="G2020" s="7" t="s">
        <v>105</v>
      </c>
      <c r="H2020" s="7" t="n">
        <v>1</v>
      </c>
      <c r="I2020" s="11" t="n">
        <v>200</v>
      </c>
      <c r="J2020" s="11" t="n">
        <v>40</v>
      </c>
      <c r="K2020" s="11" t="n">
        <f aca="false">H2020*I2020-J2020</f>
        <v>160</v>
      </c>
      <c r="L2020" s="7" t="s">
        <v>112</v>
      </c>
      <c r="M2020" s="7" t="s">
        <v>194</v>
      </c>
      <c r="N2020" s="7" t="n">
        <v>44</v>
      </c>
      <c r="O2020" s="7" t="n">
        <v>4</v>
      </c>
    </row>
    <row r="2021" customFormat="false" ht="15" hidden="false" customHeight="false" outlineLevel="0" collapsed="false">
      <c r="A2021" s="7" t="s">
        <v>5689</v>
      </c>
      <c r="B2021" s="10" t="n">
        <v>45923</v>
      </c>
      <c r="C2021" s="7" t="s">
        <v>1718</v>
      </c>
      <c r="D2021" s="7" t="s">
        <v>962</v>
      </c>
      <c r="E2021" s="7" t="s">
        <v>122</v>
      </c>
      <c r="F2021" s="7" t="s">
        <v>101</v>
      </c>
      <c r="G2021" s="7" t="s">
        <v>123</v>
      </c>
      <c r="H2021" s="7" t="n">
        <v>4</v>
      </c>
      <c r="I2021" s="11" t="n">
        <v>280</v>
      </c>
      <c r="J2021" s="11" t="n">
        <v>0</v>
      </c>
      <c r="K2021" s="11" t="n">
        <f aca="false">H2021*I2021-J2021</f>
        <v>1120</v>
      </c>
      <c r="L2021" s="7" t="s">
        <v>112</v>
      </c>
      <c r="M2021" s="7" t="s">
        <v>194</v>
      </c>
      <c r="N2021" s="7" t="n">
        <v>45</v>
      </c>
      <c r="O2021" s="7"/>
    </row>
    <row r="2022" customFormat="false" ht="15" hidden="false" customHeight="false" outlineLevel="0" collapsed="false">
      <c r="A2022" s="7" t="s">
        <v>1432</v>
      </c>
      <c r="B2022" s="10" t="n">
        <v>45923</v>
      </c>
      <c r="C2022" s="7" t="s">
        <v>1434</v>
      </c>
      <c r="D2022" s="7" t="s">
        <v>1435</v>
      </c>
      <c r="E2022" s="7" t="s">
        <v>154</v>
      </c>
      <c r="F2022" s="7" t="s">
        <v>128</v>
      </c>
      <c r="G2022" s="7" t="s">
        <v>99</v>
      </c>
      <c r="H2022" s="7" t="n">
        <v>5</v>
      </c>
      <c r="I2022" s="11" t="n">
        <v>285</v>
      </c>
      <c r="J2022" s="11" t="n">
        <v>50</v>
      </c>
      <c r="K2022" s="11" t="n">
        <f aca="false">H2022*I2022-J2022</f>
        <v>1375</v>
      </c>
      <c r="L2022" s="7" t="s">
        <v>88</v>
      </c>
      <c r="M2022" s="7" t="s">
        <v>194</v>
      </c>
      <c r="N2022" s="7" t="n">
        <v>32</v>
      </c>
      <c r="O2022" s="7" t="n">
        <v>3</v>
      </c>
    </row>
    <row r="2023" customFormat="false" ht="15" hidden="false" customHeight="false" outlineLevel="0" collapsed="false">
      <c r="A2023" s="7" t="s">
        <v>5160</v>
      </c>
      <c r="B2023" s="10" t="n">
        <v>45924</v>
      </c>
      <c r="C2023" s="7" t="s">
        <v>5161</v>
      </c>
      <c r="D2023" s="7" t="s">
        <v>5162</v>
      </c>
      <c r="E2023" s="7" t="s">
        <v>138</v>
      </c>
      <c r="F2023" s="7" t="s">
        <v>110</v>
      </c>
      <c r="G2023" s="7" t="s">
        <v>139</v>
      </c>
      <c r="H2023" s="7" t="n">
        <v>1</v>
      </c>
      <c r="I2023" s="11" t="n">
        <v>175</v>
      </c>
      <c r="J2023" s="11" t="n">
        <v>0</v>
      </c>
      <c r="K2023" s="11" t="n">
        <f aca="false">H2023*I2023-J2023</f>
        <v>175</v>
      </c>
      <c r="L2023" s="7" t="s">
        <v>88</v>
      </c>
      <c r="M2023" s="7" t="s">
        <v>194</v>
      </c>
      <c r="N2023" s="7" t="n">
        <v>38</v>
      </c>
      <c r="O2023" s="7" t="n">
        <v>4</v>
      </c>
    </row>
    <row r="2024" customFormat="false" ht="15" hidden="false" customHeight="false" outlineLevel="0" collapsed="false">
      <c r="A2024" s="7" t="s">
        <v>2044</v>
      </c>
      <c r="B2024" s="10" t="n">
        <v>45924</v>
      </c>
      <c r="C2024" s="7" t="s">
        <v>1140</v>
      </c>
      <c r="D2024" s="7" t="s">
        <v>2046</v>
      </c>
      <c r="E2024" s="7" t="s">
        <v>94</v>
      </c>
      <c r="F2024" s="7" t="s">
        <v>86</v>
      </c>
      <c r="G2024" s="7" t="s">
        <v>95</v>
      </c>
      <c r="H2024" s="7" t="n">
        <v>2</v>
      </c>
      <c r="I2024" s="11" t="n">
        <v>120</v>
      </c>
      <c r="J2024" s="11" t="n">
        <v>0</v>
      </c>
      <c r="K2024" s="11" t="n">
        <f aca="false">H2024*I2024-J2024</f>
        <v>240</v>
      </c>
      <c r="L2024" s="7" t="s">
        <v>93</v>
      </c>
      <c r="M2024" s="7" t="s">
        <v>194</v>
      </c>
      <c r="N2024" s="7" t="n">
        <v>39</v>
      </c>
      <c r="O2024" s="7" t="n">
        <v>2</v>
      </c>
    </row>
    <row r="2025" customFormat="false" ht="15" hidden="false" customHeight="false" outlineLevel="0" collapsed="false">
      <c r="A2025" s="7" t="s">
        <v>2661</v>
      </c>
      <c r="B2025" s="10" t="n">
        <v>45924</v>
      </c>
      <c r="C2025" s="7" t="s">
        <v>2663</v>
      </c>
      <c r="D2025" s="7" t="s">
        <v>2664</v>
      </c>
      <c r="E2025" s="7" t="s">
        <v>94</v>
      </c>
      <c r="F2025" s="7" t="s">
        <v>86</v>
      </c>
      <c r="G2025" s="7" t="s">
        <v>95</v>
      </c>
      <c r="H2025" s="7" t="n">
        <v>1</v>
      </c>
      <c r="I2025" s="11" t="n">
        <v>135</v>
      </c>
      <c r="J2025" s="11" t="n">
        <v>0</v>
      </c>
      <c r="K2025" s="11" t="n">
        <f aca="false">H2025*I2025-J2025</f>
        <v>135</v>
      </c>
      <c r="L2025" s="7" t="s">
        <v>121</v>
      </c>
      <c r="M2025" s="7" t="s">
        <v>194</v>
      </c>
      <c r="N2025" s="7" t="n">
        <v>45</v>
      </c>
      <c r="O2025" s="7" t="n">
        <v>4</v>
      </c>
    </row>
    <row r="2026" customFormat="false" ht="15" hidden="false" customHeight="false" outlineLevel="0" collapsed="false">
      <c r="A2026" s="7" t="s">
        <v>3665</v>
      </c>
      <c r="B2026" s="10" t="n">
        <v>45924</v>
      </c>
      <c r="C2026" s="7" t="s">
        <v>1798</v>
      </c>
      <c r="D2026" s="7" t="s">
        <v>2818</v>
      </c>
      <c r="E2026" s="7" t="s">
        <v>122</v>
      </c>
      <c r="F2026" s="7" t="s">
        <v>101</v>
      </c>
      <c r="G2026" s="7" t="s">
        <v>123</v>
      </c>
      <c r="H2026" s="7" t="n">
        <v>1</v>
      </c>
      <c r="I2026" s="11" t="n">
        <v>295</v>
      </c>
      <c r="J2026" s="11" t="n">
        <v>0</v>
      </c>
      <c r="K2026" s="11" t="n">
        <f aca="false">H2026*I2026-J2026</f>
        <v>295</v>
      </c>
      <c r="L2026" s="7" t="s">
        <v>88</v>
      </c>
      <c r="M2026" s="7" t="s">
        <v>194</v>
      </c>
      <c r="N2026" s="7" t="n">
        <v>47</v>
      </c>
      <c r="O2026" s="7" t="n">
        <v>3</v>
      </c>
    </row>
    <row r="2027" customFormat="false" ht="15" hidden="false" customHeight="false" outlineLevel="0" collapsed="false">
      <c r="A2027" s="7" t="s">
        <v>2416</v>
      </c>
      <c r="B2027" s="10" t="n">
        <v>45924</v>
      </c>
      <c r="C2027" s="7" t="s">
        <v>1671</v>
      </c>
      <c r="D2027" s="7" t="s">
        <v>1658</v>
      </c>
      <c r="E2027" s="7" t="s">
        <v>113</v>
      </c>
      <c r="F2027" s="7" t="s">
        <v>101</v>
      </c>
      <c r="G2027" s="7" t="s">
        <v>90</v>
      </c>
      <c r="H2027" s="7" t="n">
        <v>2</v>
      </c>
      <c r="I2027" s="11" t="n">
        <v>260</v>
      </c>
      <c r="J2027" s="11" t="n">
        <v>0</v>
      </c>
      <c r="K2027" s="11" t="n">
        <f aca="false">H2027*I2027-J2027</f>
        <v>520</v>
      </c>
      <c r="L2027" s="7" t="s">
        <v>133</v>
      </c>
      <c r="M2027" s="7" t="s">
        <v>194</v>
      </c>
      <c r="N2027" s="7" t="n">
        <v>42</v>
      </c>
      <c r="O2027" s="7" t="n">
        <v>2</v>
      </c>
    </row>
    <row r="2028" customFormat="false" ht="15" hidden="false" customHeight="false" outlineLevel="0" collapsed="false">
      <c r="A2028" s="7" t="s">
        <v>6073</v>
      </c>
      <c r="B2028" s="10" t="n">
        <v>45924</v>
      </c>
      <c r="C2028" s="7" t="s">
        <v>1824</v>
      </c>
      <c r="D2028" s="7" t="s">
        <v>3428</v>
      </c>
      <c r="E2028" s="7" t="s">
        <v>98</v>
      </c>
      <c r="F2028" s="7" t="s">
        <v>86</v>
      </c>
      <c r="G2028" s="7" t="s">
        <v>99</v>
      </c>
      <c r="H2028" s="7" t="n">
        <v>1</v>
      </c>
      <c r="I2028" s="11" t="n">
        <v>290</v>
      </c>
      <c r="J2028" s="11" t="n">
        <v>0</v>
      </c>
      <c r="K2028" s="11" t="n">
        <f aca="false">H2028*I2028-J2028</f>
        <v>290</v>
      </c>
      <c r="L2028" s="7" t="s">
        <v>88</v>
      </c>
      <c r="M2028" s="7" t="s">
        <v>194</v>
      </c>
      <c r="N2028" s="7" t="n">
        <v>41</v>
      </c>
      <c r="O2028" s="7" t="n">
        <v>4</v>
      </c>
    </row>
    <row r="2029" customFormat="false" ht="15" hidden="false" customHeight="false" outlineLevel="0" collapsed="false">
      <c r="A2029" s="7" t="s">
        <v>5322</v>
      </c>
      <c r="B2029" s="10" t="n">
        <v>45924</v>
      </c>
      <c r="C2029" s="7" t="s">
        <v>3033</v>
      </c>
      <c r="D2029" s="7" t="s">
        <v>4380</v>
      </c>
      <c r="E2029" s="7" t="s">
        <v>94</v>
      </c>
      <c r="F2029" s="7" t="s">
        <v>86</v>
      </c>
      <c r="G2029" s="7" t="s">
        <v>95</v>
      </c>
      <c r="H2029" s="7" t="n">
        <v>2</v>
      </c>
      <c r="I2029" s="11" t="n">
        <v>120</v>
      </c>
      <c r="J2029" s="11" t="n">
        <v>50</v>
      </c>
      <c r="K2029" s="11" t="n">
        <f aca="false">H2029*I2029-J2029</f>
        <v>190</v>
      </c>
      <c r="L2029" s="7" t="s">
        <v>88</v>
      </c>
      <c r="M2029" s="7" t="s">
        <v>194</v>
      </c>
      <c r="N2029" s="7" t="n">
        <v>43</v>
      </c>
      <c r="O2029" s="7" t="n">
        <v>4</v>
      </c>
    </row>
    <row r="2030" customFormat="false" ht="15" hidden="false" customHeight="false" outlineLevel="0" collapsed="false">
      <c r="A2030" s="7" t="s">
        <v>2700</v>
      </c>
      <c r="B2030" s="10" t="n">
        <v>45924</v>
      </c>
      <c r="C2030" s="7" t="s">
        <v>2701</v>
      </c>
      <c r="D2030" s="7" t="s">
        <v>2210</v>
      </c>
      <c r="E2030" s="7" t="s">
        <v>138</v>
      </c>
      <c r="F2030" s="7" t="s">
        <v>110</v>
      </c>
      <c r="G2030" s="7" t="s">
        <v>139</v>
      </c>
      <c r="H2030" s="7" t="n">
        <v>3</v>
      </c>
      <c r="I2030" s="11" t="n">
        <v>185</v>
      </c>
      <c r="J2030" s="11" t="n">
        <v>150</v>
      </c>
      <c r="K2030" s="11" t="n">
        <f aca="false">H2030*I2030-J2030</f>
        <v>405</v>
      </c>
      <c r="L2030" s="7" t="s">
        <v>88</v>
      </c>
      <c r="M2030" s="7" t="s">
        <v>194</v>
      </c>
      <c r="N2030" s="7" t="n">
        <v>42</v>
      </c>
      <c r="O2030" s="7" t="n">
        <v>2</v>
      </c>
    </row>
    <row r="2031" customFormat="false" ht="15" hidden="false" customHeight="false" outlineLevel="0" collapsed="false">
      <c r="A2031" s="7" t="s">
        <v>4321</v>
      </c>
      <c r="B2031" s="10" t="n">
        <v>45924</v>
      </c>
      <c r="C2031" s="7" t="s">
        <v>2366</v>
      </c>
      <c r="D2031" s="7" t="s">
        <v>4322</v>
      </c>
      <c r="E2031" s="7" t="s">
        <v>130</v>
      </c>
      <c r="F2031" s="7" t="s">
        <v>110</v>
      </c>
      <c r="G2031" s="7" t="s">
        <v>90</v>
      </c>
      <c r="H2031" s="7" t="n">
        <v>2</v>
      </c>
      <c r="I2031" s="11" t="n">
        <v>270</v>
      </c>
      <c r="J2031" s="11" t="n">
        <v>125</v>
      </c>
      <c r="K2031" s="11" t="n">
        <f aca="false">H2031*I2031-J2031</f>
        <v>415</v>
      </c>
      <c r="L2031" s="7" t="s">
        <v>133</v>
      </c>
      <c r="M2031" s="7" t="s">
        <v>194</v>
      </c>
      <c r="N2031" s="7" t="n">
        <v>51</v>
      </c>
      <c r="O2031" s="7" t="n">
        <v>4</v>
      </c>
    </row>
    <row r="2032" customFormat="false" ht="15" hidden="false" customHeight="false" outlineLevel="0" collapsed="false">
      <c r="A2032" s="7" t="s">
        <v>4619</v>
      </c>
      <c r="B2032" s="10" t="n">
        <v>45924</v>
      </c>
      <c r="C2032" s="7" t="s">
        <v>3346</v>
      </c>
      <c r="D2032" s="7" t="s">
        <v>3687</v>
      </c>
      <c r="E2032" s="7" t="s">
        <v>147</v>
      </c>
      <c r="F2032" s="7" t="s">
        <v>119</v>
      </c>
      <c r="G2032" s="7" t="s">
        <v>95</v>
      </c>
      <c r="H2032" s="7" t="n">
        <v>2</v>
      </c>
      <c r="I2032" s="11" t="n">
        <v>170</v>
      </c>
      <c r="J2032" s="11" t="n">
        <v>40</v>
      </c>
      <c r="K2032" s="11" t="n">
        <f aca="false">H2032*I2032-J2032</f>
        <v>300</v>
      </c>
      <c r="L2032" s="7" t="s">
        <v>88</v>
      </c>
      <c r="M2032" s="7" t="s">
        <v>194</v>
      </c>
      <c r="N2032" s="7" t="n">
        <v>44</v>
      </c>
      <c r="O2032" s="7" t="n">
        <v>3</v>
      </c>
    </row>
    <row r="2033" customFormat="false" ht="15" hidden="false" customHeight="false" outlineLevel="0" collapsed="false">
      <c r="A2033" s="7" t="s">
        <v>3188</v>
      </c>
      <c r="B2033" s="10" t="n">
        <v>45925</v>
      </c>
      <c r="C2033" s="7" t="s">
        <v>3189</v>
      </c>
      <c r="D2033" s="7" t="s">
        <v>2944</v>
      </c>
      <c r="E2033" s="7" t="s">
        <v>94</v>
      </c>
      <c r="F2033" s="7" t="s">
        <v>86</v>
      </c>
      <c r="G2033" s="7" t="s">
        <v>95</v>
      </c>
      <c r="H2033" s="7" t="n">
        <v>1</v>
      </c>
      <c r="I2033" s="11" t="n">
        <v>125</v>
      </c>
      <c r="J2033" s="11" t="n">
        <v>0</v>
      </c>
      <c r="K2033" s="11" t="n">
        <f aca="false">H2033*I2033-J2033</f>
        <v>125</v>
      </c>
      <c r="L2033" s="7" t="s">
        <v>6170</v>
      </c>
      <c r="M2033" s="7" t="s">
        <v>194</v>
      </c>
      <c r="N2033" s="7" t="n">
        <v>23</v>
      </c>
      <c r="O2033" s="7" t="n">
        <v>3</v>
      </c>
    </row>
    <row r="2034" customFormat="false" ht="15" hidden="false" customHeight="false" outlineLevel="0" collapsed="false">
      <c r="A2034" s="7" t="s">
        <v>3012</v>
      </c>
      <c r="B2034" s="10" t="n">
        <v>45925</v>
      </c>
      <c r="C2034" s="7" t="s">
        <v>3013</v>
      </c>
      <c r="D2034" s="7" t="s">
        <v>3014</v>
      </c>
      <c r="E2034" s="7" t="s">
        <v>138</v>
      </c>
      <c r="F2034" s="7" t="s">
        <v>110</v>
      </c>
      <c r="G2034" s="7" t="s">
        <v>139</v>
      </c>
      <c r="H2034" s="7" t="n">
        <v>2</v>
      </c>
      <c r="I2034" s="11" t="n">
        <v>185</v>
      </c>
      <c r="J2034" s="11" t="n">
        <v>0</v>
      </c>
      <c r="K2034" s="11" t="n">
        <f aca="false">H2034*I2034-J2034</f>
        <v>370</v>
      </c>
      <c r="L2034" s="7" t="s">
        <v>103</v>
      </c>
      <c r="M2034" s="7" t="s">
        <v>194</v>
      </c>
      <c r="N2034" s="7" t="n">
        <v>47</v>
      </c>
      <c r="O2034" s="7" t="n">
        <v>3</v>
      </c>
    </row>
    <row r="2035" customFormat="false" ht="15" hidden="false" customHeight="false" outlineLevel="0" collapsed="false">
      <c r="A2035" s="7" t="s">
        <v>753</v>
      </c>
      <c r="B2035" s="10" t="n">
        <v>45925</v>
      </c>
      <c r="C2035" s="7" t="s">
        <v>755</v>
      </c>
      <c r="D2035" s="7" t="s">
        <v>383</v>
      </c>
      <c r="E2035" s="7" t="s">
        <v>138</v>
      </c>
      <c r="F2035" s="7" t="s">
        <v>110</v>
      </c>
      <c r="G2035" s="7" t="s">
        <v>139</v>
      </c>
      <c r="H2035" s="7" t="n">
        <v>1</v>
      </c>
      <c r="I2035" s="11" t="n">
        <v>170</v>
      </c>
      <c r="J2035" s="11" t="n">
        <v>68</v>
      </c>
      <c r="K2035" s="11" t="n">
        <f aca="false">H2035*I2035-J2035</f>
        <v>102</v>
      </c>
      <c r="L2035" s="7" t="s">
        <v>88</v>
      </c>
      <c r="M2035" s="7" t="s">
        <v>194</v>
      </c>
      <c r="N2035" s="7" t="n">
        <v>37</v>
      </c>
      <c r="O2035" s="7" t="n">
        <v>4</v>
      </c>
    </row>
    <row r="2036" customFormat="false" ht="15" hidden="false" customHeight="false" outlineLevel="0" collapsed="false">
      <c r="A2036" s="7" t="s">
        <v>3622</v>
      </c>
      <c r="B2036" s="10" t="n">
        <v>45925</v>
      </c>
      <c r="C2036" s="7" t="s">
        <v>981</v>
      </c>
      <c r="D2036" s="7" t="s">
        <v>1020</v>
      </c>
      <c r="E2036" s="7" t="s">
        <v>158</v>
      </c>
      <c r="F2036" s="7" t="s">
        <v>136</v>
      </c>
      <c r="G2036" s="7" t="s">
        <v>139</v>
      </c>
      <c r="H2036" s="7" t="n">
        <v>3</v>
      </c>
      <c r="I2036" s="11" t="n">
        <v>210</v>
      </c>
      <c r="J2036" s="11" t="n">
        <v>150</v>
      </c>
      <c r="K2036" s="11" t="n">
        <f aca="false">H2036*I2036-J2036</f>
        <v>480</v>
      </c>
      <c r="L2036" s="7" t="s">
        <v>88</v>
      </c>
      <c r="M2036" s="7" t="s">
        <v>194</v>
      </c>
      <c r="N2036" s="7" t="n">
        <v>28</v>
      </c>
      <c r="O2036" s="7" t="n">
        <v>5</v>
      </c>
    </row>
    <row r="2037" customFormat="false" ht="15" hidden="false" customHeight="false" outlineLevel="0" collapsed="false">
      <c r="A2037" s="7" t="s">
        <v>3640</v>
      </c>
      <c r="B2037" s="10" t="n">
        <v>45925</v>
      </c>
      <c r="C2037" s="7" t="s">
        <v>2600</v>
      </c>
      <c r="D2037" s="7" t="s">
        <v>793</v>
      </c>
      <c r="E2037" s="7" t="s">
        <v>147</v>
      </c>
      <c r="F2037" s="7" t="s">
        <v>119</v>
      </c>
      <c r="G2037" s="7" t="s">
        <v>95</v>
      </c>
      <c r="H2037" s="7" t="n">
        <v>1</v>
      </c>
      <c r="I2037" s="11" t="n">
        <v>165</v>
      </c>
      <c r="J2037" s="11" t="n">
        <v>0</v>
      </c>
      <c r="K2037" s="11" t="n">
        <f aca="false">H2037*I2037-J2037</f>
        <v>165</v>
      </c>
      <c r="L2037" s="7" t="s">
        <v>93</v>
      </c>
      <c r="M2037" s="7" t="s">
        <v>194</v>
      </c>
      <c r="N2037" s="7" t="n">
        <v>40</v>
      </c>
      <c r="O2037" s="7" t="n">
        <v>3</v>
      </c>
    </row>
    <row r="2038" customFormat="false" ht="15" hidden="false" customHeight="false" outlineLevel="0" collapsed="false">
      <c r="A2038" s="7" t="s">
        <v>5570</v>
      </c>
      <c r="B2038" s="10" t="n">
        <v>45925</v>
      </c>
      <c r="C2038" s="7" t="s">
        <v>2714</v>
      </c>
      <c r="D2038" s="7" t="s">
        <v>5300</v>
      </c>
      <c r="E2038" s="7" t="s">
        <v>168</v>
      </c>
      <c r="F2038" s="7" t="s">
        <v>146</v>
      </c>
      <c r="G2038" s="7" t="s">
        <v>123</v>
      </c>
      <c r="H2038" s="7" t="n">
        <v>1</v>
      </c>
      <c r="I2038" s="11" t="n">
        <v>350</v>
      </c>
      <c r="J2038" s="11" t="n">
        <v>20</v>
      </c>
      <c r="K2038" s="11" t="n">
        <f aca="false">H2038*I2038-J2038</f>
        <v>330</v>
      </c>
      <c r="L2038" s="7" t="s">
        <v>112</v>
      </c>
      <c r="M2038" s="7" t="s">
        <v>194</v>
      </c>
      <c r="N2038" s="7" t="n">
        <v>43</v>
      </c>
      <c r="O2038" s="7" t="n">
        <v>4</v>
      </c>
    </row>
    <row r="2039" customFormat="false" ht="15" hidden="false" customHeight="false" outlineLevel="0" collapsed="false">
      <c r="A2039" s="7" t="s">
        <v>2112</v>
      </c>
      <c r="B2039" s="10" t="n">
        <v>45925</v>
      </c>
      <c r="C2039" s="7" t="s">
        <v>2113</v>
      </c>
      <c r="D2039" s="7" t="s">
        <v>2114</v>
      </c>
      <c r="E2039" s="7" t="s">
        <v>113</v>
      </c>
      <c r="F2039" s="7" t="s">
        <v>101</v>
      </c>
      <c r="G2039" s="7" t="s">
        <v>90</v>
      </c>
      <c r="H2039" s="7" t="n">
        <v>3</v>
      </c>
      <c r="I2039" s="11" t="n">
        <v>285</v>
      </c>
      <c r="J2039" s="11" t="n">
        <v>50</v>
      </c>
      <c r="K2039" s="11" t="n">
        <f aca="false">H2039*I2039-J2039</f>
        <v>805</v>
      </c>
      <c r="L2039" s="7" t="s">
        <v>103</v>
      </c>
      <c r="M2039" s="7" t="s">
        <v>194</v>
      </c>
      <c r="N2039" s="7" t="n">
        <v>41</v>
      </c>
      <c r="O2039" s="7" t="n">
        <v>3</v>
      </c>
    </row>
    <row r="2040" customFormat="false" ht="15" hidden="false" customHeight="false" outlineLevel="0" collapsed="false">
      <c r="A2040" s="7" t="s">
        <v>2314</v>
      </c>
      <c r="B2040" s="10" t="n">
        <v>45925</v>
      </c>
      <c r="C2040" s="7" t="s">
        <v>319</v>
      </c>
      <c r="D2040" s="7" t="s">
        <v>2134</v>
      </c>
      <c r="E2040" s="7" t="s">
        <v>134</v>
      </c>
      <c r="F2040" s="7" t="s">
        <v>110</v>
      </c>
      <c r="G2040" s="7" t="s">
        <v>117</v>
      </c>
      <c r="H2040" s="7" t="n">
        <v>1</v>
      </c>
      <c r="I2040" s="11" t="n">
        <v>90</v>
      </c>
      <c r="J2040" s="11" t="n">
        <v>0</v>
      </c>
      <c r="K2040" s="11" t="n">
        <f aca="false">H2040*I2040-J2040</f>
        <v>90</v>
      </c>
      <c r="L2040" s="7" t="s">
        <v>112</v>
      </c>
      <c r="M2040" s="7" t="s">
        <v>194</v>
      </c>
      <c r="N2040" s="7" t="n">
        <v>45</v>
      </c>
      <c r="O2040" s="7" t="n">
        <v>3</v>
      </c>
    </row>
    <row r="2041" customFormat="false" ht="15" hidden="false" customHeight="false" outlineLevel="0" collapsed="false">
      <c r="A2041" s="7" t="s">
        <v>6051</v>
      </c>
      <c r="B2041" s="10" t="n">
        <v>45925</v>
      </c>
      <c r="C2041" s="7" t="s">
        <v>2007</v>
      </c>
      <c r="D2041" s="7" t="s">
        <v>1283</v>
      </c>
      <c r="E2041" s="7" t="s">
        <v>144</v>
      </c>
      <c r="F2041" s="7" t="s">
        <v>119</v>
      </c>
      <c r="G2041" s="7" t="s">
        <v>99</v>
      </c>
      <c r="H2041" s="7" t="n">
        <v>1</v>
      </c>
      <c r="I2041" s="11" t="n">
        <v>290</v>
      </c>
      <c r="J2041" s="11" t="n">
        <v>116</v>
      </c>
      <c r="K2041" s="11" t="n">
        <f aca="false">H2041*I2041-J2041</f>
        <v>174</v>
      </c>
      <c r="L2041" s="7" t="s">
        <v>103</v>
      </c>
      <c r="M2041" s="7" t="s">
        <v>194</v>
      </c>
      <c r="N2041" s="7" t="n">
        <v>34</v>
      </c>
      <c r="O2041" s="7" t="n">
        <v>3</v>
      </c>
    </row>
    <row r="2042" customFormat="false" ht="15" hidden="false" customHeight="false" outlineLevel="0" collapsed="false">
      <c r="A2042" s="7" t="s">
        <v>3596</v>
      </c>
      <c r="B2042" s="10" t="n">
        <v>45925</v>
      </c>
      <c r="C2042" s="7" t="s">
        <v>1517</v>
      </c>
      <c r="D2042" s="7" t="s">
        <v>2174</v>
      </c>
      <c r="E2042" s="7" t="s">
        <v>130</v>
      </c>
      <c r="F2042" s="7" t="s">
        <v>110</v>
      </c>
      <c r="G2042" s="7" t="s">
        <v>90</v>
      </c>
      <c r="H2042" s="7" t="n">
        <v>2</v>
      </c>
      <c r="I2042" s="11" t="n">
        <v>280</v>
      </c>
      <c r="J2042" s="11" t="n">
        <v>0</v>
      </c>
      <c r="K2042" s="11" t="n">
        <f aca="false">H2042*I2042-J2042</f>
        <v>560</v>
      </c>
      <c r="L2042" s="7" t="s">
        <v>112</v>
      </c>
      <c r="M2042" s="7" t="s">
        <v>194</v>
      </c>
      <c r="N2042" s="7" t="n">
        <v>37</v>
      </c>
      <c r="O2042" s="7" t="n">
        <v>5</v>
      </c>
    </row>
    <row r="2043" customFormat="false" ht="15" hidden="false" customHeight="false" outlineLevel="0" collapsed="false">
      <c r="A2043" s="7" t="s">
        <v>4858</v>
      </c>
      <c r="B2043" s="10" t="n">
        <v>45926</v>
      </c>
      <c r="C2043" s="7" t="s">
        <v>4859</v>
      </c>
      <c r="D2043" s="7" t="s">
        <v>3567</v>
      </c>
      <c r="E2043" s="7" t="s">
        <v>148</v>
      </c>
      <c r="F2043" s="7" t="s">
        <v>119</v>
      </c>
      <c r="G2043" s="7" t="s">
        <v>123</v>
      </c>
      <c r="H2043" s="7" t="n">
        <v>1</v>
      </c>
      <c r="I2043" s="11" t="n">
        <v>285</v>
      </c>
      <c r="J2043" s="11" t="n">
        <v>0</v>
      </c>
      <c r="K2043" s="11" t="n">
        <f aca="false">H2043*I2043-J2043</f>
        <v>285</v>
      </c>
      <c r="L2043" s="7" t="s">
        <v>121</v>
      </c>
      <c r="M2043" s="7" t="s">
        <v>194</v>
      </c>
      <c r="N2043" s="7" t="n">
        <v>40</v>
      </c>
      <c r="O2043" s="7" t="n">
        <v>4</v>
      </c>
    </row>
    <row r="2044" customFormat="false" ht="15" hidden="false" customHeight="false" outlineLevel="0" collapsed="false">
      <c r="A2044" s="7" t="s">
        <v>2143</v>
      </c>
      <c r="B2044" s="10" t="n">
        <v>45926</v>
      </c>
      <c r="C2044" s="7" t="s">
        <v>2145</v>
      </c>
      <c r="D2044" s="7" t="s">
        <v>2146</v>
      </c>
      <c r="E2044" s="7" t="s">
        <v>144</v>
      </c>
      <c r="F2044" s="7" t="s">
        <v>119</v>
      </c>
      <c r="G2044" s="7" t="s">
        <v>99</v>
      </c>
      <c r="H2044" s="7" t="n">
        <v>1</v>
      </c>
      <c r="I2044" s="11" t="n">
        <v>290</v>
      </c>
      <c r="J2044" s="11" t="n">
        <v>116</v>
      </c>
      <c r="K2044" s="11" t="n">
        <f aca="false">H2044*I2044-J2044</f>
        <v>174</v>
      </c>
      <c r="L2044" s="7" t="s">
        <v>88</v>
      </c>
      <c r="M2044" s="7" t="s">
        <v>194</v>
      </c>
      <c r="N2044" s="7" t="n">
        <v>31</v>
      </c>
      <c r="O2044" s="7" t="n">
        <v>5</v>
      </c>
    </row>
    <row r="2045" customFormat="false" ht="15" hidden="false" customHeight="false" outlineLevel="0" collapsed="false">
      <c r="A2045" s="7" t="s">
        <v>2305</v>
      </c>
      <c r="B2045" s="10" t="n">
        <v>45926</v>
      </c>
      <c r="C2045" s="7" t="s">
        <v>668</v>
      </c>
      <c r="D2045" s="7" t="s">
        <v>2306</v>
      </c>
      <c r="E2045" s="7" t="s">
        <v>144</v>
      </c>
      <c r="F2045" s="7" t="s">
        <v>119</v>
      </c>
      <c r="G2045" s="7" t="s">
        <v>99</v>
      </c>
      <c r="H2045" s="7" t="n">
        <v>1</v>
      </c>
      <c r="I2045" s="11" t="n">
        <v>275</v>
      </c>
      <c r="J2045" s="11" t="n">
        <v>75</v>
      </c>
      <c r="K2045" s="11" t="n">
        <f aca="false">H2045*I2045-J2045</f>
        <v>200</v>
      </c>
      <c r="L2045" s="7" t="s">
        <v>121</v>
      </c>
      <c r="M2045" s="7" t="s">
        <v>194</v>
      </c>
      <c r="N2045" s="7" t="n">
        <v>38</v>
      </c>
      <c r="O2045" s="7" t="n">
        <v>5</v>
      </c>
    </row>
    <row r="2046" customFormat="false" ht="15" hidden="false" customHeight="false" outlineLevel="0" collapsed="false">
      <c r="A2046" s="7" t="s">
        <v>1588</v>
      </c>
      <c r="B2046" s="10" t="n">
        <v>45926</v>
      </c>
      <c r="C2046" s="7" t="s">
        <v>1589</v>
      </c>
      <c r="D2046" s="7" t="s">
        <v>1590</v>
      </c>
      <c r="E2046" s="7" t="s">
        <v>94</v>
      </c>
      <c r="F2046" s="7" t="s">
        <v>86</v>
      </c>
      <c r="G2046" s="7" t="s">
        <v>95</v>
      </c>
      <c r="H2046" s="7" t="n">
        <v>4</v>
      </c>
      <c r="I2046" s="11" t="n">
        <v>110</v>
      </c>
      <c r="J2046" s="11" t="n">
        <v>50</v>
      </c>
      <c r="K2046" s="11" t="n">
        <f aca="false">H2046*I2046-J2046</f>
        <v>390</v>
      </c>
      <c r="L2046" s="7" t="s">
        <v>88</v>
      </c>
      <c r="M2046" s="7" t="s">
        <v>194</v>
      </c>
      <c r="N2046" s="7" t="n">
        <v>38</v>
      </c>
      <c r="O2046" s="7" t="n">
        <v>5</v>
      </c>
    </row>
    <row r="2047" customFormat="false" ht="15" hidden="false" customHeight="false" outlineLevel="0" collapsed="false">
      <c r="A2047" s="7" t="s">
        <v>4815</v>
      </c>
      <c r="B2047" s="10" t="n">
        <v>45926</v>
      </c>
      <c r="C2047" s="7" t="s">
        <v>3573</v>
      </c>
      <c r="D2047" s="7" t="s">
        <v>4586</v>
      </c>
      <c r="E2047" s="7" t="s">
        <v>126</v>
      </c>
      <c r="F2047" s="7" t="s">
        <v>101</v>
      </c>
      <c r="G2047" s="7" t="s">
        <v>105</v>
      </c>
      <c r="H2047" s="7" t="n">
        <v>1</v>
      </c>
      <c r="I2047" s="11" t="n">
        <v>210</v>
      </c>
      <c r="J2047" s="11" t="n">
        <v>0</v>
      </c>
      <c r="K2047" s="11" t="n">
        <f aca="false">H2047*I2047-J2047</f>
        <v>210</v>
      </c>
      <c r="L2047" s="7" t="s">
        <v>112</v>
      </c>
      <c r="M2047" s="7" t="s">
        <v>194</v>
      </c>
      <c r="N2047" s="7" t="n">
        <v>47</v>
      </c>
      <c r="O2047" s="7" t="n">
        <v>4</v>
      </c>
    </row>
    <row r="2048" customFormat="false" ht="15" hidden="false" customHeight="false" outlineLevel="0" collapsed="false">
      <c r="A2048" s="7" t="s">
        <v>1010</v>
      </c>
      <c r="B2048" s="10" t="n">
        <v>45926</v>
      </c>
      <c r="C2048" s="7" t="s">
        <v>1011</v>
      </c>
      <c r="D2048" s="7" t="s">
        <v>1012</v>
      </c>
      <c r="E2048" s="7" t="s">
        <v>142</v>
      </c>
      <c r="F2048" s="7" t="s">
        <v>110</v>
      </c>
      <c r="G2048" s="7" t="s">
        <v>105</v>
      </c>
      <c r="H2048" s="7" t="n">
        <v>1</v>
      </c>
      <c r="I2048" s="11" t="n">
        <v>180</v>
      </c>
      <c r="J2048" s="11" t="n">
        <v>50</v>
      </c>
      <c r="K2048" s="11" t="n">
        <f aca="false">H2048*I2048-J2048</f>
        <v>130</v>
      </c>
      <c r="L2048" s="7" t="s">
        <v>88</v>
      </c>
      <c r="M2048" s="7" t="s">
        <v>194</v>
      </c>
      <c r="N2048" s="7" t="n">
        <v>38</v>
      </c>
      <c r="O2048" s="7" t="n">
        <v>4</v>
      </c>
    </row>
    <row r="2049" customFormat="false" ht="15" hidden="false" customHeight="false" outlineLevel="0" collapsed="false">
      <c r="A2049" s="7" t="s">
        <v>2470</v>
      </c>
      <c r="B2049" s="10" t="n">
        <v>45926</v>
      </c>
      <c r="C2049" s="7" t="s">
        <v>1087</v>
      </c>
      <c r="D2049" s="7" t="s">
        <v>797</v>
      </c>
      <c r="E2049" s="7" t="s">
        <v>158</v>
      </c>
      <c r="F2049" s="7" t="s">
        <v>136</v>
      </c>
      <c r="G2049" s="7" t="s">
        <v>139</v>
      </c>
      <c r="H2049" s="7" t="n">
        <v>3</v>
      </c>
      <c r="I2049" s="11" t="n">
        <v>170</v>
      </c>
      <c r="J2049" s="11" t="n">
        <v>30</v>
      </c>
      <c r="K2049" s="11" t="n">
        <f aca="false">H2049*I2049-J2049</f>
        <v>480</v>
      </c>
      <c r="L2049" s="7" t="s">
        <v>103</v>
      </c>
      <c r="M2049" s="7" t="s">
        <v>194</v>
      </c>
      <c r="N2049" s="7" t="n">
        <v>38</v>
      </c>
      <c r="O2049" s="7"/>
    </row>
    <row r="2050" customFormat="false" ht="15" hidden="false" customHeight="false" outlineLevel="0" collapsed="false">
      <c r="A2050" s="7" t="s">
        <v>628</v>
      </c>
      <c r="B2050" s="10" t="n">
        <v>45926</v>
      </c>
      <c r="C2050" s="7" t="s">
        <v>630</v>
      </c>
      <c r="D2050" s="7" t="s">
        <v>631</v>
      </c>
      <c r="E2050" s="7" t="s">
        <v>161</v>
      </c>
      <c r="F2050" s="7" t="s">
        <v>141</v>
      </c>
      <c r="G2050" s="7" t="s">
        <v>117</v>
      </c>
      <c r="H2050" s="7" t="n">
        <v>2</v>
      </c>
      <c r="I2050" s="11" t="n">
        <v>150</v>
      </c>
      <c r="J2050" s="11" t="n">
        <v>100</v>
      </c>
      <c r="K2050" s="11" t="n">
        <f aca="false">H2050*I2050-J2050</f>
        <v>200</v>
      </c>
      <c r="L2050" s="7" t="s">
        <v>6170</v>
      </c>
      <c r="M2050" s="7" t="s">
        <v>194</v>
      </c>
      <c r="N2050" s="7" t="n">
        <v>47</v>
      </c>
      <c r="O2050" s="7" t="n">
        <v>5</v>
      </c>
    </row>
    <row r="2051" customFormat="false" ht="15" hidden="false" customHeight="false" outlineLevel="0" collapsed="false">
      <c r="A2051" s="7" t="s">
        <v>5942</v>
      </c>
      <c r="B2051" s="10" t="n">
        <v>45926</v>
      </c>
      <c r="C2051" s="7" t="s">
        <v>4092</v>
      </c>
      <c r="D2051" s="7" t="s">
        <v>2111</v>
      </c>
      <c r="E2051" s="7" t="s">
        <v>149</v>
      </c>
      <c r="F2051" s="7" t="s">
        <v>119</v>
      </c>
      <c r="G2051" s="7" t="s">
        <v>150</v>
      </c>
      <c r="H2051" s="7" t="n">
        <v>2</v>
      </c>
      <c r="I2051" s="11" t="n">
        <v>185</v>
      </c>
      <c r="J2051" s="11" t="n">
        <v>125</v>
      </c>
      <c r="K2051" s="11" t="n">
        <f aca="false">H2051*I2051-J2051</f>
        <v>245</v>
      </c>
      <c r="L2051" s="7" t="s">
        <v>121</v>
      </c>
      <c r="M2051" s="7" t="s">
        <v>194</v>
      </c>
      <c r="N2051" s="7" t="n">
        <v>30</v>
      </c>
      <c r="O2051" s="7" t="n">
        <v>3</v>
      </c>
    </row>
    <row r="2052" customFormat="false" ht="15" hidden="false" customHeight="false" outlineLevel="0" collapsed="false">
      <c r="A2052" s="7" t="s">
        <v>2406</v>
      </c>
      <c r="B2052" s="10" t="n">
        <v>45926</v>
      </c>
      <c r="C2052" s="7" t="s">
        <v>1390</v>
      </c>
      <c r="D2052" s="7" t="s">
        <v>2279</v>
      </c>
      <c r="E2052" s="7" t="s">
        <v>142</v>
      </c>
      <c r="F2052" s="7" t="s">
        <v>110</v>
      </c>
      <c r="G2052" s="7" t="s">
        <v>105</v>
      </c>
      <c r="H2052" s="7" t="n">
        <v>4</v>
      </c>
      <c r="I2052" s="11" t="n">
        <v>170</v>
      </c>
      <c r="J2052" s="11" t="n">
        <v>0</v>
      </c>
      <c r="K2052" s="11" t="n">
        <f aca="false">H2052*I2052-J2052</f>
        <v>680</v>
      </c>
      <c r="L2052" s="7" t="s">
        <v>121</v>
      </c>
      <c r="M2052" s="7" t="s">
        <v>194</v>
      </c>
      <c r="N2052" s="7" t="n">
        <v>43</v>
      </c>
      <c r="O2052" s="7" t="n">
        <v>4</v>
      </c>
    </row>
    <row r="2053" customFormat="false" ht="15" hidden="false" customHeight="false" outlineLevel="0" collapsed="false">
      <c r="A2053" s="7" t="s">
        <v>2140</v>
      </c>
      <c r="B2053" s="10" t="n">
        <v>45927</v>
      </c>
      <c r="C2053" s="7" t="s">
        <v>386</v>
      </c>
      <c r="D2053" s="7" t="s">
        <v>2142</v>
      </c>
      <c r="E2053" s="7" t="s">
        <v>116</v>
      </c>
      <c r="F2053" s="7" t="s">
        <v>101</v>
      </c>
      <c r="G2053" s="7" t="s">
        <v>117</v>
      </c>
      <c r="H2053" s="7" t="n">
        <v>2</v>
      </c>
      <c r="I2053" s="11" t="n">
        <v>125</v>
      </c>
      <c r="J2053" s="11" t="n">
        <v>0</v>
      </c>
      <c r="K2053" s="11" t="n">
        <f aca="false">H2053*I2053-J2053</f>
        <v>250</v>
      </c>
      <c r="L2053" s="7" t="s">
        <v>133</v>
      </c>
      <c r="M2053" s="7" t="s">
        <v>238</v>
      </c>
      <c r="N2053" s="7"/>
      <c r="O2053" s="7"/>
    </row>
    <row r="2054" customFormat="false" ht="15" hidden="false" customHeight="false" outlineLevel="0" collapsed="false">
      <c r="A2054" s="7" t="s">
        <v>4175</v>
      </c>
      <c r="B2054" s="10" t="n">
        <v>45927</v>
      </c>
      <c r="C2054" s="7" t="s">
        <v>3608</v>
      </c>
      <c r="D2054" s="7" t="s">
        <v>805</v>
      </c>
      <c r="E2054" s="7" t="s">
        <v>142</v>
      </c>
      <c r="F2054" s="7" t="s">
        <v>110</v>
      </c>
      <c r="G2054" s="7" t="s">
        <v>105</v>
      </c>
      <c r="H2054" s="7" t="n">
        <v>2</v>
      </c>
      <c r="I2054" s="11" t="n">
        <v>130</v>
      </c>
      <c r="J2054" s="11" t="n">
        <v>104</v>
      </c>
      <c r="K2054" s="11" t="n">
        <f aca="false">H2054*I2054-J2054</f>
        <v>156</v>
      </c>
      <c r="L2054" s="7" t="s">
        <v>103</v>
      </c>
      <c r="M2054" s="7" t="s">
        <v>194</v>
      </c>
      <c r="N2054" s="7" t="n">
        <v>39</v>
      </c>
      <c r="O2054" s="7" t="n">
        <v>4</v>
      </c>
    </row>
    <row r="2055" customFormat="false" ht="15" hidden="false" customHeight="false" outlineLevel="0" collapsed="false">
      <c r="A2055" s="7" t="s">
        <v>5874</v>
      </c>
      <c r="B2055" s="10" t="n">
        <v>45927</v>
      </c>
      <c r="C2055" s="7" t="s">
        <v>5875</v>
      </c>
      <c r="D2055" s="7" t="s">
        <v>4390</v>
      </c>
      <c r="E2055" s="7" t="s">
        <v>104</v>
      </c>
      <c r="F2055" s="7" t="s">
        <v>86</v>
      </c>
      <c r="G2055" s="7" t="s">
        <v>105</v>
      </c>
      <c r="H2055" s="7" t="n">
        <v>3</v>
      </c>
      <c r="I2055" s="11" t="n">
        <v>210</v>
      </c>
      <c r="J2055" s="11" t="n">
        <v>0</v>
      </c>
      <c r="K2055" s="11" t="n">
        <f aca="false">H2055*I2055-J2055</f>
        <v>630</v>
      </c>
      <c r="L2055" s="7" t="s">
        <v>133</v>
      </c>
      <c r="M2055" s="7" t="s">
        <v>194</v>
      </c>
      <c r="N2055" s="7" t="n">
        <v>32</v>
      </c>
      <c r="O2055" s="7"/>
    </row>
    <row r="2056" customFormat="false" ht="15" hidden="false" customHeight="false" outlineLevel="0" collapsed="false">
      <c r="A2056" s="7" t="s">
        <v>3243</v>
      </c>
      <c r="B2056" s="10" t="n">
        <v>45927</v>
      </c>
      <c r="C2056" s="7" t="s">
        <v>3244</v>
      </c>
      <c r="D2056" s="7" t="s">
        <v>2680</v>
      </c>
      <c r="E2056" s="7" t="s">
        <v>165</v>
      </c>
      <c r="F2056" s="7" t="s">
        <v>146</v>
      </c>
      <c r="G2056" s="7" t="s">
        <v>90</v>
      </c>
      <c r="H2056" s="7" t="n">
        <v>1</v>
      </c>
      <c r="I2056" s="11" t="n">
        <v>190</v>
      </c>
      <c r="J2056" s="11" t="n">
        <v>0</v>
      </c>
      <c r="K2056" s="11" t="n">
        <f aca="false">H2056*I2056-J2056</f>
        <v>190</v>
      </c>
      <c r="L2056" s="7" t="s">
        <v>88</v>
      </c>
      <c r="M2056" s="7" t="s">
        <v>194</v>
      </c>
      <c r="N2056" s="7" t="n">
        <v>24</v>
      </c>
      <c r="O2056" s="7" t="n">
        <v>4</v>
      </c>
    </row>
    <row r="2057" customFormat="false" ht="15" hidden="false" customHeight="false" outlineLevel="0" collapsed="false">
      <c r="A2057" s="7" t="s">
        <v>4371</v>
      </c>
      <c r="B2057" s="10" t="n">
        <v>45927</v>
      </c>
      <c r="C2057" s="7" t="s">
        <v>2957</v>
      </c>
      <c r="D2057" s="7" t="s">
        <v>2459</v>
      </c>
      <c r="E2057" s="7" t="s">
        <v>98</v>
      </c>
      <c r="F2057" s="7" t="s">
        <v>86</v>
      </c>
      <c r="G2057" s="7" t="s">
        <v>99</v>
      </c>
      <c r="H2057" s="7" t="n">
        <v>1</v>
      </c>
      <c r="I2057" s="11" t="n">
        <v>270</v>
      </c>
      <c r="J2057" s="11" t="n">
        <v>0</v>
      </c>
      <c r="K2057" s="11" t="n">
        <f aca="false">H2057*I2057-J2057</f>
        <v>270</v>
      </c>
      <c r="L2057" s="7" t="s">
        <v>88</v>
      </c>
      <c r="M2057" s="7" t="s">
        <v>194</v>
      </c>
      <c r="N2057" s="7" t="n">
        <v>39</v>
      </c>
      <c r="O2057" s="7" t="n">
        <v>5</v>
      </c>
    </row>
    <row r="2058" customFormat="false" ht="15" hidden="false" customHeight="false" outlineLevel="0" collapsed="false">
      <c r="A2058" s="7" t="s">
        <v>401</v>
      </c>
      <c r="B2058" s="10" t="n">
        <v>45928</v>
      </c>
      <c r="C2058" s="7" t="s">
        <v>403</v>
      </c>
      <c r="D2058" s="7" t="s">
        <v>404</v>
      </c>
      <c r="E2058" s="7" t="s">
        <v>163</v>
      </c>
      <c r="F2058" s="7" t="s">
        <v>141</v>
      </c>
      <c r="G2058" s="7" t="s">
        <v>99</v>
      </c>
      <c r="H2058" s="7" t="n">
        <v>3</v>
      </c>
      <c r="I2058" s="11" t="n">
        <v>245</v>
      </c>
      <c r="J2058" s="11" t="n">
        <v>30</v>
      </c>
      <c r="K2058" s="11" t="n">
        <f aca="false">H2058*I2058-J2058</f>
        <v>705</v>
      </c>
      <c r="L2058" s="7" t="s">
        <v>103</v>
      </c>
      <c r="M2058" s="7" t="s">
        <v>194</v>
      </c>
      <c r="N2058" s="7" t="n">
        <v>36</v>
      </c>
      <c r="O2058" s="7" t="n">
        <v>4</v>
      </c>
    </row>
    <row r="2059" customFormat="false" ht="15" hidden="false" customHeight="false" outlineLevel="0" collapsed="false">
      <c r="A2059" s="7" t="s">
        <v>539</v>
      </c>
      <c r="B2059" s="10" t="n">
        <v>45928</v>
      </c>
      <c r="C2059" s="7" t="s">
        <v>284</v>
      </c>
      <c r="D2059" s="7" t="s">
        <v>540</v>
      </c>
      <c r="E2059" s="7" t="s">
        <v>113</v>
      </c>
      <c r="F2059" s="7" t="s">
        <v>101</v>
      </c>
      <c r="G2059" s="7" t="s">
        <v>90</v>
      </c>
      <c r="H2059" s="7" t="n">
        <v>2</v>
      </c>
      <c r="I2059" s="11" t="n">
        <v>260</v>
      </c>
      <c r="J2059" s="11" t="n">
        <v>30</v>
      </c>
      <c r="K2059" s="11" t="n">
        <f aca="false">H2059*I2059-J2059</f>
        <v>490</v>
      </c>
      <c r="L2059" s="7" t="s">
        <v>93</v>
      </c>
      <c r="M2059" s="7" t="s">
        <v>194</v>
      </c>
      <c r="N2059" s="7" t="n">
        <v>37</v>
      </c>
      <c r="O2059" s="7" t="n">
        <v>3</v>
      </c>
    </row>
    <row r="2060" customFormat="false" ht="15" hidden="false" customHeight="false" outlineLevel="0" collapsed="false">
      <c r="A2060" s="7" t="s">
        <v>2360</v>
      </c>
      <c r="B2060" s="10" t="n">
        <v>45928</v>
      </c>
      <c r="C2060" s="7" t="s">
        <v>588</v>
      </c>
      <c r="D2060" s="7" t="s">
        <v>2361</v>
      </c>
      <c r="E2060" s="7" t="s">
        <v>155</v>
      </c>
      <c r="F2060" s="7" t="s">
        <v>128</v>
      </c>
      <c r="G2060" s="7" t="s">
        <v>156</v>
      </c>
      <c r="H2060" s="7" t="n">
        <v>1</v>
      </c>
      <c r="I2060" s="11" t="n">
        <v>295</v>
      </c>
      <c r="J2060" s="11" t="n">
        <v>100</v>
      </c>
      <c r="K2060" s="11" t="n">
        <f aca="false">H2060*I2060-J2060</f>
        <v>195</v>
      </c>
      <c r="L2060" s="7" t="s">
        <v>112</v>
      </c>
      <c r="M2060" s="7" t="s">
        <v>194</v>
      </c>
      <c r="N2060" s="7" t="n">
        <v>34</v>
      </c>
      <c r="O2060" s="7" t="n">
        <v>4</v>
      </c>
    </row>
    <row r="2061" customFormat="false" ht="15" hidden="false" customHeight="false" outlineLevel="0" collapsed="false">
      <c r="A2061" s="7" t="s">
        <v>454</v>
      </c>
      <c r="B2061" s="10" t="n">
        <v>45928</v>
      </c>
      <c r="C2061" s="7" t="s">
        <v>455</v>
      </c>
      <c r="D2061" s="7" t="s">
        <v>456</v>
      </c>
      <c r="E2061" s="7" t="s">
        <v>122</v>
      </c>
      <c r="F2061" s="7" t="s">
        <v>101</v>
      </c>
      <c r="G2061" s="7" t="s">
        <v>123</v>
      </c>
      <c r="H2061" s="7" t="n">
        <v>2</v>
      </c>
      <c r="I2061" s="11" t="n">
        <v>300</v>
      </c>
      <c r="J2061" s="11" t="n">
        <v>75</v>
      </c>
      <c r="K2061" s="11" t="n">
        <f aca="false">H2061*I2061-J2061</f>
        <v>525</v>
      </c>
      <c r="L2061" s="7" t="s">
        <v>88</v>
      </c>
      <c r="M2061" s="7" t="s">
        <v>194</v>
      </c>
      <c r="N2061" s="7" t="n">
        <v>54</v>
      </c>
      <c r="O2061" s="7" t="n">
        <v>4</v>
      </c>
    </row>
    <row r="2062" customFormat="false" ht="15" hidden="false" customHeight="false" outlineLevel="0" collapsed="false">
      <c r="A2062" s="7" t="s">
        <v>4981</v>
      </c>
      <c r="B2062" s="10" t="n">
        <v>45928</v>
      </c>
      <c r="C2062" s="7" t="s">
        <v>2691</v>
      </c>
      <c r="D2062" s="7" t="s">
        <v>4982</v>
      </c>
      <c r="E2062" s="7" t="s">
        <v>116</v>
      </c>
      <c r="F2062" s="7" t="s">
        <v>101</v>
      </c>
      <c r="G2062" s="7" t="s">
        <v>117</v>
      </c>
      <c r="H2062" s="7" t="n">
        <v>1</v>
      </c>
      <c r="I2062" s="11" t="n">
        <v>140</v>
      </c>
      <c r="J2062" s="11" t="n">
        <v>30</v>
      </c>
      <c r="K2062" s="11" t="n">
        <f aca="false">H2062*I2062-J2062</f>
        <v>110</v>
      </c>
      <c r="L2062" s="7" t="s">
        <v>88</v>
      </c>
      <c r="M2062" s="7" t="s">
        <v>194</v>
      </c>
      <c r="N2062" s="7" t="n">
        <v>47</v>
      </c>
      <c r="O2062" s="7" t="n">
        <v>4</v>
      </c>
    </row>
    <row r="2063" customFormat="false" ht="15" hidden="false" customHeight="false" outlineLevel="0" collapsed="false">
      <c r="A2063" s="7" t="s">
        <v>5062</v>
      </c>
      <c r="B2063" s="10" t="n">
        <v>45928</v>
      </c>
      <c r="C2063" s="7" t="s">
        <v>1734</v>
      </c>
      <c r="D2063" s="7" t="s">
        <v>5063</v>
      </c>
      <c r="E2063" s="7" t="s">
        <v>147</v>
      </c>
      <c r="F2063" s="7" t="s">
        <v>119</v>
      </c>
      <c r="G2063" s="7" t="s">
        <v>95</v>
      </c>
      <c r="H2063" s="7" t="n">
        <v>1</v>
      </c>
      <c r="I2063" s="11" t="n">
        <v>150</v>
      </c>
      <c r="J2063" s="11" t="n">
        <v>20</v>
      </c>
      <c r="K2063" s="11" t="n">
        <f aca="false">H2063*I2063-J2063</f>
        <v>130</v>
      </c>
      <c r="L2063" s="7" t="s">
        <v>88</v>
      </c>
      <c r="M2063" s="7" t="s">
        <v>194</v>
      </c>
      <c r="N2063" s="7" t="n">
        <v>33</v>
      </c>
      <c r="O2063" s="7" t="n">
        <v>3</v>
      </c>
    </row>
    <row r="2064" customFormat="false" ht="15" hidden="false" customHeight="false" outlineLevel="0" collapsed="false">
      <c r="A2064" s="7" t="s">
        <v>2838</v>
      </c>
      <c r="B2064" s="10" t="n">
        <v>45928</v>
      </c>
      <c r="C2064" s="7" t="s">
        <v>1901</v>
      </c>
      <c r="D2064" s="7" t="s">
        <v>2748</v>
      </c>
      <c r="E2064" s="7" t="s">
        <v>116</v>
      </c>
      <c r="F2064" s="7" t="s">
        <v>101</v>
      </c>
      <c r="G2064" s="7" t="s">
        <v>117</v>
      </c>
      <c r="H2064" s="7" t="n">
        <v>3</v>
      </c>
      <c r="I2064" s="11" t="n">
        <v>125</v>
      </c>
      <c r="J2064" s="11" t="n">
        <v>0</v>
      </c>
      <c r="K2064" s="11" t="n">
        <f aca="false">H2064*I2064-J2064</f>
        <v>375</v>
      </c>
      <c r="L2064" s="7" t="s">
        <v>88</v>
      </c>
      <c r="M2064" s="7" t="s">
        <v>194</v>
      </c>
      <c r="N2064" s="7" t="n">
        <v>45</v>
      </c>
      <c r="O2064" s="7"/>
    </row>
    <row r="2065" customFormat="false" ht="15" hidden="false" customHeight="false" outlineLevel="0" collapsed="false">
      <c r="A2065" s="7" t="s">
        <v>5694</v>
      </c>
      <c r="B2065" s="10" t="n">
        <v>45928</v>
      </c>
      <c r="C2065" s="7" t="s">
        <v>3163</v>
      </c>
      <c r="D2065" s="7" t="s">
        <v>448</v>
      </c>
      <c r="E2065" s="7" t="s">
        <v>98</v>
      </c>
      <c r="F2065" s="7" t="s">
        <v>86</v>
      </c>
      <c r="G2065" s="7" t="s">
        <v>99</v>
      </c>
      <c r="H2065" s="7" t="n">
        <v>1</v>
      </c>
      <c r="I2065" s="11" t="n">
        <v>290</v>
      </c>
      <c r="J2065" s="11" t="n">
        <v>0</v>
      </c>
      <c r="K2065" s="11" t="n">
        <f aca="false">H2065*I2065-J2065</f>
        <v>290</v>
      </c>
      <c r="L2065" s="7" t="s">
        <v>88</v>
      </c>
      <c r="M2065" s="7" t="s">
        <v>194</v>
      </c>
      <c r="N2065" s="7" t="n">
        <v>33</v>
      </c>
      <c r="O2065" s="7" t="n">
        <v>4</v>
      </c>
    </row>
    <row r="2066" customFormat="false" ht="15" hidden="false" customHeight="false" outlineLevel="0" collapsed="false">
      <c r="A2066" s="7" t="s">
        <v>1703</v>
      </c>
      <c r="B2066" s="10" t="n">
        <v>45928</v>
      </c>
      <c r="C2066" s="7" t="s">
        <v>1704</v>
      </c>
      <c r="D2066" s="7" t="s">
        <v>1705</v>
      </c>
      <c r="E2066" s="7" t="s">
        <v>159</v>
      </c>
      <c r="F2066" s="7" t="s">
        <v>136</v>
      </c>
      <c r="G2066" s="7" t="s">
        <v>90</v>
      </c>
      <c r="H2066" s="7" t="n">
        <v>5</v>
      </c>
      <c r="I2066" s="11" t="n">
        <v>260</v>
      </c>
      <c r="J2066" s="11" t="n">
        <v>40</v>
      </c>
      <c r="K2066" s="11" t="n">
        <f aca="false">H2066*I2066-J2066</f>
        <v>1260</v>
      </c>
      <c r="L2066" s="7" t="s">
        <v>88</v>
      </c>
      <c r="M2066" s="7" t="s">
        <v>194</v>
      </c>
      <c r="N2066" s="7" t="n">
        <v>28</v>
      </c>
      <c r="O2066" s="7" t="n">
        <v>3</v>
      </c>
    </row>
    <row r="2067" customFormat="false" ht="15" hidden="false" customHeight="false" outlineLevel="0" collapsed="false">
      <c r="A2067" s="7" t="s">
        <v>4712</v>
      </c>
      <c r="B2067" s="10" t="n">
        <v>45928</v>
      </c>
      <c r="C2067" s="7" t="s">
        <v>817</v>
      </c>
      <c r="D2067" s="7" t="s">
        <v>374</v>
      </c>
      <c r="E2067" s="7" t="s">
        <v>144</v>
      </c>
      <c r="F2067" s="7" t="s">
        <v>119</v>
      </c>
      <c r="G2067" s="7" t="s">
        <v>99</v>
      </c>
      <c r="H2067" s="7" t="n">
        <v>2</v>
      </c>
      <c r="I2067" s="11" t="n">
        <v>290</v>
      </c>
      <c r="J2067" s="11" t="n">
        <v>30</v>
      </c>
      <c r="K2067" s="11" t="n">
        <f aca="false">H2067*I2067-J2067</f>
        <v>550</v>
      </c>
      <c r="L2067" s="7" t="s">
        <v>88</v>
      </c>
      <c r="M2067" s="7" t="s">
        <v>194</v>
      </c>
      <c r="N2067" s="7" t="n">
        <v>30</v>
      </c>
      <c r="O2067" s="7" t="n">
        <v>5</v>
      </c>
    </row>
    <row r="2068" customFormat="false" ht="15" hidden="false" customHeight="false" outlineLevel="0" collapsed="false">
      <c r="A2068" s="7" t="s">
        <v>4937</v>
      </c>
      <c r="B2068" s="10" t="n">
        <v>45928</v>
      </c>
      <c r="C2068" s="7" t="s">
        <v>227</v>
      </c>
      <c r="D2068" s="7" t="s">
        <v>2970</v>
      </c>
      <c r="E2068" s="7" t="s">
        <v>116</v>
      </c>
      <c r="F2068" s="7" t="s">
        <v>101</v>
      </c>
      <c r="G2068" s="7" t="s">
        <v>117</v>
      </c>
      <c r="H2068" s="7" t="n">
        <v>2</v>
      </c>
      <c r="I2068" s="11" t="n">
        <v>120</v>
      </c>
      <c r="J2068" s="11" t="n">
        <v>40</v>
      </c>
      <c r="K2068" s="11" t="n">
        <f aca="false">H2068*I2068-J2068</f>
        <v>200</v>
      </c>
      <c r="L2068" s="7" t="s">
        <v>112</v>
      </c>
      <c r="M2068" s="7" t="s">
        <v>194</v>
      </c>
      <c r="N2068" s="7" t="n">
        <v>40</v>
      </c>
      <c r="O2068" s="7" t="n">
        <v>3</v>
      </c>
    </row>
    <row r="2069" customFormat="false" ht="15" hidden="false" customHeight="false" outlineLevel="0" collapsed="false">
      <c r="A2069" s="7" t="s">
        <v>3562</v>
      </c>
      <c r="B2069" s="10" t="n">
        <v>45928</v>
      </c>
      <c r="C2069" s="7" t="s">
        <v>3564</v>
      </c>
      <c r="D2069" s="7" t="s">
        <v>2318</v>
      </c>
      <c r="E2069" s="7" t="s">
        <v>152</v>
      </c>
      <c r="F2069" s="7" t="s">
        <v>128</v>
      </c>
      <c r="G2069" s="7" t="s">
        <v>95</v>
      </c>
      <c r="H2069" s="7" t="n">
        <v>2</v>
      </c>
      <c r="I2069" s="11" t="n">
        <v>105</v>
      </c>
      <c r="J2069" s="11" t="n">
        <v>0</v>
      </c>
      <c r="K2069" s="11" t="n">
        <f aca="false">H2069*I2069-J2069</f>
        <v>210</v>
      </c>
      <c r="L2069" s="7" t="s">
        <v>88</v>
      </c>
      <c r="M2069" s="7" t="s">
        <v>194</v>
      </c>
      <c r="N2069" s="7" t="n">
        <v>38</v>
      </c>
      <c r="O2069" s="7" t="n">
        <v>4</v>
      </c>
    </row>
    <row r="2070" customFormat="false" ht="15" hidden="false" customHeight="false" outlineLevel="0" collapsed="false">
      <c r="A2070" s="7" t="s">
        <v>4709</v>
      </c>
      <c r="B2070" s="10" t="n">
        <v>45928</v>
      </c>
      <c r="C2070" s="7" t="s">
        <v>3141</v>
      </c>
      <c r="D2070" s="7" t="s">
        <v>1627</v>
      </c>
      <c r="E2070" s="7" t="s">
        <v>154</v>
      </c>
      <c r="F2070" s="7" t="s">
        <v>128</v>
      </c>
      <c r="G2070" s="7" t="s">
        <v>99</v>
      </c>
      <c r="H2070" s="7" t="n">
        <v>4</v>
      </c>
      <c r="I2070" s="11" t="n">
        <v>240</v>
      </c>
      <c r="J2070" s="11" t="n">
        <v>0</v>
      </c>
      <c r="K2070" s="11" t="n">
        <f aca="false">H2070*I2070-J2070</f>
        <v>960</v>
      </c>
      <c r="L2070" s="7" t="s">
        <v>88</v>
      </c>
      <c r="M2070" s="7" t="s">
        <v>194</v>
      </c>
      <c r="N2070" s="7" t="n">
        <v>36</v>
      </c>
      <c r="O2070" s="7" t="n">
        <v>2</v>
      </c>
    </row>
    <row r="2071" customFormat="false" ht="15" hidden="false" customHeight="false" outlineLevel="0" collapsed="false">
      <c r="A2071" s="7" t="s">
        <v>5353</v>
      </c>
      <c r="B2071" s="10" t="n">
        <v>45929</v>
      </c>
      <c r="C2071" s="7" t="s">
        <v>547</v>
      </c>
      <c r="D2071" s="7" t="s">
        <v>5354</v>
      </c>
      <c r="E2071" s="7" t="s">
        <v>89</v>
      </c>
      <c r="F2071" s="7" t="s">
        <v>86</v>
      </c>
      <c r="G2071" s="7" t="s">
        <v>90</v>
      </c>
      <c r="H2071" s="7" t="n">
        <v>5</v>
      </c>
      <c r="I2071" s="11" t="n">
        <v>280</v>
      </c>
      <c r="J2071" s="11" t="n">
        <v>0</v>
      </c>
      <c r="K2071" s="11" t="n">
        <f aca="false">H2071*I2071-J2071</f>
        <v>1400</v>
      </c>
      <c r="L2071" s="7" t="s">
        <v>133</v>
      </c>
      <c r="M2071" s="7" t="s">
        <v>194</v>
      </c>
      <c r="N2071" s="7" t="n">
        <v>34</v>
      </c>
      <c r="O2071" s="7" t="n">
        <v>4</v>
      </c>
    </row>
    <row r="2072" customFormat="false" ht="15" hidden="false" customHeight="false" outlineLevel="0" collapsed="false">
      <c r="A2072" s="7" t="s">
        <v>3407</v>
      </c>
      <c r="B2072" s="10" t="n">
        <v>45929</v>
      </c>
      <c r="C2072" s="7" t="s">
        <v>3408</v>
      </c>
      <c r="D2072" s="7" t="s">
        <v>3409</v>
      </c>
      <c r="E2072" s="7" t="s">
        <v>168</v>
      </c>
      <c r="F2072" s="7" t="s">
        <v>146</v>
      </c>
      <c r="G2072" s="7" t="s">
        <v>123</v>
      </c>
      <c r="H2072" s="7" t="n">
        <v>1</v>
      </c>
      <c r="I2072" s="11" t="n">
        <v>335</v>
      </c>
      <c r="J2072" s="11" t="n">
        <v>0</v>
      </c>
      <c r="K2072" s="11" t="n">
        <f aca="false">H2072*I2072-J2072</f>
        <v>335</v>
      </c>
      <c r="L2072" s="7" t="s">
        <v>88</v>
      </c>
      <c r="M2072" s="7" t="s">
        <v>194</v>
      </c>
      <c r="N2072" s="7" t="n">
        <v>26</v>
      </c>
      <c r="O2072" s="7" t="n">
        <v>4</v>
      </c>
    </row>
    <row r="2073" customFormat="false" ht="15" hidden="false" customHeight="false" outlineLevel="0" collapsed="false">
      <c r="A2073" s="7" t="s">
        <v>3363</v>
      </c>
      <c r="B2073" s="10" t="n">
        <v>45929</v>
      </c>
      <c r="C2073" s="7" t="s">
        <v>2042</v>
      </c>
      <c r="D2073" s="7" t="s">
        <v>3364</v>
      </c>
      <c r="E2073" s="7" t="s">
        <v>126</v>
      </c>
      <c r="F2073" s="7" t="s">
        <v>101</v>
      </c>
      <c r="G2073" s="7" t="s">
        <v>105</v>
      </c>
      <c r="H2073" s="7" t="n">
        <v>3</v>
      </c>
      <c r="I2073" s="11" t="n">
        <v>285</v>
      </c>
      <c r="J2073" s="11" t="n">
        <v>75</v>
      </c>
      <c r="K2073" s="11" t="n">
        <f aca="false">H2073*I2073-J2073</f>
        <v>780</v>
      </c>
      <c r="L2073" s="7" t="s">
        <v>88</v>
      </c>
      <c r="M2073" s="7" t="s">
        <v>194</v>
      </c>
      <c r="N2073" s="7" t="n">
        <v>42</v>
      </c>
      <c r="O2073" s="7" t="n">
        <v>4</v>
      </c>
    </row>
    <row r="2074" customFormat="false" ht="15" hidden="false" customHeight="false" outlineLevel="0" collapsed="false">
      <c r="A2074" s="7" t="s">
        <v>527</v>
      </c>
      <c r="B2074" s="10" t="n">
        <v>45929</v>
      </c>
      <c r="C2074" s="7" t="s">
        <v>529</v>
      </c>
      <c r="D2074" s="7" t="s">
        <v>530</v>
      </c>
      <c r="E2074" s="7" t="s">
        <v>142</v>
      </c>
      <c r="F2074" s="7" t="s">
        <v>110</v>
      </c>
      <c r="G2074" s="7" t="s">
        <v>105</v>
      </c>
      <c r="H2074" s="7" t="n">
        <v>3</v>
      </c>
      <c r="I2074" s="11" t="n">
        <v>170</v>
      </c>
      <c r="J2074" s="11" t="n">
        <v>0</v>
      </c>
      <c r="K2074" s="11" t="n">
        <f aca="false">H2074*I2074-J2074</f>
        <v>510</v>
      </c>
      <c r="L2074" s="7" t="s">
        <v>88</v>
      </c>
      <c r="M2074" s="7" t="s">
        <v>194</v>
      </c>
      <c r="N2074" s="7" t="n">
        <v>35</v>
      </c>
      <c r="O2074" s="7" t="n">
        <v>5</v>
      </c>
    </row>
    <row r="2075" customFormat="false" ht="15" hidden="false" customHeight="false" outlineLevel="0" collapsed="false">
      <c r="A2075" s="7" t="s">
        <v>5448</v>
      </c>
      <c r="B2075" s="10" t="n">
        <v>45929</v>
      </c>
      <c r="C2075" s="7" t="s">
        <v>1313</v>
      </c>
      <c r="D2075" s="7" t="s">
        <v>246</v>
      </c>
      <c r="E2075" s="7" t="s">
        <v>122</v>
      </c>
      <c r="F2075" s="7" t="s">
        <v>101</v>
      </c>
      <c r="G2075" s="7" t="s">
        <v>123</v>
      </c>
      <c r="H2075" s="7" t="n">
        <v>1</v>
      </c>
      <c r="I2075" s="11" t="n">
        <v>265</v>
      </c>
      <c r="J2075" s="11" t="n">
        <v>0</v>
      </c>
      <c r="K2075" s="11" t="n">
        <f aca="false">H2075*I2075-J2075</f>
        <v>265</v>
      </c>
      <c r="L2075" s="7" t="s">
        <v>93</v>
      </c>
      <c r="M2075" s="7" t="s">
        <v>194</v>
      </c>
      <c r="N2075" s="7" t="n">
        <v>48</v>
      </c>
      <c r="O2075" s="7"/>
    </row>
    <row r="2076" customFormat="false" ht="15" hidden="false" customHeight="false" outlineLevel="0" collapsed="false">
      <c r="A2076" s="7" t="s">
        <v>4910</v>
      </c>
      <c r="B2076" s="10" t="n">
        <v>45929</v>
      </c>
      <c r="C2076" s="7" t="s">
        <v>3489</v>
      </c>
      <c r="D2076" s="7" t="s">
        <v>4911</v>
      </c>
      <c r="E2076" s="7" t="s">
        <v>134</v>
      </c>
      <c r="F2076" s="7" t="s">
        <v>110</v>
      </c>
      <c r="G2076" s="7" t="s">
        <v>117</v>
      </c>
      <c r="H2076" s="7" t="n">
        <v>3</v>
      </c>
      <c r="I2076" s="11" t="n">
        <v>120</v>
      </c>
      <c r="J2076" s="11" t="n">
        <v>100</v>
      </c>
      <c r="K2076" s="11" t="n">
        <f aca="false">H2076*I2076-J2076</f>
        <v>260</v>
      </c>
      <c r="L2076" s="7" t="s">
        <v>88</v>
      </c>
      <c r="M2076" s="7" t="s">
        <v>194</v>
      </c>
      <c r="N2076" s="7" t="n">
        <v>42</v>
      </c>
      <c r="O2076" s="7" t="n">
        <v>3</v>
      </c>
    </row>
    <row r="2077" customFormat="false" ht="15" hidden="false" customHeight="false" outlineLevel="0" collapsed="false">
      <c r="A2077" s="7" t="s">
        <v>4374</v>
      </c>
      <c r="B2077" s="10" t="n">
        <v>45929</v>
      </c>
      <c r="C2077" s="7" t="s">
        <v>1620</v>
      </c>
      <c r="D2077" s="7" t="s">
        <v>4237</v>
      </c>
      <c r="E2077" s="7" t="s">
        <v>144</v>
      </c>
      <c r="F2077" s="7" t="s">
        <v>119</v>
      </c>
      <c r="G2077" s="7" t="s">
        <v>99</v>
      </c>
      <c r="H2077" s="7" t="n">
        <v>1</v>
      </c>
      <c r="I2077" s="11" t="n">
        <v>340</v>
      </c>
      <c r="J2077" s="11" t="n">
        <v>0</v>
      </c>
      <c r="K2077" s="11" t="n">
        <f aca="false">H2077*I2077-J2077</f>
        <v>340</v>
      </c>
      <c r="L2077" s="7" t="s">
        <v>6170</v>
      </c>
      <c r="M2077" s="7" t="s">
        <v>194</v>
      </c>
      <c r="N2077" s="7" t="n">
        <v>26</v>
      </c>
      <c r="O2077" s="7" t="n">
        <v>4</v>
      </c>
    </row>
    <row r="2078" customFormat="false" ht="15" hidden="false" customHeight="false" outlineLevel="0" collapsed="false">
      <c r="A2078" s="7" t="s">
        <v>4960</v>
      </c>
      <c r="B2078" s="10" t="n">
        <v>45929</v>
      </c>
      <c r="C2078" s="7" t="s">
        <v>2565</v>
      </c>
      <c r="D2078" s="7" t="s">
        <v>538</v>
      </c>
      <c r="E2078" s="7" t="s">
        <v>167</v>
      </c>
      <c r="F2078" s="7" t="s">
        <v>146</v>
      </c>
      <c r="G2078" s="7" t="s">
        <v>156</v>
      </c>
      <c r="H2078" s="7" t="n">
        <v>2</v>
      </c>
      <c r="I2078" s="11" t="n">
        <v>270</v>
      </c>
      <c r="J2078" s="11" t="n">
        <v>40</v>
      </c>
      <c r="K2078" s="11" t="n">
        <f aca="false">H2078*I2078-J2078</f>
        <v>500</v>
      </c>
      <c r="L2078" s="7" t="s">
        <v>112</v>
      </c>
      <c r="M2078" s="7" t="s">
        <v>194</v>
      </c>
      <c r="N2078" s="7" t="n">
        <v>22</v>
      </c>
      <c r="O2078" s="7" t="n">
        <v>3</v>
      </c>
    </row>
    <row r="2079" customFormat="false" ht="15" hidden="false" customHeight="false" outlineLevel="0" collapsed="false">
      <c r="A2079" s="7" t="s">
        <v>5786</v>
      </c>
      <c r="B2079" s="10" t="n">
        <v>45929</v>
      </c>
      <c r="C2079" s="7" t="s">
        <v>5787</v>
      </c>
      <c r="D2079" s="7" t="s">
        <v>4798</v>
      </c>
      <c r="E2079" s="7" t="s">
        <v>134</v>
      </c>
      <c r="F2079" s="7" t="s">
        <v>110</v>
      </c>
      <c r="G2079" s="7" t="s">
        <v>117</v>
      </c>
      <c r="H2079" s="7" t="n">
        <v>3</v>
      </c>
      <c r="I2079" s="11" t="n">
        <v>80</v>
      </c>
      <c r="J2079" s="11" t="n">
        <v>0</v>
      </c>
      <c r="K2079" s="11" t="n">
        <f aca="false">H2079*I2079-J2079</f>
        <v>240</v>
      </c>
      <c r="L2079" s="7" t="s">
        <v>103</v>
      </c>
      <c r="M2079" s="7" t="s">
        <v>194</v>
      </c>
      <c r="N2079" s="7" t="n">
        <v>37</v>
      </c>
      <c r="O2079" s="7" t="n">
        <v>4</v>
      </c>
    </row>
    <row r="2080" customFormat="false" ht="15" hidden="false" customHeight="false" outlineLevel="0" collapsed="false">
      <c r="A2080" s="7" t="s">
        <v>5030</v>
      </c>
      <c r="B2080" s="10" t="n">
        <v>45930</v>
      </c>
      <c r="C2080" s="7" t="s">
        <v>2688</v>
      </c>
      <c r="D2080" s="7" t="s">
        <v>684</v>
      </c>
      <c r="E2080" s="7" t="s">
        <v>138</v>
      </c>
      <c r="F2080" s="7" t="s">
        <v>110</v>
      </c>
      <c r="G2080" s="7" t="s">
        <v>139</v>
      </c>
      <c r="H2080" s="7" t="n">
        <v>2</v>
      </c>
      <c r="I2080" s="11" t="n">
        <v>180</v>
      </c>
      <c r="J2080" s="11" t="n">
        <v>0</v>
      </c>
      <c r="K2080" s="11" t="n">
        <f aca="false">H2080*I2080-J2080</f>
        <v>360</v>
      </c>
      <c r="L2080" s="7" t="s">
        <v>112</v>
      </c>
      <c r="M2080" s="7" t="s">
        <v>194</v>
      </c>
      <c r="N2080" s="7" t="n">
        <v>42</v>
      </c>
      <c r="O2080" s="7" t="n">
        <v>5</v>
      </c>
    </row>
    <row r="2081" customFormat="false" ht="15" hidden="false" customHeight="false" outlineLevel="0" collapsed="false">
      <c r="A2081" s="7" t="s">
        <v>4670</v>
      </c>
      <c r="B2081" s="10" t="n">
        <v>45930</v>
      </c>
      <c r="C2081" s="7" t="s">
        <v>661</v>
      </c>
      <c r="D2081" s="7" t="s">
        <v>789</v>
      </c>
      <c r="E2081" s="7" t="s">
        <v>89</v>
      </c>
      <c r="F2081" s="7" t="s">
        <v>86</v>
      </c>
      <c r="G2081" s="7" t="s">
        <v>90</v>
      </c>
      <c r="H2081" s="7" t="n">
        <v>3</v>
      </c>
      <c r="I2081" s="11" t="n">
        <v>205</v>
      </c>
      <c r="J2081" s="11" t="n">
        <v>0</v>
      </c>
      <c r="K2081" s="11" t="n">
        <f aca="false">H2081*I2081-J2081</f>
        <v>615</v>
      </c>
      <c r="L2081" s="7" t="s">
        <v>93</v>
      </c>
      <c r="M2081" s="7" t="s">
        <v>194</v>
      </c>
      <c r="N2081" s="7" t="n">
        <v>41</v>
      </c>
      <c r="O2081" s="7" t="n">
        <v>3</v>
      </c>
    </row>
    <row r="2082" customFormat="false" ht="15" hidden="false" customHeight="false" outlineLevel="0" collapsed="false">
      <c r="A2082" s="7" t="s">
        <v>2242</v>
      </c>
      <c r="B2082" s="10" t="n">
        <v>45930</v>
      </c>
      <c r="C2082" s="7" t="s">
        <v>399</v>
      </c>
      <c r="D2082" s="7" t="s">
        <v>1333</v>
      </c>
      <c r="E2082" s="7" t="s">
        <v>130</v>
      </c>
      <c r="F2082" s="7" t="s">
        <v>110</v>
      </c>
      <c r="G2082" s="7" t="s">
        <v>90</v>
      </c>
      <c r="H2082" s="7" t="n">
        <v>2</v>
      </c>
      <c r="I2082" s="11" t="n">
        <v>255</v>
      </c>
      <c r="J2082" s="11" t="n">
        <v>0</v>
      </c>
      <c r="K2082" s="11" t="n">
        <f aca="false">H2082*I2082-J2082</f>
        <v>510</v>
      </c>
      <c r="L2082" s="7" t="s">
        <v>88</v>
      </c>
      <c r="M2082" s="7" t="s">
        <v>194</v>
      </c>
      <c r="N2082" s="7" t="n">
        <v>36</v>
      </c>
      <c r="O2082" s="7" t="n">
        <v>4</v>
      </c>
    </row>
    <row r="2083" customFormat="false" ht="15" hidden="false" customHeight="false" outlineLevel="0" collapsed="false">
      <c r="A2083" s="7" t="s">
        <v>4577</v>
      </c>
      <c r="B2083" s="10" t="n">
        <v>45930</v>
      </c>
      <c r="C2083" s="7" t="s">
        <v>2898</v>
      </c>
      <c r="D2083" s="7" t="s">
        <v>1815</v>
      </c>
      <c r="E2083" s="7" t="s">
        <v>98</v>
      </c>
      <c r="F2083" s="7" t="s">
        <v>86</v>
      </c>
      <c r="G2083" s="7" t="s">
        <v>99</v>
      </c>
      <c r="H2083" s="7" t="n">
        <v>1</v>
      </c>
      <c r="I2083" s="11" t="n">
        <v>230</v>
      </c>
      <c r="J2083" s="11" t="n">
        <v>0</v>
      </c>
      <c r="K2083" s="11" t="n">
        <f aca="false">H2083*I2083-J2083</f>
        <v>230</v>
      </c>
      <c r="L2083" s="7" t="s">
        <v>88</v>
      </c>
      <c r="M2083" s="7" t="s">
        <v>238</v>
      </c>
      <c r="N2083" s="7"/>
      <c r="O2083" s="7"/>
    </row>
    <row r="2084" customFormat="false" ht="15" hidden="false" customHeight="false" outlineLevel="0" collapsed="false">
      <c r="A2084" s="7" t="s">
        <v>5850</v>
      </c>
      <c r="B2084" s="10" t="n">
        <v>45930</v>
      </c>
      <c r="C2084" s="7" t="s">
        <v>1008</v>
      </c>
      <c r="D2084" s="7" t="s">
        <v>425</v>
      </c>
      <c r="E2084" s="7" t="s">
        <v>113</v>
      </c>
      <c r="F2084" s="7" t="s">
        <v>101</v>
      </c>
      <c r="G2084" s="7" t="s">
        <v>90</v>
      </c>
      <c r="H2084" s="7" t="n">
        <v>3</v>
      </c>
      <c r="I2084" s="11" t="n">
        <v>220</v>
      </c>
      <c r="J2084" s="11" t="n">
        <v>40</v>
      </c>
      <c r="K2084" s="11" t="n">
        <f aca="false">H2084*I2084-J2084</f>
        <v>620</v>
      </c>
      <c r="L2084" s="7" t="s">
        <v>112</v>
      </c>
      <c r="M2084" s="7" t="s">
        <v>194</v>
      </c>
      <c r="N2084" s="7" t="n">
        <v>28</v>
      </c>
      <c r="O2084" s="7" t="n">
        <v>4</v>
      </c>
    </row>
    <row r="2085" customFormat="false" ht="15" hidden="false" customHeight="false" outlineLevel="0" collapsed="false">
      <c r="A2085" s="7" t="s">
        <v>5707</v>
      </c>
      <c r="B2085" s="10" t="n">
        <v>45930</v>
      </c>
      <c r="C2085" s="7" t="s">
        <v>5708</v>
      </c>
      <c r="D2085" s="7" t="s">
        <v>3423</v>
      </c>
      <c r="E2085" s="7" t="s">
        <v>130</v>
      </c>
      <c r="F2085" s="7" t="s">
        <v>110</v>
      </c>
      <c r="G2085" s="7" t="s">
        <v>90</v>
      </c>
      <c r="H2085" s="7" t="n">
        <v>2</v>
      </c>
      <c r="I2085" s="11" t="n">
        <v>240</v>
      </c>
      <c r="J2085" s="11" t="n">
        <v>150</v>
      </c>
      <c r="K2085" s="11" t="n">
        <f aca="false">H2085*I2085-J2085</f>
        <v>330</v>
      </c>
      <c r="L2085" s="7" t="s">
        <v>121</v>
      </c>
      <c r="M2085" s="7" t="s">
        <v>238</v>
      </c>
      <c r="N2085" s="7"/>
      <c r="O2085" s="7"/>
    </row>
    <row r="2086" customFormat="false" ht="15" hidden="false" customHeight="false" outlineLevel="0" collapsed="false">
      <c r="A2086" s="7" t="s">
        <v>5079</v>
      </c>
      <c r="B2086" s="10" t="n">
        <v>45930</v>
      </c>
      <c r="C2086" s="7" t="s">
        <v>1358</v>
      </c>
      <c r="D2086" s="7" t="s">
        <v>289</v>
      </c>
      <c r="E2086" s="7" t="s">
        <v>89</v>
      </c>
      <c r="F2086" s="7" t="s">
        <v>86</v>
      </c>
      <c r="G2086" s="7" t="s">
        <v>90</v>
      </c>
      <c r="H2086" s="7" t="n">
        <v>4</v>
      </c>
      <c r="I2086" s="11" t="n">
        <v>205</v>
      </c>
      <c r="J2086" s="11" t="n">
        <v>20</v>
      </c>
      <c r="K2086" s="11" t="n">
        <f aca="false">H2086*I2086-J2086</f>
        <v>800</v>
      </c>
      <c r="L2086" s="7" t="s">
        <v>88</v>
      </c>
      <c r="M2086" s="7" t="s">
        <v>194</v>
      </c>
      <c r="N2086" s="7" t="n">
        <v>37</v>
      </c>
      <c r="O2086" s="7" t="n">
        <v>3</v>
      </c>
    </row>
    <row r="2087" customFormat="false" ht="15" hidden="false" customHeight="false" outlineLevel="0" collapsed="false">
      <c r="A2087" s="7" t="s">
        <v>3808</v>
      </c>
      <c r="B2087" s="10" t="n">
        <v>45930</v>
      </c>
      <c r="C2087" s="7" t="s">
        <v>817</v>
      </c>
      <c r="D2087" s="7" t="s">
        <v>2763</v>
      </c>
      <c r="E2087" s="7" t="s">
        <v>130</v>
      </c>
      <c r="F2087" s="7" t="s">
        <v>110</v>
      </c>
      <c r="G2087" s="7" t="s">
        <v>90</v>
      </c>
      <c r="H2087" s="7" t="n">
        <v>2</v>
      </c>
      <c r="I2087" s="11" t="n">
        <v>270</v>
      </c>
      <c r="J2087" s="11" t="n">
        <v>0</v>
      </c>
      <c r="K2087" s="11" t="n">
        <f aca="false">H2087*I2087-J2087</f>
        <v>540</v>
      </c>
      <c r="L2087" s="7" t="s">
        <v>88</v>
      </c>
      <c r="M2087" s="7" t="s">
        <v>194</v>
      </c>
      <c r="N2087" s="7" t="n">
        <v>55</v>
      </c>
      <c r="O2087" s="7"/>
    </row>
    <row r="2088" customFormat="false" ht="15" hidden="false" customHeight="false" outlineLevel="0" collapsed="false">
      <c r="A2088" s="7" t="s">
        <v>1710</v>
      </c>
      <c r="B2088" s="10" t="n">
        <v>45930</v>
      </c>
      <c r="C2088" s="7" t="s">
        <v>1243</v>
      </c>
      <c r="D2088" s="7" t="s">
        <v>1712</v>
      </c>
      <c r="E2088" s="7" t="s">
        <v>147</v>
      </c>
      <c r="F2088" s="7" t="s">
        <v>119</v>
      </c>
      <c r="G2088" s="7" t="s">
        <v>95</v>
      </c>
      <c r="H2088" s="7" t="n">
        <v>2</v>
      </c>
      <c r="I2088" s="11" t="n">
        <v>155</v>
      </c>
      <c r="J2088" s="11" t="n">
        <v>0</v>
      </c>
      <c r="K2088" s="11" t="n">
        <f aca="false">H2088*I2088-J2088</f>
        <v>310</v>
      </c>
      <c r="L2088" s="7" t="s">
        <v>103</v>
      </c>
      <c r="M2088" s="7" t="s">
        <v>194</v>
      </c>
      <c r="N2088" s="7" t="n">
        <v>40</v>
      </c>
      <c r="O2088" s="7" t="n">
        <v>4</v>
      </c>
    </row>
    <row r="2089" customFormat="false" ht="15" hidden="false" customHeight="false" outlineLevel="0" collapsed="false">
      <c r="A2089" s="7" t="s">
        <v>4499</v>
      </c>
      <c r="B2089" s="10" t="n">
        <v>45931</v>
      </c>
      <c r="C2089" s="7" t="s">
        <v>4500</v>
      </c>
      <c r="D2089" s="7" t="s">
        <v>1632</v>
      </c>
      <c r="E2089" s="7" t="s">
        <v>154</v>
      </c>
      <c r="F2089" s="7" t="s">
        <v>128</v>
      </c>
      <c r="G2089" s="7" t="s">
        <v>99</v>
      </c>
      <c r="H2089" s="7" t="n">
        <v>3</v>
      </c>
      <c r="I2089" s="11" t="n">
        <v>245</v>
      </c>
      <c r="J2089" s="11" t="n">
        <v>0</v>
      </c>
      <c r="K2089" s="11" t="n">
        <f aca="false">H2089*I2089-J2089</f>
        <v>735</v>
      </c>
      <c r="L2089" s="7" t="s">
        <v>88</v>
      </c>
      <c r="M2089" s="7" t="s">
        <v>194</v>
      </c>
      <c r="N2089" s="7" t="n">
        <v>35</v>
      </c>
      <c r="O2089" s="7" t="n">
        <v>4</v>
      </c>
    </row>
    <row r="2090" customFormat="false" ht="15" hidden="false" customHeight="false" outlineLevel="0" collapsed="false">
      <c r="A2090" s="7" t="s">
        <v>3686</v>
      </c>
      <c r="B2090" s="10" t="n">
        <v>45931</v>
      </c>
      <c r="C2090" s="7" t="s">
        <v>1023</v>
      </c>
      <c r="D2090" s="7" t="s">
        <v>3687</v>
      </c>
      <c r="E2090" s="7" t="s">
        <v>147</v>
      </c>
      <c r="F2090" s="7" t="s">
        <v>119</v>
      </c>
      <c r="G2090" s="7" t="s">
        <v>95</v>
      </c>
      <c r="H2090" s="7" t="n">
        <v>5</v>
      </c>
      <c r="I2090" s="11" t="n">
        <v>170</v>
      </c>
      <c r="J2090" s="11" t="n">
        <v>0</v>
      </c>
      <c r="K2090" s="11" t="n">
        <f aca="false">H2090*I2090-J2090</f>
        <v>850</v>
      </c>
      <c r="L2090" s="7" t="s">
        <v>103</v>
      </c>
      <c r="M2090" s="7" t="s">
        <v>194</v>
      </c>
      <c r="N2090" s="7" t="n">
        <v>34</v>
      </c>
      <c r="O2090" s="7" t="n">
        <v>4</v>
      </c>
    </row>
    <row r="2091" customFormat="false" ht="15" hidden="false" customHeight="false" outlineLevel="0" collapsed="false">
      <c r="A2091" s="7" t="s">
        <v>5964</v>
      </c>
      <c r="B2091" s="10" t="n">
        <v>45931</v>
      </c>
      <c r="C2091" s="7" t="s">
        <v>3217</v>
      </c>
      <c r="D2091" s="7" t="s">
        <v>3426</v>
      </c>
      <c r="E2091" s="7" t="s">
        <v>89</v>
      </c>
      <c r="F2091" s="7" t="s">
        <v>86</v>
      </c>
      <c r="G2091" s="7" t="s">
        <v>90</v>
      </c>
      <c r="H2091" s="7" t="n">
        <v>1</v>
      </c>
      <c r="I2091" s="11" t="n">
        <v>220</v>
      </c>
      <c r="J2091" s="11" t="n">
        <v>75</v>
      </c>
      <c r="K2091" s="11" t="n">
        <f aca="false">H2091*I2091-J2091</f>
        <v>145</v>
      </c>
      <c r="L2091" s="7" t="s">
        <v>88</v>
      </c>
      <c r="M2091" s="7" t="s">
        <v>194</v>
      </c>
      <c r="N2091" s="7" t="n">
        <v>43</v>
      </c>
      <c r="O2091" s="7" t="n">
        <v>5</v>
      </c>
    </row>
    <row r="2092" customFormat="false" ht="15" hidden="false" customHeight="false" outlineLevel="0" collapsed="false">
      <c r="A2092" s="7" t="s">
        <v>718</v>
      </c>
      <c r="B2092" s="10" t="n">
        <v>45931</v>
      </c>
      <c r="C2092" s="7" t="s">
        <v>720</v>
      </c>
      <c r="D2092" s="7" t="s">
        <v>721</v>
      </c>
      <c r="E2092" s="7" t="s">
        <v>94</v>
      </c>
      <c r="F2092" s="7" t="s">
        <v>86</v>
      </c>
      <c r="G2092" s="7" t="s">
        <v>95</v>
      </c>
      <c r="H2092" s="7" t="n">
        <v>1</v>
      </c>
      <c r="I2092" s="11" t="n">
        <v>95</v>
      </c>
      <c r="J2092" s="11" t="n">
        <v>0</v>
      </c>
      <c r="K2092" s="11" t="n">
        <f aca="false">H2092*I2092-J2092</f>
        <v>95</v>
      </c>
      <c r="L2092" s="7" t="s">
        <v>112</v>
      </c>
      <c r="M2092" s="7" t="s">
        <v>194</v>
      </c>
      <c r="N2092" s="7" t="n">
        <v>47</v>
      </c>
      <c r="O2092" s="7" t="n">
        <v>4</v>
      </c>
    </row>
    <row r="2093" customFormat="false" ht="15" hidden="false" customHeight="false" outlineLevel="0" collapsed="false">
      <c r="A2093" s="7" t="s">
        <v>5185</v>
      </c>
      <c r="B2093" s="10" t="n">
        <v>45931</v>
      </c>
      <c r="C2093" s="7" t="s">
        <v>4383</v>
      </c>
      <c r="D2093" s="7" t="s">
        <v>2290</v>
      </c>
      <c r="E2093" s="7" t="s">
        <v>94</v>
      </c>
      <c r="F2093" s="7" t="s">
        <v>86</v>
      </c>
      <c r="G2093" s="7" t="s">
        <v>95</v>
      </c>
      <c r="H2093" s="7" t="n">
        <v>1</v>
      </c>
      <c r="I2093" s="11" t="n">
        <v>115</v>
      </c>
      <c r="J2093" s="11" t="n">
        <v>46</v>
      </c>
      <c r="K2093" s="11" t="n">
        <f aca="false">H2093*I2093-J2093</f>
        <v>69</v>
      </c>
      <c r="L2093" s="7" t="s">
        <v>112</v>
      </c>
      <c r="M2093" s="7" t="s">
        <v>238</v>
      </c>
      <c r="N2093" s="7"/>
      <c r="O2093" s="7"/>
    </row>
    <row r="2094" customFormat="false" ht="15" hidden="false" customHeight="false" outlineLevel="0" collapsed="false">
      <c r="A2094" s="7" t="s">
        <v>3582</v>
      </c>
      <c r="B2094" s="10" t="n">
        <v>45931</v>
      </c>
      <c r="C2094" s="7" t="s">
        <v>1694</v>
      </c>
      <c r="D2094" s="7" t="s">
        <v>784</v>
      </c>
      <c r="E2094" s="7" t="s">
        <v>168</v>
      </c>
      <c r="F2094" s="7" t="s">
        <v>146</v>
      </c>
      <c r="G2094" s="7" t="s">
        <v>123</v>
      </c>
      <c r="H2094" s="7" t="n">
        <v>1</v>
      </c>
      <c r="I2094" s="11" t="n">
        <v>330</v>
      </c>
      <c r="J2094" s="11" t="n">
        <v>50</v>
      </c>
      <c r="K2094" s="11" t="n">
        <f aca="false">H2094*I2094-J2094</f>
        <v>280</v>
      </c>
      <c r="L2094" s="7" t="s">
        <v>88</v>
      </c>
      <c r="M2094" s="7" t="s">
        <v>194</v>
      </c>
      <c r="N2094" s="7" t="n">
        <v>23</v>
      </c>
      <c r="O2094" s="7" t="n">
        <v>4</v>
      </c>
    </row>
    <row r="2095" customFormat="false" ht="15" hidden="false" customHeight="false" outlineLevel="0" collapsed="false">
      <c r="A2095" s="7" t="s">
        <v>5580</v>
      </c>
      <c r="B2095" s="10" t="n">
        <v>45931</v>
      </c>
      <c r="C2095" s="7" t="s">
        <v>2205</v>
      </c>
      <c r="D2095" s="7" t="s">
        <v>192</v>
      </c>
      <c r="E2095" s="7" t="s">
        <v>167</v>
      </c>
      <c r="F2095" s="7" t="s">
        <v>146</v>
      </c>
      <c r="G2095" s="7" t="s">
        <v>156</v>
      </c>
      <c r="H2095" s="7" t="n">
        <v>2</v>
      </c>
      <c r="I2095" s="11" t="n">
        <v>240</v>
      </c>
      <c r="J2095" s="11" t="n">
        <v>50</v>
      </c>
      <c r="K2095" s="11" t="n">
        <f aca="false">H2095*I2095-J2095</f>
        <v>430</v>
      </c>
      <c r="L2095" s="7" t="s">
        <v>93</v>
      </c>
      <c r="M2095" s="7" t="s">
        <v>194</v>
      </c>
      <c r="N2095" s="7" t="n">
        <v>39</v>
      </c>
      <c r="O2095" s="7" t="n">
        <v>4</v>
      </c>
    </row>
    <row r="2096" customFormat="false" ht="15" hidden="false" customHeight="false" outlineLevel="0" collapsed="false">
      <c r="A2096" s="7" t="s">
        <v>3404</v>
      </c>
      <c r="B2096" s="10" t="n">
        <v>45931</v>
      </c>
      <c r="C2096" s="7" t="s">
        <v>543</v>
      </c>
      <c r="D2096" s="7" t="s">
        <v>3329</v>
      </c>
      <c r="E2096" s="7" t="s">
        <v>94</v>
      </c>
      <c r="F2096" s="7" t="s">
        <v>86</v>
      </c>
      <c r="G2096" s="7" t="s">
        <v>95</v>
      </c>
      <c r="H2096" s="7" t="n">
        <v>3</v>
      </c>
      <c r="I2096" s="11" t="n">
        <v>125</v>
      </c>
      <c r="J2096" s="11" t="n">
        <v>0</v>
      </c>
      <c r="K2096" s="11" t="n">
        <f aca="false">H2096*I2096-J2096</f>
        <v>375</v>
      </c>
      <c r="L2096" s="7" t="s">
        <v>88</v>
      </c>
      <c r="M2096" s="7" t="s">
        <v>194</v>
      </c>
      <c r="N2096" s="7" t="n">
        <v>30</v>
      </c>
      <c r="O2096" s="7" t="n">
        <v>4</v>
      </c>
    </row>
    <row r="2097" customFormat="false" ht="15" hidden="false" customHeight="false" outlineLevel="0" collapsed="false">
      <c r="A2097" s="7" t="s">
        <v>1969</v>
      </c>
      <c r="B2097" s="10" t="n">
        <v>45931</v>
      </c>
      <c r="C2097" s="7" t="s">
        <v>568</v>
      </c>
      <c r="D2097" s="7" t="s">
        <v>1493</v>
      </c>
      <c r="E2097" s="7" t="s">
        <v>161</v>
      </c>
      <c r="F2097" s="7" t="s">
        <v>141</v>
      </c>
      <c r="G2097" s="7" t="s">
        <v>117</v>
      </c>
      <c r="H2097" s="7" t="n">
        <v>2</v>
      </c>
      <c r="I2097" s="11" t="n">
        <v>145</v>
      </c>
      <c r="J2097" s="11" t="n">
        <v>30</v>
      </c>
      <c r="K2097" s="11" t="n">
        <f aca="false">H2097*I2097-J2097</f>
        <v>260</v>
      </c>
      <c r="L2097" s="7" t="s">
        <v>112</v>
      </c>
      <c r="M2097" s="7" t="s">
        <v>194</v>
      </c>
      <c r="N2097" s="7" t="n">
        <v>40</v>
      </c>
      <c r="O2097" s="7" t="n">
        <v>4</v>
      </c>
    </row>
    <row r="2098" customFormat="false" ht="15" hidden="false" customHeight="false" outlineLevel="0" collapsed="false">
      <c r="A2098" s="7" t="s">
        <v>5868</v>
      </c>
      <c r="B2098" s="10" t="n">
        <v>45931</v>
      </c>
      <c r="C2098" s="7" t="s">
        <v>296</v>
      </c>
      <c r="D2098" s="7" t="s">
        <v>1962</v>
      </c>
      <c r="E2098" s="7" t="s">
        <v>138</v>
      </c>
      <c r="F2098" s="7" t="s">
        <v>110</v>
      </c>
      <c r="G2098" s="7" t="s">
        <v>139</v>
      </c>
      <c r="H2098" s="7" t="n">
        <v>3</v>
      </c>
      <c r="I2098" s="11" t="n">
        <v>165</v>
      </c>
      <c r="J2098" s="11" t="n">
        <v>0</v>
      </c>
      <c r="K2098" s="11" t="n">
        <f aca="false">H2098*I2098-J2098</f>
        <v>495</v>
      </c>
      <c r="L2098" s="7" t="s">
        <v>88</v>
      </c>
      <c r="M2098" s="7" t="s">
        <v>194</v>
      </c>
      <c r="N2098" s="7" t="n">
        <v>47</v>
      </c>
      <c r="O2098" s="7" t="n">
        <v>1</v>
      </c>
    </row>
    <row r="2099" customFormat="false" ht="15" hidden="false" customHeight="false" outlineLevel="0" collapsed="false">
      <c r="A2099" s="7" t="s">
        <v>3203</v>
      </c>
      <c r="B2099" s="10" t="n">
        <v>45931</v>
      </c>
      <c r="C2099" s="7" t="s">
        <v>3204</v>
      </c>
      <c r="D2099" s="7" t="s">
        <v>3205</v>
      </c>
      <c r="E2099" s="7" t="s">
        <v>126</v>
      </c>
      <c r="F2099" s="7" t="s">
        <v>101</v>
      </c>
      <c r="G2099" s="7" t="s">
        <v>105</v>
      </c>
      <c r="H2099" s="7" t="n">
        <v>3</v>
      </c>
      <c r="I2099" s="11" t="n">
        <v>240</v>
      </c>
      <c r="J2099" s="11" t="n">
        <v>75</v>
      </c>
      <c r="K2099" s="11" t="n">
        <f aca="false">H2099*I2099-J2099</f>
        <v>645</v>
      </c>
      <c r="L2099" s="7" t="s">
        <v>88</v>
      </c>
      <c r="M2099" s="7" t="s">
        <v>194</v>
      </c>
      <c r="N2099" s="7" t="n">
        <v>53</v>
      </c>
      <c r="O2099" s="7" t="n">
        <v>4</v>
      </c>
    </row>
    <row r="2100" customFormat="false" ht="15" hidden="false" customHeight="false" outlineLevel="0" collapsed="false">
      <c r="A2100" s="7" t="s">
        <v>3966</v>
      </c>
      <c r="B2100" s="10" t="n">
        <v>45931</v>
      </c>
      <c r="C2100" s="7" t="s">
        <v>2856</v>
      </c>
      <c r="D2100" s="7" t="s">
        <v>1944</v>
      </c>
      <c r="E2100" s="7" t="s">
        <v>160</v>
      </c>
      <c r="F2100" s="7" t="s">
        <v>136</v>
      </c>
      <c r="G2100" s="7" t="s">
        <v>150</v>
      </c>
      <c r="H2100" s="7" t="n">
        <v>3</v>
      </c>
      <c r="I2100" s="11" t="n">
        <v>185</v>
      </c>
      <c r="J2100" s="11" t="n">
        <v>0</v>
      </c>
      <c r="K2100" s="11" t="n">
        <f aca="false">H2100*I2100-J2100</f>
        <v>555</v>
      </c>
      <c r="L2100" s="7" t="s">
        <v>121</v>
      </c>
      <c r="M2100" s="7" t="s">
        <v>194</v>
      </c>
      <c r="N2100" s="7" t="n">
        <v>35</v>
      </c>
      <c r="O2100" s="7" t="n">
        <v>4</v>
      </c>
    </row>
    <row r="2101" customFormat="false" ht="15" hidden="false" customHeight="false" outlineLevel="0" collapsed="false">
      <c r="A2101" s="7" t="s">
        <v>1156</v>
      </c>
      <c r="B2101" s="10" t="n">
        <v>45932</v>
      </c>
      <c r="C2101" s="7" t="s">
        <v>1157</v>
      </c>
      <c r="D2101" s="7" t="s">
        <v>1158</v>
      </c>
      <c r="E2101" s="7" t="s">
        <v>134</v>
      </c>
      <c r="F2101" s="7" t="s">
        <v>110</v>
      </c>
      <c r="G2101" s="7" t="s">
        <v>117</v>
      </c>
      <c r="H2101" s="7" t="n">
        <v>2</v>
      </c>
      <c r="I2101" s="11" t="n">
        <v>100</v>
      </c>
      <c r="J2101" s="11" t="n">
        <v>0</v>
      </c>
      <c r="K2101" s="11" t="n">
        <f aca="false">H2101*I2101-J2101</f>
        <v>200</v>
      </c>
      <c r="L2101" s="7" t="s">
        <v>93</v>
      </c>
      <c r="M2101" s="7" t="s">
        <v>238</v>
      </c>
      <c r="N2101" s="7"/>
      <c r="O2101" s="7"/>
    </row>
    <row r="2102" customFormat="false" ht="15" hidden="false" customHeight="false" outlineLevel="0" collapsed="false">
      <c r="A2102" s="7" t="s">
        <v>4495</v>
      </c>
      <c r="B2102" s="10" t="n">
        <v>45932</v>
      </c>
      <c r="C2102" s="7" t="s">
        <v>4497</v>
      </c>
      <c r="D2102" s="7" t="s">
        <v>4498</v>
      </c>
      <c r="E2102" s="7" t="s">
        <v>138</v>
      </c>
      <c r="F2102" s="7" t="s">
        <v>110</v>
      </c>
      <c r="G2102" s="7" t="s">
        <v>139</v>
      </c>
      <c r="H2102" s="7" t="n">
        <v>2</v>
      </c>
      <c r="I2102" s="11" t="n">
        <v>205</v>
      </c>
      <c r="J2102" s="11" t="n">
        <v>0</v>
      </c>
      <c r="K2102" s="11" t="n">
        <f aca="false">H2102*I2102-J2102</f>
        <v>410</v>
      </c>
      <c r="L2102" s="7" t="s">
        <v>88</v>
      </c>
      <c r="M2102" s="7" t="s">
        <v>194</v>
      </c>
      <c r="N2102" s="7" t="n">
        <v>39</v>
      </c>
      <c r="O2102" s="7" t="n">
        <v>2</v>
      </c>
    </row>
    <row r="2103" customFormat="false" ht="15" hidden="false" customHeight="false" outlineLevel="0" collapsed="false">
      <c r="A2103" s="7" t="s">
        <v>337</v>
      </c>
      <c r="B2103" s="10" t="n">
        <v>45932</v>
      </c>
      <c r="C2103" s="7" t="s">
        <v>338</v>
      </c>
      <c r="D2103" s="7" t="s">
        <v>339</v>
      </c>
      <c r="E2103" s="7" t="s">
        <v>89</v>
      </c>
      <c r="F2103" s="7" t="s">
        <v>86</v>
      </c>
      <c r="G2103" s="7" t="s">
        <v>90</v>
      </c>
      <c r="H2103" s="7" t="n">
        <v>2</v>
      </c>
      <c r="I2103" s="11" t="n">
        <v>240</v>
      </c>
      <c r="J2103" s="11" t="n">
        <v>75</v>
      </c>
      <c r="K2103" s="11" t="n">
        <f aca="false">H2103*I2103-J2103</f>
        <v>405</v>
      </c>
      <c r="L2103" s="7" t="s">
        <v>121</v>
      </c>
      <c r="M2103" s="7" t="s">
        <v>194</v>
      </c>
      <c r="N2103" s="7" t="n">
        <v>30</v>
      </c>
      <c r="O2103" s="7"/>
    </row>
    <row r="2104" customFormat="false" ht="15" hidden="false" customHeight="false" outlineLevel="0" collapsed="false">
      <c r="A2104" s="7" t="s">
        <v>2636</v>
      </c>
      <c r="B2104" s="10" t="n">
        <v>45932</v>
      </c>
      <c r="C2104" s="7" t="s">
        <v>2266</v>
      </c>
      <c r="D2104" s="7" t="s">
        <v>1333</v>
      </c>
      <c r="E2104" s="7" t="s">
        <v>104</v>
      </c>
      <c r="F2104" s="7" t="s">
        <v>86</v>
      </c>
      <c r="G2104" s="7" t="s">
        <v>105</v>
      </c>
      <c r="H2104" s="7" t="n">
        <v>3</v>
      </c>
      <c r="I2104" s="11" t="n">
        <v>225</v>
      </c>
      <c r="J2104" s="11" t="n">
        <v>125</v>
      </c>
      <c r="K2104" s="11" t="n">
        <f aca="false">H2104*I2104-J2104</f>
        <v>550</v>
      </c>
      <c r="L2104" s="7" t="s">
        <v>112</v>
      </c>
      <c r="M2104" s="7" t="s">
        <v>194</v>
      </c>
      <c r="N2104" s="7" t="n">
        <v>34</v>
      </c>
      <c r="O2104" s="7" t="n">
        <v>4</v>
      </c>
    </row>
    <row r="2105" customFormat="false" ht="15" hidden="false" customHeight="false" outlineLevel="0" collapsed="false">
      <c r="A2105" s="7" t="s">
        <v>239</v>
      </c>
      <c r="B2105" s="10" t="n">
        <v>45932</v>
      </c>
      <c r="C2105" s="7" t="s">
        <v>241</v>
      </c>
      <c r="D2105" s="7" t="s">
        <v>242</v>
      </c>
      <c r="E2105" s="7" t="s">
        <v>159</v>
      </c>
      <c r="F2105" s="7" t="s">
        <v>136</v>
      </c>
      <c r="G2105" s="7" t="s">
        <v>90</v>
      </c>
      <c r="H2105" s="7" t="n">
        <v>4</v>
      </c>
      <c r="I2105" s="11" t="n">
        <v>285</v>
      </c>
      <c r="J2105" s="11" t="n">
        <v>150</v>
      </c>
      <c r="K2105" s="11" t="n">
        <f aca="false">H2105*I2105-J2105</f>
        <v>990</v>
      </c>
      <c r="L2105" s="7" t="s">
        <v>93</v>
      </c>
      <c r="M2105" s="7" t="s">
        <v>194</v>
      </c>
      <c r="N2105" s="7" t="n">
        <v>33</v>
      </c>
      <c r="O2105" s="7" t="n">
        <v>5</v>
      </c>
    </row>
    <row r="2106" customFormat="false" ht="15" hidden="false" customHeight="false" outlineLevel="0" collapsed="false">
      <c r="A2106" s="7" t="s">
        <v>6024</v>
      </c>
      <c r="B2106" s="10" t="n">
        <v>45932</v>
      </c>
      <c r="C2106" s="7" t="s">
        <v>1452</v>
      </c>
      <c r="D2106" s="7" t="s">
        <v>2001</v>
      </c>
      <c r="E2106" s="7" t="s">
        <v>116</v>
      </c>
      <c r="F2106" s="7" t="s">
        <v>101</v>
      </c>
      <c r="G2106" s="7" t="s">
        <v>117</v>
      </c>
      <c r="H2106" s="7" t="n">
        <v>1</v>
      </c>
      <c r="I2106" s="11" t="n">
        <v>170</v>
      </c>
      <c r="J2106" s="11" t="n">
        <v>20</v>
      </c>
      <c r="K2106" s="11" t="n">
        <f aca="false">H2106*I2106-J2106</f>
        <v>150</v>
      </c>
      <c r="L2106" s="7" t="s">
        <v>88</v>
      </c>
      <c r="M2106" s="7" t="s">
        <v>194</v>
      </c>
      <c r="N2106" s="7" t="n">
        <v>34</v>
      </c>
      <c r="O2106" s="7" t="n">
        <v>2</v>
      </c>
    </row>
    <row r="2107" customFormat="false" ht="15" hidden="false" customHeight="false" outlineLevel="0" collapsed="false">
      <c r="A2107" s="7" t="s">
        <v>1193</v>
      </c>
      <c r="B2107" s="10" t="n">
        <v>45932</v>
      </c>
      <c r="C2107" s="7" t="s">
        <v>1194</v>
      </c>
      <c r="D2107" s="7" t="s">
        <v>1195</v>
      </c>
      <c r="E2107" s="7" t="s">
        <v>138</v>
      </c>
      <c r="F2107" s="7" t="s">
        <v>110</v>
      </c>
      <c r="G2107" s="7" t="s">
        <v>139</v>
      </c>
      <c r="H2107" s="7" t="n">
        <v>2</v>
      </c>
      <c r="I2107" s="11" t="n">
        <v>240</v>
      </c>
      <c r="J2107" s="11" t="n">
        <v>0</v>
      </c>
      <c r="K2107" s="11" t="n">
        <f aca="false">H2107*I2107-J2107</f>
        <v>480</v>
      </c>
      <c r="L2107" s="7" t="s">
        <v>121</v>
      </c>
      <c r="M2107" s="7" t="s">
        <v>194</v>
      </c>
      <c r="N2107" s="7" t="n">
        <v>35</v>
      </c>
      <c r="O2107" s="7" t="n">
        <v>4</v>
      </c>
    </row>
    <row r="2108" customFormat="false" ht="15" hidden="false" customHeight="false" outlineLevel="0" collapsed="false">
      <c r="A2108" s="7" t="s">
        <v>5805</v>
      </c>
      <c r="B2108" s="10" t="n">
        <v>45932</v>
      </c>
      <c r="C2108" s="7" t="s">
        <v>862</v>
      </c>
      <c r="D2108" s="7" t="s">
        <v>2429</v>
      </c>
      <c r="E2108" s="7" t="s">
        <v>94</v>
      </c>
      <c r="F2108" s="7" t="s">
        <v>86</v>
      </c>
      <c r="G2108" s="7" t="s">
        <v>95</v>
      </c>
      <c r="H2108" s="7" t="n">
        <v>1</v>
      </c>
      <c r="I2108" s="11" t="n">
        <v>120</v>
      </c>
      <c r="J2108" s="11" t="n">
        <v>0</v>
      </c>
      <c r="K2108" s="11" t="n">
        <f aca="false">H2108*I2108-J2108</f>
        <v>120</v>
      </c>
      <c r="L2108" s="7" t="s">
        <v>121</v>
      </c>
      <c r="M2108" s="7" t="s">
        <v>194</v>
      </c>
      <c r="N2108" s="7" t="n">
        <v>38</v>
      </c>
      <c r="O2108" s="7" t="n">
        <v>5</v>
      </c>
    </row>
    <row r="2109" customFormat="false" ht="15" hidden="false" customHeight="false" outlineLevel="0" collapsed="false">
      <c r="A2109" s="7" t="s">
        <v>5739</v>
      </c>
      <c r="B2109" s="10" t="n">
        <v>45932</v>
      </c>
      <c r="C2109" s="7" t="s">
        <v>5740</v>
      </c>
      <c r="D2109" s="7" t="s">
        <v>1278</v>
      </c>
      <c r="E2109" s="7" t="s">
        <v>167</v>
      </c>
      <c r="F2109" s="7" t="s">
        <v>146</v>
      </c>
      <c r="G2109" s="7" t="s">
        <v>156</v>
      </c>
      <c r="H2109" s="7" t="n">
        <v>1</v>
      </c>
      <c r="I2109" s="11" t="n">
        <v>265</v>
      </c>
      <c r="J2109" s="11" t="n">
        <v>0</v>
      </c>
      <c r="K2109" s="11" t="n">
        <f aca="false">H2109*I2109-J2109</f>
        <v>265</v>
      </c>
      <c r="L2109" s="7" t="s">
        <v>121</v>
      </c>
      <c r="M2109" s="7" t="s">
        <v>194</v>
      </c>
      <c r="N2109" s="7" t="n">
        <v>33</v>
      </c>
      <c r="O2109" s="7" t="n">
        <v>5</v>
      </c>
    </row>
    <row r="2110" customFormat="false" ht="15" hidden="false" customHeight="false" outlineLevel="0" collapsed="false">
      <c r="A2110" s="7" t="s">
        <v>2240</v>
      </c>
      <c r="B2110" s="10" t="n">
        <v>45932</v>
      </c>
      <c r="C2110" s="7" t="s">
        <v>649</v>
      </c>
      <c r="D2110" s="7" t="s">
        <v>2241</v>
      </c>
      <c r="E2110" s="7" t="s">
        <v>122</v>
      </c>
      <c r="F2110" s="7" t="s">
        <v>101</v>
      </c>
      <c r="G2110" s="7" t="s">
        <v>123</v>
      </c>
      <c r="H2110" s="7" t="n">
        <v>1</v>
      </c>
      <c r="I2110" s="11" t="n">
        <v>405</v>
      </c>
      <c r="J2110" s="11" t="n">
        <v>50</v>
      </c>
      <c r="K2110" s="11" t="n">
        <f aca="false">H2110*I2110-J2110</f>
        <v>355</v>
      </c>
      <c r="L2110" s="7" t="s">
        <v>88</v>
      </c>
      <c r="M2110" s="7" t="s">
        <v>194</v>
      </c>
      <c r="N2110" s="7" t="n">
        <v>36</v>
      </c>
      <c r="O2110" s="7" t="n">
        <v>5</v>
      </c>
    </row>
    <row r="2111" customFormat="false" ht="15" hidden="false" customHeight="false" outlineLevel="0" collapsed="false">
      <c r="A2111" s="7" t="s">
        <v>5046</v>
      </c>
      <c r="B2111" s="10" t="n">
        <v>45932</v>
      </c>
      <c r="C2111" s="7" t="s">
        <v>1277</v>
      </c>
      <c r="D2111" s="7" t="s">
        <v>5047</v>
      </c>
      <c r="E2111" s="7" t="s">
        <v>142</v>
      </c>
      <c r="F2111" s="7" t="s">
        <v>110</v>
      </c>
      <c r="G2111" s="7" t="s">
        <v>105</v>
      </c>
      <c r="H2111" s="7" t="n">
        <v>4</v>
      </c>
      <c r="I2111" s="11" t="n">
        <v>165</v>
      </c>
      <c r="J2111" s="11" t="n">
        <v>40</v>
      </c>
      <c r="K2111" s="11" t="n">
        <f aca="false">H2111*I2111-J2111</f>
        <v>620</v>
      </c>
      <c r="L2111" s="7" t="s">
        <v>121</v>
      </c>
      <c r="M2111" s="7" t="s">
        <v>194</v>
      </c>
      <c r="N2111" s="7" t="n">
        <v>37</v>
      </c>
      <c r="O2111" s="7" t="n">
        <v>4</v>
      </c>
    </row>
    <row r="2112" customFormat="false" ht="15" hidden="false" customHeight="false" outlineLevel="0" collapsed="false">
      <c r="A2112" s="7" t="s">
        <v>2412</v>
      </c>
      <c r="B2112" s="10" t="n">
        <v>45933</v>
      </c>
      <c r="C2112" s="7" t="s">
        <v>2413</v>
      </c>
      <c r="D2112" s="7" t="s">
        <v>2117</v>
      </c>
      <c r="E2112" s="7" t="s">
        <v>154</v>
      </c>
      <c r="F2112" s="7" t="s">
        <v>128</v>
      </c>
      <c r="G2112" s="7" t="s">
        <v>99</v>
      </c>
      <c r="H2112" s="7" t="n">
        <v>4</v>
      </c>
      <c r="I2112" s="11" t="n">
        <v>295</v>
      </c>
      <c r="J2112" s="11" t="n">
        <v>20</v>
      </c>
      <c r="K2112" s="11" t="n">
        <f aca="false">H2112*I2112-J2112</f>
        <v>1160</v>
      </c>
      <c r="L2112" s="7" t="s">
        <v>88</v>
      </c>
      <c r="M2112" s="7" t="s">
        <v>194</v>
      </c>
      <c r="N2112" s="7" t="n">
        <v>37</v>
      </c>
      <c r="O2112" s="7" t="n">
        <v>5</v>
      </c>
    </row>
    <row r="2113" customFormat="false" ht="15" hidden="false" customHeight="false" outlineLevel="0" collapsed="false">
      <c r="A2113" s="7" t="s">
        <v>6064</v>
      </c>
      <c r="B2113" s="10" t="n">
        <v>45933</v>
      </c>
      <c r="C2113" s="7" t="s">
        <v>2800</v>
      </c>
      <c r="D2113" s="7" t="s">
        <v>3857</v>
      </c>
      <c r="E2113" s="7" t="s">
        <v>142</v>
      </c>
      <c r="F2113" s="7" t="s">
        <v>110</v>
      </c>
      <c r="G2113" s="7" t="s">
        <v>105</v>
      </c>
      <c r="H2113" s="7" t="n">
        <v>3</v>
      </c>
      <c r="I2113" s="11" t="n">
        <v>145</v>
      </c>
      <c r="J2113" s="11" t="n">
        <v>0</v>
      </c>
      <c r="K2113" s="11" t="n">
        <f aca="false">H2113*I2113-J2113</f>
        <v>435</v>
      </c>
      <c r="L2113" s="7" t="s">
        <v>112</v>
      </c>
      <c r="M2113" s="7" t="s">
        <v>238</v>
      </c>
      <c r="N2113" s="7"/>
      <c r="O2113" s="7"/>
    </row>
    <row r="2114" customFormat="false" ht="15" hidden="false" customHeight="false" outlineLevel="0" collapsed="false">
      <c r="A2114" s="7" t="s">
        <v>2850</v>
      </c>
      <c r="B2114" s="10" t="n">
        <v>45933</v>
      </c>
      <c r="C2114" s="7" t="s">
        <v>2588</v>
      </c>
      <c r="D2114" s="7" t="s">
        <v>2851</v>
      </c>
      <c r="E2114" s="7" t="s">
        <v>130</v>
      </c>
      <c r="F2114" s="7" t="s">
        <v>110</v>
      </c>
      <c r="G2114" s="7" t="s">
        <v>90</v>
      </c>
      <c r="H2114" s="7" t="n">
        <v>3</v>
      </c>
      <c r="I2114" s="11" t="n">
        <v>310</v>
      </c>
      <c r="J2114" s="11" t="n">
        <v>30</v>
      </c>
      <c r="K2114" s="11" t="n">
        <f aca="false">H2114*I2114-J2114</f>
        <v>900</v>
      </c>
      <c r="L2114" s="7" t="s">
        <v>112</v>
      </c>
      <c r="M2114" s="7" t="s">
        <v>194</v>
      </c>
      <c r="N2114" s="7" t="n">
        <v>44</v>
      </c>
      <c r="O2114" s="7" t="n">
        <v>4</v>
      </c>
    </row>
    <row r="2115" customFormat="false" ht="15" hidden="false" customHeight="false" outlineLevel="0" collapsed="false">
      <c r="A2115" s="7" t="s">
        <v>2261</v>
      </c>
      <c r="B2115" s="10" t="n">
        <v>45933</v>
      </c>
      <c r="C2115" s="7" t="s">
        <v>1552</v>
      </c>
      <c r="D2115" s="7" t="s">
        <v>1075</v>
      </c>
      <c r="E2115" s="7" t="s">
        <v>134</v>
      </c>
      <c r="F2115" s="7" t="s">
        <v>110</v>
      </c>
      <c r="G2115" s="7" t="s">
        <v>117</v>
      </c>
      <c r="H2115" s="7" t="n">
        <v>2</v>
      </c>
      <c r="I2115" s="11" t="n">
        <v>130</v>
      </c>
      <c r="J2115" s="11" t="n">
        <v>0</v>
      </c>
      <c r="K2115" s="11" t="n">
        <f aca="false">H2115*I2115-J2115</f>
        <v>260</v>
      </c>
      <c r="L2115" s="7" t="s">
        <v>133</v>
      </c>
      <c r="M2115" s="7" t="s">
        <v>238</v>
      </c>
      <c r="N2115" s="7"/>
      <c r="O2115" s="7"/>
    </row>
    <row r="2116" customFormat="false" ht="15" hidden="false" customHeight="false" outlineLevel="0" collapsed="false">
      <c r="A2116" s="7" t="s">
        <v>4881</v>
      </c>
      <c r="B2116" s="10" t="n">
        <v>45933</v>
      </c>
      <c r="C2116" s="7" t="s">
        <v>2255</v>
      </c>
      <c r="D2116" s="7" t="s">
        <v>3327</v>
      </c>
      <c r="E2116" s="7" t="s">
        <v>163</v>
      </c>
      <c r="F2116" s="7" t="s">
        <v>141</v>
      </c>
      <c r="G2116" s="7" t="s">
        <v>99</v>
      </c>
      <c r="H2116" s="7" t="n">
        <v>3</v>
      </c>
      <c r="I2116" s="11" t="n">
        <v>290</v>
      </c>
      <c r="J2116" s="11" t="n">
        <v>0</v>
      </c>
      <c r="K2116" s="11" t="n">
        <f aca="false">H2116*I2116-J2116</f>
        <v>870</v>
      </c>
      <c r="L2116" s="7" t="s">
        <v>88</v>
      </c>
      <c r="M2116" s="7" t="s">
        <v>194</v>
      </c>
      <c r="N2116" s="7" t="n">
        <v>37</v>
      </c>
      <c r="O2116" s="7" t="n">
        <v>3</v>
      </c>
    </row>
    <row r="2117" customFormat="false" ht="15" hidden="false" customHeight="false" outlineLevel="0" collapsed="false">
      <c r="A2117" s="7" t="s">
        <v>3722</v>
      </c>
      <c r="B2117" s="10" t="n">
        <v>45933</v>
      </c>
      <c r="C2117" s="7" t="s">
        <v>1168</v>
      </c>
      <c r="D2117" s="7" t="s">
        <v>897</v>
      </c>
      <c r="E2117" s="7" t="s">
        <v>113</v>
      </c>
      <c r="F2117" s="7" t="s">
        <v>101</v>
      </c>
      <c r="G2117" s="7" t="s">
        <v>90</v>
      </c>
      <c r="H2117" s="7" t="n">
        <v>3</v>
      </c>
      <c r="I2117" s="11" t="n">
        <v>220</v>
      </c>
      <c r="J2117" s="11" t="n">
        <v>150</v>
      </c>
      <c r="K2117" s="11" t="n">
        <f aca="false">H2117*I2117-J2117</f>
        <v>510</v>
      </c>
      <c r="L2117" s="7" t="s">
        <v>88</v>
      </c>
      <c r="M2117" s="7" t="s">
        <v>194</v>
      </c>
      <c r="N2117" s="7" t="n">
        <v>34</v>
      </c>
      <c r="O2117" s="7" t="n">
        <v>4</v>
      </c>
    </row>
    <row r="2118" customFormat="false" ht="15" hidden="false" customHeight="false" outlineLevel="0" collapsed="false">
      <c r="A2118" s="7" t="s">
        <v>3341</v>
      </c>
      <c r="B2118" s="10" t="n">
        <v>45933</v>
      </c>
      <c r="C2118" s="7" t="s">
        <v>1087</v>
      </c>
      <c r="D2118" s="7" t="s">
        <v>2339</v>
      </c>
      <c r="E2118" s="7" t="s">
        <v>113</v>
      </c>
      <c r="F2118" s="7" t="s">
        <v>101</v>
      </c>
      <c r="G2118" s="7" t="s">
        <v>90</v>
      </c>
      <c r="H2118" s="7" t="n">
        <v>2</v>
      </c>
      <c r="I2118" s="11" t="n">
        <v>275</v>
      </c>
      <c r="J2118" s="11" t="n">
        <v>0</v>
      </c>
      <c r="K2118" s="11" t="n">
        <f aca="false">H2118*I2118-J2118</f>
        <v>550</v>
      </c>
      <c r="L2118" s="7" t="s">
        <v>103</v>
      </c>
      <c r="M2118" s="7" t="s">
        <v>194</v>
      </c>
      <c r="N2118" s="7" t="n">
        <v>43</v>
      </c>
      <c r="O2118" s="7" t="n">
        <v>4</v>
      </c>
    </row>
    <row r="2119" customFormat="false" ht="15" hidden="false" customHeight="false" outlineLevel="0" collapsed="false">
      <c r="A2119" s="7" t="s">
        <v>2593</v>
      </c>
      <c r="B2119" s="10" t="n">
        <v>45933</v>
      </c>
      <c r="C2119" s="7" t="s">
        <v>2594</v>
      </c>
      <c r="D2119" s="7" t="s">
        <v>2595</v>
      </c>
      <c r="E2119" s="7" t="s">
        <v>89</v>
      </c>
      <c r="F2119" s="7" t="s">
        <v>86</v>
      </c>
      <c r="G2119" s="7" t="s">
        <v>90</v>
      </c>
      <c r="H2119" s="7" t="n">
        <v>1</v>
      </c>
      <c r="I2119" s="11" t="n">
        <v>220</v>
      </c>
      <c r="J2119" s="11" t="n">
        <v>0</v>
      </c>
      <c r="K2119" s="11" t="n">
        <f aca="false">H2119*I2119-J2119</f>
        <v>220</v>
      </c>
      <c r="L2119" s="7" t="s">
        <v>112</v>
      </c>
      <c r="M2119" s="7" t="s">
        <v>194</v>
      </c>
      <c r="N2119" s="7" t="n">
        <v>49</v>
      </c>
      <c r="O2119" s="7" t="n">
        <v>2</v>
      </c>
    </row>
    <row r="2120" customFormat="false" ht="15" hidden="false" customHeight="false" outlineLevel="0" collapsed="false">
      <c r="A2120" s="7" t="s">
        <v>920</v>
      </c>
      <c r="B2120" s="10" t="n">
        <v>45933</v>
      </c>
      <c r="C2120" s="7" t="s">
        <v>306</v>
      </c>
      <c r="D2120" s="7" t="s">
        <v>922</v>
      </c>
      <c r="E2120" s="7" t="s">
        <v>98</v>
      </c>
      <c r="F2120" s="7" t="s">
        <v>86</v>
      </c>
      <c r="G2120" s="7" t="s">
        <v>99</v>
      </c>
      <c r="H2120" s="7" t="n">
        <v>1</v>
      </c>
      <c r="I2120" s="11" t="n">
        <v>230</v>
      </c>
      <c r="J2120" s="11" t="n">
        <v>0</v>
      </c>
      <c r="K2120" s="11" t="n">
        <f aca="false">H2120*I2120-J2120</f>
        <v>230</v>
      </c>
      <c r="L2120" s="7" t="s">
        <v>88</v>
      </c>
      <c r="M2120" s="7" t="s">
        <v>194</v>
      </c>
      <c r="N2120" s="7" t="n">
        <v>30</v>
      </c>
      <c r="O2120" s="7" t="n">
        <v>3</v>
      </c>
    </row>
    <row r="2121" customFormat="false" ht="15" hidden="false" customHeight="false" outlineLevel="0" collapsed="false">
      <c r="A2121" s="7" t="s">
        <v>3486</v>
      </c>
      <c r="B2121" s="10" t="n">
        <v>45933</v>
      </c>
      <c r="C2121" s="7" t="s">
        <v>3487</v>
      </c>
      <c r="D2121" s="7" t="s">
        <v>289</v>
      </c>
      <c r="E2121" s="7" t="s">
        <v>113</v>
      </c>
      <c r="F2121" s="7" t="s">
        <v>101</v>
      </c>
      <c r="G2121" s="7" t="s">
        <v>90</v>
      </c>
      <c r="H2121" s="7" t="n">
        <v>1</v>
      </c>
      <c r="I2121" s="11" t="n">
        <v>285</v>
      </c>
      <c r="J2121" s="11" t="n">
        <v>0</v>
      </c>
      <c r="K2121" s="11" t="n">
        <f aca="false">H2121*I2121-J2121</f>
        <v>285</v>
      </c>
      <c r="L2121" s="7" t="s">
        <v>88</v>
      </c>
      <c r="M2121" s="7" t="s">
        <v>194</v>
      </c>
      <c r="N2121" s="7" t="n">
        <v>61</v>
      </c>
      <c r="O2121" s="7" t="n">
        <v>4</v>
      </c>
    </row>
    <row r="2122" customFormat="false" ht="15" hidden="false" customHeight="false" outlineLevel="0" collapsed="false">
      <c r="A2122" s="7" t="s">
        <v>4939</v>
      </c>
      <c r="B2122" s="10" t="n">
        <v>45933</v>
      </c>
      <c r="C2122" s="7" t="s">
        <v>4307</v>
      </c>
      <c r="D2122" s="7" t="s">
        <v>4940</v>
      </c>
      <c r="E2122" s="7" t="s">
        <v>138</v>
      </c>
      <c r="F2122" s="7" t="s">
        <v>110</v>
      </c>
      <c r="G2122" s="7" t="s">
        <v>139</v>
      </c>
      <c r="H2122" s="7" t="n">
        <v>2</v>
      </c>
      <c r="I2122" s="11" t="n">
        <v>190</v>
      </c>
      <c r="J2122" s="11" t="n">
        <v>0</v>
      </c>
      <c r="K2122" s="11" t="n">
        <f aca="false">H2122*I2122-J2122</f>
        <v>380</v>
      </c>
      <c r="L2122" s="7" t="s">
        <v>133</v>
      </c>
      <c r="M2122" s="7" t="s">
        <v>194</v>
      </c>
      <c r="N2122" s="7" t="n">
        <v>46</v>
      </c>
      <c r="O2122" s="7" t="n">
        <v>5</v>
      </c>
    </row>
    <row r="2123" customFormat="false" ht="15" hidden="false" customHeight="false" outlineLevel="0" collapsed="false">
      <c r="A2123" s="7" t="s">
        <v>4306</v>
      </c>
      <c r="B2123" s="10" t="n">
        <v>45933</v>
      </c>
      <c r="C2123" s="7" t="s">
        <v>4307</v>
      </c>
      <c r="D2123" s="7" t="s">
        <v>1846</v>
      </c>
      <c r="E2123" s="7" t="s">
        <v>159</v>
      </c>
      <c r="F2123" s="7" t="s">
        <v>136</v>
      </c>
      <c r="G2123" s="7" t="s">
        <v>90</v>
      </c>
      <c r="H2123" s="7" t="n">
        <v>3</v>
      </c>
      <c r="I2123" s="11" t="n">
        <v>245</v>
      </c>
      <c r="J2123" s="11" t="n">
        <v>50</v>
      </c>
      <c r="K2123" s="11" t="n">
        <f aca="false">H2123*I2123-J2123</f>
        <v>685</v>
      </c>
      <c r="L2123" s="7" t="s">
        <v>112</v>
      </c>
      <c r="M2123" s="7" t="s">
        <v>194</v>
      </c>
      <c r="N2123" s="7" t="n">
        <v>51</v>
      </c>
      <c r="O2123" s="7" t="n">
        <v>5</v>
      </c>
    </row>
    <row r="2124" customFormat="false" ht="15" hidden="false" customHeight="false" outlineLevel="0" collapsed="false">
      <c r="A2124" s="7" t="s">
        <v>2128</v>
      </c>
      <c r="B2124" s="10" t="n">
        <v>45934</v>
      </c>
      <c r="C2124" s="7" t="s">
        <v>2129</v>
      </c>
      <c r="D2124" s="7" t="s">
        <v>2130</v>
      </c>
      <c r="E2124" s="7" t="s">
        <v>122</v>
      </c>
      <c r="F2124" s="7" t="s">
        <v>101</v>
      </c>
      <c r="G2124" s="7" t="s">
        <v>123</v>
      </c>
      <c r="H2124" s="7" t="n">
        <v>2</v>
      </c>
      <c r="I2124" s="11" t="n">
        <v>335</v>
      </c>
      <c r="J2124" s="11" t="n">
        <v>75</v>
      </c>
      <c r="K2124" s="11" t="n">
        <f aca="false">H2124*I2124-J2124</f>
        <v>595</v>
      </c>
      <c r="L2124" s="7" t="s">
        <v>88</v>
      </c>
      <c r="M2124" s="7" t="s">
        <v>194</v>
      </c>
      <c r="N2124" s="7" t="n">
        <v>33</v>
      </c>
      <c r="O2124" s="7" t="n">
        <v>5</v>
      </c>
    </row>
    <row r="2125" customFormat="false" ht="15" hidden="false" customHeight="false" outlineLevel="0" collapsed="false">
      <c r="A2125" s="7" t="s">
        <v>3699</v>
      </c>
      <c r="B2125" s="10" t="n">
        <v>45934</v>
      </c>
      <c r="C2125" s="7" t="s">
        <v>3700</v>
      </c>
      <c r="D2125" s="7" t="s">
        <v>3396</v>
      </c>
      <c r="E2125" s="7" t="s">
        <v>148</v>
      </c>
      <c r="F2125" s="7" t="s">
        <v>119</v>
      </c>
      <c r="G2125" s="7" t="s">
        <v>123</v>
      </c>
      <c r="H2125" s="7" t="n">
        <v>2</v>
      </c>
      <c r="I2125" s="11" t="n">
        <v>345</v>
      </c>
      <c r="J2125" s="11" t="n">
        <v>100</v>
      </c>
      <c r="K2125" s="11" t="n">
        <f aca="false">H2125*I2125-J2125</f>
        <v>590</v>
      </c>
      <c r="L2125" s="7" t="s">
        <v>88</v>
      </c>
      <c r="M2125" s="7" t="s">
        <v>194</v>
      </c>
      <c r="N2125" s="7" t="n">
        <v>35</v>
      </c>
      <c r="O2125" s="7" t="n">
        <v>3</v>
      </c>
    </row>
    <row r="2126" customFormat="false" ht="15" hidden="false" customHeight="false" outlineLevel="0" collapsed="false">
      <c r="A2126" s="7" t="s">
        <v>1726</v>
      </c>
      <c r="B2126" s="10" t="n">
        <v>45934</v>
      </c>
      <c r="C2126" s="7" t="s">
        <v>1084</v>
      </c>
      <c r="D2126" s="7" t="s">
        <v>1727</v>
      </c>
      <c r="E2126" s="7" t="s">
        <v>94</v>
      </c>
      <c r="F2126" s="7" t="s">
        <v>86</v>
      </c>
      <c r="G2126" s="7" t="s">
        <v>95</v>
      </c>
      <c r="H2126" s="7" t="n">
        <v>1</v>
      </c>
      <c r="I2126" s="11" t="n">
        <v>105</v>
      </c>
      <c r="J2126" s="11" t="n">
        <v>40</v>
      </c>
      <c r="K2126" s="11" t="n">
        <f aca="false">H2126*I2126-J2126</f>
        <v>65</v>
      </c>
      <c r="L2126" s="7" t="s">
        <v>93</v>
      </c>
      <c r="M2126" s="7" t="s">
        <v>194</v>
      </c>
      <c r="N2126" s="7" t="n">
        <v>40</v>
      </c>
      <c r="O2126" s="7" t="n">
        <v>3</v>
      </c>
    </row>
    <row r="2127" customFormat="false" ht="15" hidden="false" customHeight="false" outlineLevel="0" collapsed="false">
      <c r="A2127" s="7" t="s">
        <v>5820</v>
      </c>
      <c r="B2127" s="10" t="n">
        <v>45934</v>
      </c>
      <c r="C2127" s="7" t="s">
        <v>386</v>
      </c>
      <c r="D2127" s="7" t="s">
        <v>4020</v>
      </c>
      <c r="E2127" s="7" t="s">
        <v>138</v>
      </c>
      <c r="F2127" s="7" t="s">
        <v>110</v>
      </c>
      <c r="G2127" s="7" t="s">
        <v>139</v>
      </c>
      <c r="H2127" s="7" t="n">
        <v>1</v>
      </c>
      <c r="I2127" s="11" t="n">
        <v>210</v>
      </c>
      <c r="J2127" s="11" t="n">
        <v>30</v>
      </c>
      <c r="K2127" s="11" t="n">
        <f aca="false">H2127*I2127-J2127</f>
        <v>180</v>
      </c>
      <c r="L2127" s="7" t="s">
        <v>93</v>
      </c>
      <c r="M2127" s="7" t="s">
        <v>194</v>
      </c>
      <c r="N2127" s="7" t="n">
        <v>36</v>
      </c>
      <c r="O2127" s="7" t="n">
        <v>3</v>
      </c>
    </row>
    <row r="2128" customFormat="false" ht="15" hidden="false" customHeight="false" outlineLevel="0" collapsed="false">
      <c r="A2128" s="7" t="s">
        <v>3639</v>
      </c>
      <c r="B2128" s="10" t="n">
        <v>45934</v>
      </c>
      <c r="C2128" s="7" t="s">
        <v>2155</v>
      </c>
      <c r="D2128" s="7" t="s">
        <v>922</v>
      </c>
      <c r="E2128" s="7" t="s">
        <v>142</v>
      </c>
      <c r="F2128" s="7" t="s">
        <v>110</v>
      </c>
      <c r="G2128" s="7" t="s">
        <v>105</v>
      </c>
      <c r="H2128" s="7" t="n">
        <v>2</v>
      </c>
      <c r="I2128" s="11" t="n">
        <v>170</v>
      </c>
      <c r="J2128" s="11" t="n">
        <v>20</v>
      </c>
      <c r="K2128" s="11" t="n">
        <f aca="false">H2128*I2128-J2128</f>
        <v>320</v>
      </c>
      <c r="L2128" s="7" t="s">
        <v>88</v>
      </c>
      <c r="M2128" s="7" t="s">
        <v>194</v>
      </c>
      <c r="N2128" s="7" t="n">
        <v>41</v>
      </c>
      <c r="O2128" s="7" t="n">
        <v>4</v>
      </c>
    </row>
    <row r="2129" customFormat="false" ht="15" hidden="false" customHeight="false" outlineLevel="0" collapsed="false">
      <c r="A2129" s="7" t="s">
        <v>1170</v>
      </c>
      <c r="B2129" s="10" t="n">
        <v>45934</v>
      </c>
      <c r="C2129" s="7" t="s">
        <v>399</v>
      </c>
      <c r="D2129" s="7" t="s">
        <v>1172</v>
      </c>
      <c r="E2129" s="7" t="s">
        <v>89</v>
      </c>
      <c r="F2129" s="7" t="s">
        <v>86</v>
      </c>
      <c r="G2129" s="7" t="s">
        <v>90</v>
      </c>
      <c r="H2129" s="7" t="n">
        <v>1</v>
      </c>
      <c r="I2129" s="11" t="n">
        <v>210</v>
      </c>
      <c r="J2129" s="11" t="n">
        <v>0</v>
      </c>
      <c r="K2129" s="11" t="n">
        <f aca="false">H2129*I2129-J2129</f>
        <v>210</v>
      </c>
      <c r="L2129" s="7" t="s">
        <v>121</v>
      </c>
      <c r="M2129" s="7" t="s">
        <v>194</v>
      </c>
      <c r="N2129" s="7" t="n">
        <v>48</v>
      </c>
      <c r="O2129" s="7"/>
    </row>
    <row r="2130" customFormat="false" ht="15" hidden="false" customHeight="false" outlineLevel="0" collapsed="false">
      <c r="A2130" s="7" t="s">
        <v>5325</v>
      </c>
      <c r="B2130" s="10" t="n">
        <v>45934</v>
      </c>
      <c r="C2130" s="7" t="s">
        <v>2758</v>
      </c>
      <c r="D2130" s="7" t="s">
        <v>5326</v>
      </c>
      <c r="E2130" s="7" t="s">
        <v>104</v>
      </c>
      <c r="F2130" s="7" t="s">
        <v>86</v>
      </c>
      <c r="G2130" s="7" t="s">
        <v>105</v>
      </c>
      <c r="H2130" s="7" t="n">
        <v>1</v>
      </c>
      <c r="I2130" s="11" t="n">
        <v>205</v>
      </c>
      <c r="J2130" s="11" t="n">
        <v>0</v>
      </c>
      <c r="K2130" s="11" t="n">
        <f aca="false">H2130*I2130-J2130</f>
        <v>205</v>
      </c>
      <c r="L2130" s="7" t="s">
        <v>133</v>
      </c>
      <c r="M2130" s="7" t="s">
        <v>194</v>
      </c>
      <c r="N2130" s="7" t="n">
        <v>25</v>
      </c>
      <c r="O2130" s="7" t="n">
        <v>3</v>
      </c>
    </row>
    <row r="2131" customFormat="false" ht="15" hidden="false" customHeight="false" outlineLevel="0" collapsed="false">
      <c r="A2131" s="7" t="s">
        <v>3320</v>
      </c>
      <c r="B2131" s="10" t="n">
        <v>45934</v>
      </c>
      <c r="C2131" s="7" t="s">
        <v>1901</v>
      </c>
      <c r="D2131" s="7" t="s">
        <v>1067</v>
      </c>
      <c r="E2131" s="7" t="s">
        <v>116</v>
      </c>
      <c r="F2131" s="7" t="s">
        <v>101</v>
      </c>
      <c r="G2131" s="7" t="s">
        <v>117</v>
      </c>
      <c r="H2131" s="7" t="n">
        <v>1</v>
      </c>
      <c r="I2131" s="11" t="n">
        <v>130</v>
      </c>
      <c r="J2131" s="11" t="n">
        <v>40</v>
      </c>
      <c r="K2131" s="11" t="n">
        <f aca="false">H2131*I2131-J2131</f>
        <v>90</v>
      </c>
      <c r="L2131" s="7" t="s">
        <v>93</v>
      </c>
      <c r="M2131" s="7" t="s">
        <v>194</v>
      </c>
      <c r="N2131" s="7" t="n">
        <v>38</v>
      </c>
      <c r="O2131" s="7" t="n">
        <v>3</v>
      </c>
    </row>
    <row r="2132" customFormat="false" ht="15" hidden="false" customHeight="false" outlineLevel="0" collapsed="false">
      <c r="A2132" s="7" t="s">
        <v>5750</v>
      </c>
      <c r="B2132" s="10" t="n">
        <v>45934</v>
      </c>
      <c r="C2132" s="7" t="s">
        <v>1474</v>
      </c>
      <c r="D2132" s="7" t="s">
        <v>5751</v>
      </c>
      <c r="E2132" s="7" t="s">
        <v>148</v>
      </c>
      <c r="F2132" s="7" t="s">
        <v>119</v>
      </c>
      <c r="G2132" s="7" t="s">
        <v>123</v>
      </c>
      <c r="H2132" s="7" t="n">
        <v>1</v>
      </c>
      <c r="I2132" s="11" t="n">
        <v>275</v>
      </c>
      <c r="J2132" s="11" t="n">
        <v>0</v>
      </c>
      <c r="K2132" s="11" t="n">
        <f aca="false">H2132*I2132-J2132</f>
        <v>275</v>
      </c>
      <c r="L2132" s="7" t="s">
        <v>112</v>
      </c>
      <c r="M2132" s="7" t="s">
        <v>194</v>
      </c>
      <c r="N2132" s="7" t="n">
        <v>29</v>
      </c>
      <c r="O2132" s="7" t="n">
        <v>4</v>
      </c>
    </row>
    <row r="2133" customFormat="false" ht="15" hidden="false" customHeight="false" outlineLevel="0" collapsed="false">
      <c r="A2133" s="7" t="s">
        <v>2109</v>
      </c>
      <c r="B2133" s="10" t="n">
        <v>45934</v>
      </c>
      <c r="C2133" s="7" t="s">
        <v>1631</v>
      </c>
      <c r="D2133" s="7" t="s">
        <v>2111</v>
      </c>
      <c r="E2133" s="7" t="s">
        <v>126</v>
      </c>
      <c r="F2133" s="7" t="s">
        <v>101</v>
      </c>
      <c r="G2133" s="7" t="s">
        <v>105</v>
      </c>
      <c r="H2133" s="7" t="n">
        <v>5</v>
      </c>
      <c r="I2133" s="11" t="n">
        <v>240</v>
      </c>
      <c r="J2133" s="11" t="n">
        <v>0</v>
      </c>
      <c r="K2133" s="11" t="n">
        <f aca="false">H2133*I2133-J2133</f>
        <v>1200</v>
      </c>
      <c r="L2133" s="7" t="s">
        <v>88</v>
      </c>
      <c r="M2133" s="7" t="s">
        <v>194</v>
      </c>
      <c r="N2133" s="7" t="n">
        <v>47</v>
      </c>
      <c r="O2133" s="7" t="n">
        <v>5</v>
      </c>
    </row>
    <row r="2134" customFormat="false" ht="15" hidden="false" customHeight="false" outlineLevel="0" collapsed="false">
      <c r="A2134" s="7" t="s">
        <v>3933</v>
      </c>
      <c r="B2134" s="10" t="n">
        <v>45934</v>
      </c>
      <c r="C2134" s="7" t="s">
        <v>306</v>
      </c>
      <c r="D2134" s="7" t="s">
        <v>1216</v>
      </c>
      <c r="E2134" s="7" t="s">
        <v>113</v>
      </c>
      <c r="F2134" s="7" t="s">
        <v>101</v>
      </c>
      <c r="G2134" s="7" t="s">
        <v>90</v>
      </c>
      <c r="H2134" s="7" t="n">
        <v>1</v>
      </c>
      <c r="I2134" s="11" t="n">
        <v>280</v>
      </c>
      <c r="J2134" s="11" t="n">
        <v>0</v>
      </c>
      <c r="K2134" s="11" t="n">
        <f aca="false">H2134*I2134-J2134</f>
        <v>280</v>
      </c>
      <c r="L2134" s="7" t="s">
        <v>103</v>
      </c>
      <c r="M2134" s="7" t="s">
        <v>194</v>
      </c>
      <c r="N2134" s="7" t="n">
        <v>45</v>
      </c>
      <c r="O2134" s="7" t="n">
        <v>4</v>
      </c>
    </row>
    <row r="2135" customFormat="false" ht="15" hidden="false" customHeight="false" outlineLevel="0" collapsed="false">
      <c r="A2135" s="7" t="s">
        <v>4546</v>
      </c>
      <c r="B2135" s="10" t="n">
        <v>45934</v>
      </c>
      <c r="C2135" s="7" t="s">
        <v>2083</v>
      </c>
      <c r="D2135" s="7" t="s">
        <v>1181</v>
      </c>
      <c r="E2135" s="7" t="s">
        <v>161</v>
      </c>
      <c r="F2135" s="7" t="s">
        <v>141</v>
      </c>
      <c r="G2135" s="7" t="s">
        <v>117</v>
      </c>
      <c r="H2135" s="7" t="n">
        <v>2</v>
      </c>
      <c r="I2135" s="11" t="n">
        <v>150</v>
      </c>
      <c r="J2135" s="11" t="n">
        <v>100</v>
      </c>
      <c r="K2135" s="11" t="n">
        <f aca="false">H2135*I2135-J2135</f>
        <v>200</v>
      </c>
      <c r="L2135" s="7" t="s">
        <v>103</v>
      </c>
      <c r="M2135" s="7" t="s">
        <v>194</v>
      </c>
      <c r="N2135" s="7" t="n">
        <v>43</v>
      </c>
      <c r="O2135" s="7" t="n">
        <v>4</v>
      </c>
    </row>
    <row r="2136" customFormat="false" ht="15" hidden="false" customHeight="false" outlineLevel="0" collapsed="false">
      <c r="A2136" s="7" t="s">
        <v>1697</v>
      </c>
      <c r="B2136" s="10" t="n">
        <v>45935</v>
      </c>
      <c r="C2136" s="7" t="s">
        <v>1699</v>
      </c>
      <c r="D2136" s="7" t="s">
        <v>1039</v>
      </c>
      <c r="E2136" s="7" t="s">
        <v>167</v>
      </c>
      <c r="F2136" s="7" t="s">
        <v>146</v>
      </c>
      <c r="G2136" s="7" t="s">
        <v>156</v>
      </c>
      <c r="H2136" s="7" t="n">
        <v>2</v>
      </c>
      <c r="I2136" s="11" t="n">
        <v>260</v>
      </c>
      <c r="J2136" s="11" t="n">
        <v>0</v>
      </c>
      <c r="K2136" s="11" t="n">
        <f aca="false">H2136*I2136-J2136</f>
        <v>520</v>
      </c>
      <c r="L2136" s="7" t="s">
        <v>112</v>
      </c>
      <c r="M2136" s="7" t="s">
        <v>194</v>
      </c>
      <c r="N2136" s="7" t="n">
        <v>16</v>
      </c>
      <c r="O2136" s="7" t="n">
        <v>2</v>
      </c>
    </row>
    <row r="2137" customFormat="false" ht="15" hidden="false" customHeight="false" outlineLevel="0" collapsed="false">
      <c r="A2137" s="7" t="s">
        <v>5052</v>
      </c>
      <c r="B2137" s="10" t="n">
        <v>45935</v>
      </c>
      <c r="C2137" s="7" t="s">
        <v>3097</v>
      </c>
      <c r="D2137" s="7" t="s">
        <v>5053</v>
      </c>
      <c r="E2137" s="7" t="s">
        <v>151</v>
      </c>
      <c r="F2137" s="7" t="s">
        <v>128</v>
      </c>
      <c r="G2137" s="7" t="s">
        <v>95</v>
      </c>
      <c r="H2137" s="7" t="n">
        <v>1</v>
      </c>
      <c r="I2137" s="11" t="n">
        <v>190</v>
      </c>
      <c r="J2137" s="11" t="n">
        <v>0</v>
      </c>
      <c r="K2137" s="11" t="n">
        <f aca="false">H2137*I2137-J2137</f>
        <v>190</v>
      </c>
      <c r="L2137" s="7" t="s">
        <v>88</v>
      </c>
      <c r="M2137" s="7" t="s">
        <v>238</v>
      </c>
      <c r="N2137" s="7"/>
      <c r="O2137" s="7"/>
    </row>
    <row r="2138" customFormat="false" ht="15" hidden="false" customHeight="false" outlineLevel="0" collapsed="false">
      <c r="A2138" s="7" t="s">
        <v>3196</v>
      </c>
      <c r="B2138" s="10" t="n">
        <v>45935</v>
      </c>
      <c r="C2138" s="7" t="s">
        <v>3197</v>
      </c>
      <c r="D2138" s="7" t="s">
        <v>3198</v>
      </c>
      <c r="E2138" s="7" t="s">
        <v>147</v>
      </c>
      <c r="F2138" s="7" t="s">
        <v>119</v>
      </c>
      <c r="G2138" s="7" t="s">
        <v>95</v>
      </c>
      <c r="H2138" s="7" t="n">
        <v>5</v>
      </c>
      <c r="I2138" s="11" t="n">
        <v>195</v>
      </c>
      <c r="J2138" s="11" t="n">
        <v>50</v>
      </c>
      <c r="K2138" s="11" t="n">
        <f aca="false">H2138*I2138-J2138</f>
        <v>925</v>
      </c>
      <c r="L2138" s="7" t="s">
        <v>88</v>
      </c>
      <c r="M2138" s="7" t="s">
        <v>194</v>
      </c>
      <c r="N2138" s="7" t="n">
        <v>35</v>
      </c>
      <c r="O2138" s="7" t="n">
        <v>3</v>
      </c>
    </row>
    <row r="2139" customFormat="false" ht="15" hidden="false" customHeight="false" outlineLevel="0" collapsed="false">
      <c r="A2139" s="7" t="s">
        <v>5585</v>
      </c>
      <c r="B2139" s="10" t="n">
        <v>45935</v>
      </c>
      <c r="C2139" s="7" t="s">
        <v>2268</v>
      </c>
      <c r="D2139" s="7" t="s">
        <v>5041</v>
      </c>
      <c r="E2139" s="7" t="s">
        <v>126</v>
      </c>
      <c r="F2139" s="7" t="s">
        <v>101</v>
      </c>
      <c r="G2139" s="7" t="s">
        <v>105</v>
      </c>
      <c r="H2139" s="7" t="n">
        <v>1</v>
      </c>
      <c r="I2139" s="11" t="n">
        <v>220</v>
      </c>
      <c r="J2139" s="11" t="n">
        <v>20</v>
      </c>
      <c r="K2139" s="11" t="n">
        <f aca="false">H2139*I2139-J2139</f>
        <v>200</v>
      </c>
      <c r="L2139" s="7" t="s">
        <v>88</v>
      </c>
      <c r="M2139" s="7" t="s">
        <v>194</v>
      </c>
      <c r="N2139" s="7" t="n">
        <v>45</v>
      </c>
      <c r="O2139" s="7" t="n">
        <v>4</v>
      </c>
    </row>
    <row r="2140" customFormat="false" ht="15" hidden="false" customHeight="false" outlineLevel="0" collapsed="false">
      <c r="A2140" s="7" t="s">
        <v>4968</v>
      </c>
      <c r="B2140" s="10" t="n">
        <v>45935</v>
      </c>
      <c r="C2140" s="7" t="s">
        <v>4969</v>
      </c>
      <c r="D2140" s="7" t="s">
        <v>1771</v>
      </c>
      <c r="E2140" s="7" t="s">
        <v>134</v>
      </c>
      <c r="F2140" s="7" t="s">
        <v>110</v>
      </c>
      <c r="G2140" s="7" t="s">
        <v>117</v>
      </c>
      <c r="H2140" s="7" t="n">
        <v>1</v>
      </c>
      <c r="I2140" s="11" t="n">
        <v>105</v>
      </c>
      <c r="J2140" s="11" t="n">
        <v>40</v>
      </c>
      <c r="K2140" s="11" t="n">
        <f aca="false">H2140*I2140-J2140</f>
        <v>65</v>
      </c>
      <c r="L2140" s="7" t="s">
        <v>121</v>
      </c>
      <c r="M2140" s="7" t="s">
        <v>194</v>
      </c>
      <c r="N2140" s="7" t="n">
        <v>34</v>
      </c>
      <c r="O2140" s="7" t="n">
        <v>4</v>
      </c>
    </row>
    <row r="2141" customFormat="false" ht="15" hidden="false" customHeight="false" outlineLevel="0" collapsed="false">
      <c r="A2141" s="7" t="s">
        <v>5668</v>
      </c>
      <c r="B2141" s="10" t="n">
        <v>45935</v>
      </c>
      <c r="C2141" s="7" t="s">
        <v>1271</v>
      </c>
      <c r="D2141" s="7" t="s">
        <v>2805</v>
      </c>
      <c r="E2141" s="7" t="s">
        <v>98</v>
      </c>
      <c r="F2141" s="7" t="s">
        <v>86</v>
      </c>
      <c r="G2141" s="7" t="s">
        <v>99</v>
      </c>
      <c r="H2141" s="7" t="n">
        <v>4</v>
      </c>
      <c r="I2141" s="11" t="n">
        <v>275</v>
      </c>
      <c r="J2141" s="11" t="n">
        <v>40</v>
      </c>
      <c r="K2141" s="11" t="n">
        <f aca="false">H2141*I2141-J2141</f>
        <v>1060</v>
      </c>
      <c r="L2141" s="7" t="s">
        <v>93</v>
      </c>
      <c r="M2141" s="7" t="s">
        <v>194</v>
      </c>
      <c r="N2141" s="7" t="n">
        <v>24</v>
      </c>
      <c r="O2141" s="7" t="n">
        <v>3</v>
      </c>
    </row>
    <row r="2142" customFormat="false" ht="15" hidden="false" customHeight="false" outlineLevel="0" collapsed="false">
      <c r="A2142" s="7" t="s">
        <v>5717</v>
      </c>
      <c r="B2142" s="10" t="n">
        <v>45935</v>
      </c>
      <c r="C2142" s="7" t="s">
        <v>433</v>
      </c>
      <c r="D2142" s="7" t="s">
        <v>5248</v>
      </c>
      <c r="E2142" s="7" t="s">
        <v>113</v>
      </c>
      <c r="F2142" s="7" t="s">
        <v>101</v>
      </c>
      <c r="G2142" s="7" t="s">
        <v>90</v>
      </c>
      <c r="H2142" s="7" t="n">
        <v>1</v>
      </c>
      <c r="I2142" s="11" t="n">
        <v>180</v>
      </c>
      <c r="J2142" s="11" t="n">
        <v>40</v>
      </c>
      <c r="K2142" s="11" t="n">
        <f aca="false">H2142*I2142-J2142</f>
        <v>140</v>
      </c>
      <c r="L2142" s="7" t="s">
        <v>112</v>
      </c>
      <c r="M2142" s="7" t="s">
        <v>194</v>
      </c>
      <c r="N2142" s="7" t="n">
        <v>52</v>
      </c>
      <c r="O2142" s="7" t="n">
        <v>4</v>
      </c>
    </row>
    <row r="2143" customFormat="false" ht="15" hidden="false" customHeight="false" outlineLevel="0" collapsed="false">
      <c r="A2143" s="7" t="s">
        <v>2517</v>
      </c>
      <c r="B2143" s="10" t="n">
        <v>45935</v>
      </c>
      <c r="C2143" s="7" t="s">
        <v>559</v>
      </c>
      <c r="D2143" s="7" t="s">
        <v>2518</v>
      </c>
      <c r="E2143" s="7" t="s">
        <v>144</v>
      </c>
      <c r="F2143" s="7" t="s">
        <v>119</v>
      </c>
      <c r="G2143" s="7" t="s">
        <v>99</v>
      </c>
      <c r="H2143" s="7" t="n">
        <v>4</v>
      </c>
      <c r="I2143" s="11" t="n">
        <v>260</v>
      </c>
      <c r="J2143" s="11" t="n">
        <v>30</v>
      </c>
      <c r="K2143" s="11" t="n">
        <f aca="false">H2143*I2143-J2143</f>
        <v>1010</v>
      </c>
      <c r="L2143" s="7" t="s">
        <v>88</v>
      </c>
      <c r="M2143" s="7" t="s">
        <v>194</v>
      </c>
      <c r="N2143" s="7" t="n">
        <v>40</v>
      </c>
      <c r="O2143" s="7" t="n">
        <v>4</v>
      </c>
    </row>
    <row r="2144" customFormat="false" ht="15" hidden="false" customHeight="false" outlineLevel="0" collapsed="false">
      <c r="A2144" s="7" t="s">
        <v>4732</v>
      </c>
      <c r="B2144" s="10" t="n">
        <v>45935</v>
      </c>
      <c r="C2144" s="7" t="s">
        <v>1211</v>
      </c>
      <c r="D2144" s="7" t="s">
        <v>3214</v>
      </c>
      <c r="E2144" s="7" t="s">
        <v>159</v>
      </c>
      <c r="F2144" s="7" t="s">
        <v>136</v>
      </c>
      <c r="G2144" s="7" t="s">
        <v>90</v>
      </c>
      <c r="H2144" s="7" t="n">
        <v>2</v>
      </c>
      <c r="I2144" s="11" t="n">
        <v>305</v>
      </c>
      <c r="J2144" s="11" t="n">
        <v>125</v>
      </c>
      <c r="K2144" s="11" t="n">
        <f aca="false">H2144*I2144-J2144</f>
        <v>485</v>
      </c>
      <c r="L2144" s="7" t="s">
        <v>112</v>
      </c>
      <c r="M2144" s="7" t="s">
        <v>194</v>
      </c>
      <c r="N2144" s="7" t="n">
        <v>29</v>
      </c>
      <c r="O2144" s="7"/>
    </row>
    <row r="2145" customFormat="false" ht="15" hidden="false" customHeight="false" outlineLevel="0" collapsed="false">
      <c r="A2145" s="7" t="s">
        <v>745</v>
      </c>
      <c r="B2145" s="10" t="n">
        <v>45935</v>
      </c>
      <c r="C2145" s="7" t="s">
        <v>747</v>
      </c>
      <c r="D2145" s="7" t="s">
        <v>673</v>
      </c>
      <c r="E2145" s="7" t="s">
        <v>104</v>
      </c>
      <c r="F2145" s="7" t="s">
        <v>86</v>
      </c>
      <c r="G2145" s="7" t="s">
        <v>105</v>
      </c>
      <c r="H2145" s="7" t="n">
        <v>1</v>
      </c>
      <c r="I2145" s="11" t="n">
        <v>200</v>
      </c>
      <c r="J2145" s="11" t="n">
        <v>40</v>
      </c>
      <c r="K2145" s="11" t="n">
        <f aca="false">H2145*I2145-J2145</f>
        <v>160</v>
      </c>
      <c r="L2145" s="7" t="s">
        <v>93</v>
      </c>
      <c r="M2145" s="7" t="s">
        <v>194</v>
      </c>
      <c r="N2145" s="7" t="n">
        <v>33</v>
      </c>
      <c r="O2145" s="7" t="n">
        <v>3</v>
      </c>
    </row>
    <row r="2146" customFormat="false" ht="15" hidden="false" customHeight="false" outlineLevel="0" collapsed="false">
      <c r="A2146" s="7" t="s">
        <v>3888</v>
      </c>
      <c r="B2146" s="10" t="n">
        <v>45936</v>
      </c>
      <c r="C2146" s="7" t="s">
        <v>577</v>
      </c>
      <c r="D2146" s="7" t="s">
        <v>3889</v>
      </c>
      <c r="E2146" s="7" t="s">
        <v>113</v>
      </c>
      <c r="F2146" s="7" t="s">
        <v>101</v>
      </c>
      <c r="G2146" s="7" t="s">
        <v>90</v>
      </c>
      <c r="H2146" s="7" t="n">
        <v>3</v>
      </c>
      <c r="I2146" s="11" t="n">
        <v>245</v>
      </c>
      <c r="J2146" s="11" t="n">
        <v>100</v>
      </c>
      <c r="K2146" s="11" t="n">
        <f aca="false">H2146*I2146-J2146</f>
        <v>635</v>
      </c>
      <c r="L2146" s="7" t="s">
        <v>103</v>
      </c>
      <c r="M2146" s="7" t="s">
        <v>194</v>
      </c>
      <c r="N2146" s="7" t="n">
        <v>41</v>
      </c>
      <c r="O2146" s="7" t="n">
        <v>3</v>
      </c>
    </row>
    <row r="2147" customFormat="false" ht="15" hidden="false" customHeight="false" outlineLevel="0" collapsed="false">
      <c r="A2147" s="7" t="s">
        <v>4266</v>
      </c>
      <c r="B2147" s="10" t="n">
        <v>45936</v>
      </c>
      <c r="C2147" s="7" t="s">
        <v>3378</v>
      </c>
      <c r="D2147" s="7" t="s">
        <v>4267</v>
      </c>
      <c r="E2147" s="7" t="s">
        <v>151</v>
      </c>
      <c r="F2147" s="7" t="s">
        <v>128</v>
      </c>
      <c r="G2147" s="7" t="s">
        <v>95</v>
      </c>
      <c r="H2147" s="7" t="n">
        <v>1</v>
      </c>
      <c r="I2147" s="11" t="n">
        <v>205</v>
      </c>
      <c r="J2147" s="11" t="n">
        <v>82</v>
      </c>
      <c r="K2147" s="11" t="n">
        <f aca="false">H2147*I2147-J2147</f>
        <v>123</v>
      </c>
      <c r="L2147" s="7" t="s">
        <v>133</v>
      </c>
      <c r="M2147" s="7" t="s">
        <v>194</v>
      </c>
      <c r="N2147" s="7"/>
      <c r="O2147" s="7" t="n">
        <v>4</v>
      </c>
    </row>
    <row r="2148" customFormat="false" ht="15" hidden="false" customHeight="false" outlineLevel="0" collapsed="false">
      <c r="A2148" s="7" t="s">
        <v>3393</v>
      </c>
      <c r="B2148" s="10" t="n">
        <v>45936</v>
      </c>
      <c r="C2148" s="7" t="s">
        <v>3383</v>
      </c>
      <c r="D2148" s="7" t="s">
        <v>3394</v>
      </c>
      <c r="E2148" s="7" t="s">
        <v>126</v>
      </c>
      <c r="F2148" s="7" t="s">
        <v>101</v>
      </c>
      <c r="G2148" s="7" t="s">
        <v>105</v>
      </c>
      <c r="H2148" s="7" t="n">
        <v>1</v>
      </c>
      <c r="I2148" s="11" t="n">
        <v>210</v>
      </c>
      <c r="J2148" s="11" t="n">
        <v>84</v>
      </c>
      <c r="K2148" s="11" t="n">
        <f aca="false">H2148*I2148-J2148</f>
        <v>126</v>
      </c>
      <c r="L2148" s="7" t="s">
        <v>133</v>
      </c>
      <c r="M2148" s="7" t="s">
        <v>194</v>
      </c>
      <c r="N2148" s="7" t="n">
        <v>45</v>
      </c>
      <c r="O2148" s="7" t="n">
        <v>4</v>
      </c>
    </row>
    <row r="2149" customFormat="false" ht="15" hidden="false" customHeight="false" outlineLevel="0" collapsed="false">
      <c r="A2149" s="7" t="s">
        <v>5897</v>
      </c>
      <c r="B2149" s="10" t="n">
        <v>45936</v>
      </c>
      <c r="C2149" s="7" t="s">
        <v>5233</v>
      </c>
      <c r="D2149" s="7" t="s">
        <v>3871</v>
      </c>
      <c r="E2149" s="7" t="s">
        <v>122</v>
      </c>
      <c r="F2149" s="7" t="s">
        <v>101</v>
      </c>
      <c r="G2149" s="7" t="s">
        <v>123</v>
      </c>
      <c r="H2149" s="7" t="n">
        <v>3</v>
      </c>
      <c r="I2149" s="11" t="n">
        <v>300</v>
      </c>
      <c r="J2149" s="11" t="n">
        <v>20</v>
      </c>
      <c r="K2149" s="11" t="n">
        <f aca="false">H2149*I2149-J2149</f>
        <v>880</v>
      </c>
      <c r="L2149" s="7" t="s">
        <v>93</v>
      </c>
      <c r="M2149" s="7" t="s">
        <v>194</v>
      </c>
      <c r="N2149" s="7" t="n">
        <v>35</v>
      </c>
      <c r="O2149" s="7" t="n">
        <v>3</v>
      </c>
    </row>
    <row r="2150" customFormat="false" ht="15" hidden="false" customHeight="false" outlineLevel="0" collapsed="false">
      <c r="A2150" s="7" t="s">
        <v>5884</v>
      </c>
      <c r="B2150" s="10" t="n">
        <v>45936</v>
      </c>
      <c r="C2150" s="7" t="s">
        <v>1651</v>
      </c>
      <c r="D2150" s="7" t="s">
        <v>5436</v>
      </c>
      <c r="E2150" s="7" t="s">
        <v>89</v>
      </c>
      <c r="F2150" s="7" t="s">
        <v>86</v>
      </c>
      <c r="G2150" s="7" t="s">
        <v>90</v>
      </c>
      <c r="H2150" s="7" t="n">
        <v>4</v>
      </c>
      <c r="I2150" s="11" t="n">
        <v>230</v>
      </c>
      <c r="J2150" s="11" t="n">
        <v>0</v>
      </c>
      <c r="K2150" s="11" t="n">
        <f aca="false">H2150*I2150-J2150</f>
        <v>920</v>
      </c>
      <c r="L2150" s="7" t="s">
        <v>112</v>
      </c>
      <c r="M2150" s="7" t="s">
        <v>194</v>
      </c>
      <c r="N2150" s="7" t="n">
        <v>49</v>
      </c>
      <c r="O2150" s="7" t="n">
        <v>3</v>
      </c>
    </row>
    <row r="2151" customFormat="false" ht="15" hidden="false" customHeight="false" outlineLevel="0" collapsed="false">
      <c r="A2151" s="7" t="s">
        <v>2323</v>
      </c>
      <c r="B2151" s="10" t="n">
        <v>45936</v>
      </c>
      <c r="C2151" s="7" t="s">
        <v>2325</v>
      </c>
      <c r="D2151" s="7" t="s">
        <v>2326</v>
      </c>
      <c r="E2151" s="7" t="s">
        <v>134</v>
      </c>
      <c r="F2151" s="7" t="s">
        <v>110</v>
      </c>
      <c r="G2151" s="7" t="s">
        <v>117</v>
      </c>
      <c r="H2151" s="7" t="n">
        <v>4</v>
      </c>
      <c r="I2151" s="11" t="n">
        <v>105</v>
      </c>
      <c r="J2151" s="11" t="n">
        <v>0</v>
      </c>
      <c r="K2151" s="11" t="n">
        <f aca="false">H2151*I2151-J2151</f>
        <v>420</v>
      </c>
      <c r="L2151" s="7" t="s">
        <v>103</v>
      </c>
      <c r="M2151" s="7" t="s">
        <v>194</v>
      </c>
      <c r="N2151" s="7" t="n">
        <v>48</v>
      </c>
      <c r="O2151" s="7" t="n">
        <v>5</v>
      </c>
    </row>
    <row r="2152" customFormat="false" ht="15" hidden="false" customHeight="false" outlineLevel="0" collapsed="false">
      <c r="A2152" s="7" t="s">
        <v>4736</v>
      </c>
      <c r="B2152" s="10" t="n">
        <v>45936</v>
      </c>
      <c r="C2152" s="7" t="s">
        <v>1336</v>
      </c>
      <c r="D2152" s="7" t="s">
        <v>763</v>
      </c>
      <c r="E2152" s="7" t="s">
        <v>144</v>
      </c>
      <c r="F2152" s="7" t="s">
        <v>119</v>
      </c>
      <c r="G2152" s="7" t="s">
        <v>99</v>
      </c>
      <c r="H2152" s="7" t="n">
        <v>3</v>
      </c>
      <c r="I2152" s="11" t="n">
        <v>305</v>
      </c>
      <c r="J2152" s="11" t="n">
        <v>20</v>
      </c>
      <c r="K2152" s="11" t="n">
        <f aca="false">H2152*I2152-J2152</f>
        <v>895</v>
      </c>
      <c r="L2152" s="7" t="s">
        <v>88</v>
      </c>
      <c r="M2152" s="7" t="s">
        <v>194</v>
      </c>
      <c r="N2152" s="7" t="n">
        <v>38</v>
      </c>
      <c r="O2152" s="7" t="n">
        <v>4</v>
      </c>
    </row>
    <row r="2153" customFormat="false" ht="15" hidden="false" customHeight="false" outlineLevel="0" collapsed="false">
      <c r="A2153" s="7" t="s">
        <v>3881</v>
      </c>
      <c r="B2153" s="10" t="n">
        <v>45936</v>
      </c>
      <c r="C2153" s="7" t="s">
        <v>2260</v>
      </c>
      <c r="D2153" s="7" t="s">
        <v>1075</v>
      </c>
      <c r="E2153" s="7" t="s">
        <v>94</v>
      </c>
      <c r="F2153" s="7" t="s">
        <v>86</v>
      </c>
      <c r="G2153" s="7" t="s">
        <v>95</v>
      </c>
      <c r="H2153" s="7" t="n">
        <v>3</v>
      </c>
      <c r="I2153" s="11" t="n">
        <v>120</v>
      </c>
      <c r="J2153" s="11" t="n">
        <v>30</v>
      </c>
      <c r="K2153" s="11" t="n">
        <f aca="false">H2153*I2153-J2153</f>
        <v>330</v>
      </c>
      <c r="L2153" s="7" t="s">
        <v>93</v>
      </c>
      <c r="M2153" s="7" t="s">
        <v>194</v>
      </c>
      <c r="N2153" s="7" t="n">
        <v>51</v>
      </c>
      <c r="O2153" s="7" t="n">
        <v>4</v>
      </c>
    </row>
    <row r="2154" customFormat="false" ht="15" hidden="false" customHeight="false" outlineLevel="0" collapsed="false">
      <c r="A2154" s="7" t="s">
        <v>3322</v>
      </c>
      <c r="B2154" s="10" t="n">
        <v>45936</v>
      </c>
      <c r="C2154" s="7" t="s">
        <v>2369</v>
      </c>
      <c r="D2154" s="7" t="s">
        <v>3323</v>
      </c>
      <c r="E2154" s="7" t="s">
        <v>113</v>
      </c>
      <c r="F2154" s="7" t="s">
        <v>101</v>
      </c>
      <c r="G2154" s="7" t="s">
        <v>90</v>
      </c>
      <c r="H2154" s="7" t="n">
        <v>3</v>
      </c>
      <c r="I2154" s="11" t="n">
        <v>275</v>
      </c>
      <c r="J2154" s="11" t="n">
        <v>20</v>
      </c>
      <c r="K2154" s="11" t="n">
        <f aca="false">H2154*I2154-J2154</f>
        <v>805</v>
      </c>
      <c r="L2154" s="7" t="s">
        <v>93</v>
      </c>
      <c r="M2154" s="7" t="s">
        <v>194</v>
      </c>
      <c r="N2154" s="7" t="n">
        <v>47</v>
      </c>
      <c r="O2154" s="7" t="n">
        <v>3</v>
      </c>
    </row>
    <row r="2155" customFormat="false" ht="15" hidden="false" customHeight="false" outlineLevel="0" collapsed="false">
      <c r="A2155" s="7" t="s">
        <v>2773</v>
      </c>
      <c r="B2155" s="10" t="n">
        <v>45936</v>
      </c>
      <c r="C2155" s="7" t="s">
        <v>1545</v>
      </c>
      <c r="D2155" s="7" t="s">
        <v>1658</v>
      </c>
      <c r="E2155" s="7" t="s">
        <v>154</v>
      </c>
      <c r="F2155" s="7" t="s">
        <v>128</v>
      </c>
      <c r="G2155" s="7" t="s">
        <v>99</v>
      </c>
      <c r="H2155" s="7" t="n">
        <v>3</v>
      </c>
      <c r="I2155" s="11" t="n">
        <v>260</v>
      </c>
      <c r="J2155" s="11" t="n">
        <v>0</v>
      </c>
      <c r="K2155" s="11" t="n">
        <f aca="false">H2155*I2155-J2155</f>
        <v>780</v>
      </c>
      <c r="L2155" s="7" t="s">
        <v>121</v>
      </c>
      <c r="M2155" s="7" t="s">
        <v>238</v>
      </c>
      <c r="N2155" s="7"/>
      <c r="O2155" s="7"/>
    </row>
    <row r="2156" customFormat="false" ht="15" hidden="false" customHeight="false" outlineLevel="0" collapsed="false">
      <c r="A2156" s="7" t="s">
        <v>5522</v>
      </c>
      <c r="B2156" s="10" t="n">
        <v>45936</v>
      </c>
      <c r="C2156" s="7" t="s">
        <v>5523</v>
      </c>
      <c r="D2156" s="7" t="s">
        <v>2618</v>
      </c>
      <c r="E2156" s="7" t="s">
        <v>142</v>
      </c>
      <c r="F2156" s="7" t="s">
        <v>110</v>
      </c>
      <c r="G2156" s="7" t="s">
        <v>105</v>
      </c>
      <c r="H2156" s="7" t="n">
        <v>4</v>
      </c>
      <c r="I2156" s="11" t="n">
        <v>190</v>
      </c>
      <c r="J2156" s="11" t="n">
        <v>150</v>
      </c>
      <c r="K2156" s="11" t="n">
        <f aca="false">H2156*I2156-J2156</f>
        <v>610</v>
      </c>
      <c r="L2156" s="7" t="s">
        <v>112</v>
      </c>
      <c r="M2156" s="7" t="s">
        <v>194</v>
      </c>
      <c r="N2156" s="7" t="n">
        <v>27</v>
      </c>
      <c r="O2156" s="7" t="n">
        <v>3</v>
      </c>
    </row>
    <row r="2157" customFormat="false" ht="15" hidden="false" customHeight="false" outlineLevel="0" collapsed="false">
      <c r="A2157" s="7" t="s">
        <v>4158</v>
      </c>
      <c r="B2157" s="10" t="n">
        <v>45937</v>
      </c>
      <c r="C2157" s="7" t="s">
        <v>996</v>
      </c>
      <c r="D2157" s="7" t="s">
        <v>4159</v>
      </c>
      <c r="E2157" s="7" t="s">
        <v>130</v>
      </c>
      <c r="F2157" s="7" t="s">
        <v>110</v>
      </c>
      <c r="G2157" s="7" t="s">
        <v>90</v>
      </c>
      <c r="H2157" s="7" t="n">
        <v>2</v>
      </c>
      <c r="I2157" s="11" t="n">
        <v>260</v>
      </c>
      <c r="J2157" s="11" t="n">
        <v>75</v>
      </c>
      <c r="K2157" s="11" t="n">
        <f aca="false">H2157*I2157-J2157</f>
        <v>445</v>
      </c>
      <c r="L2157" s="7" t="s">
        <v>112</v>
      </c>
      <c r="M2157" s="7" t="s">
        <v>194</v>
      </c>
      <c r="N2157" s="7" t="n">
        <v>38</v>
      </c>
      <c r="O2157" s="7" t="n">
        <v>5</v>
      </c>
    </row>
    <row r="2158" customFormat="false" ht="15" hidden="false" customHeight="false" outlineLevel="0" collapsed="false">
      <c r="A2158" s="7" t="s">
        <v>1162</v>
      </c>
      <c r="B2158" s="10" t="n">
        <v>45937</v>
      </c>
      <c r="C2158" s="7" t="s">
        <v>1164</v>
      </c>
      <c r="D2158" s="7" t="s">
        <v>1165</v>
      </c>
      <c r="E2158" s="7" t="s">
        <v>122</v>
      </c>
      <c r="F2158" s="7" t="s">
        <v>101</v>
      </c>
      <c r="G2158" s="7" t="s">
        <v>123</v>
      </c>
      <c r="H2158" s="7" t="n">
        <v>2</v>
      </c>
      <c r="I2158" s="11" t="n">
        <v>310</v>
      </c>
      <c r="J2158" s="11" t="n">
        <v>20</v>
      </c>
      <c r="K2158" s="11" t="n">
        <f aca="false">H2158*I2158-J2158</f>
        <v>600</v>
      </c>
      <c r="L2158" s="7" t="s">
        <v>88</v>
      </c>
      <c r="M2158" s="7" t="s">
        <v>194</v>
      </c>
      <c r="N2158" s="7" t="n">
        <v>43</v>
      </c>
      <c r="O2158" s="7"/>
    </row>
    <row r="2159" customFormat="false" ht="15" hidden="false" customHeight="false" outlineLevel="0" collapsed="false">
      <c r="A2159" s="7" t="s">
        <v>1230</v>
      </c>
      <c r="B2159" s="10" t="n">
        <v>45937</v>
      </c>
      <c r="C2159" s="7" t="s">
        <v>1231</v>
      </c>
      <c r="D2159" s="7" t="s">
        <v>1232</v>
      </c>
      <c r="E2159" s="7" t="s">
        <v>159</v>
      </c>
      <c r="F2159" s="7" t="s">
        <v>136</v>
      </c>
      <c r="G2159" s="7" t="s">
        <v>90</v>
      </c>
      <c r="H2159" s="7" t="n">
        <v>1</v>
      </c>
      <c r="I2159" s="11" t="n">
        <v>260</v>
      </c>
      <c r="J2159" s="11" t="n">
        <v>0</v>
      </c>
      <c r="K2159" s="11" t="n">
        <f aca="false">H2159*I2159-J2159</f>
        <v>260</v>
      </c>
      <c r="L2159" s="7" t="s">
        <v>103</v>
      </c>
      <c r="M2159" s="7" t="s">
        <v>238</v>
      </c>
      <c r="N2159" s="7"/>
      <c r="O2159" s="7"/>
    </row>
    <row r="2160" customFormat="false" ht="15" hidden="false" customHeight="false" outlineLevel="0" collapsed="false">
      <c r="A2160" s="7" t="s">
        <v>2822</v>
      </c>
      <c r="B2160" s="10" t="n">
        <v>45937</v>
      </c>
      <c r="C2160" s="7" t="s">
        <v>1235</v>
      </c>
      <c r="D2160" s="7" t="s">
        <v>2823</v>
      </c>
      <c r="E2160" s="7" t="s">
        <v>158</v>
      </c>
      <c r="F2160" s="7" t="s">
        <v>136</v>
      </c>
      <c r="G2160" s="7" t="s">
        <v>139</v>
      </c>
      <c r="H2160" s="7" t="n">
        <v>1</v>
      </c>
      <c r="I2160" s="11" t="n">
        <v>200</v>
      </c>
      <c r="J2160" s="11" t="n">
        <v>80</v>
      </c>
      <c r="K2160" s="11" t="n">
        <f aca="false">H2160*I2160-J2160</f>
        <v>120</v>
      </c>
      <c r="L2160" s="7" t="s">
        <v>88</v>
      </c>
      <c r="M2160" s="7" t="s">
        <v>194</v>
      </c>
      <c r="N2160" s="7" t="n">
        <v>27</v>
      </c>
      <c r="O2160" s="7" t="n">
        <v>4</v>
      </c>
    </row>
    <row r="2161" customFormat="false" ht="15" hidden="false" customHeight="false" outlineLevel="0" collapsed="false">
      <c r="A2161" s="7" t="s">
        <v>3193</v>
      </c>
      <c r="B2161" s="10" t="n">
        <v>45938</v>
      </c>
      <c r="C2161" s="7" t="s">
        <v>743</v>
      </c>
      <c r="D2161" s="7" t="s">
        <v>826</v>
      </c>
      <c r="E2161" s="7" t="s">
        <v>164</v>
      </c>
      <c r="F2161" s="7" t="s">
        <v>141</v>
      </c>
      <c r="G2161" s="7" t="s">
        <v>150</v>
      </c>
      <c r="H2161" s="7" t="n">
        <v>4</v>
      </c>
      <c r="I2161" s="11" t="n">
        <v>140</v>
      </c>
      <c r="J2161" s="11" t="n">
        <v>100</v>
      </c>
      <c r="K2161" s="11" t="n">
        <f aca="false">H2161*I2161-J2161</f>
        <v>460</v>
      </c>
      <c r="L2161" s="7" t="s">
        <v>103</v>
      </c>
      <c r="M2161" s="7" t="s">
        <v>194</v>
      </c>
      <c r="N2161" s="7" t="n">
        <v>44</v>
      </c>
      <c r="O2161" s="7" t="n">
        <v>5</v>
      </c>
    </row>
    <row r="2162" customFormat="false" ht="15" hidden="false" customHeight="false" outlineLevel="0" collapsed="false">
      <c r="A2162" s="7" t="s">
        <v>5636</v>
      </c>
      <c r="B2162" s="10" t="n">
        <v>45938</v>
      </c>
      <c r="C2162" s="7" t="s">
        <v>693</v>
      </c>
      <c r="D2162" s="7" t="s">
        <v>5637</v>
      </c>
      <c r="E2162" s="7" t="s">
        <v>142</v>
      </c>
      <c r="F2162" s="7" t="s">
        <v>110</v>
      </c>
      <c r="G2162" s="7" t="s">
        <v>105</v>
      </c>
      <c r="H2162" s="7" t="n">
        <v>2</v>
      </c>
      <c r="I2162" s="11" t="n">
        <v>185</v>
      </c>
      <c r="J2162" s="11" t="n">
        <v>0</v>
      </c>
      <c r="K2162" s="11" t="n">
        <f aca="false">H2162*I2162-J2162</f>
        <v>370</v>
      </c>
      <c r="L2162" s="7" t="s">
        <v>88</v>
      </c>
      <c r="M2162" s="7" t="s">
        <v>194</v>
      </c>
      <c r="N2162" s="7" t="n">
        <v>35</v>
      </c>
      <c r="O2162" s="7"/>
    </row>
    <row r="2163" customFormat="false" ht="15" hidden="false" customHeight="false" outlineLevel="0" collapsed="false">
      <c r="A2163" s="7" t="s">
        <v>2741</v>
      </c>
      <c r="B2163" s="10" t="n">
        <v>45938</v>
      </c>
      <c r="C2163" s="7" t="s">
        <v>2743</v>
      </c>
      <c r="D2163" s="7" t="s">
        <v>2744</v>
      </c>
      <c r="E2163" s="7" t="s">
        <v>148</v>
      </c>
      <c r="F2163" s="7" t="s">
        <v>119</v>
      </c>
      <c r="G2163" s="7" t="s">
        <v>123</v>
      </c>
      <c r="H2163" s="7" t="n">
        <v>1</v>
      </c>
      <c r="I2163" s="11" t="n">
        <v>270</v>
      </c>
      <c r="J2163" s="11" t="n">
        <v>20</v>
      </c>
      <c r="K2163" s="11" t="n">
        <f aca="false">H2163*I2163-J2163</f>
        <v>250</v>
      </c>
      <c r="L2163" s="7" t="s">
        <v>112</v>
      </c>
      <c r="M2163" s="7" t="s">
        <v>238</v>
      </c>
      <c r="N2163" s="7"/>
      <c r="O2163" s="7"/>
    </row>
    <row r="2164" customFormat="false" ht="15" hidden="false" customHeight="false" outlineLevel="0" collapsed="false">
      <c r="A2164" s="7" t="s">
        <v>1766</v>
      </c>
      <c r="B2164" s="10" t="n">
        <v>45938</v>
      </c>
      <c r="C2164" s="7" t="s">
        <v>668</v>
      </c>
      <c r="D2164" s="7" t="s">
        <v>1768</v>
      </c>
      <c r="E2164" s="7" t="s">
        <v>167</v>
      </c>
      <c r="F2164" s="7" t="s">
        <v>146</v>
      </c>
      <c r="G2164" s="7" t="s">
        <v>156</v>
      </c>
      <c r="H2164" s="7" t="n">
        <v>3</v>
      </c>
      <c r="I2164" s="11" t="n">
        <v>295</v>
      </c>
      <c r="J2164" s="11" t="n">
        <v>0</v>
      </c>
      <c r="K2164" s="11" t="n">
        <f aca="false">H2164*I2164-J2164</f>
        <v>885</v>
      </c>
      <c r="L2164" s="7" t="s">
        <v>88</v>
      </c>
      <c r="M2164" s="7" t="s">
        <v>194</v>
      </c>
      <c r="N2164" s="7" t="n">
        <v>24</v>
      </c>
      <c r="O2164" s="7" t="n">
        <v>4</v>
      </c>
    </row>
    <row r="2165" customFormat="false" ht="15" hidden="false" customHeight="false" outlineLevel="0" collapsed="false">
      <c r="A2165" s="7" t="s">
        <v>4193</v>
      </c>
      <c r="B2165" s="10" t="n">
        <v>45938</v>
      </c>
      <c r="C2165" s="7" t="s">
        <v>4194</v>
      </c>
      <c r="D2165" s="7" t="s">
        <v>4195</v>
      </c>
      <c r="E2165" s="7" t="s">
        <v>144</v>
      </c>
      <c r="F2165" s="7" t="s">
        <v>119</v>
      </c>
      <c r="G2165" s="7" t="s">
        <v>99</v>
      </c>
      <c r="H2165" s="7" t="n">
        <v>5</v>
      </c>
      <c r="I2165" s="11" t="n">
        <v>320</v>
      </c>
      <c r="J2165" s="11" t="n">
        <v>125</v>
      </c>
      <c r="K2165" s="11" t="n">
        <f aca="false">H2165*I2165-J2165</f>
        <v>1475</v>
      </c>
      <c r="L2165" s="7" t="s">
        <v>88</v>
      </c>
      <c r="M2165" s="7" t="s">
        <v>194</v>
      </c>
      <c r="N2165" s="7" t="n">
        <v>27</v>
      </c>
      <c r="O2165" s="7" t="n">
        <v>4</v>
      </c>
    </row>
    <row r="2166" customFormat="false" ht="15" hidden="false" customHeight="false" outlineLevel="0" collapsed="false">
      <c r="A2166" s="7" t="s">
        <v>1953</v>
      </c>
      <c r="B2166" s="10" t="n">
        <v>45938</v>
      </c>
      <c r="C2166" s="7" t="s">
        <v>292</v>
      </c>
      <c r="D2166" s="7" t="s">
        <v>1954</v>
      </c>
      <c r="E2166" s="7" t="s">
        <v>163</v>
      </c>
      <c r="F2166" s="7" t="s">
        <v>141</v>
      </c>
      <c r="G2166" s="7" t="s">
        <v>99</v>
      </c>
      <c r="H2166" s="7" t="n">
        <v>1</v>
      </c>
      <c r="I2166" s="11" t="n">
        <v>200</v>
      </c>
      <c r="J2166" s="11" t="n">
        <v>80</v>
      </c>
      <c r="K2166" s="11" t="n">
        <f aca="false">H2166*I2166-J2166</f>
        <v>120</v>
      </c>
      <c r="L2166" s="7" t="s">
        <v>88</v>
      </c>
      <c r="M2166" s="7" t="s">
        <v>194</v>
      </c>
      <c r="N2166" s="7" t="n">
        <v>32</v>
      </c>
      <c r="O2166" s="7" t="n">
        <v>4</v>
      </c>
    </row>
    <row r="2167" customFormat="false" ht="15" hidden="false" customHeight="false" outlineLevel="0" collapsed="false">
      <c r="A2167" s="7" t="s">
        <v>1986</v>
      </c>
      <c r="B2167" s="10" t="n">
        <v>45938</v>
      </c>
      <c r="C2167" s="7" t="s">
        <v>1474</v>
      </c>
      <c r="D2167" s="7" t="s">
        <v>1987</v>
      </c>
      <c r="E2167" s="7" t="s">
        <v>126</v>
      </c>
      <c r="F2167" s="7" t="s">
        <v>101</v>
      </c>
      <c r="G2167" s="7" t="s">
        <v>105</v>
      </c>
      <c r="H2167" s="7" t="n">
        <v>4</v>
      </c>
      <c r="I2167" s="11" t="n">
        <v>220</v>
      </c>
      <c r="J2167" s="11" t="n">
        <v>125</v>
      </c>
      <c r="K2167" s="11" t="n">
        <f aca="false">H2167*I2167-J2167</f>
        <v>755</v>
      </c>
      <c r="L2167" s="7" t="s">
        <v>133</v>
      </c>
      <c r="M2167" s="7" t="s">
        <v>194</v>
      </c>
      <c r="N2167" s="7" t="n">
        <v>55</v>
      </c>
      <c r="O2167" s="7" t="n">
        <v>5</v>
      </c>
    </row>
    <row r="2168" customFormat="false" ht="15" hidden="false" customHeight="false" outlineLevel="0" collapsed="false">
      <c r="A2168" s="7" t="s">
        <v>5647</v>
      </c>
      <c r="B2168" s="10" t="n">
        <v>45938</v>
      </c>
      <c r="C2168" s="7" t="s">
        <v>1624</v>
      </c>
      <c r="D2168" s="7" t="s">
        <v>2622</v>
      </c>
      <c r="E2168" s="7" t="s">
        <v>126</v>
      </c>
      <c r="F2168" s="7" t="s">
        <v>101</v>
      </c>
      <c r="G2168" s="7" t="s">
        <v>105</v>
      </c>
      <c r="H2168" s="7" t="n">
        <v>1</v>
      </c>
      <c r="I2168" s="11" t="n">
        <v>215</v>
      </c>
      <c r="J2168" s="11" t="n">
        <v>50</v>
      </c>
      <c r="K2168" s="11" t="n">
        <f aca="false">H2168*I2168-J2168</f>
        <v>165</v>
      </c>
      <c r="L2168" s="7" t="s">
        <v>88</v>
      </c>
      <c r="M2168" s="7" t="s">
        <v>194</v>
      </c>
      <c r="N2168" s="7" t="n">
        <v>44</v>
      </c>
      <c r="O2168" s="7" t="n">
        <v>4</v>
      </c>
    </row>
    <row r="2169" customFormat="false" ht="15" hidden="false" customHeight="false" outlineLevel="0" collapsed="false">
      <c r="A2169" s="7" t="s">
        <v>4754</v>
      </c>
      <c r="B2169" s="10" t="n">
        <v>45938</v>
      </c>
      <c r="C2169" s="7" t="s">
        <v>585</v>
      </c>
      <c r="D2169" s="7" t="s">
        <v>4755</v>
      </c>
      <c r="E2169" s="7" t="s">
        <v>149</v>
      </c>
      <c r="F2169" s="7" t="s">
        <v>119</v>
      </c>
      <c r="G2169" s="7" t="s">
        <v>150</v>
      </c>
      <c r="H2169" s="7" t="n">
        <v>4</v>
      </c>
      <c r="I2169" s="11" t="n">
        <v>190</v>
      </c>
      <c r="J2169" s="11" t="n">
        <v>0</v>
      </c>
      <c r="K2169" s="11" t="n">
        <f aca="false">H2169*I2169-J2169</f>
        <v>760</v>
      </c>
      <c r="L2169" s="7" t="s">
        <v>88</v>
      </c>
      <c r="M2169" s="7" t="s">
        <v>194</v>
      </c>
      <c r="N2169" s="7" t="n">
        <v>30</v>
      </c>
      <c r="O2169" s="7" t="n">
        <v>3</v>
      </c>
    </row>
    <row r="2170" customFormat="false" ht="15" hidden="false" customHeight="false" outlineLevel="0" collapsed="false">
      <c r="A2170" s="7" t="s">
        <v>4239</v>
      </c>
      <c r="B2170" s="10" t="n">
        <v>45939</v>
      </c>
      <c r="C2170" s="7" t="s">
        <v>4240</v>
      </c>
      <c r="D2170" s="7" t="s">
        <v>4241</v>
      </c>
      <c r="E2170" s="7" t="s">
        <v>152</v>
      </c>
      <c r="F2170" s="7" t="s">
        <v>128</v>
      </c>
      <c r="G2170" s="7" t="s">
        <v>95</v>
      </c>
      <c r="H2170" s="7" t="n">
        <v>1</v>
      </c>
      <c r="I2170" s="11" t="n">
        <v>80</v>
      </c>
      <c r="J2170" s="11" t="n">
        <v>30</v>
      </c>
      <c r="K2170" s="11" t="n">
        <f aca="false">H2170*I2170-J2170</f>
        <v>50</v>
      </c>
      <c r="L2170" s="7" t="s">
        <v>88</v>
      </c>
      <c r="M2170" s="7" t="s">
        <v>194</v>
      </c>
      <c r="N2170" s="7" t="n">
        <v>33</v>
      </c>
      <c r="O2170" s="7" t="n">
        <v>3</v>
      </c>
    </row>
    <row r="2171" customFormat="false" ht="15" hidden="false" customHeight="false" outlineLevel="0" collapsed="false">
      <c r="A2171" s="7" t="s">
        <v>5691</v>
      </c>
      <c r="B2171" s="10" t="n">
        <v>45939</v>
      </c>
      <c r="C2171" s="7" t="s">
        <v>866</v>
      </c>
      <c r="D2171" s="7" t="s">
        <v>3663</v>
      </c>
      <c r="E2171" s="7" t="s">
        <v>130</v>
      </c>
      <c r="F2171" s="7" t="s">
        <v>110</v>
      </c>
      <c r="G2171" s="7" t="s">
        <v>90</v>
      </c>
      <c r="H2171" s="7" t="n">
        <v>2</v>
      </c>
      <c r="I2171" s="11" t="n">
        <v>245</v>
      </c>
      <c r="J2171" s="11" t="n">
        <v>0</v>
      </c>
      <c r="K2171" s="11" t="n">
        <f aca="false">H2171*I2171-J2171</f>
        <v>490</v>
      </c>
      <c r="L2171" s="7" t="s">
        <v>88</v>
      </c>
      <c r="M2171" s="7" t="s">
        <v>194</v>
      </c>
      <c r="N2171" s="7" t="n">
        <v>38</v>
      </c>
      <c r="O2171" s="7" t="n">
        <v>5</v>
      </c>
    </row>
    <row r="2172" customFormat="false" ht="15" hidden="false" customHeight="false" outlineLevel="0" collapsed="false">
      <c r="A2172" s="7" t="s">
        <v>4808</v>
      </c>
      <c r="B2172" s="10" t="n">
        <v>45939</v>
      </c>
      <c r="C2172" s="7" t="s">
        <v>419</v>
      </c>
      <c r="D2172" s="7" t="s">
        <v>4809</v>
      </c>
      <c r="E2172" s="7" t="s">
        <v>159</v>
      </c>
      <c r="F2172" s="7" t="s">
        <v>136</v>
      </c>
      <c r="G2172" s="7" t="s">
        <v>90</v>
      </c>
      <c r="H2172" s="7" t="n">
        <v>4</v>
      </c>
      <c r="I2172" s="11" t="n">
        <v>255</v>
      </c>
      <c r="J2172" s="11" t="n">
        <v>40</v>
      </c>
      <c r="K2172" s="11" t="n">
        <f aca="false">H2172*I2172-J2172</f>
        <v>980</v>
      </c>
      <c r="L2172" s="7" t="s">
        <v>112</v>
      </c>
      <c r="M2172" s="7" t="s">
        <v>194</v>
      </c>
      <c r="N2172" s="7" t="n">
        <v>33</v>
      </c>
      <c r="O2172" s="7" t="n">
        <v>4</v>
      </c>
    </row>
    <row r="2173" customFormat="false" ht="15" hidden="false" customHeight="false" outlineLevel="0" collapsed="false">
      <c r="A2173" s="7" t="s">
        <v>1485</v>
      </c>
      <c r="B2173" s="10" t="n">
        <v>45939</v>
      </c>
      <c r="C2173" s="7" t="s">
        <v>1486</v>
      </c>
      <c r="D2173" s="7" t="s">
        <v>1487</v>
      </c>
      <c r="E2173" s="7" t="s">
        <v>154</v>
      </c>
      <c r="F2173" s="7" t="s">
        <v>128</v>
      </c>
      <c r="G2173" s="7" t="s">
        <v>99</v>
      </c>
      <c r="H2173" s="7" t="n">
        <v>2</v>
      </c>
      <c r="I2173" s="11" t="n">
        <v>255</v>
      </c>
      <c r="J2173" s="11" t="n">
        <v>0</v>
      </c>
      <c r="K2173" s="11" t="n">
        <f aca="false">H2173*I2173-J2173</f>
        <v>510</v>
      </c>
      <c r="L2173" s="7" t="s">
        <v>103</v>
      </c>
      <c r="M2173" s="7" t="s">
        <v>238</v>
      </c>
      <c r="N2173" s="7"/>
      <c r="O2173" s="7"/>
    </row>
    <row r="2174" customFormat="false" ht="15" hidden="false" customHeight="false" outlineLevel="0" collapsed="false">
      <c r="A2174" s="7" t="s">
        <v>3358</v>
      </c>
      <c r="B2174" s="10" t="n">
        <v>45939</v>
      </c>
      <c r="C2174" s="7" t="s">
        <v>1520</v>
      </c>
      <c r="D2174" s="7" t="s">
        <v>3359</v>
      </c>
      <c r="E2174" s="7" t="s">
        <v>94</v>
      </c>
      <c r="F2174" s="7" t="s">
        <v>86</v>
      </c>
      <c r="G2174" s="7" t="s">
        <v>95</v>
      </c>
      <c r="H2174" s="7" t="n">
        <v>4</v>
      </c>
      <c r="I2174" s="11" t="n">
        <v>115</v>
      </c>
      <c r="J2174" s="11" t="n">
        <v>0</v>
      </c>
      <c r="K2174" s="11" t="n">
        <f aca="false">H2174*I2174-J2174</f>
        <v>460</v>
      </c>
      <c r="L2174" s="7" t="s">
        <v>112</v>
      </c>
      <c r="M2174" s="7" t="s">
        <v>194</v>
      </c>
      <c r="N2174" s="7" t="n">
        <v>40</v>
      </c>
      <c r="O2174" s="7" t="n">
        <v>4</v>
      </c>
    </row>
    <row r="2175" customFormat="false" ht="15" hidden="false" customHeight="false" outlineLevel="0" collapsed="false">
      <c r="A2175" s="7" t="s">
        <v>1403</v>
      </c>
      <c r="B2175" s="10" t="n">
        <v>45939</v>
      </c>
      <c r="C2175" s="7" t="s">
        <v>1404</v>
      </c>
      <c r="D2175" s="7" t="s">
        <v>1405</v>
      </c>
      <c r="E2175" s="7" t="s">
        <v>130</v>
      </c>
      <c r="F2175" s="7" t="s">
        <v>110</v>
      </c>
      <c r="G2175" s="7" t="s">
        <v>90</v>
      </c>
      <c r="H2175" s="7" t="n">
        <v>2</v>
      </c>
      <c r="I2175" s="11" t="n">
        <v>295</v>
      </c>
      <c r="J2175" s="11" t="n">
        <v>0</v>
      </c>
      <c r="K2175" s="11" t="n">
        <f aca="false">H2175*I2175-J2175</f>
        <v>590</v>
      </c>
      <c r="L2175" s="7" t="s">
        <v>88</v>
      </c>
      <c r="M2175" s="7" t="s">
        <v>194</v>
      </c>
      <c r="N2175" s="7" t="n">
        <v>38</v>
      </c>
      <c r="O2175" s="7" t="n">
        <v>5</v>
      </c>
    </row>
    <row r="2176" customFormat="false" ht="15" hidden="false" customHeight="false" outlineLevel="0" collapsed="false">
      <c r="A2176" s="7" t="s">
        <v>3860</v>
      </c>
      <c r="B2176" s="10" t="n">
        <v>45939</v>
      </c>
      <c r="C2176" s="7" t="s">
        <v>3862</v>
      </c>
      <c r="D2176" s="7" t="s">
        <v>728</v>
      </c>
      <c r="E2176" s="7" t="s">
        <v>104</v>
      </c>
      <c r="F2176" s="7" t="s">
        <v>86</v>
      </c>
      <c r="G2176" s="7" t="s">
        <v>105</v>
      </c>
      <c r="H2176" s="7" t="n">
        <v>2</v>
      </c>
      <c r="I2176" s="11" t="n">
        <v>210</v>
      </c>
      <c r="J2176" s="11" t="n">
        <v>0</v>
      </c>
      <c r="K2176" s="11" t="n">
        <f aca="false">H2176*I2176-J2176</f>
        <v>420</v>
      </c>
      <c r="L2176" s="7" t="s">
        <v>121</v>
      </c>
      <c r="M2176" s="7" t="s">
        <v>194</v>
      </c>
      <c r="N2176" s="7" t="n">
        <v>34</v>
      </c>
      <c r="O2176" s="7" t="n">
        <v>3</v>
      </c>
    </row>
    <row r="2177" customFormat="false" ht="15" hidden="false" customHeight="false" outlineLevel="0" collapsed="false">
      <c r="A2177" s="7" t="s">
        <v>2572</v>
      </c>
      <c r="B2177" s="10" t="n">
        <v>45939</v>
      </c>
      <c r="C2177" s="7" t="s">
        <v>2573</v>
      </c>
      <c r="D2177" s="7" t="s">
        <v>2574</v>
      </c>
      <c r="E2177" s="7" t="s">
        <v>144</v>
      </c>
      <c r="F2177" s="7" t="s">
        <v>119</v>
      </c>
      <c r="G2177" s="7" t="s">
        <v>99</v>
      </c>
      <c r="H2177" s="7" t="n">
        <v>2</v>
      </c>
      <c r="I2177" s="11" t="n">
        <v>255</v>
      </c>
      <c r="J2177" s="11" t="n">
        <v>40</v>
      </c>
      <c r="K2177" s="11" t="n">
        <f aca="false">H2177*I2177-J2177</f>
        <v>470</v>
      </c>
      <c r="L2177" s="7" t="s">
        <v>93</v>
      </c>
      <c r="M2177" s="7" t="s">
        <v>194</v>
      </c>
      <c r="N2177" s="7" t="n">
        <v>41</v>
      </c>
      <c r="O2177" s="7" t="n">
        <v>5</v>
      </c>
    </row>
    <row r="2178" customFormat="false" ht="15" hidden="false" customHeight="false" outlineLevel="0" collapsed="false">
      <c r="A2178" s="7" t="s">
        <v>2022</v>
      </c>
      <c r="B2178" s="10" t="n">
        <v>45939</v>
      </c>
      <c r="C2178" s="7" t="s">
        <v>2024</v>
      </c>
      <c r="D2178" s="7" t="s">
        <v>1464</v>
      </c>
      <c r="E2178" s="7" t="s">
        <v>126</v>
      </c>
      <c r="F2178" s="7" t="s">
        <v>101</v>
      </c>
      <c r="G2178" s="7" t="s">
        <v>105</v>
      </c>
      <c r="H2178" s="7" t="n">
        <v>3</v>
      </c>
      <c r="I2178" s="11" t="n">
        <v>190</v>
      </c>
      <c r="J2178" s="11" t="n">
        <v>75</v>
      </c>
      <c r="K2178" s="11" t="n">
        <f aca="false">H2178*I2178-J2178</f>
        <v>495</v>
      </c>
      <c r="L2178" s="7" t="s">
        <v>88</v>
      </c>
      <c r="M2178" s="7" t="s">
        <v>194</v>
      </c>
      <c r="N2178" s="7" t="n">
        <v>35</v>
      </c>
      <c r="O2178" s="7" t="n">
        <v>5</v>
      </c>
    </row>
    <row r="2179" customFormat="false" ht="15" hidden="false" customHeight="false" outlineLevel="0" collapsed="false">
      <c r="A2179" s="7" t="s">
        <v>730</v>
      </c>
      <c r="B2179" s="10" t="n">
        <v>45939</v>
      </c>
      <c r="C2179" s="7" t="s">
        <v>732</v>
      </c>
      <c r="D2179" s="7" t="s">
        <v>733</v>
      </c>
      <c r="E2179" s="7" t="s">
        <v>163</v>
      </c>
      <c r="F2179" s="7" t="s">
        <v>141</v>
      </c>
      <c r="G2179" s="7" t="s">
        <v>99</v>
      </c>
      <c r="H2179" s="7" t="n">
        <v>2</v>
      </c>
      <c r="I2179" s="11" t="n">
        <v>240</v>
      </c>
      <c r="J2179" s="11" t="n">
        <v>0</v>
      </c>
      <c r="K2179" s="11" t="n">
        <f aca="false">H2179*I2179-J2179</f>
        <v>480</v>
      </c>
      <c r="L2179" s="7" t="s">
        <v>112</v>
      </c>
      <c r="M2179" s="7" t="s">
        <v>194</v>
      </c>
      <c r="N2179" s="7" t="n">
        <v>28</v>
      </c>
      <c r="O2179" s="7" t="n">
        <v>5</v>
      </c>
    </row>
    <row r="2180" customFormat="false" ht="15" hidden="false" customHeight="false" outlineLevel="0" collapsed="false">
      <c r="A2180" s="7" t="s">
        <v>1294</v>
      </c>
      <c r="B2180" s="10" t="n">
        <v>45939</v>
      </c>
      <c r="C2180" s="7" t="s">
        <v>559</v>
      </c>
      <c r="D2180" s="7" t="s">
        <v>1295</v>
      </c>
      <c r="E2180" s="7" t="s">
        <v>130</v>
      </c>
      <c r="F2180" s="7" t="s">
        <v>110</v>
      </c>
      <c r="G2180" s="7" t="s">
        <v>90</v>
      </c>
      <c r="H2180" s="7" t="n">
        <v>1</v>
      </c>
      <c r="I2180" s="11" t="n">
        <v>290</v>
      </c>
      <c r="J2180" s="11" t="n">
        <v>30</v>
      </c>
      <c r="K2180" s="11" t="n">
        <f aca="false">H2180*I2180-J2180</f>
        <v>260</v>
      </c>
      <c r="L2180" s="7" t="s">
        <v>88</v>
      </c>
      <c r="M2180" s="7" t="s">
        <v>194</v>
      </c>
      <c r="N2180" s="7" t="n">
        <v>33</v>
      </c>
      <c r="O2180" s="7" t="n">
        <v>1</v>
      </c>
    </row>
    <row r="2181" customFormat="false" ht="15" hidden="false" customHeight="false" outlineLevel="0" collapsed="false">
      <c r="A2181" s="7" t="s">
        <v>3606</v>
      </c>
      <c r="B2181" s="10" t="n">
        <v>45939</v>
      </c>
      <c r="C2181" s="7" t="s">
        <v>649</v>
      </c>
      <c r="D2181" s="7" t="s">
        <v>777</v>
      </c>
      <c r="E2181" s="7" t="s">
        <v>113</v>
      </c>
      <c r="F2181" s="7" t="s">
        <v>101</v>
      </c>
      <c r="G2181" s="7" t="s">
        <v>90</v>
      </c>
      <c r="H2181" s="7" t="n">
        <v>1</v>
      </c>
      <c r="I2181" s="11" t="n">
        <v>240</v>
      </c>
      <c r="J2181" s="11" t="n">
        <v>50</v>
      </c>
      <c r="K2181" s="11" t="n">
        <f aca="false">H2181*I2181-J2181</f>
        <v>190</v>
      </c>
      <c r="L2181" s="7" t="s">
        <v>88</v>
      </c>
      <c r="M2181" s="7" t="s">
        <v>194</v>
      </c>
      <c r="N2181" s="7" t="n">
        <v>48</v>
      </c>
      <c r="O2181" s="7" t="n">
        <v>3</v>
      </c>
    </row>
    <row r="2182" customFormat="false" ht="15" hidden="false" customHeight="false" outlineLevel="0" collapsed="false">
      <c r="A2182" s="7" t="s">
        <v>3351</v>
      </c>
      <c r="B2182" s="10" t="n">
        <v>45939</v>
      </c>
      <c r="C2182" s="7" t="s">
        <v>3352</v>
      </c>
      <c r="D2182" s="7" t="s">
        <v>2512</v>
      </c>
      <c r="E2182" s="7" t="s">
        <v>157</v>
      </c>
      <c r="F2182" s="7" t="s">
        <v>136</v>
      </c>
      <c r="G2182" s="7" t="s">
        <v>117</v>
      </c>
      <c r="H2182" s="7" t="n">
        <v>1</v>
      </c>
      <c r="I2182" s="11" t="n">
        <v>100</v>
      </c>
      <c r="J2182" s="11" t="n">
        <v>40</v>
      </c>
      <c r="K2182" s="11" t="n">
        <f aca="false">H2182*I2182-J2182</f>
        <v>60</v>
      </c>
      <c r="L2182" s="7" t="s">
        <v>112</v>
      </c>
      <c r="M2182" s="7" t="s">
        <v>194</v>
      </c>
      <c r="N2182" s="7" t="n">
        <v>29</v>
      </c>
      <c r="O2182" s="7" t="n">
        <v>4</v>
      </c>
    </row>
    <row r="2183" customFormat="false" ht="15" hidden="false" customHeight="false" outlineLevel="0" collapsed="false">
      <c r="A2183" s="7" t="s">
        <v>2484</v>
      </c>
      <c r="B2183" s="10" t="n">
        <v>45939</v>
      </c>
      <c r="C2183" s="7" t="s">
        <v>2485</v>
      </c>
      <c r="D2183" s="7" t="s">
        <v>2486</v>
      </c>
      <c r="E2183" s="7" t="s">
        <v>113</v>
      </c>
      <c r="F2183" s="7" t="s">
        <v>101</v>
      </c>
      <c r="G2183" s="7" t="s">
        <v>90</v>
      </c>
      <c r="H2183" s="7" t="n">
        <v>1</v>
      </c>
      <c r="I2183" s="11" t="n">
        <v>260</v>
      </c>
      <c r="J2183" s="11" t="n">
        <v>30</v>
      </c>
      <c r="K2183" s="11" t="n">
        <f aca="false">H2183*I2183-J2183</f>
        <v>230</v>
      </c>
      <c r="L2183" s="7" t="s">
        <v>88</v>
      </c>
      <c r="M2183" s="7" t="s">
        <v>194</v>
      </c>
      <c r="N2183" s="7" t="n">
        <v>36</v>
      </c>
      <c r="O2183" s="7" t="n">
        <v>4</v>
      </c>
    </row>
    <row r="2184" customFormat="false" ht="15" hidden="false" customHeight="false" outlineLevel="0" collapsed="false">
      <c r="A2184" s="7" t="s">
        <v>5686</v>
      </c>
      <c r="B2184" s="10" t="n">
        <v>45940</v>
      </c>
      <c r="C2184" s="7" t="s">
        <v>832</v>
      </c>
      <c r="D2184" s="7" t="s">
        <v>5687</v>
      </c>
      <c r="E2184" s="7" t="s">
        <v>89</v>
      </c>
      <c r="F2184" s="7" t="s">
        <v>86</v>
      </c>
      <c r="G2184" s="7" t="s">
        <v>90</v>
      </c>
      <c r="H2184" s="7" t="n">
        <v>4</v>
      </c>
      <c r="I2184" s="11" t="n">
        <v>255</v>
      </c>
      <c r="J2184" s="11" t="n">
        <v>50</v>
      </c>
      <c r="K2184" s="11" t="n">
        <f aca="false">H2184*I2184-J2184</f>
        <v>970</v>
      </c>
      <c r="L2184" s="7" t="s">
        <v>93</v>
      </c>
      <c r="M2184" s="7" t="s">
        <v>238</v>
      </c>
      <c r="N2184" s="7"/>
      <c r="O2184" s="7"/>
    </row>
    <row r="2185" customFormat="false" ht="15" hidden="false" customHeight="false" outlineLevel="0" collapsed="false">
      <c r="A2185" s="7" t="s">
        <v>4246</v>
      </c>
      <c r="B2185" s="10" t="n">
        <v>45940</v>
      </c>
      <c r="C2185" s="7" t="s">
        <v>720</v>
      </c>
      <c r="D2185" s="7" t="s">
        <v>4248</v>
      </c>
      <c r="E2185" s="7" t="s">
        <v>168</v>
      </c>
      <c r="F2185" s="7" t="s">
        <v>146</v>
      </c>
      <c r="G2185" s="7" t="s">
        <v>123</v>
      </c>
      <c r="H2185" s="7" t="n">
        <v>2</v>
      </c>
      <c r="I2185" s="11" t="n">
        <v>295</v>
      </c>
      <c r="J2185" s="11" t="n">
        <v>125</v>
      </c>
      <c r="K2185" s="11" t="n">
        <f aca="false">H2185*I2185-J2185</f>
        <v>465</v>
      </c>
      <c r="L2185" s="7" t="s">
        <v>103</v>
      </c>
      <c r="M2185" s="7" t="s">
        <v>194</v>
      </c>
      <c r="N2185" s="7" t="n">
        <v>32</v>
      </c>
      <c r="O2185" s="7" t="n">
        <v>5</v>
      </c>
    </row>
    <row r="2186" customFormat="false" ht="15" hidden="false" customHeight="false" outlineLevel="0" collapsed="false">
      <c r="A2186" s="7" t="s">
        <v>750</v>
      </c>
      <c r="B2186" s="10" t="n">
        <v>45940</v>
      </c>
      <c r="C2186" s="7" t="s">
        <v>675</v>
      </c>
      <c r="D2186" s="7" t="s">
        <v>752</v>
      </c>
      <c r="E2186" s="7" t="s">
        <v>94</v>
      </c>
      <c r="F2186" s="7" t="s">
        <v>86</v>
      </c>
      <c r="G2186" s="7" t="s">
        <v>95</v>
      </c>
      <c r="H2186" s="7" t="n">
        <v>1</v>
      </c>
      <c r="I2186" s="11" t="n">
        <v>100</v>
      </c>
      <c r="J2186" s="11" t="n">
        <v>0</v>
      </c>
      <c r="K2186" s="11" t="n">
        <f aca="false">H2186*I2186-J2186</f>
        <v>100</v>
      </c>
      <c r="L2186" s="7" t="s">
        <v>112</v>
      </c>
      <c r="M2186" s="7" t="s">
        <v>194</v>
      </c>
      <c r="N2186" s="7" t="n">
        <v>50</v>
      </c>
      <c r="O2186" s="7" t="n">
        <v>3</v>
      </c>
    </row>
    <row r="2187" customFormat="false" ht="15" hidden="false" customHeight="false" outlineLevel="0" collapsed="false">
      <c r="A2187" s="7" t="s">
        <v>5835</v>
      </c>
      <c r="B2187" s="10" t="n">
        <v>45940</v>
      </c>
      <c r="C2187" s="7" t="s">
        <v>2402</v>
      </c>
      <c r="D2187" s="7" t="s">
        <v>1579</v>
      </c>
      <c r="E2187" s="7" t="s">
        <v>165</v>
      </c>
      <c r="F2187" s="7" t="s">
        <v>146</v>
      </c>
      <c r="G2187" s="7" t="s">
        <v>90</v>
      </c>
      <c r="H2187" s="7" t="n">
        <v>2</v>
      </c>
      <c r="I2187" s="11" t="n">
        <v>185</v>
      </c>
      <c r="J2187" s="11" t="n">
        <v>0</v>
      </c>
      <c r="K2187" s="11" t="n">
        <f aca="false">H2187*I2187-J2187</f>
        <v>370</v>
      </c>
      <c r="L2187" s="7" t="s">
        <v>88</v>
      </c>
      <c r="M2187" s="7" t="s">
        <v>194</v>
      </c>
      <c r="N2187" s="7" t="n">
        <v>24</v>
      </c>
      <c r="O2187" s="7"/>
    </row>
    <row r="2188" customFormat="false" ht="15" hidden="false" customHeight="false" outlineLevel="0" collapsed="false">
      <c r="A2188" s="7" t="s">
        <v>2608</v>
      </c>
      <c r="B2188" s="10" t="n">
        <v>45941</v>
      </c>
      <c r="C2188" s="7" t="s">
        <v>2610</v>
      </c>
      <c r="D2188" s="7" t="s">
        <v>198</v>
      </c>
      <c r="E2188" s="7" t="s">
        <v>89</v>
      </c>
      <c r="F2188" s="7" t="s">
        <v>86</v>
      </c>
      <c r="G2188" s="7" t="s">
        <v>90</v>
      </c>
      <c r="H2188" s="7" t="n">
        <v>1</v>
      </c>
      <c r="I2188" s="11" t="n">
        <v>260</v>
      </c>
      <c r="J2188" s="11" t="n">
        <v>0</v>
      </c>
      <c r="K2188" s="11" t="n">
        <f aca="false">H2188*I2188-J2188</f>
        <v>260</v>
      </c>
      <c r="L2188" s="7" t="s">
        <v>103</v>
      </c>
      <c r="M2188" s="7" t="s">
        <v>194</v>
      </c>
      <c r="N2188" s="7" t="n">
        <v>35</v>
      </c>
      <c r="O2188" s="7" t="n">
        <v>4</v>
      </c>
    </row>
    <row r="2189" customFormat="false" ht="15" hidden="false" customHeight="false" outlineLevel="0" collapsed="false">
      <c r="A2189" s="7" t="s">
        <v>5938</v>
      </c>
      <c r="B2189" s="10" t="n">
        <v>45941</v>
      </c>
      <c r="C2189" s="7" t="s">
        <v>683</v>
      </c>
      <c r="D2189" s="7" t="s">
        <v>5939</v>
      </c>
      <c r="E2189" s="7" t="s">
        <v>122</v>
      </c>
      <c r="F2189" s="7" t="s">
        <v>101</v>
      </c>
      <c r="G2189" s="7" t="s">
        <v>123</v>
      </c>
      <c r="H2189" s="7" t="n">
        <v>3</v>
      </c>
      <c r="I2189" s="11" t="n">
        <v>325</v>
      </c>
      <c r="J2189" s="11" t="n">
        <v>40</v>
      </c>
      <c r="K2189" s="11" t="n">
        <f aca="false">H2189*I2189-J2189</f>
        <v>935</v>
      </c>
      <c r="L2189" s="7" t="s">
        <v>112</v>
      </c>
      <c r="M2189" s="7" t="s">
        <v>194</v>
      </c>
      <c r="N2189" s="7" t="n">
        <v>38</v>
      </c>
      <c r="O2189" s="7" t="n">
        <v>3</v>
      </c>
    </row>
    <row r="2190" customFormat="false" ht="15" hidden="false" customHeight="false" outlineLevel="0" collapsed="false">
      <c r="A2190" s="7" t="s">
        <v>5823</v>
      </c>
      <c r="B2190" s="10" t="n">
        <v>45941</v>
      </c>
      <c r="C2190" s="7" t="s">
        <v>534</v>
      </c>
      <c r="D2190" s="7" t="s">
        <v>2477</v>
      </c>
      <c r="E2190" s="7" t="s">
        <v>165</v>
      </c>
      <c r="F2190" s="7" t="s">
        <v>146</v>
      </c>
      <c r="G2190" s="7" t="s">
        <v>90</v>
      </c>
      <c r="H2190" s="7" t="n">
        <v>1</v>
      </c>
      <c r="I2190" s="11" t="n">
        <v>180</v>
      </c>
      <c r="J2190" s="11" t="n">
        <v>72</v>
      </c>
      <c r="K2190" s="11" t="n">
        <f aca="false">H2190*I2190-J2190</f>
        <v>108</v>
      </c>
      <c r="L2190" s="7" t="s">
        <v>112</v>
      </c>
      <c r="M2190" s="7" t="s">
        <v>194</v>
      </c>
      <c r="N2190" s="7" t="n">
        <v>31</v>
      </c>
      <c r="O2190" s="7"/>
    </row>
    <row r="2191" customFormat="false" ht="15" hidden="false" customHeight="false" outlineLevel="0" collapsed="false">
      <c r="A2191" s="7" t="s">
        <v>4898</v>
      </c>
      <c r="B2191" s="10" t="n">
        <v>45941</v>
      </c>
      <c r="C2191" s="7" t="s">
        <v>2607</v>
      </c>
      <c r="D2191" s="7" t="s">
        <v>4899</v>
      </c>
      <c r="E2191" s="7" t="s">
        <v>98</v>
      </c>
      <c r="F2191" s="7" t="s">
        <v>86</v>
      </c>
      <c r="G2191" s="7" t="s">
        <v>99</v>
      </c>
      <c r="H2191" s="7" t="n">
        <v>2</v>
      </c>
      <c r="I2191" s="11" t="n">
        <v>300</v>
      </c>
      <c r="J2191" s="11" t="n">
        <v>0</v>
      </c>
      <c r="K2191" s="11" t="n">
        <f aca="false">H2191*I2191-J2191</f>
        <v>600</v>
      </c>
      <c r="L2191" s="7" t="s">
        <v>103</v>
      </c>
      <c r="M2191" s="7" t="s">
        <v>194</v>
      </c>
      <c r="N2191" s="7" t="n">
        <v>38</v>
      </c>
      <c r="O2191" s="7" t="n">
        <v>4</v>
      </c>
    </row>
    <row r="2192" customFormat="false" ht="15" hidden="false" customHeight="false" outlineLevel="0" collapsed="false">
      <c r="A2192" s="7" t="s">
        <v>2845</v>
      </c>
      <c r="B2192" s="10" t="n">
        <v>45941</v>
      </c>
      <c r="C2192" s="7" t="s">
        <v>2271</v>
      </c>
      <c r="D2192" s="7" t="s">
        <v>408</v>
      </c>
      <c r="E2192" s="7" t="s">
        <v>160</v>
      </c>
      <c r="F2192" s="7" t="s">
        <v>136</v>
      </c>
      <c r="G2192" s="7" t="s">
        <v>150</v>
      </c>
      <c r="H2192" s="7" t="n">
        <v>2</v>
      </c>
      <c r="I2192" s="11" t="n">
        <v>175</v>
      </c>
      <c r="J2192" s="11" t="n">
        <v>20</v>
      </c>
      <c r="K2192" s="11" t="n">
        <f aca="false">H2192*I2192-J2192</f>
        <v>330</v>
      </c>
      <c r="L2192" s="7" t="s">
        <v>133</v>
      </c>
      <c r="M2192" s="7" t="s">
        <v>194</v>
      </c>
      <c r="N2192" s="7" t="n">
        <v>42</v>
      </c>
      <c r="O2192" s="7" t="n">
        <v>3</v>
      </c>
    </row>
    <row r="2193" customFormat="false" ht="15" hidden="false" customHeight="false" outlineLevel="0" collapsed="false">
      <c r="A2193" s="7" t="s">
        <v>3339</v>
      </c>
      <c r="B2193" s="10" t="n">
        <v>45941</v>
      </c>
      <c r="C2193" s="7" t="s">
        <v>3340</v>
      </c>
      <c r="D2193" s="7" t="s">
        <v>887</v>
      </c>
      <c r="E2193" s="7" t="s">
        <v>89</v>
      </c>
      <c r="F2193" s="7" t="s">
        <v>86</v>
      </c>
      <c r="G2193" s="7" t="s">
        <v>90</v>
      </c>
      <c r="H2193" s="7" t="n">
        <v>2</v>
      </c>
      <c r="I2193" s="11" t="n">
        <v>255</v>
      </c>
      <c r="J2193" s="11" t="n">
        <v>0</v>
      </c>
      <c r="K2193" s="11" t="n">
        <f aca="false">H2193*I2193-J2193</f>
        <v>510</v>
      </c>
      <c r="L2193" s="7" t="s">
        <v>88</v>
      </c>
      <c r="M2193" s="7" t="s">
        <v>194</v>
      </c>
      <c r="N2193" s="7" t="n">
        <v>34</v>
      </c>
      <c r="O2193" s="7" t="n">
        <v>3</v>
      </c>
    </row>
    <row r="2194" customFormat="false" ht="15" hidden="false" customHeight="false" outlineLevel="0" collapsed="false">
      <c r="A2194" s="7" t="s">
        <v>2774</v>
      </c>
      <c r="B2194" s="10" t="n">
        <v>45941</v>
      </c>
      <c r="C2194" s="7" t="s">
        <v>2775</v>
      </c>
      <c r="D2194" s="7" t="s">
        <v>2776</v>
      </c>
      <c r="E2194" s="7" t="s">
        <v>122</v>
      </c>
      <c r="F2194" s="7" t="s">
        <v>101</v>
      </c>
      <c r="G2194" s="7" t="s">
        <v>123</v>
      </c>
      <c r="H2194" s="7" t="n">
        <v>3</v>
      </c>
      <c r="I2194" s="11" t="n">
        <v>365</v>
      </c>
      <c r="J2194" s="11" t="n">
        <v>20</v>
      </c>
      <c r="K2194" s="11" t="n">
        <f aca="false">H2194*I2194-J2194</f>
        <v>1075</v>
      </c>
      <c r="L2194" s="7" t="s">
        <v>88</v>
      </c>
      <c r="M2194" s="7" t="s">
        <v>194</v>
      </c>
      <c r="N2194" s="7" t="n">
        <v>46</v>
      </c>
      <c r="O2194" s="7" t="n">
        <v>3</v>
      </c>
    </row>
    <row r="2195" customFormat="false" ht="15" hidden="false" customHeight="false" outlineLevel="0" collapsed="false">
      <c r="A2195" s="7" t="s">
        <v>6016</v>
      </c>
      <c r="B2195" s="10" t="n">
        <v>45941</v>
      </c>
      <c r="C2195" s="7" t="s">
        <v>839</v>
      </c>
      <c r="D2195" s="7" t="s">
        <v>3922</v>
      </c>
      <c r="E2195" s="7" t="s">
        <v>130</v>
      </c>
      <c r="F2195" s="7" t="s">
        <v>110</v>
      </c>
      <c r="G2195" s="7" t="s">
        <v>90</v>
      </c>
      <c r="H2195" s="7" t="n">
        <v>2</v>
      </c>
      <c r="I2195" s="11" t="n">
        <v>295</v>
      </c>
      <c r="J2195" s="11" t="n">
        <v>30</v>
      </c>
      <c r="K2195" s="11" t="n">
        <f aca="false">H2195*I2195-J2195</f>
        <v>560</v>
      </c>
      <c r="L2195" s="7" t="s">
        <v>93</v>
      </c>
      <c r="M2195" s="7" t="s">
        <v>194</v>
      </c>
      <c r="N2195" s="7" t="n">
        <v>35</v>
      </c>
      <c r="O2195" s="7"/>
    </row>
    <row r="2196" customFormat="false" ht="15" hidden="false" customHeight="false" outlineLevel="0" collapsed="false">
      <c r="A2196" s="7" t="s">
        <v>5400</v>
      </c>
      <c r="B2196" s="10" t="n">
        <v>45941</v>
      </c>
      <c r="C2196" s="7" t="s">
        <v>1313</v>
      </c>
      <c r="D2196" s="7" t="s">
        <v>2253</v>
      </c>
      <c r="E2196" s="7" t="s">
        <v>113</v>
      </c>
      <c r="F2196" s="7" t="s">
        <v>101</v>
      </c>
      <c r="G2196" s="7" t="s">
        <v>90</v>
      </c>
      <c r="H2196" s="7" t="n">
        <v>3</v>
      </c>
      <c r="I2196" s="11" t="n">
        <v>225</v>
      </c>
      <c r="J2196" s="11" t="n">
        <v>0</v>
      </c>
      <c r="K2196" s="11" t="n">
        <f aca="false">H2196*I2196-J2196</f>
        <v>675</v>
      </c>
      <c r="L2196" s="7" t="s">
        <v>103</v>
      </c>
      <c r="M2196" s="7" t="s">
        <v>194</v>
      </c>
      <c r="N2196" s="7" t="n">
        <v>44</v>
      </c>
      <c r="O2196" s="7" t="n">
        <v>4</v>
      </c>
    </row>
    <row r="2197" customFormat="false" ht="15" hidden="false" customHeight="false" outlineLevel="0" collapsed="false">
      <c r="A2197" s="7" t="s">
        <v>5203</v>
      </c>
      <c r="B2197" s="10" t="n">
        <v>45941</v>
      </c>
      <c r="C2197" s="7" t="s">
        <v>649</v>
      </c>
      <c r="D2197" s="7" t="s">
        <v>4586</v>
      </c>
      <c r="E2197" s="7" t="s">
        <v>151</v>
      </c>
      <c r="F2197" s="7" t="s">
        <v>128</v>
      </c>
      <c r="G2197" s="7" t="s">
        <v>95</v>
      </c>
      <c r="H2197" s="7" t="n">
        <v>3</v>
      </c>
      <c r="I2197" s="11" t="n">
        <v>165</v>
      </c>
      <c r="J2197" s="11" t="n">
        <v>75</v>
      </c>
      <c r="K2197" s="11" t="n">
        <f aca="false">H2197*I2197-J2197</f>
        <v>420</v>
      </c>
      <c r="L2197" s="7" t="s">
        <v>88</v>
      </c>
      <c r="M2197" s="7" t="s">
        <v>194</v>
      </c>
      <c r="N2197" s="7" t="n">
        <v>47</v>
      </c>
      <c r="O2197" s="7" t="n">
        <v>3</v>
      </c>
    </row>
    <row r="2198" customFormat="false" ht="15" hidden="false" customHeight="false" outlineLevel="0" collapsed="false">
      <c r="A2198" s="7" t="s">
        <v>2903</v>
      </c>
      <c r="B2198" s="10" t="n">
        <v>45941</v>
      </c>
      <c r="C2198" s="7" t="s">
        <v>2904</v>
      </c>
      <c r="D2198" s="7" t="s">
        <v>2718</v>
      </c>
      <c r="E2198" s="7" t="s">
        <v>142</v>
      </c>
      <c r="F2198" s="7" t="s">
        <v>110</v>
      </c>
      <c r="G2198" s="7" t="s">
        <v>105</v>
      </c>
      <c r="H2198" s="7" t="n">
        <v>1</v>
      </c>
      <c r="I2198" s="11" t="n">
        <v>140</v>
      </c>
      <c r="J2198" s="11" t="n">
        <v>0</v>
      </c>
      <c r="K2198" s="11" t="n">
        <f aca="false">H2198*I2198-J2198</f>
        <v>140</v>
      </c>
      <c r="L2198" s="7" t="s">
        <v>88</v>
      </c>
      <c r="M2198" s="7" t="s">
        <v>238</v>
      </c>
      <c r="N2198" s="7"/>
      <c r="O2198" s="7"/>
    </row>
    <row r="2199" customFormat="false" ht="15" hidden="false" customHeight="false" outlineLevel="0" collapsed="false">
      <c r="A2199" s="7" t="s">
        <v>4520</v>
      </c>
      <c r="B2199" s="10" t="n">
        <v>45942</v>
      </c>
      <c r="C2199" s="7" t="s">
        <v>1699</v>
      </c>
      <c r="D2199" s="7" t="s">
        <v>4521</v>
      </c>
      <c r="E2199" s="7" t="s">
        <v>89</v>
      </c>
      <c r="F2199" s="7" t="s">
        <v>86</v>
      </c>
      <c r="G2199" s="7" t="s">
        <v>90</v>
      </c>
      <c r="H2199" s="7" t="n">
        <v>3</v>
      </c>
      <c r="I2199" s="11" t="n">
        <v>250</v>
      </c>
      <c r="J2199" s="11" t="n">
        <v>0</v>
      </c>
      <c r="K2199" s="11" t="n">
        <f aca="false">H2199*I2199-J2199</f>
        <v>750</v>
      </c>
      <c r="L2199" s="7" t="s">
        <v>133</v>
      </c>
      <c r="M2199" s="7" t="s">
        <v>194</v>
      </c>
      <c r="N2199" s="7" t="n">
        <v>49</v>
      </c>
      <c r="O2199" s="7" t="n">
        <v>4</v>
      </c>
    </row>
    <row r="2200" customFormat="false" ht="15" hidden="false" customHeight="false" outlineLevel="0" collapsed="false">
      <c r="A2200" s="7" t="s">
        <v>5733</v>
      </c>
      <c r="B2200" s="10" t="n">
        <v>45942</v>
      </c>
      <c r="C2200" s="7" t="s">
        <v>223</v>
      </c>
      <c r="D2200" s="7" t="s">
        <v>293</v>
      </c>
      <c r="E2200" s="7" t="s">
        <v>89</v>
      </c>
      <c r="F2200" s="7" t="s">
        <v>86</v>
      </c>
      <c r="G2200" s="7" t="s">
        <v>90</v>
      </c>
      <c r="H2200" s="7" t="n">
        <v>2</v>
      </c>
      <c r="I2200" s="11" t="n">
        <v>290</v>
      </c>
      <c r="J2200" s="11" t="n">
        <v>0</v>
      </c>
      <c r="K2200" s="11" t="n">
        <f aca="false">H2200*I2200-J2200</f>
        <v>580</v>
      </c>
      <c r="L2200" s="7" t="s">
        <v>88</v>
      </c>
      <c r="M2200" s="7" t="s">
        <v>194</v>
      </c>
      <c r="N2200" s="7" t="n">
        <v>38</v>
      </c>
      <c r="O2200" s="7" t="n">
        <v>5</v>
      </c>
    </row>
    <row r="2201" customFormat="false" ht="15" hidden="false" customHeight="false" outlineLevel="0" collapsed="false">
      <c r="A2201" s="7" t="s">
        <v>1647</v>
      </c>
      <c r="B2201" s="10" t="n">
        <v>45942</v>
      </c>
      <c r="C2201" s="7" t="s">
        <v>952</v>
      </c>
      <c r="D2201" s="7" t="s">
        <v>1369</v>
      </c>
      <c r="E2201" s="7" t="s">
        <v>113</v>
      </c>
      <c r="F2201" s="7" t="s">
        <v>101</v>
      </c>
      <c r="G2201" s="7" t="s">
        <v>90</v>
      </c>
      <c r="H2201" s="7" t="n">
        <v>2</v>
      </c>
      <c r="I2201" s="11" t="n">
        <v>230</v>
      </c>
      <c r="J2201" s="11" t="n">
        <v>0</v>
      </c>
      <c r="K2201" s="11" t="n">
        <f aca="false">H2201*I2201-J2201</f>
        <v>460</v>
      </c>
      <c r="L2201" s="7" t="s">
        <v>88</v>
      </c>
      <c r="M2201" s="7" t="s">
        <v>194</v>
      </c>
      <c r="N2201" s="7" t="n">
        <v>42</v>
      </c>
      <c r="O2201" s="7" t="n">
        <v>4</v>
      </c>
    </row>
    <row r="2202" customFormat="false" ht="15" hidden="false" customHeight="false" outlineLevel="0" collapsed="false">
      <c r="A2202" s="7" t="s">
        <v>4256</v>
      </c>
      <c r="B2202" s="10" t="n">
        <v>45942</v>
      </c>
      <c r="C2202" s="7" t="s">
        <v>1011</v>
      </c>
      <c r="D2202" s="7" t="s">
        <v>784</v>
      </c>
      <c r="E2202" s="7" t="s">
        <v>148</v>
      </c>
      <c r="F2202" s="7" t="s">
        <v>119</v>
      </c>
      <c r="G2202" s="7" t="s">
        <v>123</v>
      </c>
      <c r="H2202" s="7" t="n">
        <v>1</v>
      </c>
      <c r="I2202" s="11" t="n">
        <v>375</v>
      </c>
      <c r="J2202" s="11" t="n">
        <v>30</v>
      </c>
      <c r="K2202" s="11" t="n">
        <f aca="false">H2202*I2202-J2202</f>
        <v>345</v>
      </c>
      <c r="L2202" s="7" t="s">
        <v>88</v>
      </c>
      <c r="M2202" s="7" t="s">
        <v>194</v>
      </c>
      <c r="N2202" s="7" t="n">
        <v>26</v>
      </c>
      <c r="O2202" s="7" t="n">
        <v>5</v>
      </c>
    </row>
    <row r="2203" customFormat="false" ht="15" hidden="false" customHeight="false" outlineLevel="0" collapsed="false">
      <c r="A2203" s="7" t="s">
        <v>4900</v>
      </c>
      <c r="B2203" s="10" t="n">
        <v>45942</v>
      </c>
      <c r="C2203" s="7" t="s">
        <v>1019</v>
      </c>
      <c r="D2203" s="7" t="s">
        <v>789</v>
      </c>
      <c r="E2203" s="7" t="s">
        <v>94</v>
      </c>
      <c r="F2203" s="7" t="s">
        <v>86</v>
      </c>
      <c r="G2203" s="7" t="s">
        <v>95</v>
      </c>
      <c r="H2203" s="7" t="n">
        <v>2</v>
      </c>
      <c r="I2203" s="11" t="n">
        <v>120</v>
      </c>
      <c r="J2203" s="11" t="n">
        <v>96</v>
      </c>
      <c r="K2203" s="11" t="n">
        <f aca="false">H2203*I2203-J2203</f>
        <v>144</v>
      </c>
      <c r="L2203" s="7" t="s">
        <v>88</v>
      </c>
      <c r="M2203" s="7" t="s">
        <v>194</v>
      </c>
      <c r="N2203" s="7" t="n">
        <v>52</v>
      </c>
      <c r="O2203" s="7" t="n">
        <v>5</v>
      </c>
    </row>
    <row r="2204" customFormat="false" ht="15" hidden="false" customHeight="false" outlineLevel="0" collapsed="false">
      <c r="A2204" s="7" t="s">
        <v>1896</v>
      </c>
      <c r="B2204" s="10" t="n">
        <v>45942</v>
      </c>
      <c r="C2204" s="7" t="s">
        <v>1562</v>
      </c>
      <c r="D2204" s="7" t="s">
        <v>830</v>
      </c>
      <c r="E2204" s="7" t="s">
        <v>159</v>
      </c>
      <c r="F2204" s="7" t="s">
        <v>136</v>
      </c>
      <c r="G2204" s="7" t="s">
        <v>90</v>
      </c>
      <c r="H2204" s="7" t="n">
        <v>4</v>
      </c>
      <c r="I2204" s="11" t="n">
        <v>195</v>
      </c>
      <c r="J2204" s="11" t="n">
        <v>0</v>
      </c>
      <c r="K2204" s="11" t="n">
        <f aca="false">H2204*I2204-J2204</f>
        <v>780</v>
      </c>
      <c r="L2204" s="7" t="s">
        <v>93</v>
      </c>
      <c r="M2204" s="7" t="s">
        <v>194</v>
      </c>
      <c r="N2204" s="7" t="n">
        <v>34</v>
      </c>
      <c r="O2204" s="7" t="n">
        <v>5</v>
      </c>
    </row>
    <row r="2205" customFormat="false" ht="15" hidden="false" customHeight="false" outlineLevel="0" collapsed="false">
      <c r="A2205" s="7" t="s">
        <v>2496</v>
      </c>
      <c r="B2205" s="10" t="n">
        <v>45942</v>
      </c>
      <c r="C2205" s="7" t="s">
        <v>630</v>
      </c>
      <c r="D2205" s="7" t="s">
        <v>2497</v>
      </c>
      <c r="E2205" s="7" t="s">
        <v>130</v>
      </c>
      <c r="F2205" s="7" t="s">
        <v>110</v>
      </c>
      <c r="G2205" s="7" t="s">
        <v>90</v>
      </c>
      <c r="H2205" s="7" t="n">
        <v>2</v>
      </c>
      <c r="I2205" s="11" t="n">
        <v>265</v>
      </c>
      <c r="J2205" s="11" t="n">
        <v>0</v>
      </c>
      <c r="K2205" s="11" t="n">
        <f aca="false">H2205*I2205-J2205</f>
        <v>530</v>
      </c>
      <c r="L2205" s="7" t="s">
        <v>121</v>
      </c>
      <c r="M2205" s="7" t="s">
        <v>194</v>
      </c>
      <c r="N2205" s="7" t="n">
        <v>43</v>
      </c>
      <c r="O2205" s="7" t="n">
        <v>4</v>
      </c>
    </row>
    <row r="2206" customFormat="false" ht="15" hidden="false" customHeight="false" outlineLevel="0" collapsed="false">
      <c r="A2206" s="7" t="s">
        <v>6133</v>
      </c>
      <c r="B2206" s="10" t="n">
        <v>45942</v>
      </c>
      <c r="C2206" s="7" t="s">
        <v>638</v>
      </c>
      <c r="D2206" s="7" t="s">
        <v>6134</v>
      </c>
      <c r="E2206" s="7" t="s">
        <v>149</v>
      </c>
      <c r="F2206" s="7" t="s">
        <v>119</v>
      </c>
      <c r="G2206" s="7" t="s">
        <v>150</v>
      </c>
      <c r="H2206" s="7" t="n">
        <v>2</v>
      </c>
      <c r="I2206" s="11" t="n">
        <v>160</v>
      </c>
      <c r="J2206" s="11" t="n">
        <v>0</v>
      </c>
      <c r="K2206" s="11" t="n">
        <f aca="false">H2206*I2206-J2206</f>
        <v>320</v>
      </c>
      <c r="L2206" s="7" t="s">
        <v>103</v>
      </c>
      <c r="M2206" s="7" t="s">
        <v>194</v>
      </c>
      <c r="N2206" s="7" t="n">
        <v>33</v>
      </c>
      <c r="O2206" s="7" t="n">
        <v>4</v>
      </c>
    </row>
    <row r="2207" customFormat="false" ht="15" hidden="false" customHeight="false" outlineLevel="0" collapsed="false">
      <c r="A2207" s="7" t="s">
        <v>5237</v>
      </c>
      <c r="B2207" s="10" t="n">
        <v>45942</v>
      </c>
      <c r="C2207" s="7" t="s">
        <v>1062</v>
      </c>
      <c r="D2207" s="7" t="s">
        <v>5238</v>
      </c>
      <c r="E2207" s="7" t="s">
        <v>98</v>
      </c>
      <c r="F2207" s="7" t="s">
        <v>86</v>
      </c>
      <c r="G2207" s="7" t="s">
        <v>99</v>
      </c>
      <c r="H2207" s="7" t="n">
        <v>2</v>
      </c>
      <c r="I2207" s="11" t="n">
        <v>240</v>
      </c>
      <c r="J2207" s="11" t="n">
        <v>0</v>
      </c>
      <c r="K2207" s="11" t="n">
        <f aca="false">H2207*I2207-J2207</f>
        <v>480</v>
      </c>
      <c r="L2207" s="7" t="s">
        <v>88</v>
      </c>
      <c r="M2207" s="7" t="s">
        <v>194</v>
      </c>
      <c r="N2207" s="7" t="n">
        <v>55</v>
      </c>
      <c r="O2207" s="7" t="n">
        <v>5</v>
      </c>
    </row>
    <row r="2208" customFormat="false" ht="15" hidden="false" customHeight="false" outlineLevel="0" collapsed="false">
      <c r="A2208" s="7" t="s">
        <v>6070</v>
      </c>
      <c r="B2208" s="10" t="n">
        <v>45942</v>
      </c>
      <c r="C2208" s="7" t="s">
        <v>649</v>
      </c>
      <c r="D2208" s="7" t="s">
        <v>6071</v>
      </c>
      <c r="E2208" s="7" t="s">
        <v>147</v>
      </c>
      <c r="F2208" s="7" t="s">
        <v>119</v>
      </c>
      <c r="G2208" s="7" t="s">
        <v>95</v>
      </c>
      <c r="H2208" s="7" t="n">
        <v>1</v>
      </c>
      <c r="I2208" s="11" t="n">
        <v>140</v>
      </c>
      <c r="J2208" s="11" t="n">
        <v>20</v>
      </c>
      <c r="K2208" s="11" t="n">
        <f aca="false">H2208*I2208-J2208</f>
        <v>120</v>
      </c>
      <c r="L2208" s="7" t="s">
        <v>112</v>
      </c>
      <c r="M2208" s="7" t="s">
        <v>194</v>
      </c>
      <c r="N2208" s="7" t="n">
        <v>32</v>
      </c>
      <c r="O2208" s="7" t="n">
        <v>4</v>
      </c>
    </row>
    <row r="2209" customFormat="false" ht="15" hidden="false" customHeight="false" outlineLevel="0" collapsed="false">
      <c r="A2209" s="7" t="s">
        <v>4062</v>
      </c>
      <c r="B2209" s="10" t="n">
        <v>45942</v>
      </c>
      <c r="C2209" s="7" t="s">
        <v>4063</v>
      </c>
      <c r="D2209" s="7" t="s">
        <v>4064</v>
      </c>
      <c r="E2209" s="7" t="s">
        <v>151</v>
      </c>
      <c r="F2209" s="7" t="s">
        <v>128</v>
      </c>
      <c r="G2209" s="7" t="s">
        <v>95</v>
      </c>
      <c r="H2209" s="7" t="n">
        <v>5</v>
      </c>
      <c r="I2209" s="11" t="n">
        <v>205</v>
      </c>
      <c r="J2209" s="11" t="n">
        <v>0</v>
      </c>
      <c r="K2209" s="11" t="n">
        <f aca="false">H2209*I2209-J2209</f>
        <v>1025</v>
      </c>
      <c r="L2209" s="7" t="s">
        <v>112</v>
      </c>
      <c r="M2209" s="7" t="s">
        <v>194</v>
      </c>
      <c r="N2209" s="7" t="n">
        <v>36</v>
      </c>
      <c r="O2209" s="7" t="n">
        <v>5</v>
      </c>
    </row>
    <row r="2210" customFormat="false" ht="15" hidden="false" customHeight="false" outlineLevel="0" collapsed="false">
      <c r="A2210" s="7" t="s">
        <v>2500</v>
      </c>
      <c r="B2210" s="10" t="n">
        <v>45942</v>
      </c>
      <c r="C2210" s="7" t="s">
        <v>2502</v>
      </c>
      <c r="D2210" s="7" t="s">
        <v>2503</v>
      </c>
      <c r="E2210" s="7" t="s">
        <v>138</v>
      </c>
      <c r="F2210" s="7" t="s">
        <v>110</v>
      </c>
      <c r="G2210" s="7" t="s">
        <v>139</v>
      </c>
      <c r="H2210" s="7" t="n">
        <v>4</v>
      </c>
      <c r="I2210" s="11" t="n">
        <v>195</v>
      </c>
      <c r="J2210" s="11" t="n">
        <v>20</v>
      </c>
      <c r="K2210" s="11" t="n">
        <f aca="false">H2210*I2210-J2210</f>
        <v>760</v>
      </c>
      <c r="L2210" s="7" t="s">
        <v>103</v>
      </c>
      <c r="M2210" s="7" t="s">
        <v>194</v>
      </c>
      <c r="N2210" s="7" t="n">
        <v>40</v>
      </c>
      <c r="O2210" s="7" t="n">
        <v>4</v>
      </c>
    </row>
    <row r="2211" customFormat="false" ht="15" hidden="false" customHeight="false" outlineLevel="0" collapsed="false">
      <c r="A2211" s="7" t="s">
        <v>3159</v>
      </c>
      <c r="B2211" s="10" t="n">
        <v>45943</v>
      </c>
      <c r="C2211" s="7" t="s">
        <v>3160</v>
      </c>
      <c r="D2211" s="7" t="s">
        <v>3161</v>
      </c>
      <c r="E2211" s="7" t="s">
        <v>134</v>
      </c>
      <c r="F2211" s="7" t="s">
        <v>110</v>
      </c>
      <c r="G2211" s="7" t="s">
        <v>117</v>
      </c>
      <c r="H2211" s="7" t="n">
        <v>1</v>
      </c>
      <c r="I2211" s="11" t="n">
        <v>125</v>
      </c>
      <c r="J2211" s="11" t="n">
        <v>20</v>
      </c>
      <c r="K2211" s="11" t="n">
        <f aca="false">H2211*I2211-J2211</f>
        <v>105</v>
      </c>
      <c r="L2211" s="7" t="s">
        <v>88</v>
      </c>
      <c r="M2211" s="7" t="s">
        <v>194</v>
      </c>
      <c r="N2211" s="7" t="n">
        <v>32</v>
      </c>
      <c r="O2211" s="7" t="n">
        <v>3</v>
      </c>
    </row>
    <row r="2212" customFormat="false" ht="15" hidden="false" customHeight="false" outlineLevel="0" collapsed="false">
      <c r="A2212" s="7" t="s">
        <v>2719</v>
      </c>
      <c r="B2212" s="10" t="n">
        <v>45943</v>
      </c>
      <c r="C2212" s="7" t="s">
        <v>1520</v>
      </c>
      <c r="D2212" s="7" t="s">
        <v>2062</v>
      </c>
      <c r="E2212" s="7" t="s">
        <v>130</v>
      </c>
      <c r="F2212" s="7" t="s">
        <v>110</v>
      </c>
      <c r="G2212" s="7" t="s">
        <v>90</v>
      </c>
      <c r="H2212" s="7" t="n">
        <v>2</v>
      </c>
      <c r="I2212" s="11" t="n">
        <v>275</v>
      </c>
      <c r="J2212" s="11" t="n">
        <v>0</v>
      </c>
      <c r="K2212" s="11" t="n">
        <f aca="false">H2212*I2212-J2212</f>
        <v>550</v>
      </c>
      <c r="L2212" s="7" t="s">
        <v>88</v>
      </c>
      <c r="M2212" s="7" t="s">
        <v>194</v>
      </c>
      <c r="N2212" s="7" t="n">
        <v>50</v>
      </c>
      <c r="O2212" s="7" t="n">
        <v>4</v>
      </c>
    </row>
    <row r="2213" customFormat="false" ht="15" hidden="false" customHeight="false" outlineLevel="0" collapsed="false">
      <c r="A2213" s="7" t="s">
        <v>5923</v>
      </c>
      <c r="B2213" s="10" t="n">
        <v>45943</v>
      </c>
      <c r="C2213" s="7" t="s">
        <v>1820</v>
      </c>
      <c r="D2213" s="7" t="s">
        <v>3529</v>
      </c>
      <c r="E2213" s="7" t="s">
        <v>168</v>
      </c>
      <c r="F2213" s="7" t="s">
        <v>146</v>
      </c>
      <c r="G2213" s="7" t="s">
        <v>123</v>
      </c>
      <c r="H2213" s="7" t="n">
        <v>4</v>
      </c>
      <c r="I2213" s="11" t="n">
        <v>300</v>
      </c>
      <c r="J2213" s="11" t="n">
        <v>0</v>
      </c>
      <c r="K2213" s="11" t="n">
        <f aca="false">H2213*I2213-J2213</f>
        <v>1200</v>
      </c>
      <c r="L2213" s="7" t="s">
        <v>88</v>
      </c>
      <c r="M2213" s="7" t="s">
        <v>194</v>
      </c>
      <c r="N2213" s="7" t="n">
        <v>35</v>
      </c>
      <c r="O2213" s="7"/>
    </row>
    <row r="2214" customFormat="false" ht="15" hidden="false" customHeight="false" outlineLevel="0" collapsed="false">
      <c r="A2214" s="7" t="s">
        <v>5271</v>
      </c>
      <c r="B2214" s="10" t="n">
        <v>45943</v>
      </c>
      <c r="C2214" s="7" t="s">
        <v>2921</v>
      </c>
      <c r="D2214" s="7" t="s">
        <v>1771</v>
      </c>
      <c r="E2214" s="7" t="s">
        <v>94</v>
      </c>
      <c r="F2214" s="7" t="s">
        <v>86</v>
      </c>
      <c r="G2214" s="7" t="s">
        <v>95</v>
      </c>
      <c r="H2214" s="7" t="n">
        <v>3</v>
      </c>
      <c r="I2214" s="11" t="n">
        <v>140</v>
      </c>
      <c r="J2214" s="11" t="n">
        <v>0</v>
      </c>
      <c r="K2214" s="11" t="n">
        <f aca="false">H2214*I2214-J2214</f>
        <v>420</v>
      </c>
      <c r="L2214" s="7" t="s">
        <v>88</v>
      </c>
      <c r="M2214" s="7" t="s">
        <v>194</v>
      </c>
      <c r="N2214" s="7" t="n">
        <v>41</v>
      </c>
      <c r="O2214" s="7" t="n">
        <v>5</v>
      </c>
    </row>
    <row r="2215" customFormat="false" ht="15" hidden="false" customHeight="false" outlineLevel="0" collapsed="false">
      <c r="A2215" s="7" t="s">
        <v>1547</v>
      </c>
      <c r="B2215" s="10" t="n">
        <v>45943</v>
      </c>
      <c r="C2215" s="7" t="s">
        <v>883</v>
      </c>
      <c r="D2215" s="7" t="s">
        <v>1549</v>
      </c>
      <c r="E2215" s="7" t="s">
        <v>138</v>
      </c>
      <c r="F2215" s="7" t="s">
        <v>110</v>
      </c>
      <c r="G2215" s="7" t="s">
        <v>139</v>
      </c>
      <c r="H2215" s="7" t="n">
        <v>3</v>
      </c>
      <c r="I2215" s="11" t="n">
        <v>140</v>
      </c>
      <c r="J2215" s="11" t="n">
        <v>40</v>
      </c>
      <c r="K2215" s="11" t="n">
        <f aca="false">H2215*I2215-J2215</f>
        <v>380</v>
      </c>
      <c r="L2215" s="7" t="s">
        <v>88</v>
      </c>
      <c r="M2215" s="7" t="s">
        <v>194</v>
      </c>
      <c r="N2215" s="7" t="n">
        <v>40</v>
      </c>
      <c r="O2215" s="7" t="n">
        <v>5</v>
      </c>
    </row>
    <row r="2216" customFormat="false" ht="15" hidden="false" customHeight="false" outlineLevel="0" collapsed="false">
      <c r="A2216" s="7" t="s">
        <v>2977</v>
      </c>
      <c r="B2216" s="10" t="n">
        <v>45943</v>
      </c>
      <c r="C2216" s="7" t="s">
        <v>2978</v>
      </c>
      <c r="D2216" s="7" t="s">
        <v>2979</v>
      </c>
      <c r="E2216" s="7" t="s">
        <v>89</v>
      </c>
      <c r="F2216" s="7" t="s">
        <v>86</v>
      </c>
      <c r="G2216" s="7" t="s">
        <v>90</v>
      </c>
      <c r="H2216" s="7" t="n">
        <v>3</v>
      </c>
      <c r="I2216" s="11" t="n">
        <v>230</v>
      </c>
      <c r="J2216" s="11" t="n">
        <v>100</v>
      </c>
      <c r="K2216" s="11" t="n">
        <f aca="false">H2216*I2216-J2216</f>
        <v>590</v>
      </c>
      <c r="L2216" s="7" t="s">
        <v>112</v>
      </c>
      <c r="M2216" s="7" t="s">
        <v>194</v>
      </c>
      <c r="N2216" s="7" t="n">
        <v>31</v>
      </c>
      <c r="O2216" s="7" t="n">
        <v>5</v>
      </c>
    </row>
    <row r="2217" customFormat="false" ht="15" hidden="false" customHeight="false" outlineLevel="0" collapsed="false">
      <c r="A2217" s="7" t="s">
        <v>4025</v>
      </c>
      <c r="B2217" s="10" t="n">
        <v>45943</v>
      </c>
      <c r="C2217" s="7" t="s">
        <v>4026</v>
      </c>
      <c r="D2217" s="7" t="s">
        <v>1705</v>
      </c>
      <c r="E2217" s="7" t="s">
        <v>94</v>
      </c>
      <c r="F2217" s="7" t="s">
        <v>86</v>
      </c>
      <c r="G2217" s="7" t="s">
        <v>95</v>
      </c>
      <c r="H2217" s="7" t="n">
        <v>3</v>
      </c>
      <c r="I2217" s="11" t="n">
        <v>120</v>
      </c>
      <c r="J2217" s="11" t="n">
        <v>0</v>
      </c>
      <c r="K2217" s="11" t="n">
        <f aca="false">H2217*I2217-J2217</f>
        <v>360</v>
      </c>
      <c r="L2217" s="7" t="s">
        <v>88</v>
      </c>
      <c r="M2217" s="7" t="s">
        <v>194</v>
      </c>
      <c r="N2217" s="7" t="n">
        <v>41</v>
      </c>
      <c r="O2217" s="7" t="n">
        <v>3</v>
      </c>
    </row>
    <row r="2218" customFormat="false" ht="15" hidden="false" customHeight="false" outlineLevel="0" collapsed="false">
      <c r="A2218" s="7" t="s">
        <v>417</v>
      </c>
      <c r="B2218" s="10" t="n">
        <v>45944</v>
      </c>
      <c r="C2218" s="7" t="s">
        <v>419</v>
      </c>
      <c r="D2218" s="7" t="s">
        <v>420</v>
      </c>
      <c r="E2218" s="7" t="s">
        <v>94</v>
      </c>
      <c r="F2218" s="7" t="s">
        <v>86</v>
      </c>
      <c r="G2218" s="7" t="s">
        <v>95</v>
      </c>
      <c r="H2218" s="7" t="n">
        <v>1</v>
      </c>
      <c r="I2218" s="11" t="n">
        <v>120</v>
      </c>
      <c r="J2218" s="11" t="n">
        <v>20</v>
      </c>
      <c r="K2218" s="11" t="n">
        <f aca="false">H2218*I2218-J2218</f>
        <v>100</v>
      </c>
      <c r="L2218" s="7" t="s">
        <v>88</v>
      </c>
      <c r="M2218" s="7" t="s">
        <v>238</v>
      </c>
      <c r="N2218" s="7"/>
      <c r="O2218" s="7"/>
    </row>
    <row r="2219" customFormat="false" ht="15" hidden="false" customHeight="false" outlineLevel="0" collapsed="false">
      <c r="A2219" s="7" t="s">
        <v>5628</v>
      </c>
      <c r="B2219" s="10" t="n">
        <v>45944</v>
      </c>
      <c r="C2219" s="7" t="s">
        <v>577</v>
      </c>
      <c r="D2219" s="7" t="s">
        <v>3473</v>
      </c>
      <c r="E2219" s="7" t="s">
        <v>158</v>
      </c>
      <c r="F2219" s="7" t="s">
        <v>136</v>
      </c>
      <c r="G2219" s="7" t="s">
        <v>139</v>
      </c>
      <c r="H2219" s="7" t="n">
        <v>3</v>
      </c>
      <c r="I2219" s="11" t="n">
        <v>220</v>
      </c>
      <c r="J2219" s="11" t="n">
        <v>0</v>
      </c>
      <c r="K2219" s="11" t="n">
        <f aca="false">H2219*I2219-J2219</f>
        <v>660</v>
      </c>
      <c r="L2219" s="7" t="s">
        <v>93</v>
      </c>
      <c r="M2219" s="7" t="s">
        <v>194</v>
      </c>
      <c r="N2219" s="7" t="n">
        <v>45</v>
      </c>
      <c r="O2219" s="7" t="n">
        <v>3</v>
      </c>
    </row>
    <row r="2220" customFormat="false" ht="15" hidden="false" customHeight="false" outlineLevel="0" collapsed="false">
      <c r="A2220" s="7" t="s">
        <v>2239</v>
      </c>
      <c r="B2220" s="10" t="n">
        <v>45944</v>
      </c>
      <c r="C2220" s="7" t="s">
        <v>769</v>
      </c>
      <c r="D2220" s="7" t="s">
        <v>1216</v>
      </c>
      <c r="E2220" s="7" t="s">
        <v>113</v>
      </c>
      <c r="F2220" s="7" t="s">
        <v>101</v>
      </c>
      <c r="G2220" s="7" t="s">
        <v>90</v>
      </c>
      <c r="H2220" s="7" t="n">
        <v>4</v>
      </c>
      <c r="I2220" s="11" t="n">
        <v>265</v>
      </c>
      <c r="J2220" s="11" t="n">
        <v>30</v>
      </c>
      <c r="K2220" s="11" t="n">
        <f aca="false">H2220*I2220-J2220</f>
        <v>1030</v>
      </c>
      <c r="L2220" s="7" t="s">
        <v>112</v>
      </c>
      <c r="M2220" s="7" t="s">
        <v>194</v>
      </c>
      <c r="N2220" s="7" t="n">
        <v>43</v>
      </c>
      <c r="O2220" s="7" t="n">
        <v>2</v>
      </c>
    </row>
    <row r="2221" customFormat="false" ht="15" hidden="false" customHeight="false" outlineLevel="0" collapsed="false">
      <c r="A2221" s="7" t="s">
        <v>2941</v>
      </c>
      <c r="B2221" s="10" t="n">
        <v>45944</v>
      </c>
      <c r="C2221" s="7" t="s">
        <v>1817</v>
      </c>
      <c r="D2221" s="7" t="s">
        <v>1424</v>
      </c>
      <c r="E2221" s="7" t="s">
        <v>160</v>
      </c>
      <c r="F2221" s="7" t="s">
        <v>136</v>
      </c>
      <c r="G2221" s="7" t="s">
        <v>150</v>
      </c>
      <c r="H2221" s="7" t="n">
        <v>1</v>
      </c>
      <c r="I2221" s="11" t="n">
        <v>185</v>
      </c>
      <c r="J2221" s="11" t="n">
        <v>0</v>
      </c>
      <c r="K2221" s="11" t="n">
        <f aca="false">H2221*I2221-J2221</f>
        <v>185</v>
      </c>
      <c r="L2221" s="7" t="s">
        <v>88</v>
      </c>
      <c r="M2221" s="7" t="s">
        <v>194</v>
      </c>
      <c r="N2221" s="7" t="n">
        <v>34</v>
      </c>
      <c r="O2221" s="7" t="n">
        <v>4</v>
      </c>
    </row>
    <row r="2222" customFormat="false" ht="15" hidden="false" customHeight="false" outlineLevel="0" collapsed="false">
      <c r="A2222" s="7" t="s">
        <v>4124</v>
      </c>
      <c r="B2222" s="10" t="n">
        <v>45944</v>
      </c>
      <c r="C2222" s="7" t="s">
        <v>1610</v>
      </c>
      <c r="D2222" s="7" t="s">
        <v>1195</v>
      </c>
      <c r="E2222" s="7" t="s">
        <v>154</v>
      </c>
      <c r="F2222" s="7" t="s">
        <v>128</v>
      </c>
      <c r="G2222" s="7" t="s">
        <v>99</v>
      </c>
      <c r="H2222" s="7" t="n">
        <v>1</v>
      </c>
      <c r="I2222" s="11" t="n">
        <v>260</v>
      </c>
      <c r="J2222" s="11" t="n">
        <v>75</v>
      </c>
      <c r="K2222" s="11" t="n">
        <f aca="false">H2222*I2222-J2222</f>
        <v>185</v>
      </c>
      <c r="L2222" s="7" t="s">
        <v>93</v>
      </c>
      <c r="M2222" s="7" t="s">
        <v>194</v>
      </c>
      <c r="N2222" s="7" t="n">
        <v>42</v>
      </c>
      <c r="O2222" s="7" t="n">
        <v>3</v>
      </c>
    </row>
    <row r="2223" customFormat="false" ht="15" hidden="false" customHeight="false" outlineLevel="0" collapsed="false">
      <c r="A2223" s="7" t="s">
        <v>5252</v>
      </c>
      <c r="B2223" s="10" t="n">
        <v>45944</v>
      </c>
      <c r="C2223" s="7" t="s">
        <v>5253</v>
      </c>
      <c r="D2223" s="7" t="s">
        <v>370</v>
      </c>
      <c r="E2223" s="7" t="s">
        <v>89</v>
      </c>
      <c r="F2223" s="7" t="s">
        <v>86</v>
      </c>
      <c r="G2223" s="7" t="s">
        <v>90</v>
      </c>
      <c r="H2223" s="7" t="n">
        <v>1</v>
      </c>
      <c r="I2223" s="11" t="n">
        <v>190</v>
      </c>
      <c r="J2223" s="11" t="n">
        <v>0</v>
      </c>
      <c r="K2223" s="11" t="n">
        <f aca="false">H2223*I2223-J2223</f>
        <v>190</v>
      </c>
      <c r="L2223" s="7" t="s">
        <v>121</v>
      </c>
      <c r="M2223" s="7" t="s">
        <v>194</v>
      </c>
      <c r="N2223" s="7" t="n">
        <v>43</v>
      </c>
      <c r="O2223" s="7"/>
    </row>
    <row r="2224" customFormat="false" ht="15" hidden="false" customHeight="false" outlineLevel="0" collapsed="false">
      <c r="A2224" s="7" t="s">
        <v>1723</v>
      </c>
      <c r="B2224" s="10" t="n">
        <v>45944</v>
      </c>
      <c r="C2224" s="7" t="s">
        <v>1725</v>
      </c>
      <c r="D2224" s="7" t="s">
        <v>908</v>
      </c>
      <c r="E2224" s="7" t="s">
        <v>159</v>
      </c>
      <c r="F2224" s="7" t="s">
        <v>136</v>
      </c>
      <c r="G2224" s="7" t="s">
        <v>90</v>
      </c>
      <c r="H2224" s="7" t="n">
        <v>1</v>
      </c>
      <c r="I2224" s="11" t="n">
        <v>285</v>
      </c>
      <c r="J2224" s="11" t="n">
        <v>75</v>
      </c>
      <c r="K2224" s="11" t="n">
        <f aca="false">H2224*I2224-J2224</f>
        <v>210</v>
      </c>
      <c r="L2224" s="7" t="s">
        <v>88</v>
      </c>
      <c r="M2224" s="7" t="s">
        <v>194</v>
      </c>
      <c r="N2224" s="7" t="n">
        <v>22</v>
      </c>
      <c r="O2224" s="7"/>
    </row>
    <row r="2225" customFormat="false" ht="15" hidden="false" customHeight="false" outlineLevel="0" collapsed="false">
      <c r="A2225" s="7" t="s">
        <v>3446</v>
      </c>
      <c r="B2225" s="10" t="n">
        <v>45944</v>
      </c>
      <c r="C2225" s="7" t="s">
        <v>1836</v>
      </c>
      <c r="D2225" s="7" t="s">
        <v>3392</v>
      </c>
      <c r="E2225" s="7" t="s">
        <v>134</v>
      </c>
      <c r="F2225" s="7" t="s">
        <v>110</v>
      </c>
      <c r="G2225" s="7" t="s">
        <v>117</v>
      </c>
      <c r="H2225" s="7" t="n">
        <v>5</v>
      </c>
      <c r="I2225" s="11" t="n">
        <v>120</v>
      </c>
      <c r="J2225" s="11" t="n">
        <v>40</v>
      </c>
      <c r="K2225" s="11" t="n">
        <f aca="false">H2225*I2225-J2225</f>
        <v>560</v>
      </c>
      <c r="L2225" s="7" t="s">
        <v>88</v>
      </c>
      <c r="M2225" s="7" t="s">
        <v>194</v>
      </c>
      <c r="N2225" s="7" t="n">
        <v>31</v>
      </c>
      <c r="O2225" s="7" t="n">
        <v>5</v>
      </c>
    </row>
    <row r="2226" customFormat="false" ht="15" hidden="false" customHeight="false" outlineLevel="0" collapsed="false">
      <c r="A2226" s="7" t="s">
        <v>3079</v>
      </c>
      <c r="B2226" s="10" t="n">
        <v>45944</v>
      </c>
      <c r="C2226" s="7" t="s">
        <v>3080</v>
      </c>
      <c r="D2226" s="7" t="s">
        <v>1051</v>
      </c>
      <c r="E2226" s="7" t="s">
        <v>98</v>
      </c>
      <c r="F2226" s="7" t="s">
        <v>86</v>
      </c>
      <c r="G2226" s="7" t="s">
        <v>99</v>
      </c>
      <c r="H2226" s="7" t="n">
        <v>4</v>
      </c>
      <c r="I2226" s="11" t="n">
        <v>285</v>
      </c>
      <c r="J2226" s="11" t="n">
        <v>0</v>
      </c>
      <c r="K2226" s="11" t="n">
        <f aca="false">H2226*I2226-J2226</f>
        <v>1140</v>
      </c>
      <c r="L2226" s="7" t="s">
        <v>103</v>
      </c>
      <c r="M2226" s="7" t="s">
        <v>194</v>
      </c>
      <c r="N2226" s="7" t="n">
        <v>42</v>
      </c>
      <c r="O2226" s="7" t="n">
        <v>5</v>
      </c>
    </row>
    <row r="2227" customFormat="false" ht="15" hidden="false" customHeight="false" outlineLevel="0" collapsed="false">
      <c r="A2227" s="7" t="s">
        <v>1465</v>
      </c>
      <c r="B2227" s="10" t="n">
        <v>45945</v>
      </c>
      <c r="C2227" s="7" t="s">
        <v>1466</v>
      </c>
      <c r="D2227" s="7" t="s">
        <v>1467</v>
      </c>
      <c r="E2227" s="7" t="s">
        <v>138</v>
      </c>
      <c r="F2227" s="7" t="s">
        <v>110</v>
      </c>
      <c r="G2227" s="7" t="s">
        <v>139</v>
      </c>
      <c r="H2227" s="7" t="n">
        <v>1</v>
      </c>
      <c r="I2227" s="11" t="n">
        <v>145</v>
      </c>
      <c r="J2227" s="11" t="n">
        <v>0</v>
      </c>
      <c r="K2227" s="11" t="n">
        <f aca="false">H2227*I2227-J2227</f>
        <v>145</v>
      </c>
      <c r="L2227" s="7" t="s">
        <v>88</v>
      </c>
      <c r="M2227" s="7" t="s">
        <v>194</v>
      </c>
      <c r="N2227" s="7" t="n">
        <v>38</v>
      </c>
      <c r="O2227" s="7" t="n">
        <v>4</v>
      </c>
    </row>
    <row r="2228" customFormat="false" ht="15" hidden="false" customHeight="false" outlineLevel="0" collapsed="false">
      <c r="A2228" s="7" t="s">
        <v>3711</v>
      </c>
      <c r="B2228" s="10" t="n">
        <v>45945</v>
      </c>
      <c r="C2228" s="7" t="s">
        <v>749</v>
      </c>
      <c r="D2228" s="7" t="s">
        <v>3645</v>
      </c>
      <c r="E2228" s="7" t="s">
        <v>148</v>
      </c>
      <c r="F2228" s="7" t="s">
        <v>119</v>
      </c>
      <c r="G2228" s="7" t="s">
        <v>123</v>
      </c>
      <c r="H2228" s="7" t="n">
        <v>2</v>
      </c>
      <c r="I2228" s="11" t="n">
        <v>290</v>
      </c>
      <c r="J2228" s="11" t="n">
        <v>0</v>
      </c>
      <c r="K2228" s="11" t="n">
        <f aca="false">H2228*I2228-J2228</f>
        <v>580</v>
      </c>
      <c r="L2228" s="7" t="s">
        <v>112</v>
      </c>
      <c r="M2228" s="7" t="s">
        <v>194</v>
      </c>
      <c r="N2228" s="7" t="n">
        <v>30</v>
      </c>
      <c r="O2228" s="7" t="n">
        <v>5</v>
      </c>
    </row>
    <row r="2229" customFormat="false" ht="15" hidden="false" customHeight="false" outlineLevel="0" collapsed="false">
      <c r="A2229" s="7" t="s">
        <v>575</v>
      </c>
      <c r="B2229" s="10" t="n">
        <v>45945</v>
      </c>
      <c r="C2229" s="7" t="s">
        <v>577</v>
      </c>
      <c r="D2229" s="7" t="s">
        <v>578</v>
      </c>
      <c r="E2229" s="7" t="s">
        <v>113</v>
      </c>
      <c r="F2229" s="7" t="s">
        <v>101</v>
      </c>
      <c r="G2229" s="7" t="s">
        <v>90</v>
      </c>
      <c r="H2229" s="7" t="n">
        <v>2</v>
      </c>
      <c r="I2229" s="11" t="n">
        <v>270</v>
      </c>
      <c r="J2229" s="11" t="n">
        <v>0</v>
      </c>
      <c r="K2229" s="11" t="n">
        <f aca="false">H2229*I2229-J2229</f>
        <v>540</v>
      </c>
      <c r="L2229" s="7" t="s">
        <v>88</v>
      </c>
      <c r="M2229" s="7" t="s">
        <v>194</v>
      </c>
      <c r="N2229" s="7" t="n">
        <v>41</v>
      </c>
      <c r="O2229" s="7" t="n">
        <v>2</v>
      </c>
    </row>
    <row r="2230" customFormat="false" ht="15" hidden="false" customHeight="false" outlineLevel="0" collapsed="false">
      <c r="A2230" s="7" t="s">
        <v>5977</v>
      </c>
      <c r="B2230" s="10" t="n">
        <v>45945</v>
      </c>
      <c r="C2230" s="7" t="s">
        <v>3400</v>
      </c>
      <c r="D2230" s="7" t="s">
        <v>1641</v>
      </c>
      <c r="E2230" s="7" t="s">
        <v>98</v>
      </c>
      <c r="F2230" s="7" t="s">
        <v>86</v>
      </c>
      <c r="G2230" s="7" t="s">
        <v>99</v>
      </c>
      <c r="H2230" s="7" t="n">
        <v>2</v>
      </c>
      <c r="I2230" s="11" t="n">
        <v>320</v>
      </c>
      <c r="J2230" s="11" t="n">
        <v>0</v>
      </c>
      <c r="K2230" s="11" t="n">
        <f aca="false">H2230*I2230-J2230</f>
        <v>640</v>
      </c>
      <c r="L2230" s="7" t="s">
        <v>93</v>
      </c>
      <c r="M2230" s="7" t="s">
        <v>194</v>
      </c>
      <c r="N2230" s="7" t="n">
        <v>53</v>
      </c>
      <c r="O2230" s="7" t="n">
        <v>4</v>
      </c>
    </row>
    <row r="2231" customFormat="false" ht="15" hidden="false" customHeight="false" outlineLevel="0" collapsed="false">
      <c r="A2231" s="7" t="s">
        <v>5641</v>
      </c>
      <c r="B2231" s="10" t="n">
        <v>45945</v>
      </c>
      <c r="C2231" s="7" t="s">
        <v>5643</v>
      </c>
      <c r="D2231" s="7" t="s">
        <v>3049</v>
      </c>
      <c r="E2231" s="7" t="s">
        <v>116</v>
      </c>
      <c r="F2231" s="7" t="s">
        <v>101</v>
      </c>
      <c r="G2231" s="7" t="s">
        <v>117</v>
      </c>
      <c r="H2231" s="7" t="n">
        <v>2</v>
      </c>
      <c r="I2231" s="11" t="n">
        <v>120</v>
      </c>
      <c r="J2231" s="11" t="n">
        <v>0</v>
      </c>
      <c r="K2231" s="11" t="n">
        <f aca="false">H2231*I2231-J2231</f>
        <v>240</v>
      </c>
      <c r="L2231" s="7" t="s">
        <v>121</v>
      </c>
      <c r="M2231" s="7" t="s">
        <v>194</v>
      </c>
      <c r="N2231" s="7" t="n">
        <v>45</v>
      </c>
      <c r="O2231" s="7" t="n">
        <v>3</v>
      </c>
    </row>
    <row r="2232" customFormat="false" ht="15" hidden="false" customHeight="false" outlineLevel="0" collapsed="false">
      <c r="A2232" s="7" t="s">
        <v>5747</v>
      </c>
      <c r="B2232" s="10" t="n">
        <v>45945</v>
      </c>
      <c r="C2232" s="7" t="s">
        <v>5149</v>
      </c>
      <c r="D2232" s="7" t="s">
        <v>1042</v>
      </c>
      <c r="E2232" s="7" t="s">
        <v>147</v>
      </c>
      <c r="F2232" s="7" t="s">
        <v>119</v>
      </c>
      <c r="G2232" s="7" t="s">
        <v>95</v>
      </c>
      <c r="H2232" s="7" t="n">
        <v>2</v>
      </c>
      <c r="I2232" s="11" t="n">
        <v>150</v>
      </c>
      <c r="J2232" s="11" t="n">
        <v>0</v>
      </c>
      <c r="K2232" s="11" t="n">
        <f aca="false">H2232*I2232-J2232</f>
        <v>300</v>
      </c>
      <c r="L2232" s="7" t="s">
        <v>88</v>
      </c>
      <c r="M2232" s="7" t="s">
        <v>194</v>
      </c>
      <c r="N2232" s="7" t="n">
        <v>23</v>
      </c>
      <c r="O2232" s="7" t="n">
        <v>5</v>
      </c>
    </row>
    <row r="2233" customFormat="false" ht="15" hidden="false" customHeight="false" outlineLevel="0" collapsed="false">
      <c r="A2233" s="7" t="s">
        <v>3598</v>
      </c>
      <c r="B2233" s="10" t="n">
        <v>45945</v>
      </c>
      <c r="C2233" s="7" t="s">
        <v>369</v>
      </c>
      <c r="D2233" s="7" t="s">
        <v>1051</v>
      </c>
      <c r="E2233" s="7" t="s">
        <v>113</v>
      </c>
      <c r="F2233" s="7" t="s">
        <v>101</v>
      </c>
      <c r="G2233" s="7" t="s">
        <v>90</v>
      </c>
      <c r="H2233" s="7" t="n">
        <v>3</v>
      </c>
      <c r="I2233" s="11" t="n">
        <v>255</v>
      </c>
      <c r="J2233" s="11" t="n">
        <v>0</v>
      </c>
      <c r="K2233" s="11" t="n">
        <f aca="false">H2233*I2233-J2233</f>
        <v>765</v>
      </c>
      <c r="L2233" s="7" t="s">
        <v>88</v>
      </c>
      <c r="M2233" s="7" t="s">
        <v>194</v>
      </c>
      <c r="N2233" s="7" t="n">
        <v>46</v>
      </c>
      <c r="O2233" s="7" t="n">
        <v>2</v>
      </c>
    </row>
    <row r="2234" customFormat="false" ht="15" hidden="false" customHeight="false" outlineLevel="0" collapsed="false">
      <c r="A2234" s="7" t="s">
        <v>3387</v>
      </c>
      <c r="B2234" s="10" t="n">
        <v>45945</v>
      </c>
      <c r="C2234" s="7" t="s">
        <v>1640</v>
      </c>
      <c r="D2234" s="7" t="s">
        <v>3388</v>
      </c>
      <c r="E2234" s="7" t="s">
        <v>94</v>
      </c>
      <c r="F2234" s="7" t="s">
        <v>86</v>
      </c>
      <c r="G2234" s="7" t="s">
        <v>95</v>
      </c>
      <c r="H2234" s="7" t="n">
        <v>5</v>
      </c>
      <c r="I2234" s="11" t="n">
        <v>95</v>
      </c>
      <c r="J2234" s="11" t="n">
        <v>0</v>
      </c>
      <c r="K2234" s="11" t="n">
        <f aca="false">H2234*I2234-J2234</f>
        <v>475</v>
      </c>
      <c r="L2234" s="7" t="s">
        <v>133</v>
      </c>
      <c r="M2234" s="7" t="s">
        <v>194</v>
      </c>
      <c r="N2234" s="7" t="n">
        <v>46</v>
      </c>
      <c r="O2234" s="7"/>
    </row>
    <row r="2235" customFormat="false" ht="15" hidden="false" customHeight="false" outlineLevel="0" collapsed="false">
      <c r="A2235" s="7" t="s">
        <v>5936</v>
      </c>
      <c r="B2235" s="10" t="n">
        <v>45945</v>
      </c>
      <c r="C2235" s="7" t="s">
        <v>2260</v>
      </c>
      <c r="D2235" s="7" t="s">
        <v>5937</v>
      </c>
      <c r="E2235" s="7" t="s">
        <v>163</v>
      </c>
      <c r="F2235" s="7" t="s">
        <v>141</v>
      </c>
      <c r="G2235" s="7" t="s">
        <v>99</v>
      </c>
      <c r="H2235" s="7" t="n">
        <v>5</v>
      </c>
      <c r="I2235" s="11" t="n">
        <v>275</v>
      </c>
      <c r="J2235" s="11" t="n">
        <v>125</v>
      </c>
      <c r="K2235" s="11" t="n">
        <f aca="false">H2235*I2235-J2235</f>
        <v>1250</v>
      </c>
      <c r="L2235" s="7" t="s">
        <v>88</v>
      </c>
      <c r="M2235" s="7" t="s">
        <v>194</v>
      </c>
      <c r="N2235" s="7" t="n">
        <v>21</v>
      </c>
      <c r="O2235" s="7" t="n">
        <v>3</v>
      </c>
    </row>
    <row r="2236" customFormat="false" ht="15" hidden="false" customHeight="false" outlineLevel="0" collapsed="false">
      <c r="A2236" s="7" t="s">
        <v>2893</v>
      </c>
      <c r="B2236" s="10" t="n">
        <v>45946</v>
      </c>
      <c r="C2236" s="7" t="s">
        <v>679</v>
      </c>
      <c r="D2236" s="7" t="s">
        <v>2894</v>
      </c>
      <c r="E2236" s="7" t="s">
        <v>138</v>
      </c>
      <c r="F2236" s="7" t="s">
        <v>110</v>
      </c>
      <c r="G2236" s="7" t="s">
        <v>139</v>
      </c>
      <c r="H2236" s="7" t="n">
        <v>2</v>
      </c>
      <c r="I2236" s="11" t="n">
        <v>220</v>
      </c>
      <c r="J2236" s="11" t="n">
        <v>50</v>
      </c>
      <c r="K2236" s="11" t="n">
        <f aca="false">H2236*I2236-J2236</f>
        <v>390</v>
      </c>
      <c r="L2236" s="7" t="s">
        <v>88</v>
      </c>
      <c r="M2236" s="7" t="s">
        <v>194</v>
      </c>
      <c r="N2236" s="7" t="n">
        <v>37</v>
      </c>
      <c r="O2236" s="7" t="n">
        <v>5</v>
      </c>
    </row>
    <row r="2237" customFormat="false" ht="15" hidden="false" customHeight="false" outlineLevel="0" collapsed="false">
      <c r="A2237" s="7" t="s">
        <v>1550</v>
      </c>
      <c r="B2237" s="10" t="n">
        <v>45946</v>
      </c>
      <c r="C2237" s="7" t="s">
        <v>1552</v>
      </c>
      <c r="D2237" s="7" t="s">
        <v>1553</v>
      </c>
      <c r="E2237" s="7" t="s">
        <v>130</v>
      </c>
      <c r="F2237" s="7" t="s">
        <v>110</v>
      </c>
      <c r="G2237" s="7" t="s">
        <v>90</v>
      </c>
      <c r="H2237" s="7" t="n">
        <v>4</v>
      </c>
      <c r="I2237" s="11" t="n">
        <v>265</v>
      </c>
      <c r="J2237" s="11" t="n">
        <v>0</v>
      </c>
      <c r="K2237" s="11" t="n">
        <f aca="false">H2237*I2237-J2237</f>
        <v>1060</v>
      </c>
      <c r="L2237" s="7" t="s">
        <v>88</v>
      </c>
      <c r="M2237" s="7" t="s">
        <v>194</v>
      </c>
      <c r="N2237" s="7" t="n">
        <v>37</v>
      </c>
      <c r="O2237" s="7" t="n">
        <v>4</v>
      </c>
    </row>
    <row r="2238" customFormat="false" ht="15" hidden="false" customHeight="false" outlineLevel="0" collapsed="false">
      <c r="A2238" s="7" t="s">
        <v>3599</v>
      </c>
      <c r="B2238" s="10" t="n">
        <v>45946</v>
      </c>
      <c r="C2238" s="7" t="s">
        <v>3600</v>
      </c>
      <c r="D2238" s="7" t="s">
        <v>1716</v>
      </c>
      <c r="E2238" s="7" t="s">
        <v>104</v>
      </c>
      <c r="F2238" s="7" t="s">
        <v>86</v>
      </c>
      <c r="G2238" s="7" t="s">
        <v>105</v>
      </c>
      <c r="H2238" s="7" t="n">
        <v>2</v>
      </c>
      <c r="I2238" s="11" t="n">
        <v>200</v>
      </c>
      <c r="J2238" s="11" t="n">
        <v>75</v>
      </c>
      <c r="K2238" s="11" t="n">
        <f aca="false">H2238*I2238-J2238</f>
        <v>325</v>
      </c>
      <c r="L2238" s="7" t="s">
        <v>88</v>
      </c>
      <c r="M2238" s="7" t="s">
        <v>238</v>
      </c>
      <c r="N2238" s="7"/>
      <c r="O2238" s="7"/>
    </row>
    <row r="2239" customFormat="false" ht="15" hidden="false" customHeight="false" outlineLevel="0" collapsed="false">
      <c r="A2239" s="7" t="s">
        <v>2940</v>
      </c>
      <c r="B2239" s="10" t="n">
        <v>45946</v>
      </c>
      <c r="C2239" s="7" t="s">
        <v>1280</v>
      </c>
      <c r="D2239" s="7" t="s">
        <v>2359</v>
      </c>
      <c r="E2239" s="7" t="s">
        <v>142</v>
      </c>
      <c r="F2239" s="7" t="s">
        <v>110</v>
      </c>
      <c r="G2239" s="7" t="s">
        <v>105</v>
      </c>
      <c r="H2239" s="7" t="n">
        <v>1</v>
      </c>
      <c r="I2239" s="11" t="n">
        <v>165</v>
      </c>
      <c r="J2239" s="11" t="n">
        <v>0</v>
      </c>
      <c r="K2239" s="11" t="n">
        <f aca="false">H2239*I2239-J2239</f>
        <v>165</v>
      </c>
      <c r="L2239" s="7" t="s">
        <v>103</v>
      </c>
      <c r="M2239" s="7" t="s">
        <v>194</v>
      </c>
      <c r="N2239" s="7" t="n">
        <v>51</v>
      </c>
      <c r="O2239" s="7" t="n">
        <v>5</v>
      </c>
    </row>
    <row r="2240" customFormat="false" ht="15" hidden="false" customHeight="false" outlineLevel="0" collapsed="false">
      <c r="A2240" s="7" t="s">
        <v>4271</v>
      </c>
      <c r="B2240" s="10" t="n">
        <v>45946</v>
      </c>
      <c r="C2240" s="7" t="s">
        <v>1529</v>
      </c>
      <c r="D2240" s="7" t="s">
        <v>4273</v>
      </c>
      <c r="E2240" s="7" t="s">
        <v>134</v>
      </c>
      <c r="F2240" s="7" t="s">
        <v>110</v>
      </c>
      <c r="G2240" s="7" t="s">
        <v>117</v>
      </c>
      <c r="H2240" s="7" t="n">
        <v>5</v>
      </c>
      <c r="I2240" s="11" t="n">
        <v>130</v>
      </c>
      <c r="J2240" s="11" t="n">
        <v>0</v>
      </c>
      <c r="K2240" s="11" t="n">
        <f aca="false">H2240*I2240-J2240</f>
        <v>650</v>
      </c>
      <c r="L2240" s="7" t="s">
        <v>112</v>
      </c>
      <c r="M2240" s="7" t="s">
        <v>194</v>
      </c>
      <c r="N2240" s="7" t="n">
        <v>44</v>
      </c>
      <c r="O2240" s="7"/>
    </row>
    <row r="2241" customFormat="false" ht="15" hidden="false" customHeight="false" outlineLevel="0" collapsed="false">
      <c r="A2241" s="7" t="s">
        <v>4894</v>
      </c>
      <c r="B2241" s="10" t="n">
        <v>45946</v>
      </c>
      <c r="C2241" s="7" t="s">
        <v>1478</v>
      </c>
      <c r="D2241" s="7" t="s">
        <v>4895</v>
      </c>
      <c r="E2241" s="7" t="s">
        <v>94</v>
      </c>
      <c r="F2241" s="7" t="s">
        <v>86</v>
      </c>
      <c r="G2241" s="7" t="s">
        <v>95</v>
      </c>
      <c r="H2241" s="7" t="n">
        <v>3</v>
      </c>
      <c r="I2241" s="11" t="n">
        <v>110</v>
      </c>
      <c r="J2241" s="11" t="n">
        <v>0</v>
      </c>
      <c r="K2241" s="11" t="n">
        <f aca="false">H2241*I2241-J2241</f>
        <v>330</v>
      </c>
      <c r="L2241" s="7" t="s">
        <v>88</v>
      </c>
      <c r="M2241" s="7" t="s">
        <v>194</v>
      </c>
      <c r="N2241" s="7" t="n">
        <v>27</v>
      </c>
      <c r="O2241" s="7" t="n">
        <v>4</v>
      </c>
    </row>
    <row r="2242" customFormat="false" ht="15" hidden="false" customHeight="false" outlineLevel="0" collapsed="false">
      <c r="A2242" s="7" t="s">
        <v>4460</v>
      </c>
      <c r="B2242" s="10" t="n">
        <v>45946</v>
      </c>
      <c r="C2242" s="7" t="s">
        <v>4461</v>
      </c>
      <c r="D2242" s="7" t="s">
        <v>4237</v>
      </c>
      <c r="E2242" s="7" t="s">
        <v>147</v>
      </c>
      <c r="F2242" s="7" t="s">
        <v>119</v>
      </c>
      <c r="G2242" s="7" t="s">
        <v>95</v>
      </c>
      <c r="H2242" s="7" t="n">
        <v>2</v>
      </c>
      <c r="I2242" s="11" t="n">
        <v>145</v>
      </c>
      <c r="J2242" s="11" t="n">
        <v>0</v>
      </c>
      <c r="K2242" s="11" t="n">
        <f aca="false">H2242*I2242-J2242</f>
        <v>290</v>
      </c>
      <c r="L2242" s="7" t="s">
        <v>112</v>
      </c>
      <c r="M2242" s="7" t="s">
        <v>194</v>
      </c>
      <c r="N2242" s="7" t="n">
        <v>36</v>
      </c>
      <c r="O2242" s="7" t="n">
        <v>5</v>
      </c>
    </row>
    <row r="2243" customFormat="false" ht="15" hidden="false" customHeight="false" outlineLevel="0" collapsed="false">
      <c r="A2243" s="7" t="s">
        <v>4817</v>
      </c>
      <c r="B2243" s="10" t="n">
        <v>45946</v>
      </c>
      <c r="C2243" s="7" t="s">
        <v>3300</v>
      </c>
      <c r="D2243" s="7" t="s">
        <v>4818</v>
      </c>
      <c r="E2243" s="7" t="s">
        <v>162</v>
      </c>
      <c r="F2243" s="7" t="s">
        <v>141</v>
      </c>
      <c r="G2243" s="7" t="s">
        <v>117</v>
      </c>
      <c r="H2243" s="7" t="n">
        <v>2</v>
      </c>
      <c r="I2243" s="11" t="n">
        <v>100</v>
      </c>
      <c r="J2243" s="11" t="n">
        <v>0</v>
      </c>
      <c r="K2243" s="11" t="n">
        <f aca="false">H2243*I2243-J2243</f>
        <v>200</v>
      </c>
      <c r="L2243" s="7" t="s">
        <v>88</v>
      </c>
      <c r="M2243" s="7" t="s">
        <v>194</v>
      </c>
      <c r="N2243" s="7" t="n">
        <v>36</v>
      </c>
      <c r="O2243" s="7" t="n">
        <v>5</v>
      </c>
    </row>
    <row r="2244" customFormat="false" ht="15" hidden="false" customHeight="false" outlineLevel="0" collapsed="false">
      <c r="A2244" s="7" t="s">
        <v>3365</v>
      </c>
      <c r="B2244" s="10" t="n">
        <v>45946</v>
      </c>
      <c r="C2244" s="7" t="s">
        <v>1087</v>
      </c>
      <c r="D2244" s="7" t="s">
        <v>3074</v>
      </c>
      <c r="E2244" s="7" t="s">
        <v>138</v>
      </c>
      <c r="F2244" s="7" t="s">
        <v>110</v>
      </c>
      <c r="G2244" s="7" t="s">
        <v>139</v>
      </c>
      <c r="H2244" s="7" t="n">
        <v>1</v>
      </c>
      <c r="I2244" s="11" t="n">
        <v>190</v>
      </c>
      <c r="J2244" s="11" t="n">
        <v>0</v>
      </c>
      <c r="K2244" s="11" t="n">
        <f aca="false">H2244*I2244-J2244</f>
        <v>190</v>
      </c>
      <c r="L2244" s="7" t="s">
        <v>112</v>
      </c>
      <c r="M2244" s="7" t="s">
        <v>194</v>
      </c>
      <c r="N2244" s="7" t="n">
        <v>39</v>
      </c>
      <c r="O2244" s="7" t="n">
        <v>4</v>
      </c>
    </row>
    <row r="2245" customFormat="false" ht="15" hidden="false" customHeight="false" outlineLevel="0" collapsed="false">
      <c r="A2245" s="7" t="s">
        <v>4433</v>
      </c>
      <c r="B2245" s="10" t="n">
        <v>45946</v>
      </c>
      <c r="C2245" s="7" t="s">
        <v>870</v>
      </c>
      <c r="D2245" s="7" t="s">
        <v>4434</v>
      </c>
      <c r="E2245" s="7" t="s">
        <v>113</v>
      </c>
      <c r="F2245" s="7" t="s">
        <v>101</v>
      </c>
      <c r="G2245" s="7" t="s">
        <v>90</v>
      </c>
      <c r="H2245" s="7" t="n">
        <v>3</v>
      </c>
      <c r="I2245" s="11" t="n">
        <v>205</v>
      </c>
      <c r="J2245" s="11" t="n">
        <v>0</v>
      </c>
      <c r="K2245" s="11" t="n">
        <f aca="false">H2245*I2245-J2245</f>
        <v>615</v>
      </c>
      <c r="L2245" s="7" t="s">
        <v>88</v>
      </c>
      <c r="M2245" s="7" t="s">
        <v>194</v>
      </c>
      <c r="N2245" s="7" t="n">
        <v>48</v>
      </c>
      <c r="O2245" s="7" t="n">
        <v>2</v>
      </c>
    </row>
    <row r="2246" customFormat="false" ht="15" hidden="false" customHeight="false" outlineLevel="0" collapsed="false">
      <c r="A2246" s="7" t="s">
        <v>2132</v>
      </c>
      <c r="B2246" s="10" t="n">
        <v>45946</v>
      </c>
      <c r="C2246" s="7" t="s">
        <v>2133</v>
      </c>
      <c r="D2246" s="7" t="s">
        <v>2134</v>
      </c>
      <c r="E2246" s="7" t="s">
        <v>154</v>
      </c>
      <c r="F2246" s="7" t="s">
        <v>128</v>
      </c>
      <c r="G2246" s="7" t="s">
        <v>99</v>
      </c>
      <c r="H2246" s="7" t="n">
        <v>3</v>
      </c>
      <c r="I2246" s="11" t="n">
        <v>305</v>
      </c>
      <c r="J2246" s="11" t="n">
        <v>0</v>
      </c>
      <c r="K2246" s="11" t="n">
        <f aca="false">H2246*I2246-J2246</f>
        <v>915</v>
      </c>
      <c r="L2246" s="7" t="s">
        <v>88</v>
      </c>
      <c r="M2246" s="7" t="s">
        <v>194</v>
      </c>
      <c r="N2246" s="7" t="n">
        <v>36</v>
      </c>
      <c r="O2246" s="7" t="n">
        <v>4</v>
      </c>
    </row>
    <row r="2247" customFormat="false" ht="15" hidden="false" customHeight="false" outlineLevel="0" collapsed="false">
      <c r="A2247" s="7" t="s">
        <v>1834</v>
      </c>
      <c r="B2247" s="10" t="n">
        <v>45946</v>
      </c>
      <c r="C2247" s="7" t="s">
        <v>1836</v>
      </c>
      <c r="D2247" s="7" t="s">
        <v>1405</v>
      </c>
      <c r="E2247" s="7" t="s">
        <v>89</v>
      </c>
      <c r="F2247" s="7" t="s">
        <v>86</v>
      </c>
      <c r="G2247" s="7" t="s">
        <v>90</v>
      </c>
      <c r="H2247" s="7" t="n">
        <v>4</v>
      </c>
      <c r="I2247" s="11" t="n">
        <v>185</v>
      </c>
      <c r="J2247" s="11" t="n">
        <v>0</v>
      </c>
      <c r="K2247" s="11" t="n">
        <f aca="false">H2247*I2247-J2247</f>
        <v>740</v>
      </c>
      <c r="L2247" s="7" t="s">
        <v>88</v>
      </c>
      <c r="M2247" s="7" t="s">
        <v>194</v>
      </c>
      <c r="N2247" s="7" t="n">
        <v>30</v>
      </c>
      <c r="O2247" s="7" t="n">
        <v>5</v>
      </c>
    </row>
    <row r="2248" customFormat="false" ht="15" hidden="false" customHeight="false" outlineLevel="0" collapsed="false">
      <c r="A2248" s="7" t="s">
        <v>5626</v>
      </c>
      <c r="B2248" s="10" t="n">
        <v>45947</v>
      </c>
      <c r="C2248" s="7" t="s">
        <v>1520</v>
      </c>
      <c r="D2248" s="7" t="s">
        <v>3148</v>
      </c>
      <c r="E2248" s="7" t="s">
        <v>159</v>
      </c>
      <c r="F2248" s="7" t="s">
        <v>136</v>
      </c>
      <c r="G2248" s="7" t="s">
        <v>90</v>
      </c>
      <c r="H2248" s="7" t="n">
        <v>1</v>
      </c>
      <c r="I2248" s="11" t="n">
        <v>300</v>
      </c>
      <c r="J2248" s="11" t="n">
        <v>0</v>
      </c>
      <c r="K2248" s="11" t="n">
        <f aca="false">H2248*I2248-J2248</f>
        <v>300</v>
      </c>
      <c r="L2248" s="7" t="s">
        <v>121</v>
      </c>
      <c r="M2248" s="7" t="s">
        <v>194</v>
      </c>
      <c r="N2248" s="7" t="n">
        <v>31</v>
      </c>
      <c r="O2248" s="7" t="n">
        <v>4</v>
      </c>
    </row>
    <row r="2249" customFormat="false" ht="15" hidden="false" customHeight="false" outlineLevel="0" collapsed="false">
      <c r="A2249" s="7" t="s">
        <v>4568</v>
      </c>
      <c r="B2249" s="10" t="n">
        <v>45947</v>
      </c>
      <c r="C2249" s="7" t="s">
        <v>1660</v>
      </c>
      <c r="D2249" s="7" t="s">
        <v>3732</v>
      </c>
      <c r="E2249" s="7" t="s">
        <v>126</v>
      </c>
      <c r="F2249" s="7" t="s">
        <v>101</v>
      </c>
      <c r="G2249" s="7" t="s">
        <v>105</v>
      </c>
      <c r="H2249" s="7" t="n">
        <v>4</v>
      </c>
      <c r="I2249" s="11" t="n">
        <v>175</v>
      </c>
      <c r="J2249" s="11" t="n">
        <v>150</v>
      </c>
      <c r="K2249" s="11" t="n">
        <f aca="false">H2249*I2249-J2249</f>
        <v>550</v>
      </c>
      <c r="L2249" s="7" t="s">
        <v>88</v>
      </c>
      <c r="M2249" s="7" t="s">
        <v>194</v>
      </c>
      <c r="N2249" s="7" t="n">
        <v>38</v>
      </c>
      <c r="O2249" s="7" t="n">
        <v>4</v>
      </c>
    </row>
    <row r="2250" customFormat="false" ht="15" hidden="false" customHeight="false" outlineLevel="0" collapsed="false">
      <c r="A2250" s="7" t="s">
        <v>4765</v>
      </c>
      <c r="B2250" s="10" t="n">
        <v>45947</v>
      </c>
      <c r="C2250" s="7" t="s">
        <v>1231</v>
      </c>
      <c r="D2250" s="7" t="s">
        <v>3180</v>
      </c>
      <c r="E2250" s="7" t="s">
        <v>151</v>
      </c>
      <c r="F2250" s="7" t="s">
        <v>128</v>
      </c>
      <c r="G2250" s="7" t="s">
        <v>95</v>
      </c>
      <c r="H2250" s="7" t="n">
        <v>3</v>
      </c>
      <c r="I2250" s="11" t="n">
        <v>215</v>
      </c>
      <c r="J2250" s="11" t="n">
        <v>150</v>
      </c>
      <c r="K2250" s="11" t="n">
        <f aca="false">H2250*I2250-J2250</f>
        <v>495</v>
      </c>
      <c r="L2250" s="7" t="s">
        <v>93</v>
      </c>
      <c r="M2250" s="7" t="s">
        <v>194</v>
      </c>
      <c r="N2250" s="7" t="n">
        <v>35</v>
      </c>
      <c r="O2250" s="7" t="n">
        <v>4</v>
      </c>
    </row>
    <row r="2251" customFormat="false" ht="15" hidden="false" customHeight="false" outlineLevel="0" collapsed="false">
      <c r="A2251" s="7" t="s">
        <v>5968</v>
      </c>
      <c r="B2251" s="10" t="n">
        <v>45947</v>
      </c>
      <c r="C2251" s="7" t="s">
        <v>411</v>
      </c>
      <c r="D2251" s="7" t="s">
        <v>1712</v>
      </c>
      <c r="E2251" s="7" t="s">
        <v>89</v>
      </c>
      <c r="F2251" s="7" t="s">
        <v>86</v>
      </c>
      <c r="G2251" s="7" t="s">
        <v>90</v>
      </c>
      <c r="H2251" s="7" t="n">
        <v>2</v>
      </c>
      <c r="I2251" s="11" t="n">
        <v>240</v>
      </c>
      <c r="J2251" s="11" t="n">
        <v>0</v>
      </c>
      <c r="K2251" s="11" t="n">
        <f aca="false">H2251*I2251-J2251</f>
        <v>480</v>
      </c>
      <c r="L2251" s="7" t="s">
        <v>103</v>
      </c>
      <c r="M2251" s="7" t="s">
        <v>194</v>
      </c>
      <c r="N2251" s="7" t="n">
        <v>41</v>
      </c>
      <c r="O2251" s="7" t="n">
        <v>4</v>
      </c>
    </row>
    <row r="2252" customFormat="false" ht="15" hidden="false" customHeight="false" outlineLevel="0" collapsed="false">
      <c r="A2252" s="7" t="s">
        <v>4201</v>
      </c>
      <c r="B2252" s="10" t="n">
        <v>45947</v>
      </c>
      <c r="C2252" s="7" t="s">
        <v>2402</v>
      </c>
      <c r="D2252" s="7" t="s">
        <v>4202</v>
      </c>
      <c r="E2252" s="7" t="s">
        <v>161</v>
      </c>
      <c r="F2252" s="7" t="s">
        <v>141</v>
      </c>
      <c r="G2252" s="7" t="s">
        <v>117</v>
      </c>
      <c r="H2252" s="7" t="n">
        <v>2</v>
      </c>
      <c r="I2252" s="11" t="n">
        <v>135</v>
      </c>
      <c r="J2252" s="11" t="n">
        <v>0</v>
      </c>
      <c r="K2252" s="11" t="n">
        <f aca="false">H2252*I2252-J2252</f>
        <v>270</v>
      </c>
      <c r="L2252" s="7" t="s">
        <v>88</v>
      </c>
      <c r="M2252" s="7" t="s">
        <v>194</v>
      </c>
      <c r="N2252" s="7" t="n">
        <v>33</v>
      </c>
      <c r="O2252" s="7" t="n">
        <v>4</v>
      </c>
    </row>
    <row r="2253" customFormat="false" ht="15" hidden="false" customHeight="false" outlineLevel="0" collapsed="false">
      <c r="A2253" s="7" t="s">
        <v>3135</v>
      </c>
      <c r="B2253" s="10" t="n">
        <v>45947</v>
      </c>
      <c r="C2253" s="7" t="s">
        <v>2292</v>
      </c>
      <c r="D2253" s="7" t="s">
        <v>673</v>
      </c>
      <c r="E2253" s="7" t="s">
        <v>163</v>
      </c>
      <c r="F2253" s="7" t="s">
        <v>141</v>
      </c>
      <c r="G2253" s="7" t="s">
        <v>99</v>
      </c>
      <c r="H2253" s="7" t="n">
        <v>2</v>
      </c>
      <c r="I2253" s="11" t="n">
        <v>240</v>
      </c>
      <c r="J2253" s="11" t="n">
        <v>50</v>
      </c>
      <c r="K2253" s="11" t="n">
        <f aca="false">H2253*I2253-J2253</f>
        <v>430</v>
      </c>
      <c r="L2253" s="7" t="s">
        <v>88</v>
      </c>
      <c r="M2253" s="7" t="s">
        <v>194</v>
      </c>
      <c r="N2253" s="7" t="n">
        <v>36</v>
      </c>
      <c r="O2253" s="7" t="n">
        <v>2</v>
      </c>
    </row>
    <row r="2254" customFormat="false" ht="15" hidden="false" customHeight="false" outlineLevel="0" collapsed="false">
      <c r="A2254" s="7" t="s">
        <v>6143</v>
      </c>
      <c r="B2254" s="10" t="n">
        <v>45947</v>
      </c>
      <c r="C2254" s="7" t="s">
        <v>2080</v>
      </c>
      <c r="D2254" s="7" t="s">
        <v>847</v>
      </c>
      <c r="E2254" s="7" t="s">
        <v>130</v>
      </c>
      <c r="F2254" s="7" t="s">
        <v>110</v>
      </c>
      <c r="G2254" s="7" t="s">
        <v>90</v>
      </c>
      <c r="H2254" s="7" t="n">
        <v>2</v>
      </c>
      <c r="I2254" s="11" t="n">
        <v>275</v>
      </c>
      <c r="J2254" s="11" t="n">
        <v>0</v>
      </c>
      <c r="K2254" s="11" t="n">
        <f aca="false">H2254*I2254-J2254</f>
        <v>550</v>
      </c>
      <c r="L2254" s="7" t="s">
        <v>88</v>
      </c>
      <c r="M2254" s="7" t="s">
        <v>194</v>
      </c>
      <c r="N2254" s="7" t="n">
        <v>36</v>
      </c>
      <c r="O2254" s="7" t="n">
        <v>5</v>
      </c>
    </row>
    <row r="2255" customFormat="false" ht="15" hidden="false" customHeight="false" outlineLevel="0" collapsed="false">
      <c r="A2255" s="7" t="s">
        <v>5366</v>
      </c>
      <c r="B2255" s="10" t="n">
        <v>45947</v>
      </c>
      <c r="C2255" s="7" t="s">
        <v>1058</v>
      </c>
      <c r="D2255" s="7" t="s">
        <v>1072</v>
      </c>
      <c r="E2255" s="7" t="s">
        <v>142</v>
      </c>
      <c r="F2255" s="7" t="s">
        <v>110</v>
      </c>
      <c r="G2255" s="7" t="s">
        <v>105</v>
      </c>
      <c r="H2255" s="7" t="n">
        <v>1</v>
      </c>
      <c r="I2255" s="11" t="n">
        <v>175</v>
      </c>
      <c r="J2255" s="11" t="n">
        <v>0</v>
      </c>
      <c r="K2255" s="11" t="n">
        <f aca="false">H2255*I2255-J2255</f>
        <v>175</v>
      </c>
      <c r="L2255" s="7" t="s">
        <v>93</v>
      </c>
      <c r="M2255" s="7" t="s">
        <v>194</v>
      </c>
      <c r="N2255" s="7" t="n">
        <v>48</v>
      </c>
      <c r="O2255" s="7" t="n">
        <v>4</v>
      </c>
    </row>
    <row r="2256" customFormat="false" ht="15" hidden="false" customHeight="false" outlineLevel="0" collapsed="false">
      <c r="A2256" s="7" t="s">
        <v>3879</v>
      </c>
      <c r="B2256" s="10" t="n">
        <v>45947</v>
      </c>
      <c r="C2256" s="7" t="s">
        <v>1495</v>
      </c>
      <c r="D2256" s="7" t="s">
        <v>922</v>
      </c>
      <c r="E2256" s="7" t="s">
        <v>154</v>
      </c>
      <c r="F2256" s="7" t="s">
        <v>128</v>
      </c>
      <c r="G2256" s="7" t="s">
        <v>99</v>
      </c>
      <c r="H2256" s="7" t="n">
        <v>3</v>
      </c>
      <c r="I2256" s="11" t="n">
        <v>245</v>
      </c>
      <c r="J2256" s="11" t="n">
        <v>30</v>
      </c>
      <c r="K2256" s="11" t="n">
        <f aca="false">H2256*I2256-J2256</f>
        <v>705</v>
      </c>
      <c r="L2256" s="7" t="s">
        <v>93</v>
      </c>
      <c r="M2256" s="7" t="s">
        <v>194</v>
      </c>
      <c r="N2256" s="7"/>
      <c r="O2256" s="7" t="n">
        <v>5</v>
      </c>
    </row>
    <row r="2257" customFormat="false" ht="15" hidden="false" customHeight="false" outlineLevel="0" collapsed="false">
      <c r="A2257" s="7" t="s">
        <v>2590</v>
      </c>
      <c r="B2257" s="10" t="n">
        <v>45948</v>
      </c>
      <c r="C2257" s="7" t="s">
        <v>2592</v>
      </c>
      <c r="D2257" s="7" t="s">
        <v>1958</v>
      </c>
      <c r="E2257" s="7" t="s">
        <v>144</v>
      </c>
      <c r="F2257" s="7" t="s">
        <v>119</v>
      </c>
      <c r="G2257" s="7" t="s">
        <v>99</v>
      </c>
      <c r="H2257" s="7" t="n">
        <v>1</v>
      </c>
      <c r="I2257" s="11" t="n">
        <v>340</v>
      </c>
      <c r="J2257" s="11" t="n">
        <v>0</v>
      </c>
      <c r="K2257" s="11" t="n">
        <f aca="false">H2257*I2257-J2257</f>
        <v>340</v>
      </c>
      <c r="L2257" s="7" t="s">
        <v>103</v>
      </c>
      <c r="M2257" s="7" t="s">
        <v>194</v>
      </c>
      <c r="N2257" s="7" t="n">
        <v>33</v>
      </c>
      <c r="O2257" s="7" t="n">
        <v>3</v>
      </c>
    </row>
    <row r="2258" customFormat="false" ht="15" hidden="false" customHeight="false" outlineLevel="0" collapsed="false">
      <c r="A2258" s="7" t="s">
        <v>2529</v>
      </c>
      <c r="B2258" s="10" t="n">
        <v>45948</v>
      </c>
      <c r="C2258" s="7" t="s">
        <v>386</v>
      </c>
      <c r="D2258" s="7" t="s">
        <v>2525</v>
      </c>
      <c r="E2258" s="7" t="s">
        <v>160</v>
      </c>
      <c r="F2258" s="7" t="s">
        <v>136</v>
      </c>
      <c r="G2258" s="7" t="s">
        <v>150</v>
      </c>
      <c r="H2258" s="7" t="n">
        <v>1</v>
      </c>
      <c r="I2258" s="11" t="n">
        <v>155</v>
      </c>
      <c r="J2258" s="11" t="n">
        <v>0</v>
      </c>
      <c r="K2258" s="11" t="n">
        <f aca="false">H2258*I2258-J2258</f>
        <v>155</v>
      </c>
      <c r="L2258" s="7" t="s">
        <v>88</v>
      </c>
      <c r="M2258" s="7" t="s">
        <v>194</v>
      </c>
      <c r="N2258" s="7" t="n">
        <v>34</v>
      </c>
      <c r="O2258" s="7" t="n">
        <v>4</v>
      </c>
    </row>
    <row r="2259" customFormat="false" ht="15" hidden="false" customHeight="false" outlineLevel="0" collapsed="false">
      <c r="A2259" s="7" t="s">
        <v>5917</v>
      </c>
      <c r="B2259" s="10" t="n">
        <v>45948</v>
      </c>
      <c r="C2259" s="7" t="s">
        <v>1271</v>
      </c>
      <c r="D2259" s="7" t="s">
        <v>214</v>
      </c>
      <c r="E2259" s="7" t="s">
        <v>89</v>
      </c>
      <c r="F2259" s="7" t="s">
        <v>86</v>
      </c>
      <c r="G2259" s="7" t="s">
        <v>90</v>
      </c>
      <c r="H2259" s="7" t="n">
        <v>2</v>
      </c>
      <c r="I2259" s="11" t="n">
        <v>205</v>
      </c>
      <c r="J2259" s="11" t="n">
        <v>50</v>
      </c>
      <c r="K2259" s="11" t="n">
        <f aca="false">H2259*I2259-J2259</f>
        <v>360</v>
      </c>
      <c r="L2259" s="7" t="s">
        <v>88</v>
      </c>
      <c r="M2259" s="7" t="s">
        <v>194</v>
      </c>
      <c r="N2259" s="7" t="n">
        <v>33</v>
      </c>
      <c r="O2259" s="7" t="n">
        <v>4</v>
      </c>
    </row>
    <row r="2260" customFormat="false" ht="15" hidden="false" customHeight="false" outlineLevel="0" collapsed="false">
      <c r="A2260" s="7" t="s">
        <v>553</v>
      </c>
      <c r="B2260" s="10" t="n">
        <v>45948</v>
      </c>
      <c r="C2260" s="7" t="s">
        <v>555</v>
      </c>
      <c r="D2260" s="7" t="s">
        <v>556</v>
      </c>
      <c r="E2260" s="7" t="s">
        <v>89</v>
      </c>
      <c r="F2260" s="7" t="s">
        <v>86</v>
      </c>
      <c r="G2260" s="7" t="s">
        <v>90</v>
      </c>
      <c r="H2260" s="7" t="n">
        <v>1</v>
      </c>
      <c r="I2260" s="11" t="n">
        <v>215</v>
      </c>
      <c r="J2260" s="11" t="n">
        <v>50</v>
      </c>
      <c r="K2260" s="11" t="n">
        <f aca="false">H2260*I2260-J2260</f>
        <v>165</v>
      </c>
      <c r="L2260" s="7" t="s">
        <v>88</v>
      </c>
      <c r="M2260" s="7" t="s">
        <v>194</v>
      </c>
      <c r="N2260" s="7" t="n">
        <v>32</v>
      </c>
      <c r="O2260" s="7" t="n">
        <v>5</v>
      </c>
    </row>
    <row r="2261" customFormat="false" ht="15" hidden="false" customHeight="false" outlineLevel="0" collapsed="false">
      <c r="A2261" s="7" t="s">
        <v>5150</v>
      </c>
      <c r="B2261" s="10" t="n">
        <v>45948</v>
      </c>
      <c r="C2261" s="7" t="s">
        <v>490</v>
      </c>
      <c r="D2261" s="7" t="s">
        <v>5117</v>
      </c>
      <c r="E2261" s="7" t="s">
        <v>104</v>
      </c>
      <c r="F2261" s="7" t="s">
        <v>86</v>
      </c>
      <c r="G2261" s="7" t="s">
        <v>105</v>
      </c>
      <c r="H2261" s="7" t="n">
        <v>2</v>
      </c>
      <c r="I2261" s="11" t="n">
        <v>240</v>
      </c>
      <c r="J2261" s="11" t="n">
        <v>125</v>
      </c>
      <c r="K2261" s="11" t="n">
        <f aca="false">H2261*I2261-J2261</f>
        <v>355</v>
      </c>
      <c r="L2261" s="7" t="s">
        <v>88</v>
      </c>
      <c r="M2261" s="7" t="s">
        <v>194</v>
      </c>
      <c r="N2261" s="7" t="n">
        <v>37</v>
      </c>
      <c r="O2261" s="7" t="n">
        <v>4</v>
      </c>
    </row>
    <row r="2262" customFormat="false" ht="15" hidden="false" customHeight="false" outlineLevel="0" collapsed="false">
      <c r="A2262" s="7" t="s">
        <v>5664</v>
      </c>
      <c r="B2262" s="10" t="n">
        <v>45948</v>
      </c>
      <c r="C2262" s="7" t="s">
        <v>2716</v>
      </c>
      <c r="D2262" s="7" t="s">
        <v>645</v>
      </c>
      <c r="E2262" s="7" t="s">
        <v>142</v>
      </c>
      <c r="F2262" s="7" t="s">
        <v>110</v>
      </c>
      <c r="G2262" s="7" t="s">
        <v>105</v>
      </c>
      <c r="H2262" s="7" t="n">
        <v>5</v>
      </c>
      <c r="I2262" s="11" t="n">
        <v>155</v>
      </c>
      <c r="J2262" s="11" t="n">
        <v>40</v>
      </c>
      <c r="K2262" s="11" t="n">
        <f aca="false">H2262*I2262-J2262</f>
        <v>735</v>
      </c>
      <c r="L2262" s="7" t="s">
        <v>93</v>
      </c>
      <c r="M2262" s="7" t="s">
        <v>194</v>
      </c>
      <c r="N2262" s="7" t="n">
        <v>31</v>
      </c>
      <c r="O2262" s="7" t="n">
        <v>5</v>
      </c>
    </row>
    <row r="2263" customFormat="false" ht="15" hidden="false" customHeight="false" outlineLevel="0" collapsed="false">
      <c r="A2263" s="7" t="s">
        <v>1832</v>
      </c>
      <c r="B2263" s="10" t="n">
        <v>45948</v>
      </c>
      <c r="C2263" s="7" t="s">
        <v>1640</v>
      </c>
      <c r="D2263" s="7" t="s">
        <v>1833</v>
      </c>
      <c r="E2263" s="7" t="s">
        <v>104</v>
      </c>
      <c r="F2263" s="7" t="s">
        <v>86</v>
      </c>
      <c r="G2263" s="7" t="s">
        <v>105</v>
      </c>
      <c r="H2263" s="7" t="n">
        <v>1</v>
      </c>
      <c r="I2263" s="11" t="n">
        <v>165</v>
      </c>
      <c r="J2263" s="11" t="n">
        <v>0</v>
      </c>
      <c r="K2263" s="11" t="n">
        <f aca="false">H2263*I2263-J2263</f>
        <v>165</v>
      </c>
      <c r="L2263" s="7" t="s">
        <v>88</v>
      </c>
      <c r="M2263" s="7" t="s">
        <v>194</v>
      </c>
      <c r="N2263" s="7" t="n">
        <v>53</v>
      </c>
      <c r="O2263" s="7" t="n">
        <v>5</v>
      </c>
    </row>
    <row r="2264" customFormat="false" ht="15" hidden="false" customHeight="false" outlineLevel="0" collapsed="false">
      <c r="A2264" s="7" t="s">
        <v>6047</v>
      </c>
      <c r="B2264" s="10" t="n">
        <v>45948</v>
      </c>
      <c r="C2264" s="7" t="s">
        <v>201</v>
      </c>
      <c r="D2264" s="7" t="s">
        <v>6048</v>
      </c>
      <c r="E2264" s="7" t="s">
        <v>142</v>
      </c>
      <c r="F2264" s="7" t="s">
        <v>110</v>
      </c>
      <c r="G2264" s="7" t="s">
        <v>105</v>
      </c>
      <c r="H2264" s="7" t="n">
        <v>2</v>
      </c>
      <c r="I2264" s="11" t="n">
        <v>110</v>
      </c>
      <c r="J2264" s="11" t="n">
        <v>0</v>
      </c>
      <c r="K2264" s="11" t="n">
        <f aca="false">H2264*I2264-J2264</f>
        <v>220</v>
      </c>
      <c r="L2264" s="7" t="s">
        <v>93</v>
      </c>
      <c r="M2264" s="7" t="s">
        <v>194</v>
      </c>
      <c r="N2264" s="7" t="n">
        <v>47</v>
      </c>
      <c r="O2264" s="7" t="n">
        <v>2</v>
      </c>
    </row>
    <row r="2265" customFormat="false" ht="15" hidden="false" customHeight="false" outlineLevel="0" collapsed="false">
      <c r="A2265" s="7" t="s">
        <v>1780</v>
      </c>
      <c r="B2265" s="10" t="n">
        <v>45948</v>
      </c>
      <c r="C2265" s="7" t="s">
        <v>1781</v>
      </c>
      <c r="D2265" s="7" t="s">
        <v>1782</v>
      </c>
      <c r="E2265" s="7" t="s">
        <v>158</v>
      </c>
      <c r="F2265" s="7" t="s">
        <v>136</v>
      </c>
      <c r="G2265" s="7" t="s">
        <v>139</v>
      </c>
      <c r="H2265" s="7" t="n">
        <v>2</v>
      </c>
      <c r="I2265" s="11" t="n">
        <v>240</v>
      </c>
      <c r="J2265" s="11" t="n">
        <v>100</v>
      </c>
      <c r="K2265" s="11" t="n">
        <f aca="false">H2265*I2265-J2265</f>
        <v>380</v>
      </c>
      <c r="L2265" s="7" t="s">
        <v>88</v>
      </c>
      <c r="M2265" s="7" t="s">
        <v>194</v>
      </c>
      <c r="N2265" s="7" t="n">
        <v>41</v>
      </c>
      <c r="O2265" s="7" t="n">
        <v>5</v>
      </c>
    </row>
    <row r="2266" customFormat="false" ht="15" hidden="false" customHeight="false" outlineLevel="0" collapsed="false">
      <c r="A2266" s="7" t="s">
        <v>5174</v>
      </c>
      <c r="B2266" s="10" t="n">
        <v>45949</v>
      </c>
      <c r="C2266" s="7" t="s">
        <v>4497</v>
      </c>
      <c r="D2266" s="7" t="s">
        <v>5175</v>
      </c>
      <c r="E2266" s="7" t="s">
        <v>147</v>
      </c>
      <c r="F2266" s="7" t="s">
        <v>119</v>
      </c>
      <c r="G2266" s="7" t="s">
        <v>95</v>
      </c>
      <c r="H2266" s="7" t="n">
        <v>2</v>
      </c>
      <c r="I2266" s="11" t="n">
        <v>125</v>
      </c>
      <c r="J2266" s="11" t="n">
        <v>75</v>
      </c>
      <c r="K2266" s="11" t="n">
        <f aca="false">H2266*I2266-J2266</f>
        <v>175</v>
      </c>
      <c r="L2266" s="7" t="s">
        <v>88</v>
      </c>
      <c r="M2266" s="7" t="s">
        <v>194</v>
      </c>
      <c r="N2266" s="7"/>
      <c r="O2266" s="7" t="n">
        <v>5</v>
      </c>
    </row>
    <row r="2267" customFormat="false" ht="15" hidden="false" customHeight="false" outlineLevel="0" collapsed="false">
      <c r="A2267" s="7" t="s">
        <v>1320</v>
      </c>
      <c r="B2267" s="10" t="n">
        <v>45949</v>
      </c>
      <c r="C2267" s="7" t="s">
        <v>1321</v>
      </c>
      <c r="D2267" s="7" t="s">
        <v>1322</v>
      </c>
      <c r="E2267" s="7" t="s">
        <v>94</v>
      </c>
      <c r="F2267" s="7" t="s">
        <v>86</v>
      </c>
      <c r="G2267" s="7" t="s">
        <v>95</v>
      </c>
      <c r="H2267" s="7" t="n">
        <v>1</v>
      </c>
      <c r="I2267" s="11" t="n">
        <v>145</v>
      </c>
      <c r="J2267" s="11" t="n">
        <v>0</v>
      </c>
      <c r="K2267" s="11" t="n">
        <f aca="false">H2267*I2267-J2267</f>
        <v>145</v>
      </c>
      <c r="L2267" s="7" t="s">
        <v>88</v>
      </c>
      <c r="M2267" s="7" t="s">
        <v>194</v>
      </c>
      <c r="N2267" s="7" t="n">
        <v>38</v>
      </c>
      <c r="O2267" s="7"/>
    </row>
    <row r="2268" customFormat="false" ht="15" hidden="false" customHeight="false" outlineLevel="0" collapsed="false">
      <c r="A2268" s="7" t="s">
        <v>5343</v>
      </c>
      <c r="B2268" s="10" t="n">
        <v>45949</v>
      </c>
      <c r="C2268" s="7" t="s">
        <v>1529</v>
      </c>
      <c r="D2268" s="7" t="s">
        <v>2805</v>
      </c>
      <c r="E2268" s="7" t="s">
        <v>98</v>
      </c>
      <c r="F2268" s="7" t="s">
        <v>86</v>
      </c>
      <c r="G2268" s="7" t="s">
        <v>99</v>
      </c>
      <c r="H2268" s="7" t="n">
        <v>5</v>
      </c>
      <c r="I2268" s="11" t="n">
        <v>275</v>
      </c>
      <c r="J2268" s="11" t="n">
        <v>40</v>
      </c>
      <c r="K2268" s="11" t="n">
        <f aca="false">H2268*I2268-J2268</f>
        <v>1335</v>
      </c>
      <c r="L2268" s="7" t="s">
        <v>88</v>
      </c>
      <c r="M2268" s="7" t="s">
        <v>194</v>
      </c>
      <c r="N2268" s="7" t="n">
        <v>42</v>
      </c>
      <c r="O2268" s="7"/>
    </row>
    <row r="2269" customFormat="false" ht="15" hidden="false" customHeight="false" outlineLevel="0" collapsed="false">
      <c r="A2269" s="7" t="s">
        <v>1092</v>
      </c>
      <c r="B2269" s="10" t="n">
        <v>45949</v>
      </c>
      <c r="C2269" s="7" t="s">
        <v>218</v>
      </c>
      <c r="D2269" s="7" t="s">
        <v>1093</v>
      </c>
      <c r="E2269" s="7" t="s">
        <v>138</v>
      </c>
      <c r="F2269" s="7" t="s">
        <v>110</v>
      </c>
      <c r="G2269" s="7" t="s">
        <v>139</v>
      </c>
      <c r="H2269" s="7" t="n">
        <v>3</v>
      </c>
      <c r="I2269" s="11" t="n">
        <v>175</v>
      </c>
      <c r="J2269" s="11" t="n">
        <v>20</v>
      </c>
      <c r="K2269" s="11" t="n">
        <f aca="false">H2269*I2269-J2269</f>
        <v>505</v>
      </c>
      <c r="L2269" s="7" t="s">
        <v>112</v>
      </c>
      <c r="M2269" s="7" t="s">
        <v>194</v>
      </c>
      <c r="N2269" s="7" t="n">
        <v>46</v>
      </c>
      <c r="O2269" s="7"/>
    </row>
    <row r="2270" customFormat="false" ht="15" hidden="false" customHeight="false" outlineLevel="0" collapsed="false">
      <c r="A2270" s="7" t="s">
        <v>5759</v>
      </c>
      <c r="B2270" s="10" t="n">
        <v>45949</v>
      </c>
      <c r="C2270" s="7" t="s">
        <v>1365</v>
      </c>
      <c r="D2270" s="7" t="s">
        <v>5761</v>
      </c>
      <c r="E2270" s="7" t="s">
        <v>122</v>
      </c>
      <c r="F2270" s="7" t="s">
        <v>101</v>
      </c>
      <c r="G2270" s="7" t="s">
        <v>123</v>
      </c>
      <c r="H2270" s="7" t="n">
        <v>1</v>
      </c>
      <c r="I2270" s="11" t="n">
        <v>315</v>
      </c>
      <c r="J2270" s="11" t="n">
        <v>0</v>
      </c>
      <c r="K2270" s="11" t="n">
        <f aca="false">H2270*I2270-J2270</f>
        <v>315</v>
      </c>
      <c r="L2270" s="7" t="s">
        <v>88</v>
      </c>
      <c r="M2270" s="7" t="s">
        <v>194</v>
      </c>
      <c r="N2270" s="7" t="n">
        <v>40</v>
      </c>
      <c r="O2270" s="7" t="n">
        <v>3</v>
      </c>
    </row>
    <row r="2271" customFormat="false" ht="15" hidden="false" customHeight="false" outlineLevel="0" collapsed="false">
      <c r="A2271" s="7" t="s">
        <v>2658</v>
      </c>
      <c r="B2271" s="10" t="n">
        <v>45949</v>
      </c>
      <c r="C2271" s="7" t="s">
        <v>2659</v>
      </c>
      <c r="D2271" s="7" t="s">
        <v>1000</v>
      </c>
      <c r="E2271" s="7" t="s">
        <v>154</v>
      </c>
      <c r="F2271" s="7" t="s">
        <v>128</v>
      </c>
      <c r="G2271" s="7" t="s">
        <v>99</v>
      </c>
      <c r="H2271" s="7" t="n">
        <v>1</v>
      </c>
      <c r="I2271" s="11" t="n">
        <v>265</v>
      </c>
      <c r="J2271" s="11" t="n">
        <v>0</v>
      </c>
      <c r="K2271" s="11" t="n">
        <f aca="false">H2271*I2271-J2271</f>
        <v>265</v>
      </c>
      <c r="L2271" s="7" t="s">
        <v>88</v>
      </c>
      <c r="M2271" s="7" t="s">
        <v>194</v>
      </c>
      <c r="N2271" s="7" t="n">
        <v>27</v>
      </c>
      <c r="O2271" s="7" t="n">
        <v>3</v>
      </c>
    </row>
    <row r="2272" customFormat="false" ht="15" hidden="false" customHeight="false" outlineLevel="0" collapsed="false">
      <c r="A2272" s="7" t="s">
        <v>1415</v>
      </c>
      <c r="B2272" s="10" t="n">
        <v>45949</v>
      </c>
      <c r="C2272" s="7" t="s">
        <v>961</v>
      </c>
      <c r="D2272" s="7" t="s">
        <v>1416</v>
      </c>
      <c r="E2272" s="7" t="s">
        <v>98</v>
      </c>
      <c r="F2272" s="7" t="s">
        <v>86</v>
      </c>
      <c r="G2272" s="7" t="s">
        <v>99</v>
      </c>
      <c r="H2272" s="7" t="n">
        <v>1</v>
      </c>
      <c r="I2272" s="11" t="n">
        <v>305</v>
      </c>
      <c r="J2272" s="11" t="n">
        <v>30</v>
      </c>
      <c r="K2272" s="11" t="n">
        <f aca="false">H2272*I2272-J2272</f>
        <v>275</v>
      </c>
      <c r="L2272" s="7" t="s">
        <v>88</v>
      </c>
      <c r="M2272" s="7" t="s">
        <v>194</v>
      </c>
      <c r="N2272" s="7" t="n">
        <v>50</v>
      </c>
      <c r="O2272" s="7" t="n">
        <v>5</v>
      </c>
    </row>
    <row r="2273" customFormat="false" ht="15" hidden="false" customHeight="false" outlineLevel="0" collapsed="false">
      <c r="A2273" s="7" t="s">
        <v>1754</v>
      </c>
      <c r="B2273" s="10" t="n">
        <v>45949</v>
      </c>
      <c r="C2273" s="7" t="s">
        <v>581</v>
      </c>
      <c r="D2273" s="7" t="s">
        <v>1755</v>
      </c>
      <c r="E2273" s="7" t="s">
        <v>142</v>
      </c>
      <c r="F2273" s="7" t="s">
        <v>110</v>
      </c>
      <c r="G2273" s="7" t="s">
        <v>105</v>
      </c>
      <c r="H2273" s="7" t="n">
        <v>2</v>
      </c>
      <c r="I2273" s="11" t="n">
        <v>190</v>
      </c>
      <c r="J2273" s="11" t="n">
        <v>0</v>
      </c>
      <c r="K2273" s="11" t="n">
        <f aca="false">H2273*I2273-J2273</f>
        <v>380</v>
      </c>
      <c r="L2273" s="7" t="s">
        <v>103</v>
      </c>
      <c r="M2273" s="7" t="s">
        <v>194</v>
      </c>
      <c r="N2273" s="7" t="n">
        <v>50</v>
      </c>
      <c r="O2273" s="7"/>
    </row>
    <row r="2274" customFormat="false" ht="15" hidden="false" customHeight="false" outlineLevel="0" collapsed="false">
      <c r="A2274" s="7" t="s">
        <v>1078</v>
      </c>
      <c r="B2274" s="10" t="n">
        <v>45949</v>
      </c>
      <c r="C2274" s="7" t="s">
        <v>1080</v>
      </c>
      <c r="D2274" s="7" t="s">
        <v>1081</v>
      </c>
      <c r="E2274" s="7" t="s">
        <v>134</v>
      </c>
      <c r="F2274" s="7" t="s">
        <v>110</v>
      </c>
      <c r="G2274" s="7" t="s">
        <v>117</v>
      </c>
      <c r="H2274" s="7" t="n">
        <v>2</v>
      </c>
      <c r="I2274" s="11" t="n">
        <v>80</v>
      </c>
      <c r="J2274" s="11" t="n">
        <v>64</v>
      </c>
      <c r="K2274" s="11" t="n">
        <f aca="false">H2274*I2274-J2274</f>
        <v>96</v>
      </c>
      <c r="L2274" s="7" t="s">
        <v>88</v>
      </c>
      <c r="M2274" s="7" t="s">
        <v>194</v>
      </c>
      <c r="N2274" s="7" t="n">
        <v>50</v>
      </c>
      <c r="O2274" s="7" t="n">
        <v>4</v>
      </c>
    </row>
    <row r="2275" customFormat="false" ht="15" hidden="false" customHeight="false" outlineLevel="0" collapsed="false">
      <c r="A2275" s="7" t="s">
        <v>2899</v>
      </c>
      <c r="B2275" s="10" t="n">
        <v>45950</v>
      </c>
      <c r="C2275" s="7" t="s">
        <v>2901</v>
      </c>
      <c r="D2275" s="7" t="s">
        <v>2902</v>
      </c>
      <c r="E2275" s="7" t="s">
        <v>89</v>
      </c>
      <c r="F2275" s="7" t="s">
        <v>86</v>
      </c>
      <c r="G2275" s="7" t="s">
        <v>90</v>
      </c>
      <c r="H2275" s="7" t="n">
        <v>1</v>
      </c>
      <c r="I2275" s="11" t="n">
        <v>225</v>
      </c>
      <c r="J2275" s="11" t="n">
        <v>0</v>
      </c>
      <c r="K2275" s="11" t="n">
        <f aca="false">H2275*I2275-J2275</f>
        <v>225</v>
      </c>
      <c r="L2275" s="7" t="s">
        <v>88</v>
      </c>
      <c r="M2275" s="7" t="s">
        <v>194</v>
      </c>
      <c r="N2275" s="7" t="n">
        <v>42</v>
      </c>
      <c r="O2275" s="7" t="n">
        <v>4</v>
      </c>
    </row>
    <row r="2276" customFormat="false" ht="15" hidden="false" customHeight="false" outlineLevel="0" collapsed="false">
      <c r="A2276" s="7" t="s">
        <v>3123</v>
      </c>
      <c r="B2276" s="10" t="n">
        <v>45950</v>
      </c>
      <c r="C2276" s="7" t="s">
        <v>1741</v>
      </c>
      <c r="D2276" s="7" t="s">
        <v>400</v>
      </c>
      <c r="E2276" s="7" t="s">
        <v>155</v>
      </c>
      <c r="F2276" s="7" t="s">
        <v>128</v>
      </c>
      <c r="G2276" s="7" t="s">
        <v>156</v>
      </c>
      <c r="H2276" s="7" t="n">
        <v>3</v>
      </c>
      <c r="I2276" s="11" t="n">
        <v>325</v>
      </c>
      <c r="J2276" s="11" t="n">
        <v>75</v>
      </c>
      <c r="K2276" s="11" t="n">
        <f aca="false">H2276*I2276-J2276</f>
        <v>900</v>
      </c>
      <c r="L2276" s="7" t="s">
        <v>133</v>
      </c>
      <c r="M2276" s="7" t="s">
        <v>194</v>
      </c>
      <c r="N2276" s="7" t="n">
        <v>33</v>
      </c>
      <c r="O2276" s="7" t="n">
        <v>3</v>
      </c>
    </row>
    <row r="2277" customFormat="false" ht="15" hidden="false" customHeight="false" outlineLevel="0" collapsed="false">
      <c r="A2277" s="7" t="s">
        <v>5825</v>
      </c>
      <c r="B2277" s="10" t="n">
        <v>45950</v>
      </c>
      <c r="C2277" s="7" t="s">
        <v>3033</v>
      </c>
      <c r="D2277" s="7" t="s">
        <v>2077</v>
      </c>
      <c r="E2277" s="7" t="s">
        <v>138</v>
      </c>
      <c r="F2277" s="7" t="s">
        <v>110</v>
      </c>
      <c r="G2277" s="7" t="s">
        <v>139</v>
      </c>
      <c r="H2277" s="7" t="n">
        <v>1</v>
      </c>
      <c r="I2277" s="11" t="n">
        <v>185</v>
      </c>
      <c r="J2277" s="11" t="n">
        <v>0</v>
      </c>
      <c r="K2277" s="11" t="n">
        <f aca="false">H2277*I2277-J2277</f>
        <v>185</v>
      </c>
      <c r="L2277" s="7" t="s">
        <v>93</v>
      </c>
      <c r="M2277" s="7" t="s">
        <v>194</v>
      </c>
      <c r="N2277" s="7" t="n">
        <v>52</v>
      </c>
      <c r="O2277" s="7" t="n">
        <v>3</v>
      </c>
    </row>
    <row r="2278" customFormat="false" ht="15" hidden="false" customHeight="false" outlineLevel="0" collapsed="false">
      <c r="A2278" s="7" t="s">
        <v>4447</v>
      </c>
      <c r="B2278" s="10" t="n">
        <v>45950</v>
      </c>
      <c r="C2278" s="7" t="s">
        <v>4448</v>
      </c>
      <c r="D2278" s="7" t="s">
        <v>2746</v>
      </c>
      <c r="E2278" s="7" t="s">
        <v>104</v>
      </c>
      <c r="F2278" s="7" t="s">
        <v>86</v>
      </c>
      <c r="G2278" s="7" t="s">
        <v>105</v>
      </c>
      <c r="H2278" s="7" t="n">
        <v>1</v>
      </c>
      <c r="I2278" s="11" t="n">
        <v>205</v>
      </c>
      <c r="J2278" s="11" t="n">
        <v>82</v>
      </c>
      <c r="K2278" s="11" t="n">
        <f aca="false">H2278*I2278-J2278</f>
        <v>123</v>
      </c>
      <c r="L2278" s="7" t="s">
        <v>112</v>
      </c>
      <c r="M2278" s="7" t="s">
        <v>238</v>
      </c>
      <c r="N2278" s="7"/>
      <c r="O2278" s="7"/>
    </row>
    <row r="2279" customFormat="false" ht="15" hidden="false" customHeight="false" outlineLevel="0" collapsed="false">
      <c r="A2279" s="7" t="s">
        <v>3670</v>
      </c>
      <c r="B2279" s="10" t="n">
        <v>45950</v>
      </c>
      <c r="C2279" s="7" t="s">
        <v>2770</v>
      </c>
      <c r="D2279" s="7" t="s">
        <v>3671</v>
      </c>
      <c r="E2279" s="7" t="s">
        <v>98</v>
      </c>
      <c r="F2279" s="7" t="s">
        <v>86</v>
      </c>
      <c r="G2279" s="7" t="s">
        <v>99</v>
      </c>
      <c r="H2279" s="7" t="n">
        <v>5</v>
      </c>
      <c r="I2279" s="11" t="n">
        <v>265</v>
      </c>
      <c r="J2279" s="11" t="n">
        <v>50</v>
      </c>
      <c r="K2279" s="11" t="n">
        <f aca="false">H2279*I2279-J2279</f>
        <v>1275</v>
      </c>
      <c r="L2279" s="7" t="s">
        <v>103</v>
      </c>
      <c r="M2279" s="7" t="s">
        <v>194</v>
      </c>
      <c r="N2279" s="7" t="n">
        <v>36</v>
      </c>
      <c r="O2279" s="7" t="n">
        <v>4</v>
      </c>
    </row>
    <row r="2280" customFormat="false" ht="15" hidden="false" customHeight="false" outlineLevel="0" collapsed="false">
      <c r="A2280" s="7" t="s">
        <v>4722</v>
      </c>
      <c r="B2280" s="10" t="n">
        <v>45950</v>
      </c>
      <c r="C2280" s="7" t="s">
        <v>1578</v>
      </c>
      <c r="D2280" s="7" t="s">
        <v>1827</v>
      </c>
      <c r="E2280" s="7" t="s">
        <v>160</v>
      </c>
      <c r="F2280" s="7" t="s">
        <v>136</v>
      </c>
      <c r="G2280" s="7" t="s">
        <v>150</v>
      </c>
      <c r="H2280" s="7" t="n">
        <v>1</v>
      </c>
      <c r="I2280" s="11" t="n">
        <v>120</v>
      </c>
      <c r="J2280" s="11" t="n">
        <v>48</v>
      </c>
      <c r="K2280" s="11" t="n">
        <f aca="false">H2280*I2280-J2280</f>
        <v>72</v>
      </c>
      <c r="L2280" s="7" t="s">
        <v>112</v>
      </c>
      <c r="M2280" s="7" t="s">
        <v>194</v>
      </c>
      <c r="N2280" s="7" t="n">
        <v>31</v>
      </c>
      <c r="O2280" s="7" t="n">
        <v>5</v>
      </c>
    </row>
    <row r="2281" customFormat="false" ht="15" hidden="false" customHeight="false" outlineLevel="0" collapsed="false">
      <c r="A2281" s="7" t="s">
        <v>1591</v>
      </c>
      <c r="B2281" s="10" t="n">
        <v>45950</v>
      </c>
      <c r="C2281" s="7" t="s">
        <v>1593</v>
      </c>
      <c r="D2281" s="7" t="s">
        <v>1594</v>
      </c>
      <c r="E2281" s="7" t="s">
        <v>158</v>
      </c>
      <c r="F2281" s="7" t="s">
        <v>136</v>
      </c>
      <c r="G2281" s="7" t="s">
        <v>139</v>
      </c>
      <c r="H2281" s="7" t="n">
        <v>1</v>
      </c>
      <c r="I2281" s="11" t="n">
        <v>195</v>
      </c>
      <c r="J2281" s="11" t="n">
        <v>20</v>
      </c>
      <c r="K2281" s="11" t="n">
        <f aca="false">H2281*I2281-J2281</f>
        <v>175</v>
      </c>
      <c r="L2281" s="7" t="s">
        <v>112</v>
      </c>
      <c r="M2281" s="7" t="s">
        <v>194</v>
      </c>
      <c r="N2281" s="7" t="n">
        <v>40</v>
      </c>
      <c r="O2281" s="7" t="n">
        <v>4</v>
      </c>
    </row>
    <row r="2282" customFormat="false" ht="15" hidden="false" customHeight="false" outlineLevel="0" collapsed="false">
      <c r="A2282" s="7" t="s">
        <v>6111</v>
      </c>
      <c r="B2282" s="10" t="n">
        <v>45951</v>
      </c>
      <c r="C2282" s="7" t="s">
        <v>6112</v>
      </c>
      <c r="D2282" s="7" t="s">
        <v>2887</v>
      </c>
      <c r="E2282" s="7" t="s">
        <v>159</v>
      </c>
      <c r="F2282" s="7" t="s">
        <v>136</v>
      </c>
      <c r="G2282" s="7" t="s">
        <v>90</v>
      </c>
      <c r="H2282" s="7" t="n">
        <v>5</v>
      </c>
      <c r="I2282" s="11" t="n">
        <v>200</v>
      </c>
      <c r="J2282" s="11" t="n">
        <v>50</v>
      </c>
      <c r="K2282" s="11" t="n">
        <f aca="false">H2282*I2282-J2282</f>
        <v>950</v>
      </c>
      <c r="L2282" s="7" t="s">
        <v>88</v>
      </c>
      <c r="M2282" s="7" t="s">
        <v>194</v>
      </c>
      <c r="N2282" s="7" t="n">
        <v>33</v>
      </c>
      <c r="O2282" s="7" t="n">
        <v>5</v>
      </c>
    </row>
    <row r="2283" customFormat="false" ht="15" hidden="false" customHeight="false" outlineLevel="0" collapsed="false">
      <c r="A2283" s="7" t="s">
        <v>2707</v>
      </c>
      <c r="B2283" s="10" t="n">
        <v>45951</v>
      </c>
      <c r="C2283" s="7" t="s">
        <v>1091</v>
      </c>
      <c r="D2283" s="7" t="s">
        <v>2708</v>
      </c>
      <c r="E2283" s="7" t="s">
        <v>151</v>
      </c>
      <c r="F2283" s="7" t="s">
        <v>128</v>
      </c>
      <c r="G2283" s="7" t="s">
        <v>95</v>
      </c>
      <c r="H2283" s="7" t="n">
        <v>2</v>
      </c>
      <c r="I2283" s="11" t="n">
        <v>185</v>
      </c>
      <c r="J2283" s="11" t="n">
        <v>0</v>
      </c>
      <c r="K2283" s="11" t="n">
        <f aca="false">H2283*I2283-J2283</f>
        <v>370</v>
      </c>
      <c r="L2283" s="7" t="s">
        <v>112</v>
      </c>
      <c r="M2283" s="7" t="s">
        <v>194</v>
      </c>
      <c r="N2283" s="7" t="n">
        <v>32</v>
      </c>
      <c r="O2283" s="7"/>
    </row>
    <row r="2284" customFormat="false" ht="15" hidden="false" customHeight="false" outlineLevel="0" collapsed="false">
      <c r="A2284" s="7" t="s">
        <v>4547</v>
      </c>
      <c r="B2284" s="10" t="n">
        <v>45951</v>
      </c>
      <c r="C2284" s="7" t="s">
        <v>2390</v>
      </c>
      <c r="D2284" s="7" t="s">
        <v>475</v>
      </c>
      <c r="E2284" s="7" t="s">
        <v>151</v>
      </c>
      <c r="F2284" s="7" t="s">
        <v>128</v>
      </c>
      <c r="G2284" s="7" t="s">
        <v>95</v>
      </c>
      <c r="H2284" s="7" t="n">
        <v>1</v>
      </c>
      <c r="I2284" s="11" t="n">
        <v>195</v>
      </c>
      <c r="J2284" s="11" t="n">
        <v>0</v>
      </c>
      <c r="K2284" s="11" t="n">
        <f aca="false">H2284*I2284-J2284</f>
        <v>195</v>
      </c>
      <c r="L2284" s="7" t="s">
        <v>88</v>
      </c>
      <c r="M2284" s="7" t="s">
        <v>194</v>
      </c>
      <c r="N2284" s="7" t="n">
        <v>44</v>
      </c>
      <c r="O2284" s="7" t="n">
        <v>3</v>
      </c>
    </row>
    <row r="2285" customFormat="false" ht="15" hidden="false" customHeight="false" outlineLevel="0" collapsed="false">
      <c r="A2285" s="7" t="s">
        <v>6018</v>
      </c>
      <c r="B2285" s="10" t="n">
        <v>45951</v>
      </c>
      <c r="C2285" s="7" t="s">
        <v>935</v>
      </c>
      <c r="D2285" s="7" t="s">
        <v>6019</v>
      </c>
      <c r="E2285" s="7" t="s">
        <v>122</v>
      </c>
      <c r="F2285" s="7" t="s">
        <v>101</v>
      </c>
      <c r="G2285" s="7" t="s">
        <v>123</v>
      </c>
      <c r="H2285" s="7" t="n">
        <v>2</v>
      </c>
      <c r="I2285" s="11" t="n">
        <v>305</v>
      </c>
      <c r="J2285" s="11" t="n">
        <v>0</v>
      </c>
      <c r="K2285" s="11" t="n">
        <f aca="false">H2285*I2285-J2285</f>
        <v>610</v>
      </c>
      <c r="L2285" s="7" t="s">
        <v>88</v>
      </c>
      <c r="M2285" s="7" t="s">
        <v>194</v>
      </c>
      <c r="N2285" s="7" t="n">
        <v>47</v>
      </c>
      <c r="O2285" s="7" t="n">
        <v>3</v>
      </c>
    </row>
    <row r="2286" customFormat="false" ht="15" hidden="false" customHeight="false" outlineLevel="0" collapsed="false">
      <c r="A2286" s="7" t="s">
        <v>3028</v>
      </c>
      <c r="B2286" s="10" t="n">
        <v>45951</v>
      </c>
      <c r="C2286" s="7" t="s">
        <v>3029</v>
      </c>
      <c r="D2286" s="7" t="s">
        <v>3030</v>
      </c>
      <c r="E2286" s="7" t="s">
        <v>126</v>
      </c>
      <c r="F2286" s="7" t="s">
        <v>101</v>
      </c>
      <c r="G2286" s="7" t="s">
        <v>105</v>
      </c>
      <c r="H2286" s="7" t="n">
        <v>3</v>
      </c>
      <c r="I2286" s="11" t="n">
        <v>265</v>
      </c>
      <c r="J2286" s="11" t="n">
        <v>0</v>
      </c>
      <c r="K2286" s="11" t="n">
        <f aca="false">H2286*I2286-J2286</f>
        <v>795</v>
      </c>
      <c r="L2286" s="7" t="s">
        <v>93</v>
      </c>
      <c r="M2286" s="7" t="s">
        <v>194</v>
      </c>
      <c r="N2286" s="7" t="n">
        <v>30</v>
      </c>
      <c r="O2286" s="7" t="n">
        <v>4</v>
      </c>
    </row>
    <row r="2287" customFormat="false" ht="15" hidden="false" customHeight="false" outlineLevel="0" collapsed="false">
      <c r="A2287" s="7" t="s">
        <v>541</v>
      </c>
      <c r="B2287" s="10" t="n">
        <v>45951</v>
      </c>
      <c r="C2287" s="7" t="s">
        <v>543</v>
      </c>
      <c r="D2287" s="7" t="s">
        <v>544</v>
      </c>
      <c r="E2287" s="7" t="s">
        <v>122</v>
      </c>
      <c r="F2287" s="7" t="s">
        <v>101</v>
      </c>
      <c r="G2287" s="7" t="s">
        <v>123</v>
      </c>
      <c r="H2287" s="7" t="n">
        <v>3</v>
      </c>
      <c r="I2287" s="11" t="n">
        <v>340</v>
      </c>
      <c r="J2287" s="11" t="n">
        <v>0</v>
      </c>
      <c r="K2287" s="11" t="n">
        <f aca="false">H2287*I2287-J2287</f>
        <v>1020</v>
      </c>
      <c r="L2287" s="7" t="s">
        <v>112</v>
      </c>
      <c r="M2287" s="7" t="s">
        <v>194</v>
      </c>
      <c r="N2287" s="7" t="n">
        <v>40</v>
      </c>
      <c r="O2287" s="7"/>
    </row>
    <row r="2288" customFormat="false" ht="15" hidden="false" customHeight="false" outlineLevel="0" collapsed="false">
      <c r="A2288" s="7" t="s">
        <v>1348</v>
      </c>
      <c r="B2288" s="10" t="n">
        <v>45951</v>
      </c>
      <c r="C2288" s="7" t="s">
        <v>433</v>
      </c>
      <c r="D2288" s="7" t="s">
        <v>1349</v>
      </c>
      <c r="E2288" s="7" t="s">
        <v>138</v>
      </c>
      <c r="F2288" s="7" t="s">
        <v>110</v>
      </c>
      <c r="G2288" s="7" t="s">
        <v>139</v>
      </c>
      <c r="H2288" s="7" t="n">
        <v>2</v>
      </c>
      <c r="I2288" s="11" t="n">
        <v>205</v>
      </c>
      <c r="J2288" s="11" t="n">
        <v>0</v>
      </c>
      <c r="K2288" s="11" t="n">
        <f aca="false">H2288*I2288-J2288</f>
        <v>410</v>
      </c>
      <c r="L2288" s="7" t="s">
        <v>88</v>
      </c>
      <c r="M2288" s="7" t="s">
        <v>194</v>
      </c>
      <c r="N2288" s="7" t="n">
        <v>26</v>
      </c>
      <c r="O2288" s="7" t="n">
        <v>3</v>
      </c>
    </row>
    <row r="2289" customFormat="false" ht="15" hidden="false" customHeight="false" outlineLevel="0" collapsed="false">
      <c r="A2289" s="7" t="s">
        <v>2462</v>
      </c>
      <c r="B2289" s="10" t="n">
        <v>45951</v>
      </c>
      <c r="C2289" s="7" t="s">
        <v>433</v>
      </c>
      <c r="D2289" s="7" t="s">
        <v>1849</v>
      </c>
      <c r="E2289" s="7" t="s">
        <v>159</v>
      </c>
      <c r="F2289" s="7" t="s">
        <v>136</v>
      </c>
      <c r="G2289" s="7" t="s">
        <v>90</v>
      </c>
      <c r="H2289" s="7" t="n">
        <v>1</v>
      </c>
      <c r="I2289" s="11" t="n">
        <v>280</v>
      </c>
      <c r="J2289" s="11" t="n">
        <v>0</v>
      </c>
      <c r="K2289" s="11" t="n">
        <f aca="false">H2289*I2289-J2289</f>
        <v>280</v>
      </c>
      <c r="L2289" s="7" t="s">
        <v>112</v>
      </c>
      <c r="M2289" s="7" t="s">
        <v>194</v>
      </c>
      <c r="N2289" s="7" t="n">
        <v>31</v>
      </c>
      <c r="O2289" s="7" t="n">
        <v>5</v>
      </c>
    </row>
    <row r="2290" customFormat="false" ht="15" hidden="false" customHeight="false" outlineLevel="0" collapsed="false">
      <c r="A2290" s="7" t="s">
        <v>3590</v>
      </c>
      <c r="B2290" s="10" t="n">
        <v>45951</v>
      </c>
      <c r="C2290" s="7" t="s">
        <v>2853</v>
      </c>
      <c r="D2290" s="7" t="s">
        <v>3592</v>
      </c>
      <c r="E2290" s="7" t="s">
        <v>168</v>
      </c>
      <c r="F2290" s="7" t="s">
        <v>146</v>
      </c>
      <c r="G2290" s="7" t="s">
        <v>123</v>
      </c>
      <c r="H2290" s="7" t="n">
        <v>3</v>
      </c>
      <c r="I2290" s="11" t="n">
        <v>285</v>
      </c>
      <c r="J2290" s="11" t="n">
        <v>100</v>
      </c>
      <c r="K2290" s="11" t="n">
        <f aca="false">H2290*I2290-J2290</f>
        <v>755</v>
      </c>
      <c r="L2290" s="7" t="s">
        <v>103</v>
      </c>
      <c r="M2290" s="7" t="s">
        <v>194</v>
      </c>
      <c r="N2290" s="7" t="n">
        <v>24</v>
      </c>
      <c r="O2290" s="7" t="n">
        <v>4</v>
      </c>
    </row>
    <row r="2291" customFormat="false" ht="15" hidden="false" customHeight="false" outlineLevel="0" collapsed="false">
      <c r="A2291" s="7" t="s">
        <v>2300</v>
      </c>
      <c r="B2291" s="10" t="n">
        <v>45952</v>
      </c>
      <c r="C2291" s="7" t="s">
        <v>952</v>
      </c>
      <c r="D2291" s="7" t="s">
        <v>1482</v>
      </c>
      <c r="E2291" s="7" t="s">
        <v>163</v>
      </c>
      <c r="F2291" s="7" t="s">
        <v>141</v>
      </c>
      <c r="G2291" s="7" t="s">
        <v>99</v>
      </c>
      <c r="H2291" s="7" t="n">
        <v>1</v>
      </c>
      <c r="I2291" s="11" t="n">
        <v>270</v>
      </c>
      <c r="J2291" s="11" t="n">
        <v>0</v>
      </c>
      <c r="K2291" s="11" t="n">
        <f aca="false">H2291*I2291-J2291</f>
        <v>270</v>
      </c>
      <c r="L2291" s="7" t="s">
        <v>103</v>
      </c>
      <c r="M2291" s="7" t="s">
        <v>194</v>
      </c>
      <c r="N2291" s="7" t="n">
        <v>30</v>
      </c>
      <c r="O2291" s="7" t="n">
        <v>4</v>
      </c>
    </row>
    <row r="2292" customFormat="false" ht="15" hidden="false" customHeight="false" outlineLevel="0" collapsed="false">
      <c r="A2292" s="7" t="s">
        <v>3856</v>
      </c>
      <c r="B2292" s="10" t="n">
        <v>45952</v>
      </c>
      <c r="C2292" s="7" t="s">
        <v>1396</v>
      </c>
      <c r="D2292" s="7" t="s">
        <v>3857</v>
      </c>
      <c r="E2292" s="7" t="s">
        <v>165</v>
      </c>
      <c r="F2292" s="7" t="s">
        <v>146</v>
      </c>
      <c r="G2292" s="7" t="s">
        <v>90</v>
      </c>
      <c r="H2292" s="7" t="n">
        <v>1</v>
      </c>
      <c r="I2292" s="11" t="n">
        <v>225</v>
      </c>
      <c r="J2292" s="11" t="n">
        <v>0</v>
      </c>
      <c r="K2292" s="11" t="n">
        <f aca="false">H2292*I2292-J2292</f>
        <v>225</v>
      </c>
      <c r="L2292" s="7" t="s">
        <v>103</v>
      </c>
      <c r="M2292" s="7" t="s">
        <v>194</v>
      </c>
      <c r="N2292" s="7" t="n">
        <v>32</v>
      </c>
      <c r="O2292" s="7" t="n">
        <v>3</v>
      </c>
    </row>
    <row r="2293" customFormat="false" ht="15" hidden="false" customHeight="false" outlineLevel="0" collapsed="false">
      <c r="A2293" s="7" t="s">
        <v>4718</v>
      </c>
      <c r="B2293" s="10" t="n">
        <v>45952</v>
      </c>
      <c r="C2293" s="7" t="s">
        <v>4719</v>
      </c>
      <c r="D2293" s="7" t="s">
        <v>1675</v>
      </c>
      <c r="E2293" s="7" t="s">
        <v>148</v>
      </c>
      <c r="F2293" s="7" t="s">
        <v>119</v>
      </c>
      <c r="G2293" s="7" t="s">
        <v>123</v>
      </c>
      <c r="H2293" s="7" t="n">
        <v>1</v>
      </c>
      <c r="I2293" s="11" t="n">
        <v>365</v>
      </c>
      <c r="J2293" s="11" t="n">
        <v>146</v>
      </c>
      <c r="K2293" s="11" t="n">
        <f aca="false">H2293*I2293-J2293</f>
        <v>219</v>
      </c>
      <c r="L2293" s="7" t="s">
        <v>112</v>
      </c>
      <c r="M2293" s="7" t="s">
        <v>194</v>
      </c>
      <c r="N2293" s="7" t="n">
        <v>39</v>
      </c>
      <c r="O2293" s="7" t="n">
        <v>3</v>
      </c>
    </row>
    <row r="2294" customFormat="false" ht="15" hidden="false" customHeight="false" outlineLevel="0" collapsed="false">
      <c r="A2294" s="7" t="s">
        <v>5525</v>
      </c>
      <c r="B2294" s="10" t="n">
        <v>45952</v>
      </c>
      <c r="C2294" s="7" t="s">
        <v>602</v>
      </c>
      <c r="D2294" s="7" t="s">
        <v>2892</v>
      </c>
      <c r="E2294" s="7" t="s">
        <v>144</v>
      </c>
      <c r="F2294" s="7" t="s">
        <v>119</v>
      </c>
      <c r="G2294" s="7" t="s">
        <v>99</v>
      </c>
      <c r="H2294" s="7" t="n">
        <v>2</v>
      </c>
      <c r="I2294" s="11" t="n">
        <v>320</v>
      </c>
      <c r="J2294" s="11" t="n">
        <v>75</v>
      </c>
      <c r="K2294" s="11" t="n">
        <f aca="false">H2294*I2294-J2294</f>
        <v>565</v>
      </c>
      <c r="L2294" s="7" t="s">
        <v>93</v>
      </c>
      <c r="M2294" s="7" t="s">
        <v>194</v>
      </c>
      <c r="N2294" s="7" t="n">
        <v>29</v>
      </c>
      <c r="O2294" s="7" t="n">
        <v>4</v>
      </c>
    </row>
    <row r="2295" customFormat="false" ht="15" hidden="false" customHeight="false" outlineLevel="0" collapsed="false">
      <c r="A2295" s="7" t="s">
        <v>5596</v>
      </c>
      <c r="B2295" s="10" t="n">
        <v>45952</v>
      </c>
      <c r="C2295" s="7" t="s">
        <v>1674</v>
      </c>
      <c r="D2295" s="7" t="s">
        <v>1498</v>
      </c>
      <c r="E2295" s="7" t="s">
        <v>148</v>
      </c>
      <c r="F2295" s="7" t="s">
        <v>119</v>
      </c>
      <c r="G2295" s="7" t="s">
        <v>123</v>
      </c>
      <c r="H2295" s="7" t="n">
        <v>2</v>
      </c>
      <c r="I2295" s="11" t="n">
        <v>300</v>
      </c>
      <c r="J2295" s="11" t="n">
        <v>20</v>
      </c>
      <c r="K2295" s="11" t="n">
        <f aca="false">H2295*I2295-J2295</f>
        <v>580</v>
      </c>
      <c r="L2295" s="7" t="s">
        <v>88</v>
      </c>
      <c r="M2295" s="7" t="s">
        <v>194</v>
      </c>
      <c r="N2295" s="7" t="n">
        <v>40</v>
      </c>
      <c r="O2295" s="7" t="n">
        <v>4</v>
      </c>
    </row>
    <row r="2296" customFormat="false" ht="15" hidden="false" customHeight="false" outlineLevel="0" collapsed="false">
      <c r="A2296" s="7" t="s">
        <v>5683</v>
      </c>
      <c r="B2296" s="10" t="n">
        <v>45952</v>
      </c>
      <c r="C2296" s="7" t="s">
        <v>5606</v>
      </c>
      <c r="D2296" s="7" t="s">
        <v>5436</v>
      </c>
      <c r="E2296" s="7" t="s">
        <v>159</v>
      </c>
      <c r="F2296" s="7" t="s">
        <v>136</v>
      </c>
      <c r="G2296" s="7" t="s">
        <v>90</v>
      </c>
      <c r="H2296" s="7" t="n">
        <v>1</v>
      </c>
      <c r="I2296" s="11" t="n">
        <v>215</v>
      </c>
      <c r="J2296" s="11" t="n">
        <v>0</v>
      </c>
      <c r="K2296" s="11" t="n">
        <f aca="false">H2296*I2296-J2296</f>
        <v>215</v>
      </c>
      <c r="L2296" s="7" t="s">
        <v>112</v>
      </c>
      <c r="M2296" s="7" t="s">
        <v>194</v>
      </c>
      <c r="N2296" s="7" t="n">
        <v>41</v>
      </c>
      <c r="O2296" s="7" t="n">
        <v>4</v>
      </c>
    </row>
    <row r="2297" customFormat="false" ht="15" hidden="false" customHeight="false" outlineLevel="0" collapsed="false">
      <c r="A2297" s="7" t="s">
        <v>1454</v>
      </c>
      <c r="B2297" s="10" t="n">
        <v>45952</v>
      </c>
      <c r="C2297" s="7" t="s">
        <v>1456</v>
      </c>
      <c r="D2297" s="7" t="s">
        <v>931</v>
      </c>
      <c r="E2297" s="7" t="s">
        <v>126</v>
      </c>
      <c r="F2297" s="7" t="s">
        <v>101</v>
      </c>
      <c r="G2297" s="7" t="s">
        <v>105</v>
      </c>
      <c r="H2297" s="7" t="n">
        <v>1</v>
      </c>
      <c r="I2297" s="11" t="n">
        <v>290</v>
      </c>
      <c r="J2297" s="11" t="n">
        <v>40</v>
      </c>
      <c r="K2297" s="11" t="n">
        <f aca="false">H2297*I2297-J2297</f>
        <v>250</v>
      </c>
      <c r="L2297" s="7" t="s">
        <v>121</v>
      </c>
      <c r="M2297" s="7" t="s">
        <v>194</v>
      </c>
      <c r="N2297" s="7" t="n">
        <v>45</v>
      </c>
      <c r="O2297" s="7" t="n">
        <v>4</v>
      </c>
    </row>
    <row r="2298" customFormat="false" ht="15" hidden="false" customHeight="false" outlineLevel="0" collapsed="false">
      <c r="A2298" s="7" t="s">
        <v>5784</v>
      </c>
      <c r="B2298" s="10" t="n">
        <v>45952</v>
      </c>
      <c r="C2298" s="7" t="s">
        <v>310</v>
      </c>
      <c r="D2298" s="7" t="s">
        <v>1870</v>
      </c>
      <c r="E2298" s="7" t="s">
        <v>126</v>
      </c>
      <c r="F2298" s="7" t="s">
        <v>101</v>
      </c>
      <c r="G2298" s="7" t="s">
        <v>105</v>
      </c>
      <c r="H2298" s="7" t="n">
        <v>3</v>
      </c>
      <c r="I2298" s="11" t="n">
        <v>235</v>
      </c>
      <c r="J2298" s="11" t="n">
        <v>50</v>
      </c>
      <c r="K2298" s="11" t="n">
        <f aca="false">H2298*I2298-J2298</f>
        <v>655</v>
      </c>
      <c r="L2298" s="7" t="s">
        <v>93</v>
      </c>
      <c r="M2298" s="7" t="s">
        <v>194</v>
      </c>
      <c r="N2298" s="7" t="n">
        <v>40</v>
      </c>
      <c r="O2298" s="7" t="n">
        <v>3</v>
      </c>
    </row>
    <row r="2299" customFormat="false" ht="15" hidden="false" customHeight="false" outlineLevel="0" collapsed="false">
      <c r="A2299" s="7" t="s">
        <v>5357</v>
      </c>
      <c r="B2299" s="10" t="n">
        <v>45952</v>
      </c>
      <c r="C2299" s="7" t="s">
        <v>1474</v>
      </c>
      <c r="D2299" s="7" t="s">
        <v>3295</v>
      </c>
      <c r="E2299" s="7" t="s">
        <v>154</v>
      </c>
      <c r="F2299" s="7" t="s">
        <v>128</v>
      </c>
      <c r="G2299" s="7" t="s">
        <v>99</v>
      </c>
      <c r="H2299" s="7" t="n">
        <v>5</v>
      </c>
      <c r="I2299" s="11" t="n">
        <v>225</v>
      </c>
      <c r="J2299" s="11" t="n">
        <v>75</v>
      </c>
      <c r="K2299" s="11" t="n">
        <f aca="false">H2299*I2299-J2299</f>
        <v>1050</v>
      </c>
      <c r="L2299" s="7" t="s">
        <v>88</v>
      </c>
      <c r="M2299" s="7" t="s">
        <v>194</v>
      </c>
      <c r="N2299" s="7" t="n">
        <v>37</v>
      </c>
      <c r="O2299" s="7" t="n">
        <v>2</v>
      </c>
    </row>
    <row r="2300" customFormat="false" ht="15" hidden="false" customHeight="false" outlineLevel="0" collapsed="false">
      <c r="A2300" s="7" t="s">
        <v>2230</v>
      </c>
      <c r="B2300" s="10" t="n">
        <v>45952</v>
      </c>
      <c r="C2300" s="7" t="s">
        <v>433</v>
      </c>
      <c r="D2300" s="7" t="s">
        <v>2232</v>
      </c>
      <c r="E2300" s="7" t="s">
        <v>158</v>
      </c>
      <c r="F2300" s="7" t="s">
        <v>136</v>
      </c>
      <c r="G2300" s="7" t="s">
        <v>139</v>
      </c>
      <c r="H2300" s="7" t="n">
        <v>3</v>
      </c>
      <c r="I2300" s="11" t="n">
        <v>210</v>
      </c>
      <c r="J2300" s="11" t="n">
        <v>100</v>
      </c>
      <c r="K2300" s="11" t="n">
        <f aca="false">H2300*I2300-J2300</f>
        <v>530</v>
      </c>
      <c r="L2300" s="7" t="s">
        <v>88</v>
      </c>
      <c r="M2300" s="7" t="s">
        <v>194</v>
      </c>
      <c r="N2300" s="7"/>
      <c r="O2300" s="7" t="n">
        <v>4</v>
      </c>
    </row>
    <row r="2301" customFormat="false" ht="15" hidden="false" customHeight="false" outlineLevel="0" collapsed="false">
      <c r="A2301" s="7" t="s">
        <v>4863</v>
      </c>
      <c r="B2301" s="10" t="n">
        <v>45952</v>
      </c>
      <c r="C2301" s="7" t="s">
        <v>2366</v>
      </c>
      <c r="D2301" s="7" t="s">
        <v>4864</v>
      </c>
      <c r="E2301" s="7" t="s">
        <v>138</v>
      </c>
      <c r="F2301" s="7" t="s">
        <v>110</v>
      </c>
      <c r="G2301" s="7" t="s">
        <v>139</v>
      </c>
      <c r="H2301" s="7" t="n">
        <v>1</v>
      </c>
      <c r="I2301" s="11" t="n">
        <v>225</v>
      </c>
      <c r="J2301" s="11" t="n">
        <v>40</v>
      </c>
      <c r="K2301" s="11" t="n">
        <f aca="false">H2301*I2301-J2301</f>
        <v>185</v>
      </c>
      <c r="L2301" s="7" t="s">
        <v>88</v>
      </c>
      <c r="M2301" s="7" t="s">
        <v>194</v>
      </c>
      <c r="N2301" s="7" t="n">
        <v>43</v>
      </c>
      <c r="O2301" s="7" t="n">
        <v>5</v>
      </c>
    </row>
    <row r="2302" customFormat="false" ht="15" hidden="false" customHeight="false" outlineLevel="0" collapsed="false">
      <c r="A2302" s="7" t="s">
        <v>4713</v>
      </c>
      <c r="B2302" s="10" t="n">
        <v>45953</v>
      </c>
      <c r="C2302" s="7" t="s">
        <v>4011</v>
      </c>
      <c r="D2302" s="7" t="s">
        <v>2091</v>
      </c>
      <c r="E2302" s="7" t="s">
        <v>130</v>
      </c>
      <c r="F2302" s="7" t="s">
        <v>110</v>
      </c>
      <c r="G2302" s="7" t="s">
        <v>90</v>
      </c>
      <c r="H2302" s="7" t="n">
        <v>2</v>
      </c>
      <c r="I2302" s="11" t="n">
        <v>235</v>
      </c>
      <c r="J2302" s="11" t="n">
        <v>0</v>
      </c>
      <c r="K2302" s="11" t="n">
        <f aca="false">H2302*I2302-J2302</f>
        <v>470</v>
      </c>
      <c r="L2302" s="7" t="s">
        <v>88</v>
      </c>
      <c r="M2302" s="7" t="s">
        <v>194</v>
      </c>
      <c r="N2302" s="7" t="n">
        <v>22</v>
      </c>
      <c r="O2302" s="7" t="n">
        <v>5</v>
      </c>
    </row>
    <row r="2303" customFormat="false" ht="15" hidden="false" customHeight="false" outlineLevel="0" collapsed="false">
      <c r="A2303" s="7" t="s">
        <v>5452</v>
      </c>
      <c r="B2303" s="10" t="n">
        <v>45953</v>
      </c>
      <c r="C2303" s="7" t="s">
        <v>361</v>
      </c>
      <c r="D2303" s="7" t="s">
        <v>931</v>
      </c>
      <c r="E2303" s="7" t="s">
        <v>168</v>
      </c>
      <c r="F2303" s="7" t="s">
        <v>146</v>
      </c>
      <c r="G2303" s="7" t="s">
        <v>123</v>
      </c>
      <c r="H2303" s="7" t="n">
        <v>2</v>
      </c>
      <c r="I2303" s="11" t="n">
        <v>260</v>
      </c>
      <c r="J2303" s="11" t="n">
        <v>0</v>
      </c>
      <c r="K2303" s="11" t="n">
        <f aca="false">H2303*I2303-J2303</f>
        <v>520</v>
      </c>
      <c r="L2303" s="7" t="s">
        <v>112</v>
      </c>
      <c r="M2303" s="7" t="s">
        <v>194</v>
      </c>
      <c r="N2303" s="7" t="n">
        <v>43</v>
      </c>
      <c r="O2303" s="7" t="n">
        <v>3</v>
      </c>
    </row>
    <row r="2304" customFormat="false" ht="15" hidden="false" customHeight="false" outlineLevel="0" collapsed="false">
      <c r="A2304" s="7" t="s">
        <v>4702</v>
      </c>
      <c r="B2304" s="10" t="n">
        <v>45953</v>
      </c>
      <c r="C2304" s="7" t="s">
        <v>1626</v>
      </c>
      <c r="D2304" s="7" t="s">
        <v>1612</v>
      </c>
      <c r="E2304" s="7" t="s">
        <v>160</v>
      </c>
      <c r="F2304" s="7" t="s">
        <v>136</v>
      </c>
      <c r="G2304" s="7" t="s">
        <v>150</v>
      </c>
      <c r="H2304" s="7" t="n">
        <v>2</v>
      </c>
      <c r="I2304" s="11" t="n">
        <v>175</v>
      </c>
      <c r="J2304" s="11" t="n">
        <v>20</v>
      </c>
      <c r="K2304" s="11" t="n">
        <f aca="false">H2304*I2304-J2304</f>
        <v>330</v>
      </c>
      <c r="L2304" s="7" t="s">
        <v>88</v>
      </c>
      <c r="M2304" s="7" t="s">
        <v>194</v>
      </c>
      <c r="N2304" s="7" t="n">
        <v>29</v>
      </c>
      <c r="O2304" s="7" t="n">
        <v>5</v>
      </c>
    </row>
    <row r="2305" customFormat="false" ht="15" hidden="false" customHeight="false" outlineLevel="0" collapsed="false">
      <c r="A2305" s="7" t="s">
        <v>5758</v>
      </c>
      <c r="B2305" s="10" t="n">
        <v>45953</v>
      </c>
      <c r="C2305" s="7" t="s">
        <v>2398</v>
      </c>
      <c r="D2305" s="7" t="s">
        <v>4831</v>
      </c>
      <c r="E2305" s="7" t="s">
        <v>168</v>
      </c>
      <c r="F2305" s="7" t="s">
        <v>146</v>
      </c>
      <c r="G2305" s="7" t="s">
        <v>123</v>
      </c>
      <c r="H2305" s="7" t="n">
        <v>3</v>
      </c>
      <c r="I2305" s="11" t="n">
        <v>365</v>
      </c>
      <c r="J2305" s="11" t="n">
        <v>0</v>
      </c>
      <c r="K2305" s="11" t="n">
        <f aca="false">H2305*I2305-J2305</f>
        <v>1095</v>
      </c>
      <c r="L2305" s="7" t="s">
        <v>121</v>
      </c>
      <c r="M2305" s="7" t="s">
        <v>194</v>
      </c>
      <c r="N2305" s="7" t="n">
        <v>44</v>
      </c>
      <c r="O2305" s="7" t="n">
        <v>4</v>
      </c>
    </row>
    <row r="2306" customFormat="false" ht="15" hidden="false" customHeight="false" outlineLevel="0" collapsed="false">
      <c r="A2306" s="7" t="s">
        <v>5153</v>
      </c>
      <c r="B2306" s="10" t="n">
        <v>45953</v>
      </c>
      <c r="C2306" s="7" t="s">
        <v>4024</v>
      </c>
      <c r="D2306" s="7" t="s">
        <v>1584</v>
      </c>
      <c r="E2306" s="7" t="s">
        <v>94</v>
      </c>
      <c r="F2306" s="7" t="s">
        <v>86</v>
      </c>
      <c r="G2306" s="7" t="s">
        <v>95</v>
      </c>
      <c r="H2306" s="7" t="n">
        <v>1</v>
      </c>
      <c r="I2306" s="11" t="n">
        <v>135</v>
      </c>
      <c r="J2306" s="11" t="n">
        <v>54</v>
      </c>
      <c r="K2306" s="11" t="n">
        <f aca="false">H2306*I2306-J2306</f>
        <v>81</v>
      </c>
      <c r="L2306" s="7" t="s">
        <v>88</v>
      </c>
      <c r="M2306" s="7" t="s">
        <v>238</v>
      </c>
      <c r="N2306" s="7"/>
      <c r="O2306" s="7"/>
    </row>
    <row r="2307" customFormat="false" ht="15" hidden="false" customHeight="false" outlineLevel="0" collapsed="false">
      <c r="A2307" s="7" t="s">
        <v>2254</v>
      </c>
      <c r="B2307" s="10" t="n">
        <v>45953</v>
      </c>
      <c r="C2307" s="7" t="s">
        <v>2255</v>
      </c>
      <c r="D2307" s="7" t="s">
        <v>2256</v>
      </c>
      <c r="E2307" s="7" t="s">
        <v>138</v>
      </c>
      <c r="F2307" s="7" t="s">
        <v>110</v>
      </c>
      <c r="G2307" s="7" t="s">
        <v>139</v>
      </c>
      <c r="H2307" s="7" t="n">
        <v>3</v>
      </c>
      <c r="I2307" s="11" t="n">
        <v>195</v>
      </c>
      <c r="J2307" s="11" t="n">
        <v>0</v>
      </c>
      <c r="K2307" s="11" t="n">
        <f aca="false">H2307*I2307-J2307</f>
        <v>585</v>
      </c>
      <c r="L2307" s="7" t="s">
        <v>103</v>
      </c>
      <c r="M2307" s="7" t="s">
        <v>194</v>
      </c>
      <c r="N2307" s="7" t="n">
        <v>31</v>
      </c>
      <c r="O2307" s="7" t="n">
        <v>3</v>
      </c>
    </row>
    <row r="2308" customFormat="false" ht="15" hidden="false" customHeight="false" outlineLevel="0" collapsed="false">
      <c r="A2308" s="7" t="s">
        <v>1166</v>
      </c>
      <c r="B2308" s="10" t="n">
        <v>45953</v>
      </c>
      <c r="C2308" s="7" t="s">
        <v>1168</v>
      </c>
      <c r="D2308" s="7" t="s">
        <v>1169</v>
      </c>
      <c r="E2308" s="7" t="s">
        <v>138</v>
      </c>
      <c r="F2308" s="7" t="s">
        <v>110</v>
      </c>
      <c r="G2308" s="7" t="s">
        <v>139</v>
      </c>
      <c r="H2308" s="7" t="n">
        <v>1</v>
      </c>
      <c r="I2308" s="11" t="n">
        <v>210</v>
      </c>
      <c r="J2308" s="11" t="n">
        <v>30</v>
      </c>
      <c r="K2308" s="11" t="n">
        <f aca="false">H2308*I2308-J2308</f>
        <v>180</v>
      </c>
      <c r="L2308" s="7" t="s">
        <v>88</v>
      </c>
      <c r="M2308" s="7" t="s">
        <v>194</v>
      </c>
      <c r="N2308" s="7" t="n">
        <v>31</v>
      </c>
      <c r="O2308" s="7"/>
    </row>
    <row r="2309" customFormat="false" ht="15" hidden="false" customHeight="false" outlineLevel="0" collapsed="false">
      <c r="A2309" s="7" t="s">
        <v>815</v>
      </c>
      <c r="B2309" s="10" t="n">
        <v>45953</v>
      </c>
      <c r="C2309" s="7" t="s">
        <v>817</v>
      </c>
      <c r="D2309" s="7" t="s">
        <v>818</v>
      </c>
      <c r="E2309" s="7" t="s">
        <v>89</v>
      </c>
      <c r="F2309" s="7" t="s">
        <v>86</v>
      </c>
      <c r="G2309" s="7" t="s">
        <v>90</v>
      </c>
      <c r="H2309" s="7" t="n">
        <v>4</v>
      </c>
      <c r="I2309" s="11" t="n">
        <v>245</v>
      </c>
      <c r="J2309" s="11" t="n">
        <v>40</v>
      </c>
      <c r="K2309" s="11" t="n">
        <f aca="false">H2309*I2309-J2309</f>
        <v>940</v>
      </c>
      <c r="L2309" s="7" t="s">
        <v>88</v>
      </c>
      <c r="M2309" s="7" t="s">
        <v>194</v>
      </c>
      <c r="N2309" s="7" t="n">
        <v>32</v>
      </c>
      <c r="O2309" s="7" t="n">
        <v>3</v>
      </c>
    </row>
    <row r="2310" customFormat="false" ht="15" hidden="false" customHeight="false" outlineLevel="0" collapsed="false">
      <c r="A2310" s="7" t="s">
        <v>5163</v>
      </c>
      <c r="B2310" s="10" t="n">
        <v>45953</v>
      </c>
      <c r="C2310" s="7" t="s">
        <v>930</v>
      </c>
      <c r="D2310" s="7" t="s">
        <v>5165</v>
      </c>
      <c r="E2310" s="7" t="s">
        <v>149</v>
      </c>
      <c r="F2310" s="7" t="s">
        <v>119</v>
      </c>
      <c r="G2310" s="7" t="s">
        <v>150</v>
      </c>
      <c r="H2310" s="7" t="n">
        <v>2</v>
      </c>
      <c r="I2310" s="11" t="n">
        <v>170</v>
      </c>
      <c r="J2310" s="11" t="n">
        <v>136</v>
      </c>
      <c r="K2310" s="11" t="n">
        <f aca="false">H2310*I2310-J2310</f>
        <v>204</v>
      </c>
      <c r="L2310" s="7" t="s">
        <v>112</v>
      </c>
      <c r="M2310" s="7" t="s">
        <v>194</v>
      </c>
      <c r="N2310" s="7" t="n">
        <v>28</v>
      </c>
      <c r="O2310" s="7" t="n">
        <v>5</v>
      </c>
    </row>
    <row r="2311" customFormat="false" ht="15" hidden="false" customHeight="false" outlineLevel="0" collapsed="false">
      <c r="A2311" s="7" t="s">
        <v>4472</v>
      </c>
      <c r="B2311" s="10" t="n">
        <v>45953</v>
      </c>
      <c r="C2311" s="7" t="s">
        <v>3141</v>
      </c>
      <c r="D2311" s="7" t="s">
        <v>4473</v>
      </c>
      <c r="E2311" s="7" t="s">
        <v>144</v>
      </c>
      <c r="F2311" s="7" t="s">
        <v>119</v>
      </c>
      <c r="G2311" s="7" t="s">
        <v>99</v>
      </c>
      <c r="H2311" s="7" t="n">
        <v>3</v>
      </c>
      <c r="I2311" s="11" t="n">
        <v>235</v>
      </c>
      <c r="J2311" s="11" t="n">
        <v>20</v>
      </c>
      <c r="K2311" s="11" t="n">
        <f aca="false">H2311*I2311-J2311</f>
        <v>685</v>
      </c>
      <c r="L2311" s="7" t="s">
        <v>88</v>
      </c>
      <c r="M2311" s="7" t="s">
        <v>194</v>
      </c>
      <c r="N2311" s="7" t="n">
        <v>35</v>
      </c>
      <c r="O2311" s="7" t="n">
        <v>3</v>
      </c>
    </row>
    <row r="2312" customFormat="false" ht="15" hidden="false" customHeight="false" outlineLevel="0" collapsed="false">
      <c r="A2312" s="7" t="s">
        <v>4196</v>
      </c>
      <c r="B2312" s="10" t="n">
        <v>45954</v>
      </c>
      <c r="C2312" s="7" t="s">
        <v>551</v>
      </c>
      <c r="D2312" s="7" t="s">
        <v>1579</v>
      </c>
      <c r="E2312" s="7" t="s">
        <v>161</v>
      </c>
      <c r="F2312" s="7" t="s">
        <v>141</v>
      </c>
      <c r="G2312" s="7" t="s">
        <v>117</v>
      </c>
      <c r="H2312" s="7" t="n">
        <v>1</v>
      </c>
      <c r="I2312" s="11" t="n">
        <v>110</v>
      </c>
      <c r="J2312" s="11" t="n">
        <v>30</v>
      </c>
      <c r="K2312" s="11" t="n">
        <f aca="false">H2312*I2312-J2312</f>
        <v>80</v>
      </c>
      <c r="L2312" s="7" t="s">
        <v>112</v>
      </c>
      <c r="M2312" s="7" t="s">
        <v>194</v>
      </c>
      <c r="N2312" s="7" t="n">
        <v>19</v>
      </c>
      <c r="O2312" s="7" t="n">
        <v>5</v>
      </c>
    </row>
    <row r="2313" customFormat="false" ht="15" hidden="false" customHeight="false" outlineLevel="0" collapsed="false">
      <c r="A2313" s="7" t="s">
        <v>2285</v>
      </c>
      <c r="B2313" s="10" t="n">
        <v>45954</v>
      </c>
      <c r="C2313" s="7" t="s">
        <v>2076</v>
      </c>
      <c r="D2313" s="7" t="s">
        <v>2286</v>
      </c>
      <c r="E2313" s="7" t="s">
        <v>113</v>
      </c>
      <c r="F2313" s="7" t="s">
        <v>101</v>
      </c>
      <c r="G2313" s="7" t="s">
        <v>90</v>
      </c>
      <c r="H2313" s="7" t="n">
        <v>1</v>
      </c>
      <c r="I2313" s="11" t="n">
        <v>255</v>
      </c>
      <c r="J2313" s="11" t="n">
        <v>20</v>
      </c>
      <c r="K2313" s="11" t="n">
        <f aca="false">H2313*I2313-J2313</f>
        <v>235</v>
      </c>
      <c r="L2313" s="7" t="s">
        <v>88</v>
      </c>
      <c r="M2313" s="7" t="s">
        <v>194</v>
      </c>
      <c r="N2313" s="7" t="n">
        <v>38</v>
      </c>
      <c r="O2313" s="7" t="n">
        <v>3</v>
      </c>
    </row>
    <row r="2314" customFormat="false" ht="15" hidden="false" customHeight="false" outlineLevel="0" collapsed="false">
      <c r="A2314" s="7" t="s">
        <v>3800</v>
      </c>
      <c r="B2314" s="10" t="n">
        <v>45954</v>
      </c>
      <c r="C2314" s="7" t="s">
        <v>2508</v>
      </c>
      <c r="D2314" s="7" t="s">
        <v>2624</v>
      </c>
      <c r="E2314" s="7" t="s">
        <v>147</v>
      </c>
      <c r="F2314" s="7" t="s">
        <v>119</v>
      </c>
      <c r="G2314" s="7" t="s">
        <v>95</v>
      </c>
      <c r="H2314" s="7" t="n">
        <v>1</v>
      </c>
      <c r="I2314" s="11" t="n">
        <v>150</v>
      </c>
      <c r="J2314" s="11" t="n">
        <v>60</v>
      </c>
      <c r="K2314" s="11" t="n">
        <f aca="false">H2314*I2314-J2314</f>
        <v>90</v>
      </c>
      <c r="L2314" s="7" t="s">
        <v>88</v>
      </c>
      <c r="M2314" s="7" t="s">
        <v>194</v>
      </c>
      <c r="N2314" s="7" t="n">
        <v>39</v>
      </c>
      <c r="O2314" s="7" t="n">
        <v>5</v>
      </c>
    </row>
    <row r="2315" customFormat="false" ht="15" hidden="false" customHeight="false" outlineLevel="0" collapsed="false">
      <c r="A2315" s="7" t="s">
        <v>898</v>
      </c>
      <c r="B2315" s="10" t="n">
        <v>45954</v>
      </c>
      <c r="C2315" s="7" t="s">
        <v>258</v>
      </c>
      <c r="D2315" s="7" t="s">
        <v>900</v>
      </c>
      <c r="E2315" s="7" t="s">
        <v>168</v>
      </c>
      <c r="F2315" s="7" t="s">
        <v>146</v>
      </c>
      <c r="G2315" s="7" t="s">
        <v>123</v>
      </c>
      <c r="H2315" s="7" t="n">
        <v>2</v>
      </c>
      <c r="I2315" s="11" t="n">
        <v>300</v>
      </c>
      <c r="J2315" s="11" t="n">
        <v>50</v>
      </c>
      <c r="K2315" s="11" t="n">
        <f aca="false">H2315*I2315-J2315</f>
        <v>550</v>
      </c>
      <c r="L2315" s="7" t="s">
        <v>88</v>
      </c>
      <c r="M2315" s="7" t="s">
        <v>194</v>
      </c>
      <c r="N2315" s="7" t="n">
        <v>26</v>
      </c>
      <c r="O2315" s="7" t="n">
        <v>3</v>
      </c>
    </row>
    <row r="2316" customFormat="false" ht="15" hidden="false" customHeight="false" outlineLevel="0" collapsed="false">
      <c r="A2316" s="7" t="s">
        <v>5130</v>
      </c>
      <c r="B2316" s="10" t="n">
        <v>45955</v>
      </c>
      <c r="C2316" s="7" t="s">
        <v>3013</v>
      </c>
      <c r="D2316" s="7" t="s">
        <v>5131</v>
      </c>
      <c r="E2316" s="7" t="s">
        <v>113</v>
      </c>
      <c r="F2316" s="7" t="s">
        <v>101</v>
      </c>
      <c r="G2316" s="7" t="s">
        <v>90</v>
      </c>
      <c r="H2316" s="7" t="n">
        <v>1</v>
      </c>
      <c r="I2316" s="11" t="n">
        <v>260</v>
      </c>
      <c r="J2316" s="11" t="n">
        <v>104</v>
      </c>
      <c r="K2316" s="11" t="n">
        <f aca="false">H2316*I2316-J2316</f>
        <v>156</v>
      </c>
      <c r="L2316" s="7" t="s">
        <v>93</v>
      </c>
      <c r="M2316" s="7" t="s">
        <v>194</v>
      </c>
      <c r="N2316" s="7" t="n">
        <v>44</v>
      </c>
      <c r="O2316" s="7" t="n">
        <v>4</v>
      </c>
    </row>
    <row r="2317" customFormat="false" ht="15" hidden="false" customHeight="false" outlineLevel="0" collapsed="false">
      <c r="A2317" s="7" t="s">
        <v>1800</v>
      </c>
      <c r="B2317" s="10" t="n">
        <v>45955</v>
      </c>
      <c r="C2317" s="7" t="s">
        <v>1118</v>
      </c>
      <c r="D2317" s="7" t="s">
        <v>1801</v>
      </c>
      <c r="E2317" s="7" t="s">
        <v>162</v>
      </c>
      <c r="F2317" s="7" t="s">
        <v>141</v>
      </c>
      <c r="G2317" s="7" t="s">
        <v>117</v>
      </c>
      <c r="H2317" s="7" t="n">
        <v>2</v>
      </c>
      <c r="I2317" s="11" t="n">
        <v>105</v>
      </c>
      <c r="J2317" s="11" t="n">
        <v>0</v>
      </c>
      <c r="K2317" s="11" t="n">
        <f aca="false">H2317*I2317-J2317</f>
        <v>210</v>
      </c>
      <c r="L2317" s="7" t="s">
        <v>112</v>
      </c>
      <c r="M2317" s="7" t="s">
        <v>194</v>
      </c>
      <c r="N2317" s="7" t="n">
        <v>32</v>
      </c>
      <c r="O2317" s="7" t="n">
        <v>4</v>
      </c>
    </row>
    <row r="2318" customFormat="false" ht="15" hidden="false" customHeight="false" outlineLevel="0" collapsed="false">
      <c r="A2318" s="7" t="s">
        <v>1259</v>
      </c>
      <c r="B2318" s="10" t="n">
        <v>45955</v>
      </c>
      <c r="C2318" s="7" t="s">
        <v>622</v>
      </c>
      <c r="D2318" s="7" t="s">
        <v>1261</v>
      </c>
      <c r="E2318" s="7" t="s">
        <v>104</v>
      </c>
      <c r="F2318" s="7" t="s">
        <v>86</v>
      </c>
      <c r="G2318" s="7" t="s">
        <v>105</v>
      </c>
      <c r="H2318" s="7" t="n">
        <v>2</v>
      </c>
      <c r="I2318" s="11" t="n">
        <v>225</v>
      </c>
      <c r="J2318" s="11" t="n">
        <v>0</v>
      </c>
      <c r="K2318" s="11" t="n">
        <f aca="false">H2318*I2318-J2318</f>
        <v>450</v>
      </c>
      <c r="L2318" s="7" t="s">
        <v>88</v>
      </c>
      <c r="M2318" s="7" t="s">
        <v>194</v>
      </c>
      <c r="N2318" s="7" t="n">
        <v>40</v>
      </c>
      <c r="O2318" s="7" t="n">
        <v>4</v>
      </c>
    </row>
    <row r="2319" customFormat="false" ht="15" hidden="false" customHeight="false" outlineLevel="0" collapsed="false">
      <c r="A2319" s="7" t="s">
        <v>2852</v>
      </c>
      <c r="B2319" s="10" t="n">
        <v>45955</v>
      </c>
      <c r="C2319" s="7" t="s">
        <v>2853</v>
      </c>
      <c r="D2319" s="7" t="s">
        <v>2854</v>
      </c>
      <c r="E2319" s="7" t="s">
        <v>142</v>
      </c>
      <c r="F2319" s="7" t="s">
        <v>110</v>
      </c>
      <c r="G2319" s="7" t="s">
        <v>105</v>
      </c>
      <c r="H2319" s="7" t="n">
        <v>2</v>
      </c>
      <c r="I2319" s="11" t="n">
        <v>140</v>
      </c>
      <c r="J2319" s="11" t="n">
        <v>40</v>
      </c>
      <c r="K2319" s="11" t="n">
        <f aca="false">H2319*I2319-J2319</f>
        <v>240</v>
      </c>
      <c r="L2319" s="7" t="s">
        <v>133</v>
      </c>
      <c r="M2319" s="7" t="s">
        <v>194</v>
      </c>
      <c r="N2319" s="7" t="n">
        <v>43</v>
      </c>
      <c r="O2319" s="7" t="n">
        <v>5</v>
      </c>
    </row>
    <row r="2320" customFormat="false" ht="15" hidden="false" customHeight="false" outlineLevel="0" collapsed="false">
      <c r="A2320" s="7" t="s">
        <v>4825</v>
      </c>
      <c r="B2320" s="10" t="n">
        <v>45955</v>
      </c>
      <c r="C2320" s="7" t="s">
        <v>1941</v>
      </c>
      <c r="D2320" s="7" t="s">
        <v>4826</v>
      </c>
      <c r="E2320" s="7" t="s">
        <v>159</v>
      </c>
      <c r="F2320" s="7" t="s">
        <v>136</v>
      </c>
      <c r="G2320" s="7" t="s">
        <v>90</v>
      </c>
      <c r="H2320" s="7" t="n">
        <v>1</v>
      </c>
      <c r="I2320" s="11" t="n">
        <v>280</v>
      </c>
      <c r="J2320" s="11" t="n">
        <v>0</v>
      </c>
      <c r="K2320" s="11" t="n">
        <f aca="false">H2320*I2320-J2320</f>
        <v>280</v>
      </c>
      <c r="L2320" s="7" t="s">
        <v>93</v>
      </c>
      <c r="M2320" s="7" t="s">
        <v>194</v>
      </c>
      <c r="N2320" s="7" t="n">
        <v>29</v>
      </c>
      <c r="O2320" s="7" t="n">
        <v>5</v>
      </c>
    </row>
    <row r="2321" customFormat="false" ht="15" hidden="false" customHeight="false" outlineLevel="0" collapsed="false">
      <c r="A2321" s="7" t="s">
        <v>4419</v>
      </c>
      <c r="B2321" s="10" t="n">
        <v>45956</v>
      </c>
      <c r="C2321" s="7" t="s">
        <v>1427</v>
      </c>
      <c r="D2321" s="7" t="s">
        <v>2635</v>
      </c>
      <c r="E2321" s="7" t="s">
        <v>160</v>
      </c>
      <c r="F2321" s="7" t="s">
        <v>136</v>
      </c>
      <c r="G2321" s="7" t="s">
        <v>150</v>
      </c>
      <c r="H2321" s="7" t="n">
        <v>1</v>
      </c>
      <c r="I2321" s="11" t="n">
        <v>180</v>
      </c>
      <c r="J2321" s="11" t="n">
        <v>0</v>
      </c>
      <c r="K2321" s="11" t="n">
        <f aca="false">H2321*I2321-J2321</f>
        <v>180</v>
      </c>
      <c r="L2321" s="7" t="s">
        <v>93</v>
      </c>
      <c r="M2321" s="7" t="s">
        <v>194</v>
      </c>
      <c r="N2321" s="7"/>
      <c r="O2321" s="7" t="n">
        <v>5</v>
      </c>
    </row>
    <row r="2322" customFormat="false" ht="15" hidden="false" customHeight="false" outlineLevel="0" collapsed="false">
      <c r="A2322" s="7" t="s">
        <v>5588</v>
      </c>
      <c r="B2322" s="10" t="n">
        <v>45956</v>
      </c>
      <c r="C2322" s="7" t="s">
        <v>1684</v>
      </c>
      <c r="D2322" s="7" t="s">
        <v>5589</v>
      </c>
      <c r="E2322" s="7" t="s">
        <v>154</v>
      </c>
      <c r="F2322" s="7" t="s">
        <v>128</v>
      </c>
      <c r="G2322" s="7" t="s">
        <v>99</v>
      </c>
      <c r="H2322" s="7" t="n">
        <v>2</v>
      </c>
      <c r="I2322" s="11" t="n">
        <v>215</v>
      </c>
      <c r="J2322" s="11" t="n">
        <v>0</v>
      </c>
      <c r="K2322" s="11" t="n">
        <f aca="false">H2322*I2322-J2322</f>
        <v>430</v>
      </c>
      <c r="L2322" s="7" t="s">
        <v>103</v>
      </c>
      <c r="M2322" s="7" t="s">
        <v>194</v>
      </c>
      <c r="N2322" s="7" t="n">
        <v>40</v>
      </c>
      <c r="O2322" s="7" t="n">
        <v>3</v>
      </c>
    </row>
    <row r="2323" customFormat="false" ht="15" hidden="false" customHeight="false" outlineLevel="0" collapsed="false">
      <c r="A2323" s="7" t="s">
        <v>1381</v>
      </c>
      <c r="B2323" s="10" t="n">
        <v>45956</v>
      </c>
      <c r="C2323" s="7" t="s">
        <v>218</v>
      </c>
      <c r="D2323" s="7" t="s">
        <v>569</v>
      </c>
      <c r="E2323" s="7" t="s">
        <v>158</v>
      </c>
      <c r="F2323" s="7" t="s">
        <v>136</v>
      </c>
      <c r="G2323" s="7" t="s">
        <v>139</v>
      </c>
      <c r="H2323" s="7" t="n">
        <v>5</v>
      </c>
      <c r="I2323" s="11" t="n">
        <v>220</v>
      </c>
      <c r="J2323" s="11" t="n">
        <v>20</v>
      </c>
      <c r="K2323" s="11" t="n">
        <f aca="false">H2323*I2323-J2323</f>
        <v>1080</v>
      </c>
      <c r="L2323" s="7" t="s">
        <v>88</v>
      </c>
      <c r="M2323" s="7" t="s">
        <v>194</v>
      </c>
      <c r="N2323" s="7" t="n">
        <v>36</v>
      </c>
      <c r="O2323" s="7" t="n">
        <v>5</v>
      </c>
    </row>
    <row r="2324" customFormat="false" ht="15" hidden="false" customHeight="false" outlineLevel="0" collapsed="false">
      <c r="A2324" s="7" t="s">
        <v>4915</v>
      </c>
      <c r="B2324" s="10" t="n">
        <v>45956</v>
      </c>
      <c r="C2324" s="7" t="s">
        <v>2691</v>
      </c>
      <c r="D2324" s="7" t="s">
        <v>2750</v>
      </c>
      <c r="E2324" s="7" t="s">
        <v>122</v>
      </c>
      <c r="F2324" s="7" t="s">
        <v>101</v>
      </c>
      <c r="G2324" s="7" t="s">
        <v>123</v>
      </c>
      <c r="H2324" s="7" t="n">
        <v>3</v>
      </c>
      <c r="I2324" s="11" t="n">
        <v>380</v>
      </c>
      <c r="J2324" s="11" t="n">
        <v>0</v>
      </c>
      <c r="K2324" s="11" t="n">
        <f aca="false">H2324*I2324-J2324</f>
        <v>1140</v>
      </c>
      <c r="L2324" s="7" t="s">
        <v>88</v>
      </c>
      <c r="M2324" s="7" t="s">
        <v>194</v>
      </c>
      <c r="N2324" s="7" t="n">
        <v>47</v>
      </c>
      <c r="O2324" s="7" t="n">
        <v>3</v>
      </c>
    </row>
    <row r="2325" customFormat="false" ht="15" hidden="false" customHeight="false" outlineLevel="0" collapsed="false">
      <c r="A2325" s="7" t="s">
        <v>4051</v>
      </c>
      <c r="B2325" s="10" t="n">
        <v>45956</v>
      </c>
      <c r="C2325" s="7" t="s">
        <v>4052</v>
      </c>
      <c r="D2325" s="7" t="s">
        <v>4053</v>
      </c>
      <c r="E2325" s="7" t="s">
        <v>144</v>
      </c>
      <c r="F2325" s="7" t="s">
        <v>119</v>
      </c>
      <c r="G2325" s="7" t="s">
        <v>99</v>
      </c>
      <c r="H2325" s="7" t="n">
        <v>1</v>
      </c>
      <c r="I2325" s="11" t="n">
        <v>295</v>
      </c>
      <c r="J2325" s="11" t="n">
        <v>0</v>
      </c>
      <c r="K2325" s="11" t="n">
        <f aca="false">H2325*I2325-J2325</f>
        <v>295</v>
      </c>
      <c r="L2325" s="7" t="s">
        <v>103</v>
      </c>
      <c r="M2325" s="7" t="s">
        <v>194</v>
      </c>
      <c r="N2325" s="7" t="n">
        <v>38</v>
      </c>
      <c r="O2325" s="7" t="n">
        <v>5</v>
      </c>
    </row>
    <row r="2326" customFormat="false" ht="15" hidden="false" customHeight="false" outlineLevel="0" collapsed="false">
      <c r="A2326" s="7" t="s">
        <v>3878</v>
      </c>
      <c r="B2326" s="10" t="n">
        <v>45956</v>
      </c>
      <c r="C2326" s="7" t="s">
        <v>2042</v>
      </c>
      <c r="D2326" s="7" t="s">
        <v>1435</v>
      </c>
      <c r="E2326" s="7" t="s">
        <v>149</v>
      </c>
      <c r="F2326" s="7" t="s">
        <v>119</v>
      </c>
      <c r="G2326" s="7" t="s">
        <v>150</v>
      </c>
      <c r="H2326" s="7" t="n">
        <v>2</v>
      </c>
      <c r="I2326" s="11" t="n">
        <v>150</v>
      </c>
      <c r="J2326" s="11" t="n">
        <v>0</v>
      </c>
      <c r="K2326" s="11" t="n">
        <f aca="false">H2326*I2326-J2326</f>
        <v>300</v>
      </c>
      <c r="L2326" s="7" t="s">
        <v>88</v>
      </c>
      <c r="M2326" s="7" t="s">
        <v>194</v>
      </c>
      <c r="N2326" s="7" t="n">
        <v>53</v>
      </c>
      <c r="O2326" s="7" t="n">
        <v>4</v>
      </c>
    </row>
    <row r="2327" customFormat="false" ht="15" hidden="false" customHeight="false" outlineLevel="0" collapsed="false">
      <c r="A2327" s="7" t="s">
        <v>4354</v>
      </c>
      <c r="B2327" s="10" t="n">
        <v>45956</v>
      </c>
      <c r="C2327" s="7" t="s">
        <v>1983</v>
      </c>
      <c r="D2327" s="7" t="s">
        <v>4355</v>
      </c>
      <c r="E2327" s="7" t="s">
        <v>89</v>
      </c>
      <c r="F2327" s="7" t="s">
        <v>86</v>
      </c>
      <c r="G2327" s="7" t="s">
        <v>90</v>
      </c>
      <c r="H2327" s="7" t="n">
        <v>3</v>
      </c>
      <c r="I2327" s="11" t="n">
        <v>235</v>
      </c>
      <c r="J2327" s="11" t="n">
        <v>40</v>
      </c>
      <c r="K2327" s="11" t="n">
        <f aca="false">H2327*I2327-J2327</f>
        <v>665</v>
      </c>
      <c r="L2327" s="7" t="s">
        <v>88</v>
      </c>
      <c r="M2327" s="7" t="s">
        <v>194</v>
      </c>
      <c r="N2327" s="7" t="n">
        <v>53</v>
      </c>
      <c r="O2327" s="7" t="n">
        <v>4</v>
      </c>
    </row>
    <row r="2328" customFormat="false" ht="15" hidden="false" customHeight="false" outlineLevel="0" collapsed="false">
      <c r="A2328" s="7" t="s">
        <v>1095</v>
      </c>
      <c r="B2328" s="10" t="n">
        <v>45956</v>
      </c>
      <c r="C2328" s="7" t="s">
        <v>478</v>
      </c>
      <c r="D2328" s="7" t="s">
        <v>1097</v>
      </c>
      <c r="E2328" s="7" t="s">
        <v>89</v>
      </c>
      <c r="F2328" s="7" t="s">
        <v>86</v>
      </c>
      <c r="G2328" s="7" t="s">
        <v>90</v>
      </c>
      <c r="H2328" s="7" t="n">
        <v>1</v>
      </c>
      <c r="I2328" s="11" t="n">
        <v>230</v>
      </c>
      <c r="J2328" s="11" t="n">
        <v>0</v>
      </c>
      <c r="K2328" s="11" t="n">
        <f aca="false">H2328*I2328-J2328</f>
        <v>230</v>
      </c>
      <c r="L2328" s="7" t="s">
        <v>88</v>
      </c>
      <c r="M2328" s="7" t="s">
        <v>194</v>
      </c>
      <c r="N2328" s="7" t="n">
        <v>49</v>
      </c>
      <c r="O2328" s="7" t="n">
        <v>4</v>
      </c>
    </row>
    <row r="2329" customFormat="false" ht="15" hidden="false" customHeight="false" outlineLevel="0" collapsed="false">
      <c r="A2329" s="7" t="s">
        <v>4087</v>
      </c>
      <c r="B2329" s="10" t="n">
        <v>45956</v>
      </c>
      <c r="C2329" s="7" t="s">
        <v>1842</v>
      </c>
      <c r="D2329" s="7" t="s">
        <v>1322</v>
      </c>
      <c r="E2329" s="7" t="s">
        <v>152</v>
      </c>
      <c r="F2329" s="7" t="s">
        <v>128</v>
      </c>
      <c r="G2329" s="7" t="s">
        <v>95</v>
      </c>
      <c r="H2329" s="7" t="n">
        <v>1</v>
      </c>
      <c r="I2329" s="11" t="n">
        <v>95</v>
      </c>
      <c r="J2329" s="11" t="n">
        <v>0</v>
      </c>
      <c r="K2329" s="11" t="n">
        <f aca="false">H2329*I2329-J2329</f>
        <v>95</v>
      </c>
      <c r="L2329" s="7" t="s">
        <v>88</v>
      </c>
      <c r="M2329" s="7" t="s">
        <v>194</v>
      </c>
      <c r="N2329" s="7" t="n">
        <v>38</v>
      </c>
      <c r="O2329" s="7" t="n">
        <v>5</v>
      </c>
    </row>
    <row r="2330" customFormat="false" ht="15" hidden="false" customHeight="false" outlineLevel="0" collapsed="false">
      <c r="A2330" s="7" t="s">
        <v>2350</v>
      </c>
      <c r="B2330" s="10" t="n">
        <v>45957</v>
      </c>
      <c r="C2330" s="7" t="s">
        <v>1191</v>
      </c>
      <c r="D2330" s="7" t="s">
        <v>202</v>
      </c>
      <c r="E2330" s="7" t="s">
        <v>159</v>
      </c>
      <c r="F2330" s="7" t="s">
        <v>136</v>
      </c>
      <c r="G2330" s="7" t="s">
        <v>90</v>
      </c>
      <c r="H2330" s="7" t="n">
        <v>1</v>
      </c>
      <c r="I2330" s="11" t="n">
        <v>245</v>
      </c>
      <c r="J2330" s="11" t="n">
        <v>98</v>
      </c>
      <c r="K2330" s="11" t="n">
        <f aca="false">H2330*I2330-J2330</f>
        <v>147</v>
      </c>
      <c r="L2330" s="7" t="s">
        <v>88</v>
      </c>
      <c r="M2330" s="7" t="s">
        <v>194</v>
      </c>
      <c r="N2330" s="7" t="n">
        <v>40</v>
      </c>
      <c r="O2330" s="7" t="n">
        <v>4</v>
      </c>
    </row>
    <row r="2331" customFormat="false" ht="15" hidden="false" customHeight="false" outlineLevel="0" collapsed="false">
      <c r="A2331" s="7" t="s">
        <v>5702</v>
      </c>
      <c r="B2331" s="10" t="n">
        <v>45957</v>
      </c>
      <c r="C2331" s="7" t="s">
        <v>1684</v>
      </c>
      <c r="D2331" s="7" t="s">
        <v>3792</v>
      </c>
      <c r="E2331" s="7" t="s">
        <v>113</v>
      </c>
      <c r="F2331" s="7" t="s">
        <v>101</v>
      </c>
      <c r="G2331" s="7" t="s">
        <v>90</v>
      </c>
      <c r="H2331" s="7" t="n">
        <v>1</v>
      </c>
      <c r="I2331" s="11" t="n">
        <v>240</v>
      </c>
      <c r="J2331" s="11" t="n">
        <v>0</v>
      </c>
      <c r="K2331" s="11" t="n">
        <f aca="false">H2331*I2331-J2331</f>
        <v>240</v>
      </c>
      <c r="L2331" s="7" t="s">
        <v>88</v>
      </c>
      <c r="M2331" s="7" t="s">
        <v>194</v>
      </c>
      <c r="N2331" s="7" t="n">
        <v>38</v>
      </c>
      <c r="O2331" s="7" t="n">
        <v>5</v>
      </c>
    </row>
    <row r="2332" customFormat="false" ht="15" hidden="false" customHeight="false" outlineLevel="0" collapsed="false">
      <c r="A2332" s="7" t="s">
        <v>4412</v>
      </c>
      <c r="B2332" s="10" t="n">
        <v>45957</v>
      </c>
      <c r="C2332" s="7" t="s">
        <v>3774</v>
      </c>
      <c r="D2332" s="7" t="s">
        <v>3354</v>
      </c>
      <c r="E2332" s="7" t="s">
        <v>144</v>
      </c>
      <c r="F2332" s="7" t="s">
        <v>119</v>
      </c>
      <c r="G2332" s="7" t="s">
        <v>99</v>
      </c>
      <c r="H2332" s="7" t="n">
        <v>1</v>
      </c>
      <c r="I2332" s="11" t="n">
        <v>320</v>
      </c>
      <c r="J2332" s="11" t="n">
        <v>30</v>
      </c>
      <c r="K2332" s="11" t="n">
        <f aca="false">H2332*I2332-J2332</f>
        <v>290</v>
      </c>
      <c r="L2332" s="7" t="s">
        <v>88</v>
      </c>
      <c r="M2332" s="7" t="s">
        <v>194</v>
      </c>
      <c r="N2332" s="7" t="n">
        <v>30</v>
      </c>
      <c r="O2332" s="7" t="n">
        <v>4</v>
      </c>
    </row>
    <row r="2333" customFormat="false" ht="15" hidden="false" customHeight="false" outlineLevel="0" collapsed="false">
      <c r="A2333" s="7" t="s">
        <v>5979</v>
      </c>
      <c r="B2333" s="10" t="n">
        <v>45957</v>
      </c>
      <c r="C2333" s="7" t="s">
        <v>1864</v>
      </c>
      <c r="D2333" s="7" t="s">
        <v>5779</v>
      </c>
      <c r="E2333" s="7" t="s">
        <v>134</v>
      </c>
      <c r="F2333" s="7" t="s">
        <v>110</v>
      </c>
      <c r="G2333" s="7" t="s">
        <v>117</v>
      </c>
      <c r="H2333" s="7" t="n">
        <v>3</v>
      </c>
      <c r="I2333" s="11" t="n">
        <v>120</v>
      </c>
      <c r="J2333" s="11" t="n">
        <v>50</v>
      </c>
      <c r="K2333" s="11" t="n">
        <f aca="false">H2333*I2333-J2333</f>
        <v>310</v>
      </c>
      <c r="L2333" s="7" t="s">
        <v>88</v>
      </c>
      <c r="M2333" s="7" t="s">
        <v>194</v>
      </c>
      <c r="N2333" s="7" t="n">
        <v>29</v>
      </c>
      <c r="O2333" s="7" t="n">
        <v>4</v>
      </c>
    </row>
    <row r="2334" customFormat="false" ht="15" hidden="false" customHeight="false" outlineLevel="0" collapsed="false">
      <c r="A2334" s="7" t="s">
        <v>3272</v>
      </c>
      <c r="B2334" s="10" t="n">
        <v>45957</v>
      </c>
      <c r="C2334" s="7" t="s">
        <v>280</v>
      </c>
      <c r="D2334" s="7" t="s">
        <v>3273</v>
      </c>
      <c r="E2334" s="7" t="s">
        <v>138</v>
      </c>
      <c r="F2334" s="7" t="s">
        <v>110</v>
      </c>
      <c r="G2334" s="7" t="s">
        <v>139</v>
      </c>
      <c r="H2334" s="7" t="n">
        <v>4</v>
      </c>
      <c r="I2334" s="11" t="n">
        <v>175</v>
      </c>
      <c r="J2334" s="11" t="n">
        <v>0</v>
      </c>
      <c r="K2334" s="11" t="n">
        <f aca="false">H2334*I2334-J2334</f>
        <v>700</v>
      </c>
      <c r="L2334" s="7" t="s">
        <v>88</v>
      </c>
      <c r="M2334" s="7" t="s">
        <v>238</v>
      </c>
      <c r="N2334" s="7"/>
      <c r="O2334" s="7"/>
    </row>
    <row r="2335" customFormat="false" ht="15" hidden="false" customHeight="false" outlineLevel="0" collapsed="false">
      <c r="A2335" s="7" t="s">
        <v>5401</v>
      </c>
      <c r="B2335" s="10" t="n">
        <v>45957</v>
      </c>
      <c r="C2335" s="7" t="s">
        <v>2133</v>
      </c>
      <c r="D2335" s="7" t="s">
        <v>3588</v>
      </c>
      <c r="E2335" s="7" t="s">
        <v>122</v>
      </c>
      <c r="F2335" s="7" t="s">
        <v>101</v>
      </c>
      <c r="G2335" s="7" t="s">
        <v>123</v>
      </c>
      <c r="H2335" s="7" t="n">
        <v>3</v>
      </c>
      <c r="I2335" s="11" t="n">
        <v>335</v>
      </c>
      <c r="J2335" s="11" t="n">
        <v>125</v>
      </c>
      <c r="K2335" s="11" t="n">
        <f aca="false">H2335*I2335-J2335</f>
        <v>880</v>
      </c>
      <c r="L2335" s="7" t="s">
        <v>88</v>
      </c>
      <c r="M2335" s="7" t="s">
        <v>194</v>
      </c>
      <c r="N2335" s="7" t="n">
        <v>38</v>
      </c>
      <c r="O2335" s="7"/>
    </row>
    <row r="2336" customFormat="false" ht="15" hidden="false" customHeight="false" outlineLevel="0" collapsed="false">
      <c r="A2336" s="7" t="s">
        <v>1021</v>
      </c>
      <c r="B2336" s="10" t="n">
        <v>45958</v>
      </c>
      <c r="C2336" s="7" t="s">
        <v>1023</v>
      </c>
      <c r="D2336" s="7" t="s">
        <v>332</v>
      </c>
      <c r="E2336" s="7" t="s">
        <v>134</v>
      </c>
      <c r="F2336" s="7" t="s">
        <v>110</v>
      </c>
      <c r="G2336" s="7" t="s">
        <v>117</v>
      </c>
      <c r="H2336" s="7" t="n">
        <v>2</v>
      </c>
      <c r="I2336" s="11" t="n">
        <v>110</v>
      </c>
      <c r="J2336" s="11" t="n">
        <v>0</v>
      </c>
      <c r="K2336" s="11" t="n">
        <f aca="false">H2336*I2336-J2336</f>
        <v>220</v>
      </c>
      <c r="L2336" s="7" t="s">
        <v>93</v>
      </c>
      <c r="M2336" s="7" t="s">
        <v>194</v>
      </c>
      <c r="N2336" s="7" t="n">
        <v>42</v>
      </c>
      <c r="O2336" s="7" t="n">
        <v>4</v>
      </c>
    </row>
    <row r="2337" customFormat="false" ht="15" hidden="false" customHeight="false" outlineLevel="0" collapsed="false">
      <c r="A2337" s="7" t="s">
        <v>2665</v>
      </c>
      <c r="B2337" s="10" t="n">
        <v>45958</v>
      </c>
      <c r="C2337" s="7" t="s">
        <v>1419</v>
      </c>
      <c r="D2337" s="7" t="s">
        <v>2114</v>
      </c>
      <c r="E2337" s="7" t="s">
        <v>126</v>
      </c>
      <c r="F2337" s="7" t="s">
        <v>101</v>
      </c>
      <c r="G2337" s="7" t="s">
        <v>105</v>
      </c>
      <c r="H2337" s="7" t="n">
        <v>1</v>
      </c>
      <c r="I2337" s="11" t="n">
        <v>210</v>
      </c>
      <c r="J2337" s="11" t="n">
        <v>0</v>
      </c>
      <c r="K2337" s="11" t="n">
        <f aca="false">H2337*I2337-J2337</f>
        <v>210</v>
      </c>
      <c r="L2337" s="7" t="s">
        <v>88</v>
      </c>
      <c r="M2337" s="7" t="s">
        <v>194</v>
      </c>
      <c r="N2337" s="7" t="n">
        <v>44</v>
      </c>
      <c r="O2337" s="7" t="n">
        <v>5</v>
      </c>
    </row>
    <row r="2338" customFormat="false" ht="15" hidden="false" customHeight="false" outlineLevel="0" collapsed="false">
      <c r="A2338" s="7" t="s">
        <v>2085</v>
      </c>
      <c r="B2338" s="10" t="n">
        <v>45958</v>
      </c>
      <c r="C2338" s="7" t="s">
        <v>883</v>
      </c>
      <c r="D2338" s="7" t="s">
        <v>2086</v>
      </c>
      <c r="E2338" s="7" t="s">
        <v>144</v>
      </c>
      <c r="F2338" s="7" t="s">
        <v>119</v>
      </c>
      <c r="G2338" s="7" t="s">
        <v>99</v>
      </c>
      <c r="H2338" s="7" t="n">
        <v>3</v>
      </c>
      <c r="I2338" s="11" t="n">
        <v>265</v>
      </c>
      <c r="J2338" s="11" t="n">
        <v>20</v>
      </c>
      <c r="K2338" s="11" t="n">
        <f aca="false">H2338*I2338-J2338</f>
        <v>775</v>
      </c>
      <c r="L2338" s="7" t="s">
        <v>88</v>
      </c>
      <c r="M2338" s="7" t="s">
        <v>194</v>
      </c>
      <c r="N2338" s="7" t="n">
        <v>45</v>
      </c>
      <c r="O2338" s="7" t="n">
        <v>5</v>
      </c>
    </row>
    <row r="2339" customFormat="false" ht="15" hidden="false" customHeight="false" outlineLevel="0" collapsed="false">
      <c r="A2339" s="7" t="s">
        <v>2166</v>
      </c>
      <c r="B2339" s="10" t="n">
        <v>45958</v>
      </c>
      <c r="C2339" s="7" t="s">
        <v>762</v>
      </c>
      <c r="D2339" s="7" t="s">
        <v>922</v>
      </c>
      <c r="E2339" s="7" t="s">
        <v>122</v>
      </c>
      <c r="F2339" s="7" t="s">
        <v>101</v>
      </c>
      <c r="G2339" s="7" t="s">
        <v>123</v>
      </c>
      <c r="H2339" s="7" t="n">
        <v>1</v>
      </c>
      <c r="I2339" s="11" t="n">
        <v>400</v>
      </c>
      <c r="J2339" s="11" t="n">
        <v>0</v>
      </c>
      <c r="K2339" s="11" t="n">
        <f aca="false">H2339*I2339-J2339</f>
        <v>400</v>
      </c>
      <c r="L2339" s="7" t="s">
        <v>103</v>
      </c>
      <c r="M2339" s="7" t="s">
        <v>194</v>
      </c>
      <c r="N2339" s="7" t="n">
        <v>37</v>
      </c>
      <c r="O2339" s="7" t="n">
        <v>3</v>
      </c>
    </row>
    <row r="2340" customFormat="false" ht="15" hidden="false" customHeight="false" outlineLevel="0" collapsed="false">
      <c r="A2340" s="7" t="s">
        <v>3172</v>
      </c>
      <c r="B2340" s="10" t="n">
        <v>45958</v>
      </c>
      <c r="C2340" s="7" t="s">
        <v>2033</v>
      </c>
      <c r="D2340" s="7" t="s">
        <v>2624</v>
      </c>
      <c r="E2340" s="7" t="s">
        <v>89</v>
      </c>
      <c r="F2340" s="7" t="s">
        <v>86</v>
      </c>
      <c r="G2340" s="7" t="s">
        <v>90</v>
      </c>
      <c r="H2340" s="7" t="n">
        <v>2</v>
      </c>
      <c r="I2340" s="11" t="n">
        <v>220</v>
      </c>
      <c r="J2340" s="11" t="n">
        <v>0</v>
      </c>
      <c r="K2340" s="11" t="n">
        <f aca="false">H2340*I2340-J2340</f>
        <v>440</v>
      </c>
      <c r="L2340" s="7" t="s">
        <v>88</v>
      </c>
      <c r="M2340" s="7" t="s">
        <v>194</v>
      </c>
      <c r="N2340" s="7" t="n">
        <v>34</v>
      </c>
      <c r="O2340" s="7"/>
    </row>
    <row r="2341" customFormat="false" ht="15" hidden="false" customHeight="false" outlineLevel="0" collapsed="false">
      <c r="A2341" s="7" t="s">
        <v>1700</v>
      </c>
      <c r="B2341" s="10" t="n">
        <v>45958</v>
      </c>
      <c r="C2341" s="7" t="s">
        <v>559</v>
      </c>
      <c r="D2341" s="7" t="s">
        <v>277</v>
      </c>
      <c r="E2341" s="7" t="s">
        <v>113</v>
      </c>
      <c r="F2341" s="7" t="s">
        <v>101</v>
      </c>
      <c r="G2341" s="7" t="s">
        <v>90</v>
      </c>
      <c r="H2341" s="7" t="n">
        <v>2</v>
      </c>
      <c r="I2341" s="11" t="n">
        <v>280</v>
      </c>
      <c r="J2341" s="11" t="n">
        <v>0</v>
      </c>
      <c r="K2341" s="11" t="n">
        <f aca="false">H2341*I2341-J2341</f>
        <v>560</v>
      </c>
      <c r="L2341" s="7" t="s">
        <v>88</v>
      </c>
      <c r="M2341" s="7" t="s">
        <v>194</v>
      </c>
      <c r="N2341" s="7" t="n">
        <v>47</v>
      </c>
      <c r="O2341" s="7" t="n">
        <v>4</v>
      </c>
    </row>
    <row r="2342" customFormat="false" ht="15" hidden="false" customHeight="false" outlineLevel="0" collapsed="false">
      <c r="A2342" s="7" t="s">
        <v>2878</v>
      </c>
      <c r="B2342" s="10" t="n">
        <v>45958</v>
      </c>
      <c r="C2342" s="7" t="s">
        <v>1624</v>
      </c>
      <c r="D2342" s="7" t="s">
        <v>2879</v>
      </c>
      <c r="E2342" s="7" t="s">
        <v>104</v>
      </c>
      <c r="F2342" s="7" t="s">
        <v>86</v>
      </c>
      <c r="G2342" s="7" t="s">
        <v>105</v>
      </c>
      <c r="H2342" s="7" t="n">
        <v>2</v>
      </c>
      <c r="I2342" s="11" t="n">
        <v>230</v>
      </c>
      <c r="J2342" s="11" t="n">
        <v>0</v>
      </c>
      <c r="K2342" s="11" t="n">
        <f aca="false">H2342*I2342-J2342</f>
        <v>460</v>
      </c>
      <c r="L2342" s="7" t="s">
        <v>88</v>
      </c>
      <c r="M2342" s="7" t="s">
        <v>194</v>
      </c>
      <c r="N2342" s="7" t="n">
        <v>48</v>
      </c>
      <c r="O2342" s="7" t="n">
        <v>5</v>
      </c>
    </row>
    <row r="2343" customFormat="false" ht="15" hidden="false" customHeight="false" outlineLevel="0" collapsed="false">
      <c r="A2343" s="7" t="s">
        <v>1622</v>
      </c>
      <c r="B2343" s="10" t="n">
        <v>45958</v>
      </c>
      <c r="C2343" s="7" t="s">
        <v>1624</v>
      </c>
      <c r="D2343" s="7" t="s">
        <v>387</v>
      </c>
      <c r="E2343" s="7" t="s">
        <v>147</v>
      </c>
      <c r="F2343" s="7" t="s">
        <v>119</v>
      </c>
      <c r="G2343" s="7" t="s">
        <v>95</v>
      </c>
      <c r="H2343" s="7" t="n">
        <v>3</v>
      </c>
      <c r="I2343" s="11" t="n">
        <v>135</v>
      </c>
      <c r="J2343" s="11" t="n">
        <v>20</v>
      </c>
      <c r="K2343" s="11" t="n">
        <f aca="false">H2343*I2343-J2343</f>
        <v>385</v>
      </c>
      <c r="L2343" s="7" t="s">
        <v>88</v>
      </c>
      <c r="M2343" s="7" t="s">
        <v>194</v>
      </c>
      <c r="N2343" s="7" t="n">
        <v>35</v>
      </c>
      <c r="O2343" s="7" t="n">
        <v>3</v>
      </c>
    </row>
    <row r="2344" customFormat="false" ht="15" hidden="false" customHeight="false" outlineLevel="0" collapsed="false">
      <c r="A2344" s="7" t="s">
        <v>4530</v>
      </c>
      <c r="B2344" s="10" t="n">
        <v>45958</v>
      </c>
      <c r="C2344" s="7" t="s">
        <v>4531</v>
      </c>
      <c r="D2344" s="7" t="s">
        <v>599</v>
      </c>
      <c r="E2344" s="7" t="s">
        <v>142</v>
      </c>
      <c r="F2344" s="7" t="s">
        <v>110</v>
      </c>
      <c r="G2344" s="7" t="s">
        <v>105</v>
      </c>
      <c r="H2344" s="7" t="n">
        <v>4</v>
      </c>
      <c r="I2344" s="11" t="n">
        <v>160</v>
      </c>
      <c r="J2344" s="11" t="n">
        <v>20</v>
      </c>
      <c r="K2344" s="11" t="n">
        <f aca="false">H2344*I2344-J2344</f>
        <v>620</v>
      </c>
      <c r="L2344" s="7" t="s">
        <v>112</v>
      </c>
      <c r="M2344" s="7" t="s">
        <v>194</v>
      </c>
      <c r="N2344" s="7" t="n">
        <v>29</v>
      </c>
      <c r="O2344" s="7" t="n">
        <v>5</v>
      </c>
    </row>
    <row r="2345" customFormat="false" ht="15" hidden="false" customHeight="false" outlineLevel="0" collapsed="false">
      <c r="A2345" s="7" t="s">
        <v>5197</v>
      </c>
      <c r="B2345" s="10" t="n">
        <v>45958</v>
      </c>
      <c r="C2345" s="7" t="s">
        <v>4591</v>
      </c>
      <c r="D2345" s="7" t="s">
        <v>192</v>
      </c>
      <c r="E2345" s="7" t="s">
        <v>159</v>
      </c>
      <c r="F2345" s="7" t="s">
        <v>136</v>
      </c>
      <c r="G2345" s="7" t="s">
        <v>90</v>
      </c>
      <c r="H2345" s="7" t="n">
        <v>1</v>
      </c>
      <c r="I2345" s="11" t="n">
        <v>255</v>
      </c>
      <c r="J2345" s="11" t="n">
        <v>0</v>
      </c>
      <c r="K2345" s="11" t="n">
        <f aca="false">H2345*I2345-J2345</f>
        <v>255</v>
      </c>
      <c r="L2345" s="7" t="s">
        <v>93</v>
      </c>
      <c r="M2345" s="7" t="s">
        <v>194</v>
      </c>
      <c r="N2345" s="7" t="n">
        <v>43</v>
      </c>
      <c r="O2345" s="7" t="n">
        <v>5</v>
      </c>
    </row>
    <row r="2346" customFormat="false" ht="15" hidden="false" customHeight="false" outlineLevel="0" collapsed="false">
      <c r="A2346" s="7" t="s">
        <v>2987</v>
      </c>
      <c r="B2346" s="10" t="n">
        <v>45959</v>
      </c>
      <c r="C2346" s="7" t="s">
        <v>2289</v>
      </c>
      <c r="D2346" s="7" t="s">
        <v>2988</v>
      </c>
      <c r="E2346" s="7" t="s">
        <v>147</v>
      </c>
      <c r="F2346" s="7" t="s">
        <v>119</v>
      </c>
      <c r="G2346" s="7" t="s">
        <v>95</v>
      </c>
      <c r="H2346" s="7" t="n">
        <v>2</v>
      </c>
      <c r="I2346" s="11" t="n">
        <v>135</v>
      </c>
      <c r="J2346" s="11" t="n">
        <v>0</v>
      </c>
      <c r="K2346" s="11" t="n">
        <f aca="false">H2346*I2346-J2346</f>
        <v>270</v>
      </c>
      <c r="L2346" s="7" t="s">
        <v>88</v>
      </c>
      <c r="M2346" s="7" t="s">
        <v>194</v>
      </c>
      <c r="N2346" s="7" t="n">
        <v>26</v>
      </c>
      <c r="O2346" s="7" t="n">
        <v>4</v>
      </c>
    </row>
    <row r="2347" customFormat="false" ht="15" hidden="false" customHeight="false" outlineLevel="0" collapsed="false">
      <c r="A2347" s="7" t="s">
        <v>2274</v>
      </c>
      <c r="B2347" s="10" t="n">
        <v>45959</v>
      </c>
      <c r="C2347" s="7" t="s">
        <v>1414</v>
      </c>
      <c r="D2347" s="7" t="s">
        <v>2276</v>
      </c>
      <c r="E2347" s="7" t="s">
        <v>98</v>
      </c>
      <c r="F2347" s="7" t="s">
        <v>86</v>
      </c>
      <c r="G2347" s="7" t="s">
        <v>99</v>
      </c>
      <c r="H2347" s="7" t="n">
        <v>2</v>
      </c>
      <c r="I2347" s="11" t="n">
        <v>260</v>
      </c>
      <c r="J2347" s="11" t="n">
        <v>0</v>
      </c>
      <c r="K2347" s="11" t="n">
        <f aca="false">H2347*I2347-J2347</f>
        <v>520</v>
      </c>
      <c r="L2347" s="7" t="s">
        <v>112</v>
      </c>
      <c r="M2347" s="7" t="s">
        <v>194</v>
      </c>
      <c r="N2347" s="7" t="n">
        <v>52</v>
      </c>
      <c r="O2347" s="7" t="n">
        <v>5</v>
      </c>
    </row>
    <row r="2348" customFormat="false" ht="15" hidden="false" customHeight="false" outlineLevel="0" collapsed="false">
      <c r="A2348" s="7" t="s">
        <v>4845</v>
      </c>
      <c r="B2348" s="10" t="n">
        <v>45959</v>
      </c>
      <c r="C2348" s="7" t="s">
        <v>2292</v>
      </c>
      <c r="D2348" s="7" t="s">
        <v>1302</v>
      </c>
      <c r="E2348" s="7" t="s">
        <v>159</v>
      </c>
      <c r="F2348" s="7" t="s">
        <v>136</v>
      </c>
      <c r="G2348" s="7" t="s">
        <v>90</v>
      </c>
      <c r="H2348" s="7" t="n">
        <v>1</v>
      </c>
      <c r="I2348" s="11" t="n">
        <v>205</v>
      </c>
      <c r="J2348" s="11" t="n">
        <v>0</v>
      </c>
      <c r="K2348" s="11" t="n">
        <f aca="false">H2348*I2348-J2348</f>
        <v>205</v>
      </c>
      <c r="L2348" s="7" t="s">
        <v>103</v>
      </c>
      <c r="M2348" s="7" t="s">
        <v>194</v>
      </c>
      <c r="N2348" s="7" t="n">
        <v>36</v>
      </c>
      <c r="O2348" s="7" t="n">
        <v>4</v>
      </c>
    </row>
    <row r="2349" customFormat="false" ht="15" hidden="false" customHeight="false" outlineLevel="0" collapsed="false">
      <c r="A2349" s="7" t="s">
        <v>2974</v>
      </c>
      <c r="B2349" s="10" t="n">
        <v>45959</v>
      </c>
      <c r="C2349" s="7" t="s">
        <v>1313</v>
      </c>
      <c r="D2349" s="7" t="s">
        <v>2139</v>
      </c>
      <c r="E2349" s="7" t="s">
        <v>116</v>
      </c>
      <c r="F2349" s="7" t="s">
        <v>101</v>
      </c>
      <c r="G2349" s="7" t="s">
        <v>117</v>
      </c>
      <c r="H2349" s="7" t="n">
        <v>1</v>
      </c>
      <c r="I2349" s="11" t="n">
        <v>120</v>
      </c>
      <c r="J2349" s="11" t="n">
        <v>0</v>
      </c>
      <c r="K2349" s="11" t="n">
        <f aca="false">H2349*I2349-J2349</f>
        <v>120</v>
      </c>
      <c r="L2349" s="7" t="s">
        <v>93</v>
      </c>
      <c r="M2349" s="7" t="s">
        <v>194</v>
      </c>
      <c r="N2349" s="7" t="n">
        <v>49</v>
      </c>
      <c r="O2349" s="7" t="n">
        <v>2</v>
      </c>
    </row>
    <row r="2350" customFormat="false" ht="15" hidden="false" customHeight="false" outlineLevel="0" collapsed="false">
      <c r="A2350" s="7" t="s">
        <v>5323</v>
      </c>
      <c r="B2350" s="10" t="n">
        <v>45960</v>
      </c>
      <c r="C2350" s="7" t="s">
        <v>5324</v>
      </c>
      <c r="D2350" s="7" t="s">
        <v>324</v>
      </c>
      <c r="E2350" s="7" t="s">
        <v>89</v>
      </c>
      <c r="F2350" s="7" t="s">
        <v>86</v>
      </c>
      <c r="G2350" s="7" t="s">
        <v>90</v>
      </c>
      <c r="H2350" s="7" t="n">
        <v>1</v>
      </c>
      <c r="I2350" s="11" t="n">
        <v>275</v>
      </c>
      <c r="J2350" s="11" t="n">
        <v>0</v>
      </c>
      <c r="K2350" s="11" t="n">
        <f aca="false">H2350*I2350-J2350</f>
        <v>275</v>
      </c>
      <c r="L2350" s="7" t="s">
        <v>93</v>
      </c>
      <c r="M2350" s="7" t="s">
        <v>194</v>
      </c>
      <c r="N2350" s="7" t="n">
        <v>36</v>
      </c>
      <c r="O2350" s="7" t="n">
        <v>3</v>
      </c>
    </row>
    <row r="2351" customFormat="false" ht="15" hidden="false" customHeight="false" outlineLevel="0" collapsed="false">
      <c r="A2351" s="7" t="s">
        <v>5167</v>
      </c>
      <c r="B2351" s="10" t="n">
        <v>45960</v>
      </c>
      <c r="C2351" s="7" t="s">
        <v>403</v>
      </c>
      <c r="D2351" s="7" t="s">
        <v>3737</v>
      </c>
      <c r="E2351" s="7" t="s">
        <v>152</v>
      </c>
      <c r="F2351" s="7" t="s">
        <v>128</v>
      </c>
      <c r="G2351" s="7" t="s">
        <v>95</v>
      </c>
      <c r="H2351" s="7" t="n">
        <v>1</v>
      </c>
      <c r="I2351" s="11" t="n">
        <v>95</v>
      </c>
      <c r="J2351" s="11" t="n">
        <v>38</v>
      </c>
      <c r="K2351" s="11" t="n">
        <f aca="false">H2351*I2351-J2351</f>
        <v>57</v>
      </c>
      <c r="L2351" s="7" t="s">
        <v>88</v>
      </c>
      <c r="M2351" s="7" t="s">
        <v>194</v>
      </c>
      <c r="N2351" s="7" t="n">
        <v>17</v>
      </c>
      <c r="O2351" s="7" t="n">
        <v>4</v>
      </c>
    </row>
    <row r="2352" customFormat="false" ht="15" hidden="false" customHeight="false" outlineLevel="0" collapsed="false">
      <c r="A2352" s="7" t="s">
        <v>5092</v>
      </c>
      <c r="B2352" s="10" t="n">
        <v>45960</v>
      </c>
      <c r="C2352" s="7" t="s">
        <v>759</v>
      </c>
      <c r="D2352" s="7" t="s">
        <v>974</v>
      </c>
      <c r="E2352" s="7" t="s">
        <v>89</v>
      </c>
      <c r="F2352" s="7" t="s">
        <v>86</v>
      </c>
      <c r="G2352" s="7" t="s">
        <v>90</v>
      </c>
      <c r="H2352" s="7" t="n">
        <v>2</v>
      </c>
      <c r="I2352" s="11" t="n">
        <v>245</v>
      </c>
      <c r="J2352" s="11" t="n">
        <v>0</v>
      </c>
      <c r="K2352" s="11" t="n">
        <f aca="false">H2352*I2352-J2352</f>
        <v>490</v>
      </c>
      <c r="L2352" s="7" t="s">
        <v>93</v>
      </c>
      <c r="M2352" s="7" t="s">
        <v>194</v>
      </c>
      <c r="N2352" s="7" t="n">
        <v>40</v>
      </c>
      <c r="O2352" s="7" t="n">
        <v>5</v>
      </c>
    </row>
    <row r="2353" customFormat="false" ht="15" hidden="false" customHeight="false" outlineLevel="0" collapsed="false">
      <c r="A2353" s="7" t="s">
        <v>2267</v>
      </c>
      <c r="B2353" s="10" t="n">
        <v>45960</v>
      </c>
      <c r="C2353" s="7" t="s">
        <v>2268</v>
      </c>
      <c r="D2353" s="7" t="s">
        <v>501</v>
      </c>
      <c r="E2353" s="7" t="s">
        <v>142</v>
      </c>
      <c r="F2353" s="7" t="s">
        <v>110</v>
      </c>
      <c r="G2353" s="7" t="s">
        <v>105</v>
      </c>
      <c r="H2353" s="7" t="n">
        <v>1</v>
      </c>
      <c r="I2353" s="11" t="n">
        <v>125</v>
      </c>
      <c r="J2353" s="11" t="n">
        <v>50</v>
      </c>
      <c r="K2353" s="11" t="n">
        <f aca="false">H2353*I2353-J2353</f>
        <v>75</v>
      </c>
      <c r="L2353" s="7" t="s">
        <v>88</v>
      </c>
      <c r="M2353" s="7" t="s">
        <v>194</v>
      </c>
      <c r="N2353" s="7" t="n">
        <v>37</v>
      </c>
      <c r="O2353" s="7" t="n">
        <v>4</v>
      </c>
    </row>
    <row r="2354" customFormat="false" ht="15" hidden="false" customHeight="false" outlineLevel="0" collapsed="false">
      <c r="A2354" s="7" t="s">
        <v>5475</v>
      </c>
      <c r="B2354" s="10" t="n">
        <v>45960</v>
      </c>
      <c r="C2354" s="7" t="s">
        <v>1674</v>
      </c>
      <c r="D2354" s="7" t="s">
        <v>1815</v>
      </c>
      <c r="E2354" s="7" t="s">
        <v>164</v>
      </c>
      <c r="F2354" s="7" t="s">
        <v>141</v>
      </c>
      <c r="G2354" s="7" t="s">
        <v>150</v>
      </c>
      <c r="H2354" s="7" t="n">
        <v>3</v>
      </c>
      <c r="I2354" s="11" t="n">
        <v>115</v>
      </c>
      <c r="J2354" s="11" t="n">
        <v>75</v>
      </c>
      <c r="K2354" s="11" t="n">
        <f aca="false">H2354*I2354-J2354</f>
        <v>270</v>
      </c>
      <c r="L2354" s="7" t="s">
        <v>103</v>
      </c>
      <c r="M2354" s="7" t="s">
        <v>194</v>
      </c>
      <c r="N2354" s="7" t="n">
        <v>37</v>
      </c>
      <c r="O2354" s="7" t="n">
        <v>5</v>
      </c>
    </row>
    <row r="2355" customFormat="false" ht="15" hidden="false" customHeight="false" outlineLevel="0" collapsed="false">
      <c r="A2355" s="7" t="s">
        <v>1421</v>
      </c>
      <c r="B2355" s="10" t="n">
        <v>45960</v>
      </c>
      <c r="C2355" s="7" t="s">
        <v>1423</v>
      </c>
      <c r="D2355" s="7" t="s">
        <v>1424</v>
      </c>
      <c r="E2355" s="7" t="s">
        <v>148</v>
      </c>
      <c r="F2355" s="7" t="s">
        <v>119</v>
      </c>
      <c r="G2355" s="7" t="s">
        <v>123</v>
      </c>
      <c r="H2355" s="7" t="n">
        <v>1</v>
      </c>
      <c r="I2355" s="11" t="n">
        <v>340</v>
      </c>
      <c r="J2355" s="11" t="n">
        <v>0</v>
      </c>
      <c r="K2355" s="11" t="n">
        <f aca="false">H2355*I2355-J2355</f>
        <v>340</v>
      </c>
      <c r="L2355" s="7" t="s">
        <v>88</v>
      </c>
      <c r="M2355" s="7" t="s">
        <v>194</v>
      </c>
      <c r="N2355" s="7" t="n">
        <v>28</v>
      </c>
      <c r="O2355" s="7" t="n">
        <v>3</v>
      </c>
    </row>
    <row r="2356" customFormat="false" ht="15" hidden="false" customHeight="false" outlineLevel="0" collapsed="false">
      <c r="A2356" s="7" t="s">
        <v>4887</v>
      </c>
      <c r="B2356" s="10" t="n">
        <v>45960</v>
      </c>
      <c r="C2356" s="7" t="s">
        <v>1336</v>
      </c>
      <c r="D2356" s="7" t="s">
        <v>1954</v>
      </c>
      <c r="E2356" s="7" t="s">
        <v>142</v>
      </c>
      <c r="F2356" s="7" t="s">
        <v>110</v>
      </c>
      <c r="G2356" s="7" t="s">
        <v>105</v>
      </c>
      <c r="H2356" s="7" t="n">
        <v>4</v>
      </c>
      <c r="I2356" s="11" t="n">
        <v>150</v>
      </c>
      <c r="J2356" s="11" t="n">
        <v>30</v>
      </c>
      <c r="K2356" s="11" t="n">
        <f aca="false">H2356*I2356-J2356</f>
        <v>570</v>
      </c>
      <c r="L2356" s="7" t="s">
        <v>88</v>
      </c>
      <c r="M2356" s="7" t="s">
        <v>194</v>
      </c>
      <c r="N2356" s="7" t="n">
        <v>34</v>
      </c>
      <c r="O2356" s="7" t="n">
        <v>4</v>
      </c>
    </row>
    <row r="2357" customFormat="false" ht="15" hidden="false" customHeight="false" outlineLevel="0" collapsed="false">
      <c r="A2357" s="7" t="s">
        <v>4836</v>
      </c>
      <c r="B2357" s="10" t="n">
        <v>45960</v>
      </c>
      <c r="C2357" s="7" t="s">
        <v>1640</v>
      </c>
      <c r="D2357" s="7" t="s">
        <v>2738</v>
      </c>
      <c r="E2357" s="7" t="s">
        <v>147</v>
      </c>
      <c r="F2357" s="7" t="s">
        <v>119</v>
      </c>
      <c r="G2357" s="7" t="s">
        <v>95</v>
      </c>
      <c r="H2357" s="7" t="n">
        <v>2</v>
      </c>
      <c r="I2357" s="11" t="n">
        <v>130</v>
      </c>
      <c r="J2357" s="11" t="n">
        <v>104</v>
      </c>
      <c r="K2357" s="11" t="n">
        <f aca="false">H2357*I2357-J2357</f>
        <v>156</v>
      </c>
      <c r="L2357" s="7" t="s">
        <v>88</v>
      </c>
      <c r="M2357" s="7" t="s">
        <v>194</v>
      </c>
      <c r="N2357" s="7" t="n">
        <v>33</v>
      </c>
      <c r="O2357" s="7" t="n">
        <v>2</v>
      </c>
    </row>
    <row r="2358" customFormat="false" ht="15" hidden="false" customHeight="false" outlineLevel="0" collapsed="false">
      <c r="A2358" s="7" t="s">
        <v>6097</v>
      </c>
      <c r="B2358" s="10" t="n">
        <v>45960</v>
      </c>
      <c r="C2358" s="7" t="s">
        <v>1836</v>
      </c>
      <c r="D2358" s="7" t="s">
        <v>6098</v>
      </c>
      <c r="E2358" s="7" t="s">
        <v>147</v>
      </c>
      <c r="F2358" s="7" t="s">
        <v>119</v>
      </c>
      <c r="G2358" s="7" t="s">
        <v>95</v>
      </c>
      <c r="H2358" s="7" t="n">
        <v>3</v>
      </c>
      <c r="I2358" s="11" t="n">
        <v>190</v>
      </c>
      <c r="J2358" s="11" t="n">
        <v>0</v>
      </c>
      <c r="K2358" s="11" t="n">
        <f aca="false">H2358*I2358-J2358</f>
        <v>570</v>
      </c>
      <c r="L2358" s="7" t="s">
        <v>93</v>
      </c>
      <c r="M2358" s="7" t="s">
        <v>194</v>
      </c>
      <c r="N2358" s="7" t="n">
        <v>36</v>
      </c>
      <c r="O2358" s="7" t="n">
        <v>4</v>
      </c>
    </row>
    <row r="2359" customFormat="false" ht="15" hidden="false" customHeight="false" outlineLevel="0" collapsed="false">
      <c r="A2359" s="7" t="s">
        <v>902</v>
      </c>
      <c r="B2359" s="10" t="n">
        <v>45960</v>
      </c>
      <c r="C2359" s="7" t="s">
        <v>904</v>
      </c>
      <c r="D2359" s="7" t="s">
        <v>905</v>
      </c>
      <c r="E2359" s="7" t="s">
        <v>116</v>
      </c>
      <c r="F2359" s="7" t="s">
        <v>101</v>
      </c>
      <c r="G2359" s="7" t="s">
        <v>117</v>
      </c>
      <c r="H2359" s="7" t="n">
        <v>1</v>
      </c>
      <c r="I2359" s="11" t="n">
        <v>115</v>
      </c>
      <c r="J2359" s="11" t="n">
        <v>46</v>
      </c>
      <c r="K2359" s="11" t="n">
        <f aca="false">H2359*I2359-J2359</f>
        <v>69</v>
      </c>
      <c r="L2359" s="7" t="s">
        <v>88</v>
      </c>
      <c r="M2359" s="7" t="s">
        <v>194</v>
      </c>
      <c r="N2359" s="7" t="n">
        <v>42</v>
      </c>
      <c r="O2359" s="7" t="n">
        <v>4</v>
      </c>
    </row>
    <row r="2360" customFormat="false" ht="15" hidden="false" customHeight="false" outlineLevel="0" collapsed="false">
      <c r="A2360" s="7" t="s">
        <v>4914</v>
      </c>
      <c r="B2360" s="10" t="n">
        <v>45961</v>
      </c>
      <c r="C2360" s="7" t="s">
        <v>4497</v>
      </c>
      <c r="D2360" s="7" t="s">
        <v>2618</v>
      </c>
      <c r="E2360" s="7" t="s">
        <v>147</v>
      </c>
      <c r="F2360" s="7" t="s">
        <v>119</v>
      </c>
      <c r="G2360" s="7" t="s">
        <v>95</v>
      </c>
      <c r="H2360" s="7" t="n">
        <v>1</v>
      </c>
      <c r="I2360" s="11" t="n">
        <v>180</v>
      </c>
      <c r="J2360" s="11" t="n">
        <v>0</v>
      </c>
      <c r="K2360" s="11" t="n">
        <f aca="false">H2360*I2360-J2360</f>
        <v>180</v>
      </c>
      <c r="L2360" s="7" t="s">
        <v>93</v>
      </c>
      <c r="M2360" s="7" t="s">
        <v>194</v>
      </c>
      <c r="N2360" s="7" t="n">
        <v>24</v>
      </c>
      <c r="O2360" s="7" t="n">
        <v>5</v>
      </c>
    </row>
    <row r="2361" customFormat="false" ht="15" hidden="false" customHeight="false" outlineLevel="0" collapsed="false">
      <c r="A2361" s="7" t="s">
        <v>3947</v>
      </c>
      <c r="B2361" s="10" t="n">
        <v>45961</v>
      </c>
      <c r="C2361" s="7" t="s">
        <v>2592</v>
      </c>
      <c r="D2361" s="7" t="s">
        <v>3042</v>
      </c>
      <c r="E2361" s="7" t="s">
        <v>164</v>
      </c>
      <c r="F2361" s="7" t="s">
        <v>141</v>
      </c>
      <c r="G2361" s="7" t="s">
        <v>150</v>
      </c>
      <c r="H2361" s="7" t="n">
        <v>5</v>
      </c>
      <c r="I2361" s="11" t="n">
        <v>125</v>
      </c>
      <c r="J2361" s="11" t="n">
        <v>30</v>
      </c>
      <c r="K2361" s="11" t="n">
        <f aca="false">H2361*I2361-J2361</f>
        <v>595</v>
      </c>
      <c r="L2361" s="7" t="s">
        <v>103</v>
      </c>
      <c r="M2361" s="7" t="s">
        <v>194</v>
      </c>
      <c r="N2361" s="7" t="n">
        <v>34</v>
      </c>
      <c r="O2361" s="7" t="n">
        <v>4</v>
      </c>
    </row>
    <row r="2362" customFormat="false" ht="15" hidden="false" customHeight="false" outlineLevel="0" collapsed="false">
      <c r="A2362" s="7" t="s">
        <v>4611</v>
      </c>
      <c r="B2362" s="10" t="n">
        <v>45961</v>
      </c>
      <c r="C2362" s="7" t="s">
        <v>403</v>
      </c>
      <c r="D2362" s="7" t="s">
        <v>1590</v>
      </c>
      <c r="E2362" s="7" t="s">
        <v>154</v>
      </c>
      <c r="F2362" s="7" t="s">
        <v>128</v>
      </c>
      <c r="G2362" s="7" t="s">
        <v>99</v>
      </c>
      <c r="H2362" s="7" t="n">
        <v>1</v>
      </c>
      <c r="I2362" s="11" t="n">
        <v>275</v>
      </c>
      <c r="J2362" s="11" t="n">
        <v>0</v>
      </c>
      <c r="K2362" s="11" t="n">
        <f aca="false">H2362*I2362-J2362</f>
        <v>275</v>
      </c>
      <c r="L2362" s="7" t="s">
        <v>103</v>
      </c>
      <c r="M2362" s="7" t="s">
        <v>194</v>
      </c>
      <c r="N2362" s="7" t="n">
        <v>30</v>
      </c>
      <c r="O2362" s="7" t="n">
        <v>5</v>
      </c>
    </row>
    <row r="2363" customFormat="false" ht="15" hidden="false" customHeight="false" outlineLevel="0" collapsed="false">
      <c r="A2363" s="7" t="s">
        <v>3948</v>
      </c>
      <c r="B2363" s="10" t="n">
        <v>45961</v>
      </c>
      <c r="C2363" s="7" t="s">
        <v>3600</v>
      </c>
      <c r="D2363" s="7" t="s">
        <v>3949</v>
      </c>
      <c r="E2363" s="7" t="s">
        <v>104</v>
      </c>
      <c r="F2363" s="7" t="s">
        <v>86</v>
      </c>
      <c r="G2363" s="7" t="s">
        <v>105</v>
      </c>
      <c r="H2363" s="7" t="n">
        <v>3</v>
      </c>
      <c r="I2363" s="11" t="n">
        <v>170</v>
      </c>
      <c r="J2363" s="11" t="n">
        <v>50</v>
      </c>
      <c r="K2363" s="11" t="n">
        <f aca="false">H2363*I2363-J2363</f>
        <v>460</v>
      </c>
      <c r="L2363" s="7" t="s">
        <v>88</v>
      </c>
      <c r="M2363" s="7" t="s">
        <v>194</v>
      </c>
      <c r="N2363" s="7" t="n">
        <v>31</v>
      </c>
      <c r="O2363" s="7" t="n">
        <v>4</v>
      </c>
    </row>
    <row r="2364" customFormat="false" ht="15" hidden="false" customHeight="false" outlineLevel="0" collapsed="false">
      <c r="A2364" s="7" t="s">
        <v>397</v>
      </c>
      <c r="B2364" s="10" t="n">
        <v>45961</v>
      </c>
      <c r="C2364" s="7" t="s">
        <v>399</v>
      </c>
      <c r="D2364" s="7" t="s">
        <v>400</v>
      </c>
      <c r="E2364" s="7" t="s">
        <v>116</v>
      </c>
      <c r="F2364" s="7" t="s">
        <v>101</v>
      </c>
      <c r="G2364" s="7" t="s">
        <v>117</v>
      </c>
      <c r="H2364" s="7" t="n">
        <v>2</v>
      </c>
      <c r="I2364" s="11" t="n">
        <v>145</v>
      </c>
      <c r="J2364" s="11" t="n">
        <v>116</v>
      </c>
      <c r="K2364" s="11" t="n">
        <f aca="false">H2364*I2364-J2364</f>
        <v>174</v>
      </c>
      <c r="L2364" s="7" t="s">
        <v>88</v>
      </c>
      <c r="M2364" s="7" t="s">
        <v>194</v>
      </c>
      <c r="N2364" s="7" t="n">
        <v>49</v>
      </c>
      <c r="O2364" s="7"/>
    </row>
    <row r="2365" customFormat="false" ht="15" hidden="false" customHeight="false" outlineLevel="0" collapsed="false">
      <c r="A2365" s="7" t="s">
        <v>4023</v>
      </c>
      <c r="B2365" s="10" t="n">
        <v>45961</v>
      </c>
      <c r="C2365" s="7" t="s">
        <v>4024</v>
      </c>
      <c r="D2365" s="7" t="s">
        <v>1815</v>
      </c>
      <c r="E2365" s="7" t="s">
        <v>138</v>
      </c>
      <c r="F2365" s="7" t="s">
        <v>110</v>
      </c>
      <c r="G2365" s="7" t="s">
        <v>139</v>
      </c>
      <c r="H2365" s="7" t="n">
        <v>3</v>
      </c>
      <c r="I2365" s="11" t="n">
        <v>190</v>
      </c>
      <c r="J2365" s="11" t="n">
        <v>0</v>
      </c>
      <c r="K2365" s="11" t="n">
        <f aca="false">H2365*I2365-J2365</f>
        <v>570</v>
      </c>
      <c r="L2365" s="7" t="s">
        <v>88</v>
      </c>
      <c r="M2365" s="7" t="s">
        <v>238</v>
      </c>
      <c r="N2365" s="7"/>
      <c r="O2365" s="7"/>
    </row>
    <row r="2366" customFormat="false" ht="15" hidden="false" customHeight="false" outlineLevel="0" collapsed="false">
      <c r="A2366" s="7" t="s">
        <v>5684</v>
      </c>
      <c r="B2366" s="10" t="n">
        <v>45961</v>
      </c>
      <c r="C2366" s="7" t="s">
        <v>5685</v>
      </c>
      <c r="D2366" s="7" t="s">
        <v>4476</v>
      </c>
      <c r="E2366" s="7" t="s">
        <v>154</v>
      </c>
      <c r="F2366" s="7" t="s">
        <v>128</v>
      </c>
      <c r="G2366" s="7" t="s">
        <v>99</v>
      </c>
      <c r="H2366" s="7" t="n">
        <v>2</v>
      </c>
      <c r="I2366" s="11" t="n">
        <v>265</v>
      </c>
      <c r="J2366" s="11" t="n">
        <v>30</v>
      </c>
      <c r="K2366" s="11" t="n">
        <f aca="false">H2366*I2366-J2366</f>
        <v>500</v>
      </c>
      <c r="L2366" s="7" t="s">
        <v>88</v>
      </c>
      <c r="M2366" s="7" t="s">
        <v>194</v>
      </c>
      <c r="N2366" s="7" t="n">
        <v>29</v>
      </c>
      <c r="O2366" s="7" t="n">
        <v>4</v>
      </c>
    </row>
    <row r="2367" customFormat="false" ht="15" hidden="false" customHeight="false" outlineLevel="0" collapsed="false">
      <c r="A2367" s="7" t="s">
        <v>3248</v>
      </c>
      <c r="B2367" s="10" t="n">
        <v>45961</v>
      </c>
      <c r="C2367" s="7" t="s">
        <v>1474</v>
      </c>
      <c r="D2367" s="7" t="s">
        <v>2973</v>
      </c>
      <c r="E2367" s="7" t="s">
        <v>98</v>
      </c>
      <c r="F2367" s="7" t="s">
        <v>86</v>
      </c>
      <c r="G2367" s="7" t="s">
        <v>99</v>
      </c>
      <c r="H2367" s="7" t="n">
        <v>1</v>
      </c>
      <c r="I2367" s="11" t="n">
        <v>265</v>
      </c>
      <c r="J2367" s="11" t="n">
        <v>50</v>
      </c>
      <c r="K2367" s="11" t="n">
        <f aca="false">H2367*I2367-J2367</f>
        <v>215</v>
      </c>
      <c r="L2367" s="7" t="s">
        <v>121</v>
      </c>
      <c r="M2367" s="7" t="s">
        <v>194</v>
      </c>
      <c r="N2367" s="7" t="n">
        <v>31</v>
      </c>
      <c r="O2367" s="7" t="n">
        <v>5</v>
      </c>
    </row>
    <row r="2368" customFormat="false" ht="15" hidden="false" customHeight="false" outlineLevel="0" collapsed="false">
      <c r="A2368" s="7" t="s">
        <v>557</v>
      </c>
      <c r="B2368" s="10" t="n">
        <v>45961</v>
      </c>
      <c r="C2368" s="7" t="s">
        <v>559</v>
      </c>
      <c r="D2368" s="7" t="s">
        <v>560</v>
      </c>
      <c r="E2368" s="7" t="s">
        <v>122</v>
      </c>
      <c r="F2368" s="7" t="s">
        <v>101</v>
      </c>
      <c r="G2368" s="7" t="s">
        <v>123</v>
      </c>
      <c r="H2368" s="7" t="n">
        <v>1</v>
      </c>
      <c r="I2368" s="11" t="n">
        <v>395</v>
      </c>
      <c r="J2368" s="11" t="n">
        <v>0</v>
      </c>
      <c r="K2368" s="11" t="n">
        <f aca="false">H2368*I2368-J2368</f>
        <v>395</v>
      </c>
      <c r="L2368" s="7" t="s">
        <v>103</v>
      </c>
      <c r="M2368" s="7" t="s">
        <v>194</v>
      </c>
      <c r="N2368" s="7" t="n">
        <v>28</v>
      </c>
      <c r="O2368" s="7" t="n">
        <v>3</v>
      </c>
    </row>
    <row r="2369" customFormat="false" ht="15" hidden="false" customHeight="false" outlineLevel="0" collapsed="false">
      <c r="A2369" s="7" t="s">
        <v>3526</v>
      </c>
      <c r="B2369" s="10" t="n">
        <v>45961</v>
      </c>
      <c r="C2369" s="7" t="s">
        <v>197</v>
      </c>
      <c r="D2369" s="7" t="s">
        <v>3527</v>
      </c>
      <c r="E2369" s="7" t="s">
        <v>144</v>
      </c>
      <c r="F2369" s="7" t="s">
        <v>119</v>
      </c>
      <c r="G2369" s="7" t="s">
        <v>99</v>
      </c>
      <c r="H2369" s="7" t="n">
        <v>1</v>
      </c>
      <c r="I2369" s="11" t="n">
        <v>310</v>
      </c>
      <c r="J2369" s="11" t="n">
        <v>0</v>
      </c>
      <c r="K2369" s="11" t="n">
        <f aca="false">H2369*I2369-J2369</f>
        <v>310</v>
      </c>
      <c r="L2369" s="7" t="s">
        <v>88</v>
      </c>
      <c r="M2369" s="7" t="s">
        <v>194</v>
      </c>
      <c r="N2369" s="7" t="n">
        <v>29</v>
      </c>
      <c r="O2369" s="7" t="n">
        <v>4</v>
      </c>
    </row>
    <row r="2370" customFormat="false" ht="15" hidden="false" customHeight="false" outlineLevel="0" collapsed="false">
      <c r="A2370" s="7" t="s">
        <v>3644</v>
      </c>
      <c r="B2370" s="10" t="n">
        <v>45962</v>
      </c>
      <c r="C2370" s="7" t="s">
        <v>338</v>
      </c>
      <c r="D2370" s="7" t="s">
        <v>3645</v>
      </c>
      <c r="E2370" s="7" t="s">
        <v>138</v>
      </c>
      <c r="F2370" s="7" t="s">
        <v>110</v>
      </c>
      <c r="G2370" s="7" t="s">
        <v>139</v>
      </c>
      <c r="H2370" s="7" t="n">
        <v>1</v>
      </c>
      <c r="I2370" s="11" t="n">
        <v>175</v>
      </c>
      <c r="J2370" s="11" t="n">
        <v>0</v>
      </c>
      <c r="K2370" s="11" t="n">
        <f aca="false">H2370*I2370-J2370</f>
        <v>175</v>
      </c>
      <c r="L2370" s="7" t="s">
        <v>88</v>
      </c>
      <c r="M2370" s="7" t="s">
        <v>194</v>
      </c>
      <c r="N2370" s="7" t="n">
        <v>40</v>
      </c>
      <c r="O2370" s="7" t="n">
        <v>3</v>
      </c>
    </row>
    <row r="2371" customFormat="false" ht="15" hidden="false" customHeight="false" outlineLevel="0" collapsed="false">
      <c r="A2371" s="7" t="s">
        <v>4608</v>
      </c>
      <c r="B2371" s="10" t="n">
        <v>45962</v>
      </c>
      <c r="C2371" s="7" t="s">
        <v>4609</v>
      </c>
      <c r="D2371" s="7" t="s">
        <v>4610</v>
      </c>
      <c r="E2371" s="7" t="s">
        <v>89</v>
      </c>
      <c r="F2371" s="7" t="s">
        <v>86</v>
      </c>
      <c r="G2371" s="7" t="s">
        <v>90</v>
      </c>
      <c r="H2371" s="7" t="n">
        <v>2</v>
      </c>
      <c r="I2371" s="11" t="n">
        <v>255</v>
      </c>
      <c r="J2371" s="11" t="n">
        <v>0</v>
      </c>
      <c r="K2371" s="11" t="n">
        <f aca="false">H2371*I2371-J2371</f>
        <v>510</v>
      </c>
      <c r="L2371" s="7" t="s">
        <v>121</v>
      </c>
      <c r="M2371" s="7" t="s">
        <v>194</v>
      </c>
      <c r="N2371" s="7" t="n">
        <v>34</v>
      </c>
      <c r="O2371" s="7" t="n">
        <v>5</v>
      </c>
    </row>
    <row r="2372" customFormat="false" ht="15" hidden="false" customHeight="false" outlineLevel="0" collapsed="false">
      <c r="A2372" s="7" t="s">
        <v>4693</v>
      </c>
      <c r="B2372" s="10" t="n">
        <v>45962</v>
      </c>
      <c r="C2372" s="7" t="s">
        <v>508</v>
      </c>
      <c r="D2372" s="7" t="s">
        <v>4694</v>
      </c>
      <c r="E2372" s="7" t="s">
        <v>113</v>
      </c>
      <c r="F2372" s="7" t="s">
        <v>101</v>
      </c>
      <c r="G2372" s="7" t="s">
        <v>90</v>
      </c>
      <c r="H2372" s="7" t="n">
        <v>1</v>
      </c>
      <c r="I2372" s="11" t="n">
        <v>250</v>
      </c>
      <c r="J2372" s="11" t="n">
        <v>40</v>
      </c>
      <c r="K2372" s="11" t="n">
        <f aca="false">H2372*I2372-J2372</f>
        <v>210</v>
      </c>
      <c r="L2372" s="7" t="s">
        <v>88</v>
      </c>
      <c r="M2372" s="7" t="s">
        <v>194</v>
      </c>
      <c r="N2372" s="7" t="n">
        <v>39</v>
      </c>
      <c r="O2372" s="7" t="n">
        <v>5</v>
      </c>
    </row>
    <row r="2373" customFormat="false" ht="15" hidden="false" customHeight="false" outlineLevel="0" collapsed="false">
      <c r="A2373" s="7" t="s">
        <v>4451</v>
      </c>
      <c r="B2373" s="10" t="n">
        <v>45962</v>
      </c>
      <c r="C2373" s="7" t="s">
        <v>1820</v>
      </c>
      <c r="D2373" s="7" t="s">
        <v>4216</v>
      </c>
      <c r="E2373" s="7" t="s">
        <v>134</v>
      </c>
      <c r="F2373" s="7" t="s">
        <v>110</v>
      </c>
      <c r="G2373" s="7" t="s">
        <v>117</v>
      </c>
      <c r="H2373" s="7" t="n">
        <v>1</v>
      </c>
      <c r="I2373" s="11" t="n">
        <v>130</v>
      </c>
      <c r="J2373" s="11" t="n">
        <v>50</v>
      </c>
      <c r="K2373" s="11" t="n">
        <f aca="false">H2373*I2373-J2373</f>
        <v>80</v>
      </c>
      <c r="L2373" s="7" t="s">
        <v>103</v>
      </c>
      <c r="M2373" s="7" t="s">
        <v>194</v>
      </c>
      <c r="N2373" s="7" t="n">
        <v>31</v>
      </c>
      <c r="O2373" s="7" t="n">
        <v>5</v>
      </c>
    </row>
    <row r="2374" customFormat="false" ht="15" hidden="false" customHeight="false" outlineLevel="0" collapsed="false">
      <c r="A2374" s="7" t="s">
        <v>4151</v>
      </c>
      <c r="B2374" s="10" t="n">
        <v>45962</v>
      </c>
      <c r="C2374" s="7" t="s">
        <v>1820</v>
      </c>
      <c r="D2374" s="7" t="s">
        <v>4152</v>
      </c>
      <c r="E2374" s="7" t="s">
        <v>163</v>
      </c>
      <c r="F2374" s="7" t="s">
        <v>141</v>
      </c>
      <c r="G2374" s="7" t="s">
        <v>99</v>
      </c>
      <c r="H2374" s="7" t="n">
        <v>2</v>
      </c>
      <c r="I2374" s="11" t="n">
        <v>210</v>
      </c>
      <c r="J2374" s="11" t="n">
        <v>0</v>
      </c>
      <c r="K2374" s="11" t="n">
        <f aca="false">H2374*I2374-J2374</f>
        <v>420</v>
      </c>
      <c r="L2374" s="7" t="s">
        <v>88</v>
      </c>
      <c r="M2374" s="7" t="s">
        <v>194</v>
      </c>
      <c r="N2374" s="7" t="n">
        <v>53</v>
      </c>
      <c r="O2374" s="7" t="n">
        <v>4</v>
      </c>
    </row>
    <row r="2375" customFormat="false" ht="15" hidden="false" customHeight="false" outlineLevel="0" collapsed="false">
      <c r="A2375" s="7" t="s">
        <v>3544</v>
      </c>
      <c r="B2375" s="10" t="n">
        <v>45962</v>
      </c>
      <c r="C2375" s="7" t="s">
        <v>191</v>
      </c>
      <c r="D2375" s="7" t="s">
        <v>2577</v>
      </c>
      <c r="E2375" s="7" t="s">
        <v>158</v>
      </c>
      <c r="F2375" s="7" t="s">
        <v>136</v>
      </c>
      <c r="G2375" s="7" t="s">
        <v>139</v>
      </c>
      <c r="H2375" s="7" t="n">
        <v>1</v>
      </c>
      <c r="I2375" s="11" t="n">
        <v>170</v>
      </c>
      <c r="J2375" s="11" t="n">
        <v>0</v>
      </c>
      <c r="K2375" s="11" t="n">
        <f aca="false">H2375*I2375-J2375</f>
        <v>170</v>
      </c>
      <c r="L2375" s="7" t="s">
        <v>88</v>
      </c>
      <c r="M2375" s="7" t="s">
        <v>238</v>
      </c>
      <c r="N2375" s="7"/>
      <c r="O2375" s="7"/>
    </row>
    <row r="2376" customFormat="false" ht="15" hidden="false" customHeight="false" outlineLevel="0" collapsed="false">
      <c r="A2376" s="7" t="s">
        <v>4997</v>
      </c>
      <c r="B2376" s="10" t="n">
        <v>45962</v>
      </c>
      <c r="C2376" s="7" t="s">
        <v>315</v>
      </c>
      <c r="D2376" s="7" t="s">
        <v>4998</v>
      </c>
      <c r="E2376" s="7" t="s">
        <v>167</v>
      </c>
      <c r="F2376" s="7" t="s">
        <v>146</v>
      </c>
      <c r="G2376" s="7" t="s">
        <v>156</v>
      </c>
      <c r="H2376" s="7" t="n">
        <v>4</v>
      </c>
      <c r="I2376" s="11" t="n">
        <v>240</v>
      </c>
      <c r="J2376" s="11" t="n">
        <v>0</v>
      </c>
      <c r="K2376" s="11" t="n">
        <f aca="false">H2376*I2376-J2376</f>
        <v>960</v>
      </c>
      <c r="L2376" s="7" t="s">
        <v>93</v>
      </c>
      <c r="M2376" s="7" t="s">
        <v>194</v>
      </c>
      <c r="N2376" s="7" t="n">
        <v>32</v>
      </c>
      <c r="O2376" s="7" t="n">
        <v>3</v>
      </c>
    </row>
    <row r="2377" customFormat="false" ht="15" hidden="false" customHeight="false" outlineLevel="0" collapsed="false">
      <c r="A2377" s="7" t="s">
        <v>774</v>
      </c>
      <c r="B2377" s="10" t="n">
        <v>45962</v>
      </c>
      <c r="C2377" s="7" t="s">
        <v>776</v>
      </c>
      <c r="D2377" s="7" t="s">
        <v>777</v>
      </c>
      <c r="E2377" s="7" t="s">
        <v>168</v>
      </c>
      <c r="F2377" s="7" t="s">
        <v>146</v>
      </c>
      <c r="G2377" s="7" t="s">
        <v>123</v>
      </c>
      <c r="H2377" s="7" t="n">
        <v>1</v>
      </c>
      <c r="I2377" s="11" t="n">
        <v>305</v>
      </c>
      <c r="J2377" s="11" t="n">
        <v>0</v>
      </c>
      <c r="K2377" s="11" t="n">
        <f aca="false">H2377*I2377-J2377</f>
        <v>305</v>
      </c>
      <c r="L2377" s="7" t="s">
        <v>88</v>
      </c>
      <c r="M2377" s="7" t="s">
        <v>194</v>
      </c>
      <c r="N2377" s="7" t="n">
        <v>32</v>
      </c>
      <c r="O2377" s="7" t="n">
        <v>3</v>
      </c>
    </row>
    <row r="2378" customFormat="false" ht="15" hidden="false" customHeight="false" outlineLevel="0" collapsed="false">
      <c r="A2378" s="7" t="s">
        <v>4729</v>
      </c>
      <c r="B2378" s="10" t="n">
        <v>45962</v>
      </c>
      <c r="C2378" s="7" t="s">
        <v>2602</v>
      </c>
      <c r="D2378" s="7" t="s">
        <v>1738</v>
      </c>
      <c r="E2378" s="7" t="s">
        <v>151</v>
      </c>
      <c r="F2378" s="7" t="s">
        <v>128</v>
      </c>
      <c r="G2378" s="7" t="s">
        <v>95</v>
      </c>
      <c r="H2378" s="7" t="n">
        <v>4</v>
      </c>
      <c r="I2378" s="11" t="n">
        <v>145</v>
      </c>
      <c r="J2378" s="11" t="n">
        <v>150</v>
      </c>
      <c r="K2378" s="11" t="n">
        <f aca="false">H2378*I2378-J2378</f>
        <v>430</v>
      </c>
      <c r="L2378" s="7" t="s">
        <v>112</v>
      </c>
      <c r="M2378" s="7" t="s">
        <v>194</v>
      </c>
      <c r="N2378" s="7" t="n">
        <v>38</v>
      </c>
      <c r="O2378" s="7" t="n">
        <v>4</v>
      </c>
    </row>
    <row r="2379" customFormat="false" ht="15" hidden="false" customHeight="false" outlineLevel="0" collapsed="false">
      <c r="A2379" s="7" t="s">
        <v>2311</v>
      </c>
      <c r="B2379" s="10" t="n">
        <v>45962</v>
      </c>
      <c r="C2379" s="7" t="s">
        <v>1941</v>
      </c>
      <c r="D2379" s="7" t="s">
        <v>2313</v>
      </c>
      <c r="E2379" s="7" t="s">
        <v>94</v>
      </c>
      <c r="F2379" s="7" t="s">
        <v>86</v>
      </c>
      <c r="G2379" s="7" t="s">
        <v>95</v>
      </c>
      <c r="H2379" s="7" t="n">
        <v>4</v>
      </c>
      <c r="I2379" s="11" t="n">
        <v>130</v>
      </c>
      <c r="J2379" s="11" t="n">
        <v>0</v>
      </c>
      <c r="K2379" s="11" t="n">
        <f aca="false">H2379*I2379-J2379</f>
        <v>520</v>
      </c>
      <c r="L2379" s="7" t="s">
        <v>88</v>
      </c>
      <c r="M2379" s="7" t="s">
        <v>194</v>
      </c>
      <c r="N2379" s="7" t="n">
        <v>47</v>
      </c>
      <c r="O2379" s="7" t="n">
        <v>3</v>
      </c>
    </row>
    <row r="2380" customFormat="false" ht="15" hidden="false" customHeight="false" outlineLevel="0" collapsed="false">
      <c r="A2380" s="7" t="s">
        <v>5076</v>
      </c>
      <c r="B2380" s="10" t="n">
        <v>45962</v>
      </c>
      <c r="C2380" s="7" t="s">
        <v>232</v>
      </c>
      <c r="D2380" s="7" t="s">
        <v>5077</v>
      </c>
      <c r="E2380" s="7" t="s">
        <v>94</v>
      </c>
      <c r="F2380" s="7" t="s">
        <v>86</v>
      </c>
      <c r="G2380" s="7" t="s">
        <v>95</v>
      </c>
      <c r="H2380" s="7" t="n">
        <v>3</v>
      </c>
      <c r="I2380" s="11" t="n">
        <v>125</v>
      </c>
      <c r="J2380" s="11" t="n">
        <v>100</v>
      </c>
      <c r="K2380" s="11" t="n">
        <f aca="false">H2380*I2380-J2380</f>
        <v>275</v>
      </c>
      <c r="L2380" s="7" t="s">
        <v>88</v>
      </c>
      <c r="M2380" s="7" t="s">
        <v>194</v>
      </c>
      <c r="N2380" s="7" t="n">
        <v>33</v>
      </c>
      <c r="O2380" s="7"/>
    </row>
    <row r="2381" customFormat="false" ht="15" hidden="false" customHeight="false" outlineLevel="0" collapsed="false">
      <c r="A2381" s="7" t="s">
        <v>5842</v>
      </c>
      <c r="B2381" s="10" t="n">
        <v>45963</v>
      </c>
      <c r="C2381" s="7" t="s">
        <v>5843</v>
      </c>
      <c r="D2381" s="7" t="s">
        <v>2953</v>
      </c>
      <c r="E2381" s="7" t="s">
        <v>158</v>
      </c>
      <c r="F2381" s="7" t="s">
        <v>136</v>
      </c>
      <c r="G2381" s="7" t="s">
        <v>139</v>
      </c>
      <c r="H2381" s="7" t="n">
        <v>2</v>
      </c>
      <c r="I2381" s="11" t="n">
        <v>225</v>
      </c>
      <c r="J2381" s="11" t="n">
        <v>0</v>
      </c>
      <c r="K2381" s="11" t="n">
        <f aca="false">H2381*I2381-J2381</f>
        <v>450</v>
      </c>
      <c r="L2381" s="7" t="s">
        <v>88</v>
      </c>
      <c r="M2381" s="7" t="s">
        <v>194</v>
      </c>
      <c r="N2381" s="7" t="n">
        <v>28</v>
      </c>
      <c r="O2381" s="7" t="n">
        <v>4</v>
      </c>
    </row>
    <row r="2382" customFormat="false" ht="15" hidden="false" customHeight="false" outlineLevel="0" collapsed="false">
      <c r="A2382" s="7" t="s">
        <v>5526</v>
      </c>
      <c r="B2382" s="10" t="n">
        <v>45963</v>
      </c>
      <c r="C2382" s="7" t="s">
        <v>547</v>
      </c>
      <c r="D2382" s="7" t="s">
        <v>5527</v>
      </c>
      <c r="E2382" s="7" t="s">
        <v>89</v>
      </c>
      <c r="F2382" s="7" t="s">
        <v>86</v>
      </c>
      <c r="G2382" s="7" t="s">
        <v>90</v>
      </c>
      <c r="H2382" s="7" t="n">
        <v>4</v>
      </c>
      <c r="I2382" s="11" t="n">
        <v>265</v>
      </c>
      <c r="J2382" s="11" t="n">
        <v>75</v>
      </c>
      <c r="K2382" s="11" t="n">
        <f aca="false">H2382*I2382-J2382</f>
        <v>985</v>
      </c>
      <c r="L2382" s="7" t="s">
        <v>133</v>
      </c>
      <c r="M2382" s="7" t="s">
        <v>194</v>
      </c>
      <c r="N2382" s="7" t="n">
        <v>41</v>
      </c>
      <c r="O2382" s="7"/>
    </row>
    <row r="2383" customFormat="false" ht="15" hidden="false" customHeight="false" outlineLevel="0" collapsed="false">
      <c r="A2383" s="7" t="s">
        <v>1611</v>
      </c>
      <c r="B2383" s="10" t="n">
        <v>45963</v>
      </c>
      <c r="C2383" s="7" t="s">
        <v>825</v>
      </c>
      <c r="D2383" s="7" t="s">
        <v>1612</v>
      </c>
      <c r="E2383" s="7" t="s">
        <v>126</v>
      </c>
      <c r="F2383" s="7" t="s">
        <v>101</v>
      </c>
      <c r="G2383" s="7" t="s">
        <v>105</v>
      </c>
      <c r="H2383" s="7" t="n">
        <v>3</v>
      </c>
      <c r="I2383" s="11" t="n">
        <v>215</v>
      </c>
      <c r="J2383" s="11" t="n">
        <v>150</v>
      </c>
      <c r="K2383" s="11" t="n">
        <f aca="false">H2383*I2383-J2383</f>
        <v>495</v>
      </c>
      <c r="L2383" s="7" t="s">
        <v>93</v>
      </c>
      <c r="M2383" s="7" t="s">
        <v>194</v>
      </c>
      <c r="N2383" s="7" t="n">
        <v>40</v>
      </c>
      <c r="O2383" s="7" t="n">
        <v>3</v>
      </c>
    </row>
    <row r="2384" customFormat="false" ht="15" hidden="false" customHeight="false" outlineLevel="0" collapsed="false">
      <c r="A2384" s="7" t="s">
        <v>3726</v>
      </c>
      <c r="B2384" s="10" t="n">
        <v>45963</v>
      </c>
      <c r="C2384" s="7" t="s">
        <v>2024</v>
      </c>
      <c r="D2384" s="7" t="s">
        <v>3364</v>
      </c>
      <c r="E2384" s="7" t="s">
        <v>113</v>
      </c>
      <c r="F2384" s="7" t="s">
        <v>101</v>
      </c>
      <c r="G2384" s="7" t="s">
        <v>90</v>
      </c>
      <c r="H2384" s="7" t="n">
        <v>1</v>
      </c>
      <c r="I2384" s="11" t="n">
        <v>250</v>
      </c>
      <c r="J2384" s="11" t="n">
        <v>30</v>
      </c>
      <c r="K2384" s="11" t="n">
        <f aca="false">H2384*I2384-J2384</f>
        <v>220</v>
      </c>
      <c r="L2384" s="7" t="s">
        <v>88</v>
      </c>
      <c r="M2384" s="7" t="s">
        <v>238</v>
      </c>
      <c r="N2384" s="7"/>
      <c r="O2384" s="7"/>
    </row>
    <row r="2385" customFormat="false" ht="15" hidden="false" customHeight="false" outlineLevel="0" collapsed="false">
      <c r="A2385" s="7" t="s">
        <v>325</v>
      </c>
      <c r="B2385" s="10" t="n">
        <v>45963</v>
      </c>
      <c r="C2385" s="7" t="s">
        <v>327</v>
      </c>
      <c r="D2385" s="7" t="s">
        <v>328</v>
      </c>
      <c r="E2385" s="7" t="s">
        <v>147</v>
      </c>
      <c r="F2385" s="7" t="s">
        <v>119</v>
      </c>
      <c r="G2385" s="7" t="s">
        <v>95</v>
      </c>
      <c r="H2385" s="7" t="n">
        <v>3</v>
      </c>
      <c r="I2385" s="11" t="n">
        <v>150</v>
      </c>
      <c r="J2385" s="11" t="n">
        <v>0</v>
      </c>
      <c r="K2385" s="11" t="n">
        <f aca="false">H2385*I2385-J2385</f>
        <v>450</v>
      </c>
      <c r="L2385" s="7" t="s">
        <v>88</v>
      </c>
      <c r="M2385" s="7" t="s">
        <v>194</v>
      </c>
      <c r="N2385" s="7" t="n">
        <v>40</v>
      </c>
      <c r="O2385" s="7" t="n">
        <v>3</v>
      </c>
    </row>
    <row r="2386" customFormat="false" ht="15" hidden="false" customHeight="false" outlineLevel="0" collapsed="false">
      <c r="A2386" s="7" t="s">
        <v>5068</v>
      </c>
      <c r="B2386" s="10" t="n">
        <v>45963</v>
      </c>
      <c r="C2386" s="7" t="s">
        <v>327</v>
      </c>
      <c r="D2386" s="7" t="s">
        <v>242</v>
      </c>
      <c r="E2386" s="7" t="s">
        <v>94</v>
      </c>
      <c r="F2386" s="7" t="s">
        <v>86</v>
      </c>
      <c r="G2386" s="7" t="s">
        <v>95</v>
      </c>
      <c r="H2386" s="7" t="n">
        <v>1</v>
      </c>
      <c r="I2386" s="11" t="n">
        <v>130</v>
      </c>
      <c r="J2386" s="11" t="n">
        <v>0</v>
      </c>
      <c r="K2386" s="11" t="n">
        <f aca="false">H2386*I2386-J2386</f>
        <v>130</v>
      </c>
      <c r="L2386" s="7" t="s">
        <v>133</v>
      </c>
      <c r="M2386" s="7" t="s">
        <v>194</v>
      </c>
      <c r="N2386" s="7" t="n">
        <v>40</v>
      </c>
      <c r="O2386" s="7" t="n">
        <v>3</v>
      </c>
    </row>
    <row r="2387" customFormat="false" ht="15" hidden="false" customHeight="false" outlineLevel="0" collapsed="false">
      <c r="A2387" s="7" t="s">
        <v>3227</v>
      </c>
      <c r="B2387" s="10" t="n">
        <v>45963</v>
      </c>
      <c r="C2387" s="7" t="s">
        <v>2402</v>
      </c>
      <c r="D2387" s="7" t="s">
        <v>3228</v>
      </c>
      <c r="E2387" s="7" t="s">
        <v>122</v>
      </c>
      <c r="F2387" s="7" t="s">
        <v>101</v>
      </c>
      <c r="G2387" s="7" t="s">
        <v>123</v>
      </c>
      <c r="H2387" s="7" t="n">
        <v>2</v>
      </c>
      <c r="I2387" s="11" t="n">
        <v>370</v>
      </c>
      <c r="J2387" s="11" t="n">
        <v>0</v>
      </c>
      <c r="K2387" s="11" t="n">
        <f aca="false">H2387*I2387-J2387</f>
        <v>740</v>
      </c>
      <c r="L2387" s="7" t="s">
        <v>88</v>
      </c>
      <c r="M2387" s="7" t="s">
        <v>194</v>
      </c>
      <c r="N2387" s="7" t="n">
        <v>51</v>
      </c>
      <c r="O2387" s="7" t="n">
        <v>3</v>
      </c>
    </row>
    <row r="2388" customFormat="false" ht="15" hidden="false" customHeight="false" outlineLevel="0" collapsed="false">
      <c r="A2388" s="7" t="s">
        <v>5470</v>
      </c>
      <c r="B2388" s="10" t="n">
        <v>45963</v>
      </c>
      <c r="C2388" s="7" t="s">
        <v>1704</v>
      </c>
      <c r="D2388" s="7" t="s">
        <v>784</v>
      </c>
      <c r="E2388" s="7" t="s">
        <v>89</v>
      </c>
      <c r="F2388" s="7" t="s">
        <v>86</v>
      </c>
      <c r="G2388" s="7" t="s">
        <v>90</v>
      </c>
      <c r="H2388" s="7" t="n">
        <v>1</v>
      </c>
      <c r="I2388" s="11" t="n">
        <v>275</v>
      </c>
      <c r="J2388" s="11" t="n">
        <v>40</v>
      </c>
      <c r="K2388" s="11" t="n">
        <f aca="false">H2388*I2388-J2388</f>
        <v>235</v>
      </c>
      <c r="L2388" s="7" t="s">
        <v>88</v>
      </c>
      <c r="M2388" s="7" t="s">
        <v>194</v>
      </c>
      <c r="N2388" s="7" t="n">
        <v>42</v>
      </c>
      <c r="O2388" s="7" t="n">
        <v>3</v>
      </c>
    </row>
    <row r="2389" customFormat="false" ht="15" hidden="false" customHeight="false" outlineLevel="0" collapsed="false">
      <c r="A2389" s="7" t="s">
        <v>4667</v>
      </c>
      <c r="B2389" s="10" t="n">
        <v>45964</v>
      </c>
      <c r="C2389" s="7" t="s">
        <v>4571</v>
      </c>
      <c r="D2389" s="7" t="s">
        <v>1931</v>
      </c>
      <c r="E2389" s="7" t="s">
        <v>113</v>
      </c>
      <c r="F2389" s="7" t="s">
        <v>101</v>
      </c>
      <c r="G2389" s="7" t="s">
        <v>90</v>
      </c>
      <c r="H2389" s="7" t="n">
        <v>1</v>
      </c>
      <c r="I2389" s="11" t="n">
        <v>245</v>
      </c>
      <c r="J2389" s="11" t="n">
        <v>0</v>
      </c>
      <c r="K2389" s="11" t="n">
        <f aca="false">H2389*I2389-J2389</f>
        <v>245</v>
      </c>
      <c r="L2389" s="7" t="s">
        <v>88</v>
      </c>
      <c r="M2389" s="7" t="s">
        <v>238</v>
      </c>
      <c r="N2389" s="7"/>
      <c r="O2389" s="7"/>
    </row>
    <row r="2390" customFormat="false" ht="15" hidden="false" customHeight="false" outlineLevel="0" collapsed="false">
      <c r="A2390" s="7" t="s">
        <v>4532</v>
      </c>
      <c r="B2390" s="10" t="n">
        <v>45964</v>
      </c>
      <c r="C2390" s="7" t="s">
        <v>3769</v>
      </c>
      <c r="D2390" s="7" t="s">
        <v>4533</v>
      </c>
      <c r="E2390" s="7" t="s">
        <v>142</v>
      </c>
      <c r="F2390" s="7" t="s">
        <v>110</v>
      </c>
      <c r="G2390" s="7" t="s">
        <v>105</v>
      </c>
      <c r="H2390" s="7" t="n">
        <v>1</v>
      </c>
      <c r="I2390" s="11" t="n">
        <v>165</v>
      </c>
      <c r="J2390" s="11" t="n">
        <v>50</v>
      </c>
      <c r="K2390" s="11" t="n">
        <f aca="false">H2390*I2390-J2390</f>
        <v>115</v>
      </c>
      <c r="L2390" s="7" t="s">
        <v>112</v>
      </c>
      <c r="M2390" s="7" t="s">
        <v>194</v>
      </c>
      <c r="N2390" s="7" t="n">
        <v>27</v>
      </c>
      <c r="O2390" s="7" t="n">
        <v>2</v>
      </c>
    </row>
    <row r="2391" customFormat="false" ht="15" hidden="false" customHeight="false" outlineLevel="0" collapsed="false">
      <c r="A2391" s="7" t="s">
        <v>2383</v>
      </c>
      <c r="B2391" s="10" t="n">
        <v>45964</v>
      </c>
      <c r="C2391" s="7" t="s">
        <v>2384</v>
      </c>
      <c r="D2391" s="7" t="s">
        <v>2385</v>
      </c>
      <c r="E2391" s="7" t="s">
        <v>126</v>
      </c>
      <c r="F2391" s="7" t="s">
        <v>101</v>
      </c>
      <c r="G2391" s="7" t="s">
        <v>105</v>
      </c>
      <c r="H2391" s="7" t="n">
        <v>3</v>
      </c>
      <c r="I2391" s="11" t="n">
        <v>255</v>
      </c>
      <c r="J2391" s="11" t="n">
        <v>150</v>
      </c>
      <c r="K2391" s="11" t="n">
        <f aca="false">H2391*I2391-J2391</f>
        <v>615</v>
      </c>
      <c r="L2391" s="7" t="s">
        <v>112</v>
      </c>
      <c r="M2391" s="7" t="s">
        <v>238</v>
      </c>
      <c r="N2391" s="7"/>
      <c r="O2391" s="7"/>
    </row>
    <row r="2392" customFormat="false" ht="15" hidden="false" customHeight="false" outlineLevel="0" collapsed="false">
      <c r="A2392" s="7" t="s">
        <v>282</v>
      </c>
      <c r="B2392" s="10" t="n">
        <v>45964</v>
      </c>
      <c r="C2392" s="7" t="s">
        <v>284</v>
      </c>
      <c r="D2392" s="7" t="s">
        <v>285</v>
      </c>
      <c r="E2392" s="7" t="s">
        <v>144</v>
      </c>
      <c r="F2392" s="7" t="s">
        <v>119</v>
      </c>
      <c r="G2392" s="7" t="s">
        <v>99</v>
      </c>
      <c r="H2392" s="7" t="n">
        <v>4</v>
      </c>
      <c r="I2392" s="11" t="n">
        <v>250</v>
      </c>
      <c r="J2392" s="11" t="n">
        <v>150</v>
      </c>
      <c r="K2392" s="11" t="n">
        <f aca="false">H2392*I2392-J2392</f>
        <v>850</v>
      </c>
      <c r="L2392" s="7" t="s">
        <v>88</v>
      </c>
      <c r="M2392" s="7" t="s">
        <v>194</v>
      </c>
      <c r="N2392" s="7" t="n">
        <v>19</v>
      </c>
      <c r="O2392" s="7" t="n">
        <v>5</v>
      </c>
    </row>
    <row r="2393" customFormat="false" ht="15" hidden="false" customHeight="false" outlineLevel="0" collapsed="false">
      <c r="A2393" s="7" t="s">
        <v>650</v>
      </c>
      <c r="B2393" s="10" t="n">
        <v>45964</v>
      </c>
      <c r="C2393" s="7" t="s">
        <v>651</v>
      </c>
      <c r="D2393" s="7" t="s">
        <v>652</v>
      </c>
      <c r="E2393" s="7" t="s">
        <v>142</v>
      </c>
      <c r="F2393" s="7" t="s">
        <v>110</v>
      </c>
      <c r="G2393" s="7" t="s">
        <v>105</v>
      </c>
      <c r="H2393" s="7" t="n">
        <v>3</v>
      </c>
      <c r="I2393" s="11" t="n">
        <v>170</v>
      </c>
      <c r="J2393" s="11" t="n">
        <v>0</v>
      </c>
      <c r="K2393" s="11" t="n">
        <f aca="false">H2393*I2393-J2393</f>
        <v>510</v>
      </c>
      <c r="L2393" s="7" t="s">
        <v>88</v>
      </c>
      <c r="M2393" s="7" t="s">
        <v>238</v>
      </c>
      <c r="N2393" s="7"/>
      <c r="O2393" s="7"/>
    </row>
    <row r="2394" customFormat="false" ht="15" hidden="false" customHeight="false" outlineLevel="0" collapsed="false">
      <c r="A2394" s="7" t="s">
        <v>2392</v>
      </c>
      <c r="B2394" s="10" t="n">
        <v>45964</v>
      </c>
      <c r="C2394" s="7" t="s">
        <v>2393</v>
      </c>
      <c r="D2394" s="7" t="s">
        <v>2394</v>
      </c>
      <c r="E2394" s="7" t="s">
        <v>113</v>
      </c>
      <c r="F2394" s="7" t="s">
        <v>101</v>
      </c>
      <c r="G2394" s="7" t="s">
        <v>90</v>
      </c>
      <c r="H2394" s="7" t="n">
        <v>2</v>
      </c>
      <c r="I2394" s="11" t="n">
        <v>300</v>
      </c>
      <c r="J2394" s="11" t="n">
        <v>30</v>
      </c>
      <c r="K2394" s="11" t="n">
        <f aca="false">H2394*I2394-J2394</f>
        <v>570</v>
      </c>
      <c r="L2394" s="7" t="s">
        <v>103</v>
      </c>
      <c r="M2394" s="7" t="s">
        <v>194</v>
      </c>
      <c r="N2394" s="7" t="n">
        <v>48</v>
      </c>
      <c r="O2394" s="7" t="n">
        <v>2</v>
      </c>
    </row>
    <row r="2395" customFormat="false" ht="15" hidden="false" customHeight="false" outlineLevel="0" collapsed="false">
      <c r="A2395" s="7" t="s">
        <v>4327</v>
      </c>
      <c r="B2395" s="10" t="n">
        <v>45964</v>
      </c>
      <c r="C2395" s="7" t="s">
        <v>3709</v>
      </c>
      <c r="D2395" s="7" t="s">
        <v>4258</v>
      </c>
      <c r="E2395" s="7" t="s">
        <v>138</v>
      </c>
      <c r="F2395" s="7" t="s">
        <v>110</v>
      </c>
      <c r="G2395" s="7" t="s">
        <v>139</v>
      </c>
      <c r="H2395" s="7" t="n">
        <v>1</v>
      </c>
      <c r="I2395" s="11" t="n">
        <v>230</v>
      </c>
      <c r="J2395" s="11" t="n">
        <v>0</v>
      </c>
      <c r="K2395" s="11" t="n">
        <f aca="false">H2395*I2395-J2395</f>
        <v>230</v>
      </c>
      <c r="L2395" s="7" t="s">
        <v>88</v>
      </c>
      <c r="M2395" s="7" t="s">
        <v>194</v>
      </c>
      <c r="N2395" s="7" t="n">
        <v>47</v>
      </c>
      <c r="O2395" s="7" t="n">
        <v>3</v>
      </c>
    </row>
    <row r="2396" customFormat="false" ht="15" hidden="false" customHeight="false" outlineLevel="0" collapsed="false">
      <c r="A2396" s="7" t="s">
        <v>4832</v>
      </c>
      <c r="B2396" s="10" t="n">
        <v>45964</v>
      </c>
      <c r="C2396" s="7" t="s">
        <v>1607</v>
      </c>
      <c r="D2396" s="7" t="s">
        <v>2854</v>
      </c>
      <c r="E2396" s="7" t="s">
        <v>126</v>
      </c>
      <c r="F2396" s="7" t="s">
        <v>101</v>
      </c>
      <c r="G2396" s="7" t="s">
        <v>105</v>
      </c>
      <c r="H2396" s="7" t="n">
        <v>5</v>
      </c>
      <c r="I2396" s="11" t="n">
        <v>160</v>
      </c>
      <c r="J2396" s="11" t="n">
        <v>0</v>
      </c>
      <c r="K2396" s="11" t="n">
        <f aca="false">H2396*I2396-J2396</f>
        <v>800</v>
      </c>
      <c r="L2396" s="7" t="s">
        <v>112</v>
      </c>
      <c r="M2396" s="7" t="s">
        <v>194</v>
      </c>
      <c r="N2396" s="7" t="n">
        <v>50</v>
      </c>
      <c r="O2396" s="7" t="n">
        <v>3</v>
      </c>
    </row>
    <row r="2397" customFormat="false" ht="15" hidden="false" customHeight="false" outlineLevel="0" collapsed="false">
      <c r="A2397" s="7" t="s">
        <v>1984</v>
      </c>
      <c r="B2397" s="10" t="n">
        <v>45964</v>
      </c>
      <c r="C2397" s="7" t="s">
        <v>1985</v>
      </c>
      <c r="D2397" s="7" t="s">
        <v>596</v>
      </c>
      <c r="E2397" s="7" t="s">
        <v>159</v>
      </c>
      <c r="F2397" s="7" t="s">
        <v>136</v>
      </c>
      <c r="G2397" s="7" t="s">
        <v>90</v>
      </c>
      <c r="H2397" s="7" t="n">
        <v>2</v>
      </c>
      <c r="I2397" s="11" t="n">
        <v>240</v>
      </c>
      <c r="J2397" s="11" t="n">
        <v>125</v>
      </c>
      <c r="K2397" s="11" t="n">
        <f aca="false">H2397*I2397-J2397</f>
        <v>355</v>
      </c>
      <c r="L2397" s="7" t="s">
        <v>93</v>
      </c>
      <c r="M2397" s="7" t="s">
        <v>194</v>
      </c>
      <c r="N2397" s="7" t="n">
        <v>36</v>
      </c>
      <c r="O2397" s="7" t="n">
        <v>5</v>
      </c>
    </row>
    <row r="2398" customFormat="false" ht="15" hidden="false" customHeight="false" outlineLevel="0" collapsed="false">
      <c r="A2398" s="7" t="s">
        <v>4842</v>
      </c>
      <c r="B2398" s="10" t="n">
        <v>45964</v>
      </c>
      <c r="C2398" s="7" t="s">
        <v>2133</v>
      </c>
      <c r="D2398" s="7" t="s">
        <v>1225</v>
      </c>
      <c r="E2398" s="7" t="s">
        <v>168</v>
      </c>
      <c r="F2398" s="7" t="s">
        <v>146</v>
      </c>
      <c r="G2398" s="7" t="s">
        <v>123</v>
      </c>
      <c r="H2398" s="7" t="n">
        <v>2</v>
      </c>
      <c r="I2398" s="11" t="n">
        <v>355</v>
      </c>
      <c r="J2398" s="11" t="n">
        <v>50</v>
      </c>
      <c r="K2398" s="11" t="n">
        <f aca="false">H2398*I2398-J2398</f>
        <v>660</v>
      </c>
      <c r="L2398" s="7" t="s">
        <v>88</v>
      </c>
      <c r="M2398" s="7" t="s">
        <v>194</v>
      </c>
      <c r="N2398" s="7" t="n">
        <v>38</v>
      </c>
      <c r="O2398" s="7" t="n">
        <v>3</v>
      </c>
    </row>
    <row r="2399" customFormat="false" ht="15" hidden="false" customHeight="false" outlineLevel="0" collapsed="false">
      <c r="A2399" s="7" t="s">
        <v>5943</v>
      </c>
      <c r="B2399" s="10" t="n">
        <v>45964</v>
      </c>
      <c r="C2399" s="7" t="s">
        <v>4952</v>
      </c>
      <c r="D2399" s="7" t="s">
        <v>336</v>
      </c>
      <c r="E2399" s="7" t="s">
        <v>122</v>
      </c>
      <c r="F2399" s="7" t="s">
        <v>101</v>
      </c>
      <c r="G2399" s="7" t="s">
        <v>123</v>
      </c>
      <c r="H2399" s="7" t="n">
        <v>4</v>
      </c>
      <c r="I2399" s="11" t="n">
        <v>310</v>
      </c>
      <c r="J2399" s="11" t="n">
        <v>0</v>
      </c>
      <c r="K2399" s="11" t="n">
        <f aca="false">H2399*I2399-J2399</f>
        <v>1240</v>
      </c>
      <c r="L2399" s="7" t="s">
        <v>88</v>
      </c>
      <c r="M2399" s="7" t="s">
        <v>194</v>
      </c>
      <c r="N2399" s="7" t="n">
        <v>29</v>
      </c>
      <c r="O2399" s="7"/>
    </row>
    <row r="2400" customFormat="false" ht="15" hidden="false" customHeight="false" outlineLevel="0" collapsed="false">
      <c r="A2400" s="7" t="s">
        <v>4257</v>
      </c>
      <c r="B2400" s="10" t="n">
        <v>45965</v>
      </c>
      <c r="C2400" s="7" t="s">
        <v>2398</v>
      </c>
      <c r="D2400" s="7" t="s">
        <v>4258</v>
      </c>
      <c r="E2400" s="7" t="s">
        <v>94</v>
      </c>
      <c r="F2400" s="7" t="s">
        <v>86</v>
      </c>
      <c r="G2400" s="7" t="s">
        <v>95</v>
      </c>
      <c r="H2400" s="7" t="n">
        <v>1</v>
      </c>
      <c r="I2400" s="11" t="n">
        <v>110</v>
      </c>
      <c r="J2400" s="11" t="n">
        <v>44</v>
      </c>
      <c r="K2400" s="11" t="n">
        <f aca="false">H2400*I2400-J2400</f>
        <v>66</v>
      </c>
      <c r="L2400" s="7" t="s">
        <v>112</v>
      </c>
      <c r="M2400" s="7" t="s">
        <v>194</v>
      </c>
      <c r="N2400" s="7" t="n">
        <v>56</v>
      </c>
      <c r="O2400" s="7" t="n">
        <v>4</v>
      </c>
    </row>
    <row r="2401" customFormat="false" ht="15" hidden="false" customHeight="false" outlineLevel="0" collapsed="false">
      <c r="A2401" s="7" t="s">
        <v>6117</v>
      </c>
      <c r="B2401" s="10" t="n">
        <v>45965</v>
      </c>
      <c r="C2401" s="7" t="s">
        <v>1526</v>
      </c>
      <c r="D2401" s="7" t="s">
        <v>3278</v>
      </c>
      <c r="E2401" s="7" t="s">
        <v>159</v>
      </c>
      <c r="F2401" s="7" t="s">
        <v>136</v>
      </c>
      <c r="G2401" s="7" t="s">
        <v>90</v>
      </c>
      <c r="H2401" s="7" t="n">
        <v>2</v>
      </c>
      <c r="I2401" s="11" t="n">
        <v>265</v>
      </c>
      <c r="J2401" s="11" t="n">
        <v>50</v>
      </c>
      <c r="K2401" s="11" t="n">
        <f aca="false">H2401*I2401-J2401</f>
        <v>480</v>
      </c>
      <c r="L2401" s="7" t="s">
        <v>88</v>
      </c>
      <c r="M2401" s="7" t="s">
        <v>194</v>
      </c>
      <c r="N2401" s="7" t="n">
        <v>36</v>
      </c>
      <c r="O2401" s="7" t="n">
        <v>4</v>
      </c>
    </row>
    <row r="2402" customFormat="false" ht="15" hidden="false" customHeight="false" outlineLevel="0" collapsed="false">
      <c r="A2402" s="7" t="s">
        <v>2250</v>
      </c>
      <c r="B2402" s="10" t="n">
        <v>45965</v>
      </c>
      <c r="C2402" s="7" t="s">
        <v>1474</v>
      </c>
      <c r="D2402" s="7" t="s">
        <v>1331</v>
      </c>
      <c r="E2402" s="7" t="s">
        <v>130</v>
      </c>
      <c r="F2402" s="7" t="s">
        <v>110</v>
      </c>
      <c r="G2402" s="7" t="s">
        <v>90</v>
      </c>
      <c r="H2402" s="7" t="n">
        <v>1</v>
      </c>
      <c r="I2402" s="11" t="n">
        <v>225</v>
      </c>
      <c r="J2402" s="11" t="n">
        <v>0</v>
      </c>
      <c r="K2402" s="11" t="n">
        <f aca="false">H2402*I2402-J2402</f>
        <v>225</v>
      </c>
      <c r="L2402" s="7" t="s">
        <v>103</v>
      </c>
      <c r="M2402" s="7" t="s">
        <v>194</v>
      </c>
      <c r="N2402" s="7" t="n">
        <v>50</v>
      </c>
      <c r="O2402" s="7" t="n">
        <v>4</v>
      </c>
    </row>
    <row r="2403" customFormat="false" ht="15" hidden="false" customHeight="false" outlineLevel="0" collapsed="false">
      <c r="A2403" s="7" t="s">
        <v>2013</v>
      </c>
      <c r="B2403" s="10" t="n">
        <v>45965</v>
      </c>
      <c r="C2403" s="7" t="s">
        <v>559</v>
      </c>
      <c r="D2403" s="7" t="s">
        <v>2014</v>
      </c>
      <c r="E2403" s="7" t="s">
        <v>130</v>
      </c>
      <c r="F2403" s="7" t="s">
        <v>110</v>
      </c>
      <c r="G2403" s="7" t="s">
        <v>90</v>
      </c>
      <c r="H2403" s="7" t="n">
        <v>1</v>
      </c>
      <c r="I2403" s="11" t="n">
        <v>250</v>
      </c>
      <c r="J2403" s="11" t="n">
        <v>0</v>
      </c>
      <c r="K2403" s="11" t="n">
        <f aca="false">H2403*I2403-J2403</f>
        <v>250</v>
      </c>
      <c r="L2403" s="7" t="s">
        <v>121</v>
      </c>
      <c r="M2403" s="7" t="s">
        <v>194</v>
      </c>
      <c r="N2403" s="7" t="n">
        <v>56</v>
      </c>
      <c r="O2403" s="7"/>
    </row>
    <row r="2404" customFormat="false" ht="15" hidden="false" customHeight="false" outlineLevel="0" collapsed="false">
      <c r="A2404" s="7" t="s">
        <v>4362</v>
      </c>
      <c r="B2404" s="10" t="n">
        <v>45965</v>
      </c>
      <c r="C2404" s="7" t="s">
        <v>1873</v>
      </c>
      <c r="D2404" s="7" t="s">
        <v>2034</v>
      </c>
      <c r="E2404" s="7" t="s">
        <v>94</v>
      </c>
      <c r="F2404" s="7" t="s">
        <v>86</v>
      </c>
      <c r="G2404" s="7" t="s">
        <v>95</v>
      </c>
      <c r="H2404" s="7" t="n">
        <v>1</v>
      </c>
      <c r="I2404" s="11" t="n">
        <v>120</v>
      </c>
      <c r="J2404" s="11" t="n">
        <v>20</v>
      </c>
      <c r="K2404" s="11" t="n">
        <f aca="false">H2404*I2404-J2404</f>
        <v>100</v>
      </c>
      <c r="L2404" s="7" t="s">
        <v>88</v>
      </c>
      <c r="M2404" s="7" t="s">
        <v>194</v>
      </c>
      <c r="N2404" s="7" t="n">
        <v>54</v>
      </c>
      <c r="O2404" s="7" t="n">
        <v>3</v>
      </c>
    </row>
    <row r="2405" customFormat="false" ht="15" hidden="false" customHeight="false" outlineLevel="0" collapsed="false">
      <c r="A2405" s="7" t="s">
        <v>1209</v>
      </c>
      <c r="B2405" s="10" t="n">
        <v>45965</v>
      </c>
      <c r="C2405" s="7" t="s">
        <v>1211</v>
      </c>
      <c r="D2405" s="7" t="s">
        <v>1212</v>
      </c>
      <c r="E2405" s="7" t="s">
        <v>152</v>
      </c>
      <c r="F2405" s="7" t="s">
        <v>128</v>
      </c>
      <c r="G2405" s="7" t="s">
        <v>95</v>
      </c>
      <c r="H2405" s="7" t="n">
        <v>2</v>
      </c>
      <c r="I2405" s="11" t="n">
        <v>90</v>
      </c>
      <c r="J2405" s="11" t="n">
        <v>72</v>
      </c>
      <c r="K2405" s="11" t="n">
        <f aca="false">H2405*I2405-J2405</f>
        <v>108</v>
      </c>
      <c r="L2405" s="7" t="s">
        <v>93</v>
      </c>
      <c r="M2405" s="7" t="s">
        <v>194</v>
      </c>
      <c r="N2405" s="7" t="n">
        <v>37</v>
      </c>
      <c r="O2405" s="7" t="n">
        <v>5</v>
      </c>
    </row>
    <row r="2406" customFormat="false" ht="15" hidden="false" customHeight="false" outlineLevel="0" collapsed="false">
      <c r="A2406" s="7" t="s">
        <v>1281</v>
      </c>
      <c r="B2406" s="10" t="n">
        <v>45965</v>
      </c>
      <c r="C2406" s="7" t="s">
        <v>1133</v>
      </c>
      <c r="D2406" s="7" t="s">
        <v>1283</v>
      </c>
      <c r="E2406" s="7" t="s">
        <v>151</v>
      </c>
      <c r="F2406" s="7" t="s">
        <v>128</v>
      </c>
      <c r="G2406" s="7" t="s">
        <v>95</v>
      </c>
      <c r="H2406" s="7" t="n">
        <v>2</v>
      </c>
      <c r="I2406" s="11" t="n">
        <v>195</v>
      </c>
      <c r="J2406" s="11" t="n">
        <v>150</v>
      </c>
      <c r="K2406" s="11" t="n">
        <f aca="false">H2406*I2406-J2406</f>
        <v>240</v>
      </c>
      <c r="L2406" s="7" t="s">
        <v>88</v>
      </c>
      <c r="M2406" s="7" t="s">
        <v>194</v>
      </c>
      <c r="N2406" s="7" t="n">
        <v>35</v>
      </c>
      <c r="O2406" s="7" t="n">
        <v>4</v>
      </c>
    </row>
    <row r="2407" customFormat="false" ht="15" hidden="false" customHeight="false" outlineLevel="0" collapsed="false">
      <c r="A2407" s="7" t="s">
        <v>5836</v>
      </c>
      <c r="B2407" s="10" t="n">
        <v>45965</v>
      </c>
      <c r="C2407" s="7" t="s">
        <v>1985</v>
      </c>
      <c r="D2407" s="7" t="s">
        <v>1355</v>
      </c>
      <c r="E2407" s="7" t="s">
        <v>122</v>
      </c>
      <c r="F2407" s="7" t="s">
        <v>101</v>
      </c>
      <c r="G2407" s="7" t="s">
        <v>123</v>
      </c>
      <c r="H2407" s="7" t="n">
        <v>1</v>
      </c>
      <c r="I2407" s="11" t="n">
        <v>410</v>
      </c>
      <c r="J2407" s="11" t="n">
        <v>75</v>
      </c>
      <c r="K2407" s="11" t="n">
        <f aca="false">H2407*I2407-J2407</f>
        <v>335</v>
      </c>
      <c r="L2407" s="7" t="s">
        <v>112</v>
      </c>
      <c r="M2407" s="7" t="s">
        <v>194</v>
      </c>
      <c r="N2407" s="7" t="n">
        <v>50</v>
      </c>
      <c r="O2407" s="7" t="n">
        <v>3</v>
      </c>
    </row>
    <row r="2408" customFormat="false" ht="15" hidden="false" customHeight="false" outlineLevel="0" collapsed="false">
      <c r="A2408" s="7" t="s">
        <v>5004</v>
      </c>
      <c r="B2408" s="10" t="n">
        <v>45966</v>
      </c>
      <c r="C2408" s="7" t="s">
        <v>5005</v>
      </c>
      <c r="D2408" s="7" t="s">
        <v>3663</v>
      </c>
      <c r="E2408" s="7" t="s">
        <v>122</v>
      </c>
      <c r="F2408" s="7" t="s">
        <v>101</v>
      </c>
      <c r="G2408" s="7" t="s">
        <v>123</v>
      </c>
      <c r="H2408" s="7" t="n">
        <v>2</v>
      </c>
      <c r="I2408" s="11" t="n">
        <v>370</v>
      </c>
      <c r="J2408" s="11" t="n">
        <v>125</v>
      </c>
      <c r="K2408" s="11" t="n">
        <f aca="false">H2408*I2408-J2408</f>
        <v>615</v>
      </c>
      <c r="L2408" s="7" t="s">
        <v>112</v>
      </c>
      <c r="M2408" s="7" t="s">
        <v>194</v>
      </c>
      <c r="N2408" s="7" t="n">
        <v>50</v>
      </c>
      <c r="O2408" s="7" t="n">
        <v>4</v>
      </c>
    </row>
    <row r="2409" customFormat="false" ht="15" hidden="false" customHeight="false" outlineLevel="0" collapsed="false">
      <c r="A2409" s="7" t="s">
        <v>1980</v>
      </c>
      <c r="B2409" s="10" t="n">
        <v>45966</v>
      </c>
      <c r="C2409" s="7" t="s">
        <v>683</v>
      </c>
      <c r="D2409" s="7" t="s">
        <v>1981</v>
      </c>
      <c r="E2409" s="7" t="s">
        <v>104</v>
      </c>
      <c r="F2409" s="7" t="s">
        <v>86</v>
      </c>
      <c r="G2409" s="7" t="s">
        <v>105</v>
      </c>
      <c r="H2409" s="7" t="n">
        <v>1</v>
      </c>
      <c r="I2409" s="11" t="n">
        <v>240</v>
      </c>
      <c r="J2409" s="11" t="n">
        <v>96</v>
      </c>
      <c r="K2409" s="11" t="n">
        <f aca="false">H2409*I2409-J2409</f>
        <v>144</v>
      </c>
      <c r="L2409" s="7" t="s">
        <v>103</v>
      </c>
      <c r="M2409" s="7" t="s">
        <v>194</v>
      </c>
      <c r="N2409" s="7" t="n">
        <v>40</v>
      </c>
      <c r="O2409" s="7" t="n">
        <v>4</v>
      </c>
    </row>
    <row r="2410" customFormat="false" ht="15" hidden="false" customHeight="false" outlineLevel="0" collapsed="false">
      <c r="A2410" s="7" t="s">
        <v>1527</v>
      </c>
      <c r="B2410" s="10" t="n">
        <v>45966</v>
      </c>
      <c r="C2410" s="7" t="s">
        <v>1529</v>
      </c>
      <c r="D2410" s="7" t="s">
        <v>1530</v>
      </c>
      <c r="E2410" s="7" t="s">
        <v>142</v>
      </c>
      <c r="F2410" s="7" t="s">
        <v>110</v>
      </c>
      <c r="G2410" s="7" t="s">
        <v>105</v>
      </c>
      <c r="H2410" s="7" t="n">
        <v>1</v>
      </c>
      <c r="I2410" s="11" t="n">
        <v>155</v>
      </c>
      <c r="J2410" s="11" t="n">
        <v>0</v>
      </c>
      <c r="K2410" s="11" t="n">
        <f aca="false">H2410*I2410-J2410</f>
        <v>155</v>
      </c>
      <c r="L2410" s="7" t="s">
        <v>112</v>
      </c>
      <c r="M2410" s="7" t="s">
        <v>238</v>
      </c>
      <c r="N2410" s="7"/>
      <c r="O2410" s="7"/>
    </row>
    <row r="2411" customFormat="false" ht="15" hidden="false" customHeight="false" outlineLevel="0" collapsed="false">
      <c r="A2411" s="7" t="s">
        <v>5104</v>
      </c>
      <c r="B2411" s="10" t="n">
        <v>45966</v>
      </c>
      <c r="C2411" s="7" t="s">
        <v>2410</v>
      </c>
      <c r="D2411" s="7" t="s">
        <v>843</v>
      </c>
      <c r="E2411" s="7" t="s">
        <v>122</v>
      </c>
      <c r="F2411" s="7" t="s">
        <v>101</v>
      </c>
      <c r="G2411" s="7" t="s">
        <v>123</v>
      </c>
      <c r="H2411" s="7" t="n">
        <v>2</v>
      </c>
      <c r="I2411" s="11" t="n">
        <v>390</v>
      </c>
      <c r="J2411" s="11" t="n">
        <v>0</v>
      </c>
      <c r="K2411" s="11" t="n">
        <f aca="false">H2411*I2411-J2411</f>
        <v>780</v>
      </c>
      <c r="L2411" s="7" t="s">
        <v>88</v>
      </c>
      <c r="M2411" s="7" t="s">
        <v>238</v>
      </c>
      <c r="N2411" s="7"/>
      <c r="O2411" s="7"/>
    </row>
    <row r="2412" customFormat="false" ht="15" hidden="false" customHeight="false" outlineLevel="0" collapsed="false">
      <c r="A2412" s="7" t="s">
        <v>3255</v>
      </c>
      <c r="B2412" s="10" t="n">
        <v>45966</v>
      </c>
      <c r="C2412" s="7" t="s">
        <v>555</v>
      </c>
      <c r="D2412" s="7" t="s">
        <v>2052</v>
      </c>
      <c r="E2412" s="7" t="s">
        <v>142</v>
      </c>
      <c r="F2412" s="7" t="s">
        <v>110</v>
      </c>
      <c r="G2412" s="7" t="s">
        <v>105</v>
      </c>
      <c r="H2412" s="7" t="n">
        <v>3</v>
      </c>
      <c r="I2412" s="11" t="n">
        <v>155</v>
      </c>
      <c r="J2412" s="11" t="n">
        <v>0</v>
      </c>
      <c r="K2412" s="11" t="n">
        <f aca="false">H2412*I2412-J2412</f>
        <v>465</v>
      </c>
      <c r="L2412" s="7" t="s">
        <v>112</v>
      </c>
      <c r="M2412" s="7" t="s">
        <v>194</v>
      </c>
      <c r="N2412" s="7" t="n">
        <v>26</v>
      </c>
      <c r="O2412" s="7" t="n">
        <v>5</v>
      </c>
    </row>
    <row r="2413" customFormat="false" ht="15" hidden="false" customHeight="false" outlineLevel="0" collapsed="false">
      <c r="A2413" s="7" t="s">
        <v>2121</v>
      </c>
      <c r="B2413" s="10" t="n">
        <v>45966</v>
      </c>
      <c r="C2413" s="7" t="s">
        <v>391</v>
      </c>
      <c r="D2413" s="7" t="s">
        <v>2122</v>
      </c>
      <c r="E2413" s="7" t="s">
        <v>144</v>
      </c>
      <c r="F2413" s="7" t="s">
        <v>119</v>
      </c>
      <c r="G2413" s="7" t="s">
        <v>99</v>
      </c>
      <c r="H2413" s="7" t="n">
        <v>1</v>
      </c>
      <c r="I2413" s="11" t="n">
        <v>285</v>
      </c>
      <c r="J2413" s="11" t="n">
        <v>0</v>
      </c>
      <c r="K2413" s="11" t="n">
        <f aca="false">H2413*I2413-J2413</f>
        <v>285</v>
      </c>
      <c r="L2413" s="7" t="s">
        <v>88</v>
      </c>
      <c r="M2413" s="7" t="s">
        <v>194</v>
      </c>
      <c r="N2413" s="7" t="n">
        <v>27</v>
      </c>
      <c r="O2413" s="7" t="n">
        <v>5</v>
      </c>
    </row>
    <row r="2414" customFormat="false" ht="15" hidden="false" customHeight="false" outlineLevel="0" collapsed="false">
      <c r="A2414" s="7" t="s">
        <v>4449</v>
      </c>
      <c r="B2414" s="10" t="n">
        <v>45966</v>
      </c>
      <c r="C2414" s="7" t="s">
        <v>280</v>
      </c>
      <c r="D2414" s="7" t="s">
        <v>4450</v>
      </c>
      <c r="E2414" s="7" t="s">
        <v>104</v>
      </c>
      <c r="F2414" s="7" t="s">
        <v>86</v>
      </c>
      <c r="G2414" s="7" t="s">
        <v>105</v>
      </c>
      <c r="H2414" s="7" t="n">
        <v>2</v>
      </c>
      <c r="I2414" s="11" t="n">
        <v>180</v>
      </c>
      <c r="J2414" s="11" t="n">
        <v>50</v>
      </c>
      <c r="K2414" s="11" t="n">
        <f aca="false">H2414*I2414-J2414</f>
        <v>310</v>
      </c>
      <c r="L2414" s="7" t="s">
        <v>112</v>
      </c>
      <c r="M2414" s="7" t="s">
        <v>194</v>
      </c>
      <c r="N2414" s="7" t="n">
        <v>27</v>
      </c>
      <c r="O2414" s="7" t="n">
        <v>5</v>
      </c>
    </row>
    <row r="2415" customFormat="false" ht="15" hidden="false" customHeight="false" outlineLevel="0" collapsed="false">
      <c r="A2415" s="7" t="s">
        <v>4846</v>
      </c>
      <c r="B2415" s="10" t="n">
        <v>45966</v>
      </c>
      <c r="C2415" s="7" t="s">
        <v>276</v>
      </c>
      <c r="D2415" s="7" t="s">
        <v>1598</v>
      </c>
      <c r="E2415" s="7" t="s">
        <v>94</v>
      </c>
      <c r="F2415" s="7" t="s">
        <v>86</v>
      </c>
      <c r="G2415" s="7" t="s">
        <v>95</v>
      </c>
      <c r="H2415" s="7" t="n">
        <v>1</v>
      </c>
      <c r="I2415" s="11" t="n">
        <v>130</v>
      </c>
      <c r="J2415" s="11" t="n">
        <v>0</v>
      </c>
      <c r="K2415" s="11" t="n">
        <f aca="false">H2415*I2415-J2415</f>
        <v>130</v>
      </c>
      <c r="L2415" s="7" t="s">
        <v>103</v>
      </c>
      <c r="M2415" s="7" t="s">
        <v>194</v>
      </c>
      <c r="N2415" s="7" t="n">
        <v>34</v>
      </c>
      <c r="O2415" s="7" t="n">
        <v>3</v>
      </c>
    </row>
    <row r="2416" customFormat="false" ht="15" hidden="false" customHeight="false" outlineLevel="0" collapsed="false">
      <c r="A2416" s="7" t="s">
        <v>3903</v>
      </c>
      <c r="B2416" s="10" t="n">
        <v>45966</v>
      </c>
      <c r="C2416" s="7" t="s">
        <v>3904</v>
      </c>
      <c r="D2416" s="7" t="s">
        <v>3905</v>
      </c>
      <c r="E2416" s="7" t="s">
        <v>157</v>
      </c>
      <c r="F2416" s="7" t="s">
        <v>136</v>
      </c>
      <c r="G2416" s="7" t="s">
        <v>117</v>
      </c>
      <c r="H2416" s="7" t="n">
        <v>2</v>
      </c>
      <c r="I2416" s="11" t="n">
        <v>105</v>
      </c>
      <c r="J2416" s="11" t="n">
        <v>0</v>
      </c>
      <c r="K2416" s="11" t="n">
        <f aca="false">H2416*I2416-J2416</f>
        <v>210</v>
      </c>
      <c r="L2416" s="7" t="s">
        <v>93</v>
      </c>
      <c r="M2416" s="7" t="s">
        <v>194</v>
      </c>
      <c r="N2416" s="7" t="n">
        <v>32</v>
      </c>
      <c r="O2416" s="7" t="n">
        <v>5</v>
      </c>
    </row>
    <row r="2417" customFormat="false" ht="15" hidden="false" customHeight="false" outlineLevel="0" collapsed="false">
      <c r="A2417" s="7" t="s">
        <v>4443</v>
      </c>
      <c r="B2417" s="10" t="n">
        <v>45967</v>
      </c>
      <c r="C2417" s="7" t="s">
        <v>2992</v>
      </c>
      <c r="D2417" s="7" t="s">
        <v>2718</v>
      </c>
      <c r="E2417" s="7" t="s">
        <v>154</v>
      </c>
      <c r="F2417" s="7" t="s">
        <v>128</v>
      </c>
      <c r="G2417" s="7" t="s">
        <v>99</v>
      </c>
      <c r="H2417" s="7" t="n">
        <v>3</v>
      </c>
      <c r="I2417" s="11" t="n">
        <v>245</v>
      </c>
      <c r="J2417" s="11" t="n">
        <v>150</v>
      </c>
      <c r="K2417" s="11" t="n">
        <f aca="false">H2417*I2417-J2417</f>
        <v>585</v>
      </c>
      <c r="L2417" s="7" t="s">
        <v>112</v>
      </c>
      <c r="M2417" s="7" t="s">
        <v>194</v>
      </c>
      <c r="N2417" s="7" t="n">
        <v>40</v>
      </c>
      <c r="O2417" s="7" t="n">
        <v>3</v>
      </c>
    </row>
    <row r="2418" customFormat="false" ht="15" hidden="false" customHeight="false" outlineLevel="0" collapsed="false">
      <c r="A2418" s="7" t="s">
        <v>1382</v>
      </c>
      <c r="B2418" s="10" t="n">
        <v>45967</v>
      </c>
      <c r="C2418" s="7" t="s">
        <v>1384</v>
      </c>
      <c r="D2418" s="7" t="s">
        <v>1385</v>
      </c>
      <c r="E2418" s="7" t="s">
        <v>122</v>
      </c>
      <c r="F2418" s="7" t="s">
        <v>101</v>
      </c>
      <c r="G2418" s="7" t="s">
        <v>123</v>
      </c>
      <c r="H2418" s="7" t="n">
        <v>2</v>
      </c>
      <c r="I2418" s="11" t="n">
        <v>300</v>
      </c>
      <c r="J2418" s="11" t="n">
        <v>125</v>
      </c>
      <c r="K2418" s="11" t="n">
        <f aca="false">H2418*I2418-J2418</f>
        <v>475</v>
      </c>
      <c r="L2418" s="7" t="s">
        <v>112</v>
      </c>
      <c r="M2418" s="7" t="s">
        <v>194</v>
      </c>
      <c r="N2418" s="7" t="n">
        <v>47</v>
      </c>
      <c r="O2418" s="7" t="n">
        <v>5</v>
      </c>
    </row>
    <row r="2419" customFormat="false" ht="15" hidden="false" customHeight="false" outlineLevel="0" collapsed="false">
      <c r="A2419" s="7" t="s">
        <v>4843</v>
      </c>
      <c r="B2419" s="10" t="n">
        <v>45967</v>
      </c>
      <c r="C2419" s="7" t="s">
        <v>588</v>
      </c>
      <c r="D2419" s="7" t="s">
        <v>4576</v>
      </c>
      <c r="E2419" s="7" t="s">
        <v>138</v>
      </c>
      <c r="F2419" s="7" t="s">
        <v>110</v>
      </c>
      <c r="G2419" s="7" t="s">
        <v>139</v>
      </c>
      <c r="H2419" s="7" t="n">
        <v>2</v>
      </c>
      <c r="I2419" s="11" t="n">
        <v>155</v>
      </c>
      <c r="J2419" s="11" t="n">
        <v>0</v>
      </c>
      <c r="K2419" s="11" t="n">
        <f aca="false">H2419*I2419-J2419</f>
        <v>310</v>
      </c>
      <c r="L2419" s="7" t="s">
        <v>88</v>
      </c>
      <c r="M2419" s="7" t="s">
        <v>194</v>
      </c>
      <c r="N2419" s="7" t="n">
        <v>43</v>
      </c>
      <c r="O2419" s="7" t="n">
        <v>4</v>
      </c>
    </row>
    <row r="2420" customFormat="false" ht="15" hidden="false" customHeight="false" outlineLevel="0" collapsed="false">
      <c r="A2420" s="7" t="s">
        <v>4300</v>
      </c>
      <c r="B2420" s="10" t="n">
        <v>45967</v>
      </c>
      <c r="C2420" s="7" t="s">
        <v>245</v>
      </c>
      <c r="D2420" s="7" t="s">
        <v>3868</v>
      </c>
      <c r="E2420" s="7" t="s">
        <v>148</v>
      </c>
      <c r="F2420" s="7" t="s">
        <v>119</v>
      </c>
      <c r="G2420" s="7" t="s">
        <v>123</v>
      </c>
      <c r="H2420" s="7" t="n">
        <v>4</v>
      </c>
      <c r="I2420" s="11" t="n">
        <v>295</v>
      </c>
      <c r="J2420" s="11" t="n">
        <v>40</v>
      </c>
      <c r="K2420" s="11" t="n">
        <f aca="false">H2420*I2420-J2420</f>
        <v>1140</v>
      </c>
      <c r="L2420" s="7" t="s">
        <v>121</v>
      </c>
      <c r="M2420" s="7" t="s">
        <v>194</v>
      </c>
      <c r="N2420" s="7" t="n">
        <v>50</v>
      </c>
      <c r="O2420" s="7" t="n">
        <v>4</v>
      </c>
    </row>
    <row r="2421" customFormat="false" ht="15" hidden="false" customHeight="false" outlineLevel="0" collapsed="false">
      <c r="A2421" s="7" t="s">
        <v>4984</v>
      </c>
      <c r="B2421" s="10" t="n">
        <v>45967</v>
      </c>
      <c r="C2421" s="7" t="s">
        <v>1674</v>
      </c>
      <c r="D2421" s="7" t="s">
        <v>2146</v>
      </c>
      <c r="E2421" s="7" t="s">
        <v>166</v>
      </c>
      <c r="F2421" s="7" t="s">
        <v>146</v>
      </c>
      <c r="G2421" s="7" t="s">
        <v>117</v>
      </c>
      <c r="H2421" s="7" t="n">
        <v>4</v>
      </c>
      <c r="I2421" s="11" t="n">
        <v>95</v>
      </c>
      <c r="J2421" s="11" t="n">
        <v>20</v>
      </c>
      <c r="K2421" s="11" t="n">
        <f aca="false">H2421*I2421-J2421</f>
        <v>360</v>
      </c>
      <c r="L2421" s="7" t="s">
        <v>112</v>
      </c>
      <c r="M2421" s="7" t="s">
        <v>194</v>
      </c>
      <c r="N2421" s="7" t="n">
        <v>30</v>
      </c>
      <c r="O2421" s="7" t="n">
        <v>3</v>
      </c>
    </row>
    <row r="2422" customFormat="false" ht="15" hidden="false" customHeight="false" outlineLevel="0" collapsed="false">
      <c r="A2422" s="7" t="s">
        <v>5987</v>
      </c>
      <c r="B2422" s="10" t="n">
        <v>45967</v>
      </c>
      <c r="C2422" s="7" t="s">
        <v>1407</v>
      </c>
      <c r="D2422" s="7" t="s">
        <v>5988</v>
      </c>
      <c r="E2422" s="7" t="s">
        <v>159</v>
      </c>
      <c r="F2422" s="7" t="s">
        <v>136</v>
      </c>
      <c r="G2422" s="7" t="s">
        <v>90</v>
      </c>
      <c r="H2422" s="7" t="n">
        <v>2</v>
      </c>
      <c r="I2422" s="11" t="n">
        <v>225</v>
      </c>
      <c r="J2422" s="11" t="n">
        <v>0</v>
      </c>
      <c r="K2422" s="11" t="n">
        <f aca="false">H2422*I2422-J2422</f>
        <v>450</v>
      </c>
      <c r="L2422" s="7" t="s">
        <v>88</v>
      </c>
      <c r="M2422" s="7" t="s">
        <v>194</v>
      </c>
      <c r="N2422" s="7" t="n">
        <v>42</v>
      </c>
      <c r="O2422" s="7" t="n">
        <v>4</v>
      </c>
    </row>
    <row r="2423" customFormat="false" ht="15" hidden="false" customHeight="false" outlineLevel="0" collapsed="false">
      <c r="A2423" s="7" t="s">
        <v>4745</v>
      </c>
      <c r="B2423" s="10" t="n">
        <v>45967</v>
      </c>
      <c r="C2423" s="7" t="s">
        <v>1643</v>
      </c>
      <c r="D2423" s="7" t="s">
        <v>1755</v>
      </c>
      <c r="E2423" s="7" t="s">
        <v>126</v>
      </c>
      <c r="F2423" s="7" t="s">
        <v>101</v>
      </c>
      <c r="G2423" s="7" t="s">
        <v>105</v>
      </c>
      <c r="H2423" s="7" t="n">
        <v>1</v>
      </c>
      <c r="I2423" s="11" t="n">
        <v>215</v>
      </c>
      <c r="J2423" s="11" t="n">
        <v>86</v>
      </c>
      <c r="K2423" s="11" t="n">
        <f aca="false">H2423*I2423-J2423</f>
        <v>129</v>
      </c>
      <c r="L2423" s="7" t="s">
        <v>121</v>
      </c>
      <c r="M2423" s="7" t="s">
        <v>194</v>
      </c>
      <c r="N2423" s="7" t="n">
        <v>46</v>
      </c>
      <c r="O2423" s="7" t="n">
        <v>4</v>
      </c>
    </row>
    <row r="2424" customFormat="false" ht="15" hidden="false" customHeight="false" outlineLevel="0" collapsed="false">
      <c r="A2424" s="7" t="s">
        <v>4824</v>
      </c>
      <c r="B2424" s="10" t="n">
        <v>45967</v>
      </c>
      <c r="C2424" s="7" t="s">
        <v>1805</v>
      </c>
      <c r="D2424" s="7" t="s">
        <v>1257</v>
      </c>
      <c r="E2424" s="7" t="s">
        <v>104</v>
      </c>
      <c r="F2424" s="7" t="s">
        <v>86</v>
      </c>
      <c r="G2424" s="7" t="s">
        <v>105</v>
      </c>
      <c r="H2424" s="7" t="n">
        <v>3</v>
      </c>
      <c r="I2424" s="11" t="n">
        <v>240</v>
      </c>
      <c r="J2424" s="11" t="n">
        <v>0</v>
      </c>
      <c r="K2424" s="11" t="n">
        <f aca="false">H2424*I2424-J2424</f>
        <v>720</v>
      </c>
      <c r="L2424" s="7" t="s">
        <v>88</v>
      </c>
      <c r="M2424" s="7" t="s">
        <v>194</v>
      </c>
      <c r="N2424" s="7" t="n">
        <v>44</v>
      </c>
      <c r="O2424" s="7" t="n">
        <v>4</v>
      </c>
    </row>
    <row r="2425" customFormat="false" ht="15" hidden="false" customHeight="false" outlineLevel="0" collapsed="false">
      <c r="A2425" s="7" t="s">
        <v>2478</v>
      </c>
      <c r="B2425" s="10" t="n">
        <v>45967</v>
      </c>
      <c r="C2425" s="7" t="s">
        <v>543</v>
      </c>
      <c r="D2425" s="7" t="s">
        <v>2480</v>
      </c>
      <c r="E2425" s="7" t="s">
        <v>116</v>
      </c>
      <c r="F2425" s="7" t="s">
        <v>101</v>
      </c>
      <c r="G2425" s="7" t="s">
        <v>117</v>
      </c>
      <c r="H2425" s="7" t="n">
        <v>4</v>
      </c>
      <c r="I2425" s="11" t="n">
        <v>170</v>
      </c>
      <c r="J2425" s="11" t="n">
        <v>0</v>
      </c>
      <c r="K2425" s="11" t="n">
        <f aca="false">H2425*I2425-J2425</f>
        <v>680</v>
      </c>
      <c r="L2425" s="7" t="s">
        <v>121</v>
      </c>
      <c r="M2425" s="7" t="s">
        <v>194</v>
      </c>
      <c r="N2425" s="7" t="n">
        <v>36</v>
      </c>
      <c r="O2425" s="7" t="n">
        <v>5</v>
      </c>
    </row>
    <row r="2426" customFormat="false" ht="15" hidden="false" customHeight="false" outlineLevel="0" collapsed="false">
      <c r="A2426" s="7" t="s">
        <v>5634</v>
      </c>
      <c r="B2426" s="10" t="n">
        <v>45968</v>
      </c>
      <c r="C2426" s="7" t="s">
        <v>749</v>
      </c>
      <c r="D2426" s="7" t="s">
        <v>1785</v>
      </c>
      <c r="E2426" s="7" t="s">
        <v>138</v>
      </c>
      <c r="F2426" s="7" t="s">
        <v>110</v>
      </c>
      <c r="G2426" s="7" t="s">
        <v>139</v>
      </c>
      <c r="H2426" s="7" t="n">
        <v>4</v>
      </c>
      <c r="I2426" s="11" t="n">
        <v>160</v>
      </c>
      <c r="J2426" s="11" t="n">
        <v>20</v>
      </c>
      <c r="K2426" s="11" t="n">
        <f aca="false">H2426*I2426-J2426</f>
        <v>620</v>
      </c>
      <c r="L2426" s="7" t="s">
        <v>88</v>
      </c>
      <c r="M2426" s="7" t="s">
        <v>194</v>
      </c>
      <c r="N2426" s="7" t="n">
        <v>27</v>
      </c>
      <c r="O2426" s="7" t="n">
        <v>3</v>
      </c>
    </row>
    <row r="2427" customFormat="false" ht="15" hidden="false" customHeight="false" outlineLevel="0" collapsed="false">
      <c r="A2427" s="7" t="s">
        <v>2106</v>
      </c>
      <c r="B2427" s="10" t="n">
        <v>45968</v>
      </c>
      <c r="C2427" s="7" t="s">
        <v>2108</v>
      </c>
      <c r="D2427" s="7" t="s">
        <v>690</v>
      </c>
      <c r="E2427" s="7" t="s">
        <v>130</v>
      </c>
      <c r="F2427" s="7" t="s">
        <v>110</v>
      </c>
      <c r="G2427" s="7" t="s">
        <v>90</v>
      </c>
      <c r="H2427" s="7" t="n">
        <v>5</v>
      </c>
      <c r="I2427" s="11" t="n">
        <v>320</v>
      </c>
      <c r="J2427" s="11" t="n">
        <v>0</v>
      </c>
      <c r="K2427" s="11" t="n">
        <f aca="false">H2427*I2427-J2427</f>
        <v>1600</v>
      </c>
      <c r="L2427" s="7" t="s">
        <v>88</v>
      </c>
      <c r="M2427" s="7" t="s">
        <v>194</v>
      </c>
      <c r="N2427" s="7" t="n">
        <v>42</v>
      </c>
      <c r="O2427" s="7" t="n">
        <v>5</v>
      </c>
    </row>
    <row r="2428" customFormat="false" ht="15" hidden="false" customHeight="false" outlineLevel="0" collapsed="false">
      <c r="A2428" s="7" t="s">
        <v>5849</v>
      </c>
      <c r="B2428" s="10" t="n">
        <v>45968</v>
      </c>
      <c r="C2428" s="7" t="s">
        <v>675</v>
      </c>
      <c r="D2428" s="7" t="s">
        <v>1952</v>
      </c>
      <c r="E2428" s="7" t="s">
        <v>116</v>
      </c>
      <c r="F2428" s="7" t="s">
        <v>101</v>
      </c>
      <c r="G2428" s="7" t="s">
        <v>117</v>
      </c>
      <c r="H2428" s="7" t="n">
        <v>1</v>
      </c>
      <c r="I2428" s="11" t="n">
        <v>120</v>
      </c>
      <c r="J2428" s="11" t="n">
        <v>0</v>
      </c>
      <c r="K2428" s="11" t="n">
        <f aca="false">H2428*I2428-J2428</f>
        <v>120</v>
      </c>
      <c r="L2428" s="7" t="s">
        <v>88</v>
      </c>
      <c r="M2428" s="7" t="s">
        <v>194</v>
      </c>
      <c r="N2428" s="7" t="n">
        <v>49</v>
      </c>
      <c r="O2428" s="7" t="n">
        <v>3</v>
      </c>
    </row>
    <row r="2429" customFormat="false" ht="15" hidden="false" customHeight="false" outlineLevel="0" collapsed="false">
      <c r="A2429" s="7" t="s">
        <v>5903</v>
      </c>
      <c r="B2429" s="10" t="n">
        <v>45968</v>
      </c>
      <c r="C2429" s="7" t="s">
        <v>2710</v>
      </c>
      <c r="D2429" s="7" t="s">
        <v>3643</v>
      </c>
      <c r="E2429" s="7" t="s">
        <v>158</v>
      </c>
      <c r="F2429" s="7" t="s">
        <v>136</v>
      </c>
      <c r="G2429" s="7" t="s">
        <v>139</v>
      </c>
      <c r="H2429" s="7" t="n">
        <v>3</v>
      </c>
      <c r="I2429" s="11" t="n">
        <v>220</v>
      </c>
      <c r="J2429" s="11" t="n">
        <v>0</v>
      </c>
      <c r="K2429" s="11" t="n">
        <f aca="false">H2429*I2429-J2429</f>
        <v>660</v>
      </c>
      <c r="L2429" s="7" t="s">
        <v>93</v>
      </c>
      <c r="M2429" s="7" t="s">
        <v>194</v>
      </c>
      <c r="N2429" s="7" t="n">
        <v>20</v>
      </c>
      <c r="O2429" s="7" t="n">
        <v>5</v>
      </c>
    </row>
    <row r="2430" customFormat="false" ht="15" hidden="false" customHeight="false" outlineLevel="0" collapsed="false">
      <c r="A2430" s="7" t="s">
        <v>5704</v>
      </c>
      <c r="B2430" s="10" t="n">
        <v>45968</v>
      </c>
      <c r="C2430" s="7" t="s">
        <v>564</v>
      </c>
      <c r="D2430" s="7" t="s">
        <v>5705</v>
      </c>
      <c r="E2430" s="7" t="s">
        <v>159</v>
      </c>
      <c r="F2430" s="7" t="s">
        <v>136</v>
      </c>
      <c r="G2430" s="7" t="s">
        <v>90</v>
      </c>
      <c r="H2430" s="7" t="n">
        <v>3</v>
      </c>
      <c r="I2430" s="11" t="n">
        <v>220</v>
      </c>
      <c r="J2430" s="11" t="n">
        <v>0</v>
      </c>
      <c r="K2430" s="11" t="n">
        <f aca="false">H2430*I2430-J2430</f>
        <v>660</v>
      </c>
      <c r="L2430" s="7" t="s">
        <v>112</v>
      </c>
      <c r="M2430" s="7" t="s">
        <v>194</v>
      </c>
      <c r="N2430" s="7" t="n">
        <v>34</v>
      </c>
      <c r="O2430" s="7" t="n">
        <v>3</v>
      </c>
    </row>
    <row r="2431" customFormat="false" ht="15" hidden="false" customHeight="false" outlineLevel="0" collapsed="false">
      <c r="A2431" s="7" t="s">
        <v>4372</v>
      </c>
      <c r="B2431" s="10" t="n">
        <v>45968</v>
      </c>
      <c r="C2431" s="7" t="s">
        <v>1674</v>
      </c>
      <c r="D2431" s="7" t="s">
        <v>3428</v>
      </c>
      <c r="E2431" s="7" t="s">
        <v>168</v>
      </c>
      <c r="F2431" s="7" t="s">
        <v>146</v>
      </c>
      <c r="G2431" s="7" t="s">
        <v>123</v>
      </c>
      <c r="H2431" s="7" t="n">
        <v>3</v>
      </c>
      <c r="I2431" s="11" t="n">
        <v>345</v>
      </c>
      <c r="J2431" s="11" t="n">
        <v>0</v>
      </c>
      <c r="K2431" s="11" t="n">
        <f aca="false">H2431*I2431-J2431</f>
        <v>1035</v>
      </c>
      <c r="L2431" s="7" t="s">
        <v>93</v>
      </c>
      <c r="M2431" s="7" t="s">
        <v>194</v>
      </c>
      <c r="N2431" s="7" t="n">
        <v>33</v>
      </c>
      <c r="O2431" s="7" t="n">
        <v>4</v>
      </c>
    </row>
    <row r="2432" customFormat="false" ht="15" hidden="false" customHeight="false" outlineLevel="0" collapsed="false">
      <c r="A2432" s="7" t="s">
        <v>4752</v>
      </c>
      <c r="B2432" s="10" t="n">
        <v>45968</v>
      </c>
      <c r="C2432" s="7" t="s">
        <v>369</v>
      </c>
      <c r="D2432" s="7" t="s">
        <v>2728</v>
      </c>
      <c r="E2432" s="7" t="s">
        <v>158</v>
      </c>
      <c r="F2432" s="7" t="s">
        <v>136</v>
      </c>
      <c r="G2432" s="7" t="s">
        <v>139</v>
      </c>
      <c r="H2432" s="7" t="n">
        <v>1</v>
      </c>
      <c r="I2432" s="11" t="n">
        <v>235</v>
      </c>
      <c r="J2432" s="11" t="n">
        <v>0</v>
      </c>
      <c r="K2432" s="11" t="n">
        <f aca="false">H2432*I2432-J2432</f>
        <v>235</v>
      </c>
      <c r="L2432" s="7" t="s">
        <v>88</v>
      </c>
      <c r="M2432" s="7" t="s">
        <v>238</v>
      </c>
      <c r="N2432" s="7"/>
      <c r="O2432" s="7"/>
    </row>
    <row r="2433" customFormat="false" ht="15" hidden="false" customHeight="false" outlineLevel="0" collapsed="false">
      <c r="A2433" s="7" t="s">
        <v>5826</v>
      </c>
      <c r="B2433" s="10" t="n">
        <v>45968</v>
      </c>
      <c r="C2433" s="7" t="s">
        <v>930</v>
      </c>
      <c r="D2433" s="7" t="s">
        <v>2540</v>
      </c>
      <c r="E2433" s="7" t="s">
        <v>159</v>
      </c>
      <c r="F2433" s="7" t="s">
        <v>136</v>
      </c>
      <c r="G2433" s="7" t="s">
        <v>90</v>
      </c>
      <c r="H2433" s="7" t="n">
        <v>3</v>
      </c>
      <c r="I2433" s="11" t="n">
        <v>265</v>
      </c>
      <c r="J2433" s="11" t="n">
        <v>0</v>
      </c>
      <c r="K2433" s="11" t="n">
        <f aca="false">H2433*I2433-J2433</f>
        <v>795</v>
      </c>
      <c r="L2433" s="7" t="s">
        <v>88</v>
      </c>
      <c r="M2433" s="7" t="s">
        <v>194</v>
      </c>
      <c r="N2433" s="7" t="n">
        <v>27</v>
      </c>
      <c r="O2433" s="7" t="n">
        <v>4</v>
      </c>
    </row>
    <row r="2434" customFormat="false" ht="15" hidden="false" customHeight="false" outlineLevel="0" collapsed="false">
      <c r="A2434" s="7" t="s">
        <v>6039</v>
      </c>
      <c r="B2434" s="10" t="n">
        <v>45968</v>
      </c>
      <c r="C2434" s="7" t="s">
        <v>4741</v>
      </c>
      <c r="D2434" s="7" t="s">
        <v>6040</v>
      </c>
      <c r="E2434" s="7" t="s">
        <v>159</v>
      </c>
      <c r="F2434" s="7" t="s">
        <v>136</v>
      </c>
      <c r="G2434" s="7" t="s">
        <v>90</v>
      </c>
      <c r="H2434" s="7" t="n">
        <v>2</v>
      </c>
      <c r="I2434" s="11" t="n">
        <v>255</v>
      </c>
      <c r="J2434" s="11" t="n">
        <v>50</v>
      </c>
      <c r="K2434" s="11" t="n">
        <f aca="false">H2434*I2434-J2434</f>
        <v>460</v>
      </c>
      <c r="L2434" s="7" t="s">
        <v>93</v>
      </c>
      <c r="M2434" s="7" t="s">
        <v>194</v>
      </c>
      <c r="N2434" s="7" t="n">
        <v>33</v>
      </c>
      <c r="O2434" s="7" t="n">
        <v>4</v>
      </c>
    </row>
    <row r="2435" customFormat="false" ht="15" hidden="false" customHeight="false" outlineLevel="0" collapsed="false">
      <c r="A2435" s="7" t="s">
        <v>2376</v>
      </c>
      <c r="B2435" s="10" t="n">
        <v>45969</v>
      </c>
      <c r="C2435" s="7" t="s">
        <v>2377</v>
      </c>
      <c r="D2435" s="7" t="s">
        <v>2378</v>
      </c>
      <c r="E2435" s="7" t="s">
        <v>168</v>
      </c>
      <c r="F2435" s="7" t="s">
        <v>146</v>
      </c>
      <c r="G2435" s="7" t="s">
        <v>123</v>
      </c>
      <c r="H2435" s="7" t="n">
        <v>4</v>
      </c>
      <c r="I2435" s="11" t="n">
        <v>375</v>
      </c>
      <c r="J2435" s="11" t="n">
        <v>0</v>
      </c>
      <c r="K2435" s="11" t="n">
        <f aca="false">H2435*I2435-J2435</f>
        <v>1500</v>
      </c>
      <c r="L2435" s="7" t="s">
        <v>103</v>
      </c>
      <c r="M2435" s="7" t="s">
        <v>194</v>
      </c>
      <c r="N2435" s="7" t="n">
        <v>39</v>
      </c>
      <c r="O2435" s="7" t="n">
        <v>4</v>
      </c>
    </row>
    <row r="2436" customFormat="false" ht="15" hidden="false" customHeight="false" outlineLevel="0" collapsed="false">
      <c r="A2436" s="7" t="s">
        <v>5871</v>
      </c>
      <c r="B2436" s="10" t="n">
        <v>45969</v>
      </c>
      <c r="C2436" s="7" t="s">
        <v>241</v>
      </c>
      <c r="D2436" s="7" t="s">
        <v>4891</v>
      </c>
      <c r="E2436" s="7" t="s">
        <v>147</v>
      </c>
      <c r="F2436" s="7" t="s">
        <v>119</v>
      </c>
      <c r="G2436" s="7" t="s">
        <v>95</v>
      </c>
      <c r="H2436" s="7" t="n">
        <v>1</v>
      </c>
      <c r="I2436" s="11" t="n">
        <v>150</v>
      </c>
      <c r="J2436" s="11" t="n">
        <v>50</v>
      </c>
      <c r="K2436" s="11" t="n">
        <f aca="false">H2436*I2436-J2436</f>
        <v>100</v>
      </c>
      <c r="L2436" s="7" t="s">
        <v>88</v>
      </c>
      <c r="M2436" s="7" t="s">
        <v>194</v>
      </c>
      <c r="N2436" s="7" t="n">
        <v>28</v>
      </c>
      <c r="O2436" s="7" t="n">
        <v>5</v>
      </c>
    </row>
    <row r="2437" customFormat="false" ht="15" hidden="false" customHeight="false" outlineLevel="0" collapsed="false">
      <c r="A2437" s="7" t="s">
        <v>852</v>
      </c>
      <c r="B2437" s="10" t="n">
        <v>45969</v>
      </c>
      <c r="C2437" s="7" t="s">
        <v>853</v>
      </c>
      <c r="D2437" s="7" t="s">
        <v>582</v>
      </c>
      <c r="E2437" s="7" t="s">
        <v>147</v>
      </c>
      <c r="F2437" s="7" t="s">
        <v>119</v>
      </c>
      <c r="G2437" s="7" t="s">
        <v>95</v>
      </c>
      <c r="H2437" s="7" t="n">
        <v>2</v>
      </c>
      <c r="I2437" s="11" t="n">
        <v>160</v>
      </c>
      <c r="J2437" s="11" t="n">
        <v>0</v>
      </c>
      <c r="K2437" s="11" t="n">
        <f aca="false">H2437*I2437-J2437</f>
        <v>320</v>
      </c>
      <c r="L2437" s="7" t="s">
        <v>112</v>
      </c>
      <c r="M2437" s="7" t="s">
        <v>194</v>
      </c>
      <c r="N2437" s="7" t="n">
        <v>43</v>
      </c>
      <c r="O2437" s="7" t="n">
        <v>4</v>
      </c>
    </row>
    <row r="2438" customFormat="false" ht="15" hidden="false" customHeight="false" outlineLevel="0" collapsed="false">
      <c r="A2438" s="7" t="s">
        <v>465</v>
      </c>
      <c r="B2438" s="10" t="n">
        <v>45969</v>
      </c>
      <c r="C2438" s="7" t="s">
        <v>236</v>
      </c>
      <c r="D2438" s="7" t="s">
        <v>467</v>
      </c>
      <c r="E2438" s="7" t="s">
        <v>94</v>
      </c>
      <c r="F2438" s="7" t="s">
        <v>86</v>
      </c>
      <c r="G2438" s="7" t="s">
        <v>95</v>
      </c>
      <c r="H2438" s="7" t="n">
        <v>1</v>
      </c>
      <c r="I2438" s="11" t="n">
        <v>130</v>
      </c>
      <c r="J2438" s="11" t="n">
        <v>30</v>
      </c>
      <c r="K2438" s="11" t="n">
        <f aca="false">H2438*I2438-J2438</f>
        <v>100</v>
      </c>
      <c r="L2438" s="7" t="s">
        <v>121</v>
      </c>
      <c r="M2438" s="7" t="s">
        <v>194</v>
      </c>
      <c r="N2438" s="7" t="n">
        <v>56</v>
      </c>
      <c r="O2438" s="7" t="n">
        <v>4</v>
      </c>
    </row>
    <row r="2439" customFormat="false" ht="15" hidden="false" customHeight="false" outlineLevel="0" collapsed="false">
      <c r="A2439" s="7" t="s">
        <v>5795</v>
      </c>
      <c r="B2439" s="10" t="n">
        <v>45969</v>
      </c>
      <c r="C2439" s="7" t="s">
        <v>619</v>
      </c>
      <c r="D2439" s="7" t="s">
        <v>2697</v>
      </c>
      <c r="E2439" s="7" t="s">
        <v>138</v>
      </c>
      <c r="F2439" s="7" t="s">
        <v>110</v>
      </c>
      <c r="G2439" s="7" t="s">
        <v>139</v>
      </c>
      <c r="H2439" s="7" t="n">
        <v>2</v>
      </c>
      <c r="I2439" s="11" t="n">
        <v>170</v>
      </c>
      <c r="J2439" s="11" t="n">
        <v>0</v>
      </c>
      <c r="K2439" s="11" t="n">
        <f aca="false">H2439*I2439-J2439</f>
        <v>340</v>
      </c>
      <c r="L2439" s="7" t="s">
        <v>88</v>
      </c>
      <c r="M2439" s="7" t="s">
        <v>194</v>
      </c>
      <c r="N2439" s="7" t="n">
        <v>39</v>
      </c>
      <c r="O2439" s="7" t="n">
        <v>3</v>
      </c>
    </row>
    <row r="2440" customFormat="false" ht="15" hidden="false" customHeight="false" outlineLevel="0" collapsed="false">
      <c r="A2440" s="7" t="s">
        <v>5891</v>
      </c>
      <c r="B2440" s="10" t="n">
        <v>45970</v>
      </c>
      <c r="C2440" s="7" t="s">
        <v>3291</v>
      </c>
      <c r="D2440" s="7" t="s">
        <v>948</v>
      </c>
      <c r="E2440" s="7" t="s">
        <v>147</v>
      </c>
      <c r="F2440" s="7" t="s">
        <v>119</v>
      </c>
      <c r="G2440" s="7" t="s">
        <v>95</v>
      </c>
      <c r="H2440" s="7" t="n">
        <v>3</v>
      </c>
      <c r="I2440" s="11" t="n">
        <v>165</v>
      </c>
      <c r="J2440" s="11" t="n">
        <v>125</v>
      </c>
      <c r="K2440" s="11" t="n">
        <f aca="false">H2440*I2440-J2440</f>
        <v>370</v>
      </c>
      <c r="L2440" s="7" t="s">
        <v>88</v>
      </c>
      <c r="M2440" s="7" t="s">
        <v>194</v>
      </c>
      <c r="N2440" s="7" t="n">
        <v>45</v>
      </c>
      <c r="O2440" s="7" t="n">
        <v>3</v>
      </c>
    </row>
    <row r="2441" customFormat="false" ht="15" hidden="false" customHeight="false" outlineLevel="0" collapsed="false">
      <c r="A2441" s="7" t="s">
        <v>4962</v>
      </c>
      <c r="B2441" s="10" t="n">
        <v>45970</v>
      </c>
      <c r="C2441" s="7" t="s">
        <v>1466</v>
      </c>
      <c r="D2441" s="7" t="s">
        <v>1377</v>
      </c>
      <c r="E2441" s="7" t="s">
        <v>113</v>
      </c>
      <c r="F2441" s="7" t="s">
        <v>101</v>
      </c>
      <c r="G2441" s="7" t="s">
        <v>90</v>
      </c>
      <c r="H2441" s="7" t="n">
        <v>2</v>
      </c>
      <c r="I2441" s="11" t="n">
        <v>220</v>
      </c>
      <c r="J2441" s="11" t="n">
        <v>0</v>
      </c>
      <c r="K2441" s="11" t="n">
        <f aca="false">H2441*I2441-J2441</f>
        <v>440</v>
      </c>
      <c r="L2441" s="7" t="s">
        <v>88</v>
      </c>
      <c r="M2441" s="7" t="s">
        <v>238</v>
      </c>
      <c r="N2441" s="7"/>
      <c r="O2441" s="7"/>
    </row>
    <row r="2442" customFormat="false" ht="15" hidden="false" customHeight="false" outlineLevel="0" collapsed="false">
      <c r="A2442" s="7" t="s">
        <v>4079</v>
      </c>
      <c r="B2442" s="10" t="n">
        <v>45970</v>
      </c>
      <c r="C2442" s="7" t="s">
        <v>4080</v>
      </c>
      <c r="D2442" s="7" t="s">
        <v>1148</v>
      </c>
      <c r="E2442" s="7" t="s">
        <v>94</v>
      </c>
      <c r="F2442" s="7" t="s">
        <v>86</v>
      </c>
      <c r="G2442" s="7" t="s">
        <v>95</v>
      </c>
      <c r="H2442" s="7" t="n">
        <v>3</v>
      </c>
      <c r="I2442" s="11" t="n">
        <v>115</v>
      </c>
      <c r="J2442" s="11" t="n">
        <v>40</v>
      </c>
      <c r="K2442" s="11" t="n">
        <f aca="false">H2442*I2442-J2442</f>
        <v>305</v>
      </c>
      <c r="L2442" s="7" t="s">
        <v>88</v>
      </c>
      <c r="M2442" s="7" t="s">
        <v>194</v>
      </c>
      <c r="N2442" s="7" t="n">
        <v>36</v>
      </c>
      <c r="O2442" s="7" t="n">
        <v>4</v>
      </c>
    </row>
    <row r="2443" customFormat="false" ht="15" hidden="false" customHeight="false" outlineLevel="0" collapsed="false">
      <c r="A2443" s="7" t="s">
        <v>5742</v>
      </c>
      <c r="B2443" s="10" t="n">
        <v>45970</v>
      </c>
      <c r="C2443" s="7" t="s">
        <v>2266</v>
      </c>
      <c r="D2443" s="7" t="s">
        <v>5162</v>
      </c>
      <c r="E2443" s="7" t="s">
        <v>147</v>
      </c>
      <c r="F2443" s="7" t="s">
        <v>119</v>
      </c>
      <c r="G2443" s="7" t="s">
        <v>95</v>
      </c>
      <c r="H2443" s="7" t="n">
        <v>2</v>
      </c>
      <c r="I2443" s="11" t="n">
        <v>130</v>
      </c>
      <c r="J2443" s="11" t="n">
        <v>0</v>
      </c>
      <c r="K2443" s="11" t="n">
        <f aca="false">H2443*I2443-J2443</f>
        <v>260</v>
      </c>
      <c r="L2443" s="7" t="s">
        <v>112</v>
      </c>
      <c r="M2443" s="7" t="s">
        <v>194</v>
      </c>
      <c r="N2443" s="7" t="n">
        <v>37</v>
      </c>
      <c r="O2443" s="7" t="n">
        <v>4</v>
      </c>
    </row>
    <row r="2444" customFormat="false" ht="15" hidden="false" customHeight="false" outlineLevel="0" collapsed="false">
      <c r="A2444" s="7" t="s">
        <v>5264</v>
      </c>
      <c r="B2444" s="10" t="n">
        <v>45970</v>
      </c>
      <c r="C2444" s="7" t="s">
        <v>377</v>
      </c>
      <c r="D2444" s="7" t="s">
        <v>2424</v>
      </c>
      <c r="E2444" s="7" t="s">
        <v>130</v>
      </c>
      <c r="F2444" s="7" t="s">
        <v>110</v>
      </c>
      <c r="G2444" s="7" t="s">
        <v>90</v>
      </c>
      <c r="H2444" s="7" t="n">
        <v>1</v>
      </c>
      <c r="I2444" s="11" t="n">
        <v>310</v>
      </c>
      <c r="J2444" s="11" t="n">
        <v>0</v>
      </c>
      <c r="K2444" s="11" t="n">
        <f aca="false">H2444*I2444-J2444</f>
        <v>310</v>
      </c>
      <c r="L2444" s="7" t="s">
        <v>93</v>
      </c>
      <c r="M2444" s="7" t="s">
        <v>194</v>
      </c>
      <c r="N2444" s="7" t="n">
        <v>35</v>
      </c>
      <c r="O2444" s="7" t="n">
        <v>3</v>
      </c>
    </row>
    <row r="2445" customFormat="false" ht="15" hidden="false" customHeight="false" outlineLevel="0" collapsed="false">
      <c r="A2445" s="7" t="s">
        <v>3121</v>
      </c>
      <c r="B2445" s="10" t="n">
        <v>45970</v>
      </c>
      <c r="C2445" s="7" t="s">
        <v>2202</v>
      </c>
      <c r="D2445" s="7" t="s">
        <v>1232</v>
      </c>
      <c r="E2445" s="7" t="s">
        <v>157</v>
      </c>
      <c r="F2445" s="7" t="s">
        <v>136</v>
      </c>
      <c r="G2445" s="7" t="s">
        <v>117</v>
      </c>
      <c r="H2445" s="7" t="n">
        <v>1</v>
      </c>
      <c r="I2445" s="11" t="n">
        <v>135</v>
      </c>
      <c r="J2445" s="11" t="n">
        <v>0</v>
      </c>
      <c r="K2445" s="11" t="n">
        <f aca="false">H2445*I2445-J2445</f>
        <v>135</v>
      </c>
      <c r="L2445" s="7" t="s">
        <v>88</v>
      </c>
      <c r="M2445" s="7" t="s">
        <v>194</v>
      </c>
      <c r="N2445" s="7" t="n">
        <v>31</v>
      </c>
      <c r="O2445" s="7" t="n">
        <v>5</v>
      </c>
    </row>
    <row r="2446" customFormat="false" ht="15" hidden="false" customHeight="false" outlineLevel="0" collapsed="false">
      <c r="A2446" s="7" t="s">
        <v>4105</v>
      </c>
      <c r="B2446" s="10" t="n">
        <v>45970</v>
      </c>
      <c r="C2446" s="7" t="s">
        <v>772</v>
      </c>
      <c r="D2446" s="7" t="s">
        <v>1453</v>
      </c>
      <c r="E2446" s="7" t="s">
        <v>155</v>
      </c>
      <c r="F2446" s="7" t="s">
        <v>128</v>
      </c>
      <c r="G2446" s="7" t="s">
        <v>156</v>
      </c>
      <c r="H2446" s="7" t="n">
        <v>1</v>
      </c>
      <c r="I2446" s="11" t="n">
        <v>250</v>
      </c>
      <c r="J2446" s="11" t="n">
        <v>100</v>
      </c>
      <c r="K2446" s="11" t="n">
        <f aca="false">H2446*I2446-J2446</f>
        <v>150</v>
      </c>
      <c r="L2446" s="7" t="s">
        <v>112</v>
      </c>
      <c r="M2446" s="7" t="s">
        <v>194</v>
      </c>
      <c r="N2446" s="7" t="n">
        <v>47</v>
      </c>
      <c r="O2446" s="7" t="n">
        <v>4</v>
      </c>
    </row>
    <row r="2447" customFormat="false" ht="15" hidden="false" customHeight="false" outlineLevel="0" collapsed="false">
      <c r="A2447" s="7" t="s">
        <v>5289</v>
      </c>
      <c r="B2447" s="10" t="n">
        <v>45970</v>
      </c>
      <c r="C2447" s="7" t="s">
        <v>2125</v>
      </c>
      <c r="D2447" s="7" t="s">
        <v>5290</v>
      </c>
      <c r="E2447" s="7" t="s">
        <v>164</v>
      </c>
      <c r="F2447" s="7" t="s">
        <v>141</v>
      </c>
      <c r="G2447" s="7" t="s">
        <v>150</v>
      </c>
      <c r="H2447" s="7" t="n">
        <v>2</v>
      </c>
      <c r="I2447" s="11" t="n">
        <v>130</v>
      </c>
      <c r="J2447" s="11" t="n">
        <v>0</v>
      </c>
      <c r="K2447" s="11" t="n">
        <f aca="false">H2447*I2447-J2447</f>
        <v>260</v>
      </c>
      <c r="L2447" s="7" t="s">
        <v>112</v>
      </c>
      <c r="M2447" s="7" t="s">
        <v>194</v>
      </c>
      <c r="N2447" s="7" t="n">
        <v>52</v>
      </c>
      <c r="O2447" s="7"/>
    </row>
    <row r="2448" customFormat="false" ht="15" hidden="false" customHeight="false" outlineLevel="0" collapsed="false">
      <c r="A2448" s="7" t="s">
        <v>871</v>
      </c>
      <c r="B2448" s="10" t="n">
        <v>45970</v>
      </c>
      <c r="C2448" s="7" t="s">
        <v>433</v>
      </c>
      <c r="D2448" s="7" t="s">
        <v>873</v>
      </c>
      <c r="E2448" s="7" t="s">
        <v>126</v>
      </c>
      <c r="F2448" s="7" t="s">
        <v>101</v>
      </c>
      <c r="G2448" s="7" t="s">
        <v>105</v>
      </c>
      <c r="H2448" s="7" t="n">
        <v>2</v>
      </c>
      <c r="I2448" s="11" t="n">
        <v>200</v>
      </c>
      <c r="J2448" s="11" t="n">
        <v>75</v>
      </c>
      <c r="K2448" s="11" t="n">
        <f aca="false">H2448*I2448-J2448</f>
        <v>325</v>
      </c>
      <c r="L2448" s="7" t="s">
        <v>88</v>
      </c>
      <c r="M2448" s="7" t="s">
        <v>194</v>
      </c>
      <c r="N2448" s="7" t="n">
        <v>40</v>
      </c>
      <c r="O2448" s="7" t="n">
        <v>5</v>
      </c>
    </row>
    <row r="2449" customFormat="false" ht="15" hidden="false" customHeight="false" outlineLevel="0" collapsed="false">
      <c r="A2449" s="7" t="s">
        <v>3485</v>
      </c>
      <c r="B2449" s="10" t="n">
        <v>45970</v>
      </c>
      <c r="C2449" s="7" t="s">
        <v>1688</v>
      </c>
      <c r="D2449" s="7" t="s">
        <v>453</v>
      </c>
      <c r="E2449" s="7" t="s">
        <v>138</v>
      </c>
      <c r="F2449" s="7" t="s">
        <v>110</v>
      </c>
      <c r="G2449" s="7" t="s">
        <v>139</v>
      </c>
      <c r="H2449" s="7" t="n">
        <v>3</v>
      </c>
      <c r="I2449" s="11" t="n">
        <v>180</v>
      </c>
      <c r="J2449" s="11" t="n">
        <v>30</v>
      </c>
      <c r="K2449" s="11" t="n">
        <f aca="false">H2449*I2449-J2449</f>
        <v>510</v>
      </c>
      <c r="L2449" s="7" t="s">
        <v>93</v>
      </c>
      <c r="M2449" s="7" t="s">
        <v>194</v>
      </c>
      <c r="N2449" s="7" t="n">
        <v>41</v>
      </c>
      <c r="O2449" s="7"/>
    </row>
    <row r="2450" customFormat="false" ht="15" hidden="false" customHeight="false" outlineLevel="0" collapsed="false">
      <c r="A2450" s="7" t="s">
        <v>4344</v>
      </c>
      <c r="B2450" s="10" t="n">
        <v>45970</v>
      </c>
      <c r="C2450" s="7" t="s">
        <v>1761</v>
      </c>
      <c r="D2450" s="7" t="s">
        <v>860</v>
      </c>
      <c r="E2450" s="7" t="s">
        <v>113</v>
      </c>
      <c r="F2450" s="7" t="s">
        <v>101</v>
      </c>
      <c r="G2450" s="7" t="s">
        <v>90</v>
      </c>
      <c r="H2450" s="7" t="n">
        <v>1</v>
      </c>
      <c r="I2450" s="11" t="n">
        <v>260</v>
      </c>
      <c r="J2450" s="11" t="n">
        <v>30</v>
      </c>
      <c r="K2450" s="11" t="n">
        <f aca="false">H2450*I2450-J2450</f>
        <v>230</v>
      </c>
      <c r="L2450" s="7" t="s">
        <v>103</v>
      </c>
      <c r="M2450" s="7" t="s">
        <v>194</v>
      </c>
      <c r="N2450" s="7" t="n">
        <v>33</v>
      </c>
      <c r="O2450" s="7" t="n">
        <v>3</v>
      </c>
    </row>
    <row r="2451" customFormat="false" ht="15" hidden="false" customHeight="false" outlineLevel="0" collapsed="false">
      <c r="A2451" s="7" t="s">
        <v>4188</v>
      </c>
      <c r="B2451" s="10" t="n">
        <v>45971</v>
      </c>
      <c r="C2451" s="7" t="s">
        <v>1899</v>
      </c>
      <c r="D2451" s="7" t="s">
        <v>4189</v>
      </c>
      <c r="E2451" s="7" t="s">
        <v>98</v>
      </c>
      <c r="F2451" s="7" t="s">
        <v>86</v>
      </c>
      <c r="G2451" s="7" t="s">
        <v>99</v>
      </c>
      <c r="H2451" s="7" t="n">
        <v>2</v>
      </c>
      <c r="I2451" s="11" t="n">
        <v>250</v>
      </c>
      <c r="J2451" s="11" t="n">
        <v>100</v>
      </c>
      <c r="K2451" s="11" t="n">
        <f aca="false">H2451*I2451-J2451</f>
        <v>400</v>
      </c>
      <c r="L2451" s="7" t="s">
        <v>121</v>
      </c>
      <c r="M2451" s="7" t="s">
        <v>194</v>
      </c>
      <c r="N2451" s="7" t="n">
        <v>40</v>
      </c>
      <c r="O2451" s="7" t="n">
        <v>5</v>
      </c>
    </row>
    <row r="2452" customFormat="false" ht="15" hidden="false" customHeight="false" outlineLevel="0" collapsed="false">
      <c r="A2452" s="7" t="s">
        <v>790</v>
      </c>
      <c r="B2452" s="10" t="n">
        <v>45971</v>
      </c>
      <c r="C2452" s="7" t="s">
        <v>792</v>
      </c>
      <c r="D2452" s="7" t="s">
        <v>793</v>
      </c>
      <c r="E2452" s="7" t="s">
        <v>160</v>
      </c>
      <c r="F2452" s="7" t="s">
        <v>136</v>
      </c>
      <c r="G2452" s="7" t="s">
        <v>150</v>
      </c>
      <c r="H2452" s="7" t="n">
        <v>3</v>
      </c>
      <c r="I2452" s="11" t="n">
        <v>175</v>
      </c>
      <c r="J2452" s="11" t="n">
        <v>0</v>
      </c>
      <c r="K2452" s="11" t="n">
        <f aca="false">H2452*I2452-J2452</f>
        <v>525</v>
      </c>
      <c r="L2452" s="7" t="s">
        <v>103</v>
      </c>
      <c r="M2452" s="7" t="s">
        <v>194</v>
      </c>
      <c r="N2452" s="7" t="n">
        <v>22</v>
      </c>
      <c r="O2452" s="7" t="n">
        <v>4</v>
      </c>
    </row>
    <row r="2453" customFormat="false" ht="15" hidden="false" customHeight="false" outlineLevel="0" collapsed="false">
      <c r="A2453" s="7" t="s">
        <v>3611</v>
      </c>
      <c r="B2453" s="10" t="n">
        <v>45971</v>
      </c>
      <c r="C2453" s="7" t="s">
        <v>2600</v>
      </c>
      <c r="D2453" s="7" t="s">
        <v>3612</v>
      </c>
      <c r="E2453" s="7" t="s">
        <v>138</v>
      </c>
      <c r="F2453" s="7" t="s">
        <v>110</v>
      </c>
      <c r="G2453" s="7" t="s">
        <v>139</v>
      </c>
      <c r="H2453" s="7" t="n">
        <v>2</v>
      </c>
      <c r="I2453" s="11" t="n">
        <v>185</v>
      </c>
      <c r="J2453" s="11" t="n">
        <v>50</v>
      </c>
      <c r="K2453" s="11" t="n">
        <f aca="false">H2453*I2453-J2453</f>
        <v>320</v>
      </c>
      <c r="L2453" s="7" t="s">
        <v>93</v>
      </c>
      <c r="M2453" s="7" t="s">
        <v>194</v>
      </c>
      <c r="N2453" s="7" t="n">
        <v>52</v>
      </c>
      <c r="O2453" s="7" t="n">
        <v>4</v>
      </c>
    </row>
    <row r="2454" customFormat="false" ht="15" hidden="false" customHeight="false" outlineLevel="0" collapsed="false">
      <c r="A2454" s="7" t="s">
        <v>4114</v>
      </c>
      <c r="B2454" s="10" t="n">
        <v>45971</v>
      </c>
      <c r="C2454" s="7" t="s">
        <v>796</v>
      </c>
      <c r="D2454" s="7" t="s">
        <v>4115</v>
      </c>
      <c r="E2454" s="7" t="s">
        <v>151</v>
      </c>
      <c r="F2454" s="7" t="s">
        <v>128</v>
      </c>
      <c r="G2454" s="7" t="s">
        <v>95</v>
      </c>
      <c r="H2454" s="7" t="n">
        <v>1</v>
      </c>
      <c r="I2454" s="11" t="n">
        <v>200</v>
      </c>
      <c r="J2454" s="11" t="n">
        <v>75</v>
      </c>
      <c r="K2454" s="11" t="n">
        <f aca="false">H2454*I2454-J2454</f>
        <v>125</v>
      </c>
      <c r="L2454" s="7" t="s">
        <v>121</v>
      </c>
      <c r="M2454" s="7" t="s">
        <v>194</v>
      </c>
      <c r="N2454" s="7" t="n">
        <v>35</v>
      </c>
      <c r="O2454" s="7" t="n">
        <v>4</v>
      </c>
    </row>
    <row r="2455" customFormat="false" ht="15" hidden="false" customHeight="false" outlineLevel="0" collapsed="false">
      <c r="A2455" s="7" t="s">
        <v>5428</v>
      </c>
      <c r="B2455" s="10" t="n">
        <v>45971</v>
      </c>
      <c r="C2455" s="7" t="s">
        <v>2358</v>
      </c>
      <c r="D2455" s="7" t="s">
        <v>867</v>
      </c>
      <c r="E2455" s="7" t="s">
        <v>130</v>
      </c>
      <c r="F2455" s="7" t="s">
        <v>110</v>
      </c>
      <c r="G2455" s="7" t="s">
        <v>90</v>
      </c>
      <c r="H2455" s="7" t="n">
        <v>3</v>
      </c>
      <c r="I2455" s="11" t="n">
        <v>245</v>
      </c>
      <c r="J2455" s="11" t="n">
        <v>0</v>
      </c>
      <c r="K2455" s="11" t="n">
        <f aca="false">H2455*I2455-J2455</f>
        <v>735</v>
      </c>
      <c r="L2455" s="7" t="s">
        <v>133</v>
      </c>
      <c r="M2455" s="7" t="s">
        <v>194</v>
      </c>
      <c r="N2455" s="7" t="n">
        <v>51</v>
      </c>
      <c r="O2455" s="7" t="n">
        <v>2</v>
      </c>
    </row>
    <row r="2456" customFormat="false" ht="15" hidden="false" customHeight="false" outlineLevel="0" collapsed="false">
      <c r="A2456" s="7" t="s">
        <v>6045</v>
      </c>
      <c r="B2456" s="10" t="n">
        <v>45971</v>
      </c>
      <c r="C2456" s="7" t="s">
        <v>292</v>
      </c>
      <c r="D2456" s="7" t="s">
        <v>5388</v>
      </c>
      <c r="E2456" s="7" t="s">
        <v>98</v>
      </c>
      <c r="F2456" s="7" t="s">
        <v>86</v>
      </c>
      <c r="G2456" s="7" t="s">
        <v>99</v>
      </c>
      <c r="H2456" s="7" t="n">
        <v>1</v>
      </c>
      <c r="I2456" s="11" t="n">
        <v>205</v>
      </c>
      <c r="J2456" s="11" t="n">
        <v>0</v>
      </c>
      <c r="K2456" s="11" t="n">
        <f aca="false">H2456*I2456-J2456</f>
        <v>205</v>
      </c>
      <c r="L2456" s="7" t="s">
        <v>88</v>
      </c>
      <c r="M2456" s="7" t="s">
        <v>194</v>
      </c>
      <c r="N2456" s="7" t="n">
        <v>46</v>
      </c>
      <c r="O2456" s="7" t="n">
        <v>5</v>
      </c>
    </row>
    <row r="2457" customFormat="false" ht="15" hidden="false" customHeight="false" outlineLevel="0" collapsed="false">
      <c r="A2457" s="7" t="s">
        <v>5189</v>
      </c>
      <c r="B2457" s="10" t="n">
        <v>45971</v>
      </c>
      <c r="C2457" s="7" t="s">
        <v>3152</v>
      </c>
      <c r="D2457" s="7" t="s">
        <v>603</v>
      </c>
      <c r="E2457" s="7" t="s">
        <v>144</v>
      </c>
      <c r="F2457" s="7" t="s">
        <v>119</v>
      </c>
      <c r="G2457" s="7" t="s">
        <v>99</v>
      </c>
      <c r="H2457" s="7" t="n">
        <v>4</v>
      </c>
      <c r="I2457" s="11" t="n">
        <v>340</v>
      </c>
      <c r="J2457" s="11" t="n">
        <v>0</v>
      </c>
      <c r="K2457" s="11" t="n">
        <f aca="false">H2457*I2457-J2457</f>
        <v>1360</v>
      </c>
      <c r="L2457" s="7" t="s">
        <v>103</v>
      </c>
      <c r="M2457" s="7" t="s">
        <v>194</v>
      </c>
      <c r="N2457" s="7" t="n">
        <v>39</v>
      </c>
      <c r="O2457" s="7" t="n">
        <v>5</v>
      </c>
    </row>
    <row r="2458" customFormat="false" ht="15" hidden="false" customHeight="false" outlineLevel="0" collapsed="false">
      <c r="A2458" s="7" t="s">
        <v>4820</v>
      </c>
      <c r="B2458" s="10" t="n">
        <v>45971</v>
      </c>
      <c r="C2458" s="7" t="s">
        <v>1301</v>
      </c>
      <c r="D2458" s="7" t="s">
        <v>940</v>
      </c>
      <c r="E2458" s="7" t="s">
        <v>158</v>
      </c>
      <c r="F2458" s="7" t="s">
        <v>136</v>
      </c>
      <c r="G2458" s="7" t="s">
        <v>139</v>
      </c>
      <c r="H2458" s="7" t="n">
        <v>2</v>
      </c>
      <c r="I2458" s="11" t="n">
        <v>215</v>
      </c>
      <c r="J2458" s="11" t="n">
        <v>0</v>
      </c>
      <c r="K2458" s="11" t="n">
        <f aca="false">H2458*I2458-J2458</f>
        <v>430</v>
      </c>
      <c r="L2458" s="7" t="s">
        <v>112</v>
      </c>
      <c r="M2458" s="7" t="s">
        <v>194</v>
      </c>
      <c r="N2458" s="7" t="n">
        <v>38</v>
      </c>
      <c r="O2458" s="7" t="n">
        <v>5</v>
      </c>
    </row>
    <row r="2459" customFormat="false" ht="15" hidden="false" customHeight="false" outlineLevel="0" collapsed="false">
      <c r="A2459" s="7" t="s">
        <v>2173</v>
      </c>
      <c r="B2459" s="10" t="n">
        <v>45971</v>
      </c>
      <c r="C2459" s="7" t="s">
        <v>1288</v>
      </c>
      <c r="D2459" s="7" t="s">
        <v>2174</v>
      </c>
      <c r="E2459" s="7" t="s">
        <v>94</v>
      </c>
      <c r="F2459" s="7" t="s">
        <v>86</v>
      </c>
      <c r="G2459" s="7" t="s">
        <v>95</v>
      </c>
      <c r="H2459" s="7" t="n">
        <v>3</v>
      </c>
      <c r="I2459" s="11" t="n">
        <v>120</v>
      </c>
      <c r="J2459" s="11" t="n">
        <v>0</v>
      </c>
      <c r="K2459" s="11" t="n">
        <f aca="false">H2459*I2459-J2459</f>
        <v>360</v>
      </c>
      <c r="L2459" s="7" t="s">
        <v>121</v>
      </c>
      <c r="M2459" s="7" t="s">
        <v>194</v>
      </c>
      <c r="N2459" s="7" t="n">
        <v>32</v>
      </c>
      <c r="O2459" s="7" t="n">
        <v>4</v>
      </c>
    </row>
    <row r="2460" customFormat="false" ht="15" hidden="false" customHeight="false" outlineLevel="0" collapsed="false">
      <c r="A2460" s="7" t="s">
        <v>3360</v>
      </c>
      <c r="B2460" s="10" t="n">
        <v>45971</v>
      </c>
      <c r="C2460" s="7" t="s">
        <v>3204</v>
      </c>
      <c r="D2460" s="7" t="s">
        <v>3361</v>
      </c>
      <c r="E2460" s="7" t="s">
        <v>138</v>
      </c>
      <c r="F2460" s="7" t="s">
        <v>110</v>
      </c>
      <c r="G2460" s="7" t="s">
        <v>139</v>
      </c>
      <c r="H2460" s="7" t="n">
        <v>3</v>
      </c>
      <c r="I2460" s="11" t="n">
        <v>180</v>
      </c>
      <c r="J2460" s="11" t="n">
        <v>0</v>
      </c>
      <c r="K2460" s="11" t="n">
        <f aca="false">H2460*I2460-J2460</f>
        <v>540</v>
      </c>
      <c r="L2460" s="7" t="s">
        <v>103</v>
      </c>
      <c r="M2460" s="7" t="s">
        <v>194</v>
      </c>
      <c r="N2460" s="7" t="n">
        <v>37</v>
      </c>
      <c r="O2460" s="7" t="n">
        <v>3</v>
      </c>
    </row>
    <row r="2461" customFormat="false" ht="15" hidden="false" customHeight="false" outlineLevel="0" collapsed="false">
      <c r="A2461" s="7" t="s">
        <v>5914</v>
      </c>
      <c r="B2461" s="10" t="n">
        <v>45971</v>
      </c>
      <c r="C2461" s="7" t="s">
        <v>4146</v>
      </c>
      <c r="D2461" s="7" t="s">
        <v>3592</v>
      </c>
      <c r="E2461" s="7" t="s">
        <v>130</v>
      </c>
      <c r="F2461" s="7" t="s">
        <v>110</v>
      </c>
      <c r="G2461" s="7" t="s">
        <v>90</v>
      </c>
      <c r="H2461" s="7" t="n">
        <v>1</v>
      </c>
      <c r="I2461" s="11" t="n">
        <v>330</v>
      </c>
      <c r="J2461" s="11" t="n">
        <v>0</v>
      </c>
      <c r="K2461" s="11" t="n">
        <f aca="false">H2461*I2461-J2461</f>
        <v>330</v>
      </c>
      <c r="L2461" s="7" t="s">
        <v>103</v>
      </c>
      <c r="M2461" s="7" t="s">
        <v>194</v>
      </c>
      <c r="N2461" s="7" t="n">
        <v>40</v>
      </c>
      <c r="O2461" s="7" t="n">
        <v>4</v>
      </c>
    </row>
    <row r="2462" customFormat="false" ht="15" hidden="false" customHeight="false" outlineLevel="0" collapsed="false">
      <c r="A2462" s="7" t="s">
        <v>4293</v>
      </c>
      <c r="B2462" s="10" t="n">
        <v>45971</v>
      </c>
      <c r="C2462" s="7" t="s">
        <v>2628</v>
      </c>
      <c r="D2462" s="7" t="s">
        <v>2188</v>
      </c>
      <c r="E2462" s="7" t="s">
        <v>130</v>
      </c>
      <c r="F2462" s="7" t="s">
        <v>110</v>
      </c>
      <c r="G2462" s="7" t="s">
        <v>90</v>
      </c>
      <c r="H2462" s="7" t="n">
        <v>4</v>
      </c>
      <c r="I2462" s="11" t="n">
        <v>265</v>
      </c>
      <c r="J2462" s="11" t="n">
        <v>75</v>
      </c>
      <c r="K2462" s="11" t="n">
        <f aca="false">H2462*I2462-J2462</f>
        <v>985</v>
      </c>
      <c r="L2462" s="7" t="s">
        <v>88</v>
      </c>
      <c r="M2462" s="7" t="s">
        <v>194</v>
      </c>
      <c r="N2462" s="7" t="n">
        <v>39</v>
      </c>
      <c r="O2462" s="7" t="n">
        <v>4</v>
      </c>
    </row>
    <row r="2463" customFormat="false" ht="15" hidden="false" customHeight="false" outlineLevel="0" collapsed="false">
      <c r="A2463" s="7" t="s">
        <v>4977</v>
      </c>
      <c r="B2463" s="10" t="n">
        <v>45972</v>
      </c>
      <c r="C2463" s="7" t="s">
        <v>2413</v>
      </c>
      <c r="D2463" s="7" t="s">
        <v>4978</v>
      </c>
      <c r="E2463" s="7" t="s">
        <v>149</v>
      </c>
      <c r="F2463" s="7" t="s">
        <v>119</v>
      </c>
      <c r="G2463" s="7" t="s">
        <v>150</v>
      </c>
      <c r="H2463" s="7" t="n">
        <v>1</v>
      </c>
      <c r="I2463" s="11" t="n">
        <v>160</v>
      </c>
      <c r="J2463" s="11" t="n">
        <v>40</v>
      </c>
      <c r="K2463" s="11" t="n">
        <f aca="false">H2463*I2463-J2463</f>
        <v>120</v>
      </c>
      <c r="L2463" s="7" t="s">
        <v>88</v>
      </c>
      <c r="M2463" s="7" t="s">
        <v>194</v>
      </c>
      <c r="N2463" s="7" t="n">
        <v>31</v>
      </c>
      <c r="O2463" s="7" t="n">
        <v>3</v>
      </c>
    </row>
    <row r="2464" customFormat="false" ht="15" hidden="false" customHeight="false" outlineLevel="0" collapsed="false">
      <c r="A2464" s="7" t="s">
        <v>5313</v>
      </c>
      <c r="B2464" s="10" t="n">
        <v>45972</v>
      </c>
      <c r="C2464" s="7" t="s">
        <v>755</v>
      </c>
      <c r="D2464" s="7" t="s">
        <v>4805</v>
      </c>
      <c r="E2464" s="7" t="s">
        <v>147</v>
      </c>
      <c r="F2464" s="7" t="s">
        <v>119</v>
      </c>
      <c r="G2464" s="7" t="s">
        <v>95</v>
      </c>
      <c r="H2464" s="7" t="n">
        <v>3</v>
      </c>
      <c r="I2464" s="11" t="n">
        <v>150</v>
      </c>
      <c r="J2464" s="11" t="n">
        <v>0</v>
      </c>
      <c r="K2464" s="11" t="n">
        <f aca="false">H2464*I2464-J2464</f>
        <v>450</v>
      </c>
      <c r="L2464" s="7" t="s">
        <v>121</v>
      </c>
      <c r="M2464" s="7" t="s">
        <v>194</v>
      </c>
      <c r="N2464" s="7" t="n">
        <v>30</v>
      </c>
      <c r="O2464" s="7" t="n">
        <v>5</v>
      </c>
    </row>
    <row r="2465" customFormat="false" ht="15" hidden="false" customHeight="false" outlineLevel="0" collapsed="false">
      <c r="A2465" s="7" t="s">
        <v>4379</v>
      </c>
      <c r="B2465" s="10" t="n">
        <v>45972</v>
      </c>
      <c r="C2465" s="7" t="s">
        <v>1779</v>
      </c>
      <c r="D2465" s="7" t="s">
        <v>4380</v>
      </c>
      <c r="E2465" s="7" t="s">
        <v>89</v>
      </c>
      <c r="F2465" s="7" t="s">
        <v>86</v>
      </c>
      <c r="G2465" s="7" t="s">
        <v>90</v>
      </c>
      <c r="H2465" s="7" t="n">
        <v>3</v>
      </c>
      <c r="I2465" s="11" t="n">
        <v>210</v>
      </c>
      <c r="J2465" s="11" t="n">
        <v>0</v>
      </c>
      <c r="K2465" s="11" t="n">
        <f aca="false">H2465*I2465-J2465</f>
        <v>630</v>
      </c>
      <c r="L2465" s="7" t="s">
        <v>121</v>
      </c>
      <c r="M2465" s="7" t="s">
        <v>194</v>
      </c>
      <c r="N2465" s="7" t="n">
        <v>35</v>
      </c>
      <c r="O2465" s="7"/>
    </row>
    <row r="2466" customFormat="false" ht="15" hidden="false" customHeight="false" outlineLevel="0" collapsed="false">
      <c r="A2466" s="7" t="s">
        <v>2922</v>
      </c>
      <c r="B2466" s="10" t="n">
        <v>45972</v>
      </c>
      <c r="C2466" s="7" t="s">
        <v>2923</v>
      </c>
      <c r="D2466" s="7" t="s">
        <v>1447</v>
      </c>
      <c r="E2466" s="7" t="s">
        <v>138</v>
      </c>
      <c r="F2466" s="7" t="s">
        <v>110</v>
      </c>
      <c r="G2466" s="7" t="s">
        <v>139</v>
      </c>
      <c r="H2466" s="7" t="n">
        <v>1</v>
      </c>
      <c r="I2466" s="11" t="n">
        <v>195</v>
      </c>
      <c r="J2466" s="11" t="n">
        <v>0</v>
      </c>
      <c r="K2466" s="11" t="n">
        <f aca="false">H2466*I2466-J2466</f>
        <v>195</v>
      </c>
      <c r="L2466" s="7" t="s">
        <v>133</v>
      </c>
      <c r="M2466" s="7" t="s">
        <v>238</v>
      </c>
      <c r="N2466" s="7"/>
      <c r="O2466" s="7"/>
    </row>
    <row r="2467" customFormat="false" ht="15" hidden="false" customHeight="false" outlineLevel="0" collapsed="false">
      <c r="A2467" s="7" t="s">
        <v>2968</v>
      </c>
      <c r="B2467" s="10" t="n">
        <v>45972</v>
      </c>
      <c r="C2467" s="7" t="s">
        <v>2969</v>
      </c>
      <c r="D2467" s="7" t="s">
        <v>2970</v>
      </c>
      <c r="E2467" s="7" t="s">
        <v>147</v>
      </c>
      <c r="F2467" s="7" t="s">
        <v>119</v>
      </c>
      <c r="G2467" s="7" t="s">
        <v>95</v>
      </c>
      <c r="H2467" s="7" t="n">
        <v>1</v>
      </c>
      <c r="I2467" s="11" t="n">
        <v>125</v>
      </c>
      <c r="J2467" s="11" t="n">
        <v>0</v>
      </c>
      <c r="K2467" s="11" t="n">
        <f aca="false">H2467*I2467-J2467</f>
        <v>125</v>
      </c>
      <c r="L2467" s="7" t="s">
        <v>93</v>
      </c>
      <c r="M2467" s="7" t="s">
        <v>194</v>
      </c>
      <c r="N2467" s="7" t="n">
        <v>32</v>
      </c>
      <c r="O2467" s="7" t="n">
        <v>4</v>
      </c>
    </row>
    <row r="2468" customFormat="false" ht="15" hidden="false" customHeight="false" outlineLevel="0" collapsed="false">
      <c r="A2468" s="7" t="s">
        <v>2678</v>
      </c>
      <c r="B2468" s="10" t="n">
        <v>45972</v>
      </c>
      <c r="C2468" s="7" t="s">
        <v>1704</v>
      </c>
      <c r="D2468" s="7" t="s">
        <v>2680</v>
      </c>
      <c r="E2468" s="7" t="s">
        <v>94</v>
      </c>
      <c r="F2468" s="7" t="s">
        <v>86</v>
      </c>
      <c r="G2468" s="7" t="s">
        <v>95</v>
      </c>
      <c r="H2468" s="7" t="n">
        <v>2</v>
      </c>
      <c r="I2468" s="11" t="n">
        <v>125</v>
      </c>
      <c r="J2468" s="11" t="n">
        <v>0</v>
      </c>
      <c r="K2468" s="11" t="n">
        <f aca="false">H2468*I2468-J2468</f>
        <v>250</v>
      </c>
      <c r="L2468" s="7" t="s">
        <v>103</v>
      </c>
      <c r="M2468" s="7" t="s">
        <v>194</v>
      </c>
      <c r="N2468" s="7" t="n">
        <v>55</v>
      </c>
      <c r="O2468" s="7" t="n">
        <v>4</v>
      </c>
    </row>
    <row r="2469" customFormat="false" ht="15" hidden="false" customHeight="false" outlineLevel="0" collapsed="false">
      <c r="A2469" s="7" t="s">
        <v>1606</v>
      </c>
      <c r="B2469" s="10" t="n">
        <v>45972</v>
      </c>
      <c r="C2469" s="7" t="s">
        <v>1607</v>
      </c>
      <c r="D2469" s="7" t="s">
        <v>922</v>
      </c>
      <c r="E2469" s="7" t="s">
        <v>142</v>
      </c>
      <c r="F2469" s="7" t="s">
        <v>110</v>
      </c>
      <c r="G2469" s="7" t="s">
        <v>105</v>
      </c>
      <c r="H2469" s="7" t="n">
        <v>2</v>
      </c>
      <c r="I2469" s="11" t="n">
        <v>180</v>
      </c>
      <c r="J2469" s="11" t="n">
        <v>0</v>
      </c>
      <c r="K2469" s="11" t="n">
        <f aca="false">H2469*I2469-J2469</f>
        <v>360</v>
      </c>
      <c r="L2469" s="7" t="s">
        <v>112</v>
      </c>
      <c r="M2469" s="7" t="s">
        <v>194</v>
      </c>
      <c r="N2469" s="7" t="n">
        <v>43</v>
      </c>
      <c r="O2469" s="7" t="n">
        <v>4</v>
      </c>
    </row>
    <row r="2470" customFormat="false" ht="15" hidden="false" customHeight="false" outlineLevel="0" collapsed="false">
      <c r="A2470" s="7" t="s">
        <v>1060</v>
      </c>
      <c r="B2470" s="10" t="n">
        <v>45972</v>
      </c>
      <c r="C2470" s="7" t="s">
        <v>1062</v>
      </c>
      <c r="D2470" s="7" t="s">
        <v>1063</v>
      </c>
      <c r="E2470" s="7" t="s">
        <v>134</v>
      </c>
      <c r="F2470" s="7" t="s">
        <v>110</v>
      </c>
      <c r="G2470" s="7" t="s">
        <v>117</v>
      </c>
      <c r="H2470" s="7" t="n">
        <v>4</v>
      </c>
      <c r="I2470" s="11" t="n">
        <v>80</v>
      </c>
      <c r="J2470" s="11" t="n">
        <v>20</v>
      </c>
      <c r="K2470" s="11" t="n">
        <f aca="false">H2470*I2470-J2470</f>
        <v>300</v>
      </c>
      <c r="L2470" s="7" t="s">
        <v>88</v>
      </c>
      <c r="M2470" s="7" t="s">
        <v>194</v>
      </c>
      <c r="N2470" s="7" t="n">
        <v>42</v>
      </c>
      <c r="O2470" s="7" t="n">
        <v>3</v>
      </c>
    </row>
    <row r="2471" customFormat="false" ht="15" hidden="false" customHeight="false" outlineLevel="0" collapsed="false">
      <c r="A2471" s="7" t="s">
        <v>4416</v>
      </c>
      <c r="B2471" s="10" t="n">
        <v>45973</v>
      </c>
      <c r="C2471" s="7" t="s">
        <v>4417</v>
      </c>
      <c r="D2471" s="7" t="s">
        <v>3369</v>
      </c>
      <c r="E2471" s="7" t="s">
        <v>151</v>
      </c>
      <c r="F2471" s="7" t="s">
        <v>128</v>
      </c>
      <c r="G2471" s="7" t="s">
        <v>95</v>
      </c>
      <c r="H2471" s="7" t="n">
        <v>1</v>
      </c>
      <c r="I2471" s="11" t="n">
        <v>160</v>
      </c>
      <c r="J2471" s="11" t="n">
        <v>0</v>
      </c>
      <c r="K2471" s="11" t="n">
        <f aca="false">H2471*I2471-J2471</f>
        <v>160</v>
      </c>
      <c r="L2471" s="7" t="s">
        <v>93</v>
      </c>
      <c r="M2471" s="7" t="s">
        <v>194</v>
      </c>
      <c r="N2471" s="7" t="n">
        <v>32</v>
      </c>
      <c r="O2471" s="7" t="n">
        <v>3</v>
      </c>
    </row>
    <row r="2472" customFormat="false" ht="15" hidden="false" customHeight="false" outlineLevel="0" collapsed="false">
      <c r="A2472" s="7" t="s">
        <v>4013</v>
      </c>
      <c r="B2472" s="10" t="n">
        <v>45973</v>
      </c>
      <c r="C2472" s="7" t="s">
        <v>3013</v>
      </c>
      <c r="D2472" s="7" t="s">
        <v>2021</v>
      </c>
      <c r="E2472" s="7" t="s">
        <v>126</v>
      </c>
      <c r="F2472" s="7" t="s">
        <v>101</v>
      </c>
      <c r="G2472" s="7" t="s">
        <v>105</v>
      </c>
      <c r="H2472" s="7" t="n">
        <v>2</v>
      </c>
      <c r="I2472" s="11" t="n">
        <v>225</v>
      </c>
      <c r="J2472" s="11" t="n">
        <v>100</v>
      </c>
      <c r="K2472" s="11" t="n">
        <f aca="false">H2472*I2472-J2472</f>
        <v>350</v>
      </c>
      <c r="L2472" s="7" t="s">
        <v>121</v>
      </c>
      <c r="M2472" s="7" t="s">
        <v>194</v>
      </c>
      <c r="N2472" s="7" t="n">
        <v>44</v>
      </c>
      <c r="O2472" s="7" t="n">
        <v>3</v>
      </c>
    </row>
    <row r="2473" customFormat="false" ht="15" hidden="false" customHeight="false" outlineLevel="0" collapsed="false">
      <c r="A2473" s="7" t="s">
        <v>5126</v>
      </c>
      <c r="B2473" s="10" t="n">
        <v>45973</v>
      </c>
      <c r="C2473" s="7" t="s">
        <v>759</v>
      </c>
      <c r="D2473" s="7" t="s">
        <v>2008</v>
      </c>
      <c r="E2473" s="7" t="s">
        <v>113</v>
      </c>
      <c r="F2473" s="7" t="s">
        <v>101</v>
      </c>
      <c r="G2473" s="7" t="s">
        <v>90</v>
      </c>
      <c r="H2473" s="7" t="n">
        <v>4</v>
      </c>
      <c r="I2473" s="11" t="n">
        <v>245</v>
      </c>
      <c r="J2473" s="11" t="n">
        <v>150</v>
      </c>
      <c r="K2473" s="11" t="n">
        <f aca="false">H2473*I2473-J2473</f>
        <v>830</v>
      </c>
      <c r="L2473" s="7" t="s">
        <v>133</v>
      </c>
      <c r="M2473" s="7" t="s">
        <v>238</v>
      </c>
      <c r="N2473" s="7"/>
      <c r="O2473" s="7"/>
    </row>
    <row r="2474" customFormat="false" ht="15" hidden="false" customHeight="false" outlineLevel="0" collapsed="false">
      <c r="A2474" s="7" t="s">
        <v>3165</v>
      </c>
      <c r="B2474" s="10" t="n">
        <v>45973</v>
      </c>
      <c r="C2474" s="7" t="s">
        <v>759</v>
      </c>
      <c r="D2474" s="7" t="s">
        <v>289</v>
      </c>
      <c r="E2474" s="7" t="s">
        <v>158</v>
      </c>
      <c r="F2474" s="7" t="s">
        <v>136</v>
      </c>
      <c r="G2474" s="7" t="s">
        <v>139</v>
      </c>
      <c r="H2474" s="7" t="n">
        <v>2</v>
      </c>
      <c r="I2474" s="11" t="n">
        <v>195</v>
      </c>
      <c r="J2474" s="11" t="n">
        <v>100</v>
      </c>
      <c r="K2474" s="11" t="n">
        <f aca="false">H2474*I2474-J2474</f>
        <v>290</v>
      </c>
      <c r="L2474" s="7" t="s">
        <v>88</v>
      </c>
      <c r="M2474" s="7" t="s">
        <v>194</v>
      </c>
      <c r="N2474" s="7" t="n">
        <v>31</v>
      </c>
      <c r="O2474" s="7" t="n">
        <v>4</v>
      </c>
    </row>
    <row r="2475" customFormat="false" ht="15" hidden="false" customHeight="false" outlineLevel="0" collapsed="false">
      <c r="A2475" s="7" t="s">
        <v>5984</v>
      </c>
      <c r="B2475" s="10" t="n">
        <v>45973</v>
      </c>
      <c r="C2475" s="7" t="s">
        <v>588</v>
      </c>
      <c r="D2475" s="7" t="s">
        <v>3030</v>
      </c>
      <c r="E2475" s="7" t="s">
        <v>126</v>
      </c>
      <c r="F2475" s="7" t="s">
        <v>101</v>
      </c>
      <c r="G2475" s="7" t="s">
        <v>105</v>
      </c>
      <c r="H2475" s="7" t="n">
        <v>2</v>
      </c>
      <c r="I2475" s="11" t="n">
        <v>210</v>
      </c>
      <c r="J2475" s="11" t="n">
        <v>0</v>
      </c>
      <c r="K2475" s="11" t="n">
        <f aca="false">H2475*I2475-J2475</f>
        <v>420</v>
      </c>
      <c r="L2475" s="7" t="s">
        <v>93</v>
      </c>
      <c r="M2475" s="7" t="s">
        <v>194</v>
      </c>
      <c r="N2475" s="7" t="n">
        <v>41</v>
      </c>
      <c r="O2475" s="7" t="n">
        <v>4</v>
      </c>
    </row>
    <row r="2476" customFormat="false" ht="15" hidden="false" customHeight="false" outlineLevel="0" collapsed="false">
      <c r="A2476" s="7" t="s">
        <v>5972</v>
      </c>
      <c r="B2476" s="10" t="n">
        <v>45973</v>
      </c>
      <c r="C2476" s="7" t="s">
        <v>2921</v>
      </c>
      <c r="D2476" s="7" t="s">
        <v>2642</v>
      </c>
      <c r="E2476" s="7" t="s">
        <v>126</v>
      </c>
      <c r="F2476" s="7" t="s">
        <v>101</v>
      </c>
      <c r="G2476" s="7" t="s">
        <v>105</v>
      </c>
      <c r="H2476" s="7" t="n">
        <v>3</v>
      </c>
      <c r="I2476" s="11" t="n">
        <v>225</v>
      </c>
      <c r="J2476" s="11" t="n">
        <v>0</v>
      </c>
      <c r="K2476" s="11" t="n">
        <f aca="false">H2476*I2476-J2476</f>
        <v>675</v>
      </c>
      <c r="L2476" s="7" t="s">
        <v>88</v>
      </c>
      <c r="M2476" s="7" t="s">
        <v>194</v>
      </c>
      <c r="N2476" s="7" t="n">
        <v>45</v>
      </c>
      <c r="O2476" s="7" t="n">
        <v>5</v>
      </c>
    </row>
    <row r="2477" customFormat="false" ht="15" hidden="false" customHeight="false" outlineLevel="0" collapsed="false">
      <c r="A2477" s="7" t="s">
        <v>484</v>
      </c>
      <c r="B2477" s="10" t="n">
        <v>45973</v>
      </c>
      <c r="C2477" s="7" t="s">
        <v>486</v>
      </c>
      <c r="D2477" s="7" t="s">
        <v>487</v>
      </c>
      <c r="E2477" s="7" t="s">
        <v>104</v>
      </c>
      <c r="F2477" s="7" t="s">
        <v>86</v>
      </c>
      <c r="G2477" s="7" t="s">
        <v>105</v>
      </c>
      <c r="H2477" s="7" t="n">
        <v>4</v>
      </c>
      <c r="I2477" s="11" t="n">
        <v>185</v>
      </c>
      <c r="J2477" s="11" t="n">
        <v>125</v>
      </c>
      <c r="K2477" s="11" t="n">
        <f aca="false">H2477*I2477-J2477</f>
        <v>615</v>
      </c>
      <c r="L2477" s="7" t="s">
        <v>93</v>
      </c>
      <c r="M2477" s="7" t="s">
        <v>194</v>
      </c>
      <c r="N2477" s="7" t="n">
        <v>42</v>
      </c>
      <c r="O2477" s="7" t="n">
        <v>4</v>
      </c>
    </row>
    <row r="2478" customFormat="false" ht="15" hidden="false" customHeight="false" outlineLevel="0" collapsed="false">
      <c r="A2478" s="7" t="s">
        <v>1004</v>
      </c>
      <c r="B2478" s="10" t="n">
        <v>45973</v>
      </c>
      <c r="C2478" s="7" t="s">
        <v>1005</v>
      </c>
      <c r="D2478" s="7" t="s">
        <v>1006</v>
      </c>
      <c r="E2478" s="7" t="s">
        <v>130</v>
      </c>
      <c r="F2478" s="7" t="s">
        <v>110</v>
      </c>
      <c r="G2478" s="7" t="s">
        <v>90</v>
      </c>
      <c r="H2478" s="7" t="n">
        <v>2</v>
      </c>
      <c r="I2478" s="11" t="n">
        <v>245</v>
      </c>
      <c r="J2478" s="11" t="n">
        <v>0</v>
      </c>
      <c r="K2478" s="11" t="n">
        <f aca="false">H2478*I2478-J2478</f>
        <v>490</v>
      </c>
      <c r="L2478" s="7" t="s">
        <v>103</v>
      </c>
      <c r="M2478" s="7" t="s">
        <v>194</v>
      </c>
      <c r="N2478" s="7" t="n">
        <v>39</v>
      </c>
      <c r="O2478" s="7" t="n">
        <v>5</v>
      </c>
    </row>
    <row r="2479" customFormat="false" ht="15" hidden="false" customHeight="false" outlineLevel="0" collapsed="false">
      <c r="A2479" s="7" t="s">
        <v>1839</v>
      </c>
      <c r="B2479" s="10" t="n">
        <v>45973</v>
      </c>
      <c r="C2479" s="7" t="s">
        <v>939</v>
      </c>
      <c r="D2479" s="7" t="s">
        <v>1840</v>
      </c>
      <c r="E2479" s="7" t="s">
        <v>163</v>
      </c>
      <c r="F2479" s="7" t="s">
        <v>141</v>
      </c>
      <c r="G2479" s="7" t="s">
        <v>99</v>
      </c>
      <c r="H2479" s="7" t="n">
        <v>1</v>
      </c>
      <c r="I2479" s="11" t="n">
        <v>255</v>
      </c>
      <c r="J2479" s="11" t="n">
        <v>0</v>
      </c>
      <c r="K2479" s="11" t="n">
        <f aca="false">H2479*I2479-J2479</f>
        <v>255</v>
      </c>
      <c r="L2479" s="7" t="s">
        <v>121</v>
      </c>
      <c r="M2479" s="7" t="s">
        <v>194</v>
      </c>
      <c r="N2479" s="7" t="n">
        <v>27</v>
      </c>
      <c r="O2479" s="7" t="n">
        <v>5</v>
      </c>
    </row>
    <row r="2480" customFormat="false" ht="15" hidden="false" customHeight="false" outlineLevel="0" collapsed="false">
      <c r="A2480" s="7" t="s">
        <v>4748</v>
      </c>
      <c r="B2480" s="10" t="n">
        <v>45973</v>
      </c>
      <c r="C2480" s="7" t="s">
        <v>4749</v>
      </c>
      <c r="D2480" s="7" t="s">
        <v>974</v>
      </c>
      <c r="E2480" s="7" t="s">
        <v>130</v>
      </c>
      <c r="F2480" s="7" t="s">
        <v>110</v>
      </c>
      <c r="G2480" s="7" t="s">
        <v>90</v>
      </c>
      <c r="H2480" s="7" t="n">
        <v>1</v>
      </c>
      <c r="I2480" s="11" t="n">
        <v>265</v>
      </c>
      <c r="J2480" s="11" t="n">
        <v>0</v>
      </c>
      <c r="K2480" s="11" t="n">
        <f aca="false">H2480*I2480-J2480</f>
        <v>265</v>
      </c>
      <c r="L2480" s="7" t="s">
        <v>88</v>
      </c>
      <c r="M2480" s="7" t="s">
        <v>194</v>
      </c>
      <c r="N2480" s="7" t="n">
        <v>23</v>
      </c>
      <c r="O2480" s="7" t="n">
        <v>4</v>
      </c>
    </row>
    <row r="2481" customFormat="false" ht="15" hidden="false" customHeight="false" outlineLevel="0" collapsed="false">
      <c r="A2481" s="7" t="s">
        <v>6094</v>
      </c>
      <c r="B2481" s="10" t="n">
        <v>45973</v>
      </c>
      <c r="C2481" s="7" t="s">
        <v>373</v>
      </c>
      <c r="D2481" s="7" t="s">
        <v>3237</v>
      </c>
      <c r="E2481" s="7" t="s">
        <v>122</v>
      </c>
      <c r="F2481" s="7" t="s">
        <v>101</v>
      </c>
      <c r="G2481" s="7" t="s">
        <v>123</v>
      </c>
      <c r="H2481" s="7" t="n">
        <v>4</v>
      </c>
      <c r="I2481" s="11" t="n">
        <v>360</v>
      </c>
      <c r="J2481" s="11" t="n">
        <v>0</v>
      </c>
      <c r="K2481" s="11" t="n">
        <f aca="false">H2481*I2481-J2481</f>
        <v>1440</v>
      </c>
      <c r="L2481" s="7" t="s">
        <v>112</v>
      </c>
      <c r="M2481" s="7" t="s">
        <v>194</v>
      </c>
      <c r="N2481" s="7" t="n">
        <v>42</v>
      </c>
      <c r="O2481" s="7" t="n">
        <v>5</v>
      </c>
    </row>
    <row r="2482" customFormat="false" ht="15" hidden="false" customHeight="false" outlineLevel="0" collapsed="false">
      <c r="A2482" s="7" t="s">
        <v>621</v>
      </c>
      <c r="B2482" s="10" t="n">
        <v>45973</v>
      </c>
      <c r="C2482" s="7" t="s">
        <v>622</v>
      </c>
      <c r="D2482" s="7" t="s">
        <v>623</v>
      </c>
      <c r="E2482" s="7" t="s">
        <v>113</v>
      </c>
      <c r="F2482" s="7" t="s">
        <v>101</v>
      </c>
      <c r="G2482" s="7" t="s">
        <v>90</v>
      </c>
      <c r="H2482" s="7" t="n">
        <v>4</v>
      </c>
      <c r="I2482" s="11" t="n">
        <v>270</v>
      </c>
      <c r="J2482" s="11" t="n">
        <v>0</v>
      </c>
      <c r="K2482" s="11" t="n">
        <f aca="false">H2482*I2482-J2482</f>
        <v>1080</v>
      </c>
      <c r="L2482" s="7" t="s">
        <v>112</v>
      </c>
      <c r="M2482" s="7" t="s">
        <v>194</v>
      </c>
      <c r="N2482" s="7" t="n">
        <v>43</v>
      </c>
      <c r="O2482" s="7"/>
    </row>
    <row r="2483" customFormat="false" ht="15" hidden="false" customHeight="false" outlineLevel="0" collapsed="false">
      <c r="A2483" s="7" t="s">
        <v>1370</v>
      </c>
      <c r="B2483" s="10" t="n">
        <v>45973</v>
      </c>
      <c r="C2483" s="7" t="s">
        <v>346</v>
      </c>
      <c r="D2483" s="7" t="s">
        <v>1371</v>
      </c>
      <c r="E2483" s="7" t="s">
        <v>126</v>
      </c>
      <c r="F2483" s="7" t="s">
        <v>101</v>
      </c>
      <c r="G2483" s="7" t="s">
        <v>105</v>
      </c>
      <c r="H2483" s="7" t="n">
        <v>2</v>
      </c>
      <c r="I2483" s="11" t="n">
        <v>210</v>
      </c>
      <c r="J2483" s="11" t="n">
        <v>30</v>
      </c>
      <c r="K2483" s="11" t="n">
        <f aca="false">H2483*I2483-J2483</f>
        <v>390</v>
      </c>
      <c r="L2483" s="7" t="s">
        <v>88</v>
      </c>
      <c r="M2483" s="7" t="s">
        <v>194</v>
      </c>
      <c r="N2483" s="7" t="n">
        <v>49</v>
      </c>
      <c r="O2483" s="7" t="n">
        <v>5</v>
      </c>
    </row>
    <row r="2484" customFormat="false" ht="15" hidden="false" customHeight="false" outlineLevel="0" collapsed="false">
      <c r="A2484" s="7" t="s">
        <v>3929</v>
      </c>
      <c r="B2484" s="10" t="n">
        <v>45973</v>
      </c>
      <c r="C2484" s="7" t="s">
        <v>1087</v>
      </c>
      <c r="D2484" s="7" t="s">
        <v>569</v>
      </c>
      <c r="E2484" s="7" t="s">
        <v>144</v>
      </c>
      <c r="F2484" s="7" t="s">
        <v>119</v>
      </c>
      <c r="G2484" s="7" t="s">
        <v>99</v>
      </c>
      <c r="H2484" s="7" t="n">
        <v>4</v>
      </c>
      <c r="I2484" s="11" t="n">
        <v>325</v>
      </c>
      <c r="J2484" s="11" t="n">
        <v>20</v>
      </c>
      <c r="K2484" s="11" t="n">
        <f aca="false">H2484*I2484-J2484</f>
        <v>1280</v>
      </c>
      <c r="L2484" s="7" t="s">
        <v>93</v>
      </c>
      <c r="M2484" s="7" t="s">
        <v>238</v>
      </c>
      <c r="N2484" s="7"/>
      <c r="O2484" s="7"/>
    </row>
    <row r="2485" customFormat="false" ht="15" hidden="false" customHeight="false" outlineLevel="0" collapsed="false">
      <c r="A2485" s="7" t="s">
        <v>4710</v>
      </c>
      <c r="B2485" s="10" t="n">
        <v>45973</v>
      </c>
      <c r="C2485" s="7" t="s">
        <v>391</v>
      </c>
      <c r="D2485" s="7" t="s">
        <v>1553</v>
      </c>
      <c r="E2485" s="7" t="s">
        <v>113</v>
      </c>
      <c r="F2485" s="7" t="s">
        <v>101</v>
      </c>
      <c r="G2485" s="7" t="s">
        <v>90</v>
      </c>
      <c r="H2485" s="7" t="n">
        <v>2</v>
      </c>
      <c r="I2485" s="11" t="n">
        <v>270</v>
      </c>
      <c r="J2485" s="11" t="n">
        <v>0</v>
      </c>
      <c r="K2485" s="11" t="n">
        <f aca="false">H2485*I2485-J2485</f>
        <v>540</v>
      </c>
      <c r="L2485" s="7" t="s">
        <v>103</v>
      </c>
      <c r="M2485" s="7" t="s">
        <v>194</v>
      </c>
      <c r="N2485" s="7" t="n">
        <v>45</v>
      </c>
      <c r="O2485" s="7" t="n">
        <v>3</v>
      </c>
    </row>
    <row r="2486" customFormat="false" ht="15" hidden="false" customHeight="false" outlineLevel="0" collapsed="false">
      <c r="A2486" s="7" t="s">
        <v>2291</v>
      </c>
      <c r="B2486" s="10" t="n">
        <v>45973</v>
      </c>
      <c r="C2486" s="7" t="s">
        <v>2292</v>
      </c>
      <c r="D2486" s="7" t="s">
        <v>429</v>
      </c>
      <c r="E2486" s="7" t="s">
        <v>152</v>
      </c>
      <c r="F2486" s="7" t="s">
        <v>128</v>
      </c>
      <c r="G2486" s="7" t="s">
        <v>95</v>
      </c>
      <c r="H2486" s="7" t="n">
        <v>4</v>
      </c>
      <c r="I2486" s="11" t="n">
        <v>115</v>
      </c>
      <c r="J2486" s="11" t="n">
        <v>0</v>
      </c>
      <c r="K2486" s="11" t="n">
        <f aca="false">H2486*I2486-J2486</f>
        <v>460</v>
      </c>
      <c r="L2486" s="7" t="s">
        <v>93</v>
      </c>
      <c r="M2486" s="7" t="s">
        <v>194</v>
      </c>
      <c r="N2486" s="7" t="n">
        <v>28</v>
      </c>
      <c r="O2486" s="7" t="n">
        <v>4</v>
      </c>
    </row>
    <row r="2487" customFormat="false" ht="15" hidden="false" customHeight="false" outlineLevel="0" collapsed="false">
      <c r="A2487" s="7" t="s">
        <v>891</v>
      </c>
      <c r="B2487" s="10" t="n">
        <v>45973</v>
      </c>
      <c r="C2487" s="7" t="s">
        <v>893</v>
      </c>
      <c r="D2487" s="7" t="s">
        <v>777</v>
      </c>
      <c r="E2487" s="7" t="s">
        <v>144</v>
      </c>
      <c r="F2487" s="7" t="s">
        <v>119</v>
      </c>
      <c r="G2487" s="7" t="s">
        <v>99</v>
      </c>
      <c r="H2487" s="7" t="n">
        <v>2</v>
      </c>
      <c r="I2487" s="11" t="n">
        <v>290</v>
      </c>
      <c r="J2487" s="11" t="n">
        <v>0</v>
      </c>
      <c r="K2487" s="11" t="n">
        <f aca="false">H2487*I2487-J2487</f>
        <v>580</v>
      </c>
      <c r="L2487" s="7" t="s">
        <v>88</v>
      </c>
      <c r="M2487" s="7" t="s">
        <v>194</v>
      </c>
      <c r="N2487" s="7" t="n">
        <v>38</v>
      </c>
      <c r="O2487" s="7" t="n">
        <v>3</v>
      </c>
    </row>
    <row r="2488" customFormat="false" ht="15" hidden="false" customHeight="false" outlineLevel="0" collapsed="false">
      <c r="A2488" s="7" t="s">
        <v>1509</v>
      </c>
      <c r="B2488" s="10" t="n">
        <v>45973</v>
      </c>
      <c r="C2488" s="7" t="s">
        <v>331</v>
      </c>
      <c r="D2488" s="7" t="s">
        <v>1510</v>
      </c>
      <c r="E2488" s="7" t="s">
        <v>160</v>
      </c>
      <c r="F2488" s="7" t="s">
        <v>136</v>
      </c>
      <c r="G2488" s="7" t="s">
        <v>150</v>
      </c>
      <c r="H2488" s="7" t="n">
        <v>1</v>
      </c>
      <c r="I2488" s="11" t="n">
        <v>175</v>
      </c>
      <c r="J2488" s="11" t="n">
        <v>0</v>
      </c>
      <c r="K2488" s="11" t="n">
        <f aca="false">H2488*I2488-J2488</f>
        <v>175</v>
      </c>
      <c r="L2488" s="7" t="s">
        <v>88</v>
      </c>
      <c r="M2488" s="7" t="s">
        <v>194</v>
      </c>
      <c r="N2488" s="7" t="n">
        <v>35</v>
      </c>
      <c r="O2488" s="7" t="n">
        <v>3</v>
      </c>
    </row>
    <row r="2489" customFormat="false" ht="15" hidden="false" customHeight="false" outlineLevel="0" collapsed="false">
      <c r="A2489" s="7" t="s">
        <v>4430</v>
      </c>
      <c r="B2489" s="10" t="n">
        <v>45974</v>
      </c>
      <c r="C2489" s="7" t="s">
        <v>4432</v>
      </c>
      <c r="D2489" s="7" t="s">
        <v>1055</v>
      </c>
      <c r="E2489" s="7" t="s">
        <v>94</v>
      </c>
      <c r="F2489" s="7" t="s">
        <v>86</v>
      </c>
      <c r="G2489" s="7" t="s">
        <v>95</v>
      </c>
      <c r="H2489" s="7" t="n">
        <v>1</v>
      </c>
      <c r="I2489" s="11" t="n">
        <v>145</v>
      </c>
      <c r="J2489" s="11" t="n">
        <v>0</v>
      </c>
      <c r="K2489" s="11" t="n">
        <f aca="false">H2489*I2489-J2489</f>
        <v>145</v>
      </c>
      <c r="L2489" s="7" t="s">
        <v>93</v>
      </c>
      <c r="M2489" s="7" t="s">
        <v>194</v>
      </c>
      <c r="N2489" s="7" t="n">
        <v>34</v>
      </c>
      <c r="O2489" s="7" t="n">
        <v>3</v>
      </c>
    </row>
    <row r="2490" customFormat="false" ht="15" hidden="false" customHeight="false" outlineLevel="0" collapsed="false">
      <c r="A2490" s="7" t="s">
        <v>5872</v>
      </c>
      <c r="B2490" s="10" t="n">
        <v>45974</v>
      </c>
      <c r="C2490" s="7" t="s">
        <v>2020</v>
      </c>
      <c r="D2490" s="7" t="s">
        <v>5873</v>
      </c>
      <c r="E2490" s="7" t="s">
        <v>126</v>
      </c>
      <c r="F2490" s="7" t="s">
        <v>101</v>
      </c>
      <c r="G2490" s="7" t="s">
        <v>105</v>
      </c>
      <c r="H2490" s="7" t="n">
        <v>4</v>
      </c>
      <c r="I2490" s="11" t="n">
        <v>235</v>
      </c>
      <c r="J2490" s="11" t="n">
        <v>0</v>
      </c>
      <c r="K2490" s="11" t="n">
        <f aca="false">H2490*I2490-J2490</f>
        <v>940</v>
      </c>
      <c r="L2490" s="7" t="s">
        <v>88</v>
      </c>
      <c r="M2490" s="7" t="s">
        <v>194</v>
      </c>
      <c r="N2490" s="7" t="n">
        <v>33</v>
      </c>
      <c r="O2490" s="7" t="n">
        <v>4</v>
      </c>
    </row>
    <row r="2491" customFormat="false" ht="15" hidden="false" customHeight="false" outlineLevel="0" collapsed="false">
      <c r="A2491" s="7" t="s">
        <v>3252</v>
      </c>
      <c r="B2491" s="10" t="n">
        <v>45974</v>
      </c>
      <c r="C2491" s="7" t="s">
        <v>3253</v>
      </c>
      <c r="D2491" s="7" t="s">
        <v>2077</v>
      </c>
      <c r="E2491" s="7" t="s">
        <v>138</v>
      </c>
      <c r="F2491" s="7" t="s">
        <v>110</v>
      </c>
      <c r="G2491" s="7" t="s">
        <v>139</v>
      </c>
      <c r="H2491" s="7" t="n">
        <v>4</v>
      </c>
      <c r="I2491" s="11" t="n">
        <v>150</v>
      </c>
      <c r="J2491" s="11" t="n">
        <v>75</v>
      </c>
      <c r="K2491" s="11" t="n">
        <f aca="false">H2491*I2491-J2491</f>
        <v>525</v>
      </c>
      <c r="L2491" s="7" t="s">
        <v>103</v>
      </c>
      <c r="M2491" s="7" t="s">
        <v>194</v>
      </c>
      <c r="N2491" s="7" t="n">
        <v>39</v>
      </c>
      <c r="O2491" s="7" t="n">
        <v>5</v>
      </c>
    </row>
    <row r="2492" customFormat="false" ht="15" hidden="false" customHeight="false" outlineLevel="0" collapsed="false">
      <c r="A2492" s="7" t="s">
        <v>3762</v>
      </c>
      <c r="B2492" s="10" t="n">
        <v>45974</v>
      </c>
      <c r="C2492" s="7" t="s">
        <v>310</v>
      </c>
      <c r="D2492" s="7" t="s">
        <v>1944</v>
      </c>
      <c r="E2492" s="7" t="s">
        <v>155</v>
      </c>
      <c r="F2492" s="7" t="s">
        <v>128</v>
      </c>
      <c r="G2492" s="7" t="s">
        <v>156</v>
      </c>
      <c r="H2492" s="7" t="n">
        <v>1</v>
      </c>
      <c r="I2492" s="11" t="n">
        <v>265</v>
      </c>
      <c r="J2492" s="11" t="n">
        <v>0</v>
      </c>
      <c r="K2492" s="11" t="n">
        <f aca="false">H2492*I2492-J2492</f>
        <v>265</v>
      </c>
      <c r="L2492" s="7" t="s">
        <v>103</v>
      </c>
      <c r="M2492" s="7" t="s">
        <v>194</v>
      </c>
      <c r="N2492" s="7" t="n">
        <v>28</v>
      </c>
      <c r="O2492" s="7" t="n">
        <v>3</v>
      </c>
    </row>
    <row r="2493" customFormat="false" ht="15" hidden="false" customHeight="false" outlineLevel="0" collapsed="false">
      <c r="A2493" s="7" t="s">
        <v>5383</v>
      </c>
      <c r="B2493" s="10" t="n">
        <v>45974</v>
      </c>
      <c r="C2493" s="7" t="s">
        <v>236</v>
      </c>
      <c r="D2493" s="7" t="s">
        <v>5384</v>
      </c>
      <c r="E2493" s="7" t="s">
        <v>94</v>
      </c>
      <c r="F2493" s="7" t="s">
        <v>86</v>
      </c>
      <c r="G2493" s="7" t="s">
        <v>95</v>
      </c>
      <c r="H2493" s="7" t="n">
        <v>2</v>
      </c>
      <c r="I2493" s="11" t="n">
        <v>135</v>
      </c>
      <c r="J2493" s="11" t="n">
        <v>100</v>
      </c>
      <c r="K2493" s="11" t="n">
        <f aca="false">H2493*I2493-J2493</f>
        <v>170</v>
      </c>
      <c r="L2493" s="7" t="s">
        <v>93</v>
      </c>
      <c r="M2493" s="7" t="s">
        <v>194</v>
      </c>
      <c r="N2493" s="7" t="n">
        <v>35</v>
      </c>
      <c r="O2493" s="7"/>
    </row>
    <row r="2494" customFormat="false" ht="15" hidden="false" customHeight="false" outlineLevel="0" collapsed="false">
      <c r="A2494" s="7" t="s">
        <v>6127</v>
      </c>
      <c r="B2494" s="10" t="n">
        <v>45974</v>
      </c>
      <c r="C2494" s="7" t="s">
        <v>3487</v>
      </c>
      <c r="D2494" s="7" t="s">
        <v>867</v>
      </c>
      <c r="E2494" s="7" t="s">
        <v>151</v>
      </c>
      <c r="F2494" s="7" t="s">
        <v>128</v>
      </c>
      <c r="G2494" s="7" t="s">
        <v>95</v>
      </c>
      <c r="H2494" s="7" t="n">
        <v>3</v>
      </c>
      <c r="I2494" s="11" t="n">
        <v>205</v>
      </c>
      <c r="J2494" s="11" t="n">
        <v>0</v>
      </c>
      <c r="K2494" s="11" t="n">
        <f aca="false">H2494*I2494-J2494</f>
        <v>615</v>
      </c>
      <c r="L2494" s="7" t="s">
        <v>93</v>
      </c>
      <c r="M2494" s="7" t="s">
        <v>194</v>
      </c>
      <c r="N2494" s="7" t="n">
        <v>34</v>
      </c>
      <c r="O2494" s="7" t="n">
        <v>3</v>
      </c>
    </row>
    <row r="2495" customFormat="false" ht="15" hidden="false" customHeight="false" outlineLevel="0" collapsed="false">
      <c r="A2495" s="7" t="s">
        <v>1932</v>
      </c>
      <c r="B2495" s="10" t="n">
        <v>45974</v>
      </c>
      <c r="C2495" s="7" t="s">
        <v>1933</v>
      </c>
      <c r="D2495" s="7" t="s">
        <v>1934</v>
      </c>
      <c r="E2495" s="7" t="s">
        <v>152</v>
      </c>
      <c r="F2495" s="7" t="s">
        <v>128</v>
      </c>
      <c r="G2495" s="7" t="s">
        <v>95</v>
      </c>
      <c r="H2495" s="7" t="n">
        <v>4</v>
      </c>
      <c r="I2495" s="11" t="n">
        <v>105</v>
      </c>
      <c r="J2495" s="11" t="n">
        <v>50</v>
      </c>
      <c r="K2495" s="11" t="n">
        <f aca="false">H2495*I2495-J2495</f>
        <v>370</v>
      </c>
      <c r="L2495" s="7" t="s">
        <v>133</v>
      </c>
      <c r="M2495" s="7" t="s">
        <v>194</v>
      </c>
      <c r="N2495" s="7" t="n">
        <v>48</v>
      </c>
      <c r="O2495" s="7" t="n">
        <v>3</v>
      </c>
    </row>
    <row r="2496" customFormat="false" ht="15" hidden="false" customHeight="false" outlineLevel="0" collapsed="false">
      <c r="A2496" s="7" t="s">
        <v>827</v>
      </c>
      <c r="B2496" s="10" t="n">
        <v>45974</v>
      </c>
      <c r="C2496" s="7" t="s">
        <v>829</v>
      </c>
      <c r="D2496" s="7" t="s">
        <v>830</v>
      </c>
      <c r="E2496" s="7" t="s">
        <v>147</v>
      </c>
      <c r="F2496" s="7" t="s">
        <v>119</v>
      </c>
      <c r="G2496" s="7" t="s">
        <v>95</v>
      </c>
      <c r="H2496" s="7" t="n">
        <v>1</v>
      </c>
      <c r="I2496" s="11" t="n">
        <v>170</v>
      </c>
      <c r="J2496" s="11" t="n">
        <v>68</v>
      </c>
      <c r="K2496" s="11" t="n">
        <f aca="false">H2496*I2496-J2496</f>
        <v>102</v>
      </c>
      <c r="L2496" s="7" t="s">
        <v>88</v>
      </c>
      <c r="M2496" s="7" t="s">
        <v>194</v>
      </c>
      <c r="N2496" s="7" t="n">
        <v>31</v>
      </c>
      <c r="O2496" s="7" t="n">
        <v>2</v>
      </c>
    </row>
    <row r="2497" customFormat="false" ht="15" hidden="false" customHeight="false" outlineLevel="0" collapsed="false">
      <c r="A2497" s="7" t="s">
        <v>6004</v>
      </c>
      <c r="B2497" s="10" t="n">
        <v>45974</v>
      </c>
      <c r="C2497" s="7" t="s">
        <v>443</v>
      </c>
      <c r="D2497" s="7" t="s">
        <v>6005</v>
      </c>
      <c r="E2497" s="7" t="s">
        <v>147</v>
      </c>
      <c r="F2497" s="7" t="s">
        <v>119</v>
      </c>
      <c r="G2497" s="7" t="s">
        <v>95</v>
      </c>
      <c r="H2497" s="7" t="n">
        <v>3</v>
      </c>
      <c r="I2497" s="11" t="n">
        <v>150</v>
      </c>
      <c r="J2497" s="11" t="n">
        <v>0</v>
      </c>
      <c r="K2497" s="11" t="n">
        <f aca="false">H2497*I2497-J2497</f>
        <v>450</v>
      </c>
      <c r="L2497" s="7" t="s">
        <v>88</v>
      </c>
      <c r="M2497" s="7" t="s">
        <v>194</v>
      </c>
      <c r="N2497" s="7" t="n">
        <v>29</v>
      </c>
      <c r="O2497" s="7" t="n">
        <v>5</v>
      </c>
    </row>
    <row r="2498" customFormat="false" ht="15" hidden="false" customHeight="false" outlineLevel="0" collapsed="false">
      <c r="A2498" s="7" t="s">
        <v>5362</v>
      </c>
      <c r="B2498" s="10" t="n">
        <v>45975</v>
      </c>
      <c r="C2498" s="7" t="s">
        <v>1438</v>
      </c>
      <c r="D2498" s="7" t="s">
        <v>5363</v>
      </c>
      <c r="E2498" s="7" t="s">
        <v>113</v>
      </c>
      <c r="F2498" s="7" t="s">
        <v>101</v>
      </c>
      <c r="G2498" s="7" t="s">
        <v>90</v>
      </c>
      <c r="H2498" s="7" t="n">
        <v>2</v>
      </c>
      <c r="I2498" s="11" t="n">
        <v>245</v>
      </c>
      <c r="J2498" s="11" t="n">
        <v>75</v>
      </c>
      <c r="K2498" s="11" t="n">
        <f aca="false">H2498*I2498-J2498</f>
        <v>415</v>
      </c>
      <c r="L2498" s="7" t="s">
        <v>93</v>
      </c>
      <c r="M2498" s="7" t="s">
        <v>194</v>
      </c>
      <c r="N2498" s="7" t="n">
        <v>33</v>
      </c>
      <c r="O2498" s="7" t="n">
        <v>3</v>
      </c>
    </row>
    <row r="2499" customFormat="false" ht="15" hidden="false" customHeight="false" outlineLevel="0" collapsed="false">
      <c r="A2499" s="7" t="s">
        <v>670</v>
      </c>
      <c r="B2499" s="10" t="n">
        <v>45975</v>
      </c>
      <c r="C2499" s="7" t="s">
        <v>672</v>
      </c>
      <c r="D2499" s="7" t="s">
        <v>673</v>
      </c>
      <c r="E2499" s="7" t="s">
        <v>130</v>
      </c>
      <c r="F2499" s="7" t="s">
        <v>110</v>
      </c>
      <c r="G2499" s="7" t="s">
        <v>90</v>
      </c>
      <c r="H2499" s="7" t="n">
        <v>2</v>
      </c>
      <c r="I2499" s="11" t="n">
        <v>320</v>
      </c>
      <c r="J2499" s="11" t="n">
        <v>0</v>
      </c>
      <c r="K2499" s="11" t="n">
        <f aca="false">H2499*I2499-J2499</f>
        <v>640</v>
      </c>
      <c r="L2499" s="7" t="s">
        <v>93</v>
      </c>
      <c r="M2499" s="7" t="s">
        <v>194</v>
      </c>
      <c r="N2499" s="7" t="n">
        <v>45</v>
      </c>
      <c r="O2499" s="7" t="n">
        <v>4</v>
      </c>
    </row>
    <row r="2500" customFormat="false" ht="15" hidden="false" customHeight="false" outlineLevel="0" collapsed="false">
      <c r="A2500" s="7" t="s">
        <v>2154</v>
      </c>
      <c r="B2500" s="10" t="n">
        <v>45975</v>
      </c>
      <c r="C2500" s="7" t="s">
        <v>2155</v>
      </c>
      <c r="D2500" s="7" t="s">
        <v>2156</v>
      </c>
      <c r="E2500" s="7" t="s">
        <v>147</v>
      </c>
      <c r="F2500" s="7" t="s">
        <v>119</v>
      </c>
      <c r="G2500" s="7" t="s">
        <v>95</v>
      </c>
      <c r="H2500" s="7" t="n">
        <v>1</v>
      </c>
      <c r="I2500" s="11" t="n">
        <v>145</v>
      </c>
      <c r="J2500" s="11" t="n">
        <v>0</v>
      </c>
      <c r="K2500" s="11" t="n">
        <f aca="false">H2500*I2500-J2500</f>
        <v>145</v>
      </c>
      <c r="L2500" s="7" t="s">
        <v>88</v>
      </c>
      <c r="M2500" s="7" t="s">
        <v>194</v>
      </c>
      <c r="N2500" s="7" t="n">
        <v>34</v>
      </c>
      <c r="O2500" s="7" t="n">
        <v>4</v>
      </c>
    </row>
    <row r="2501" customFormat="false" ht="15" hidden="false" customHeight="false" outlineLevel="0" collapsed="false">
      <c r="A2501" s="7" t="s">
        <v>6165</v>
      </c>
      <c r="B2501" s="10" t="n">
        <v>45975</v>
      </c>
      <c r="C2501" s="7" t="s">
        <v>1795</v>
      </c>
      <c r="D2501" s="7" t="s">
        <v>2258</v>
      </c>
      <c r="E2501" s="7" t="s">
        <v>138</v>
      </c>
      <c r="F2501" s="7" t="s">
        <v>110</v>
      </c>
      <c r="G2501" s="7" t="s">
        <v>139</v>
      </c>
      <c r="H2501" s="7" t="n">
        <v>2</v>
      </c>
      <c r="I2501" s="11" t="n">
        <v>190</v>
      </c>
      <c r="J2501" s="11" t="n">
        <v>0</v>
      </c>
      <c r="K2501" s="11" t="n">
        <f aca="false">H2501*I2501-J2501</f>
        <v>380</v>
      </c>
      <c r="L2501" s="7" t="s">
        <v>112</v>
      </c>
      <c r="M2501" s="7" t="s">
        <v>194</v>
      </c>
      <c r="N2501" s="7" t="n">
        <v>44</v>
      </c>
      <c r="O2501" s="7" t="n">
        <v>5</v>
      </c>
    </row>
    <row r="2502" customFormat="false" ht="15" hidden="false" customHeight="false" outlineLevel="0" collapsed="false">
      <c r="A2502" s="7" t="s">
        <v>1599</v>
      </c>
      <c r="B2502" s="10" t="n">
        <v>45975</v>
      </c>
      <c r="C2502" s="7" t="s">
        <v>486</v>
      </c>
      <c r="D2502" s="7" t="s">
        <v>1601</v>
      </c>
      <c r="E2502" s="7" t="s">
        <v>166</v>
      </c>
      <c r="F2502" s="7" t="s">
        <v>146</v>
      </c>
      <c r="G2502" s="7" t="s">
        <v>117</v>
      </c>
      <c r="H2502" s="7" t="n">
        <v>2</v>
      </c>
      <c r="I2502" s="11" t="n">
        <v>95</v>
      </c>
      <c r="J2502" s="11" t="n">
        <v>0</v>
      </c>
      <c r="K2502" s="11" t="n">
        <f aca="false">H2502*I2502-J2502</f>
        <v>190</v>
      </c>
      <c r="L2502" s="7" t="s">
        <v>93</v>
      </c>
      <c r="M2502" s="7" t="s">
        <v>194</v>
      </c>
      <c r="N2502" s="7" t="n">
        <v>28</v>
      </c>
      <c r="O2502" s="7" t="n">
        <v>3</v>
      </c>
    </row>
    <row r="2503" customFormat="false" ht="15" hidden="false" customHeight="false" outlineLevel="0" collapsed="false">
      <c r="A2503" s="7" t="s">
        <v>4482</v>
      </c>
      <c r="B2503" s="10" t="n">
        <v>45975</v>
      </c>
      <c r="C2503" s="7" t="s">
        <v>3400</v>
      </c>
      <c r="D2503" s="7" t="s">
        <v>214</v>
      </c>
      <c r="E2503" s="7" t="s">
        <v>159</v>
      </c>
      <c r="F2503" s="7" t="s">
        <v>136</v>
      </c>
      <c r="G2503" s="7" t="s">
        <v>90</v>
      </c>
      <c r="H2503" s="7" t="n">
        <v>5</v>
      </c>
      <c r="I2503" s="11" t="n">
        <v>255</v>
      </c>
      <c r="J2503" s="11" t="n">
        <v>0</v>
      </c>
      <c r="K2503" s="11" t="n">
        <f aca="false">H2503*I2503-J2503</f>
        <v>1275</v>
      </c>
      <c r="L2503" s="7" t="s">
        <v>93</v>
      </c>
      <c r="M2503" s="7" t="s">
        <v>194</v>
      </c>
      <c r="N2503" s="7" t="n">
        <v>39</v>
      </c>
      <c r="O2503" s="7" t="n">
        <v>5</v>
      </c>
    </row>
    <row r="2504" customFormat="false" ht="15" hidden="false" customHeight="false" outlineLevel="0" collapsed="false">
      <c r="A2504" s="7" t="s">
        <v>2047</v>
      </c>
      <c r="B2504" s="10" t="n">
        <v>45975</v>
      </c>
      <c r="C2504" s="7" t="s">
        <v>2048</v>
      </c>
      <c r="D2504" s="7" t="s">
        <v>1934</v>
      </c>
      <c r="E2504" s="7" t="s">
        <v>159</v>
      </c>
      <c r="F2504" s="7" t="s">
        <v>136</v>
      </c>
      <c r="G2504" s="7" t="s">
        <v>90</v>
      </c>
      <c r="H2504" s="7" t="n">
        <v>1</v>
      </c>
      <c r="I2504" s="11" t="n">
        <v>255</v>
      </c>
      <c r="J2504" s="11" t="n">
        <v>0</v>
      </c>
      <c r="K2504" s="11" t="n">
        <f aca="false">H2504*I2504-J2504</f>
        <v>255</v>
      </c>
      <c r="L2504" s="7" t="s">
        <v>112</v>
      </c>
      <c r="M2504" s="7" t="s">
        <v>194</v>
      </c>
      <c r="N2504" s="7" t="n">
        <v>35</v>
      </c>
      <c r="O2504" s="7" t="n">
        <v>4</v>
      </c>
    </row>
    <row r="2505" customFormat="false" ht="15" hidden="false" customHeight="false" outlineLevel="0" collapsed="false">
      <c r="A2505" s="7" t="s">
        <v>4182</v>
      </c>
      <c r="B2505" s="10" t="n">
        <v>45975</v>
      </c>
      <c r="C2505" s="7" t="s">
        <v>1164</v>
      </c>
      <c r="D2505" s="7" t="s">
        <v>4183</v>
      </c>
      <c r="E2505" s="7" t="s">
        <v>130</v>
      </c>
      <c r="F2505" s="7" t="s">
        <v>110</v>
      </c>
      <c r="G2505" s="7" t="s">
        <v>90</v>
      </c>
      <c r="H2505" s="7" t="n">
        <v>1</v>
      </c>
      <c r="I2505" s="11" t="n">
        <v>310</v>
      </c>
      <c r="J2505" s="11" t="n">
        <v>20</v>
      </c>
      <c r="K2505" s="11" t="n">
        <f aca="false">H2505*I2505-J2505</f>
        <v>290</v>
      </c>
      <c r="L2505" s="7" t="s">
        <v>88</v>
      </c>
      <c r="M2505" s="7" t="s">
        <v>194</v>
      </c>
      <c r="N2505" s="7" t="n">
        <v>49</v>
      </c>
      <c r="O2505" s="7" t="n">
        <v>4</v>
      </c>
    </row>
    <row r="2506" customFormat="false" ht="15" hidden="false" customHeight="false" outlineLevel="0" collapsed="false">
      <c r="A2506" s="7" t="s">
        <v>3533</v>
      </c>
      <c r="B2506" s="10" t="n">
        <v>45975</v>
      </c>
      <c r="C2506" s="7" t="s">
        <v>3302</v>
      </c>
      <c r="D2506" s="7" t="s">
        <v>1063</v>
      </c>
      <c r="E2506" s="7" t="s">
        <v>130</v>
      </c>
      <c r="F2506" s="7" t="s">
        <v>110</v>
      </c>
      <c r="G2506" s="7" t="s">
        <v>90</v>
      </c>
      <c r="H2506" s="7" t="n">
        <v>1</v>
      </c>
      <c r="I2506" s="11" t="n">
        <v>290</v>
      </c>
      <c r="J2506" s="11" t="n">
        <v>30</v>
      </c>
      <c r="K2506" s="11" t="n">
        <f aca="false">H2506*I2506-J2506</f>
        <v>260</v>
      </c>
      <c r="L2506" s="7" t="s">
        <v>88</v>
      </c>
      <c r="M2506" s="7" t="s">
        <v>194</v>
      </c>
      <c r="N2506" s="7" t="n">
        <v>47</v>
      </c>
      <c r="O2506" s="7" t="n">
        <v>5</v>
      </c>
    </row>
    <row r="2507" customFormat="false" ht="15" hidden="false" customHeight="false" outlineLevel="0" collapsed="false">
      <c r="A2507" s="7" t="s">
        <v>4892</v>
      </c>
      <c r="B2507" s="10" t="n">
        <v>45975</v>
      </c>
      <c r="C2507" s="7" t="s">
        <v>1651</v>
      </c>
      <c r="D2507" s="7" t="s">
        <v>4893</v>
      </c>
      <c r="E2507" s="7" t="s">
        <v>163</v>
      </c>
      <c r="F2507" s="7" t="s">
        <v>141</v>
      </c>
      <c r="G2507" s="7" t="s">
        <v>99</v>
      </c>
      <c r="H2507" s="7" t="n">
        <v>2</v>
      </c>
      <c r="I2507" s="11" t="n">
        <v>295</v>
      </c>
      <c r="J2507" s="11" t="n">
        <v>0</v>
      </c>
      <c r="K2507" s="11" t="n">
        <f aca="false">H2507*I2507-J2507</f>
        <v>590</v>
      </c>
      <c r="L2507" s="7" t="s">
        <v>88</v>
      </c>
      <c r="M2507" s="7" t="s">
        <v>238</v>
      </c>
      <c r="N2507" s="7"/>
      <c r="O2507" s="7"/>
    </row>
    <row r="2508" customFormat="false" ht="15" hidden="false" customHeight="false" outlineLevel="0" collapsed="false">
      <c r="A2508" s="7" t="s">
        <v>4323</v>
      </c>
      <c r="B2508" s="10" t="n">
        <v>45975</v>
      </c>
      <c r="C2508" s="7" t="s">
        <v>3300</v>
      </c>
      <c r="D2508" s="7" t="s">
        <v>4324</v>
      </c>
      <c r="E2508" s="7" t="s">
        <v>94</v>
      </c>
      <c r="F2508" s="7" t="s">
        <v>86</v>
      </c>
      <c r="G2508" s="7" t="s">
        <v>95</v>
      </c>
      <c r="H2508" s="7" t="n">
        <v>2</v>
      </c>
      <c r="I2508" s="11" t="n">
        <v>100</v>
      </c>
      <c r="J2508" s="11" t="n">
        <v>0</v>
      </c>
      <c r="K2508" s="11" t="n">
        <f aca="false">H2508*I2508-J2508</f>
        <v>200</v>
      </c>
      <c r="L2508" s="7" t="s">
        <v>112</v>
      </c>
      <c r="M2508" s="7" t="s">
        <v>194</v>
      </c>
      <c r="N2508" s="7" t="n">
        <v>33</v>
      </c>
      <c r="O2508" s="7" t="n">
        <v>3</v>
      </c>
    </row>
    <row r="2509" customFormat="false" ht="15" hidden="false" customHeight="false" outlineLevel="0" collapsed="false">
      <c r="A2509" s="7" t="s">
        <v>1935</v>
      </c>
      <c r="B2509" s="10" t="n">
        <v>45975</v>
      </c>
      <c r="C2509" s="7" t="s">
        <v>638</v>
      </c>
      <c r="D2509" s="7" t="s">
        <v>1936</v>
      </c>
      <c r="E2509" s="7" t="s">
        <v>142</v>
      </c>
      <c r="F2509" s="7" t="s">
        <v>110</v>
      </c>
      <c r="G2509" s="7" t="s">
        <v>105</v>
      </c>
      <c r="H2509" s="7" t="n">
        <v>2</v>
      </c>
      <c r="I2509" s="11" t="n">
        <v>120</v>
      </c>
      <c r="J2509" s="11" t="n">
        <v>20</v>
      </c>
      <c r="K2509" s="11" t="n">
        <f aca="false">H2509*I2509-J2509</f>
        <v>220</v>
      </c>
      <c r="L2509" s="7" t="s">
        <v>88</v>
      </c>
      <c r="M2509" s="7" t="s">
        <v>194</v>
      </c>
      <c r="N2509" s="7" t="n">
        <v>38</v>
      </c>
      <c r="O2509" s="7" t="n">
        <v>4</v>
      </c>
    </row>
    <row r="2510" customFormat="false" ht="15" hidden="false" customHeight="false" outlineLevel="0" collapsed="false">
      <c r="A2510" s="7" t="s">
        <v>5557</v>
      </c>
      <c r="B2510" s="10" t="n">
        <v>45975</v>
      </c>
      <c r="C2510" s="7" t="s">
        <v>1501</v>
      </c>
      <c r="D2510" s="7" t="s">
        <v>5558</v>
      </c>
      <c r="E2510" s="7" t="s">
        <v>126</v>
      </c>
      <c r="F2510" s="7" t="s">
        <v>101</v>
      </c>
      <c r="G2510" s="7" t="s">
        <v>105</v>
      </c>
      <c r="H2510" s="7" t="n">
        <v>4</v>
      </c>
      <c r="I2510" s="11" t="n">
        <v>235</v>
      </c>
      <c r="J2510" s="11" t="n">
        <v>0</v>
      </c>
      <c r="K2510" s="11" t="n">
        <f aca="false">H2510*I2510-J2510</f>
        <v>940</v>
      </c>
      <c r="L2510" s="7" t="s">
        <v>93</v>
      </c>
      <c r="M2510" s="7" t="s">
        <v>194</v>
      </c>
      <c r="N2510" s="7" t="n">
        <v>42</v>
      </c>
      <c r="O2510" s="7" t="n">
        <v>4</v>
      </c>
    </row>
    <row r="2511" customFormat="false" ht="15" hidden="false" customHeight="false" outlineLevel="0" collapsed="false">
      <c r="A2511" s="7" t="s">
        <v>3315</v>
      </c>
      <c r="B2511" s="10" t="n">
        <v>45975</v>
      </c>
      <c r="C2511" s="7" t="s">
        <v>1288</v>
      </c>
      <c r="D2511" s="7" t="s">
        <v>1931</v>
      </c>
      <c r="E2511" s="7" t="s">
        <v>142</v>
      </c>
      <c r="F2511" s="7" t="s">
        <v>110</v>
      </c>
      <c r="G2511" s="7" t="s">
        <v>105</v>
      </c>
      <c r="H2511" s="7" t="n">
        <v>3</v>
      </c>
      <c r="I2511" s="11" t="n">
        <v>170</v>
      </c>
      <c r="J2511" s="11" t="n">
        <v>20</v>
      </c>
      <c r="K2511" s="11" t="n">
        <f aca="false">H2511*I2511-J2511</f>
        <v>490</v>
      </c>
      <c r="L2511" s="7" t="s">
        <v>88</v>
      </c>
      <c r="M2511" s="7" t="s">
        <v>194</v>
      </c>
      <c r="N2511" s="7" t="n">
        <v>41</v>
      </c>
      <c r="O2511" s="7" t="n">
        <v>5</v>
      </c>
    </row>
    <row r="2512" customFormat="false" ht="15" hidden="false" customHeight="false" outlineLevel="0" collapsed="false">
      <c r="A2512" s="7" t="s">
        <v>4827</v>
      </c>
      <c r="B2512" s="10" t="n">
        <v>45975</v>
      </c>
      <c r="C2512" s="7" t="s">
        <v>331</v>
      </c>
      <c r="D2512" s="7" t="s">
        <v>1453</v>
      </c>
      <c r="E2512" s="7" t="s">
        <v>126</v>
      </c>
      <c r="F2512" s="7" t="s">
        <v>101</v>
      </c>
      <c r="G2512" s="7" t="s">
        <v>105</v>
      </c>
      <c r="H2512" s="7" t="n">
        <v>1</v>
      </c>
      <c r="I2512" s="11" t="n">
        <v>215</v>
      </c>
      <c r="J2512" s="11" t="n">
        <v>30</v>
      </c>
      <c r="K2512" s="11" t="n">
        <f aca="false">H2512*I2512-J2512</f>
        <v>185</v>
      </c>
      <c r="L2512" s="7" t="s">
        <v>103</v>
      </c>
      <c r="M2512" s="7" t="s">
        <v>194</v>
      </c>
      <c r="N2512" s="7" t="n">
        <v>51</v>
      </c>
      <c r="O2512" s="7" t="n">
        <v>4</v>
      </c>
    </row>
    <row r="2513" customFormat="false" ht="15" hidden="false" customHeight="false" outlineLevel="0" collapsed="false">
      <c r="A2513" s="7" t="s">
        <v>3869</v>
      </c>
      <c r="B2513" s="10" t="n">
        <v>45975</v>
      </c>
      <c r="C2513" s="7" t="s">
        <v>3870</v>
      </c>
      <c r="D2513" s="7" t="s">
        <v>3871</v>
      </c>
      <c r="E2513" s="7" t="s">
        <v>142</v>
      </c>
      <c r="F2513" s="7" t="s">
        <v>110</v>
      </c>
      <c r="G2513" s="7" t="s">
        <v>105</v>
      </c>
      <c r="H2513" s="7" t="n">
        <v>1</v>
      </c>
      <c r="I2513" s="11" t="n">
        <v>175</v>
      </c>
      <c r="J2513" s="11" t="n">
        <v>70</v>
      </c>
      <c r="K2513" s="11" t="n">
        <f aca="false">H2513*I2513-J2513</f>
        <v>105</v>
      </c>
      <c r="L2513" s="7" t="s">
        <v>88</v>
      </c>
      <c r="M2513" s="7" t="s">
        <v>194</v>
      </c>
      <c r="N2513" s="7" t="n">
        <v>48</v>
      </c>
      <c r="O2513" s="7" t="n">
        <v>3</v>
      </c>
    </row>
    <row r="2514" customFormat="false" ht="15" hidden="false" customHeight="false" outlineLevel="0" collapsed="false">
      <c r="A2514" s="7" t="s">
        <v>5001</v>
      </c>
      <c r="B2514" s="10" t="n">
        <v>45976</v>
      </c>
      <c r="C2514" s="7" t="s">
        <v>1559</v>
      </c>
      <c r="D2514" s="7" t="s">
        <v>520</v>
      </c>
      <c r="E2514" s="7" t="s">
        <v>89</v>
      </c>
      <c r="F2514" s="7" t="s">
        <v>86</v>
      </c>
      <c r="G2514" s="7" t="s">
        <v>90</v>
      </c>
      <c r="H2514" s="7" t="n">
        <v>3</v>
      </c>
      <c r="I2514" s="11" t="n">
        <v>245</v>
      </c>
      <c r="J2514" s="11" t="n">
        <v>125</v>
      </c>
      <c r="K2514" s="11" t="n">
        <f aca="false">H2514*I2514-J2514</f>
        <v>610</v>
      </c>
      <c r="L2514" s="7" t="s">
        <v>133</v>
      </c>
      <c r="M2514" s="7" t="s">
        <v>194</v>
      </c>
      <c r="N2514" s="7" t="n">
        <v>41</v>
      </c>
      <c r="O2514" s="7"/>
    </row>
    <row r="2515" customFormat="false" ht="15" hidden="false" customHeight="false" outlineLevel="0" collapsed="false">
      <c r="A2515" s="7" t="s">
        <v>4746</v>
      </c>
      <c r="B2515" s="10" t="n">
        <v>45976</v>
      </c>
      <c r="C2515" s="7" t="s">
        <v>896</v>
      </c>
      <c r="D2515" s="7" t="s">
        <v>2981</v>
      </c>
      <c r="E2515" s="7" t="s">
        <v>126</v>
      </c>
      <c r="F2515" s="7" t="s">
        <v>101</v>
      </c>
      <c r="G2515" s="7" t="s">
        <v>105</v>
      </c>
      <c r="H2515" s="7" t="n">
        <v>4</v>
      </c>
      <c r="I2515" s="11" t="n">
        <v>165</v>
      </c>
      <c r="J2515" s="11" t="n">
        <v>0</v>
      </c>
      <c r="K2515" s="11" t="n">
        <f aca="false">H2515*I2515-J2515</f>
        <v>660</v>
      </c>
      <c r="L2515" s="7" t="s">
        <v>88</v>
      </c>
      <c r="M2515" s="7" t="s">
        <v>194</v>
      </c>
      <c r="N2515" s="7" t="n">
        <v>56</v>
      </c>
      <c r="O2515" s="7" t="n">
        <v>4</v>
      </c>
    </row>
    <row r="2516" customFormat="false" ht="15" hidden="false" customHeight="false" outlineLevel="0" collapsed="false">
      <c r="A2516" s="7" t="s">
        <v>3138</v>
      </c>
      <c r="B2516" s="10" t="n">
        <v>45976</v>
      </c>
      <c r="C2516" s="7" t="s">
        <v>2676</v>
      </c>
      <c r="D2516" s="7" t="s">
        <v>3139</v>
      </c>
      <c r="E2516" s="7" t="s">
        <v>151</v>
      </c>
      <c r="F2516" s="7" t="s">
        <v>128</v>
      </c>
      <c r="G2516" s="7" t="s">
        <v>95</v>
      </c>
      <c r="H2516" s="7" t="n">
        <v>2</v>
      </c>
      <c r="I2516" s="11" t="n">
        <v>165</v>
      </c>
      <c r="J2516" s="11" t="n">
        <v>0</v>
      </c>
      <c r="K2516" s="11" t="n">
        <f aca="false">H2516*I2516-J2516</f>
        <v>330</v>
      </c>
      <c r="L2516" s="7" t="s">
        <v>88</v>
      </c>
      <c r="M2516" s="7" t="s">
        <v>194</v>
      </c>
      <c r="N2516" s="7" t="n">
        <v>22</v>
      </c>
      <c r="O2516" s="7" t="n">
        <v>3</v>
      </c>
    </row>
    <row r="2517" customFormat="false" ht="15" hidden="false" customHeight="false" outlineLevel="0" collapsed="false">
      <c r="A2517" s="7" t="s">
        <v>5899</v>
      </c>
      <c r="B2517" s="10" t="n">
        <v>45976</v>
      </c>
      <c r="C2517" s="7" t="s">
        <v>5058</v>
      </c>
      <c r="D2517" s="7" t="s">
        <v>1878</v>
      </c>
      <c r="E2517" s="7" t="s">
        <v>168</v>
      </c>
      <c r="F2517" s="7" t="s">
        <v>146</v>
      </c>
      <c r="G2517" s="7" t="s">
        <v>123</v>
      </c>
      <c r="H2517" s="7" t="n">
        <v>1</v>
      </c>
      <c r="I2517" s="11" t="n">
        <v>335</v>
      </c>
      <c r="J2517" s="11" t="n">
        <v>0</v>
      </c>
      <c r="K2517" s="11" t="n">
        <f aca="false">H2517*I2517-J2517</f>
        <v>335</v>
      </c>
      <c r="L2517" s="7" t="s">
        <v>88</v>
      </c>
      <c r="M2517" s="7" t="s">
        <v>194</v>
      </c>
      <c r="N2517" s="7" t="n">
        <v>22</v>
      </c>
      <c r="O2517" s="7" t="n">
        <v>4</v>
      </c>
    </row>
    <row r="2518" customFormat="false" ht="15" hidden="false" customHeight="false" outlineLevel="0" collapsed="false">
      <c r="A2518" s="7" t="s">
        <v>4177</v>
      </c>
      <c r="B2518" s="10" t="n">
        <v>45976</v>
      </c>
      <c r="C2518" s="7" t="s">
        <v>1066</v>
      </c>
      <c r="D2518" s="7" t="s">
        <v>4178</v>
      </c>
      <c r="E2518" s="7" t="s">
        <v>144</v>
      </c>
      <c r="F2518" s="7" t="s">
        <v>119</v>
      </c>
      <c r="G2518" s="7" t="s">
        <v>99</v>
      </c>
      <c r="H2518" s="7" t="n">
        <v>1</v>
      </c>
      <c r="I2518" s="11" t="n">
        <v>260</v>
      </c>
      <c r="J2518" s="11" t="n">
        <v>0</v>
      </c>
      <c r="K2518" s="11" t="n">
        <f aca="false">H2518*I2518-J2518</f>
        <v>260</v>
      </c>
      <c r="L2518" s="7" t="s">
        <v>112</v>
      </c>
      <c r="M2518" s="7" t="s">
        <v>194</v>
      </c>
      <c r="N2518" s="7" t="n">
        <v>30</v>
      </c>
      <c r="O2518" s="7" t="n">
        <v>5</v>
      </c>
    </row>
    <row r="2519" customFormat="false" ht="15" hidden="false" customHeight="false" outlineLevel="0" collapsed="false">
      <c r="A2519" s="7" t="s">
        <v>5892</v>
      </c>
      <c r="B2519" s="10" t="n">
        <v>45976</v>
      </c>
      <c r="C2519" s="7" t="s">
        <v>1791</v>
      </c>
      <c r="D2519" s="7" t="s">
        <v>4384</v>
      </c>
      <c r="E2519" s="7" t="s">
        <v>165</v>
      </c>
      <c r="F2519" s="7" t="s">
        <v>146</v>
      </c>
      <c r="G2519" s="7" t="s">
        <v>90</v>
      </c>
      <c r="H2519" s="7" t="n">
        <v>1</v>
      </c>
      <c r="I2519" s="11" t="n">
        <v>215</v>
      </c>
      <c r="J2519" s="11" t="n">
        <v>0</v>
      </c>
      <c r="K2519" s="11" t="n">
        <f aca="false">H2519*I2519-J2519</f>
        <v>215</v>
      </c>
      <c r="L2519" s="7" t="s">
        <v>93</v>
      </c>
      <c r="M2519" s="7" t="s">
        <v>194</v>
      </c>
      <c r="N2519" s="7" t="n">
        <v>40</v>
      </c>
      <c r="O2519" s="7" t="n">
        <v>4</v>
      </c>
    </row>
    <row r="2520" customFormat="false" ht="15" hidden="false" customHeight="false" outlineLevel="0" collapsed="false">
      <c r="A2520" s="7" t="s">
        <v>1413</v>
      </c>
      <c r="B2520" s="10" t="n">
        <v>45976</v>
      </c>
      <c r="C2520" s="7" t="s">
        <v>1414</v>
      </c>
      <c r="D2520" s="7" t="s">
        <v>1146</v>
      </c>
      <c r="E2520" s="7" t="s">
        <v>159</v>
      </c>
      <c r="F2520" s="7" t="s">
        <v>136</v>
      </c>
      <c r="G2520" s="7" t="s">
        <v>90</v>
      </c>
      <c r="H2520" s="7" t="n">
        <v>1</v>
      </c>
      <c r="I2520" s="11" t="n">
        <v>235</v>
      </c>
      <c r="J2520" s="11" t="n">
        <v>0</v>
      </c>
      <c r="K2520" s="11" t="n">
        <f aca="false">H2520*I2520-J2520</f>
        <v>235</v>
      </c>
      <c r="L2520" s="7" t="s">
        <v>121</v>
      </c>
      <c r="M2520" s="7" t="s">
        <v>238</v>
      </c>
      <c r="N2520" s="7"/>
      <c r="O2520" s="7"/>
    </row>
    <row r="2521" customFormat="false" ht="15" hidden="false" customHeight="false" outlineLevel="0" collapsed="false">
      <c r="A2521" s="7" t="s">
        <v>1991</v>
      </c>
      <c r="B2521" s="10" t="n">
        <v>45976</v>
      </c>
      <c r="C2521" s="7" t="s">
        <v>452</v>
      </c>
      <c r="D2521" s="7" t="s">
        <v>1803</v>
      </c>
      <c r="E2521" s="7" t="s">
        <v>147</v>
      </c>
      <c r="F2521" s="7" t="s">
        <v>119</v>
      </c>
      <c r="G2521" s="7" t="s">
        <v>95</v>
      </c>
      <c r="H2521" s="7" t="n">
        <v>4</v>
      </c>
      <c r="I2521" s="11" t="n">
        <v>150</v>
      </c>
      <c r="J2521" s="11" t="n">
        <v>0</v>
      </c>
      <c r="K2521" s="11" t="n">
        <f aca="false">H2521*I2521-J2521</f>
        <v>600</v>
      </c>
      <c r="L2521" s="7" t="s">
        <v>112</v>
      </c>
      <c r="M2521" s="7" t="s">
        <v>194</v>
      </c>
      <c r="N2521" s="7" t="n">
        <v>45</v>
      </c>
      <c r="O2521" s="7" t="n">
        <v>3</v>
      </c>
    </row>
    <row r="2522" customFormat="false" ht="15" hidden="false" customHeight="false" outlineLevel="0" collapsed="false">
      <c r="A2522" s="7" t="s">
        <v>6066</v>
      </c>
      <c r="B2522" s="10" t="n">
        <v>45976</v>
      </c>
      <c r="C2522" s="7" t="s">
        <v>2402</v>
      </c>
      <c r="D2522" s="7" t="s">
        <v>509</v>
      </c>
      <c r="E2522" s="7" t="s">
        <v>162</v>
      </c>
      <c r="F2522" s="7" t="s">
        <v>141</v>
      </c>
      <c r="G2522" s="7" t="s">
        <v>117</v>
      </c>
      <c r="H2522" s="7" t="n">
        <v>4</v>
      </c>
      <c r="I2522" s="11" t="n">
        <v>125</v>
      </c>
      <c r="J2522" s="11" t="n">
        <v>50</v>
      </c>
      <c r="K2522" s="11" t="n">
        <f aca="false">H2522*I2522-J2522</f>
        <v>450</v>
      </c>
      <c r="L2522" s="7" t="s">
        <v>112</v>
      </c>
      <c r="M2522" s="7" t="s">
        <v>194</v>
      </c>
      <c r="N2522" s="7" t="n">
        <v>35</v>
      </c>
      <c r="O2522" s="7" t="n">
        <v>5</v>
      </c>
    </row>
    <row r="2523" customFormat="false" ht="15" hidden="false" customHeight="false" outlineLevel="0" collapsed="false">
      <c r="A2523" s="7" t="s">
        <v>5406</v>
      </c>
      <c r="B2523" s="10" t="n">
        <v>45976</v>
      </c>
      <c r="C2523" s="7" t="s">
        <v>1704</v>
      </c>
      <c r="D2523" s="7" t="s">
        <v>5407</v>
      </c>
      <c r="E2523" s="7" t="s">
        <v>104</v>
      </c>
      <c r="F2523" s="7" t="s">
        <v>86</v>
      </c>
      <c r="G2523" s="7" t="s">
        <v>105</v>
      </c>
      <c r="H2523" s="7" t="n">
        <v>2</v>
      </c>
      <c r="I2523" s="11" t="n">
        <v>185</v>
      </c>
      <c r="J2523" s="11" t="n">
        <v>0</v>
      </c>
      <c r="K2523" s="11" t="n">
        <f aca="false">H2523*I2523-J2523</f>
        <v>370</v>
      </c>
      <c r="L2523" s="7" t="s">
        <v>103</v>
      </c>
      <c r="M2523" s="7" t="s">
        <v>194</v>
      </c>
      <c r="N2523" s="7" t="n">
        <v>37</v>
      </c>
      <c r="O2523" s="7" t="n">
        <v>5</v>
      </c>
    </row>
    <row r="2524" customFormat="false" ht="15" hidden="false" customHeight="false" outlineLevel="0" collapsed="false">
      <c r="A2524" s="7" t="s">
        <v>913</v>
      </c>
      <c r="B2524" s="10" t="n">
        <v>45976</v>
      </c>
      <c r="C2524" s="7" t="s">
        <v>914</v>
      </c>
      <c r="D2524" s="7" t="s">
        <v>915</v>
      </c>
      <c r="E2524" s="7" t="s">
        <v>144</v>
      </c>
      <c r="F2524" s="7" t="s">
        <v>119</v>
      </c>
      <c r="G2524" s="7" t="s">
        <v>99</v>
      </c>
      <c r="H2524" s="7" t="n">
        <v>2</v>
      </c>
      <c r="I2524" s="11" t="n">
        <v>320</v>
      </c>
      <c r="J2524" s="11" t="n">
        <v>0</v>
      </c>
      <c r="K2524" s="11" t="n">
        <f aca="false">H2524*I2524-J2524</f>
        <v>640</v>
      </c>
      <c r="L2524" s="7" t="s">
        <v>93</v>
      </c>
      <c r="M2524" s="7" t="s">
        <v>194</v>
      </c>
      <c r="N2524" s="7" t="n">
        <v>31</v>
      </c>
      <c r="O2524" s="7" t="n">
        <v>4</v>
      </c>
    </row>
    <row r="2525" customFormat="false" ht="15" hidden="false" customHeight="false" outlineLevel="0" collapsed="false">
      <c r="A2525" s="7" t="s">
        <v>767</v>
      </c>
      <c r="B2525" s="10" t="n">
        <v>45976</v>
      </c>
      <c r="C2525" s="7" t="s">
        <v>769</v>
      </c>
      <c r="D2525" s="7" t="s">
        <v>770</v>
      </c>
      <c r="E2525" s="7" t="s">
        <v>149</v>
      </c>
      <c r="F2525" s="7" t="s">
        <v>119</v>
      </c>
      <c r="G2525" s="7" t="s">
        <v>150</v>
      </c>
      <c r="H2525" s="7" t="n">
        <v>1</v>
      </c>
      <c r="I2525" s="11" t="n">
        <v>190</v>
      </c>
      <c r="J2525" s="11" t="n">
        <v>0</v>
      </c>
      <c r="K2525" s="11" t="n">
        <f aca="false">H2525*I2525-J2525</f>
        <v>190</v>
      </c>
      <c r="L2525" s="7" t="s">
        <v>88</v>
      </c>
      <c r="M2525" s="7" t="s">
        <v>194</v>
      </c>
      <c r="N2525" s="7" t="n">
        <v>47</v>
      </c>
      <c r="O2525" s="7" t="n">
        <v>4</v>
      </c>
    </row>
    <row r="2526" customFormat="false" ht="15" hidden="false" customHeight="false" outlineLevel="0" collapsed="false">
      <c r="A2526" s="7" t="s">
        <v>5136</v>
      </c>
      <c r="B2526" s="10" t="n">
        <v>45976</v>
      </c>
      <c r="C2526" s="7" t="s">
        <v>1153</v>
      </c>
      <c r="D2526" s="7" t="s">
        <v>833</v>
      </c>
      <c r="E2526" s="7" t="s">
        <v>116</v>
      </c>
      <c r="F2526" s="7" t="s">
        <v>101</v>
      </c>
      <c r="G2526" s="7" t="s">
        <v>117</v>
      </c>
      <c r="H2526" s="7" t="n">
        <v>1</v>
      </c>
      <c r="I2526" s="11" t="n">
        <v>120</v>
      </c>
      <c r="J2526" s="11" t="n">
        <v>0</v>
      </c>
      <c r="K2526" s="11" t="n">
        <f aca="false">H2526*I2526-J2526</f>
        <v>120</v>
      </c>
      <c r="L2526" s="7" t="s">
        <v>103</v>
      </c>
      <c r="M2526" s="7" t="s">
        <v>194</v>
      </c>
      <c r="N2526" s="7" t="n">
        <v>42</v>
      </c>
      <c r="O2526" s="7" t="n">
        <v>4</v>
      </c>
    </row>
    <row r="2527" customFormat="false" ht="15" hidden="false" customHeight="false" outlineLevel="0" collapsed="false">
      <c r="A2527" s="7" t="s">
        <v>6000</v>
      </c>
      <c r="B2527" s="10" t="n">
        <v>45976</v>
      </c>
      <c r="C2527" s="7" t="s">
        <v>5109</v>
      </c>
      <c r="D2527" s="7" t="s">
        <v>6001</v>
      </c>
      <c r="E2527" s="7" t="s">
        <v>122</v>
      </c>
      <c r="F2527" s="7" t="s">
        <v>101</v>
      </c>
      <c r="G2527" s="7" t="s">
        <v>123</v>
      </c>
      <c r="H2527" s="7" t="n">
        <v>4</v>
      </c>
      <c r="I2527" s="11" t="n">
        <v>375</v>
      </c>
      <c r="J2527" s="11" t="n">
        <v>40</v>
      </c>
      <c r="K2527" s="11" t="n">
        <f aca="false">H2527*I2527-J2527</f>
        <v>1460</v>
      </c>
      <c r="L2527" s="7" t="s">
        <v>112</v>
      </c>
      <c r="M2527" s="7" t="s">
        <v>238</v>
      </c>
      <c r="N2527" s="7"/>
      <c r="O2527" s="7"/>
    </row>
    <row r="2528" customFormat="false" ht="15" hidden="false" customHeight="false" outlineLevel="0" collapsed="false">
      <c r="A2528" s="7" t="s">
        <v>2055</v>
      </c>
      <c r="B2528" s="10" t="n">
        <v>45977</v>
      </c>
      <c r="C2528" s="7" t="s">
        <v>2056</v>
      </c>
      <c r="D2528" s="7" t="s">
        <v>2057</v>
      </c>
      <c r="E2528" s="7" t="s">
        <v>167</v>
      </c>
      <c r="F2528" s="7" t="s">
        <v>146</v>
      </c>
      <c r="G2528" s="7" t="s">
        <v>156</v>
      </c>
      <c r="H2528" s="7" t="n">
        <v>1</v>
      </c>
      <c r="I2528" s="11" t="n">
        <v>190</v>
      </c>
      <c r="J2528" s="11" t="n">
        <v>0</v>
      </c>
      <c r="K2528" s="11" t="n">
        <f aca="false">H2528*I2528-J2528</f>
        <v>190</v>
      </c>
      <c r="L2528" s="7" t="s">
        <v>121</v>
      </c>
      <c r="M2528" s="7" t="s">
        <v>194</v>
      </c>
      <c r="N2528" s="7" t="n">
        <v>26</v>
      </c>
      <c r="O2528" s="7" t="n">
        <v>4</v>
      </c>
    </row>
    <row r="2529" customFormat="false" ht="15" hidden="false" customHeight="false" outlineLevel="0" collapsed="false">
      <c r="A2529" s="7" t="s">
        <v>5441</v>
      </c>
      <c r="B2529" s="10" t="n">
        <v>45977</v>
      </c>
      <c r="C2529" s="7" t="s">
        <v>1490</v>
      </c>
      <c r="D2529" s="7" t="s">
        <v>5442</v>
      </c>
      <c r="E2529" s="7" t="s">
        <v>98</v>
      </c>
      <c r="F2529" s="7" t="s">
        <v>86</v>
      </c>
      <c r="G2529" s="7" t="s">
        <v>99</v>
      </c>
      <c r="H2529" s="7" t="n">
        <v>1</v>
      </c>
      <c r="I2529" s="11" t="n">
        <v>275</v>
      </c>
      <c r="J2529" s="11" t="n">
        <v>0</v>
      </c>
      <c r="K2529" s="11" t="n">
        <f aca="false">H2529*I2529-J2529</f>
        <v>275</v>
      </c>
      <c r="L2529" s="7" t="s">
        <v>93</v>
      </c>
      <c r="M2529" s="7" t="s">
        <v>194</v>
      </c>
      <c r="N2529" s="7" t="n">
        <v>38</v>
      </c>
      <c r="O2529" s="7" t="n">
        <v>4</v>
      </c>
    </row>
    <row r="2530" customFormat="false" ht="15" hidden="false" customHeight="false" outlineLevel="0" collapsed="false">
      <c r="A2530" s="7" t="s">
        <v>1284</v>
      </c>
      <c r="B2530" s="10" t="n">
        <v>45977</v>
      </c>
      <c r="C2530" s="7" t="s">
        <v>1285</v>
      </c>
      <c r="D2530" s="7" t="s">
        <v>592</v>
      </c>
      <c r="E2530" s="7" t="s">
        <v>134</v>
      </c>
      <c r="F2530" s="7" t="s">
        <v>110</v>
      </c>
      <c r="G2530" s="7" t="s">
        <v>117</v>
      </c>
      <c r="H2530" s="7" t="n">
        <v>2</v>
      </c>
      <c r="I2530" s="11" t="n">
        <v>120</v>
      </c>
      <c r="J2530" s="11" t="n">
        <v>50</v>
      </c>
      <c r="K2530" s="11" t="n">
        <f aca="false">H2530*I2530-J2530</f>
        <v>190</v>
      </c>
      <c r="L2530" s="7" t="s">
        <v>88</v>
      </c>
      <c r="M2530" s="7" t="s">
        <v>194</v>
      </c>
      <c r="N2530" s="7" t="n">
        <v>40</v>
      </c>
      <c r="O2530" s="7"/>
    </row>
    <row r="2531" customFormat="false" ht="15" hidden="false" customHeight="false" outlineLevel="0" collapsed="false">
      <c r="A2531" s="7" t="s">
        <v>1342</v>
      </c>
      <c r="B2531" s="10" t="n">
        <v>45977</v>
      </c>
      <c r="C2531" s="7" t="s">
        <v>564</v>
      </c>
      <c r="D2531" s="7" t="s">
        <v>1343</v>
      </c>
      <c r="E2531" s="7" t="s">
        <v>98</v>
      </c>
      <c r="F2531" s="7" t="s">
        <v>86</v>
      </c>
      <c r="G2531" s="7" t="s">
        <v>99</v>
      </c>
      <c r="H2531" s="7" t="n">
        <v>2</v>
      </c>
      <c r="I2531" s="11" t="n">
        <v>305</v>
      </c>
      <c r="J2531" s="11" t="n">
        <v>50</v>
      </c>
      <c r="K2531" s="11" t="n">
        <f aca="false">H2531*I2531-J2531</f>
        <v>560</v>
      </c>
      <c r="L2531" s="7" t="s">
        <v>93</v>
      </c>
      <c r="M2531" s="7" t="s">
        <v>194</v>
      </c>
      <c r="N2531" s="7" t="n">
        <v>55</v>
      </c>
      <c r="O2531" s="7" t="n">
        <v>5</v>
      </c>
    </row>
    <row r="2532" customFormat="false" ht="15" hidden="false" customHeight="false" outlineLevel="0" collapsed="false">
      <c r="A2532" s="7" t="s">
        <v>1032</v>
      </c>
      <c r="B2532" s="10" t="n">
        <v>45977</v>
      </c>
      <c r="C2532" s="7" t="s">
        <v>551</v>
      </c>
      <c r="D2532" s="7" t="s">
        <v>1033</v>
      </c>
      <c r="E2532" s="7" t="s">
        <v>166</v>
      </c>
      <c r="F2532" s="7" t="s">
        <v>146</v>
      </c>
      <c r="G2532" s="7" t="s">
        <v>117</v>
      </c>
      <c r="H2532" s="7" t="n">
        <v>2</v>
      </c>
      <c r="I2532" s="11" t="n">
        <v>105</v>
      </c>
      <c r="J2532" s="11" t="n">
        <v>0</v>
      </c>
      <c r="K2532" s="11" t="n">
        <f aca="false">H2532*I2532-J2532</f>
        <v>210</v>
      </c>
      <c r="L2532" s="7" t="s">
        <v>88</v>
      </c>
      <c r="M2532" s="7" t="s">
        <v>238</v>
      </c>
      <c r="N2532" s="7"/>
      <c r="O2532" s="7"/>
    </row>
    <row r="2533" customFormat="false" ht="15" hidden="false" customHeight="false" outlineLevel="0" collapsed="false">
      <c r="A2533" s="7" t="s">
        <v>6158</v>
      </c>
      <c r="B2533" s="10" t="n">
        <v>45977</v>
      </c>
      <c r="C2533" s="7" t="s">
        <v>2278</v>
      </c>
      <c r="D2533" s="7" t="s">
        <v>784</v>
      </c>
      <c r="E2533" s="7" t="s">
        <v>144</v>
      </c>
      <c r="F2533" s="7" t="s">
        <v>119</v>
      </c>
      <c r="G2533" s="7" t="s">
        <v>99</v>
      </c>
      <c r="H2533" s="7" t="n">
        <v>2</v>
      </c>
      <c r="I2533" s="11" t="n">
        <v>315</v>
      </c>
      <c r="J2533" s="11" t="n">
        <v>50</v>
      </c>
      <c r="K2533" s="11" t="n">
        <f aca="false">H2533*I2533-J2533</f>
        <v>580</v>
      </c>
      <c r="L2533" s="7" t="s">
        <v>133</v>
      </c>
      <c r="M2533" s="7" t="s">
        <v>194</v>
      </c>
      <c r="N2533" s="7" t="n">
        <v>43</v>
      </c>
      <c r="O2533" s="7" t="n">
        <v>5</v>
      </c>
    </row>
    <row r="2534" customFormat="false" ht="15" hidden="false" customHeight="false" outlineLevel="0" collapsed="false">
      <c r="A2534" s="7" t="s">
        <v>5390</v>
      </c>
      <c r="B2534" s="10" t="n">
        <v>45977</v>
      </c>
      <c r="C2534" s="7" t="s">
        <v>346</v>
      </c>
      <c r="D2534" s="7" t="s">
        <v>4498</v>
      </c>
      <c r="E2534" s="7" t="s">
        <v>130</v>
      </c>
      <c r="F2534" s="7" t="s">
        <v>110</v>
      </c>
      <c r="G2534" s="7" t="s">
        <v>90</v>
      </c>
      <c r="H2534" s="7" t="n">
        <v>3</v>
      </c>
      <c r="I2534" s="11" t="n">
        <v>300</v>
      </c>
      <c r="J2534" s="11" t="n">
        <v>100</v>
      </c>
      <c r="K2534" s="11" t="n">
        <f aca="false">H2534*I2534-J2534</f>
        <v>800</v>
      </c>
      <c r="L2534" s="7" t="s">
        <v>103</v>
      </c>
      <c r="M2534" s="7" t="s">
        <v>194</v>
      </c>
      <c r="N2534" s="7" t="n">
        <v>40</v>
      </c>
      <c r="O2534" s="7" t="n">
        <v>4</v>
      </c>
    </row>
    <row r="2535" customFormat="false" ht="15" hidden="false" customHeight="false" outlineLevel="0" collapsed="false">
      <c r="A2535" s="7" t="s">
        <v>807</v>
      </c>
      <c r="B2535" s="10" t="n">
        <v>45977</v>
      </c>
      <c r="C2535" s="7" t="s">
        <v>809</v>
      </c>
      <c r="D2535" s="7" t="s">
        <v>810</v>
      </c>
      <c r="E2535" s="7" t="s">
        <v>126</v>
      </c>
      <c r="F2535" s="7" t="s">
        <v>101</v>
      </c>
      <c r="G2535" s="7" t="s">
        <v>105</v>
      </c>
      <c r="H2535" s="7" t="n">
        <v>2</v>
      </c>
      <c r="I2535" s="11" t="n">
        <v>230</v>
      </c>
      <c r="J2535" s="11" t="n">
        <v>0</v>
      </c>
      <c r="K2535" s="11" t="n">
        <f aca="false">H2535*I2535-J2535</f>
        <v>460</v>
      </c>
      <c r="L2535" s="7" t="s">
        <v>88</v>
      </c>
      <c r="M2535" s="7" t="s">
        <v>194</v>
      </c>
      <c r="N2535" s="7" t="n">
        <v>57</v>
      </c>
      <c r="O2535" s="7" t="n">
        <v>5</v>
      </c>
    </row>
    <row r="2536" customFormat="false" ht="15" hidden="false" customHeight="false" outlineLevel="0" collapsed="false">
      <c r="A2536" s="7" t="s">
        <v>3528</v>
      </c>
      <c r="B2536" s="10" t="n">
        <v>45977</v>
      </c>
      <c r="C2536" s="7" t="s">
        <v>1852</v>
      </c>
      <c r="D2536" s="7" t="s">
        <v>3529</v>
      </c>
      <c r="E2536" s="7" t="s">
        <v>138</v>
      </c>
      <c r="F2536" s="7" t="s">
        <v>110</v>
      </c>
      <c r="G2536" s="7" t="s">
        <v>139</v>
      </c>
      <c r="H2536" s="7" t="n">
        <v>2</v>
      </c>
      <c r="I2536" s="11" t="n">
        <v>210</v>
      </c>
      <c r="J2536" s="11" t="n">
        <v>0</v>
      </c>
      <c r="K2536" s="11" t="n">
        <f aca="false">H2536*I2536-J2536</f>
        <v>420</v>
      </c>
      <c r="L2536" s="7" t="s">
        <v>88</v>
      </c>
      <c r="M2536" s="7" t="s">
        <v>194</v>
      </c>
      <c r="N2536" s="7" t="n">
        <v>37</v>
      </c>
      <c r="O2536" s="7" t="n">
        <v>3</v>
      </c>
    </row>
    <row r="2537" customFormat="false" ht="15" hidden="false" customHeight="false" outlineLevel="0" collapsed="false">
      <c r="A2537" s="7" t="s">
        <v>5909</v>
      </c>
      <c r="B2537" s="10" t="n">
        <v>45977</v>
      </c>
      <c r="C2537" s="7" t="s">
        <v>1635</v>
      </c>
      <c r="D2537" s="7" t="s">
        <v>1771</v>
      </c>
      <c r="E2537" s="7" t="s">
        <v>142</v>
      </c>
      <c r="F2537" s="7" t="s">
        <v>110</v>
      </c>
      <c r="G2537" s="7" t="s">
        <v>105</v>
      </c>
      <c r="H2537" s="7" t="n">
        <v>1</v>
      </c>
      <c r="I2537" s="11" t="n">
        <v>150</v>
      </c>
      <c r="J2537" s="11" t="n">
        <v>0</v>
      </c>
      <c r="K2537" s="11" t="n">
        <f aca="false">H2537*I2537-J2537</f>
        <v>150</v>
      </c>
      <c r="L2537" s="7" t="s">
        <v>93</v>
      </c>
      <c r="M2537" s="7" t="s">
        <v>194</v>
      </c>
      <c r="N2537" s="7" t="n">
        <v>37</v>
      </c>
      <c r="O2537" s="7" t="n">
        <v>5</v>
      </c>
    </row>
    <row r="2538" customFormat="false" ht="15" hidden="false" customHeight="false" outlineLevel="0" collapsed="false">
      <c r="A2538" s="7" t="s">
        <v>3519</v>
      </c>
      <c r="B2538" s="10" t="n">
        <v>45978</v>
      </c>
      <c r="C2538" s="7" t="s">
        <v>3520</v>
      </c>
      <c r="D2538" s="7" t="s">
        <v>1750</v>
      </c>
      <c r="E2538" s="7" t="s">
        <v>166</v>
      </c>
      <c r="F2538" s="7" t="s">
        <v>146</v>
      </c>
      <c r="G2538" s="7" t="s">
        <v>117</v>
      </c>
      <c r="H2538" s="7" t="n">
        <v>3</v>
      </c>
      <c r="I2538" s="11" t="n">
        <v>110</v>
      </c>
      <c r="J2538" s="11" t="n">
        <v>40</v>
      </c>
      <c r="K2538" s="11" t="n">
        <f aca="false">H2538*I2538-J2538</f>
        <v>290</v>
      </c>
      <c r="L2538" s="7" t="s">
        <v>88</v>
      </c>
      <c r="M2538" s="7" t="s">
        <v>194</v>
      </c>
      <c r="N2538" s="7" t="n">
        <v>30</v>
      </c>
      <c r="O2538" s="7" t="n">
        <v>3</v>
      </c>
    </row>
    <row r="2539" customFormat="false" ht="15" hidden="false" customHeight="false" outlineLevel="0" collapsed="false">
      <c r="A2539" s="7" t="s">
        <v>5259</v>
      </c>
      <c r="B2539" s="10" t="n">
        <v>45978</v>
      </c>
      <c r="C2539" s="7" t="s">
        <v>323</v>
      </c>
      <c r="D2539" s="7" t="s">
        <v>425</v>
      </c>
      <c r="E2539" s="7" t="s">
        <v>104</v>
      </c>
      <c r="F2539" s="7" t="s">
        <v>86</v>
      </c>
      <c r="G2539" s="7" t="s">
        <v>105</v>
      </c>
      <c r="H2539" s="7" t="n">
        <v>2</v>
      </c>
      <c r="I2539" s="11" t="n">
        <v>235</v>
      </c>
      <c r="J2539" s="11" t="n">
        <v>125</v>
      </c>
      <c r="K2539" s="11" t="n">
        <f aca="false">H2539*I2539-J2539</f>
        <v>345</v>
      </c>
      <c r="L2539" s="7" t="s">
        <v>93</v>
      </c>
      <c r="M2539" s="7" t="s">
        <v>194</v>
      </c>
      <c r="N2539" s="7" t="n">
        <v>43</v>
      </c>
      <c r="O2539" s="7" t="n">
        <v>4</v>
      </c>
    </row>
    <row r="2540" customFormat="false" ht="15" hidden="false" customHeight="false" outlineLevel="0" collapsed="false">
      <c r="A2540" s="7" t="s">
        <v>4282</v>
      </c>
      <c r="B2540" s="10" t="n">
        <v>45978</v>
      </c>
      <c r="C2540" s="7" t="s">
        <v>403</v>
      </c>
      <c r="D2540" s="7" t="s">
        <v>4283</v>
      </c>
      <c r="E2540" s="7" t="s">
        <v>126</v>
      </c>
      <c r="F2540" s="7" t="s">
        <v>101</v>
      </c>
      <c r="G2540" s="7" t="s">
        <v>105</v>
      </c>
      <c r="H2540" s="7" t="n">
        <v>1</v>
      </c>
      <c r="I2540" s="11" t="n">
        <v>245</v>
      </c>
      <c r="J2540" s="11" t="n">
        <v>40</v>
      </c>
      <c r="K2540" s="11" t="n">
        <f aca="false">H2540*I2540-J2540</f>
        <v>205</v>
      </c>
      <c r="L2540" s="7" t="s">
        <v>112</v>
      </c>
      <c r="M2540" s="7" t="s">
        <v>194</v>
      </c>
      <c r="N2540" s="7" t="n">
        <v>50</v>
      </c>
      <c r="O2540" s="7" t="n">
        <v>4</v>
      </c>
    </row>
    <row r="2541" customFormat="false" ht="15" hidden="false" customHeight="false" outlineLevel="0" collapsed="false">
      <c r="A2541" s="7" t="s">
        <v>3235</v>
      </c>
      <c r="B2541" s="10" t="n">
        <v>45978</v>
      </c>
      <c r="C2541" s="7" t="s">
        <v>547</v>
      </c>
      <c r="D2541" s="7" t="s">
        <v>416</v>
      </c>
      <c r="E2541" s="7" t="s">
        <v>148</v>
      </c>
      <c r="F2541" s="7" t="s">
        <v>119</v>
      </c>
      <c r="G2541" s="7" t="s">
        <v>123</v>
      </c>
      <c r="H2541" s="7" t="n">
        <v>1</v>
      </c>
      <c r="I2541" s="11" t="n">
        <v>380</v>
      </c>
      <c r="J2541" s="11" t="n">
        <v>0</v>
      </c>
      <c r="K2541" s="11" t="n">
        <f aca="false">H2541*I2541-J2541</f>
        <v>380</v>
      </c>
      <c r="L2541" s="7" t="s">
        <v>112</v>
      </c>
      <c r="M2541" s="7" t="s">
        <v>194</v>
      </c>
      <c r="N2541" s="7" t="n">
        <v>29</v>
      </c>
      <c r="O2541" s="7" t="n">
        <v>5</v>
      </c>
    </row>
    <row r="2542" customFormat="false" ht="15" hidden="false" customHeight="false" outlineLevel="0" collapsed="false">
      <c r="A2542" s="7" t="s">
        <v>1819</v>
      </c>
      <c r="B2542" s="10" t="n">
        <v>45978</v>
      </c>
      <c r="C2542" s="7" t="s">
        <v>1820</v>
      </c>
      <c r="D2542" s="7" t="s">
        <v>1821</v>
      </c>
      <c r="E2542" s="7" t="s">
        <v>122</v>
      </c>
      <c r="F2542" s="7" t="s">
        <v>101</v>
      </c>
      <c r="G2542" s="7" t="s">
        <v>123</v>
      </c>
      <c r="H2542" s="7" t="n">
        <v>1</v>
      </c>
      <c r="I2542" s="11" t="n">
        <v>345</v>
      </c>
      <c r="J2542" s="11" t="n">
        <v>0</v>
      </c>
      <c r="K2542" s="11" t="n">
        <f aca="false">H2542*I2542-J2542</f>
        <v>345</v>
      </c>
      <c r="L2542" s="7" t="s">
        <v>88</v>
      </c>
      <c r="M2542" s="7" t="s">
        <v>194</v>
      </c>
      <c r="N2542" s="7" t="n">
        <v>51</v>
      </c>
      <c r="O2542" s="7" t="n">
        <v>5</v>
      </c>
    </row>
    <row r="2543" customFormat="false" ht="15" hidden="false" customHeight="false" outlineLevel="0" collapsed="false">
      <c r="A2543" s="7" t="s">
        <v>1732</v>
      </c>
      <c r="B2543" s="10" t="n">
        <v>45978</v>
      </c>
      <c r="C2543" s="7" t="s">
        <v>1734</v>
      </c>
      <c r="D2543" s="7" t="s">
        <v>1735</v>
      </c>
      <c r="E2543" s="7" t="s">
        <v>168</v>
      </c>
      <c r="F2543" s="7" t="s">
        <v>146</v>
      </c>
      <c r="G2543" s="7" t="s">
        <v>123</v>
      </c>
      <c r="H2543" s="7" t="n">
        <v>2</v>
      </c>
      <c r="I2543" s="11" t="n">
        <v>355</v>
      </c>
      <c r="J2543" s="11" t="n">
        <v>0</v>
      </c>
      <c r="K2543" s="11" t="n">
        <f aca="false">H2543*I2543-J2543</f>
        <v>710</v>
      </c>
      <c r="L2543" s="7" t="s">
        <v>88</v>
      </c>
      <c r="M2543" s="7" t="s">
        <v>194</v>
      </c>
      <c r="N2543" s="7" t="n">
        <v>15</v>
      </c>
      <c r="O2543" s="7" t="n">
        <v>3</v>
      </c>
    </row>
    <row r="2544" customFormat="false" ht="15" hidden="false" customHeight="false" outlineLevel="0" collapsed="false">
      <c r="A2544" s="7" t="s">
        <v>2715</v>
      </c>
      <c r="B2544" s="10" t="n">
        <v>45978</v>
      </c>
      <c r="C2544" s="7" t="s">
        <v>2716</v>
      </c>
      <c r="D2544" s="7" t="s">
        <v>1207</v>
      </c>
      <c r="E2544" s="7" t="s">
        <v>168</v>
      </c>
      <c r="F2544" s="7" t="s">
        <v>146</v>
      </c>
      <c r="G2544" s="7" t="s">
        <v>123</v>
      </c>
      <c r="H2544" s="7" t="n">
        <v>3</v>
      </c>
      <c r="I2544" s="11" t="n">
        <v>320</v>
      </c>
      <c r="J2544" s="11" t="n">
        <v>75</v>
      </c>
      <c r="K2544" s="11" t="n">
        <f aca="false">H2544*I2544-J2544</f>
        <v>885</v>
      </c>
      <c r="L2544" s="7" t="s">
        <v>121</v>
      </c>
      <c r="M2544" s="7" t="s">
        <v>194</v>
      </c>
      <c r="N2544" s="7" t="n">
        <v>33</v>
      </c>
      <c r="O2544" s="7" t="n">
        <v>4</v>
      </c>
    </row>
    <row r="2545" customFormat="false" ht="15" hidden="false" customHeight="false" outlineLevel="0" collapsed="false">
      <c r="A2545" s="7" t="s">
        <v>4045</v>
      </c>
      <c r="B2545" s="10" t="n">
        <v>45978</v>
      </c>
      <c r="C2545" s="7" t="s">
        <v>1101</v>
      </c>
      <c r="D2545" s="7" t="s">
        <v>2499</v>
      </c>
      <c r="E2545" s="7" t="s">
        <v>126</v>
      </c>
      <c r="F2545" s="7" t="s">
        <v>101</v>
      </c>
      <c r="G2545" s="7" t="s">
        <v>105</v>
      </c>
      <c r="H2545" s="7" t="n">
        <v>1</v>
      </c>
      <c r="I2545" s="11" t="n">
        <v>210</v>
      </c>
      <c r="J2545" s="11" t="n">
        <v>0</v>
      </c>
      <c r="K2545" s="11" t="n">
        <f aca="false">H2545*I2545-J2545</f>
        <v>210</v>
      </c>
      <c r="L2545" s="7" t="s">
        <v>88</v>
      </c>
      <c r="M2545" s="7" t="s">
        <v>194</v>
      </c>
      <c r="N2545" s="7" t="n">
        <v>55</v>
      </c>
      <c r="O2545" s="7" t="n">
        <v>4</v>
      </c>
    </row>
    <row r="2546" customFormat="false" ht="15" hidden="false" customHeight="false" outlineLevel="0" collapsed="false">
      <c r="A2546" s="7" t="s">
        <v>4206</v>
      </c>
      <c r="B2546" s="10" t="n">
        <v>45978</v>
      </c>
      <c r="C2546" s="7" t="s">
        <v>254</v>
      </c>
      <c r="D2546" s="7" t="s">
        <v>277</v>
      </c>
      <c r="E2546" s="7" t="s">
        <v>138</v>
      </c>
      <c r="F2546" s="7" t="s">
        <v>110</v>
      </c>
      <c r="G2546" s="7" t="s">
        <v>139</v>
      </c>
      <c r="H2546" s="7" t="n">
        <v>3</v>
      </c>
      <c r="I2546" s="11" t="n">
        <v>150</v>
      </c>
      <c r="J2546" s="11" t="n">
        <v>50</v>
      </c>
      <c r="K2546" s="11" t="n">
        <f aca="false">H2546*I2546-J2546</f>
        <v>400</v>
      </c>
      <c r="L2546" s="7" t="s">
        <v>93</v>
      </c>
      <c r="M2546" s="7" t="s">
        <v>194</v>
      </c>
      <c r="N2546" s="7" t="n">
        <v>34</v>
      </c>
      <c r="O2546" s="7" t="n">
        <v>4</v>
      </c>
    </row>
    <row r="2547" customFormat="false" ht="15" hidden="false" customHeight="false" outlineLevel="0" collapsed="false">
      <c r="A2547" s="7" t="s">
        <v>5775</v>
      </c>
      <c r="B2547" s="10" t="n">
        <v>45978</v>
      </c>
      <c r="C2547" s="7" t="s">
        <v>856</v>
      </c>
      <c r="D2547" s="7" t="s">
        <v>3624</v>
      </c>
      <c r="E2547" s="7" t="s">
        <v>163</v>
      </c>
      <c r="F2547" s="7" t="s">
        <v>141</v>
      </c>
      <c r="G2547" s="7" t="s">
        <v>99</v>
      </c>
      <c r="H2547" s="7" t="n">
        <v>4</v>
      </c>
      <c r="I2547" s="11" t="n">
        <v>245</v>
      </c>
      <c r="J2547" s="11" t="n">
        <v>0</v>
      </c>
      <c r="K2547" s="11" t="n">
        <f aca="false">H2547*I2547-J2547</f>
        <v>980</v>
      </c>
      <c r="L2547" s="7" t="s">
        <v>88</v>
      </c>
      <c r="M2547" s="7" t="s">
        <v>194</v>
      </c>
      <c r="N2547" s="7" t="n">
        <v>43</v>
      </c>
      <c r="O2547" s="7" t="n">
        <v>4</v>
      </c>
    </row>
    <row r="2548" customFormat="false" ht="15" hidden="false" customHeight="false" outlineLevel="0" collapsed="false">
      <c r="A2548" s="7" t="s">
        <v>6129</v>
      </c>
      <c r="B2548" s="10" t="n">
        <v>45979</v>
      </c>
      <c r="C2548" s="7" t="s">
        <v>693</v>
      </c>
      <c r="D2548" s="7" t="s">
        <v>4818</v>
      </c>
      <c r="E2548" s="7" t="s">
        <v>149</v>
      </c>
      <c r="F2548" s="7" t="s">
        <v>119</v>
      </c>
      <c r="G2548" s="7" t="s">
        <v>150</v>
      </c>
      <c r="H2548" s="7" t="n">
        <v>1</v>
      </c>
      <c r="I2548" s="11" t="n">
        <v>170</v>
      </c>
      <c r="J2548" s="11" t="n">
        <v>68</v>
      </c>
      <c r="K2548" s="11" t="n">
        <f aca="false">H2548*I2548-J2548</f>
        <v>102</v>
      </c>
      <c r="L2548" s="7" t="s">
        <v>88</v>
      </c>
      <c r="M2548" s="7" t="s">
        <v>194</v>
      </c>
      <c r="N2548" s="7" t="n">
        <v>35</v>
      </c>
      <c r="O2548" s="7"/>
    </row>
    <row r="2549" customFormat="false" ht="15" hidden="false" customHeight="false" outlineLevel="0" collapsed="false">
      <c r="A2549" s="7" t="s">
        <v>545</v>
      </c>
      <c r="B2549" s="10" t="n">
        <v>45979</v>
      </c>
      <c r="C2549" s="7" t="s">
        <v>547</v>
      </c>
      <c r="D2549" s="7" t="s">
        <v>548</v>
      </c>
      <c r="E2549" s="7" t="s">
        <v>113</v>
      </c>
      <c r="F2549" s="7" t="s">
        <v>101</v>
      </c>
      <c r="G2549" s="7" t="s">
        <v>90</v>
      </c>
      <c r="H2549" s="7" t="n">
        <v>3</v>
      </c>
      <c r="I2549" s="11" t="n">
        <v>210</v>
      </c>
      <c r="J2549" s="11" t="n">
        <v>125</v>
      </c>
      <c r="K2549" s="11" t="n">
        <f aca="false">H2549*I2549-J2549</f>
        <v>505</v>
      </c>
      <c r="L2549" s="7" t="s">
        <v>103</v>
      </c>
      <c r="M2549" s="7" t="s">
        <v>194</v>
      </c>
      <c r="N2549" s="7" t="n">
        <v>42</v>
      </c>
      <c r="O2549" s="7" t="n">
        <v>4</v>
      </c>
    </row>
    <row r="2550" customFormat="false" ht="15" hidden="false" customHeight="false" outlineLevel="0" collapsed="false">
      <c r="A2550" s="7" t="s">
        <v>2458</v>
      </c>
      <c r="B2550" s="10" t="n">
        <v>45979</v>
      </c>
      <c r="C2550" s="7" t="s">
        <v>759</v>
      </c>
      <c r="D2550" s="7" t="s">
        <v>2459</v>
      </c>
      <c r="E2550" s="7" t="s">
        <v>159</v>
      </c>
      <c r="F2550" s="7" t="s">
        <v>136</v>
      </c>
      <c r="G2550" s="7" t="s">
        <v>90</v>
      </c>
      <c r="H2550" s="7" t="n">
        <v>1</v>
      </c>
      <c r="I2550" s="11" t="n">
        <v>170</v>
      </c>
      <c r="J2550" s="11" t="n">
        <v>0</v>
      </c>
      <c r="K2550" s="11" t="n">
        <f aca="false">H2550*I2550-J2550</f>
        <v>170</v>
      </c>
      <c r="L2550" s="7" t="s">
        <v>103</v>
      </c>
      <c r="M2550" s="7" t="s">
        <v>194</v>
      </c>
      <c r="N2550" s="7" t="n">
        <v>24</v>
      </c>
      <c r="O2550" s="7" t="n">
        <v>5</v>
      </c>
    </row>
    <row r="2551" customFormat="false" ht="15" hidden="false" customHeight="false" outlineLevel="0" collapsed="false">
      <c r="A2551" s="7" t="s">
        <v>1507</v>
      </c>
      <c r="B2551" s="10" t="n">
        <v>45979</v>
      </c>
      <c r="C2551" s="7" t="s">
        <v>386</v>
      </c>
      <c r="D2551" s="7" t="s">
        <v>1508</v>
      </c>
      <c r="E2551" s="7" t="s">
        <v>94</v>
      </c>
      <c r="F2551" s="7" t="s">
        <v>86</v>
      </c>
      <c r="G2551" s="7" t="s">
        <v>95</v>
      </c>
      <c r="H2551" s="7" t="n">
        <v>4</v>
      </c>
      <c r="I2551" s="11" t="n">
        <v>135</v>
      </c>
      <c r="J2551" s="11" t="n">
        <v>0</v>
      </c>
      <c r="K2551" s="11" t="n">
        <f aca="false">H2551*I2551-J2551</f>
        <v>540</v>
      </c>
      <c r="L2551" s="7" t="s">
        <v>88</v>
      </c>
      <c r="M2551" s="7" t="s">
        <v>194</v>
      </c>
      <c r="N2551" s="7" t="n">
        <v>33</v>
      </c>
      <c r="O2551" s="7" t="n">
        <v>4</v>
      </c>
    </row>
    <row r="2552" customFormat="false" ht="15" hidden="false" customHeight="false" outlineLevel="0" collapsed="false">
      <c r="A2552" s="7" t="s">
        <v>6154</v>
      </c>
      <c r="B2552" s="10" t="n">
        <v>45979</v>
      </c>
      <c r="C2552" s="7" t="s">
        <v>2898</v>
      </c>
      <c r="D2552" s="7" t="s">
        <v>6155</v>
      </c>
      <c r="E2552" s="7" t="s">
        <v>147</v>
      </c>
      <c r="F2552" s="7" t="s">
        <v>119</v>
      </c>
      <c r="G2552" s="7" t="s">
        <v>95</v>
      </c>
      <c r="H2552" s="7" t="n">
        <v>1</v>
      </c>
      <c r="I2552" s="11" t="n">
        <v>190</v>
      </c>
      <c r="J2552" s="11" t="n">
        <v>76</v>
      </c>
      <c r="K2552" s="11" t="n">
        <f aca="false">H2552*I2552-J2552</f>
        <v>114</v>
      </c>
      <c r="L2552" s="7" t="s">
        <v>88</v>
      </c>
      <c r="M2552" s="7" t="s">
        <v>194</v>
      </c>
      <c r="N2552" s="7" t="n">
        <v>36</v>
      </c>
      <c r="O2552" s="7"/>
    </row>
    <row r="2553" customFormat="false" ht="15" hidden="false" customHeight="false" outlineLevel="0" collapsed="false">
      <c r="A2553" s="7" t="s">
        <v>5299</v>
      </c>
      <c r="B2553" s="10" t="n">
        <v>45979</v>
      </c>
      <c r="C2553" s="7" t="s">
        <v>3789</v>
      </c>
      <c r="D2553" s="7" t="s">
        <v>5300</v>
      </c>
      <c r="E2553" s="7" t="s">
        <v>160</v>
      </c>
      <c r="F2553" s="7" t="s">
        <v>136</v>
      </c>
      <c r="G2553" s="7" t="s">
        <v>150</v>
      </c>
      <c r="H2553" s="7" t="n">
        <v>3</v>
      </c>
      <c r="I2553" s="11" t="n">
        <v>195</v>
      </c>
      <c r="J2553" s="11" t="n">
        <v>0</v>
      </c>
      <c r="K2553" s="11" t="n">
        <f aca="false">H2553*I2553-J2553</f>
        <v>585</v>
      </c>
      <c r="L2553" s="7" t="s">
        <v>93</v>
      </c>
      <c r="M2553" s="7" t="s">
        <v>194</v>
      </c>
      <c r="N2553" s="7" t="n">
        <v>40</v>
      </c>
      <c r="O2553" s="7" t="n">
        <v>4</v>
      </c>
    </row>
    <row r="2554" customFormat="false" ht="15" hidden="false" customHeight="false" outlineLevel="0" collapsed="false">
      <c r="A2554" s="7" t="s">
        <v>3115</v>
      </c>
      <c r="B2554" s="10" t="n">
        <v>45979</v>
      </c>
      <c r="C2554" s="7" t="s">
        <v>1784</v>
      </c>
      <c r="D2554" s="7" t="s">
        <v>2944</v>
      </c>
      <c r="E2554" s="7" t="s">
        <v>113</v>
      </c>
      <c r="F2554" s="7" t="s">
        <v>101</v>
      </c>
      <c r="G2554" s="7" t="s">
        <v>90</v>
      </c>
      <c r="H2554" s="7" t="n">
        <v>3</v>
      </c>
      <c r="I2554" s="11" t="n">
        <v>265</v>
      </c>
      <c r="J2554" s="11" t="n">
        <v>75</v>
      </c>
      <c r="K2554" s="11" t="n">
        <f aca="false">H2554*I2554-J2554</f>
        <v>720</v>
      </c>
      <c r="L2554" s="7" t="s">
        <v>112</v>
      </c>
      <c r="M2554" s="7" t="s">
        <v>194</v>
      </c>
      <c r="N2554" s="7" t="n">
        <v>44</v>
      </c>
      <c r="O2554" s="7" t="n">
        <v>5</v>
      </c>
    </row>
    <row r="2555" customFormat="false" ht="15" hidden="false" customHeight="false" outlineLevel="0" collapsed="false">
      <c r="A2555" s="7" t="s">
        <v>3353</v>
      </c>
      <c r="B2555" s="10" t="n">
        <v>45979</v>
      </c>
      <c r="C2555" s="7" t="s">
        <v>3152</v>
      </c>
      <c r="D2555" s="7" t="s">
        <v>3354</v>
      </c>
      <c r="E2555" s="7" t="s">
        <v>163</v>
      </c>
      <c r="F2555" s="7" t="s">
        <v>141</v>
      </c>
      <c r="G2555" s="7" t="s">
        <v>99</v>
      </c>
      <c r="H2555" s="7" t="n">
        <v>1</v>
      </c>
      <c r="I2555" s="11" t="n">
        <v>280</v>
      </c>
      <c r="J2555" s="11" t="n">
        <v>0</v>
      </c>
      <c r="K2555" s="11" t="n">
        <f aca="false">H2555*I2555-J2555</f>
        <v>280</v>
      </c>
      <c r="L2555" s="7" t="s">
        <v>88</v>
      </c>
      <c r="M2555" s="7" t="s">
        <v>194</v>
      </c>
      <c r="N2555" s="7" t="n">
        <v>42</v>
      </c>
      <c r="O2555" s="7" t="n">
        <v>4</v>
      </c>
    </row>
    <row r="2556" customFormat="false" ht="15" hidden="false" customHeight="false" outlineLevel="0" collapsed="false">
      <c r="A2556" s="7" t="s">
        <v>1709</v>
      </c>
      <c r="B2556" s="10" t="n">
        <v>45979</v>
      </c>
      <c r="C2556" s="7" t="s">
        <v>1019</v>
      </c>
      <c r="D2556" s="7" t="s">
        <v>1225</v>
      </c>
      <c r="E2556" s="7" t="s">
        <v>157</v>
      </c>
      <c r="F2556" s="7" t="s">
        <v>136</v>
      </c>
      <c r="G2556" s="7" t="s">
        <v>117</v>
      </c>
      <c r="H2556" s="7" t="n">
        <v>4</v>
      </c>
      <c r="I2556" s="11" t="n">
        <v>105</v>
      </c>
      <c r="J2556" s="11" t="n">
        <v>20</v>
      </c>
      <c r="K2556" s="11" t="n">
        <f aca="false">H2556*I2556-J2556</f>
        <v>400</v>
      </c>
      <c r="L2556" s="7" t="s">
        <v>103</v>
      </c>
      <c r="M2556" s="7" t="s">
        <v>194</v>
      </c>
      <c r="N2556" s="7" t="n">
        <v>36</v>
      </c>
      <c r="O2556" s="7" t="n">
        <v>4</v>
      </c>
    </row>
    <row r="2557" customFormat="false" ht="15" hidden="false" customHeight="false" outlineLevel="0" collapsed="false">
      <c r="A2557" s="7" t="s">
        <v>5367</v>
      </c>
      <c r="B2557" s="10" t="n">
        <v>45979</v>
      </c>
      <c r="C2557" s="7" t="s">
        <v>1737</v>
      </c>
      <c r="D2557" s="7" t="s">
        <v>1371</v>
      </c>
      <c r="E2557" s="7" t="s">
        <v>168</v>
      </c>
      <c r="F2557" s="7" t="s">
        <v>146</v>
      </c>
      <c r="G2557" s="7" t="s">
        <v>123</v>
      </c>
      <c r="H2557" s="7" t="n">
        <v>1</v>
      </c>
      <c r="I2557" s="11" t="n">
        <v>320</v>
      </c>
      <c r="J2557" s="11" t="n">
        <v>100</v>
      </c>
      <c r="K2557" s="11" t="n">
        <f aca="false">H2557*I2557-J2557</f>
        <v>220</v>
      </c>
      <c r="L2557" s="7" t="s">
        <v>88</v>
      </c>
      <c r="M2557" s="7" t="s">
        <v>194</v>
      </c>
      <c r="N2557" s="7" t="n">
        <v>38</v>
      </c>
      <c r="O2557" s="7" t="n">
        <v>5</v>
      </c>
    </row>
    <row r="2558" customFormat="false" ht="15" hidden="false" customHeight="false" outlineLevel="0" collapsed="false">
      <c r="A2558" s="7" t="s">
        <v>4009</v>
      </c>
      <c r="B2558" s="10" t="n">
        <v>45980</v>
      </c>
      <c r="C2558" s="7" t="s">
        <v>4011</v>
      </c>
      <c r="D2558" s="7" t="s">
        <v>4012</v>
      </c>
      <c r="E2558" s="7" t="s">
        <v>163</v>
      </c>
      <c r="F2558" s="7" t="s">
        <v>141</v>
      </c>
      <c r="G2558" s="7" t="s">
        <v>99</v>
      </c>
      <c r="H2558" s="7" t="n">
        <v>3</v>
      </c>
      <c r="I2558" s="11" t="n">
        <v>255</v>
      </c>
      <c r="J2558" s="11" t="n">
        <v>0</v>
      </c>
      <c r="K2558" s="11" t="n">
        <f aca="false">H2558*I2558-J2558</f>
        <v>765</v>
      </c>
      <c r="L2558" s="7" t="s">
        <v>103</v>
      </c>
      <c r="M2558" s="7" t="s">
        <v>194</v>
      </c>
      <c r="N2558" s="7" t="n">
        <v>38</v>
      </c>
      <c r="O2558" s="7" t="n">
        <v>5</v>
      </c>
    </row>
    <row r="2559" customFormat="false" ht="15" hidden="false" customHeight="false" outlineLevel="0" collapsed="false">
      <c r="A2559" s="7" t="s">
        <v>2640</v>
      </c>
      <c r="B2559" s="10" t="n">
        <v>45980</v>
      </c>
      <c r="C2559" s="7" t="s">
        <v>2641</v>
      </c>
      <c r="D2559" s="7" t="s">
        <v>2642</v>
      </c>
      <c r="E2559" s="7" t="s">
        <v>164</v>
      </c>
      <c r="F2559" s="7" t="s">
        <v>141</v>
      </c>
      <c r="G2559" s="7" t="s">
        <v>150</v>
      </c>
      <c r="H2559" s="7" t="n">
        <v>3</v>
      </c>
      <c r="I2559" s="11" t="n">
        <v>130</v>
      </c>
      <c r="J2559" s="11" t="n">
        <v>0</v>
      </c>
      <c r="K2559" s="11" t="n">
        <f aca="false">H2559*I2559-J2559</f>
        <v>390</v>
      </c>
      <c r="L2559" s="7" t="s">
        <v>112</v>
      </c>
      <c r="M2559" s="7" t="s">
        <v>194</v>
      </c>
      <c r="N2559" s="7" t="n">
        <v>37</v>
      </c>
      <c r="O2559" s="7" t="n">
        <v>4</v>
      </c>
    </row>
    <row r="2560" customFormat="false" ht="15" hidden="false" customHeight="false" outlineLevel="0" collapsed="false">
      <c r="A2560" s="7" t="s">
        <v>1279</v>
      </c>
      <c r="B2560" s="10" t="n">
        <v>45980</v>
      </c>
      <c r="C2560" s="7" t="s">
        <v>1280</v>
      </c>
      <c r="D2560" s="7" t="s">
        <v>1236</v>
      </c>
      <c r="E2560" s="7" t="s">
        <v>98</v>
      </c>
      <c r="F2560" s="7" t="s">
        <v>86</v>
      </c>
      <c r="G2560" s="7" t="s">
        <v>99</v>
      </c>
      <c r="H2560" s="7" t="n">
        <v>3</v>
      </c>
      <c r="I2560" s="11" t="n">
        <v>275</v>
      </c>
      <c r="J2560" s="11" t="n">
        <v>0</v>
      </c>
      <c r="K2560" s="11" t="n">
        <f aca="false">H2560*I2560-J2560</f>
        <v>825</v>
      </c>
      <c r="L2560" s="7" t="s">
        <v>103</v>
      </c>
      <c r="M2560" s="7" t="s">
        <v>194</v>
      </c>
      <c r="N2560" s="7" t="n">
        <v>49</v>
      </c>
      <c r="O2560" s="7" t="n">
        <v>4</v>
      </c>
    </row>
    <row r="2561" customFormat="false" ht="15" hidden="false" customHeight="false" outlineLevel="0" collapsed="false">
      <c r="A2561" s="7" t="s">
        <v>2487</v>
      </c>
      <c r="B2561" s="10" t="n">
        <v>45980</v>
      </c>
      <c r="C2561" s="7" t="s">
        <v>191</v>
      </c>
      <c r="D2561" s="7" t="s">
        <v>1504</v>
      </c>
      <c r="E2561" s="7" t="s">
        <v>147</v>
      </c>
      <c r="F2561" s="7" t="s">
        <v>119</v>
      </c>
      <c r="G2561" s="7" t="s">
        <v>95</v>
      </c>
      <c r="H2561" s="7" t="n">
        <v>4</v>
      </c>
      <c r="I2561" s="11" t="n">
        <v>130</v>
      </c>
      <c r="J2561" s="11" t="n">
        <v>40</v>
      </c>
      <c r="K2561" s="11" t="n">
        <f aca="false">H2561*I2561-J2561</f>
        <v>480</v>
      </c>
      <c r="L2561" s="7" t="s">
        <v>112</v>
      </c>
      <c r="M2561" s="7" t="s">
        <v>194</v>
      </c>
      <c r="N2561" s="7" t="n">
        <v>32</v>
      </c>
      <c r="O2561" s="7" t="n">
        <v>4</v>
      </c>
    </row>
    <row r="2562" customFormat="false" ht="15" hidden="false" customHeight="false" outlineLevel="0" collapsed="false">
      <c r="A2562" s="7" t="s">
        <v>5207</v>
      </c>
      <c r="B2562" s="10" t="n">
        <v>45980</v>
      </c>
      <c r="C2562" s="7" t="s">
        <v>2317</v>
      </c>
      <c r="D2562" s="7" t="s">
        <v>5131</v>
      </c>
      <c r="E2562" s="7" t="s">
        <v>89</v>
      </c>
      <c r="F2562" s="7" t="s">
        <v>86</v>
      </c>
      <c r="G2562" s="7" t="s">
        <v>90</v>
      </c>
      <c r="H2562" s="7" t="n">
        <v>2</v>
      </c>
      <c r="I2562" s="11" t="n">
        <v>205</v>
      </c>
      <c r="J2562" s="11" t="n">
        <v>0</v>
      </c>
      <c r="K2562" s="11" t="n">
        <f aca="false">H2562*I2562-J2562</f>
        <v>410</v>
      </c>
      <c r="L2562" s="7" t="s">
        <v>88</v>
      </c>
      <c r="M2562" s="7" t="s">
        <v>194</v>
      </c>
      <c r="N2562" s="7" t="n">
        <v>43</v>
      </c>
      <c r="O2562" s="7" t="n">
        <v>4</v>
      </c>
    </row>
    <row r="2563" customFormat="false" ht="15" hidden="false" customHeight="false" outlineLevel="0" collapsed="false">
      <c r="A2563" s="7" t="s">
        <v>1107</v>
      </c>
      <c r="B2563" s="10" t="n">
        <v>45980</v>
      </c>
      <c r="C2563" s="7" t="s">
        <v>1109</v>
      </c>
      <c r="D2563" s="7" t="s">
        <v>1110</v>
      </c>
      <c r="E2563" s="7" t="s">
        <v>98</v>
      </c>
      <c r="F2563" s="7" t="s">
        <v>86</v>
      </c>
      <c r="G2563" s="7" t="s">
        <v>99</v>
      </c>
      <c r="H2563" s="7" t="n">
        <v>1</v>
      </c>
      <c r="I2563" s="11" t="n">
        <v>220</v>
      </c>
      <c r="J2563" s="11" t="n">
        <v>88</v>
      </c>
      <c r="K2563" s="11" t="n">
        <f aca="false">H2563*I2563-J2563</f>
        <v>132</v>
      </c>
      <c r="L2563" s="7" t="s">
        <v>93</v>
      </c>
      <c r="M2563" s="7" t="s">
        <v>194</v>
      </c>
      <c r="N2563" s="7" t="n">
        <v>37</v>
      </c>
      <c r="O2563" s="7" t="n">
        <v>5</v>
      </c>
    </row>
    <row r="2564" customFormat="false" ht="15" hidden="false" customHeight="false" outlineLevel="0" collapsed="false">
      <c r="A2564" s="7" t="s">
        <v>3646</v>
      </c>
      <c r="B2564" s="10" t="n">
        <v>45980</v>
      </c>
      <c r="C2564" s="7" t="s">
        <v>1365</v>
      </c>
      <c r="D2564" s="7" t="s">
        <v>408</v>
      </c>
      <c r="E2564" s="7" t="s">
        <v>160</v>
      </c>
      <c r="F2564" s="7" t="s">
        <v>136</v>
      </c>
      <c r="G2564" s="7" t="s">
        <v>150</v>
      </c>
      <c r="H2564" s="7" t="n">
        <v>1</v>
      </c>
      <c r="I2564" s="11" t="n">
        <v>160</v>
      </c>
      <c r="J2564" s="11" t="n">
        <v>0</v>
      </c>
      <c r="K2564" s="11" t="n">
        <f aca="false">H2564*I2564-J2564</f>
        <v>160</v>
      </c>
      <c r="L2564" s="7" t="s">
        <v>88</v>
      </c>
      <c r="M2564" s="7" t="s">
        <v>194</v>
      </c>
      <c r="N2564" s="7" t="n">
        <v>34</v>
      </c>
      <c r="O2564" s="7" t="n">
        <v>3</v>
      </c>
    </row>
    <row r="2565" customFormat="false" ht="15" hidden="false" customHeight="false" outlineLevel="0" collapsed="false">
      <c r="A2565" s="7" t="s">
        <v>2443</v>
      </c>
      <c r="B2565" s="10" t="n">
        <v>45980</v>
      </c>
      <c r="C2565" s="7" t="s">
        <v>478</v>
      </c>
      <c r="D2565" s="7" t="s">
        <v>2030</v>
      </c>
      <c r="E2565" s="7" t="s">
        <v>155</v>
      </c>
      <c r="F2565" s="7" t="s">
        <v>128</v>
      </c>
      <c r="G2565" s="7" t="s">
        <v>156</v>
      </c>
      <c r="H2565" s="7" t="n">
        <v>3</v>
      </c>
      <c r="I2565" s="11" t="n">
        <v>265</v>
      </c>
      <c r="J2565" s="11" t="n">
        <v>150</v>
      </c>
      <c r="K2565" s="11" t="n">
        <f aca="false">H2565*I2565-J2565</f>
        <v>645</v>
      </c>
      <c r="L2565" s="7" t="s">
        <v>93</v>
      </c>
      <c r="M2565" s="7" t="s">
        <v>194</v>
      </c>
      <c r="N2565" s="7" t="n">
        <v>31</v>
      </c>
      <c r="O2565" s="7" t="n">
        <v>5</v>
      </c>
    </row>
    <row r="2566" customFormat="false" ht="15" hidden="false" customHeight="false" outlineLevel="0" collapsed="false">
      <c r="A2566" s="7" t="s">
        <v>1628</v>
      </c>
      <c r="B2566" s="10" t="n">
        <v>45980</v>
      </c>
      <c r="C2566" s="7" t="s">
        <v>1211</v>
      </c>
      <c r="D2566" s="7" t="s">
        <v>818</v>
      </c>
      <c r="E2566" s="7" t="s">
        <v>113</v>
      </c>
      <c r="F2566" s="7" t="s">
        <v>101</v>
      </c>
      <c r="G2566" s="7" t="s">
        <v>90</v>
      </c>
      <c r="H2566" s="7" t="n">
        <v>5</v>
      </c>
      <c r="I2566" s="11" t="n">
        <v>265</v>
      </c>
      <c r="J2566" s="11" t="n">
        <v>125</v>
      </c>
      <c r="K2566" s="11" t="n">
        <f aca="false">H2566*I2566-J2566</f>
        <v>1200</v>
      </c>
      <c r="L2566" s="7" t="s">
        <v>93</v>
      </c>
      <c r="M2566" s="7" t="s">
        <v>194</v>
      </c>
      <c r="N2566" s="7" t="n">
        <v>49</v>
      </c>
      <c r="O2566" s="7" t="n">
        <v>2</v>
      </c>
    </row>
    <row r="2567" customFormat="false" ht="15" hidden="false" customHeight="false" outlineLevel="0" collapsed="false">
      <c r="A2567" s="7" t="s">
        <v>3110</v>
      </c>
      <c r="B2567" s="10" t="n">
        <v>45980</v>
      </c>
      <c r="C2567" s="7" t="s">
        <v>2705</v>
      </c>
      <c r="D2567" s="7" t="s">
        <v>3111</v>
      </c>
      <c r="E2567" s="7" t="s">
        <v>157</v>
      </c>
      <c r="F2567" s="7" t="s">
        <v>136</v>
      </c>
      <c r="G2567" s="7" t="s">
        <v>117</v>
      </c>
      <c r="H2567" s="7" t="n">
        <v>2</v>
      </c>
      <c r="I2567" s="11" t="n">
        <v>125</v>
      </c>
      <c r="J2567" s="11" t="n">
        <v>20</v>
      </c>
      <c r="K2567" s="11" t="n">
        <f aca="false">H2567*I2567-J2567</f>
        <v>230</v>
      </c>
      <c r="L2567" s="7" t="s">
        <v>112</v>
      </c>
      <c r="M2567" s="7" t="s">
        <v>194</v>
      </c>
      <c r="N2567" s="7" t="n">
        <v>40</v>
      </c>
      <c r="O2567" s="7" t="n">
        <v>5</v>
      </c>
    </row>
    <row r="2568" customFormat="false" ht="15" hidden="false" customHeight="false" outlineLevel="0" collapsed="false">
      <c r="A2568" s="7" t="s">
        <v>3140</v>
      </c>
      <c r="B2568" s="10" t="n">
        <v>45980</v>
      </c>
      <c r="C2568" s="7" t="s">
        <v>3141</v>
      </c>
      <c r="D2568" s="7" t="s">
        <v>548</v>
      </c>
      <c r="E2568" s="7" t="s">
        <v>89</v>
      </c>
      <c r="F2568" s="7" t="s">
        <v>86</v>
      </c>
      <c r="G2568" s="7" t="s">
        <v>90</v>
      </c>
      <c r="H2568" s="7" t="n">
        <v>3</v>
      </c>
      <c r="I2568" s="11" t="n">
        <v>265</v>
      </c>
      <c r="J2568" s="11" t="n">
        <v>0</v>
      </c>
      <c r="K2568" s="11" t="n">
        <f aca="false">H2568*I2568-J2568</f>
        <v>795</v>
      </c>
      <c r="L2568" s="7" t="s">
        <v>93</v>
      </c>
      <c r="M2568" s="7" t="s">
        <v>194</v>
      </c>
      <c r="N2568" s="7" t="n">
        <v>31</v>
      </c>
      <c r="O2568" s="7"/>
    </row>
    <row r="2569" customFormat="false" ht="15" hidden="false" customHeight="false" outlineLevel="0" collapsed="false">
      <c r="A2569" s="7" t="s">
        <v>1200</v>
      </c>
      <c r="B2569" s="10" t="n">
        <v>45981</v>
      </c>
      <c r="C2569" s="7" t="s">
        <v>361</v>
      </c>
      <c r="D2569" s="7" t="s">
        <v>1202</v>
      </c>
      <c r="E2569" s="7" t="s">
        <v>158</v>
      </c>
      <c r="F2569" s="7" t="s">
        <v>136</v>
      </c>
      <c r="G2569" s="7" t="s">
        <v>139</v>
      </c>
      <c r="H2569" s="7" t="n">
        <v>5</v>
      </c>
      <c r="I2569" s="11" t="n">
        <v>195</v>
      </c>
      <c r="J2569" s="11" t="n">
        <v>30</v>
      </c>
      <c r="K2569" s="11" t="n">
        <f aca="false">H2569*I2569-J2569</f>
        <v>945</v>
      </c>
      <c r="L2569" s="7" t="s">
        <v>88</v>
      </c>
      <c r="M2569" s="7" t="s">
        <v>194</v>
      </c>
      <c r="N2569" s="7" t="n">
        <v>22</v>
      </c>
      <c r="O2569" s="7" t="n">
        <v>3</v>
      </c>
    </row>
    <row r="2570" customFormat="false" ht="15" hidden="false" customHeight="false" outlineLevel="0" collapsed="false">
      <c r="A2570" s="7" t="s">
        <v>5576</v>
      </c>
      <c r="B2570" s="10" t="n">
        <v>45981</v>
      </c>
      <c r="C2570" s="7" t="s">
        <v>4429</v>
      </c>
      <c r="D2570" s="7" t="s">
        <v>3554</v>
      </c>
      <c r="E2570" s="7" t="s">
        <v>98</v>
      </c>
      <c r="F2570" s="7" t="s">
        <v>86</v>
      </c>
      <c r="G2570" s="7" t="s">
        <v>99</v>
      </c>
      <c r="H2570" s="7" t="n">
        <v>1</v>
      </c>
      <c r="I2570" s="11" t="n">
        <v>275</v>
      </c>
      <c r="J2570" s="11" t="n">
        <v>0</v>
      </c>
      <c r="K2570" s="11" t="n">
        <f aca="false">H2570*I2570-J2570</f>
        <v>275</v>
      </c>
      <c r="L2570" s="7" t="s">
        <v>88</v>
      </c>
      <c r="M2570" s="7" t="s">
        <v>238</v>
      </c>
      <c r="N2570" s="7"/>
      <c r="O2570" s="7"/>
    </row>
    <row r="2571" customFormat="false" ht="15" hidden="false" customHeight="false" outlineLevel="0" collapsed="false">
      <c r="A2571" s="7" t="s">
        <v>2414</v>
      </c>
      <c r="B2571" s="10" t="n">
        <v>45981</v>
      </c>
      <c r="C2571" s="7" t="s">
        <v>697</v>
      </c>
      <c r="D2571" s="7" t="s">
        <v>2256</v>
      </c>
      <c r="E2571" s="7" t="s">
        <v>89</v>
      </c>
      <c r="F2571" s="7" t="s">
        <v>86</v>
      </c>
      <c r="G2571" s="7" t="s">
        <v>90</v>
      </c>
      <c r="H2571" s="7" t="n">
        <v>1</v>
      </c>
      <c r="I2571" s="11" t="n">
        <v>265</v>
      </c>
      <c r="J2571" s="11" t="n">
        <v>0</v>
      </c>
      <c r="K2571" s="11" t="n">
        <f aca="false">H2571*I2571-J2571</f>
        <v>265</v>
      </c>
      <c r="L2571" s="7" t="s">
        <v>112</v>
      </c>
      <c r="M2571" s="7" t="s">
        <v>238</v>
      </c>
      <c r="N2571" s="7"/>
      <c r="O2571" s="7"/>
    </row>
    <row r="2572" customFormat="false" ht="15" hidden="false" customHeight="false" outlineLevel="0" collapsed="false">
      <c r="A2572" s="7" t="s">
        <v>5546</v>
      </c>
      <c r="B2572" s="10" t="n">
        <v>45981</v>
      </c>
      <c r="C2572" s="7" t="s">
        <v>3415</v>
      </c>
      <c r="D2572" s="7" t="s">
        <v>5442</v>
      </c>
      <c r="E2572" s="7" t="s">
        <v>94</v>
      </c>
      <c r="F2572" s="7" t="s">
        <v>86</v>
      </c>
      <c r="G2572" s="7" t="s">
        <v>95</v>
      </c>
      <c r="H2572" s="7" t="n">
        <v>3</v>
      </c>
      <c r="I2572" s="11" t="n">
        <v>120</v>
      </c>
      <c r="J2572" s="11" t="n">
        <v>0</v>
      </c>
      <c r="K2572" s="11" t="n">
        <f aca="false">H2572*I2572-J2572</f>
        <v>360</v>
      </c>
      <c r="L2572" s="7" t="s">
        <v>93</v>
      </c>
      <c r="M2572" s="7" t="s">
        <v>194</v>
      </c>
      <c r="N2572" s="7" t="n">
        <v>37</v>
      </c>
      <c r="O2572" s="7" t="n">
        <v>5</v>
      </c>
    </row>
    <row r="2573" customFormat="false" ht="15" hidden="false" customHeight="false" outlineLevel="0" collapsed="false">
      <c r="A2573" s="7" t="s">
        <v>3775</v>
      </c>
      <c r="B2573" s="10" t="n">
        <v>45981</v>
      </c>
      <c r="C2573" s="7" t="s">
        <v>2138</v>
      </c>
      <c r="D2573" s="7" t="s">
        <v>2411</v>
      </c>
      <c r="E2573" s="7" t="s">
        <v>104</v>
      </c>
      <c r="F2573" s="7" t="s">
        <v>86</v>
      </c>
      <c r="G2573" s="7" t="s">
        <v>105</v>
      </c>
      <c r="H2573" s="7" t="n">
        <v>2</v>
      </c>
      <c r="I2573" s="11" t="n">
        <v>210</v>
      </c>
      <c r="J2573" s="11" t="n">
        <v>0</v>
      </c>
      <c r="K2573" s="11" t="n">
        <f aca="false">H2573*I2573-J2573</f>
        <v>420</v>
      </c>
      <c r="L2573" s="7" t="s">
        <v>93</v>
      </c>
      <c r="M2573" s="7" t="s">
        <v>194</v>
      </c>
      <c r="N2573" s="7" t="n">
        <v>38</v>
      </c>
      <c r="O2573" s="7" t="n">
        <v>3</v>
      </c>
    </row>
    <row r="2574" customFormat="false" ht="15" hidden="false" customHeight="false" outlineLevel="0" collapsed="false">
      <c r="A2574" s="7" t="s">
        <v>5916</v>
      </c>
      <c r="B2574" s="10" t="n">
        <v>45981</v>
      </c>
      <c r="C2574" s="7" t="s">
        <v>4783</v>
      </c>
      <c r="D2574" s="7" t="s">
        <v>956</v>
      </c>
      <c r="E2574" s="7" t="s">
        <v>130</v>
      </c>
      <c r="F2574" s="7" t="s">
        <v>110</v>
      </c>
      <c r="G2574" s="7" t="s">
        <v>90</v>
      </c>
      <c r="H2574" s="7" t="n">
        <v>4</v>
      </c>
      <c r="I2574" s="11" t="n">
        <v>195</v>
      </c>
      <c r="J2574" s="11" t="n">
        <v>0</v>
      </c>
      <c r="K2574" s="11" t="n">
        <f aca="false">H2574*I2574-J2574</f>
        <v>780</v>
      </c>
      <c r="L2574" s="7" t="s">
        <v>88</v>
      </c>
      <c r="M2574" s="7" t="s">
        <v>194</v>
      </c>
      <c r="N2574" s="7" t="n">
        <v>36</v>
      </c>
      <c r="O2574" s="7"/>
    </row>
    <row r="2575" customFormat="false" ht="15" hidden="false" customHeight="false" outlineLevel="0" collapsed="false">
      <c r="A2575" s="7" t="s">
        <v>3061</v>
      </c>
      <c r="B2575" s="10" t="n">
        <v>45981</v>
      </c>
      <c r="C2575" s="7" t="s">
        <v>3063</v>
      </c>
      <c r="D2575" s="7" t="s">
        <v>1302</v>
      </c>
      <c r="E2575" s="7" t="s">
        <v>98</v>
      </c>
      <c r="F2575" s="7" t="s">
        <v>86</v>
      </c>
      <c r="G2575" s="7" t="s">
        <v>99</v>
      </c>
      <c r="H2575" s="7" t="n">
        <v>5</v>
      </c>
      <c r="I2575" s="11" t="n">
        <v>230</v>
      </c>
      <c r="J2575" s="11" t="n">
        <v>0</v>
      </c>
      <c r="K2575" s="11" t="n">
        <f aca="false">H2575*I2575-J2575</f>
        <v>1150</v>
      </c>
      <c r="L2575" s="7" t="s">
        <v>93</v>
      </c>
      <c r="M2575" s="7" t="s">
        <v>194</v>
      </c>
      <c r="N2575" s="7" t="n">
        <v>33</v>
      </c>
      <c r="O2575" s="7" t="n">
        <v>4</v>
      </c>
    </row>
    <row r="2576" customFormat="false" ht="15" hidden="false" customHeight="false" outlineLevel="0" collapsed="false">
      <c r="A2576" s="7" t="s">
        <v>1502</v>
      </c>
      <c r="B2576" s="10" t="n">
        <v>45981</v>
      </c>
      <c r="C2576" s="7" t="s">
        <v>1503</v>
      </c>
      <c r="D2576" s="7" t="s">
        <v>1504</v>
      </c>
      <c r="E2576" s="7" t="s">
        <v>113</v>
      </c>
      <c r="F2576" s="7" t="s">
        <v>101</v>
      </c>
      <c r="G2576" s="7" t="s">
        <v>90</v>
      </c>
      <c r="H2576" s="7" t="n">
        <v>3</v>
      </c>
      <c r="I2576" s="11" t="n">
        <v>265</v>
      </c>
      <c r="J2576" s="11" t="n">
        <v>150</v>
      </c>
      <c r="K2576" s="11" t="n">
        <f aca="false">H2576*I2576-J2576</f>
        <v>645</v>
      </c>
      <c r="L2576" s="7" t="s">
        <v>133</v>
      </c>
      <c r="M2576" s="7" t="s">
        <v>194</v>
      </c>
      <c r="N2576" s="7" t="n">
        <v>43</v>
      </c>
      <c r="O2576" s="7" t="n">
        <v>3</v>
      </c>
    </row>
    <row r="2577" customFormat="false" ht="15" hidden="false" customHeight="false" outlineLevel="0" collapsed="false">
      <c r="A2577" s="7" t="s">
        <v>3305</v>
      </c>
      <c r="B2577" s="10" t="n">
        <v>45982</v>
      </c>
      <c r="C2577" s="7" t="s">
        <v>981</v>
      </c>
      <c r="D2577" s="7" t="s">
        <v>2034</v>
      </c>
      <c r="E2577" s="7" t="s">
        <v>122</v>
      </c>
      <c r="F2577" s="7" t="s">
        <v>101</v>
      </c>
      <c r="G2577" s="7" t="s">
        <v>123</v>
      </c>
      <c r="H2577" s="7" t="n">
        <v>2</v>
      </c>
      <c r="I2577" s="11" t="n">
        <v>390</v>
      </c>
      <c r="J2577" s="11" t="n">
        <v>50</v>
      </c>
      <c r="K2577" s="11" t="n">
        <f aca="false">H2577*I2577-J2577</f>
        <v>730</v>
      </c>
      <c r="L2577" s="7" t="s">
        <v>88</v>
      </c>
      <c r="M2577" s="7" t="s">
        <v>194</v>
      </c>
      <c r="N2577" s="7" t="n">
        <v>49</v>
      </c>
      <c r="O2577" s="7" t="n">
        <v>4</v>
      </c>
    </row>
    <row r="2578" customFormat="false" ht="15" hidden="false" customHeight="false" outlineLevel="0" collapsed="false">
      <c r="A2578" s="7" t="s">
        <v>4118</v>
      </c>
      <c r="B2578" s="10" t="n">
        <v>45982</v>
      </c>
      <c r="C2578" s="7" t="s">
        <v>1671</v>
      </c>
      <c r="D2578" s="7" t="s">
        <v>4012</v>
      </c>
      <c r="E2578" s="7" t="s">
        <v>98</v>
      </c>
      <c r="F2578" s="7" t="s">
        <v>86</v>
      </c>
      <c r="G2578" s="7" t="s">
        <v>99</v>
      </c>
      <c r="H2578" s="7" t="n">
        <v>3</v>
      </c>
      <c r="I2578" s="11" t="n">
        <v>305</v>
      </c>
      <c r="J2578" s="11" t="n">
        <v>20</v>
      </c>
      <c r="K2578" s="11" t="n">
        <f aca="false">H2578*I2578-J2578</f>
        <v>895</v>
      </c>
      <c r="L2578" s="7" t="s">
        <v>88</v>
      </c>
      <c r="M2578" s="7" t="s">
        <v>194</v>
      </c>
      <c r="N2578" s="7" t="n">
        <v>53</v>
      </c>
      <c r="O2578" s="7" t="n">
        <v>4</v>
      </c>
    </row>
    <row r="2579" customFormat="false" ht="15" hidden="false" customHeight="false" outlineLevel="0" collapsed="false">
      <c r="A2579" s="7" t="s">
        <v>2494</v>
      </c>
      <c r="B2579" s="10" t="n">
        <v>45982</v>
      </c>
      <c r="C2579" s="7" t="s">
        <v>1737</v>
      </c>
      <c r="D2579" s="7" t="s">
        <v>784</v>
      </c>
      <c r="E2579" s="7" t="s">
        <v>162</v>
      </c>
      <c r="F2579" s="7" t="s">
        <v>141</v>
      </c>
      <c r="G2579" s="7" t="s">
        <v>117</v>
      </c>
      <c r="H2579" s="7" t="n">
        <v>1</v>
      </c>
      <c r="I2579" s="11" t="n">
        <v>115</v>
      </c>
      <c r="J2579" s="11" t="n">
        <v>20</v>
      </c>
      <c r="K2579" s="11" t="n">
        <f aca="false">H2579*I2579-J2579</f>
        <v>95</v>
      </c>
      <c r="L2579" s="7" t="s">
        <v>93</v>
      </c>
      <c r="M2579" s="7" t="s">
        <v>194</v>
      </c>
      <c r="N2579" s="7" t="n">
        <v>41</v>
      </c>
      <c r="O2579" s="7"/>
    </row>
    <row r="2580" customFormat="false" ht="15" hidden="false" customHeight="false" outlineLevel="0" collapsed="false">
      <c r="A2580" s="7" t="s">
        <v>5738</v>
      </c>
      <c r="B2580" s="10" t="n">
        <v>45982</v>
      </c>
      <c r="C2580" s="7" t="s">
        <v>201</v>
      </c>
      <c r="D2580" s="7" t="s">
        <v>2585</v>
      </c>
      <c r="E2580" s="7" t="s">
        <v>154</v>
      </c>
      <c r="F2580" s="7" t="s">
        <v>128</v>
      </c>
      <c r="G2580" s="7" t="s">
        <v>99</v>
      </c>
      <c r="H2580" s="7" t="n">
        <v>1</v>
      </c>
      <c r="I2580" s="11" t="n">
        <v>255</v>
      </c>
      <c r="J2580" s="11" t="n">
        <v>100</v>
      </c>
      <c r="K2580" s="11" t="n">
        <f aca="false">H2580*I2580-J2580</f>
        <v>155</v>
      </c>
      <c r="L2580" s="7" t="s">
        <v>112</v>
      </c>
      <c r="M2580" s="7" t="s">
        <v>194</v>
      </c>
      <c r="N2580" s="7" t="n">
        <v>29</v>
      </c>
      <c r="O2580" s="7" t="n">
        <v>4</v>
      </c>
    </row>
    <row r="2581" customFormat="false" ht="15" hidden="false" customHeight="false" outlineLevel="0" collapsed="false">
      <c r="A2581" s="7" t="s">
        <v>864</v>
      </c>
      <c r="B2581" s="10" t="n">
        <v>45983</v>
      </c>
      <c r="C2581" s="7" t="s">
        <v>866</v>
      </c>
      <c r="D2581" s="7" t="s">
        <v>867</v>
      </c>
      <c r="E2581" s="7" t="s">
        <v>113</v>
      </c>
      <c r="F2581" s="7" t="s">
        <v>101</v>
      </c>
      <c r="G2581" s="7" t="s">
        <v>90</v>
      </c>
      <c r="H2581" s="7" t="n">
        <v>3</v>
      </c>
      <c r="I2581" s="11" t="n">
        <v>325</v>
      </c>
      <c r="J2581" s="11" t="n">
        <v>0</v>
      </c>
      <c r="K2581" s="11" t="n">
        <f aca="false">H2581*I2581-J2581</f>
        <v>975</v>
      </c>
      <c r="L2581" s="7" t="s">
        <v>88</v>
      </c>
      <c r="M2581" s="7" t="s">
        <v>194</v>
      </c>
      <c r="N2581" s="7" t="n">
        <v>54</v>
      </c>
      <c r="O2581" s="7" t="n">
        <v>4</v>
      </c>
    </row>
    <row r="2582" customFormat="false" ht="15" hidden="false" customHeight="false" outlineLevel="0" collapsed="false">
      <c r="A2582" s="7" t="s">
        <v>3297</v>
      </c>
      <c r="B2582" s="10" t="n">
        <v>45983</v>
      </c>
      <c r="C2582" s="7" t="s">
        <v>743</v>
      </c>
      <c r="D2582" s="7" t="s">
        <v>2914</v>
      </c>
      <c r="E2582" s="7" t="s">
        <v>122</v>
      </c>
      <c r="F2582" s="7" t="s">
        <v>101</v>
      </c>
      <c r="G2582" s="7" t="s">
        <v>123</v>
      </c>
      <c r="H2582" s="7" t="n">
        <v>1</v>
      </c>
      <c r="I2582" s="11" t="n">
        <v>330</v>
      </c>
      <c r="J2582" s="11" t="n">
        <v>0</v>
      </c>
      <c r="K2582" s="11" t="n">
        <f aca="false">H2582*I2582-J2582</f>
        <v>330</v>
      </c>
      <c r="L2582" s="7" t="s">
        <v>121</v>
      </c>
      <c r="M2582" s="7" t="s">
        <v>194</v>
      </c>
      <c r="N2582" s="7" t="n">
        <v>50</v>
      </c>
      <c r="O2582" s="7" t="n">
        <v>3</v>
      </c>
    </row>
    <row r="2583" customFormat="false" ht="15" hidden="false" customHeight="false" outlineLevel="0" collapsed="false">
      <c r="A2583" s="7" t="s">
        <v>3754</v>
      </c>
      <c r="B2583" s="10" t="n">
        <v>45983</v>
      </c>
      <c r="C2583" s="7" t="s">
        <v>2048</v>
      </c>
      <c r="D2583" s="7" t="s">
        <v>2503</v>
      </c>
      <c r="E2583" s="7" t="s">
        <v>130</v>
      </c>
      <c r="F2583" s="7" t="s">
        <v>110</v>
      </c>
      <c r="G2583" s="7" t="s">
        <v>90</v>
      </c>
      <c r="H2583" s="7" t="n">
        <v>1</v>
      </c>
      <c r="I2583" s="11" t="n">
        <v>275</v>
      </c>
      <c r="J2583" s="11" t="n">
        <v>20</v>
      </c>
      <c r="K2583" s="11" t="n">
        <f aca="false">H2583*I2583-J2583</f>
        <v>255</v>
      </c>
      <c r="L2583" s="7" t="s">
        <v>112</v>
      </c>
      <c r="M2583" s="7" t="s">
        <v>194</v>
      </c>
      <c r="N2583" s="7" t="n">
        <v>52</v>
      </c>
      <c r="O2583" s="7" t="n">
        <v>4</v>
      </c>
    </row>
    <row r="2584" customFormat="false" ht="15" hidden="false" customHeight="false" outlineLevel="0" collapsed="false">
      <c r="A2584" s="7" t="s">
        <v>5982</v>
      </c>
      <c r="B2584" s="10" t="n">
        <v>45983</v>
      </c>
      <c r="C2584" s="7" t="s">
        <v>5277</v>
      </c>
      <c r="D2584" s="7" t="s">
        <v>5983</v>
      </c>
      <c r="E2584" s="7" t="s">
        <v>104</v>
      </c>
      <c r="F2584" s="7" t="s">
        <v>86</v>
      </c>
      <c r="G2584" s="7" t="s">
        <v>105</v>
      </c>
      <c r="H2584" s="7" t="n">
        <v>1</v>
      </c>
      <c r="I2584" s="11" t="n">
        <v>210</v>
      </c>
      <c r="J2584" s="11" t="n">
        <v>0</v>
      </c>
      <c r="K2584" s="11" t="n">
        <f aca="false">H2584*I2584-J2584</f>
        <v>210</v>
      </c>
      <c r="L2584" s="7" t="s">
        <v>133</v>
      </c>
      <c r="M2584" s="7" t="s">
        <v>194</v>
      </c>
      <c r="N2584" s="7" t="n">
        <v>32</v>
      </c>
      <c r="O2584" s="7" t="n">
        <v>5</v>
      </c>
    </row>
    <row r="2585" customFormat="false" ht="15" hidden="false" customHeight="false" outlineLevel="0" collapsed="false">
      <c r="A2585" s="7" t="s">
        <v>5284</v>
      </c>
      <c r="B2585" s="10" t="n">
        <v>45983</v>
      </c>
      <c r="C2585" s="7" t="s">
        <v>236</v>
      </c>
      <c r="D2585" s="7" t="s">
        <v>2540</v>
      </c>
      <c r="E2585" s="7" t="s">
        <v>94</v>
      </c>
      <c r="F2585" s="7" t="s">
        <v>86</v>
      </c>
      <c r="G2585" s="7" t="s">
        <v>95</v>
      </c>
      <c r="H2585" s="7" t="n">
        <v>1</v>
      </c>
      <c r="I2585" s="11" t="n">
        <v>125</v>
      </c>
      <c r="J2585" s="11" t="n">
        <v>0</v>
      </c>
      <c r="K2585" s="11" t="n">
        <f aca="false">H2585*I2585-J2585</f>
        <v>125</v>
      </c>
      <c r="L2585" s="7" t="s">
        <v>88</v>
      </c>
      <c r="M2585" s="7" t="s">
        <v>194</v>
      </c>
      <c r="N2585" s="7" t="n">
        <v>39</v>
      </c>
      <c r="O2585" s="7"/>
    </row>
    <row r="2586" customFormat="false" ht="15" hidden="false" customHeight="false" outlineLevel="0" collapsed="false">
      <c r="A2586" s="7" t="s">
        <v>2533</v>
      </c>
      <c r="B2586" s="10" t="n">
        <v>45983</v>
      </c>
      <c r="C2586" s="7" t="s">
        <v>2402</v>
      </c>
      <c r="D2586" s="7" t="s">
        <v>198</v>
      </c>
      <c r="E2586" s="7" t="s">
        <v>126</v>
      </c>
      <c r="F2586" s="7" t="s">
        <v>101</v>
      </c>
      <c r="G2586" s="7" t="s">
        <v>105</v>
      </c>
      <c r="H2586" s="7" t="n">
        <v>5</v>
      </c>
      <c r="I2586" s="11" t="n">
        <v>225</v>
      </c>
      <c r="J2586" s="11" t="n">
        <v>150</v>
      </c>
      <c r="K2586" s="11" t="n">
        <f aca="false">H2586*I2586-J2586</f>
        <v>975</v>
      </c>
      <c r="L2586" s="7" t="s">
        <v>88</v>
      </c>
      <c r="M2586" s="7" t="s">
        <v>194</v>
      </c>
      <c r="N2586" s="7" t="n">
        <v>55</v>
      </c>
      <c r="O2586" s="7" t="n">
        <v>5</v>
      </c>
    </row>
    <row r="2587" customFormat="false" ht="15" hidden="false" customHeight="false" outlineLevel="0" collapsed="false">
      <c r="A2587" s="7" t="s">
        <v>1152</v>
      </c>
      <c r="B2587" s="10" t="n">
        <v>45983</v>
      </c>
      <c r="C2587" s="7" t="s">
        <v>1153</v>
      </c>
      <c r="D2587" s="7" t="s">
        <v>1154</v>
      </c>
      <c r="E2587" s="7" t="s">
        <v>142</v>
      </c>
      <c r="F2587" s="7" t="s">
        <v>110</v>
      </c>
      <c r="G2587" s="7" t="s">
        <v>105</v>
      </c>
      <c r="H2587" s="7" t="n">
        <v>1</v>
      </c>
      <c r="I2587" s="11" t="n">
        <v>180</v>
      </c>
      <c r="J2587" s="11" t="n">
        <v>0</v>
      </c>
      <c r="K2587" s="11" t="n">
        <f aca="false">H2587*I2587-J2587</f>
        <v>180</v>
      </c>
      <c r="L2587" s="7" t="s">
        <v>112</v>
      </c>
      <c r="M2587" s="7" t="s">
        <v>194</v>
      </c>
      <c r="N2587" s="7" t="n">
        <v>55</v>
      </c>
      <c r="O2587" s="7"/>
    </row>
    <row r="2588" customFormat="false" ht="15" hidden="false" customHeight="false" outlineLevel="0" collapsed="false">
      <c r="A2588" s="7" t="s">
        <v>5672</v>
      </c>
      <c r="B2588" s="10" t="n">
        <v>45983</v>
      </c>
      <c r="C2588" s="7" t="s">
        <v>1635</v>
      </c>
      <c r="D2588" s="7" t="s">
        <v>5673</v>
      </c>
      <c r="E2588" s="7" t="s">
        <v>151</v>
      </c>
      <c r="F2588" s="7" t="s">
        <v>128</v>
      </c>
      <c r="G2588" s="7" t="s">
        <v>95</v>
      </c>
      <c r="H2588" s="7" t="n">
        <v>2</v>
      </c>
      <c r="I2588" s="11" t="n">
        <v>175</v>
      </c>
      <c r="J2588" s="11" t="n">
        <v>125</v>
      </c>
      <c r="K2588" s="11" t="n">
        <f aca="false">H2588*I2588-J2588</f>
        <v>225</v>
      </c>
      <c r="L2588" s="7" t="s">
        <v>112</v>
      </c>
      <c r="M2588" s="7" t="s">
        <v>194</v>
      </c>
      <c r="N2588" s="7" t="n">
        <v>42</v>
      </c>
      <c r="O2588" s="7"/>
    </row>
    <row r="2589" customFormat="false" ht="15" hidden="false" customHeight="false" outlineLevel="0" collapsed="false">
      <c r="A2589" s="7" t="s">
        <v>5023</v>
      </c>
      <c r="B2589" s="10" t="n">
        <v>45983</v>
      </c>
      <c r="C2589" s="7" t="s">
        <v>319</v>
      </c>
      <c r="D2589" s="7" t="s">
        <v>332</v>
      </c>
      <c r="E2589" s="7" t="s">
        <v>144</v>
      </c>
      <c r="F2589" s="7" t="s">
        <v>119</v>
      </c>
      <c r="G2589" s="7" t="s">
        <v>99</v>
      </c>
      <c r="H2589" s="7" t="n">
        <v>1</v>
      </c>
      <c r="I2589" s="11" t="n">
        <v>300</v>
      </c>
      <c r="J2589" s="11" t="n">
        <v>100</v>
      </c>
      <c r="K2589" s="11" t="n">
        <f aca="false">H2589*I2589-J2589</f>
        <v>200</v>
      </c>
      <c r="L2589" s="7" t="s">
        <v>88</v>
      </c>
      <c r="M2589" s="7" t="s">
        <v>194</v>
      </c>
      <c r="N2589" s="7" t="n">
        <v>42</v>
      </c>
      <c r="O2589" s="7" t="n">
        <v>5</v>
      </c>
    </row>
    <row r="2590" customFormat="false" ht="15" hidden="false" customHeight="false" outlineLevel="0" collapsed="false">
      <c r="A2590" s="7" t="s">
        <v>5069</v>
      </c>
      <c r="B2590" s="10" t="n">
        <v>45983</v>
      </c>
      <c r="C2590" s="7" t="s">
        <v>5070</v>
      </c>
      <c r="D2590" s="7" t="s">
        <v>2902</v>
      </c>
      <c r="E2590" s="7" t="s">
        <v>168</v>
      </c>
      <c r="F2590" s="7" t="s">
        <v>146</v>
      </c>
      <c r="G2590" s="7" t="s">
        <v>123</v>
      </c>
      <c r="H2590" s="7" t="n">
        <v>2</v>
      </c>
      <c r="I2590" s="11" t="n">
        <v>265</v>
      </c>
      <c r="J2590" s="11" t="n">
        <v>125</v>
      </c>
      <c r="K2590" s="11" t="n">
        <f aca="false">H2590*I2590-J2590</f>
        <v>405</v>
      </c>
      <c r="L2590" s="7" t="s">
        <v>93</v>
      </c>
      <c r="M2590" s="7" t="s">
        <v>194</v>
      </c>
      <c r="N2590" s="7" t="n">
        <v>22</v>
      </c>
      <c r="O2590" s="7" t="n">
        <v>3</v>
      </c>
    </row>
    <row r="2591" customFormat="false" ht="15" hidden="false" customHeight="false" outlineLevel="0" collapsed="false">
      <c r="A2591" s="7" t="s">
        <v>4042</v>
      </c>
      <c r="B2591" s="10" t="n">
        <v>45984</v>
      </c>
      <c r="C2591" s="7" t="s">
        <v>2946</v>
      </c>
      <c r="D2591" s="7" t="s">
        <v>970</v>
      </c>
      <c r="E2591" s="7" t="s">
        <v>89</v>
      </c>
      <c r="F2591" s="7" t="s">
        <v>86</v>
      </c>
      <c r="G2591" s="7" t="s">
        <v>90</v>
      </c>
      <c r="H2591" s="7" t="n">
        <v>2</v>
      </c>
      <c r="I2591" s="11" t="n">
        <v>270</v>
      </c>
      <c r="J2591" s="11" t="n">
        <v>0</v>
      </c>
      <c r="K2591" s="11" t="n">
        <f aca="false">H2591*I2591-J2591</f>
        <v>540</v>
      </c>
      <c r="L2591" s="7" t="s">
        <v>88</v>
      </c>
      <c r="M2591" s="7" t="s">
        <v>194</v>
      </c>
      <c r="N2591" s="7" t="n">
        <v>46</v>
      </c>
      <c r="O2591" s="7"/>
    </row>
    <row r="2592" customFormat="false" ht="15" hidden="false" customHeight="false" outlineLevel="0" collapsed="false">
      <c r="A2592" s="7" t="s">
        <v>4475</v>
      </c>
      <c r="B2592" s="10" t="n">
        <v>45984</v>
      </c>
      <c r="C2592" s="7" t="s">
        <v>1520</v>
      </c>
      <c r="D2592" s="7" t="s">
        <v>4476</v>
      </c>
      <c r="E2592" s="7" t="s">
        <v>122</v>
      </c>
      <c r="F2592" s="7" t="s">
        <v>101</v>
      </c>
      <c r="G2592" s="7" t="s">
        <v>123</v>
      </c>
      <c r="H2592" s="7" t="n">
        <v>1</v>
      </c>
      <c r="I2592" s="11" t="n">
        <v>300</v>
      </c>
      <c r="J2592" s="11" t="n">
        <v>75</v>
      </c>
      <c r="K2592" s="11" t="n">
        <f aca="false">H2592*I2592-J2592</f>
        <v>225</v>
      </c>
      <c r="L2592" s="7" t="s">
        <v>112</v>
      </c>
      <c r="M2592" s="7" t="s">
        <v>194</v>
      </c>
      <c r="N2592" s="7" t="n">
        <v>58</v>
      </c>
      <c r="O2592" s="7" t="n">
        <v>2</v>
      </c>
    </row>
    <row r="2593" customFormat="false" ht="15" hidden="false" customHeight="false" outlineLevel="0" collapsed="false">
      <c r="A2593" s="7" t="s">
        <v>4396</v>
      </c>
      <c r="B2593" s="10" t="n">
        <v>45984</v>
      </c>
      <c r="C2593" s="7" t="s">
        <v>588</v>
      </c>
      <c r="D2593" s="7" t="s">
        <v>752</v>
      </c>
      <c r="E2593" s="7" t="s">
        <v>98</v>
      </c>
      <c r="F2593" s="7" t="s">
        <v>86</v>
      </c>
      <c r="G2593" s="7" t="s">
        <v>99</v>
      </c>
      <c r="H2593" s="7" t="n">
        <v>2</v>
      </c>
      <c r="I2593" s="11" t="n">
        <v>270</v>
      </c>
      <c r="J2593" s="11" t="n">
        <v>0</v>
      </c>
      <c r="K2593" s="11" t="n">
        <f aca="false">H2593*I2593-J2593</f>
        <v>540</v>
      </c>
      <c r="L2593" s="7" t="s">
        <v>88</v>
      </c>
      <c r="M2593" s="7" t="s">
        <v>194</v>
      </c>
      <c r="N2593" s="7" t="n">
        <v>40</v>
      </c>
      <c r="O2593" s="7" t="n">
        <v>5</v>
      </c>
    </row>
    <row r="2594" customFormat="false" ht="15" hidden="false" customHeight="false" outlineLevel="0" collapsed="false">
      <c r="A2594" s="7" t="s">
        <v>3797</v>
      </c>
      <c r="B2594" s="10" t="n">
        <v>45984</v>
      </c>
      <c r="C2594" s="7" t="s">
        <v>2743</v>
      </c>
      <c r="D2594" s="7" t="s">
        <v>3798</v>
      </c>
      <c r="E2594" s="7" t="s">
        <v>113</v>
      </c>
      <c r="F2594" s="7" t="s">
        <v>101</v>
      </c>
      <c r="G2594" s="7" t="s">
        <v>90</v>
      </c>
      <c r="H2594" s="7" t="n">
        <v>2</v>
      </c>
      <c r="I2594" s="11" t="n">
        <v>225</v>
      </c>
      <c r="J2594" s="11" t="n">
        <v>0</v>
      </c>
      <c r="K2594" s="11" t="n">
        <f aca="false">H2594*I2594-J2594</f>
        <v>450</v>
      </c>
      <c r="L2594" s="7" t="s">
        <v>133</v>
      </c>
      <c r="M2594" s="7" t="s">
        <v>194</v>
      </c>
      <c r="N2594" s="7" t="n">
        <v>46</v>
      </c>
      <c r="O2594" s="7"/>
    </row>
    <row r="2595" customFormat="false" ht="15" hidden="false" customHeight="false" outlineLevel="0" collapsed="false">
      <c r="A2595" s="7" t="s">
        <v>5986</v>
      </c>
      <c r="B2595" s="10" t="n">
        <v>45984</v>
      </c>
      <c r="C2595" s="7" t="s">
        <v>2358</v>
      </c>
      <c r="D2595" s="7" t="s">
        <v>1954</v>
      </c>
      <c r="E2595" s="7" t="s">
        <v>130</v>
      </c>
      <c r="F2595" s="7" t="s">
        <v>110</v>
      </c>
      <c r="G2595" s="7" t="s">
        <v>90</v>
      </c>
      <c r="H2595" s="7" t="n">
        <v>2</v>
      </c>
      <c r="I2595" s="11" t="n">
        <v>220</v>
      </c>
      <c r="J2595" s="11" t="n">
        <v>20</v>
      </c>
      <c r="K2595" s="11" t="n">
        <f aca="false">H2595*I2595-J2595</f>
        <v>420</v>
      </c>
      <c r="L2595" s="7" t="s">
        <v>112</v>
      </c>
      <c r="M2595" s="7" t="s">
        <v>194</v>
      </c>
      <c r="N2595" s="7" t="n">
        <v>47</v>
      </c>
      <c r="O2595" s="7" t="n">
        <v>4</v>
      </c>
    </row>
    <row r="2596" customFormat="false" ht="15" hidden="false" customHeight="false" outlineLevel="0" collapsed="false">
      <c r="A2596" s="7" t="s">
        <v>2769</v>
      </c>
      <c r="B2596" s="10" t="n">
        <v>45984</v>
      </c>
      <c r="C2596" s="7" t="s">
        <v>2770</v>
      </c>
      <c r="D2596" s="7" t="s">
        <v>293</v>
      </c>
      <c r="E2596" s="7" t="s">
        <v>116</v>
      </c>
      <c r="F2596" s="7" t="s">
        <v>101</v>
      </c>
      <c r="G2596" s="7" t="s">
        <v>117</v>
      </c>
      <c r="H2596" s="7" t="n">
        <v>1</v>
      </c>
      <c r="I2596" s="11" t="n">
        <v>135</v>
      </c>
      <c r="J2596" s="11" t="n">
        <v>20</v>
      </c>
      <c r="K2596" s="11" t="n">
        <f aca="false">H2596*I2596-J2596</f>
        <v>115</v>
      </c>
      <c r="L2596" s="7" t="s">
        <v>93</v>
      </c>
      <c r="M2596" s="7" t="s">
        <v>194</v>
      </c>
      <c r="N2596" s="7" t="n">
        <v>48</v>
      </c>
      <c r="O2596" s="7" t="n">
        <v>5</v>
      </c>
    </row>
    <row r="2597" customFormat="false" ht="15" hidden="false" customHeight="false" outlineLevel="0" collapsed="false">
      <c r="A2597" s="7" t="s">
        <v>4245</v>
      </c>
      <c r="B2597" s="10" t="n">
        <v>45984</v>
      </c>
      <c r="C2597" s="7" t="s">
        <v>1643</v>
      </c>
      <c r="D2597" s="7" t="s">
        <v>635</v>
      </c>
      <c r="E2597" s="7" t="s">
        <v>122</v>
      </c>
      <c r="F2597" s="7" t="s">
        <v>101</v>
      </c>
      <c r="G2597" s="7" t="s">
        <v>123</v>
      </c>
      <c r="H2597" s="7" t="n">
        <v>2</v>
      </c>
      <c r="I2597" s="11" t="n">
        <v>235</v>
      </c>
      <c r="J2597" s="11" t="n">
        <v>125</v>
      </c>
      <c r="K2597" s="11" t="n">
        <f aca="false">H2597*I2597-J2597</f>
        <v>345</v>
      </c>
      <c r="L2597" s="7" t="s">
        <v>93</v>
      </c>
      <c r="M2597" s="7" t="s">
        <v>194</v>
      </c>
      <c r="N2597" s="7" t="n">
        <v>56</v>
      </c>
      <c r="O2597" s="7" t="n">
        <v>5</v>
      </c>
    </row>
    <row r="2598" customFormat="false" ht="15" hidden="false" customHeight="false" outlineLevel="0" collapsed="false">
      <c r="A2598" s="7" t="s">
        <v>5352</v>
      </c>
      <c r="B2598" s="10" t="n">
        <v>45984</v>
      </c>
      <c r="C2598" s="7" t="s">
        <v>1631</v>
      </c>
      <c r="D2598" s="7" t="s">
        <v>4070</v>
      </c>
      <c r="E2598" s="7" t="s">
        <v>126</v>
      </c>
      <c r="F2598" s="7" t="s">
        <v>101</v>
      </c>
      <c r="G2598" s="7" t="s">
        <v>105</v>
      </c>
      <c r="H2598" s="7" t="n">
        <v>3</v>
      </c>
      <c r="I2598" s="11" t="n">
        <v>195</v>
      </c>
      <c r="J2598" s="11" t="n">
        <v>0</v>
      </c>
      <c r="K2598" s="11" t="n">
        <f aca="false">H2598*I2598-J2598</f>
        <v>585</v>
      </c>
      <c r="L2598" s="7" t="s">
        <v>103</v>
      </c>
      <c r="M2598" s="7" t="s">
        <v>194</v>
      </c>
      <c r="N2598" s="7" t="n">
        <v>36</v>
      </c>
      <c r="O2598" s="7" t="n">
        <v>5</v>
      </c>
    </row>
    <row r="2599" customFormat="false" ht="15" hidden="false" customHeight="false" outlineLevel="0" collapsed="false">
      <c r="A2599" s="7" t="s">
        <v>5411</v>
      </c>
      <c r="B2599" s="10" t="n">
        <v>45984</v>
      </c>
      <c r="C2599" s="7" t="s">
        <v>976</v>
      </c>
      <c r="D2599" s="7" t="s">
        <v>4049</v>
      </c>
      <c r="E2599" s="7" t="s">
        <v>98</v>
      </c>
      <c r="F2599" s="7" t="s">
        <v>86</v>
      </c>
      <c r="G2599" s="7" t="s">
        <v>99</v>
      </c>
      <c r="H2599" s="7" t="n">
        <v>1</v>
      </c>
      <c r="I2599" s="11" t="n">
        <v>325</v>
      </c>
      <c r="J2599" s="11" t="n">
        <v>0</v>
      </c>
      <c r="K2599" s="11" t="n">
        <f aca="false">H2599*I2599-J2599</f>
        <v>325</v>
      </c>
      <c r="L2599" s="7" t="s">
        <v>88</v>
      </c>
      <c r="M2599" s="7" t="s">
        <v>194</v>
      </c>
      <c r="N2599" s="7" t="n">
        <v>40</v>
      </c>
      <c r="O2599" s="7" t="n">
        <v>3</v>
      </c>
    </row>
    <row r="2600" customFormat="false" ht="15" hidden="false" customHeight="false" outlineLevel="0" collapsed="false">
      <c r="A2600" s="7" t="s">
        <v>6114</v>
      </c>
      <c r="B2600" s="10" t="n">
        <v>45984</v>
      </c>
      <c r="C2600" s="7" t="s">
        <v>258</v>
      </c>
      <c r="D2600" s="7" t="s">
        <v>264</v>
      </c>
      <c r="E2600" s="7" t="s">
        <v>98</v>
      </c>
      <c r="F2600" s="7" t="s">
        <v>86</v>
      </c>
      <c r="G2600" s="7" t="s">
        <v>99</v>
      </c>
      <c r="H2600" s="7" t="n">
        <v>2</v>
      </c>
      <c r="I2600" s="11" t="n">
        <v>270</v>
      </c>
      <c r="J2600" s="11" t="n">
        <v>0</v>
      </c>
      <c r="K2600" s="11" t="n">
        <f aca="false">H2600*I2600-J2600</f>
        <v>540</v>
      </c>
      <c r="L2600" s="7" t="s">
        <v>103</v>
      </c>
      <c r="M2600" s="7" t="s">
        <v>194</v>
      </c>
      <c r="N2600" s="7" t="n">
        <v>43</v>
      </c>
      <c r="O2600" s="7" t="n">
        <v>4</v>
      </c>
    </row>
    <row r="2601" customFormat="false" ht="15" hidden="false" customHeight="false" outlineLevel="0" collapsed="false">
      <c r="A2601" s="7" t="s">
        <v>4776</v>
      </c>
      <c r="B2601" s="10" t="n">
        <v>45984</v>
      </c>
      <c r="C2601" s="7" t="s">
        <v>1313</v>
      </c>
      <c r="D2601" s="7" t="s">
        <v>1333</v>
      </c>
      <c r="E2601" s="7" t="s">
        <v>116</v>
      </c>
      <c r="F2601" s="7" t="s">
        <v>101</v>
      </c>
      <c r="G2601" s="7" t="s">
        <v>117</v>
      </c>
      <c r="H2601" s="7" t="n">
        <v>4</v>
      </c>
      <c r="I2601" s="11" t="n">
        <v>135</v>
      </c>
      <c r="J2601" s="11" t="n">
        <v>50</v>
      </c>
      <c r="K2601" s="11" t="n">
        <f aca="false">H2601*I2601-J2601</f>
        <v>490</v>
      </c>
      <c r="L2601" s="7" t="s">
        <v>88</v>
      </c>
      <c r="M2601" s="7" t="s">
        <v>194</v>
      </c>
      <c r="N2601" s="7" t="n">
        <v>47</v>
      </c>
      <c r="O2601" s="7" t="n">
        <v>4</v>
      </c>
    </row>
    <row r="2602" customFormat="false" ht="15" hidden="false" customHeight="false" outlineLevel="0" collapsed="false">
      <c r="A2602" s="7" t="s">
        <v>4184</v>
      </c>
      <c r="B2602" s="10" t="n">
        <v>45984</v>
      </c>
      <c r="C2602" s="7" t="s">
        <v>2705</v>
      </c>
      <c r="D2602" s="7" t="s">
        <v>471</v>
      </c>
      <c r="E2602" s="7" t="s">
        <v>154</v>
      </c>
      <c r="F2602" s="7" t="s">
        <v>128</v>
      </c>
      <c r="G2602" s="7" t="s">
        <v>99</v>
      </c>
      <c r="H2602" s="7" t="n">
        <v>3</v>
      </c>
      <c r="I2602" s="11" t="n">
        <v>235</v>
      </c>
      <c r="J2602" s="11" t="n">
        <v>0</v>
      </c>
      <c r="K2602" s="11" t="n">
        <f aca="false">H2602*I2602-J2602</f>
        <v>705</v>
      </c>
      <c r="L2602" s="7" t="s">
        <v>93</v>
      </c>
      <c r="M2602" s="7" t="s">
        <v>194</v>
      </c>
      <c r="N2602" s="7" t="n">
        <v>31</v>
      </c>
      <c r="O2602" s="7" t="n">
        <v>5</v>
      </c>
    </row>
    <row r="2603" customFormat="false" ht="15" hidden="false" customHeight="false" outlineLevel="0" collapsed="false">
      <c r="A2603" s="7" t="s">
        <v>4456</v>
      </c>
      <c r="B2603" s="10" t="n">
        <v>45984</v>
      </c>
      <c r="C2603" s="7" t="s">
        <v>944</v>
      </c>
      <c r="D2603" s="7" t="s">
        <v>4457</v>
      </c>
      <c r="E2603" s="7" t="s">
        <v>126</v>
      </c>
      <c r="F2603" s="7" t="s">
        <v>101</v>
      </c>
      <c r="G2603" s="7" t="s">
        <v>105</v>
      </c>
      <c r="H2603" s="7" t="n">
        <v>1</v>
      </c>
      <c r="I2603" s="11" t="n">
        <v>205</v>
      </c>
      <c r="J2603" s="11" t="n">
        <v>30</v>
      </c>
      <c r="K2603" s="11" t="n">
        <f aca="false">H2603*I2603-J2603</f>
        <v>175</v>
      </c>
      <c r="L2603" s="7" t="s">
        <v>88</v>
      </c>
      <c r="M2603" s="7" t="s">
        <v>194</v>
      </c>
      <c r="N2603" s="7" t="n">
        <v>49</v>
      </c>
      <c r="O2603" s="7" t="n">
        <v>4</v>
      </c>
    </row>
    <row r="2604" customFormat="false" ht="15" hidden="false" customHeight="false" outlineLevel="0" collapsed="false">
      <c r="A2604" s="7" t="s">
        <v>5119</v>
      </c>
      <c r="B2604" s="10" t="n">
        <v>45984</v>
      </c>
      <c r="C2604" s="7" t="s">
        <v>331</v>
      </c>
      <c r="D2604" s="7" t="s">
        <v>4588</v>
      </c>
      <c r="E2604" s="7" t="s">
        <v>126</v>
      </c>
      <c r="F2604" s="7" t="s">
        <v>101</v>
      </c>
      <c r="G2604" s="7" t="s">
        <v>105</v>
      </c>
      <c r="H2604" s="7" t="n">
        <v>2</v>
      </c>
      <c r="I2604" s="11" t="n">
        <v>245</v>
      </c>
      <c r="J2604" s="11" t="n">
        <v>0</v>
      </c>
      <c r="K2604" s="11" t="n">
        <f aca="false">H2604*I2604-J2604</f>
        <v>490</v>
      </c>
      <c r="L2604" s="7" t="s">
        <v>88</v>
      </c>
      <c r="M2604" s="7" t="s">
        <v>238</v>
      </c>
      <c r="N2604" s="7"/>
      <c r="O2604" s="7"/>
    </row>
    <row r="2605" customFormat="false" ht="15" hidden="false" customHeight="false" outlineLevel="0" collapsed="false">
      <c r="A2605" s="7" t="s">
        <v>1971</v>
      </c>
      <c r="B2605" s="10" t="n">
        <v>45984</v>
      </c>
      <c r="C2605" s="7" t="s">
        <v>1973</v>
      </c>
      <c r="D2605" s="7" t="s">
        <v>1974</v>
      </c>
      <c r="E2605" s="7" t="s">
        <v>154</v>
      </c>
      <c r="F2605" s="7" t="s">
        <v>128</v>
      </c>
      <c r="G2605" s="7" t="s">
        <v>99</v>
      </c>
      <c r="H2605" s="7" t="n">
        <v>1</v>
      </c>
      <c r="I2605" s="11" t="n">
        <v>275</v>
      </c>
      <c r="J2605" s="11" t="n">
        <v>110</v>
      </c>
      <c r="K2605" s="11" t="n">
        <f aca="false">H2605*I2605-J2605</f>
        <v>165</v>
      </c>
      <c r="L2605" s="7" t="s">
        <v>133</v>
      </c>
      <c r="M2605" s="7" t="s">
        <v>194</v>
      </c>
      <c r="N2605" s="7" t="n">
        <v>34</v>
      </c>
      <c r="O2605" s="7" t="n">
        <v>3</v>
      </c>
    </row>
    <row r="2606" customFormat="false" ht="15" hidden="false" customHeight="false" outlineLevel="0" collapsed="false">
      <c r="A2606" s="7" t="s">
        <v>3972</v>
      </c>
      <c r="B2606" s="10" t="n">
        <v>45985</v>
      </c>
      <c r="C2606" s="7" t="s">
        <v>1809</v>
      </c>
      <c r="D2606" s="7" t="s">
        <v>548</v>
      </c>
      <c r="E2606" s="7" t="s">
        <v>149</v>
      </c>
      <c r="F2606" s="7" t="s">
        <v>119</v>
      </c>
      <c r="G2606" s="7" t="s">
        <v>150</v>
      </c>
      <c r="H2606" s="7" t="n">
        <v>3</v>
      </c>
      <c r="I2606" s="11" t="n">
        <v>165</v>
      </c>
      <c r="J2606" s="11" t="n">
        <v>0</v>
      </c>
      <c r="K2606" s="11" t="n">
        <f aca="false">H2606*I2606-J2606</f>
        <v>495</v>
      </c>
      <c r="L2606" s="7" t="s">
        <v>112</v>
      </c>
      <c r="M2606" s="7" t="s">
        <v>238</v>
      </c>
      <c r="N2606" s="7"/>
      <c r="O2606" s="7"/>
    </row>
    <row r="2607" customFormat="false" ht="15" hidden="false" customHeight="false" outlineLevel="0" collapsed="false">
      <c r="A2607" s="7" t="s">
        <v>587</v>
      </c>
      <c r="B2607" s="10" t="n">
        <v>45985</v>
      </c>
      <c r="C2607" s="7" t="s">
        <v>588</v>
      </c>
      <c r="D2607" s="7" t="s">
        <v>589</v>
      </c>
      <c r="E2607" s="7" t="s">
        <v>116</v>
      </c>
      <c r="F2607" s="7" t="s">
        <v>101</v>
      </c>
      <c r="G2607" s="7" t="s">
        <v>117</v>
      </c>
      <c r="H2607" s="7" t="n">
        <v>4</v>
      </c>
      <c r="I2607" s="11" t="n">
        <v>120</v>
      </c>
      <c r="J2607" s="11" t="n">
        <v>0</v>
      </c>
      <c r="K2607" s="11" t="n">
        <f aca="false">H2607*I2607-J2607</f>
        <v>480</v>
      </c>
      <c r="L2607" s="7" t="s">
        <v>88</v>
      </c>
      <c r="M2607" s="7" t="s">
        <v>194</v>
      </c>
      <c r="N2607" s="7" t="n">
        <v>37</v>
      </c>
      <c r="O2607" s="7" t="n">
        <v>4</v>
      </c>
    </row>
    <row r="2608" customFormat="false" ht="15" hidden="false" customHeight="false" outlineLevel="0" collapsed="false">
      <c r="A2608" s="7" t="s">
        <v>5904</v>
      </c>
      <c r="B2608" s="10" t="n">
        <v>45985</v>
      </c>
      <c r="C2608" s="7" t="s">
        <v>5905</v>
      </c>
      <c r="D2608" s="7" t="s">
        <v>2021</v>
      </c>
      <c r="E2608" s="7" t="s">
        <v>89</v>
      </c>
      <c r="F2608" s="7" t="s">
        <v>86</v>
      </c>
      <c r="G2608" s="7" t="s">
        <v>90</v>
      </c>
      <c r="H2608" s="7" t="n">
        <v>5</v>
      </c>
      <c r="I2608" s="11" t="n">
        <v>215</v>
      </c>
      <c r="J2608" s="11" t="n">
        <v>0</v>
      </c>
      <c r="K2608" s="11" t="n">
        <f aca="false">H2608*I2608-J2608</f>
        <v>1075</v>
      </c>
      <c r="L2608" s="7" t="s">
        <v>88</v>
      </c>
      <c r="M2608" s="7" t="s">
        <v>194</v>
      </c>
      <c r="N2608" s="7" t="n">
        <v>45</v>
      </c>
      <c r="O2608" s="7" t="n">
        <v>3</v>
      </c>
    </row>
    <row r="2609" customFormat="false" ht="15" hidden="false" customHeight="false" outlineLevel="0" collapsed="false">
      <c r="A2609" s="7" t="s">
        <v>4442</v>
      </c>
      <c r="B2609" s="10" t="n">
        <v>45985</v>
      </c>
      <c r="C2609" s="7" t="s">
        <v>2545</v>
      </c>
      <c r="D2609" s="7" t="s">
        <v>1039</v>
      </c>
      <c r="E2609" s="7" t="s">
        <v>130</v>
      </c>
      <c r="F2609" s="7" t="s">
        <v>110</v>
      </c>
      <c r="G2609" s="7" t="s">
        <v>90</v>
      </c>
      <c r="H2609" s="7" t="n">
        <v>2</v>
      </c>
      <c r="I2609" s="11" t="n">
        <v>260</v>
      </c>
      <c r="J2609" s="11" t="n">
        <v>20</v>
      </c>
      <c r="K2609" s="11" t="n">
        <f aca="false">H2609*I2609-J2609</f>
        <v>500</v>
      </c>
      <c r="L2609" s="7" t="s">
        <v>88</v>
      </c>
      <c r="M2609" s="7" t="s">
        <v>194</v>
      </c>
      <c r="N2609" s="7" t="n">
        <v>36</v>
      </c>
      <c r="O2609" s="7" t="n">
        <v>4</v>
      </c>
    </row>
    <row r="2610" customFormat="false" ht="15" hidden="false" customHeight="false" outlineLevel="0" collapsed="false">
      <c r="A2610" s="7" t="s">
        <v>4800</v>
      </c>
      <c r="B2610" s="10" t="n">
        <v>45985</v>
      </c>
      <c r="C2610" s="7" t="s">
        <v>1365</v>
      </c>
      <c r="D2610" s="7" t="s">
        <v>4802</v>
      </c>
      <c r="E2610" s="7" t="s">
        <v>138</v>
      </c>
      <c r="F2610" s="7" t="s">
        <v>110</v>
      </c>
      <c r="G2610" s="7" t="s">
        <v>139</v>
      </c>
      <c r="H2610" s="7" t="n">
        <v>2</v>
      </c>
      <c r="I2610" s="11" t="n">
        <v>235</v>
      </c>
      <c r="J2610" s="11" t="n">
        <v>50</v>
      </c>
      <c r="K2610" s="11" t="n">
        <f aca="false">H2610*I2610-J2610</f>
        <v>420</v>
      </c>
      <c r="L2610" s="7" t="s">
        <v>133</v>
      </c>
      <c r="M2610" s="7" t="s">
        <v>194</v>
      </c>
      <c r="N2610" s="7" t="n">
        <v>42</v>
      </c>
      <c r="O2610" s="7"/>
    </row>
    <row r="2611" customFormat="false" ht="15" hidden="false" customHeight="false" outlineLevel="0" collapsed="false">
      <c r="A2611" s="7" t="s">
        <v>1471</v>
      </c>
      <c r="B2611" s="10" t="n">
        <v>45985</v>
      </c>
      <c r="C2611" s="7" t="s">
        <v>1472</v>
      </c>
      <c r="D2611" s="7" t="s">
        <v>589</v>
      </c>
      <c r="E2611" s="7" t="s">
        <v>159</v>
      </c>
      <c r="F2611" s="7" t="s">
        <v>136</v>
      </c>
      <c r="G2611" s="7" t="s">
        <v>90</v>
      </c>
      <c r="H2611" s="7" t="n">
        <v>3</v>
      </c>
      <c r="I2611" s="11" t="n">
        <v>175</v>
      </c>
      <c r="J2611" s="11" t="n">
        <v>150</v>
      </c>
      <c r="K2611" s="11" t="n">
        <f aca="false">H2611*I2611-J2611</f>
        <v>375</v>
      </c>
      <c r="L2611" s="7" t="s">
        <v>121</v>
      </c>
      <c r="M2611" s="7" t="s">
        <v>194</v>
      </c>
      <c r="N2611" s="7" t="n">
        <v>39</v>
      </c>
      <c r="O2611" s="7" t="n">
        <v>5</v>
      </c>
    </row>
    <row r="2612" customFormat="false" ht="15" hidden="false" customHeight="false" outlineLevel="0" collapsed="false">
      <c r="A2612" s="7" t="s">
        <v>2819</v>
      </c>
      <c r="B2612" s="10" t="n">
        <v>45985</v>
      </c>
      <c r="C2612" s="7" t="s">
        <v>1643</v>
      </c>
      <c r="D2612" s="7" t="s">
        <v>1310</v>
      </c>
      <c r="E2612" s="7" t="s">
        <v>148</v>
      </c>
      <c r="F2612" s="7" t="s">
        <v>119</v>
      </c>
      <c r="G2612" s="7" t="s">
        <v>123</v>
      </c>
      <c r="H2612" s="7" t="n">
        <v>1</v>
      </c>
      <c r="I2612" s="11" t="n">
        <v>315</v>
      </c>
      <c r="J2612" s="11" t="n">
        <v>125</v>
      </c>
      <c r="K2612" s="11" t="n">
        <f aca="false">H2612*I2612-J2612</f>
        <v>190</v>
      </c>
      <c r="L2612" s="7" t="s">
        <v>88</v>
      </c>
      <c r="M2612" s="7" t="s">
        <v>194</v>
      </c>
      <c r="N2612" s="7" t="n">
        <v>26</v>
      </c>
      <c r="O2612" s="7" t="n">
        <v>5</v>
      </c>
    </row>
    <row r="2613" customFormat="false" ht="15" hidden="false" customHeight="false" outlineLevel="0" collapsed="false">
      <c r="A2613" s="7" t="s">
        <v>2272</v>
      </c>
      <c r="B2613" s="10" t="n">
        <v>45985</v>
      </c>
      <c r="C2613" s="7" t="s">
        <v>346</v>
      </c>
      <c r="D2613" s="7" t="s">
        <v>2273</v>
      </c>
      <c r="E2613" s="7" t="s">
        <v>164</v>
      </c>
      <c r="F2613" s="7" t="s">
        <v>141</v>
      </c>
      <c r="G2613" s="7" t="s">
        <v>150</v>
      </c>
      <c r="H2613" s="7" t="n">
        <v>3</v>
      </c>
      <c r="I2613" s="11" t="n">
        <v>140</v>
      </c>
      <c r="J2613" s="11" t="n">
        <v>0</v>
      </c>
      <c r="K2613" s="11" t="n">
        <f aca="false">H2613*I2613-J2613</f>
        <v>420</v>
      </c>
      <c r="L2613" s="7" t="s">
        <v>88</v>
      </c>
      <c r="M2613" s="7" t="s">
        <v>194</v>
      </c>
      <c r="N2613" s="7" t="n">
        <v>41</v>
      </c>
      <c r="O2613" s="7" t="n">
        <v>4</v>
      </c>
    </row>
    <row r="2614" customFormat="false" ht="15" hidden="false" customHeight="false" outlineLevel="0" collapsed="false">
      <c r="A2614" s="7" t="s">
        <v>1300</v>
      </c>
      <c r="B2614" s="10" t="n">
        <v>45985</v>
      </c>
      <c r="C2614" s="7" t="s">
        <v>1301</v>
      </c>
      <c r="D2614" s="7" t="s">
        <v>1302</v>
      </c>
      <c r="E2614" s="7" t="s">
        <v>144</v>
      </c>
      <c r="F2614" s="7" t="s">
        <v>119</v>
      </c>
      <c r="G2614" s="7" t="s">
        <v>99</v>
      </c>
      <c r="H2614" s="7" t="n">
        <v>2</v>
      </c>
      <c r="I2614" s="11" t="n">
        <v>265</v>
      </c>
      <c r="J2614" s="11" t="n">
        <v>0</v>
      </c>
      <c r="K2614" s="11" t="n">
        <f aca="false">H2614*I2614-J2614</f>
        <v>530</v>
      </c>
      <c r="L2614" s="7" t="s">
        <v>88</v>
      </c>
      <c r="M2614" s="7" t="s">
        <v>194</v>
      </c>
      <c r="N2614" s="7" t="n">
        <v>40</v>
      </c>
      <c r="O2614" s="7" t="n">
        <v>4</v>
      </c>
    </row>
    <row r="2615" customFormat="false" ht="15" hidden="false" customHeight="false" outlineLevel="0" collapsed="false">
      <c r="A2615" s="7" t="s">
        <v>2531</v>
      </c>
      <c r="B2615" s="10" t="n">
        <v>45985</v>
      </c>
      <c r="C2615" s="7" t="s">
        <v>1058</v>
      </c>
      <c r="D2615" s="7" t="s">
        <v>2532</v>
      </c>
      <c r="E2615" s="7" t="s">
        <v>94</v>
      </c>
      <c r="F2615" s="7" t="s">
        <v>86</v>
      </c>
      <c r="G2615" s="7" t="s">
        <v>95</v>
      </c>
      <c r="H2615" s="7" t="n">
        <v>1</v>
      </c>
      <c r="I2615" s="11" t="n">
        <v>90</v>
      </c>
      <c r="J2615" s="11" t="n">
        <v>36</v>
      </c>
      <c r="K2615" s="11" t="n">
        <f aca="false">H2615*I2615-J2615</f>
        <v>54</v>
      </c>
      <c r="L2615" s="7" t="s">
        <v>88</v>
      </c>
      <c r="M2615" s="7" t="s">
        <v>194</v>
      </c>
      <c r="N2615" s="7" t="n">
        <v>38</v>
      </c>
      <c r="O2615" s="7" t="n">
        <v>5</v>
      </c>
    </row>
    <row r="2616" customFormat="false" ht="15" hidden="false" customHeight="false" outlineLevel="0" collapsed="false">
      <c r="A2616" s="7" t="s">
        <v>195</v>
      </c>
      <c r="B2616" s="10" t="n">
        <v>45985</v>
      </c>
      <c r="C2616" s="7" t="s">
        <v>197</v>
      </c>
      <c r="D2616" s="7" t="s">
        <v>198</v>
      </c>
      <c r="E2616" s="7" t="s">
        <v>134</v>
      </c>
      <c r="F2616" s="7" t="s">
        <v>110</v>
      </c>
      <c r="G2616" s="7" t="s">
        <v>117</v>
      </c>
      <c r="H2616" s="7" t="n">
        <v>4</v>
      </c>
      <c r="I2616" s="11" t="n">
        <v>95</v>
      </c>
      <c r="J2616" s="11" t="n">
        <v>30</v>
      </c>
      <c r="K2616" s="11" t="n">
        <f aca="false">H2616*I2616-J2616</f>
        <v>350</v>
      </c>
      <c r="L2616" s="7" t="s">
        <v>88</v>
      </c>
      <c r="M2616" s="7" t="s">
        <v>194</v>
      </c>
      <c r="N2616" s="7" t="n">
        <v>47</v>
      </c>
      <c r="O2616" s="7" t="n">
        <v>3</v>
      </c>
    </row>
    <row r="2617" customFormat="false" ht="15" hidden="false" customHeight="false" outlineLevel="0" collapsed="false">
      <c r="A2617" s="7" t="s">
        <v>1807</v>
      </c>
      <c r="B2617" s="10" t="n">
        <v>45986</v>
      </c>
      <c r="C2617" s="7" t="s">
        <v>1809</v>
      </c>
      <c r="D2617" s="7" t="s">
        <v>1810</v>
      </c>
      <c r="E2617" s="7" t="s">
        <v>89</v>
      </c>
      <c r="F2617" s="7" t="s">
        <v>86</v>
      </c>
      <c r="G2617" s="7" t="s">
        <v>90</v>
      </c>
      <c r="H2617" s="7" t="n">
        <v>2</v>
      </c>
      <c r="I2617" s="11" t="n">
        <v>220</v>
      </c>
      <c r="J2617" s="11" t="n">
        <v>75</v>
      </c>
      <c r="K2617" s="11" t="n">
        <f aca="false">H2617*I2617-J2617</f>
        <v>365</v>
      </c>
      <c r="L2617" s="7" t="s">
        <v>88</v>
      </c>
      <c r="M2617" s="7" t="s">
        <v>194</v>
      </c>
      <c r="N2617" s="7" t="n">
        <v>45</v>
      </c>
      <c r="O2617" s="7" t="n">
        <v>4</v>
      </c>
    </row>
    <row r="2618" customFormat="false" ht="15" hidden="false" customHeight="false" outlineLevel="0" collapsed="false">
      <c r="A2618" s="7" t="s">
        <v>1775</v>
      </c>
      <c r="B2618" s="10" t="n">
        <v>45986</v>
      </c>
      <c r="C2618" s="7" t="s">
        <v>486</v>
      </c>
      <c r="D2618" s="7" t="s">
        <v>1777</v>
      </c>
      <c r="E2618" s="7" t="s">
        <v>113</v>
      </c>
      <c r="F2618" s="7" t="s">
        <v>101</v>
      </c>
      <c r="G2618" s="7" t="s">
        <v>90</v>
      </c>
      <c r="H2618" s="7" t="n">
        <v>1</v>
      </c>
      <c r="I2618" s="11" t="n">
        <v>215</v>
      </c>
      <c r="J2618" s="11" t="n">
        <v>0</v>
      </c>
      <c r="K2618" s="11" t="n">
        <f aca="false">H2618*I2618-J2618</f>
        <v>215</v>
      </c>
      <c r="L2618" s="7" t="s">
        <v>88</v>
      </c>
      <c r="M2618" s="7" t="s">
        <v>194</v>
      </c>
      <c r="N2618" s="7" t="n">
        <v>38</v>
      </c>
      <c r="O2618" s="7" t="n">
        <v>3</v>
      </c>
    </row>
    <row r="2619" customFormat="false" ht="15" hidden="false" customHeight="false" outlineLevel="0" collapsed="false">
      <c r="A2619" s="7" t="s">
        <v>5055</v>
      </c>
      <c r="B2619" s="10" t="n">
        <v>45986</v>
      </c>
      <c r="C2619" s="7" t="s">
        <v>2048</v>
      </c>
      <c r="D2619" s="7" t="s">
        <v>1627</v>
      </c>
      <c r="E2619" s="7" t="s">
        <v>167</v>
      </c>
      <c r="F2619" s="7" t="s">
        <v>146</v>
      </c>
      <c r="G2619" s="7" t="s">
        <v>156</v>
      </c>
      <c r="H2619" s="7" t="n">
        <v>4</v>
      </c>
      <c r="I2619" s="11" t="n">
        <v>220</v>
      </c>
      <c r="J2619" s="11" t="n">
        <v>30</v>
      </c>
      <c r="K2619" s="11" t="n">
        <f aca="false">H2619*I2619-J2619</f>
        <v>850</v>
      </c>
      <c r="L2619" s="7" t="s">
        <v>88</v>
      </c>
      <c r="M2619" s="7" t="s">
        <v>194</v>
      </c>
      <c r="N2619" s="7" t="n">
        <v>36</v>
      </c>
      <c r="O2619" s="7" t="n">
        <v>4</v>
      </c>
    </row>
    <row r="2620" customFormat="false" ht="15" hidden="false" customHeight="false" outlineLevel="0" collapsed="false">
      <c r="A2620" s="7" t="s">
        <v>4129</v>
      </c>
      <c r="B2620" s="10" t="n">
        <v>45986</v>
      </c>
      <c r="C2620" s="7" t="s">
        <v>2781</v>
      </c>
      <c r="D2620" s="7" t="s">
        <v>3329</v>
      </c>
      <c r="E2620" s="7" t="s">
        <v>160</v>
      </c>
      <c r="F2620" s="7" t="s">
        <v>136</v>
      </c>
      <c r="G2620" s="7" t="s">
        <v>150</v>
      </c>
      <c r="H2620" s="7" t="n">
        <v>1</v>
      </c>
      <c r="I2620" s="11" t="n">
        <v>190</v>
      </c>
      <c r="J2620" s="11" t="n">
        <v>76</v>
      </c>
      <c r="K2620" s="11" t="n">
        <f aca="false">H2620*I2620-J2620</f>
        <v>114</v>
      </c>
      <c r="L2620" s="7" t="s">
        <v>103</v>
      </c>
      <c r="M2620" s="7" t="s">
        <v>194</v>
      </c>
      <c r="N2620" s="7" t="n">
        <v>34</v>
      </c>
      <c r="O2620" s="7" t="n">
        <v>3</v>
      </c>
    </row>
    <row r="2621" customFormat="false" ht="15" hidden="false" customHeight="false" outlineLevel="0" collapsed="false">
      <c r="A2621" s="7" t="s">
        <v>5080</v>
      </c>
      <c r="B2621" s="10" t="n">
        <v>45986</v>
      </c>
      <c r="C2621" s="7" t="s">
        <v>3690</v>
      </c>
      <c r="D2621" s="7" t="s">
        <v>1594</v>
      </c>
      <c r="E2621" s="7" t="s">
        <v>116</v>
      </c>
      <c r="F2621" s="7" t="s">
        <v>101</v>
      </c>
      <c r="G2621" s="7" t="s">
        <v>117</v>
      </c>
      <c r="H2621" s="7" t="n">
        <v>1</v>
      </c>
      <c r="I2621" s="11" t="n">
        <v>130</v>
      </c>
      <c r="J2621" s="11" t="n">
        <v>0</v>
      </c>
      <c r="K2621" s="11" t="n">
        <f aca="false">H2621*I2621-J2621</f>
        <v>130</v>
      </c>
      <c r="L2621" s="7" t="s">
        <v>112</v>
      </c>
      <c r="M2621" s="7" t="s">
        <v>194</v>
      </c>
      <c r="N2621" s="7" t="n">
        <v>47</v>
      </c>
      <c r="O2621" s="7" t="n">
        <v>4</v>
      </c>
    </row>
    <row r="2622" customFormat="false" ht="15" hidden="false" customHeight="false" outlineLevel="0" collapsed="false">
      <c r="A2622" s="7" t="s">
        <v>5427</v>
      </c>
      <c r="B2622" s="10" t="n">
        <v>45986</v>
      </c>
      <c r="C2622" s="7" t="s">
        <v>3862</v>
      </c>
      <c r="D2622" s="7" t="s">
        <v>4166</v>
      </c>
      <c r="E2622" s="7" t="s">
        <v>161</v>
      </c>
      <c r="F2622" s="7" t="s">
        <v>141</v>
      </c>
      <c r="G2622" s="7" t="s">
        <v>117</v>
      </c>
      <c r="H2622" s="7" t="n">
        <v>1</v>
      </c>
      <c r="I2622" s="11" t="n">
        <v>135</v>
      </c>
      <c r="J2622" s="11" t="n">
        <v>0</v>
      </c>
      <c r="K2622" s="11" t="n">
        <f aca="false">H2622*I2622-J2622</f>
        <v>135</v>
      </c>
      <c r="L2622" s="7" t="s">
        <v>133</v>
      </c>
      <c r="M2622" s="7" t="s">
        <v>194</v>
      </c>
      <c r="N2622" s="7" t="n">
        <v>46</v>
      </c>
      <c r="O2622" s="7" t="n">
        <v>5</v>
      </c>
    </row>
    <row r="2623" customFormat="false" ht="15" hidden="false" customHeight="false" outlineLevel="0" collapsed="false">
      <c r="A2623" s="7" t="s">
        <v>4314</v>
      </c>
      <c r="B2623" s="10" t="n">
        <v>45986</v>
      </c>
      <c r="C2623" s="7" t="s">
        <v>2263</v>
      </c>
      <c r="D2623" s="7" t="s">
        <v>2139</v>
      </c>
      <c r="E2623" s="7" t="s">
        <v>164</v>
      </c>
      <c r="F2623" s="7" t="s">
        <v>141</v>
      </c>
      <c r="G2623" s="7" t="s">
        <v>150</v>
      </c>
      <c r="H2623" s="7" t="n">
        <v>1</v>
      </c>
      <c r="I2623" s="11" t="n">
        <v>115</v>
      </c>
      <c r="J2623" s="11" t="n">
        <v>20</v>
      </c>
      <c r="K2623" s="11" t="n">
        <f aca="false">H2623*I2623-J2623</f>
        <v>95</v>
      </c>
      <c r="L2623" s="7" t="s">
        <v>112</v>
      </c>
      <c r="M2623" s="7" t="s">
        <v>194</v>
      </c>
      <c r="N2623" s="7" t="n">
        <v>29</v>
      </c>
      <c r="O2623" s="7" t="n">
        <v>3</v>
      </c>
    </row>
    <row r="2624" customFormat="false" ht="15" hidden="false" customHeight="false" outlineLevel="0" collapsed="false">
      <c r="A2624" s="7" t="s">
        <v>5951</v>
      </c>
      <c r="B2624" s="10" t="n">
        <v>45986</v>
      </c>
      <c r="C2624" s="7" t="s">
        <v>3023</v>
      </c>
      <c r="D2624" s="7" t="s">
        <v>2148</v>
      </c>
      <c r="E2624" s="7" t="s">
        <v>116</v>
      </c>
      <c r="F2624" s="7" t="s">
        <v>101</v>
      </c>
      <c r="G2624" s="7" t="s">
        <v>117</v>
      </c>
      <c r="H2624" s="7" t="n">
        <v>2</v>
      </c>
      <c r="I2624" s="11" t="n">
        <v>125</v>
      </c>
      <c r="J2624" s="11" t="n">
        <v>100</v>
      </c>
      <c r="K2624" s="11" t="n">
        <f aca="false">H2624*I2624-J2624</f>
        <v>150</v>
      </c>
      <c r="L2624" s="7" t="s">
        <v>133</v>
      </c>
      <c r="M2624" s="7" t="s">
        <v>194</v>
      </c>
      <c r="N2624" s="7" t="n">
        <v>41</v>
      </c>
      <c r="O2624" s="7" t="n">
        <v>3</v>
      </c>
    </row>
    <row r="2625" customFormat="false" ht="15" hidden="false" customHeight="false" outlineLevel="0" collapsed="false">
      <c r="A2625" s="7" t="s">
        <v>2440</v>
      </c>
      <c r="B2625" s="10" t="n">
        <v>45987</v>
      </c>
      <c r="C2625" s="7" t="s">
        <v>1317</v>
      </c>
      <c r="D2625" s="7" t="s">
        <v>2442</v>
      </c>
      <c r="E2625" s="7" t="s">
        <v>159</v>
      </c>
      <c r="F2625" s="7" t="s">
        <v>136</v>
      </c>
      <c r="G2625" s="7" t="s">
        <v>90</v>
      </c>
      <c r="H2625" s="7" t="n">
        <v>2</v>
      </c>
      <c r="I2625" s="11" t="n">
        <v>265</v>
      </c>
      <c r="J2625" s="11" t="n">
        <v>75</v>
      </c>
      <c r="K2625" s="11" t="n">
        <f aca="false">H2625*I2625-J2625</f>
        <v>455</v>
      </c>
      <c r="L2625" s="7" t="s">
        <v>88</v>
      </c>
      <c r="M2625" s="7" t="s">
        <v>194</v>
      </c>
      <c r="N2625" s="7" t="n">
        <v>30</v>
      </c>
      <c r="O2625" s="7" t="n">
        <v>4</v>
      </c>
    </row>
    <row r="2626" customFormat="false" ht="15" hidden="false" customHeight="false" outlineLevel="0" collapsed="false">
      <c r="A2626" s="7" t="s">
        <v>2344</v>
      </c>
      <c r="B2626" s="10" t="n">
        <v>45987</v>
      </c>
      <c r="C2626" s="7" t="s">
        <v>1153</v>
      </c>
      <c r="D2626" s="7" t="s">
        <v>2346</v>
      </c>
      <c r="E2626" s="7" t="s">
        <v>138</v>
      </c>
      <c r="F2626" s="7" t="s">
        <v>110</v>
      </c>
      <c r="G2626" s="7" t="s">
        <v>139</v>
      </c>
      <c r="H2626" s="7" t="n">
        <v>1</v>
      </c>
      <c r="I2626" s="11" t="n">
        <v>155</v>
      </c>
      <c r="J2626" s="11" t="n">
        <v>0</v>
      </c>
      <c r="K2626" s="11" t="n">
        <f aca="false">H2626*I2626-J2626</f>
        <v>155</v>
      </c>
      <c r="L2626" s="7" t="s">
        <v>88</v>
      </c>
      <c r="M2626" s="7" t="s">
        <v>194</v>
      </c>
      <c r="N2626" s="7" t="n">
        <v>43</v>
      </c>
      <c r="O2626" s="7"/>
    </row>
    <row r="2627" customFormat="false" ht="15" hidden="false" customHeight="false" outlineLevel="0" collapsed="false">
      <c r="A2627" s="7" t="s">
        <v>5429</v>
      </c>
      <c r="B2627" s="10" t="n">
        <v>45987</v>
      </c>
      <c r="C2627" s="7" t="s">
        <v>2904</v>
      </c>
      <c r="D2627" s="7" t="s">
        <v>3091</v>
      </c>
      <c r="E2627" s="7" t="s">
        <v>138</v>
      </c>
      <c r="F2627" s="7" t="s">
        <v>110</v>
      </c>
      <c r="G2627" s="7" t="s">
        <v>139</v>
      </c>
      <c r="H2627" s="7" t="n">
        <v>1</v>
      </c>
      <c r="I2627" s="11" t="n">
        <v>195</v>
      </c>
      <c r="J2627" s="11" t="n">
        <v>0</v>
      </c>
      <c r="K2627" s="11" t="n">
        <f aca="false">H2627*I2627-J2627</f>
        <v>195</v>
      </c>
      <c r="L2627" s="7" t="s">
        <v>112</v>
      </c>
      <c r="M2627" s="7" t="s">
        <v>194</v>
      </c>
      <c r="N2627" s="7" t="n">
        <v>39</v>
      </c>
      <c r="O2627" s="7" t="n">
        <v>4</v>
      </c>
    </row>
    <row r="2628" customFormat="false" ht="15" hidden="false" customHeight="false" outlineLevel="0" collapsed="false">
      <c r="A2628" s="7" t="s">
        <v>3018</v>
      </c>
      <c r="B2628" s="10" t="n">
        <v>45987</v>
      </c>
      <c r="C2628" s="7" t="s">
        <v>626</v>
      </c>
      <c r="D2628" s="7" t="s">
        <v>1722</v>
      </c>
      <c r="E2628" s="7" t="s">
        <v>94</v>
      </c>
      <c r="F2628" s="7" t="s">
        <v>86</v>
      </c>
      <c r="G2628" s="7" t="s">
        <v>95</v>
      </c>
      <c r="H2628" s="7" t="n">
        <v>5</v>
      </c>
      <c r="I2628" s="11" t="n">
        <v>120</v>
      </c>
      <c r="J2628" s="11" t="n">
        <v>75</v>
      </c>
      <c r="K2628" s="11" t="n">
        <f aca="false">H2628*I2628-J2628</f>
        <v>525</v>
      </c>
      <c r="L2628" s="7" t="s">
        <v>88</v>
      </c>
      <c r="M2628" s="7" t="s">
        <v>194</v>
      </c>
      <c r="N2628" s="7" t="n">
        <v>35</v>
      </c>
      <c r="O2628" s="7" t="n">
        <v>2</v>
      </c>
    </row>
    <row r="2629" customFormat="false" ht="15" hidden="false" customHeight="false" outlineLevel="0" collapsed="false">
      <c r="A2629" s="7" t="s">
        <v>2616</v>
      </c>
      <c r="B2629" s="10" t="n">
        <v>45988</v>
      </c>
      <c r="C2629" s="7" t="s">
        <v>792</v>
      </c>
      <c r="D2629" s="7" t="s">
        <v>2618</v>
      </c>
      <c r="E2629" s="7" t="s">
        <v>168</v>
      </c>
      <c r="F2629" s="7" t="s">
        <v>146</v>
      </c>
      <c r="G2629" s="7" t="s">
        <v>123</v>
      </c>
      <c r="H2629" s="7" t="n">
        <v>2</v>
      </c>
      <c r="I2629" s="11" t="n">
        <v>340</v>
      </c>
      <c r="J2629" s="11" t="n">
        <v>0</v>
      </c>
      <c r="K2629" s="11" t="n">
        <f aca="false">H2629*I2629-J2629</f>
        <v>680</v>
      </c>
      <c r="L2629" s="7" t="s">
        <v>112</v>
      </c>
      <c r="M2629" s="7" t="s">
        <v>194</v>
      </c>
      <c r="N2629" s="7" t="n">
        <v>33</v>
      </c>
      <c r="O2629" s="7" t="n">
        <v>4</v>
      </c>
    </row>
    <row r="2630" customFormat="false" ht="15" hidden="false" customHeight="false" outlineLevel="0" collapsed="false">
      <c r="A2630" s="7" t="s">
        <v>5491</v>
      </c>
      <c r="B2630" s="10" t="n">
        <v>45988</v>
      </c>
      <c r="C2630" s="7" t="s">
        <v>697</v>
      </c>
      <c r="D2630" s="7" t="s">
        <v>5492</v>
      </c>
      <c r="E2630" s="7" t="s">
        <v>147</v>
      </c>
      <c r="F2630" s="7" t="s">
        <v>119</v>
      </c>
      <c r="G2630" s="7" t="s">
        <v>95</v>
      </c>
      <c r="H2630" s="7" t="n">
        <v>2</v>
      </c>
      <c r="I2630" s="11" t="n">
        <v>200</v>
      </c>
      <c r="J2630" s="11" t="n">
        <v>0</v>
      </c>
      <c r="K2630" s="11" t="n">
        <f aca="false">H2630*I2630-J2630</f>
        <v>400</v>
      </c>
      <c r="L2630" s="7" t="s">
        <v>88</v>
      </c>
      <c r="M2630" s="7" t="s">
        <v>194</v>
      </c>
      <c r="N2630" s="7" t="n">
        <v>27</v>
      </c>
      <c r="O2630" s="7" t="n">
        <v>5</v>
      </c>
    </row>
    <row r="2631" customFormat="false" ht="15" hidden="false" customHeight="false" outlineLevel="0" collapsed="false">
      <c r="A2631" s="7" t="s">
        <v>3223</v>
      </c>
      <c r="B2631" s="10" t="n">
        <v>45988</v>
      </c>
      <c r="C2631" s="7" t="s">
        <v>1520</v>
      </c>
      <c r="D2631" s="7" t="s">
        <v>1605</v>
      </c>
      <c r="E2631" s="7" t="s">
        <v>160</v>
      </c>
      <c r="F2631" s="7" t="s">
        <v>136</v>
      </c>
      <c r="G2631" s="7" t="s">
        <v>150</v>
      </c>
      <c r="H2631" s="7" t="n">
        <v>1</v>
      </c>
      <c r="I2631" s="11" t="n">
        <v>170</v>
      </c>
      <c r="J2631" s="11" t="n">
        <v>0</v>
      </c>
      <c r="K2631" s="11" t="n">
        <f aca="false">H2631*I2631-J2631</f>
        <v>170</v>
      </c>
      <c r="L2631" s="7" t="s">
        <v>121</v>
      </c>
      <c r="M2631" s="7" t="s">
        <v>194</v>
      </c>
      <c r="N2631" s="7" t="n">
        <v>34</v>
      </c>
      <c r="O2631" s="7" t="n">
        <v>5</v>
      </c>
    </row>
    <row r="2632" customFormat="false" ht="15" hidden="false" customHeight="false" outlineLevel="0" collapsed="false">
      <c r="A2632" s="7" t="s">
        <v>4345</v>
      </c>
      <c r="B2632" s="10" t="n">
        <v>45988</v>
      </c>
      <c r="C2632" s="7" t="s">
        <v>4346</v>
      </c>
      <c r="D2632" s="7" t="s">
        <v>4347</v>
      </c>
      <c r="E2632" s="7" t="s">
        <v>113</v>
      </c>
      <c r="F2632" s="7" t="s">
        <v>101</v>
      </c>
      <c r="G2632" s="7" t="s">
        <v>90</v>
      </c>
      <c r="H2632" s="7" t="n">
        <v>1</v>
      </c>
      <c r="I2632" s="11" t="n">
        <v>255</v>
      </c>
      <c r="J2632" s="11" t="n">
        <v>50</v>
      </c>
      <c r="K2632" s="11" t="n">
        <f aca="false">H2632*I2632-J2632</f>
        <v>205</v>
      </c>
      <c r="L2632" s="7" t="s">
        <v>93</v>
      </c>
      <c r="M2632" s="7" t="s">
        <v>194</v>
      </c>
      <c r="N2632" s="7" t="n">
        <v>37</v>
      </c>
      <c r="O2632" s="7"/>
    </row>
    <row r="2633" customFormat="false" ht="15" hidden="false" customHeight="false" outlineLevel="0" collapsed="false">
      <c r="A2633" s="7" t="s">
        <v>5887</v>
      </c>
      <c r="B2633" s="10" t="n">
        <v>45988</v>
      </c>
      <c r="C2633" s="7" t="s">
        <v>3300</v>
      </c>
      <c r="D2633" s="7" t="s">
        <v>4980</v>
      </c>
      <c r="E2633" s="7" t="s">
        <v>122</v>
      </c>
      <c r="F2633" s="7" t="s">
        <v>101</v>
      </c>
      <c r="G2633" s="7" t="s">
        <v>123</v>
      </c>
      <c r="H2633" s="7" t="n">
        <v>2</v>
      </c>
      <c r="I2633" s="11" t="n">
        <v>295</v>
      </c>
      <c r="J2633" s="11" t="n">
        <v>0</v>
      </c>
      <c r="K2633" s="11" t="n">
        <f aca="false">H2633*I2633-J2633</f>
        <v>590</v>
      </c>
      <c r="L2633" s="7" t="s">
        <v>93</v>
      </c>
      <c r="M2633" s="7" t="s">
        <v>194</v>
      </c>
      <c r="N2633" s="7" t="n">
        <v>42</v>
      </c>
      <c r="O2633" s="7" t="n">
        <v>4</v>
      </c>
    </row>
    <row r="2634" customFormat="false" ht="15" hidden="false" customHeight="false" outlineLevel="0" collapsed="false">
      <c r="A2634" s="7" t="s">
        <v>4190</v>
      </c>
      <c r="B2634" s="10" t="n">
        <v>45988</v>
      </c>
      <c r="C2634" s="7" t="s">
        <v>1704</v>
      </c>
      <c r="D2634" s="7" t="s">
        <v>793</v>
      </c>
      <c r="E2634" s="7" t="s">
        <v>154</v>
      </c>
      <c r="F2634" s="7" t="s">
        <v>128</v>
      </c>
      <c r="G2634" s="7" t="s">
        <v>99</v>
      </c>
      <c r="H2634" s="7" t="n">
        <v>4</v>
      </c>
      <c r="I2634" s="11" t="n">
        <v>325</v>
      </c>
      <c r="J2634" s="11" t="n">
        <v>0</v>
      </c>
      <c r="K2634" s="11" t="n">
        <f aca="false">H2634*I2634-J2634</f>
        <v>1300</v>
      </c>
      <c r="L2634" s="7" t="s">
        <v>112</v>
      </c>
      <c r="M2634" s="7" t="s">
        <v>194</v>
      </c>
      <c r="N2634" s="7" t="n">
        <v>51</v>
      </c>
      <c r="O2634" s="7" t="n">
        <v>4</v>
      </c>
    </row>
    <row r="2635" customFormat="false" ht="15" hidden="false" customHeight="false" outlineLevel="0" collapsed="false">
      <c r="A2635" s="7" t="s">
        <v>5389</v>
      </c>
      <c r="B2635" s="10" t="n">
        <v>45988</v>
      </c>
      <c r="C2635" s="7" t="s">
        <v>1718</v>
      </c>
      <c r="D2635" s="7" t="s">
        <v>784</v>
      </c>
      <c r="E2635" s="7" t="s">
        <v>161</v>
      </c>
      <c r="F2635" s="7" t="s">
        <v>141</v>
      </c>
      <c r="G2635" s="7" t="s">
        <v>117</v>
      </c>
      <c r="H2635" s="7" t="n">
        <v>1</v>
      </c>
      <c r="I2635" s="11" t="n">
        <v>130</v>
      </c>
      <c r="J2635" s="11" t="n">
        <v>0</v>
      </c>
      <c r="K2635" s="11" t="n">
        <f aca="false">H2635*I2635-J2635</f>
        <v>130</v>
      </c>
      <c r="L2635" s="7" t="s">
        <v>88</v>
      </c>
      <c r="M2635" s="7" t="s">
        <v>194</v>
      </c>
      <c r="N2635" s="7" t="n">
        <v>39</v>
      </c>
      <c r="O2635" s="7" t="n">
        <v>3</v>
      </c>
    </row>
    <row r="2636" customFormat="false" ht="15" hidden="false" customHeight="false" outlineLevel="0" collapsed="false">
      <c r="A2636" s="7" t="s">
        <v>5206</v>
      </c>
      <c r="B2636" s="10" t="n">
        <v>45988</v>
      </c>
      <c r="C2636" s="7" t="s">
        <v>1400</v>
      </c>
      <c r="D2636" s="7" t="s">
        <v>1827</v>
      </c>
      <c r="E2636" s="7" t="s">
        <v>168</v>
      </c>
      <c r="F2636" s="7" t="s">
        <v>146</v>
      </c>
      <c r="G2636" s="7" t="s">
        <v>123</v>
      </c>
      <c r="H2636" s="7" t="n">
        <v>2</v>
      </c>
      <c r="I2636" s="11" t="n">
        <v>330</v>
      </c>
      <c r="J2636" s="11" t="n">
        <v>150</v>
      </c>
      <c r="K2636" s="11" t="n">
        <f aca="false">H2636*I2636-J2636</f>
        <v>510</v>
      </c>
      <c r="L2636" s="7" t="s">
        <v>88</v>
      </c>
      <c r="M2636" s="7" t="s">
        <v>194</v>
      </c>
      <c r="N2636" s="7" t="n">
        <v>45</v>
      </c>
      <c r="O2636" s="7" t="n">
        <v>5</v>
      </c>
    </row>
    <row r="2637" customFormat="false" ht="15" hidden="false" customHeight="false" outlineLevel="0" collapsed="false">
      <c r="A2637" s="7" t="s">
        <v>4574</v>
      </c>
      <c r="B2637" s="10" t="n">
        <v>45989</v>
      </c>
      <c r="C2637" s="7" t="s">
        <v>4575</v>
      </c>
      <c r="D2637" s="7" t="s">
        <v>4576</v>
      </c>
      <c r="E2637" s="7" t="s">
        <v>159</v>
      </c>
      <c r="F2637" s="7" t="s">
        <v>136</v>
      </c>
      <c r="G2637" s="7" t="s">
        <v>90</v>
      </c>
      <c r="H2637" s="7" t="n">
        <v>1</v>
      </c>
      <c r="I2637" s="11" t="n">
        <v>280</v>
      </c>
      <c r="J2637" s="11" t="n">
        <v>100</v>
      </c>
      <c r="K2637" s="11" t="n">
        <f aca="false">H2637*I2637-J2637</f>
        <v>180</v>
      </c>
      <c r="L2637" s="7" t="s">
        <v>112</v>
      </c>
      <c r="M2637" s="7" t="s">
        <v>194</v>
      </c>
      <c r="N2637" s="7" t="n">
        <v>21</v>
      </c>
      <c r="O2637" s="7" t="n">
        <v>5</v>
      </c>
    </row>
    <row r="2638" customFormat="false" ht="15" hidden="false" customHeight="false" outlineLevel="0" collapsed="false">
      <c r="A2638" s="7" t="s">
        <v>2991</v>
      </c>
      <c r="B2638" s="10" t="n">
        <v>45989</v>
      </c>
      <c r="C2638" s="7" t="s">
        <v>2992</v>
      </c>
      <c r="D2638" s="7" t="s">
        <v>1172</v>
      </c>
      <c r="E2638" s="7" t="s">
        <v>148</v>
      </c>
      <c r="F2638" s="7" t="s">
        <v>119</v>
      </c>
      <c r="G2638" s="7" t="s">
        <v>123</v>
      </c>
      <c r="H2638" s="7" t="n">
        <v>2</v>
      </c>
      <c r="I2638" s="11" t="n">
        <v>395</v>
      </c>
      <c r="J2638" s="11" t="n">
        <v>125</v>
      </c>
      <c r="K2638" s="11" t="n">
        <f aca="false">H2638*I2638-J2638</f>
        <v>665</v>
      </c>
      <c r="L2638" s="7" t="s">
        <v>93</v>
      </c>
      <c r="M2638" s="7" t="s">
        <v>194</v>
      </c>
      <c r="N2638" s="7"/>
      <c r="O2638" s="7" t="n">
        <v>4</v>
      </c>
    </row>
    <row r="2639" customFormat="false" ht="15" hidden="false" customHeight="false" outlineLevel="0" collapsed="false">
      <c r="A2639" s="7" t="s">
        <v>3712</v>
      </c>
      <c r="B2639" s="10" t="n">
        <v>45989</v>
      </c>
      <c r="C2639" s="7" t="s">
        <v>3713</v>
      </c>
      <c r="D2639" s="7" t="s">
        <v>3714</v>
      </c>
      <c r="E2639" s="7" t="s">
        <v>142</v>
      </c>
      <c r="F2639" s="7" t="s">
        <v>110</v>
      </c>
      <c r="G2639" s="7" t="s">
        <v>105</v>
      </c>
      <c r="H2639" s="7" t="n">
        <v>4</v>
      </c>
      <c r="I2639" s="11" t="n">
        <v>175</v>
      </c>
      <c r="J2639" s="11" t="n">
        <v>0</v>
      </c>
      <c r="K2639" s="11" t="n">
        <f aca="false">H2639*I2639-J2639</f>
        <v>700</v>
      </c>
      <c r="L2639" s="7" t="s">
        <v>103</v>
      </c>
      <c r="M2639" s="7" t="s">
        <v>194</v>
      </c>
      <c r="N2639" s="7" t="n">
        <v>23</v>
      </c>
      <c r="O2639" s="7" t="n">
        <v>5</v>
      </c>
    </row>
    <row r="2640" customFormat="false" ht="15" hidden="false" customHeight="false" outlineLevel="0" collapsed="false">
      <c r="A2640" s="7" t="s">
        <v>3853</v>
      </c>
      <c r="B2640" s="10" t="n">
        <v>45989</v>
      </c>
      <c r="C2640" s="7" t="s">
        <v>284</v>
      </c>
      <c r="D2640" s="7" t="s">
        <v>2951</v>
      </c>
      <c r="E2640" s="7" t="s">
        <v>148</v>
      </c>
      <c r="F2640" s="7" t="s">
        <v>119</v>
      </c>
      <c r="G2640" s="7" t="s">
        <v>123</v>
      </c>
      <c r="H2640" s="7" t="n">
        <v>1</v>
      </c>
      <c r="I2640" s="11" t="n">
        <v>330</v>
      </c>
      <c r="J2640" s="11" t="n">
        <v>30</v>
      </c>
      <c r="K2640" s="11" t="n">
        <f aca="false">H2640*I2640-J2640</f>
        <v>300</v>
      </c>
      <c r="L2640" s="7" t="s">
        <v>88</v>
      </c>
      <c r="M2640" s="7" t="s">
        <v>194</v>
      </c>
      <c r="N2640" s="7" t="n">
        <v>32</v>
      </c>
      <c r="O2640" s="7" t="n">
        <v>3</v>
      </c>
    </row>
    <row r="2641" customFormat="false" ht="15" hidden="false" customHeight="false" outlineLevel="0" collapsed="false">
      <c r="A2641" s="7" t="s">
        <v>2560</v>
      </c>
      <c r="B2641" s="10" t="n">
        <v>45989</v>
      </c>
      <c r="C2641" s="7" t="s">
        <v>762</v>
      </c>
      <c r="D2641" s="7" t="s">
        <v>2139</v>
      </c>
      <c r="E2641" s="7" t="s">
        <v>154</v>
      </c>
      <c r="F2641" s="7" t="s">
        <v>128</v>
      </c>
      <c r="G2641" s="7" t="s">
        <v>99</v>
      </c>
      <c r="H2641" s="7" t="n">
        <v>3</v>
      </c>
      <c r="I2641" s="11" t="n">
        <v>270</v>
      </c>
      <c r="J2641" s="11" t="n">
        <v>0</v>
      </c>
      <c r="K2641" s="11" t="n">
        <f aca="false">H2641*I2641-J2641</f>
        <v>810</v>
      </c>
      <c r="L2641" s="7" t="s">
        <v>88</v>
      </c>
      <c r="M2641" s="7" t="s">
        <v>194</v>
      </c>
      <c r="N2641" s="7" t="n">
        <v>21</v>
      </c>
      <c r="O2641" s="7" t="n">
        <v>5</v>
      </c>
    </row>
    <row r="2642" customFormat="false" ht="15" hidden="false" customHeight="false" outlineLevel="0" collapsed="false">
      <c r="A2642" s="7" t="s">
        <v>2025</v>
      </c>
      <c r="B2642" s="10" t="n">
        <v>45989</v>
      </c>
      <c r="C2642" s="7" t="s">
        <v>2027</v>
      </c>
      <c r="D2642" s="7" t="s">
        <v>2028</v>
      </c>
      <c r="E2642" s="7" t="s">
        <v>130</v>
      </c>
      <c r="F2642" s="7" t="s">
        <v>110</v>
      </c>
      <c r="G2642" s="7" t="s">
        <v>90</v>
      </c>
      <c r="H2642" s="7" t="n">
        <v>1</v>
      </c>
      <c r="I2642" s="11" t="n">
        <v>280</v>
      </c>
      <c r="J2642" s="11" t="n">
        <v>20</v>
      </c>
      <c r="K2642" s="11" t="n">
        <f aca="false">H2642*I2642-J2642</f>
        <v>260</v>
      </c>
      <c r="L2642" s="7" t="s">
        <v>88</v>
      </c>
      <c r="M2642" s="7" t="s">
        <v>194</v>
      </c>
      <c r="N2642" s="7" t="n">
        <v>43</v>
      </c>
      <c r="O2642" s="7" t="n">
        <v>4</v>
      </c>
    </row>
    <row r="2643" customFormat="false" ht="15" hidden="false" customHeight="false" outlineLevel="0" collapsed="false">
      <c r="A2643" s="7" t="s">
        <v>2180</v>
      </c>
      <c r="B2643" s="10" t="n">
        <v>45989</v>
      </c>
      <c r="C2643" s="7" t="s">
        <v>724</v>
      </c>
      <c r="D2643" s="7" t="s">
        <v>1878</v>
      </c>
      <c r="E2643" s="7" t="s">
        <v>148</v>
      </c>
      <c r="F2643" s="7" t="s">
        <v>119</v>
      </c>
      <c r="G2643" s="7" t="s">
        <v>123</v>
      </c>
      <c r="H2643" s="7" t="n">
        <v>3</v>
      </c>
      <c r="I2643" s="11" t="n">
        <v>340</v>
      </c>
      <c r="J2643" s="11" t="n">
        <v>75</v>
      </c>
      <c r="K2643" s="11" t="n">
        <f aca="false">H2643*I2643-J2643</f>
        <v>945</v>
      </c>
      <c r="L2643" s="7" t="s">
        <v>88</v>
      </c>
      <c r="M2643" s="7" t="s">
        <v>194</v>
      </c>
      <c r="N2643" s="7" t="n">
        <v>33</v>
      </c>
      <c r="O2643" s="7" t="n">
        <v>5</v>
      </c>
    </row>
    <row r="2644" customFormat="false" ht="15" hidden="false" customHeight="false" outlineLevel="0" collapsed="false">
      <c r="A2644" s="7" t="s">
        <v>3642</v>
      </c>
      <c r="B2644" s="10" t="n">
        <v>45989</v>
      </c>
      <c r="C2644" s="7" t="s">
        <v>1263</v>
      </c>
      <c r="D2644" s="7" t="s">
        <v>3643</v>
      </c>
      <c r="E2644" s="7" t="s">
        <v>151</v>
      </c>
      <c r="F2644" s="7" t="s">
        <v>128</v>
      </c>
      <c r="G2644" s="7" t="s">
        <v>95</v>
      </c>
      <c r="H2644" s="7" t="n">
        <v>1</v>
      </c>
      <c r="I2644" s="11" t="n">
        <v>190</v>
      </c>
      <c r="J2644" s="11" t="n">
        <v>40</v>
      </c>
      <c r="K2644" s="11" t="n">
        <f aca="false">H2644*I2644-J2644</f>
        <v>150</v>
      </c>
      <c r="L2644" s="7" t="s">
        <v>121</v>
      </c>
      <c r="M2644" s="7" t="s">
        <v>194</v>
      </c>
      <c r="N2644" s="7" t="n">
        <v>29</v>
      </c>
      <c r="O2644" s="7" t="n">
        <v>5</v>
      </c>
    </row>
    <row r="2645" customFormat="false" ht="15" hidden="false" customHeight="false" outlineLevel="0" collapsed="false">
      <c r="A2645" s="7" t="s">
        <v>2211</v>
      </c>
      <c r="B2645" s="10" t="n">
        <v>45989</v>
      </c>
      <c r="C2645" s="7" t="s">
        <v>2212</v>
      </c>
      <c r="D2645" s="7" t="s">
        <v>2091</v>
      </c>
      <c r="E2645" s="7" t="s">
        <v>151</v>
      </c>
      <c r="F2645" s="7" t="s">
        <v>128</v>
      </c>
      <c r="G2645" s="7" t="s">
        <v>95</v>
      </c>
      <c r="H2645" s="7" t="n">
        <v>1</v>
      </c>
      <c r="I2645" s="11" t="n">
        <v>180</v>
      </c>
      <c r="J2645" s="11" t="n">
        <v>0</v>
      </c>
      <c r="K2645" s="11" t="n">
        <f aca="false">H2645*I2645-J2645</f>
        <v>180</v>
      </c>
      <c r="L2645" s="7" t="s">
        <v>88</v>
      </c>
      <c r="M2645" s="7" t="s">
        <v>194</v>
      </c>
      <c r="N2645" s="7" t="n">
        <v>52</v>
      </c>
      <c r="O2645" s="7" t="n">
        <v>3</v>
      </c>
    </row>
    <row r="2646" customFormat="false" ht="15" hidden="false" customHeight="false" outlineLevel="0" collapsed="false">
      <c r="A2646" s="7" t="s">
        <v>278</v>
      </c>
      <c r="B2646" s="10" t="n">
        <v>45989</v>
      </c>
      <c r="C2646" s="7" t="s">
        <v>280</v>
      </c>
      <c r="D2646" s="7" t="s">
        <v>281</v>
      </c>
      <c r="E2646" s="7" t="s">
        <v>144</v>
      </c>
      <c r="F2646" s="7" t="s">
        <v>119</v>
      </c>
      <c r="G2646" s="7" t="s">
        <v>99</v>
      </c>
      <c r="H2646" s="7" t="n">
        <v>1</v>
      </c>
      <c r="I2646" s="11" t="n">
        <v>305</v>
      </c>
      <c r="J2646" s="11" t="n">
        <v>122</v>
      </c>
      <c r="K2646" s="11" t="n">
        <f aca="false">H2646*I2646-J2646</f>
        <v>183</v>
      </c>
      <c r="L2646" s="7" t="s">
        <v>88</v>
      </c>
      <c r="M2646" s="7" t="s">
        <v>194</v>
      </c>
      <c r="N2646" s="7" t="n">
        <v>58</v>
      </c>
      <c r="O2646" s="7" t="n">
        <v>4</v>
      </c>
    </row>
    <row r="2647" customFormat="false" ht="15" hidden="false" customHeight="false" outlineLevel="0" collapsed="false">
      <c r="A2647" s="7" t="s">
        <v>2666</v>
      </c>
      <c r="B2647" s="10" t="n">
        <v>45989</v>
      </c>
      <c r="C2647" s="7" t="s">
        <v>817</v>
      </c>
      <c r="D2647" s="7" t="s">
        <v>2667</v>
      </c>
      <c r="E2647" s="7" t="s">
        <v>163</v>
      </c>
      <c r="F2647" s="7" t="s">
        <v>141</v>
      </c>
      <c r="G2647" s="7" t="s">
        <v>99</v>
      </c>
      <c r="H2647" s="7" t="n">
        <v>2</v>
      </c>
      <c r="I2647" s="11" t="n">
        <v>250</v>
      </c>
      <c r="J2647" s="11" t="n">
        <v>0</v>
      </c>
      <c r="K2647" s="11" t="n">
        <f aca="false">H2647*I2647-J2647</f>
        <v>500</v>
      </c>
      <c r="L2647" s="7" t="s">
        <v>88</v>
      </c>
      <c r="M2647" s="7" t="s">
        <v>194</v>
      </c>
      <c r="N2647" s="7" t="n">
        <v>40</v>
      </c>
      <c r="O2647" s="7" t="n">
        <v>4</v>
      </c>
    </row>
    <row r="2648" customFormat="false" ht="15" hidden="false" customHeight="false" outlineLevel="0" collapsed="false">
      <c r="A2648" s="7" t="s">
        <v>3285</v>
      </c>
      <c r="B2648" s="10" t="n">
        <v>45990</v>
      </c>
      <c r="C2648" s="7" t="s">
        <v>2003</v>
      </c>
      <c r="D2648" s="7" t="s">
        <v>3286</v>
      </c>
      <c r="E2648" s="7" t="s">
        <v>147</v>
      </c>
      <c r="F2648" s="7" t="s">
        <v>119</v>
      </c>
      <c r="G2648" s="7" t="s">
        <v>95</v>
      </c>
      <c r="H2648" s="7" t="n">
        <v>1</v>
      </c>
      <c r="I2648" s="11" t="n">
        <v>135</v>
      </c>
      <c r="J2648" s="11" t="n">
        <v>0</v>
      </c>
      <c r="K2648" s="11" t="n">
        <f aca="false">H2648*I2648-J2648</f>
        <v>135</v>
      </c>
      <c r="L2648" s="7" t="s">
        <v>88</v>
      </c>
      <c r="M2648" s="7" t="s">
        <v>194</v>
      </c>
      <c r="N2648" s="7" t="n">
        <v>31</v>
      </c>
      <c r="O2648" s="7"/>
    </row>
    <row r="2649" customFormat="false" ht="15" hidden="false" customHeight="false" outlineLevel="0" collapsed="false">
      <c r="A2649" s="7" t="s">
        <v>4855</v>
      </c>
      <c r="B2649" s="10" t="n">
        <v>45990</v>
      </c>
      <c r="C2649" s="7" t="s">
        <v>4856</v>
      </c>
      <c r="D2649" s="7" t="s">
        <v>3876</v>
      </c>
      <c r="E2649" s="7" t="s">
        <v>126</v>
      </c>
      <c r="F2649" s="7" t="s">
        <v>101</v>
      </c>
      <c r="G2649" s="7" t="s">
        <v>105</v>
      </c>
      <c r="H2649" s="7" t="n">
        <v>3</v>
      </c>
      <c r="I2649" s="11" t="n">
        <v>220</v>
      </c>
      <c r="J2649" s="11" t="n">
        <v>0</v>
      </c>
      <c r="K2649" s="11" t="n">
        <f aca="false">H2649*I2649-J2649</f>
        <v>660</v>
      </c>
      <c r="L2649" s="7" t="s">
        <v>88</v>
      </c>
      <c r="M2649" s="7" t="s">
        <v>194</v>
      </c>
      <c r="N2649" s="7" t="n">
        <v>31</v>
      </c>
      <c r="O2649" s="7" t="n">
        <v>4</v>
      </c>
    </row>
    <row r="2650" customFormat="false" ht="15" hidden="false" customHeight="false" outlineLevel="0" collapsed="false">
      <c r="A2650" s="7" t="s">
        <v>4849</v>
      </c>
      <c r="B2650" s="10" t="n">
        <v>45990</v>
      </c>
      <c r="C2650" s="7" t="s">
        <v>2105</v>
      </c>
      <c r="D2650" s="7" t="s">
        <v>2310</v>
      </c>
      <c r="E2650" s="7" t="s">
        <v>154</v>
      </c>
      <c r="F2650" s="7" t="s">
        <v>128</v>
      </c>
      <c r="G2650" s="7" t="s">
        <v>99</v>
      </c>
      <c r="H2650" s="7" t="n">
        <v>1</v>
      </c>
      <c r="I2650" s="11" t="n">
        <v>265</v>
      </c>
      <c r="J2650" s="11" t="n">
        <v>100</v>
      </c>
      <c r="K2650" s="11" t="n">
        <f aca="false">H2650*I2650-J2650</f>
        <v>165</v>
      </c>
      <c r="L2650" s="7" t="s">
        <v>112</v>
      </c>
      <c r="M2650" s="7" t="s">
        <v>194</v>
      </c>
      <c r="N2650" s="7" t="n">
        <v>38</v>
      </c>
      <c r="O2650" s="7" t="n">
        <v>4</v>
      </c>
    </row>
    <row r="2651" customFormat="false" ht="15" hidden="false" customHeight="false" outlineLevel="0" collapsed="false">
      <c r="A2651" s="7" t="s">
        <v>1993</v>
      </c>
      <c r="B2651" s="10" t="n">
        <v>45990</v>
      </c>
      <c r="C2651" s="7" t="s">
        <v>1995</v>
      </c>
      <c r="D2651" s="7" t="s">
        <v>1996</v>
      </c>
      <c r="E2651" s="7" t="s">
        <v>104</v>
      </c>
      <c r="F2651" s="7" t="s">
        <v>86</v>
      </c>
      <c r="G2651" s="7" t="s">
        <v>105</v>
      </c>
      <c r="H2651" s="7" t="n">
        <v>1</v>
      </c>
      <c r="I2651" s="11" t="n">
        <v>175</v>
      </c>
      <c r="J2651" s="11" t="n">
        <v>0</v>
      </c>
      <c r="K2651" s="11" t="n">
        <f aca="false">H2651*I2651-J2651</f>
        <v>175</v>
      </c>
      <c r="L2651" s="7" t="s">
        <v>133</v>
      </c>
      <c r="M2651" s="7" t="s">
        <v>194</v>
      </c>
      <c r="N2651" s="7" t="n">
        <v>51</v>
      </c>
      <c r="O2651" s="7" t="n">
        <v>3</v>
      </c>
    </row>
    <row r="2652" customFormat="false" ht="15" hidden="false" customHeight="false" outlineLevel="0" collapsed="false">
      <c r="A2652" s="7" t="s">
        <v>5318</v>
      </c>
      <c r="B2652" s="10" t="n">
        <v>45990</v>
      </c>
      <c r="C2652" s="7" t="s">
        <v>369</v>
      </c>
      <c r="D2652" s="7" t="s">
        <v>5319</v>
      </c>
      <c r="E2652" s="7" t="s">
        <v>134</v>
      </c>
      <c r="F2652" s="7" t="s">
        <v>110</v>
      </c>
      <c r="G2652" s="7" t="s">
        <v>117</v>
      </c>
      <c r="H2652" s="7" t="n">
        <v>1</v>
      </c>
      <c r="I2652" s="11" t="n">
        <v>110</v>
      </c>
      <c r="J2652" s="11" t="n">
        <v>44</v>
      </c>
      <c r="K2652" s="11" t="n">
        <f aca="false">H2652*I2652-J2652</f>
        <v>66</v>
      </c>
      <c r="L2652" s="7" t="s">
        <v>112</v>
      </c>
      <c r="M2652" s="7" t="s">
        <v>194</v>
      </c>
      <c r="N2652" s="7" t="n">
        <v>34</v>
      </c>
      <c r="O2652" s="7" t="n">
        <v>5</v>
      </c>
    </row>
    <row r="2653" customFormat="false" ht="15" hidden="false" customHeight="false" outlineLevel="0" collapsed="false">
      <c r="A2653" s="7" t="s">
        <v>2797</v>
      </c>
      <c r="B2653" s="10" t="n">
        <v>45990</v>
      </c>
      <c r="C2653" s="7" t="s">
        <v>2329</v>
      </c>
      <c r="D2653" s="7" t="s">
        <v>1322</v>
      </c>
      <c r="E2653" s="7" t="s">
        <v>160</v>
      </c>
      <c r="F2653" s="7" t="s">
        <v>136</v>
      </c>
      <c r="G2653" s="7" t="s">
        <v>150</v>
      </c>
      <c r="H2653" s="7" t="n">
        <v>2</v>
      </c>
      <c r="I2653" s="11" t="n">
        <v>165</v>
      </c>
      <c r="J2653" s="11" t="n">
        <v>0</v>
      </c>
      <c r="K2653" s="11" t="n">
        <f aca="false">H2653*I2653-J2653</f>
        <v>330</v>
      </c>
      <c r="L2653" s="7" t="s">
        <v>88</v>
      </c>
      <c r="M2653" s="7" t="s">
        <v>194</v>
      </c>
      <c r="N2653" s="7" t="n">
        <v>24</v>
      </c>
      <c r="O2653" s="7"/>
    </row>
    <row r="2654" customFormat="false" ht="15" hidden="false" customHeight="false" outlineLevel="0" collapsed="false">
      <c r="A2654" s="7" t="s">
        <v>5822</v>
      </c>
      <c r="B2654" s="10" t="n">
        <v>45990</v>
      </c>
      <c r="C2654" s="7" t="s">
        <v>1880</v>
      </c>
      <c r="D2654" s="7" t="s">
        <v>2306</v>
      </c>
      <c r="E2654" s="7" t="s">
        <v>126</v>
      </c>
      <c r="F2654" s="7" t="s">
        <v>101</v>
      </c>
      <c r="G2654" s="7" t="s">
        <v>105</v>
      </c>
      <c r="H2654" s="7" t="n">
        <v>3</v>
      </c>
      <c r="I2654" s="11" t="n">
        <v>165</v>
      </c>
      <c r="J2654" s="11" t="n">
        <v>20</v>
      </c>
      <c r="K2654" s="11" t="n">
        <f aca="false">H2654*I2654-J2654</f>
        <v>475</v>
      </c>
      <c r="L2654" s="7" t="s">
        <v>103</v>
      </c>
      <c r="M2654" s="7" t="s">
        <v>194</v>
      </c>
      <c r="N2654" s="7" t="n">
        <v>54</v>
      </c>
      <c r="O2654" s="7" t="n">
        <v>5</v>
      </c>
    </row>
    <row r="2655" customFormat="false" ht="15" hidden="false" customHeight="false" outlineLevel="0" collapsed="false">
      <c r="A2655" s="7" t="s">
        <v>831</v>
      </c>
      <c r="B2655" s="10" t="n">
        <v>45991</v>
      </c>
      <c r="C2655" s="7" t="s">
        <v>832</v>
      </c>
      <c r="D2655" s="7" t="s">
        <v>833</v>
      </c>
      <c r="E2655" s="7" t="s">
        <v>161</v>
      </c>
      <c r="F2655" s="7" t="s">
        <v>141</v>
      </c>
      <c r="G2655" s="7" t="s">
        <v>117</v>
      </c>
      <c r="H2655" s="7" t="n">
        <v>3</v>
      </c>
      <c r="I2655" s="11" t="n">
        <v>145</v>
      </c>
      <c r="J2655" s="11" t="n">
        <v>0</v>
      </c>
      <c r="K2655" s="11" t="n">
        <f aca="false">H2655*I2655-J2655</f>
        <v>435</v>
      </c>
      <c r="L2655" s="7" t="s">
        <v>88</v>
      </c>
      <c r="M2655" s="7" t="s">
        <v>194</v>
      </c>
      <c r="N2655" s="7" t="n">
        <v>24</v>
      </c>
      <c r="O2655" s="7" t="n">
        <v>4</v>
      </c>
    </row>
    <row r="2656" customFormat="false" ht="15" hidden="false" customHeight="false" outlineLevel="0" collapsed="false">
      <c r="A2656" s="7" t="s">
        <v>4653</v>
      </c>
      <c r="B2656" s="10" t="n">
        <v>45991</v>
      </c>
      <c r="C2656" s="7" t="s">
        <v>1552</v>
      </c>
      <c r="D2656" s="7" t="s">
        <v>698</v>
      </c>
      <c r="E2656" s="7" t="s">
        <v>154</v>
      </c>
      <c r="F2656" s="7" t="s">
        <v>128</v>
      </c>
      <c r="G2656" s="7" t="s">
        <v>99</v>
      </c>
      <c r="H2656" s="7" t="n">
        <v>2</v>
      </c>
      <c r="I2656" s="11" t="n">
        <v>230</v>
      </c>
      <c r="J2656" s="11" t="n">
        <v>40</v>
      </c>
      <c r="K2656" s="11" t="n">
        <f aca="false">H2656*I2656-J2656</f>
        <v>420</v>
      </c>
      <c r="L2656" s="7" t="s">
        <v>112</v>
      </c>
      <c r="M2656" s="7" t="s">
        <v>194</v>
      </c>
      <c r="N2656" s="7" t="n">
        <v>22</v>
      </c>
      <c r="O2656" s="7" t="n">
        <v>3</v>
      </c>
    </row>
    <row r="2657" customFormat="false" ht="15" hidden="false" customHeight="false" outlineLevel="0" collapsed="false">
      <c r="A2657" s="7" t="s">
        <v>4243</v>
      </c>
      <c r="B2657" s="10" t="n">
        <v>45991</v>
      </c>
      <c r="C2657" s="7" t="s">
        <v>2266</v>
      </c>
      <c r="D2657" s="7" t="s">
        <v>4244</v>
      </c>
      <c r="E2657" s="7" t="s">
        <v>89</v>
      </c>
      <c r="F2657" s="7" t="s">
        <v>86</v>
      </c>
      <c r="G2657" s="7" t="s">
        <v>90</v>
      </c>
      <c r="H2657" s="7" t="n">
        <v>3</v>
      </c>
      <c r="I2657" s="11" t="n">
        <v>260</v>
      </c>
      <c r="J2657" s="11" t="n">
        <v>0</v>
      </c>
      <c r="K2657" s="11" t="n">
        <f aca="false">H2657*I2657-J2657</f>
        <v>780</v>
      </c>
      <c r="L2657" s="7" t="s">
        <v>93</v>
      </c>
      <c r="M2657" s="7" t="s">
        <v>194</v>
      </c>
      <c r="N2657" s="7" t="n">
        <v>29</v>
      </c>
      <c r="O2657" s="7" t="n">
        <v>4</v>
      </c>
    </row>
    <row r="2658" customFormat="false" ht="15" hidden="false" customHeight="false" outlineLevel="0" collapsed="false">
      <c r="A2658" s="7" t="s">
        <v>2806</v>
      </c>
      <c r="B2658" s="10" t="n">
        <v>45991</v>
      </c>
      <c r="C2658" s="7" t="s">
        <v>883</v>
      </c>
      <c r="D2658" s="7" t="s">
        <v>2807</v>
      </c>
      <c r="E2658" s="7" t="s">
        <v>134</v>
      </c>
      <c r="F2658" s="7" t="s">
        <v>110</v>
      </c>
      <c r="G2658" s="7" t="s">
        <v>117</v>
      </c>
      <c r="H2658" s="7" t="n">
        <v>3</v>
      </c>
      <c r="I2658" s="11" t="n">
        <v>115</v>
      </c>
      <c r="J2658" s="11" t="n">
        <v>100</v>
      </c>
      <c r="K2658" s="11" t="n">
        <f aca="false">H2658*I2658-J2658</f>
        <v>245</v>
      </c>
      <c r="L2658" s="7" t="s">
        <v>93</v>
      </c>
      <c r="M2658" s="7" t="s">
        <v>194</v>
      </c>
      <c r="N2658" s="7" t="n">
        <v>39</v>
      </c>
      <c r="O2658" s="7" t="n">
        <v>5</v>
      </c>
    </row>
    <row r="2659" customFormat="false" ht="15" hidden="false" customHeight="false" outlineLevel="0" collapsed="false">
      <c r="A2659" s="7" t="s">
        <v>5544</v>
      </c>
      <c r="B2659" s="10" t="n">
        <v>45991</v>
      </c>
      <c r="C2659" s="7" t="s">
        <v>2710</v>
      </c>
      <c r="D2659" s="7" t="s">
        <v>847</v>
      </c>
      <c r="E2659" s="7" t="s">
        <v>149</v>
      </c>
      <c r="F2659" s="7" t="s">
        <v>119</v>
      </c>
      <c r="G2659" s="7" t="s">
        <v>150</v>
      </c>
      <c r="H2659" s="7" t="n">
        <v>1</v>
      </c>
      <c r="I2659" s="11" t="n">
        <v>170</v>
      </c>
      <c r="J2659" s="11" t="n">
        <v>20</v>
      </c>
      <c r="K2659" s="11" t="n">
        <f aca="false">H2659*I2659-J2659</f>
        <v>150</v>
      </c>
      <c r="L2659" s="7" t="s">
        <v>88</v>
      </c>
      <c r="M2659" s="7" t="s">
        <v>194</v>
      </c>
      <c r="N2659" s="7" t="n">
        <v>38</v>
      </c>
      <c r="O2659" s="7" t="n">
        <v>3</v>
      </c>
    </row>
    <row r="2660" customFormat="false" ht="15" hidden="false" customHeight="false" outlineLevel="0" collapsed="false">
      <c r="A2660" s="7" t="s">
        <v>3301</v>
      </c>
      <c r="B2660" s="10" t="n">
        <v>45991</v>
      </c>
      <c r="C2660" s="7" t="s">
        <v>3302</v>
      </c>
      <c r="D2660" s="7" t="s">
        <v>2624</v>
      </c>
      <c r="E2660" s="7" t="s">
        <v>163</v>
      </c>
      <c r="F2660" s="7" t="s">
        <v>141</v>
      </c>
      <c r="G2660" s="7" t="s">
        <v>99</v>
      </c>
      <c r="H2660" s="7" t="n">
        <v>2</v>
      </c>
      <c r="I2660" s="11" t="n">
        <v>230</v>
      </c>
      <c r="J2660" s="11" t="n">
        <v>100</v>
      </c>
      <c r="K2660" s="11" t="n">
        <f aca="false">H2660*I2660-J2660</f>
        <v>360</v>
      </c>
      <c r="L2660" s="7" t="s">
        <v>88</v>
      </c>
      <c r="M2660" s="7" t="s">
        <v>194</v>
      </c>
      <c r="N2660" s="7" t="n">
        <v>28</v>
      </c>
      <c r="O2660" s="7" t="n">
        <v>2</v>
      </c>
    </row>
    <row r="2661" customFormat="false" ht="15" hidden="false" customHeight="false" outlineLevel="0" collapsed="false">
      <c r="A2661" s="7" t="s">
        <v>2288</v>
      </c>
      <c r="B2661" s="10" t="n">
        <v>45991</v>
      </c>
      <c r="C2661" s="7" t="s">
        <v>2289</v>
      </c>
      <c r="D2661" s="7" t="s">
        <v>2290</v>
      </c>
      <c r="E2661" s="7" t="s">
        <v>138</v>
      </c>
      <c r="F2661" s="7" t="s">
        <v>110</v>
      </c>
      <c r="G2661" s="7" t="s">
        <v>139</v>
      </c>
      <c r="H2661" s="7" t="n">
        <v>5</v>
      </c>
      <c r="I2661" s="11" t="n">
        <v>200</v>
      </c>
      <c r="J2661" s="11" t="n">
        <v>0</v>
      </c>
      <c r="K2661" s="11" t="n">
        <f aca="false">H2661*I2661-J2661</f>
        <v>1000</v>
      </c>
      <c r="L2661" s="7" t="s">
        <v>93</v>
      </c>
      <c r="M2661" s="7" t="s">
        <v>194</v>
      </c>
      <c r="N2661" s="7" t="n">
        <v>42</v>
      </c>
      <c r="O2661" s="7" t="n">
        <v>5</v>
      </c>
    </row>
    <row r="2662" customFormat="false" ht="15" hidden="false" customHeight="false" outlineLevel="0" collapsed="false">
      <c r="A2662" s="7" t="s">
        <v>1406</v>
      </c>
      <c r="B2662" s="10" t="n">
        <v>45991</v>
      </c>
      <c r="C2662" s="7" t="s">
        <v>1407</v>
      </c>
      <c r="D2662" s="7" t="s">
        <v>544</v>
      </c>
      <c r="E2662" s="7" t="s">
        <v>104</v>
      </c>
      <c r="F2662" s="7" t="s">
        <v>86</v>
      </c>
      <c r="G2662" s="7" t="s">
        <v>105</v>
      </c>
      <c r="H2662" s="7" t="n">
        <v>3</v>
      </c>
      <c r="I2662" s="11" t="n">
        <v>215</v>
      </c>
      <c r="J2662" s="11" t="n">
        <v>0</v>
      </c>
      <c r="K2662" s="11" t="n">
        <f aca="false">H2662*I2662-J2662</f>
        <v>645</v>
      </c>
      <c r="L2662" s="7" t="s">
        <v>103</v>
      </c>
      <c r="M2662" s="7" t="s">
        <v>194</v>
      </c>
      <c r="N2662" s="7" t="n">
        <v>19</v>
      </c>
      <c r="O2662" s="7" t="n">
        <v>4</v>
      </c>
    </row>
    <row r="2663" customFormat="false" ht="15" hidden="false" customHeight="false" outlineLevel="0" collapsed="false">
      <c r="A2663" s="7" t="s">
        <v>4005</v>
      </c>
      <c r="B2663" s="10" t="n">
        <v>45991</v>
      </c>
      <c r="C2663" s="7" t="s">
        <v>2205</v>
      </c>
      <c r="D2663" s="7" t="s">
        <v>408</v>
      </c>
      <c r="E2663" s="7" t="s">
        <v>122</v>
      </c>
      <c r="F2663" s="7" t="s">
        <v>101</v>
      </c>
      <c r="G2663" s="7" t="s">
        <v>123</v>
      </c>
      <c r="H2663" s="7" t="n">
        <v>1</v>
      </c>
      <c r="I2663" s="11" t="n">
        <v>315</v>
      </c>
      <c r="J2663" s="11" t="n">
        <v>0</v>
      </c>
      <c r="K2663" s="11" t="n">
        <f aca="false">H2663*I2663-J2663</f>
        <v>315</v>
      </c>
      <c r="L2663" s="7" t="s">
        <v>112</v>
      </c>
      <c r="M2663" s="7" t="s">
        <v>194</v>
      </c>
      <c r="N2663" s="7" t="n">
        <v>49</v>
      </c>
      <c r="O2663" s="7" t="n">
        <v>4</v>
      </c>
    </row>
    <row r="2664" customFormat="false" ht="15" hidden="false" customHeight="false" outlineLevel="0" collapsed="false">
      <c r="A2664" s="7" t="s">
        <v>3909</v>
      </c>
      <c r="B2664" s="10" t="n">
        <v>45991</v>
      </c>
      <c r="C2664" s="7" t="s">
        <v>2076</v>
      </c>
      <c r="D2664" s="7" t="s">
        <v>467</v>
      </c>
      <c r="E2664" s="7" t="s">
        <v>134</v>
      </c>
      <c r="F2664" s="7" t="s">
        <v>110</v>
      </c>
      <c r="G2664" s="7" t="s">
        <v>117</v>
      </c>
      <c r="H2664" s="7" t="n">
        <v>1</v>
      </c>
      <c r="I2664" s="11" t="n">
        <v>120</v>
      </c>
      <c r="J2664" s="11" t="n">
        <v>0</v>
      </c>
      <c r="K2664" s="11" t="n">
        <f aca="false">H2664*I2664-J2664</f>
        <v>120</v>
      </c>
      <c r="L2664" s="7" t="s">
        <v>93</v>
      </c>
      <c r="M2664" s="7" t="s">
        <v>238</v>
      </c>
      <c r="N2664" s="7"/>
      <c r="O2664" s="7"/>
    </row>
    <row r="2665" customFormat="false" ht="15" hidden="false" customHeight="false" outlineLevel="0" collapsed="false">
      <c r="A2665" s="7" t="s">
        <v>3342</v>
      </c>
      <c r="B2665" s="10" t="n">
        <v>45991</v>
      </c>
      <c r="C2665" s="7" t="s">
        <v>452</v>
      </c>
      <c r="D2665" s="7" t="s">
        <v>2894</v>
      </c>
      <c r="E2665" s="7" t="s">
        <v>138</v>
      </c>
      <c r="F2665" s="7" t="s">
        <v>110</v>
      </c>
      <c r="G2665" s="7" t="s">
        <v>139</v>
      </c>
      <c r="H2665" s="7" t="n">
        <v>3</v>
      </c>
      <c r="I2665" s="11" t="n">
        <v>180</v>
      </c>
      <c r="J2665" s="11" t="n">
        <v>150</v>
      </c>
      <c r="K2665" s="11" t="n">
        <f aca="false">H2665*I2665-J2665</f>
        <v>390</v>
      </c>
      <c r="L2665" s="7" t="s">
        <v>93</v>
      </c>
      <c r="M2665" s="7" t="s">
        <v>194</v>
      </c>
      <c r="N2665" s="7" t="n">
        <v>38</v>
      </c>
      <c r="O2665" s="7" t="n">
        <v>3</v>
      </c>
    </row>
    <row r="2666" customFormat="false" ht="15" hidden="false" customHeight="false" outlineLevel="0" collapsed="false">
      <c r="A2666" s="7" t="s">
        <v>2504</v>
      </c>
      <c r="B2666" s="10" t="n">
        <v>45991</v>
      </c>
      <c r="C2666" s="7" t="s">
        <v>581</v>
      </c>
      <c r="D2666" s="7" t="s">
        <v>2043</v>
      </c>
      <c r="E2666" s="7" t="s">
        <v>98</v>
      </c>
      <c r="F2666" s="7" t="s">
        <v>86</v>
      </c>
      <c r="G2666" s="7" t="s">
        <v>99</v>
      </c>
      <c r="H2666" s="7" t="n">
        <v>1</v>
      </c>
      <c r="I2666" s="11" t="n">
        <v>260</v>
      </c>
      <c r="J2666" s="11" t="n">
        <v>75</v>
      </c>
      <c r="K2666" s="11" t="n">
        <f aca="false">H2666*I2666-J2666</f>
        <v>185</v>
      </c>
      <c r="L2666" s="7" t="s">
        <v>88</v>
      </c>
      <c r="M2666" s="7" t="s">
        <v>194</v>
      </c>
      <c r="N2666" s="7" t="n">
        <v>48</v>
      </c>
      <c r="O2666" s="7"/>
    </row>
    <row r="2667" customFormat="false" ht="15" hidden="false" customHeight="false" outlineLevel="0" collapsed="false">
      <c r="A2667" s="7" t="s">
        <v>5771</v>
      </c>
      <c r="B2667" s="10" t="n">
        <v>45991</v>
      </c>
      <c r="C2667" s="7" t="s">
        <v>1572</v>
      </c>
      <c r="D2667" s="7" t="s">
        <v>2158</v>
      </c>
      <c r="E2667" s="7" t="s">
        <v>134</v>
      </c>
      <c r="F2667" s="7" t="s">
        <v>110</v>
      </c>
      <c r="G2667" s="7" t="s">
        <v>117</v>
      </c>
      <c r="H2667" s="7" t="n">
        <v>3</v>
      </c>
      <c r="I2667" s="11" t="n">
        <v>100</v>
      </c>
      <c r="J2667" s="11" t="n">
        <v>0</v>
      </c>
      <c r="K2667" s="11" t="n">
        <f aca="false">H2667*I2667-J2667</f>
        <v>300</v>
      </c>
      <c r="L2667" s="7" t="s">
        <v>88</v>
      </c>
      <c r="M2667" s="7" t="s">
        <v>194</v>
      </c>
      <c r="N2667" s="7" t="n">
        <v>39</v>
      </c>
      <c r="O2667" s="7" t="n">
        <v>5</v>
      </c>
    </row>
    <row r="2668" customFormat="false" ht="15" hidden="false" customHeight="false" outlineLevel="0" collapsed="false">
      <c r="A2668" s="7" t="s">
        <v>230</v>
      </c>
      <c r="B2668" s="10" t="n">
        <v>45991</v>
      </c>
      <c r="C2668" s="7" t="s">
        <v>232</v>
      </c>
      <c r="D2668" s="7" t="s">
        <v>233</v>
      </c>
      <c r="E2668" s="7" t="s">
        <v>113</v>
      </c>
      <c r="F2668" s="7" t="s">
        <v>101</v>
      </c>
      <c r="G2668" s="7" t="s">
        <v>90</v>
      </c>
      <c r="H2668" s="7" t="n">
        <v>5</v>
      </c>
      <c r="I2668" s="11" t="n">
        <v>220</v>
      </c>
      <c r="J2668" s="11" t="n">
        <v>100</v>
      </c>
      <c r="K2668" s="11" t="n">
        <f aca="false">H2668*I2668-J2668</f>
        <v>1000</v>
      </c>
      <c r="L2668" s="7" t="s">
        <v>88</v>
      </c>
      <c r="M2668" s="7" t="s">
        <v>194</v>
      </c>
      <c r="N2668" s="7" t="n">
        <v>56</v>
      </c>
      <c r="O2668" s="7" t="n">
        <v>3</v>
      </c>
    </row>
    <row r="2669" customFormat="false" ht="15" hidden="false" customHeight="false" outlineLevel="0" collapsed="false">
      <c r="A2669" s="7" t="s">
        <v>4203</v>
      </c>
      <c r="B2669" s="10" t="n">
        <v>45991</v>
      </c>
      <c r="C2669" s="7" t="s">
        <v>2160</v>
      </c>
      <c r="D2669" s="7" t="s">
        <v>3457</v>
      </c>
      <c r="E2669" s="7" t="s">
        <v>149</v>
      </c>
      <c r="F2669" s="7" t="s">
        <v>119</v>
      </c>
      <c r="G2669" s="7" t="s">
        <v>150</v>
      </c>
      <c r="H2669" s="7" t="n">
        <v>1</v>
      </c>
      <c r="I2669" s="11" t="n">
        <v>145</v>
      </c>
      <c r="J2669" s="11" t="n">
        <v>0</v>
      </c>
      <c r="K2669" s="11" t="n">
        <f aca="false">H2669*I2669-J2669</f>
        <v>145</v>
      </c>
      <c r="L2669" s="7" t="s">
        <v>93</v>
      </c>
      <c r="M2669" s="7" t="s">
        <v>238</v>
      </c>
      <c r="N2669" s="7"/>
      <c r="O2669" s="7"/>
    </row>
    <row r="2670" customFormat="false" ht="15" hidden="false" customHeight="false" outlineLevel="0" collapsed="false">
      <c r="A2670" s="7" t="s">
        <v>4445</v>
      </c>
      <c r="B2670" s="10" t="n">
        <v>45992</v>
      </c>
      <c r="C2670" s="7" t="s">
        <v>4446</v>
      </c>
      <c r="D2670" s="7" t="s">
        <v>2378</v>
      </c>
      <c r="E2670" s="7" t="s">
        <v>122</v>
      </c>
      <c r="F2670" s="7" t="s">
        <v>101</v>
      </c>
      <c r="G2670" s="7" t="s">
        <v>123</v>
      </c>
      <c r="H2670" s="7" t="n">
        <v>4</v>
      </c>
      <c r="I2670" s="11" t="n">
        <v>340</v>
      </c>
      <c r="J2670" s="11" t="n">
        <v>0</v>
      </c>
      <c r="K2670" s="11" t="n">
        <f aca="false">H2670*I2670-J2670</f>
        <v>1360</v>
      </c>
      <c r="L2670" s="7" t="s">
        <v>88</v>
      </c>
      <c r="M2670" s="7" t="s">
        <v>194</v>
      </c>
      <c r="N2670" s="7" t="n">
        <v>46</v>
      </c>
      <c r="O2670" s="7"/>
    </row>
    <row r="2671" customFormat="false" ht="15" hidden="false" customHeight="false" outlineLevel="0" collapsed="false">
      <c r="A2671" s="7" t="s">
        <v>1114</v>
      </c>
      <c r="B2671" s="10" t="n">
        <v>45992</v>
      </c>
      <c r="C2671" s="7" t="s">
        <v>693</v>
      </c>
      <c r="D2671" s="7" t="s">
        <v>1115</v>
      </c>
      <c r="E2671" s="7" t="s">
        <v>149</v>
      </c>
      <c r="F2671" s="7" t="s">
        <v>119</v>
      </c>
      <c r="G2671" s="7" t="s">
        <v>150</v>
      </c>
      <c r="H2671" s="7" t="n">
        <v>1</v>
      </c>
      <c r="I2671" s="11" t="n">
        <v>185</v>
      </c>
      <c r="J2671" s="11" t="n">
        <v>74</v>
      </c>
      <c r="K2671" s="11" t="n">
        <f aca="false">H2671*I2671-J2671</f>
        <v>111</v>
      </c>
      <c r="L2671" s="7" t="s">
        <v>112</v>
      </c>
      <c r="M2671" s="7" t="s">
        <v>194</v>
      </c>
      <c r="N2671" s="7" t="n">
        <v>43</v>
      </c>
      <c r="O2671" s="7" t="n">
        <v>4</v>
      </c>
    </row>
    <row r="2672" customFormat="false" ht="15" hidden="false" customHeight="false" outlineLevel="0" collapsed="false">
      <c r="A2672" s="7" t="s">
        <v>3088</v>
      </c>
      <c r="B2672" s="10" t="n">
        <v>45992</v>
      </c>
      <c r="C2672" s="7" t="s">
        <v>693</v>
      </c>
      <c r="D2672" s="7" t="s">
        <v>3089</v>
      </c>
      <c r="E2672" s="7" t="s">
        <v>147</v>
      </c>
      <c r="F2672" s="7" t="s">
        <v>119</v>
      </c>
      <c r="G2672" s="7" t="s">
        <v>95</v>
      </c>
      <c r="H2672" s="7" t="n">
        <v>1</v>
      </c>
      <c r="I2672" s="11" t="n">
        <v>145</v>
      </c>
      <c r="J2672" s="11" t="n">
        <v>0</v>
      </c>
      <c r="K2672" s="11" t="n">
        <f aca="false">H2672*I2672-J2672</f>
        <v>145</v>
      </c>
      <c r="L2672" s="7" t="s">
        <v>88</v>
      </c>
      <c r="M2672" s="7" t="s">
        <v>194</v>
      </c>
      <c r="N2672" s="7" t="n">
        <v>43</v>
      </c>
      <c r="O2672" s="7" t="n">
        <v>4</v>
      </c>
    </row>
    <row r="2673" customFormat="false" ht="15" hidden="false" customHeight="false" outlineLevel="0" collapsed="false">
      <c r="A2673" s="7" t="s">
        <v>845</v>
      </c>
      <c r="B2673" s="10" t="n">
        <v>45992</v>
      </c>
      <c r="C2673" s="7" t="s">
        <v>846</v>
      </c>
      <c r="D2673" s="7" t="s">
        <v>847</v>
      </c>
      <c r="E2673" s="7" t="s">
        <v>89</v>
      </c>
      <c r="F2673" s="7" t="s">
        <v>86</v>
      </c>
      <c r="G2673" s="7" t="s">
        <v>90</v>
      </c>
      <c r="H2673" s="7" t="n">
        <v>2</v>
      </c>
      <c r="I2673" s="11" t="n">
        <v>260</v>
      </c>
      <c r="J2673" s="11" t="n">
        <v>40</v>
      </c>
      <c r="K2673" s="11" t="n">
        <f aca="false">H2673*I2673-J2673</f>
        <v>480</v>
      </c>
      <c r="L2673" s="7" t="s">
        <v>93</v>
      </c>
      <c r="M2673" s="7" t="s">
        <v>194</v>
      </c>
      <c r="N2673" s="7" t="n">
        <v>31</v>
      </c>
      <c r="O2673" s="7" t="n">
        <v>4</v>
      </c>
    </row>
    <row r="2674" customFormat="false" ht="15" hidden="false" customHeight="false" outlineLevel="0" collapsed="false">
      <c r="A2674" s="7" t="s">
        <v>881</v>
      </c>
      <c r="B2674" s="10" t="n">
        <v>45992</v>
      </c>
      <c r="C2674" s="7" t="s">
        <v>883</v>
      </c>
      <c r="D2674" s="7" t="s">
        <v>884</v>
      </c>
      <c r="E2674" s="7" t="s">
        <v>138</v>
      </c>
      <c r="F2674" s="7" t="s">
        <v>110</v>
      </c>
      <c r="G2674" s="7" t="s">
        <v>139</v>
      </c>
      <c r="H2674" s="7" t="n">
        <v>3</v>
      </c>
      <c r="I2674" s="11" t="n">
        <v>210</v>
      </c>
      <c r="J2674" s="11" t="n">
        <v>0</v>
      </c>
      <c r="K2674" s="11" t="n">
        <f aca="false">H2674*I2674-J2674</f>
        <v>630</v>
      </c>
      <c r="L2674" s="7" t="s">
        <v>88</v>
      </c>
      <c r="M2674" s="7" t="s">
        <v>194</v>
      </c>
      <c r="N2674" s="7" t="n">
        <v>49</v>
      </c>
      <c r="O2674" s="7" t="n">
        <v>3</v>
      </c>
    </row>
    <row r="2675" customFormat="false" ht="15" hidden="false" customHeight="false" outlineLevel="0" collapsed="false">
      <c r="A2675" s="7" t="s">
        <v>2060</v>
      </c>
      <c r="B2675" s="10" t="n">
        <v>45992</v>
      </c>
      <c r="C2675" s="7" t="s">
        <v>2061</v>
      </c>
      <c r="D2675" s="7" t="s">
        <v>2062</v>
      </c>
      <c r="E2675" s="7" t="s">
        <v>151</v>
      </c>
      <c r="F2675" s="7" t="s">
        <v>128</v>
      </c>
      <c r="G2675" s="7" t="s">
        <v>95</v>
      </c>
      <c r="H2675" s="7" t="n">
        <v>5</v>
      </c>
      <c r="I2675" s="11" t="n">
        <v>170</v>
      </c>
      <c r="J2675" s="11" t="n">
        <v>0</v>
      </c>
      <c r="K2675" s="11" t="n">
        <f aca="false">H2675*I2675-J2675</f>
        <v>850</v>
      </c>
      <c r="L2675" s="7" t="s">
        <v>112</v>
      </c>
      <c r="M2675" s="7" t="s">
        <v>194</v>
      </c>
      <c r="N2675" s="7"/>
      <c r="O2675" s="7" t="n">
        <v>4</v>
      </c>
    </row>
    <row r="2676" customFormat="false" ht="15" hidden="false" customHeight="false" outlineLevel="0" collapsed="false">
      <c r="A2676" s="7" t="s">
        <v>3930</v>
      </c>
      <c r="B2676" s="10" t="n">
        <v>45992</v>
      </c>
      <c r="C2676" s="7" t="s">
        <v>3083</v>
      </c>
      <c r="D2676" s="7" t="s">
        <v>2664</v>
      </c>
      <c r="E2676" s="7" t="s">
        <v>89</v>
      </c>
      <c r="F2676" s="7" t="s">
        <v>86</v>
      </c>
      <c r="G2676" s="7" t="s">
        <v>90</v>
      </c>
      <c r="H2676" s="7" t="n">
        <v>1</v>
      </c>
      <c r="I2676" s="11" t="n">
        <v>245</v>
      </c>
      <c r="J2676" s="11" t="n">
        <v>0</v>
      </c>
      <c r="K2676" s="11" t="n">
        <f aca="false">H2676*I2676-J2676</f>
        <v>245</v>
      </c>
      <c r="L2676" s="7" t="s">
        <v>88</v>
      </c>
      <c r="M2676" s="7" t="s">
        <v>194</v>
      </c>
      <c r="N2676" s="7" t="n">
        <v>26</v>
      </c>
      <c r="O2676" s="7" t="n">
        <v>5</v>
      </c>
    </row>
    <row r="2677" customFormat="false" ht="15" hidden="false" customHeight="false" outlineLevel="0" collapsed="false">
      <c r="A2677" s="7" t="s">
        <v>1829</v>
      </c>
      <c r="B2677" s="10" t="n">
        <v>45992</v>
      </c>
      <c r="C2677" s="7" t="s">
        <v>1830</v>
      </c>
      <c r="D2677" s="7" t="s">
        <v>1831</v>
      </c>
      <c r="E2677" s="7" t="s">
        <v>167</v>
      </c>
      <c r="F2677" s="7" t="s">
        <v>146</v>
      </c>
      <c r="G2677" s="7" t="s">
        <v>156</v>
      </c>
      <c r="H2677" s="7" t="n">
        <v>1</v>
      </c>
      <c r="I2677" s="11" t="n">
        <v>260</v>
      </c>
      <c r="J2677" s="11" t="n">
        <v>40</v>
      </c>
      <c r="K2677" s="11" t="n">
        <f aca="false">H2677*I2677-J2677</f>
        <v>220</v>
      </c>
      <c r="L2677" s="7" t="s">
        <v>93</v>
      </c>
      <c r="M2677" s="7" t="s">
        <v>194</v>
      </c>
      <c r="N2677" s="7" t="n">
        <v>32</v>
      </c>
      <c r="O2677" s="7" t="n">
        <v>3</v>
      </c>
    </row>
    <row r="2678" customFormat="false" ht="15" hidden="false" customHeight="false" outlineLevel="0" collapsed="false">
      <c r="A2678" s="7" t="s">
        <v>5399</v>
      </c>
      <c r="B2678" s="10" t="n">
        <v>45992</v>
      </c>
      <c r="C2678" s="7" t="s">
        <v>1864</v>
      </c>
      <c r="D2678" s="7" t="s">
        <v>997</v>
      </c>
      <c r="E2678" s="7" t="s">
        <v>149</v>
      </c>
      <c r="F2678" s="7" t="s">
        <v>119</v>
      </c>
      <c r="G2678" s="7" t="s">
        <v>150</v>
      </c>
      <c r="H2678" s="7" t="n">
        <v>1</v>
      </c>
      <c r="I2678" s="11" t="n">
        <v>170</v>
      </c>
      <c r="J2678" s="11" t="n">
        <v>0</v>
      </c>
      <c r="K2678" s="11" t="n">
        <f aca="false">H2678*I2678-J2678</f>
        <v>170</v>
      </c>
      <c r="L2678" s="7" t="s">
        <v>88</v>
      </c>
      <c r="M2678" s="7" t="s">
        <v>194</v>
      </c>
      <c r="N2678" s="7" t="n">
        <v>34</v>
      </c>
      <c r="O2678" s="7" t="n">
        <v>4</v>
      </c>
    </row>
    <row r="2679" customFormat="false" ht="15" hidden="false" customHeight="false" outlineLevel="0" collapsed="false">
      <c r="A2679" s="7" t="s">
        <v>3090</v>
      </c>
      <c r="B2679" s="10" t="n">
        <v>45992</v>
      </c>
      <c r="C2679" s="7" t="s">
        <v>2033</v>
      </c>
      <c r="D2679" s="7" t="s">
        <v>3091</v>
      </c>
      <c r="E2679" s="7" t="s">
        <v>104</v>
      </c>
      <c r="F2679" s="7" t="s">
        <v>86</v>
      </c>
      <c r="G2679" s="7" t="s">
        <v>105</v>
      </c>
      <c r="H2679" s="7" t="n">
        <v>3</v>
      </c>
      <c r="I2679" s="11" t="n">
        <v>175</v>
      </c>
      <c r="J2679" s="11" t="n">
        <v>30</v>
      </c>
      <c r="K2679" s="11" t="n">
        <f aca="false">H2679*I2679-J2679</f>
        <v>495</v>
      </c>
      <c r="L2679" s="7" t="s">
        <v>88</v>
      </c>
      <c r="M2679" s="7" t="s">
        <v>194</v>
      </c>
      <c r="N2679" s="7" t="n">
        <v>44</v>
      </c>
      <c r="O2679" s="7" t="n">
        <v>3</v>
      </c>
    </row>
    <row r="2680" customFormat="false" ht="15" hidden="false" customHeight="false" outlineLevel="0" collapsed="false">
      <c r="A2680" s="7" t="s">
        <v>211</v>
      </c>
      <c r="B2680" s="10" t="n">
        <v>45992</v>
      </c>
      <c r="C2680" s="7" t="s">
        <v>213</v>
      </c>
      <c r="D2680" s="7" t="s">
        <v>214</v>
      </c>
      <c r="E2680" s="7" t="s">
        <v>122</v>
      </c>
      <c r="F2680" s="7" t="s">
        <v>101</v>
      </c>
      <c r="G2680" s="7" t="s">
        <v>123</v>
      </c>
      <c r="H2680" s="7" t="n">
        <v>3</v>
      </c>
      <c r="I2680" s="11" t="n">
        <v>375</v>
      </c>
      <c r="J2680" s="11" t="n">
        <v>0</v>
      </c>
      <c r="K2680" s="11" t="n">
        <f aca="false">H2680*I2680-J2680</f>
        <v>1125</v>
      </c>
      <c r="L2680" s="7" t="s">
        <v>133</v>
      </c>
      <c r="M2680" s="7" t="s">
        <v>194</v>
      </c>
      <c r="N2680" s="7" t="n">
        <v>39</v>
      </c>
      <c r="O2680" s="7" t="n">
        <v>4</v>
      </c>
    </row>
    <row r="2681" customFormat="false" ht="15" hidden="false" customHeight="false" outlineLevel="0" collapsed="false">
      <c r="A2681" s="7" t="s">
        <v>4688</v>
      </c>
      <c r="B2681" s="10" t="n">
        <v>45992</v>
      </c>
      <c r="C2681" s="7" t="s">
        <v>769</v>
      </c>
      <c r="D2681" s="7" t="s">
        <v>3237</v>
      </c>
      <c r="E2681" s="7" t="s">
        <v>104</v>
      </c>
      <c r="F2681" s="7" t="s">
        <v>86</v>
      </c>
      <c r="G2681" s="7" t="s">
        <v>105</v>
      </c>
      <c r="H2681" s="7" t="n">
        <v>2</v>
      </c>
      <c r="I2681" s="11" t="n">
        <v>235</v>
      </c>
      <c r="J2681" s="11" t="n">
        <v>150</v>
      </c>
      <c r="K2681" s="11" t="n">
        <f aca="false">H2681*I2681-J2681</f>
        <v>320</v>
      </c>
      <c r="L2681" s="7" t="s">
        <v>121</v>
      </c>
      <c r="M2681" s="7" t="s">
        <v>194</v>
      </c>
      <c r="N2681" s="7" t="n">
        <v>36</v>
      </c>
      <c r="O2681" s="7" t="n">
        <v>4</v>
      </c>
    </row>
    <row r="2682" customFormat="false" ht="15" hidden="false" customHeight="false" outlineLevel="0" collapsed="false">
      <c r="A2682" s="7" t="s">
        <v>5864</v>
      </c>
      <c r="B2682" s="10" t="n">
        <v>45992</v>
      </c>
      <c r="C2682" s="7" t="s">
        <v>254</v>
      </c>
      <c r="D2682" s="7" t="s">
        <v>3692</v>
      </c>
      <c r="E2682" s="7" t="s">
        <v>130</v>
      </c>
      <c r="F2682" s="7" t="s">
        <v>110</v>
      </c>
      <c r="G2682" s="7" t="s">
        <v>90</v>
      </c>
      <c r="H2682" s="7" t="n">
        <v>4</v>
      </c>
      <c r="I2682" s="11" t="n">
        <v>255</v>
      </c>
      <c r="J2682" s="11" t="n">
        <v>20</v>
      </c>
      <c r="K2682" s="11" t="n">
        <f aca="false">H2682*I2682-J2682</f>
        <v>1000</v>
      </c>
      <c r="L2682" s="7" t="s">
        <v>88</v>
      </c>
      <c r="M2682" s="7" t="s">
        <v>194</v>
      </c>
      <c r="N2682" s="7" t="n">
        <v>48</v>
      </c>
      <c r="O2682" s="7" t="n">
        <v>5</v>
      </c>
    </row>
    <row r="2683" customFormat="false" ht="15" hidden="false" customHeight="false" outlineLevel="0" collapsed="false">
      <c r="A2683" s="7" t="s">
        <v>2827</v>
      </c>
      <c r="B2683" s="10" t="n">
        <v>45992</v>
      </c>
      <c r="C2683" s="7" t="s">
        <v>1434</v>
      </c>
      <c r="D2683" s="7" t="s">
        <v>461</v>
      </c>
      <c r="E2683" s="7" t="s">
        <v>144</v>
      </c>
      <c r="F2683" s="7" t="s">
        <v>119</v>
      </c>
      <c r="G2683" s="7" t="s">
        <v>99</v>
      </c>
      <c r="H2683" s="7" t="n">
        <v>2</v>
      </c>
      <c r="I2683" s="11" t="n">
        <v>345</v>
      </c>
      <c r="J2683" s="11" t="n">
        <v>0</v>
      </c>
      <c r="K2683" s="11" t="n">
        <f aca="false">H2683*I2683-J2683</f>
        <v>690</v>
      </c>
      <c r="L2683" s="7" t="s">
        <v>112</v>
      </c>
      <c r="M2683" s="7" t="s">
        <v>194</v>
      </c>
      <c r="N2683" s="7" t="n">
        <v>37</v>
      </c>
      <c r="O2683" s="7"/>
    </row>
    <row r="2684" customFormat="false" ht="15" hidden="false" customHeight="false" outlineLevel="0" collapsed="false">
      <c r="A2684" s="7" t="s">
        <v>2327</v>
      </c>
      <c r="B2684" s="10" t="n">
        <v>45992</v>
      </c>
      <c r="C2684" s="7" t="s">
        <v>1062</v>
      </c>
      <c r="D2684" s="7" t="s">
        <v>840</v>
      </c>
      <c r="E2684" s="7" t="s">
        <v>160</v>
      </c>
      <c r="F2684" s="7" t="s">
        <v>136</v>
      </c>
      <c r="G2684" s="7" t="s">
        <v>150</v>
      </c>
      <c r="H2684" s="7" t="n">
        <v>2</v>
      </c>
      <c r="I2684" s="11" t="n">
        <v>195</v>
      </c>
      <c r="J2684" s="11" t="n">
        <v>0</v>
      </c>
      <c r="K2684" s="11" t="n">
        <f aca="false">H2684*I2684-J2684</f>
        <v>390</v>
      </c>
      <c r="L2684" s="7" t="s">
        <v>93</v>
      </c>
      <c r="M2684" s="7" t="s">
        <v>194</v>
      </c>
      <c r="N2684" s="7" t="n">
        <v>20</v>
      </c>
      <c r="O2684" s="7" t="n">
        <v>4</v>
      </c>
    </row>
    <row r="2685" customFormat="false" ht="15" hidden="false" customHeight="false" outlineLevel="0" collapsed="false">
      <c r="A2685" s="7" t="s">
        <v>5135</v>
      </c>
      <c r="B2685" s="10" t="n">
        <v>45992</v>
      </c>
      <c r="C2685" s="7" t="s">
        <v>209</v>
      </c>
      <c r="D2685" s="7" t="s">
        <v>4694</v>
      </c>
      <c r="E2685" s="7" t="s">
        <v>168</v>
      </c>
      <c r="F2685" s="7" t="s">
        <v>146</v>
      </c>
      <c r="G2685" s="7" t="s">
        <v>123</v>
      </c>
      <c r="H2685" s="7" t="n">
        <v>2</v>
      </c>
      <c r="I2685" s="11" t="n">
        <v>370</v>
      </c>
      <c r="J2685" s="11" t="n">
        <v>0</v>
      </c>
      <c r="K2685" s="11" t="n">
        <f aca="false">H2685*I2685-J2685</f>
        <v>740</v>
      </c>
      <c r="L2685" s="7" t="s">
        <v>112</v>
      </c>
      <c r="M2685" s="7" t="s">
        <v>194</v>
      </c>
      <c r="N2685" s="7" t="n">
        <v>31</v>
      </c>
      <c r="O2685" s="7" t="n">
        <v>5</v>
      </c>
    </row>
    <row r="2686" customFormat="false" ht="15" hidden="false" customHeight="false" outlineLevel="0" collapsed="false">
      <c r="A2686" s="7" t="s">
        <v>2824</v>
      </c>
      <c r="B2686" s="10" t="n">
        <v>45993</v>
      </c>
      <c r="C2686" s="7" t="s">
        <v>2454</v>
      </c>
      <c r="D2686" s="7" t="s">
        <v>2200</v>
      </c>
      <c r="E2686" s="7" t="s">
        <v>126</v>
      </c>
      <c r="F2686" s="7" t="s">
        <v>101</v>
      </c>
      <c r="G2686" s="7" t="s">
        <v>105</v>
      </c>
      <c r="H2686" s="7" t="n">
        <v>2</v>
      </c>
      <c r="I2686" s="11" t="n">
        <v>205</v>
      </c>
      <c r="J2686" s="11" t="n">
        <v>30</v>
      </c>
      <c r="K2686" s="11" t="n">
        <f aca="false">H2686*I2686-J2686</f>
        <v>380</v>
      </c>
      <c r="L2686" s="7" t="s">
        <v>93</v>
      </c>
      <c r="M2686" s="7" t="s">
        <v>194</v>
      </c>
      <c r="N2686" s="7" t="n">
        <v>33</v>
      </c>
      <c r="O2686" s="7" t="n">
        <v>3</v>
      </c>
    </row>
    <row r="2687" customFormat="false" ht="15" hidden="false" customHeight="false" outlineLevel="0" collapsed="false">
      <c r="A2687" s="7" t="s">
        <v>1778</v>
      </c>
      <c r="B2687" s="10" t="n">
        <v>45993</v>
      </c>
      <c r="C2687" s="7" t="s">
        <v>1779</v>
      </c>
      <c r="D2687" s="7" t="s">
        <v>497</v>
      </c>
      <c r="E2687" s="7" t="s">
        <v>113</v>
      </c>
      <c r="F2687" s="7" t="s">
        <v>101</v>
      </c>
      <c r="G2687" s="7" t="s">
        <v>90</v>
      </c>
      <c r="H2687" s="7" t="n">
        <v>2</v>
      </c>
      <c r="I2687" s="11" t="n">
        <v>355</v>
      </c>
      <c r="J2687" s="11" t="n">
        <v>75</v>
      </c>
      <c r="K2687" s="11" t="n">
        <f aca="false">H2687*I2687-J2687</f>
        <v>635</v>
      </c>
      <c r="L2687" s="7" t="s">
        <v>88</v>
      </c>
      <c r="M2687" s="7" t="s">
        <v>194</v>
      </c>
      <c r="N2687" s="7" t="n">
        <v>32</v>
      </c>
      <c r="O2687" s="7" t="n">
        <v>3</v>
      </c>
    </row>
    <row r="2688" customFormat="false" ht="15" hidden="false" customHeight="false" outlineLevel="0" collapsed="false">
      <c r="A2688" s="7" t="s">
        <v>906</v>
      </c>
      <c r="B2688" s="10" t="n">
        <v>45993</v>
      </c>
      <c r="C2688" s="7" t="s">
        <v>907</v>
      </c>
      <c r="D2688" s="7" t="s">
        <v>908</v>
      </c>
      <c r="E2688" s="7" t="s">
        <v>98</v>
      </c>
      <c r="F2688" s="7" t="s">
        <v>86</v>
      </c>
      <c r="G2688" s="7" t="s">
        <v>99</v>
      </c>
      <c r="H2688" s="7" t="n">
        <v>4</v>
      </c>
      <c r="I2688" s="11" t="n">
        <v>300</v>
      </c>
      <c r="J2688" s="11" t="n">
        <v>0</v>
      </c>
      <c r="K2688" s="11" t="n">
        <f aca="false">H2688*I2688-J2688</f>
        <v>1200</v>
      </c>
      <c r="L2688" s="7" t="s">
        <v>88</v>
      </c>
      <c r="M2688" s="7" t="s">
        <v>194</v>
      </c>
      <c r="N2688" s="7" t="n">
        <v>41</v>
      </c>
      <c r="O2688" s="7"/>
    </row>
    <row r="2689" customFormat="false" ht="15" hidden="false" customHeight="false" outlineLevel="0" collapsed="false">
      <c r="A2689" s="7" t="s">
        <v>5524</v>
      </c>
      <c r="B2689" s="10" t="n">
        <v>45993</v>
      </c>
      <c r="C2689" s="7" t="s">
        <v>2923</v>
      </c>
      <c r="D2689" s="7" t="s">
        <v>264</v>
      </c>
      <c r="E2689" s="7" t="s">
        <v>122</v>
      </c>
      <c r="F2689" s="7" t="s">
        <v>101</v>
      </c>
      <c r="G2689" s="7" t="s">
        <v>123</v>
      </c>
      <c r="H2689" s="7" t="n">
        <v>1</v>
      </c>
      <c r="I2689" s="11" t="n">
        <v>325</v>
      </c>
      <c r="J2689" s="11" t="n">
        <v>0</v>
      </c>
      <c r="K2689" s="11" t="n">
        <f aca="false">H2689*I2689-J2689</f>
        <v>325</v>
      </c>
      <c r="L2689" s="7" t="s">
        <v>88</v>
      </c>
      <c r="M2689" s="7" t="s">
        <v>194</v>
      </c>
      <c r="N2689" s="7" t="n">
        <v>51</v>
      </c>
      <c r="O2689" s="7" t="n">
        <v>4</v>
      </c>
    </row>
    <row r="2690" customFormat="false" ht="15" hidden="false" customHeight="false" outlineLevel="0" collapsed="false">
      <c r="A2690" s="7" t="s">
        <v>5416</v>
      </c>
      <c r="B2690" s="10" t="n">
        <v>45993</v>
      </c>
      <c r="C2690" s="7" t="s">
        <v>2817</v>
      </c>
      <c r="D2690" s="7" t="s">
        <v>4436</v>
      </c>
      <c r="E2690" s="7" t="s">
        <v>164</v>
      </c>
      <c r="F2690" s="7" t="s">
        <v>141</v>
      </c>
      <c r="G2690" s="7" t="s">
        <v>150</v>
      </c>
      <c r="H2690" s="7" t="n">
        <v>3</v>
      </c>
      <c r="I2690" s="11" t="n">
        <v>150</v>
      </c>
      <c r="J2690" s="11" t="n">
        <v>50</v>
      </c>
      <c r="K2690" s="11" t="n">
        <f aca="false">H2690*I2690-J2690</f>
        <v>400</v>
      </c>
      <c r="L2690" s="7" t="s">
        <v>88</v>
      </c>
      <c r="M2690" s="7" t="s">
        <v>194</v>
      </c>
      <c r="N2690" s="7" t="n">
        <v>45</v>
      </c>
      <c r="O2690" s="7" t="n">
        <v>5</v>
      </c>
    </row>
    <row r="2691" customFormat="false" ht="15" hidden="false" customHeight="false" outlineLevel="0" collapsed="false">
      <c r="A2691" s="7" t="s">
        <v>2905</v>
      </c>
      <c r="B2691" s="10" t="n">
        <v>45993</v>
      </c>
      <c r="C2691" s="7" t="s">
        <v>2906</v>
      </c>
      <c r="D2691" s="7" t="s">
        <v>2907</v>
      </c>
      <c r="E2691" s="7" t="s">
        <v>158</v>
      </c>
      <c r="F2691" s="7" t="s">
        <v>136</v>
      </c>
      <c r="G2691" s="7" t="s">
        <v>139</v>
      </c>
      <c r="H2691" s="7" t="n">
        <v>1</v>
      </c>
      <c r="I2691" s="11" t="n">
        <v>195</v>
      </c>
      <c r="J2691" s="11" t="n">
        <v>0</v>
      </c>
      <c r="K2691" s="11" t="n">
        <f aca="false">H2691*I2691-J2691</f>
        <v>195</v>
      </c>
      <c r="L2691" s="7" t="s">
        <v>88</v>
      </c>
      <c r="M2691" s="7" t="s">
        <v>194</v>
      </c>
      <c r="N2691" s="7" t="n">
        <v>35</v>
      </c>
      <c r="O2691" s="7" t="n">
        <v>5</v>
      </c>
    </row>
    <row r="2692" customFormat="false" ht="15" hidden="false" customHeight="false" outlineLevel="0" collapsed="false">
      <c r="A2692" s="7" t="s">
        <v>3010</v>
      </c>
      <c r="B2692" s="10" t="n">
        <v>45993</v>
      </c>
      <c r="C2692" s="7" t="s">
        <v>3011</v>
      </c>
      <c r="D2692" s="7" t="s">
        <v>285</v>
      </c>
      <c r="E2692" s="7" t="s">
        <v>144</v>
      </c>
      <c r="F2692" s="7" t="s">
        <v>119</v>
      </c>
      <c r="G2692" s="7" t="s">
        <v>99</v>
      </c>
      <c r="H2692" s="7" t="n">
        <v>1</v>
      </c>
      <c r="I2692" s="11" t="n">
        <v>315</v>
      </c>
      <c r="J2692" s="11" t="n">
        <v>0</v>
      </c>
      <c r="K2692" s="11" t="n">
        <f aca="false">H2692*I2692-J2692</f>
        <v>315</v>
      </c>
      <c r="L2692" s="7" t="s">
        <v>103</v>
      </c>
      <c r="M2692" s="7" t="s">
        <v>194</v>
      </c>
      <c r="N2692" s="7" t="n">
        <v>26</v>
      </c>
      <c r="O2692" s="7" t="n">
        <v>5</v>
      </c>
    </row>
    <row r="2693" customFormat="false" ht="15" hidden="false" customHeight="false" outlineLevel="0" collapsed="false">
      <c r="A2693" s="7" t="s">
        <v>4539</v>
      </c>
      <c r="B2693" s="10" t="n">
        <v>45993</v>
      </c>
      <c r="C2693" s="7" t="s">
        <v>4540</v>
      </c>
      <c r="D2693" s="7" t="s">
        <v>4541</v>
      </c>
      <c r="E2693" s="7" t="s">
        <v>116</v>
      </c>
      <c r="F2693" s="7" t="s">
        <v>101</v>
      </c>
      <c r="G2693" s="7" t="s">
        <v>117</v>
      </c>
      <c r="H2693" s="7" t="n">
        <v>4</v>
      </c>
      <c r="I2693" s="11" t="n">
        <v>105</v>
      </c>
      <c r="J2693" s="11" t="n">
        <v>0</v>
      </c>
      <c r="K2693" s="11" t="n">
        <f aca="false">H2693*I2693-J2693</f>
        <v>420</v>
      </c>
      <c r="L2693" s="7" t="s">
        <v>88</v>
      </c>
      <c r="M2693" s="7" t="s">
        <v>194</v>
      </c>
      <c r="N2693" s="7" t="n">
        <v>28</v>
      </c>
      <c r="O2693" s="7" t="n">
        <v>4</v>
      </c>
    </row>
    <row r="2694" customFormat="false" ht="15" hidden="false" customHeight="false" outlineLevel="0" collapsed="false">
      <c r="A2694" s="7" t="s">
        <v>685</v>
      </c>
      <c r="B2694" s="10" t="n">
        <v>45993</v>
      </c>
      <c r="C2694" s="7" t="s">
        <v>686</v>
      </c>
      <c r="D2694" s="7" t="s">
        <v>687</v>
      </c>
      <c r="E2694" s="7" t="s">
        <v>151</v>
      </c>
      <c r="F2694" s="7" t="s">
        <v>128</v>
      </c>
      <c r="G2694" s="7" t="s">
        <v>95</v>
      </c>
      <c r="H2694" s="7" t="n">
        <v>2</v>
      </c>
      <c r="I2694" s="11" t="n">
        <v>145</v>
      </c>
      <c r="J2694" s="11" t="n">
        <v>40</v>
      </c>
      <c r="K2694" s="11" t="n">
        <f aca="false">H2694*I2694-J2694</f>
        <v>250</v>
      </c>
      <c r="L2694" s="7" t="s">
        <v>88</v>
      </c>
      <c r="M2694" s="7" t="s">
        <v>194</v>
      </c>
      <c r="N2694" s="7" t="n">
        <v>36</v>
      </c>
      <c r="O2694" s="7"/>
    </row>
    <row r="2695" customFormat="false" ht="15" hidden="false" customHeight="false" outlineLevel="0" collapsed="false">
      <c r="A2695" s="7" t="s">
        <v>3812</v>
      </c>
      <c r="B2695" s="10" t="n">
        <v>45993</v>
      </c>
      <c r="C2695" s="7" t="s">
        <v>1562</v>
      </c>
      <c r="D2695" s="7" t="s">
        <v>3814</v>
      </c>
      <c r="E2695" s="7" t="s">
        <v>130</v>
      </c>
      <c r="F2695" s="7" t="s">
        <v>110</v>
      </c>
      <c r="G2695" s="7" t="s">
        <v>90</v>
      </c>
      <c r="H2695" s="7" t="n">
        <v>1</v>
      </c>
      <c r="I2695" s="11" t="n">
        <v>225</v>
      </c>
      <c r="J2695" s="11" t="n">
        <v>0</v>
      </c>
      <c r="K2695" s="11" t="n">
        <f aca="false">H2695*I2695-J2695</f>
        <v>225</v>
      </c>
      <c r="L2695" s="7" t="s">
        <v>88</v>
      </c>
      <c r="M2695" s="7" t="s">
        <v>238</v>
      </c>
      <c r="N2695" s="7"/>
      <c r="O2695" s="7"/>
    </row>
    <row r="2696" customFormat="false" ht="15" hidden="false" customHeight="false" outlineLevel="0" collapsed="false">
      <c r="A2696" s="7" t="s">
        <v>636</v>
      </c>
      <c r="B2696" s="10" t="n">
        <v>45993</v>
      </c>
      <c r="C2696" s="7" t="s">
        <v>638</v>
      </c>
      <c r="D2696" s="7" t="s">
        <v>639</v>
      </c>
      <c r="E2696" s="7" t="s">
        <v>130</v>
      </c>
      <c r="F2696" s="7" t="s">
        <v>110</v>
      </c>
      <c r="G2696" s="7" t="s">
        <v>90</v>
      </c>
      <c r="H2696" s="7" t="n">
        <v>2</v>
      </c>
      <c r="I2696" s="11" t="n">
        <v>285</v>
      </c>
      <c r="J2696" s="11" t="n">
        <v>20</v>
      </c>
      <c r="K2696" s="11" t="n">
        <f aca="false">H2696*I2696-J2696</f>
        <v>550</v>
      </c>
      <c r="L2696" s="7" t="s">
        <v>88</v>
      </c>
      <c r="M2696" s="7" t="s">
        <v>194</v>
      </c>
      <c r="N2696" s="7" t="n">
        <v>42</v>
      </c>
      <c r="O2696" s="7" t="n">
        <v>4</v>
      </c>
    </row>
    <row r="2697" customFormat="false" ht="15" hidden="false" customHeight="false" outlineLevel="0" collapsed="false">
      <c r="A2697" s="7" t="s">
        <v>5156</v>
      </c>
      <c r="B2697" s="10" t="n">
        <v>45993</v>
      </c>
      <c r="C2697" s="7" t="s">
        <v>209</v>
      </c>
      <c r="D2697" s="7" t="s">
        <v>5157</v>
      </c>
      <c r="E2697" s="7" t="s">
        <v>122</v>
      </c>
      <c r="F2697" s="7" t="s">
        <v>101</v>
      </c>
      <c r="G2697" s="7" t="s">
        <v>123</v>
      </c>
      <c r="H2697" s="7" t="n">
        <v>1</v>
      </c>
      <c r="I2697" s="11" t="n">
        <v>340</v>
      </c>
      <c r="J2697" s="11" t="n">
        <v>0</v>
      </c>
      <c r="K2697" s="11" t="n">
        <f aca="false">H2697*I2697-J2697</f>
        <v>340</v>
      </c>
      <c r="L2697" s="7" t="s">
        <v>93</v>
      </c>
      <c r="M2697" s="7" t="s">
        <v>194</v>
      </c>
      <c r="N2697" s="7" t="n">
        <v>39</v>
      </c>
      <c r="O2697" s="7" t="n">
        <v>4</v>
      </c>
    </row>
    <row r="2698" customFormat="false" ht="15" hidden="false" customHeight="false" outlineLevel="0" collapsed="false">
      <c r="A2698" s="7" t="s">
        <v>1580</v>
      </c>
      <c r="B2698" s="10" t="n">
        <v>45993</v>
      </c>
      <c r="C2698" s="7" t="s">
        <v>1581</v>
      </c>
      <c r="D2698" s="7" t="s">
        <v>520</v>
      </c>
      <c r="E2698" s="7" t="s">
        <v>151</v>
      </c>
      <c r="F2698" s="7" t="s">
        <v>128</v>
      </c>
      <c r="G2698" s="7" t="s">
        <v>95</v>
      </c>
      <c r="H2698" s="7" t="n">
        <v>5</v>
      </c>
      <c r="I2698" s="11" t="n">
        <v>185</v>
      </c>
      <c r="J2698" s="11" t="n">
        <v>0</v>
      </c>
      <c r="K2698" s="11" t="n">
        <f aca="false">H2698*I2698-J2698</f>
        <v>925</v>
      </c>
      <c r="L2698" s="7" t="s">
        <v>112</v>
      </c>
      <c r="M2698" s="7" t="s">
        <v>194</v>
      </c>
      <c r="N2698" s="7" t="n">
        <v>29</v>
      </c>
      <c r="O2698" s="7" t="n">
        <v>4</v>
      </c>
    </row>
    <row r="2699" customFormat="false" ht="15" hidden="false" customHeight="false" outlineLevel="0" collapsed="false">
      <c r="A2699" s="7" t="s">
        <v>1126</v>
      </c>
      <c r="B2699" s="10" t="n">
        <v>45994</v>
      </c>
      <c r="C2699" s="7" t="s">
        <v>1128</v>
      </c>
      <c r="D2699" s="7" t="s">
        <v>1129</v>
      </c>
      <c r="E2699" s="7" t="s">
        <v>149</v>
      </c>
      <c r="F2699" s="7" t="s">
        <v>119</v>
      </c>
      <c r="G2699" s="7" t="s">
        <v>150</v>
      </c>
      <c r="H2699" s="7" t="n">
        <v>1</v>
      </c>
      <c r="I2699" s="11" t="n">
        <v>190</v>
      </c>
      <c r="J2699" s="11" t="n">
        <v>40</v>
      </c>
      <c r="K2699" s="11" t="n">
        <f aca="false">H2699*I2699-J2699</f>
        <v>150</v>
      </c>
      <c r="L2699" s="7" t="s">
        <v>103</v>
      </c>
      <c r="M2699" s="7" t="s">
        <v>194</v>
      </c>
      <c r="N2699" s="7" t="n">
        <v>23</v>
      </c>
      <c r="O2699" s="7" t="n">
        <v>4</v>
      </c>
    </row>
    <row r="2700" customFormat="false" ht="15" hidden="false" customHeight="false" outlineLevel="0" collapsed="false">
      <c r="A2700" s="7" t="s">
        <v>4908</v>
      </c>
      <c r="B2700" s="10" t="n">
        <v>45994</v>
      </c>
      <c r="C2700" s="7" t="s">
        <v>547</v>
      </c>
      <c r="D2700" s="7" t="s">
        <v>1020</v>
      </c>
      <c r="E2700" s="7" t="s">
        <v>164</v>
      </c>
      <c r="F2700" s="7" t="s">
        <v>141</v>
      </c>
      <c r="G2700" s="7" t="s">
        <v>150</v>
      </c>
      <c r="H2700" s="7" t="n">
        <v>2</v>
      </c>
      <c r="I2700" s="11" t="n">
        <v>125</v>
      </c>
      <c r="J2700" s="11" t="n">
        <v>20</v>
      </c>
      <c r="K2700" s="11" t="n">
        <f aca="false">H2700*I2700-J2700</f>
        <v>230</v>
      </c>
      <c r="L2700" s="7" t="s">
        <v>112</v>
      </c>
      <c r="M2700" s="7" t="s">
        <v>194</v>
      </c>
      <c r="N2700" s="7" t="n">
        <v>32</v>
      </c>
      <c r="O2700" s="7" t="n">
        <v>5</v>
      </c>
    </row>
    <row r="2701" customFormat="false" ht="15" hidden="false" customHeight="false" outlineLevel="0" collapsed="false">
      <c r="A2701" s="7" t="s">
        <v>1052</v>
      </c>
      <c r="B2701" s="10" t="n">
        <v>45994</v>
      </c>
      <c r="C2701" s="7" t="s">
        <v>1054</v>
      </c>
      <c r="D2701" s="7" t="s">
        <v>1055</v>
      </c>
      <c r="E2701" s="7" t="s">
        <v>144</v>
      </c>
      <c r="F2701" s="7" t="s">
        <v>119</v>
      </c>
      <c r="G2701" s="7" t="s">
        <v>99</v>
      </c>
      <c r="H2701" s="7" t="n">
        <v>1</v>
      </c>
      <c r="I2701" s="11" t="n">
        <v>325</v>
      </c>
      <c r="J2701" s="11" t="n">
        <v>50</v>
      </c>
      <c r="K2701" s="11" t="n">
        <f aca="false">H2701*I2701-J2701</f>
        <v>275</v>
      </c>
      <c r="L2701" s="7" t="s">
        <v>88</v>
      </c>
      <c r="M2701" s="7" t="s">
        <v>238</v>
      </c>
      <c r="N2701" s="7"/>
      <c r="O2701" s="7"/>
    </row>
    <row r="2702" customFormat="false" ht="15" hidden="false" customHeight="false" outlineLevel="0" collapsed="false">
      <c r="A2702" s="7" t="s">
        <v>6030</v>
      </c>
      <c r="B2702" s="10" t="n">
        <v>45994</v>
      </c>
      <c r="C2702" s="7" t="s">
        <v>2898</v>
      </c>
      <c r="D2702" s="7" t="s">
        <v>1658</v>
      </c>
      <c r="E2702" s="7" t="s">
        <v>122</v>
      </c>
      <c r="F2702" s="7" t="s">
        <v>101</v>
      </c>
      <c r="G2702" s="7" t="s">
        <v>123</v>
      </c>
      <c r="H2702" s="7" t="n">
        <v>1</v>
      </c>
      <c r="I2702" s="11" t="n">
        <v>330</v>
      </c>
      <c r="J2702" s="11" t="n">
        <v>30</v>
      </c>
      <c r="K2702" s="11" t="n">
        <f aca="false">H2702*I2702-J2702</f>
        <v>300</v>
      </c>
      <c r="L2702" s="7" t="s">
        <v>88</v>
      </c>
      <c r="M2702" s="7" t="s">
        <v>194</v>
      </c>
      <c r="N2702" s="7" t="n">
        <v>48</v>
      </c>
      <c r="O2702" s="7" t="n">
        <v>2</v>
      </c>
    </row>
    <row r="2703" customFormat="false" ht="15" hidden="false" customHeight="false" outlineLevel="0" collapsed="false">
      <c r="A2703" s="7" t="s">
        <v>2732</v>
      </c>
      <c r="B2703" s="10" t="n">
        <v>45994</v>
      </c>
      <c r="C2703" s="7" t="s">
        <v>2733</v>
      </c>
      <c r="D2703" s="7" t="s">
        <v>2399</v>
      </c>
      <c r="E2703" s="7" t="s">
        <v>130</v>
      </c>
      <c r="F2703" s="7" t="s">
        <v>110</v>
      </c>
      <c r="G2703" s="7" t="s">
        <v>90</v>
      </c>
      <c r="H2703" s="7" t="n">
        <v>1</v>
      </c>
      <c r="I2703" s="11" t="n">
        <v>295</v>
      </c>
      <c r="J2703" s="11" t="n">
        <v>75</v>
      </c>
      <c r="K2703" s="11" t="n">
        <f aca="false">H2703*I2703-J2703</f>
        <v>220</v>
      </c>
      <c r="L2703" s="7" t="s">
        <v>112</v>
      </c>
      <c r="M2703" s="7" t="s">
        <v>194</v>
      </c>
      <c r="N2703" s="7" t="n">
        <v>39</v>
      </c>
      <c r="O2703" s="7" t="n">
        <v>4</v>
      </c>
    </row>
    <row r="2704" customFormat="false" ht="15" hidden="false" customHeight="false" outlineLevel="0" collapsed="false">
      <c r="A2704" s="7" t="s">
        <v>2092</v>
      </c>
      <c r="B2704" s="10" t="n">
        <v>45994</v>
      </c>
      <c r="C2704" s="7" t="s">
        <v>2093</v>
      </c>
      <c r="D2704" s="7" t="s">
        <v>2077</v>
      </c>
      <c r="E2704" s="7" t="s">
        <v>113</v>
      </c>
      <c r="F2704" s="7" t="s">
        <v>101</v>
      </c>
      <c r="G2704" s="7" t="s">
        <v>90</v>
      </c>
      <c r="H2704" s="7" t="n">
        <v>1</v>
      </c>
      <c r="I2704" s="11" t="n">
        <v>275</v>
      </c>
      <c r="J2704" s="11" t="n">
        <v>30</v>
      </c>
      <c r="K2704" s="11" t="n">
        <f aca="false">H2704*I2704-J2704</f>
        <v>245</v>
      </c>
      <c r="L2704" s="7" t="s">
        <v>112</v>
      </c>
      <c r="M2704" s="7" t="s">
        <v>194</v>
      </c>
      <c r="N2704" s="7" t="n">
        <v>35</v>
      </c>
      <c r="O2704" s="7" t="n">
        <v>3</v>
      </c>
    </row>
    <row r="2705" customFormat="false" ht="15" hidden="false" customHeight="false" outlineLevel="0" collapsed="false">
      <c r="A2705" s="7" t="s">
        <v>5064</v>
      </c>
      <c r="B2705" s="10" t="n">
        <v>45994</v>
      </c>
      <c r="C2705" s="7" t="s">
        <v>2033</v>
      </c>
      <c r="D2705" s="7" t="s">
        <v>744</v>
      </c>
      <c r="E2705" s="7" t="s">
        <v>149</v>
      </c>
      <c r="F2705" s="7" t="s">
        <v>119</v>
      </c>
      <c r="G2705" s="7" t="s">
        <v>150</v>
      </c>
      <c r="H2705" s="7" t="n">
        <v>3</v>
      </c>
      <c r="I2705" s="11" t="n">
        <v>170</v>
      </c>
      <c r="J2705" s="11" t="n">
        <v>75</v>
      </c>
      <c r="K2705" s="11" t="n">
        <f aca="false">H2705*I2705-J2705</f>
        <v>435</v>
      </c>
      <c r="L2705" s="7" t="s">
        <v>121</v>
      </c>
      <c r="M2705" s="7" t="s">
        <v>194</v>
      </c>
      <c r="N2705" s="7" t="n">
        <v>50</v>
      </c>
      <c r="O2705" s="7" t="n">
        <v>3</v>
      </c>
    </row>
    <row r="2706" customFormat="false" ht="15" hidden="false" customHeight="false" outlineLevel="0" collapsed="false">
      <c r="A2706" s="7" t="s">
        <v>4544</v>
      </c>
      <c r="B2706" s="10" t="n">
        <v>45994</v>
      </c>
      <c r="C2706" s="7" t="s">
        <v>732</v>
      </c>
      <c r="D2706" s="7" t="s">
        <v>3087</v>
      </c>
      <c r="E2706" s="7" t="s">
        <v>126</v>
      </c>
      <c r="F2706" s="7" t="s">
        <v>101</v>
      </c>
      <c r="G2706" s="7" t="s">
        <v>105</v>
      </c>
      <c r="H2706" s="7" t="n">
        <v>3</v>
      </c>
      <c r="I2706" s="11" t="n">
        <v>225</v>
      </c>
      <c r="J2706" s="11" t="n">
        <v>0</v>
      </c>
      <c r="K2706" s="11" t="n">
        <f aca="false">H2706*I2706-J2706</f>
        <v>675</v>
      </c>
      <c r="L2706" s="7" t="s">
        <v>88</v>
      </c>
      <c r="M2706" s="7" t="s">
        <v>194</v>
      </c>
      <c r="N2706" s="7" t="n">
        <v>44</v>
      </c>
      <c r="O2706" s="7" t="n">
        <v>5</v>
      </c>
    </row>
    <row r="2707" customFormat="false" ht="15" hidden="false" customHeight="false" outlineLevel="0" collapsed="false">
      <c r="A2707" s="7" t="s">
        <v>2820</v>
      </c>
      <c r="B2707" s="10" t="n">
        <v>45994</v>
      </c>
      <c r="C2707" s="7" t="s">
        <v>2088</v>
      </c>
      <c r="D2707" s="7" t="s">
        <v>2446</v>
      </c>
      <c r="E2707" s="7" t="s">
        <v>167</v>
      </c>
      <c r="F2707" s="7" t="s">
        <v>146</v>
      </c>
      <c r="G2707" s="7" t="s">
        <v>156</v>
      </c>
      <c r="H2707" s="7" t="n">
        <v>2</v>
      </c>
      <c r="I2707" s="11" t="n">
        <v>220</v>
      </c>
      <c r="J2707" s="11" t="n">
        <v>0</v>
      </c>
      <c r="K2707" s="11" t="n">
        <f aca="false">H2707*I2707-J2707</f>
        <v>440</v>
      </c>
      <c r="L2707" s="7" t="s">
        <v>112</v>
      </c>
      <c r="M2707" s="7" t="s">
        <v>194</v>
      </c>
      <c r="N2707" s="7" t="n">
        <v>27</v>
      </c>
      <c r="O2707" s="7" t="n">
        <v>2</v>
      </c>
    </row>
    <row r="2708" customFormat="false" ht="15" hidden="false" customHeight="false" outlineLevel="0" collapsed="false">
      <c r="A2708" s="7" t="s">
        <v>5196</v>
      </c>
      <c r="B2708" s="10" t="n">
        <v>45994</v>
      </c>
      <c r="C2708" s="7" t="s">
        <v>1718</v>
      </c>
      <c r="D2708" s="7" t="s">
        <v>4869</v>
      </c>
      <c r="E2708" s="7" t="s">
        <v>122</v>
      </c>
      <c r="F2708" s="7" t="s">
        <v>101</v>
      </c>
      <c r="G2708" s="7" t="s">
        <v>123</v>
      </c>
      <c r="H2708" s="7" t="n">
        <v>3</v>
      </c>
      <c r="I2708" s="11" t="n">
        <v>335</v>
      </c>
      <c r="J2708" s="11" t="n">
        <v>40</v>
      </c>
      <c r="K2708" s="11" t="n">
        <f aca="false">H2708*I2708-J2708</f>
        <v>965</v>
      </c>
      <c r="L2708" s="7" t="s">
        <v>88</v>
      </c>
      <c r="M2708" s="7" t="s">
        <v>194</v>
      </c>
      <c r="N2708" s="7" t="n">
        <v>44</v>
      </c>
      <c r="O2708" s="7" t="n">
        <v>5</v>
      </c>
    </row>
    <row r="2709" customFormat="false" ht="15" hidden="false" customHeight="false" outlineLevel="0" collapsed="false">
      <c r="A2709" s="7" t="s">
        <v>2835</v>
      </c>
      <c r="B2709" s="10" t="n">
        <v>45994</v>
      </c>
      <c r="C2709" s="7" t="s">
        <v>443</v>
      </c>
      <c r="D2709" s="7" t="s">
        <v>2836</v>
      </c>
      <c r="E2709" s="7" t="s">
        <v>149</v>
      </c>
      <c r="F2709" s="7" t="s">
        <v>119</v>
      </c>
      <c r="G2709" s="7" t="s">
        <v>150</v>
      </c>
      <c r="H2709" s="7" t="n">
        <v>4</v>
      </c>
      <c r="I2709" s="11" t="n">
        <v>185</v>
      </c>
      <c r="J2709" s="11" t="n">
        <v>40</v>
      </c>
      <c r="K2709" s="11" t="n">
        <f aca="false">H2709*I2709-J2709</f>
        <v>700</v>
      </c>
      <c r="L2709" s="7" t="s">
        <v>121</v>
      </c>
      <c r="M2709" s="7" t="s">
        <v>194</v>
      </c>
      <c r="N2709" s="7" t="n">
        <v>24</v>
      </c>
      <c r="O2709" s="7" t="n">
        <v>4</v>
      </c>
    </row>
    <row r="2710" customFormat="false" ht="15" hidden="false" customHeight="false" outlineLevel="0" collapsed="false">
      <c r="A2710" s="7" t="s">
        <v>5329</v>
      </c>
      <c r="B2710" s="10" t="n">
        <v>45994</v>
      </c>
      <c r="C2710" s="7" t="s">
        <v>5330</v>
      </c>
      <c r="D2710" s="7" t="s">
        <v>5331</v>
      </c>
      <c r="E2710" s="7" t="s">
        <v>126</v>
      </c>
      <c r="F2710" s="7" t="s">
        <v>101</v>
      </c>
      <c r="G2710" s="7" t="s">
        <v>105</v>
      </c>
      <c r="H2710" s="7" t="n">
        <v>1</v>
      </c>
      <c r="I2710" s="11" t="n">
        <v>235</v>
      </c>
      <c r="J2710" s="11" t="n">
        <v>0</v>
      </c>
      <c r="K2710" s="11" t="n">
        <f aca="false">H2710*I2710-J2710</f>
        <v>235</v>
      </c>
      <c r="L2710" s="7" t="s">
        <v>112</v>
      </c>
      <c r="M2710" s="7" t="s">
        <v>194</v>
      </c>
      <c r="N2710" s="7" t="n">
        <v>45</v>
      </c>
      <c r="O2710" s="7" t="n">
        <v>5</v>
      </c>
    </row>
    <row r="2711" customFormat="false" ht="15" hidden="false" customHeight="false" outlineLevel="0" collapsed="false">
      <c r="A2711" s="7" t="s">
        <v>3880</v>
      </c>
      <c r="B2711" s="10" t="n">
        <v>45995</v>
      </c>
      <c r="C2711" s="7" t="s">
        <v>683</v>
      </c>
      <c r="D2711" s="7" t="s">
        <v>3828</v>
      </c>
      <c r="E2711" s="7" t="s">
        <v>126</v>
      </c>
      <c r="F2711" s="7" t="s">
        <v>101</v>
      </c>
      <c r="G2711" s="7" t="s">
        <v>105</v>
      </c>
      <c r="H2711" s="7" t="n">
        <v>1</v>
      </c>
      <c r="I2711" s="11" t="n">
        <v>155</v>
      </c>
      <c r="J2711" s="11" t="n">
        <v>0</v>
      </c>
      <c r="K2711" s="11" t="n">
        <f aca="false">H2711*I2711-J2711</f>
        <v>155</v>
      </c>
      <c r="L2711" s="7" t="s">
        <v>88</v>
      </c>
      <c r="M2711" s="7" t="s">
        <v>194</v>
      </c>
      <c r="N2711" s="7" t="n">
        <v>29</v>
      </c>
      <c r="O2711" s="7" t="n">
        <v>4</v>
      </c>
    </row>
    <row r="2712" customFormat="false" ht="15" hidden="false" customHeight="false" outlineLevel="0" collapsed="false">
      <c r="A2712" s="7" t="s">
        <v>1511</v>
      </c>
      <c r="B2712" s="10" t="n">
        <v>45995</v>
      </c>
      <c r="C2712" s="7" t="s">
        <v>529</v>
      </c>
      <c r="D2712" s="7" t="s">
        <v>1513</v>
      </c>
      <c r="E2712" s="7" t="s">
        <v>142</v>
      </c>
      <c r="F2712" s="7" t="s">
        <v>110</v>
      </c>
      <c r="G2712" s="7" t="s">
        <v>105</v>
      </c>
      <c r="H2712" s="7" t="n">
        <v>2</v>
      </c>
      <c r="I2712" s="11" t="n">
        <v>170</v>
      </c>
      <c r="J2712" s="11" t="n">
        <v>0</v>
      </c>
      <c r="K2712" s="11" t="n">
        <f aca="false">H2712*I2712-J2712</f>
        <v>340</v>
      </c>
      <c r="L2712" s="7" t="s">
        <v>121</v>
      </c>
      <c r="M2712" s="7" t="s">
        <v>194</v>
      </c>
      <c r="N2712" s="7" t="n">
        <v>39</v>
      </c>
      <c r="O2712" s="7" t="n">
        <v>4</v>
      </c>
    </row>
    <row r="2713" customFormat="false" ht="15" hidden="false" customHeight="false" outlineLevel="0" collapsed="false">
      <c r="A2713" s="7" t="s">
        <v>5380</v>
      </c>
      <c r="B2713" s="10" t="n">
        <v>45995</v>
      </c>
      <c r="C2713" s="7" t="s">
        <v>1635</v>
      </c>
      <c r="D2713" s="7" t="s">
        <v>3663</v>
      </c>
      <c r="E2713" s="7" t="s">
        <v>138</v>
      </c>
      <c r="F2713" s="7" t="s">
        <v>110</v>
      </c>
      <c r="G2713" s="7" t="s">
        <v>139</v>
      </c>
      <c r="H2713" s="7" t="n">
        <v>2</v>
      </c>
      <c r="I2713" s="11" t="n">
        <v>170</v>
      </c>
      <c r="J2713" s="11" t="n">
        <v>0</v>
      </c>
      <c r="K2713" s="11" t="n">
        <f aca="false">H2713*I2713-J2713</f>
        <v>340</v>
      </c>
      <c r="L2713" s="7" t="s">
        <v>88</v>
      </c>
      <c r="M2713" s="7" t="s">
        <v>194</v>
      </c>
      <c r="N2713" s="7" t="n">
        <v>41</v>
      </c>
      <c r="O2713" s="7" t="n">
        <v>5</v>
      </c>
    </row>
    <row r="2714" customFormat="false" ht="15" hidden="false" customHeight="false" outlineLevel="0" collapsed="false">
      <c r="A2714" s="7" t="s">
        <v>3192</v>
      </c>
      <c r="B2714" s="10" t="n">
        <v>45996</v>
      </c>
      <c r="C2714" s="7" t="s">
        <v>2844</v>
      </c>
      <c r="D2714" s="7" t="s">
        <v>3030</v>
      </c>
      <c r="E2714" s="7" t="s">
        <v>138</v>
      </c>
      <c r="F2714" s="7" t="s">
        <v>110</v>
      </c>
      <c r="G2714" s="7" t="s">
        <v>139</v>
      </c>
      <c r="H2714" s="7" t="n">
        <v>1</v>
      </c>
      <c r="I2714" s="11" t="n">
        <v>180</v>
      </c>
      <c r="J2714" s="11" t="n">
        <v>0</v>
      </c>
      <c r="K2714" s="11" t="n">
        <f aca="false">H2714*I2714-J2714</f>
        <v>180</v>
      </c>
      <c r="L2714" s="7" t="s">
        <v>133</v>
      </c>
      <c r="M2714" s="7" t="s">
        <v>194</v>
      </c>
      <c r="N2714" s="7" t="n">
        <v>33</v>
      </c>
      <c r="O2714" s="7" t="n">
        <v>4</v>
      </c>
    </row>
    <row r="2715" customFormat="false" ht="15" hidden="false" customHeight="false" outlineLevel="0" collapsed="false">
      <c r="A2715" s="7" t="s">
        <v>1659</v>
      </c>
      <c r="B2715" s="10" t="n">
        <v>45996</v>
      </c>
      <c r="C2715" s="7" t="s">
        <v>1660</v>
      </c>
      <c r="D2715" s="7" t="s">
        <v>1661</v>
      </c>
      <c r="E2715" s="7" t="s">
        <v>134</v>
      </c>
      <c r="F2715" s="7" t="s">
        <v>110</v>
      </c>
      <c r="G2715" s="7" t="s">
        <v>117</v>
      </c>
      <c r="H2715" s="7" t="n">
        <v>1</v>
      </c>
      <c r="I2715" s="11" t="n">
        <v>120</v>
      </c>
      <c r="J2715" s="11" t="n">
        <v>48</v>
      </c>
      <c r="K2715" s="11" t="n">
        <f aca="false">H2715*I2715-J2715</f>
        <v>72</v>
      </c>
      <c r="L2715" s="7" t="s">
        <v>93</v>
      </c>
      <c r="M2715" s="7" t="s">
        <v>194</v>
      </c>
      <c r="N2715" s="7" t="n">
        <v>42</v>
      </c>
      <c r="O2715" s="7" t="n">
        <v>4</v>
      </c>
    </row>
    <row r="2716" customFormat="false" ht="15" hidden="false" customHeight="false" outlineLevel="0" collapsed="false">
      <c r="A2716" s="7" t="s">
        <v>823</v>
      </c>
      <c r="B2716" s="10" t="n">
        <v>45996</v>
      </c>
      <c r="C2716" s="7" t="s">
        <v>825</v>
      </c>
      <c r="D2716" s="7" t="s">
        <v>826</v>
      </c>
      <c r="E2716" s="7" t="s">
        <v>89</v>
      </c>
      <c r="F2716" s="7" t="s">
        <v>86</v>
      </c>
      <c r="G2716" s="7" t="s">
        <v>90</v>
      </c>
      <c r="H2716" s="7" t="n">
        <v>4</v>
      </c>
      <c r="I2716" s="11" t="n">
        <v>230</v>
      </c>
      <c r="J2716" s="11" t="n">
        <v>0</v>
      </c>
      <c r="K2716" s="11" t="n">
        <f aca="false">H2716*I2716-J2716</f>
        <v>920</v>
      </c>
      <c r="L2716" s="7" t="s">
        <v>88</v>
      </c>
      <c r="M2716" s="7" t="s">
        <v>194</v>
      </c>
      <c r="N2716" s="7" t="n">
        <v>42</v>
      </c>
      <c r="O2716" s="7" t="n">
        <v>3</v>
      </c>
    </row>
    <row r="2717" customFormat="false" ht="15" hidden="false" customHeight="false" outlineLevel="0" collapsed="false">
      <c r="A2717" s="7" t="s">
        <v>2029</v>
      </c>
      <c r="B2717" s="10" t="n">
        <v>45996</v>
      </c>
      <c r="C2717" s="7" t="s">
        <v>779</v>
      </c>
      <c r="D2717" s="7" t="s">
        <v>2030</v>
      </c>
      <c r="E2717" s="7" t="s">
        <v>134</v>
      </c>
      <c r="F2717" s="7" t="s">
        <v>110</v>
      </c>
      <c r="G2717" s="7" t="s">
        <v>117</v>
      </c>
      <c r="H2717" s="7" t="n">
        <v>1</v>
      </c>
      <c r="I2717" s="11" t="n">
        <v>100</v>
      </c>
      <c r="J2717" s="11" t="n">
        <v>40</v>
      </c>
      <c r="K2717" s="11" t="n">
        <f aca="false">H2717*I2717-J2717</f>
        <v>60</v>
      </c>
      <c r="L2717" s="7" t="s">
        <v>133</v>
      </c>
      <c r="M2717" s="7" t="s">
        <v>194</v>
      </c>
      <c r="N2717" s="7" t="n">
        <v>35</v>
      </c>
      <c r="O2717" s="7" t="n">
        <v>3</v>
      </c>
    </row>
    <row r="2718" customFormat="false" ht="15" hidden="false" customHeight="false" outlineLevel="0" collapsed="false">
      <c r="A2718" s="7" t="s">
        <v>2438</v>
      </c>
      <c r="B2718" s="10" t="n">
        <v>45996</v>
      </c>
      <c r="C2718" s="7" t="s">
        <v>2439</v>
      </c>
      <c r="D2718" s="7" t="s">
        <v>2203</v>
      </c>
      <c r="E2718" s="7" t="s">
        <v>94</v>
      </c>
      <c r="F2718" s="7" t="s">
        <v>86</v>
      </c>
      <c r="G2718" s="7" t="s">
        <v>95</v>
      </c>
      <c r="H2718" s="7" t="n">
        <v>1</v>
      </c>
      <c r="I2718" s="11" t="n">
        <v>135</v>
      </c>
      <c r="J2718" s="11" t="n">
        <v>0</v>
      </c>
      <c r="K2718" s="11" t="n">
        <f aca="false">H2718*I2718-J2718</f>
        <v>135</v>
      </c>
      <c r="L2718" s="7" t="s">
        <v>88</v>
      </c>
      <c r="M2718" s="7" t="s">
        <v>194</v>
      </c>
      <c r="N2718" s="7" t="n">
        <v>38</v>
      </c>
      <c r="O2718" s="7" t="n">
        <v>4</v>
      </c>
    </row>
    <row r="2719" customFormat="false" ht="15" hidden="false" customHeight="false" outlineLevel="0" collapsed="false">
      <c r="A2719" s="7" t="s">
        <v>5950</v>
      </c>
      <c r="B2719" s="10" t="n">
        <v>45996</v>
      </c>
      <c r="C2719" s="7" t="s">
        <v>1933</v>
      </c>
      <c r="D2719" s="7" t="s">
        <v>525</v>
      </c>
      <c r="E2719" s="7" t="s">
        <v>126</v>
      </c>
      <c r="F2719" s="7" t="s">
        <v>101</v>
      </c>
      <c r="G2719" s="7" t="s">
        <v>105</v>
      </c>
      <c r="H2719" s="7" t="n">
        <v>2</v>
      </c>
      <c r="I2719" s="11" t="n">
        <v>215</v>
      </c>
      <c r="J2719" s="11" t="n">
        <v>0</v>
      </c>
      <c r="K2719" s="11" t="n">
        <f aca="false">H2719*I2719-J2719</f>
        <v>430</v>
      </c>
      <c r="L2719" s="7" t="s">
        <v>88</v>
      </c>
      <c r="M2719" s="7" t="s">
        <v>194</v>
      </c>
      <c r="N2719" s="7" t="n">
        <v>48</v>
      </c>
      <c r="O2719" s="7" t="n">
        <v>3</v>
      </c>
    </row>
    <row r="2720" customFormat="false" ht="15" hidden="false" customHeight="false" outlineLevel="0" collapsed="false">
      <c r="A2720" s="7" t="s">
        <v>3021</v>
      </c>
      <c r="B2720" s="10" t="n">
        <v>45996</v>
      </c>
      <c r="C2720" s="7" t="s">
        <v>3023</v>
      </c>
      <c r="D2720" s="7" t="s">
        <v>2522</v>
      </c>
      <c r="E2720" s="7" t="s">
        <v>138</v>
      </c>
      <c r="F2720" s="7" t="s">
        <v>110</v>
      </c>
      <c r="G2720" s="7" t="s">
        <v>139</v>
      </c>
      <c r="H2720" s="7" t="n">
        <v>2</v>
      </c>
      <c r="I2720" s="11" t="n">
        <v>150</v>
      </c>
      <c r="J2720" s="11" t="n">
        <v>0</v>
      </c>
      <c r="K2720" s="11" t="n">
        <f aca="false">H2720*I2720-J2720</f>
        <v>300</v>
      </c>
      <c r="L2720" s="7" t="s">
        <v>88</v>
      </c>
      <c r="M2720" s="7" t="s">
        <v>194</v>
      </c>
      <c r="N2720" s="7" t="n">
        <v>40</v>
      </c>
      <c r="O2720" s="7"/>
    </row>
    <row r="2721" customFormat="false" ht="15" hidden="false" customHeight="false" outlineLevel="0" collapsed="false">
      <c r="A2721" s="7" t="s">
        <v>2193</v>
      </c>
      <c r="B2721" s="10" t="n">
        <v>45997</v>
      </c>
      <c r="C2721" s="7" t="s">
        <v>2195</v>
      </c>
      <c r="D2721" s="7" t="s">
        <v>1716</v>
      </c>
      <c r="E2721" s="7" t="s">
        <v>162</v>
      </c>
      <c r="F2721" s="7" t="s">
        <v>141</v>
      </c>
      <c r="G2721" s="7" t="s">
        <v>117</v>
      </c>
      <c r="H2721" s="7" t="n">
        <v>2</v>
      </c>
      <c r="I2721" s="11" t="n">
        <v>115</v>
      </c>
      <c r="J2721" s="11" t="n">
        <v>50</v>
      </c>
      <c r="K2721" s="11" t="n">
        <f aca="false">H2721*I2721-J2721</f>
        <v>180</v>
      </c>
      <c r="L2721" s="7" t="s">
        <v>88</v>
      </c>
      <c r="M2721" s="7" t="s">
        <v>194</v>
      </c>
      <c r="N2721" s="7" t="n">
        <v>24</v>
      </c>
      <c r="O2721" s="7" t="n">
        <v>5</v>
      </c>
    </row>
    <row r="2722" customFormat="false" ht="15" hidden="false" customHeight="false" outlineLevel="0" collapsed="false">
      <c r="A2722" s="7" t="s">
        <v>6153</v>
      </c>
      <c r="B2722" s="10" t="n">
        <v>45997</v>
      </c>
      <c r="C2722" s="7" t="s">
        <v>1486</v>
      </c>
      <c r="D2722" s="7" t="s">
        <v>5920</v>
      </c>
      <c r="E2722" s="7" t="s">
        <v>159</v>
      </c>
      <c r="F2722" s="7" t="s">
        <v>136</v>
      </c>
      <c r="G2722" s="7" t="s">
        <v>90</v>
      </c>
      <c r="H2722" s="7" t="n">
        <v>1</v>
      </c>
      <c r="I2722" s="11" t="n">
        <v>270</v>
      </c>
      <c r="J2722" s="11" t="n">
        <v>0</v>
      </c>
      <c r="K2722" s="11" t="n">
        <f aca="false">H2722*I2722-J2722</f>
        <v>270</v>
      </c>
      <c r="L2722" s="7" t="s">
        <v>88</v>
      </c>
      <c r="M2722" s="7" t="s">
        <v>194</v>
      </c>
      <c r="N2722" s="7" t="n">
        <v>22</v>
      </c>
      <c r="O2722" s="7" t="n">
        <v>5</v>
      </c>
    </row>
    <row r="2723" customFormat="false" ht="15" hidden="false" customHeight="false" outlineLevel="0" collapsed="false">
      <c r="A2723" s="7" t="s">
        <v>5002</v>
      </c>
      <c r="B2723" s="10" t="n">
        <v>45997</v>
      </c>
      <c r="C2723" s="7" t="s">
        <v>1250</v>
      </c>
      <c r="D2723" s="7" t="s">
        <v>5003</v>
      </c>
      <c r="E2723" s="7" t="s">
        <v>126</v>
      </c>
      <c r="F2723" s="7" t="s">
        <v>101</v>
      </c>
      <c r="G2723" s="7" t="s">
        <v>105</v>
      </c>
      <c r="H2723" s="7" t="n">
        <v>2</v>
      </c>
      <c r="I2723" s="11" t="n">
        <v>180</v>
      </c>
      <c r="J2723" s="11" t="n">
        <v>100</v>
      </c>
      <c r="K2723" s="11" t="n">
        <f aca="false">H2723*I2723-J2723</f>
        <v>260</v>
      </c>
      <c r="L2723" s="7" t="s">
        <v>93</v>
      </c>
      <c r="M2723" s="7" t="s">
        <v>194</v>
      </c>
      <c r="N2723" s="7" t="n">
        <v>37</v>
      </c>
      <c r="O2723" s="7" t="n">
        <v>4</v>
      </c>
    </row>
    <row r="2724" customFormat="false" ht="15" hidden="false" customHeight="false" outlineLevel="0" collapsed="false">
      <c r="A2724" s="7" t="s">
        <v>2834</v>
      </c>
      <c r="B2724" s="10" t="n">
        <v>45997</v>
      </c>
      <c r="C2724" s="7" t="s">
        <v>577</v>
      </c>
      <c r="D2724" s="7" t="s">
        <v>1009</v>
      </c>
      <c r="E2724" s="7" t="s">
        <v>130</v>
      </c>
      <c r="F2724" s="7" t="s">
        <v>110</v>
      </c>
      <c r="G2724" s="7" t="s">
        <v>90</v>
      </c>
      <c r="H2724" s="7" t="n">
        <v>2</v>
      </c>
      <c r="I2724" s="11" t="n">
        <v>265</v>
      </c>
      <c r="J2724" s="11" t="n">
        <v>125</v>
      </c>
      <c r="K2724" s="11" t="n">
        <f aca="false">H2724*I2724-J2724</f>
        <v>405</v>
      </c>
      <c r="L2724" s="7" t="s">
        <v>6170</v>
      </c>
      <c r="M2724" s="7" t="s">
        <v>194</v>
      </c>
      <c r="N2724" s="7" t="n">
        <v>38</v>
      </c>
      <c r="O2724" s="7" t="n">
        <v>3</v>
      </c>
    </row>
    <row r="2725" customFormat="false" ht="15" hidden="false" customHeight="false" outlineLevel="0" collapsed="false">
      <c r="A2725" s="7" t="s">
        <v>5487</v>
      </c>
      <c r="B2725" s="10" t="n">
        <v>45997</v>
      </c>
      <c r="C2725" s="7" t="s">
        <v>519</v>
      </c>
      <c r="D2725" s="7" t="s">
        <v>5036</v>
      </c>
      <c r="E2725" s="7" t="s">
        <v>167</v>
      </c>
      <c r="F2725" s="7" t="s">
        <v>146</v>
      </c>
      <c r="G2725" s="7" t="s">
        <v>156</v>
      </c>
      <c r="H2725" s="7" t="n">
        <v>1</v>
      </c>
      <c r="I2725" s="11" t="n">
        <v>270</v>
      </c>
      <c r="J2725" s="11" t="n">
        <v>50</v>
      </c>
      <c r="K2725" s="11" t="n">
        <f aca="false">H2725*I2725-J2725</f>
        <v>220</v>
      </c>
      <c r="L2725" s="7" t="s">
        <v>88</v>
      </c>
      <c r="M2725" s="7" t="s">
        <v>194</v>
      </c>
      <c r="N2725" s="7" t="n">
        <v>22</v>
      </c>
      <c r="O2725" s="7" t="n">
        <v>4</v>
      </c>
    </row>
    <row r="2726" customFormat="false" ht="15" hidden="false" customHeight="false" outlineLevel="0" collapsed="false">
      <c r="A2726" s="7" t="s">
        <v>4089</v>
      </c>
      <c r="B2726" s="10" t="n">
        <v>45997</v>
      </c>
      <c r="C2726" s="7" t="s">
        <v>1791</v>
      </c>
      <c r="D2726" s="7" t="s">
        <v>3420</v>
      </c>
      <c r="E2726" s="7" t="s">
        <v>144</v>
      </c>
      <c r="F2726" s="7" t="s">
        <v>119</v>
      </c>
      <c r="G2726" s="7" t="s">
        <v>99</v>
      </c>
      <c r="H2726" s="7" t="n">
        <v>2</v>
      </c>
      <c r="I2726" s="11" t="n">
        <v>295</v>
      </c>
      <c r="J2726" s="11" t="n">
        <v>0</v>
      </c>
      <c r="K2726" s="11" t="n">
        <f aca="false">H2726*I2726-J2726</f>
        <v>590</v>
      </c>
      <c r="L2726" s="7" t="s">
        <v>133</v>
      </c>
      <c r="M2726" s="7" t="s">
        <v>194</v>
      </c>
      <c r="N2726" s="7" t="n">
        <v>42</v>
      </c>
      <c r="O2726" s="7" t="n">
        <v>4</v>
      </c>
    </row>
    <row r="2727" customFormat="false" ht="15" hidden="false" customHeight="false" outlineLevel="0" collapsed="false">
      <c r="A2727" s="7" t="s">
        <v>4040</v>
      </c>
      <c r="B2727" s="10" t="n">
        <v>45997</v>
      </c>
      <c r="C2727" s="7" t="s">
        <v>1640</v>
      </c>
      <c r="D2727" s="7" t="s">
        <v>2589</v>
      </c>
      <c r="E2727" s="7" t="s">
        <v>134</v>
      </c>
      <c r="F2727" s="7" t="s">
        <v>110</v>
      </c>
      <c r="G2727" s="7" t="s">
        <v>117</v>
      </c>
      <c r="H2727" s="7" t="n">
        <v>1</v>
      </c>
      <c r="I2727" s="11" t="n">
        <v>100</v>
      </c>
      <c r="J2727" s="11" t="n">
        <v>0</v>
      </c>
      <c r="K2727" s="11" t="n">
        <f aca="false">H2727*I2727-J2727</f>
        <v>100</v>
      </c>
      <c r="L2727" s="7" t="s">
        <v>112</v>
      </c>
      <c r="M2727" s="7" t="s">
        <v>194</v>
      </c>
      <c r="N2727" s="7" t="n">
        <v>45</v>
      </c>
      <c r="O2727" s="7" t="n">
        <v>4</v>
      </c>
    </row>
    <row r="2728" customFormat="false" ht="15" hidden="false" customHeight="false" outlineLevel="0" collapsed="false">
      <c r="A2728" s="7" t="s">
        <v>4308</v>
      </c>
      <c r="B2728" s="10" t="n">
        <v>45998</v>
      </c>
      <c r="C2728" s="7" t="s">
        <v>1604</v>
      </c>
      <c r="D2728" s="7" t="s">
        <v>4309</v>
      </c>
      <c r="E2728" s="7" t="s">
        <v>168</v>
      </c>
      <c r="F2728" s="7" t="s">
        <v>146</v>
      </c>
      <c r="G2728" s="7" t="s">
        <v>123</v>
      </c>
      <c r="H2728" s="7" t="n">
        <v>2</v>
      </c>
      <c r="I2728" s="11" t="n">
        <v>280</v>
      </c>
      <c r="J2728" s="11" t="n">
        <v>150</v>
      </c>
      <c r="K2728" s="11" t="n">
        <f aca="false">H2728*I2728-J2728</f>
        <v>410</v>
      </c>
      <c r="L2728" s="7" t="s">
        <v>6170</v>
      </c>
      <c r="M2728" s="7" t="s">
        <v>194</v>
      </c>
      <c r="N2728" s="7" t="n">
        <v>23</v>
      </c>
      <c r="O2728" s="7"/>
    </row>
    <row r="2729" customFormat="false" ht="15" hidden="false" customHeight="false" outlineLevel="0" collapsed="false">
      <c r="A2729" s="7" t="s">
        <v>221</v>
      </c>
      <c r="B2729" s="10" t="n">
        <v>45998</v>
      </c>
      <c r="C2729" s="7" t="s">
        <v>223</v>
      </c>
      <c r="D2729" s="7" t="s">
        <v>224</v>
      </c>
      <c r="E2729" s="7" t="s">
        <v>152</v>
      </c>
      <c r="F2729" s="7" t="s">
        <v>128</v>
      </c>
      <c r="G2729" s="7" t="s">
        <v>95</v>
      </c>
      <c r="H2729" s="7" t="n">
        <v>2</v>
      </c>
      <c r="I2729" s="11" t="n">
        <v>105</v>
      </c>
      <c r="J2729" s="11" t="n">
        <v>84</v>
      </c>
      <c r="K2729" s="11" t="n">
        <f aca="false">H2729*I2729-J2729</f>
        <v>126</v>
      </c>
      <c r="L2729" s="7" t="s">
        <v>88</v>
      </c>
      <c r="M2729" s="7" t="s">
        <v>194</v>
      </c>
      <c r="N2729" s="7" t="n">
        <v>37</v>
      </c>
      <c r="O2729" s="7" t="n">
        <v>3</v>
      </c>
    </row>
    <row r="2730" customFormat="false" ht="15" hidden="false" customHeight="false" outlineLevel="0" collapsed="false">
      <c r="A2730" s="7" t="s">
        <v>3068</v>
      </c>
      <c r="B2730" s="10" t="n">
        <v>45998</v>
      </c>
      <c r="C2730" s="7" t="s">
        <v>1419</v>
      </c>
      <c r="D2730" s="7" t="s">
        <v>1598</v>
      </c>
      <c r="E2730" s="7" t="s">
        <v>160</v>
      </c>
      <c r="F2730" s="7" t="s">
        <v>136</v>
      </c>
      <c r="G2730" s="7" t="s">
        <v>150</v>
      </c>
      <c r="H2730" s="7" t="n">
        <v>3</v>
      </c>
      <c r="I2730" s="11" t="n">
        <v>230</v>
      </c>
      <c r="J2730" s="11" t="n">
        <v>150</v>
      </c>
      <c r="K2730" s="11" t="n">
        <f aca="false">H2730*I2730-J2730</f>
        <v>540</v>
      </c>
      <c r="L2730" s="7" t="s">
        <v>112</v>
      </c>
      <c r="M2730" s="7" t="s">
        <v>194</v>
      </c>
      <c r="N2730" s="7" t="n">
        <v>26</v>
      </c>
      <c r="O2730" s="7"/>
    </row>
    <row r="2731" customFormat="false" ht="15" hidden="false" customHeight="false" outlineLevel="0" collapsed="false">
      <c r="A2731" s="7" t="s">
        <v>5620</v>
      </c>
      <c r="B2731" s="10" t="n">
        <v>45998</v>
      </c>
      <c r="C2731" s="7" t="s">
        <v>896</v>
      </c>
      <c r="D2731" s="7" t="s">
        <v>3184</v>
      </c>
      <c r="E2731" s="7" t="s">
        <v>165</v>
      </c>
      <c r="F2731" s="7" t="s">
        <v>146</v>
      </c>
      <c r="G2731" s="7" t="s">
        <v>90</v>
      </c>
      <c r="H2731" s="7" t="n">
        <v>4</v>
      </c>
      <c r="I2731" s="11" t="n">
        <v>240</v>
      </c>
      <c r="J2731" s="11" t="n">
        <v>75</v>
      </c>
      <c r="K2731" s="11" t="n">
        <f aca="false">H2731*I2731-J2731</f>
        <v>885</v>
      </c>
      <c r="L2731" s="7" t="s">
        <v>88</v>
      </c>
      <c r="M2731" s="7" t="s">
        <v>194</v>
      </c>
      <c r="N2731" s="7" t="n">
        <v>23</v>
      </c>
      <c r="O2731" s="7" t="n">
        <v>4</v>
      </c>
    </row>
    <row r="2732" customFormat="false" ht="15" hidden="false" customHeight="false" outlineLevel="0" collapsed="false">
      <c r="A2732" s="7" t="s">
        <v>6083</v>
      </c>
      <c r="B2732" s="10" t="n">
        <v>45998</v>
      </c>
      <c r="C2732" s="7" t="s">
        <v>6084</v>
      </c>
      <c r="D2732" s="7" t="s">
        <v>2206</v>
      </c>
      <c r="E2732" s="7" t="s">
        <v>104</v>
      </c>
      <c r="F2732" s="7" t="s">
        <v>86</v>
      </c>
      <c r="G2732" s="7" t="s">
        <v>105</v>
      </c>
      <c r="H2732" s="7" t="n">
        <v>2</v>
      </c>
      <c r="I2732" s="11" t="n">
        <v>250</v>
      </c>
      <c r="J2732" s="11" t="n">
        <v>0</v>
      </c>
      <c r="K2732" s="11" t="n">
        <f aca="false">H2732*I2732-J2732</f>
        <v>500</v>
      </c>
      <c r="L2732" s="7" t="s">
        <v>88</v>
      </c>
      <c r="M2732" s="7" t="s">
        <v>194</v>
      </c>
      <c r="N2732" s="7" t="n">
        <v>29</v>
      </c>
      <c r="O2732" s="7" t="n">
        <v>5</v>
      </c>
    </row>
    <row r="2733" customFormat="false" ht="15" hidden="false" customHeight="false" outlineLevel="0" collapsed="false">
      <c r="A2733" s="7" t="s">
        <v>5581</v>
      </c>
      <c r="B2733" s="10" t="n">
        <v>45998</v>
      </c>
      <c r="C2733" s="7" t="s">
        <v>5582</v>
      </c>
      <c r="D2733" s="7" t="s">
        <v>5583</v>
      </c>
      <c r="E2733" s="7" t="s">
        <v>104</v>
      </c>
      <c r="F2733" s="7" t="s">
        <v>86</v>
      </c>
      <c r="G2733" s="7" t="s">
        <v>105</v>
      </c>
      <c r="H2733" s="7" t="n">
        <v>2</v>
      </c>
      <c r="I2733" s="11" t="n">
        <v>165</v>
      </c>
      <c r="J2733" s="11" t="n">
        <v>0</v>
      </c>
      <c r="K2733" s="11" t="n">
        <f aca="false">H2733*I2733-J2733</f>
        <v>330</v>
      </c>
      <c r="L2733" s="7" t="s">
        <v>121</v>
      </c>
      <c r="M2733" s="7" t="s">
        <v>194</v>
      </c>
      <c r="N2733" s="7" t="n">
        <v>37</v>
      </c>
      <c r="O2733" s="7" t="n">
        <v>4</v>
      </c>
    </row>
    <row r="2734" customFormat="false" ht="15" hidden="false" customHeight="false" outlineLevel="0" collapsed="false">
      <c r="A2734" s="7" t="s">
        <v>5355</v>
      </c>
      <c r="B2734" s="10" t="n">
        <v>45998</v>
      </c>
      <c r="C2734" s="7" t="s">
        <v>1708</v>
      </c>
      <c r="D2734" s="7" t="s">
        <v>5356</v>
      </c>
      <c r="E2734" s="7" t="s">
        <v>148</v>
      </c>
      <c r="F2734" s="7" t="s">
        <v>119</v>
      </c>
      <c r="G2734" s="7" t="s">
        <v>123</v>
      </c>
      <c r="H2734" s="7" t="n">
        <v>1</v>
      </c>
      <c r="I2734" s="11" t="n">
        <v>340</v>
      </c>
      <c r="J2734" s="11" t="n">
        <v>125</v>
      </c>
      <c r="K2734" s="11" t="n">
        <f aca="false">H2734*I2734-J2734</f>
        <v>215</v>
      </c>
      <c r="L2734" s="7" t="s">
        <v>88</v>
      </c>
      <c r="M2734" s="7" t="s">
        <v>194</v>
      </c>
      <c r="N2734" s="7" t="n">
        <v>31</v>
      </c>
      <c r="O2734" s="7" t="n">
        <v>4</v>
      </c>
    </row>
    <row r="2735" customFormat="false" ht="15" hidden="false" customHeight="false" outlineLevel="0" collapsed="false">
      <c r="A2735" s="7" t="s">
        <v>1746</v>
      </c>
      <c r="B2735" s="10" t="n">
        <v>45998</v>
      </c>
      <c r="C2735" s="7" t="s">
        <v>555</v>
      </c>
      <c r="D2735" s="7" t="s">
        <v>1747</v>
      </c>
      <c r="E2735" s="7" t="s">
        <v>98</v>
      </c>
      <c r="F2735" s="7" t="s">
        <v>86</v>
      </c>
      <c r="G2735" s="7" t="s">
        <v>99</v>
      </c>
      <c r="H2735" s="7" t="n">
        <v>3</v>
      </c>
      <c r="I2735" s="11" t="n">
        <v>235</v>
      </c>
      <c r="J2735" s="11" t="n">
        <v>0</v>
      </c>
      <c r="K2735" s="11" t="n">
        <f aca="false">H2735*I2735-J2735</f>
        <v>705</v>
      </c>
      <c r="L2735" s="7" t="s">
        <v>112</v>
      </c>
      <c r="M2735" s="7" t="s">
        <v>194</v>
      </c>
      <c r="N2735" s="7" t="n">
        <v>28</v>
      </c>
      <c r="O2735" s="7" t="n">
        <v>3</v>
      </c>
    </row>
    <row r="2736" customFormat="false" ht="15" hidden="false" customHeight="false" outlineLevel="0" collapsed="false">
      <c r="A2736" s="7" t="s">
        <v>6110</v>
      </c>
      <c r="B2736" s="10" t="n">
        <v>45998</v>
      </c>
      <c r="C2736" s="7" t="s">
        <v>478</v>
      </c>
      <c r="D2736" s="7" t="s">
        <v>3184</v>
      </c>
      <c r="E2736" s="7" t="s">
        <v>89</v>
      </c>
      <c r="F2736" s="7" t="s">
        <v>86</v>
      </c>
      <c r="G2736" s="7" t="s">
        <v>90</v>
      </c>
      <c r="H2736" s="7" t="n">
        <v>2</v>
      </c>
      <c r="I2736" s="11" t="n">
        <v>215</v>
      </c>
      <c r="J2736" s="11" t="n">
        <v>0</v>
      </c>
      <c r="K2736" s="11" t="n">
        <f aca="false">H2736*I2736-J2736</f>
        <v>430</v>
      </c>
      <c r="L2736" s="7" t="s">
        <v>112</v>
      </c>
      <c r="M2736" s="7" t="s">
        <v>194</v>
      </c>
      <c r="N2736" s="7" t="n">
        <v>32</v>
      </c>
      <c r="O2736" s="7" t="n">
        <v>4</v>
      </c>
    </row>
    <row r="2737" customFormat="false" ht="15" hidden="false" customHeight="false" outlineLevel="0" collapsed="false">
      <c r="A2737" s="7" t="s">
        <v>5281</v>
      </c>
      <c r="B2737" s="10" t="n">
        <v>45998</v>
      </c>
      <c r="C2737" s="7" t="s">
        <v>1565</v>
      </c>
      <c r="D2737" s="7" t="s">
        <v>569</v>
      </c>
      <c r="E2737" s="7" t="s">
        <v>94</v>
      </c>
      <c r="F2737" s="7" t="s">
        <v>86</v>
      </c>
      <c r="G2737" s="7" t="s">
        <v>95</v>
      </c>
      <c r="H2737" s="7" t="n">
        <v>3</v>
      </c>
      <c r="I2737" s="11" t="n">
        <v>115</v>
      </c>
      <c r="J2737" s="11" t="n">
        <v>75</v>
      </c>
      <c r="K2737" s="11" t="n">
        <f aca="false">H2737*I2737-J2737</f>
        <v>270</v>
      </c>
      <c r="L2737" s="7" t="s">
        <v>88</v>
      </c>
      <c r="M2737" s="7" t="s">
        <v>194</v>
      </c>
      <c r="N2737" s="7" t="n">
        <v>49</v>
      </c>
      <c r="O2737" s="7" t="n">
        <v>4</v>
      </c>
    </row>
    <row r="2738" customFormat="false" ht="15" hidden="false" customHeight="false" outlineLevel="0" collapsed="false">
      <c r="A2738" s="7" t="s">
        <v>4408</v>
      </c>
      <c r="B2738" s="10" t="n">
        <v>45998</v>
      </c>
      <c r="C2738" s="7" t="s">
        <v>4409</v>
      </c>
      <c r="D2738" s="7" t="s">
        <v>2566</v>
      </c>
      <c r="E2738" s="7" t="s">
        <v>162</v>
      </c>
      <c r="F2738" s="7" t="s">
        <v>141</v>
      </c>
      <c r="G2738" s="7" t="s">
        <v>117</v>
      </c>
      <c r="H2738" s="7" t="n">
        <v>5</v>
      </c>
      <c r="I2738" s="11" t="n">
        <v>110</v>
      </c>
      <c r="J2738" s="11" t="n">
        <v>50</v>
      </c>
      <c r="K2738" s="11" t="n">
        <f aca="false">H2738*I2738-J2738</f>
        <v>500</v>
      </c>
      <c r="L2738" s="7" t="s">
        <v>88</v>
      </c>
      <c r="M2738" s="7" t="s">
        <v>194</v>
      </c>
      <c r="N2738" s="7" t="n">
        <v>34</v>
      </c>
      <c r="O2738" s="7" t="n">
        <v>4</v>
      </c>
    </row>
    <row r="2739" customFormat="false" ht="15" hidden="false" customHeight="false" outlineLevel="0" collapsed="false">
      <c r="A2739" s="7" t="s">
        <v>5044</v>
      </c>
      <c r="B2739" s="10" t="n">
        <v>45999</v>
      </c>
      <c r="C2739" s="7" t="s">
        <v>755</v>
      </c>
      <c r="D2739" s="7" t="s">
        <v>4283</v>
      </c>
      <c r="E2739" s="7" t="s">
        <v>130</v>
      </c>
      <c r="F2739" s="7" t="s">
        <v>110</v>
      </c>
      <c r="G2739" s="7" t="s">
        <v>90</v>
      </c>
      <c r="H2739" s="7" t="n">
        <v>2</v>
      </c>
      <c r="I2739" s="11" t="n">
        <v>310</v>
      </c>
      <c r="J2739" s="11" t="n">
        <v>0</v>
      </c>
      <c r="K2739" s="11" t="n">
        <f aca="false">H2739*I2739-J2739</f>
        <v>620</v>
      </c>
      <c r="L2739" s="7" t="s">
        <v>121</v>
      </c>
      <c r="M2739" s="7" t="s">
        <v>194</v>
      </c>
      <c r="N2739" s="7" t="n">
        <v>44</v>
      </c>
      <c r="O2739" s="7" t="n">
        <v>4</v>
      </c>
    </row>
    <row r="2740" customFormat="false" ht="15" hidden="false" customHeight="false" outlineLevel="0" collapsed="false">
      <c r="A2740" s="7" t="s">
        <v>4506</v>
      </c>
      <c r="B2740" s="10" t="n">
        <v>45999</v>
      </c>
      <c r="C2740" s="7" t="s">
        <v>2304</v>
      </c>
      <c r="D2740" s="7" t="s">
        <v>1355</v>
      </c>
      <c r="E2740" s="7" t="s">
        <v>154</v>
      </c>
      <c r="F2740" s="7" t="s">
        <v>128</v>
      </c>
      <c r="G2740" s="7" t="s">
        <v>99</v>
      </c>
      <c r="H2740" s="7" t="n">
        <v>5</v>
      </c>
      <c r="I2740" s="11" t="n">
        <v>280</v>
      </c>
      <c r="J2740" s="11" t="n">
        <v>0</v>
      </c>
      <c r="K2740" s="11" t="n">
        <f aca="false">H2740*I2740-J2740</f>
        <v>1400</v>
      </c>
      <c r="L2740" s="7" t="s">
        <v>103</v>
      </c>
      <c r="M2740" s="7" t="s">
        <v>194</v>
      </c>
      <c r="N2740" s="7" t="n">
        <v>36</v>
      </c>
      <c r="O2740" s="7" t="n">
        <v>3</v>
      </c>
    </row>
    <row r="2741" customFormat="false" ht="15" hidden="false" customHeight="false" outlineLevel="0" collapsed="false">
      <c r="A2741" s="7" t="s">
        <v>2031</v>
      </c>
      <c r="B2741" s="10" t="n">
        <v>45999</v>
      </c>
      <c r="C2741" s="7" t="s">
        <v>2033</v>
      </c>
      <c r="D2741" s="7" t="s">
        <v>2034</v>
      </c>
      <c r="E2741" s="7" t="s">
        <v>134</v>
      </c>
      <c r="F2741" s="7" t="s">
        <v>110</v>
      </c>
      <c r="G2741" s="7" t="s">
        <v>117</v>
      </c>
      <c r="H2741" s="7" t="n">
        <v>5</v>
      </c>
      <c r="I2741" s="11" t="n">
        <v>115</v>
      </c>
      <c r="J2741" s="11" t="n">
        <v>0</v>
      </c>
      <c r="K2741" s="11" t="n">
        <f aca="false">H2741*I2741-J2741</f>
        <v>575</v>
      </c>
      <c r="L2741" s="7" t="s">
        <v>121</v>
      </c>
      <c r="M2741" s="7" t="s">
        <v>194</v>
      </c>
      <c r="N2741" s="7" t="n">
        <v>52</v>
      </c>
      <c r="O2741" s="7" t="n">
        <v>5</v>
      </c>
    </row>
    <row r="2742" customFormat="false" ht="15" hidden="false" customHeight="false" outlineLevel="0" collapsed="false">
      <c r="A2742" s="7" t="s">
        <v>5016</v>
      </c>
      <c r="B2742" s="10" t="n">
        <v>45999</v>
      </c>
      <c r="C2742" s="7" t="s">
        <v>5017</v>
      </c>
      <c r="D2742" s="7" t="s">
        <v>680</v>
      </c>
      <c r="E2742" s="7" t="s">
        <v>147</v>
      </c>
      <c r="F2742" s="7" t="s">
        <v>119</v>
      </c>
      <c r="G2742" s="7" t="s">
        <v>95</v>
      </c>
      <c r="H2742" s="7" t="n">
        <v>2</v>
      </c>
      <c r="I2742" s="11" t="n">
        <v>150</v>
      </c>
      <c r="J2742" s="11" t="n">
        <v>0</v>
      </c>
      <c r="K2742" s="11" t="n">
        <f aca="false">H2742*I2742-J2742</f>
        <v>300</v>
      </c>
      <c r="L2742" s="7" t="s">
        <v>112</v>
      </c>
      <c r="M2742" s="7" t="s">
        <v>238</v>
      </c>
      <c r="N2742" s="7"/>
      <c r="O2742" s="7"/>
    </row>
    <row r="2743" customFormat="false" ht="15" hidden="false" customHeight="false" outlineLevel="0" collapsed="false">
      <c r="A2743" s="7" t="s">
        <v>5085</v>
      </c>
      <c r="B2743" s="10" t="n">
        <v>45999</v>
      </c>
      <c r="C2743" s="7" t="s">
        <v>1852</v>
      </c>
      <c r="D2743" s="7" t="s">
        <v>645</v>
      </c>
      <c r="E2743" s="7" t="s">
        <v>94</v>
      </c>
      <c r="F2743" s="7" t="s">
        <v>86</v>
      </c>
      <c r="G2743" s="7" t="s">
        <v>95</v>
      </c>
      <c r="H2743" s="7" t="n">
        <v>4</v>
      </c>
      <c r="I2743" s="11" t="n">
        <v>100</v>
      </c>
      <c r="J2743" s="11" t="n">
        <v>40</v>
      </c>
      <c r="K2743" s="11" t="n">
        <f aca="false">H2743*I2743-J2743</f>
        <v>360</v>
      </c>
      <c r="L2743" s="7" t="s">
        <v>88</v>
      </c>
      <c r="M2743" s="7" t="s">
        <v>194</v>
      </c>
      <c r="N2743" s="7" t="n">
        <v>39</v>
      </c>
      <c r="O2743" s="7" t="n">
        <v>4</v>
      </c>
    </row>
    <row r="2744" customFormat="false" ht="15" hidden="false" customHeight="false" outlineLevel="0" collapsed="false">
      <c r="A2744" s="7" t="s">
        <v>5898</v>
      </c>
      <c r="B2744" s="10" t="n">
        <v>45999</v>
      </c>
      <c r="C2744" s="7" t="s">
        <v>2604</v>
      </c>
      <c r="D2744" s="7" t="s">
        <v>1908</v>
      </c>
      <c r="E2744" s="7" t="s">
        <v>138</v>
      </c>
      <c r="F2744" s="7" t="s">
        <v>110</v>
      </c>
      <c r="G2744" s="7" t="s">
        <v>139</v>
      </c>
      <c r="H2744" s="7" t="n">
        <v>3</v>
      </c>
      <c r="I2744" s="11" t="n">
        <v>225</v>
      </c>
      <c r="J2744" s="11" t="n">
        <v>75</v>
      </c>
      <c r="K2744" s="11" t="n">
        <f aca="false">H2744*I2744-J2744</f>
        <v>600</v>
      </c>
      <c r="L2744" s="7" t="s">
        <v>88</v>
      </c>
      <c r="M2744" s="7" t="s">
        <v>194</v>
      </c>
      <c r="N2744" s="7" t="n">
        <v>41</v>
      </c>
      <c r="O2744" s="7" t="n">
        <v>3</v>
      </c>
    </row>
    <row r="2745" customFormat="false" ht="15" hidden="false" customHeight="false" outlineLevel="0" collapsed="false">
      <c r="A2745" s="7" t="s">
        <v>4325</v>
      </c>
      <c r="B2745" s="10" t="n">
        <v>46000</v>
      </c>
      <c r="C2745" s="7" t="s">
        <v>3390</v>
      </c>
      <c r="D2745" s="7" t="s">
        <v>2331</v>
      </c>
      <c r="E2745" s="7" t="s">
        <v>161</v>
      </c>
      <c r="F2745" s="7" t="s">
        <v>141</v>
      </c>
      <c r="G2745" s="7" t="s">
        <v>117</v>
      </c>
      <c r="H2745" s="7" t="n">
        <v>2</v>
      </c>
      <c r="I2745" s="11" t="n">
        <v>165</v>
      </c>
      <c r="J2745" s="11" t="n">
        <v>0</v>
      </c>
      <c r="K2745" s="11" t="n">
        <f aca="false">H2745*I2745-J2745</f>
        <v>330</v>
      </c>
      <c r="L2745" s="7" t="s">
        <v>103</v>
      </c>
      <c r="M2745" s="7" t="s">
        <v>194</v>
      </c>
      <c r="N2745" s="7" t="n">
        <v>30</v>
      </c>
      <c r="O2745" s="7" t="n">
        <v>4</v>
      </c>
    </row>
    <row r="2746" customFormat="false" ht="15" hidden="false" customHeight="false" outlineLevel="0" collapsed="false">
      <c r="A2746" s="7" t="s">
        <v>4587</v>
      </c>
      <c r="B2746" s="10" t="n">
        <v>46000</v>
      </c>
      <c r="C2746" s="7" t="s">
        <v>3632</v>
      </c>
      <c r="D2746" s="7" t="s">
        <v>4588</v>
      </c>
      <c r="E2746" s="7" t="s">
        <v>130</v>
      </c>
      <c r="F2746" s="7" t="s">
        <v>110</v>
      </c>
      <c r="G2746" s="7" t="s">
        <v>90</v>
      </c>
      <c r="H2746" s="7" t="n">
        <v>1</v>
      </c>
      <c r="I2746" s="11" t="n">
        <v>260</v>
      </c>
      <c r="J2746" s="11" t="n">
        <v>0</v>
      </c>
      <c r="K2746" s="11" t="n">
        <f aca="false">H2746*I2746-J2746</f>
        <v>260</v>
      </c>
      <c r="L2746" s="7" t="s">
        <v>112</v>
      </c>
      <c r="M2746" s="7" t="s">
        <v>194</v>
      </c>
      <c r="N2746" s="7" t="n">
        <v>48</v>
      </c>
      <c r="O2746" s="7" t="n">
        <v>4</v>
      </c>
    </row>
    <row r="2747" customFormat="false" ht="15" hidden="false" customHeight="false" outlineLevel="0" collapsed="false">
      <c r="A2747" s="7" t="s">
        <v>5601</v>
      </c>
      <c r="B2747" s="10" t="n">
        <v>46000</v>
      </c>
      <c r="C2747" s="7" t="s">
        <v>3048</v>
      </c>
      <c r="D2747" s="7" t="s">
        <v>4285</v>
      </c>
      <c r="E2747" s="7" t="s">
        <v>167</v>
      </c>
      <c r="F2747" s="7" t="s">
        <v>146</v>
      </c>
      <c r="G2747" s="7" t="s">
        <v>156</v>
      </c>
      <c r="H2747" s="7" t="n">
        <v>4</v>
      </c>
      <c r="I2747" s="11" t="n">
        <v>305</v>
      </c>
      <c r="J2747" s="11" t="n">
        <v>0</v>
      </c>
      <c r="K2747" s="11" t="n">
        <f aca="false">H2747*I2747-J2747</f>
        <v>1220</v>
      </c>
      <c r="L2747" s="7" t="s">
        <v>88</v>
      </c>
      <c r="M2747" s="7" t="s">
        <v>194</v>
      </c>
      <c r="N2747" s="7" t="n">
        <v>38</v>
      </c>
      <c r="O2747" s="7" t="n">
        <v>5</v>
      </c>
    </row>
    <row r="2748" customFormat="false" ht="15" hidden="false" customHeight="false" outlineLevel="0" collapsed="false">
      <c r="A2748" s="7" t="s">
        <v>3850</v>
      </c>
      <c r="B2748" s="10" t="n">
        <v>46000</v>
      </c>
      <c r="C2748" s="7" t="s">
        <v>3852</v>
      </c>
      <c r="D2748" s="7" t="s">
        <v>2134</v>
      </c>
      <c r="E2748" s="7" t="s">
        <v>98</v>
      </c>
      <c r="F2748" s="7" t="s">
        <v>86</v>
      </c>
      <c r="G2748" s="7" t="s">
        <v>99</v>
      </c>
      <c r="H2748" s="7" t="n">
        <v>1</v>
      </c>
      <c r="I2748" s="11" t="n">
        <v>340</v>
      </c>
      <c r="J2748" s="11" t="n">
        <v>40</v>
      </c>
      <c r="K2748" s="11" t="n">
        <f aca="false">H2748*I2748-J2748</f>
        <v>300</v>
      </c>
      <c r="L2748" s="7" t="s">
        <v>121</v>
      </c>
      <c r="M2748" s="7" t="s">
        <v>194</v>
      </c>
      <c r="N2748" s="7" t="n">
        <v>27</v>
      </c>
      <c r="O2748" s="7" t="n">
        <v>5</v>
      </c>
    </row>
    <row r="2749" customFormat="false" ht="15" hidden="false" customHeight="false" outlineLevel="0" collapsed="false">
      <c r="A2749" s="7" t="s">
        <v>3835</v>
      </c>
      <c r="B2749" s="10" t="n">
        <v>46000</v>
      </c>
      <c r="C2749" s="7" t="s">
        <v>555</v>
      </c>
      <c r="D2749" s="7" t="s">
        <v>1272</v>
      </c>
      <c r="E2749" s="7" t="s">
        <v>113</v>
      </c>
      <c r="F2749" s="7" t="s">
        <v>101</v>
      </c>
      <c r="G2749" s="7" t="s">
        <v>90</v>
      </c>
      <c r="H2749" s="7" t="n">
        <v>1</v>
      </c>
      <c r="I2749" s="11" t="n">
        <v>280</v>
      </c>
      <c r="J2749" s="11" t="n">
        <v>0</v>
      </c>
      <c r="K2749" s="11" t="n">
        <f aca="false">H2749*I2749-J2749</f>
        <v>280</v>
      </c>
      <c r="L2749" s="7" t="s">
        <v>88</v>
      </c>
      <c r="M2749" s="7" t="s">
        <v>194</v>
      </c>
      <c r="N2749" s="7" t="n">
        <v>38</v>
      </c>
      <c r="O2749" s="7" t="n">
        <v>3</v>
      </c>
    </row>
    <row r="2750" customFormat="false" ht="15" hidden="false" customHeight="false" outlineLevel="0" collapsed="false">
      <c r="A2750" s="7" t="s">
        <v>2687</v>
      </c>
      <c r="B2750" s="10" t="n">
        <v>46001</v>
      </c>
      <c r="C2750" s="7" t="s">
        <v>2688</v>
      </c>
      <c r="D2750" s="7" t="s">
        <v>2689</v>
      </c>
      <c r="E2750" s="7" t="s">
        <v>122</v>
      </c>
      <c r="F2750" s="7" t="s">
        <v>101</v>
      </c>
      <c r="G2750" s="7" t="s">
        <v>123</v>
      </c>
      <c r="H2750" s="7" t="n">
        <v>1</v>
      </c>
      <c r="I2750" s="11" t="n">
        <v>300</v>
      </c>
      <c r="J2750" s="11" t="n">
        <v>0</v>
      </c>
      <c r="K2750" s="11" t="n">
        <f aca="false">H2750*I2750-J2750</f>
        <v>300</v>
      </c>
      <c r="L2750" s="7" t="s">
        <v>88</v>
      </c>
      <c r="M2750" s="7" t="s">
        <v>194</v>
      </c>
      <c r="N2750" s="7" t="n">
        <v>39</v>
      </c>
      <c r="O2750" s="7" t="n">
        <v>2</v>
      </c>
    </row>
    <row r="2751" customFormat="false" ht="15" hidden="false" customHeight="false" outlineLevel="0" collapsed="false">
      <c r="A2751" s="7" t="s">
        <v>1625</v>
      </c>
      <c r="B2751" s="10" t="n">
        <v>46001</v>
      </c>
      <c r="C2751" s="7" t="s">
        <v>1626</v>
      </c>
      <c r="D2751" s="7" t="s">
        <v>1627</v>
      </c>
      <c r="E2751" s="7" t="s">
        <v>157</v>
      </c>
      <c r="F2751" s="7" t="s">
        <v>136</v>
      </c>
      <c r="G2751" s="7" t="s">
        <v>117</v>
      </c>
      <c r="H2751" s="7" t="n">
        <v>1</v>
      </c>
      <c r="I2751" s="11" t="n">
        <v>130</v>
      </c>
      <c r="J2751" s="11" t="n">
        <v>52</v>
      </c>
      <c r="K2751" s="11" t="n">
        <f aca="false">H2751*I2751-J2751</f>
        <v>78</v>
      </c>
      <c r="L2751" s="7" t="s">
        <v>112</v>
      </c>
      <c r="M2751" s="7" t="s">
        <v>194</v>
      </c>
      <c r="N2751" s="7" t="n">
        <v>25</v>
      </c>
      <c r="O2751" s="7" t="n">
        <v>5</v>
      </c>
    </row>
    <row r="2752" customFormat="false" ht="15" hidden="false" customHeight="false" outlineLevel="0" collapsed="false">
      <c r="A2752" s="7" t="s">
        <v>4796</v>
      </c>
      <c r="B2752" s="10" t="n">
        <v>46001</v>
      </c>
      <c r="C2752" s="7" t="s">
        <v>4797</v>
      </c>
      <c r="D2752" s="7" t="s">
        <v>4798</v>
      </c>
      <c r="E2752" s="7" t="s">
        <v>138</v>
      </c>
      <c r="F2752" s="7" t="s">
        <v>110</v>
      </c>
      <c r="G2752" s="7" t="s">
        <v>139</v>
      </c>
      <c r="H2752" s="7" t="n">
        <v>1</v>
      </c>
      <c r="I2752" s="11" t="n">
        <v>165</v>
      </c>
      <c r="J2752" s="11" t="n">
        <v>66</v>
      </c>
      <c r="K2752" s="11" t="n">
        <f aca="false">H2752*I2752-J2752</f>
        <v>99</v>
      </c>
      <c r="L2752" s="7" t="s">
        <v>121</v>
      </c>
      <c r="M2752" s="7" t="s">
        <v>194</v>
      </c>
      <c r="N2752" s="7" t="n">
        <v>40</v>
      </c>
      <c r="O2752" s="7"/>
    </row>
    <row r="2753" customFormat="false" ht="15" hidden="false" customHeight="false" outlineLevel="0" collapsed="false">
      <c r="A2753" s="7" t="s">
        <v>4838</v>
      </c>
      <c r="B2753" s="10" t="n">
        <v>46001</v>
      </c>
      <c r="C2753" s="7" t="s">
        <v>3573</v>
      </c>
      <c r="D2753" s="7" t="s">
        <v>2284</v>
      </c>
      <c r="E2753" s="7" t="s">
        <v>160</v>
      </c>
      <c r="F2753" s="7" t="s">
        <v>136</v>
      </c>
      <c r="G2753" s="7" t="s">
        <v>150</v>
      </c>
      <c r="H2753" s="7" t="n">
        <v>1</v>
      </c>
      <c r="I2753" s="11" t="n">
        <v>190</v>
      </c>
      <c r="J2753" s="11" t="n">
        <v>76</v>
      </c>
      <c r="K2753" s="11" t="n">
        <f aca="false">H2753*I2753-J2753</f>
        <v>114</v>
      </c>
      <c r="L2753" s="7" t="s">
        <v>88</v>
      </c>
      <c r="M2753" s="7" t="s">
        <v>194</v>
      </c>
      <c r="N2753" s="7" t="n">
        <v>38</v>
      </c>
      <c r="O2753" s="7"/>
    </row>
    <row r="2754" customFormat="false" ht="15" hidden="false" customHeight="false" outlineLevel="0" collapsed="false">
      <c r="A2754" s="7" t="s">
        <v>2569</v>
      </c>
      <c r="B2754" s="10" t="n">
        <v>46001</v>
      </c>
      <c r="C2754" s="7" t="s">
        <v>2571</v>
      </c>
      <c r="D2754" s="7" t="s">
        <v>2566</v>
      </c>
      <c r="E2754" s="7" t="s">
        <v>134</v>
      </c>
      <c r="F2754" s="7" t="s">
        <v>110</v>
      </c>
      <c r="G2754" s="7" t="s">
        <v>117</v>
      </c>
      <c r="H2754" s="7" t="n">
        <v>2</v>
      </c>
      <c r="I2754" s="11" t="n">
        <v>125</v>
      </c>
      <c r="J2754" s="11" t="n">
        <v>75</v>
      </c>
      <c r="K2754" s="11" t="n">
        <f aca="false">H2754*I2754-J2754</f>
        <v>175</v>
      </c>
      <c r="L2754" s="7" t="s">
        <v>88</v>
      </c>
      <c r="M2754" s="7" t="s">
        <v>194</v>
      </c>
      <c r="N2754" s="7" t="n">
        <v>24</v>
      </c>
      <c r="O2754" s="7" t="n">
        <v>5</v>
      </c>
    </row>
    <row r="2755" customFormat="false" ht="15" hidden="false" customHeight="false" outlineLevel="0" collapsed="false">
      <c r="A2755" s="7" t="s">
        <v>4645</v>
      </c>
      <c r="B2755" s="10" t="n">
        <v>46001</v>
      </c>
      <c r="C2755" s="7" t="s">
        <v>3794</v>
      </c>
      <c r="D2755" s="7" t="s">
        <v>4646</v>
      </c>
      <c r="E2755" s="7" t="s">
        <v>126</v>
      </c>
      <c r="F2755" s="7" t="s">
        <v>101</v>
      </c>
      <c r="G2755" s="7" t="s">
        <v>105</v>
      </c>
      <c r="H2755" s="7" t="n">
        <v>2</v>
      </c>
      <c r="I2755" s="11" t="n">
        <v>220</v>
      </c>
      <c r="J2755" s="11" t="n">
        <v>0</v>
      </c>
      <c r="K2755" s="11" t="n">
        <f aca="false">H2755*I2755-J2755</f>
        <v>440</v>
      </c>
      <c r="L2755" s="7" t="s">
        <v>88</v>
      </c>
      <c r="M2755" s="7" t="s">
        <v>194</v>
      </c>
      <c r="N2755" s="7" t="n">
        <v>47</v>
      </c>
      <c r="O2755" s="7" t="n">
        <v>3</v>
      </c>
    </row>
    <row r="2756" customFormat="false" ht="15" hidden="false" customHeight="false" outlineLevel="0" collapsed="false">
      <c r="A2756" s="7" t="s">
        <v>4806</v>
      </c>
      <c r="B2756" s="10" t="n">
        <v>46001</v>
      </c>
      <c r="C2756" s="7" t="s">
        <v>4807</v>
      </c>
      <c r="D2756" s="7" t="s">
        <v>320</v>
      </c>
      <c r="E2756" s="7" t="s">
        <v>94</v>
      </c>
      <c r="F2756" s="7" t="s">
        <v>86</v>
      </c>
      <c r="G2756" s="7" t="s">
        <v>95</v>
      </c>
      <c r="H2756" s="7" t="n">
        <v>2</v>
      </c>
      <c r="I2756" s="11" t="n">
        <v>125</v>
      </c>
      <c r="J2756" s="11" t="n">
        <v>75</v>
      </c>
      <c r="K2756" s="11" t="n">
        <f aca="false">H2756*I2756-J2756</f>
        <v>175</v>
      </c>
      <c r="L2756" s="7" t="s">
        <v>88</v>
      </c>
      <c r="M2756" s="7" t="s">
        <v>238</v>
      </c>
      <c r="N2756" s="7"/>
      <c r="O2756" s="7"/>
    </row>
    <row r="2757" customFormat="false" ht="15" hidden="false" customHeight="false" outlineLevel="0" collapsed="false">
      <c r="A2757" s="7" t="s">
        <v>1653</v>
      </c>
      <c r="B2757" s="10" t="n">
        <v>46001</v>
      </c>
      <c r="C2757" s="7" t="s">
        <v>1654</v>
      </c>
      <c r="D2757" s="7" t="s">
        <v>1655</v>
      </c>
      <c r="E2757" s="7" t="s">
        <v>138</v>
      </c>
      <c r="F2757" s="7" t="s">
        <v>110</v>
      </c>
      <c r="G2757" s="7" t="s">
        <v>139</v>
      </c>
      <c r="H2757" s="7" t="n">
        <v>1</v>
      </c>
      <c r="I2757" s="11" t="n">
        <v>170</v>
      </c>
      <c r="J2757" s="11" t="n">
        <v>68</v>
      </c>
      <c r="K2757" s="11" t="n">
        <f aca="false">H2757*I2757-J2757</f>
        <v>102</v>
      </c>
      <c r="L2757" s="7" t="s">
        <v>93</v>
      </c>
      <c r="M2757" s="7" t="s">
        <v>238</v>
      </c>
      <c r="N2757" s="7"/>
      <c r="O2757" s="7"/>
    </row>
    <row r="2758" customFormat="false" ht="15" hidden="false" customHeight="false" outlineLevel="0" collapsed="false">
      <c r="A2758" s="7" t="s">
        <v>4238</v>
      </c>
      <c r="B2758" s="10" t="n">
        <v>46002</v>
      </c>
      <c r="C2758" s="7" t="s">
        <v>2898</v>
      </c>
      <c r="D2758" s="7" t="s">
        <v>1146</v>
      </c>
      <c r="E2758" s="7" t="s">
        <v>138</v>
      </c>
      <c r="F2758" s="7" t="s">
        <v>110</v>
      </c>
      <c r="G2758" s="7" t="s">
        <v>139</v>
      </c>
      <c r="H2758" s="7" t="n">
        <v>2</v>
      </c>
      <c r="I2758" s="11" t="n">
        <v>200</v>
      </c>
      <c r="J2758" s="11" t="n">
        <v>0</v>
      </c>
      <c r="K2758" s="11" t="n">
        <f aca="false">H2758*I2758-J2758</f>
        <v>400</v>
      </c>
      <c r="L2758" s="7" t="s">
        <v>112</v>
      </c>
      <c r="M2758" s="7" t="s">
        <v>238</v>
      </c>
      <c r="N2758" s="7"/>
      <c r="O2758" s="7"/>
    </row>
    <row r="2759" customFormat="false" ht="15" hidden="false" customHeight="false" outlineLevel="0" collapsed="false">
      <c r="A2759" s="7" t="s">
        <v>2204</v>
      </c>
      <c r="B2759" s="10" t="n">
        <v>46002</v>
      </c>
      <c r="C2759" s="7" t="s">
        <v>2205</v>
      </c>
      <c r="D2759" s="7" t="s">
        <v>2206</v>
      </c>
      <c r="E2759" s="7" t="s">
        <v>89</v>
      </c>
      <c r="F2759" s="7" t="s">
        <v>86</v>
      </c>
      <c r="G2759" s="7" t="s">
        <v>90</v>
      </c>
      <c r="H2759" s="7" t="n">
        <v>2</v>
      </c>
      <c r="I2759" s="11" t="n">
        <v>220</v>
      </c>
      <c r="J2759" s="11" t="n">
        <v>100</v>
      </c>
      <c r="K2759" s="11" t="n">
        <f aca="false">H2759*I2759-J2759</f>
        <v>340</v>
      </c>
      <c r="L2759" s="7" t="s">
        <v>88</v>
      </c>
      <c r="M2759" s="7" t="s">
        <v>194</v>
      </c>
      <c r="N2759" s="7" t="n">
        <v>30</v>
      </c>
      <c r="O2759" s="7" t="n">
        <v>3</v>
      </c>
    </row>
    <row r="2760" customFormat="false" ht="15" hidden="false" customHeight="false" outlineLevel="0" collapsed="false">
      <c r="A2760" s="7" t="s">
        <v>308</v>
      </c>
      <c r="B2760" s="10" t="n">
        <v>46002</v>
      </c>
      <c r="C2760" s="7" t="s">
        <v>310</v>
      </c>
      <c r="D2760" s="7" t="s">
        <v>311</v>
      </c>
      <c r="E2760" s="7" t="s">
        <v>148</v>
      </c>
      <c r="F2760" s="7" t="s">
        <v>119</v>
      </c>
      <c r="G2760" s="7" t="s">
        <v>123</v>
      </c>
      <c r="H2760" s="7" t="n">
        <v>2</v>
      </c>
      <c r="I2760" s="11" t="n">
        <v>315</v>
      </c>
      <c r="J2760" s="11" t="n">
        <v>75</v>
      </c>
      <c r="K2760" s="11" t="n">
        <f aca="false">H2760*I2760-J2760</f>
        <v>555</v>
      </c>
      <c r="L2760" s="7" t="s">
        <v>88</v>
      </c>
      <c r="M2760" s="7" t="s">
        <v>194</v>
      </c>
      <c r="N2760" s="7" t="n">
        <v>26</v>
      </c>
      <c r="O2760" s="7" t="n">
        <v>5</v>
      </c>
    </row>
    <row r="2761" customFormat="false" ht="15" hidden="false" customHeight="false" outlineLevel="0" collapsed="false">
      <c r="A2761" s="7" t="s">
        <v>3511</v>
      </c>
      <c r="B2761" s="10" t="n">
        <v>46002</v>
      </c>
      <c r="C2761" s="7" t="s">
        <v>3512</v>
      </c>
      <c r="D2761" s="7" t="s">
        <v>3513</v>
      </c>
      <c r="E2761" s="7" t="s">
        <v>89</v>
      </c>
      <c r="F2761" s="7" t="s">
        <v>86</v>
      </c>
      <c r="G2761" s="7" t="s">
        <v>90</v>
      </c>
      <c r="H2761" s="7" t="n">
        <v>3</v>
      </c>
      <c r="I2761" s="11" t="n">
        <v>250</v>
      </c>
      <c r="J2761" s="11" t="n">
        <v>40</v>
      </c>
      <c r="K2761" s="11" t="n">
        <f aca="false">H2761*I2761-J2761</f>
        <v>710</v>
      </c>
      <c r="L2761" s="7" t="s">
        <v>93</v>
      </c>
      <c r="M2761" s="7" t="s">
        <v>194</v>
      </c>
      <c r="N2761" s="7" t="n">
        <v>40</v>
      </c>
      <c r="O2761" s="7" t="n">
        <v>4</v>
      </c>
    </row>
    <row r="2762" customFormat="false" ht="15" hidden="false" customHeight="false" outlineLevel="0" collapsed="false">
      <c r="A2762" s="7" t="s">
        <v>2837</v>
      </c>
      <c r="B2762" s="10" t="n">
        <v>46002</v>
      </c>
      <c r="C2762" s="7" t="s">
        <v>976</v>
      </c>
      <c r="D2762" s="7" t="s">
        <v>192</v>
      </c>
      <c r="E2762" s="7" t="s">
        <v>113</v>
      </c>
      <c r="F2762" s="7" t="s">
        <v>101</v>
      </c>
      <c r="G2762" s="7" t="s">
        <v>90</v>
      </c>
      <c r="H2762" s="7" t="n">
        <v>4</v>
      </c>
      <c r="I2762" s="11" t="n">
        <v>300</v>
      </c>
      <c r="J2762" s="11" t="n">
        <v>150</v>
      </c>
      <c r="K2762" s="11" t="n">
        <f aca="false">H2762*I2762-J2762</f>
        <v>1050</v>
      </c>
      <c r="L2762" s="7" t="s">
        <v>88</v>
      </c>
      <c r="M2762" s="7" t="s">
        <v>194</v>
      </c>
      <c r="N2762" s="7" t="n">
        <v>59</v>
      </c>
      <c r="O2762" s="7" t="n">
        <v>4</v>
      </c>
    </row>
    <row r="2763" customFormat="false" ht="15" hidden="false" customHeight="false" outlineLevel="0" collapsed="false">
      <c r="A2763" s="7" t="s">
        <v>5978</v>
      </c>
      <c r="B2763" s="10" t="n">
        <v>46002</v>
      </c>
      <c r="C2763" s="7" t="s">
        <v>1607</v>
      </c>
      <c r="D2763" s="7" t="s">
        <v>4142</v>
      </c>
      <c r="E2763" s="7" t="s">
        <v>144</v>
      </c>
      <c r="F2763" s="7" t="s">
        <v>119</v>
      </c>
      <c r="G2763" s="7" t="s">
        <v>99</v>
      </c>
      <c r="H2763" s="7" t="n">
        <v>1</v>
      </c>
      <c r="I2763" s="11" t="n">
        <v>350</v>
      </c>
      <c r="J2763" s="11" t="n">
        <v>0</v>
      </c>
      <c r="K2763" s="11" t="n">
        <f aca="false">H2763*I2763-J2763</f>
        <v>350</v>
      </c>
      <c r="L2763" s="7" t="s">
        <v>88</v>
      </c>
      <c r="M2763" s="7" t="s">
        <v>194</v>
      </c>
      <c r="N2763" s="7" t="n">
        <v>36</v>
      </c>
      <c r="O2763" s="7" t="n">
        <v>3</v>
      </c>
    </row>
    <row r="2764" customFormat="false" ht="15" hidden="false" customHeight="false" outlineLevel="0" collapsed="false">
      <c r="A2764" s="7" t="s">
        <v>1338</v>
      </c>
      <c r="B2764" s="10" t="n">
        <v>46002</v>
      </c>
      <c r="C2764" s="7" t="s">
        <v>1340</v>
      </c>
      <c r="D2764" s="7" t="s">
        <v>1341</v>
      </c>
      <c r="E2764" s="7" t="s">
        <v>163</v>
      </c>
      <c r="F2764" s="7" t="s">
        <v>141</v>
      </c>
      <c r="G2764" s="7" t="s">
        <v>99</v>
      </c>
      <c r="H2764" s="7" t="n">
        <v>2</v>
      </c>
      <c r="I2764" s="11" t="n">
        <v>205</v>
      </c>
      <c r="J2764" s="11" t="n">
        <v>0</v>
      </c>
      <c r="K2764" s="11" t="n">
        <f aca="false">H2764*I2764-J2764</f>
        <v>410</v>
      </c>
      <c r="L2764" s="7" t="s">
        <v>93</v>
      </c>
      <c r="M2764" s="7" t="s">
        <v>194</v>
      </c>
      <c r="N2764" s="7" t="n">
        <v>47</v>
      </c>
      <c r="O2764" s="7" t="n">
        <v>2</v>
      </c>
    </row>
    <row r="2765" customFormat="false" ht="15" hidden="false" customHeight="false" outlineLevel="0" collapsed="false">
      <c r="A2765" s="7" t="s">
        <v>1564</v>
      </c>
      <c r="B2765" s="10" t="n">
        <v>46002</v>
      </c>
      <c r="C2765" s="7" t="s">
        <v>1565</v>
      </c>
      <c r="D2765" s="7" t="s">
        <v>1566</v>
      </c>
      <c r="E2765" s="7" t="s">
        <v>168</v>
      </c>
      <c r="F2765" s="7" t="s">
        <v>146</v>
      </c>
      <c r="G2765" s="7" t="s">
        <v>123</v>
      </c>
      <c r="H2765" s="7" t="n">
        <v>2</v>
      </c>
      <c r="I2765" s="11" t="n">
        <v>380</v>
      </c>
      <c r="J2765" s="11" t="n">
        <v>0</v>
      </c>
      <c r="K2765" s="11" t="n">
        <f aca="false">H2765*I2765-J2765</f>
        <v>760</v>
      </c>
      <c r="L2765" s="7" t="s">
        <v>93</v>
      </c>
      <c r="M2765" s="7" t="s">
        <v>194</v>
      </c>
      <c r="N2765" s="7" t="n">
        <v>26</v>
      </c>
      <c r="O2765" s="7" t="n">
        <v>4</v>
      </c>
    </row>
    <row r="2766" customFormat="false" ht="15" hidden="false" customHeight="false" outlineLevel="0" collapsed="false">
      <c r="A2766" s="7" t="s">
        <v>2118</v>
      </c>
      <c r="B2766" s="10" t="n">
        <v>46002</v>
      </c>
      <c r="C2766" s="7" t="s">
        <v>1920</v>
      </c>
      <c r="D2766" s="7" t="s">
        <v>2119</v>
      </c>
      <c r="E2766" s="7" t="s">
        <v>147</v>
      </c>
      <c r="F2766" s="7" t="s">
        <v>119</v>
      </c>
      <c r="G2766" s="7" t="s">
        <v>95</v>
      </c>
      <c r="H2766" s="7" t="n">
        <v>1</v>
      </c>
      <c r="I2766" s="11" t="n">
        <v>135</v>
      </c>
      <c r="J2766" s="11" t="n">
        <v>0</v>
      </c>
      <c r="K2766" s="11" t="n">
        <f aca="false">H2766*I2766-J2766</f>
        <v>135</v>
      </c>
      <c r="L2766" s="7" t="s">
        <v>88</v>
      </c>
      <c r="M2766" s="7" t="s">
        <v>194</v>
      </c>
      <c r="N2766" s="7" t="n">
        <v>28</v>
      </c>
      <c r="O2766" s="7" t="n">
        <v>4</v>
      </c>
    </row>
    <row r="2767" customFormat="false" ht="15" hidden="false" customHeight="false" outlineLevel="0" collapsed="false">
      <c r="A2767" s="7" t="s">
        <v>2233</v>
      </c>
      <c r="B2767" s="10" t="n">
        <v>46003</v>
      </c>
      <c r="C2767" s="7" t="s">
        <v>2235</v>
      </c>
      <c r="D2767" s="7" t="s">
        <v>2236</v>
      </c>
      <c r="E2767" s="7" t="s">
        <v>130</v>
      </c>
      <c r="F2767" s="7" t="s">
        <v>110</v>
      </c>
      <c r="G2767" s="7" t="s">
        <v>90</v>
      </c>
      <c r="H2767" s="7" t="n">
        <v>2</v>
      </c>
      <c r="I2767" s="11" t="n">
        <v>240</v>
      </c>
      <c r="J2767" s="11" t="n">
        <v>0</v>
      </c>
      <c r="K2767" s="11" t="n">
        <f aca="false">H2767*I2767-J2767</f>
        <v>480</v>
      </c>
      <c r="L2767" s="7" t="s">
        <v>6170</v>
      </c>
      <c r="M2767" s="7" t="s">
        <v>238</v>
      </c>
      <c r="N2767" s="7"/>
      <c r="O2767" s="7"/>
    </row>
    <row r="2768" customFormat="false" ht="15" hidden="false" customHeight="false" outlineLevel="0" collapsed="false">
      <c r="A2768" s="7" t="s">
        <v>1706</v>
      </c>
      <c r="B2768" s="10" t="n">
        <v>46003</v>
      </c>
      <c r="C2768" s="7" t="s">
        <v>1708</v>
      </c>
      <c r="D2768" s="7" t="s">
        <v>277</v>
      </c>
      <c r="E2768" s="7" t="s">
        <v>161</v>
      </c>
      <c r="F2768" s="7" t="s">
        <v>141</v>
      </c>
      <c r="G2768" s="7" t="s">
        <v>117</v>
      </c>
      <c r="H2768" s="7" t="n">
        <v>3</v>
      </c>
      <c r="I2768" s="11" t="n">
        <v>120</v>
      </c>
      <c r="J2768" s="11" t="n">
        <v>50</v>
      </c>
      <c r="K2768" s="11" t="n">
        <f aca="false">H2768*I2768-J2768</f>
        <v>310</v>
      </c>
      <c r="L2768" s="7" t="s">
        <v>112</v>
      </c>
      <c r="M2768" s="7" t="s">
        <v>194</v>
      </c>
      <c r="N2768" s="7" t="n">
        <v>45</v>
      </c>
      <c r="O2768" s="7" t="n">
        <v>4</v>
      </c>
    </row>
    <row r="2769" customFormat="false" ht="15" hidden="false" customHeight="false" outlineLevel="0" collapsed="false">
      <c r="A2769" s="7" t="s">
        <v>5593</v>
      </c>
      <c r="B2769" s="10" t="n">
        <v>46003</v>
      </c>
      <c r="C2769" s="7" t="s">
        <v>3460</v>
      </c>
      <c r="D2769" s="7" t="s">
        <v>1158</v>
      </c>
      <c r="E2769" s="7" t="s">
        <v>94</v>
      </c>
      <c r="F2769" s="7" t="s">
        <v>86</v>
      </c>
      <c r="G2769" s="7" t="s">
        <v>95</v>
      </c>
      <c r="H2769" s="7" t="n">
        <v>1</v>
      </c>
      <c r="I2769" s="11" t="n">
        <v>110</v>
      </c>
      <c r="J2769" s="11" t="n">
        <v>30</v>
      </c>
      <c r="K2769" s="11" t="n">
        <f aca="false">H2769*I2769-J2769</f>
        <v>80</v>
      </c>
      <c r="L2769" s="7" t="s">
        <v>88</v>
      </c>
      <c r="M2769" s="7" t="s">
        <v>194</v>
      </c>
      <c r="N2769" s="7" t="n">
        <v>26</v>
      </c>
      <c r="O2769" s="7" t="n">
        <v>5</v>
      </c>
    </row>
    <row r="2770" customFormat="false" ht="15" hidden="false" customHeight="false" outlineLevel="0" collapsed="false">
      <c r="A2770" s="7" t="s">
        <v>5532</v>
      </c>
      <c r="B2770" s="10" t="n">
        <v>46003</v>
      </c>
      <c r="C2770" s="7" t="s">
        <v>3460</v>
      </c>
      <c r="D2770" s="7" t="s">
        <v>1579</v>
      </c>
      <c r="E2770" s="7" t="s">
        <v>142</v>
      </c>
      <c r="F2770" s="7" t="s">
        <v>110</v>
      </c>
      <c r="G2770" s="7" t="s">
        <v>105</v>
      </c>
      <c r="H2770" s="7" t="n">
        <v>4</v>
      </c>
      <c r="I2770" s="11" t="n">
        <v>175</v>
      </c>
      <c r="J2770" s="11" t="n">
        <v>0</v>
      </c>
      <c r="K2770" s="11" t="n">
        <f aca="false">H2770*I2770-J2770</f>
        <v>700</v>
      </c>
      <c r="L2770" s="7" t="s">
        <v>103</v>
      </c>
      <c r="M2770" s="7" t="s">
        <v>194</v>
      </c>
      <c r="N2770" s="7" t="n">
        <v>32</v>
      </c>
      <c r="O2770" s="7" t="n">
        <v>5</v>
      </c>
    </row>
    <row r="2771" customFormat="false" ht="15" hidden="false" customHeight="false" outlineLevel="0" collapsed="false">
      <c r="A2771" s="7" t="s">
        <v>5614</v>
      </c>
      <c r="B2771" s="10" t="n">
        <v>46003</v>
      </c>
      <c r="C2771" s="7" t="s">
        <v>268</v>
      </c>
      <c r="D2771" s="7" t="s">
        <v>5615</v>
      </c>
      <c r="E2771" s="7" t="s">
        <v>98</v>
      </c>
      <c r="F2771" s="7" t="s">
        <v>86</v>
      </c>
      <c r="G2771" s="7" t="s">
        <v>99</v>
      </c>
      <c r="H2771" s="7" t="n">
        <v>1</v>
      </c>
      <c r="I2771" s="11" t="n">
        <v>280</v>
      </c>
      <c r="J2771" s="11" t="n">
        <v>0</v>
      </c>
      <c r="K2771" s="11" t="n">
        <f aca="false">H2771*I2771-J2771</f>
        <v>280</v>
      </c>
      <c r="L2771" s="7" t="s">
        <v>112</v>
      </c>
      <c r="M2771" s="7" t="s">
        <v>194</v>
      </c>
      <c r="N2771" s="7" t="n">
        <v>64</v>
      </c>
      <c r="O2771" s="7" t="n">
        <v>4</v>
      </c>
    </row>
    <row r="2772" customFormat="false" ht="15" hidden="false" customHeight="false" outlineLevel="0" collapsed="false">
      <c r="A2772" s="7" t="s">
        <v>3075</v>
      </c>
      <c r="B2772" s="10" t="n">
        <v>46003</v>
      </c>
      <c r="C2772" s="7" t="s">
        <v>1087</v>
      </c>
      <c r="D2772" s="7" t="s">
        <v>3076</v>
      </c>
      <c r="E2772" s="7" t="s">
        <v>130</v>
      </c>
      <c r="F2772" s="7" t="s">
        <v>110</v>
      </c>
      <c r="G2772" s="7" t="s">
        <v>90</v>
      </c>
      <c r="H2772" s="7" t="n">
        <v>3</v>
      </c>
      <c r="I2772" s="11" t="n">
        <v>250</v>
      </c>
      <c r="J2772" s="11" t="n">
        <v>0</v>
      </c>
      <c r="K2772" s="11" t="n">
        <f aca="false">H2772*I2772-J2772</f>
        <v>750</v>
      </c>
      <c r="L2772" s="7" t="s">
        <v>133</v>
      </c>
      <c r="M2772" s="7" t="s">
        <v>194</v>
      </c>
      <c r="N2772" s="7" t="n">
        <v>33</v>
      </c>
      <c r="O2772" s="7" t="n">
        <v>4</v>
      </c>
    </row>
    <row r="2773" customFormat="false" ht="15" hidden="false" customHeight="false" outlineLevel="0" collapsed="false">
      <c r="A2773" s="7" t="s">
        <v>4056</v>
      </c>
      <c r="B2773" s="10" t="n">
        <v>46003</v>
      </c>
      <c r="C2773" s="7" t="s">
        <v>1358</v>
      </c>
      <c r="D2773" s="7" t="s">
        <v>4057</v>
      </c>
      <c r="E2773" s="7" t="s">
        <v>130</v>
      </c>
      <c r="F2773" s="7" t="s">
        <v>110</v>
      </c>
      <c r="G2773" s="7" t="s">
        <v>90</v>
      </c>
      <c r="H2773" s="7" t="n">
        <v>1</v>
      </c>
      <c r="I2773" s="11" t="n">
        <v>265</v>
      </c>
      <c r="J2773" s="11" t="n">
        <v>30</v>
      </c>
      <c r="K2773" s="11" t="n">
        <f aca="false">H2773*I2773-J2773</f>
        <v>235</v>
      </c>
      <c r="L2773" s="7" t="s">
        <v>93</v>
      </c>
      <c r="M2773" s="7" t="s">
        <v>194</v>
      </c>
      <c r="N2773" s="7" t="n">
        <v>31</v>
      </c>
      <c r="O2773" s="7" t="n">
        <v>5</v>
      </c>
    </row>
    <row r="2774" customFormat="false" ht="15" hidden="false" customHeight="false" outlineLevel="0" collapsed="false">
      <c r="A2774" s="7" t="s">
        <v>2629</v>
      </c>
      <c r="B2774" s="10" t="n">
        <v>46003</v>
      </c>
      <c r="C2774" s="7" t="s">
        <v>559</v>
      </c>
      <c r="D2774" s="7" t="s">
        <v>2630</v>
      </c>
      <c r="E2774" s="7" t="s">
        <v>138</v>
      </c>
      <c r="F2774" s="7" t="s">
        <v>110</v>
      </c>
      <c r="G2774" s="7" t="s">
        <v>139</v>
      </c>
      <c r="H2774" s="7" t="n">
        <v>2</v>
      </c>
      <c r="I2774" s="11" t="n">
        <v>205</v>
      </c>
      <c r="J2774" s="11" t="n">
        <v>0</v>
      </c>
      <c r="K2774" s="11" t="n">
        <f aca="false">H2774*I2774-J2774</f>
        <v>410</v>
      </c>
      <c r="L2774" s="7" t="s">
        <v>88</v>
      </c>
      <c r="M2774" s="7" t="s">
        <v>194</v>
      </c>
      <c r="N2774" s="7" t="n">
        <v>47</v>
      </c>
      <c r="O2774" s="7" t="n">
        <v>4</v>
      </c>
    </row>
    <row r="2775" customFormat="false" ht="15" hidden="false" customHeight="false" outlineLevel="0" collapsed="false">
      <c r="A2775" s="7" t="s">
        <v>3147</v>
      </c>
      <c r="B2775" s="10" t="n">
        <v>46003</v>
      </c>
      <c r="C2775" s="7" t="s">
        <v>1572</v>
      </c>
      <c r="D2775" s="7" t="s">
        <v>3148</v>
      </c>
      <c r="E2775" s="7" t="s">
        <v>130</v>
      </c>
      <c r="F2775" s="7" t="s">
        <v>110</v>
      </c>
      <c r="G2775" s="7" t="s">
        <v>90</v>
      </c>
      <c r="H2775" s="7" t="n">
        <v>2</v>
      </c>
      <c r="I2775" s="11" t="n">
        <v>290</v>
      </c>
      <c r="J2775" s="11" t="n">
        <v>0</v>
      </c>
      <c r="K2775" s="11" t="n">
        <f aca="false">H2775*I2775-J2775</f>
        <v>580</v>
      </c>
      <c r="L2775" s="7" t="s">
        <v>112</v>
      </c>
      <c r="M2775" s="7" t="s">
        <v>194</v>
      </c>
      <c r="N2775" s="7" t="n">
        <v>35</v>
      </c>
      <c r="O2775" s="7" t="n">
        <v>3</v>
      </c>
    </row>
    <row r="2776" customFormat="false" ht="15" hidden="false" customHeight="false" outlineLevel="0" collapsed="false">
      <c r="A2776" s="7" t="s">
        <v>2673</v>
      </c>
      <c r="B2776" s="10" t="n">
        <v>46004</v>
      </c>
      <c r="C2776" s="7" t="s">
        <v>2663</v>
      </c>
      <c r="D2776" s="7" t="s">
        <v>822</v>
      </c>
      <c r="E2776" s="7" t="s">
        <v>147</v>
      </c>
      <c r="F2776" s="7" t="s">
        <v>119</v>
      </c>
      <c r="G2776" s="7" t="s">
        <v>95</v>
      </c>
      <c r="H2776" s="7" t="n">
        <v>3</v>
      </c>
      <c r="I2776" s="11" t="n">
        <v>155</v>
      </c>
      <c r="J2776" s="11" t="n">
        <v>0</v>
      </c>
      <c r="K2776" s="11" t="n">
        <f aca="false">H2776*I2776-J2776</f>
        <v>465</v>
      </c>
      <c r="L2776" s="7" t="s">
        <v>88</v>
      </c>
      <c r="M2776" s="7" t="s">
        <v>194</v>
      </c>
      <c r="N2776" s="7" t="n">
        <v>35</v>
      </c>
      <c r="O2776" s="7"/>
    </row>
    <row r="2777" customFormat="false" ht="15" hidden="false" customHeight="false" outlineLevel="0" collapsed="false">
      <c r="A2777" s="7" t="s">
        <v>2498</v>
      </c>
      <c r="B2777" s="10" t="n">
        <v>46004</v>
      </c>
      <c r="C2777" s="7" t="s">
        <v>1812</v>
      </c>
      <c r="D2777" s="7" t="s">
        <v>2499</v>
      </c>
      <c r="E2777" s="7" t="s">
        <v>116</v>
      </c>
      <c r="F2777" s="7" t="s">
        <v>101</v>
      </c>
      <c r="G2777" s="7" t="s">
        <v>117</v>
      </c>
      <c r="H2777" s="7" t="n">
        <v>2</v>
      </c>
      <c r="I2777" s="11" t="n">
        <v>135</v>
      </c>
      <c r="J2777" s="11" t="n">
        <v>0</v>
      </c>
      <c r="K2777" s="11" t="n">
        <f aca="false">H2777*I2777-J2777</f>
        <v>270</v>
      </c>
      <c r="L2777" s="7" t="s">
        <v>88</v>
      </c>
      <c r="M2777" s="7" t="s">
        <v>194</v>
      </c>
      <c r="N2777" s="7" t="n">
        <v>38</v>
      </c>
      <c r="O2777" s="7" t="n">
        <v>4</v>
      </c>
    </row>
    <row r="2778" customFormat="false" ht="15" hidden="false" customHeight="false" outlineLevel="0" collapsed="false">
      <c r="A2778" s="7" t="s">
        <v>3747</v>
      </c>
      <c r="B2778" s="10" t="n">
        <v>46004</v>
      </c>
      <c r="C2778" s="7" t="s">
        <v>2978</v>
      </c>
      <c r="D2778" s="7" t="s">
        <v>3748</v>
      </c>
      <c r="E2778" s="7" t="s">
        <v>126</v>
      </c>
      <c r="F2778" s="7" t="s">
        <v>101</v>
      </c>
      <c r="G2778" s="7" t="s">
        <v>105</v>
      </c>
      <c r="H2778" s="7" t="n">
        <v>2</v>
      </c>
      <c r="I2778" s="11" t="n">
        <v>205</v>
      </c>
      <c r="J2778" s="11" t="n">
        <v>0</v>
      </c>
      <c r="K2778" s="11" t="n">
        <f aca="false">H2778*I2778-J2778</f>
        <v>410</v>
      </c>
      <c r="L2778" s="7" t="s">
        <v>88</v>
      </c>
      <c r="M2778" s="7" t="s">
        <v>194</v>
      </c>
      <c r="N2778" s="7" t="n">
        <v>41</v>
      </c>
      <c r="O2778" s="7"/>
    </row>
    <row r="2779" customFormat="false" ht="15" hidden="false" customHeight="false" outlineLevel="0" collapsed="false">
      <c r="A2779" s="7" t="s">
        <v>5479</v>
      </c>
      <c r="B2779" s="10" t="n">
        <v>46004</v>
      </c>
      <c r="C2779" s="7" t="s">
        <v>2088</v>
      </c>
      <c r="D2779" s="7" t="s">
        <v>5480</v>
      </c>
      <c r="E2779" s="7" t="s">
        <v>89</v>
      </c>
      <c r="F2779" s="7" t="s">
        <v>86</v>
      </c>
      <c r="G2779" s="7" t="s">
        <v>90</v>
      </c>
      <c r="H2779" s="7" t="n">
        <v>2</v>
      </c>
      <c r="I2779" s="11" t="n">
        <v>220</v>
      </c>
      <c r="J2779" s="11" t="n">
        <v>75</v>
      </c>
      <c r="K2779" s="11" t="n">
        <f aca="false">H2779*I2779-J2779</f>
        <v>365</v>
      </c>
      <c r="L2779" s="7" t="s">
        <v>88</v>
      </c>
      <c r="M2779" s="7" t="s">
        <v>194</v>
      </c>
      <c r="N2779" s="7" t="n">
        <v>44</v>
      </c>
      <c r="O2779" s="7" t="n">
        <v>4</v>
      </c>
    </row>
    <row r="2780" customFormat="false" ht="15" hidden="false" customHeight="false" outlineLevel="0" collapsed="false">
      <c r="A2780" s="7" t="s">
        <v>3498</v>
      </c>
      <c r="B2780" s="10" t="n">
        <v>46004</v>
      </c>
      <c r="C2780" s="7" t="s">
        <v>3487</v>
      </c>
      <c r="D2780" s="7" t="s">
        <v>1742</v>
      </c>
      <c r="E2780" s="7" t="s">
        <v>94</v>
      </c>
      <c r="F2780" s="7" t="s">
        <v>86</v>
      </c>
      <c r="G2780" s="7" t="s">
        <v>95</v>
      </c>
      <c r="H2780" s="7" t="n">
        <v>2</v>
      </c>
      <c r="I2780" s="11" t="n">
        <v>150</v>
      </c>
      <c r="J2780" s="11" t="n">
        <v>0</v>
      </c>
      <c r="K2780" s="11" t="n">
        <f aca="false">H2780*I2780-J2780</f>
        <v>300</v>
      </c>
      <c r="L2780" s="7" t="s">
        <v>88</v>
      </c>
      <c r="M2780" s="7" t="s">
        <v>194</v>
      </c>
      <c r="N2780" s="7" t="n">
        <v>39</v>
      </c>
      <c r="O2780" s="7" t="n">
        <v>3</v>
      </c>
    </row>
    <row r="2781" customFormat="false" ht="15" hidden="false" customHeight="false" outlineLevel="0" collapsed="false">
      <c r="A2781" s="7" t="s">
        <v>329</v>
      </c>
      <c r="B2781" s="10" t="n">
        <v>46004</v>
      </c>
      <c r="C2781" s="7" t="s">
        <v>331</v>
      </c>
      <c r="D2781" s="7" t="s">
        <v>332</v>
      </c>
      <c r="E2781" s="7" t="s">
        <v>98</v>
      </c>
      <c r="F2781" s="7" t="s">
        <v>86</v>
      </c>
      <c r="G2781" s="7" t="s">
        <v>99</v>
      </c>
      <c r="H2781" s="7" t="n">
        <v>1</v>
      </c>
      <c r="I2781" s="11" t="n">
        <v>270</v>
      </c>
      <c r="J2781" s="11" t="n">
        <v>0</v>
      </c>
      <c r="K2781" s="11" t="n">
        <f aca="false">H2781*I2781-J2781</f>
        <v>270</v>
      </c>
      <c r="L2781" s="7" t="s">
        <v>88</v>
      </c>
      <c r="M2781" s="7" t="s">
        <v>194</v>
      </c>
      <c r="N2781" s="7" t="n">
        <v>40</v>
      </c>
      <c r="O2781" s="7" t="n">
        <v>5</v>
      </c>
    </row>
    <row r="2782" customFormat="false" ht="15" hidden="false" customHeight="false" outlineLevel="0" collapsed="false">
      <c r="A2782" s="7" t="s">
        <v>4663</v>
      </c>
      <c r="B2782" s="10" t="n">
        <v>46004</v>
      </c>
      <c r="C2782" s="7" t="s">
        <v>1725</v>
      </c>
      <c r="D2782" s="7" t="s">
        <v>2153</v>
      </c>
      <c r="E2782" s="7" t="s">
        <v>159</v>
      </c>
      <c r="F2782" s="7" t="s">
        <v>136</v>
      </c>
      <c r="G2782" s="7" t="s">
        <v>90</v>
      </c>
      <c r="H2782" s="7" t="n">
        <v>1</v>
      </c>
      <c r="I2782" s="11" t="n">
        <v>220</v>
      </c>
      <c r="J2782" s="11" t="n">
        <v>50</v>
      </c>
      <c r="K2782" s="11" t="n">
        <f aca="false">H2782*I2782-J2782</f>
        <v>170</v>
      </c>
      <c r="L2782" s="7" t="s">
        <v>112</v>
      </c>
      <c r="M2782" s="7" t="s">
        <v>194</v>
      </c>
      <c r="N2782" s="7" t="n">
        <v>25</v>
      </c>
      <c r="O2782" s="7" t="n">
        <v>4</v>
      </c>
    </row>
    <row r="2783" customFormat="false" ht="15" hidden="false" customHeight="false" outlineLevel="0" collapsed="false">
      <c r="A2783" s="7" t="s">
        <v>1448</v>
      </c>
      <c r="B2783" s="10" t="n">
        <v>46005</v>
      </c>
      <c r="C2783" s="7" t="s">
        <v>1449</v>
      </c>
      <c r="D2783" s="7" t="s">
        <v>1450</v>
      </c>
      <c r="E2783" s="7" t="s">
        <v>152</v>
      </c>
      <c r="F2783" s="7" t="s">
        <v>128</v>
      </c>
      <c r="G2783" s="7" t="s">
        <v>95</v>
      </c>
      <c r="H2783" s="7" t="n">
        <v>2</v>
      </c>
      <c r="I2783" s="11" t="n">
        <v>85</v>
      </c>
      <c r="J2783" s="11" t="n">
        <v>40</v>
      </c>
      <c r="K2783" s="11" t="n">
        <f aca="false">H2783*I2783-J2783</f>
        <v>130</v>
      </c>
      <c r="L2783" s="7" t="s">
        <v>121</v>
      </c>
      <c r="M2783" s="7" t="s">
        <v>194</v>
      </c>
      <c r="N2783" s="7" t="n">
        <v>36</v>
      </c>
      <c r="O2783" s="7" t="n">
        <v>4</v>
      </c>
    </row>
    <row r="2784" customFormat="false" ht="15" hidden="false" customHeight="false" outlineLevel="0" collapsed="false">
      <c r="A2784" s="7" t="s">
        <v>4221</v>
      </c>
      <c r="B2784" s="10" t="n">
        <v>46005</v>
      </c>
      <c r="C2784" s="7" t="s">
        <v>2202</v>
      </c>
      <c r="D2784" s="7" t="s">
        <v>2086</v>
      </c>
      <c r="E2784" s="7" t="s">
        <v>168</v>
      </c>
      <c r="F2784" s="7" t="s">
        <v>146</v>
      </c>
      <c r="G2784" s="7" t="s">
        <v>123</v>
      </c>
      <c r="H2784" s="7" t="n">
        <v>3</v>
      </c>
      <c r="I2784" s="11" t="n">
        <v>380</v>
      </c>
      <c r="J2784" s="11" t="n">
        <v>40</v>
      </c>
      <c r="K2784" s="11" t="n">
        <f aca="false">H2784*I2784-J2784</f>
        <v>1100</v>
      </c>
      <c r="L2784" s="7" t="s">
        <v>88</v>
      </c>
      <c r="M2784" s="7" t="s">
        <v>194</v>
      </c>
      <c r="N2784" s="7" t="n">
        <v>30</v>
      </c>
      <c r="O2784" s="7" t="n">
        <v>5</v>
      </c>
    </row>
    <row r="2785" customFormat="false" ht="15" hidden="false" customHeight="false" outlineLevel="0" collapsed="false">
      <c r="A2785" s="7" t="s">
        <v>510</v>
      </c>
      <c r="B2785" s="10" t="n">
        <v>46005</v>
      </c>
      <c r="C2785" s="7" t="s">
        <v>512</v>
      </c>
      <c r="D2785" s="7" t="s">
        <v>513</v>
      </c>
      <c r="E2785" s="7" t="s">
        <v>134</v>
      </c>
      <c r="F2785" s="7" t="s">
        <v>110</v>
      </c>
      <c r="G2785" s="7" t="s">
        <v>117</v>
      </c>
      <c r="H2785" s="7" t="n">
        <v>1</v>
      </c>
      <c r="I2785" s="11" t="n">
        <v>105</v>
      </c>
      <c r="J2785" s="11" t="n">
        <v>0</v>
      </c>
      <c r="K2785" s="11" t="n">
        <f aca="false">H2785*I2785-J2785</f>
        <v>105</v>
      </c>
      <c r="L2785" s="7" t="s">
        <v>133</v>
      </c>
      <c r="M2785" s="7" t="s">
        <v>194</v>
      </c>
      <c r="N2785" s="7" t="n">
        <v>37</v>
      </c>
      <c r="O2785" s="7" t="n">
        <v>2</v>
      </c>
    </row>
    <row r="2786" customFormat="false" ht="15" hidden="false" customHeight="false" outlineLevel="0" collapsed="false">
      <c r="A2786" s="7" t="s">
        <v>848</v>
      </c>
      <c r="B2786" s="10" t="n">
        <v>46005</v>
      </c>
      <c r="C2786" s="7" t="s">
        <v>850</v>
      </c>
      <c r="D2786" s="7" t="s">
        <v>851</v>
      </c>
      <c r="E2786" s="7" t="s">
        <v>168</v>
      </c>
      <c r="F2786" s="7" t="s">
        <v>146</v>
      </c>
      <c r="G2786" s="7" t="s">
        <v>123</v>
      </c>
      <c r="H2786" s="7" t="n">
        <v>1</v>
      </c>
      <c r="I2786" s="11" t="n">
        <v>245</v>
      </c>
      <c r="J2786" s="11" t="n">
        <v>30</v>
      </c>
      <c r="K2786" s="11" t="n">
        <f aca="false">H2786*I2786-J2786</f>
        <v>215</v>
      </c>
      <c r="L2786" s="7" t="s">
        <v>88</v>
      </c>
      <c r="M2786" s="7" t="s">
        <v>194</v>
      </c>
      <c r="N2786" s="7" t="n">
        <v>31</v>
      </c>
      <c r="O2786" s="7" t="n">
        <v>3</v>
      </c>
    </row>
    <row r="2787" customFormat="false" ht="15" hidden="false" customHeight="false" outlineLevel="0" collapsed="false">
      <c r="A2787" s="7" t="s">
        <v>4143</v>
      </c>
      <c r="B2787" s="10" t="n">
        <v>46005</v>
      </c>
      <c r="C2787" s="7" t="s">
        <v>3489</v>
      </c>
      <c r="D2787" s="7" t="s">
        <v>2339</v>
      </c>
      <c r="E2787" s="7" t="s">
        <v>122</v>
      </c>
      <c r="F2787" s="7" t="s">
        <v>101</v>
      </c>
      <c r="G2787" s="7" t="s">
        <v>123</v>
      </c>
      <c r="H2787" s="7" t="n">
        <v>2</v>
      </c>
      <c r="I2787" s="11" t="n">
        <v>340</v>
      </c>
      <c r="J2787" s="11" t="n">
        <v>125</v>
      </c>
      <c r="K2787" s="11" t="n">
        <f aca="false">H2787*I2787-J2787</f>
        <v>555</v>
      </c>
      <c r="L2787" s="7" t="s">
        <v>103</v>
      </c>
      <c r="M2787" s="7" t="s">
        <v>194</v>
      </c>
      <c r="N2787" s="7" t="n">
        <v>42</v>
      </c>
      <c r="O2787" s="7" t="n">
        <v>3</v>
      </c>
    </row>
    <row r="2788" customFormat="false" ht="15" hidden="false" customHeight="false" outlineLevel="0" collapsed="false">
      <c r="A2788" s="7" t="s">
        <v>4249</v>
      </c>
      <c r="B2788" s="10" t="n">
        <v>46005</v>
      </c>
      <c r="C2788" s="7" t="s">
        <v>1412</v>
      </c>
      <c r="D2788" s="7" t="s">
        <v>4250</v>
      </c>
      <c r="E2788" s="7" t="s">
        <v>130</v>
      </c>
      <c r="F2788" s="7" t="s">
        <v>110</v>
      </c>
      <c r="G2788" s="7" t="s">
        <v>90</v>
      </c>
      <c r="H2788" s="7" t="n">
        <v>1</v>
      </c>
      <c r="I2788" s="11" t="n">
        <v>285</v>
      </c>
      <c r="J2788" s="11" t="n">
        <v>100</v>
      </c>
      <c r="K2788" s="11" t="n">
        <f aca="false">H2788*I2788-J2788</f>
        <v>185</v>
      </c>
      <c r="L2788" s="7" t="s">
        <v>88</v>
      </c>
      <c r="M2788" s="7" t="s">
        <v>194</v>
      </c>
      <c r="N2788" s="7" t="n">
        <v>48</v>
      </c>
      <c r="O2788" s="7" t="n">
        <v>5</v>
      </c>
    </row>
    <row r="2789" customFormat="false" ht="15" hidden="false" customHeight="false" outlineLevel="0" collapsed="false">
      <c r="A2789" s="7" t="s">
        <v>5865</v>
      </c>
      <c r="B2789" s="10" t="n">
        <v>46006</v>
      </c>
      <c r="C2789" s="7" t="s">
        <v>5866</v>
      </c>
      <c r="D2789" s="7" t="s">
        <v>4173</v>
      </c>
      <c r="E2789" s="7" t="s">
        <v>116</v>
      </c>
      <c r="F2789" s="7" t="s">
        <v>101</v>
      </c>
      <c r="G2789" s="7" t="s">
        <v>117</v>
      </c>
      <c r="H2789" s="7" t="n">
        <v>2</v>
      </c>
      <c r="I2789" s="11" t="n">
        <v>130</v>
      </c>
      <c r="J2789" s="11" t="n">
        <v>0</v>
      </c>
      <c r="K2789" s="11" t="n">
        <f aca="false">H2789*I2789-J2789</f>
        <v>260</v>
      </c>
      <c r="L2789" s="7" t="s">
        <v>88</v>
      </c>
      <c r="M2789" s="7" t="s">
        <v>194</v>
      </c>
      <c r="N2789" s="7" t="n">
        <v>43</v>
      </c>
      <c r="O2789" s="7"/>
    </row>
    <row r="2790" customFormat="false" ht="15" hidden="false" customHeight="false" outlineLevel="0" collapsed="false">
      <c r="A2790" s="7" t="s">
        <v>4137</v>
      </c>
      <c r="B2790" s="10" t="n">
        <v>46006</v>
      </c>
      <c r="C2790" s="7" t="s">
        <v>651</v>
      </c>
      <c r="D2790" s="7" t="s">
        <v>4138</v>
      </c>
      <c r="E2790" s="7" t="s">
        <v>113</v>
      </c>
      <c r="F2790" s="7" t="s">
        <v>101</v>
      </c>
      <c r="G2790" s="7" t="s">
        <v>90</v>
      </c>
      <c r="H2790" s="7" t="n">
        <v>1</v>
      </c>
      <c r="I2790" s="11" t="n">
        <v>240</v>
      </c>
      <c r="J2790" s="11" t="n">
        <v>0</v>
      </c>
      <c r="K2790" s="11" t="n">
        <f aca="false">H2790*I2790-J2790</f>
        <v>240</v>
      </c>
      <c r="L2790" s="7" t="s">
        <v>93</v>
      </c>
      <c r="M2790" s="7" t="s">
        <v>194</v>
      </c>
      <c r="N2790" s="7" t="n">
        <v>45</v>
      </c>
      <c r="O2790" s="7" t="n">
        <v>3</v>
      </c>
    </row>
    <row r="2791" customFormat="false" ht="15" hidden="false" customHeight="false" outlineLevel="0" collapsed="false">
      <c r="A2791" s="7" t="s">
        <v>5490</v>
      </c>
      <c r="B2791" s="10" t="n">
        <v>46006</v>
      </c>
      <c r="C2791" s="7" t="s">
        <v>969</v>
      </c>
      <c r="D2791" s="7" t="s">
        <v>2973</v>
      </c>
      <c r="E2791" s="7" t="s">
        <v>159</v>
      </c>
      <c r="F2791" s="7" t="s">
        <v>136</v>
      </c>
      <c r="G2791" s="7" t="s">
        <v>90</v>
      </c>
      <c r="H2791" s="7" t="n">
        <v>5</v>
      </c>
      <c r="I2791" s="11" t="n">
        <v>240</v>
      </c>
      <c r="J2791" s="11" t="n">
        <v>100</v>
      </c>
      <c r="K2791" s="11" t="n">
        <f aca="false">H2791*I2791-J2791</f>
        <v>1100</v>
      </c>
      <c r="L2791" s="7" t="s">
        <v>112</v>
      </c>
      <c r="M2791" s="7" t="s">
        <v>194</v>
      </c>
      <c r="N2791" s="7" t="n">
        <v>29</v>
      </c>
      <c r="O2791" s="7" t="n">
        <v>4</v>
      </c>
    </row>
    <row r="2792" customFormat="false" ht="15" hidden="false" customHeight="false" outlineLevel="0" collapsed="false">
      <c r="A2792" s="7" t="s">
        <v>6109</v>
      </c>
      <c r="B2792" s="10" t="n">
        <v>46006</v>
      </c>
      <c r="C2792" s="7" t="s">
        <v>2061</v>
      </c>
      <c r="D2792" s="7" t="s">
        <v>5384</v>
      </c>
      <c r="E2792" s="7" t="s">
        <v>130</v>
      </c>
      <c r="F2792" s="7" t="s">
        <v>110</v>
      </c>
      <c r="G2792" s="7" t="s">
        <v>90</v>
      </c>
      <c r="H2792" s="7" t="n">
        <v>1</v>
      </c>
      <c r="I2792" s="11" t="n">
        <v>230</v>
      </c>
      <c r="J2792" s="11" t="n">
        <v>0</v>
      </c>
      <c r="K2792" s="11" t="n">
        <f aca="false">H2792*I2792-J2792</f>
        <v>230</v>
      </c>
      <c r="L2792" s="7" t="s">
        <v>93</v>
      </c>
      <c r="M2792" s="7" t="s">
        <v>194</v>
      </c>
      <c r="N2792" s="7" t="n">
        <v>43</v>
      </c>
      <c r="O2792" s="7" t="n">
        <v>3</v>
      </c>
    </row>
    <row r="2793" customFormat="false" ht="15" hidden="false" customHeight="false" outlineLevel="0" collapsed="false">
      <c r="A2793" s="7" t="s">
        <v>2984</v>
      </c>
      <c r="B2793" s="10" t="n">
        <v>46006</v>
      </c>
      <c r="C2793" s="7" t="s">
        <v>1635</v>
      </c>
      <c r="D2793" s="7" t="s">
        <v>2985</v>
      </c>
      <c r="E2793" s="7" t="s">
        <v>94</v>
      </c>
      <c r="F2793" s="7" t="s">
        <v>86</v>
      </c>
      <c r="G2793" s="7" t="s">
        <v>95</v>
      </c>
      <c r="H2793" s="7" t="n">
        <v>5</v>
      </c>
      <c r="I2793" s="11" t="n">
        <v>125</v>
      </c>
      <c r="J2793" s="11" t="n">
        <v>125</v>
      </c>
      <c r="K2793" s="11" t="n">
        <f aca="false">H2793*I2793-J2793</f>
        <v>500</v>
      </c>
      <c r="L2793" s="7" t="s">
        <v>88</v>
      </c>
      <c r="M2793" s="7" t="s">
        <v>194</v>
      </c>
      <c r="N2793" s="7" t="n">
        <v>41</v>
      </c>
      <c r="O2793" s="7" t="n">
        <v>5</v>
      </c>
    </row>
    <row r="2794" customFormat="false" ht="15" hidden="false" customHeight="false" outlineLevel="0" collapsed="false">
      <c r="A2794" s="7" t="s">
        <v>4950</v>
      </c>
      <c r="B2794" s="10" t="n">
        <v>46006</v>
      </c>
      <c r="C2794" s="7" t="s">
        <v>3870</v>
      </c>
      <c r="D2794" s="7" t="s">
        <v>2072</v>
      </c>
      <c r="E2794" s="7" t="s">
        <v>154</v>
      </c>
      <c r="F2794" s="7" t="s">
        <v>128</v>
      </c>
      <c r="G2794" s="7" t="s">
        <v>99</v>
      </c>
      <c r="H2794" s="7" t="n">
        <v>1</v>
      </c>
      <c r="I2794" s="11" t="n">
        <v>275</v>
      </c>
      <c r="J2794" s="11" t="n">
        <v>20</v>
      </c>
      <c r="K2794" s="11" t="n">
        <f aca="false">H2794*I2794-J2794</f>
        <v>255</v>
      </c>
      <c r="L2794" s="7" t="s">
        <v>93</v>
      </c>
      <c r="M2794" s="7" t="s">
        <v>194</v>
      </c>
      <c r="N2794" s="7" t="n">
        <v>40</v>
      </c>
      <c r="O2794" s="7" t="n">
        <v>4</v>
      </c>
    </row>
    <row r="2795" customFormat="false" ht="15" hidden="false" customHeight="false" outlineLevel="0" collapsed="false">
      <c r="A2795" s="7" t="s">
        <v>1884</v>
      </c>
      <c r="B2795" s="10" t="n">
        <v>46006</v>
      </c>
      <c r="C2795" s="7" t="s">
        <v>1886</v>
      </c>
      <c r="D2795" s="7" t="s">
        <v>1012</v>
      </c>
      <c r="E2795" s="7" t="s">
        <v>126</v>
      </c>
      <c r="F2795" s="7" t="s">
        <v>101</v>
      </c>
      <c r="G2795" s="7" t="s">
        <v>105</v>
      </c>
      <c r="H2795" s="7" t="n">
        <v>1</v>
      </c>
      <c r="I2795" s="11" t="n">
        <v>190</v>
      </c>
      <c r="J2795" s="11" t="n">
        <v>76</v>
      </c>
      <c r="K2795" s="11" t="n">
        <f aca="false">H2795*I2795-J2795</f>
        <v>114</v>
      </c>
      <c r="L2795" s="7" t="s">
        <v>112</v>
      </c>
      <c r="M2795" s="7" t="s">
        <v>194</v>
      </c>
      <c r="N2795" s="7" t="n">
        <v>35</v>
      </c>
      <c r="O2795" s="7" t="n">
        <v>3</v>
      </c>
    </row>
    <row r="2796" customFormat="false" ht="15" hidden="false" customHeight="false" outlineLevel="0" collapsed="false">
      <c r="A2796" s="7" t="s">
        <v>3395</v>
      </c>
      <c r="B2796" s="10" t="n">
        <v>46007</v>
      </c>
      <c r="C2796" s="7" t="s">
        <v>2384</v>
      </c>
      <c r="D2796" s="7" t="s">
        <v>3396</v>
      </c>
      <c r="E2796" s="7" t="s">
        <v>113</v>
      </c>
      <c r="F2796" s="7" t="s">
        <v>101</v>
      </c>
      <c r="G2796" s="7" t="s">
        <v>90</v>
      </c>
      <c r="H2796" s="7" t="n">
        <v>1</v>
      </c>
      <c r="I2796" s="11" t="n">
        <v>235</v>
      </c>
      <c r="J2796" s="11" t="n">
        <v>0</v>
      </c>
      <c r="K2796" s="11" t="n">
        <f aca="false">H2796*I2796-J2796</f>
        <v>235</v>
      </c>
      <c r="L2796" s="7" t="s">
        <v>93</v>
      </c>
      <c r="M2796" s="7" t="s">
        <v>194</v>
      </c>
      <c r="N2796" s="7" t="n">
        <v>33</v>
      </c>
      <c r="O2796" s="7"/>
    </row>
    <row r="2797" customFormat="false" ht="15" hidden="false" customHeight="false" outlineLevel="0" collapsed="false">
      <c r="A2797" s="7" t="s">
        <v>4515</v>
      </c>
      <c r="B2797" s="10" t="n">
        <v>46007</v>
      </c>
      <c r="C2797" s="7" t="s">
        <v>4516</v>
      </c>
      <c r="D2797" s="7" t="s">
        <v>4517</v>
      </c>
      <c r="E2797" s="7" t="s">
        <v>94</v>
      </c>
      <c r="F2797" s="7" t="s">
        <v>86</v>
      </c>
      <c r="G2797" s="7" t="s">
        <v>95</v>
      </c>
      <c r="H2797" s="7" t="n">
        <v>2</v>
      </c>
      <c r="I2797" s="11" t="n">
        <v>110</v>
      </c>
      <c r="J2797" s="11" t="n">
        <v>0</v>
      </c>
      <c r="K2797" s="11" t="n">
        <f aca="false">H2797*I2797-J2797</f>
        <v>220</v>
      </c>
      <c r="L2797" s="7" t="s">
        <v>133</v>
      </c>
      <c r="M2797" s="7" t="s">
        <v>194</v>
      </c>
      <c r="N2797" s="7" t="n">
        <v>44</v>
      </c>
      <c r="O2797" s="7" t="n">
        <v>5</v>
      </c>
    </row>
    <row r="2798" customFormat="false" ht="15" hidden="false" customHeight="false" outlineLevel="0" collapsed="false">
      <c r="A2798" s="7" t="s">
        <v>2919</v>
      </c>
      <c r="B2798" s="10" t="n">
        <v>46007</v>
      </c>
      <c r="C2798" s="7" t="s">
        <v>2921</v>
      </c>
      <c r="D2798" s="7" t="s">
        <v>2459</v>
      </c>
      <c r="E2798" s="7" t="s">
        <v>130</v>
      </c>
      <c r="F2798" s="7" t="s">
        <v>110</v>
      </c>
      <c r="G2798" s="7" t="s">
        <v>90</v>
      </c>
      <c r="H2798" s="7" t="n">
        <v>2</v>
      </c>
      <c r="I2798" s="11" t="n">
        <v>265</v>
      </c>
      <c r="J2798" s="11" t="n">
        <v>40</v>
      </c>
      <c r="K2798" s="11" t="n">
        <f aca="false">H2798*I2798-J2798</f>
        <v>490</v>
      </c>
      <c r="L2798" s="7" t="s">
        <v>103</v>
      </c>
      <c r="M2798" s="7" t="s">
        <v>194</v>
      </c>
      <c r="N2798" s="7" t="n">
        <v>41</v>
      </c>
      <c r="O2798" s="7" t="n">
        <v>5</v>
      </c>
    </row>
    <row r="2799" customFormat="false" ht="15" hidden="false" customHeight="false" outlineLevel="0" collapsed="false">
      <c r="A2799" s="7" t="s">
        <v>5547</v>
      </c>
      <c r="B2799" s="10" t="n">
        <v>46007</v>
      </c>
      <c r="C2799" s="7" t="s">
        <v>2696</v>
      </c>
      <c r="D2799" s="7" t="s">
        <v>574</v>
      </c>
      <c r="E2799" s="7" t="s">
        <v>98</v>
      </c>
      <c r="F2799" s="7" t="s">
        <v>86</v>
      </c>
      <c r="G2799" s="7" t="s">
        <v>99</v>
      </c>
      <c r="H2799" s="7" t="n">
        <v>1</v>
      </c>
      <c r="I2799" s="11" t="n">
        <v>235</v>
      </c>
      <c r="J2799" s="11" t="n">
        <v>94</v>
      </c>
      <c r="K2799" s="11" t="n">
        <f aca="false">H2799*I2799-J2799</f>
        <v>141</v>
      </c>
      <c r="L2799" s="7" t="s">
        <v>112</v>
      </c>
      <c r="M2799" s="7" t="s">
        <v>238</v>
      </c>
      <c r="N2799" s="7"/>
      <c r="O2799" s="7"/>
    </row>
    <row r="2800" customFormat="false" ht="15" hidden="false" customHeight="false" outlineLevel="0" collapsed="false">
      <c r="A2800" s="7" t="s">
        <v>5141</v>
      </c>
      <c r="B2800" s="10" t="n">
        <v>46007</v>
      </c>
      <c r="C2800" s="7" t="s">
        <v>1562</v>
      </c>
      <c r="D2800" s="7" t="s">
        <v>5131</v>
      </c>
      <c r="E2800" s="7" t="s">
        <v>89</v>
      </c>
      <c r="F2800" s="7" t="s">
        <v>86</v>
      </c>
      <c r="G2800" s="7" t="s">
        <v>90</v>
      </c>
      <c r="H2800" s="7" t="n">
        <v>1</v>
      </c>
      <c r="I2800" s="11" t="n">
        <v>230</v>
      </c>
      <c r="J2800" s="11" t="n">
        <v>0</v>
      </c>
      <c r="K2800" s="11" t="n">
        <f aca="false">H2800*I2800-J2800</f>
        <v>230</v>
      </c>
      <c r="L2800" s="7" t="s">
        <v>103</v>
      </c>
      <c r="M2800" s="7" t="s">
        <v>194</v>
      </c>
      <c r="N2800" s="7" t="n">
        <v>44</v>
      </c>
      <c r="O2800" s="7" t="n">
        <v>2</v>
      </c>
    </row>
    <row r="2801" customFormat="false" ht="15" hidden="false" customHeight="false" outlineLevel="0" collapsed="false">
      <c r="A2801" s="7" t="s">
        <v>4298</v>
      </c>
      <c r="B2801" s="10" t="n">
        <v>46007</v>
      </c>
      <c r="C2801" s="7" t="s">
        <v>3904</v>
      </c>
      <c r="D2801" s="7" t="s">
        <v>2226</v>
      </c>
      <c r="E2801" s="7" t="s">
        <v>158</v>
      </c>
      <c r="F2801" s="7" t="s">
        <v>136</v>
      </c>
      <c r="G2801" s="7" t="s">
        <v>139</v>
      </c>
      <c r="H2801" s="7" t="n">
        <v>4</v>
      </c>
      <c r="I2801" s="11" t="n">
        <v>160</v>
      </c>
      <c r="J2801" s="11" t="n">
        <v>125</v>
      </c>
      <c r="K2801" s="11" t="n">
        <f aca="false">H2801*I2801-J2801</f>
        <v>515</v>
      </c>
      <c r="L2801" s="7" t="s">
        <v>103</v>
      </c>
      <c r="M2801" s="7" t="s">
        <v>194</v>
      </c>
      <c r="N2801" s="7" t="n">
        <v>34</v>
      </c>
      <c r="O2801" s="7" t="n">
        <v>4</v>
      </c>
    </row>
    <row r="2802" customFormat="false" ht="15" hidden="false" customHeight="false" outlineLevel="0" collapsed="false">
      <c r="A2802" s="7" t="s">
        <v>5555</v>
      </c>
      <c r="B2802" s="10" t="n">
        <v>46007</v>
      </c>
      <c r="C2802" s="7" t="s">
        <v>1781</v>
      </c>
      <c r="D2802" s="7" t="s">
        <v>4662</v>
      </c>
      <c r="E2802" s="7" t="s">
        <v>116</v>
      </c>
      <c r="F2802" s="7" t="s">
        <v>101</v>
      </c>
      <c r="G2802" s="7" t="s">
        <v>117</v>
      </c>
      <c r="H2802" s="7" t="n">
        <v>2</v>
      </c>
      <c r="I2802" s="11" t="n">
        <v>115</v>
      </c>
      <c r="J2802" s="11" t="n">
        <v>0</v>
      </c>
      <c r="K2802" s="11" t="n">
        <f aca="false">H2802*I2802-J2802</f>
        <v>230</v>
      </c>
      <c r="L2802" s="7" t="s">
        <v>121</v>
      </c>
      <c r="M2802" s="7" t="s">
        <v>194</v>
      </c>
      <c r="N2802" s="7" t="n">
        <v>51</v>
      </c>
      <c r="O2802" s="7" t="n">
        <v>4</v>
      </c>
    </row>
    <row r="2803" customFormat="false" ht="15" hidden="false" customHeight="false" outlineLevel="0" collapsed="false">
      <c r="A2803" s="7" t="s">
        <v>4684</v>
      </c>
      <c r="B2803" s="10" t="n">
        <v>46008</v>
      </c>
      <c r="C2803" s="7" t="s">
        <v>1346</v>
      </c>
      <c r="D2803" s="7" t="s">
        <v>396</v>
      </c>
      <c r="E2803" s="7" t="s">
        <v>149</v>
      </c>
      <c r="F2803" s="7" t="s">
        <v>119</v>
      </c>
      <c r="G2803" s="7" t="s">
        <v>150</v>
      </c>
      <c r="H2803" s="7" t="n">
        <v>2</v>
      </c>
      <c r="I2803" s="11" t="n">
        <v>180</v>
      </c>
      <c r="J2803" s="11" t="n">
        <v>0</v>
      </c>
      <c r="K2803" s="11" t="n">
        <f aca="false">H2803*I2803-J2803</f>
        <v>360</v>
      </c>
      <c r="L2803" s="7" t="s">
        <v>133</v>
      </c>
      <c r="M2803" s="7" t="s">
        <v>238</v>
      </c>
      <c r="N2803" s="7"/>
      <c r="O2803" s="7"/>
    </row>
    <row r="2804" customFormat="false" ht="15" hidden="false" customHeight="false" outlineLevel="0" collapsed="false">
      <c r="A2804" s="7" t="s">
        <v>1268</v>
      </c>
      <c r="B2804" s="10" t="n">
        <v>46008</v>
      </c>
      <c r="C2804" s="7" t="s">
        <v>1269</v>
      </c>
      <c r="D2804" s="7" t="s">
        <v>281</v>
      </c>
      <c r="E2804" s="7" t="s">
        <v>94</v>
      </c>
      <c r="F2804" s="7" t="s">
        <v>86</v>
      </c>
      <c r="G2804" s="7" t="s">
        <v>95</v>
      </c>
      <c r="H2804" s="7" t="n">
        <v>2</v>
      </c>
      <c r="I2804" s="11" t="n">
        <v>95</v>
      </c>
      <c r="J2804" s="11" t="n">
        <v>40</v>
      </c>
      <c r="K2804" s="11" t="n">
        <f aca="false">H2804*I2804-J2804</f>
        <v>150</v>
      </c>
      <c r="L2804" s="7" t="s">
        <v>88</v>
      </c>
      <c r="M2804" s="7" t="s">
        <v>194</v>
      </c>
      <c r="N2804" s="7" t="n">
        <v>38</v>
      </c>
      <c r="O2804" s="7" t="n">
        <v>4</v>
      </c>
    </row>
    <row r="2805" customFormat="false" ht="15" hidden="false" customHeight="false" outlineLevel="0" collapsed="false">
      <c r="A2805" s="7" t="s">
        <v>642</v>
      </c>
      <c r="B2805" s="10" t="n">
        <v>46008</v>
      </c>
      <c r="C2805" s="7" t="s">
        <v>644</v>
      </c>
      <c r="D2805" s="7" t="s">
        <v>645</v>
      </c>
      <c r="E2805" s="7" t="s">
        <v>149</v>
      </c>
      <c r="F2805" s="7" t="s">
        <v>119</v>
      </c>
      <c r="G2805" s="7" t="s">
        <v>150</v>
      </c>
      <c r="H2805" s="7" t="n">
        <v>2</v>
      </c>
      <c r="I2805" s="11" t="n">
        <v>200</v>
      </c>
      <c r="J2805" s="11" t="n">
        <v>0</v>
      </c>
      <c r="K2805" s="11" t="n">
        <f aca="false">H2805*I2805-J2805</f>
        <v>400</v>
      </c>
      <c r="L2805" s="7" t="s">
        <v>121</v>
      </c>
      <c r="M2805" s="7" t="s">
        <v>194</v>
      </c>
      <c r="N2805" s="7" t="n">
        <v>31</v>
      </c>
      <c r="O2805" s="7" t="n">
        <v>4</v>
      </c>
    </row>
    <row r="2806" customFormat="false" ht="15" hidden="false" customHeight="false" outlineLevel="0" collapsed="false">
      <c r="A2806" s="7" t="s">
        <v>2619</v>
      </c>
      <c r="B2806" s="10" t="n">
        <v>46008</v>
      </c>
      <c r="C2806" s="7" t="s">
        <v>1664</v>
      </c>
      <c r="D2806" s="7" t="s">
        <v>255</v>
      </c>
      <c r="E2806" s="7" t="s">
        <v>142</v>
      </c>
      <c r="F2806" s="7" t="s">
        <v>110</v>
      </c>
      <c r="G2806" s="7" t="s">
        <v>105</v>
      </c>
      <c r="H2806" s="7" t="n">
        <v>2</v>
      </c>
      <c r="I2806" s="11" t="n">
        <v>150</v>
      </c>
      <c r="J2806" s="11" t="n">
        <v>120</v>
      </c>
      <c r="K2806" s="11" t="n">
        <f aca="false">H2806*I2806-J2806</f>
        <v>180</v>
      </c>
      <c r="L2806" s="7" t="s">
        <v>93</v>
      </c>
      <c r="M2806" s="7" t="s">
        <v>194</v>
      </c>
      <c r="N2806" s="7" t="n">
        <v>37</v>
      </c>
      <c r="O2806" s="7"/>
    </row>
    <row r="2807" customFormat="false" ht="15" hidden="false" customHeight="false" outlineLevel="0" collapsed="false">
      <c r="A2807" s="7" t="s">
        <v>786</v>
      </c>
      <c r="B2807" s="10" t="n">
        <v>46008</v>
      </c>
      <c r="C2807" s="7" t="s">
        <v>788</v>
      </c>
      <c r="D2807" s="7" t="s">
        <v>789</v>
      </c>
      <c r="E2807" s="7" t="s">
        <v>144</v>
      </c>
      <c r="F2807" s="7" t="s">
        <v>119</v>
      </c>
      <c r="G2807" s="7" t="s">
        <v>99</v>
      </c>
      <c r="H2807" s="7" t="n">
        <v>1</v>
      </c>
      <c r="I2807" s="11" t="n">
        <v>260</v>
      </c>
      <c r="J2807" s="11" t="n">
        <v>20</v>
      </c>
      <c r="K2807" s="11" t="n">
        <f aca="false">H2807*I2807-J2807</f>
        <v>240</v>
      </c>
      <c r="L2807" s="7" t="s">
        <v>121</v>
      </c>
      <c r="M2807" s="7" t="s">
        <v>194</v>
      </c>
      <c r="N2807" s="7" t="n">
        <v>45</v>
      </c>
      <c r="O2807" s="7" t="n">
        <v>4</v>
      </c>
    </row>
    <row r="2808" customFormat="false" ht="15" hidden="false" customHeight="false" outlineLevel="0" collapsed="false">
      <c r="A2808" s="7" t="s">
        <v>5346</v>
      </c>
      <c r="B2808" s="10" t="n">
        <v>46008</v>
      </c>
      <c r="C2808" s="7" t="s">
        <v>2402</v>
      </c>
      <c r="D2808" s="7" t="s">
        <v>2349</v>
      </c>
      <c r="E2808" s="7" t="s">
        <v>158</v>
      </c>
      <c r="F2808" s="7" t="s">
        <v>136</v>
      </c>
      <c r="G2808" s="7" t="s">
        <v>139</v>
      </c>
      <c r="H2808" s="7" t="n">
        <v>2</v>
      </c>
      <c r="I2808" s="11" t="n">
        <v>210</v>
      </c>
      <c r="J2808" s="11" t="n">
        <v>50</v>
      </c>
      <c r="K2808" s="11" t="n">
        <f aca="false">H2808*I2808-J2808</f>
        <v>370</v>
      </c>
      <c r="L2808" s="7" t="s">
        <v>88</v>
      </c>
      <c r="M2808" s="7" t="s">
        <v>194</v>
      </c>
      <c r="N2808" s="7" t="n">
        <v>34</v>
      </c>
      <c r="O2808" s="7" t="n">
        <v>4</v>
      </c>
    </row>
    <row r="2809" customFormat="false" ht="15" hidden="false" customHeight="false" outlineLevel="0" collapsed="false">
      <c r="A2809" s="7" t="s">
        <v>3684</v>
      </c>
      <c r="B2809" s="10" t="n">
        <v>46008</v>
      </c>
      <c r="C2809" s="7" t="s">
        <v>1562</v>
      </c>
      <c r="D2809" s="7" t="s">
        <v>3685</v>
      </c>
      <c r="E2809" s="7" t="s">
        <v>130</v>
      </c>
      <c r="F2809" s="7" t="s">
        <v>110</v>
      </c>
      <c r="G2809" s="7" t="s">
        <v>90</v>
      </c>
      <c r="H2809" s="7" t="n">
        <v>1</v>
      </c>
      <c r="I2809" s="11" t="n">
        <v>230</v>
      </c>
      <c r="J2809" s="11" t="n">
        <v>50</v>
      </c>
      <c r="K2809" s="11" t="n">
        <f aca="false">H2809*I2809-J2809</f>
        <v>180</v>
      </c>
      <c r="L2809" s="7" t="s">
        <v>112</v>
      </c>
      <c r="M2809" s="7" t="s">
        <v>194</v>
      </c>
      <c r="N2809" s="7" t="n">
        <v>30</v>
      </c>
      <c r="O2809" s="7" t="n">
        <v>4</v>
      </c>
    </row>
    <row r="2810" customFormat="false" ht="15" hidden="false" customHeight="false" outlineLevel="0" collapsed="false">
      <c r="A2810" s="7" t="s">
        <v>4414</v>
      </c>
      <c r="B2810" s="10" t="n">
        <v>46008</v>
      </c>
      <c r="C2810" s="7" t="s">
        <v>1880</v>
      </c>
      <c r="D2810" s="7" t="s">
        <v>4415</v>
      </c>
      <c r="E2810" s="7" t="s">
        <v>147</v>
      </c>
      <c r="F2810" s="7" t="s">
        <v>119</v>
      </c>
      <c r="G2810" s="7" t="s">
        <v>95</v>
      </c>
      <c r="H2810" s="7" t="n">
        <v>1</v>
      </c>
      <c r="I2810" s="11" t="n">
        <v>150</v>
      </c>
      <c r="J2810" s="11" t="n">
        <v>60</v>
      </c>
      <c r="K2810" s="11" t="n">
        <f aca="false">H2810*I2810-J2810</f>
        <v>90</v>
      </c>
      <c r="L2810" s="7" t="s">
        <v>88</v>
      </c>
      <c r="M2810" s="7" t="s">
        <v>194</v>
      </c>
      <c r="N2810" s="7" t="n">
        <v>46</v>
      </c>
      <c r="O2810" s="7" t="n">
        <v>4</v>
      </c>
    </row>
    <row r="2811" customFormat="false" ht="15" hidden="false" customHeight="false" outlineLevel="0" collapsed="false">
      <c r="A2811" s="7" t="s">
        <v>5108</v>
      </c>
      <c r="B2811" s="10" t="n">
        <v>46008</v>
      </c>
      <c r="C2811" s="7" t="s">
        <v>5109</v>
      </c>
      <c r="D2811" s="7" t="s">
        <v>5110</v>
      </c>
      <c r="E2811" s="7" t="s">
        <v>168</v>
      </c>
      <c r="F2811" s="7" t="s">
        <v>146</v>
      </c>
      <c r="G2811" s="7" t="s">
        <v>123</v>
      </c>
      <c r="H2811" s="7" t="n">
        <v>4</v>
      </c>
      <c r="I2811" s="11" t="n">
        <v>325</v>
      </c>
      <c r="J2811" s="11" t="n">
        <v>20</v>
      </c>
      <c r="K2811" s="11" t="n">
        <f aca="false">H2811*I2811-J2811</f>
        <v>1280</v>
      </c>
      <c r="L2811" s="7" t="s">
        <v>88</v>
      </c>
      <c r="M2811" s="7" t="s">
        <v>194</v>
      </c>
      <c r="N2811" s="7" t="n">
        <v>30</v>
      </c>
      <c r="O2811" s="7" t="n">
        <v>3</v>
      </c>
    </row>
    <row r="2812" customFormat="false" ht="15" hidden="false" customHeight="false" outlineLevel="0" collapsed="false">
      <c r="A2812" s="7" t="s">
        <v>6144</v>
      </c>
      <c r="B2812" s="10" t="n">
        <v>46009</v>
      </c>
      <c r="C2812" s="7" t="s">
        <v>2405</v>
      </c>
      <c r="D2812" s="7" t="s">
        <v>1719</v>
      </c>
      <c r="E2812" s="7" t="s">
        <v>94</v>
      </c>
      <c r="F2812" s="7" t="s">
        <v>86</v>
      </c>
      <c r="G2812" s="7" t="s">
        <v>95</v>
      </c>
      <c r="H2812" s="7" t="n">
        <v>5</v>
      </c>
      <c r="I2812" s="11" t="n">
        <v>120</v>
      </c>
      <c r="J2812" s="11" t="n">
        <v>0</v>
      </c>
      <c r="K2812" s="11" t="n">
        <f aca="false">H2812*I2812-J2812</f>
        <v>600</v>
      </c>
      <c r="L2812" s="7" t="s">
        <v>112</v>
      </c>
      <c r="M2812" s="7" t="s">
        <v>238</v>
      </c>
      <c r="N2812" s="7"/>
      <c r="O2812" s="7"/>
    </row>
    <row r="2813" customFormat="false" ht="15" hidden="false" customHeight="false" outlineLevel="0" collapsed="false">
      <c r="A2813" s="7" t="s">
        <v>1442</v>
      </c>
      <c r="B2813" s="10" t="n">
        <v>46009</v>
      </c>
      <c r="C2813" s="7" t="s">
        <v>1443</v>
      </c>
      <c r="D2813" s="7" t="s">
        <v>1444</v>
      </c>
      <c r="E2813" s="7" t="s">
        <v>163</v>
      </c>
      <c r="F2813" s="7" t="s">
        <v>141</v>
      </c>
      <c r="G2813" s="7" t="s">
        <v>99</v>
      </c>
      <c r="H2813" s="7" t="n">
        <v>1</v>
      </c>
      <c r="I2813" s="11" t="n">
        <v>230</v>
      </c>
      <c r="J2813" s="11" t="n">
        <v>0</v>
      </c>
      <c r="K2813" s="11" t="n">
        <f aca="false">H2813*I2813-J2813</f>
        <v>230</v>
      </c>
      <c r="L2813" s="7" t="s">
        <v>121</v>
      </c>
      <c r="M2813" s="7" t="s">
        <v>194</v>
      </c>
      <c r="N2813" s="7" t="n">
        <v>44</v>
      </c>
      <c r="O2813" s="7" t="n">
        <v>4</v>
      </c>
    </row>
    <row r="2814" customFormat="false" ht="15" hidden="false" customHeight="false" outlineLevel="0" collapsed="false">
      <c r="A2814" s="7" t="s">
        <v>3672</v>
      </c>
      <c r="B2814" s="10" t="n">
        <v>46009</v>
      </c>
      <c r="C2814" s="7" t="s">
        <v>3673</v>
      </c>
      <c r="D2814" s="7" t="s">
        <v>3674</v>
      </c>
      <c r="E2814" s="7" t="s">
        <v>148</v>
      </c>
      <c r="F2814" s="7" t="s">
        <v>119</v>
      </c>
      <c r="G2814" s="7" t="s">
        <v>123</v>
      </c>
      <c r="H2814" s="7" t="n">
        <v>1</v>
      </c>
      <c r="I2814" s="11" t="n">
        <v>300</v>
      </c>
      <c r="J2814" s="11" t="n">
        <v>0</v>
      </c>
      <c r="K2814" s="11" t="n">
        <f aca="false">H2814*I2814-J2814</f>
        <v>300</v>
      </c>
      <c r="L2814" s="7" t="s">
        <v>133</v>
      </c>
      <c r="M2814" s="7" t="s">
        <v>194</v>
      </c>
      <c r="N2814" s="7" t="n">
        <v>38</v>
      </c>
      <c r="O2814" s="7" t="n">
        <v>4</v>
      </c>
    </row>
    <row r="2815" customFormat="false" ht="15" hidden="false" customHeight="false" outlineLevel="0" collapsed="false">
      <c r="A2815" s="7" t="s">
        <v>1398</v>
      </c>
      <c r="B2815" s="10" t="n">
        <v>46009</v>
      </c>
      <c r="C2815" s="7" t="s">
        <v>1400</v>
      </c>
      <c r="D2815" s="7" t="s">
        <v>1401</v>
      </c>
      <c r="E2815" s="7" t="s">
        <v>167</v>
      </c>
      <c r="F2815" s="7" t="s">
        <v>146</v>
      </c>
      <c r="G2815" s="7" t="s">
        <v>156</v>
      </c>
      <c r="H2815" s="7" t="n">
        <v>2</v>
      </c>
      <c r="I2815" s="11" t="n">
        <v>310</v>
      </c>
      <c r="J2815" s="11" t="n">
        <v>150</v>
      </c>
      <c r="K2815" s="11" t="n">
        <f aca="false">H2815*I2815-J2815</f>
        <v>470</v>
      </c>
      <c r="L2815" s="7" t="s">
        <v>112</v>
      </c>
      <c r="M2815" s="7" t="s">
        <v>194</v>
      </c>
      <c r="N2815" s="7" t="n">
        <v>39</v>
      </c>
      <c r="O2815" s="7" t="n">
        <v>3</v>
      </c>
    </row>
    <row r="2816" customFormat="false" ht="15" hidden="false" customHeight="false" outlineLevel="0" collapsed="false">
      <c r="A2816" s="7" t="s">
        <v>1178</v>
      </c>
      <c r="B2816" s="10" t="n">
        <v>46009</v>
      </c>
      <c r="C2816" s="7" t="s">
        <v>1180</v>
      </c>
      <c r="D2816" s="7" t="s">
        <v>1181</v>
      </c>
      <c r="E2816" s="7" t="s">
        <v>163</v>
      </c>
      <c r="F2816" s="7" t="s">
        <v>141</v>
      </c>
      <c r="G2816" s="7" t="s">
        <v>99</v>
      </c>
      <c r="H2816" s="7" t="n">
        <v>1</v>
      </c>
      <c r="I2816" s="11" t="n">
        <v>300</v>
      </c>
      <c r="J2816" s="11" t="n">
        <v>100</v>
      </c>
      <c r="K2816" s="11" t="n">
        <f aca="false">H2816*I2816-J2816</f>
        <v>200</v>
      </c>
      <c r="L2816" s="7" t="s">
        <v>103</v>
      </c>
      <c r="M2816" s="7" t="s">
        <v>194</v>
      </c>
      <c r="N2816" s="7" t="n">
        <v>32</v>
      </c>
      <c r="O2816" s="7" t="n">
        <v>4</v>
      </c>
    </row>
    <row r="2817" customFormat="false" ht="15" hidden="false" customHeight="false" outlineLevel="0" collapsed="false">
      <c r="A2817" s="7" t="s">
        <v>3780</v>
      </c>
      <c r="B2817" s="10" t="n">
        <v>46010</v>
      </c>
      <c r="C2817" s="7" t="s">
        <v>3781</v>
      </c>
      <c r="D2817" s="7" t="s">
        <v>2117</v>
      </c>
      <c r="E2817" s="7" t="s">
        <v>130</v>
      </c>
      <c r="F2817" s="7" t="s">
        <v>110</v>
      </c>
      <c r="G2817" s="7" t="s">
        <v>90</v>
      </c>
      <c r="H2817" s="7" t="n">
        <v>2</v>
      </c>
      <c r="I2817" s="11" t="n">
        <v>250</v>
      </c>
      <c r="J2817" s="11" t="n">
        <v>100</v>
      </c>
      <c r="K2817" s="11" t="n">
        <f aca="false">H2817*I2817-J2817</f>
        <v>400</v>
      </c>
      <c r="L2817" s="7" t="s">
        <v>88</v>
      </c>
      <c r="M2817" s="7" t="s">
        <v>194</v>
      </c>
      <c r="N2817" s="7" t="n">
        <v>28</v>
      </c>
      <c r="O2817" s="7" t="n">
        <v>5</v>
      </c>
    </row>
    <row r="2818" customFormat="false" ht="15" hidden="false" customHeight="false" outlineLevel="0" collapsed="false">
      <c r="A2818" s="7" t="s">
        <v>4141</v>
      </c>
      <c r="B2818" s="10" t="n">
        <v>46010</v>
      </c>
      <c r="C2818" s="7" t="s">
        <v>1877</v>
      </c>
      <c r="D2818" s="7" t="s">
        <v>4142</v>
      </c>
      <c r="E2818" s="7" t="s">
        <v>149</v>
      </c>
      <c r="F2818" s="7" t="s">
        <v>119</v>
      </c>
      <c r="G2818" s="7" t="s">
        <v>150</v>
      </c>
      <c r="H2818" s="7" t="n">
        <v>2</v>
      </c>
      <c r="I2818" s="11" t="n">
        <v>140</v>
      </c>
      <c r="J2818" s="11" t="n">
        <v>0</v>
      </c>
      <c r="K2818" s="11" t="n">
        <f aca="false">H2818*I2818-J2818</f>
        <v>280</v>
      </c>
      <c r="L2818" s="7" t="s">
        <v>88</v>
      </c>
      <c r="M2818" s="7" t="s">
        <v>194</v>
      </c>
      <c r="N2818" s="7" t="n">
        <v>25</v>
      </c>
      <c r="O2818" s="7" t="n">
        <v>4</v>
      </c>
    </row>
    <row r="2819" customFormat="false" ht="15" hidden="false" customHeight="false" outlineLevel="0" collapsed="false">
      <c r="A2819" s="7" t="s">
        <v>3716</v>
      </c>
      <c r="B2819" s="10" t="n">
        <v>46010</v>
      </c>
      <c r="C2819" s="7" t="s">
        <v>1684</v>
      </c>
      <c r="D2819" s="7" t="s">
        <v>3237</v>
      </c>
      <c r="E2819" s="7" t="s">
        <v>142</v>
      </c>
      <c r="F2819" s="7" t="s">
        <v>110</v>
      </c>
      <c r="G2819" s="7" t="s">
        <v>105</v>
      </c>
      <c r="H2819" s="7" t="n">
        <v>3</v>
      </c>
      <c r="I2819" s="11" t="n">
        <v>185</v>
      </c>
      <c r="J2819" s="11" t="n">
        <v>30</v>
      </c>
      <c r="K2819" s="11" t="n">
        <f aca="false">H2819*I2819-J2819</f>
        <v>525</v>
      </c>
      <c r="L2819" s="7" t="s">
        <v>112</v>
      </c>
      <c r="M2819" s="7" t="s">
        <v>194</v>
      </c>
      <c r="N2819" s="7" t="n">
        <v>42</v>
      </c>
      <c r="O2819" s="7" t="n">
        <v>5</v>
      </c>
    </row>
    <row r="2820" customFormat="false" ht="15" hidden="false" customHeight="false" outlineLevel="0" collapsed="false">
      <c r="A2820" s="7" t="s">
        <v>4060</v>
      </c>
      <c r="B2820" s="10" t="n">
        <v>46010</v>
      </c>
      <c r="C2820" s="7" t="s">
        <v>2138</v>
      </c>
      <c r="D2820" s="7" t="s">
        <v>3369</v>
      </c>
      <c r="E2820" s="7" t="s">
        <v>113</v>
      </c>
      <c r="F2820" s="7" t="s">
        <v>101</v>
      </c>
      <c r="G2820" s="7" t="s">
        <v>90</v>
      </c>
      <c r="H2820" s="7" t="n">
        <v>2</v>
      </c>
      <c r="I2820" s="11" t="n">
        <v>290</v>
      </c>
      <c r="J2820" s="11" t="n">
        <v>0</v>
      </c>
      <c r="K2820" s="11" t="n">
        <f aca="false">H2820*I2820-J2820</f>
        <v>580</v>
      </c>
      <c r="L2820" s="7" t="s">
        <v>103</v>
      </c>
      <c r="M2820" s="7" t="s">
        <v>194</v>
      </c>
      <c r="N2820" s="7" t="n">
        <v>48</v>
      </c>
      <c r="O2820" s="7" t="n">
        <v>3</v>
      </c>
    </row>
    <row r="2821" customFormat="false" ht="15" hidden="false" customHeight="false" outlineLevel="0" collapsed="false">
      <c r="A2821" s="7" t="s">
        <v>5241</v>
      </c>
      <c r="B2821" s="10" t="n">
        <v>46010</v>
      </c>
      <c r="C2821" s="7" t="s">
        <v>796</v>
      </c>
      <c r="D2821" s="7" t="s">
        <v>2861</v>
      </c>
      <c r="E2821" s="7" t="s">
        <v>130</v>
      </c>
      <c r="F2821" s="7" t="s">
        <v>110</v>
      </c>
      <c r="G2821" s="7" t="s">
        <v>90</v>
      </c>
      <c r="H2821" s="7" t="n">
        <v>2</v>
      </c>
      <c r="I2821" s="11" t="n">
        <v>220</v>
      </c>
      <c r="J2821" s="11" t="n">
        <v>0</v>
      </c>
      <c r="K2821" s="11" t="n">
        <f aca="false">H2821*I2821-J2821</f>
        <v>440</v>
      </c>
      <c r="L2821" s="7" t="s">
        <v>88</v>
      </c>
      <c r="M2821" s="7" t="s">
        <v>194</v>
      </c>
      <c r="N2821" s="7" t="n">
        <v>41</v>
      </c>
      <c r="O2821" s="7"/>
    </row>
    <row r="2822" customFormat="false" ht="15" hidden="false" customHeight="false" outlineLevel="0" collapsed="false">
      <c r="A2822" s="7" t="s">
        <v>3636</v>
      </c>
      <c r="B2822" s="10" t="n">
        <v>46010</v>
      </c>
      <c r="C2822" s="7" t="s">
        <v>3638</v>
      </c>
      <c r="D2822" s="7" t="s">
        <v>3396</v>
      </c>
      <c r="E2822" s="7" t="s">
        <v>164</v>
      </c>
      <c r="F2822" s="7" t="s">
        <v>141</v>
      </c>
      <c r="G2822" s="7" t="s">
        <v>150</v>
      </c>
      <c r="H2822" s="7" t="n">
        <v>2</v>
      </c>
      <c r="I2822" s="11" t="n">
        <v>160</v>
      </c>
      <c r="J2822" s="11" t="n">
        <v>0</v>
      </c>
      <c r="K2822" s="11" t="n">
        <f aca="false">H2822*I2822-J2822</f>
        <v>320</v>
      </c>
      <c r="L2822" s="7" t="s">
        <v>88</v>
      </c>
      <c r="M2822" s="7" t="s">
        <v>194</v>
      </c>
      <c r="N2822" s="7" t="n">
        <v>31</v>
      </c>
      <c r="O2822" s="7"/>
    </row>
    <row r="2823" customFormat="false" ht="15" hidden="false" customHeight="false" outlineLevel="0" collapsed="false">
      <c r="A2823" s="7" t="s">
        <v>3817</v>
      </c>
      <c r="B2823" s="10" t="n">
        <v>46010</v>
      </c>
      <c r="C2823" s="7" t="s">
        <v>3448</v>
      </c>
      <c r="D2823" s="7" t="s">
        <v>3732</v>
      </c>
      <c r="E2823" s="7" t="s">
        <v>130</v>
      </c>
      <c r="F2823" s="7" t="s">
        <v>110</v>
      </c>
      <c r="G2823" s="7" t="s">
        <v>90</v>
      </c>
      <c r="H2823" s="7" t="n">
        <v>1</v>
      </c>
      <c r="I2823" s="11" t="n">
        <v>280</v>
      </c>
      <c r="J2823" s="11" t="n">
        <v>40</v>
      </c>
      <c r="K2823" s="11" t="n">
        <f aca="false">H2823*I2823-J2823</f>
        <v>240</v>
      </c>
      <c r="L2823" s="7" t="s">
        <v>112</v>
      </c>
      <c r="M2823" s="7" t="s">
        <v>238</v>
      </c>
      <c r="N2823" s="7"/>
      <c r="O2823" s="7"/>
    </row>
    <row r="2824" customFormat="false" ht="15" hidden="false" customHeight="false" outlineLevel="0" collapsed="false">
      <c r="A2824" s="7" t="s">
        <v>5671</v>
      </c>
      <c r="B2824" s="10" t="n">
        <v>46010</v>
      </c>
      <c r="C2824" s="7" t="s">
        <v>1168</v>
      </c>
      <c r="D2824" s="7" t="s">
        <v>2411</v>
      </c>
      <c r="E2824" s="7" t="s">
        <v>159</v>
      </c>
      <c r="F2824" s="7" t="s">
        <v>136</v>
      </c>
      <c r="G2824" s="7" t="s">
        <v>90</v>
      </c>
      <c r="H2824" s="7" t="n">
        <v>2</v>
      </c>
      <c r="I2824" s="11" t="n">
        <v>245</v>
      </c>
      <c r="J2824" s="11" t="n">
        <v>40</v>
      </c>
      <c r="K2824" s="11" t="n">
        <f aca="false">H2824*I2824-J2824</f>
        <v>450</v>
      </c>
      <c r="L2824" s="7" t="s">
        <v>121</v>
      </c>
      <c r="M2824" s="7" t="s">
        <v>194</v>
      </c>
      <c r="N2824" s="7" t="n">
        <v>29</v>
      </c>
      <c r="O2824" s="7" t="n">
        <v>5</v>
      </c>
    </row>
    <row r="2825" customFormat="false" ht="15" hidden="false" customHeight="false" outlineLevel="0" collapsed="false">
      <c r="A2825" s="7" t="s">
        <v>4127</v>
      </c>
      <c r="B2825" s="10" t="n">
        <v>46010</v>
      </c>
      <c r="C2825" s="7" t="s">
        <v>327</v>
      </c>
      <c r="D2825" s="7" t="s">
        <v>4128</v>
      </c>
      <c r="E2825" s="7" t="s">
        <v>130</v>
      </c>
      <c r="F2825" s="7" t="s">
        <v>110</v>
      </c>
      <c r="G2825" s="7" t="s">
        <v>90</v>
      </c>
      <c r="H2825" s="7" t="n">
        <v>3</v>
      </c>
      <c r="I2825" s="11" t="n">
        <v>245</v>
      </c>
      <c r="J2825" s="11" t="n">
        <v>20</v>
      </c>
      <c r="K2825" s="11" t="n">
        <f aca="false">H2825*I2825-J2825</f>
        <v>715</v>
      </c>
      <c r="L2825" s="7" t="s">
        <v>93</v>
      </c>
      <c r="M2825" s="7" t="s">
        <v>194</v>
      </c>
      <c r="N2825" s="7" t="n">
        <v>40</v>
      </c>
      <c r="O2825" s="7" t="n">
        <v>3</v>
      </c>
    </row>
    <row r="2826" customFormat="false" ht="15" hidden="false" customHeight="false" outlineLevel="0" collapsed="false">
      <c r="A2826" s="7" t="s">
        <v>5385</v>
      </c>
      <c r="B2826" s="10" t="n">
        <v>46010</v>
      </c>
      <c r="C2826" s="7" t="s">
        <v>3247</v>
      </c>
      <c r="D2826" s="7" t="s">
        <v>2540</v>
      </c>
      <c r="E2826" s="7" t="s">
        <v>94</v>
      </c>
      <c r="F2826" s="7" t="s">
        <v>86</v>
      </c>
      <c r="G2826" s="7" t="s">
        <v>95</v>
      </c>
      <c r="H2826" s="7" t="n">
        <v>1</v>
      </c>
      <c r="I2826" s="11" t="n">
        <v>125</v>
      </c>
      <c r="J2826" s="11" t="n">
        <v>0</v>
      </c>
      <c r="K2826" s="11" t="n">
        <f aca="false">H2826*I2826-J2826</f>
        <v>125</v>
      </c>
      <c r="L2826" s="7" t="s">
        <v>88</v>
      </c>
      <c r="M2826" s="7" t="s">
        <v>194</v>
      </c>
      <c r="N2826" s="7" t="n">
        <v>31</v>
      </c>
      <c r="O2826" s="7" t="n">
        <v>4</v>
      </c>
    </row>
    <row r="2827" customFormat="false" ht="15" hidden="false" customHeight="false" outlineLevel="0" collapsed="false">
      <c r="A2827" s="7" t="s">
        <v>5369</v>
      </c>
      <c r="B2827" s="10" t="n">
        <v>46010</v>
      </c>
      <c r="C2827" s="7" t="s">
        <v>788</v>
      </c>
      <c r="D2827" s="7" t="s">
        <v>610</v>
      </c>
      <c r="E2827" s="7" t="s">
        <v>94</v>
      </c>
      <c r="F2827" s="7" t="s">
        <v>86</v>
      </c>
      <c r="G2827" s="7" t="s">
        <v>95</v>
      </c>
      <c r="H2827" s="7" t="n">
        <v>2</v>
      </c>
      <c r="I2827" s="11" t="n">
        <v>100</v>
      </c>
      <c r="J2827" s="11" t="n">
        <v>0</v>
      </c>
      <c r="K2827" s="11" t="n">
        <f aca="false">H2827*I2827-J2827</f>
        <v>200</v>
      </c>
      <c r="L2827" s="7" t="s">
        <v>121</v>
      </c>
      <c r="M2827" s="7" t="s">
        <v>194</v>
      </c>
      <c r="N2827" s="7" t="n">
        <v>36</v>
      </c>
      <c r="O2827" s="7" t="n">
        <v>4</v>
      </c>
    </row>
    <row r="2828" customFormat="false" ht="15" hidden="false" customHeight="false" outlineLevel="0" collapsed="false">
      <c r="A2828" s="7" t="s">
        <v>2729</v>
      </c>
      <c r="B2828" s="10" t="n">
        <v>46010</v>
      </c>
      <c r="C2828" s="7" t="s">
        <v>1062</v>
      </c>
      <c r="D2828" s="7" t="s">
        <v>2731</v>
      </c>
      <c r="E2828" s="7" t="s">
        <v>144</v>
      </c>
      <c r="F2828" s="7" t="s">
        <v>119</v>
      </c>
      <c r="G2828" s="7" t="s">
        <v>99</v>
      </c>
      <c r="H2828" s="7" t="n">
        <v>1</v>
      </c>
      <c r="I2828" s="11" t="n">
        <v>320</v>
      </c>
      <c r="J2828" s="11" t="n">
        <v>0</v>
      </c>
      <c r="K2828" s="11" t="n">
        <f aca="false">H2828*I2828-J2828</f>
        <v>320</v>
      </c>
      <c r="L2828" s="7" t="s">
        <v>88</v>
      </c>
      <c r="M2828" s="7" t="s">
        <v>194</v>
      </c>
      <c r="N2828" s="7" t="n">
        <v>29</v>
      </c>
      <c r="O2828" s="7" t="n">
        <v>3</v>
      </c>
    </row>
    <row r="2829" customFormat="false" ht="15" hidden="false" customHeight="false" outlineLevel="0" collapsed="false">
      <c r="A2829" s="7" t="s">
        <v>3493</v>
      </c>
      <c r="B2829" s="10" t="n">
        <v>46011</v>
      </c>
      <c r="C2829" s="7" t="s">
        <v>1699</v>
      </c>
      <c r="D2829" s="7" t="s">
        <v>3494</v>
      </c>
      <c r="E2829" s="7" t="s">
        <v>94</v>
      </c>
      <c r="F2829" s="7" t="s">
        <v>86</v>
      </c>
      <c r="G2829" s="7" t="s">
        <v>95</v>
      </c>
      <c r="H2829" s="7" t="n">
        <v>5</v>
      </c>
      <c r="I2829" s="11" t="n">
        <v>130</v>
      </c>
      <c r="J2829" s="11" t="n">
        <v>0</v>
      </c>
      <c r="K2829" s="11" t="n">
        <f aca="false">H2829*I2829-J2829</f>
        <v>650</v>
      </c>
      <c r="L2829" s="7" t="s">
        <v>88</v>
      </c>
      <c r="M2829" s="7" t="s">
        <v>194</v>
      </c>
      <c r="N2829" s="7" t="n">
        <v>40</v>
      </c>
      <c r="O2829" s="7" t="n">
        <v>3</v>
      </c>
    </row>
    <row r="2830" customFormat="false" ht="15" hidden="false" customHeight="false" outlineLevel="0" collapsed="false">
      <c r="A2830" s="7" t="s">
        <v>4885</v>
      </c>
      <c r="B2830" s="10" t="n">
        <v>46011</v>
      </c>
      <c r="C2830" s="7" t="s">
        <v>4886</v>
      </c>
      <c r="D2830" s="7" t="s">
        <v>900</v>
      </c>
      <c r="E2830" s="7" t="s">
        <v>113</v>
      </c>
      <c r="F2830" s="7" t="s">
        <v>101</v>
      </c>
      <c r="G2830" s="7" t="s">
        <v>90</v>
      </c>
      <c r="H2830" s="7" t="n">
        <v>1</v>
      </c>
      <c r="I2830" s="11" t="n">
        <v>275</v>
      </c>
      <c r="J2830" s="11" t="n">
        <v>0</v>
      </c>
      <c r="K2830" s="11" t="n">
        <f aca="false">H2830*I2830-J2830</f>
        <v>275</v>
      </c>
      <c r="L2830" s="7" t="s">
        <v>93</v>
      </c>
      <c r="M2830" s="7" t="s">
        <v>194</v>
      </c>
      <c r="N2830" s="7" t="n">
        <v>35</v>
      </c>
      <c r="O2830" s="7" t="n">
        <v>3</v>
      </c>
    </row>
    <row r="2831" customFormat="false" ht="15" hidden="false" customHeight="false" outlineLevel="0" collapsed="false">
      <c r="A2831" s="7" t="s">
        <v>2171</v>
      </c>
      <c r="B2831" s="10" t="n">
        <v>46011</v>
      </c>
      <c r="C2831" s="7" t="s">
        <v>1125</v>
      </c>
      <c r="D2831" s="7" t="s">
        <v>2172</v>
      </c>
      <c r="E2831" s="7" t="s">
        <v>134</v>
      </c>
      <c r="F2831" s="7" t="s">
        <v>110</v>
      </c>
      <c r="G2831" s="7" t="s">
        <v>117</v>
      </c>
      <c r="H2831" s="7" t="n">
        <v>2</v>
      </c>
      <c r="I2831" s="11" t="n">
        <v>110</v>
      </c>
      <c r="J2831" s="11" t="n">
        <v>0</v>
      </c>
      <c r="K2831" s="11" t="n">
        <f aca="false">H2831*I2831-J2831</f>
        <v>220</v>
      </c>
      <c r="L2831" s="7" t="s">
        <v>121</v>
      </c>
      <c r="M2831" s="7" t="s">
        <v>194</v>
      </c>
      <c r="N2831" s="7" t="n">
        <v>37</v>
      </c>
      <c r="O2831" s="7" t="n">
        <v>5</v>
      </c>
    </row>
    <row r="2832" customFormat="false" ht="15" hidden="false" customHeight="false" outlineLevel="0" collapsed="false">
      <c r="A2832" s="7" t="s">
        <v>5528</v>
      </c>
      <c r="B2832" s="10" t="n">
        <v>46011</v>
      </c>
      <c r="C2832" s="7" t="s">
        <v>4969</v>
      </c>
      <c r="D2832" s="7" t="s">
        <v>3538</v>
      </c>
      <c r="E2832" s="7" t="s">
        <v>168</v>
      </c>
      <c r="F2832" s="7" t="s">
        <v>146</v>
      </c>
      <c r="G2832" s="7" t="s">
        <v>123</v>
      </c>
      <c r="H2832" s="7" t="n">
        <v>4</v>
      </c>
      <c r="I2832" s="11" t="n">
        <v>320</v>
      </c>
      <c r="J2832" s="11" t="n">
        <v>75</v>
      </c>
      <c r="K2832" s="11" t="n">
        <f aca="false">H2832*I2832-J2832</f>
        <v>1205</v>
      </c>
      <c r="L2832" s="7" t="s">
        <v>88</v>
      </c>
      <c r="M2832" s="7" t="s">
        <v>194</v>
      </c>
      <c r="N2832" s="7" t="n">
        <v>41</v>
      </c>
      <c r="O2832" s="7" t="n">
        <v>4</v>
      </c>
    </row>
    <row r="2833" customFormat="false" ht="15" hidden="false" customHeight="false" outlineLevel="0" collapsed="false">
      <c r="A2833" s="7" t="s">
        <v>2365</v>
      </c>
      <c r="B2833" s="10" t="n">
        <v>46011</v>
      </c>
      <c r="C2833" s="7" t="s">
        <v>2366</v>
      </c>
      <c r="D2833" s="7" t="s">
        <v>2367</v>
      </c>
      <c r="E2833" s="7" t="s">
        <v>113</v>
      </c>
      <c r="F2833" s="7" t="s">
        <v>101</v>
      </c>
      <c r="G2833" s="7" t="s">
        <v>90</v>
      </c>
      <c r="H2833" s="7" t="n">
        <v>3</v>
      </c>
      <c r="I2833" s="11" t="n">
        <v>220</v>
      </c>
      <c r="J2833" s="11" t="n">
        <v>40</v>
      </c>
      <c r="K2833" s="11" t="n">
        <f aca="false">H2833*I2833-J2833</f>
        <v>620</v>
      </c>
      <c r="L2833" s="7" t="s">
        <v>103</v>
      </c>
      <c r="M2833" s="7" t="s">
        <v>194</v>
      </c>
      <c r="N2833" s="7" t="n">
        <v>46</v>
      </c>
      <c r="O2833" s="7" t="n">
        <v>3</v>
      </c>
    </row>
    <row r="2834" customFormat="false" ht="15" hidden="false" customHeight="false" outlineLevel="0" collapsed="false">
      <c r="A2834" s="7" t="s">
        <v>1428</v>
      </c>
      <c r="B2834" s="10" t="n">
        <v>46011</v>
      </c>
      <c r="C2834" s="7" t="s">
        <v>1430</v>
      </c>
      <c r="D2834" s="7" t="s">
        <v>1431</v>
      </c>
      <c r="E2834" s="7" t="s">
        <v>138</v>
      </c>
      <c r="F2834" s="7" t="s">
        <v>110</v>
      </c>
      <c r="G2834" s="7" t="s">
        <v>139</v>
      </c>
      <c r="H2834" s="7" t="n">
        <v>3</v>
      </c>
      <c r="I2834" s="11" t="n">
        <v>145</v>
      </c>
      <c r="J2834" s="11" t="n">
        <v>75</v>
      </c>
      <c r="K2834" s="11" t="n">
        <f aca="false">H2834*I2834-J2834</f>
        <v>360</v>
      </c>
      <c r="L2834" s="7" t="s">
        <v>88</v>
      </c>
      <c r="M2834" s="7" t="s">
        <v>194</v>
      </c>
      <c r="N2834" s="7"/>
      <c r="O2834" s="7" t="n">
        <v>3</v>
      </c>
    </row>
    <row r="2835" customFormat="false" ht="15" hidden="false" customHeight="false" outlineLevel="0" collapsed="false">
      <c r="A2835" s="7" t="s">
        <v>6034</v>
      </c>
      <c r="B2835" s="10" t="n">
        <v>46011</v>
      </c>
      <c r="C2835" s="7" t="s">
        <v>2705</v>
      </c>
      <c r="D2835" s="7" t="s">
        <v>2130</v>
      </c>
      <c r="E2835" s="7" t="s">
        <v>147</v>
      </c>
      <c r="F2835" s="7" t="s">
        <v>119</v>
      </c>
      <c r="G2835" s="7" t="s">
        <v>95</v>
      </c>
      <c r="H2835" s="7" t="n">
        <v>2</v>
      </c>
      <c r="I2835" s="11" t="n">
        <v>155</v>
      </c>
      <c r="J2835" s="11" t="n">
        <v>0</v>
      </c>
      <c r="K2835" s="11" t="n">
        <f aca="false">H2835*I2835-J2835</f>
        <v>310</v>
      </c>
      <c r="L2835" s="7" t="s">
        <v>93</v>
      </c>
      <c r="M2835" s="7" t="s">
        <v>194</v>
      </c>
      <c r="N2835" s="7" t="n">
        <v>33</v>
      </c>
      <c r="O2835" s="7" t="n">
        <v>5</v>
      </c>
    </row>
    <row r="2836" customFormat="false" ht="15" hidden="false" customHeight="false" outlineLevel="0" collapsed="false">
      <c r="A2836" s="7" t="s">
        <v>4525</v>
      </c>
      <c r="B2836" s="10" t="n">
        <v>46011</v>
      </c>
      <c r="C2836" s="7" t="s">
        <v>1926</v>
      </c>
      <c r="D2836" s="7" t="s">
        <v>339</v>
      </c>
      <c r="E2836" s="7" t="s">
        <v>116</v>
      </c>
      <c r="F2836" s="7" t="s">
        <v>101</v>
      </c>
      <c r="G2836" s="7" t="s">
        <v>117</v>
      </c>
      <c r="H2836" s="7" t="n">
        <v>3</v>
      </c>
      <c r="I2836" s="11" t="n">
        <v>140</v>
      </c>
      <c r="J2836" s="11" t="n">
        <v>75</v>
      </c>
      <c r="K2836" s="11" t="n">
        <f aca="false">H2836*I2836-J2836</f>
        <v>345</v>
      </c>
      <c r="L2836" s="7" t="s">
        <v>88</v>
      </c>
      <c r="M2836" s="7" t="s">
        <v>194</v>
      </c>
      <c r="N2836" s="7" t="n">
        <v>39</v>
      </c>
      <c r="O2836" s="7" t="n">
        <v>4</v>
      </c>
    </row>
    <row r="2837" customFormat="false" ht="15" hidden="false" customHeight="false" outlineLevel="0" collapsed="false">
      <c r="A2837" s="7" t="s">
        <v>4122</v>
      </c>
      <c r="B2837" s="10" t="n">
        <v>46011</v>
      </c>
      <c r="C2837" s="7" t="s">
        <v>3268</v>
      </c>
      <c r="D2837" s="7" t="s">
        <v>4123</v>
      </c>
      <c r="E2837" s="7" t="s">
        <v>113</v>
      </c>
      <c r="F2837" s="7" t="s">
        <v>101</v>
      </c>
      <c r="G2837" s="7" t="s">
        <v>90</v>
      </c>
      <c r="H2837" s="7" t="n">
        <v>1</v>
      </c>
      <c r="I2837" s="11" t="n">
        <v>260</v>
      </c>
      <c r="J2837" s="11" t="n">
        <v>104</v>
      </c>
      <c r="K2837" s="11" t="n">
        <f aca="false">H2837*I2837-J2837</f>
        <v>156</v>
      </c>
      <c r="L2837" s="7" t="s">
        <v>121</v>
      </c>
      <c r="M2837" s="7" t="s">
        <v>194</v>
      </c>
      <c r="N2837" s="7" t="n">
        <v>48</v>
      </c>
      <c r="O2837" s="7" t="n">
        <v>4</v>
      </c>
    </row>
    <row r="2838" customFormat="false" ht="15" hidden="false" customHeight="false" outlineLevel="0" collapsed="false">
      <c r="A2838" s="7" t="s">
        <v>2096</v>
      </c>
      <c r="B2838" s="10" t="n">
        <v>46012</v>
      </c>
      <c r="C2838" s="7" t="s">
        <v>2098</v>
      </c>
      <c r="D2838" s="7" t="s">
        <v>1810</v>
      </c>
      <c r="E2838" s="7" t="s">
        <v>98</v>
      </c>
      <c r="F2838" s="7" t="s">
        <v>86</v>
      </c>
      <c r="G2838" s="7" t="s">
        <v>99</v>
      </c>
      <c r="H2838" s="7" t="n">
        <v>3</v>
      </c>
      <c r="I2838" s="11" t="n">
        <v>300</v>
      </c>
      <c r="J2838" s="11" t="n">
        <v>0</v>
      </c>
      <c r="K2838" s="11" t="n">
        <f aca="false">H2838*I2838-J2838</f>
        <v>900</v>
      </c>
      <c r="L2838" s="7" t="s">
        <v>88</v>
      </c>
      <c r="M2838" s="7" t="s">
        <v>194</v>
      </c>
      <c r="N2838" s="7" t="n">
        <v>33</v>
      </c>
      <c r="O2838" s="7" t="n">
        <v>5</v>
      </c>
    </row>
    <row r="2839" customFormat="false" ht="15" hidden="false" customHeight="false" outlineLevel="0" collapsed="false">
      <c r="A2839" s="7" t="s">
        <v>597</v>
      </c>
      <c r="B2839" s="10" t="n">
        <v>46012</v>
      </c>
      <c r="C2839" s="7" t="s">
        <v>323</v>
      </c>
      <c r="D2839" s="7" t="s">
        <v>599</v>
      </c>
      <c r="E2839" s="7" t="s">
        <v>122</v>
      </c>
      <c r="F2839" s="7" t="s">
        <v>101</v>
      </c>
      <c r="G2839" s="7" t="s">
        <v>123</v>
      </c>
      <c r="H2839" s="7" t="n">
        <v>3</v>
      </c>
      <c r="I2839" s="11" t="n">
        <v>355</v>
      </c>
      <c r="J2839" s="11" t="n">
        <v>100</v>
      </c>
      <c r="K2839" s="11" t="n">
        <f aca="false">H2839*I2839-J2839</f>
        <v>965</v>
      </c>
      <c r="L2839" s="7" t="s">
        <v>88</v>
      </c>
      <c r="M2839" s="7" t="s">
        <v>194</v>
      </c>
      <c r="N2839" s="7" t="n">
        <v>38</v>
      </c>
      <c r="O2839" s="7"/>
    </row>
    <row r="2840" customFormat="false" ht="15" hidden="false" customHeight="false" outlineLevel="0" collapsed="false">
      <c r="A2840" s="7" t="s">
        <v>2808</v>
      </c>
      <c r="B2840" s="10" t="n">
        <v>46012</v>
      </c>
      <c r="C2840" s="7" t="s">
        <v>1140</v>
      </c>
      <c r="D2840" s="7" t="s">
        <v>2452</v>
      </c>
      <c r="E2840" s="7" t="s">
        <v>149</v>
      </c>
      <c r="F2840" s="7" t="s">
        <v>119</v>
      </c>
      <c r="G2840" s="7" t="s">
        <v>150</v>
      </c>
      <c r="H2840" s="7" t="n">
        <v>1</v>
      </c>
      <c r="I2840" s="11" t="n">
        <v>140</v>
      </c>
      <c r="J2840" s="11" t="n">
        <v>0</v>
      </c>
      <c r="K2840" s="11" t="n">
        <f aca="false">H2840*I2840-J2840</f>
        <v>140</v>
      </c>
      <c r="L2840" s="7" t="s">
        <v>88</v>
      </c>
      <c r="M2840" s="7" t="s">
        <v>194</v>
      </c>
      <c r="N2840" s="7" t="n">
        <v>32</v>
      </c>
      <c r="O2840" s="7" t="n">
        <v>4</v>
      </c>
    </row>
    <row r="2841" customFormat="false" ht="15" hidden="false" customHeight="false" outlineLevel="0" collapsed="false">
      <c r="A2841" s="7" t="s">
        <v>691</v>
      </c>
      <c r="B2841" s="10" t="n">
        <v>46012</v>
      </c>
      <c r="C2841" s="7" t="s">
        <v>693</v>
      </c>
      <c r="D2841" s="7" t="s">
        <v>694</v>
      </c>
      <c r="E2841" s="7" t="s">
        <v>104</v>
      </c>
      <c r="F2841" s="7" t="s">
        <v>86</v>
      </c>
      <c r="G2841" s="7" t="s">
        <v>105</v>
      </c>
      <c r="H2841" s="7" t="n">
        <v>1</v>
      </c>
      <c r="I2841" s="11" t="n">
        <v>220</v>
      </c>
      <c r="J2841" s="11" t="n">
        <v>0</v>
      </c>
      <c r="K2841" s="11" t="n">
        <f aca="false">H2841*I2841-J2841</f>
        <v>220</v>
      </c>
      <c r="L2841" s="7" t="s">
        <v>112</v>
      </c>
      <c r="M2841" s="7" t="s">
        <v>194</v>
      </c>
      <c r="N2841" s="7" t="n">
        <v>35</v>
      </c>
      <c r="O2841" s="7" t="n">
        <v>4</v>
      </c>
    </row>
    <row r="2842" customFormat="false" ht="15" hidden="false" customHeight="false" outlineLevel="0" collapsed="false">
      <c r="A2842" s="7" t="s">
        <v>5199</v>
      </c>
      <c r="B2842" s="10" t="n">
        <v>46012</v>
      </c>
      <c r="C2842" s="7" t="s">
        <v>1795</v>
      </c>
      <c r="D2842" s="7" t="s">
        <v>5200</v>
      </c>
      <c r="E2842" s="7" t="s">
        <v>94</v>
      </c>
      <c r="F2842" s="7" t="s">
        <v>86</v>
      </c>
      <c r="G2842" s="7" t="s">
        <v>95</v>
      </c>
      <c r="H2842" s="7" t="n">
        <v>1</v>
      </c>
      <c r="I2842" s="11" t="n">
        <v>115</v>
      </c>
      <c r="J2842" s="11" t="n">
        <v>40</v>
      </c>
      <c r="K2842" s="11" t="n">
        <f aca="false">H2842*I2842-J2842</f>
        <v>75</v>
      </c>
      <c r="L2842" s="7" t="s">
        <v>88</v>
      </c>
      <c r="M2842" s="7" t="s">
        <v>194</v>
      </c>
      <c r="N2842" s="7" t="n">
        <v>40</v>
      </c>
      <c r="O2842" s="7" t="n">
        <v>4</v>
      </c>
    </row>
    <row r="2843" customFormat="false" ht="15" hidden="false" customHeight="false" outlineLevel="0" collapsed="false">
      <c r="A2843" s="7" t="s">
        <v>3773</v>
      </c>
      <c r="B2843" s="10" t="n">
        <v>46012</v>
      </c>
      <c r="C2843" s="7" t="s">
        <v>3774</v>
      </c>
      <c r="D2843" s="7" t="s">
        <v>2483</v>
      </c>
      <c r="E2843" s="7" t="s">
        <v>126</v>
      </c>
      <c r="F2843" s="7" t="s">
        <v>101</v>
      </c>
      <c r="G2843" s="7" t="s">
        <v>105</v>
      </c>
      <c r="H2843" s="7" t="n">
        <v>2</v>
      </c>
      <c r="I2843" s="11" t="n">
        <v>205</v>
      </c>
      <c r="J2843" s="11" t="n">
        <v>0</v>
      </c>
      <c r="K2843" s="11" t="n">
        <f aca="false">H2843*I2843-J2843</f>
        <v>410</v>
      </c>
      <c r="L2843" s="7" t="s">
        <v>121</v>
      </c>
      <c r="M2843" s="7" t="s">
        <v>194</v>
      </c>
      <c r="N2843" s="7" t="n">
        <v>38</v>
      </c>
      <c r="O2843" s="7" t="n">
        <v>5</v>
      </c>
    </row>
    <row r="2844" customFormat="false" ht="15" hidden="false" customHeight="false" outlineLevel="0" collapsed="false">
      <c r="A2844" s="7" t="s">
        <v>5459</v>
      </c>
      <c r="B2844" s="10" t="n">
        <v>46012</v>
      </c>
      <c r="C2844" s="7" t="s">
        <v>3491</v>
      </c>
      <c r="D2844" s="7" t="s">
        <v>5460</v>
      </c>
      <c r="E2844" s="7" t="s">
        <v>104</v>
      </c>
      <c r="F2844" s="7" t="s">
        <v>86</v>
      </c>
      <c r="G2844" s="7" t="s">
        <v>105</v>
      </c>
      <c r="H2844" s="7" t="n">
        <v>1</v>
      </c>
      <c r="I2844" s="11" t="n">
        <v>230</v>
      </c>
      <c r="J2844" s="11" t="n">
        <v>92</v>
      </c>
      <c r="K2844" s="11" t="n">
        <f aca="false">H2844*I2844-J2844</f>
        <v>138</v>
      </c>
      <c r="L2844" s="7" t="s">
        <v>88</v>
      </c>
      <c r="M2844" s="7" t="s">
        <v>194</v>
      </c>
      <c r="N2844" s="7" t="n">
        <v>33</v>
      </c>
      <c r="O2844" s="7" t="n">
        <v>4</v>
      </c>
    </row>
    <row r="2845" customFormat="false" ht="15" hidden="false" customHeight="false" outlineLevel="0" collapsed="false">
      <c r="A2845" s="7" t="s">
        <v>5176</v>
      </c>
      <c r="B2845" s="10" t="n">
        <v>46012</v>
      </c>
      <c r="C2845" s="7" t="s">
        <v>5177</v>
      </c>
      <c r="D2845" s="7" t="s">
        <v>5178</v>
      </c>
      <c r="E2845" s="7" t="s">
        <v>147</v>
      </c>
      <c r="F2845" s="7" t="s">
        <v>119</v>
      </c>
      <c r="G2845" s="7" t="s">
        <v>95</v>
      </c>
      <c r="H2845" s="7" t="n">
        <v>2</v>
      </c>
      <c r="I2845" s="11" t="n">
        <v>105</v>
      </c>
      <c r="J2845" s="11" t="n">
        <v>0</v>
      </c>
      <c r="K2845" s="11" t="n">
        <f aca="false">H2845*I2845-J2845</f>
        <v>210</v>
      </c>
      <c r="L2845" s="7" t="s">
        <v>88</v>
      </c>
      <c r="M2845" s="7" t="s">
        <v>194</v>
      </c>
      <c r="N2845" s="7" t="n">
        <v>32</v>
      </c>
      <c r="O2845" s="7" t="n">
        <v>3</v>
      </c>
    </row>
    <row r="2846" customFormat="false" ht="15" hidden="false" customHeight="false" outlineLevel="0" collapsed="false">
      <c r="A2846" s="7" t="s">
        <v>4534</v>
      </c>
      <c r="B2846" s="10" t="n">
        <v>46012</v>
      </c>
      <c r="C2846" s="7" t="s">
        <v>2939</v>
      </c>
      <c r="D2846" s="7" t="s">
        <v>4535</v>
      </c>
      <c r="E2846" s="7" t="s">
        <v>149</v>
      </c>
      <c r="F2846" s="7" t="s">
        <v>119</v>
      </c>
      <c r="G2846" s="7" t="s">
        <v>150</v>
      </c>
      <c r="H2846" s="7" t="n">
        <v>1</v>
      </c>
      <c r="I2846" s="11" t="n">
        <v>165</v>
      </c>
      <c r="J2846" s="11" t="n">
        <v>0</v>
      </c>
      <c r="K2846" s="11" t="n">
        <f aca="false">H2846*I2846-J2846</f>
        <v>165</v>
      </c>
      <c r="L2846" s="7" t="s">
        <v>103</v>
      </c>
      <c r="M2846" s="7" t="s">
        <v>194</v>
      </c>
      <c r="N2846" s="7" t="n">
        <v>31</v>
      </c>
      <c r="O2846" s="7" t="n">
        <v>1</v>
      </c>
    </row>
    <row r="2847" customFormat="false" ht="15" hidden="false" customHeight="false" outlineLevel="0" collapsed="false">
      <c r="A2847" s="7" t="s">
        <v>2804</v>
      </c>
      <c r="B2847" s="10" t="n">
        <v>46012</v>
      </c>
      <c r="C2847" s="7" t="s">
        <v>1624</v>
      </c>
      <c r="D2847" s="7" t="s">
        <v>2805</v>
      </c>
      <c r="E2847" s="7" t="s">
        <v>152</v>
      </c>
      <c r="F2847" s="7" t="s">
        <v>128</v>
      </c>
      <c r="G2847" s="7" t="s">
        <v>95</v>
      </c>
      <c r="H2847" s="7" t="n">
        <v>3</v>
      </c>
      <c r="I2847" s="11" t="n">
        <v>85</v>
      </c>
      <c r="J2847" s="11" t="n">
        <v>100</v>
      </c>
      <c r="K2847" s="11" t="n">
        <f aca="false">H2847*I2847-J2847</f>
        <v>155</v>
      </c>
      <c r="L2847" s="7" t="s">
        <v>88</v>
      </c>
      <c r="M2847" s="7" t="s">
        <v>194</v>
      </c>
      <c r="N2847" s="7" t="n">
        <v>28</v>
      </c>
      <c r="O2847" s="7" t="n">
        <v>4</v>
      </c>
    </row>
    <row r="2848" customFormat="false" ht="15" hidden="false" customHeight="false" outlineLevel="0" collapsed="false">
      <c r="A2848" s="7" t="s">
        <v>4420</v>
      </c>
      <c r="B2848" s="10" t="n">
        <v>46012</v>
      </c>
      <c r="C2848" s="7" t="s">
        <v>1788</v>
      </c>
      <c r="D2848" s="7" t="s">
        <v>603</v>
      </c>
      <c r="E2848" s="7" t="s">
        <v>161</v>
      </c>
      <c r="F2848" s="7" t="s">
        <v>141</v>
      </c>
      <c r="G2848" s="7" t="s">
        <v>117</v>
      </c>
      <c r="H2848" s="7" t="n">
        <v>1</v>
      </c>
      <c r="I2848" s="11" t="n">
        <v>120</v>
      </c>
      <c r="J2848" s="11" t="n">
        <v>0</v>
      </c>
      <c r="K2848" s="11" t="n">
        <f aca="false">H2848*I2848-J2848</f>
        <v>120</v>
      </c>
      <c r="L2848" s="7" t="s">
        <v>93</v>
      </c>
      <c r="M2848" s="7" t="s">
        <v>194</v>
      </c>
      <c r="N2848" s="7" t="n">
        <v>39</v>
      </c>
      <c r="O2848" s="7" t="n">
        <v>4</v>
      </c>
    </row>
    <row r="2849" customFormat="false" ht="15" hidden="false" customHeight="false" outlineLevel="0" collapsed="false">
      <c r="A2849" s="7" t="s">
        <v>3945</v>
      </c>
      <c r="B2849" s="10" t="n">
        <v>46012</v>
      </c>
      <c r="C2849" s="7" t="s">
        <v>3946</v>
      </c>
      <c r="D2849" s="7" t="s">
        <v>2630</v>
      </c>
      <c r="E2849" s="7" t="s">
        <v>164</v>
      </c>
      <c r="F2849" s="7" t="s">
        <v>141</v>
      </c>
      <c r="G2849" s="7" t="s">
        <v>150</v>
      </c>
      <c r="H2849" s="7" t="n">
        <v>1</v>
      </c>
      <c r="I2849" s="11" t="n">
        <v>125</v>
      </c>
      <c r="J2849" s="11" t="n">
        <v>50</v>
      </c>
      <c r="K2849" s="11" t="n">
        <f aca="false">H2849*I2849-J2849</f>
        <v>75</v>
      </c>
      <c r="L2849" s="7" t="s">
        <v>103</v>
      </c>
      <c r="M2849" s="7" t="s">
        <v>194</v>
      </c>
      <c r="N2849" s="7" t="n">
        <v>36</v>
      </c>
      <c r="O2849" s="7" t="n">
        <v>4</v>
      </c>
    </row>
    <row r="2850" customFormat="false" ht="15" hidden="false" customHeight="false" outlineLevel="0" collapsed="false">
      <c r="A2850" s="7" t="s">
        <v>3863</v>
      </c>
      <c r="B2850" s="10" t="n">
        <v>46012</v>
      </c>
      <c r="C2850" s="7" t="s">
        <v>3864</v>
      </c>
      <c r="D2850" s="7" t="s">
        <v>607</v>
      </c>
      <c r="E2850" s="7" t="s">
        <v>138</v>
      </c>
      <c r="F2850" s="7" t="s">
        <v>110</v>
      </c>
      <c r="G2850" s="7" t="s">
        <v>139</v>
      </c>
      <c r="H2850" s="7" t="n">
        <v>1</v>
      </c>
      <c r="I2850" s="11" t="n">
        <v>180</v>
      </c>
      <c r="J2850" s="11" t="n">
        <v>0</v>
      </c>
      <c r="K2850" s="11" t="n">
        <f aca="false">H2850*I2850-J2850</f>
        <v>180</v>
      </c>
      <c r="L2850" s="7" t="s">
        <v>88</v>
      </c>
      <c r="M2850" s="7" t="s">
        <v>194</v>
      </c>
      <c r="N2850" s="7" t="n">
        <v>40</v>
      </c>
      <c r="O2850" s="7" t="n">
        <v>4</v>
      </c>
    </row>
    <row r="2851" customFormat="false" ht="15" hidden="false" customHeight="false" outlineLevel="0" collapsed="false">
      <c r="A2851" s="7" t="s">
        <v>2196</v>
      </c>
      <c r="B2851" s="10" t="n">
        <v>46013</v>
      </c>
      <c r="C2851" s="7" t="s">
        <v>2197</v>
      </c>
      <c r="D2851" s="7" t="s">
        <v>2198</v>
      </c>
      <c r="E2851" s="7" t="s">
        <v>154</v>
      </c>
      <c r="F2851" s="7" t="s">
        <v>128</v>
      </c>
      <c r="G2851" s="7" t="s">
        <v>99</v>
      </c>
      <c r="H2851" s="7" t="n">
        <v>3</v>
      </c>
      <c r="I2851" s="11" t="n">
        <v>250</v>
      </c>
      <c r="J2851" s="11" t="n">
        <v>100</v>
      </c>
      <c r="K2851" s="11" t="n">
        <f aca="false">H2851*I2851-J2851</f>
        <v>650</v>
      </c>
      <c r="L2851" s="7" t="s">
        <v>93</v>
      </c>
      <c r="M2851" s="7" t="s">
        <v>194</v>
      </c>
      <c r="N2851" s="7" t="n">
        <v>47</v>
      </c>
      <c r="O2851" s="7" t="n">
        <v>5</v>
      </c>
    </row>
    <row r="2852" customFormat="false" ht="15" hidden="false" customHeight="false" outlineLevel="0" collapsed="false">
      <c r="A2852" s="7" t="s">
        <v>5086</v>
      </c>
      <c r="B2852" s="10" t="n">
        <v>46013</v>
      </c>
      <c r="C2852" s="7" t="s">
        <v>2317</v>
      </c>
      <c r="D2852" s="7" t="s">
        <v>4384</v>
      </c>
      <c r="E2852" s="7" t="s">
        <v>116</v>
      </c>
      <c r="F2852" s="7" t="s">
        <v>101</v>
      </c>
      <c r="G2852" s="7" t="s">
        <v>117</v>
      </c>
      <c r="H2852" s="7" t="n">
        <v>3</v>
      </c>
      <c r="I2852" s="11" t="n">
        <v>145</v>
      </c>
      <c r="J2852" s="11" t="n">
        <v>0</v>
      </c>
      <c r="K2852" s="11" t="n">
        <f aca="false">H2852*I2852-J2852</f>
        <v>435</v>
      </c>
      <c r="L2852" s="7" t="s">
        <v>88</v>
      </c>
      <c r="M2852" s="7" t="s">
        <v>194</v>
      </c>
      <c r="N2852" s="7" t="n">
        <v>41</v>
      </c>
      <c r="O2852" s="7" t="n">
        <v>4</v>
      </c>
    </row>
    <row r="2853" customFormat="false" ht="15" hidden="false" customHeight="false" outlineLevel="0" collapsed="false">
      <c r="A2853" s="7" t="s">
        <v>2523</v>
      </c>
      <c r="B2853" s="10" t="n">
        <v>46013</v>
      </c>
      <c r="C2853" s="7" t="s">
        <v>2524</v>
      </c>
      <c r="D2853" s="7" t="s">
        <v>2525</v>
      </c>
      <c r="E2853" s="7" t="s">
        <v>138</v>
      </c>
      <c r="F2853" s="7" t="s">
        <v>110</v>
      </c>
      <c r="G2853" s="7" t="s">
        <v>139</v>
      </c>
      <c r="H2853" s="7" t="n">
        <v>3</v>
      </c>
      <c r="I2853" s="11" t="n">
        <v>195</v>
      </c>
      <c r="J2853" s="11" t="n">
        <v>50</v>
      </c>
      <c r="K2853" s="11" t="n">
        <f aca="false">H2853*I2853-J2853</f>
        <v>535</v>
      </c>
      <c r="L2853" s="7" t="s">
        <v>88</v>
      </c>
      <c r="M2853" s="7" t="s">
        <v>194</v>
      </c>
      <c r="N2853" s="7" t="n">
        <v>32</v>
      </c>
      <c r="O2853" s="7" t="n">
        <v>4</v>
      </c>
    </row>
    <row r="2854" customFormat="false" ht="15" hidden="false" customHeight="false" outlineLevel="0" collapsed="false">
      <c r="A2854" s="7" t="s">
        <v>5105</v>
      </c>
      <c r="B2854" s="10" t="n">
        <v>46013</v>
      </c>
      <c r="C2854" s="7" t="s">
        <v>327</v>
      </c>
      <c r="D2854" s="7" t="s">
        <v>3484</v>
      </c>
      <c r="E2854" s="7" t="s">
        <v>149</v>
      </c>
      <c r="F2854" s="7" t="s">
        <v>119</v>
      </c>
      <c r="G2854" s="7" t="s">
        <v>150</v>
      </c>
      <c r="H2854" s="7" t="n">
        <v>3</v>
      </c>
      <c r="I2854" s="11" t="n">
        <v>175</v>
      </c>
      <c r="J2854" s="11" t="n">
        <v>0</v>
      </c>
      <c r="K2854" s="11" t="n">
        <f aca="false">H2854*I2854-J2854</f>
        <v>525</v>
      </c>
      <c r="L2854" s="7" t="s">
        <v>103</v>
      </c>
      <c r="M2854" s="7" t="s">
        <v>194</v>
      </c>
      <c r="N2854" s="7" t="n">
        <v>29</v>
      </c>
      <c r="O2854" s="7" t="n">
        <v>4</v>
      </c>
    </row>
    <row r="2855" customFormat="false" ht="15" hidden="false" customHeight="false" outlineLevel="0" collapsed="false">
      <c r="A2855" s="7" t="s">
        <v>3697</v>
      </c>
      <c r="B2855" s="10" t="n">
        <v>46013</v>
      </c>
      <c r="C2855" s="7" t="s">
        <v>856</v>
      </c>
      <c r="D2855" s="7" t="s">
        <v>936</v>
      </c>
      <c r="E2855" s="7" t="s">
        <v>94</v>
      </c>
      <c r="F2855" s="7" t="s">
        <v>86</v>
      </c>
      <c r="G2855" s="7" t="s">
        <v>95</v>
      </c>
      <c r="H2855" s="7" t="n">
        <v>3</v>
      </c>
      <c r="I2855" s="11" t="n">
        <v>95</v>
      </c>
      <c r="J2855" s="11" t="n">
        <v>40</v>
      </c>
      <c r="K2855" s="11" t="n">
        <f aca="false">H2855*I2855-J2855</f>
        <v>245</v>
      </c>
      <c r="L2855" s="7" t="s">
        <v>88</v>
      </c>
      <c r="M2855" s="7" t="s">
        <v>194</v>
      </c>
      <c r="N2855" s="7" t="n">
        <v>46</v>
      </c>
      <c r="O2855" s="7" t="n">
        <v>4</v>
      </c>
    </row>
    <row r="2856" customFormat="false" ht="15" hidden="false" customHeight="false" outlineLevel="0" collapsed="false">
      <c r="A2856" s="7" t="s">
        <v>3733</v>
      </c>
      <c r="B2856" s="10" t="n">
        <v>46013</v>
      </c>
      <c r="C2856" s="7" t="s">
        <v>893</v>
      </c>
      <c r="D2856" s="7" t="s">
        <v>1508</v>
      </c>
      <c r="E2856" s="7" t="s">
        <v>158</v>
      </c>
      <c r="F2856" s="7" t="s">
        <v>136</v>
      </c>
      <c r="G2856" s="7" t="s">
        <v>139</v>
      </c>
      <c r="H2856" s="7" t="n">
        <v>2</v>
      </c>
      <c r="I2856" s="11" t="n">
        <v>215</v>
      </c>
      <c r="J2856" s="11" t="n">
        <v>150</v>
      </c>
      <c r="K2856" s="11" t="n">
        <f aca="false">H2856*I2856-J2856</f>
        <v>280</v>
      </c>
      <c r="L2856" s="7" t="s">
        <v>93</v>
      </c>
      <c r="M2856" s="7" t="s">
        <v>194</v>
      </c>
      <c r="N2856" s="7" t="n">
        <v>34</v>
      </c>
      <c r="O2856" s="7" t="n">
        <v>2</v>
      </c>
    </row>
    <row r="2857" customFormat="false" ht="15" hidden="false" customHeight="false" outlineLevel="0" collapsed="false">
      <c r="A2857" s="7" t="s">
        <v>3257</v>
      </c>
      <c r="B2857" s="10" t="n">
        <v>46013</v>
      </c>
      <c r="C2857" s="7" t="s">
        <v>3023</v>
      </c>
      <c r="D2857" s="7" t="s">
        <v>3148</v>
      </c>
      <c r="E2857" s="7" t="s">
        <v>142</v>
      </c>
      <c r="F2857" s="7" t="s">
        <v>110</v>
      </c>
      <c r="G2857" s="7" t="s">
        <v>105</v>
      </c>
      <c r="H2857" s="7" t="n">
        <v>1</v>
      </c>
      <c r="I2857" s="11" t="n">
        <v>165</v>
      </c>
      <c r="J2857" s="11" t="n">
        <v>66</v>
      </c>
      <c r="K2857" s="11" t="n">
        <f aca="false">H2857*I2857-J2857</f>
        <v>99</v>
      </c>
      <c r="L2857" s="7" t="s">
        <v>88</v>
      </c>
      <c r="M2857" s="7" t="s">
        <v>194</v>
      </c>
      <c r="N2857" s="7" t="n">
        <v>44</v>
      </c>
      <c r="O2857" s="7" t="n">
        <v>4</v>
      </c>
    </row>
    <row r="2858" customFormat="false" ht="15" hidden="false" customHeight="false" outlineLevel="0" collapsed="false">
      <c r="A2858" s="7" t="s">
        <v>942</v>
      </c>
      <c r="B2858" s="10" t="n">
        <v>46013</v>
      </c>
      <c r="C2858" s="7" t="s">
        <v>944</v>
      </c>
      <c r="D2858" s="7" t="s">
        <v>945</v>
      </c>
      <c r="E2858" s="7" t="s">
        <v>116</v>
      </c>
      <c r="F2858" s="7" t="s">
        <v>101</v>
      </c>
      <c r="G2858" s="7" t="s">
        <v>117</v>
      </c>
      <c r="H2858" s="7" t="n">
        <v>1</v>
      </c>
      <c r="I2858" s="11" t="n">
        <v>140</v>
      </c>
      <c r="J2858" s="11" t="n">
        <v>0</v>
      </c>
      <c r="K2858" s="11" t="n">
        <f aca="false">H2858*I2858-J2858</f>
        <v>140</v>
      </c>
      <c r="L2858" s="7" t="s">
        <v>93</v>
      </c>
      <c r="M2858" s="7" t="s">
        <v>194</v>
      </c>
      <c r="N2858" s="7" t="n">
        <v>41</v>
      </c>
      <c r="O2858" s="7" t="n">
        <v>5</v>
      </c>
    </row>
    <row r="2859" customFormat="false" ht="15" hidden="false" customHeight="false" outlineLevel="0" collapsed="false">
      <c r="A2859" s="7" t="s">
        <v>422</v>
      </c>
      <c r="B2859" s="10" t="n">
        <v>46014</v>
      </c>
      <c r="C2859" s="7" t="s">
        <v>424</v>
      </c>
      <c r="D2859" s="7" t="s">
        <v>425</v>
      </c>
      <c r="E2859" s="7" t="s">
        <v>155</v>
      </c>
      <c r="F2859" s="7" t="s">
        <v>128</v>
      </c>
      <c r="G2859" s="7" t="s">
        <v>156</v>
      </c>
      <c r="H2859" s="7" t="n">
        <v>1</v>
      </c>
      <c r="I2859" s="11" t="n">
        <v>250</v>
      </c>
      <c r="J2859" s="11" t="n">
        <v>0</v>
      </c>
      <c r="K2859" s="11" t="n">
        <f aca="false">H2859*I2859-J2859</f>
        <v>250</v>
      </c>
      <c r="L2859" s="7" t="s">
        <v>88</v>
      </c>
      <c r="M2859" s="7" t="s">
        <v>194</v>
      </c>
      <c r="N2859" s="7" t="n">
        <v>39</v>
      </c>
      <c r="O2859" s="7" t="n">
        <v>5</v>
      </c>
    </row>
    <row r="2860" customFormat="false" ht="15" hidden="false" customHeight="false" outlineLevel="0" collapsed="false">
      <c r="A2860" s="7" t="s">
        <v>874</v>
      </c>
      <c r="B2860" s="10" t="n">
        <v>46014</v>
      </c>
      <c r="C2860" s="7" t="s">
        <v>876</v>
      </c>
      <c r="D2860" s="7" t="s">
        <v>877</v>
      </c>
      <c r="E2860" s="7" t="s">
        <v>113</v>
      </c>
      <c r="F2860" s="7" t="s">
        <v>101</v>
      </c>
      <c r="G2860" s="7" t="s">
        <v>90</v>
      </c>
      <c r="H2860" s="7" t="n">
        <v>2</v>
      </c>
      <c r="I2860" s="11" t="n">
        <v>240</v>
      </c>
      <c r="J2860" s="11" t="n">
        <v>150</v>
      </c>
      <c r="K2860" s="11" t="n">
        <f aca="false">H2860*I2860-J2860</f>
        <v>330</v>
      </c>
      <c r="L2860" s="7" t="s">
        <v>112</v>
      </c>
      <c r="M2860" s="7" t="s">
        <v>194</v>
      </c>
      <c r="N2860" s="7" t="n">
        <v>42</v>
      </c>
      <c r="O2860" s="7" t="n">
        <v>5</v>
      </c>
    </row>
    <row r="2861" customFormat="false" ht="15" hidden="false" customHeight="false" outlineLevel="0" collapsed="false">
      <c r="A2861" s="7" t="s">
        <v>4186</v>
      </c>
      <c r="B2861" s="10" t="n">
        <v>46014</v>
      </c>
      <c r="C2861" s="7" t="s">
        <v>4187</v>
      </c>
      <c r="D2861" s="7" t="s">
        <v>392</v>
      </c>
      <c r="E2861" s="7" t="s">
        <v>160</v>
      </c>
      <c r="F2861" s="7" t="s">
        <v>136</v>
      </c>
      <c r="G2861" s="7" t="s">
        <v>150</v>
      </c>
      <c r="H2861" s="7" t="n">
        <v>1</v>
      </c>
      <c r="I2861" s="11" t="n">
        <v>230</v>
      </c>
      <c r="J2861" s="11" t="n">
        <v>40</v>
      </c>
      <c r="K2861" s="11" t="n">
        <f aca="false">H2861*I2861-J2861</f>
        <v>190</v>
      </c>
      <c r="L2861" s="7" t="s">
        <v>6170</v>
      </c>
      <c r="M2861" s="7" t="s">
        <v>194</v>
      </c>
      <c r="N2861" s="7" t="n">
        <v>22</v>
      </c>
      <c r="O2861" s="7" t="n">
        <v>3</v>
      </c>
    </row>
    <row r="2862" customFormat="false" ht="15" hidden="false" customHeight="false" outlineLevel="0" collapsed="false">
      <c r="A2862" s="7" t="s">
        <v>5123</v>
      </c>
      <c r="B2862" s="10" t="n">
        <v>46014</v>
      </c>
      <c r="C2862" s="7" t="s">
        <v>2869</v>
      </c>
      <c r="D2862" s="7" t="s">
        <v>5124</v>
      </c>
      <c r="E2862" s="7" t="s">
        <v>134</v>
      </c>
      <c r="F2862" s="7" t="s">
        <v>110</v>
      </c>
      <c r="G2862" s="7" t="s">
        <v>117</v>
      </c>
      <c r="H2862" s="7" t="n">
        <v>3</v>
      </c>
      <c r="I2862" s="11" t="n">
        <v>125</v>
      </c>
      <c r="J2862" s="11" t="n">
        <v>0</v>
      </c>
      <c r="K2862" s="11" t="n">
        <f aca="false">H2862*I2862-J2862</f>
        <v>375</v>
      </c>
      <c r="L2862" s="7" t="s">
        <v>112</v>
      </c>
      <c r="M2862" s="7" t="s">
        <v>238</v>
      </c>
      <c r="N2862" s="7"/>
      <c r="O2862" s="7"/>
    </row>
    <row r="2863" customFormat="false" ht="15" hidden="false" customHeight="false" outlineLevel="0" collapsed="false">
      <c r="A2863" s="7" t="s">
        <v>5510</v>
      </c>
      <c r="B2863" s="10" t="n">
        <v>46014</v>
      </c>
      <c r="C2863" s="7" t="s">
        <v>4080</v>
      </c>
      <c r="D2863" s="7" t="s">
        <v>1257</v>
      </c>
      <c r="E2863" s="7" t="s">
        <v>148</v>
      </c>
      <c r="F2863" s="7" t="s">
        <v>119</v>
      </c>
      <c r="G2863" s="7" t="s">
        <v>123</v>
      </c>
      <c r="H2863" s="7" t="n">
        <v>1</v>
      </c>
      <c r="I2863" s="11" t="n">
        <v>345</v>
      </c>
      <c r="J2863" s="11" t="n">
        <v>100</v>
      </c>
      <c r="K2863" s="11" t="n">
        <f aca="false">H2863*I2863-J2863</f>
        <v>245</v>
      </c>
      <c r="L2863" s="7" t="s">
        <v>88</v>
      </c>
      <c r="M2863" s="7" t="s">
        <v>194</v>
      </c>
      <c r="N2863" s="7" t="n">
        <v>27</v>
      </c>
      <c r="O2863" s="7" t="n">
        <v>5</v>
      </c>
    </row>
    <row r="2864" customFormat="false" ht="15" hidden="false" customHeight="false" outlineLevel="0" collapsed="false">
      <c r="A2864" s="7" t="s">
        <v>4160</v>
      </c>
      <c r="B2864" s="10" t="n">
        <v>46014</v>
      </c>
      <c r="C2864" s="7" t="s">
        <v>3952</v>
      </c>
      <c r="D2864" s="7" t="s">
        <v>2823</v>
      </c>
      <c r="E2864" s="7" t="s">
        <v>122</v>
      </c>
      <c r="F2864" s="7" t="s">
        <v>101</v>
      </c>
      <c r="G2864" s="7" t="s">
        <v>123</v>
      </c>
      <c r="H2864" s="7" t="n">
        <v>2</v>
      </c>
      <c r="I2864" s="11" t="n">
        <v>285</v>
      </c>
      <c r="J2864" s="11" t="n">
        <v>0</v>
      </c>
      <c r="K2864" s="11" t="n">
        <f aca="false">H2864*I2864-J2864</f>
        <v>570</v>
      </c>
      <c r="L2864" s="7" t="s">
        <v>88</v>
      </c>
      <c r="M2864" s="7" t="s">
        <v>194</v>
      </c>
      <c r="N2864" s="7" t="n">
        <v>36</v>
      </c>
      <c r="O2864" s="7" t="n">
        <v>4</v>
      </c>
    </row>
    <row r="2865" customFormat="false" ht="15" hidden="false" customHeight="false" outlineLevel="0" collapsed="false">
      <c r="A2865" s="7" t="s">
        <v>5072</v>
      </c>
      <c r="B2865" s="10" t="n">
        <v>46014</v>
      </c>
      <c r="C2865" s="7" t="s">
        <v>3289</v>
      </c>
      <c r="D2865" s="7" t="s">
        <v>3912</v>
      </c>
      <c r="E2865" s="7" t="s">
        <v>113</v>
      </c>
      <c r="F2865" s="7" t="s">
        <v>101</v>
      </c>
      <c r="G2865" s="7" t="s">
        <v>90</v>
      </c>
      <c r="H2865" s="7" t="n">
        <v>1</v>
      </c>
      <c r="I2865" s="11" t="n">
        <v>290</v>
      </c>
      <c r="J2865" s="11" t="n">
        <v>30</v>
      </c>
      <c r="K2865" s="11" t="n">
        <f aca="false">H2865*I2865-J2865</f>
        <v>260</v>
      </c>
      <c r="L2865" s="7" t="s">
        <v>88</v>
      </c>
      <c r="M2865" s="7" t="s">
        <v>194</v>
      </c>
      <c r="N2865" s="7" t="n">
        <v>44</v>
      </c>
      <c r="O2865" s="7" t="n">
        <v>4</v>
      </c>
    </row>
    <row r="2866" customFormat="false" ht="15" hidden="false" customHeight="false" outlineLevel="0" collapsed="false">
      <c r="A2866" s="7" t="s">
        <v>5566</v>
      </c>
      <c r="B2866" s="10" t="n">
        <v>46014</v>
      </c>
      <c r="C2866" s="7" t="s">
        <v>2080</v>
      </c>
      <c r="D2866" s="7" t="s">
        <v>5567</v>
      </c>
      <c r="E2866" s="7" t="s">
        <v>94</v>
      </c>
      <c r="F2866" s="7" t="s">
        <v>86</v>
      </c>
      <c r="G2866" s="7" t="s">
        <v>95</v>
      </c>
      <c r="H2866" s="7" t="n">
        <v>1</v>
      </c>
      <c r="I2866" s="11" t="n">
        <v>130</v>
      </c>
      <c r="J2866" s="11" t="n">
        <v>0</v>
      </c>
      <c r="K2866" s="11" t="n">
        <f aca="false">H2866*I2866-J2866</f>
        <v>130</v>
      </c>
      <c r="L2866" s="7" t="s">
        <v>103</v>
      </c>
      <c r="M2866" s="7" t="s">
        <v>194</v>
      </c>
      <c r="N2866" s="7" t="n">
        <v>39</v>
      </c>
      <c r="O2866" s="7" t="n">
        <v>4</v>
      </c>
    </row>
    <row r="2867" customFormat="false" ht="15" hidden="false" customHeight="false" outlineLevel="0" collapsed="false">
      <c r="A2867" s="7" t="s">
        <v>4392</v>
      </c>
      <c r="B2867" s="10" t="n">
        <v>46014</v>
      </c>
      <c r="C2867" s="7" t="s">
        <v>1288</v>
      </c>
      <c r="D2867" s="7" t="s">
        <v>4380</v>
      </c>
      <c r="E2867" s="7" t="s">
        <v>113</v>
      </c>
      <c r="F2867" s="7" t="s">
        <v>101</v>
      </c>
      <c r="G2867" s="7" t="s">
        <v>90</v>
      </c>
      <c r="H2867" s="7" t="n">
        <v>1</v>
      </c>
      <c r="I2867" s="11" t="n">
        <v>255</v>
      </c>
      <c r="J2867" s="11" t="n">
        <v>0</v>
      </c>
      <c r="K2867" s="11" t="n">
        <f aca="false">H2867*I2867-J2867</f>
        <v>255</v>
      </c>
      <c r="L2867" s="7" t="s">
        <v>88</v>
      </c>
      <c r="M2867" s="7" t="s">
        <v>194</v>
      </c>
      <c r="N2867" s="7" t="n">
        <v>37</v>
      </c>
      <c r="O2867" s="7" t="n">
        <v>1</v>
      </c>
    </row>
    <row r="2868" customFormat="false" ht="15" hidden="false" customHeight="false" outlineLevel="0" collapsed="false">
      <c r="A2868" s="7" t="s">
        <v>2734</v>
      </c>
      <c r="B2868" s="10" t="n">
        <v>46014</v>
      </c>
      <c r="C2868" s="7" t="s">
        <v>197</v>
      </c>
      <c r="D2868" s="7" t="s">
        <v>2735</v>
      </c>
      <c r="E2868" s="7" t="s">
        <v>89</v>
      </c>
      <c r="F2868" s="7" t="s">
        <v>86</v>
      </c>
      <c r="G2868" s="7" t="s">
        <v>90</v>
      </c>
      <c r="H2868" s="7" t="n">
        <v>2</v>
      </c>
      <c r="I2868" s="11" t="n">
        <v>255</v>
      </c>
      <c r="J2868" s="11" t="n">
        <v>0</v>
      </c>
      <c r="K2868" s="11" t="n">
        <f aca="false">H2868*I2868-J2868</f>
        <v>510</v>
      </c>
      <c r="L2868" s="7" t="s">
        <v>88</v>
      </c>
      <c r="M2868" s="7" t="s">
        <v>194</v>
      </c>
      <c r="N2868" s="7" t="n">
        <v>61</v>
      </c>
      <c r="O2868" s="7" t="n">
        <v>2</v>
      </c>
    </row>
    <row r="2869" customFormat="false" ht="15" hidden="false" customHeight="false" outlineLevel="0" collapsed="false">
      <c r="A2869" s="7" t="s">
        <v>5648</v>
      </c>
      <c r="B2869" s="10" t="n">
        <v>46015</v>
      </c>
      <c r="C2869" s="7" t="s">
        <v>2355</v>
      </c>
      <c r="D2869" s="7" t="s">
        <v>4128</v>
      </c>
      <c r="E2869" s="7" t="s">
        <v>126</v>
      </c>
      <c r="F2869" s="7" t="s">
        <v>101</v>
      </c>
      <c r="G2869" s="7" t="s">
        <v>105</v>
      </c>
      <c r="H2869" s="7" t="n">
        <v>2</v>
      </c>
      <c r="I2869" s="11" t="n">
        <v>235</v>
      </c>
      <c r="J2869" s="11" t="n">
        <v>0</v>
      </c>
      <c r="K2869" s="11" t="n">
        <f aca="false">H2869*I2869-J2869</f>
        <v>470</v>
      </c>
      <c r="L2869" s="7" t="s">
        <v>93</v>
      </c>
      <c r="M2869" s="7" t="s">
        <v>194</v>
      </c>
      <c r="N2869" s="7" t="n">
        <v>26</v>
      </c>
      <c r="O2869" s="7" t="n">
        <v>3</v>
      </c>
    </row>
    <row r="2870" customFormat="false" ht="15" hidden="false" customHeight="false" outlineLevel="0" collapsed="false">
      <c r="A2870" s="7" t="s">
        <v>3461</v>
      </c>
      <c r="B2870" s="10" t="n">
        <v>46015</v>
      </c>
      <c r="C2870" s="7" t="s">
        <v>846</v>
      </c>
      <c r="D2870" s="7" t="s">
        <v>2399</v>
      </c>
      <c r="E2870" s="7" t="s">
        <v>148</v>
      </c>
      <c r="F2870" s="7" t="s">
        <v>119</v>
      </c>
      <c r="G2870" s="7" t="s">
        <v>123</v>
      </c>
      <c r="H2870" s="7" t="n">
        <v>2</v>
      </c>
      <c r="I2870" s="11" t="n">
        <v>415</v>
      </c>
      <c r="J2870" s="11" t="n">
        <v>40</v>
      </c>
      <c r="K2870" s="11" t="n">
        <f aca="false">H2870*I2870-J2870</f>
        <v>790</v>
      </c>
      <c r="L2870" s="7" t="s">
        <v>93</v>
      </c>
      <c r="M2870" s="7" t="s">
        <v>238</v>
      </c>
      <c r="N2870" s="7"/>
      <c r="O2870" s="7"/>
    </row>
    <row r="2871" customFormat="false" ht="15" hidden="false" customHeight="false" outlineLevel="0" collapsed="false">
      <c r="A2871" s="7" t="s">
        <v>3084</v>
      </c>
      <c r="B2871" s="10" t="n">
        <v>46015</v>
      </c>
      <c r="C2871" s="7" t="s">
        <v>508</v>
      </c>
      <c r="D2871" s="7" t="s">
        <v>565</v>
      </c>
      <c r="E2871" s="7" t="s">
        <v>160</v>
      </c>
      <c r="F2871" s="7" t="s">
        <v>136</v>
      </c>
      <c r="G2871" s="7" t="s">
        <v>150</v>
      </c>
      <c r="H2871" s="7" t="n">
        <v>2</v>
      </c>
      <c r="I2871" s="11" t="n">
        <v>195</v>
      </c>
      <c r="J2871" s="11" t="n">
        <v>50</v>
      </c>
      <c r="K2871" s="11" t="n">
        <f aca="false">H2871*I2871-J2871</f>
        <v>340</v>
      </c>
      <c r="L2871" s="7" t="s">
        <v>112</v>
      </c>
      <c r="M2871" s="7" t="s">
        <v>194</v>
      </c>
      <c r="N2871" s="7" t="n">
        <v>37</v>
      </c>
      <c r="O2871" s="7" t="n">
        <v>5</v>
      </c>
    </row>
    <row r="2872" customFormat="false" ht="15" hidden="false" customHeight="false" outlineLevel="0" collapsed="false">
      <c r="A2872" s="7" t="s">
        <v>2269</v>
      </c>
      <c r="B2872" s="10" t="n">
        <v>46015</v>
      </c>
      <c r="C2872" s="7" t="s">
        <v>2271</v>
      </c>
      <c r="D2872" s="7" t="s">
        <v>763</v>
      </c>
      <c r="E2872" s="7" t="s">
        <v>104</v>
      </c>
      <c r="F2872" s="7" t="s">
        <v>86</v>
      </c>
      <c r="G2872" s="7" t="s">
        <v>105</v>
      </c>
      <c r="H2872" s="7" t="n">
        <v>5</v>
      </c>
      <c r="I2872" s="11" t="n">
        <v>175</v>
      </c>
      <c r="J2872" s="11" t="n">
        <v>0</v>
      </c>
      <c r="K2872" s="11" t="n">
        <f aca="false">H2872*I2872-J2872</f>
        <v>875</v>
      </c>
      <c r="L2872" s="7" t="s">
        <v>133</v>
      </c>
      <c r="M2872" s="7" t="s">
        <v>194</v>
      </c>
      <c r="N2872" s="7" t="n">
        <v>39</v>
      </c>
      <c r="O2872" s="7" t="n">
        <v>5</v>
      </c>
    </row>
    <row r="2873" customFormat="false" ht="15" hidden="false" customHeight="false" outlineLevel="0" collapsed="false">
      <c r="A2873" s="7" t="s">
        <v>5489</v>
      </c>
      <c r="B2873" s="10" t="n">
        <v>46015</v>
      </c>
      <c r="C2873" s="7" t="s">
        <v>201</v>
      </c>
      <c r="D2873" s="7" t="s">
        <v>2174</v>
      </c>
      <c r="E2873" s="7" t="s">
        <v>160</v>
      </c>
      <c r="F2873" s="7" t="s">
        <v>136</v>
      </c>
      <c r="G2873" s="7" t="s">
        <v>150</v>
      </c>
      <c r="H2873" s="7" t="n">
        <v>2</v>
      </c>
      <c r="I2873" s="11" t="n">
        <v>240</v>
      </c>
      <c r="J2873" s="11" t="n">
        <v>20</v>
      </c>
      <c r="K2873" s="11" t="n">
        <f aca="false">H2873*I2873-J2873</f>
        <v>460</v>
      </c>
      <c r="L2873" s="7" t="s">
        <v>88</v>
      </c>
      <c r="M2873" s="7" t="s">
        <v>194</v>
      </c>
      <c r="N2873" s="7" t="n">
        <v>22</v>
      </c>
      <c r="O2873" s="7" t="n">
        <v>3</v>
      </c>
    </row>
    <row r="2874" customFormat="false" ht="15" hidden="false" customHeight="false" outlineLevel="0" collapsed="false">
      <c r="A2874" s="7" t="s">
        <v>3128</v>
      </c>
      <c r="B2874" s="10" t="n">
        <v>46016</v>
      </c>
      <c r="C2874" s="7" t="s">
        <v>1899</v>
      </c>
      <c r="D2874" s="7" t="s">
        <v>3129</v>
      </c>
      <c r="E2874" s="7" t="s">
        <v>122</v>
      </c>
      <c r="F2874" s="7" t="s">
        <v>101</v>
      </c>
      <c r="G2874" s="7" t="s">
        <v>123</v>
      </c>
      <c r="H2874" s="7" t="n">
        <v>2</v>
      </c>
      <c r="I2874" s="11" t="n">
        <v>325</v>
      </c>
      <c r="J2874" s="11" t="n">
        <v>150</v>
      </c>
      <c r="K2874" s="11" t="n">
        <f aca="false">H2874*I2874-J2874</f>
        <v>500</v>
      </c>
      <c r="L2874" s="7" t="s">
        <v>93</v>
      </c>
      <c r="M2874" s="7" t="s">
        <v>194</v>
      </c>
      <c r="N2874" s="7" t="n">
        <v>42</v>
      </c>
      <c r="O2874" s="7" t="n">
        <v>3</v>
      </c>
    </row>
    <row r="2875" customFormat="false" ht="15" hidden="false" customHeight="false" outlineLevel="0" collapsed="false">
      <c r="A2875" s="7" t="s">
        <v>3056</v>
      </c>
      <c r="B2875" s="10" t="n">
        <v>46016</v>
      </c>
      <c r="C2875" s="7" t="s">
        <v>2016</v>
      </c>
      <c r="D2875" s="7" t="s">
        <v>2111</v>
      </c>
      <c r="E2875" s="7" t="s">
        <v>155</v>
      </c>
      <c r="F2875" s="7" t="s">
        <v>128</v>
      </c>
      <c r="G2875" s="7" t="s">
        <v>156</v>
      </c>
      <c r="H2875" s="7" t="n">
        <v>5</v>
      </c>
      <c r="I2875" s="11" t="n">
        <v>315</v>
      </c>
      <c r="J2875" s="11" t="n">
        <v>0</v>
      </c>
      <c r="K2875" s="11" t="n">
        <f aca="false">H2875*I2875-J2875</f>
        <v>1575</v>
      </c>
      <c r="L2875" s="7" t="s">
        <v>112</v>
      </c>
      <c r="M2875" s="7" t="s">
        <v>194</v>
      </c>
      <c r="N2875" s="7" t="n">
        <v>30</v>
      </c>
      <c r="O2875" s="7" t="n">
        <v>3</v>
      </c>
    </row>
    <row r="2876" customFormat="false" ht="15" hidden="false" customHeight="false" outlineLevel="0" collapsed="false">
      <c r="A2876" s="7" t="s">
        <v>3604</v>
      </c>
      <c r="B2876" s="10" t="n">
        <v>46016</v>
      </c>
      <c r="C2876" s="7" t="s">
        <v>3605</v>
      </c>
      <c r="D2876" s="7" t="s">
        <v>1251</v>
      </c>
      <c r="E2876" s="7" t="s">
        <v>89</v>
      </c>
      <c r="F2876" s="7" t="s">
        <v>86</v>
      </c>
      <c r="G2876" s="7" t="s">
        <v>90</v>
      </c>
      <c r="H2876" s="7" t="n">
        <v>1</v>
      </c>
      <c r="I2876" s="11" t="n">
        <v>265</v>
      </c>
      <c r="J2876" s="11" t="n">
        <v>30</v>
      </c>
      <c r="K2876" s="11" t="n">
        <f aca="false">H2876*I2876-J2876</f>
        <v>235</v>
      </c>
      <c r="L2876" s="7" t="s">
        <v>133</v>
      </c>
      <c r="M2876" s="7" t="s">
        <v>194</v>
      </c>
      <c r="N2876" s="7" t="n">
        <v>49</v>
      </c>
      <c r="O2876" s="7" t="n">
        <v>3</v>
      </c>
    </row>
    <row r="2877" customFormat="false" ht="15" hidden="false" customHeight="false" outlineLevel="0" collapsed="false">
      <c r="A2877" s="7" t="s">
        <v>5869</v>
      </c>
      <c r="B2877" s="10" t="n">
        <v>46016</v>
      </c>
      <c r="C2877" s="7" t="s">
        <v>883</v>
      </c>
      <c r="D2877" s="7" t="s">
        <v>4178</v>
      </c>
      <c r="E2877" s="7" t="s">
        <v>168</v>
      </c>
      <c r="F2877" s="7" t="s">
        <v>146</v>
      </c>
      <c r="G2877" s="7" t="s">
        <v>123</v>
      </c>
      <c r="H2877" s="7" t="n">
        <v>2</v>
      </c>
      <c r="I2877" s="11" t="n">
        <v>400</v>
      </c>
      <c r="J2877" s="11" t="n">
        <v>30</v>
      </c>
      <c r="K2877" s="11" t="n">
        <f aca="false">H2877*I2877-J2877</f>
        <v>770</v>
      </c>
      <c r="L2877" s="7" t="s">
        <v>88</v>
      </c>
      <c r="M2877" s="7" t="s">
        <v>194</v>
      </c>
      <c r="N2877" s="7" t="n">
        <v>24</v>
      </c>
      <c r="O2877" s="7" t="n">
        <v>3</v>
      </c>
    </row>
    <row r="2878" customFormat="false" ht="15" hidden="false" customHeight="false" outlineLevel="0" collapsed="false">
      <c r="A2878" s="7" t="s">
        <v>5830</v>
      </c>
      <c r="B2878" s="10" t="n">
        <v>46016</v>
      </c>
      <c r="C2878" s="7" t="s">
        <v>4783</v>
      </c>
      <c r="D2878" s="7" t="s">
        <v>3527</v>
      </c>
      <c r="E2878" s="7" t="s">
        <v>138</v>
      </c>
      <c r="F2878" s="7" t="s">
        <v>110</v>
      </c>
      <c r="G2878" s="7" t="s">
        <v>139</v>
      </c>
      <c r="H2878" s="7" t="n">
        <v>3</v>
      </c>
      <c r="I2878" s="11" t="n">
        <v>150</v>
      </c>
      <c r="J2878" s="11" t="n">
        <v>125</v>
      </c>
      <c r="K2878" s="11" t="n">
        <f aca="false">H2878*I2878-J2878</f>
        <v>325</v>
      </c>
      <c r="L2878" s="7" t="s">
        <v>88</v>
      </c>
      <c r="M2878" s="7" t="s">
        <v>194</v>
      </c>
      <c r="N2878" s="7" t="n">
        <v>39</v>
      </c>
      <c r="O2878" s="7" t="n">
        <v>5</v>
      </c>
    </row>
    <row r="2879" customFormat="false" ht="15" hidden="false" customHeight="false" outlineLevel="0" collapsed="false">
      <c r="A2879" s="7" t="s">
        <v>3181</v>
      </c>
      <c r="B2879" s="10" t="n">
        <v>46016</v>
      </c>
      <c r="C2879" s="7" t="s">
        <v>1204</v>
      </c>
      <c r="D2879" s="7" t="s">
        <v>2577</v>
      </c>
      <c r="E2879" s="7" t="s">
        <v>113</v>
      </c>
      <c r="F2879" s="7" t="s">
        <v>101</v>
      </c>
      <c r="G2879" s="7" t="s">
        <v>90</v>
      </c>
      <c r="H2879" s="7" t="n">
        <v>4</v>
      </c>
      <c r="I2879" s="11" t="n">
        <v>205</v>
      </c>
      <c r="J2879" s="11" t="n">
        <v>150</v>
      </c>
      <c r="K2879" s="11" t="n">
        <f aca="false">H2879*I2879-J2879</f>
        <v>670</v>
      </c>
      <c r="L2879" s="7" t="s">
        <v>103</v>
      </c>
      <c r="M2879" s="7" t="s">
        <v>194</v>
      </c>
      <c r="N2879" s="7" t="n">
        <v>37</v>
      </c>
      <c r="O2879" s="7" t="n">
        <v>4</v>
      </c>
    </row>
    <row r="2880" customFormat="false" ht="15" hidden="false" customHeight="false" outlineLevel="0" collapsed="false">
      <c r="A2880" s="7" t="s">
        <v>1068</v>
      </c>
      <c r="B2880" s="10" t="n">
        <v>46016</v>
      </c>
      <c r="C2880" s="7" t="s">
        <v>490</v>
      </c>
      <c r="D2880" s="7" t="s">
        <v>1070</v>
      </c>
      <c r="E2880" s="7" t="s">
        <v>144</v>
      </c>
      <c r="F2880" s="7" t="s">
        <v>119</v>
      </c>
      <c r="G2880" s="7" t="s">
        <v>99</v>
      </c>
      <c r="H2880" s="7" t="n">
        <v>3</v>
      </c>
      <c r="I2880" s="11" t="n">
        <v>290</v>
      </c>
      <c r="J2880" s="11" t="n">
        <v>0</v>
      </c>
      <c r="K2880" s="11" t="n">
        <f aca="false">H2880*I2880-J2880</f>
        <v>870</v>
      </c>
      <c r="L2880" s="7" t="s">
        <v>88</v>
      </c>
      <c r="M2880" s="7" t="s">
        <v>194</v>
      </c>
      <c r="N2880" s="7" t="n">
        <v>29</v>
      </c>
      <c r="O2880" s="7" t="n">
        <v>4</v>
      </c>
    </row>
    <row r="2881" customFormat="false" ht="15" hidden="false" customHeight="false" outlineLevel="0" collapsed="false">
      <c r="A2881" s="7" t="s">
        <v>3525</v>
      </c>
      <c r="B2881" s="10" t="n">
        <v>46016</v>
      </c>
      <c r="C2881" s="7" t="s">
        <v>346</v>
      </c>
      <c r="D2881" s="7" t="s">
        <v>2540</v>
      </c>
      <c r="E2881" s="7" t="s">
        <v>122</v>
      </c>
      <c r="F2881" s="7" t="s">
        <v>101</v>
      </c>
      <c r="G2881" s="7" t="s">
        <v>123</v>
      </c>
      <c r="H2881" s="7" t="n">
        <v>2</v>
      </c>
      <c r="I2881" s="11" t="n">
        <v>310</v>
      </c>
      <c r="J2881" s="11" t="n">
        <v>40</v>
      </c>
      <c r="K2881" s="11" t="n">
        <f aca="false">H2881*I2881-J2881</f>
        <v>580</v>
      </c>
      <c r="L2881" s="7" t="s">
        <v>88</v>
      </c>
      <c r="M2881" s="7" t="s">
        <v>194</v>
      </c>
      <c r="N2881" s="7" t="n">
        <v>40</v>
      </c>
      <c r="O2881" s="7"/>
    </row>
    <row r="2882" customFormat="false" ht="15" hidden="false" customHeight="false" outlineLevel="0" collapsed="false">
      <c r="A2882" s="7" t="s">
        <v>4229</v>
      </c>
      <c r="B2882" s="10" t="n">
        <v>46016</v>
      </c>
      <c r="C2882" s="7" t="s">
        <v>1610</v>
      </c>
      <c r="D2882" s="7" t="s">
        <v>805</v>
      </c>
      <c r="E2882" s="7" t="s">
        <v>144</v>
      </c>
      <c r="F2882" s="7" t="s">
        <v>119</v>
      </c>
      <c r="G2882" s="7" t="s">
        <v>99</v>
      </c>
      <c r="H2882" s="7" t="n">
        <v>2</v>
      </c>
      <c r="I2882" s="11" t="n">
        <v>260</v>
      </c>
      <c r="J2882" s="11" t="n">
        <v>0</v>
      </c>
      <c r="K2882" s="11" t="n">
        <f aca="false">H2882*I2882-J2882</f>
        <v>520</v>
      </c>
      <c r="L2882" s="7" t="s">
        <v>93</v>
      </c>
      <c r="M2882" s="7" t="s">
        <v>194</v>
      </c>
      <c r="N2882" s="7" t="n">
        <v>33</v>
      </c>
      <c r="O2882" s="7" t="n">
        <v>5</v>
      </c>
    </row>
    <row r="2883" customFormat="false" ht="15" hidden="false" customHeight="false" outlineLevel="0" collapsed="false">
      <c r="A2883" s="7" t="s">
        <v>5999</v>
      </c>
      <c r="B2883" s="10" t="n">
        <v>46017</v>
      </c>
      <c r="C2883" s="7" t="s">
        <v>1438</v>
      </c>
      <c r="D2883" s="7" t="s">
        <v>3961</v>
      </c>
      <c r="E2883" s="7" t="s">
        <v>94</v>
      </c>
      <c r="F2883" s="7" t="s">
        <v>86</v>
      </c>
      <c r="G2883" s="7" t="s">
        <v>95</v>
      </c>
      <c r="H2883" s="7" t="n">
        <v>3</v>
      </c>
      <c r="I2883" s="11" t="n">
        <v>125</v>
      </c>
      <c r="J2883" s="11" t="n">
        <v>75</v>
      </c>
      <c r="K2883" s="11" t="n">
        <f aca="false">H2883*I2883-J2883</f>
        <v>300</v>
      </c>
      <c r="L2883" s="7" t="s">
        <v>93</v>
      </c>
      <c r="M2883" s="7" t="s">
        <v>194</v>
      </c>
      <c r="N2883" s="7" t="n">
        <v>50</v>
      </c>
      <c r="O2883" s="7" t="n">
        <v>4</v>
      </c>
    </row>
    <row r="2884" customFormat="false" ht="15" hidden="false" customHeight="false" outlineLevel="0" collapsed="false">
      <c r="A2884" s="7" t="s">
        <v>1898</v>
      </c>
      <c r="B2884" s="10" t="n">
        <v>46017</v>
      </c>
      <c r="C2884" s="7" t="s">
        <v>1899</v>
      </c>
      <c r="D2884" s="7" t="s">
        <v>766</v>
      </c>
      <c r="E2884" s="7" t="s">
        <v>162</v>
      </c>
      <c r="F2884" s="7" t="s">
        <v>141</v>
      </c>
      <c r="G2884" s="7" t="s">
        <v>117</v>
      </c>
      <c r="H2884" s="7" t="n">
        <v>2</v>
      </c>
      <c r="I2884" s="11" t="n">
        <v>125</v>
      </c>
      <c r="J2884" s="11" t="n">
        <v>0</v>
      </c>
      <c r="K2884" s="11" t="n">
        <f aca="false">H2884*I2884-J2884</f>
        <v>250</v>
      </c>
      <c r="L2884" s="7" t="s">
        <v>121</v>
      </c>
      <c r="M2884" s="7" t="s">
        <v>238</v>
      </c>
      <c r="N2884" s="7"/>
      <c r="O2884" s="7"/>
    </row>
    <row r="2885" customFormat="false" ht="15" hidden="false" customHeight="false" outlineLevel="0" collapsed="false">
      <c r="A2885" s="7" t="s">
        <v>4395</v>
      </c>
      <c r="B2885" s="10" t="n">
        <v>46017</v>
      </c>
      <c r="C2885" s="7" t="s">
        <v>846</v>
      </c>
      <c r="D2885" s="7" t="s">
        <v>2929</v>
      </c>
      <c r="E2885" s="7" t="s">
        <v>138</v>
      </c>
      <c r="F2885" s="7" t="s">
        <v>110</v>
      </c>
      <c r="G2885" s="7" t="s">
        <v>139</v>
      </c>
      <c r="H2885" s="7" t="n">
        <v>2</v>
      </c>
      <c r="I2885" s="11" t="n">
        <v>205</v>
      </c>
      <c r="J2885" s="11" t="n">
        <v>75</v>
      </c>
      <c r="K2885" s="11" t="n">
        <f aca="false">H2885*I2885-J2885</f>
        <v>335</v>
      </c>
      <c r="L2885" s="7" t="s">
        <v>88</v>
      </c>
      <c r="M2885" s="7" t="s">
        <v>194</v>
      </c>
      <c r="N2885" s="7" t="n">
        <v>30</v>
      </c>
      <c r="O2885" s="7" t="n">
        <v>5</v>
      </c>
    </row>
    <row r="2886" customFormat="false" ht="15" hidden="false" customHeight="false" outlineLevel="0" collapsed="false">
      <c r="A2886" s="7" t="s">
        <v>4711</v>
      </c>
      <c r="B2886" s="10" t="n">
        <v>46017</v>
      </c>
      <c r="C2886" s="7" t="s">
        <v>1050</v>
      </c>
      <c r="D2886" s="7" t="s">
        <v>4690</v>
      </c>
      <c r="E2886" s="7" t="s">
        <v>89</v>
      </c>
      <c r="F2886" s="7" t="s">
        <v>86</v>
      </c>
      <c r="G2886" s="7" t="s">
        <v>90</v>
      </c>
      <c r="H2886" s="7" t="n">
        <v>1</v>
      </c>
      <c r="I2886" s="11" t="n">
        <v>230</v>
      </c>
      <c r="J2886" s="11" t="n">
        <v>50</v>
      </c>
      <c r="K2886" s="11" t="n">
        <f aca="false">H2886*I2886-J2886</f>
        <v>180</v>
      </c>
      <c r="L2886" s="7" t="s">
        <v>133</v>
      </c>
      <c r="M2886" s="7" t="s">
        <v>194</v>
      </c>
      <c r="N2886" s="7" t="n">
        <v>39</v>
      </c>
      <c r="O2886" s="7" t="n">
        <v>4</v>
      </c>
    </row>
    <row r="2887" customFormat="false" ht="15" hidden="false" customHeight="false" outlineLevel="0" collapsed="false">
      <c r="A2887" s="7" t="s">
        <v>2787</v>
      </c>
      <c r="B2887" s="10" t="n">
        <v>46017</v>
      </c>
      <c r="C2887" s="7" t="s">
        <v>2743</v>
      </c>
      <c r="D2887" s="7" t="s">
        <v>2788</v>
      </c>
      <c r="E2887" s="7" t="s">
        <v>144</v>
      </c>
      <c r="F2887" s="7" t="s">
        <v>119</v>
      </c>
      <c r="G2887" s="7" t="s">
        <v>99</v>
      </c>
      <c r="H2887" s="7" t="n">
        <v>3</v>
      </c>
      <c r="I2887" s="11" t="n">
        <v>300</v>
      </c>
      <c r="J2887" s="11" t="n">
        <v>125</v>
      </c>
      <c r="K2887" s="11" t="n">
        <f aca="false">H2887*I2887-J2887</f>
        <v>775</v>
      </c>
      <c r="L2887" s="7" t="s">
        <v>112</v>
      </c>
      <c r="M2887" s="7" t="s">
        <v>194</v>
      </c>
      <c r="N2887" s="7" t="n">
        <v>31</v>
      </c>
      <c r="O2887" s="7" t="n">
        <v>4</v>
      </c>
    </row>
    <row r="2888" customFormat="false" ht="15" hidden="false" customHeight="false" outlineLevel="0" collapsed="false">
      <c r="A2888" s="7" t="s">
        <v>3179</v>
      </c>
      <c r="B2888" s="10" t="n">
        <v>46017</v>
      </c>
      <c r="C2888" s="7" t="s">
        <v>1838</v>
      </c>
      <c r="D2888" s="7" t="s">
        <v>3180</v>
      </c>
      <c r="E2888" s="7" t="s">
        <v>113</v>
      </c>
      <c r="F2888" s="7" t="s">
        <v>101</v>
      </c>
      <c r="G2888" s="7" t="s">
        <v>90</v>
      </c>
      <c r="H2888" s="7" t="n">
        <v>2</v>
      </c>
      <c r="I2888" s="11" t="n">
        <v>245</v>
      </c>
      <c r="J2888" s="11" t="n">
        <v>100</v>
      </c>
      <c r="K2888" s="11" t="n">
        <f aca="false">H2888*I2888-J2888</f>
        <v>390</v>
      </c>
      <c r="L2888" s="7" t="s">
        <v>88</v>
      </c>
      <c r="M2888" s="7" t="s">
        <v>194</v>
      </c>
      <c r="N2888" s="7" t="n">
        <v>47</v>
      </c>
      <c r="O2888" s="7" t="n">
        <v>3</v>
      </c>
    </row>
    <row r="2889" customFormat="false" ht="15" hidden="false" customHeight="false" outlineLevel="0" collapsed="false">
      <c r="A2889" s="7" t="s">
        <v>4113</v>
      </c>
      <c r="B2889" s="10" t="n">
        <v>46017</v>
      </c>
      <c r="C2889" s="7" t="s">
        <v>630</v>
      </c>
      <c r="D2889" s="7" t="s">
        <v>3049</v>
      </c>
      <c r="E2889" s="7" t="s">
        <v>147</v>
      </c>
      <c r="F2889" s="7" t="s">
        <v>119</v>
      </c>
      <c r="G2889" s="7" t="s">
        <v>95</v>
      </c>
      <c r="H2889" s="7" t="n">
        <v>1</v>
      </c>
      <c r="I2889" s="11" t="n">
        <v>110</v>
      </c>
      <c r="J2889" s="11" t="n">
        <v>44</v>
      </c>
      <c r="K2889" s="11" t="n">
        <f aca="false">H2889*I2889-J2889</f>
        <v>66</v>
      </c>
      <c r="L2889" s="7" t="s">
        <v>103</v>
      </c>
      <c r="M2889" s="7" t="s">
        <v>194</v>
      </c>
      <c r="N2889" s="7" t="n">
        <v>35</v>
      </c>
      <c r="O2889" s="7" t="n">
        <v>3</v>
      </c>
    </row>
    <row r="2890" customFormat="false" ht="15" hidden="false" customHeight="false" outlineLevel="0" collapsed="false">
      <c r="A2890" s="7" t="s">
        <v>5716</v>
      </c>
      <c r="B2890" s="10" t="n">
        <v>46017</v>
      </c>
      <c r="C2890" s="7" t="s">
        <v>2756</v>
      </c>
      <c r="D2890" s="7" t="s">
        <v>4049</v>
      </c>
      <c r="E2890" s="7" t="s">
        <v>122</v>
      </c>
      <c r="F2890" s="7" t="s">
        <v>101</v>
      </c>
      <c r="G2890" s="7" t="s">
        <v>123</v>
      </c>
      <c r="H2890" s="7" t="n">
        <v>3</v>
      </c>
      <c r="I2890" s="11" t="n">
        <v>320</v>
      </c>
      <c r="J2890" s="11" t="n">
        <v>40</v>
      </c>
      <c r="K2890" s="11" t="n">
        <f aca="false">H2890*I2890-J2890</f>
        <v>920</v>
      </c>
      <c r="L2890" s="7" t="s">
        <v>88</v>
      </c>
      <c r="M2890" s="7" t="s">
        <v>194</v>
      </c>
      <c r="N2890" s="7" t="n">
        <v>45</v>
      </c>
      <c r="O2890" s="7" t="n">
        <v>3</v>
      </c>
    </row>
    <row r="2891" customFormat="false" ht="15" hidden="false" customHeight="false" outlineLevel="0" collapsed="false">
      <c r="A2891" s="7" t="s">
        <v>1286</v>
      </c>
      <c r="B2891" s="10" t="n">
        <v>46017</v>
      </c>
      <c r="C2891" s="7" t="s">
        <v>1288</v>
      </c>
      <c r="D2891" s="7" t="s">
        <v>1289</v>
      </c>
      <c r="E2891" s="7" t="s">
        <v>149</v>
      </c>
      <c r="F2891" s="7" t="s">
        <v>119</v>
      </c>
      <c r="G2891" s="7" t="s">
        <v>150</v>
      </c>
      <c r="H2891" s="7" t="n">
        <v>3</v>
      </c>
      <c r="I2891" s="11" t="n">
        <v>185</v>
      </c>
      <c r="J2891" s="11" t="n">
        <v>0</v>
      </c>
      <c r="K2891" s="11" t="n">
        <f aca="false">H2891*I2891-J2891</f>
        <v>555</v>
      </c>
      <c r="L2891" s="7" t="s">
        <v>112</v>
      </c>
      <c r="M2891" s="7" t="s">
        <v>194</v>
      </c>
      <c r="N2891" s="7" t="n">
        <v>35</v>
      </c>
      <c r="O2891" s="7" t="n">
        <v>2</v>
      </c>
    </row>
    <row r="2892" customFormat="false" ht="15" hidden="false" customHeight="false" outlineLevel="0" collapsed="false">
      <c r="A2892" s="7" t="s">
        <v>5757</v>
      </c>
      <c r="B2892" s="10" t="n">
        <v>46018</v>
      </c>
      <c r="C2892" s="7" t="s">
        <v>5643</v>
      </c>
      <c r="D2892" s="7" t="s">
        <v>2807</v>
      </c>
      <c r="E2892" s="7" t="s">
        <v>165</v>
      </c>
      <c r="F2892" s="7" t="s">
        <v>146</v>
      </c>
      <c r="G2892" s="7" t="s">
        <v>90</v>
      </c>
      <c r="H2892" s="7" t="n">
        <v>1</v>
      </c>
      <c r="I2892" s="11" t="n">
        <v>180</v>
      </c>
      <c r="J2892" s="11" t="n">
        <v>40</v>
      </c>
      <c r="K2892" s="11" t="n">
        <f aca="false">H2892*I2892-J2892</f>
        <v>140</v>
      </c>
      <c r="L2892" s="7" t="s">
        <v>88</v>
      </c>
      <c r="M2892" s="7" t="s">
        <v>194</v>
      </c>
      <c r="N2892" s="7" t="n">
        <v>29</v>
      </c>
      <c r="O2892" s="7" t="n">
        <v>3</v>
      </c>
    </row>
    <row r="2893" customFormat="false" ht="15" hidden="false" customHeight="false" outlineLevel="0" collapsed="false">
      <c r="A2893" s="7" t="s">
        <v>4641</v>
      </c>
      <c r="B2893" s="10" t="n">
        <v>46018</v>
      </c>
      <c r="C2893" s="7" t="s">
        <v>1481</v>
      </c>
      <c r="D2893" s="7" t="s">
        <v>3635</v>
      </c>
      <c r="E2893" s="7" t="s">
        <v>151</v>
      </c>
      <c r="F2893" s="7" t="s">
        <v>128</v>
      </c>
      <c r="G2893" s="7" t="s">
        <v>95</v>
      </c>
      <c r="H2893" s="7" t="n">
        <v>4</v>
      </c>
      <c r="I2893" s="11" t="n">
        <v>165</v>
      </c>
      <c r="J2893" s="11" t="n">
        <v>0</v>
      </c>
      <c r="K2893" s="11" t="n">
        <f aca="false">H2893*I2893-J2893</f>
        <v>660</v>
      </c>
      <c r="L2893" s="7" t="s">
        <v>88</v>
      </c>
      <c r="M2893" s="7" t="s">
        <v>194</v>
      </c>
      <c r="N2893" s="7" t="n">
        <v>39</v>
      </c>
      <c r="O2893" s="7" t="n">
        <v>3</v>
      </c>
    </row>
    <row r="2894" customFormat="false" ht="15" hidden="false" customHeight="false" outlineLevel="0" collapsed="false">
      <c r="A2894" s="7" t="s">
        <v>1959</v>
      </c>
      <c r="B2894" s="10" t="n">
        <v>46018</v>
      </c>
      <c r="C2894" s="7" t="s">
        <v>1961</v>
      </c>
      <c r="D2894" s="7" t="s">
        <v>1962</v>
      </c>
      <c r="E2894" s="7" t="s">
        <v>94</v>
      </c>
      <c r="F2894" s="7" t="s">
        <v>86</v>
      </c>
      <c r="G2894" s="7" t="s">
        <v>95</v>
      </c>
      <c r="H2894" s="7" t="n">
        <v>2</v>
      </c>
      <c r="I2894" s="11" t="n">
        <v>135</v>
      </c>
      <c r="J2894" s="11" t="n">
        <v>100</v>
      </c>
      <c r="K2894" s="11" t="n">
        <f aca="false">H2894*I2894-J2894</f>
        <v>170</v>
      </c>
      <c r="L2894" s="7" t="s">
        <v>88</v>
      </c>
      <c r="M2894" s="7" t="s">
        <v>194</v>
      </c>
      <c r="N2894" s="7" t="n">
        <v>41</v>
      </c>
      <c r="O2894" s="7" t="n">
        <v>4</v>
      </c>
    </row>
    <row r="2895" customFormat="false" ht="15" hidden="false" customHeight="false" outlineLevel="0" collapsed="false">
      <c r="A2895" s="7" t="s">
        <v>1649</v>
      </c>
      <c r="B2895" s="10" t="n">
        <v>46018</v>
      </c>
      <c r="C2895" s="7" t="s">
        <v>1651</v>
      </c>
      <c r="D2895" s="7" t="s">
        <v>1652</v>
      </c>
      <c r="E2895" s="7" t="s">
        <v>138</v>
      </c>
      <c r="F2895" s="7" t="s">
        <v>110</v>
      </c>
      <c r="G2895" s="7" t="s">
        <v>139</v>
      </c>
      <c r="H2895" s="7" t="n">
        <v>1</v>
      </c>
      <c r="I2895" s="11" t="n">
        <v>185</v>
      </c>
      <c r="J2895" s="11" t="n">
        <v>0</v>
      </c>
      <c r="K2895" s="11" t="n">
        <f aca="false">H2895*I2895-J2895</f>
        <v>185</v>
      </c>
      <c r="L2895" s="7" t="s">
        <v>88</v>
      </c>
      <c r="M2895" s="7" t="s">
        <v>194</v>
      </c>
      <c r="N2895" s="7" t="n">
        <v>44</v>
      </c>
      <c r="O2895" s="7"/>
    </row>
    <row r="2896" customFormat="false" ht="15" hidden="false" customHeight="false" outlineLevel="0" collapsed="false">
      <c r="A2896" s="7" t="s">
        <v>5180</v>
      </c>
      <c r="B2896" s="10" t="n">
        <v>46018</v>
      </c>
      <c r="C2896" s="7" t="s">
        <v>5181</v>
      </c>
      <c r="D2896" s="7" t="s">
        <v>4423</v>
      </c>
      <c r="E2896" s="7" t="s">
        <v>122</v>
      </c>
      <c r="F2896" s="7" t="s">
        <v>101</v>
      </c>
      <c r="G2896" s="7" t="s">
        <v>123</v>
      </c>
      <c r="H2896" s="7" t="n">
        <v>4</v>
      </c>
      <c r="I2896" s="11" t="n">
        <v>370</v>
      </c>
      <c r="J2896" s="11" t="n">
        <v>0</v>
      </c>
      <c r="K2896" s="11" t="n">
        <f aca="false">H2896*I2896-J2896</f>
        <v>1480</v>
      </c>
      <c r="L2896" s="7" t="s">
        <v>88</v>
      </c>
      <c r="M2896" s="7" t="s">
        <v>194</v>
      </c>
      <c r="N2896" s="7" t="n">
        <v>50</v>
      </c>
      <c r="O2896" s="7" t="n">
        <v>4</v>
      </c>
    </row>
    <row r="2897" customFormat="false" ht="15" hidden="false" customHeight="false" outlineLevel="0" collapsed="false">
      <c r="A2897" s="7" t="s">
        <v>3015</v>
      </c>
      <c r="B2897" s="10" t="n">
        <v>46018</v>
      </c>
      <c r="C2897" s="7" t="s">
        <v>213</v>
      </c>
      <c r="D2897" s="7" t="s">
        <v>2994</v>
      </c>
      <c r="E2897" s="7" t="s">
        <v>89</v>
      </c>
      <c r="F2897" s="7" t="s">
        <v>86</v>
      </c>
      <c r="G2897" s="7" t="s">
        <v>90</v>
      </c>
      <c r="H2897" s="7" t="n">
        <v>2</v>
      </c>
      <c r="I2897" s="11" t="n">
        <v>200</v>
      </c>
      <c r="J2897" s="11" t="n">
        <v>30</v>
      </c>
      <c r="K2897" s="11" t="n">
        <f aca="false">H2897*I2897-J2897</f>
        <v>370</v>
      </c>
      <c r="L2897" s="7" t="s">
        <v>93</v>
      </c>
      <c r="M2897" s="7" t="s">
        <v>194</v>
      </c>
      <c r="N2897" s="7" t="n">
        <v>32</v>
      </c>
      <c r="O2897" s="7" t="n">
        <v>4</v>
      </c>
    </row>
    <row r="2898" customFormat="false" ht="15" hidden="false" customHeight="false" outlineLevel="0" collapsed="false">
      <c r="A2898" s="7" t="s">
        <v>3633</v>
      </c>
      <c r="B2898" s="10" t="n">
        <v>46018</v>
      </c>
      <c r="C2898" s="7" t="s">
        <v>1313</v>
      </c>
      <c r="D2898" s="7" t="s">
        <v>378</v>
      </c>
      <c r="E2898" s="7" t="s">
        <v>155</v>
      </c>
      <c r="F2898" s="7" t="s">
        <v>128</v>
      </c>
      <c r="G2898" s="7" t="s">
        <v>156</v>
      </c>
      <c r="H2898" s="7" t="n">
        <v>1</v>
      </c>
      <c r="I2898" s="11" t="n">
        <v>285</v>
      </c>
      <c r="J2898" s="11" t="n">
        <v>114</v>
      </c>
      <c r="K2898" s="11" t="n">
        <f aca="false">H2898*I2898-J2898</f>
        <v>171</v>
      </c>
      <c r="L2898" s="7" t="s">
        <v>88</v>
      </c>
      <c r="M2898" s="7" t="s">
        <v>194</v>
      </c>
      <c r="N2898" s="7" t="n">
        <v>36</v>
      </c>
      <c r="O2898" s="7" t="n">
        <v>5</v>
      </c>
    </row>
    <row r="2899" customFormat="false" ht="15" hidden="false" customHeight="false" outlineLevel="0" collapsed="false">
      <c r="A2899" s="7" t="s">
        <v>3434</v>
      </c>
      <c r="B2899" s="10" t="n">
        <v>46018</v>
      </c>
      <c r="C2899" s="7" t="s">
        <v>3435</v>
      </c>
      <c r="D2899" s="7" t="s">
        <v>2694</v>
      </c>
      <c r="E2899" s="7" t="s">
        <v>94</v>
      </c>
      <c r="F2899" s="7" t="s">
        <v>86</v>
      </c>
      <c r="G2899" s="7" t="s">
        <v>95</v>
      </c>
      <c r="H2899" s="7" t="n">
        <v>2</v>
      </c>
      <c r="I2899" s="11" t="n">
        <v>115</v>
      </c>
      <c r="J2899" s="11" t="n">
        <v>0</v>
      </c>
      <c r="K2899" s="11" t="n">
        <f aca="false">H2899*I2899-J2899</f>
        <v>230</v>
      </c>
      <c r="L2899" s="7" t="s">
        <v>103</v>
      </c>
      <c r="M2899" s="7" t="s">
        <v>194</v>
      </c>
      <c r="N2899" s="7" t="n">
        <v>41</v>
      </c>
      <c r="O2899" s="7" t="n">
        <v>5</v>
      </c>
    </row>
    <row r="2900" customFormat="false" ht="15" hidden="false" customHeight="false" outlineLevel="0" collapsed="false">
      <c r="A2900" s="7" t="s">
        <v>3623</v>
      </c>
      <c r="B2900" s="10" t="n">
        <v>46018</v>
      </c>
      <c r="C2900" s="7" t="s">
        <v>407</v>
      </c>
      <c r="D2900" s="7" t="s">
        <v>3624</v>
      </c>
      <c r="E2900" s="7" t="s">
        <v>160</v>
      </c>
      <c r="F2900" s="7" t="s">
        <v>136</v>
      </c>
      <c r="G2900" s="7" t="s">
        <v>150</v>
      </c>
      <c r="H2900" s="7" t="n">
        <v>1</v>
      </c>
      <c r="I2900" s="11" t="n">
        <v>200</v>
      </c>
      <c r="J2900" s="11" t="n">
        <v>50</v>
      </c>
      <c r="K2900" s="11" t="n">
        <f aca="false">H2900*I2900-J2900</f>
        <v>150</v>
      </c>
      <c r="L2900" s="7" t="s">
        <v>112</v>
      </c>
      <c r="M2900" s="7" t="s">
        <v>238</v>
      </c>
      <c r="N2900" s="7"/>
      <c r="O2900" s="7"/>
    </row>
    <row r="2901" customFormat="false" ht="15" hidden="false" customHeight="false" outlineLevel="0" collapsed="false">
      <c r="A2901" s="7" t="s">
        <v>3173</v>
      </c>
      <c r="B2901" s="10" t="n">
        <v>46019</v>
      </c>
      <c r="C2901" s="7" t="s">
        <v>3013</v>
      </c>
      <c r="D2901" s="7" t="s">
        <v>3174</v>
      </c>
      <c r="E2901" s="7" t="s">
        <v>167</v>
      </c>
      <c r="F2901" s="7" t="s">
        <v>146</v>
      </c>
      <c r="G2901" s="7" t="s">
        <v>156</v>
      </c>
      <c r="H2901" s="7" t="n">
        <v>2</v>
      </c>
      <c r="I2901" s="11" t="n">
        <v>230</v>
      </c>
      <c r="J2901" s="11" t="n">
        <v>125</v>
      </c>
      <c r="K2901" s="11" t="n">
        <f aca="false">H2901*I2901-J2901</f>
        <v>335</v>
      </c>
      <c r="L2901" s="7" t="s">
        <v>88</v>
      </c>
      <c r="M2901" s="7" t="s">
        <v>194</v>
      </c>
      <c r="N2901" s="7" t="n">
        <v>25</v>
      </c>
      <c r="O2901" s="7" t="n">
        <v>3</v>
      </c>
    </row>
    <row r="2902" customFormat="false" ht="15" hidden="false" customHeight="false" outlineLevel="0" collapsed="false">
      <c r="A2902" s="7" t="s">
        <v>1617</v>
      </c>
      <c r="B2902" s="10" t="n">
        <v>46019</v>
      </c>
      <c r="C2902" s="7" t="s">
        <v>1050</v>
      </c>
      <c r="D2902" s="7" t="s">
        <v>1618</v>
      </c>
      <c r="E2902" s="7" t="s">
        <v>116</v>
      </c>
      <c r="F2902" s="7" t="s">
        <v>101</v>
      </c>
      <c r="G2902" s="7" t="s">
        <v>117</v>
      </c>
      <c r="H2902" s="7" t="n">
        <v>3</v>
      </c>
      <c r="I2902" s="11" t="n">
        <v>120</v>
      </c>
      <c r="J2902" s="11" t="n">
        <v>125</v>
      </c>
      <c r="K2902" s="11" t="n">
        <f aca="false">H2902*I2902-J2902</f>
        <v>235</v>
      </c>
      <c r="L2902" s="7" t="s">
        <v>112</v>
      </c>
      <c r="M2902" s="7" t="s">
        <v>194</v>
      </c>
      <c r="N2902" s="7" t="n">
        <v>38</v>
      </c>
      <c r="O2902" s="7" t="n">
        <v>3</v>
      </c>
    </row>
    <row r="2903" customFormat="false" ht="15" hidden="false" customHeight="false" outlineLevel="0" collapsed="false">
      <c r="A2903" s="7" t="s">
        <v>4279</v>
      </c>
      <c r="B2903" s="10" t="n">
        <v>46019</v>
      </c>
      <c r="C2903" s="7" t="s">
        <v>2676</v>
      </c>
      <c r="D2903" s="7" t="s">
        <v>1385</v>
      </c>
      <c r="E2903" s="7" t="s">
        <v>104</v>
      </c>
      <c r="F2903" s="7" t="s">
        <v>86</v>
      </c>
      <c r="G2903" s="7" t="s">
        <v>105</v>
      </c>
      <c r="H2903" s="7" t="n">
        <v>4</v>
      </c>
      <c r="I2903" s="11" t="n">
        <v>230</v>
      </c>
      <c r="J2903" s="11" t="n">
        <v>30</v>
      </c>
      <c r="K2903" s="11" t="n">
        <f aca="false">H2903*I2903-J2903</f>
        <v>890</v>
      </c>
      <c r="L2903" s="7" t="s">
        <v>112</v>
      </c>
      <c r="M2903" s="7" t="s">
        <v>194</v>
      </c>
      <c r="N2903" s="7" t="n">
        <v>55</v>
      </c>
      <c r="O2903" s="7" t="n">
        <v>4</v>
      </c>
    </row>
    <row r="2904" customFormat="false" ht="15" hidden="false" customHeight="false" outlineLevel="0" collapsed="false">
      <c r="A2904" s="7" t="s">
        <v>834</v>
      </c>
      <c r="B2904" s="10" t="n">
        <v>46019</v>
      </c>
      <c r="C2904" s="7" t="s">
        <v>504</v>
      </c>
      <c r="D2904" s="7" t="s">
        <v>836</v>
      </c>
      <c r="E2904" s="7" t="s">
        <v>149</v>
      </c>
      <c r="F2904" s="7" t="s">
        <v>119</v>
      </c>
      <c r="G2904" s="7" t="s">
        <v>150</v>
      </c>
      <c r="H2904" s="7" t="n">
        <v>2</v>
      </c>
      <c r="I2904" s="11" t="n">
        <v>165</v>
      </c>
      <c r="J2904" s="11" t="n">
        <v>132</v>
      </c>
      <c r="K2904" s="11" t="n">
        <f aca="false">H2904*I2904-J2904</f>
        <v>198</v>
      </c>
      <c r="L2904" s="7" t="s">
        <v>88</v>
      </c>
      <c r="M2904" s="7" t="s">
        <v>194</v>
      </c>
      <c r="N2904" s="7" t="n">
        <v>44</v>
      </c>
      <c r="O2904" s="7" t="n">
        <v>2</v>
      </c>
    </row>
    <row r="2905" customFormat="false" ht="15" hidden="false" customHeight="false" outlineLevel="0" collapsed="false">
      <c r="A2905" s="7" t="s">
        <v>3846</v>
      </c>
      <c r="B2905" s="10" t="n">
        <v>46019</v>
      </c>
      <c r="C2905" s="7" t="s">
        <v>3767</v>
      </c>
      <c r="D2905" s="7" t="s">
        <v>3847</v>
      </c>
      <c r="E2905" s="7" t="s">
        <v>138</v>
      </c>
      <c r="F2905" s="7" t="s">
        <v>110</v>
      </c>
      <c r="G2905" s="7" t="s">
        <v>139</v>
      </c>
      <c r="H2905" s="7" t="n">
        <v>1</v>
      </c>
      <c r="I2905" s="11" t="n">
        <v>200</v>
      </c>
      <c r="J2905" s="11" t="n">
        <v>0</v>
      </c>
      <c r="K2905" s="11" t="n">
        <f aca="false">H2905*I2905-J2905</f>
        <v>200</v>
      </c>
      <c r="L2905" s="7" t="s">
        <v>88</v>
      </c>
      <c r="M2905" s="7" t="s">
        <v>194</v>
      </c>
      <c r="N2905" s="7" t="n">
        <v>18</v>
      </c>
      <c r="O2905" s="7" t="n">
        <v>5</v>
      </c>
    </row>
    <row r="2906" customFormat="false" ht="15" hidden="false" customHeight="false" outlineLevel="0" collapsed="false">
      <c r="A2906" s="7" t="s">
        <v>5370</v>
      </c>
      <c r="B2906" s="10" t="n">
        <v>46019</v>
      </c>
      <c r="C2906" s="7" t="s">
        <v>2758</v>
      </c>
      <c r="D2906" s="7" t="s">
        <v>5371</v>
      </c>
      <c r="E2906" s="7" t="s">
        <v>163</v>
      </c>
      <c r="F2906" s="7" t="s">
        <v>141</v>
      </c>
      <c r="G2906" s="7" t="s">
        <v>99</v>
      </c>
      <c r="H2906" s="7" t="n">
        <v>1</v>
      </c>
      <c r="I2906" s="11" t="n">
        <v>245</v>
      </c>
      <c r="J2906" s="11" t="n">
        <v>98</v>
      </c>
      <c r="K2906" s="11" t="n">
        <f aca="false">H2906*I2906-J2906</f>
        <v>147</v>
      </c>
      <c r="L2906" s="7" t="s">
        <v>88</v>
      </c>
      <c r="M2906" s="7" t="s">
        <v>194</v>
      </c>
      <c r="N2906" s="7" t="n">
        <v>39</v>
      </c>
      <c r="O2906" s="7" t="n">
        <v>4</v>
      </c>
    </row>
    <row r="2907" customFormat="false" ht="15" hidden="false" customHeight="false" outlineLevel="0" collapsed="false">
      <c r="A2907" s="7" t="s">
        <v>1076</v>
      </c>
      <c r="B2907" s="10" t="n">
        <v>46019</v>
      </c>
      <c r="C2907" s="7" t="s">
        <v>310</v>
      </c>
      <c r="D2907" s="7" t="s">
        <v>1077</v>
      </c>
      <c r="E2907" s="7" t="s">
        <v>134</v>
      </c>
      <c r="F2907" s="7" t="s">
        <v>110</v>
      </c>
      <c r="G2907" s="7" t="s">
        <v>117</v>
      </c>
      <c r="H2907" s="7" t="n">
        <v>5</v>
      </c>
      <c r="I2907" s="11" t="n">
        <v>115</v>
      </c>
      <c r="J2907" s="11" t="n">
        <v>75</v>
      </c>
      <c r="K2907" s="11" t="n">
        <f aca="false">H2907*I2907-J2907</f>
        <v>500</v>
      </c>
      <c r="L2907" s="7" t="s">
        <v>112</v>
      </c>
      <c r="M2907" s="7" t="s">
        <v>194</v>
      </c>
      <c r="N2907" s="7" t="n">
        <v>43</v>
      </c>
      <c r="O2907" s="7" t="n">
        <v>4</v>
      </c>
    </row>
    <row r="2908" customFormat="false" ht="15" hidden="false" customHeight="false" outlineLevel="0" collapsed="false">
      <c r="A2908" s="7" t="s">
        <v>5577</v>
      </c>
      <c r="B2908" s="10" t="n">
        <v>46019</v>
      </c>
      <c r="C2908" s="7" t="s">
        <v>1313</v>
      </c>
      <c r="D2908" s="7" t="s">
        <v>479</v>
      </c>
      <c r="E2908" s="7" t="s">
        <v>113</v>
      </c>
      <c r="F2908" s="7" t="s">
        <v>101</v>
      </c>
      <c r="G2908" s="7" t="s">
        <v>90</v>
      </c>
      <c r="H2908" s="7" t="n">
        <v>3</v>
      </c>
      <c r="I2908" s="11" t="n">
        <v>275</v>
      </c>
      <c r="J2908" s="11" t="n">
        <v>50</v>
      </c>
      <c r="K2908" s="11" t="n">
        <f aca="false">H2908*I2908-J2908</f>
        <v>775</v>
      </c>
      <c r="L2908" s="7" t="s">
        <v>88</v>
      </c>
      <c r="M2908" s="7" t="s">
        <v>194</v>
      </c>
      <c r="N2908" s="7" t="n">
        <v>34</v>
      </c>
      <c r="O2908" s="7"/>
    </row>
    <row r="2909" customFormat="false" ht="15" hidden="false" customHeight="false" outlineLevel="0" collapsed="false">
      <c r="A2909" s="7" t="s">
        <v>1826</v>
      </c>
      <c r="B2909" s="10" t="n">
        <v>46019</v>
      </c>
      <c r="C2909" s="7" t="s">
        <v>573</v>
      </c>
      <c r="D2909" s="7" t="s">
        <v>1827</v>
      </c>
      <c r="E2909" s="7" t="s">
        <v>94</v>
      </c>
      <c r="F2909" s="7" t="s">
        <v>86</v>
      </c>
      <c r="G2909" s="7" t="s">
        <v>95</v>
      </c>
      <c r="H2909" s="7" t="n">
        <v>2</v>
      </c>
      <c r="I2909" s="11" t="n">
        <v>125</v>
      </c>
      <c r="J2909" s="11" t="n">
        <v>0</v>
      </c>
      <c r="K2909" s="11" t="n">
        <f aca="false">H2909*I2909-J2909</f>
        <v>250</v>
      </c>
      <c r="L2909" s="7" t="s">
        <v>93</v>
      </c>
      <c r="M2909" s="7" t="s">
        <v>194</v>
      </c>
      <c r="N2909" s="7" t="n">
        <v>43</v>
      </c>
      <c r="O2909" s="7" t="n">
        <v>3</v>
      </c>
    </row>
    <row r="2910" customFormat="false" ht="15" hidden="false" customHeight="false" outlineLevel="0" collapsed="false">
      <c r="A2910" s="7" t="s">
        <v>6088</v>
      </c>
      <c r="B2910" s="10" t="n">
        <v>46019</v>
      </c>
      <c r="C2910" s="7" t="s">
        <v>2634</v>
      </c>
      <c r="D2910" s="7" t="s">
        <v>3974</v>
      </c>
      <c r="E2910" s="7" t="s">
        <v>94</v>
      </c>
      <c r="F2910" s="7" t="s">
        <v>86</v>
      </c>
      <c r="G2910" s="7" t="s">
        <v>95</v>
      </c>
      <c r="H2910" s="7" t="n">
        <v>4</v>
      </c>
      <c r="I2910" s="11" t="n">
        <v>130</v>
      </c>
      <c r="J2910" s="11" t="n">
        <v>50</v>
      </c>
      <c r="K2910" s="11" t="n">
        <f aca="false">H2910*I2910-J2910</f>
        <v>470</v>
      </c>
      <c r="L2910" s="7" t="s">
        <v>112</v>
      </c>
      <c r="M2910" s="7" t="s">
        <v>194</v>
      </c>
      <c r="N2910" s="7" t="n">
        <v>33</v>
      </c>
      <c r="O2910" s="7" t="n">
        <v>4</v>
      </c>
    </row>
    <row r="2911" customFormat="false" ht="15" hidden="false" customHeight="false" outlineLevel="0" collapsed="false">
      <c r="A2911" s="7" t="s">
        <v>5301</v>
      </c>
      <c r="B2911" s="10" t="n">
        <v>46019</v>
      </c>
      <c r="C2911" s="7" t="s">
        <v>2634</v>
      </c>
      <c r="D2911" s="7" t="s">
        <v>5147</v>
      </c>
      <c r="E2911" s="7" t="s">
        <v>94</v>
      </c>
      <c r="F2911" s="7" t="s">
        <v>86</v>
      </c>
      <c r="G2911" s="7" t="s">
        <v>95</v>
      </c>
      <c r="H2911" s="7" t="n">
        <v>1</v>
      </c>
      <c r="I2911" s="11" t="n">
        <v>125</v>
      </c>
      <c r="J2911" s="11" t="n">
        <v>50</v>
      </c>
      <c r="K2911" s="11" t="n">
        <f aca="false">H2911*I2911-J2911</f>
        <v>75</v>
      </c>
      <c r="L2911" s="7" t="s">
        <v>88</v>
      </c>
      <c r="M2911" s="7" t="s">
        <v>194</v>
      </c>
      <c r="N2911" s="7" t="n">
        <v>36</v>
      </c>
      <c r="O2911" s="7" t="n">
        <v>4</v>
      </c>
    </row>
    <row r="2912" customFormat="false" ht="15" hidden="false" customHeight="false" outlineLevel="0" collapsed="false">
      <c r="A2912" s="7" t="s">
        <v>4999</v>
      </c>
      <c r="B2912" s="10" t="n">
        <v>46020</v>
      </c>
      <c r="C2912" s="7" t="s">
        <v>2451</v>
      </c>
      <c r="D2912" s="7" t="s">
        <v>5000</v>
      </c>
      <c r="E2912" s="7" t="s">
        <v>138</v>
      </c>
      <c r="F2912" s="7" t="s">
        <v>110</v>
      </c>
      <c r="G2912" s="7" t="s">
        <v>139</v>
      </c>
      <c r="H2912" s="7" t="n">
        <v>5</v>
      </c>
      <c r="I2912" s="11" t="n">
        <v>200</v>
      </c>
      <c r="J2912" s="11" t="n">
        <v>0</v>
      </c>
      <c r="K2912" s="11" t="n">
        <f aca="false">H2912*I2912-J2912</f>
        <v>1000</v>
      </c>
      <c r="L2912" s="7" t="s">
        <v>93</v>
      </c>
      <c r="M2912" s="7" t="s">
        <v>194</v>
      </c>
      <c r="N2912" s="7" t="n">
        <v>35</v>
      </c>
      <c r="O2912" s="7" t="n">
        <v>4</v>
      </c>
    </row>
    <row r="2913" customFormat="false" ht="15" hidden="false" customHeight="false" outlineLevel="0" collapsed="false">
      <c r="A2913" s="7" t="s">
        <v>4738</v>
      </c>
      <c r="B2913" s="10" t="n">
        <v>46020</v>
      </c>
      <c r="C2913" s="7" t="s">
        <v>736</v>
      </c>
      <c r="D2913" s="7" t="s">
        <v>1181</v>
      </c>
      <c r="E2913" s="7" t="s">
        <v>162</v>
      </c>
      <c r="F2913" s="7" t="s">
        <v>141</v>
      </c>
      <c r="G2913" s="7" t="s">
        <v>117</v>
      </c>
      <c r="H2913" s="7" t="n">
        <v>3</v>
      </c>
      <c r="I2913" s="11" t="n">
        <v>110</v>
      </c>
      <c r="J2913" s="11" t="n">
        <v>40</v>
      </c>
      <c r="K2913" s="11" t="n">
        <f aca="false">H2913*I2913-J2913</f>
        <v>290</v>
      </c>
      <c r="L2913" s="7" t="s">
        <v>93</v>
      </c>
      <c r="M2913" s="7" t="s">
        <v>194</v>
      </c>
      <c r="N2913" s="7" t="n">
        <v>23</v>
      </c>
      <c r="O2913" s="7" t="n">
        <v>5</v>
      </c>
    </row>
    <row r="2914" customFormat="false" ht="15" hidden="false" customHeight="false" outlineLevel="0" collapsed="false">
      <c r="A2914" s="7" t="s">
        <v>5341</v>
      </c>
      <c r="B2914" s="10" t="n">
        <v>46020</v>
      </c>
      <c r="C2914" s="7" t="s">
        <v>1449</v>
      </c>
      <c r="D2914" s="7" t="s">
        <v>2279</v>
      </c>
      <c r="E2914" s="7" t="s">
        <v>168</v>
      </c>
      <c r="F2914" s="7" t="s">
        <v>146</v>
      </c>
      <c r="G2914" s="7" t="s">
        <v>123</v>
      </c>
      <c r="H2914" s="7" t="n">
        <v>2</v>
      </c>
      <c r="I2914" s="11" t="n">
        <v>285</v>
      </c>
      <c r="J2914" s="11" t="n">
        <v>100</v>
      </c>
      <c r="K2914" s="11" t="n">
        <f aca="false">H2914*I2914-J2914</f>
        <v>470</v>
      </c>
      <c r="L2914" s="7" t="s">
        <v>103</v>
      </c>
      <c r="M2914" s="7" t="s">
        <v>194</v>
      </c>
      <c r="N2914" s="7" t="n">
        <v>20</v>
      </c>
      <c r="O2914" s="7" t="n">
        <v>2</v>
      </c>
    </row>
    <row r="2915" customFormat="false" ht="15" hidden="false" customHeight="false" outlineLevel="0" collapsed="false">
      <c r="A2915" s="7" t="s">
        <v>5417</v>
      </c>
      <c r="B2915" s="10" t="n">
        <v>46020</v>
      </c>
      <c r="C2915" s="7" t="s">
        <v>3605</v>
      </c>
      <c r="D2915" s="7" t="s">
        <v>5418</v>
      </c>
      <c r="E2915" s="7" t="s">
        <v>144</v>
      </c>
      <c r="F2915" s="7" t="s">
        <v>119</v>
      </c>
      <c r="G2915" s="7" t="s">
        <v>99</v>
      </c>
      <c r="H2915" s="7" t="n">
        <v>1</v>
      </c>
      <c r="I2915" s="11" t="n">
        <v>260</v>
      </c>
      <c r="J2915" s="11" t="n">
        <v>0</v>
      </c>
      <c r="K2915" s="11" t="n">
        <f aca="false">H2915*I2915-J2915</f>
        <v>260</v>
      </c>
      <c r="L2915" s="7" t="s">
        <v>88</v>
      </c>
      <c r="M2915" s="7" t="s">
        <v>194</v>
      </c>
      <c r="N2915" s="7" t="n">
        <v>39</v>
      </c>
      <c r="O2915" s="7" t="n">
        <v>4</v>
      </c>
    </row>
    <row r="2916" customFormat="false" ht="15" hidden="false" customHeight="false" outlineLevel="0" collapsed="false">
      <c r="A2916" s="7" t="s">
        <v>659</v>
      </c>
      <c r="B2916" s="10" t="n">
        <v>46020</v>
      </c>
      <c r="C2916" s="7" t="s">
        <v>661</v>
      </c>
      <c r="D2916" s="7" t="s">
        <v>662</v>
      </c>
      <c r="E2916" s="7" t="s">
        <v>154</v>
      </c>
      <c r="F2916" s="7" t="s">
        <v>128</v>
      </c>
      <c r="G2916" s="7" t="s">
        <v>99</v>
      </c>
      <c r="H2916" s="7" t="n">
        <v>2</v>
      </c>
      <c r="I2916" s="11" t="n">
        <v>255</v>
      </c>
      <c r="J2916" s="11" t="n">
        <v>40</v>
      </c>
      <c r="K2916" s="11" t="n">
        <f aca="false">H2916*I2916-J2916</f>
        <v>470</v>
      </c>
      <c r="L2916" s="7" t="s">
        <v>93</v>
      </c>
      <c r="M2916" s="7" t="s">
        <v>194</v>
      </c>
      <c r="N2916" s="7" t="n">
        <v>33</v>
      </c>
      <c r="O2916" s="7" t="n">
        <v>3</v>
      </c>
    </row>
    <row r="2917" customFormat="false" ht="15" hidden="false" customHeight="false" outlineLevel="0" collapsed="false">
      <c r="A2917" s="7" t="s">
        <v>5506</v>
      </c>
      <c r="B2917" s="10" t="n">
        <v>46020</v>
      </c>
      <c r="C2917" s="7" t="s">
        <v>399</v>
      </c>
      <c r="D2917" s="7" t="s">
        <v>3195</v>
      </c>
      <c r="E2917" s="7" t="s">
        <v>122</v>
      </c>
      <c r="F2917" s="7" t="s">
        <v>101</v>
      </c>
      <c r="G2917" s="7" t="s">
        <v>123</v>
      </c>
      <c r="H2917" s="7" t="n">
        <v>1</v>
      </c>
      <c r="I2917" s="11" t="n">
        <v>280</v>
      </c>
      <c r="J2917" s="11" t="n">
        <v>0</v>
      </c>
      <c r="K2917" s="11" t="n">
        <f aca="false">H2917*I2917-J2917</f>
        <v>280</v>
      </c>
      <c r="L2917" s="7" t="s">
        <v>121</v>
      </c>
      <c r="M2917" s="7" t="s">
        <v>194</v>
      </c>
      <c r="N2917" s="7" t="n">
        <v>49</v>
      </c>
      <c r="O2917" s="7"/>
    </row>
    <row r="2918" customFormat="false" ht="15" hidden="false" customHeight="false" outlineLevel="0" collapsed="false">
      <c r="A2918" s="7" t="s">
        <v>2513</v>
      </c>
      <c r="B2918" s="10" t="n">
        <v>46020</v>
      </c>
      <c r="C2918" s="7" t="s">
        <v>2514</v>
      </c>
      <c r="D2918" s="7" t="s">
        <v>2367</v>
      </c>
      <c r="E2918" s="7" t="s">
        <v>134</v>
      </c>
      <c r="F2918" s="7" t="s">
        <v>110</v>
      </c>
      <c r="G2918" s="7" t="s">
        <v>117</v>
      </c>
      <c r="H2918" s="7" t="n">
        <v>1</v>
      </c>
      <c r="I2918" s="11" t="n">
        <v>115</v>
      </c>
      <c r="J2918" s="11" t="n">
        <v>20</v>
      </c>
      <c r="K2918" s="11" t="n">
        <f aca="false">H2918*I2918-J2918</f>
        <v>95</v>
      </c>
      <c r="L2918" s="7" t="s">
        <v>88</v>
      </c>
      <c r="M2918" s="7" t="s">
        <v>194</v>
      </c>
      <c r="N2918" s="7" t="n">
        <v>36</v>
      </c>
      <c r="O2918" s="7" t="n">
        <v>5</v>
      </c>
    </row>
    <row r="2919" customFormat="false" ht="15" hidden="false" customHeight="false" outlineLevel="0" collapsed="false">
      <c r="A2919" s="7" t="s">
        <v>4168</v>
      </c>
      <c r="B2919" s="10" t="n">
        <v>46020</v>
      </c>
      <c r="C2919" s="7" t="s">
        <v>1737</v>
      </c>
      <c r="D2919" s="7" t="s">
        <v>4169</v>
      </c>
      <c r="E2919" s="7" t="s">
        <v>130</v>
      </c>
      <c r="F2919" s="7" t="s">
        <v>110</v>
      </c>
      <c r="G2919" s="7" t="s">
        <v>90</v>
      </c>
      <c r="H2919" s="7" t="n">
        <v>3</v>
      </c>
      <c r="I2919" s="11" t="n">
        <v>285</v>
      </c>
      <c r="J2919" s="11" t="n">
        <v>30</v>
      </c>
      <c r="K2919" s="11" t="n">
        <f aca="false">H2919*I2919-J2919</f>
        <v>825</v>
      </c>
      <c r="L2919" s="7" t="s">
        <v>93</v>
      </c>
      <c r="M2919" s="7" t="s">
        <v>194</v>
      </c>
      <c r="N2919" s="7" t="n">
        <v>32</v>
      </c>
      <c r="O2919" s="7"/>
    </row>
    <row r="2920" customFormat="false" ht="15" hidden="false" customHeight="false" outlineLevel="0" collapsed="false">
      <c r="A2920" s="7" t="s">
        <v>1332</v>
      </c>
      <c r="B2920" s="10" t="n">
        <v>46020</v>
      </c>
      <c r="C2920" s="7" t="s">
        <v>769</v>
      </c>
      <c r="D2920" s="7" t="s">
        <v>1333</v>
      </c>
      <c r="E2920" s="7" t="s">
        <v>134</v>
      </c>
      <c r="F2920" s="7" t="s">
        <v>110</v>
      </c>
      <c r="G2920" s="7" t="s">
        <v>117</v>
      </c>
      <c r="H2920" s="7" t="n">
        <v>2</v>
      </c>
      <c r="I2920" s="11" t="n">
        <v>125</v>
      </c>
      <c r="J2920" s="11" t="n">
        <v>0</v>
      </c>
      <c r="K2920" s="11" t="n">
        <f aca="false">H2920*I2920-J2920</f>
        <v>250</v>
      </c>
      <c r="L2920" s="7" t="s">
        <v>112</v>
      </c>
      <c r="M2920" s="7" t="s">
        <v>194</v>
      </c>
      <c r="N2920" s="7" t="n">
        <v>49</v>
      </c>
      <c r="O2920" s="7" t="n">
        <v>4</v>
      </c>
    </row>
    <row r="2921" customFormat="false" ht="15" hidden="false" customHeight="false" outlineLevel="0" collapsed="false">
      <c r="A2921" s="7" t="s">
        <v>4387</v>
      </c>
      <c r="B2921" s="10" t="n">
        <v>46020</v>
      </c>
      <c r="C2921" s="7" t="s">
        <v>4389</v>
      </c>
      <c r="D2921" s="7" t="s">
        <v>4390</v>
      </c>
      <c r="E2921" s="7" t="s">
        <v>144</v>
      </c>
      <c r="F2921" s="7" t="s">
        <v>119</v>
      </c>
      <c r="G2921" s="7" t="s">
        <v>99</v>
      </c>
      <c r="H2921" s="7" t="n">
        <v>1</v>
      </c>
      <c r="I2921" s="11" t="n">
        <v>245</v>
      </c>
      <c r="J2921" s="11" t="n">
        <v>0</v>
      </c>
      <c r="K2921" s="11" t="n">
        <f aca="false">H2921*I2921-J2921</f>
        <v>245</v>
      </c>
      <c r="L2921" s="7" t="s">
        <v>88</v>
      </c>
      <c r="M2921" s="7" t="s">
        <v>194</v>
      </c>
      <c r="N2921" s="7" t="n">
        <v>33</v>
      </c>
      <c r="O2921" s="7" t="n">
        <v>5</v>
      </c>
    </row>
    <row r="2922" customFormat="false" ht="15" hidden="false" customHeight="false" outlineLevel="0" collapsed="false">
      <c r="A2922" s="7" t="s">
        <v>3488</v>
      </c>
      <c r="B2922" s="10" t="n">
        <v>46020</v>
      </c>
      <c r="C2922" s="7" t="s">
        <v>3489</v>
      </c>
      <c r="D2922" s="7" t="s">
        <v>1716</v>
      </c>
      <c r="E2922" s="7" t="s">
        <v>167</v>
      </c>
      <c r="F2922" s="7" t="s">
        <v>146</v>
      </c>
      <c r="G2922" s="7" t="s">
        <v>156</v>
      </c>
      <c r="H2922" s="7" t="n">
        <v>3</v>
      </c>
      <c r="I2922" s="11" t="n">
        <v>245</v>
      </c>
      <c r="J2922" s="11" t="n">
        <v>125</v>
      </c>
      <c r="K2922" s="11" t="n">
        <f aca="false">H2922*I2922-J2922</f>
        <v>610</v>
      </c>
      <c r="L2922" s="7" t="s">
        <v>88</v>
      </c>
      <c r="M2922" s="7" t="s">
        <v>194</v>
      </c>
      <c r="N2922" s="7" t="n">
        <v>22</v>
      </c>
      <c r="O2922" s="7" t="n">
        <v>2</v>
      </c>
    </row>
    <row r="2923" customFormat="false" ht="15" hidden="false" customHeight="false" outlineLevel="0" collapsed="false">
      <c r="A2923" s="7" t="s">
        <v>1602</v>
      </c>
      <c r="B2923" s="10" t="n">
        <v>46021</v>
      </c>
      <c r="C2923" s="7" t="s">
        <v>1604</v>
      </c>
      <c r="D2923" s="7" t="s">
        <v>1605</v>
      </c>
      <c r="E2923" s="7" t="s">
        <v>142</v>
      </c>
      <c r="F2923" s="7" t="s">
        <v>110</v>
      </c>
      <c r="G2923" s="7" t="s">
        <v>105</v>
      </c>
      <c r="H2923" s="7" t="n">
        <v>1</v>
      </c>
      <c r="I2923" s="11" t="n">
        <v>160</v>
      </c>
      <c r="J2923" s="11" t="n">
        <v>0</v>
      </c>
      <c r="K2923" s="11" t="n">
        <f aca="false">H2923*I2923-J2923</f>
        <v>160</v>
      </c>
      <c r="L2923" s="7" t="s">
        <v>133</v>
      </c>
      <c r="M2923" s="7" t="s">
        <v>194</v>
      </c>
      <c r="N2923" s="7" t="n">
        <v>40</v>
      </c>
      <c r="O2923" s="7" t="n">
        <v>4</v>
      </c>
    </row>
    <row r="2924" customFormat="false" ht="15" hidden="false" customHeight="false" outlineLevel="0" collapsed="false">
      <c r="A2924" s="7" t="s">
        <v>5222</v>
      </c>
      <c r="B2924" s="10" t="n">
        <v>46021</v>
      </c>
      <c r="C2924" s="7" t="s">
        <v>2048</v>
      </c>
      <c r="D2924" s="7" t="s">
        <v>1110</v>
      </c>
      <c r="E2924" s="7" t="s">
        <v>113</v>
      </c>
      <c r="F2924" s="7" t="s">
        <v>101</v>
      </c>
      <c r="G2924" s="7" t="s">
        <v>90</v>
      </c>
      <c r="H2924" s="7" t="n">
        <v>1</v>
      </c>
      <c r="I2924" s="11" t="n">
        <v>275</v>
      </c>
      <c r="J2924" s="11" t="n">
        <v>50</v>
      </c>
      <c r="K2924" s="11" t="n">
        <f aca="false">H2924*I2924-J2924</f>
        <v>225</v>
      </c>
      <c r="L2924" s="7" t="s">
        <v>88</v>
      </c>
      <c r="M2924" s="7" t="s">
        <v>194</v>
      </c>
      <c r="N2924" s="7" t="n">
        <v>51</v>
      </c>
      <c r="O2924" s="7" t="n">
        <v>4</v>
      </c>
    </row>
    <row r="2925" customFormat="false" ht="15" hidden="false" customHeight="false" outlineLevel="0" collapsed="false">
      <c r="A2925" s="7" t="s">
        <v>5015</v>
      </c>
      <c r="B2925" s="10" t="n">
        <v>46021</v>
      </c>
      <c r="C2925" s="7" t="s">
        <v>292</v>
      </c>
      <c r="D2925" s="7" t="s">
        <v>1475</v>
      </c>
      <c r="E2925" s="7" t="s">
        <v>148</v>
      </c>
      <c r="F2925" s="7" t="s">
        <v>119</v>
      </c>
      <c r="G2925" s="7" t="s">
        <v>123</v>
      </c>
      <c r="H2925" s="7" t="n">
        <v>2</v>
      </c>
      <c r="I2925" s="11" t="n">
        <v>320</v>
      </c>
      <c r="J2925" s="11" t="n">
        <v>0</v>
      </c>
      <c r="K2925" s="11" t="n">
        <f aca="false">H2925*I2925-J2925</f>
        <v>640</v>
      </c>
      <c r="L2925" s="7" t="s">
        <v>112</v>
      </c>
      <c r="M2925" s="7" t="s">
        <v>194</v>
      </c>
      <c r="N2925" s="7" t="n">
        <v>38</v>
      </c>
      <c r="O2925" s="7" t="n">
        <v>4</v>
      </c>
    </row>
    <row r="2926" customFormat="false" ht="15" hidden="false" customHeight="false" outlineLevel="0" collapsed="false">
      <c r="A2926" s="7" t="s">
        <v>3911</v>
      </c>
      <c r="B2926" s="10" t="n">
        <v>46021</v>
      </c>
      <c r="C2926" s="7" t="s">
        <v>369</v>
      </c>
      <c r="D2926" s="7" t="s">
        <v>3912</v>
      </c>
      <c r="E2926" s="7" t="s">
        <v>89</v>
      </c>
      <c r="F2926" s="7" t="s">
        <v>86</v>
      </c>
      <c r="G2926" s="7" t="s">
        <v>90</v>
      </c>
      <c r="H2926" s="7" t="n">
        <v>1</v>
      </c>
      <c r="I2926" s="11" t="n">
        <v>245</v>
      </c>
      <c r="J2926" s="11" t="n">
        <v>0</v>
      </c>
      <c r="K2926" s="11" t="n">
        <f aca="false">H2926*I2926-J2926</f>
        <v>245</v>
      </c>
      <c r="L2926" s="7" t="s">
        <v>88</v>
      </c>
      <c r="M2926" s="7" t="s">
        <v>194</v>
      </c>
      <c r="N2926" s="7" t="n">
        <v>45</v>
      </c>
      <c r="O2926" s="7" t="n">
        <v>4</v>
      </c>
    </row>
    <row r="2927" customFormat="false" ht="15" hidden="false" customHeight="false" outlineLevel="0" collapsed="false">
      <c r="A2927" s="7" t="s">
        <v>6146</v>
      </c>
      <c r="B2927" s="10" t="n">
        <v>46021</v>
      </c>
      <c r="C2927" s="7" t="s">
        <v>1474</v>
      </c>
      <c r="D2927" s="7" t="s">
        <v>857</v>
      </c>
      <c r="E2927" s="7" t="s">
        <v>89</v>
      </c>
      <c r="F2927" s="7" t="s">
        <v>86</v>
      </c>
      <c r="G2927" s="7" t="s">
        <v>90</v>
      </c>
      <c r="H2927" s="7" t="n">
        <v>3</v>
      </c>
      <c r="I2927" s="11" t="n">
        <v>255</v>
      </c>
      <c r="J2927" s="11" t="n">
        <v>20</v>
      </c>
      <c r="K2927" s="11" t="n">
        <f aca="false">H2927*I2927-J2927</f>
        <v>745</v>
      </c>
      <c r="L2927" s="7" t="s">
        <v>93</v>
      </c>
      <c r="M2927" s="7" t="s">
        <v>194</v>
      </c>
      <c r="N2927" s="7" t="n">
        <v>44</v>
      </c>
      <c r="O2927" s="7" t="n">
        <v>3</v>
      </c>
    </row>
    <row r="2928" customFormat="false" ht="15" hidden="false" customHeight="false" outlineLevel="0" collapsed="false">
      <c r="A2928" s="7" t="s">
        <v>3009</v>
      </c>
      <c r="B2928" s="10" t="n">
        <v>46021</v>
      </c>
      <c r="C2928" s="7" t="s">
        <v>1873</v>
      </c>
      <c r="D2928" s="7" t="s">
        <v>311</v>
      </c>
      <c r="E2928" s="7" t="s">
        <v>130</v>
      </c>
      <c r="F2928" s="7" t="s">
        <v>110</v>
      </c>
      <c r="G2928" s="7" t="s">
        <v>90</v>
      </c>
      <c r="H2928" s="7" t="n">
        <v>1</v>
      </c>
      <c r="I2928" s="11" t="n">
        <v>250</v>
      </c>
      <c r="J2928" s="11" t="n">
        <v>40</v>
      </c>
      <c r="K2928" s="11" t="n">
        <f aca="false">H2928*I2928-J2928</f>
        <v>210</v>
      </c>
      <c r="L2928" s="7" t="s">
        <v>88</v>
      </c>
      <c r="M2928" s="7" t="s">
        <v>194</v>
      </c>
      <c r="N2928" s="7" t="n">
        <v>48</v>
      </c>
      <c r="O2928" s="7" t="n">
        <v>5</v>
      </c>
    </row>
    <row r="2929" customFormat="false" ht="15" hidden="false" customHeight="false" outlineLevel="0" collapsed="false">
      <c r="A2929" s="7" t="s">
        <v>4001</v>
      </c>
      <c r="B2929" s="10" t="n">
        <v>46021</v>
      </c>
      <c r="C2929" s="7" t="s">
        <v>1545</v>
      </c>
      <c r="D2929" s="7" t="s">
        <v>456</v>
      </c>
      <c r="E2929" s="7" t="s">
        <v>147</v>
      </c>
      <c r="F2929" s="7" t="s">
        <v>119</v>
      </c>
      <c r="G2929" s="7" t="s">
        <v>95</v>
      </c>
      <c r="H2929" s="7" t="n">
        <v>3</v>
      </c>
      <c r="I2929" s="11" t="n">
        <v>170</v>
      </c>
      <c r="J2929" s="11" t="n">
        <v>0</v>
      </c>
      <c r="K2929" s="11" t="n">
        <f aca="false">H2929*I2929-J2929</f>
        <v>510</v>
      </c>
      <c r="L2929" s="7" t="s">
        <v>93</v>
      </c>
      <c r="M2929" s="7" t="s">
        <v>194</v>
      </c>
      <c r="N2929" s="7" t="n">
        <v>39</v>
      </c>
      <c r="O2929" s="7" t="n">
        <v>4</v>
      </c>
    </row>
    <row r="2930" customFormat="false" ht="15" hidden="false" customHeight="false" outlineLevel="0" collapsed="false">
      <c r="A2930" s="7" t="s">
        <v>5154</v>
      </c>
      <c r="B2930" s="10" t="n">
        <v>46021</v>
      </c>
      <c r="C2930" s="7" t="s">
        <v>3445</v>
      </c>
      <c r="D2930" s="7" t="s">
        <v>4285</v>
      </c>
      <c r="E2930" s="7" t="s">
        <v>149</v>
      </c>
      <c r="F2930" s="7" t="s">
        <v>119</v>
      </c>
      <c r="G2930" s="7" t="s">
        <v>150</v>
      </c>
      <c r="H2930" s="7" t="n">
        <v>3</v>
      </c>
      <c r="I2930" s="11" t="n">
        <v>140</v>
      </c>
      <c r="J2930" s="11" t="n">
        <v>125</v>
      </c>
      <c r="K2930" s="11" t="n">
        <f aca="false">H2930*I2930-J2930</f>
        <v>295</v>
      </c>
      <c r="L2930" s="7" t="s">
        <v>88</v>
      </c>
      <c r="M2930" s="7" t="s">
        <v>194</v>
      </c>
      <c r="N2930" s="7" t="n">
        <v>34</v>
      </c>
      <c r="O2930" s="7" t="n">
        <v>4</v>
      </c>
    </row>
    <row r="2931" customFormat="false" ht="15" hidden="false" customHeight="false" outlineLevel="0" collapsed="false">
      <c r="A2931" s="7" t="s">
        <v>2633</v>
      </c>
      <c r="B2931" s="10" t="n">
        <v>46021</v>
      </c>
      <c r="C2931" s="7" t="s">
        <v>2634</v>
      </c>
      <c r="D2931" s="7" t="s">
        <v>2635</v>
      </c>
      <c r="E2931" s="7" t="s">
        <v>94</v>
      </c>
      <c r="F2931" s="7" t="s">
        <v>86</v>
      </c>
      <c r="G2931" s="7" t="s">
        <v>95</v>
      </c>
      <c r="H2931" s="7" t="n">
        <v>1</v>
      </c>
      <c r="I2931" s="11" t="n">
        <v>95</v>
      </c>
      <c r="J2931" s="11" t="n">
        <v>0</v>
      </c>
      <c r="K2931" s="11" t="n">
        <f aca="false">H2931*I2931-J2931</f>
        <v>95</v>
      </c>
      <c r="L2931" s="7" t="s">
        <v>103</v>
      </c>
      <c r="M2931" s="7" t="s">
        <v>194</v>
      </c>
      <c r="N2931" s="7" t="n">
        <v>42</v>
      </c>
      <c r="O2931" s="7" t="n">
        <v>4</v>
      </c>
    </row>
    <row r="2932" customFormat="false" ht="15" hidden="false" customHeight="false" outlineLevel="0" collapsed="false">
      <c r="A2932" s="7" t="s">
        <v>4214</v>
      </c>
      <c r="B2932" s="10" t="n">
        <v>46021</v>
      </c>
      <c r="C2932" s="7" t="s">
        <v>4215</v>
      </c>
      <c r="D2932" s="7" t="s">
        <v>4216</v>
      </c>
      <c r="E2932" s="7" t="s">
        <v>147</v>
      </c>
      <c r="F2932" s="7" t="s">
        <v>119</v>
      </c>
      <c r="G2932" s="7" t="s">
        <v>95</v>
      </c>
      <c r="H2932" s="7" t="n">
        <v>3</v>
      </c>
      <c r="I2932" s="11" t="n">
        <v>160</v>
      </c>
      <c r="J2932" s="11" t="n">
        <v>0</v>
      </c>
      <c r="K2932" s="11" t="n">
        <f aca="false">H2932*I2932-J2932</f>
        <v>480</v>
      </c>
      <c r="L2932" s="7" t="s">
        <v>88</v>
      </c>
      <c r="M2932" s="7" t="s">
        <v>194</v>
      </c>
      <c r="N2932" s="7" t="n">
        <v>32</v>
      </c>
      <c r="O2932" s="7" t="n">
        <v>3</v>
      </c>
    </row>
    <row r="2933" customFormat="false" ht="15" hidden="false" customHeight="false" outlineLevel="0" collapsed="false">
      <c r="A2933" s="7" t="s">
        <v>4228</v>
      </c>
      <c r="B2933" s="10" t="n">
        <v>46022</v>
      </c>
      <c r="C2933" s="7" t="s">
        <v>2105</v>
      </c>
      <c r="D2933" s="7" t="s">
        <v>1006</v>
      </c>
      <c r="E2933" s="7" t="s">
        <v>144</v>
      </c>
      <c r="F2933" s="7" t="s">
        <v>119</v>
      </c>
      <c r="G2933" s="7" t="s">
        <v>99</v>
      </c>
      <c r="H2933" s="7" t="n">
        <v>4</v>
      </c>
      <c r="I2933" s="11" t="n">
        <v>280</v>
      </c>
      <c r="J2933" s="11" t="n">
        <v>0</v>
      </c>
      <c r="K2933" s="11" t="n">
        <f aca="false">H2933*I2933-J2933</f>
        <v>1120</v>
      </c>
      <c r="L2933" s="7" t="s">
        <v>88</v>
      </c>
      <c r="M2933" s="7" t="s">
        <v>194</v>
      </c>
      <c r="N2933" s="7" t="n">
        <v>39</v>
      </c>
      <c r="O2933" s="7" t="n">
        <v>5</v>
      </c>
    </row>
    <row r="2934" customFormat="false" ht="15" hidden="false" customHeight="false" outlineLevel="0" collapsed="false">
      <c r="A2934" s="7" t="s">
        <v>2123</v>
      </c>
      <c r="B2934" s="10" t="n">
        <v>46022</v>
      </c>
      <c r="C2934" s="7" t="s">
        <v>2125</v>
      </c>
      <c r="D2934" s="7" t="s">
        <v>1846</v>
      </c>
      <c r="E2934" s="7" t="s">
        <v>113</v>
      </c>
      <c r="F2934" s="7" t="s">
        <v>101</v>
      </c>
      <c r="G2934" s="7" t="s">
        <v>90</v>
      </c>
      <c r="H2934" s="7" t="n">
        <v>2</v>
      </c>
      <c r="I2934" s="11" t="n">
        <v>220</v>
      </c>
      <c r="J2934" s="11" t="n">
        <v>0</v>
      </c>
      <c r="K2934" s="11" t="n">
        <f aca="false">H2934*I2934-J2934</f>
        <v>440</v>
      </c>
      <c r="L2934" s="7" t="s">
        <v>88</v>
      </c>
      <c r="M2934" s="7" t="s">
        <v>194</v>
      </c>
      <c r="N2934" s="7" t="n">
        <v>42</v>
      </c>
      <c r="O2934" s="7" t="n">
        <v>3</v>
      </c>
    </row>
    <row r="2935" customFormat="false" ht="15" hidden="false" customHeight="false" outlineLevel="0" collapsed="false">
      <c r="A2935" s="7" t="s">
        <v>2352</v>
      </c>
      <c r="B2935" s="10" t="n">
        <v>46022</v>
      </c>
      <c r="C2935" s="7" t="s">
        <v>1235</v>
      </c>
      <c r="D2935" s="7" t="s">
        <v>2353</v>
      </c>
      <c r="E2935" s="7" t="s">
        <v>158</v>
      </c>
      <c r="F2935" s="7" t="s">
        <v>136</v>
      </c>
      <c r="G2935" s="7" t="s">
        <v>139</v>
      </c>
      <c r="H2935" s="7" t="n">
        <v>1</v>
      </c>
      <c r="I2935" s="11" t="n">
        <v>235</v>
      </c>
      <c r="J2935" s="11" t="n">
        <v>94</v>
      </c>
      <c r="K2935" s="11" t="n">
        <f aca="false">H2935*I2935-J2935</f>
        <v>141</v>
      </c>
      <c r="L2935" s="7" t="s">
        <v>112</v>
      </c>
      <c r="M2935" s="7" t="s">
        <v>194</v>
      </c>
      <c r="N2935" s="7" t="n">
        <v>36</v>
      </c>
      <c r="O2935" s="7" t="n">
        <v>4</v>
      </c>
    </row>
    <row r="2936" customFormat="false" ht="15" hidden="false" customHeight="false" outlineLevel="0" collapsed="false">
      <c r="A2936" s="7" t="s">
        <v>6139</v>
      </c>
      <c r="B2936" s="10" t="n">
        <v>46022</v>
      </c>
      <c r="C2936" s="7" t="s">
        <v>1452</v>
      </c>
      <c r="D2936" s="7" t="s">
        <v>1349</v>
      </c>
      <c r="E2936" s="7" t="s">
        <v>160</v>
      </c>
      <c r="F2936" s="7" t="s">
        <v>136</v>
      </c>
      <c r="G2936" s="7" t="s">
        <v>150</v>
      </c>
      <c r="H2936" s="7" t="n">
        <v>1</v>
      </c>
      <c r="I2936" s="11" t="n">
        <v>195</v>
      </c>
      <c r="J2936" s="11" t="n">
        <v>78</v>
      </c>
      <c r="K2936" s="11" t="n">
        <f aca="false">H2936*I2936-J2936</f>
        <v>117</v>
      </c>
      <c r="L2936" s="7" t="s">
        <v>88</v>
      </c>
      <c r="M2936" s="7" t="s">
        <v>194</v>
      </c>
      <c r="N2936" s="7"/>
      <c r="O2936" s="7" t="n">
        <v>5</v>
      </c>
    </row>
    <row r="2937" customFormat="false" ht="15" hidden="false" customHeight="false" outlineLevel="0" collapsed="false">
      <c r="A2937" s="7" t="s">
        <v>5985</v>
      </c>
      <c r="B2937" s="10" t="n">
        <v>46022</v>
      </c>
      <c r="C2937" s="7" t="s">
        <v>1852</v>
      </c>
      <c r="D2937" s="7" t="s">
        <v>1293</v>
      </c>
      <c r="E2937" s="7" t="s">
        <v>138</v>
      </c>
      <c r="F2937" s="7" t="s">
        <v>110</v>
      </c>
      <c r="G2937" s="7" t="s">
        <v>139</v>
      </c>
      <c r="H2937" s="7" t="n">
        <v>1</v>
      </c>
      <c r="I2937" s="11" t="n">
        <v>200</v>
      </c>
      <c r="J2937" s="11" t="n">
        <v>0</v>
      </c>
      <c r="K2937" s="11" t="n">
        <f aca="false">H2937*I2937-J2937</f>
        <v>200</v>
      </c>
      <c r="L2937" s="7" t="s">
        <v>112</v>
      </c>
      <c r="M2937" s="7" t="s">
        <v>238</v>
      </c>
      <c r="N2937" s="7"/>
      <c r="O2937" s="7"/>
    </row>
    <row r="2938" customFormat="false" ht="15" hidden="false" customHeight="false" outlineLevel="0" collapsed="false">
      <c r="A2938" s="7" t="s">
        <v>3973</v>
      </c>
      <c r="B2938" s="10" t="n">
        <v>46022</v>
      </c>
      <c r="C2938" s="7" t="s">
        <v>1873</v>
      </c>
      <c r="D2938" s="7" t="s">
        <v>3974</v>
      </c>
      <c r="E2938" s="7" t="s">
        <v>113</v>
      </c>
      <c r="F2938" s="7" t="s">
        <v>101</v>
      </c>
      <c r="G2938" s="7" t="s">
        <v>90</v>
      </c>
      <c r="H2938" s="7" t="n">
        <v>2</v>
      </c>
      <c r="I2938" s="11" t="n">
        <v>260</v>
      </c>
      <c r="J2938" s="11" t="n">
        <v>20</v>
      </c>
      <c r="K2938" s="11" t="n">
        <f aca="false">H2938*I2938-J2938</f>
        <v>500</v>
      </c>
      <c r="L2938" s="7" t="s">
        <v>93</v>
      </c>
      <c r="M2938" s="7" t="s">
        <v>194</v>
      </c>
      <c r="N2938" s="7" t="n">
        <v>41</v>
      </c>
      <c r="O2938" s="7" t="n">
        <v>4</v>
      </c>
    </row>
  </sheetData>
  <autoFilter ref="A1:O2938"/>
  <conditionalFormatting sqref="N2:N2938">
    <cfRule type="colorScale" priority="2">
      <colorScale>
        <cfvo type="min" val="0"/>
        <cfvo type="percentile" val="50"/>
        <cfvo type="max" val="0"/>
        <color rgb="FF63BE7B"/>
        <color rgb="FFFFEB84"/>
        <color rgb="FFF8696B"/>
      </colorScale>
    </cfRule>
  </conditionalFormatting>
  <conditionalFormatting sqref="K2:K2938">
    <cfRule type="dataBar" priority="3">
      <dataBar showValue="1" minLength="10" maxLength="90">
        <cfvo type="min" val="0"/>
        <cfvo type="max" val="0"/>
        <color rgb="FF5B9BD5"/>
      </dataBar>
      <extLst>
        <ext xmlns:x14="http://schemas.microsoft.com/office/spreadsheetml/2009/9/main" uri="{B025F937-C7B1-47D3-B67F-A62EFF666E3E}">
          <x14:id>{F23C9863-F089-4A50-81B8-16D0DAD2753C}</x14:id>
        </ext>
      </extLst>
    </cfRule>
  </conditionalFormatting>
  <conditionalFormatting sqref="M2:M2938">
    <cfRule type="expression" priority="4" aboveAverage="0" equalAverage="0" bottom="0" percent="0" rank="0" text="" dxfId="7">
      <formula>M2="Cancelled"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F23C9863-F089-4A50-81B8-16D0DAD2753C}">
            <x14:dataBar minLength="10" maxLength="90" axisPosition="none" gradient="true">
              <x14:cfvo type="min"/>
              <x14:cfvo type="max"/>
              <x14:negativeFillColor rgb="FF5B9BD5"/>
              <x14:axisColor rgb="FF000000"/>
            </x14:dataBar>
          </x14:cfRule>
          <xm:sqref>K2:K2938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20"/>
  </cols>
  <sheetData>
    <row r="1" customFormat="false" ht="17.35" hidden="false" customHeight="false" outlineLevel="0" collapsed="false">
      <c r="A1" s="1" t="s">
        <v>6171</v>
      </c>
    </row>
    <row r="2" customFormat="false" ht="15" hidden="false" customHeight="false" outlineLevel="0" collapsed="false">
      <c r="A2" s="2" t="s">
        <v>6172</v>
      </c>
    </row>
    <row r="4" customFormat="false" ht="15" hidden="false" customHeight="false" outlineLevel="0" collapsed="false">
      <c r="A4" s="3" t="s">
        <v>6173</v>
      </c>
      <c r="B4" s="3" t="s">
        <v>6174</v>
      </c>
      <c r="C4" s="7"/>
    </row>
    <row r="5" customFormat="false" ht="15" hidden="false" customHeight="false" outlineLevel="0" collapsed="false">
      <c r="A5" s="7" t="s">
        <v>6175</v>
      </c>
      <c r="B5" s="7" t="n">
        <f aca="false">COUNTA(Raw_Data!$B$2:$B$3058)</f>
        <v>3057</v>
      </c>
      <c r="C5" s="7"/>
    </row>
    <row r="6" customFormat="false" ht="15" hidden="false" customHeight="false" outlineLevel="0" collapsed="false">
      <c r="A6" s="7" t="s">
        <v>6176</v>
      </c>
      <c r="B6" s="7" t="n">
        <f aca="false">COUNTA(Cleaned_Data!$A$2:$A$2938)</f>
        <v>2937</v>
      </c>
      <c r="C6" s="7"/>
    </row>
    <row r="7" customFormat="false" ht="15" hidden="false" customHeight="false" outlineLevel="0" collapsed="false">
      <c r="A7" s="7" t="s">
        <v>6177</v>
      </c>
      <c r="B7" s="7" t="n">
        <f aca="false">B5-B6</f>
        <v>120</v>
      </c>
      <c r="C7" s="7"/>
    </row>
    <row r="8" customFormat="false" ht="15" hidden="false" customHeight="false" outlineLevel="0" collapsed="false">
      <c r="A8" s="7" t="s">
        <v>6178</v>
      </c>
      <c r="B8" s="7" t="str">
        <f aca="false">IF(COUNTIF(Raw_Data!$AC$2:$AC$3058,"KEEP")=B6,"OK - matches","MISMATCH")</f>
        <v>OK - matches</v>
      </c>
      <c r="C8" s="7"/>
    </row>
    <row r="9" customFormat="false" ht="15" hidden="false" customHeight="false" outlineLevel="0" collapsed="false">
      <c r="A9" s="7" t="s">
        <v>6179</v>
      </c>
      <c r="B9" s="7" t="str">
        <f aca="false">IF(SUMPRODUCT(1/COUNTIF(Cleaned_Data!$A$2:$A$2938,Cleaned_Data!$A$2:$A$2938))=B6,"OK - all unique","DUPLICATES FOUND")</f>
        <v>OK - all unique</v>
      </c>
      <c r="C9" s="7"/>
    </row>
    <row r="10" customFormat="false" ht="15" hidden="false" customHeight="false" outlineLevel="0" collapsed="false">
      <c r="A10" s="7"/>
      <c r="B10" s="7"/>
      <c r="C10" s="7"/>
    </row>
    <row r="11" customFormat="false" ht="15" hidden="false" customHeight="false" outlineLevel="0" collapsed="false">
      <c r="A11" s="3" t="s">
        <v>6180</v>
      </c>
      <c r="B11" s="3" t="s">
        <v>6181</v>
      </c>
      <c r="C11" s="3" t="s">
        <v>6182</v>
      </c>
    </row>
    <row r="12" customFormat="false" ht="15" hidden="false" customHeight="false" outlineLevel="0" collapsed="false">
      <c r="A12" s="7" t="s">
        <v>6183</v>
      </c>
      <c r="B12" s="7" t="n">
        <f aca="false">COUNTIF(Raw_Data!$AB$2:$AB$3058,A12)</f>
        <v>45</v>
      </c>
      <c r="C12" s="7" t="s">
        <v>6184</v>
      </c>
    </row>
    <row r="13" customFormat="false" ht="15" hidden="false" customHeight="false" outlineLevel="0" collapsed="false">
      <c r="A13" s="7" t="s">
        <v>6185</v>
      </c>
      <c r="B13" s="7" t="n">
        <f aca="false">COUNTIF(Raw_Data!$AB$2:$AB$3058,A13)</f>
        <v>8</v>
      </c>
      <c r="C13" s="7" t="s">
        <v>6186</v>
      </c>
    </row>
    <row r="14" customFormat="false" ht="15" hidden="false" customHeight="false" outlineLevel="0" collapsed="false">
      <c r="A14" s="7" t="s">
        <v>6187</v>
      </c>
      <c r="B14" s="7" t="n">
        <f aca="false">COUNTIF(Raw_Data!$AB$2:$AB$3058,A14)</f>
        <v>12</v>
      </c>
      <c r="C14" s="7" t="s">
        <v>6188</v>
      </c>
    </row>
    <row r="15" customFormat="false" ht="15" hidden="false" customHeight="false" outlineLevel="0" collapsed="false">
      <c r="A15" s="7" t="s">
        <v>6189</v>
      </c>
      <c r="B15" s="7" t="n">
        <f aca="false">COUNTIF(Raw_Data!$AB$2:$AB$3058,A15)</f>
        <v>7</v>
      </c>
      <c r="C15" s="7" t="s">
        <v>6190</v>
      </c>
    </row>
    <row r="16" customFormat="false" ht="15" hidden="false" customHeight="false" outlineLevel="0" collapsed="false">
      <c r="A16" s="7" t="s">
        <v>6191</v>
      </c>
      <c r="B16" s="7" t="n">
        <f aca="false">COUNTIF(Raw_Data!$AB$2:$AB$3058,A16)</f>
        <v>5</v>
      </c>
      <c r="C16" s="7" t="s">
        <v>6192</v>
      </c>
    </row>
    <row r="17" customFormat="false" ht="15" hidden="false" customHeight="false" outlineLevel="0" collapsed="false">
      <c r="A17" s="7" t="s">
        <v>6193</v>
      </c>
      <c r="B17" s="7" t="n">
        <f aca="false">COUNTIF(Raw_Data!$AB$2:$AB$3058,A17)</f>
        <v>20</v>
      </c>
      <c r="C17" s="7" t="s">
        <v>6194</v>
      </c>
    </row>
    <row r="18" customFormat="false" ht="15" hidden="false" customHeight="false" outlineLevel="0" collapsed="false">
      <c r="A18" s="7" t="s">
        <v>6195</v>
      </c>
      <c r="B18" s="7" t="n">
        <f aca="false">COUNTIF(Raw_Data!$AB$2:$AB$3058,A18)</f>
        <v>18</v>
      </c>
      <c r="C18" s="7" t="s">
        <v>6196</v>
      </c>
    </row>
    <row r="19" customFormat="false" ht="15" hidden="false" customHeight="false" outlineLevel="0" collapsed="false">
      <c r="A19" s="7" t="s">
        <v>6197</v>
      </c>
      <c r="B19" s="7" t="n">
        <f aca="false">COUNTIF(Raw_Data!$AB$2:$AB$3058,A19)</f>
        <v>5</v>
      </c>
      <c r="C19" s="7" t="s">
        <v>6198</v>
      </c>
    </row>
    <row r="20" customFormat="false" ht="15" hidden="false" customHeight="false" outlineLevel="0" collapsed="false">
      <c r="A20" s="4" t="s">
        <v>6199</v>
      </c>
      <c r="B20" s="4" t="n">
        <f aca="false">SUM(B12:B19)</f>
        <v>120</v>
      </c>
      <c r="C20" s="7" t="str">
        <f aca="false">IF(B20=B7,"OK - matches rows removed above","MISMATCH")</f>
        <v>OK - matches rows removed above</v>
      </c>
    </row>
    <row r="21" customFormat="false" ht="15" hidden="false" customHeight="false" outlineLevel="0" collapsed="false">
      <c r="A21" s="7"/>
      <c r="B21" s="7"/>
      <c r="C21" s="7"/>
    </row>
    <row r="22" customFormat="false" ht="15" hidden="false" customHeight="false" outlineLevel="0" collapsed="false">
      <c r="A22" s="3" t="s">
        <v>6200</v>
      </c>
      <c r="B22" s="3" t="s">
        <v>6201</v>
      </c>
      <c r="C22" s="3" t="s">
        <v>6202</v>
      </c>
    </row>
    <row r="23" customFormat="false" ht="15" hidden="false" customHeight="false" outlineLevel="0" collapsed="false">
      <c r="A23" s="7" t="s">
        <v>38</v>
      </c>
      <c r="B23" s="7" t="n">
        <f aca="false">COUNTBLANK(Raw_Data!$A$2:$A$3058)</f>
        <v>8</v>
      </c>
      <c r="C23" s="7" t="s">
        <v>6203</v>
      </c>
    </row>
    <row r="24" customFormat="false" ht="15" hidden="false" customHeight="false" outlineLevel="0" collapsed="false">
      <c r="A24" s="7" t="s">
        <v>41</v>
      </c>
      <c r="B24" s="7" t="n">
        <f aca="false">COUNTBLANK(Raw_Data!$B$2:$B$3058)</f>
        <v>0</v>
      </c>
      <c r="C24" s="7" t="s">
        <v>6204</v>
      </c>
    </row>
    <row r="25" customFormat="false" ht="15" hidden="false" customHeight="false" outlineLevel="0" collapsed="false">
      <c r="A25" s="7" t="s">
        <v>44</v>
      </c>
      <c r="B25" s="7" t="n">
        <f aca="false">COUNTBLANK(Raw_Data!$C$2:$C$3058)</f>
        <v>0</v>
      </c>
      <c r="C25" s="7" t="s">
        <v>6204</v>
      </c>
    </row>
    <row r="26" customFormat="false" ht="15" hidden="false" customHeight="false" outlineLevel="0" collapsed="false">
      <c r="A26" s="7" t="s">
        <v>47</v>
      </c>
      <c r="B26" s="7" t="n">
        <f aca="false">COUNTBLANK(Raw_Data!$D$2:$D$3058)</f>
        <v>7</v>
      </c>
      <c r="C26" s="7" t="s">
        <v>6203</v>
      </c>
    </row>
    <row r="27" customFormat="false" ht="15" hidden="false" customHeight="false" outlineLevel="0" collapsed="false">
      <c r="A27" s="7" t="s">
        <v>49</v>
      </c>
      <c r="B27" s="7" t="n">
        <f aca="false">COUNTBLANK(Raw_Data!$E$2:$E$3058)</f>
        <v>5</v>
      </c>
      <c r="C27" s="7" t="s">
        <v>6203</v>
      </c>
    </row>
    <row r="28" customFormat="false" ht="15" hidden="false" customHeight="false" outlineLevel="0" collapsed="false">
      <c r="A28" s="7" t="s">
        <v>51</v>
      </c>
      <c r="B28" s="7" t="n">
        <f aca="false">COUNTBLANK(Raw_Data!$F$2:$F$3058)</f>
        <v>18</v>
      </c>
      <c r="C28" s="7" t="s">
        <v>6205</v>
      </c>
    </row>
    <row r="29" customFormat="false" ht="15" hidden="false" customHeight="false" outlineLevel="0" collapsed="false">
      <c r="A29" s="7" t="s">
        <v>53</v>
      </c>
      <c r="B29" s="7" t="n">
        <f aca="false">COUNTBLANK(Raw_Data!$G$2:$G$3058)</f>
        <v>0</v>
      </c>
      <c r="C29" s="7" t="s">
        <v>6204</v>
      </c>
    </row>
    <row r="30" customFormat="false" ht="15" hidden="false" customHeight="false" outlineLevel="0" collapsed="false">
      <c r="A30" s="7" t="s">
        <v>55</v>
      </c>
      <c r="B30" s="7" t="n">
        <f aca="false">COUNTBLANK(Raw_Data!$H$2:$H$3058)</f>
        <v>0</v>
      </c>
      <c r="C30" s="7" t="s">
        <v>6204</v>
      </c>
    </row>
    <row r="31" customFormat="false" ht="15" hidden="false" customHeight="false" outlineLevel="0" collapsed="false">
      <c r="A31" s="7" t="s">
        <v>58</v>
      </c>
      <c r="B31" s="7" t="n">
        <f aca="false">COUNTBLANK(Raw_Data!$I$2:$I$3058)</f>
        <v>0</v>
      </c>
      <c r="C31" s="7" t="s">
        <v>6204</v>
      </c>
    </row>
    <row r="32" customFormat="false" ht="15" hidden="false" customHeight="false" outlineLevel="0" collapsed="false">
      <c r="A32" s="7" t="s">
        <v>61</v>
      </c>
      <c r="B32" s="7" t="n">
        <f aca="false">COUNTBLANK(Raw_Data!$J$2:$J$3058)</f>
        <v>0</v>
      </c>
      <c r="C32" s="7" t="s">
        <v>6204</v>
      </c>
    </row>
    <row r="33" customFormat="false" ht="15" hidden="false" customHeight="false" outlineLevel="0" collapsed="false">
      <c r="A33" s="7" t="s">
        <v>65</v>
      </c>
      <c r="B33" s="7" t="n">
        <f aca="false">COUNTBLANK(Raw_Data!$K$2:$K$3058)</f>
        <v>27</v>
      </c>
      <c r="C33" s="7" t="s">
        <v>6206</v>
      </c>
    </row>
    <row r="34" customFormat="false" ht="15" hidden="false" customHeight="false" outlineLevel="0" collapsed="false">
      <c r="A34" s="7" t="s">
        <v>67</v>
      </c>
      <c r="B34" s="7" t="n">
        <f aca="false">COUNTBLANK(Raw_Data!$L$2:$L$3058)</f>
        <v>0</v>
      </c>
      <c r="C34" s="7" t="s">
        <v>6204</v>
      </c>
    </row>
    <row r="35" customFormat="false" ht="15" hidden="false" customHeight="false" outlineLevel="0" collapsed="false">
      <c r="A35" s="7" t="s">
        <v>69</v>
      </c>
      <c r="B35" s="7" t="n">
        <f aca="false">COUNTBLANK(Raw_Data!$M$2:$M$3058)</f>
        <v>211</v>
      </c>
      <c r="C35" s="7" t="s">
        <v>6207</v>
      </c>
    </row>
    <row r="36" customFormat="false" ht="15" hidden="false" customHeight="false" outlineLevel="0" collapsed="false">
      <c r="A36" s="7" t="s">
        <v>72</v>
      </c>
      <c r="B36" s="7" t="n">
        <f aca="false">COUNTBLANK(Raw_Data!$N$2:$N$3058)</f>
        <v>476</v>
      </c>
      <c r="C36" s="7" t="s">
        <v>6208</v>
      </c>
    </row>
    <row r="37" customFormat="false" ht="15" hidden="false" customHeight="false" outlineLevel="0" collapsed="false">
      <c r="A37" s="7"/>
      <c r="B37" s="7"/>
      <c r="C37" s="7"/>
    </row>
    <row r="38" customFormat="false" ht="15" hidden="false" customHeight="false" outlineLevel="0" collapsed="false">
      <c r="A38" s="3" t="s">
        <v>6209</v>
      </c>
      <c r="B38" s="3" t="s">
        <v>6210</v>
      </c>
      <c r="C38" s="3" t="s">
        <v>6211</v>
      </c>
    </row>
    <row r="39" customFormat="false" ht="15" hidden="false" customHeight="false" outlineLevel="0" collapsed="false">
      <c r="A39" s="7" t="s">
        <v>6212</v>
      </c>
      <c r="B39" s="7" t="n">
        <f aca="false">SUMPRODUCT((Raw_Data!$AC$2:$AC$3058="KEEP")*(1-EXACT(Raw_Data!$F$2:$F$3058,Raw_Data!$AD$2:$AD$3058)))</f>
        <v>438</v>
      </c>
      <c r="C39" s="7" t="s">
        <v>6213</v>
      </c>
    </row>
    <row r="40" customFormat="false" ht="15" hidden="false" customHeight="false" outlineLevel="0" collapsed="false">
      <c r="A40" s="7" t="s">
        <v>6214</v>
      </c>
      <c r="B40" s="7" t="n">
        <f aca="false">SUMPRODUCT((Raw_Data!$AC$2:$AC$3058="KEEP")*(1-EXACT(Raw_Data!$E$2:$E$3058,Raw_Data!$AE$2:$AE$3058)))</f>
        <v>300</v>
      </c>
      <c r="C40" s="7" t="s">
        <v>6215</v>
      </c>
    </row>
    <row r="41" customFormat="false" ht="15" hidden="false" customHeight="false" outlineLevel="0" collapsed="false">
      <c r="A41" s="7" t="s">
        <v>6216</v>
      </c>
      <c r="B41" s="7" t="n">
        <f aca="false">SUMPRODUCT((Raw_Data!$AC$2:$AC$3058="KEEP")*(1-EXACT(Raw_Data!$K$2:$K$3058,Raw_Data!$AF$2:$AF$3058)))</f>
        <v>405</v>
      </c>
      <c r="C41" s="7" t="s">
        <v>6217</v>
      </c>
    </row>
    <row r="42" customFormat="false" ht="15" hidden="false" customHeight="false" outlineLevel="0" collapsed="false">
      <c r="A42" s="7" t="s">
        <v>6218</v>
      </c>
      <c r="B42" s="7" t="n">
        <f aca="false">SUMPRODUCT((Raw_Data!$AC$2:$AC$3058="KEEP")*(1-EXACT(Raw_Data!$L$2:$L$3058,Raw_Data!$AG$2:$AG$3058)))</f>
        <v>60</v>
      </c>
      <c r="C42" s="7" t="s">
        <v>6219</v>
      </c>
    </row>
    <row r="43" customFormat="false" ht="15" hidden="false" customHeight="false" outlineLevel="0" collapsed="false">
      <c r="A43" s="7" t="s">
        <v>6220</v>
      </c>
      <c r="B43" s="7" t="n">
        <f aca="false">SUMPRODUCT((Raw_Data!$AC$2:$AC$3058="KEEP")*(Raw_Data!$B$2:$B$3058&lt;&gt;TEXT(Raw_Data!$AH$2:$AH$3058,"yyyy-mm-dd")))</f>
        <v>420</v>
      </c>
      <c r="C43" s="7" t="s">
        <v>6221</v>
      </c>
    </row>
    <row r="44" customFormat="false" ht="15" hidden="false" customHeight="false" outlineLevel="0" collapsed="false">
      <c r="A44" s="7" t="s">
        <v>6222</v>
      </c>
      <c r="B44" s="7" t="n">
        <f aca="false">COUNTIFS(Raw_Data!$Z$2:$Z$3058,1,Raw_Data!$AC$2:$AC$3058,"KEEP")</f>
        <v>6</v>
      </c>
      <c r="C44" s="7" t="s">
        <v>6223</v>
      </c>
    </row>
    <row r="45" customFormat="false" ht="15" hidden="false" customHeight="false" outlineLevel="0" collapsed="false">
      <c r="A45" s="7" t="s">
        <v>6224</v>
      </c>
      <c r="B45" s="7" t="n">
        <f aca="false">COUNTIFS(Raw_Data!$AA$2:$AA$3058,1,Raw_Data!$AC$2:$AC$3058,"KEEP")</f>
        <v>6</v>
      </c>
      <c r="C45" s="7" t="s">
        <v>6225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4"/>
  </cols>
  <sheetData>
    <row r="1" customFormat="false" ht="17.35" hidden="false" customHeight="false" outlineLevel="0" collapsed="false">
      <c r="A1" s="1" t="s">
        <v>6226</v>
      </c>
    </row>
    <row r="2" customFormat="false" ht="15" hidden="false" customHeight="false" outlineLevel="0" collapsed="false">
      <c r="A2" s="2" t="s">
        <v>6227</v>
      </c>
    </row>
    <row r="4" customFormat="false" ht="15" hidden="false" customHeight="false" outlineLevel="0" collapsed="false">
      <c r="A4" s="3" t="s">
        <v>6228</v>
      </c>
      <c r="B4" s="3" t="s">
        <v>6229</v>
      </c>
      <c r="C4" s="3" t="s">
        <v>6230</v>
      </c>
    </row>
    <row r="5" customFormat="false" ht="15" hidden="false" customHeight="false" outlineLevel="0" collapsed="false">
      <c r="A5" s="7" t="s">
        <v>6231</v>
      </c>
      <c r="B5" s="12" t="n">
        <f aca="false">MIN(Cleaned_Data!$K$2:$K$2938)</f>
        <v>50</v>
      </c>
      <c r="C5" s="12" t="n">
        <f aca="false">MIN(Cleaned_Data!$N$2:$N$2938)</f>
        <v>15</v>
      </c>
    </row>
    <row r="6" customFormat="false" ht="15" hidden="false" customHeight="false" outlineLevel="0" collapsed="false">
      <c r="A6" s="7" t="s">
        <v>6232</v>
      </c>
      <c r="B6" s="12" t="n">
        <f aca="false">QUARTILE(Cleaned_Data!$K$2:$K$2938,1)</f>
        <v>210</v>
      </c>
      <c r="C6" s="12" t="n">
        <f aca="false">QUARTILE(Cleaned_Data!$N$2:$N$2938,1)</f>
        <v>33</v>
      </c>
    </row>
    <row r="7" customFormat="false" ht="15" hidden="false" customHeight="false" outlineLevel="0" collapsed="false">
      <c r="A7" s="7" t="s">
        <v>6233</v>
      </c>
      <c r="B7" s="12" t="n">
        <f aca="false">MEDIAN(Cleaned_Data!$K$2:$K$2938)</f>
        <v>355</v>
      </c>
      <c r="C7" s="12" t="n">
        <f aca="false">MEDIAN(Cleaned_Data!$N$2:$N$2938)</f>
        <v>38</v>
      </c>
    </row>
    <row r="8" customFormat="false" ht="15" hidden="false" customHeight="false" outlineLevel="0" collapsed="false">
      <c r="A8" s="7" t="s">
        <v>6234</v>
      </c>
      <c r="B8" s="12" t="n">
        <f aca="false">QUARTILE(Cleaned_Data!$K$2:$K$2938,3)</f>
        <v>570</v>
      </c>
      <c r="C8" s="12" t="n">
        <f aca="false">QUARTILE(Cleaned_Data!$N$2:$N$2938,3)</f>
        <v>44</v>
      </c>
    </row>
    <row r="9" customFormat="false" ht="15" hidden="false" customHeight="false" outlineLevel="0" collapsed="false">
      <c r="A9" s="7" t="s">
        <v>6235</v>
      </c>
      <c r="B9" s="12" t="n">
        <f aca="false">MAX(Cleaned_Data!$K$2:$K$2938)</f>
        <v>2075</v>
      </c>
      <c r="C9" s="12" t="n">
        <f aca="false">MAX(Cleaned_Data!$N$2:$N$2938)</f>
        <v>67</v>
      </c>
    </row>
    <row r="10" customFormat="false" ht="15" hidden="false" customHeight="false" outlineLevel="0" collapsed="false">
      <c r="A10" s="7" t="s">
        <v>6236</v>
      </c>
      <c r="B10" s="12" t="n">
        <f aca="false">AVERAGE(Cleaned_Data!$K$2:$K$2938)</f>
        <v>432.43241402792</v>
      </c>
      <c r="C10" s="12" t="n">
        <f aca="false">AVERAGE(Cleaned_Data!$N$2:$N$2938)</f>
        <v>38.3192969608202</v>
      </c>
    </row>
    <row r="11" customFormat="false" ht="15" hidden="false" customHeight="false" outlineLevel="0" collapsed="false">
      <c r="A11" s="7" t="s">
        <v>6237</v>
      </c>
      <c r="B11" s="12" t="n">
        <f aca="false">B8-B6</f>
        <v>360</v>
      </c>
      <c r="C11" s="12" t="n">
        <f aca="false">C8-C6</f>
        <v>11</v>
      </c>
    </row>
    <row r="12" customFormat="false" ht="15" hidden="false" customHeight="false" outlineLevel="0" collapsed="false">
      <c r="A12" s="7" t="s">
        <v>6238</v>
      </c>
      <c r="B12" s="12" t="n">
        <f aca="false">B6-1.5*B11</f>
        <v>-330</v>
      </c>
      <c r="C12" s="12" t="n">
        <f aca="false">C6-1.5*C11</f>
        <v>16.5</v>
      </c>
    </row>
    <row r="13" customFormat="false" ht="15" hidden="false" customHeight="false" outlineLevel="0" collapsed="false">
      <c r="A13" s="7" t="s">
        <v>6239</v>
      </c>
      <c r="B13" s="12" t="n">
        <f aca="false">B8+1.5*B11</f>
        <v>1110</v>
      </c>
      <c r="C13" s="12" t="n">
        <f aca="false">C8+1.5*C11</f>
        <v>60.5</v>
      </c>
    </row>
    <row r="14" customFormat="false" ht="15" hidden="false" customHeight="false" outlineLevel="0" collapsed="false">
      <c r="A14" s="7" t="s">
        <v>6240</v>
      </c>
      <c r="B14" s="7" t="n">
        <f aca="false">COUNTIF(Cleaned_Data!$K$2:$K$2938,"&lt;"&amp;B12)</f>
        <v>0</v>
      </c>
      <c r="C14" s="7" t="n">
        <f aca="false">COUNTIF(Cleaned_Data!$N$2:$N$2938,"&lt;"&amp;C12)</f>
        <v>7</v>
      </c>
    </row>
    <row r="15" customFormat="false" ht="15" hidden="false" customHeight="false" outlineLevel="0" collapsed="false">
      <c r="A15" s="7" t="s">
        <v>6241</v>
      </c>
      <c r="B15" s="7" t="n">
        <f aca="false">COUNTIF(Cleaned_Data!$K$2:$K$2938,"&gt;"&amp;B13)</f>
        <v>117</v>
      </c>
      <c r="C15" s="7" t="n">
        <f aca="false">COUNTIF(Cleaned_Data!$N$2:$N$2938,"&gt;"&amp;C13)</f>
        <v>7</v>
      </c>
    </row>
    <row r="16" customFormat="false" ht="15" hidden="false" customHeight="false" outlineLevel="0" collapsed="false">
      <c r="A16" s="7"/>
      <c r="B16" s="7"/>
      <c r="C16" s="7"/>
    </row>
    <row r="17" customFormat="false" ht="15" hidden="false" customHeight="false" outlineLevel="0" collapsed="false">
      <c r="A17" s="4" t="s">
        <v>6202</v>
      </c>
      <c r="B17" s="7"/>
      <c r="C17" s="7"/>
    </row>
    <row r="18" customFormat="false" ht="15" hidden="false" customHeight="false" outlineLevel="0" collapsed="false">
      <c r="A18" s="7" t="s">
        <v>6242</v>
      </c>
      <c r="B18" s="7"/>
      <c r="C18" s="7"/>
    </row>
    <row r="19" customFormat="false" ht="15" hidden="false" customHeight="false" outlineLevel="0" collapsed="false">
      <c r="A19" s="7" t="s">
        <v>6243</v>
      </c>
      <c r="B19" s="7"/>
      <c r="C1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4" min="3" style="0" width="12"/>
    <col collapsed="false" customWidth="true" hidden="false" outlineLevel="0" max="5" min="5" style="0" width="16"/>
    <col collapsed="false" customWidth="true" hidden="false" outlineLevel="0" max="6" min="6" style="0" width="20"/>
    <col collapsed="false" customWidth="true" hidden="false" outlineLevel="0" max="7" min="7" style="0" width="12"/>
    <col collapsed="false" customWidth="true" hidden="false" outlineLevel="0" max="8" min="8" style="0" width="18"/>
  </cols>
  <sheetData>
    <row r="1" customFormat="false" ht="17.35" hidden="false" customHeight="false" outlineLevel="0" collapsed="false">
      <c r="A1" s="1" t="s">
        <v>6244</v>
      </c>
    </row>
    <row r="2" customFormat="false" ht="15" hidden="false" customHeight="false" outlineLevel="0" collapsed="false">
      <c r="A2" s="2" t="s">
        <v>6245</v>
      </c>
    </row>
    <row r="4" customFormat="false" ht="15" hidden="false" customHeight="false" outlineLevel="0" collapsed="false">
      <c r="A4" s="3" t="s">
        <v>6246</v>
      </c>
      <c r="B4" s="3" t="s">
        <v>6247</v>
      </c>
      <c r="C4" s="3" t="s">
        <v>194</v>
      </c>
      <c r="D4" s="3" t="s">
        <v>238</v>
      </c>
      <c r="E4" s="3" t="s">
        <v>6248</v>
      </c>
      <c r="F4" s="3" t="s">
        <v>6249</v>
      </c>
      <c r="G4" s="3" t="s">
        <v>6250</v>
      </c>
      <c r="H4" s="3" t="s">
        <v>6251</v>
      </c>
    </row>
    <row r="5" customFormat="false" ht="15" hidden="false" customHeight="false" outlineLevel="0" collapsed="false">
      <c r="A5" s="7" t="s">
        <v>146</v>
      </c>
      <c r="B5" s="7" t="n">
        <f aca="false">COUNTIFS(Cleaned_Data!$F$2:$F$2938,$A5)</f>
        <v>160</v>
      </c>
      <c r="C5" s="7" t="n">
        <f aca="false">COUNTIFS(Cleaned_Data!$F$2:$F$2938,$A5,Cleaned_Data!$M$2:$M$2938,"Delivered")</f>
        <v>155</v>
      </c>
      <c r="D5" s="7" t="n">
        <f aca="false">COUNTIFS(Cleaned_Data!$F$2:$F$2938,$A5,Cleaned_Data!$M$2:$M$2938,"Cancelled")</f>
        <v>5</v>
      </c>
      <c r="E5" s="11" t="n">
        <f aca="false">SUMIFS(Cleaned_Data!$K$2:$K$2938,Cleaned_Data!$F$2:$F$2938,$A5,Cleaned_Data!$M$2:$M$2938,"Delivered")</f>
        <v>88144</v>
      </c>
      <c r="F5" s="11" t="n">
        <f aca="false">IFERROR(E5/C5,0)</f>
        <v>568.670967741935</v>
      </c>
      <c r="G5" s="13" t="n">
        <f aca="false">IFERROR(D5/B5,0)</f>
        <v>0.03125</v>
      </c>
      <c r="H5" s="14" t="n">
        <f aca="false">IFERROR(AVERAGEIFS(Cleaned_Data!$N$2:$N$2938,Cleaned_Data!$F$2:$F$2938,$A5,Cleaned_Data!$M$2:$M$2938,"Delivered"),0)</f>
        <v>30.4709677419355</v>
      </c>
    </row>
    <row r="6" customFormat="false" ht="15" hidden="false" customHeight="false" outlineLevel="0" collapsed="false">
      <c r="A6" s="7" t="s">
        <v>86</v>
      </c>
      <c r="B6" s="7" t="n">
        <f aca="false">COUNTIFS(Cleaned_Data!$F$2:$F$2938,$A6)</f>
        <v>631</v>
      </c>
      <c r="C6" s="7" t="n">
        <f aca="false">COUNTIFS(Cleaned_Data!$F$2:$F$2938,$A6,Cleaned_Data!$M$2:$M$2938,"Delivered")</f>
        <v>595</v>
      </c>
      <c r="D6" s="7" t="n">
        <f aca="false">COUNTIFS(Cleaned_Data!$F$2:$F$2938,$A6,Cleaned_Data!$M$2:$M$2938,"Cancelled")</f>
        <v>36</v>
      </c>
      <c r="E6" s="11" t="n">
        <f aca="false">SUMIFS(Cleaned_Data!$K$2:$K$2938,Cleaned_Data!$F$2:$F$2938,$A6,Cleaned_Data!$M$2:$M$2938,"Delivered")</f>
        <v>240590</v>
      </c>
      <c r="F6" s="11" t="n">
        <f aca="false">IFERROR(E6/C6,0)</f>
        <v>404.352941176471</v>
      </c>
      <c r="G6" s="13" t="n">
        <f aca="false">IFERROR(D6/B6,0)</f>
        <v>0.0570522979397781</v>
      </c>
      <c r="H6" s="14" t="n">
        <f aca="false">IFERROR(AVERAGEIFS(Cleaned_Data!$N$2:$N$2938,Cleaned_Data!$F$2:$F$2938,$A6,Cleaned_Data!$M$2:$M$2938,"Delivered"),0)</f>
        <v>40.435593220339</v>
      </c>
    </row>
    <row r="7" customFormat="false" ht="15" hidden="false" customHeight="false" outlineLevel="0" collapsed="false">
      <c r="A7" s="7" t="s">
        <v>128</v>
      </c>
      <c r="B7" s="7" t="n">
        <f aca="false">COUNTIFS(Cleaned_Data!$F$2:$F$2938,$A7)</f>
        <v>209</v>
      </c>
      <c r="C7" s="7" t="n">
        <f aca="false">COUNTIFS(Cleaned_Data!$F$2:$F$2938,$A7,Cleaned_Data!$M$2:$M$2938,"Delivered")</f>
        <v>194</v>
      </c>
      <c r="D7" s="7" t="n">
        <f aca="false">COUNTIFS(Cleaned_Data!$F$2:$F$2938,$A7,Cleaned_Data!$M$2:$M$2938,"Cancelled")</f>
        <v>15</v>
      </c>
      <c r="E7" s="11" t="n">
        <f aca="false">SUMIFS(Cleaned_Data!$K$2:$K$2938,Cleaned_Data!$F$2:$F$2938,$A7,Cleaned_Data!$M$2:$M$2938,"Delivered")</f>
        <v>85233</v>
      </c>
      <c r="F7" s="11" t="n">
        <f aca="false">IFERROR(E7/C7,0)</f>
        <v>439.345360824742</v>
      </c>
      <c r="G7" s="13" t="n">
        <f aca="false">IFERROR(D7/B7,0)</f>
        <v>0.0717703349282297</v>
      </c>
      <c r="H7" s="14" t="n">
        <f aca="false">IFERROR(AVERAGEIFS(Cleaned_Data!$N$2:$N$2938,Cleaned_Data!$F$2:$F$2938,$A7,Cleaned_Data!$M$2:$M$2938,"Delivered"),0)</f>
        <v>34.6701570680628</v>
      </c>
    </row>
    <row r="8" customFormat="false" ht="15" hidden="false" customHeight="false" outlineLevel="0" collapsed="false">
      <c r="A8" s="7" t="s">
        <v>110</v>
      </c>
      <c r="B8" s="7" t="n">
        <f aca="false">COUNTIFS(Cleaned_Data!$F$2:$F$2938,$A8)</f>
        <v>582</v>
      </c>
      <c r="C8" s="7" t="n">
        <f aca="false">COUNTIFS(Cleaned_Data!$F$2:$F$2938,$A8,Cleaned_Data!$M$2:$M$2938,"Delivered")</f>
        <v>536</v>
      </c>
      <c r="D8" s="7" t="n">
        <f aca="false">COUNTIFS(Cleaned_Data!$F$2:$F$2938,$A8,Cleaned_Data!$M$2:$M$2938,"Cancelled")</f>
        <v>46</v>
      </c>
      <c r="E8" s="11" t="n">
        <f aca="false">SUMIFS(Cleaned_Data!$K$2:$K$2938,Cleaned_Data!$F$2:$F$2938,$A8,Cleaned_Data!$M$2:$M$2938,"Delivered")</f>
        <v>214330</v>
      </c>
      <c r="F8" s="11" t="n">
        <f aca="false">IFERROR(E8/C8,0)</f>
        <v>399.869402985075</v>
      </c>
      <c r="G8" s="13" t="n">
        <f aca="false">IFERROR(D8/B8,0)</f>
        <v>0.0790378006872852</v>
      </c>
      <c r="H8" s="14" t="n">
        <f aca="false">IFERROR(AVERAGEIFS(Cleaned_Data!$N$2:$N$2938,Cleaned_Data!$F$2:$F$2938,$A8,Cleaned_Data!$M$2:$M$2938,"Delivered"),0)</f>
        <v>39.4725897920605</v>
      </c>
    </row>
    <row r="9" customFormat="false" ht="15" hidden="false" customHeight="false" outlineLevel="0" collapsed="false">
      <c r="A9" s="7" t="s">
        <v>119</v>
      </c>
      <c r="B9" s="7" t="n">
        <f aca="false">COUNTIFS(Cleaned_Data!$F$2:$F$2938,$A9)</f>
        <v>331</v>
      </c>
      <c r="C9" s="7" t="n">
        <f aca="false">COUNTIFS(Cleaned_Data!$F$2:$F$2938,$A9,Cleaned_Data!$M$2:$M$2938,"Delivered")</f>
        <v>314</v>
      </c>
      <c r="D9" s="7" t="n">
        <f aca="false">COUNTIFS(Cleaned_Data!$F$2:$F$2938,$A9,Cleaned_Data!$M$2:$M$2938,"Cancelled")</f>
        <v>17</v>
      </c>
      <c r="E9" s="11" t="n">
        <f aca="false">SUMIFS(Cleaned_Data!$K$2:$K$2938,Cleaned_Data!$F$2:$F$2938,$A9,Cleaned_Data!$M$2:$M$2938,"Delivered")</f>
        <v>134231</v>
      </c>
      <c r="F9" s="11" t="n">
        <f aca="false">IFERROR(E9/C9,0)</f>
        <v>427.487261146497</v>
      </c>
      <c r="G9" s="13" t="n">
        <f aca="false">IFERROR(D9/B9,0)</f>
        <v>0.0513595166163142</v>
      </c>
      <c r="H9" s="14" t="n">
        <f aca="false">IFERROR(AVERAGEIFS(Cleaned_Data!$N$2:$N$2938,Cleaned_Data!$F$2:$F$2938,$A9,Cleaned_Data!$M$2:$M$2938,"Delivered"),0)</f>
        <v>34.7845659163987</v>
      </c>
    </row>
    <row r="10" customFormat="false" ht="15" hidden="false" customHeight="false" outlineLevel="0" collapsed="false">
      <c r="A10" s="7" t="s">
        <v>141</v>
      </c>
      <c r="B10" s="7" t="n">
        <f aca="false">COUNTIFS(Cleaned_Data!$F$2:$F$2938,$A10)</f>
        <v>159</v>
      </c>
      <c r="C10" s="7" t="n">
        <f aca="false">COUNTIFS(Cleaned_Data!$F$2:$F$2938,$A10,Cleaned_Data!$M$2:$M$2938,"Delivered")</f>
        <v>151</v>
      </c>
      <c r="D10" s="7" t="n">
        <f aca="false">COUNTIFS(Cleaned_Data!$F$2:$F$2938,$A10,Cleaned_Data!$M$2:$M$2938,"Cancelled")</f>
        <v>8</v>
      </c>
      <c r="E10" s="11" t="n">
        <f aca="false">SUMIFS(Cleaned_Data!$K$2:$K$2938,Cleaned_Data!$F$2:$F$2938,$A10,Cleaned_Data!$M$2:$M$2938,"Delivered")</f>
        <v>52534</v>
      </c>
      <c r="F10" s="11" t="n">
        <f aca="false">IFERROR(E10/C10,0)</f>
        <v>347.907284768212</v>
      </c>
      <c r="G10" s="13" t="n">
        <f aca="false">IFERROR(D10/B10,0)</f>
        <v>0.050314465408805</v>
      </c>
      <c r="H10" s="14" t="n">
        <f aca="false">IFERROR(AVERAGEIFS(Cleaned_Data!$N$2:$N$2938,Cleaned_Data!$F$2:$F$2938,$A10,Cleaned_Data!$M$2:$M$2938,"Delivered"),0)</f>
        <v>37.44</v>
      </c>
    </row>
    <row r="11" customFormat="false" ht="15" hidden="false" customHeight="false" outlineLevel="0" collapsed="false">
      <c r="A11" s="7" t="s">
        <v>101</v>
      </c>
      <c r="B11" s="7" t="n">
        <f aca="false">COUNTIFS(Cleaned_Data!$F$2:$F$2938,$A11)</f>
        <v>579</v>
      </c>
      <c r="C11" s="7" t="n">
        <f aca="false">COUNTIFS(Cleaned_Data!$F$2:$F$2938,$A11,Cleaned_Data!$M$2:$M$2938,"Delivered")</f>
        <v>551</v>
      </c>
      <c r="D11" s="7" t="n">
        <f aca="false">COUNTIFS(Cleaned_Data!$F$2:$F$2938,$A11,Cleaned_Data!$M$2:$M$2938,"Cancelled")</f>
        <v>28</v>
      </c>
      <c r="E11" s="11" t="n">
        <f aca="false">SUMIFS(Cleaned_Data!$K$2:$K$2938,Cleaned_Data!$F$2:$F$2938,$A11,Cleaned_Data!$M$2:$M$2938,"Delivered")</f>
        <v>279810</v>
      </c>
      <c r="F11" s="11" t="n">
        <f aca="false">IFERROR(E11/C11,0)</f>
        <v>507.822141560799</v>
      </c>
      <c r="G11" s="13" t="n">
        <f aca="false">IFERROR(D11/B11,0)</f>
        <v>0.0483592400690846</v>
      </c>
      <c r="H11" s="14" t="n">
        <f aca="false">IFERROR(AVERAGEIFS(Cleaned_Data!$N$2:$N$2938,Cleaned_Data!$F$2:$F$2938,$A11,Cleaned_Data!$M$2:$M$2938,"Delivered"),0)</f>
        <v>43.1245421245421</v>
      </c>
    </row>
    <row r="12" customFormat="false" ht="15" hidden="false" customHeight="false" outlineLevel="0" collapsed="false">
      <c r="A12" s="7" t="s">
        <v>136</v>
      </c>
      <c r="B12" s="7" t="n">
        <f aca="false">COUNTIFS(Cleaned_Data!$F$2:$F$2938,$A12)</f>
        <v>286</v>
      </c>
      <c r="C12" s="7" t="n">
        <f aca="false">COUNTIFS(Cleaned_Data!$F$2:$F$2938,$A12,Cleaned_Data!$M$2:$M$2938,"Delivered")</f>
        <v>263</v>
      </c>
      <c r="D12" s="7" t="n">
        <f aca="false">COUNTIFS(Cleaned_Data!$F$2:$F$2938,$A12,Cleaned_Data!$M$2:$M$2938,"Cancelled")</f>
        <v>23</v>
      </c>
      <c r="E12" s="11" t="n">
        <f aca="false">SUMIFS(Cleaned_Data!$K$2:$K$2938,Cleaned_Data!$F$2:$F$2938,$A12,Cleaned_Data!$M$2:$M$2938,"Delivered")</f>
        <v>104824</v>
      </c>
      <c r="F12" s="11" t="n">
        <f aca="false">IFERROR(E12/C12,0)</f>
        <v>398.570342205323</v>
      </c>
      <c r="G12" s="13" t="n">
        <f aca="false">IFERROR(D12/B12,0)</f>
        <v>0.0804195804195804</v>
      </c>
      <c r="H12" s="14" t="n">
        <f aca="false">IFERROR(AVERAGEIFS(Cleaned_Data!$N$2:$N$2938,Cleaned_Data!$F$2:$F$2938,$A12,Cleaned_Data!$M$2:$M$2938,"Delivered"),0)</f>
        <v>33.1544401544402</v>
      </c>
    </row>
    <row r="13" customFormat="false" ht="15" hidden="false" customHeight="false" outlineLevel="0" collapsed="false">
      <c r="A13" s="4" t="s">
        <v>6252</v>
      </c>
      <c r="B13" s="4" t="n">
        <f aca="false">SUM(B5:B12)</f>
        <v>2937</v>
      </c>
      <c r="C13" s="4" t="n">
        <f aca="false">SUM(C5:C12)</f>
        <v>2759</v>
      </c>
      <c r="D13" s="4" t="n">
        <f aca="false">SUM(D5:D12)</f>
        <v>178</v>
      </c>
      <c r="E13" s="15" t="n">
        <f aca="false">SUM(E5:E12)</f>
        <v>1199696</v>
      </c>
      <c r="F13" s="15" t="n">
        <f aca="false">IFERROR(E13/C13,0)</f>
        <v>434.830010873505</v>
      </c>
      <c r="G13" s="16" t="n">
        <f aca="false">IFERROR(D13/B13,0)</f>
        <v>0.0606060606060606</v>
      </c>
      <c r="H13" s="17" t="n">
        <f aca="false">IFERROR(AVERAGEIFS(Cleaned_Data!$N$2:$N$2938,Cleaned_Data!$M$2:$M$2938,"Delivered"),0)</f>
        <v>38.3192969608202</v>
      </c>
    </row>
    <row r="16" customFormat="false" ht="15" hidden="false" customHeight="false" outlineLevel="0" collapsed="false">
      <c r="A16" s="3" t="s">
        <v>6253</v>
      </c>
      <c r="B16" s="3" t="s">
        <v>6247</v>
      </c>
      <c r="C16" s="3" t="s">
        <v>194</v>
      </c>
      <c r="D16" s="3" t="s">
        <v>238</v>
      </c>
      <c r="E16" s="3" t="s">
        <v>6248</v>
      </c>
      <c r="F16" s="3" t="s">
        <v>6249</v>
      </c>
      <c r="G16" s="3" t="s">
        <v>6250</v>
      </c>
      <c r="H16" s="3" t="s">
        <v>6251</v>
      </c>
    </row>
    <row r="17" customFormat="false" ht="15" hidden="false" customHeight="false" outlineLevel="0" collapsed="false">
      <c r="A17" s="7" t="s">
        <v>88</v>
      </c>
      <c r="B17" s="7" t="n">
        <f aca="false">COUNTIFS(Cleaned_Data!$L$2:$L$2938,$A17)</f>
        <v>1306</v>
      </c>
      <c r="C17" s="7" t="n">
        <f aca="false">COUNTIFS(Cleaned_Data!$L$2:$L$2938,$A17,Cleaned_Data!$M$2:$M$2938,"Delivered")</f>
        <v>1239</v>
      </c>
      <c r="D17" s="7" t="n">
        <f aca="false">COUNTIFS(Cleaned_Data!$L$2:$L$2938,$A17,Cleaned_Data!$M$2:$M$2938,"Cancelled")</f>
        <v>67</v>
      </c>
      <c r="E17" s="11" t="n">
        <f aca="false">SUMIFS(Cleaned_Data!$K$2:$K$2938,Cleaned_Data!$L$2:$L$2938,$A17,Cleaned_Data!$M$2:$M$2938,"Delivered")</f>
        <v>537822</v>
      </c>
      <c r="F17" s="11" t="n">
        <f aca="false">IFERROR(E17/C17,0)</f>
        <v>434.077481840194</v>
      </c>
      <c r="G17" s="13" t="n">
        <f aca="false">IFERROR(D17/B17,0)</f>
        <v>0.051301684532925</v>
      </c>
      <c r="H17" s="14" t="n">
        <f aca="false">IFERROR(AVERAGEIFS(Cleaned_Data!$N$2:$N$2938,Cleaned_Data!$L$2:$L$2938,$A17,Cleaned_Data!$M$2:$M$2938,"Delivered"),0)</f>
        <v>38.2070089649552</v>
      </c>
    </row>
    <row r="18" customFormat="false" ht="15" hidden="false" customHeight="false" outlineLevel="0" collapsed="false">
      <c r="A18" s="7" t="s">
        <v>112</v>
      </c>
      <c r="B18" s="7" t="n">
        <f aca="false">COUNTIFS(Cleaned_Data!$L$2:$L$2938,$A18)</f>
        <v>488</v>
      </c>
      <c r="C18" s="7" t="n">
        <f aca="false">COUNTIFS(Cleaned_Data!$L$2:$L$2938,$A18,Cleaned_Data!$M$2:$M$2938,"Delivered")</f>
        <v>437</v>
      </c>
      <c r="D18" s="7" t="n">
        <f aca="false">COUNTIFS(Cleaned_Data!$L$2:$L$2938,$A18,Cleaned_Data!$M$2:$M$2938,"Cancelled")</f>
        <v>51</v>
      </c>
      <c r="E18" s="11" t="n">
        <f aca="false">SUMIFS(Cleaned_Data!$K$2:$K$2938,Cleaned_Data!$L$2:$L$2938,$A18,Cleaned_Data!$M$2:$M$2938,"Delivered")</f>
        <v>181016</v>
      </c>
      <c r="F18" s="11" t="n">
        <f aca="false">IFERROR(E18/C18,0)</f>
        <v>414.224256292906</v>
      </c>
      <c r="G18" s="13" t="n">
        <f aca="false">IFERROR(D18/B18,0)</f>
        <v>0.104508196721311</v>
      </c>
      <c r="H18" s="14" t="n">
        <f aca="false">IFERROR(AVERAGEIFS(Cleaned_Data!$N$2:$N$2938,Cleaned_Data!$L$2:$L$2938,$A18,Cleaned_Data!$M$2:$M$2938,"Delivered"),0)</f>
        <v>38.2850574712644</v>
      </c>
    </row>
    <row r="19" customFormat="false" ht="15" hidden="false" customHeight="false" outlineLevel="0" collapsed="false">
      <c r="A19" s="7" t="s">
        <v>93</v>
      </c>
      <c r="B19" s="7" t="n">
        <f aca="false">COUNTIFS(Cleaned_Data!$L$2:$L$2938,$A19)</f>
        <v>422</v>
      </c>
      <c r="C19" s="7" t="n">
        <f aca="false">COUNTIFS(Cleaned_Data!$L$2:$L$2938,$A19,Cleaned_Data!$M$2:$M$2938,"Delivered")</f>
        <v>402</v>
      </c>
      <c r="D19" s="7" t="n">
        <f aca="false">COUNTIFS(Cleaned_Data!$L$2:$L$2938,$A19,Cleaned_Data!$M$2:$M$2938,"Cancelled")</f>
        <v>20</v>
      </c>
      <c r="E19" s="11" t="n">
        <f aca="false">SUMIFS(Cleaned_Data!$K$2:$K$2938,Cleaned_Data!$L$2:$L$2938,$A19,Cleaned_Data!$M$2:$M$2938,"Delivered")</f>
        <v>178368</v>
      </c>
      <c r="F19" s="11" t="n">
        <f aca="false">IFERROR(E19/C19,0)</f>
        <v>443.701492537313</v>
      </c>
      <c r="G19" s="13" t="n">
        <f aca="false">IFERROR(D19/B19,0)</f>
        <v>0.04739336492891</v>
      </c>
      <c r="H19" s="14" t="n">
        <f aca="false">IFERROR(AVERAGEIFS(Cleaned_Data!$N$2:$N$2938,Cleaned_Data!$L$2:$L$2938,$A19,Cleaned_Data!$M$2:$M$2938,"Delivered"),0)</f>
        <v>38.5062972292191</v>
      </c>
    </row>
    <row r="20" customFormat="false" ht="15" hidden="false" customHeight="false" outlineLevel="0" collapsed="false">
      <c r="A20" s="7" t="s">
        <v>103</v>
      </c>
      <c r="B20" s="7" t="n">
        <f aca="false">COUNTIFS(Cleaned_Data!$L$2:$L$2938,$A20)</f>
        <v>315</v>
      </c>
      <c r="C20" s="7" t="n">
        <f aca="false">COUNTIFS(Cleaned_Data!$L$2:$L$2938,$A20,Cleaned_Data!$M$2:$M$2938,"Delivered")</f>
        <v>303</v>
      </c>
      <c r="D20" s="7" t="n">
        <f aca="false">COUNTIFS(Cleaned_Data!$L$2:$L$2938,$A20,Cleaned_Data!$M$2:$M$2938,"Cancelled")</f>
        <v>12</v>
      </c>
      <c r="E20" s="11" t="n">
        <f aca="false">SUMIFS(Cleaned_Data!$K$2:$K$2938,Cleaned_Data!$L$2:$L$2938,$A20,Cleaned_Data!$M$2:$M$2938,"Delivered")</f>
        <v>142939</v>
      </c>
      <c r="F20" s="11" t="n">
        <f aca="false">IFERROR(E20/C20,0)</f>
        <v>471.745874587459</v>
      </c>
      <c r="G20" s="13" t="n">
        <f aca="false">IFERROR(D20/B20,0)</f>
        <v>0.0380952380952381</v>
      </c>
      <c r="H20" s="14" t="n">
        <f aca="false">IFERROR(AVERAGEIFS(Cleaned_Data!$N$2:$N$2938,Cleaned_Data!$L$2:$L$2938,$A20,Cleaned_Data!$M$2:$M$2938,"Delivered"),0)</f>
        <v>37.8233333333333</v>
      </c>
    </row>
    <row r="21" customFormat="false" ht="15" hidden="false" customHeight="false" outlineLevel="0" collapsed="false">
      <c r="A21" s="7" t="s">
        <v>121</v>
      </c>
      <c r="B21" s="7" t="n">
        <f aca="false">COUNTIFS(Cleaned_Data!$L$2:$L$2938,$A21)</f>
        <v>235</v>
      </c>
      <c r="C21" s="7" t="n">
        <f aca="false">COUNTIFS(Cleaned_Data!$L$2:$L$2938,$A21,Cleaned_Data!$M$2:$M$2938,"Delivered")</f>
        <v>220</v>
      </c>
      <c r="D21" s="7" t="n">
        <f aca="false">COUNTIFS(Cleaned_Data!$L$2:$L$2938,$A21,Cleaned_Data!$M$2:$M$2938,"Cancelled")</f>
        <v>15</v>
      </c>
      <c r="E21" s="11" t="n">
        <f aca="false">SUMIFS(Cleaned_Data!$K$2:$K$2938,Cleaned_Data!$L$2:$L$2938,$A21,Cleaned_Data!$M$2:$M$2938,"Delivered")</f>
        <v>91734</v>
      </c>
      <c r="F21" s="11" t="n">
        <f aca="false">IFERROR(E21/C21,0)</f>
        <v>416.972727272727</v>
      </c>
      <c r="G21" s="13" t="n">
        <f aca="false">IFERROR(D21/B21,0)</f>
        <v>0.0638297872340426</v>
      </c>
      <c r="H21" s="14" t="n">
        <f aca="false">IFERROR(AVERAGEIFS(Cleaned_Data!$N$2:$N$2938,Cleaned_Data!$L$2:$L$2938,$A21,Cleaned_Data!$M$2:$M$2938,"Delivered"),0)</f>
        <v>38.846511627907</v>
      </c>
    </row>
    <row r="22" customFormat="false" ht="15" hidden="false" customHeight="false" outlineLevel="0" collapsed="false">
      <c r="A22" s="7" t="s">
        <v>133</v>
      </c>
      <c r="B22" s="7" t="n">
        <f aca="false">COUNTIFS(Cleaned_Data!$L$2:$L$2938,$A22)</f>
        <v>146</v>
      </c>
      <c r="C22" s="7" t="n">
        <f aca="false">COUNTIFS(Cleaned_Data!$L$2:$L$2938,$A22,Cleaned_Data!$M$2:$M$2938,"Delivered")</f>
        <v>135</v>
      </c>
      <c r="D22" s="7" t="n">
        <f aca="false">COUNTIFS(Cleaned_Data!$L$2:$L$2938,$A22,Cleaned_Data!$M$2:$M$2938,"Cancelled")</f>
        <v>11</v>
      </c>
      <c r="E22" s="11" t="n">
        <f aca="false">SUMIFS(Cleaned_Data!$K$2:$K$2938,Cleaned_Data!$L$2:$L$2938,$A22,Cleaned_Data!$M$2:$M$2938,"Delivered")</f>
        <v>59417</v>
      </c>
      <c r="F22" s="11" t="n">
        <f aca="false">IFERROR(E22/C22,0)</f>
        <v>440.125925925926</v>
      </c>
      <c r="G22" s="13" t="n">
        <f aca="false">IFERROR(D22/B22,0)</f>
        <v>0.0753424657534247</v>
      </c>
      <c r="H22" s="14" t="n">
        <f aca="false">IFERROR(AVERAGEIFS(Cleaned_Data!$N$2:$N$2938,Cleaned_Data!$L$2:$L$2938,$A22,Cleaned_Data!$M$2:$M$2938,"Delivered"),0)</f>
        <v>39.7164179104478</v>
      </c>
    </row>
    <row r="23" customFormat="false" ht="15" hidden="false" customHeight="false" outlineLevel="0" collapsed="false">
      <c r="A23" s="7" t="s">
        <v>6170</v>
      </c>
      <c r="B23" s="7" t="n">
        <f aca="false">COUNTIFS(Cleaned_Data!$L$2:$L$2938,$A23)</f>
        <v>25</v>
      </c>
      <c r="C23" s="7" t="n">
        <f aca="false">COUNTIFS(Cleaned_Data!$L$2:$L$2938,$A23,Cleaned_Data!$M$2:$M$2938,"Delivered")</f>
        <v>23</v>
      </c>
      <c r="D23" s="7" t="n">
        <f aca="false">COUNTIFS(Cleaned_Data!$L$2:$L$2938,$A23,Cleaned_Data!$M$2:$M$2938,"Cancelled")</f>
        <v>2</v>
      </c>
      <c r="E23" s="11" t="n">
        <f aca="false">SUMIFS(Cleaned_Data!$K$2:$K$2938,Cleaned_Data!$L$2:$L$2938,$A23,Cleaned_Data!$M$2:$M$2938,"Delivered")</f>
        <v>8400</v>
      </c>
      <c r="F23" s="11" t="n">
        <f aca="false">IFERROR(E23/C23,0)</f>
        <v>365.217391304348</v>
      </c>
      <c r="G23" s="13" t="n">
        <f aca="false">IFERROR(D23/B23,0)</f>
        <v>0.08</v>
      </c>
      <c r="H23" s="14" t="n">
        <f aca="false">IFERROR(AVERAGEIFS(Cleaned_Data!$N$2:$N$2938,Cleaned_Data!$L$2:$L$2938,$A23,Cleaned_Data!$M$2:$M$2938,"Delivered"),0)</f>
        <v>35.1304347826087</v>
      </c>
    </row>
    <row r="24" customFormat="false" ht="15" hidden="false" customHeight="false" outlineLevel="0" collapsed="false">
      <c r="A24" s="4" t="s">
        <v>6252</v>
      </c>
      <c r="B24" s="4" t="n">
        <f aca="false">SUM(B17:B23)</f>
        <v>2937</v>
      </c>
      <c r="C24" s="4" t="n">
        <f aca="false">SUM(C17:C23)</f>
        <v>2759</v>
      </c>
      <c r="D24" s="4" t="n">
        <f aca="false">SUM(D17:D23)</f>
        <v>178</v>
      </c>
      <c r="E24" s="15" t="n">
        <f aca="false">SUM(E17:E23)</f>
        <v>1199696</v>
      </c>
      <c r="F24" s="15" t="n">
        <f aca="false">IFERROR(E24/C24,0)</f>
        <v>434.830010873505</v>
      </c>
      <c r="G24" s="16" t="n">
        <f aca="false">IFERROR(D24/B24,0)</f>
        <v>0.0606060606060606</v>
      </c>
      <c r="H24" s="17" t="n">
        <f aca="false">IFERROR(AVERAGEIFS(Cleaned_Data!$N$2:$N$2938,Cleaned_Data!$M$2:$M$2938,"Delivered"),0)</f>
        <v>38.3192969608202</v>
      </c>
    </row>
    <row r="27" customFormat="false" ht="15" hidden="false" customHeight="false" outlineLevel="0" collapsed="false">
      <c r="A27" s="3" t="s">
        <v>84</v>
      </c>
      <c r="B27" s="3" t="s">
        <v>6247</v>
      </c>
      <c r="C27" s="3" t="s">
        <v>194</v>
      </c>
      <c r="D27" s="3" t="s">
        <v>238</v>
      </c>
      <c r="E27" s="3" t="s">
        <v>6248</v>
      </c>
      <c r="F27" s="3" t="s">
        <v>6249</v>
      </c>
      <c r="G27" s="3" t="s">
        <v>6250</v>
      </c>
      <c r="H27" s="3" t="s">
        <v>6251</v>
      </c>
    </row>
    <row r="28" customFormat="false" ht="15" hidden="false" customHeight="false" outlineLevel="0" collapsed="false">
      <c r="A28" s="7" t="s">
        <v>99</v>
      </c>
      <c r="B28" s="7" t="n">
        <f aca="false">COUNTIFS(Cleaned_Data!$G$2:$G$2938,$A28)</f>
        <v>396</v>
      </c>
      <c r="C28" s="7" t="n">
        <f aca="false">COUNTIFS(Cleaned_Data!$G$2:$G$2938,$A28,Cleaned_Data!$M$2:$M$2938,"Delivered")</f>
        <v>369</v>
      </c>
      <c r="D28" s="7" t="n">
        <f aca="false">COUNTIFS(Cleaned_Data!$G$2:$G$2938,$A28,Cleaned_Data!$M$2:$M$2938,"Cancelled")</f>
        <v>27</v>
      </c>
      <c r="E28" s="11" t="n">
        <f aca="false">SUMIFS(Cleaned_Data!$K$2:$K$2938,Cleaned_Data!$G$2:$G$2938,$A28,Cleaned_Data!$M$2:$M$2938,"Delivered")</f>
        <v>201100</v>
      </c>
      <c r="F28" s="11" t="n">
        <f aca="false">IFERROR(E28/C28,0)</f>
        <v>544.986449864499</v>
      </c>
      <c r="G28" s="13" t="n">
        <f aca="false">IFERROR(D28/B28,0)</f>
        <v>0.0681818181818182</v>
      </c>
      <c r="H28" s="14" t="n">
        <f aca="false">IFERROR(AVERAGEIFS(Cleaned_Data!$N$2:$N$2938,Cleaned_Data!$G$2:$G$2938,$A28,Cleaned_Data!$M$2:$M$2938,"Delivered"),0)</f>
        <v>37.5780821917808</v>
      </c>
    </row>
    <row r="29" customFormat="false" ht="15" hidden="false" customHeight="false" outlineLevel="0" collapsed="false">
      <c r="A29" s="7" t="s">
        <v>139</v>
      </c>
      <c r="B29" s="7" t="n">
        <f aca="false">COUNTIFS(Cleaned_Data!$G$2:$G$2938,$A29)</f>
        <v>260</v>
      </c>
      <c r="C29" s="7" t="n">
        <f aca="false">COUNTIFS(Cleaned_Data!$G$2:$G$2938,$A29,Cleaned_Data!$M$2:$M$2938,"Delivered")</f>
        <v>237</v>
      </c>
      <c r="D29" s="7" t="n">
        <f aca="false">COUNTIFS(Cleaned_Data!$G$2:$G$2938,$A29,Cleaned_Data!$M$2:$M$2938,"Cancelled")</f>
        <v>23</v>
      </c>
      <c r="E29" s="11" t="n">
        <f aca="false">SUMIFS(Cleaned_Data!$K$2:$K$2938,Cleaned_Data!$G$2:$G$2938,$A29,Cleaned_Data!$M$2:$M$2938,"Delivered")</f>
        <v>97575</v>
      </c>
      <c r="F29" s="11" t="n">
        <f aca="false">IFERROR(E29/C29,0)</f>
        <v>411.708860759494</v>
      </c>
      <c r="G29" s="13" t="n">
        <f aca="false">IFERROR(D29/B29,0)</f>
        <v>0.0884615384615385</v>
      </c>
      <c r="H29" s="14" t="n">
        <f aca="false">IFERROR(AVERAGEIFS(Cleaned_Data!$N$2:$N$2938,Cleaned_Data!$G$2:$G$2938,$A29,Cleaned_Data!$M$2:$M$2938,"Delivered"),0)</f>
        <v>37.6637931034483</v>
      </c>
    </row>
    <row r="30" customFormat="false" ht="15" hidden="false" customHeight="false" outlineLevel="0" collapsed="false">
      <c r="A30" s="7" t="s">
        <v>105</v>
      </c>
      <c r="B30" s="7" t="n">
        <f aca="false">COUNTIFS(Cleaned_Data!$G$2:$G$2938,$A30)</f>
        <v>370</v>
      </c>
      <c r="C30" s="7" t="n">
        <f aca="false">COUNTIFS(Cleaned_Data!$G$2:$G$2938,$A30,Cleaned_Data!$M$2:$M$2938,"Delivered")</f>
        <v>348</v>
      </c>
      <c r="D30" s="7" t="n">
        <f aca="false">COUNTIFS(Cleaned_Data!$G$2:$G$2938,$A30,Cleaned_Data!$M$2:$M$2938,"Cancelled")</f>
        <v>22</v>
      </c>
      <c r="E30" s="11" t="n">
        <f aca="false">SUMIFS(Cleaned_Data!$K$2:$K$2938,Cleaned_Data!$G$2:$G$2938,$A30,Cleaned_Data!$M$2:$M$2938,"Delivered")</f>
        <v>143771</v>
      </c>
      <c r="F30" s="11" t="n">
        <f aca="false">IFERROR(E30/C30,0)</f>
        <v>413.135057471264</v>
      </c>
      <c r="G30" s="13" t="n">
        <f aca="false">IFERROR(D30/B30,0)</f>
        <v>0.0594594594594595</v>
      </c>
      <c r="H30" s="14" t="n">
        <f aca="false">IFERROR(AVERAGEIFS(Cleaned_Data!$N$2:$N$2938,Cleaned_Data!$G$2:$G$2938,$A30,Cleaned_Data!$M$2:$M$2938,"Delivered"),0)</f>
        <v>40.8005780346821</v>
      </c>
    </row>
    <row r="31" customFormat="false" ht="15" hidden="false" customHeight="false" outlineLevel="0" collapsed="false">
      <c r="A31" s="7" t="s">
        <v>150</v>
      </c>
      <c r="B31" s="7" t="n">
        <f aca="false">COUNTIFS(Cleaned_Data!$G$2:$G$2938,$A31)</f>
        <v>214</v>
      </c>
      <c r="C31" s="7" t="n">
        <f aca="false">COUNTIFS(Cleaned_Data!$G$2:$G$2938,$A31,Cleaned_Data!$M$2:$M$2938,"Delivered")</f>
        <v>199</v>
      </c>
      <c r="D31" s="7" t="n">
        <f aca="false">COUNTIFS(Cleaned_Data!$G$2:$G$2938,$A31,Cleaned_Data!$M$2:$M$2938,"Cancelled")</f>
        <v>15</v>
      </c>
      <c r="E31" s="11" t="n">
        <f aca="false">SUMIFS(Cleaned_Data!$K$2:$K$2938,Cleaned_Data!$G$2:$G$2938,$A31,Cleaned_Data!$M$2:$M$2938,"Delivered")</f>
        <v>63078</v>
      </c>
      <c r="F31" s="11" t="n">
        <f aca="false">IFERROR(E31/C31,0)</f>
        <v>316.974874371859</v>
      </c>
      <c r="G31" s="13" t="n">
        <f aca="false">IFERROR(D31/B31,0)</f>
        <v>0.0700934579439252</v>
      </c>
      <c r="H31" s="14" t="n">
        <f aca="false">IFERROR(AVERAGEIFS(Cleaned_Data!$N$2:$N$2938,Cleaned_Data!$G$2:$G$2938,$A31,Cleaned_Data!$M$2:$M$2938,"Delivered"),0)</f>
        <v>34.8877551020408</v>
      </c>
    </row>
    <row r="32" customFormat="false" ht="15" hidden="false" customHeight="false" outlineLevel="0" collapsed="false">
      <c r="A32" s="7" t="s">
        <v>156</v>
      </c>
      <c r="B32" s="7" t="n">
        <f aca="false">COUNTIFS(Cleaned_Data!$G$2:$G$2938,$A32)</f>
        <v>66</v>
      </c>
      <c r="C32" s="7" t="n">
        <f aca="false">COUNTIFS(Cleaned_Data!$G$2:$G$2938,$A32,Cleaned_Data!$M$2:$M$2938,"Delivered")</f>
        <v>65</v>
      </c>
      <c r="D32" s="7" t="n">
        <f aca="false">COUNTIFS(Cleaned_Data!$G$2:$G$2938,$A32,Cleaned_Data!$M$2:$M$2938,"Cancelled")</f>
        <v>1</v>
      </c>
      <c r="E32" s="11" t="n">
        <f aca="false">SUMIFS(Cleaned_Data!$K$2:$K$2938,Cleaned_Data!$G$2:$G$2938,$A32,Cleaned_Data!$M$2:$M$2938,"Delivered")</f>
        <v>38550</v>
      </c>
      <c r="F32" s="11" t="n">
        <f aca="false">IFERROR(E32/C32,0)</f>
        <v>593.076923076923</v>
      </c>
      <c r="G32" s="13" t="n">
        <f aca="false">IFERROR(D32/B32,0)</f>
        <v>0.0151515151515152</v>
      </c>
      <c r="H32" s="14" t="n">
        <f aca="false">IFERROR(AVERAGEIFS(Cleaned_Data!$N$2:$N$2938,Cleaned_Data!$G$2:$G$2938,$A32,Cleaned_Data!$M$2:$M$2938,"Delivered"),0)</f>
        <v>31.7538461538462</v>
      </c>
    </row>
    <row r="33" customFormat="false" ht="15" hidden="false" customHeight="false" outlineLevel="0" collapsed="false">
      <c r="A33" s="7" t="s">
        <v>90</v>
      </c>
      <c r="B33" s="7" t="n">
        <f aca="false">COUNTIFS(Cleaned_Data!$G$2:$G$2938,$A33)</f>
        <v>668</v>
      </c>
      <c r="C33" s="7" t="n">
        <f aca="false">COUNTIFS(Cleaned_Data!$G$2:$G$2938,$A33,Cleaned_Data!$M$2:$M$2938,"Delivered")</f>
        <v>622</v>
      </c>
      <c r="D33" s="7" t="n">
        <f aca="false">COUNTIFS(Cleaned_Data!$G$2:$G$2938,$A33,Cleaned_Data!$M$2:$M$2938,"Cancelled")</f>
        <v>46</v>
      </c>
      <c r="E33" s="11" t="n">
        <f aca="false">SUMIFS(Cleaned_Data!$K$2:$K$2938,Cleaned_Data!$G$2:$G$2938,$A33,Cleaned_Data!$M$2:$M$2938,"Delivered")</f>
        <v>306832</v>
      </c>
      <c r="F33" s="11" t="n">
        <f aca="false">IFERROR(E33/C33,0)</f>
        <v>493.299035369775</v>
      </c>
      <c r="G33" s="13" t="n">
        <f aca="false">IFERROR(D33/B33,0)</f>
        <v>0.0688622754491018</v>
      </c>
      <c r="H33" s="14" t="n">
        <f aca="false">IFERROR(AVERAGEIFS(Cleaned_Data!$N$2:$N$2938,Cleaned_Data!$G$2:$G$2938,$A33,Cleaned_Data!$M$2:$M$2938,"Delivered"),0)</f>
        <v>39.5974025974026</v>
      </c>
    </row>
    <row r="34" customFormat="false" ht="15" hidden="false" customHeight="false" outlineLevel="0" collapsed="false">
      <c r="A34" s="7" t="s">
        <v>123</v>
      </c>
      <c r="B34" s="7" t="n">
        <f aca="false">COUNTIFS(Cleaned_Data!$G$2:$G$2938,$A34)</f>
        <v>265</v>
      </c>
      <c r="C34" s="7" t="n">
        <f aca="false">COUNTIFS(Cleaned_Data!$G$2:$G$2938,$A34,Cleaned_Data!$M$2:$M$2938,"Delivered")</f>
        <v>258</v>
      </c>
      <c r="D34" s="7" t="n">
        <f aca="false">COUNTIFS(Cleaned_Data!$G$2:$G$2938,$A34,Cleaned_Data!$M$2:$M$2938,"Cancelled")</f>
        <v>7</v>
      </c>
      <c r="E34" s="11" t="n">
        <f aca="false">SUMIFS(Cleaned_Data!$K$2:$K$2938,Cleaned_Data!$G$2:$G$2938,$A34,Cleaned_Data!$M$2:$M$2938,"Delivered")</f>
        <v>176099</v>
      </c>
      <c r="F34" s="11" t="n">
        <f aca="false">IFERROR(E34/C34,0)</f>
        <v>682.554263565892</v>
      </c>
      <c r="G34" s="13" t="n">
        <f aca="false">IFERROR(D34/B34,0)</f>
        <v>0.0264150943396226</v>
      </c>
      <c r="H34" s="14" t="n">
        <f aca="false">IFERROR(AVERAGEIFS(Cleaned_Data!$N$2:$N$2938,Cleaned_Data!$G$2:$G$2938,$A34,Cleaned_Data!$M$2:$M$2938,"Delivered"),0)</f>
        <v>37.5529411764706</v>
      </c>
    </row>
    <row r="35" customFormat="false" ht="15" hidden="false" customHeight="false" outlineLevel="0" collapsed="false">
      <c r="A35" s="7" t="s">
        <v>95</v>
      </c>
      <c r="B35" s="7" t="n">
        <f aca="false">COUNTIFS(Cleaned_Data!$G$2:$G$2938,$A35)</f>
        <v>382</v>
      </c>
      <c r="C35" s="7" t="n">
        <f aca="false">COUNTIFS(Cleaned_Data!$G$2:$G$2938,$A35,Cleaned_Data!$M$2:$M$2938,"Delivered")</f>
        <v>364</v>
      </c>
      <c r="D35" s="7" t="n">
        <f aca="false">COUNTIFS(Cleaned_Data!$G$2:$G$2938,$A35,Cleaned_Data!$M$2:$M$2938,"Cancelled")</f>
        <v>18</v>
      </c>
      <c r="E35" s="11" t="n">
        <f aca="false">SUMIFS(Cleaned_Data!$K$2:$K$2938,Cleaned_Data!$G$2:$G$2938,$A35,Cleaned_Data!$M$2:$M$2938,"Delivered")</f>
        <v>97908</v>
      </c>
      <c r="F35" s="11" t="n">
        <f aca="false">IFERROR(E35/C35,0)</f>
        <v>268.978021978022</v>
      </c>
      <c r="G35" s="13" t="n">
        <f aca="false">IFERROR(D35/B35,0)</f>
        <v>0.0471204188481675</v>
      </c>
      <c r="H35" s="14" t="n">
        <f aca="false">IFERROR(AVERAGEIFS(Cleaned_Data!$N$2:$N$2938,Cleaned_Data!$G$2:$G$2938,$A35,Cleaned_Data!$M$2:$M$2938,"Delivered"),0)</f>
        <v>37.6888888888889</v>
      </c>
    </row>
    <row r="36" customFormat="false" ht="15" hidden="false" customHeight="false" outlineLevel="0" collapsed="false">
      <c r="A36" s="7" t="s">
        <v>117</v>
      </c>
      <c r="B36" s="7" t="n">
        <f aca="false">COUNTIFS(Cleaned_Data!$G$2:$G$2938,$A36)</f>
        <v>316</v>
      </c>
      <c r="C36" s="7" t="n">
        <f aca="false">COUNTIFS(Cleaned_Data!$G$2:$G$2938,$A36,Cleaned_Data!$M$2:$M$2938,"Delivered")</f>
        <v>297</v>
      </c>
      <c r="D36" s="7" t="n">
        <f aca="false">COUNTIFS(Cleaned_Data!$G$2:$G$2938,$A36,Cleaned_Data!$M$2:$M$2938,"Cancelled")</f>
        <v>19</v>
      </c>
      <c r="E36" s="11" t="n">
        <f aca="false">SUMIFS(Cleaned_Data!$K$2:$K$2938,Cleaned_Data!$G$2:$G$2938,$A36,Cleaned_Data!$M$2:$M$2938,"Delivered")</f>
        <v>74783</v>
      </c>
      <c r="F36" s="11" t="n">
        <f aca="false">IFERROR(E36/C36,0)</f>
        <v>251.794612794613</v>
      </c>
      <c r="G36" s="13" t="n">
        <f aca="false">IFERROR(D36/B36,0)</f>
        <v>0.060126582278481</v>
      </c>
      <c r="H36" s="14" t="n">
        <f aca="false">IFERROR(AVERAGEIFS(Cleaned_Data!$N$2:$N$2938,Cleaned_Data!$G$2:$G$2938,$A36,Cleaned_Data!$M$2:$M$2938,"Delivered"),0)</f>
        <v>39.3277027027027</v>
      </c>
    </row>
    <row r="37" customFormat="false" ht="15" hidden="false" customHeight="false" outlineLevel="0" collapsed="false">
      <c r="A37" s="4" t="s">
        <v>6252</v>
      </c>
      <c r="B37" s="4" t="n">
        <f aca="false">SUM(B28:B36)</f>
        <v>2937</v>
      </c>
      <c r="C37" s="4" t="n">
        <f aca="false">SUM(C28:C36)</f>
        <v>2759</v>
      </c>
      <c r="D37" s="4" t="n">
        <f aca="false">SUM(D28:D36)</f>
        <v>178</v>
      </c>
      <c r="E37" s="15" t="n">
        <f aca="false">SUM(E28:E36)</f>
        <v>1199696</v>
      </c>
      <c r="F37" s="15" t="n">
        <f aca="false">IFERROR(E37/C37,0)</f>
        <v>434.830010873505</v>
      </c>
      <c r="G37" s="16" t="n">
        <f aca="false">IFERROR(D37/B37,0)</f>
        <v>0.0606060606060606</v>
      </c>
      <c r="H37" s="17" t="n">
        <f aca="false">IFERROR(AVERAGEIFS(Cleaned_Data!$N$2:$N$2938,Cleaned_Data!$M$2:$M$2938,"Delivered"),0)</f>
        <v>38.3192969608202</v>
      </c>
    </row>
    <row r="40" customFormat="false" ht="15" hidden="false" customHeight="false" outlineLevel="0" collapsed="false">
      <c r="A40" s="3" t="s">
        <v>6254</v>
      </c>
      <c r="B40" s="3" t="s">
        <v>6247</v>
      </c>
      <c r="C40" s="3" t="s">
        <v>194</v>
      </c>
      <c r="D40" s="3" t="s">
        <v>238</v>
      </c>
      <c r="E40" s="3" t="s">
        <v>6248</v>
      </c>
      <c r="F40" s="3" t="s">
        <v>6249</v>
      </c>
      <c r="G40" s="3" t="s">
        <v>6250</v>
      </c>
      <c r="H40" s="3" t="s">
        <v>6251</v>
      </c>
    </row>
    <row r="41" customFormat="false" ht="15" hidden="false" customHeight="false" outlineLevel="0" collapsed="false">
      <c r="A41" s="7" t="s">
        <v>6255</v>
      </c>
      <c r="B41" s="7" t="n">
        <f aca="false">COUNTIFS(Cleaned_Data!$B$2:$B$2938,"&gt;="&amp;DATE(2025,1,1),Cleaned_Data!$B$2:$B$2938,"&lt;"&amp;DATE(2025,2,1))</f>
        <v>225</v>
      </c>
      <c r="C41" s="7" t="n">
        <f aca="false">COUNTIFS(Cleaned_Data!$B$2:$B$2938,"&gt;="&amp;DATE(2025,1,1),Cleaned_Data!$B$2:$B$2938,"&lt;"&amp;DATE(2025,2,1),Cleaned_Data!$M$2:$M$2938,"Delivered")</f>
        <v>212</v>
      </c>
      <c r="D41" s="7" t="n">
        <f aca="false">COUNTIFS(Cleaned_Data!$B$2:$B$2938,"&gt;="&amp;DATE(2025,1,1),Cleaned_Data!$B$2:$B$2938,"&lt;"&amp;DATE(2025,2,1),Cleaned_Data!$M$2:$M$2938,"Cancelled")</f>
        <v>13</v>
      </c>
      <c r="E41" s="11" t="n">
        <f aca="false">SUMIFS(Cleaned_Data!$K$2:$K$2938,Cleaned_Data!$B$2:$B$2938,"&gt;="&amp;DATE(2025,1,1),Cleaned_Data!$B$2:$B$2938,"&lt;"&amp;DATE(2025,2,1),Cleaned_Data!$M$2:$M$2938,"Delivered")</f>
        <v>89850</v>
      </c>
      <c r="F41" s="11" t="n">
        <f aca="false">IFERROR(E41/C41,0)</f>
        <v>423.820754716981</v>
      </c>
      <c r="G41" s="13" t="n">
        <f aca="false">IFERROR(D41/B41,0)</f>
        <v>0.0577777777777778</v>
      </c>
      <c r="H41" s="14" t="n">
        <f aca="false">IFERROR(AVERAGEIFS(Cleaned_Data!$N$2:$N$2938,Cleaned_Data!$B$2:$B$2938,"&gt;="&amp;DATE(2025,1,1),Cleaned_Data!$B$2:$B$2938,"&lt;"&amp;DATE(2025,2,1),Cleaned_Data!$M$2:$M$2938,"Delivered"),0)</f>
        <v>37.9117647058824</v>
      </c>
    </row>
    <row r="42" customFormat="false" ht="15" hidden="false" customHeight="false" outlineLevel="0" collapsed="false">
      <c r="A42" s="7" t="s">
        <v>6256</v>
      </c>
      <c r="B42" s="7" t="n">
        <f aca="false">COUNTIFS(Cleaned_Data!$B$2:$B$2938,"&gt;="&amp;DATE(2025,2,1),Cleaned_Data!$B$2:$B$2938,"&lt;"&amp;DATE(2025,3,1))</f>
        <v>207</v>
      </c>
      <c r="C42" s="7" t="n">
        <f aca="false">COUNTIFS(Cleaned_Data!$B$2:$B$2938,"&gt;="&amp;DATE(2025,2,1),Cleaned_Data!$B$2:$B$2938,"&lt;"&amp;DATE(2025,3,1),Cleaned_Data!$M$2:$M$2938,"Delivered")</f>
        <v>199</v>
      </c>
      <c r="D42" s="7" t="n">
        <f aca="false">COUNTIFS(Cleaned_Data!$B$2:$B$2938,"&gt;="&amp;DATE(2025,2,1),Cleaned_Data!$B$2:$B$2938,"&lt;"&amp;DATE(2025,3,1),Cleaned_Data!$M$2:$M$2938,"Cancelled")</f>
        <v>8</v>
      </c>
      <c r="E42" s="11" t="n">
        <f aca="false">SUMIFS(Cleaned_Data!$K$2:$K$2938,Cleaned_Data!$B$2:$B$2938,"&gt;="&amp;DATE(2025,2,1),Cleaned_Data!$B$2:$B$2938,"&lt;"&amp;DATE(2025,3,1),Cleaned_Data!$M$2:$M$2938,"Delivered")</f>
        <v>88479</v>
      </c>
      <c r="F42" s="11" t="n">
        <f aca="false">IFERROR(E42/C42,0)</f>
        <v>444.618090452261</v>
      </c>
      <c r="G42" s="13" t="n">
        <f aca="false">IFERROR(D42/B42,0)</f>
        <v>0.0386473429951691</v>
      </c>
      <c r="H42" s="14" t="n">
        <f aca="false">IFERROR(AVERAGEIFS(Cleaned_Data!$N$2:$N$2938,Cleaned_Data!$B$2:$B$2938,"&gt;="&amp;DATE(2025,2,1),Cleaned_Data!$B$2:$B$2938,"&lt;"&amp;DATE(2025,3,1),Cleaned_Data!$M$2:$M$2938,"Delivered"),0)</f>
        <v>38.3604060913706</v>
      </c>
    </row>
    <row r="43" customFormat="false" ht="15" hidden="false" customHeight="false" outlineLevel="0" collapsed="false">
      <c r="A43" s="7" t="s">
        <v>6257</v>
      </c>
      <c r="B43" s="7" t="n">
        <f aca="false">COUNTIFS(Cleaned_Data!$B$2:$B$2938,"&gt;="&amp;DATE(2025,3,1),Cleaned_Data!$B$2:$B$2938,"&lt;"&amp;DATE(2025,4,1))</f>
        <v>264</v>
      </c>
      <c r="C43" s="7" t="n">
        <f aca="false">COUNTIFS(Cleaned_Data!$B$2:$B$2938,"&gt;="&amp;DATE(2025,3,1),Cleaned_Data!$B$2:$B$2938,"&lt;"&amp;DATE(2025,4,1),Cleaned_Data!$M$2:$M$2938,"Delivered")</f>
        <v>250</v>
      </c>
      <c r="D43" s="7" t="n">
        <f aca="false">COUNTIFS(Cleaned_Data!$B$2:$B$2938,"&gt;="&amp;DATE(2025,3,1),Cleaned_Data!$B$2:$B$2938,"&lt;"&amp;DATE(2025,4,1),Cleaned_Data!$M$2:$M$2938,"Cancelled")</f>
        <v>14</v>
      </c>
      <c r="E43" s="11" t="n">
        <f aca="false">SUMIFS(Cleaned_Data!$K$2:$K$2938,Cleaned_Data!$B$2:$B$2938,"&gt;="&amp;DATE(2025,3,1),Cleaned_Data!$B$2:$B$2938,"&lt;"&amp;DATE(2025,4,1),Cleaned_Data!$M$2:$M$2938,"Delivered")</f>
        <v>100829</v>
      </c>
      <c r="F43" s="11" t="n">
        <f aca="false">IFERROR(E43/C43,0)</f>
        <v>403.316</v>
      </c>
      <c r="G43" s="13" t="n">
        <f aca="false">IFERROR(D43/B43,0)</f>
        <v>0.053030303030303</v>
      </c>
      <c r="H43" s="14" t="n">
        <f aca="false">IFERROR(AVERAGEIFS(Cleaned_Data!$N$2:$N$2938,Cleaned_Data!$B$2:$B$2938,"&gt;="&amp;DATE(2025,3,1),Cleaned_Data!$B$2:$B$2938,"&lt;"&amp;DATE(2025,4,1),Cleaned_Data!$M$2:$M$2938,"Delivered"),0)</f>
        <v>38.758064516129</v>
      </c>
    </row>
    <row r="44" customFormat="false" ht="15" hidden="false" customHeight="false" outlineLevel="0" collapsed="false">
      <c r="A44" s="7" t="s">
        <v>6258</v>
      </c>
      <c r="B44" s="7" t="n">
        <f aca="false">COUNTIFS(Cleaned_Data!$B$2:$B$2938,"&gt;="&amp;DATE(2025,4,1),Cleaned_Data!$B$2:$B$2938,"&lt;"&amp;DATE(2025,5,1))</f>
        <v>238</v>
      </c>
      <c r="C44" s="7" t="n">
        <f aca="false">COUNTIFS(Cleaned_Data!$B$2:$B$2938,"&gt;="&amp;DATE(2025,4,1),Cleaned_Data!$B$2:$B$2938,"&lt;"&amp;DATE(2025,5,1),Cleaned_Data!$M$2:$M$2938,"Delivered")</f>
        <v>217</v>
      </c>
      <c r="D44" s="7" t="n">
        <f aca="false">COUNTIFS(Cleaned_Data!$B$2:$B$2938,"&gt;="&amp;DATE(2025,4,1),Cleaned_Data!$B$2:$B$2938,"&lt;"&amp;DATE(2025,5,1),Cleaned_Data!$M$2:$M$2938,"Cancelled")</f>
        <v>21</v>
      </c>
      <c r="E44" s="11" t="n">
        <f aca="false">SUMIFS(Cleaned_Data!$K$2:$K$2938,Cleaned_Data!$B$2:$B$2938,"&gt;="&amp;DATE(2025,4,1),Cleaned_Data!$B$2:$B$2938,"&lt;"&amp;DATE(2025,5,1),Cleaned_Data!$M$2:$M$2938,"Delivered")</f>
        <v>98569</v>
      </c>
      <c r="F44" s="11" t="n">
        <f aca="false">IFERROR(E44/C44,0)</f>
        <v>454.235023041475</v>
      </c>
      <c r="G44" s="13" t="n">
        <f aca="false">IFERROR(D44/B44,0)</f>
        <v>0.0882352941176471</v>
      </c>
      <c r="H44" s="14" t="n">
        <f aca="false">IFERROR(AVERAGEIFS(Cleaned_Data!$N$2:$N$2938,Cleaned_Data!$B$2:$B$2938,"&gt;="&amp;DATE(2025,4,1),Cleaned_Data!$B$2:$B$2938,"&lt;"&amp;DATE(2025,5,1),Cleaned_Data!$M$2:$M$2938,"Delivered"),0)</f>
        <v>39.8888888888889</v>
      </c>
    </row>
    <row r="45" customFormat="false" ht="15" hidden="false" customHeight="false" outlineLevel="0" collapsed="false">
      <c r="A45" s="7" t="s">
        <v>6259</v>
      </c>
      <c r="B45" s="7" t="n">
        <f aca="false">COUNTIFS(Cleaned_Data!$B$2:$B$2938,"&gt;="&amp;DATE(2025,5,1),Cleaned_Data!$B$2:$B$2938,"&lt;"&amp;DATE(2025,6,1))</f>
        <v>236</v>
      </c>
      <c r="C45" s="7" t="n">
        <f aca="false">COUNTIFS(Cleaned_Data!$B$2:$B$2938,"&gt;="&amp;DATE(2025,5,1),Cleaned_Data!$B$2:$B$2938,"&lt;"&amp;DATE(2025,6,1),Cleaned_Data!$M$2:$M$2938,"Delivered")</f>
        <v>221</v>
      </c>
      <c r="D45" s="7" t="n">
        <f aca="false">COUNTIFS(Cleaned_Data!$B$2:$B$2938,"&gt;="&amp;DATE(2025,5,1),Cleaned_Data!$B$2:$B$2938,"&lt;"&amp;DATE(2025,6,1),Cleaned_Data!$M$2:$M$2938,"Cancelled")</f>
        <v>15</v>
      </c>
      <c r="E45" s="11" t="n">
        <f aca="false">SUMIFS(Cleaned_Data!$K$2:$K$2938,Cleaned_Data!$B$2:$B$2938,"&gt;="&amp;DATE(2025,5,1),Cleaned_Data!$B$2:$B$2938,"&lt;"&amp;DATE(2025,6,1),Cleaned_Data!$M$2:$M$2938,"Delivered")</f>
        <v>101852</v>
      </c>
      <c r="F45" s="11" t="n">
        <f aca="false">IFERROR(E45/C45,0)</f>
        <v>460.868778280543</v>
      </c>
      <c r="G45" s="13" t="n">
        <f aca="false">IFERROR(D45/B45,0)</f>
        <v>0.0635593220338983</v>
      </c>
      <c r="H45" s="14" t="n">
        <f aca="false">IFERROR(AVERAGEIFS(Cleaned_Data!$N$2:$N$2938,Cleaned_Data!$B$2:$B$2938,"&gt;="&amp;DATE(2025,5,1),Cleaned_Data!$B$2:$B$2938,"&lt;"&amp;DATE(2025,6,1),Cleaned_Data!$M$2:$M$2938,"Delivered"),0)</f>
        <v>37.7590909090909</v>
      </c>
    </row>
    <row r="46" customFormat="false" ht="15" hidden="false" customHeight="false" outlineLevel="0" collapsed="false">
      <c r="A46" s="7" t="s">
        <v>6260</v>
      </c>
      <c r="B46" s="7" t="n">
        <f aca="false">COUNTIFS(Cleaned_Data!$B$2:$B$2938,"&gt;="&amp;DATE(2025,6,1),Cleaned_Data!$B$2:$B$2938,"&lt;"&amp;DATE(2025,7,1))</f>
        <v>204</v>
      </c>
      <c r="C46" s="7" t="n">
        <f aca="false">COUNTIFS(Cleaned_Data!$B$2:$B$2938,"&gt;="&amp;DATE(2025,6,1),Cleaned_Data!$B$2:$B$2938,"&lt;"&amp;DATE(2025,7,1),Cleaned_Data!$M$2:$M$2938,"Delivered")</f>
        <v>193</v>
      </c>
      <c r="D46" s="7" t="n">
        <f aca="false">COUNTIFS(Cleaned_Data!$B$2:$B$2938,"&gt;="&amp;DATE(2025,6,1),Cleaned_Data!$B$2:$B$2938,"&lt;"&amp;DATE(2025,7,1),Cleaned_Data!$M$2:$M$2938,"Cancelled")</f>
        <v>11</v>
      </c>
      <c r="E46" s="11" t="n">
        <f aca="false">SUMIFS(Cleaned_Data!$K$2:$K$2938,Cleaned_Data!$B$2:$B$2938,"&gt;="&amp;DATE(2025,6,1),Cleaned_Data!$B$2:$B$2938,"&lt;"&amp;DATE(2025,7,1),Cleaned_Data!$M$2:$M$2938,"Delivered")</f>
        <v>74885</v>
      </c>
      <c r="F46" s="11" t="n">
        <f aca="false">IFERROR(E46/C46,0)</f>
        <v>388.00518134715</v>
      </c>
      <c r="G46" s="13" t="n">
        <f aca="false">IFERROR(D46/B46,0)</f>
        <v>0.053921568627451</v>
      </c>
      <c r="H46" s="14" t="n">
        <f aca="false">IFERROR(AVERAGEIFS(Cleaned_Data!$N$2:$N$2938,Cleaned_Data!$B$2:$B$2938,"&gt;="&amp;DATE(2025,6,1),Cleaned_Data!$B$2:$B$2938,"&lt;"&amp;DATE(2025,7,1),Cleaned_Data!$M$2:$M$2938,"Delivered"),0)</f>
        <v>37.3489583333333</v>
      </c>
    </row>
    <row r="47" customFormat="false" ht="15" hidden="false" customHeight="false" outlineLevel="0" collapsed="false">
      <c r="A47" s="7" t="s">
        <v>6261</v>
      </c>
      <c r="B47" s="7" t="n">
        <f aca="false">COUNTIFS(Cleaned_Data!$B$2:$B$2938,"&gt;="&amp;DATE(2025,7,1),Cleaned_Data!$B$2:$B$2938,"&lt;"&amp;DATE(2025,8,1))</f>
        <v>225</v>
      </c>
      <c r="C47" s="7" t="n">
        <f aca="false">COUNTIFS(Cleaned_Data!$B$2:$B$2938,"&gt;="&amp;DATE(2025,7,1),Cleaned_Data!$B$2:$B$2938,"&lt;"&amp;DATE(2025,8,1),Cleaned_Data!$M$2:$M$2938,"Delivered")</f>
        <v>212</v>
      </c>
      <c r="D47" s="7" t="n">
        <f aca="false">COUNTIFS(Cleaned_Data!$B$2:$B$2938,"&gt;="&amp;DATE(2025,7,1),Cleaned_Data!$B$2:$B$2938,"&lt;"&amp;DATE(2025,8,1),Cleaned_Data!$M$2:$M$2938,"Cancelled")</f>
        <v>13</v>
      </c>
      <c r="E47" s="11" t="n">
        <f aca="false">SUMIFS(Cleaned_Data!$K$2:$K$2938,Cleaned_Data!$B$2:$B$2938,"&gt;="&amp;DATE(2025,7,1),Cleaned_Data!$B$2:$B$2938,"&lt;"&amp;DATE(2025,8,1),Cleaned_Data!$M$2:$M$2938,"Delivered")</f>
        <v>95216</v>
      </c>
      <c r="F47" s="11" t="n">
        <f aca="false">IFERROR(E47/C47,0)</f>
        <v>449.132075471698</v>
      </c>
      <c r="G47" s="13" t="n">
        <f aca="false">IFERROR(D47/B47,0)</f>
        <v>0.0577777777777778</v>
      </c>
      <c r="H47" s="14" t="n">
        <f aca="false">IFERROR(AVERAGEIFS(Cleaned_Data!$N$2:$N$2938,Cleaned_Data!$B$2:$B$2938,"&gt;="&amp;DATE(2025,7,1),Cleaned_Data!$B$2:$B$2938,"&lt;"&amp;DATE(2025,8,1),Cleaned_Data!$M$2:$M$2938,"Delivered"),0)</f>
        <v>37.4066985645933</v>
      </c>
    </row>
    <row r="48" customFormat="false" ht="15" hidden="false" customHeight="false" outlineLevel="0" collapsed="false">
      <c r="A48" s="7" t="s">
        <v>6262</v>
      </c>
      <c r="B48" s="7" t="n">
        <f aca="false">COUNTIFS(Cleaned_Data!$B$2:$B$2938,"&gt;="&amp;DATE(2025,8,1),Cleaned_Data!$B$2:$B$2938,"&lt;"&amp;DATE(2025,9,1))</f>
        <v>231</v>
      </c>
      <c r="C48" s="7" t="n">
        <f aca="false">COUNTIFS(Cleaned_Data!$B$2:$B$2938,"&gt;="&amp;DATE(2025,8,1),Cleaned_Data!$B$2:$B$2938,"&lt;"&amp;DATE(2025,9,1),Cleaned_Data!$M$2:$M$2938,"Delivered")</f>
        <v>218</v>
      </c>
      <c r="D48" s="7" t="n">
        <f aca="false">COUNTIFS(Cleaned_Data!$B$2:$B$2938,"&gt;="&amp;DATE(2025,8,1),Cleaned_Data!$B$2:$B$2938,"&lt;"&amp;DATE(2025,9,1),Cleaned_Data!$M$2:$M$2938,"Cancelled")</f>
        <v>13</v>
      </c>
      <c r="E48" s="11" t="n">
        <f aca="false">SUMIFS(Cleaned_Data!$K$2:$K$2938,Cleaned_Data!$B$2:$B$2938,"&gt;="&amp;DATE(2025,8,1),Cleaned_Data!$B$2:$B$2938,"&lt;"&amp;DATE(2025,9,1),Cleaned_Data!$M$2:$M$2938,"Delivered")</f>
        <v>100826</v>
      </c>
      <c r="F48" s="11" t="n">
        <f aca="false">IFERROR(E48/C48,0)</f>
        <v>462.504587155963</v>
      </c>
      <c r="G48" s="13" t="n">
        <f aca="false">IFERROR(D48/B48,0)</f>
        <v>0.0562770562770563</v>
      </c>
      <c r="H48" s="14" t="n">
        <f aca="false">IFERROR(AVERAGEIFS(Cleaned_Data!$N$2:$N$2938,Cleaned_Data!$B$2:$B$2938,"&gt;="&amp;DATE(2025,8,1),Cleaned_Data!$B$2:$B$2938,"&lt;"&amp;DATE(2025,9,1),Cleaned_Data!$M$2:$M$2938,"Delivered"),0)</f>
        <v>39.1244239631336</v>
      </c>
    </row>
    <row r="49" customFormat="false" ht="15" hidden="false" customHeight="false" outlineLevel="0" collapsed="false">
      <c r="A49" s="7" t="s">
        <v>6263</v>
      </c>
      <c r="B49" s="7" t="n">
        <f aca="false">COUNTIFS(Cleaned_Data!$B$2:$B$2938,"&gt;="&amp;DATE(2025,9,1),Cleaned_Data!$B$2:$B$2938,"&lt;"&amp;DATE(2025,10,1))</f>
        <v>257</v>
      </c>
      <c r="C49" s="7" t="n">
        <f aca="false">COUNTIFS(Cleaned_Data!$B$2:$B$2938,"&gt;="&amp;DATE(2025,9,1),Cleaned_Data!$B$2:$B$2938,"&lt;"&amp;DATE(2025,10,1),Cleaned_Data!$M$2:$M$2938,"Delivered")</f>
        <v>242</v>
      </c>
      <c r="D49" s="7" t="n">
        <f aca="false">COUNTIFS(Cleaned_Data!$B$2:$B$2938,"&gt;="&amp;DATE(2025,9,1),Cleaned_Data!$B$2:$B$2938,"&lt;"&amp;DATE(2025,10,1),Cleaned_Data!$M$2:$M$2938,"Cancelled")</f>
        <v>15</v>
      </c>
      <c r="E49" s="11" t="n">
        <f aca="false">SUMIFS(Cleaned_Data!$K$2:$K$2938,Cleaned_Data!$B$2:$B$2938,"&gt;="&amp;DATE(2025,9,1),Cleaned_Data!$B$2:$B$2938,"&lt;"&amp;DATE(2025,10,1),Cleaned_Data!$M$2:$M$2938,"Delivered")</f>
        <v>102043</v>
      </c>
      <c r="F49" s="11" t="n">
        <f aca="false">IFERROR(E49/C49,0)</f>
        <v>421.665289256198</v>
      </c>
      <c r="G49" s="13" t="n">
        <f aca="false">IFERROR(D49/B49,0)</f>
        <v>0.0583657587548638</v>
      </c>
      <c r="H49" s="14" t="n">
        <f aca="false">IFERROR(AVERAGEIFS(Cleaned_Data!$N$2:$N$2938,Cleaned_Data!$B$2:$B$2938,"&gt;="&amp;DATE(2025,9,1),Cleaned_Data!$B$2:$B$2938,"&lt;"&amp;DATE(2025,10,1),Cleaned_Data!$M$2:$M$2938,"Delivered"),0)</f>
        <v>39.4834710743802</v>
      </c>
    </row>
    <row r="50" customFormat="false" ht="15" hidden="false" customHeight="false" outlineLevel="0" collapsed="false">
      <c r="A50" s="7" t="s">
        <v>6264</v>
      </c>
      <c r="B50" s="7" t="n">
        <f aca="false">COUNTIFS(Cleaned_Data!$B$2:$B$2938,"&gt;="&amp;DATE(2025,10,1),Cleaned_Data!$B$2:$B$2938,"&lt;"&amp;DATE(2025,11,1))</f>
        <v>281</v>
      </c>
      <c r="C50" s="7" t="n">
        <f aca="false">COUNTIFS(Cleaned_Data!$B$2:$B$2938,"&gt;="&amp;DATE(2025,10,1),Cleaned_Data!$B$2:$B$2938,"&lt;"&amp;DATE(2025,11,1),Cleaned_Data!$M$2:$M$2938,"Delivered")</f>
        <v>264</v>
      </c>
      <c r="D50" s="7" t="n">
        <f aca="false">COUNTIFS(Cleaned_Data!$B$2:$B$2938,"&gt;="&amp;DATE(2025,10,1),Cleaned_Data!$B$2:$B$2938,"&lt;"&amp;DATE(2025,11,1),Cleaned_Data!$M$2:$M$2938,"Cancelled")</f>
        <v>17</v>
      </c>
      <c r="E50" s="11" t="n">
        <f aca="false">SUMIFS(Cleaned_Data!$K$2:$K$2938,Cleaned_Data!$B$2:$B$2938,"&gt;="&amp;DATE(2025,10,1),Cleaned_Data!$B$2:$B$2938,"&lt;"&amp;DATE(2025,11,1),Cleaned_Data!$M$2:$M$2938,"Delivered")</f>
        <v>120076</v>
      </c>
      <c r="F50" s="11" t="n">
        <f aca="false">IFERROR(E50/C50,0)</f>
        <v>454.833333333333</v>
      </c>
      <c r="G50" s="13" t="n">
        <f aca="false">IFERROR(D50/B50,0)</f>
        <v>0.0604982206405694</v>
      </c>
      <c r="H50" s="14" t="n">
        <f aca="false">IFERROR(AVERAGEIFS(Cleaned_Data!$N$2:$N$2938,Cleaned_Data!$B$2:$B$2938,"&gt;="&amp;DATE(2025,10,1),Cleaned_Data!$B$2:$B$2938,"&lt;"&amp;DATE(2025,11,1),Cleaned_Data!$M$2:$M$2938,"Delivered"),0)</f>
        <v>37.6756756756757</v>
      </c>
    </row>
    <row r="51" customFormat="false" ht="15" hidden="false" customHeight="false" outlineLevel="0" collapsed="false">
      <c r="A51" s="7" t="s">
        <v>6265</v>
      </c>
      <c r="B51" s="7" t="n">
        <f aca="false">COUNTIFS(Cleaned_Data!$B$2:$B$2938,"&gt;="&amp;DATE(2025,11,1),Cleaned_Data!$B$2:$B$2938,"&lt;"&amp;DATE(2025,12,1))</f>
        <v>300</v>
      </c>
      <c r="C51" s="7" t="n">
        <f aca="false">COUNTIFS(Cleaned_Data!$B$2:$B$2938,"&gt;="&amp;DATE(2025,11,1),Cleaned_Data!$B$2:$B$2938,"&lt;"&amp;DATE(2025,12,1),Cleaned_Data!$M$2:$M$2938,"Delivered")</f>
        <v>278</v>
      </c>
      <c r="D51" s="7" t="n">
        <f aca="false">COUNTIFS(Cleaned_Data!$B$2:$B$2938,"&gt;="&amp;DATE(2025,11,1),Cleaned_Data!$B$2:$B$2938,"&lt;"&amp;DATE(2025,12,1),Cleaned_Data!$M$2:$M$2938,"Cancelled")</f>
        <v>22</v>
      </c>
      <c r="E51" s="11" t="n">
        <f aca="false">SUMIFS(Cleaned_Data!$K$2:$K$2938,Cleaned_Data!$B$2:$B$2938,"&gt;="&amp;DATE(2025,11,1),Cleaned_Data!$B$2:$B$2938,"&lt;"&amp;DATE(2025,12,1),Cleaned_Data!$M$2:$M$2938,"Delivered")</f>
        <v>121839</v>
      </c>
      <c r="F51" s="11" t="n">
        <f aca="false">IFERROR(E51/C51,0)</f>
        <v>438.269784172662</v>
      </c>
      <c r="G51" s="13" t="n">
        <f aca="false">IFERROR(D51/B51,0)</f>
        <v>0.0733333333333333</v>
      </c>
      <c r="H51" s="14" t="n">
        <f aca="false">IFERROR(AVERAGEIFS(Cleaned_Data!$N$2:$N$2938,Cleaned_Data!$B$2:$B$2938,"&gt;="&amp;DATE(2025,11,1),Cleaned_Data!$B$2:$B$2938,"&lt;"&amp;DATE(2025,12,1),Cleaned_Data!$M$2:$M$2938,"Delivered"),0)</f>
        <v>38.841155234657</v>
      </c>
    </row>
    <row r="52" customFormat="false" ht="15" hidden="false" customHeight="false" outlineLevel="0" collapsed="false">
      <c r="A52" s="7" t="s">
        <v>6266</v>
      </c>
      <c r="B52" s="7" t="n">
        <f aca="false">COUNTIFS(Cleaned_Data!$B$2:$B$2938,"&gt;="&amp;DATE(2025,12,1),Cleaned_Data!$B$2:$B$2938,"&lt;"&amp;DATE(2025,13,1))</f>
        <v>269</v>
      </c>
      <c r="C52" s="7" t="n">
        <f aca="false">COUNTIFS(Cleaned_Data!$B$2:$B$2938,"&gt;="&amp;DATE(2025,12,1),Cleaned_Data!$B$2:$B$2938,"&lt;"&amp;DATE(2025,13,1),Cleaned_Data!$M$2:$M$2938,"Delivered")</f>
        <v>253</v>
      </c>
      <c r="D52" s="7" t="n">
        <f aca="false">COUNTIFS(Cleaned_Data!$B$2:$B$2938,"&gt;="&amp;DATE(2025,12,1),Cleaned_Data!$B$2:$B$2938,"&lt;"&amp;DATE(2025,13,1),Cleaned_Data!$M$2:$M$2938,"Cancelled")</f>
        <v>16</v>
      </c>
      <c r="E52" s="11" t="n">
        <f aca="false">SUMIFS(Cleaned_Data!$K$2:$K$2938,Cleaned_Data!$B$2:$B$2938,"&gt;="&amp;DATE(2025,12,1),Cleaned_Data!$B$2:$B$2938,"&lt;"&amp;DATE(2025,13,1),Cleaned_Data!$M$2:$M$2938,"Delivered")</f>
        <v>105232</v>
      </c>
      <c r="F52" s="11" t="n">
        <f aca="false">IFERROR(E52/C52,0)</f>
        <v>415.936758893281</v>
      </c>
      <c r="G52" s="13" t="n">
        <f aca="false">IFERROR(D52/B52,0)</f>
        <v>0.0594795539033457</v>
      </c>
      <c r="H52" s="14" t="n">
        <f aca="false">IFERROR(AVERAGEIFS(Cleaned_Data!$N$2:$N$2938,Cleaned_Data!$B$2:$B$2938,"&gt;="&amp;DATE(2025,12,1),Cleaned_Data!$B$2:$B$2938,"&lt;"&amp;DATE(2025,13,1),Cleaned_Data!$M$2:$M$2938,"Delivered"),0)</f>
        <v>37.092</v>
      </c>
    </row>
    <row r="53" customFormat="false" ht="15" hidden="false" customHeight="false" outlineLevel="0" collapsed="false">
      <c r="A53" s="4" t="s">
        <v>6252</v>
      </c>
      <c r="B53" s="4" t="n">
        <f aca="false">SUM(B41:B52)</f>
        <v>2937</v>
      </c>
      <c r="C53" s="4" t="n">
        <f aca="false">SUM(C41:C52)</f>
        <v>2759</v>
      </c>
      <c r="D53" s="4" t="n">
        <f aca="false">SUM(D41:D52)</f>
        <v>178</v>
      </c>
      <c r="E53" s="15" t="n">
        <f aca="false">SUM(E41:E52)</f>
        <v>1199696</v>
      </c>
      <c r="F53" s="15" t="n">
        <f aca="false">IFERROR(E53/C53,0)</f>
        <v>434.830010873505</v>
      </c>
      <c r="G53" s="16" t="n">
        <f aca="false">IFERROR(D53/B53,0)</f>
        <v>0.0606060606060606</v>
      </c>
      <c r="H53" s="17" t="n">
        <f aca="false">IFERROR(AVERAGEIFS(Cleaned_Data!$N$2:$N$2938,Cleaned_Data!$M$2:$M$2938,"Delivered"),0)</f>
        <v>38.3192969608202</v>
      </c>
    </row>
    <row r="55" customFormat="false" ht="15" hidden="false" customHeight="false" outlineLevel="0" collapsed="false">
      <c r="A55" s="7" t="s">
        <v>6267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4" min="3" style="0" width="70"/>
  </cols>
  <sheetData>
    <row r="1" customFormat="false" ht="17.35" hidden="false" customHeight="false" outlineLevel="0" collapsed="false">
      <c r="A1" s="1" t="s">
        <v>6268</v>
      </c>
    </row>
    <row r="2" customFormat="false" ht="15" hidden="false" customHeight="false" outlineLevel="0" collapsed="false">
      <c r="A2" s="2" t="s">
        <v>6269</v>
      </c>
    </row>
    <row r="4" customFormat="false" ht="15" hidden="false" customHeight="false" outlineLevel="0" collapsed="false">
      <c r="A4" s="3" t="s">
        <v>6270</v>
      </c>
      <c r="B4" s="3" t="s">
        <v>6271</v>
      </c>
      <c r="C4" s="3" t="s">
        <v>6272</v>
      </c>
      <c r="D4" s="3" t="s">
        <v>6273</v>
      </c>
    </row>
    <row r="5" customFormat="false" ht="15" hidden="false" customHeight="false" outlineLevel="0" collapsed="false">
      <c r="A5" s="18" t="s">
        <v>6274</v>
      </c>
      <c r="B5" s="5" t="str">
        <f aca="false">TRIM("   Spice    Junction  ")</f>
        <v>Spice Junction</v>
      </c>
      <c r="C5" s="5" t="s">
        <v>6275</v>
      </c>
      <c r="D5" s="5" t="s">
        <v>6276</v>
      </c>
    </row>
    <row r="6" customFormat="false" ht="23.85" hidden="false" customHeight="false" outlineLevel="0" collapsed="false">
      <c r="A6" s="18" t="s">
        <v>6277</v>
      </c>
      <c r="B6" s="5" t="str">
        <f aca="false">IF(Cleaned_Data!M2="Delivered","Counts as sales","Not sales")</f>
        <v>Counts as sales</v>
      </c>
      <c r="C6" s="5" t="s">
        <v>6278</v>
      </c>
      <c r="D6" s="5" t="s">
        <v>6279</v>
      </c>
    </row>
    <row r="7" customFormat="false" ht="23.85" hidden="false" customHeight="false" outlineLevel="0" collapsed="false">
      <c r="A7" s="18" t="s">
        <v>6280</v>
      </c>
      <c r="B7" s="5" t="str">
        <f aca="false">IFERROR(100/0,"Check data")</f>
        <v>Check data</v>
      </c>
      <c r="C7" s="5" t="s">
        <v>6281</v>
      </c>
      <c r="D7" s="5" t="s">
        <v>6282</v>
      </c>
    </row>
    <row r="8" customFormat="false" ht="15" hidden="false" customHeight="false" outlineLevel="0" collapsed="false">
      <c r="A8" s="18" t="s">
        <v>6283</v>
      </c>
      <c r="B8" s="5" t="n">
        <f aca="false">COUNTIF(Cleaned_Data!$F$2:$F$2938,"Bengaluru")</f>
        <v>631</v>
      </c>
      <c r="C8" s="5" t="s">
        <v>6284</v>
      </c>
      <c r="D8" s="5" t="s">
        <v>6285</v>
      </c>
    </row>
    <row r="9" customFormat="false" ht="23.85" hidden="false" customHeight="false" outlineLevel="0" collapsed="false">
      <c r="A9" s="18" t="s">
        <v>6286</v>
      </c>
      <c r="B9" s="5" t="n">
        <f aca="false">COUNTIFS(Cleaned_Data!$F$2:$F$2938,"Mumbai",Cleaned_Data!$L$2:$L$2938,"UPI",Cleaned_Data!$M$2:$M$2938,"Delivered")</f>
        <v>254</v>
      </c>
      <c r="C9" s="5" t="s">
        <v>6287</v>
      </c>
      <c r="D9" s="5" t="s">
        <v>6288</v>
      </c>
    </row>
    <row r="10" customFormat="false" ht="15" hidden="false" customHeight="false" outlineLevel="0" collapsed="false">
      <c r="A10" s="18" t="s">
        <v>6289</v>
      </c>
      <c r="B10" s="5" t="n">
        <f aca="false">SUMIF(Cleaned_Data!$F$2:$F$2938,"Delhi",Cleaned_Data!$K$2:$K$2938)</f>
        <v>229678</v>
      </c>
      <c r="C10" s="5" t="s">
        <v>6290</v>
      </c>
      <c r="D10" s="5" t="s">
        <v>6291</v>
      </c>
    </row>
    <row r="11" customFormat="false" ht="23.85" hidden="false" customHeight="false" outlineLevel="0" collapsed="false">
      <c r="A11" s="18" t="s">
        <v>6292</v>
      </c>
      <c r="B11" s="5" t="n">
        <f aca="false">SUMIFS(Cleaned_Data!$K$2:$K$2938,Cleaned_Data!$F$2:$F$2938,"Delhi",Cleaned_Data!$M$2:$M$2938,"Delivered")</f>
        <v>214330</v>
      </c>
      <c r="C11" s="5" t="s">
        <v>6293</v>
      </c>
      <c r="D11" s="5" t="s">
        <v>6294</v>
      </c>
    </row>
    <row r="12" customFormat="false" ht="15" hidden="false" customHeight="false" outlineLevel="0" collapsed="false">
      <c r="A12" s="18" t="s">
        <v>6295</v>
      </c>
      <c r="B12" s="5" t="n">
        <f aca="false">AVERAGEIFS(Cleaned_Data!$N$2:$N$2938,Cleaned_Data!$F$2:$F$2938,"Pune")</f>
        <v>33.1544401544402</v>
      </c>
      <c r="C12" s="5" t="s">
        <v>6296</v>
      </c>
      <c r="D12" s="5" t="s">
        <v>6297</v>
      </c>
    </row>
    <row r="13" customFormat="false" ht="15" hidden="false" customHeight="false" outlineLevel="0" collapsed="false">
      <c r="A13" s="5"/>
      <c r="B13" s="5"/>
      <c r="C13" s="5"/>
      <c r="D13" s="5"/>
    </row>
    <row r="14" customFormat="false" ht="15" hidden="false" customHeight="false" outlineLevel="0" collapsed="false">
      <c r="A14" s="18" t="s">
        <v>6298</v>
      </c>
      <c r="B14" s="19" t="s">
        <v>1701</v>
      </c>
      <c r="C14" s="5" t="s">
        <v>6299</v>
      </c>
      <c r="D14" s="5" t="s">
        <v>6300</v>
      </c>
    </row>
    <row r="15" customFormat="false" ht="23.85" hidden="false" customHeight="false" outlineLevel="0" collapsed="false">
      <c r="A15" s="5" t="s">
        <v>6301</v>
      </c>
      <c r="B15" s="5" t="str">
        <f aca="false">IFERROR(INDEX(Cleaned_Data!$E$2:$E$2938,MATCH($B$14,Cleaned_Data!$A$2:$A$2938,0)),"Order ID not found")</f>
        <v>Nawabi Biryani House</v>
      </c>
      <c r="C15" s="5" t="s">
        <v>6302</v>
      </c>
      <c r="D15" s="5" t="s">
        <v>6303</v>
      </c>
    </row>
    <row r="16" customFormat="false" ht="15" hidden="false" customHeight="false" outlineLevel="0" collapsed="false">
      <c r="A16" s="5" t="s">
        <v>6304</v>
      </c>
      <c r="B16" s="20" t="n">
        <f aca="false">IFERROR(INDEX(Cleaned_Data!$K$2:$K$2938,MATCH($B$14,Cleaned_Data!$A$2:$A$2938,0)),"Order ID not found")</f>
        <v>445</v>
      </c>
      <c r="C16" s="5"/>
      <c r="D16" s="5"/>
    </row>
    <row r="17" customFormat="false" ht="15" hidden="false" customHeight="false" outlineLevel="0" collapsed="false">
      <c r="A17" s="5"/>
      <c r="B17" s="5"/>
      <c r="C17" s="5"/>
      <c r="D17" s="5"/>
    </row>
    <row r="18" customFormat="false" ht="15" hidden="false" customHeight="false" outlineLevel="0" collapsed="false">
      <c r="A18" s="18" t="s">
        <v>6305</v>
      </c>
      <c r="B18" s="5"/>
      <c r="C18" s="5"/>
      <c r="D18" s="5"/>
    </row>
    <row r="19" customFormat="false" ht="15" hidden="false" customHeight="true" outlineLevel="0" collapsed="false">
      <c r="A19" s="18" t="s">
        <v>6306</v>
      </c>
      <c r="B19" s="21" t="s">
        <v>6307</v>
      </c>
      <c r="C19" s="21"/>
      <c r="D19" s="21"/>
    </row>
    <row r="20" customFormat="false" ht="15" hidden="false" customHeight="true" outlineLevel="0" collapsed="false">
      <c r="A20" s="18" t="s">
        <v>6308</v>
      </c>
      <c r="B20" s="21" t="s">
        <v>6309</v>
      </c>
      <c r="C20" s="21"/>
      <c r="D20" s="21"/>
    </row>
    <row r="21" customFormat="false" ht="15" hidden="false" customHeight="true" outlineLevel="0" collapsed="false">
      <c r="A21" s="18" t="s">
        <v>6310</v>
      </c>
      <c r="B21" s="21" t="s">
        <v>6311</v>
      </c>
      <c r="C21" s="21"/>
      <c r="D21" s="21"/>
    </row>
    <row r="22" customFormat="false" ht="15" hidden="false" customHeight="false" outlineLevel="0" collapsed="false">
      <c r="A22" s="5"/>
      <c r="B22" s="5"/>
      <c r="C22" s="5"/>
      <c r="D22" s="5"/>
    </row>
  </sheetData>
  <mergeCells count="3">
    <mergeCell ref="B19:D19"/>
    <mergeCell ref="B20:D20"/>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2026-10-24T07:36:46Z</dcterms:created>
  <dc:creator>openpyxl</dc:creator>
  <dc:description/>
  <dc:language>en-US</dc:language>
  <cp:lastModifiedBy/>
  <dcterms:modified xsi:type="dcterms:W3CDTF">2026-10-24T07:36:47Z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